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06 - D50 - EMG (Ana)\Estrutura\"/>
    </mc:Choice>
  </mc:AlternateContent>
  <xr:revisionPtr revIDLastSave="0" documentId="13_ncr:1_{A88FB4CC-E23B-4235-94FB-D3D6510DEE5C}" xr6:coauthVersionLast="47" xr6:coauthVersionMax="47" xr10:uidLastSave="{00000000-0000-0000-0000-000000000000}"/>
  <bookViews>
    <workbookView xWindow="-120" yWindow="-120" windowWidth="23280" windowHeight="10950" firstSheet="21" activeTab="29" xr2:uid="{3BB9FB00-CF1F-4E52-ABBB-5F3552B99A7B}"/>
  </bookViews>
  <sheets>
    <sheet name="Mercado_Receita" sheetId="1" r:id="rId1"/>
    <sheet name="EVENTOS" sheetId="2" r:id="rId2"/>
    <sheet name="TAR FIN" sheetId="81" r:id="rId3"/>
    <sheet name="MERCADO TUSD" sheetId="3" r:id="rId4"/>
    <sheet name="MERCADO TE" sheetId="4" r:id="rId5"/>
    <sheet name="CUSTOS" sheetId="5" r:id="rId6"/>
    <sheet name="TRANSICAO" sheetId="75" r:id="rId7"/>
    <sheet name="TR TUSD" sheetId="67" r:id="rId8"/>
    <sheet name="TUSD BE" sheetId="68" r:id="rId9"/>
    <sheet name="TUSD BF" sheetId="69" r:id="rId10"/>
    <sheet name="TUSD CVA" sheetId="70" r:id="rId11"/>
    <sheet name="TR TE" sheetId="71" r:id="rId12"/>
    <sheet name="TE BE" sheetId="72" r:id="rId13"/>
    <sheet name="TE BF" sheetId="73" r:id="rId14"/>
    <sheet name="TE CVA" sheetId="74" r:id="rId15"/>
    <sheet name="EFEITO" sheetId="82" r:id="rId16"/>
    <sheet name="SUBSIDIO" sheetId="83" r:id="rId17"/>
    <sheet name="TabDinEfeito" sheetId="84" r:id="rId18"/>
    <sheet name="TabDinSubsidio" sheetId="85" r:id="rId19"/>
    <sheet name="TABELAS REH" sheetId="93" r:id="rId20"/>
    <sheet name="CONSISTENCIA" sheetId="86" r:id="rId21"/>
    <sheet name="TUSD" sheetId="88" r:id="rId22"/>
    <sheet name="TE" sheetId="89" r:id="rId23"/>
    <sheet name="RESUMO TUSD" sheetId="90" r:id="rId24"/>
    <sheet name="RESUMO TE" sheetId="91" r:id="rId25"/>
    <sheet name="Descontos" sheetId="20" r:id="rId26"/>
    <sheet name="ERD" sheetId="92" r:id="rId27"/>
    <sheet name="TA - Aplicação" sheetId="94" r:id="rId28"/>
    <sheet name="TA - BE" sheetId="95" r:id="rId29"/>
    <sheet name="TA - CVA" sheetId="96" r:id="rId30"/>
  </sheets>
  <definedNames>
    <definedName name="DadosExternos_1" localSheetId="27" hidden="1">'TA - Aplicação'!$B$3:$AR$80</definedName>
    <definedName name="DadosExternos_1" localSheetId="28" hidden="1">'TA - BE'!$B$3:$AR$80</definedName>
    <definedName name="DadosExternos_1" localSheetId="29" hidden="1">'TA - CVA'!$B$3:$AR$80</definedName>
  </definedNames>
  <calcPr calcId="191029"/>
  <pivotCaches>
    <pivotCache cacheId="39" r:id="rId31"/>
    <pivotCache cacheId="40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93" l="1"/>
  <c r="V32" i="93"/>
  <c r="V31" i="93"/>
  <c r="V30" i="93"/>
  <c r="V29" i="93"/>
  <c r="V28" i="93"/>
  <c r="V27" i="93"/>
  <c r="V26" i="93"/>
  <c r="V21" i="93"/>
  <c r="V16" i="93"/>
  <c r="V25" i="93"/>
  <c r="V20" i="93"/>
  <c r="V15" i="93"/>
  <c r="V24" i="93"/>
  <c r="V23" i="93"/>
  <c r="V22" i="93"/>
  <c r="V19" i="93"/>
  <c r="V18" i="93"/>
  <c r="V17" i="93"/>
  <c r="V14" i="93"/>
  <c r="V13" i="93"/>
  <c r="V12" i="93"/>
  <c r="V11" i="93"/>
  <c r="V9" i="93"/>
  <c r="V10" i="93"/>
  <c r="V8" i="93"/>
  <c r="V7" i="93"/>
  <c r="V6" i="93"/>
  <c r="V5" i="93"/>
  <c r="J31" i="93"/>
  <c r="J30" i="93"/>
  <c r="J26" i="93"/>
  <c r="J25" i="93"/>
  <c r="J21" i="93"/>
  <c r="J20" i="93"/>
  <c r="J6" i="93"/>
  <c r="J5" i="93"/>
  <c r="H24" i="93"/>
  <c r="H19" i="93"/>
  <c r="H18" i="93"/>
  <c r="H17" i="93"/>
  <c r="H16" i="93"/>
  <c r="H15" i="93"/>
  <c r="H14" i="93"/>
  <c r="H13" i="93"/>
  <c r="H12" i="93"/>
  <c r="H11" i="93"/>
  <c r="H10" i="93"/>
  <c r="H9" i="93"/>
  <c r="I3" i="92"/>
  <c r="I2" i="92" s="1"/>
  <c r="K3" i="92"/>
  <c r="K2" i="92" s="1"/>
  <c r="L3" i="92"/>
  <c r="L2" i="92" s="1"/>
  <c r="B2" i="92"/>
  <c r="C2" i="92"/>
  <c r="D2" i="92"/>
  <c r="E2" i="92"/>
  <c r="F2" i="92"/>
  <c r="G2" i="92"/>
  <c r="H2" i="92"/>
  <c r="J2" i="92"/>
  <c r="B11" i="92"/>
  <c r="P11" i="5" l="1"/>
  <c r="R11" i="5" s="1"/>
  <c r="P10" i="5"/>
  <c r="R10" i="5" s="1"/>
  <c r="P9" i="5"/>
  <c r="R9" i="5" s="1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F36" i="5" s="1"/>
  <c r="L5" i="91"/>
  <c r="K5" i="91"/>
  <c r="J5" i="91"/>
  <c r="I5" i="91"/>
  <c r="H5" i="91"/>
  <c r="G5" i="91"/>
  <c r="F5" i="91"/>
  <c r="E5" i="91"/>
  <c r="D5" i="91"/>
  <c r="C5" i="91"/>
  <c r="B5" i="91"/>
  <c r="I2" i="91"/>
  <c r="W5" i="90"/>
  <c r="V5" i="90"/>
  <c r="U5" i="90"/>
  <c r="T5" i="90"/>
  <c r="S5" i="90"/>
  <c r="R5" i="90"/>
  <c r="Q5" i="90"/>
  <c r="P5" i="90"/>
  <c r="O5" i="90"/>
  <c r="N5" i="90"/>
  <c r="M5" i="90"/>
  <c r="L5" i="90"/>
  <c r="K5" i="90"/>
  <c r="J5" i="90"/>
  <c r="I5" i="90"/>
  <c r="H5" i="90"/>
  <c r="G5" i="90"/>
  <c r="F5" i="90"/>
  <c r="E5" i="90"/>
  <c r="D5" i="90"/>
  <c r="C5" i="90"/>
  <c r="B5" i="90"/>
  <c r="I2" i="90"/>
  <c r="AB31" i="88"/>
  <c r="AB30" i="88"/>
  <c r="AB29" i="88"/>
  <c r="AE13" i="86"/>
  <c r="AD13" i="86"/>
  <c r="AC13" i="86"/>
  <c r="AB13" i="86"/>
  <c r="AA13" i="86"/>
  <c r="W13" i="86"/>
  <c r="V13" i="86"/>
  <c r="U13" i="86"/>
  <c r="T13" i="86"/>
  <c r="Z13" i="86" s="1"/>
  <c r="S13" i="86"/>
  <c r="Y13" i="86" s="1"/>
  <c r="AG13" i="86" s="1"/>
  <c r="R13" i="86"/>
  <c r="X13" i="86" s="1"/>
  <c r="AF13" i="86" s="1"/>
  <c r="AE12" i="86"/>
  <c r="AD12" i="86"/>
  <c r="AE8" i="86"/>
  <c r="AD8" i="86"/>
  <c r="AC8" i="86"/>
  <c r="AB8" i="86"/>
  <c r="AA8" i="86"/>
  <c r="W8" i="86"/>
  <c r="AJ8" i="86" s="1"/>
  <c r="V8" i="86"/>
  <c r="U8" i="86"/>
  <c r="AI8" i="86" s="1"/>
  <c r="T8" i="86"/>
  <c r="S8" i="86"/>
  <c r="Y8" i="86" s="1"/>
  <c r="R8" i="86"/>
  <c r="AE6" i="86"/>
  <c r="AD6" i="86"/>
  <c r="AC6" i="86"/>
  <c r="AB6" i="86"/>
  <c r="AA6" i="86"/>
  <c r="W6" i="86"/>
  <c r="AJ6" i="86" s="1"/>
  <c r="V6" i="86"/>
  <c r="U6" i="86"/>
  <c r="AI6" i="86" s="1"/>
  <c r="T6" i="86"/>
  <c r="S6" i="86"/>
  <c r="Y6" i="86" s="1"/>
  <c r="AG6" i="86" s="1"/>
  <c r="R6" i="86"/>
  <c r="AE3" i="86"/>
  <c r="AD3" i="86"/>
  <c r="AC3" i="86"/>
  <c r="AB3" i="86"/>
  <c r="AA3" i="86"/>
  <c r="W3" i="86"/>
  <c r="V3" i="86"/>
  <c r="U3" i="86"/>
  <c r="T3" i="86"/>
  <c r="S3" i="86"/>
  <c r="R3" i="86"/>
  <c r="J1994" i="86"/>
  <c r="M1994" i="86" s="1"/>
  <c r="J1993" i="86"/>
  <c r="M1993" i="86" s="1"/>
  <c r="J1992" i="86"/>
  <c r="M1992" i="86" s="1"/>
  <c r="J1991" i="86"/>
  <c r="J1990" i="86"/>
  <c r="M1990" i="86" s="1"/>
  <c r="J1989" i="86"/>
  <c r="J1988" i="86"/>
  <c r="J1987" i="86"/>
  <c r="J1986" i="86"/>
  <c r="M1986" i="86" s="1"/>
  <c r="J1985" i="86"/>
  <c r="M1985" i="86" s="1"/>
  <c r="J1984" i="86"/>
  <c r="M1984" i="86" s="1"/>
  <c r="J1983" i="86"/>
  <c r="J1216" i="86"/>
  <c r="J1215" i="86"/>
  <c r="J1214" i="86"/>
  <c r="J1213" i="86"/>
  <c r="J1212" i="86"/>
  <c r="J1211" i="86"/>
  <c r="J1210" i="86"/>
  <c r="J1209" i="86"/>
  <c r="J1208" i="86"/>
  <c r="J1207" i="86"/>
  <c r="J1206" i="86"/>
  <c r="J1205" i="86"/>
  <c r="L1204" i="86"/>
  <c r="K1204" i="86"/>
  <c r="L1203" i="86"/>
  <c r="K1203" i="86"/>
  <c r="L1202" i="86"/>
  <c r="K1202" i="86"/>
  <c r="L1201" i="86"/>
  <c r="K1201" i="86"/>
  <c r="L1200" i="86"/>
  <c r="K1200" i="86"/>
  <c r="L1199" i="86"/>
  <c r="K1199" i="86"/>
  <c r="L1198" i="86"/>
  <c r="K1198" i="86"/>
  <c r="L1197" i="86"/>
  <c r="K1197" i="86"/>
  <c r="L1196" i="86"/>
  <c r="K1196" i="86"/>
  <c r="L1195" i="86"/>
  <c r="K1195" i="86"/>
  <c r="L1194" i="86"/>
  <c r="K1194" i="86"/>
  <c r="L1193" i="86"/>
  <c r="K1193" i="86"/>
  <c r="J1192" i="86"/>
  <c r="J1191" i="86"/>
  <c r="J1190" i="86"/>
  <c r="J1189" i="86"/>
  <c r="J1188" i="86"/>
  <c r="J1187" i="86"/>
  <c r="J1186" i="86"/>
  <c r="J1185" i="86"/>
  <c r="J1184" i="86"/>
  <c r="J1183" i="86"/>
  <c r="J1182" i="86"/>
  <c r="J1181" i="86"/>
  <c r="J1180" i="86"/>
  <c r="J1179" i="86"/>
  <c r="J1178" i="86"/>
  <c r="J1177" i="86"/>
  <c r="J1176" i="86"/>
  <c r="J1175" i="86"/>
  <c r="J1174" i="86"/>
  <c r="J1173" i="86"/>
  <c r="J1172" i="86"/>
  <c r="J1171" i="86"/>
  <c r="J1170" i="86"/>
  <c r="J1169" i="86"/>
  <c r="J1168" i="86"/>
  <c r="L1167" i="86"/>
  <c r="K1167" i="86"/>
  <c r="L1166" i="86"/>
  <c r="K1166" i="86"/>
  <c r="L1165" i="86"/>
  <c r="K1165" i="86"/>
  <c r="L1164" i="86"/>
  <c r="K1164" i="86"/>
  <c r="L1163" i="86"/>
  <c r="K1163" i="86"/>
  <c r="L1162" i="86"/>
  <c r="K1162" i="86"/>
  <c r="L1161" i="86"/>
  <c r="K1161" i="86"/>
  <c r="L1160" i="86"/>
  <c r="K1160" i="86"/>
  <c r="L1159" i="86"/>
  <c r="K1159" i="86"/>
  <c r="L1158" i="86"/>
  <c r="K1158" i="86"/>
  <c r="L1157" i="86"/>
  <c r="K1157" i="86"/>
  <c r="L1156" i="86"/>
  <c r="K1156" i="86"/>
  <c r="L1155" i="86"/>
  <c r="K1155" i="86"/>
  <c r="J1154" i="86"/>
  <c r="J1153" i="86"/>
  <c r="J1152" i="86"/>
  <c r="J1151" i="86"/>
  <c r="J1150" i="86"/>
  <c r="J1149" i="86"/>
  <c r="J1148" i="86"/>
  <c r="J1147" i="86"/>
  <c r="J1146" i="86"/>
  <c r="J1145" i="86"/>
  <c r="J1144" i="86"/>
  <c r="J1143" i="86"/>
  <c r="J1142" i="86"/>
  <c r="J2022" i="86"/>
  <c r="M2022" i="86" s="1"/>
  <c r="M2021" i="86"/>
  <c r="J2021" i="86"/>
  <c r="J2020" i="86"/>
  <c r="M2020" i="86" s="1"/>
  <c r="J2019" i="86"/>
  <c r="M2019" i="86" s="1"/>
  <c r="J2018" i="86"/>
  <c r="M2018" i="86" s="1"/>
  <c r="J2017" i="86"/>
  <c r="M2017" i="86" s="1"/>
  <c r="J2016" i="86"/>
  <c r="M2016" i="86" s="1"/>
  <c r="M2015" i="86"/>
  <c r="J2015" i="86"/>
  <c r="J2014" i="86"/>
  <c r="M2014" i="86" s="1"/>
  <c r="J2013" i="86"/>
  <c r="M2013" i="86" s="1"/>
  <c r="J2012" i="86"/>
  <c r="M2012" i="86" s="1"/>
  <c r="J2011" i="86"/>
  <c r="M2011" i="86" s="1"/>
  <c r="J2010" i="86"/>
  <c r="M2010" i="86" s="1"/>
  <c r="J2009" i="86"/>
  <c r="M2009" i="86" s="1"/>
  <c r="J2008" i="86"/>
  <c r="M2008" i="86" s="1"/>
  <c r="J2007" i="86"/>
  <c r="M2007" i="86" s="1"/>
  <c r="J2006" i="86"/>
  <c r="M2006" i="86" s="1"/>
  <c r="M2005" i="86"/>
  <c r="J2005" i="86"/>
  <c r="J2004" i="86"/>
  <c r="M2004" i="86" s="1"/>
  <c r="J2003" i="86"/>
  <c r="M2003" i="86" s="1"/>
  <c r="J2002" i="86"/>
  <c r="M2002" i="86" s="1"/>
  <c r="M2001" i="86"/>
  <c r="J2001" i="86"/>
  <c r="M2000" i="86"/>
  <c r="J2000" i="86"/>
  <c r="J1999" i="86"/>
  <c r="M1999" i="86" s="1"/>
  <c r="J1998" i="86"/>
  <c r="M1998" i="86" s="1"/>
  <c r="J1997" i="86"/>
  <c r="M1997" i="86" s="1"/>
  <c r="J1996" i="86"/>
  <c r="M1996" i="86" s="1"/>
  <c r="J1995" i="86"/>
  <c r="M1995" i="86" s="1"/>
  <c r="M1991" i="86"/>
  <c r="M1989" i="86"/>
  <c r="M1988" i="86"/>
  <c r="M1987" i="86"/>
  <c r="M1983" i="86"/>
  <c r="J1982" i="86"/>
  <c r="M1982" i="86" s="1"/>
  <c r="J1981" i="86"/>
  <c r="M1981" i="86" s="1"/>
  <c r="J1980" i="86"/>
  <c r="M1980" i="86" s="1"/>
  <c r="M1979" i="86"/>
  <c r="J1979" i="86"/>
  <c r="J1978" i="86"/>
  <c r="M1978" i="86" s="1"/>
  <c r="J1977" i="86"/>
  <c r="M1977" i="86" s="1"/>
  <c r="J1976" i="86"/>
  <c r="M1976" i="86" s="1"/>
  <c r="M1975" i="86"/>
  <c r="J1975" i="86"/>
  <c r="J1974" i="86"/>
  <c r="M1974" i="86" s="1"/>
  <c r="J1973" i="86"/>
  <c r="M1973" i="86" s="1"/>
  <c r="J1972" i="86"/>
  <c r="M1972" i="86" s="1"/>
  <c r="J1971" i="86"/>
  <c r="M1971" i="86" s="1"/>
  <c r="J1970" i="86"/>
  <c r="M1970" i="86" s="1"/>
  <c r="J1969" i="86"/>
  <c r="M1969" i="86" s="1"/>
  <c r="J1968" i="86"/>
  <c r="M1968" i="86" s="1"/>
  <c r="M1967" i="86"/>
  <c r="J1967" i="86"/>
  <c r="M1966" i="86"/>
  <c r="J1966" i="86"/>
  <c r="J1965" i="86"/>
  <c r="M1965" i="86" s="1"/>
  <c r="J1964" i="86"/>
  <c r="M1964" i="86" s="1"/>
  <c r="M1963" i="86"/>
  <c r="J1963" i="86"/>
  <c r="J1962" i="86"/>
  <c r="M1962" i="86" s="1"/>
  <c r="J1961" i="86"/>
  <c r="M1961" i="86" s="1"/>
  <c r="M1960" i="86"/>
  <c r="J1960" i="86"/>
  <c r="M1959" i="86"/>
  <c r="J1959" i="86"/>
  <c r="J1958" i="86"/>
  <c r="M1958" i="86" s="1"/>
  <c r="M1957" i="86"/>
  <c r="J1957" i="86"/>
  <c r="J1956" i="86"/>
  <c r="M1956" i="86" s="1"/>
  <c r="J1955" i="86"/>
  <c r="M1955" i="86" s="1"/>
  <c r="J1954" i="86"/>
  <c r="M1954" i="86" s="1"/>
  <c r="M1953" i="86"/>
  <c r="J1953" i="86"/>
  <c r="J1952" i="86"/>
  <c r="M1952" i="86" s="1"/>
  <c r="J1951" i="86"/>
  <c r="M1951" i="86" s="1"/>
  <c r="J1950" i="86"/>
  <c r="M1950" i="86" s="1"/>
  <c r="J1949" i="86"/>
  <c r="M1949" i="86" s="1"/>
  <c r="J1948" i="86"/>
  <c r="M1948" i="86" s="1"/>
  <c r="M1947" i="86"/>
  <c r="J1947" i="86"/>
  <c r="J1946" i="86"/>
  <c r="M1946" i="86" s="1"/>
  <c r="J1945" i="86"/>
  <c r="M1945" i="86" s="1"/>
  <c r="J1944" i="86"/>
  <c r="M1944" i="86" s="1"/>
  <c r="J1943" i="86"/>
  <c r="M1943" i="86" s="1"/>
  <c r="J1942" i="86"/>
  <c r="M1942" i="86" s="1"/>
  <c r="M1941" i="86"/>
  <c r="J1941" i="86"/>
  <c r="M1940" i="86"/>
  <c r="J1940" i="86"/>
  <c r="J1939" i="86"/>
  <c r="M1939" i="86" s="1"/>
  <c r="J1938" i="86"/>
  <c r="M1938" i="86" s="1"/>
  <c r="M1937" i="86"/>
  <c r="J1937" i="86"/>
  <c r="J1936" i="86"/>
  <c r="M1936" i="86" s="1"/>
  <c r="J1935" i="86"/>
  <c r="M1935" i="86" s="1"/>
  <c r="J1934" i="86"/>
  <c r="M1934" i="86" s="1"/>
  <c r="J1933" i="86"/>
  <c r="M1933" i="86" s="1"/>
  <c r="M1932" i="86"/>
  <c r="J1932" i="86"/>
  <c r="M1931" i="86"/>
  <c r="J1931" i="86"/>
  <c r="J1930" i="86"/>
  <c r="M1930" i="86" s="1"/>
  <c r="M1929" i="86"/>
  <c r="J1929" i="86"/>
  <c r="M1928" i="86"/>
  <c r="J1928" i="86"/>
  <c r="J1927" i="86"/>
  <c r="M1927" i="86" s="1"/>
  <c r="J1926" i="86"/>
  <c r="M1926" i="86" s="1"/>
  <c r="J1925" i="86"/>
  <c r="M1925" i="86" s="1"/>
  <c r="M1924" i="86"/>
  <c r="J1924" i="86"/>
  <c r="M1923" i="86"/>
  <c r="J1923" i="86"/>
  <c r="J1922" i="86"/>
  <c r="M1922" i="86" s="1"/>
  <c r="J1921" i="86"/>
  <c r="M1921" i="86" s="1"/>
  <c r="J1920" i="86"/>
  <c r="M1920" i="86" s="1"/>
  <c r="M1919" i="86"/>
  <c r="J1919" i="86"/>
  <c r="J1918" i="86"/>
  <c r="M1918" i="86" s="1"/>
  <c r="M1917" i="86"/>
  <c r="J1917" i="86"/>
  <c r="M1916" i="86"/>
  <c r="J1916" i="86"/>
  <c r="M1915" i="86"/>
  <c r="J1915" i="86"/>
  <c r="J1914" i="86"/>
  <c r="M1914" i="86" s="1"/>
  <c r="J1913" i="86"/>
  <c r="M1913" i="86" s="1"/>
  <c r="J1912" i="86"/>
  <c r="M1912" i="86" s="1"/>
  <c r="M1911" i="86"/>
  <c r="J1911" i="86"/>
  <c r="J1910" i="86"/>
  <c r="M1910" i="86" s="1"/>
  <c r="M1909" i="86"/>
  <c r="J1909" i="86"/>
  <c r="M1908" i="86"/>
  <c r="J1908" i="86"/>
  <c r="J1907" i="86"/>
  <c r="M1907" i="86" s="1"/>
  <c r="J1906" i="86"/>
  <c r="M1906" i="86" s="1"/>
  <c r="M1905" i="86"/>
  <c r="J1905" i="86"/>
  <c r="J1904" i="86"/>
  <c r="M1904" i="86" s="1"/>
  <c r="J1903" i="86"/>
  <c r="M1903" i="86" s="1"/>
  <c r="J1902" i="86"/>
  <c r="M1902" i="86" s="1"/>
  <c r="J1901" i="86"/>
  <c r="M1901" i="86" s="1"/>
  <c r="M1900" i="86"/>
  <c r="J1900" i="86"/>
  <c r="M1899" i="86"/>
  <c r="J1899" i="86"/>
  <c r="J1898" i="86"/>
  <c r="M1898" i="86" s="1"/>
  <c r="J1897" i="86"/>
  <c r="M1897" i="86" s="1"/>
  <c r="M1896" i="86"/>
  <c r="J1896" i="86"/>
  <c r="J1895" i="86"/>
  <c r="M1895" i="86" s="1"/>
  <c r="J1894" i="86"/>
  <c r="M1894" i="86" s="1"/>
  <c r="M1893" i="86"/>
  <c r="J1893" i="86"/>
  <c r="J1892" i="86"/>
  <c r="M1892" i="86" s="1"/>
  <c r="M1891" i="86"/>
  <c r="J1891" i="86"/>
  <c r="J1890" i="86"/>
  <c r="M1890" i="86" s="1"/>
  <c r="J1889" i="86"/>
  <c r="M1889" i="86" s="1"/>
  <c r="M1888" i="86"/>
  <c r="J1888" i="86"/>
  <c r="M1887" i="86"/>
  <c r="J1887" i="86"/>
  <c r="J1886" i="86"/>
  <c r="M1886" i="86" s="1"/>
  <c r="M1885" i="86"/>
  <c r="J1885" i="86"/>
  <c r="M1884" i="86"/>
  <c r="J1884" i="86"/>
  <c r="J1883" i="86"/>
  <c r="M1883" i="86" s="1"/>
  <c r="J1882" i="86"/>
  <c r="M1882" i="86" s="1"/>
  <c r="J1881" i="86"/>
  <c r="M1881" i="86" s="1"/>
  <c r="J1880" i="86"/>
  <c r="M1880" i="86" s="1"/>
  <c r="J1879" i="86"/>
  <c r="M1879" i="86" s="1"/>
  <c r="J1878" i="86"/>
  <c r="M1878" i="86" s="1"/>
  <c r="J1877" i="86"/>
  <c r="M1877" i="86" s="1"/>
  <c r="J1876" i="86"/>
  <c r="M1876" i="86" s="1"/>
  <c r="M1875" i="86"/>
  <c r="J1875" i="86"/>
  <c r="J1874" i="86"/>
  <c r="M1874" i="86" s="1"/>
  <c r="J1873" i="86"/>
  <c r="M1873" i="86" s="1"/>
  <c r="J1872" i="86"/>
  <c r="M1872" i="86" s="1"/>
  <c r="M1871" i="86"/>
  <c r="J1871" i="86"/>
  <c r="J1870" i="86"/>
  <c r="M1870" i="86" s="1"/>
  <c r="J1869" i="86"/>
  <c r="M1869" i="86" s="1"/>
  <c r="J1868" i="86"/>
  <c r="M1868" i="86" s="1"/>
  <c r="M1867" i="86"/>
  <c r="J1867" i="86"/>
  <c r="J1866" i="86"/>
  <c r="M1866" i="86" s="1"/>
  <c r="J1865" i="86"/>
  <c r="M1865" i="86" s="1"/>
  <c r="J1864" i="86"/>
  <c r="M1864" i="86" s="1"/>
  <c r="J1863" i="86"/>
  <c r="M1863" i="86" s="1"/>
  <c r="J1862" i="86"/>
  <c r="M1862" i="86" s="1"/>
  <c r="J1861" i="86"/>
  <c r="M1861" i="86" s="1"/>
  <c r="J1860" i="86"/>
  <c r="M1860" i="86" s="1"/>
  <c r="J1859" i="86"/>
  <c r="M1859" i="86" s="1"/>
  <c r="J1858" i="86"/>
  <c r="M1858" i="86" s="1"/>
  <c r="J1857" i="86"/>
  <c r="M1857" i="86" s="1"/>
  <c r="J1856" i="86"/>
  <c r="M1856" i="86" s="1"/>
  <c r="J1855" i="86"/>
  <c r="M1855" i="86" s="1"/>
  <c r="J1854" i="86"/>
  <c r="M1854" i="86" s="1"/>
  <c r="J1853" i="86"/>
  <c r="M1853" i="86" s="1"/>
  <c r="J1852" i="86"/>
  <c r="M1852" i="86" s="1"/>
  <c r="M1851" i="86"/>
  <c r="J1851" i="86"/>
  <c r="J1850" i="86"/>
  <c r="M1850" i="86" s="1"/>
  <c r="J1849" i="86"/>
  <c r="M1849" i="86" s="1"/>
  <c r="J1848" i="86"/>
  <c r="M1848" i="86" s="1"/>
  <c r="M1847" i="86"/>
  <c r="J1847" i="86"/>
  <c r="J1846" i="86"/>
  <c r="M1846" i="86" s="1"/>
  <c r="J1845" i="86"/>
  <c r="M1845" i="86" s="1"/>
  <c r="J1844" i="86"/>
  <c r="M1844" i="86" s="1"/>
  <c r="M1843" i="86"/>
  <c r="J1843" i="86"/>
  <c r="J1842" i="86"/>
  <c r="M1842" i="86" s="1"/>
  <c r="J1841" i="86"/>
  <c r="M1841" i="86" s="1"/>
  <c r="J1840" i="86"/>
  <c r="M1840" i="86" s="1"/>
  <c r="M1839" i="86"/>
  <c r="J1839" i="86"/>
  <c r="J1838" i="86"/>
  <c r="M1838" i="86" s="1"/>
  <c r="J1837" i="86"/>
  <c r="M1837" i="86" s="1"/>
  <c r="J1836" i="86"/>
  <c r="M1836" i="86" s="1"/>
  <c r="J1835" i="86"/>
  <c r="M1835" i="86" s="1"/>
  <c r="J1834" i="86"/>
  <c r="M1834" i="86" s="1"/>
  <c r="J1833" i="86"/>
  <c r="M1833" i="86" s="1"/>
  <c r="J1832" i="86"/>
  <c r="M1832" i="86" s="1"/>
  <c r="J1831" i="86"/>
  <c r="M1831" i="86" s="1"/>
  <c r="J1830" i="86"/>
  <c r="M1830" i="86" s="1"/>
  <c r="J1829" i="86"/>
  <c r="M1829" i="86" s="1"/>
  <c r="J1828" i="86"/>
  <c r="M1828" i="86" s="1"/>
  <c r="M1827" i="86"/>
  <c r="J1827" i="86"/>
  <c r="J1826" i="86"/>
  <c r="M1826" i="86" s="1"/>
  <c r="J1825" i="86"/>
  <c r="M1825" i="86" s="1"/>
  <c r="J1824" i="86"/>
  <c r="M1824" i="86" s="1"/>
  <c r="J1823" i="86"/>
  <c r="M1823" i="86" s="1"/>
  <c r="J1822" i="86"/>
  <c r="M1822" i="86" s="1"/>
  <c r="J1821" i="86"/>
  <c r="M1821" i="86" s="1"/>
  <c r="J1820" i="86"/>
  <c r="M1820" i="86" s="1"/>
  <c r="M1819" i="86"/>
  <c r="J1819" i="86"/>
  <c r="J1818" i="86"/>
  <c r="M1818" i="86" s="1"/>
  <c r="J1817" i="86"/>
  <c r="M1817" i="86" s="1"/>
  <c r="J1816" i="86"/>
  <c r="M1816" i="86" s="1"/>
  <c r="J1815" i="86"/>
  <c r="M1815" i="86" s="1"/>
  <c r="J1814" i="86"/>
  <c r="M1814" i="86" s="1"/>
  <c r="J1813" i="86"/>
  <c r="M1813" i="86" s="1"/>
  <c r="J1812" i="86"/>
  <c r="M1812" i="86" s="1"/>
  <c r="M1811" i="86"/>
  <c r="J1811" i="86"/>
  <c r="J1810" i="86"/>
  <c r="M1810" i="86" s="1"/>
  <c r="J1809" i="86"/>
  <c r="M1809" i="86" s="1"/>
  <c r="J1808" i="86"/>
  <c r="M1808" i="86" s="1"/>
  <c r="M1807" i="86"/>
  <c r="J1807" i="86"/>
  <c r="J1806" i="86"/>
  <c r="M1806" i="86" s="1"/>
  <c r="J1805" i="86"/>
  <c r="M1805" i="86" s="1"/>
  <c r="J1804" i="86"/>
  <c r="M1804" i="86" s="1"/>
  <c r="J1803" i="86"/>
  <c r="M1803" i="86" s="1"/>
  <c r="J1802" i="86"/>
  <c r="M1802" i="86" s="1"/>
  <c r="J1801" i="86"/>
  <c r="M1801" i="86" s="1"/>
  <c r="J1800" i="86"/>
  <c r="M1800" i="86" s="1"/>
  <c r="J1799" i="86"/>
  <c r="M1799" i="86" s="1"/>
  <c r="J1798" i="86"/>
  <c r="M1798" i="86" s="1"/>
  <c r="J1797" i="86"/>
  <c r="M1797" i="86" s="1"/>
  <c r="J1796" i="86"/>
  <c r="M1796" i="86" s="1"/>
  <c r="J1795" i="86"/>
  <c r="M1795" i="86" s="1"/>
  <c r="J1794" i="86"/>
  <c r="M1794" i="86" s="1"/>
  <c r="J1793" i="86"/>
  <c r="M1793" i="86" s="1"/>
  <c r="J1792" i="86"/>
  <c r="M1792" i="86" s="1"/>
  <c r="J1791" i="86"/>
  <c r="M1791" i="86" s="1"/>
  <c r="J1790" i="86"/>
  <c r="M1790" i="86" s="1"/>
  <c r="J1789" i="86"/>
  <c r="M1789" i="86" s="1"/>
  <c r="J1788" i="86"/>
  <c r="M1788" i="86" s="1"/>
  <c r="M1787" i="86"/>
  <c r="J1787" i="86"/>
  <c r="J1786" i="86"/>
  <c r="M1786" i="86" s="1"/>
  <c r="J1785" i="86"/>
  <c r="M1785" i="86" s="1"/>
  <c r="J1784" i="86"/>
  <c r="M1784" i="86" s="1"/>
  <c r="M1783" i="86"/>
  <c r="J1783" i="86"/>
  <c r="M1782" i="86"/>
  <c r="J1782" i="86"/>
  <c r="J1781" i="86"/>
  <c r="M1781" i="86" s="1"/>
  <c r="J1780" i="86"/>
  <c r="M1780" i="86" s="1"/>
  <c r="J1779" i="86"/>
  <c r="M1779" i="86" s="1"/>
  <c r="M1778" i="86"/>
  <c r="J1778" i="86"/>
  <c r="J1777" i="86"/>
  <c r="M1777" i="86" s="1"/>
  <c r="J1776" i="86"/>
  <c r="M1776" i="86" s="1"/>
  <c r="J1775" i="86"/>
  <c r="M1775" i="86" s="1"/>
  <c r="J1774" i="86"/>
  <c r="M1774" i="86" s="1"/>
  <c r="J1773" i="86"/>
  <c r="M1773" i="86" s="1"/>
  <c r="J1772" i="86"/>
  <c r="M1772" i="86" s="1"/>
  <c r="J1771" i="86"/>
  <c r="M1771" i="86" s="1"/>
  <c r="M1770" i="86"/>
  <c r="J1770" i="86"/>
  <c r="J1769" i="86"/>
  <c r="M1769" i="86" s="1"/>
  <c r="J1768" i="86"/>
  <c r="M1768" i="86" s="1"/>
  <c r="J1767" i="86"/>
  <c r="M1767" i="86" s="1"/>
  <c r="J1766" i="86"/>
  <c r="M1766" i="86" s="1"/>
  <c r="J1765" i="86"/>
  <c r="M1765" i="86" s="1"/>
  <c r="J1764" i="86"/>
  <c r="M1764" i="86" s="1"/>
  <c r="J1763" i="86"/>
  <c r="M1763" i="86" s="1"/>
  <c r="M1762" i="86"/>
  <c r="J1762" i="86"/>
  <c r="J1761" i="86"/>
  <c r="M1761" i="86" s="1"/>
  <c r="J1760" i="86"/>
  <c r="M1760" i="86" s="1"/>
  <c r="J1759" i="86"/>
  <c r="M1759" i="86" s="1"/>
  <c r="J1758" i="86"/>
  <c r="M1758" i="86" s="1"/>
  <c r="J1757" i="86"/>
  <c r="M1757" i="86" s="1"/>
  <c r="J1756" i="86"/>
  <c r="M1756" i="86" s="1"/>
  <c r="J1755" i="86"/>
  <c r="M1755" i="86" s="1"/>
  <c r="M1754" i="86"/>
  <c r="J1754" i="86"/>
  <c r="J1753" i="86"/>
  <c r="M1753" i="86" s="1"/>
  <c r="J1752" i="86"/>
  <c r="M1752" i="86" s="1"/>
  <c r="J1751" i="86"/>
  <c r="M1751" i="86" s="1"/>
  <c r="M1750" i="86"/>
  <c r="J1750" i="86"/>
  <c r="J1749" i="86"/>
  <c r="M1749" i="86" s="1"/>
  <c r="J1748" i="86"/>
  <c r="M1748" i="86" s="1"/>
  <c r="J1747" i="86"/>
  <c r="M1747" i="86" s="1"/>
  <c r="M1746" i="86"/>
  <c r="J1746" i="86"/>
  <c r="J1745" i="86"/>
  <c r="M1745" i="86" s="1"/>
  <c r="J1744" i="86"/>
  <c r="M1744" i="86" s="1"/>
  <c r="J1743" i="86"/>
  <c r="M1743" i="86" s="1"/>
  <c r="J1742" i="86"/>
  <c r="M1742" i="86" s="1"/>
  <c r="J1741" i="86"/>
  <c r="M1741" i="86" s="1"/>
  <c r="J1740" i="86"/>
  <c r="M1740" i="86" s="1"/>
  <c r="J1739" i="86"/>
  <c r="M1739" i="86" s="1"/>
  <c r="J1738" i="86"/>
  <c r="M1738" i="86" s="1"/>
  <c r="J1737" i="86"/>
  <c r="M1737" i="86" s="1"/>
  <c r="J1736" i="86"/>
  <c r="M1736" i="86" s="1"/>
  <c r="J1735" i="86"/>
  <c r="M1735" i="86" s="1"/>
  <c r="J1734" i="86"/>
  <c r="M1734" i="86" s="1"/>
  <c r="J1733" i="86"/>
  <c r="M1733" i="86" s="1"/>
  <c r="J1732" i="86"/>
  <c r="M1732" i="86" s="1"/>
  <c r="J1731" i="86"/>
  <c r="M1731" i="86" s="1"/>
  <c r="M1730" i="86"/>
  <c r="J1730" i="86"/>
  <c r="J1729" i="86"/>
  <c r="M1729" i="86" s="1"/>
  <c r="J1728" i="86"/>
  <c r="M1728" i="86" s="1"/>
  <c r="J1727" i="86"/>
  <c r="M1727" i="86" s="1"/>
  <c r="M1726" i="86"/>
  <c r="J1726" i="86"/>
  <c r="J1725" i="86"/>
  <c r="M1725" i="86" s="1"/>
  <c r="J1724" i="86"/>
  <c r="M1724" i="86" s="1"/>
  <c r="J1723" i="86"/>
  <c r="M1723" i="86" s="1"/>
  <c r="M1722" i="86"/>
  <c r="J1722" i="86"/>
  <c r="J1721" i="86"/>
  <c r="M1721" i="86" s="1"/>
  <c r="J1720" i="86"/>
  <c r="M1720" i="86" s="1"/>
  <c r="J1719" i="86"/>
  <c r="M1719" i="86" s="1"/>
  <c r="M1718" i="86"/>
  <c r="J1718" i="86"/>
  <c r="J1717" i="86"/>
  <c r="M1717" i="86" s="1"/>
  <c r="J1716" i="86"/>
  <c r="M1716" i="86" s="1"/>
  <c r="J1715" i="86"/>
  <c r="M1715" i="86" s="1"/>
  <c r="J1714" i="86"/>
  <c r="M1714" i="86" s="1"/>
  <c r="J1713" i="86"/>
  <c r="M1713" i="86" s="1"/>
  <c r="J1712" i="86"/>
  <c r="M1712" i="86" s="1"/>
  <c r="J1711" i="86"/>
  <c r="M1711" i="86" s="1"/>
  <c r="J1710" i="86"/>
  <c r="M1710" i="86" s="1"/>
  <c r="J1709" i="86"/>
  <c r="M1709" i="86" s="1"/>
  <c r="J1708" i="86"/>
  <c r="M1708" i="86" s="1"/>
  <c r="J1707" i="86"/>
  <c r="M1707" i="86" s="1"/>
  <c r="M1706" i="86"/>
  <c r="J1706" i="86"/>
  <c r="J1705" i="86"/>
  <c r="M1705" i="86" s="1"/>
  <c r="J1704" i="86"/>
  <c r="M1704" i="86" s="1"/>
  <c r="J1703" i="86"/>
  <c r="M1703" i="86" s="1"/>
  <c r="J1702" i="86"/>
  <c r="M1702" i="86" s="1"/>
  <c r="J1701" i="86"/>
  <c r="M1701" i="86" s="1"/>
  <c r="J1700" i="86"/>
  <c r="M1700" i="86" s="1"/>
  <c r="J1699" i="86"/>
  <c r="M1699" i="86" s="1"/>
  <c r="M1698" i="86"/>
  <c r="J1698" i="86"/>
  <c r="J1697" i="86"/>
  <c r="M1697" i="86" s="1"/>
  <c r="J1696" i="86"/>
  <c r="M1696" i="86" s="1"/>
  <c r="J1695" i="86"/>
  <c r="M1695" i="86" s="1"/>
  <c r="J1694" i="86"/>
  <c r="M1694" i="86" s="1"/>
  <c r="J1693" i="86"/>
  <c r="J1692" i="86"/>
  <c r="M1692" i="86" s="1"/>
  <c r="J1691" i="86"/>
  <c r="M1691" i="86" s="1"/>
  <c r="M1690" i="86"/>
  <c r="J1690" i="86"/>
  <c r="J1689" i="86"/>
  <c r="M1689" i="86" s="1"/>
  <c r="J1688" i="86"/>
  <c r="M1688" i="86" s="1"/>
  <c r="J1687" i="86"/>
  <c r="M1687" i="86" s="1"/>
  <c r="M1686" i="86"/>
  <c r="J1686" i="86"/>
  <c r="J1685" i="86"/>
  <c r="M1685" i="86" s="1"/>
  <c r="J1684" i="86"/>
  <c r="M1684" i="86" s="1"/>
  <c r="J1683" i="86"/>
  <c r="M1683" i="86" s="1"/>
  <c r="J1682" i="86"/>
  <c r="M1682" i="86" s="1"/>
  <c r="J1681" i="86"/>
  <c r="M1681" i="86" s="1"/>
  <c r="M1680" i="86"/>
  <c r="J1680" i="86"/>
  <c r="J1679" i="86"/>
  <c r="M1679" i="86" s="1"/>
  <c r="M1678" i="86"/>
  <c r="J1678" i="86"/>
  <c r="J1677" i="86"/>
  <c r="M1677" i="86" s="1"/>
  <c r="J1676" i="86"/>
  <c r="M1676" i="86" s="1"/>
  <c r="J1675" i="86"/>
  <c r="M1675" i="86" s="1"/>
  <c r="M1674" i="86"/>
  <c r="J1674" i="86"/>
  <c r="J1673" i="86"/>
  <c r="M1673" i="86" s="1"/>
  <c r="J1672" i="86"/>
  <c r="M1672" i="86" s="1"/>
  <c r="J1671" i="86"/>
  <c r="M1671" i="86" s="1"/>
  <c r="M1670" i="86"/>
  <c r="J1670" i="86"/>
  <c r="J1669" i="86"/>
  <c r="M1669" i="86" s="1"/>
  <c r="J1668" i="86"/>
  <c r="M1668" i="86" s="1"/>
  <c r="J1667" i="86"/>
  <c r="M1667" i="86" s="1"/>
  <c r="J1666" i="86"/>
  <c r="M1666" i="86" s="1"/>
  <c r="J1665" i="86"/>
  <c r="M1665" i="86" s="1"/>
  <c r="M1664" i="86"/>
  <c r="J1664" i="86"/>
  <c r="J1663" i="86"/>
  <c r="M1663" i="86" s="1"/>
  <c r="M1662" i="86"/>
  <c r="J1662" i="86"/>
  <c r="J1661" i="86"/>
  <c r="M1661" i="86" s="1"/>
  <c r="J1660" i="86"/>
  <c r="M1660" i="86" s="1"/>
  <c r="J1659" i="86"/>
  <c r="M1659" i="86" s="1"/>
  <c r="M1658" i="86"/>
  <c r="J1658" i="86"/>
  <c r="J1657" i="86"/>
  <c r="M1657" i="86" s="1"/>
  <c r="M1656" i="86"/>
  <c r="J1656" i="86"/>
  <c r="J1655" i="86"/>
  <c r="M1655" i="86" s="1"/>
  <c r="J1654" i="86"/>
  <c r="M1654" i="86" s="1"/>
  <c r="J1653" i="86"/>
  <c r="M1653" i="86" s="1"/>
  <c r="J1652" i="86"/>
  <c r="M1652" i="86" s="1"/>
  <c r="J1651" i="86"/>
  <c r="M1651" i="86" s="1"/>
  <c r="M1650" i="86"/>
  <c r="J1650" i="86"/>
  <c r="J1649" i="86"/>
  <c r="M1649" i="86" s="1"/>
  <c r="M1648" i="86"/>
  <c r="J1648" i="86"/>
  <c r="J1647" i="86"/>
  <c r="M1647" i="86" s="1"/>
  <c r="J1646" i="86"/>
  <c r="M1646" i="86" s="1"/>
  <c r="J1645" i="86"/>
  <c r="M1645" i="86" s="1"/>
  <c r="J1644" i="86"/>
  <c r="M1644" i="86" s="1"/>
  <c r="J1643" i="86"/>
  <c r="M1643" i="86" s="1"/>
  <c r="M1642" i="86"/>
  <c r="J1642" i="86"/>
  <c r="J1641" i="86"/>
  <c r="M1641" i="86" s="1"/>
  <c r="M1640" i="86"/>
  <c r="J1640" i="86"/>
  <c r="J1639" i="86"/>
  <c r="M1639" i="86" s="1"/>
  <c r="J1638" i="86"/>
  <c r="M1638" i="86" s="1"/>
  <c r="J1637" i="86"/>
  <c r="M1637" i="86" s="1"/>
  <c r="J1636" i="86"/>
  <c r="M1636" i="86" s="1"/>
  <c r="J1635" i="86"/>
  <c r="M1635" i="86" s="1"/>
  <c r="M1634" i="86"/>
  <c r="J1634" i="86"/>
  <c r="J1633" i="86"/>
  <c r="M1633" i="86" s="1"/>
  <c r="M1632" i="86"/>
  <c r="J1632" i="86"/>
  <c r="J1631" i="86"/>
  <c r="M1631" i="86" s="1"/>
  <c r="M1630" i="86"/>
  <c r="J1630" i="86"/>
  <c r="J1629" i="86"/>
  <c r="M1629" i="86" s="1"/>
  <c r="M1628" i="86"/>
  <c r="J1628" i="86"/>
  <c r="J1627" i="86"/>
  <c r="M1627" i="86" s="1"/>
  <c r="M1626" i="86"/>
  <c r="J1626" i="86"/>
  <c r="J1625" i="86"/>
  <c r="M1625" i="86" s="1"/>
  <c r="J1624" i="86"/>
  <c r="M1624" i="86" s="1"/>
  <c r="J1623" i="86"/>
  <c r="M1623" i="86" s="1"/>
  <c r="J1622" i="86"/>
  <c r="M1622" i="86" s="1"/>
  <c r="J1621" i="86"/>
  <c r="M1621" i="86" s="1"/>
  <c r="J1620" i="86"/>
  <c r="M1620" i="86" s="1"/>
  <c r="J1619" i="86"/>
  <c r="M1619" i="86" s="1"/>
  <c r="J1618" i="86"/>
  <c r="M1618" i="86" s="1"/>
  <c r="J1617" i="86"/>
  <c r="M1617" i="86" s="1"/>
  <c r="M1616" i="86"/>
  <c r="J1616" i="86"/>
  <c r="J1615" i="86"/>
  <c r="M1615" i="86" s="1"/>
  <c r="M1614" i="86"/>
  <c r="J1614" i="86"/>
  <c r="J1613" i="86"/>
  <c r="M1613" i="86" s="1"/>
  <c r="M1612" i="86"/>
  <c r="J1612" i="86"/>
  <c r="J1611" i="86"/>
  <c r="M1611" i="86" s="1"/>
  <c r="M1610" i="86"/>
  <c r="J1610" i="86"/>
  <c r="J1609" i="86"/>
  <c r="M1609" i="86" s="1"/>
  <c r="M1608" i="86"/>
  <c r="J1608" i="86"/>
  <c r="J1607" i="86"/>
  <c r="M1607" i="86" s="1"/>
  <c r="M1606" i="86"/>
  <c r="J1606" i="86"/>
  <c r="J1605" i="86"/>
  <c r="M1605" i="86" s="1"/>
  <c r="J1604" i="86"/>
  <c r="M1604" i="86" s="1"/>
  <c r="J1603" i="86"/>
  <c r="M1603" i="86" s="1"/>
  <c r="M1602" i="86"/>
  <c r="J1602" i="86"/>
  <c r="J1601" i="86"/>
  <c r="M1601" i="86" s="1"/>
  <c r="M1600" i="86"/>
  <c r="J1600" i="86"/>
  <c r="J1599" i="86"/>
  <c r="M1599" i="86" s="1"/>
  <c r="J1598" i="86"/>
  <c r="M1598" i="86" s="1"/>
  <c r="J1597" i="86"/>
  <c r="M1597" i="86" s="1"/>
  <c r="J1596" i="86"/>
  <c r="M1596" i="86" s="1"/>
  <c r="J1595" i="86"/>
  <c r="M1595" i="86" s="1"/>
  <c r="M1594" i="86"/>
  <c r="J1594" i="86"/>
  <c r="J1593" i="86"/>
  <c r="M1593" i="86" s="1"/>
  <c r="M1592" i="86"/>
  <c r="J1592" i="86"/>
  <c r="J1591" i="86"/>
  <c r="M1591" i="86" s="1"/>
  <c r="M1590" i="86"/>
  <c r="J1590" i="86"/>
  <c r="J1589" i="86"/>
  <c r="M1589" i="86" s="1"/>
  <c r="J1588" i="86"/>
  <c r="M1588" i="86" s="1"/>
  <c r="J1587" i="86"/>
  <c r="M1587" i="86" s="1"/>
  <c r="M1586" i="86"/>
  <c r="J1586" i="86"/>
  <c r="J1585" i="86"/>
  <c r="M1585" i="86" s="1"/>
  <c r="M1584" i="86"/>
  <c r="J1584" i="86"/>
  <c r="J1583" i="86"/>
  <c r="M1583" i="86" s="1"/>
  <c r="J1582" i="86"/>
  <c r="M1582" i="86" s="1"/>
  <c r="J1581" i="86"/>
  <c r="M1581" i="86" s="1"/>
  <c r="M1580" i="86"/>
  <c r="J1580" i="86"/>
  <c r="J1579" i="86"/>
  <c r="M1579" i="86" s="1"/>
  <c r="M1578" i="86"/>
  <c r="J1578" i="86"/>
  <c r="J1577" i="86"/>
  <c r="M1577" i="86" s="1"/>
  <c r="J1576" i="86"/>
  <c r="M1576" i="86" s="1"/>
  <c r="J1575" i="86"/>
  <c r="M1575" i="86" s="1"/>
  <c r="J1574" i="86"/>
  <c r="M1574" i="86" s="1"/>
  <c r="J1573" i="86"/>
  <c r="M1573" i="86" s="1"/>
  <c r="J1572" i="86"/>
  <c r="M1572" i="86" s="1"/>
  <c r="J1571" i="86"/>
  <c r="M1571" i="86" s="1"/>
  <c r="M1570" i="86"/>
  <c r="J1570" i="86"/>
  <c r="J1569" i="86"/>
  <c r="M1569" i="86" s="1"/>
  <c r="J1568" i="86"/>
  <c r="M1568" i="86" s="1"/>
  <c r="M1567" i="86"/>
  <c r="J1567" i="86"/>
  <c r="J1566" i="86"/>
  <c r="M1566" i="86" s="1"/>
  <c r="J1565" i="86"/>
  <c r="M1565" i="86" s="1"/>
  <c r="J1564" i="86"/>
  <c r="M1564" i="86" s="1"/>
  <c r="J1563" i="86"/>
  <c r="M1563" i="86" s="1"/>
  <c r="M1562" i="86"/>
  <c r="J1562" i="86"/>
  <c r="J1561" i="86"/>
  <c r="M1561" i="86" s="1"/>
  <c r="J1560" i="86"/>
  <c r="M1560" i="86" s="1"/>
  <c r="M1559" i="86"/>
  <c r="J1559" i="86"/>
  <c r="J1558" i="86"/>
  <c r="M1558" i="86" s="1"/>
  <c r="J1557" i="86"/>
  <c r="M1557" i="86" s="1"/>
  <c r="J1556" i="86"/>
  <c r="M1556" i="86" s="1"/>
  <c r="J1555" i="86"/>
  <c r="M1555" i="86" s="1"/>
  <c r="M1554" i="86"/>
  <c r="J1554" i="86"/>
  <c r="J1553" i="86"/>
  <c r="M1553" i="86" s="1"/>
  <c r="J1552" i="86"/>
  <c r="M1552" i="86" s="1"/>
  <c r="M1551" i="86"/>
  <c r="J1551" i="86"/>
  <c r="J1550" i="86"/>
  <c r="M1550" i="86" s="1"/>
  <c r="J1549" i="86"/>
  <c r="M1549" i="86" s="1"/>
  <c r="J1548" i="86"/>
  <c r="M1548" i="86" s="1"/>
  <c r="J1547" i="86"/>
  <c r="M1547" i="86" s="1"/>
  <c r="M1546" i="86"/>
  <c r="J1546" i="86"/>
  <c r="J1545" i="86"/>
  <c r="M1545" i="86" s="1"/>
  <c r="J1544" i="86"/>
  <c r="M1544" i="86" s="1"/>
  <c r="M1543" i="86"/>
  <c r="J1543" i="86"/>
  <c r="J1542" i="86"/>
  <c r="M1542" i="86" s="1"/>
  <c r="J1541" i="86"/>
  <c r="M1541" i="86" s="1"/>
  <c r="J1540" i="86"/>
  <c r="M1540" i="86" s="1"/>
  <c r="J1539" i="86"/>
  <c r="M1539" i="86" s="1"/>
  <c r="J1536" i="86"/>
  <c r="M1536" i="86" s="1"/>
  <c r="J1507" i="86"/>
  <c r="M1507" i="86" s="1"/>
  <c r="J1500" i="86"/>
  <c r="M1500" i="86" s="1"/>
  <c r="J1499" i="86"/>
  <c r="M1499" i="86" s="1"/>
  <c r="J1498" i="86"/>
  <c r="M1498" i="86" s="1"/>
  <c r="J1497" i="86"/>
  <c r="M1497" i="86" s="1"/>
  <c r="J1496" i="86"/>
  <c r="M1496" i="86" s="1"/>
  <c r="J1495" i="86"/>
  <c r="M1495" i="86" s="1"/>
  <c r="J1494" i="86"/>
  <c r="M1494" i="86" s="1"/>
  <c r="J1493" i="86"/>
  <c r="M1493" i="86" s="1"/>
  <c r="J1492" i="86"/>
  <c r="M1492" i="86" s="1"/>
  <c r="J1491" i="86"/>
  <c r="M1491" i="86" s="1"/>
  <c r="J1490" i="86"/>
  <c r="M1490" i="86" s="1"/>
  <c r="J1489" i="86"/>
  <c r="M1489" i="86" s="1"/>
  <c r="J1488" i="86"/>
  <c r="M1488" i="86" s="1"/>
  <c r="J1487" i="86"/>
  <c r="M1487" i="86" s="1"/>
  <c r="J1486" i="86"/>
  <c r="M1486" i="86" s="1"/>
  <c r="J1485" i="86"/>
  <c r="M1485" i="86" s="1"/>
  <c r="J1484" i="86"/>
  <c r="M1484" i="86" s="1"/>
  <c r="J1483" i="86"/>
  <c r="M1483" i="86" s="1"/>
  <c r="J1482" i="86"/>
  <c r="M1482" i="86" s="1"/>
  <c r="J1481" i="86"/>
  <c r="M1481" i="86" s="1"/>
  <c r="J1480" i="86"/>
  <c r="M1480" i="86" s="1"/>
  <c r="J1479" i="86"/>
  <c r="M1479" i="86" s="1"/>
  <c r="J1478" i="86"/>
  <c r="M1478" i="86" s="1"/>
  <c r="J1477" i="86"/>
  <c r="M1477" i="86" s="1"/>
  <c r="J1476" i="86"/>
  <c r="M1476" i="86" s="1"/>
  <c r="J1475" i="86"/>
  <c r="M1475" i="86" s="1"/>
  <c r="J1474" i="86"/>
  <c r="M1474" i="86" s="1"/>
  <c r="J1473" i="86"/>
  <c r="M1473" i="86" s="1"/>
  <c r="J1472" i="86"/>
  <c r="M1472" i="86" s="1"/>
  <c r="J1471" i="86"/>
  <c r="M1471" i="86" s="1"/>
  <c r="J1470" i="86"/>
  <c r="M1470" i="86" s="1"/>
  <c r="J1469" i="86"/>
  <c r="M1469" i="86" s="1"/>
  <c r="J1468" i="86"/>
  <c r="M1468" i="86" s="1"/>
  <c r="J1467" i="86"/>
  <c r="M1467" i="86" s="1"/>
  <c r="J1466" i="86"/>
  <c r="M1466" i="86" s="1"/>
  <c r="J1465" i="86"/>
  <c r="M1465" i="86" s="1"/>
  <c r="J1464" i="86"/>
  <c r="M1464" i="86" s="1"/>
  <c r="J1463" i="86"/>
  <c r="M1463" i="86" s="1"/>
  <c r="J1462" i="86"/>
  <c r="M1462" i="86" s="1"/>
  <c r="J1461" i="86"/>
  <c r="M1461" i="86" s="1"/>
  <c r="J1460" i="86"/>
  <c r="M1460" i="86" s="1"/>
  <c r="J1459" i="86"/>
  <c r="M1459" i="86" s="1"/>
  <c r="J1458" i="86"/>
  <c r="M1458" i="86" s="1"/>
  <c r="J1457" i="86"/>
  <c r="M1457" i="86" s="1"/>
  <c r="J1456" i="86"/>
  <c r="M1456" i="86" s="1"/>
  <c r="J1455" i="86"/>
  <c r="M1455" i="86" s="1"/>
  <c r="J1454" i="86"/>
  <c r="M1454" i="86" s="1"/>
  <c r="J1453" i="86"/>
  <c r="M1453" i="86" s="1"/>
  <c r="J1452" i="86"/>
  <c r="M1452" i="86" s="1"/>
  <c r="J1451" i="86"/>
  <c r="M1451" i="86" s="1"/>
  <c r="J1450" i="86"/>
  <c r="M1450" i="86" s="1"/>
  <c r="J1449" i="86"/>
  <c r="M1449" i="86" s="1"/>
  <c r="J1448" i="86"/>
  <c r="M1448" i="86" s="1"/>
  <c r="J1447" i="86"/>
  <c r="M1447" i="86" s="1"/>
  <c r="J1446" i="86"/>
  <c r="M1446" i="86" s="1"/>
  <c r="J1445" i="86"/>
  <c r="M1445" i="86" s="1"/>
  <c r="J1444" i="86"/>
  <c r="M1444" i="86" s="1"/>
  <c r="J1443" i="86"/>
  <c r="M1443" i="86" s="1"/>
  <c r="J1442" i="86"/>
  <c r="M1442" i="86" s="1"/>
  <c r="J1441" i="86"/>
  <c r="M1441" i="86" s="1"/>
  <c r="J1440" i="86"/>
  <c r="M1440" i="86" s="1"/>
  <c r="J1439" i="86"/>
  <c r="M1439" i="86" s="1"/>
  <c r="J1438" i="86"/>
  <c r="M1438" i="86" s="1"/>
  <c r="J1437" i="86"/>
  <c r="M1437" i="86" s="1"/>
  <c r="J1436" i="86"/>
  <c r="M1436" i="86" s="1"/>
  <c r="J1435" i="86"/>
  <c r="M1435" i="86" s="1"/>
  <c r="J1434" i="86"/>
  <c r="M1434" i="86" s="1"/>
  <c r="J1433" i="86"/>
  <c r="M1433" i="86" s="1"/>
  <c r="J1432" i="86"/>
  <c r="M1432" i="86" s="1"/>
  <c r="J1431" i="86"/>
  <c r="M1431" i="86" s="1"/>
  <c r="J1430" i="86"/>
  <c r="M1430" i="86" s="1"/>
  <c r="J1429" i="86"/>
  <c r="M1429" i="86" s="1"/>
  <c r="J1428" i="86"/>
  <c r="M1428" i="86" s="1"/>
  <c r="J1427" i="86"/>
  <c r="M1427" i="86" s="1"/>
  <c r="J1426" i="86"/>
  <c r="M1426" i="86" s="1"/>
  <c r="J1425" i="86"/>
  <c r="M1425" i="86" s="1"/>
  <c r="J1424" i="86"/>
  <c r="M1424" i="86" s="1"/>
  <c r="J1423" i="86"/>
  <c r="M1423" i="86" s="1"/>
  <c r="J1422" i="86"/>
  <c r="M1422" i="86" s="1"/>
  <c r="J1421" i="86"/>
  <c r="M1421" i="86" s="1"/>
  <c r="J1420" i="86"/>
  <c r="M1420" i="86" s="1"/>
  <c r="J1419" i="86"/>
  <c r="M1419" i="86" s="1"/>
  <c r="J1418" i="86"/>
  <c r="M1418" i="86" s="1"/>
  <c r="J1417" i="86"/>
  <c r="M1417" i="86" s="1"/>
  <c r="J1416" i="86"/>
  <c r="M1416" i="86" s="1"/>
  <c r="J1415" i="86"/>
  <c r="M1415" i="86" s="1"/>
  <c r="J1414" i="86"/>
  <c r="M1414" i="86" s="1"/>
  <c r="J1413" i="86"/>
  <c r="M1413" i="86" s="1"/>
  <c r="J1412" i="86"/>
  <c r="M1412" i="86" s="1"/>
  <c r="J1411" i="86"/>
  <c r="M1411" i="86" s="1"/>
  <c r="J1410" i="86"/>
  <c r="M1410" i="86" s="1"/>
  <c r="J1409" i="86"/>
  <c r="M1409" i="86" s="1"/>
  <c r="J1408" i="86"/>
  <c r="M1408" i="86" s="1"/>
  <c r="J1407" i="86"/>
  <c r="M1407" i="86" s="1"/>
  <c r="J1406" i="86"/>
  <c r="M1406" i="86" s="1"/>
  <c r="J1405" i="86"/>
  <c r="M1405" i="86" s="1"/>
  <c r="J1404" i="86"/>
  <c r="M1404" i="86" s="1"/>
  <c r="J1403" i="86"/>
  <c r="M1403" i="86" s="1"/>
  <c r="J1402" i="86"/>
  <c r="M1402" i="86" s="1"/>
  <c r="J1401" i="86"/>
  <c r="M1401" i="86" s="1"/>
  <c r="J1400" i="86"/>
  <c r="M1400" i="86" s="1"/>
  <c r="J1399" i="86"/>
  <c r="M1399" i="86" s="1"/>
  <c r="J1398" i="86"/>
  <c r="M1398" i="86" s="1"/>
  <c r="J1397" i="86"/>
  <c r="M1397" i="86" s="1"/>
  <c r="J1396" i="86"/>
  <c r="M1396" i="86" s="1"/>
  <c r="J1395" i="86"/>
  <c r="M1395" i="86" s="1"/>
  <c r="J1394" i="86"/>
  <c r="M1394" i="86" s="1"/>
  <c r="J1393" i="86"/>
  <c r="M1393" i="86" s="1"/>
  <c r="J1392" i="86"/>
  <c r="M1392" i="86" s="1"/>
  <c r="J1391" i="86"/>
  <c r="M1391" i="86" s="1"/>
  <c r="J1390" i="86"/>
  <c r="M1390" i="86" s="1"/>
  <c r="J1389" i="86"/>
  <c r="M1389" i="86" s="1"/>
  <c r="J1388" i="86"/>
  <c r="M1388" i="86" s="1"/>
  <c r="J1387" i="86"/>
  <c r="M1387" i="86" s="1"/>
  <c r="J1386" i="86"/>
  <c r="M1386" i="86" s="1"/>
  <c r="J1385" i="86"/>
  <c r="M1385" i="86" s="1"/>
  <c r="J1384" i="86"/>
  <c r="M1384" i="86" s="1"/>
  <c r="J1383" i="86"/>
  <c r="M1383" i="86" s="1"/>
  <c r="J1382" i="86"/>
  <c r="M1382" i="86" s="1"/>
  <c r="J1381" i="86"/>
  <c r="M1381" i="86" s="1"/>
  <c r="J1380" i="86"/>
  <c r="M1380" i="86" s="1"/>
  <c r="J1379" i="86"/>
  <c r="M1379" i="86" s="1"/>
  <c r="J1378" i="86"/>
  <c r="M1378" i="86" s="1"/>
  <c r="J1377" i="86"/>
  <c r="M1377" i="86" s="1"/>
  <c r="J1376" i="86"/>
  <c r="M1376" i="86" s="1"/>
  <c r="J1375" i="86"/>
  <c r="M1375" i="86" s="1"/>
  <c r="J1374" i="86"/>
  <c r="M1374" i="86" s="1"/>
  <c r="J1373" i="86"/>
  <c r="M1373" i="86" s="1"/>
  <c r="J1372" i="86"/>
  <c r="M1372" i="86" s="1"/>
  <c r="J1371" i="86"/>
  <c r="M1371" i="86" s="1"/>
  <c r="J1370" i="86"/>
  <c r="M1370" i="86" s="1"/>
  <c r="J1369" i="86"/>
  <c r="M1369" i="86" s="1"/>
  <c r="J1368" i="86"/>
  <c r="M1368" i="86" s="1"/>
  <c r="J1367" i="86"/>
  <c r="M1367" i="86" s="1"/>
  <c r="J1366" i="86"/>
  <c r="M1366" i="86" s="1"/>
  <c r="J1365" i="86"/>
  <c r="M1365" i="86" s="1"/>
  <c r="J1364" i="86"/>
  <c r="M1364" i="86" s="1"/>
  <c r="J1363" i="86"/>
  <c r="M1363" i="86" s="1"/>
  <c r="J1362" i="86"/>
  <c r="M1362" i="86" s="1"/>
  <c r="J1361" i="86"/>
  <c r="M1361" i="86" s="1"/>
  <c r="J1360" i="86"/>
  <c r="M1360" i="86" s="1"/>
  <c r="J1359" i="86"/>
  <c r="M1359" i="86" s="1"/>
  <c r="J1358" i="86"/>
  <c r="M1358" i="86" s="1"/>
  <c r="J1357" i="86"/>
  <c r="M1357" i="86" s="1"/>
  <c r="J1356" i="86"/>
  <c r="M1356" i="86" s="1"/>
  <c r="J1355" i="86"/>
  <c r="M1355" i="86" s="1"/>
  <c r="J1354" i="86"/>
  <c r="M1354" i="86" s="1"/>
  <c r="J1353" i="86"/>
  <c r="M1353" i="86" s="1"/>
  <c r="J1352" i="86"/>
  <c r="M1352" i="86" s="1"/>
  <c r="J1351" i="86"/>
  <c r="M1351" i="86" s="1"/>
  <c r="J1350" i="86"/>
  <c r="M1350" i="86" s="1"/>
  <c r="J1349" i="86"/>
  <c r="M1349" i="86" s="1"/>
  <c r="M1348" i="86"/>
  <c r="J1348" i="86"/>
  <c r="J1347" i="86"/>
  <c r="M1347" i="86" s="1"/>
  <c r="J1346" i="86"/>
  <c r="M1346" i="86" s="1"/>
  <c r="J1345" i="86"/>
  <c r="M1345" i="86" s="1"/>
  <c r="M1344" i="86"/>
  <c r="J1344" i="86"/>
  <c r="J1343" i="86"/>
  <c r="M1343" i="86" s="1"/>
  <c r="J1342" i="86"/>
  <c r="M1342" i="86" s="1"/>
  <c r="J1341" i="86"/>
  <c r="M1341" i="86" s="1"/>
  <c r="M1340" i="86"/>
  <c r="J1340" i="86"/>
  <c r="J1339" i="86"/>
  <c r="M1339" i="86" s="1"/>
  <c r="J1338" i="86"/>
  <c r="M1338" i="86" s="1"/>
  <c r="J1337" i="86"/>
  <c r="M1337" i="86" s="1"/>
  <c r="J1336" i="86"/>
  <c r="M1336" i="86" s="1"/>
  <c r="J1335" i="86"/>
  <c r="M1335" i="86" s="1"/>
  <c r="J1334" i="86"/>
  <c r="M1334" i="86" s="1"/>
  <c r="J1333" i="86"/>
  <c r="M1333" i="86" s="1"/>
  <c r="J1332" i="86"/>
  <c r="M1332" i="86" s="1"/>
  <c r="J1331" i="86"/>
  <c r="M1331" i="86" s="1"/>
  <c r="J1330" i="86"/>
  <c r="M1330" i="86" s="1"/>
  <c r="J1329" i="86"/>
  <c r="M1329" i="86" s="1"/>
  <c r="M1328" i="86"/>
  <c r="J1328" i="86"/>
  <c r="J1327" i="86"/>
  <c r="M1327" i="86" s="1"/>
  <c r="J1326" i="86"/>
  <c r="M1326" i="86" s="1"/>
  <c r="J1325" i="86"/>
  <c r="M1325" i="86" s="1"/>
  <c r="M1324" i="86"/>
  <c r="J1324" i="86"/>
  <c r="J1323" i="86"/>
  <c r="M1323" i="86" s="1"/>
  <c r="J1322" i="86"/>
  <c r="M1322" i="86" s="1"/>
  <c r="J1321" i="86"/>
  <c r="M1321" i="86" s="1"/>
  <c r="M1320" i="86"/>
  <c r="J1320" i="86"/>
  <c r="J1319" i="86"/>
  <c r="M1319" i="86" s="1"/>
  <c r="J1318" i="86"/>
  <c r="M1318" i="86" s="1"/>
  <c r="J1317" i="86"/>
  <c r="M1317" i="86" s="1"/>
  <c r="J1316" i="86"/>
  <c r="M1316" i="86" s="1"/>
  <c r="J1315" i="86"/>
  <c r="M1315" i="86" s="1"/>
  <c r="J1314" i="86"/>
  <c r="M1314" i="86" s="1"/>
  <c r="J1313" i="86"/>
  <c r="M1313" i="86" s="1"/>
  <c r="J1312" i="86"/>
  <c r="M1312" i="86" s="1"/>
  <c r="J1311" i="86"/>
  <c r="M1311" i="86" s="1"/>
  <c r="J1310" i="86"/>
  <c r="M1310" i="86" s="1"/>
  <c r="J1309" i="86"/>
  <c r="M1309" i="86" s="1"/>
  <c r="M1308" i="86"/>
  <c r="J1308" i="86"/>
  <c r="J1307" i="86"/>
  <c r="M1307" i="86" s="1"/>
  <c r="J1306" i="86"/>
  <c r="M1306" i="86" s="1"/>
  <c r="J1305" i="86"/>
  <c r="M1305" i="86" s="1"/>
  <c r="M1304" i="86"/>
  <c r="J1304" i="86"/>
  <c r="J1303" i="86"/>
  <c r="M1303" i="86" s="1"/>
  <c r="J1302" i="86"/>
  <c r="M1302" i="86" s="1"/>
  <c r="J1301" i="86"/>
  <c r="M1301" i="86" s="1"/>
  <c r="J1300" i="86"/>
  <c r="M1300" i="86" s="1"/>
  <c r="J1299" i="86"/>
  <c r="M1299" i="86" s="1"/>
  <c r="J1298" i="86"/>
  <c r="M1298" i="86" s="1"/>
  <c r="J1297" i="86"/>
  <c r="M1297" i="86" s="1"/>
  <c r="J1296" i="86"/>
  <c r="M1296" i="86" s="1"/>
  <c r="J1295" i="86"/>
  <c r="M1295" i="86" s="1"/>
  <c r="J1294" i="86"/>
  <c r="M1294" i="86" s="1"/>
  <c r="J1293" i="86"/>
  <c r="M1293" i="86" s="1"/>
  <c r="J1292" i="86"/>
  <c r="M1292" i="86" s="1"/>
  <c r="J1291" i="86"/>
  <c r="M1291" i="86" s="1"/>
  <c r="J1290" i="86"/>
  <c r="M1290" i="86" s="1"/>
  <c r="J1289" i="86"/>
  <c r="M1289" i="86" s="1"/>
  <c r="M1288" i="86"/>
  <c r="J1288" i="86"/>
  <c r="J1287" i="86"/>
  <c r="M1287" i="86" s="1"/>
  <c r="J1286" i="86"/>
  <c r="M1286" i="86" s="1"/>
  <c r="J1285" i="86"/>
  <c r="M1285" i="86" s="1"/>
  <c r="M1284" i="86"/>
  <c r="J1284" i="86"/>
  <c r="J1283" i="86"/>
  <c r="M1283" i="86" s="1"/>
  <c r="J1282" i="86"/>
  <c r="M1282" i="86" s="1"/>
  <c r="J1281" i="86"/>
  <c r="M1281" i="86" s="1"/>
  <c r="J1280" i="86"/>
  <c r="M1280" i="86" s="1"/>
  <c r="J1279" i="86"/>
  <c r="M1279" i="86" s="1"/>
  <c r="J1278" i="86"/>
  <c r="M1278" i="86" s="1"/>
  <c r="J1277" i="86"/>
  <c r="M1277" i="86" s="1"/>
  <c r="M1276" i="86"/>
  <c r="J1276" i="86"/>
  <c r="J1275" i="86"/>
  <c r="M1275" i="86" s="1"/>
  <c r="J1274" i="86"/>
  <c r="M1274" i="86" s="1"/>
  <c r="J1273" i="86"/>
  <c r="M1273" i="86" s="1"/>
  <c r="M1272" i="86"/>
  <c r="J1272" i="86"/>
  <c r="J1271" i="86"/>
  <c r="M1271" i="86" s="1"/>
  <c r="J1270" i="86"/>
  <c r="M1270" i="86" s="1"/>
  <c r="J1269" i="86"/>
  <c r="M1269" i="86" s="1"/>
  <c r="J1268" i="86"/>
  <c r="M1268" i="86" s="1"/>
  <c r="J1267" i="86"/>
  <c r="M1267" i="86" s="1"/>
  <c r="J1266" i="86"/>
  <c r="M1266" i="86" s="1"/>
  <c r="J1265" i="86"/>
  <c r="M1265" i="86" s="1"/>
  <c r="M1264" i="86"/>
  <c r="J1264" i="86"/>
  <c r="J1263" i="86"/>
  <c r="M1263" i="86" s="1"/>
  <c r="J1262" i="86"/>
  <c r="M1262" i="86" s="1"/>
  <c r="J1261" i="86"/>
  <c r="M1261" i="86" s="1"/>
  <c r="J1260" i="86"/>
  <c r="M1260" i="86" s="1"/>
  <c r="J1259" i="86"/>
  <c r="M1259" i="86" s="1"/>
  <c r="J1258" i="86"/>
  <c r="M1258" i="86" s="1"/>
  <c r="J1257" i="86"/>
  <c r="M1257" i="86" s="1"/>
  <c r="M1256" i="86"/>
  <c r="J1256" i="86"/>
  <c r="J1255" i="86"/>
  <c r="M1255" i="86" s="1"/>
  <c r="J1254" i="86"/>
  <c r="M1254" i="86" s="1"/>
  <c r="J1253" i="86"/>
  <c r="M1253" i="86" s="1"/>
  <c r="M1252" i="86"/>
  <c r="J1252" i="86"/>
  <c r="J1251" i="86"/>
  <c r="M1251" i="86" s="1"/>
  <c r="J1250" i="86"/>
  <c r="M1250" i="86" s="1"/>
  <c r="J1249" i="86"/>
  <c r="M1249" i="86" s="1"/>
  <c r="J1248" i="86"/>
  <c r="M1248" i="86" s="1"/>
  <c r="J1247" i="86"/>
  <c r="M1247" i="86" s="1"/>
  <c r="J1246" i="86"/>
  <c r="M1246" i="86" s="1"/>
  <c r="J1245" i="86"/>
  <c r="M1245" i="86" s="1"/>
  <c r="M1244" i="86"/>
  <c r="J1244" i="86"/>
  <c r="J1243" i="86"/>
  <c r="M1243" i="86" s="1"/>
  <c r="J1242" i="86"/>
  <c r="M1242" i="86" s="1"/>
  <c r="J1241" i="86"/>
  <c r="M1241" i="86" s="1"/>
  <c r="J1240" i="86"/>
  <c r="M1240" i="86" s="1"/>
  <c r="J1239" i="86"/>
  <c r="M1239" i="86" s="1"/>
  <c r="J1238" i="86"/>
  <c r="M1238" i="86" s="1"/>
  <c r="J1237" i="86"/>
  <c r="M1237" i="86" s="1"/>
  <c r="J1236" i="86"/>
  <c r="M1236" i="86" s="1"/>
  <c r="J1235" i="86"/>
  <c r="M1235" i="86" s="1"/>
  <c r="J1234" i="86"/>
  <c r="M1234" i="86" s="1"/>
  <c r="J1233" i="86"/>
  <c r="M1233" i="86" s="1"/>
  <c r="M1232" i="86"/>
  <c r="J1232" i="86"/>
  <c r="J1231" i="86"/>
  <c r="M1231" i="86" s="1"/>
  <c r="J1230" i="86"/>
  <c r="M1230" i="86" s="1"/>
  <c r="J1229" i="86"/>
  <c r="M1229" i="86" s="1"/>
  <c r="J1228" i="86"/>
  <c r="M1228" i="86" s="1"/>
  <c r="J1227" i="86"/>
  <c r="M1227" i="86" s="1"/>
  <c r="J1226" i="86"/>
  <c r="M1226" i="86" s="1"/>
  <c r="J1225" i="86"/>
  <c r="M1225" i="86" s="1"/>
  <c r="M1224" i="86"/>
  <c r="J1224" i="86"/>
  <c r="J1223" i="86"/>
  <c r="M1223" i="86" s="1"/>
  <c r="J1222" i="86"/>
  <c r="M1222" i="86" s="1"/>
  <c r="J1221" i="86"/>
  <c r="M1221" i="86" s="1"/>
  <c r="J1220" i="86"/>
  <c r="M1220" i="86" s="1"/>
  <c r="J1219" i="86"/>
  <c r="M1219" i="86" s="1"/>
  <c r="J1218" i="86"/>
  <c r="M1218" i="86" s="1"/>
  <c r="J1217" i="86"/>
  <c r="M1216" i="86"/>
  <c r="M1215" i="86"/>
  <c r="M1214" i="86"/>
  <c r="M1213" i="86"/>
  <c r="M1212" i="86"/>
  <c r="M1211" i="86"/>
  <c r="M1210" i="86"/>
  <c r="M1209" i="86"/>
  <c r="M1208" i="86"/>
  <c r="M1207" i="86"/>
  <c r="M1206" i="86"/>
  <c r="M1205" i="86"/>
  <c r="O1204" i="86"/>
  <c r="N1204" i="86"/>
  <c r="O1203" i="86"/>
  <c r="N1203" i="86"/>
  <c r="O1202" i="86"/>
  <c r="N1202" i="86"/>
  <c r="O1201" i="86"/>
  <c r="N1201" i="86"/>
  <c r="O1200" i="86"/>
  <c r="N1200" i="86"/>
  <c r="O1199" i="86"/>
  <c r="N1199" i="86"/>
  <c r="O1198" i="86"/>
  <c r="N1198" i="86"/>
  <c r="O1197" i="86"/>
  <c r="N1197" i="86"/>
  <c r="O1196" i="86"/>
  <c r="N1196" i="86"/>
  <c r="O1195" i="86"/>
  <c r="N1195" i="86"/>
  <c r="O1194" i="86"/>
  <c r="N1194" i="86"/>
  <c r="O1193" i="86"/>
  <c r="N1193" i="86"/>
  <c r="M1192" i="86"/>
  <c r="M1191" i="86"/>
  <c r="M1190" i="86"/>
  <c r="M1189" i="86"/>
  <c r="M1188" i="86"/>
  <c r="M1187" i="86"/>
  <c r="M1186" i="86"/>
  <c r="M1185" i="86"/>
  <c r="M1184" i="86"/>
  <c r="M1183" i="86"/>
  <c r="M1182" i="86"/>
  <c r="M1181" i="86"/>
  <c r="M1180" i="86"/>
  <c r="M1179" i="86"/>
  <c r="M1178" i="86"/>
  <c r="M1177" i="86"/>
  <c r="M1176" i="86"/>
  <c r="M1175" i="86"/>
  <c r="M1174" i="86"/>
  <c r="M1173" i="86"/>
  <c r="M1172" i="86"/>
  <c r="M1171" i="86"/>
  <c r="M1170" i="86"/>
  <c r="M1169" i="86"/>
  <c r="M1168" i="86"/>
  <c r="O1167" i="86"/>
  <c r="N1167" i="86"/>
  <c r="O1166" i="86"/>
  <c r="N1166" i="86"/>
  <c r="O1165" i="86"/>
  <c r="N1165" i="86"/>
  <c r="O1164" i="86"/>
  <c r="N1164" i="86"/>
  <c r="O1163" i="86"/>
  <c r="N1163" i="86"/>
  <c r="O1162" i="86"/>
  <c r="N1162" i="86"/>
  <c r="O1161" i="86"/>
  <c r="N1161" i="86"/>
  <c r="O1160" i="86"/>
  <c r="N1160" i="86"/>
  <c r="O1159" i="86"/>
  <c r="N1159" i="86"/>
  <c r="O1158" i="86"/>
  <c r="N1158" i="86"/>
  <c r="O1157" i="86"/>
  <c r="N1157" i="86"/>
  <c r="O1156" i="86"/>
  <c r="N1156" i="86"/>
  <c r="O1155" i="86"/>
  <c r="N1155" i="86"/>
  <c r="M1154" i="86"/>
  <c r="M1153" i="86"/>
  <c r="M1152" i="86"/>
  <c r="M1151" i="86"/>
  <c r="M1150" i="86"/>
  <c r="M1149" i="86"/>
  <c r="M1148" i="86"/>
  <c r="M1147" i="86"/>
  <c r="M1146" i="86"/>
  <c r="M1145" i="86"/>
  <c r="M1144" i="86"/>
  <c r="M1143" i="86"/>
  <c r="M1142" i="86"/>
  <c r="J1141" i="86"/>
  <c r="M1141" i="86" s="1"/>
  <c r="J1140" i="86"/>
  <c r="M1140" i="86" s="1"/>
  <c r="M1139" i="86"/>
  <c r="J1139" i="86"/>
  <c r="J1138" i="86"/>
  <c r="M1138" i="86" s="1"/>
  <c r="J1137" i="86"/>
  <c r="M1137" i="86" s="1"/>
  <c r="J1136" i="86"/>
  <c r="M1136" i="86" s="1"/>
  <c r="J1135" i="86"/>
  <c r="M1135" i="86" s="1"/>
  <c r="J1134" i="86"/>
  <c r="M1134" i="86" s="1"/>
  <c r="J1133" i="86"/>
  <c r="M1133" i="86" s="1"/>
  <c r="J1132" i="86"/>
  <c r="M1132" i="86" s="1"/>
  <c r="M1131" i="86"/>
  <c r="J1131" i="86"/>
  <c r="J1130" i="86"/>
  <c r="M1130" i="86" s="1"/>
  <c r="J1129" i="86"/>
  <c r="M1129" i="86" s="1"/>
  <c r="J1128" i="86"/>
  <c r="M1128" i="86" s="1"/>
  <c r="M1127" i="86"/>
  <c r="J1127" i="86"/>
  <c r="J1126" i="86"/>
  <c r="M1126" i="86" s="1"/>
  <c r="J1125" i="86"/>
  <c r="M1125" i="86" s="1"/>
  <c r="J1124" i="86"/>
  <c r="M1124" i="86" s="1"/>
  <c r="J1123" i="86"/>
  <c r="M1123" i="86" s="1"/>
  <c r="J1122" i="86"/>
  <c r="M1122" i="86" s="1"/>
  <c r="J1121" i="86"/>
  <c r="M1121" i="86" s="1"/>
  <c r="J1120" i="86"/>
  <c r="M1120" i="86" s="1"/>
  <c r="J1119" i="86"/>
  <c r="M1119" i="86" s="1"/>
  <c r="J1118" i="86"/>
  <c r="M1118" i="86" s="1"/>
  <c r="J1117" i="86"/>
  <c r="M1117" i="86" s="1"/>
  <c r="N1116" i="86"/>
  <c r="L1116" i="86"/>
  <c r="O1116" i="86" s="1"/>
  <c r="K1116" i="86"/>
  <c r="L1115" i="86"/>
  <c r="O1115" i="86" s="1"/>
  <c r="K1115" i="86"/>
  <c r="N1115" i="86" s="1"/>
  <c r="N1114" i="86"/>
  <c r="L1114" i="86"/>
  <c r="O1114" i="86" s="1"/>
  <c r="K1114" i="86"/>
  <c r="L1113" i="86"/>
  <c r="O1113" i="86" s="1"/>
  <c r="K1113" i="86"/>
  <c r="N1113" i="86" s="1"/>
  <c r="L1112" i="86"/>
  <c r="O1112" i="86" s="1"/>
  <c r="K1112" i="86"/>
  <c r="N1112" i="86" s="1"/>
  <c r="N1111" i="86"/>
  <c r="L1111" i="86"/>
  <c r="O1111" i="86" s="1"/>
  <c r="K1111" i="86"/>
  <c r="L1110" i="86"/>
  <c r="O1110" i="86" s="1"/>
  <c r="K1110" i="86"/>
  <c r="N1110" i="86" s="1"/>
  <c r="L1109" i="86"/>
  <c r="O1109" i="86" s="1"/>
  <c r="K1109" i="86"/>
  <c r="N1109" i="86" s="1"/>
  <c r="O1108" i="86"/>
  <c r="N1108" i="86"/>
  <c r="L1108" i="86"/>
  <c r="K1108" i="86"/>
  <c r="L1107" i="86"/>
  <c r="O1107" i="86" s="1"/>
  <c r="K1107" i="86"/>
  <c r="N1107" i="86" s="1"/>
  <c r="L1106" i="86"/>
  <c r="O1106" i="86" s="1"/>
  <c r="K1106" i="86"/>
  <c r="N1106" i="86" s="1"/>
  <c r="L1105" i="86"/>
  <c r="O1105" i="86" s="1"/>
  <c r="K1105" i="86"/>
  <c r="N1105" i="86" s="1"/>
  <c r="L1104" i="86"/>
  <c r="O1104" i="86" s="1"/>
  <c r="K1104" i="86"/>
  <c r="N1104" i="86" s="1"/>
  <c r="L1103" i="86"/>
  <c r="O1103" i="86" s="1"/>
  <c r="K1103" i="86"/>
  <c r="N1103" i="86" s="1"/>
  <c r="L1102" i="86"/>
  <c r="O1102" i="86" s="1"/>
  <c r="K1102" i="86"/>
  <c r="N1102" i="86" s="1"/>
  <c r="L1101" i="86"/>
  <c r="O1101" i="86" s="1"/>
  <c r="K1101" i="86"/>
  <c r="N1101" i="86" s="1"/>
  <c r="O1100" i="86"/>
  <c r="N1100" i="86"/>
  <c r="L1100" i="86"/>
  <c r="K1100" i="86"/>
  <c r="L1099" i="86"/>
  <c r="O1099" i="86" s="1"/>
  <c r="K1099" i="86"/>
  <c r="N1099" i="86" s="1"/>
  <c r="L1098" i="86"/>
  <c r="O1098" i="86" s="1"/>
  <c r="K1098" i="86"/>
  <c r="N1098" i="86" s="1"/>
  <c r="L1097" i="86"/>
  <c r="O1097" i="86" s="1"/>
  <c r="K1097" i="86"/>
  <c r="N1097" i="86" s="1"/>
  <c r="N1096" i="86"/>
  <c r="L1096" i="86"/>
  <c r="O1096" i="86" s="1"/>
  <c r="K1096" i="86"/>
  <c r="L1095" i="86"/>
  <c r="O1095" i="86" s="1"/>
  <c r="K1095" i="86"/>
  <c r="N1095" i="86" s="1"/>
  <c r="L1094" i="86"/>
  <c r="O1094" i="86" s="1"/>
  <c r="K1094" i="86"/>
  <c r="N1094" i="86" s="1"/>
  <c r="L1093" i="86"/>
  <c r="O1093" i="86" s="1"/>
  <c r="K1093" i="86"/>
  <c r="N1093" i="86" s="1"/>
  <c r="N1092" i="86"/>
  <c r="L1092" i="86"/>
  <c r="O1092" i="86" s="1"/>
  <c r="K1092" i="86"/>
  <c r="J1091" i="86"/>
  <c r="M1091" i="86" s="1"/>
  <c r="J1090" i="86"/>
  <c r="M1090" i="86" s="1"/>
  <c r="J1089" i="86"/>
  <c r="M1089" i="86" s="1"/>
  <c r="J1088" i="86"/>
  <c r="M1088" i="86" s="1"/>
  <c r="J1087" i="86"/>
  <c r="M1087" i="86" s="1"/>
  <c r="J1086" i="86"/>
  <c r="M1086" i="86" s="1"/>
  <c r="J1085" i="86"/>
  <c r="M1085" i="86" s="1"/>
  <c r="J1084" i="86"/>
  <c r="M1084" i="86" s="1"/>
  <c r="J1083" i="86"/>
  <c r="M1083" i="86" s="1"/>
  <c r="J1082" i="86"/>
  <c r="M1082" i="86" s="1"/>
  <c r="J1081" i="86"/>
  <c r="M1081" i="86" s="1"/>
  <c r="J1080" i="86"/>
  <c r="M1080" i="86" s="1"/>
  <c r="M1079" i="86"/>
  <c r="J1079" i="86"/>
  <c r="J1078" i="86"/>
  <c r="M1078" i="86" s="1"/>
  <c r="J1077" i="86"/>
  <c r="M1077" i="86" s="1"/>
  <c r="J1076" i="86"/>
  <c r="M1076" i="86" s="1"/>
  <c r="M1075" i="86"/>
  <c r="J1075" i="86"/>
  <c r="J1074" i="86"/>
  <c r="M1074" i="86" s="1"/>
  <c r="J1073" i="86"/>
  <c r="M1073" i="86" s="1"/>
  <c r="J1072" i="86"/>
  <c r="M1072" i="86" s="1"/>
  <c r="M1071" i="86"/>
  <c r="J1071" i="86"/>
  <c r="J1070" i="86"/>
  <c r="M1070" i="86" s="1"/>
  <c r="J1069" i="86"/>
  <c r="M1069" i="86" s="1"/>
  <c r="J1068" i="86"/>
  <c r="M1068" i="86" s="1"/>
  <c r="M1067" i="86"/>
  <c r="J1067" i="86"/>
  <c r="J1066" i="86"/>
  <c r="M1066" i="86" s="1"/>
  <c r="J1065" i="86"/>
  <c r="M1065" i="86" s="1"/>
  <c r="J1064" i="86"/>
  <c r="M1064" i="86" s="1"/>
  <c r="M1063" i="86"/>
  <c r="J1063" i="86"/>
  <c r="J1062" i="86"/>
  <c r="M1062" i="86" s="1"/>
  <c r="J1061" i="86"/>
  <c r="M1061" i="86" s="1"/>
  <c r="J1060" i="86"/>
  <c r="M1060" i="86" s="1"/>
  <c r="J1059" i="86"/>
  <c r="M1059" i="86" s="1"/>
  <c r="J1058" i="86"/>
  <c r="M1058" i="86" s="1"/>
  <c r="J1057" i="86"/>
  <c r="M1057" i="86" s="1"/>
  <c r="J1056" i="86"/>
  <c r="M1056" i="86" s="1"/>
  <c r="M1055" i="86"/>
  <c r="J1055" i="86"/>
  <c r="J1054" i="86"/>
  <c r="M1054" i="86" s="1"/>
  <c r="J1053" i="86"/>
  <c r="M1053" i="86" s="1"/>
  <c r="J1052" i="86"/>
  <c r="M1052" i="86" s="1"/>
  <c r="M1051" i="86"/>
  <c r="J1051" i="86"/>
  <c r="J1050" i="86"/>
  <c r="M1050" i="86" s="1"/>
  <c r="J1049" i="86"/>
  <c r="M1049" i="86" s="1"/>
  <c r="J1048" i="86"/>
  <c r="M1048" i="86" s="1"/>
  <c r="M1047" i="86"/>
  <c r="J1047" i="86"/>
  <c r="J1046" i="86"/>
  <c r="M1046" i="86" s="1"/>
  <c r="J1045" i="86"/>
  <c r="M1045" i="86" s="1"/>
  <c r="J1044" i="86"/>
  <c r="M1044" i="86" s="1"/>
  <c r="M1043" i="86"/>
  <c r="J1043" i="86"/>
  <c r="J1042" i="86"/>
  <c r="M1042" i="86" s="1"/>
  <c r="J1041" i="86"/>
  <c r="M1041" i="86" s="1"/>
  <c r="J1040" i="86"/>
  <c r="M1040" i="86" s="1"/>
  <c r="M1039" i="86"/>
  <c r="J1039" i="86"/>
  <c r="J1038" i="86"/>
  <c r="M1038" i="86" s="1"/>
  <c r="J1037" i="86"/>
  <c r="M1037" i="86" s="1"/>
  <c r="J1036" i="86"/>
  <c r="M1036" i="86" s="1"/>
  <c r="M1035" i="86"/>
  <c r="J1035" i="86"/>
  <c r="L1034" i="86"/>
  <c r="O1034" i="86" s="1"/>
  <c r="K1034" i="86"/>
  <c r="N1034" i="86" s="1"/>
  <c r="L1033" i="86"/>
  <c r="O1033" i="86" s="1"/>
  <c r="K1033" i="86"/>
  <c r="N1033" i="86" s="1"/>
  <c r="O1032" i="86"/>
  <c r="N1032" i="86"/>
  <c r="L1032" i="86"/>
  <c r="K1032" i="86"/>
  <c r="L1031" i="86"/>
  <c r="O1031" i="86" s="1"/>
  <c r="K1031" i="86"/>
  <c r="N1031" i="86" s="1"/>
  <c r="L1030" i="86"/>
  <c r="O1030" i="86" s="1"/>
  <c r="K1030" i="86"/>
  <c r="N1030" i="86" s="1"/>
  <c r="L1029" i="86"/>
  <c r="O1029" i="86" s="1"/>
  <c r="K1029" i="86"/>
  <c r="N1029" i="86" s="1"/>
  <c r="N1028" i="86"/>
  <c r="L1028" i="86"/>
  <c r="O1028" i="86" s="1"/>
  <c r="K1028" i="86"/>
  <c r="N1027" i="86"/>
  <c r="L1027" i="86"/>
  <c r="O1027" i="86" s="1"/>
  <c r="K1027" i="86"/>
  <c r="L1026" i="86"/>
  <c r="O1026" i="86" s="1"/>
  <c r="K1026" i="86"/>
  <c r="N1026" i="86" s="1"/>
  <c r="L1025" i="86"/>
  <c r="O1025" i="86" s="1"/>
  <c r="K1025" i="86"/>
  <c r="N1025" i="86" s="1"/>
  <c r="O1024" i="86"/>
  <c r="N1024" i="86"/>
  <c r="L1024" i="86"/>
  <c r="K1024" i="86"/>
  <c r="L1023" i="86"/>
  <c r="O1023" i="86" s="1"/>
  <c r="K1023" i="86"/>
  <c r="N1023" i="86" s="1"/>
  <c r="L1022" i="86"/>
  <c r="O1022" i="86" s="1"/>
  <c r="K1022" i="86"/>
  <c r="N1022" i="86" s="1"/>
  <c r="L1021" i="86"/>
  <c r="O1021" i="86" s="1"/>
  <c r="K1021" i="86"/>
  <c r="N1021" i="86" s="1"/>
  <c r="L1020" i="86"/>
  <c r="O1020" i="86" s="1"/>
  <c r="K1020" i="86"/>
  <c r="N1020" i="86" s="1"/>
  <c r="N1019" i="86"/>
  <c r="L1019" i="86"/>
  <c r="O1019" i="86" s="1"/>
  <c r="K1019" i="86"/>
  <c r="L1018" i="86"/>
  <c r="O1018" i="86" s="1"/>
  <c r="K1018" i="86"/>
  <c r="N1018" i="86" s="1"/>
  <c r="L1017" i="86"/>
  <c r="O1017" i="86" s="1"/>
  <c r="K1017" i="86"/>
  <c r="N1017" i="86" s="1"/>
  <c r="O1016" i="86"/>
  <c r="N1016" i="86"/>
  <c r="L1016" i="86"/>
  <c r="K1016" i="86"/>
  <c r="L1015" i="86"/>
  <c r="O1015" i="86" s="1"/>
  <c r="K1015" i="86"/>
  <c r="N1015" i="86" s="1"/>
  <c r="N1014" i="86"/>
  <c r="L1014" i="86"/>
  <c r="O1014" i="86" s="1"/>
  <c r="K1014" i="86"/>
  <c r="L1013" i="86"/>
  <c r="O1013" i="86" s="1"/>
  <c r="K1013" i="86"/>
  <c r="N1013" i="86" s="1"/>
  <c r="L1012" i="86"/>
  <c r="O1012" i="86" s="1"/>
  <c r="K1012" i="86"/>
  <c r="N1012" i="86" s="1"/>
  <c r="N1011" i="86"/>
  <c r="L1011" i="86"/>
  <c r="O1011" i="86" s="1"/>
  <c r="K1011" i="86"/>
  <c r="L1010" i="86"/>
  <c r="O1010" i="86" s="1"/>
  <c r="K1010" i="86"/>
  <c r="N1010" i="86" s="1"/>
  <c r="L1009" i="86"/>
  <c r="O1009" i="86" s="1"/>
  <c r="K1009" i="86"/>
  <c r="N1009" i="86" s="1"/>
  <c r="O1008" i="86"/>
  <c r="N1008" i="86"/>
  <c r="L1008" i="86"/>
  <c r="K1008" i="86"/>
  <c r="N1007" i="86"/>
  <c r="L1007" i="86"/>
  <c r="O1007" i="86" s="1"/>
  <c r="K1007" i="86"/>
  <c r="L1006" i="86"/>
  <c r="O1006" i="86" s="1"/>
  <c r="K1006" i="86"/>
  <c r="N1006" i="86" s="1"/>
  <c r="L1005" i="86"/>
  <c r="O1005" i="86" s="1"/>
  <c r="K1005" i="86"/>
  <c r="N1005" i="86" s="1"/>
  <c r="J1004" i="86"/>
  <c r="M1004" i="86" s="1"/>
  <c r="J1003" i="86"/>
  <c r="M1003" i="86" s="1"/>
  <c r="J1002" i="86"/>
  <c r="M1002" i="86" s="1"/>
  <c r="J1001" i="86"/>
  <c r="M1001" i="86" s="1"/>
  <c r="J1000" i="86"/>
  <c r="M1000" i="86" s="1"/>
  <c r="M999" i="86"/>
  <c r="J999" i="86"/>
  <c r="J998" i="86"/>
  <c r="M998" i="86" s="1"/>
  <c r="J997" i="86"/>
  <c r="M997" i="86" s="1"/>
  <c r="J996" i="86"/>
  <c r="M996" i="86" s="1"/>
  <c r="J995" i="86"/>
  <c r="M995" i="86" s="1"/>
  <c r="J994" i="86"/>
  <c r="M994" i="86" s="1"/>
  <c r="J993" i="86"/>
  <c r="M993" i="86" s="1"/>
  <c r="J992" i="86"/>
  <c r="M992" i="86" s="1"/>
  <c r="M991" i="86"/>
  <c r="J991" i="86"/>
  <c r="J990" i="86"/>
  <c r="M990" i="86" s="1"/>
  <c r="J989" i="86"/>
  <c r="M989" i="86" s="1"/>
  <c r="J988" i="86"/>
  <c r="M988" i="86" s="1"/>
  <c r="M987" i="86"/>
  <c r="J987" i="86"/>
  <c r="J986" i="86"/>
  <c r="M986" i="86" s="1"/>
  <c r="J985" i="86"/>
  <c r="M985" i="86" s="1"/>
  <c r="J984" i="86"/>
  <c r="M984" i="86" s="1"/>
  <c r="J983" i="86"/>
  <c r="M983" i="86" s="1"/>
  <c r="J982" i="86"/>
  <c r="M982" i="86" s="1"/>
  <c r="J981" i="86"/>
  <c r="M981" i="86" s="1"/>
  <c r="J980" i="86"/>
  <c r="M980" i="86" s="1"/>
  <c r="J979" i="86"/>
  <c r="M979" i="86" s="1"/>
  <c r="J978" i="86"/>
  <c r="M978" i="86" s="1"/>
  <c r="J977" i="86"/>
  <c r="M977" i="86" s="1"/>
  <c r="J976" i="86"/>
  <c r="M976" i="86" s="1"/>
  <c r="J975" i="86"/>
  <c r="M975" i="86" s="1"/>
  <c r="J974" i="86"/>
  <c r="M974" i="86" s="1"/>
  <c r="J973" i="86"/>
  <c r="M973" i="86" s="1"/>
  <c r="O972" i="86"/>
  <c r="L972" i="86"/>
  <c r="J972" i="86"/>
  <c r="M972" i="86" s="1"/>
  <c r="L971" i="86"/>
  <c r="O971" i="86" s="1"/>
  <c r="J971" i="86"/>
  <c r="M971" i="86" s="1"/>
  <c r="L970" i="86"/>
  <c r="O970" i="86" s="1"/>
  <c r="J970" i="86"/>
  <c r="M970" i="86" s="1"/>
  <c r="L969" i="86"/>
  <c r="O969" i="86" s="1"/>
  <c r="J969" i="86"/>
  <c r="M969" i="86" s="1"/>
  <c r="L968" i="86"/>
  <c r="O968" i="86" s="1"/>
  <c r="J968" i="86"/>
  <c r="M968" i="86" s="1"/>
  <c r="M967" i="86"/>
  <c r="L967" i="86"/>
  <c r="O967" i="86" s="1"/>
  <c r="J967" i="86"/>
  <c r="L966" i="86"/>
  <c r="O966" i="86" s="1"/>
  <c r="J966" i="86"/>
  <c r="M966" i="86" s="1"/>
  <c r="L965" i="86"/>
  <c r="O965" i="86" s="1"/>
  <c r="J965" i="86"/>
  <c r="M965" i="86" s="1"/>
  <c r="L964" i="86"/>
  <c r="O964" i="86" s="1"/>
  <c r="J964" i="86"/>
  <c r="M964" i="86" s="1"/>
  <c r="L963" i="86"/>
  <c r="O963" i="86" s="1"/>
  <c r="J963" i="86"/>
  <c r="M963" i="86" s="1"/>
  <c r="L962" i="86"/>
  <c r="O962" i="86" s="1"/>
  <c r="J962" i="86"/>
  <c r="M962" i="86" s="1"/>
  <c r="L961" i="86"/>
  <c r="O961" i="86" s="1"/>
  <c r="J961" i="86"/>
  <c r="M961" i="86" s="1"/>
  <c r="L960" i="86"/>
  <c r="O960" i="86" s="1"/>
  <c r="K960" i="86"/>
  <c r="N960" i="86" s="1"/>
  <c r="L959" i="86"/>
  <c r="O959" i="86" s="1"/>
  <c r="K959" i="86"/>
  <c r="N959" i="86" s="1"/>
  <c r="L958" i="86"/>
  <c r="O958" i="86" s="1"/>
  <c r="K958" i="86"/>
  <c r="N958" i="86" s="1"/>
  <c r="L957" i="86"/>
  <c r="O957" i="86" s="1"/>
  <c r="K957" i="86"/>
  <c r="N957" i="86" s="1"/>
  <c r="L956" i="86"/>
  <c r="O956" i="86" s="1"/>
  <c r="K956" i="86"/>
  <c r="N956" i="86" s="1"/>
  <c r="N955" i="86"/>
  <c r="L955" i="86"/>
  <c r="O955" i="86" s="1"/>
  <c r="K955" i="86"/>
  <c r="L954" i="86"/>
  <c r="O954" i="86" s="1"/>
  <c r="K954" i="86"/>
  <c r="N954" i="86" s="1"/>
  <c r="L953" i="86"/>
  <c r="O953" i="86" s="1"/>
  <c r="K953" i="86"/>
  <c r="N953" i="86" s="1"/>
  <c r="O952" i="86"/>
  <c r="N952" i="86"/>
  <c r="L952" i="86"/>
  <c r="K952" i="86"/>
  <c r="N951" i="86"/>
  <c r="L951" i="86"/>
  <c r="O951" i="86" s="1"/>
  <c r="K951" i="86"/>
  <c r="L950" i="86"/>
  <c r="O950" i="86" s="1"/>
  <c r="K950" i="86"/>
  <c r="N950" i="86" s="1"/>
  <c r="L949" i="86"/>
  <c r="O949" i="86" s="1"/>
  <c r="K949" i="86"/>
  <c r="N949" i="86" s="1"/>
  <c r="L948" i="86"/>
  <c r="O948" i="86" s="1"/>
  <c r="J948" i="86"/>
  <c r="M948" i="86" s="1"/>
  <c r="L947" i="86"/>
  <c r="O947" i="86" s="1"/>
  <c r="J947" i="86"/>
  <c r="M947" i="86" s="1"/>
  <c r="L946" i="86"/>
  <c r="O946" i="86" s="1"/>
  <c r="J946" i="86"/>
  <c r="M946" i="86" s="1"/>
  <c r="L945" i="86"/>
  <c r="O945" i="86" s="1"/>
  <c r="J945" i="86"/>
  <c r="M945" i="86" s="1"/>
  <c r="O944" i="86"/>
  <c r="L944" i="86"/>
  <c r="J944" i="86"/>
  <c r="M944" i="86" s="1"/>
  <c r="M943" i="86"/>
  <c r="L943" i="86"/>
  <c r="O943" i="86" s="1"/>
  <c r="J943" i="86"/>
  <c r="L942" i="86"/>
  <c r="O942" i="86" s="1"/>
  <c r="J942" i="86"/>
  <c r="M942" i="86" s="1"/>
  <c r="L941" i="86"/>
  <c r="O941" i="86" s="1"/>
  <c r="J941" i="86"/>
  <c r="M941" i="86" s="1"/>
  <c r="L940" i="86"/>
  <c r="O940" i="86" s="1"/>
  <c r="J940" i="86"/>
  <c r="M940" i="86" s="1"/>
  <c r="L939" i="86"/>
  <c r="O939" i="86" s="1"/>
  <c r="J939" i="86"/>
  <c r="M939" i="86" s="1"/>
  <c r="L938" i="86"/>
  <c r="O938" i="86" s="1"/>
  <c r="J938" i="86"/>
  <c r="M938" i="86" s="1"/>
  <c r="L937" i="86"/>
  <c r="O937" i="86" s="1"/>
  <c r="J937" i="86"/>
  <c r="M937" i="86" s="1"/>
  <c r="J936" i="86"/>
  <c r="M936" i="86" s="1"/>
  <c r="M935" i="86"/>
  <c r="J935" i="86"/>
  <c r="J934" i="86"/>
  <c r="M934" i="86" s="1"/>
  <c r="J933" i="86"/>
  <c r="M933" i="86" s="1"/>
  <c r="J932" i="86"/>
  <c r="M932" i="86" s="1"/>
  <c r="M931" i="86"/>
  <c r="J931" i="86"/>
  <c r="J930" i="86"/>
  <c r="M930" i="86" s="1"/>
  <c r="J929" i="86"/>
  <c r="M929" i="86" s="1"/>
  <c r="J928" i="86"/>
  <c r="M928" i="86" s="1"/>
  <c r="J927" i="86"/>
  <c r="M927" i="86" s="1"/>
  <c r="J926" i="86"/>
  <c r="M926" i="86" s="1"/>
  <c r="J925" i="86"/>
  <c r="M925" i="86" s="1"/>
  <c r="O924" i="86"/>
  <c r="N924" i="86"/>
  <c r="L924" i="86"/>
  <c r="K924" i="86"/>
  <c r="L923" i="86"/>
  <c r="O923" i="86" s="1"/>
  <c r="K923" i="86"/>
  <c r="N923" i="86" s="1"/>
  <c r="L922" i="86"/>
  <c r="O922" i="86" s="1"/>
  <c r="K922" i="86"/>
  <c r="N922" i="86" s="1"/>
  <c r="L921" i="86"/>
  <c r="O921" i="86" s="1"/>
  <c r="K921" i="86"/>
  <c r="N921" i="86" s="1"/>
  <c r="L920" i="86"/>
  <c r="O920" i="86" s="1"/>
  <c r="K920" i="86"/>
  <c r="N920" i="86" s="1"/>
  <c r="N919" i="86"/>
  <c r="L919" i="86"/>
  <c r="O919" i="86" s="1"/>
  <c r="K919" i="86"/>
  <c r="L918" i="86"/>
  <c r="O918" i="86" s="1"/>
  <c r="K918" i="86"/>
  <c r="N918" i="86" s="1"/>
  <c r="L917" i="86"/>
  <c r="O917" i="86" s="1"/>
  <c r="K917" i="86"/>
  <c r="N917" i="86" s="1"/>
  <c r="N916" i="86"/>
  <c r="L916" i="86"/>
  <c r="O916" i="86" s="1"/>
  <c r="K916" i="86"/>
  <c r="L915" i="86"/>
  <c r="O915" i="86" s="1"/>
  <c r="K915" i="86"/>
  <c r="N915" i="86" s="1"/>
  <c r="L914" i="86"/>
  <c r="O914" i="86" s="1"/>
  <c r="K914" i="86"/>
  <c r="N914" i="86" s="1"/>
  <c r="L913" i="86"/>
  <c r="O913" i="86" s="1"/>
  <c r="K913" i="86"/>
  <c r="N913" i="86" s="1"/>
  <c r="J912" i="86"/>
  <c r="M912" i="86" s="1"/>
  <c r="J911" i="86"/>
  <c r="M911" i="86" s="1"/>
  <c r="J910" i="86"/>
  <c r="M910" i="86" s="1"/>
  <c r="J909" i="86"/>
  <c r="M909" i="86" s="1"/>
  <c r="J908" i="86"/>
  <c r="M908" i="86" s="1"/>
  <c r="M907" i="86"/>
  <c r="J907" i="86"/>
  <c r="J906" i="86"/>
  <c r="M906" i="86" s="1"/>
  <c r="J905" i="86"/>
  <c r="M905" i="86" s="1"/>
  <c r="J904" i="86"/>
  <c r="M904" i="86" s="1"/>
  <c r="J903" i="86"/>
  <c r="M903" i="86" s="1"/>
  <c r="M902" i="86"/>
  <c r="J902" i="86"/>
  <c r="J901" i="86"/>
  <c r="M901" i="86" s="1"/>
  <c r="M900" i="86"/>
  <c r="J900" i="86"/>
  <c r="J899" i="86"/>
  <c r="M899" i="86" s="1"/>
  <c r="J898" i="86"/>
  <c r="M898" i="86" s="1"/>
  <c r="J897" i="86"/>
  <c r="M897" i="86" s="1"/>
  <c r="M896" i="86"/>
  <c r="J896" i="86"/>
  <c r="J895" i="86"/>
  <c r="M895" i="86" s="1"/>
  <c r="J894" i="86"/>
  <c r="M894" i="86" s="1"/>
  <c r="J893" i="86"/>
  <c r="M893" i="86" s="1"/>
  <c r="J892" i="86"/>
  <c r="M892" i="86" s="1"/>
  <c r="J891" i="86"/>
  <c r="M891" i="86" s="1"/>
  <c r="M890" i="86"/>
  <c r="J890" i="86"/>
  <c r="J889" i="86"/>
  <c r="M889" i="86" s="1"/>
  <c r="M888" i="86"/>
  <c r="J888" i="86"/>
  <c r="J887" i="86"/>
  <c r="M887" i="86" s="1"/>
  <c r="J886" i="86"/>
  <c r="M886" i="86" s="1"/>
  <c r="J885" i="86"/>
  <c r="M885" i="86" s="1"/>
  <c r="M884" i="86"/>
  <c r="J884" i="86"/>
  <c r="J883" i="86"/>
  <c r="M883" i="86" s="1"/>
  <c r="J882" i="86"/>
  <c r="M882" i="86" s="1"/>
  <c r="J881" i="86"/>
  <c r="M881" i="86" s="1"/>
  <c r="M880" i="86"/>
  <c r="J880" i="86"/>
  <c r="J879" i="86"/>
  <c r="M879" i="86" s="1"/>
  <c r="J878" i="86"/>
  <c r="M878" i="86" s="1"/>
  <c r="J877" i="86"/>
  <c r="M877" i="86" s="1"/>
  <c r="J876" i="86"/>
  <c r="M876" i="86" s="1"/>
  <c r="J875" i="86"/>
  <c r="M875" i="86" s="1"/>
  <c r="M874" i="86"/>
  <c r="J874" i="86"/>
  <c r="J873" i="86"/>
  <c r="M873" i="86" s="1"/>
  <c r="M872" i="86"/>
  <c r="J872" i="86"/>
  <c r="J871" i="86"/>
  <c r="M871" i="86" s="1"/>
  <c r="J870" i="86"/>
  <c r="M870" i="86" s="1"/>
  <c r="J869" i="86"/>
  <c r="M869" i="86" s="1"/>
  <c r="L868" i="86"/>
  <c r="O868" i="86" s="1"/>
  <c r="K868" i="86"/>
  <c r="N868" i="86" s="1"/>
  <c r="O867" i="86"/>
  <c r="N867" i="86"/>
  <c r="L867" i="86"/>
  <c r="K867" i="86"/>
  <c r="L866" i="86"/>
  <c r="O866" i="86" s="1"/>
  <c r="K866" i="86"/>
  <c r="N866" i="86" s="1"/>
  <c r="O865" i="86"/>
  <c r="L865" i="86"/>
  <c r="K865" i="86"/>
  <c r="N865" i="86" s="1"/>
  <c r="L864" i="86"/>
  <c r="O864" i="86" s="1"/>
  <c r="K864" i="86"/>
  <c r="N864" i="86" s="1"/>
  <c r="N863" i="86"/>
  <c r="L863" i="86"/>
  <c r="O863" i="86" s="1"/>
  <c r="K863" i="86"/>
  <c r="L862" i="86"/>
  <c r="O862" i="86" s="1"/>
  <c r="K862" i="86"/>
  <c r="N862" i="86" s="1"/>
  <c r="O861" i="86"/>
  <c r="L861" i="86"/>
  <c r="K861" i="86"/>
  <c r="N861" i="86" s="1"/>
  <c r="L860" i="86"/>
  <c r="O860" i="86" s="1"/>
  <c r="K860" i="86"/>
  <c r="N860" i="86" s="1"/>
  <c r="L859" i="86"/>
  <c r="O859" i="86" s="1"/>
  <c r="K859" i="86"/>
  <c r="N859" i="86" s="1"/>
  <c r="L858" i="86"/>
  <c r="O858" i="86" s="1"/>
  <c r="K858" i="86"/>
  <c r="N858" i="86" s="1"/>
  <c r="L857" i="86"/>
  <c r="O857" i="86" s="1"/>
  <c r="K857" i="86"/>
  <c r="N857" i="86" s="1"/>
  <c r="L856" i="86"/>
  <c r="O856" i="86" s="1"/>
  <c r="K856" i="86"/>
  <c r="N856" i="86" s="1"/>
  <c r="N855" i="86"/>
  <c r="L855" i="86"/>
  <c r="O855" i="86" s="1"/>
  <c r="K855" i="86"/>
  <c r="L854" i="86"/>
  <c r="O854" i="86" s="1"/>
  <c r="K854" i="86"/>
  <c r="N854" i="86" s="1"/>
  <c r="L853" i="86"/>
  <c r="O853" i="86" s="1"/>
  <c r="K853" i="86"/>
  <c r="N853" i="86" s="1"/>
  <c r="L852" i="86"/>
  <c r="O852" i="86" s="1"/>
  <c r="K852" i="86"/>
  <c r="N852" i="86" s="1"/>
  <c r="O851" i="86"/>
  <c r="N851" i="86"/>
  <c r="L851" i="86"/>
  <c r="K851" i="86"/>
  <c r="L850" i="86"/>
  <c r="O850" i="86" s="1"/>
  <c r="K850" i="86"/>
  <c r="N850" i="86" s="1"/>
  <c r="L849" i="86"/>
  <c r="O849" i="86" s="1"/>
  <c r="K849" i="86"/>
  <c r="N849" i="86" s="1"/>
  <c r="L848" i="86"/>
  <c r="O848" i="86" s="1"/>
  <c r="K848" i="86"/>
  <c r="N848" i="86" s="1"/>
  <c r="L847" i="86"/>
  <c r="O847" i="86" s="1"/>
  <c r="K847" i="86"/>
  <c r="N847" i="86" s="1"/>
  <c r="L846" i="86"/>
  <c r="O846" i="86" s="1"/>
  <c r="K846" i="86"/>
  <c r="N846" i="86" s="1"/>
  <c r="O845" i="86"/>
  <c r="L845" i="86"/>
  <c r="K845" i="86"/>
  <c r="N845" i="86" s="1"/>
  <c r="L844" i="86"/>
  <c r="O844" i="86" s="1"/>
  <c r="K844" i="86"/>
  <c r="N844" i="86" s="1"/>
  <c r="L843" i="86"/>
  <c r="O843" i="86" s="1"/>
  <c r="K843" i="86"/>
  <c r="N843" i="86" s="1"/>
  <c r="L842" i="86"/>
  <c r="O842" i="86" s="1"/>
  <c r="K842" i="86"/>
  <c r="N842" i="86" s="1"/>
  <c r="L841" i="86"/>
  <c r="O841" i="86" s="1"/>
  <c r="K841" i="86"/>
  <c r="N841" i="86" s="1"/>
  <c r="J840" i="86"/>
  <c r="M840" i="86" s="1"/>
  <c r="J839" i="86"/>
  <c r="M839" i="86" s="1"/>
  <c r="M838" i="86"/>
  <c r="J838" i="86"/>
  <c r="J837" i="86"/>
  <c r="M837" i="86" s="1"/>
  <c r="M836" i="86"/>
  <c r="J836" i="86"/>
  <c r="J835" i="86"/>
  <c r="M835" i="86" s="1"/>
  <c r="M834" i="86"/>
  <c r="J834" i="86"/>
  <c r="J833" i="86"/>
  <c r="M833" i="86" s="1"/>
  <c r="J832" i="86"/>
  <c r="M832" i="86" s="1"/>
  <c r="J831" i="86"/>
  <c r="M831" i="86" s="1"/>
  <c r="M830" i="86"/>
  <c r="J830" i="86"/>
  <c r="J829" i="86"/>
  <c r="M829" i="86" s="1"/>
  <c r="M828" i="86"/>
  <c r="J828" i="86"/>
  <c r="J827" i="86"/>
  <c r="M827" i="86" s="1"/>
  <c r="J826" i="86"/>
  <c r="M826" i="86" s="1"/>
  <c r="J825" i="86"/>
  <c r="M825" i="86" s="1"/>
  <c r="M824" i="86"/>
  <c r="J824" i="86"/>
  <c r="J823" i="86"/>
  <c r="M823" i="86" s="1"/>
  <c r="M822" i="86"/>
  <c r="J822" i="86"/>
  <c r="J821" i="86"/>
  <c r="M821" i="86" s="1"/>
  <c r="J820" i="86"/>
  <c r="M820" i="86" s="1"/>
  <c r="J819" i="86"/>
  <c r="M819" i="86" s="1"/>
  <c r="J818" i="86"/>
  <c r="M818" i="86" s="1"/>
  <c r="J817" i="86"/>
  <c r="M817" i="86" s="1"/>
  <c r="J816" i="86"/>
  <c r="M816" i="86" s="1"/>
  <c r="J815" i="86"/>
  <c r="M815" i="86" s="1"/>
  <c r="J814" i="86"/>
  <c r="M814" i="86" s="1"/>
  <c r="J813" i="86"/>
  <c r="M813" i="86" s="1"/>
  <c r="M812" i="86"/>
  <c r="J812" i="86"/>
  <c r="J811" i="86"/>
  <c r="M811" i="86" s="1"/>
  <c r="J810" i="86"/>
  <c r="M810" i="86" s="1"/>
  <c r="J809" i="86"/>
  <c r="M809" i="86" s="1"/>
  <c r="M808" i="86"/>
  <c r="J808" i="86"/>
  <c r="O807" i="86"/>
  <c r="L807" i="86"/>
  <c r="K807" i="86"/>
  <c r="N807" i="86" s="1"/>
  <c r="L806" i="86"/>
  <c r="O806" i="86" s="1"/>
  <c r="K806" i="86"/>
  <c r="N806" i="86" s="1"/>
  <c r="L805" i="86"/>
  <c r="O805" i="86" s="1"/>
  <c r="K805" i="86"/>
  <c r="N805" i="86" s="1"/>
  <c r="L804" i="86"/>
  <c r="O804" i="86" s="1"/>
  <c r="K804" i="86"/>
  <c r="N804" i="86" s="1"/>
  <c r="O803" i="86"/>
  <c r="L803" i="86"/>
  <c r="K803" i="86"/>
  <c r="N803" i="86" s="1"/>
  <c r="L802" i="86"/>
  <c r="O802" i="86" s="1"/>
  <c r="K802" i="86"/>
  <c r="N802" i="86" s="1"/>
  <c r="O801" i="86"/>
  <c r="L801" i="86"/>
  <c r="K801" i="86"/>
  <c r="N801" i="86" s="1"/>
  <c r="L800" i="86"/>
  <c r="O800" i="86" s="1"/>
  <c r="K800" i="86"/>
  <c r="N800" i="86" s="1"/>
  <c r="N799" i="86"/>
  <c r="L799" i="86"/>
  <c r="O799" i="86" s="1"/>
  <c r="K799" i="86"/>
  <c r="L798" i="86"/>
  <c r="O798" i="86" s="1"/>
  <c r="K798" i="86"/>
  <c r="N798" i="86" s="1"/>
  <c r="L797" i="86"/>
  <c r="O797" i="86" s="1"/>
  <c r="K797" i="86"/>
  <c r="N797" i="86" s="1"/>
  <c r="L796" i="86"/>
  <c r="O796" i="86" s="1"/>
  <c r="K796" i="86"/>
  <c r="N796" i="86" s="1"/>
  <c r="L795" i="86"/>
  <c r="O795" i="86" s="1"/>
  <c r="K795" i="86"/>
  <c r="N795" i="86" s="1"/>
  <c r="L794" i="86"/>
  <c r="O794" i="86" s="1"/>
  <c r="K794" i="86"/>
  <c r="N794" i="86" s="1"/>
  <c r="L793" i="86"/>
  <c r="O793" i="86" s="1"/>
  <c r="K793" i="86"/>
  <c r="N793" i="86" s="1"/>
  <c r="L792" i="86"/>
  <c r="O792" i="86" s="1"/>
  <c r="K792" i="86"/>
  <c r="N792" i="86" s="1"/>
  <c r="O791" i="86"/>
  <c r="N791" i="86"/>
  <c r="L791" i="86"/>
  <c r="K791" i="86"/>
  <c r="L790" i="86"/>
  <c r="O790" i="86" s="1"/>
  <c r="K790" i="86"/>
  <c r="N790" i="86" s="1"/>
  <c r="L789" i="86"/>
  <c r="O789" i="86" s="1"/>
  <c r="K789" i="86"/>
  <c r="N789" i="86" s="1"/>
  <c r="L788" i="86"/>
  <c r="O788" i="86" s="1"/>
  <c r="K788" i="86"/>
  <c r="N788" i="86" s="1"/>
  <c r="O787" i="86"/>
  <c r="N787" i="86"/>
  <c r="L787" i="86"/>
  <c r="K787" i="86"/>
  <c r="L786" i="86"/>
  <c r="O786" i="86" s="1"/>
  <c r="K786" i="86"/>
  <c r="N786" i="86" s="1"/>
  <c r="O785" i="86"/>
  <c r="L785" i="86"/>
  <c r="K785" i="86"/>
  <c r="N785" i="86" s="1"/>
  <c r="L784" i="86"/>
  <c r="O784" i="86" s="1"/>
  <c r="K784" i="86"/>
  <c r="N784" i="86" s="1"/>
  <c r="N783" i="86"/>
  <c r="L783" i="86"/>
  <c r="O783" i="86" s="1"/>
  <c r="K783" i="86"/>
  <c r="L782" i="86"/>
  <c r="O782" i="86" s="1"/>
  <c r="K782" i="86"/>
  <c r="N782" i="86" s="1"/>
  <c r="O781" i="86"/>
  <c r="L781" i="86"/>
  <c r="K781" i="86"/>
  <c r="N781" i="86" s="1"/>
  <c r="L780" i="86"/>
  <c r="O780" i="86" s="1"/>
  <c r="K780" i="86"/>
  <c r="N780" i="86" s="1"/>
  <c r="N779" i="86"/>
  <c r="L779" i="86"/>
  <c r="O779" i="86" s="1"/>
  <c r="K779" i="86"/>
  <c r="L778" i="86"/>
  <c r="O778" i="86" s="1"/>
  <c r="K778" i="86"/>
  <c r="N778" i="86" s="1"/>
  <c r="O777" i="86"/>
  <c r="L777" i="86"/>
  <c r="K777" i="86"/>
  <c r="N777" i="86" s="1"/>
  <c r="L776" i="86"/>
  <c r="O776" i="86" s="1"/>
  <c r="K776" i="86"/>
  <c r="N776" i="86" s="1"/>
  <c r="O775" i="86"/>
  <c r="L775" i="86"/>
  <c r="K775" i="86"/>
  <c r="N775" i="86" s="1"/>
  <c r="L774" i="86"/>
  <c r="O774" i="86" s="1"/>
  <c r="K774" i="86"/>
  <c r="N774" i="86" s="1"/>
  <c r="L773" i="86"/>
  <c r="O773" i="86" s="1"/>
  <c r="K773" i="86"/>
  <c r="N773" i="86" s="1"/>
  <c r="L772" i="86"/>
  <c r="O772" i="86" s="1"/>
  <c r="K772" i="86"/>
  <c r="N772" i="86" s="1"/>
  <c r="N771" i="86"/>
  <c r="L771" i="86"/>
  <c r="O771" i="86" s="1"/>
  <c r="K771" i="86"/>
  <c r="L770" i="86"/>
  <c r="O770" i="86" s="1"/>
  <c r="K770" i="86"/>
  <c r="N770" i="86" s="1"/>
  <c r="O769" i="86"/>
  <c r="L769" i="86"/>
  <c r="K769" i="86"/>
  <c r="N769" i="86" s="1"/>
  <c r="L768" i="86"/>
  <c r="O768" i="86" s="1"/>
  <c r="K768" i="86"/>
  <c r="N768" i="86" s="1"/>
  <c r="N767" i="86"/>
  <c r="L767" i="86"/>
  <c r="O767" i="86" s="1"/>
  <c r="K767" i="86"/>
  <c r="L766" i="86"/>
  <c r="O766" i="86" s="1"/>
  <c r="K766" i="86"/>
  <c r="N766" i="86" s="1"/>
  <c r="O765" i="86"/>
  <c r="L765" i="86"/>
  <c r="K765" i="86"/>
  <c r="N765" i="86" s="1"/>
  <c r="L764" i="86"/>
  <c r="O764" i="86" s="1"/>
  <c r="K764" i="86"/>
  <c r="N764" i="86" s="1"/>
  <c r="L763" i="86"/>
  <c r="O763" i="86" s="1"/>
  <c r="K763" i="86"/>
  <c r="N763" i="86" s="1"/>
  <c r="L762" i="86"/>
  <c r="O762" i="86" s="1"/>
  <c r="K762" i="86"/>
  <c r="N762" i="86" s="1"/>
  <c r="L761" i="86"/>
  <c r="O761" i="86" s="1"/>
  <c r="K761" i="86"/>
  <c r="N761" i="86" s="1"/>
  <c r="L760" i="86"/>
  <c r="O760" i="86" s="1"/>
  <c r="K760" i="86"/>
  <c r="N760" i="86" s="1"/>
  <c r="N759" i="86"/>
  <c r="L759" i="86"/>
  <c r="O759" i="86" s="1"/>
  <c r="K759" i="86"/>
  <c r="L758" i="86"/>
  <c r="O758" i="86" s="1"/>
  <c r="K758" i="86"/>
  <c r="N758" i="86" s="1"/>
  <c r="L757" i="86"/>
  <c r="O757" i="86" s="1"/>
  <c r="K757" i="86"/>
  <c r="N757" i="86" s="1"/>
  <c r="L756" i="86"/>
  <c r="O756" i="86" s="1"/>
  <c r="K756" i="86"/>
  <c r="N756" i="86" s="1"/>
  <c r="O755" i="86"/>
  <c r="L755" i="86"/>
  <c r="K755" i="86"/>
  <c r="N755" i="86" s="1"/>
  <c r="L754" i="86"/>
  <c r="O754" i="86" s="1"/>
  <c r="K754" i="86"/>
  <c r="N754" i="86" s="1"/>
  <c r="L753" i="86"/>
  <c r="O753" i="86" s="1"/>
  <c r="K753" i="86"/>
  <c r="N753" i="86" s="1"/>
  <c r="L752" i="86"/>
  <c r="O752" i="86" s="1"/>
  <c r="K752" i="86"/>
  <c r="N752" i="86" s="1"/>
  <c r="O751" i="86"/>
  <c r="L751" i="86"/>
  <c r="K751" i="86"/>
  <c r="N751" i="86" s="1"/>
  <c r="L750" i="86"/>
  <c r="O750" i="86" s="1"/>
  <c r="K750" i="86"/>
  <c r="N750" i="86" s="1"/>
  <c r="L749" i="86"/>
  <c r="O749" i="86" s="1"/>
  <c r="K749" i="86"/>
  <c r="N749" i="86" s="1"/>
  <c r="L748" i="86"/>
  <c r="O748" i="86" s="1"/>
  <c r="K748" i="86"/>
  <c r="N748" i="86" s="1"/>
  <c r="N747" i="86"/>
  <c r="L747" i="86"/>
  <c r="O747" i="86" s="1"/>
  <c r="K747" i="86"/>
  <c r="L746" i="86"/>
  <c r="O746" i="86" s="1"/>
  <c r="K746" i="86"/>
  <c r="N746" i="86" s="1"/>
  <c r="L745" i="86"/>
  <c r="O745" i="86" s="1"/>
  <c r="K745" i="86"/>
  <c r="N745" i="86" s="1"/>
  <c r="L744" i="86"/>
  <c r="O744" i="86" s="1"/>
  <c r="K744" i="86"/>
  <c r="N744" i="86" s="1"/>
  <c r="N743" i="86"/>
  <c r="L743" i="86"/>
  <c r="O743" i="86" s="1"/>
  <c r="K743" i="86"/>
  <c r="L742" i="86"/>
  <c r="O742" i="86" s="1"/>
  <c r="K742" i="86"/>
  <c r="N742" i="86" s="1"/>
  <c r="O741" i="86"/>
  <c r="L741" i="86"/>
  <c r="K741" i="86"/>
  <c r="N741" i="86" s="1"/>
  <c r="L740" i="86"/>
  <c r="O740" i="86" s="1"/>
  <c r="K740" i="86"/>
  <c r="N740" i="86" s="1"/>
  <c r="L739" i="86"/>
  <c r="O739" i="86" s="1"/>
  <c r="K739" i="86"/>
  <c r="N739" i="86" s="1"/>
  <c r="L738" i="86"/>
  <c r="O738" i="86" s="1"/>
  <c r="K738" i="86"/>
  <c r="N738" i="86" s="1"/>
  <c r="O737" i="86"/>
  <c r="L737" i="86"/>
  <c r="K737" i="86"/>
  <c r="N737" i="86" s="1"/>
  <c r="L736" i="86"/>
  <c r="O736" i="86" s="1"/>
  <c r="K736" i="86"/>
  <c r="N736" i="86" s="1"/>
  <c r="L735" i="86"/>
  <c r="O735" i="86" s="1"/>
  <c r="K735" i="86"/>
  <c r="N735" i="86" s="1"/>
  <c r="L734" i="86"/>
  <c r="O734" i="86" s="1"/>
  <c r="K734" i="86"/>
  <c r="N734" i="86" s="1"/>
  <c r="L733" i="86"/>
  <c r="O733" i="86" s="1"/>
  <c r="K733" i="86"/>
  <c r="N733" i="86" s="1"/>
  <c r="L732" i="86"/>
  <c r="O732" i="86" s="1"/>
  <c r="K732" i="86"/>
  <c r="N732" i="86" s="1"/>
  <c r="L731" i="86"/>
  <c r="O731" i="86" s="1"/>
  <c r="K731" i="86"/>
  <c r="N731" i="86" s="1"/>
  <c r="L730" i="86"/>
  <c r="O730" i="86" s="1"/>
  <c r="K730" i="86"/>
  <c r="N730" i="86" s="1"/>
  <c r="O729" i="86"/>
  <c r="L729" i="86"/>
  <c r="K729" i="86"/>
  <c r="N729" i="86" s="1"/>
  <c r="L728" i="86"/>
  <c r="O728" i="86" s="1"/>
  <c r="K728" i="86"/>
  <c r="N728" i="86" s="1"/>
  <c r="L727" i="86"/>
  <c r="O727" i="86" s="1"/>
  <c r="K727" i="86"/>
  <c r="N727" i="86" s="1"/>
  <c r="L726" i="86"/>
  <c r="O726" i="86" s="1"/>
  <c r="K726" i="86"/>
  <c r="N726" i="86" s="1"/>
  <c r="O725" i="86"/>
  <c r="L725" i="86"/>
  <c r="K725" i="86"/>
  <c r="N725" i="86" s="1"/>
  <c r="L724" i="86"/>
  <c r="O724" i="86" s="1"/>
  <c r="K724" i="86"/>
  <c r="N724" i="86" s="1"/>
  <c r="L723" i="86"/>
  <c r="O723" i="86" s="1"/>
  <c r="K723" i="86"/>
  <c r="N723" i="86" s="1"/>
  <c r="L722" i="86"/>
  <c r="O722" i="86" s="1"/>
  <c r="K722" i="86"/>
  <c r="N722" i="86" s="1"/>
  <c r="O721" i="86"/>
  <c r="L721" i="86"/>
  <c r="K721" i="86"/>
  <c r="N721" i="86" s="1"/>
  <c r="L720" i="86"/>
  <c r="O720" i="86" s="1"/>
  <c r="K720" i="86"/>
  <c r="N720" i="86" s="1"/>
  <c r="L719" i="86"/>
  <c r="O719" i="86" s="1"/>
  <c r="K719" i="86"/>
  <c r="N719" i="86" s="1"/>
  <c r="L718" i="86"/>
  <c r="O718" i="86" s="1"/>
  <c r="K718" i="86"/>
  <c r="N718" i="86" s="1"/>
  <c r="L717" i="86"/>
  <c r="O717" i="86" s="1"/>
  <c r="K717" i="86"/>
  <c r="N717" i="86" s="1"/>
  <c r="L716" i="86"/>
  <c r="O716" i="86" s="1"/>
  <c r="K716" i="86"/>
  <c r="N716" i="86" s="1"/>
  <c r="L715" i="86"/>
  <c r="O715" i="86" s="1"/>
  <c r="K715" i="86"/>
  <c r="N715" i="86" s="1"/>
  <c r="L714" i="86"/>
  <c r="O714" i="86" s="1"/>
  <c r="K714" i="86"/>
  <c r="N714" i="86" s="1"/>
  <c r="O713" i="86"/>
  <c r="L713" i="86"/>
  <c r="K713" i="86"/>
  <c r="N713" i="86" s="1"/>
  <c r="L712" i="86"/>
  <c r="O712" i="86" s="1"/>
  <c r="K712" i="86"/>
  <c r="N712" i="86" s="1"/>
  <c r="L711" i="86"/>
  <c r="O711" i="86" s="1"/>
  <c r="K711" i="86"/>
  <c r="N711" i="86" s="1"/>
  <c r="L710" i="86"/>
  <c r="O710" i="86" s="1"/>
  <c r="K710" i="86"/>
  <c r="N710" i="86" s="1"/>
  <c r="O709" i="86"/>
  <c r="L709" i="86"/>
  <c r="K709" i="86"/>
  <c r="N709" i="86" s="1"/>
  <c r="L708" i="86"/>
  <c r="O708" i="86" s="1"/>
  <c r="K708" i="86"/>
  <c r="N708" i="86" s="1"/>
  <c r="L707" i="86"/>
  <c r="O707" i="86" s="1"/>
  <c r="K707" i="86"/>
  <c r="N707" i="86" s="1"/>
  <c r="L706" i="86"/>
  <c r="O706" i="86" s="1"/>
  <c r="K706" i="86"/>
  <c r="N706" i="86" s="1"/>
  <c r="O705" i="86"/>
  <c r="L705" i="86"/>
  <c r="K705" i="86"/>
  <c r="N705" i="86" s="1"/>
  <c r="L704" i="86"/>
  <c r="O704" i="86" s="1"/>
  <c r="K704" i="86"/>
  <c r="N704" i="86" s="1"/>
  <c r="L703" i="86"/>
  <c r="O703" i="86" s="1"/>
  <c r="K703" i="86"/>
  <c r="N703" i="86" s="1"/>
  <c r="L702" i="86"/>
  <c r="O702" i="86" s="1"/>
  <c r="K702" i="86"/>
  <c r="N702" i="86" s="1"/>
  <c r="L701" i="86"/>
  <c r="O701" i="86" s="1"/>
  <c r="K701" i="86"/>
  <c r="N701" i="86" s="1"/>
  <c r="L700" i="86"/>
  <c r="O700" i="86" s="1"/>
  <c r="K700" i="86"/>
  <c r="N700" i="86" s="1"/>
  <c r="L699" i="86"/>
  <c r="O699" i="86" s="1"/>
  <c r="K699" i="86"/>
  <c r="N699" i="86" s="1"/>
  <c r="N698" i="86"/>
  <c r="L698" i="86"/>
  <c r="O698" i="86" s="1"/>
  <c r="K698" i="86"/>
  <c r="O697" i="86"/>
  <c r="L697" i="86"/>
  <c r="K697" i="86"/>
  <c r="N697" i="86" s="1"/>
  <c r="L696" i="86"/>
  <c r="O696" i="86" s="1"/>
  <c r="K696" i="86"/>
  <c r="N696" i="86" s="1"/>
  <c r="O695" i="86"/>
  <c r="L695" i="86"/>
  <c r="K695" i="86"/>
  <c r="N695" i="86" s="1"/>
  <c r="N694" i="86"/>
  <c r="L694" i="86"/>
  <c r="O694" i="86" s="1"/>
  <c r="K694" i="86"/>
  <c r="L693" i="86"/>
  <c r="O693" i="86" s="1"/>
  <c r="K693" i="86"/>
  <c r="N693" i="86" s="1"/>
  <c r="L692" i="86"/>
  <c r="O692" i="86" s="1"/>
  <c r="K692" i="86"/>
  <c r="N692" i="86" s="1"/>
  <c r="O691" i="86"/>
  <c r="L691" i="86"/>
  <c r="K691" i="86"/>
  <c r="N691" i="86" s="1"/>
  <c r="N690" i="86"/>
  <c r="L690" i="86"/>
  <c r="O690" i="86" s="1"/>
  <c r="K690" i="86"/>
  <c r="O689" i="86"/>
  <c r="L689" i="86"/>
  <c r="K689" i="86"/>
  <c r="N689" i="86" s="1"/>
  <c r="L688" i="86"/>
  <c r="O688" i="86" s="1"/>
  <c r="K688" i="86"/>
  <c r="N688" i="86" s="1"/>
  <c r="L687" i="86"/>
  <c r="O687" i="86" s="1"/>
  <c r="K687" i="86"/>
  <c r="N687" i="86" s="1"/>
  <c r="N686" i="86"/>
  <c r="L686" i="86"/>
  <c r="O686" i="86" s="1"/>
  <c r="K686" i="86"/>
  <c r="L685" i="86"/>
  <c r="O685" i="86" s="1"/>
  <c r="K685" i="86"/>
  <c r="N685" i="86" s="1"/>
  <c r="L684" i="86"/>
  <c r="O684" i="86" s="1"/>
  <c r="K684" i="86"/>
  <c r="N684" i="86" s="1"/>
  <c r="O683" i="86"/>
  <c r="L683" i="86"/>
  <c r="K683" i="86"/>
  <c r="N683" i="86" s="1"/>
  <c r="L682" i="86"/>
  <c r="O682" i="86" s="1"/>
  <c r="K682" i="86"/>
  <c r="N682" i="86" s="1"/>
  <c r="O681" i="86"/>
  <c r="L681" i="86"/>
  <c r="K681" i="86"/>
  <c r="N681" i="86" s="1"/>
  <c r="O680" i="86"/>
  <c r="L680" i="86"/>
  <c r="K680" i="86"/>
  <c r="N680" i="86" s="1"/>
  <c r="L679" i="86"/>
  <c r="O679" i="86" s="1"/>
  <c r="K679" i="86"/>
  <c r="N679" i="86" s="1"/>
  <c r="L678" i="86"/>
  <c r="O678" i="86" s="1"/>
  <c r="K678" i="86"/>
  <c r="N678" i="86" s="1"/>
  <c r="L677" i="86"/>
  <c r="O677" i="86" s="1"/>
  <c r="K677" i="86"/>
  <c r="N677" i="86" s="1"/>
  <c r="L676" i="86"/>
  <c r="O676" i="86" s="1"/>
  <c r="K676" i="86"/>
  <c r="N676" i="86" s="1"/>
  <c r="N675" i="86"/>
  <c r="L675" i="86"/>
  <c r="O675" i="86" s="1"/>
  <c r="K675" i="86"/>
  <c r="L674" i="86"/>
  <c r="O674" i="86" s="1"/>
  <c r="K674" i="86"/>
  <c r="N674" i="86" s="1"/>
  <c r="O673" i="86"/>
  <c r="L673" i="86"/>
  <c r="K673" i="86"/>
  <c r="N673" i="86" s="1"/>
  <c r="L672" i="86"/>
  <c r="O672" i="86" s="1"/>
  <c r="K672" i="86"/>
  <c r="N672" i="86" s="1"/>
  <c r="L671" i="86"/>
  <c r="O671" i="86" s="1"/>
  <c r="K671" i="86"/>
  <c r="N671" i="86" s="1"/>
  <c r="L670" i="86"/>
  <c r="O670" i="86" s="1"/>
  <c r="K670" i="86"/>
  <c r="N670" i="86" s="1"/>
  <c r="L669" i="86"/>
  <c r="O669" i="86" s="1"/>
  <c r="K669" i="86"/>
  <c r="N669" i="86" s="1"/>
  <c r="L668" i="86"/>
  <c r="O668" i="86" s="1"/>
  <c r="K668" i="86"/>
  <c r="N668" i="86" s="1"/>
  <c r="N667" i="86"/>
  <c r="L667" i="86"/>
  <c r="O667" i="86" s="1"/>
  <c r="K667" i="86"/>
  <c r="L666" i="86"/>
  <c r="O666" i="86" s="1"/>
  <c r="K666" i="86"/>
  <c r="N666" i="86" s="1"/>
  <c r="O665" i="86"/>
  <c r="L665" i="86"/>
  <c r="K665" i="86"/>
  <c r="N665" i="86" s="1"/>
  <c r="L664" i="86"/>
  <c r="O664" i="86" s="1"/>
  <c r="K664" i="86"/>
  <c r="N664" i="86" s="1"/>
  <c r="L663" i="86"/>
  <c r="O663" i="86" s="1"/>
  <c r="K663" i="86"/>
  <c r="N663" i="86" s="1"/>
  <c r="N662" i="86"/>
  <c r="L662" i="86"/>
  <c r="O662" i="86" s="1"/>
  <c r="K662" i="86"/>
  <c r="O661" i="86"/>
  <c r="L661" i="86"/>
  <c r="K661" i="86"/>
  <c r="N661" i="86" s="1"/>
  <c r="L660" i="86"/>
  <c r="O660" i="86" s="1"/>
  <c r="K660" i="86"/>
  <c r="N660" i="86" s="1"/>
  <c r="O659" i="86"/>
  <c r="L659" i="86"/>
  <c r="K659" i="86"/>
  <c r="N659" i="86" s="1"/>
  <c r="N658" i="86"/>
  <c r="L658" i="86"/>
  <c r="O658" i="86" s="1"/>
  <c r="K658" i="86"/>
  <c r="L657" i="86"/>
  <c r="O657" i="86" s="1"/>
  <c r="K657" i="86"/>
  <c r="N657" i="86" s="1"/>
  <c r="L656" i="86"/>
  <c r="O656" i="86" s="1"/>
  <c r="K656" i="86"/>
  <c r="N656" i="86" s="1"/>
  <c r="O655" i="86"/>
  <c r="L655" i="86"/>
  <c r="K655" i="86"/>
  <c r="N655" i="86" s="1"/>
  <c r="N654" i="86"/>
  <c r="L654" i="86"/>
  <c r="O654" i="86" s="1"/>
  <c r="K654" i="86"/>
  <c r="O653" i="86"/>
  <c r="L653" i="86"/>
  <c r="K653" i="86"/>
  <c r="N653" i="86" s="1"/>
  <c r="L652" i="86"/>
  <c r="O652" i="86" s="1"/>
  <c r="K652" i="86"/>
  <c r="N652" i="86" s="1"/>
  <c r="O651" i="86"/>
  <c r="N651" i="86"/>
  <c r="L651" i="86"/>
  <c r="K651" i="86"/>
  <c r="N650" i="86"/>
  <c r="L650" i="86"/>
  <c r="O650" i="86" s="1"/>
  <c r="K650" i="86"/>
  <c r="L649" i="86"/>
  <c r="O649" i="86" s="1"/>
  <c r="K649" i="86"/>
  <c r="N649" i="86" s="1"/>
  <c r="N648" i="86"/>
  <c r="L648" i="86"/>
  <c r="O648" i="86" s="1"/>
  <c r="K648" i="86"/>
  <c r="N647" i="86"/>
  <c r="L647" i="86"/>
  <c r="O647" i="86" s="1"/>
  <c r="K647" i="86"/>
  <c r="L646" i="86"/>
  <c r="O646" i="86" s="1"/>
  <c r="K646" i="86"/>
  <c r="N646" i="86" s="1"/>
  <c r="O645" i="86"/>
  <c r="L645" i="86"/>
  <c r="K645" i="86"/>
  <c r="N645" i="86" s="1"/>
  <c r="L644" i="86"/>
  <c r="O644" i="86" s="1"/>
  <c r="K644" i="86"/>
  <c r="N644" i="86" s="1"/>
  <c r="N643" i="86"/>
  <c r="L643" i="86"/>
  <c r="O643" i="86" s="1"/>
  <c r="K643" i="86"/>
  <c r="N642" i="86"/>
  <c r="L642" i="86"/>
  <c r="O642" i="86" s="1"/>
  <c r="K642" i="86"/>
  <c r="L641" i="86"/>
  <c r="O641" i="86" s="1"/>
  <c r="K641" i="86"/>
  <c r="N641" i="86" s="1"/>
  <c r="L640" i="86"/>
  <c r="O640" i="86" s="1"/>
  <c r="K640" i="86"/>
  <c r="N640" i="86" s="1"/>
  <c r="L639" i="86"/>
  <c r="O639" i="86" s="1"/>
  <c r="K639" i="86"/>
  <c r="N639" i="86" s="1"/>
  <c r="N638" i="86"/>
  <c r="L638" i="86"/>
  <c r="O638" i="86" s="1"/>
  <c r="K638" i="86"/>
  <c r="O637" i="86"/>
  <c r="N637" i="86"/>
  <c r="L637" i="86"/>
  <c r="K637" i="86"/>
  <c r="L636" i="86"/>
  <c r="O636" i="86" s="1"/>
  <c r="K636" i="86"/>
  <c r="N636" i="86" s="1"/>
  <c r="L635" i="86"/>
  <c r="O635" i="86" s="1"/>
  <c r="K635" i="86"/>
  <c r="N635" i="86" s="1"/>
  <c r="L634" i="86"/>
  <c r="O634" i="86" s="1"/>
  <c r="K634" i="86"/>
  <c r="N634" i="86" s="1"/>
  <c r="O633" i="86"/>
  <c r="L633" i="86"/>
  <c r="K633" i="86"/>
  <c r="N633" i="86" s="1"/>
  <c r="N632" i="86"/>
  <c r="L632" i="86"/>
  <c r="O632" i="86" s="1"/>
  <c r="K632" i="86"/>
  <c r="L631" i="86"/>
  <c r="O631" i="86" s="1"/>
  <c r="K631" i="86"/>
  <c r="N631" i="86" s="1"/>
  <c r="L630" i="86"/>
  <c r="O630" i="86" s="1"/>
  <c r="K630" i="86"/>
  <c r="N630" i="86" s="1"/>
  <c r="L629" i="86"/>
  <c r="O629" i="86" s="1"/>
  <c r="K629" i="86"/>
  <c r="N629" i="86" s="1"/>
  <c r="L628" i="86"/>
  <c r="O628" i="86" s="1"/>
  <c r="K628" i="86"/>
  <c r="N628" i="86" s="1"/>
  <c r="N627" i="86"/>
  <c r="L627" i="86"/>
  <c r="O627" i="86" s="1"/>
  <c r="K627" i="86"/>
  <c r="L626" i="86"/>
  <c r="O626" i="86" s="1"/>
  <c r="K626" i="86"/>
  <c r="N626" i="86" s="1"/>
  <c r="N625" i="86"/>
  <c r="L625" i="86"/>
  <c r="O625" i="86" s="1"/>
  <c r="K625" i="86"/>
  <c r="L624" i="86"/>
  <c r="O624" i="86" s="1"/>
  <c r="K624" i="86"/>
  <c r="N624" i="86" s="1"/>
  <c r="N623" i="86"/>
  <c r="L623" i="86"/>
  <c r="O623" i="86" s="1"/>
  <c r="K623" i="86"/>
  <c r="N622" i="86"/>
  <c r="L622" i="86"/>
  <c r="O622" i="86" s="1"/>
  <c r="K622" i="86"/>
  <c r="N621" i="86"/>
  <c r="L621" i="86"/>
  <c r="O621" i="86" s="1"/>
  <c r="K621" i="86"/>
  <c r="N620" i="86"/>
  <c r="L620" i="86"/>
  <c r="O620" i="86" s="1"/>
  <c r="K620" i="86"/>
  <c r="L619" i="86"/>
  <c r="O619" i="86" s="1"/>
  <c r="K619" i="86"/>
  <c r="N619" i="86" s="1"/>
  <c r="N618" i="86"/>
  <c r="L618" i="86"/>
  <c r="O618" i="86" s="1"/>
  <c r="K618" i="86"/>
  <c r="O617" i="86"/>
  <c r="L617" i="86"/>
  <c r="K617" i="86"/>
  <c r="N617" i="86" s="1"/>
  <c r="N616" i="86"/>
  <c r="L616" i="86"/>
  <c r="O616" i="86" s="1"/>
  <c r="K616" i="86"/>
  <c r="N615" i="86"/>
  <c r="L615" i="86"/>
  <c r="O615" i="86" s="1"/>
  <c r="K615" i="86"/>
  <c r="L614" i="86"/>
  <c r="O614" i="86" s="1"/>
  <c r="K614" i="86"/>
  <c r="N614" i="86" s="1"/>
  <c r="L613" i="86"/>
  <c r="O613" i="86" s="1"/>
  <c r="K613" i="86"/>
  <c r="N613" i="86" s="1"/>
  <c r="L612" i="86"/>
  <c r="O612" i="86" s="1"/>
  <c r="K612" i="86"/>
  <c r="N612" i="86" s="1"/>
  <c r="N611" i="86"/>
  <c r="L611" i="86"/>
  <c r="O611" i="86" s="1"/>
  <c r="K611" i="86"/>
  <c r="N610" i="86"/>
  <c r="L610" i="86"/>
  <c r="O610" i="86" s="1"/>
  <c r="K610" i="86"/>
  <c r="L609" i="86"/>
  <c r="O609" i="86" s="1"/>
  <c r="K609" i="86"/>
  <c r="N609" i="86" s="1"/>
  <c r="L608" i="86"/>
  <c r="O608" i="86" s="1"/>
  <c r="K608" i="86"/>
  <c r="N608" i="86" s="1"/>
  <c r="L607" i="86"/>
  <c r="O607" i="86" s="1"/>
  <c r="K607" i="86"/>
  <c r="N607" i="86" s="1"/>
  <c r="N606" i="86"/>
  <c r="L606" i="86"/>
  <c r="O606" i="86" s="1"/>
  <c r="K606" i="86"/>
  <c r="O605" i="86"/>
  <c r="N605" i="86"/>
  <c r="L605" i="86"/>
  <c r="K605" i="86"/>
  <c r="L604" i="86"/>
  <c r="O604" i="86" s="1"/>
  <c r="K604" i="86"/>
  <c r="N604" i="86" s="1"/>
  <c r="L603" i="86"/>
  <c r="O603" i="86" s="1"/>
  <c r="K603" i="86"/>
  <c r="N603" i="86" s="1"/>
  <c r="L602" i="86"/>
  <c r="O602" i="86" s="1"/>
  <c r="K602" i="86"/>
  <c r="N602" i="86" s="1"/>
  <c r="O601" i="86"/>
  <c r="L601" i="86"/>
  <c r="K601" i="86"/>
  <c r="N601" i="86" s="1"/>
  <c r="N600" i="86"/>
  <c r="L600" i="86"/>
  <c r="O600" i="86" s="1"/>
  <c r="K600" i="86"/>
  <c r="N599" i="86"/>
  <c r="L599" i="86"/>
  <c r="O599" i="86" s="1"/>
  <c r="K599" i="86"/>
  <c r="L598" i="86"/>
  <c r="O598" i="86" s="1"/>
  <c r="K598" i="86"/>
  <c r="N598" i="86" s="1"/>
  <c r="L597" i="86"/>
  <c r="O597" i="86" s="1"/>
  <c r="K597" i="86"/>
  <c r="N597" i="86" s="1"/>
  <c r="N596" i="86"/>
  <c r="L596" i="86"/>
  <c r="O596" i="86" s="1"/>
  <c r="K596" i="86"/>
  <c r="N595" i="86"/>
  <c r="L595" i="86"/>
  <c r="O595" i="86" s="1"/>
  <c r="K595" i="86"/>
  <c r="N594" i="86"/>
  <c r="L594" i="86"/>
  <c r="O594" i="86" s="1"/>
  <c r="K594" i="86"/>
  <c r="N593" i="86"/>
  <c r="L593" i="86"/>
  <c r="O593" i="86" s="1"/>
  <c r="K593" i="86"/>
  <c r="L592" i="86"/>
  <c r="O592" i="86" s="1"/>
  <c r="K592" i="86"/>
  <c r="N592" i="86" s="1"/>
  <c r="L591" i="86"/>
  <c r="O591" i="86" s="1"/>
  <c r="L590" i="86"/>
  <c r="O590" i="86" s="1"/>
  <c r="L589" i="86"/>
  <c r="O589" i="86" s="1"/>
  <c r="L588" i="86"/>
  <c r="O588" i="86" s="1"/>
  <c r="L587" i="86"/>
  <c r="O587" i="86" s="1"/>
  <c r="L586" i="86"/>
  <c r="O586" i="86" s="1"/>
  <c r="L585" i="86"/>
  <c r="O585" i="86" s="1"/>
  <c r="L584" i="86"/>
  <c r="O584" i="86" s="1"/>
  <c r="L583" i="86"/>
  <c r="O583" i="86" s="1"/>
  <c r="L582" i="86"/>
  <c r="O582" i="86" s="1"/>
  <c r="L581" i="86"/>
  <c r="O581" i="86" s="1"/>
  <c r="L580" i="86"/>
  <c r="O580" i="86" s="1"/>
  <c r="L579" i="86"/>
  <c r="O579" i="86" s="1"/>
  <c r="L578" i="86"/>
  <c r="O578" i="86" s="1"/>
  <c r="L577" i="86"/>
  <c r="O577" i="86" s="1"/>
  <c r="L576" i="86"/>
  <c r="O576" i="86" s="1"/>
  <c r="L575" i="86"/>
  <c r="O575" i="86" s="1"/>
  <c r="L574" i="86"/>
  <c r="O574" i="86" s="1"/>
  <c r="O573" i="86"/>
  <c r="L573" i="86"/>
  <c r="L572" i="86"/>
  <c r="O572" i="86" s="1"/>
  <c r="L571" i="86"/>
  <c r="O571" i="86" s="1"/>
  <c r="L570" i="86"/>
  <c r="O570" i="86" s="1"/>
  <c r="O569" i="86"/>
  <c r="L569" i="86"/>
  <c r="L568" i="86"/>
  <c r="O568" i="86" s="1"/>
  <c r="L567" i="86"/>
  <c r="O567" i="86" s="1"/>
  <c r="L566" i="86"/>
  <c r="O566" i="86" s="1"/>
  <c r="O565" i="86"/>
  <c r="L565" i="86"/>
  <c r="L564" i="86"/>
  <c r="O564" i="86" s="1"/>
  <c r="L563" i="86"/>
  <c r="O563" i="86" s="1"/>
  <c r="L562" i="86"/>
  <c r="O562" i="86" s="1"/>
  <c r="L561" i="86"/>
  <c r="O561" i="86" s="1"/>
  <c r="L560" i="86"/>
  <c r="O560" i="86" s="1"/>
  <c r="L559" i="86"/>
  <c r="O559" i="86" s="1"/>
  <c r="L558" i="86"/>
  <c r="O558" i="86" s="1"/>
  <c r="L557" i="86"/>
  <c r="O557" i="86" s="1"/>
  <c r="L556" i="86"/>
  <c r="O556" i="86" s="1"/>
  <c r="L453" i="86"/>
  <c r="O453" i="86" s="1"/>
  <c r="O451" i="86"/>
  <c r="L451" i="86"/>
  <c r="L449" i="86"/>
  <c r="O449" i="86" s="1"/>
  <c r="L447" i="86"/>
  <c r="O447" i="86" s="1"/>
  <c r="L445" i="86"/>
  <c r="O445" i="86" s="1"/>
  <c r="L443" i="86"/>
  <c r="O443" i="86" s="1"/>
  <c r="L441" i="86"/>
  <c r="O441" i="86" s="1"/>
  <c r="L439" i="86"/>
  <c r="O439" i="86" s="1"/>
  <c r="L437" i="86"/>
  <c r="O437" i="86" s="1"/>
  <c r="L435" i="86"/>
  <c r="O435" i="86" s="1"/>
  <c r="L432" i="86"/>
  <c r="O432" i="86" s="1"/>
  <c r="L429" i="86"/>
  <c r="O429" i="86" s="1"/>
  <c r="L426" i="86"/>
  <c r="O426" i="86" s="1"/>
  <c r="J426" i="86"/>
  <c r="M426" i="86" s="1"/>
  <c r="L425" i="86"/>
  <c r="O425" i="86" s="1"/>
  <c r="J425" i="86"/>
  <c r="M425" i="86" s="1"/>
  <c r="L424" i="86"/>
  <c r="O424" i="86" s="1"/>
  <c r="J424" i="86"/>
  <c r="M424" i="86" s="1"/>
  <c r="L423" i="86"/>
  <c r="O423" i="86" s="1"/>
  <c r="J423" i="86"/>
  <c r="M423" i="86" s="1"/>
  <c r="M422" i="86"/>
  <c r="L422" i="86"/>
  <c r="O422" i="86" s="1"/>
  <c r="J422" i="86"/>
  <c r="L421" i="86"/>
  <c r="O421" i="86" s="1"/>
  <c r="J421" i="86"/>
  <c r="M421" i="86" s="1"/>
  <c r="L420" i="86"/>
  <c r="O420" i="86" s="1"/>
  <c r="J420" i="86"/>
  <c r="M420" i="86" s="1"/>
  <c r="L419" i="86"/>
  <c r="O419" i="86" s="1"/>
  <c r="J419" i="86"/>
  <c r="M419" i="86" s="1"/>
  <c r="M418" i="86"/>
  <c r="L418" i="86"/>
  <c r="O418" i="86" s="1"/>
  <c r="J418" i="86"/>
  <c r="L417" i="86"/>
  <c r="O417" i="86" s="1"/>
  <c r="J417" i="86"/>
  <c r="M417" i="86" s="1"/>
  <c r="L416" i="86"/>
  <c r="O416" i="86" s="1"/>
  <c r="J416" i="86"/>
  <c r="M416" i="86" s="1"/>
  <c r="L415" i="86"/>
  <c r="O415" i="86" s="1"/>
  <c r="J415" i="86"/>
  <c r="M415" i="86" s="1"/>
  <c r="L414" i="86"/>
  <c r="O414" i="86" s="1"/>
  <c r="L412" i="86"/>
  <c r="O412" i="86" s="1"/>
  <c r="L410" i="86"/>
  <c r="O410" i="86" s="1"/>
  <c r="L408" i="86"/>
  <c r="O408" i="86" s="1"/>
  <c r="L406" i="86"/>
  <c r="O406" i="86" s="1"/>
  <c r="L404" i="86"/>
  <c r="O404" i="86" s="1"/>
  <c r="L402" i="86"/>
  <c r="O402" i="86" s="1"/>
  <c r="L400" i="86"/>
  <c r="O400" i="86" s="1"/>
  <c r="L398" i="86"/>
  <c r="O398" i="86" s="1"/>
  <c r="L396" i="86"/>
  <c r="O396" i="86" s="1"/>
  <c r="L393" i="86"/>
  <c r="O393" i="86" s="1"/>
  <c r="L390" i="86"/>
  <c r="O390" i="86" s="1"/>
  <c r="O387" i="86"/>
  <c r="L387" i="86"/>
  <c r="L386" i="86"/>
  <c r="O386" i="86" s="1"/>
  <c r="L385" i="86"/>
  <c r="O385" i="86" s="1"/>
  <c r="L384" i="86"/>
  <c r="O384" i="86" s="1"/>
  <c r="L383" i="86"/>
  <c r="O383" i="86" s="1"/>
  <c r="L382" i="86"/>
  <c r="O382" i="86" s="1"/>
  <c r="L381" i="86"/>
  <c r="O381" i="86" s="1"/>
  <c r="L380" i="86"/>
  <c r="O380" i="86" s="1"/>
  <c r="L379" i="86"/>
  <c r="O379" i="86" s="1"/>
  <c r="L378" i="86"/>
  <c r="O378" i="86" s="1"/>
  <c r="L377" i="86"/>
  <c r="O377" i="86" s="1"/>
  <c r="L376" i="86"/>
  <c r="O376" i="86" s="1"/>
  <c r="L375" i="86"/>
  <c r="O375" i="86" s="1"/>
  <c r="J375" i="86"/>
  <c r="M375" i="86" s="1"/>
  <c r="M374" i="86"/>
  <c r="L374" i="86"/>
  <c r="O374" i="86" s="1"/>
  <c r="J374" i="86"/>
  <c r="L373" i="86"/>
  <c r="O373" i="86" s="1"/>
  <c r="J373" i="86"/>
  <c r="M373" i="86" s="1"/>
  <c r="L372" i="86"/>
  <c r="O372" i="86" s="1"/>
  <c r="J372" i="86"/>
  <c r="M372" i="86" s="1"/>
  <c r="L371" i="86"/>
  <c r="O371" i="86" s="1"/>
  <c r="J371" i="86"/>
  <c r="M371" i="86" s="1"/>
  <c r="L370" i="86"/>
  <c r="O370" i="86" s="1"/>
  <c r="J370" i="86"/>
  <c r="M370" i="86" s="1"/>
  <c r="L369" i="86"/>
  <c r="O369" i="86" s="1"/>
  <c r="J369" i="86"/>
  <c r="M369" i="86" s="1"/>
  <c r="L368" i="86"/>
  <c r="O368" i="86" s="1"/>
  <c r="J368" i="86"/>
  <c r="M368" i="86" s="1"/>
  <c r="O367" i="86"/>
  <c r="L367" i="86"/>
  <c r="J367" i="86"/>
  <c r="M367" i="86" s="1"/>
  <c r="M366" i="86"/>
  <c r="L366" i="86"/>
  <c r="O366" i="86" s="1"/>
  <c r="J366" i="86"/>
  <c r="L365" i="86"/>
  <c r="O365" i="86" s="1"/>
  <c r="J365" i="86"/>
  <c r="M365" i="86" s="1"/>
  <c r="L364" i="86"/>
  <c r="O364" i="86" s="1"/>
  <c r="J364" i="86"/>
  <c r="M364" i="86" s="1"/>
  <c r="L363" i="86"/>
  <c r="O363" i="86" s="1"/>
  <c r="L362" i="86"/>
  <c r="O362" i="86" s="1"/>
  <c r="L361" i="86"/>
  <c r="O361" i="86" s="1"/>
  <c r="L360" i="86"/>
  <c r="O360" i="86" s="1"/>
  <c r="L359" i="86"/>
  <c r="O359" i="86" s="1"/>
  <c r="L358" i="86"/>
  <c r="O358" i="86" s="1"/>
  <c r="L357" i="86"/>
  <c r="O357" i="86" s="1"/>
  <c r="L356" i="86"/>
  <c r="O356" i="86" s="1"/>
  <c r="O355" i="86"/>
  <c r="L355" i="86"/>
  <c r="L354" i="86"/>
  <c r="O354" i="86" s="1"/>
  <c r="L353" i="86"/>
  <c r="O353" i="86" s="1"/>
  <c r="L352" i="86"/>
  <c r="O352" i="86" s="1"/>
  <c r="L297" i="86"/>
  <c r="O297" i="86" s="1"/>
  <c r="K297" i="86"/>
  <c r="N297" i="86" s="1"/>
  <c r="L296" i="86"/>
  <c r="O296" i="86" s="1"/>
  <c r="K296" i="86"/>
  <c r="N296" i="86" s="1"/>
  <c r="L295" i="86"/>
  <c r="O295" i="86" s="1"/>
  <c r="K295" i="86"/>
  <c r="N295" i="86" s="1"/>
  <c r="L294" i="86"/>
  <c r="O294" i="86" s="1"/>
  <c r="K294" i="86"/>
  <c r="N294" i="86" s="1"/>
  <c r="L293" i="86"/>
  <c r="O293" i="86" s="1"/>
  <c r="K293" i="86"/>
  <c r="N293" i="86" s="1"/>
  <c r="L292" i="86"/>
  <c r="O292" i="86" s="1"/>
  <c r="K292" i="86"/>
  <c r="N292" i="86" s="1"/>
  <c r="O291" i="86"/>
  <c r="L291" i="86"/>
  <c r="K291" i="86"/>
  <c r="N291" i="86" s="1"/>
  <c r="N290" i="86"/>
  <c r="L290" i="86"/>
  <c r="O290" i="86" s="1"/>
  <c r="K290" i="86"/>
  <c r="L289" i="86"/>
  <c r="O289" i="86" s="1"/>
  <c r="K289" i="86"/>
  <c r="N289" i="86" s="1"/>
  <c r="L288" i="86"/>
  <c r="O288" i="86" s="1"/>
  <c r="K288" i="86"/>
  <c r="N288" i="86" s="1"/>
  <c r="O287" i="86"/>
  <c r="N287" i="86"/>
  <c r="L287" i="86"/>
  <c r="K287" i="86"/>
  <c r="N286" i="86"/>
  <c r="L286" i="86"/>
  <c r="O286" i="86" s="1"/>
  <c r="K286" i="86"/>
  <c r="L285" i="86"/>
  <c r="O285" i="86" s="1"/>
  <c r="K285" i="86"/>
  <c r="N285" i="86" s="1"/>
  <c r="L284" i="86"/>
  <c r="O284" i="86" s="1"/>
  <c r="K284" i="86"/>
  <c r="N284" i="86" s="1"/>
  <c r="N283" i="86"/>
  <c r="L283" i="86"/>
  <c r="O283" i="86" s="1"/>
  <c r="K283" i="86"/>
  <c r="L282" i="86"/>
  <c r="O282" i="86" s="1"/>
  <c r="K282" i="86"/>
  <c r="N282" i="86" s="1"/>
  <c r="L281" i="86"/>
  <c r="O281" i="86" s="1"/>
  <c r="K281" i="86"/>
  <c r="N281" i="86" s="1"/>
  <c r="L280" i="86"/>
  <c r="O280" i="86" s="1"/>
  <c r="K280" i="86"/>
  <c r="N280" i="86" s="1"/>
  <c r="L279" i="86"/>
  <c r="O279" i="86" s="1"/>
  <c r="K279" i="86"/>
  <c r="N279" i="86" s="1"/>
  <c r="L278" i="86"/>
  <c r="O278" i="86" s="1"/>
  <c r="K278" i="86"/>
  <c r="N278" i="86" s="1"/>
  <c r="L277" i="86"/>
  <c r="O277" i="86" s="1"/>
  <c r="K277" i="86"/>
  <c r="N277" i="86" s="1"/>
  <c r="L276" i="86"/>
  <c r="O276" i="86" s="1"/>
  <c r="K276" i="86"/>
  <c r="N276" i="86" s="1"/>
  <c r="L275" i="86"/>
  <c r="O275" i="86" s="1"/>
  <c r="K275" i="86"/>
  <c r="N275" i="86" s="1"/>
  <c r="L274" i="86"/>
  <c r="O274" i="86" s="1"/>
  <c r="K274" i="86"/>
  <c r="N274" i="86" s="1"/>
  <c r="L273" i="86"/>
  <c r="O273" i="86" s="1"/>
  <c r="K273" i="86"/>
  <c r="N273" i="86" s="1"/>
  <c r="L272" i="86"/>
  <c r="O272" i="86" s="1"/>
  <c r="K272" i="86"/>
  <c r="N272" i="86" s="1"/>
  <c r="L271" i="86"/>
  <c r="O271" i="86" s="1"/>
  <c r="K271" i="86"/>
  <c r="N271" i="86" s="1"/>
  <c r="N270" i="86"/>
  <c r="L270" i="86"/>
  <c r="O270" i="86" s="1"/>
  <c r="K270" i="86"/>
  <c r="L269" i="86"/>
  <c r="O269" i="86" s="1"/>
  <c r="K269" i="86"/>
  <c r="N269" i="86" s="1"/>
  <c r="L268" i="86"/>
  <c r="O268" i="86" s="1"/>
  <c r="K268" i="86"/>
  <c r="N268" i="86" s="1"/>
  <c r="L267" i="86"/>
  <c r="O267" i="86" s="1"/>
  <c r="K267" i="86"/>
  <c r="N267" i="86" s="1"/>
  <c r="L266" i="86"/>
  <c r="O266" i="86" s="1"/>
  <c r="K266" i="86"/>
  <c r="N266" i="86" s="1"/>
  <c r="L265" i="86"/>
  <c r="O265" i="86" s="1"/>
  <c r="K265" i="86"/>
  <c r="N265" i="86" s="1"/>
  <c r="L264" i="86"/>
  <c r="O264" i="86" s="1"/>
  <c r="K264" i="86"/>
  <c r="N264" i="86" s="1"/>
  <c r="L263" i="86"/>
  <c r="O263" i="86" s="1"/>
  <c r="K263" i="86"/>
  <c r="N263" i="86" s="1"/>
  <c r="L262" i="86"/>
  <c r="O262" i="86" s="1"/>
  <c r="K262" i="86"/>
  <c r="N262" i="86" s="1"/>
  <c r="L261" i="86"/>
  <c r="O261" i="86" s="1"/>
  <c r="K261" i="86"/>
  <c r="N261" i="86" s="1"/>
  <c r="L260" i="86"/>
  <c r="O260" i="86" s="1"/>
  <c r="K260" i="86"/>
  <c r="N260" i="86" s="1"/>
  <c r="L259" i="86"/>
  <c r="O259" i="86" s="1"/>
  <c r="K259" i="86"/>
  <c r="N259" i="86" s="1"/>
  <c r="L258" i="86"/>
  <c r="O258" i="86" s="1"/>
  <c r="K258" i="86"/>
  <c r="N258" i="86" s="1"/>
  <c r="L257" i="86"/>
  <c r="O257" i="86" s="1"/>
  <c r="K257" i="86"/>
  <c r="N257" i="86" s="1"/>
  <c r="L256" i="86"/>
  <c r="O256" i="86" s="1"/>
  <c r="K256" i="86"/>
  <c r="N256" i="86" s="1"/>
  <c r="L255" i="86"/>
  <c r="O255" i="86" s="1"/>
  <c r="K255" i="86"/>
  <c r="N255" i="86" s="1"/>
  <c r="N254" i="86"/>
  <c r="L254" i="86"/>
  <c r="O254" i="86" s="1"/>
  <c r="K254" i="86"/>
  <c r="L253" i="86"/>
  <c r="O253" i="86" s="1"/>
  <c r="K253" i="86"/>
  <c r="N253" i="86" s="1"/>
  <c r="L252" i="86"/>
  <c r="O252" i="86" s="1"/>
  <c r="K252" i="86"/>
  <c r="N252" i="86" s="1"/>
  <c r="O251" i="86"/>
  <c r="L251" i="86"/>
  <c r="K251" i="86"/>
  <c r="N251" i="86" s="1"/>
  <c r="L250" i="86"/>
  <c r="O250" i="86" s="1"/>
  <c r="K250" i="86"/>
  <c r="N250" i="86" s="1"/>
  <c r="L249" i="86"/>
  <c r="O249" i="86" s="1"/>
  <c r="K249" i="86"/>
  <c r="N249" i="86" s="1"/>
  <c r="L248" i="86"/>
  <c r="O248" i="86" s="1"/>
  <c r="K248" i="86"/>
  <c r="N248" i="86" s="1"/>
  <c r="L247" i="86"/>
  <c r="O247" i="86" s="1"/>
  <c r="K247" i="86"/>
  <c r="N247" i="86" s="1"/>
  <c r="L246" i="86"/>
  <c r="O246" i="86" s="1"/>
  <c r="K246" i="86"/>
  <c r="N246" i="86" s="1"/>
  <c r="L245" i="86"/>
  <c r="O245" i="86" s="1"/>
  <c r="K245" i="86"/>
  <c r="N245" i="86" s="1"/>
  <c r="L244" i="86"/>
  <c r="O244" i="86" s="1"/>
  <c r="K244" i="86"/>
  <c r="N244" i="86" s="1"/>
  <c r="L243" i="86"/>
  <c r="O243" i="86" s="1"/>
  <c r="K243" i="86"/>
  <c r="N243" i="86" s="1"/>
  <c r="L242" i="86"/>
  <c r="O242" i="86" s="1"/>
  <c r="K242" i="86"/>
  <c r="N242" i="86" s="1"/>
  <c r="L241" i="86"/>
  <c r="O241" i="86" s="1"/>
  <c r="K241" i="86"/>
  <c r="N241" i="86" s="1"/>
  <c r="L240" i="86"/>
  <c r="O240" i="86" s="1"/>
  <c r="K240" i="86"/>
  <c r="N240" i="86" s="1"/>
  <c r="L239" i="86"/>
  <c r="O239" i="86" s="1"/>
  <c r="K239" i="86"/>
  <c r="N239" i="86" s="1"/>
  <c r="N238" i="86"/>
  <c r="L238" i="86"/>
  <c r="O238" i="86" s="1"/>
  <c r="K238" i="86"/>
  <c r="L237" i="86"/>
  <c r="O237" i="86" s="1"/>
  <c r="L235" i="86"/>
  <c r="O235" i="86" s="1"/>
  <c r="L233" i="86"/>
  <c r="O233" i="86" s="1"/>
  <c r="L232" i="86"/>
  <c r="O232" i="86" s="1"/>
  <c r="O231" i="86"/>
  <c r="L231" i="86"/>
  <c r="L229" i="86"/>
  <c r="O229" i="86" s="1"/>
  <c r="O227" i="86"/>
  <c r="L227" i="86"/>
  <c r="L225" i="86"/>
  <c r="O225" i="86" s="1"/>
  <c r="L223" i="86"/>
  <c r="O223" i="86" s="1"/>
  <c r="L221" i="86"/>
  <c r="O221" i="86" s="1"/>
  <c r="L219" i="86"/>
  <c r="O219" i="86" s="1"/>
  <c r="L217" i="86"/>
  <c r="O217" i="86" s="1"/>
  <c r="L215" i="86"/>
  <c r="O215" i="86" s="1"/>
  <c r="J215" i="86"/>
  <c r="M215" i="86" s="1"/>
  <c r="M214" i="86"/>
  <c r="L214" i="86"/>
  <c r="O214" i="86" s="1"/>
  <c r="J214" i="86"/>
  <c r="L213" i="86"/>
  <c r="O213" i="86" s="1"/>
  <c r="J213" i="86"/>
  <c r="M213" i="86" s="1"/>
  <c r="L212" i="86"/>
  <c r="O212" i="86" s="1"/>
  <c r="J212" i="86"/>
  <c r="M212" i="86" s="1"/>
  <c r="O211" i="86"/>
  <c r="L211" i="86"/>
  <c r="J211" i="86"/>
  <c r="M211" i="86" s="1"/>
  <c r="L210" i="86"/>
  <c r="O210" i="86" s="1"/>
  <c r="J210" i="86"/>
  <c r="M210" i="86" s="1"/>
  <c r="L209" i="86"/>
  <c r="O209" i="86" s="1"/>
  <c r="J209" i="86"/>
  <c r="M209" i="86" s="1"/>
  <c r="L208" i="86"/>
  <c r="O208" i="86" s="1"/>
  <c r="J208" i="86"/>
  <c r="M208" i="86" s="1"/>
  <c r="O207" i="86"/>
  <c r="L207" i="86"/>
  <c r="J207" i="86"/>
  <c r="M207" i="86" s="1"/>
  <c r="M206" i="86"/>
  <c r="L206" i="86"/>
  <c r="O206" i="86" s="1"/>
  <c r="J206" i="86"/>
  <c r="L205" i="86"/>
  <c r="O205" i="86" s="1"/>
  <c r="J205" i="86"/>
  <c r="M205" i="86" s="1"/>
  <c r="L204" i="86"/>
  <c r="O204" i="86" s="1"/>
  <c r="J204" i="86"/>
  <c r="M204" i="86" s="1"/>
  <c r="L203" i="86"/>
  <c r="O203" i="86" s="1"/>
  <c r="L201" i="86"/>
  <c r="O201" i="86" s="1"/>
  <c r="L199" i="86"/>
  <c r="O199" i="86" s="1"/>
  <c r="L198" i="86"/>
  <c r="O198" i="86" s="1"/>
  <c r="L197" i="86"/>
  <c r="O197" i="86" s="1"/>
  <c r="L195" i="86"/>
  <c r="O195" i="86" s="1"/>
  <c r="L193" i="86"/>
  <c r="O193" i="86" s="1"/>
  <c r="L191" i="86"/>
  <c r="O191" i="86" s="1"/>
  <c r="L189" i="86"/>
  <c r="O189" i="86" s="1"/>
  <c r="O187" i="86"/>
  <c r="L187" i="86"/>
  <c r="L185" i="86"/>
  <c r="O185" i="86" s="1"/>
  <c r="O183" i="86"/>
  <c r="L183" i="86"/>
  <c r="L181" i="86"/>
  <c r="O181" i="86" s="1"/>
  <c r="K181" i="86"/>
  <c r="N181" i="86" s="1"/>
  <c r="L180" i="86"/>
  <c r="O180" i="86" s="1"/>
  <c r="K180" i="86"/>
  <c r="N180" i="86" s="1"/>
  <c r="L179" i="86"/>
  <c r="O179" i="86" s="1"/>
  <c r="K179" i="86"/>
  <c r="N179" i="86" s="1"/>
  <c r="L178" i="86"/>
  <c r="O178" i="86" s="1"/>
  <c r="K178" i="86"/>
  <c r="N178" i="86" s="1"/>
  <c r="L177" i="86"/>
  <c r="O177" i="86" s="1"/>
  <c r="K177" i="86"/>
  <c r="N177" i="86" s="1"/>
  <c r="L176" i="86"/>
  <c r="O176" i="86" s="1"/>
  <c r="K176" i="86"/>
  <c r="N176" i="86" s="1"/>
  <c r="L175" i="86"/>
  <c r="O175" i="86" s="1"/>
  <c r="K175" i="86"/>
  <c r="N175" i="86" s="1"/>
  <c r="O174" i="86"/>
  <c r="L174" i="86"/>
  <c r="K174" i="86"/>
  <c r="N174" i="86" s="1"/>
  <c r="L173" i="86"/>
  <c r="O173" i="86" s="1"/>
  <c r="K173" i="86"/>
  <c r="N173" i="86" s="1"/>
  <c r="L172" i="86"/>
  <c r="O172" i="86" s="1"/>
  <c r="K172" i="86"/>
  <c r="N172" i="86" s="1"/>
  <c r="L171" i="86"/>
  <c r="O171" i="86" s="1"/>
  <c r="K171" i="86"/>
  <c r="N171" i="86" s="1"/>
  <c r="L170" i="86"/>
  <c r="O170" i="86" s="1"/>
  <c r="K170" i="86"/>
  <c r="N170" i="86" s="1"/>
  <c r="L169" i="86"/>
  <c r="O169" i="86" s="1"/>
  <c r="K169" i="86"/>
  <c r="N169" i="86" s="1"/>
  <c r="L168" i="86"/>
  <c r="O168" i="86" s="1"/>
  <c r="K168" i="86"/>
  <c r="N168" i="86" s="1"/>
  <c r="L167" i="86"/>
  <c r="O167" i="86" s="1"/>
  <c r="K167" i="86"/>
  <c r="N167" i="86" s="1"/>
  <c r="L166" i="86"/>
  <c r="O166" i="86" s="1"/>
  <c r="K166" i="86"/>
  <c r="N166" i="86" s="1"/>
  <c r="L165" i="86"/>
  <c r="O165" i="86" s="1"/>
  <c r="K165" i="86"/>
  <c r="N165" i="86" s="1"/>
  <c r="L164" i="86"/>
  <c r="O164" i="86" s="1"/>
  <c r="K164" i="86"/>
  <c r="N164" i="86" s="1"/>
  <c r="L163" i="86"/>
  <c r="O163" i="86" s="1"/>
  <c r="K163" i="86"/>
  <c r="N163" i="86" s="1"/>
  <c r="L162" i="86"/>
  <c r="O162" i="86" s="1"/>
  <c r="K162" i="86"/>
  <c r="N162" i="86" s="1"/>
  <c r="L161" i="86"/>
  <c r="O161" i="86" s="1"/>
  <c r="K161" i="86"/>
  <c r="N161" i="86" s="1"/>
  <c r="L160" i="86"/>
  <c r="O160" i="86" s="1"/>
  <c r="K160" i="86"/>
  <c r="N160" i="86" s="1"/>
  <c r="L159" i="86"/>
  <c r="O159" i="86" s="1"/>
  <c r="K159" i="86"/>
  <c r="N159" i="86" s="1"/>
  <c r="O158" i="86"/>
  <c r="L158" i="86"/>
  <c r="K158" i="86"/>
  <c r="N158" i="86" s="1"/>
  <c r="O157" i="86"/>
  <c r="L157" i="86"/>
  <c r="K157" i="86"/>
  <c r="N157" i="86" s="1"/>
  <c r="L156" i="86"/>
  <c r="O156" i="86" s="1"/>
  <c r="K156" i="86"/>
  <c r="N156" i="86" s="1"/>
  <c r="L155" i="86"/>
  <c r="O155" i="86" s="1"/>
  <c r="K155" i="86"/>
  <c r="N155" i="86" s="1"/>
  <c r="O154" i="86"/>
  <c r="L154" i="86"/>
  <c r="K154" i="86"/>
  <c r="N154" i="86" s="1"/>
  <c r="O153" i="86"/>
  <c r="L153" i="86"/>
  <c r="K153" i="86"/>
  <c r="N153" i="86" s="1"/>
  <c r="L152" i="86"/>
  <c r="O152" i="86" s="1"/>
  <c r="K152" i="86"/>
  <c r="N152" i="86" s="1"/>
  <c r="L151" i="86"/>
  <c r="O151" i="86" s="1"/>
  <c r="K151" i="86"/>
  <c r="N151" i="86" s="1"/>
  <c r="O150" i="86"/>
  <c r="L150" i="86"/>
  <c r="K150" i="86"/>
  <c r="N150" i="86" s="1"/>
  <c r="O149" i="86"/>
  <c r="L149" i="86"/>
  <c r="K149" i="86"/>
  <c r="N149" i="86" s="1"/>
  <c r="L148" i="86"/>
  <c r="O148" i="86" s="1"/>
  <c r="K148" i="86"/>
  <c r="N148" i="86" s="1"/>
  <c r="L147" i="86"/>
  <c r="O147" i="86" s="1"/>
  <c r="K147" i="86"/>
  <c r="N147" i="86" s="1"/>
  <c r="O146" i="86"/>
  <c r="L146" i="86"/>
  <c r="K146" i="86"/>
  <c r="N146" i="86" s="1"/>
  <c r="O145" i="86"/>
  <c r="L145" i="86"/>
  <c r="K145" i="86"/>
  <c r="N145" i="86" s="1"/>
  <c r="L144" i="86"/>
  <c r="O144" i="86" s="1"/>
  <c r="K144" i="86"/>
  <c r="N144" i="86" s="1"/>
  <c r="L143" i="86"/>
  <c r="O143" i="86" s="1"/>
  <c r="K143" i="86"/>
  <c r="N143" i="86" s="1"/>
  <c r="O142" i="86"/>
  <c r="L142" i="86"/>
  <c r="K142" i="86"/>
  <c r="N142" i="86" s="1"/>
  <c r="O141" i="86"/>
  <c r="L141" i="86"/>
  <c r="K141" i="86"/>
  <c r="N141" i="86" s="1"/>
  <c r="L140" i="86"/>
  <c r="O140" i="86" s="1"/>
  <c r="K140" i="86"/>
  <c r="N140" i="86" s="1"/>
  <c r="L139" i="86"/>
  <c r="O139" i="86" s="1"/>
  <c r="K139" i="86"/>
  <c r="N139" i="86" s="1"/>
  <c r="O138" i="86"/>
  <c r="L138" i="86"/>
  <c r="K138" i="86"/>
  <c r="N138" i="86" s="1"/>
  <c r="O137" i="86"/>
  <c r="L137" i="86"/>
  <c r="K137" i="86"/>
  <c r="N137" i="86" s="1"/>
  <c r="L136" i="86"/>
  <c r="O136" i="86" s="1"/>
  <c r="K136" i="86"/>
  <c r="N136" i="86" s="1"/>
  <c r="L135" i="86"/>
  <c r="O135" i="86" s="1"/>
  <c r="K135" i="86"/>
  <c r="N135" i="86" s="1"/>
  <c r="O134" i="86"/>
  <c r="L134" i="86"/>
  <c r="K134" i="86"/>
  <c r="N134" i="86" s="1"/>
  <c r="O133" i="86"/>
  <c r="L133" i="86"/>
  <c r="K133" i="86"/>
  <c r="N133" i="86" s="1"/>
  <c r="L132" i="86"/>
  <c r="O132" i="86" s="1"/>
  <c r="K132" i="86"/>
  <c r="N132" i="86" s="1"/>
  <c r="L131" i="86"/>
  <c r="O131" i="86" s="1"/>
  <c r="K131" i="86"/>
  <c r="N131" i="86" s="1"/>
  <c r="O130" i="86"/>
  <c r="L130" i="86"/>
  <c r="K130" i="86"/>
  <c r="N130" i="86" s="1"/>
  <c r="O129" i="86"/>
  <c r="L129" i="86"/>
  <c r="K129" i="86"/>
  <c r="N129" i="86" s="1"/>
  <c r="L128" i="86"/>
  <c r="O128" i="86" s="1"/>
  <c r="K128" i="86"/>
  <c r="N128" i="86" s="1"/>
  <c r="L127" i="86"/>
  <c r="O127" i="86" s="1"/>
  <c r="K127" i="86"/>
  <c r="N127" i="86" s="1"/>
  <c r="O126" i="86"/>
  <c r="L126" i="86"/>
  <c r="K126" i="86"/>
  <c r="N126" i="86" s="1"/>
  <c r="O125" i="86"/>
  <c r="L125" i="86"/>
  <c r="K125" i="86"/>
  <c r="N125" i="86" s="1"/>
  <c r="L124" i="86"/>
  <c r="O124" i="86" s="1"/>
  <c r="K124" i="86"/>
  <c r="N124" i="86" s="1"/>
  <c r="L123" i="86"/>
  <c r="O123" i="86" s="1"/>
  <c r="K123" i="86"/>
  <c r="N123" i="86" s="1"/>
  <c r="O122" i="86"/>
  <c r="L122" i="86"/>
  <c r="K122" i="86"/>
  <c r="N122" i="86" s="1"/>
  <c r="O121" i="86"/>
  <c r="L121" i="86"/>
  <c r="K121" i="86"/>
  <c r="N121" i="86" s="1"/>
  <c r="L120" i="86"/>
  <c r="O120" i="86" s="1"/>
  <c r="K120" i="86"/>
  <c r="N120" i="86" s="1"/>
  <c r="L119" i="86"/>
  <c r="O119" i="86" s="1"/>
  <c r="K119" i="86"/>
  <c r="N119" i="86" s="1"/>
  <c r="O118" i="86"/>
  <c r="L118" i="86"/>
  <c r="K118" i="86"/>
  <c r="N118" i="86" s="1"/>
  <c r="O117" i="86"/>
  <c r="L117" i="86"/>
  <c r="K117" i="86"/>
  <c r="N117" i="86" s="1"/>
  <c r="L116" i="86"/>
  <c r="O116" i="86" s="1"/>
  <c r="K116" i="86"/>
  <c r="N116" i="86" s="1"/>
  <c r="L115" i="86"/>
  <c r="O115" i="86" s="1"/>
  <c r="K115" i="86"/>
  <c r="N115" i="86" s="1"/>
  <c r="O114" i="86"/>
  <c r="L114" i="86"/>
  <c r="K114" i="86"/>
  <c r="N114" i="86" s="1"/>
  <c r="O113" i="86"/>
  <c r="N113" i="86"/>
  <c r="L113" i="86"/>
  <c r="K113" i="86"/>
  <c r="L112" i="86"/>
  <c r="O112" i="86" s="1"/>
  <c r="K112" i="86"/>
  <c r="N112" i="86" s="1"/>
  <c r="L111" i="86"/>
  <c r="O111" i="86" s="1"/>
  <c r="K111" i="86"/>
  <c r="N111" i="86" s="1"/>
  <c r="O110" i="86"/>
  <c r="N110" i="86"/>
  <c r="L110" i="86"/>
  <c r="K110" i="86"/>
  <c r="O109" i="86"/>
  <c r="N109" i="86"/>
  <c r="L109" i="86"/>
  <c r="K109" i="86"/>
  <c r="L108" i="86"/>
  <c r="O108" i="86" s="1"/>
  <c r="K108" i="86"/>
  <c r="N108" i="86" s="1"/>
  <c r="L107" i="86"/>
  <c r="O107" i="86" s="1"/>
  <c r="K107" i="86"/>
  <c r="N107" i="86" s="1"/>
  <c r="O106" i="86"/>
  <c r="N106" i="86"/>
  <c r="L106" i="86"/>
  <c r="K106" i="86"/>
  <c r="O105" i="86"/>
  <c r="N105" i="86"/>
  <c r="L105" i="86"/>
  <c r="K105" i="86"/>
  <c r="L104" i="86"/>
  <c r="O104" i="86" s="1"/>
  <c r="K104" i="86"/>
  <c r="N104" i="86" s="1"/>
  <c r="L103" i="86"/>
  <c r="O103" i="86" s="1"/>
  <c r="K103" i="86"/>
  <c r="N103" i="86" s="1"/>
  <c r="O102" i="86"/>
  <c r="N102" i="86"/>
  <c r="L102" i="86"/>
  <c r="K102" i="86"/>
  <c r="O101" i="86"/>
  <c r="N101" i="86"/>
  <c r="L101" i="86"/>
  <c r="K101" i="86"/>
  <c r="L100" i="86"/>
  <c r="O100" i="86" s="1"/>
  <c r="K100" i="86"/>
  <c r="N100" i="86" s="1"/>
  <c r="L99" i="86"/>
  <c r="O99" i="86" s="1"/>
  <c r="K99" i="86"/>
  <c r="N99" i="86" s="1"/>
  <c r="O98" i="86"/>
  <c r="N98" i="86"/>
  <c r="L98" i="86"/>
  <c r="K98" i="86"/>
  <c r="O97" i="86"/>
  <c r="N97" i="86"/>
  <c r="L97" i="86"/>
  <c r="K97" i="86"/>
  <c r="L96" i="86"/>
  <c r="O96" i="86" s="1"/>
  <c r="K96" i="86"/>
  <c r="N96" i="86" s="1"/>
  <c r="L95" i="86"/>
  <c r="O95" i="86" s="1"/>
  <c r="K95" i="86"/>
  <c r="N95" i="86" s="1"/>
  <c r="O94" i="86"/>
  <c r="N94" i="86"/>
  <c r="L94" i="86"/>
  <c r="K94" i="86"/>
  <c r="O93" i="86"/>
  <c r="N93" i="86"/>
  <c r="L93" i="86"/>
  <c r="K93" i="86"/>
  <c r="L92" i="86"/>
  <c r="O92" i="86" s="1"/>
  <c r="K92" i="86"/>
  <c r="N92" i="86" s="1"/>
  <c r="L91" i="86"/>
  <c r="O91" i="86" s="1"/>
  <c r="K91" i="86"/>
  <c r="N91" i="86" s="1"/>
  <c r="O90" i="86"/>
  <c r="L90" i="86"/>
  <c r="K90" i="86"/>
  <c r="N90" i="86" s="1"/>
  <c r="N89" i="86"/>
  <c r="L89" i="86"/>
  <c r="O89" i="86" s="1"/>
  <c r="K89" i="86"/>
  <c r="L88" i="86"/>
  <c r="O88" i="86" s="1"/>
  <c r="K88" i="86"/>
  <c r="N88" i="86" s="1"/>
  <c r="L87" i="86"/>
  <c r="O87" i="86" s="1"/>
  <c r="K87" i="86"/>
  <c r="N87" i="86" s="1"/>
  <c r="N86" i="86"/>
  <c r="L86" i="86"/>
  <c r="O86" i="86" s="1"/>
  <c r="K86" i="86"/>
  <c r="N85" i="86"/>
  <c r="L85" i="86"/>
  <c r="O85" i="86" s="1"/>
  <c r="K85" i="86"/>
  <c r="L84" i="86"/>
  <c r="O84" i="86" s="1"/>
  <c r="K84" i="86"/>
  <c r="N84" i="86" s="1"/>
  <c r="L83" i="86"/>
  <c r="O83" i="86" s="1"/>
  <c r="K83" i="86"/>
  <c r="N83" i="86" s="1"/>
  <c r="N82" i="86"/>
  <c r="L82" i="86"/>
  <c r="O82" i="86" s="1"/>
  <c r="K82" i="86"/>
  <c r="N81" i="86"/>
  <c r="L81" i="86"/>
  <c r="O81" i="86" s="1"/>
  <c r="K81" i="86"/>
  <c r="L80" i="86"/>
  <c r="O80" i="86" s="1"/>
  <c r="K80" i="86"/>
  <c r="N80" i="86" s="1"/>
  <c r="L79" i="86"/>
  <c r="O79" i="86" s="1"/>
  <c r="K79" i="86"/>
  <c r="N79" i="86" s="1"/>
  <c r="L78" i="86"/>
  <c r="O78" i="86" s="1"/>
  <c r="K78" i="86"/>
  <c r="N78" i="86" s="1"/>
  <c r="L77" i="86"/>
  <c r="O77" i="86" s="1"/>
  <c r="K77" i="86"/>
  <c r="N77" i="86" s="1"/>
  <c r="L76" i="86"/>
  <c r="O76" i="86" s="1"/>
  <c r="K76" i="86"/>
  <c r="N76" i="86" s="1"/>
  <c r="L75" i="86"/>
  <c r="O75" i="86" s="1"/>
  <c r="K75" i="86"/>
  <c r="N75" i="86" s="1"/>
  <c r="L74" i="86"/>
  <c r="O74" i="86" s="1"/>
  <c r="K74" i="86"/>
  <c r="N74" i="86" s="1"/>
  <c r="O73" i="86"/>
  <c r="L73" i="86"/>
  <c r="K73" i="86"/>
  <c r="N73" i="86" s="1"/>
  <c r="L72" i="86"/>
  <c r="O72" i="86" s="1"/>
  <c r="K72" i="86"/>
  <c r="N72" i="86" s="1"/>
  <c r="L71" i="86"/>
  <c r="O71" i="86" s="1"/>
  <c r="K71" i="86"/>
  <c r="N71" i="86" s="1"/>
  <c r="O70" i="86"/>
  <c r="L70" i="86"/>
  <c r="K70" i="86"/>
  <c r="N70" i="86" s="1"/>
  <c r="O69" i="86"/>
  <c r="N69" i="86"/>
  <c r="L69" i="86"/>
  <c r="K69" i="86"/>
  <c r="L68" i="86"/>
  <c r="O68" i="86" s="1"/>
  <c r="K68" i="86"/>
  <c r="N68" i="86" s="1"/>
  <c r="L67" i="86"/>
  <c r="O67" i="86" s="1"/>
  <c r="K67" i="86"/>
  <c r="N67" i="86" s="1"/>
  <c r="L66" i="86"/>
  <c r="O66" i="86" s="1"/>
  <c r="K66" i="86"/>
  <c r="N66" i="86" s="1"/>
  <c r="N65" i="86"/>
  <c r="L65" i="86"/>
  <c r="O65" i="86" s="1"/>
  <c r="K65" i="86"/>
  <c r="L64" i="86"/>
  <c r="O64" i="86" s="1"/>
  <c r="K64" i="86"/>
  <c r="N64" i="86" s="1"/>
  <c r="L63" i="86"/>
  <c r="O63" i="86" s="1"/>
  <c r="K63" i="86"/>
  <c r="N63" i="86" s="1"/>
  <c r="L62" i="86"/>
  <c r="O62" i="86" s="1"/>
  <c r="K62" i="86"/>
  <c r="N62" i="86" s="1"/>
  <c r="L61" i="86"/>
  <c r="O61" i="86" s="1"/>
  <c r="L60" i="86"/>
  <c r="O60" i="86" s="1"/>
  <c r="L59" i="86"/>
  <c r="O59" i="86" s="1"/>
  <c r="L58" i="86"/>
  <c r="O58" i="86" s="1"/>
  <c r="O57" i="86"/>
  <c r="L57" i="86"/>
  <c r="L56" i="86"/>
  <c r="O56" i="86" s="1"/>
  <c r="L55" i="86"/>
  <c r="O55" i="86" s="1"/>
  <c r="L54" i="86"/>
  <c r="O54" i="86" s="1"/>
  <c r="L53" i="86"/>
  <c r="O53" i="86" s="1"/>
  <c r="L52" i="86"/>
  <c r="O52" i="86" s="1"/>
  <c r="L51" i="86"/>
  <c r="O51" i="86" s="1"/>
  <c r="L50" i="86"/>
  <c r="O50" i="86" s="1"/>
  <c r="O49" i="86"/>
  <c r="M49" i="86"/>
  <c r="L49" i="86"/>
  <c r="J49" i="86"/>
  <c r="M48" i="86"/>
  <c r="L48" i="86"/>
  <c r="O48" i="86" s="1"/>
  <c r="J48" i="86"/>
  <c r="L47" i="86"/>
  <c r="O47" i="86" s="1"/>
  <c r="J47" i="86"/>
  <c r="M47" i="86" s="1"/>
  <c r="O46" i="86"/>
  <c r="L46" i="86"/>
  <c r="J46" i="86"/>
  <c r="M46" i="86" s="1"/>
  <c r="O45" i="86"/>
  <c r="L45" i="86"/>
  <c r="J45" i="86"/>
  <c r="M45" i="86" s="1"/>
  <c r="M44" i="86"/>
  <c r="L44" i="86"/>
  <c r="O44" i="86" s="1"/>
  <c r="J44" i="86"/>
  <c r="L43" i="86"/>
  <c r="O43" i="86" s="1"/>
  <c r="J43" i="86"/>
  <c r="M43" i="86" s="1"/>
  <c r="O42" i="86"/>
  <c r="L42" i="86"/>
  <c r="J42" i="86"/>
  <c r="M42" i="86" s="1"/>
  <c r="O41" i="86"/>
  <c r="M41" i="86"/>
  <c r="L41" i="86"/>
  <c r="J41" i="86"/>
  <c r="M40" i="86"/>
  <c r="L40" i="86"/>
  <c r="O40" i="86" s="1"/>
  <c r="J40" i="86"/>
  <c r="L39" i="86"/>
  <c r="O39" i="86" s="1"/>
  <c r="J39" i="86"/>
  <c r="M39" i="86" s="1"/>
  <c r="O38" i="86"/>
  <c r="L38" i="86"/>
  <c r="J38" i="86"/>
  <c r="M38" i="86" s="1"/>
  <c r="O37" i="86"/>
  <c r="L37" i="86"/>
  <c r="J37" i="86"/>
  <c r="M37" i="86" s="1"/>
  <c r="M36" i="86"/>
  <c r="L36" i="86"/>
  <c r="O36" i="86" s="1"/>
  <c r="J36" i="86"/>
  <c r="L35" i="86"/>
  <c r="O35" i="86" s="1"/>
  <c r="J35" i="86"/>
  <c r="M35" i="86" s="1"/>
  <c r="O34" i="86"/>
  <c r="L34" i="86"/>
  <c r="J34" i="86"/>
  <c r="M34" i="86" s="1"/>
  <c r="O33" i="86"/>
  <c r="M33" i="86"/>
  <c r="L33" i="86"/>
  <c r="J33" i="86"/>
  <c r="M32" i="86"/>
  <c r="L32" i="86"/>
  <c r="O32" i="86" s="1"/>
  <c r="J32" i="86"/>
  <c r="L31" i="86"/>
  <c r="O31" i="86" s="1"/>
  <c r="J31" i="86"/>
  <c r="M31" i="86" s="1"/>
  <c r="O30" i="86"/>
  <c r="L30" i="86"/>
  <c r="J30" i="86"/>
  <c r="M30" i="86" s="1"/>
  <c r="O29" i="86"/>
  <c r="L29" i="86"/>
  <c r="J29" i="86"/>
  <c r="M29" i="86" s="1"/>
  <c r="M28" i="86"/>
  <c r="L28" i="86"/>
  <c r="O28" i="86" s="1"/>
  <c r="J28" i="86"/>
  <c r="L27" i="86"/>
  <c r="O27" i="86" s="1"/>
  <c r="J27" i="86"/>
  <c r="M27" i="86" s="1"/>
  <c r="O26" i="86"/>
  <c r="L26" i="86"/>
  <c r="J26" i="86"/>
  <c r="M26" i="86" s="1"/>
  <c r="L25" i="86"/>
  <c r="O25" i="86" s="1"/>
  <c r="L24" i="86"/>
  <c r="O24" i="86" s="1"/>
  <c r="L23" i="86"/>
  <c r="O23" i="86" s="1"/>
  <c r="O22" i="86"/>
  <c r="L22" i="86"/>
  <c r="L21" i="86"/>
  <c r="O21" i="86" s="1"/>
  <c r="L20" i="86"/>
  <c r="O20" i="86" s="1"/>
  <c r="L19" i="86"/>
  <c r="O19" i="86" s="1"/>
  <c r="L18" i="86"/>
  <c r="O18" i="86" s="1"/>
  <c r="O17" i="86"/>
  <c r="L17" i="86"/>
  <c r="L16" i="86"/>
  <c r="O16" i="86" s="1"/>
  <c r="L15" i="86"/>
  <c r="O15" i="86" s="1"/>
  <c r="L14" i="86"/>
  <c r="O14" i="86" s="1"/>
  <c r="L13" i="86"/>
  <c r="O13" i="86" s="1"/>
  <c r="J13" i="86"/>
  <c r="M13" i="86" s="1"/>
  <c r="L12" i="86"/>
  <c r="O12" i="86" s="1"/>
  <c r="J12" i="86"/>
  <c r="M12" i="86" s="1"/>
  <c r="L11" i="86"/>
  <c r="O11" i="86" s="1"/>
  <c r="J11" i="86"/>
  <c r="M11" i="86" s="1"/>
  <c r="L10" i="86"/>
  <c r="O10" i="86" s="1"/>
  <c r="J10" i="86"/>
  <c r="M10" i="86" s="1"/>
  <c r="L9" i="86"/>
  <c r="O9" i="86" s="1"/>
  <c r="J9" i="86"/>
  <c r="M9" i="86" s="1"/>
  <c r="L8" i="86"/>
  <c r="O8" i="86" s="1"/>
  <c r="J8" i="86"/>
  <c r="M8" i="86" s="1"/>
  <c r="L7" i="86"/>
  <c r="O7" i="86" s="1"/>
  <c r="J7" i="86"/>
  <c r="M7" i="86" s="1"/>
  <c r="L6" i="86"/>
  <c r="O6" i="86" s="1"/>
  <c r="J6" i="86"/>
  <c r="M6" i="86" s="1"/>
  <c r="L5" i="86"/>
  <c r="O5" i="86" s="1"/>
  <c r="J5" i="86"/>
  <c r="M5" i="86" s="1"/>
  <c r="L4" i="86"/>
  <c r="O4" i="86" s="1"/>
  <c r="J4" i="86"/>
  <c r="M4" i="86" s="1"/>
  <c r="L3" i="86"/>
  <c r="O3" i="86" s="1"/>
  <c r="J3" i="86"/>
  <c r="M3" i="86" s="1"/>
  <c r="L2" i="86"/>
  <c r="J2" i="86"/>
  <c r="X1994" i="82"/>
  <c r="W1994" i="82"/>
  <c r="X1993" i="82"/>
  <c r="W1993" i="82"/>
  <c r="X1992" i="82"/>
  <c r="W1992" i="82"/>
  <c r="X1991" i="82"/>
  <c r="W1991" i="82"/>
  <c r="X1990" i="82"/>
  <c r="W1990" i="82"/>
  <c r="X1989" i="82"/>
  <c r="W1989" i="82"/>
  <c r="X1988" i="82"/>
  <c r="W1988" i="82"/>
  <c r="X1987" i="82"/>
  <c r="W1987" i="82"/>
  <c r="X1986" i="82"/>
  <c r="W1986" i="82"/>
  <c r="X1985" i="82"/>
  <c r="W1985" i="82"/>
  <c r="X1984" i="82"/>
  <c r="W1984" i="82"/>
  <c r="X1983" i="82"/>
  <c r="W1983" i="82"/>
  <c r="X1216" i="82"/>
  <c r="W1216" i="82"/>
  <c r="X1215" i="82"/>
  <c r="W1215" i="82"/>
  <c r="X1214" i="82"/>
  <c r="W1214" i="82"/>
  <c r="X1213" i="82"/>
  <c r="W1213" i="82"/>
  <c r="X1212" i="82"/>
  <c r="W1212" i="82"/>
  <c r="X1211" i="82"/>
  <c r="W1211" i="82"/>
  <c r="AC1211" i="82" s="1"/>
  <c r="X1210" i="82"/>
  <c r="W1210" i="82"/>
  <c r="X1209" i="82"/>
  <c r="W1209" i="82"/>
  <c r="X1208" i="82"/>
  <c r="W1208" i="82"/>
  <c r="X1207" i="82"/>
  <c r="W1207" i="82"/>
  <c r="X1206" i="82"/>
  <c r="W1206" i="82"/>
  <c r="X1205" i="82"/>
  <c r="W1205" i="82"/>
  <c r="V1204" i="82"/>
  <c r="V1203" i="82"/>
  <c r="V1202" i="82"/>
  <c r="V1201" i="82"/>
  <c r="V1200" i="82"/>
  <c r="V1199" i="82"/>
  <c r="V1198" i="82"/>
  <c r="V1197" i="82"/>
  <c r="V1196" i="82"/>
  <c r="V1195" i="82"/>
  <c r="V1194" i="82"/>
  <c r="V1193" i="82"/>
  <c r="X1192" i="82"/>
  <c r="W1192" i="82"/>
  <c r="X1191" i="82"/>
  <c r="W1191" i="82"/>
  <c r="X1190" i="82"/>
  <c r="W1190" i="82"/>
  <c r="X1189" i="82"/>
  <c r="W1189" i="82"/>
  <c r="X1188" i="82"/>
  <c r="W1188" i="82"/>
  <c r="X1187" i="82"/>
  <c r="W1187" i="82"/>
  <c r="X1186" i="82"/>
  <c r="W1186" i="82"/>
  <c r="X1185" i="82"/>
  <c r="W1185" i="82"/>
  <c r="X1184" i="82"/>
  <c r="W1184" i="82"/>
  <c r="X1183" i="82"/>
  <c r="W1183" i="82"/>
  <c r="X1182" i="82"/>
  <c r="W1182" i="82"/>
  <c r="X1181" i="82"/>
  <c r="W1181" i="82"/>
  <c r="X1180" i="82"/>
  <c r="W1180" i="82"/>
  <c r="X1179" i="82"/>
  <c r="W1179" i="82"/>
  <c r="X1178" i="82"/>
  <c r="W1178" i="82"/>
  <c r="X1177" i="82"/>
  <c r="W1177" i="82"/>
  <c r="X1176" i="82"/>
  <c r="W1176" i="82"/>
  <c r="X1175" i="82"/>
  <c r="W1175" i="82"/>
  <c r="X1174" i="82"/>
  <c r="W1174" i="82"/>
  <c r="X1173" i="82"/>
  <c r="W1173" i="82"/>
  <c r="X1172" i="82"/>
  <c r="W1172" i="82"/>
  <c r="X1171" i="82"/>
  <c r="W1171" i="82"/>
  <c r="X1170" i="82"/>
  <c r="W1170" i="82"/>
  <c r="X1169" i="82"/>
  <c r="W1169" i="82"/>
  <c r="X1168" i="82"/>
  <c r="W1168" i="82"/>
  <c r="V1167" i="82"/>
  <c r="V1166" i="82"/>
  <c r="V1165" i="82"/>
  <c r="V1164" i="82"/>
  <c r="V1163" i="82"/>
  <c r="V1162" i="82"/>
  <c r="V1161" i="82"/>
  <c r="V1160" i="82"/>
  <c r="V1159" i="82"/>
  <c r="V1158" i="82"/>
  <c r="V1157" i="82"/>
  <c r="V1156" i="82"/>
  <c r="V1155" i="82"/>
  <c r="X1154" i="82"/>
  <c r="W1154" i="82"/>
  <c r="X1153" i="82"/>
  <c r="W1153" i="82"/>
  <c r="X1152" i="82"/>
  <c r="W1152" i="82"/>
  <c r="X1151" i="82"/>
  <c r="W1151" i="82"/>
  <c r="X1150" i="82"/>
  <c r="W1150" i="82"/>
  <c r="X1149" i="82"/>
  <c r="W1149" i="82"/>
  <c r="X1148" i="82"/>
  <c r="W1148" i="82"/>
  <c r="X1147" i="82"/>
  <c r="W1147" i="82"/>
  <c r="X1146" i="82"/>
  <c r="W1146" i="82"/>
  <c r="X1145" i="82"/>
  <c r="W1145" i="82"/>
  <c r="X1144" i="82"/>
  <c r="W1144" i="82"/>
  <c r="X1143" i="82"/>
  <c r="W1143" i="82"/>
  <c r="X1142" i="82"/>
  <c r="W1142" i="82"/>
  <c r="AD951" i="83"/>
  <c r="X951" i="83"/>
  <c r="W951" i="83"/>
  <c r="AC951" i="83" s="1"/>
  <c r="AD950" i="83"/>
  <c r="AC950" i="83"/>
  <c r="X950" i="83"/>
  <c r="W950" i="83"/>
  <c r="AD949" i="83"/>
  <c r="X949" i="83"/>
  <c r="W949" i="83"/>
  <c r="AC949" i="83" s="1"/>
  <c r="AD948" i="83"/>
  <c r="X948" i="83"/>
  <c r="W948" i="83"/>
  <c r="AD947" i="83"/>
  <c r="X947" i="83"/>
  <c r="W947" i="83"/>
  <c r="AC947" i="83" s="1"/>
  <c r="AD946" i="83"/>
  <c r="X946" i="83"/>
  <c r="W946" i="83"/>
  <c r="AC946" i="83" s="1"/>
  <c r="AD945" i="83"/>
  <c r="X945" i="83"/>
  <c r="W945" i="83"/>
  <c r="AC945" i="83" s="1"/>
  <c r="AD944" i="83"/>
  <c r="X944" i="83"/>
  <c r="W944" i="83"/>
  <c r="AC944" i="83" s="1"/>
  <c r="AD943" i="83"/>
  <c r="X943" i="83"/>
  <c r="W943" i="83"/>
  <c r="AC943" i="83" s="1"/>
  <c r="AD942" i="83"/>
  <c r="X942" i="83"/>
  <c r="AC942" i="83" s="1"/>
  <c r="W942" i="83"/>
  <c r="AD941" i="83"/>
  <c r="X941" i="83"/>
  <c r="AC941" i="83" s="1"/>
  <c r="W941" i="83"/>
  <c r="AD940" i="83"/>
  <c r="X940" i="83"/>
  <c r="AC940" i="83" s="1"/>
  <c r="W940" i="83"/>
  <c r="AD596" i="83"/>
  <c r="X596" i="83"/>
  <c r="W596" i="83"/>
  <c r="AD595" i="83"/>
  <c r="X595" i="83"/>
  <c r="W595" i="83"/>
  <c r="AD594" i="83"/>
  <c r="X594" i="83"/>
  <c r="W594" i="83"/>
  <c r="AD593" i="83"/>
  <c r="X593" i="83"/>
  <c r="W593" i="83"/>
  <c r="AD592" i="83"/>
  <c r="X592" i="83"/>
  <c r="W592" i="83"/>
  <c r="AD591" i="83"/>
  <c r="AC591" i="83"/>
  <c r="X591" i="83"/>
  <c r="W591" i="83"/>
  <c r="AD590" i="83"/>
  <c r="AC590" i="83"/>
  <c r="X590" i="83"/>
  <c r="W590" i="83"/>
  <c r="AD589" i="83"/>
  <c r="X589" i="83"/>
  <c r="W589" i="83"/>
  <c r="AD588" i="83"/>
  <c r="X588" i="83"/>
  <c r="W588" i="83"/>
  <c r="AD587" i="83"/>
  <c r="X587" i="83"/>
  <c r="W587" i="83"/>
  <c r="AD586" i="83"/>
  <c r="X586" i="83"/>
  <c r="W586" i="83"/>
  <c r="AD585" i="83"/>
  <c r="X585" i="83"/>
  <c r="W585" i="83"/>
  <c r="AE584" i="83"/>
  <c r="V584" i="83"/>
  <c r="AB584" i="83" s="1"/>
  <c r="AE583" i="83"/>
  <c r="V583" i="83"/>
  <c r="AB583" i="83" s="1"/>
  <c r="AE582" i="83"/>
  <c r="V582" i="83"/>
  <c r="AB582" i="83" s="1"/>
  <c r="AE581" i="83"/>
  <c r="V581" i="83"/>
  <c r="AB581" i="83" s="1"/>
  <c r="AE580" i="83"/>
  <c r="V580" i="83"/>
  <c r="AB580" i="83" s="1"/>
  <c r="AE579" i="83"/>
  <c r="AC579" i="83"/>
  <c r="V579" i="83"/>
  <c r="AB579" i="83" s="1"/>
  <c r="AE578" i="83"/>
  <c r="V578" i="83"/>
  <c r="AB578" i="83" s="1"/>
  <c r="AE577" i="83"/>
  <c r="V577" i="83"/>
  <c r="AB577" i="83" s="1"/>
  <c r="AE576" i="83"/>
  <c r="V576" i="83"/>
  <c r="AB576" i="83" s="1"/>
  <c r="AE575" i="83"/>
  <c r="V575" i="83"/>
  <c r="AB575" i="83" s="1"/>
  <c r="AE574" i="83"/>
  <c r="V574" i="83"/>
  <c r="AB574" i="83" s="1"/>
  <c r="AE573" i="83"/>
  <c r="V573" i="83"/>
  <c r="AB573" i="83" s="1"/>
  <c r="AD572" i="83"/>
  <c r="X572" i="83"/>
  <c r="W572" i="83"/>
  <c r="AC572" i="83" s="1"/>
  <c r="AD571" i="83"/>
  <c r="X571" i="83"/>
  <c r="AC571" i="83" s="1"/>
  <c r="W571" i="83"/>
  <c r="AD570" i="83"/>
  <c r="X570" i="83"/>
  <c r="W570" i="83"/>
  <c r="AC570" i="83" s="1"/>
  <c r="AD569" i="83"/>
  <c r="X569" i="83"/>
  <c r="W569" i="83"/>
  <c r="AD568" i="83"/>
  <c r="X568" i="83"/>
  <c r="W568" i="83"/>
  <c r="AC568" i="83" s="1"/>
  <c r="AD567" i="83"/>
  <c r="X567" i="83"/>
  <c r="W567" i="83"/>
  <c r="AD566" i="83"/>
  <c r="X566" i="83"/>
  <c r="W566" i="83"/>
  <c r="AC566" i="83" s="1"/>
  <c r="AD565" i="83"/>
  <c r="AC565" i="83"/>
  <c r="X565" i="83"/>
  <c r="W565" i="83"/>
  <c r="AD564" i="83"/>
  <c r="AC564" i="83"/>
  <c r="AB564" i="83"/>
  <c r="X564" i="83"/>
  <c r="W564" i="83"/>
  <c r="AD563" i="83"/>
  <c r="X563" i="83"/>
  <c r="W563" i="83"/>
  <c r="AD562" i="83"/>
  <c r="AB562" i="83"/>
  <c r="X562" i="83"/>
  <c r="W562" i="83"/>
  <c r="AC562" i="83" s="1"/>
  <c r="AD561" i="83"/>
  <c r="X561" i="83"/>
  <c r="W561" i="83"/>
  <c r="AD560" i="83"/>
  <c r="X560" i="83"/>
  <c r="W560" i="83"/>
  <c r="AC560" i="83" s="1"/>
  <c r="AD559" i="83"/>
  <c r="X559" i="83"/>
  <c r="W559" i="83"/>
  <c r="AC559" i="83" s="1"/>
  <c r="AD558" i="83"/>
  <c r="AB558" i="83"/>
  <c r="X558" i="83"/>
  <c r="W558" i="83"/>
  <c r="AC558" i="83" s="1"/>
  <c r="AD557" i="83"/>
  <c r="X557" i="83"/>
  <c r="W557" i="83"/>
  <c r="AC557" i="83" s="1"/>
  <c r="AD556" i="83"/>
  <c r="X556" i="83"/>
  <c r="AC556" i="83" s="1"/>
  <c r="W556" i="83"/>
  <c r="AD555" i="83"/>
  <c r="X555" i="83"/>
  <c r="W555" i="83"/>
  <c r="X555" i="82"/>
  <c r="W555" i="82"/>
  <c r="V555" i="82"/>
  <c r="AD554" i="83"/>
  <c r="X554" i="83"/>
  <c r="W554" i="83"/>
  <c r="AC554" i="83" s="1"/>
  <c r="X554" i="82"/>
  <c r="W554" i="82"/>
  <c r="V554" i="82"/>
  <c r="AD553" i="83"/>
  <c r="X553" i="83"/>
  <c r="W553" i="83"/>
  <c r="AC553" i="83" s="1"/>
  <c r="X553" i="82"/>
  <c r="W553" i="82"/>
  <c r="V553" i="82"/>
  <c r="AD552" i="83"/>
  <c r="X552" i="83"/>
  <c r="W552" i="83"/>
  <c r="X552" i="82"/>
  <c r="W552" i="82"/>
  <c r="V552" i="82"/>
  <c r="AD551" i="83"/>
  <c r="AC551" i="83"/>
  <c r="X551" i="83"/>
  <c r="W551" i="83"/>
  <c r="X551" i="82"/>
  <c r="W551" i="82"/>
  <c r="V551" i="82"/>
  <c r="AD550" i="83"/>
  <c r="X550" i="83"/>
  <c r="W550" i="83"/>
  <c r="AC550" i="83" s="1"/>
  <c r="X550" i="82"/>
  <c r="W550" i="82"/>
  <c r="V550" i="82"/>
  <c r="AB550" i="82" s="1"/>
  <c r="AD549" i="83"/>
  <c r="X549" i="83"/>
  <c r="W549" i="83"/>
  <c r="X549" i="82"/>
  <c r="W549" i="82"/>
  <c r="V549" i="82"/>
  <c r="AD548" i="83"/>
  <c r="X548" i="83"/>
  <c r="W548" i="83"/>
  <c r="X548" i="82"/>
  <c r="W548" i="82"/>
  <c r="V548" i="82"/>
  <c r="AE547" i="83"/>
  <c r="AC547" i="83"/>
  <c r="V547" i="83"/>
  <c r="AB547" i="83" s="1"/>
  <c r="X547" i="82"/>
  <c r="W547" i="82"/>
  <c r="V547" i="82"/>
  <c r="AE546" i="83"/>
  <c r="V546" i="83"/>
  <c r="AB546" i="83" s="1"/>
  <c r="X546" i="82"/>
  <c r="AD546" i="82" s="1"/>
  <c r="W546" i="82"/>
  <c r="V546" i="82"/>
  <c r="AE545" i="83"/>
  <c r="V545" i="83"/>
  <c r="AB545" i="83" s="1"/>
  <c r="X545" i="82"/>
  <c r="W545" i="82"/>
  <c r="V545" i="82"/>
  <c r="AE544" i="83"/>
  <c r="V544" i="83"/>
  <c r="AB544" i="83" s="1"/>
  <c r="X544" i="82"/>
  <c r="W544" i="82"/>
  <c r="V544" i="82"/>
  <c r="AE543" i="83"/>
  <c r="AC543" i="83"/>
  <c r="V543" i="83"/>
  <c r="AB543" i="83" s="1"/>
  <c r="X543" i="82"/>
  <c r="W543" i="82"/>
  <c r="V543" i="82"/>
  <c r="AE542" i="83"/>
  <c r="V542" i="83"/>
  <c r="AB542" i="83" s="1"/>
  <c r="X542" i="82"/>
  <c r="W542" i="82"/>
  <c r="V542" i="82"/>
  <c r="AE541" i="83"/>
  <c r="V541" i="83"/>
  <c r="AB541" i="83" s="1"/>
  <c r="X541" i="82"/>
  <c r="W541" i="82"/>
  <c r="AC541" i="82" s="1"/>
  <c r="V541" i="82"/>
  <c r="AE540" i="83"/>
  <c r="V540" i="83"/>
  <c r="AB540" i="83" s="1"/>
  <c r="X540" i="82"/>
  <c r="W540" i="82"/>
  <c r="V540" i="82"/>
  <c r="AB540" i="82" s="1"/>
  <c r="AE539" i="83"/>
  <c r="AB539" i="83"/>
  <c r="V539" i="83"/>
  <c r="X539" i="82"/>
  <c r="W539" i="82"/>
  <c r="AC539" i="82" s="1"/>
  <c r="V539" i="82"/>
  <c r="AE538" i="83"/>
  <c r="V538" i="83"/>
  <c r="AB538" i="83" s="1"/>
  <c r="X538" i="82"/>
  <c r="W538" i="82"/>
  <c r="V538" i="82"/>
  <c r="AB538" i="82" s="1"/>
  <c r="AE537" i="83"/>
  <c r="AB537" i="83"/>
  <c r="V537" i="83"/>
  <c r="X537" i="82"/>
  <c r="W537" i="82"/>
  <c r="AC537" i="82" s="1"/>
  <c r="V537" i="82"/>
  <c r="AE536" i="83"/>
  <c r="V536" i="83"/>
  <c r="AB536" i="83" s="1"/>
  <c r="X536" i="82"/>
  <c r="W536" i="82"/>
  <c r="V536" i="82"/>
  <c r="AE535" i="83"/>
  <c r="V535" i="83"/>
  <c r="AB535" i="83" s="1"/>
  <c r="X535" i="82"/>
  <c r="W535" i="82"/>
  <c r="V535" i="82"/>
  <c r="AD534" i="83"/>
  <c r="AC534" i="83"/>
  <c r="X534" i="83"/>
  <c r="W534" i="83"/>
  <c r="X534" i="82"/>
  <c r="W534" i="82"/>
  <c r="V534" i="82"/>
  <c r="AD533" i="83"/>
  <c r="X533" i="83"/>
  <c r="W533" i="83"/>
  <c r="X533" i="82"/>
  <c r="W533" i="82"/>
  <c r="V533" i="82"/>
  <c r="AB533" i="82" s="1"/>
  <c r="AD532" i="83"/>
  <c r="X532" i="83"/>
  <c r="W532" i="83"/>
  <c r="X532" i="82"/>
  <c r="W532" i="82"/>
  <c r="V532" i="82"/>
  <c r="AD531" i="83"/>
  <c r="AC531" i="83"/>
  <c r="X531" i="83"/>
  <c r="W531" i="83"/>
  <c r="X531" i="82"/>
  <c r="W531" i="82"/>
  <c r="V531" i="82"/>
  <c r="AD530" i="83"/>
  <c r="AB530" i="83"/>
  <c r="X530" i="83"/>
  <c r="W530" i="83"/>
  <c r="AC530" i="83" s="1"/>
  <c r="X530" i="82"/>
  <c r="AD530" i="82" s="1"/>
  <c r="W530" i="82"/>
  <c r="V530" i="82"/>
  <c r="AD529" i="83"/>
  <c r="X529" i="83"/>
  <c r="AC529" i="83" s="1"/>
  <c r="W529" i="83"/>
  <c r="X529" i="82"/>
  <c r="W529" i="82"/>
  <c r="V529" i="82"/>
  <c r="AD528" i="83"/>
  <c r="X528" i="83"/>
  <c r="W528" i="83"/>
  <c r="AC528" i="83" s="1"/>
  <c r="X528" i="82"/>
  <c r="W528" i="82"/>
  <c r="V528" i="82"/>
  <c r="AD527" i="83"/>
  <c r="X527" i="83"/>
  <c r="W527" i="83"/>
  <c r="AC527" i="83" s="1"/>
  <c r="X527" i="82"/>
  <c r="W527" i="82"/>
  <c r="V527" i="82"/>
  <c r="AD526" i="83"/>
  <c r="X526" i="83"/>
  <c r="W526" i="83"/>
  <c r="AC526" i="83" s="1"/>
  <c r="X526" i="82"/>
  <c r="W526" i="82"/>
  <c r="V526" i="82"/>
  <c r="AD525" i="83"/>
  <c r="X525" i="83"/>
  <c r="W525" i="83"/>
  <c r="X525" i="82"/>
  <c r="W525" i="82"/>
  <c r="V525" i="82"/>
  <c r="AD524" i="83"/>
  <c r="X524" i="83"/>
  <c r="W524" i="83"/>
  <c r="X524" i="82"/>
  <c r="W524" i="82"/>
  <c r="V524" i="82"/>
  <c r="AD523" i="83"/>
  <c r="X523" i="83"/>
  <c r="W523" i="83"/>
  <c r="X523" i="82"/>
  <c r="W523" i="82"/>
  <c r="V523" i="82"/>
  <c r="AD522" i="83"/>
  <c r="X522" i="83"/>
  <c r="W522" i="83"/>
  <c r="AC522" i="83" s="1"/>
  <c r="X522" i="82"/>
  <c r="W522" i="82"/>
  <c r="V522" i="82"/>
  <c r="X521" i="82"/>
  <c r="W521" i="82"/>
  <c r="V521" i="82"/>
  <c r="X520" i="82"/>
  <c r="W520" i="82"/>
  <c r="V520" i="82"/>
  <c r="X519" i="82"/>
  <c r="W519" i="82"/>
  <c r="V519" i="82"/>
  <c r="X518" i="82"/>
  <c r="AD518" i="82" s="1"/>
  <c r="W518" i="82"/>
  <c r="V518" i="82"/>
  <c r="X517" i="82"/>
  <c r="W517" i="82"/>
  <c r="V517" i="82"/>
  <c r="X516" i="82"/>
  <c r="W516" i="82"/>
  <c r="V516" i="82"/>
  <c r="X515" i="82"/>
  <c r="W515" i="82"/>
  <c r="V515" i="82"/>
  <c r="X514" i="82"/>
  <c r="W514" i="82"/>
  <c r="V514" i="82"/>
  <c r="X513" i="82"/>
  <c r="W513" i="82"/>
  <c r="V513" i="82"/>
  <c r="X512" i="82"/>
  <c r="W512" i="82"/>
  <c r="V512" i="82"/>
  <c r="X511" i="82"/>
  <c r="W511" i="82"/>
  <c r="V511" i="82"/>
  <c r="X510" i="82"/>
  <c r="AD510" i="82" s="1"/>
  <c r="W510" i="82"/>
  <c r="V510" i="82"/>
  <c r="X509" i="82"/>
  <c r="W509" i="82"/>
  <c r="V509" i="82"/>
  <c r="X508" i="82"/>
  <c r="W508" i="82"/>
  <c r="V508" i="82"/>
  <c r="X507" i="82"/>
  <c r="W507" i="82"/>
  <c r="V507" i="82"/>
  <c r="X506" i="82"/>
  <c r="W506" i="82"/>
  <c r="V506" i="82"/>
  <c r="X505" i="82"/>
  <c r="W505" i="82"/>
  <c r="V505" i="82"/>
  <c r="X504" i="82"/>
  <c r="W504" i="82"/>
  <c r="V504" i="82"/>
  <c r="AB269" i="83"/>
  <c r="X269" i="83"/>
  <c r="W269" i="83"/>
  <c r="AC269" i="83" s="1"/>
  <c r="V269" i="83"/>
  <c r="X268" i="83"/>
  <c r="W268" i="83"/>
  <c r="AC268" i="83" s="1"/>
  <c r="V268" i="83"/>
  <c r="AB268" i="83" s="1"/>
  <c r="X267" i="83"/>
  <c r="W267" i="83"/>
  <c r="AC267" i="83" s="1"/>
  <c r="V267" i="83"/>
  <c r="AB267" i="83" s="1"/>
  <c r="X266" i="83"/>
  <c r="W266" i="83"/>
  <c r="AC266" i="83" s="1"/>
  <c r="V266" i="83"/>
  <c r="AB266" i="83" s="1"/>
  <c r="X265" i="83"/>
  <c r="W265" i="83"/>
  <c r="AC265" i="83" s="1"/>
  <c r="V265" i="83"/>
  <c r="AB265" i="83" s="1"/>
  <c r="X264" i="83"/>
  <c r="W264" i="83"/>
  <c r="V264" i="83"/>
  <c r="AB264" i="83" s="1"/>
  <c r="X263" i="83"/>
  <c r="W263" i="83"/>
  <c r="V263" i="83"/>
  <c r="AB263" i="83" s="1"/>
  <c r="X262" i="83"/>
  <c r="W262" i="83"/>
  <c r="AC262" i="83" s="1"/>
  <c r="V262" i="83"/>
  <c r="AB262" i="83" s="1"/>
  <c r="AB261" i="83"/>
  <c r="X261" i="83"/>
  <c r="W261" i="83"/>
  <c r="V261" i="83"/>
  <c r="X260" i="83"/>
  <c r="W260" i="83"/>
  <c r="AC260" i="83" s="1"/>
  <c r="V260" i="83"/>
  <c r="AB260" i="83" s="1"/>
  <c r="X259" i="83"/>
  <c r="W259" i="83"/>
  <c r="AC259" i="83" s="1"/>
  <c r="V259" i="83"/>
  <c r="AB259" i="83" s="1"/>
  <c r="X258" i="83"/>
  <c r="W258" i="83"/>
  <c r="AC258" i="83" s="1"/>
  <c r="V258" i="83"/>
  <c r="AB258" i="83" s="1"/>
  <c r="AB257" i="83"/>
  <c r="X257" i="83"/>
  <c r="W257" i="83"/>
  <c r="AC257" i="83" s="1"/>
  <c r="V257" i="83"/>
  <c r="X256" i="83"/>
  <c r="W256" i="83"/>
  <c r="V256" i="83"/>
  <c r="AB256" i="83" s="1"/>
  <c r="AB255" i="83"/>
  <c r="X255" i="83"/>
  <c r="W255" i="83"/>
  <c r="V255" i="83"/>
  <c r="X254" i="83"/>
  <c r="W254" i="83"/>
  <c r="V254" i="83"/>
  <c r="AB254" i="83" s="1"/>
  <c r="AB253" i="83"/>
  <c r="X253" i="83"/>
  <c r="W253" i="83"/>
  <c r="AC253" i="83" s="1"/>
  <c r="V253" i="83"/>
  <c r="X252" i="83"/>
  <c r="W252" i="83"/>
  <c r="AC252" i="83" s="1"/>
  <c r="V252" i="83"/>
  <c r="AB252" i="83" s="1"/>
  <c r="X251" i="83"/>
  <c r="W251" i="83"/>
  <c r="AC251" i="83" s="1"/>
  <c r="V251" i="83"/>
  <c r="AB251" i="83" s="1"/>
  <c r="X250" i="83"/>
  <c r="W250" i="83"/>
  <c r="AC250" i="83" s="1"/>
  <c r="V250" i="83"/>
  <c r="AB250" i="83" s="1"/>
  <c r="X249" i="83"/>
  <c r="W249" i="83"/>
  <c r="AC249" i="83" s="1"/>
  <c r="V249" i="83"/>
  <c r="AB249" i="83" s="1"/>
  <c r="X248" i="83"/>
  <c r="W248" i="83"/>
  <c r="V248" i="83"/>
  <c r="AB248" i="83" s="1"/>
  <c r="X247" i="83"/>
  <c r="W247" i="83"/>
  <c r="V247" i="83"/>
  <c r="AB247" i="83" s="1"/>
  <c r="X246" i="83"/>
  <c r="W246" i="83"/>
  <c r="AC246" i="83" s="1"/>
  <c r="V246" i="83"/>
  <c r="AB246" i="83" s="1"/>
  <c r="AB245" i="83"/>
  <c r="X245" i="83"/>
  <c r="W245" i="83"/>
  <c r="V245" i="83"/>
  <c r="X244" i="83"/>
  <c r="W244" i="83"/>
  <c r="AC244" i="83" s="1"/>
  <c r="V244" i="83"/>
  <c r="AB244" i="83" s="1"/>
  <c r="X243" i="83"/>
  <c r="W243" i="83"/>
  <c r="AC243" i="83" s="1"/>
  <c r="V243" i="83"/>
  <c r="AB243" i="83" s="1"/>
  <c r="X242" i="83"/>
  <c r="W242" i="83"/>
  <c r="AC242" i="83" s="1"/>
  <c r="V242" i="83"/>
  <c r="AB242" i="83" s="1"/>
  <c r="AB241" i="83"/>
  <c r="X241" i="83"/>
  <c r="W241" i="83"/>
  <c r="AC241" i="83" s="1"/>
  <c r="V241" i="83"/>
  <c r="X240" i="83"/>
  <c r="W240" i="83"/>
  <c r="V240" i="83"/>
  <c r="AB240" i="83" s="1"/>
  <c r="AB239" i="83"/>
  <c r="X239" i="83"/>
  <c r="W239" i="83"/>
  <c r="V239" i="83"/>
  <c r="X238" i="83"/>
  <c r="W238" i="83"/>
  <c r="V238" i="83"/>
  <c r="AB238" i="83" s="1"/>
  <c r="AB237" i="83"/>
  <c r="X237" i="83"/>
  <c r="W237" i="83"/>
  <c r="AC237" i="83" s="1"/>
  <c r="V237" i="83"/>
  <c r="X236" i="83"/>
  <c r="W236" i="83"/>
  <c r="AC236" i="83" s="1"/>
  <c r="V236" i="83"/>
  <c r="AB236" i="83" s="1"/>
  <c r="X235" i="83"/>
  <c r="W235" i="83"/>
  <c r="AC235" i="83" s="1"/>
  <c r="V235" i="83"/>
  <c r="AB235" i="83" s="1"/>
  <c r="X234" i="83"/>
  <c r="W234" i="83"/>
  <c r="AC234" i="83" s="1"/>
  <c r="V234" i="83"/>
  <c r="AB234" i="83" s="1"/>
  <c r="X233" i="83"/>
  <c r="W233" i="83"/>
  <c r="AC233" i="83" s="1"/>
  <c r="V233" i="83"/>
  <c r="AB233" i="83" s="1"/>
  <c r="X232" i="83"/>
  <c r="W232" i="83"/>
  <c r="V232" i="83"/>
  <c r="AB232" i="83" s="1"/>
  <c r="X231" i="83"/>
  <c r="W231" i="83"/>
  <c r="V231" i="83"/>
  <c r="AB231" i="83" s="1"/>
  <c r="X230" i="83"/>
  <c r="W230" i="83"/>
  <c r="AC230" i="83" s="1"/>
  <c r="V230" i="83"/>
  <c r="AB230" i="83" s="1"/>
  <c r="AB229" i="83"/>
  <c r="X229" i="83"/>
  <c r="W229" i="83"/>
  <c r="V229" i="83"/>
  <c r="X228" i="83"/>
  <c r="W228" i="83"/>
  <c r="AC228" i="83" s="1"/>
  <c r="V228" i="83"/>
  <c r="AB228" i="83" s="1"/>
  <c r="X227" i="83"/>
  <c r="W227" i="83"/>
  <c r="AC227" i="83" s="1"/>
  <c r="V227" i="83"/>
  <c r="AB227" i="83" s="1"/>
  <c r="X226" i="83"/>
  <c r="W226" i="83"/>
  <c r="AC226" i="83" s="1"/>
  <c r="V226" i="83"/>
  <c r="AB226" i="83" s="1"/>
  <c r="AB225" i="83"/>
  <c r="X225" i="83"/>
  <c r="W225" i="83"/>
  <c r="AC225" i="83" s="1"/>
  <c r="V225" i="83"/>
  <c r="X224" i="83"/>
  <c r="AC224" i="83" s="1"/>
  <c r="W224" i="83"/>
  <c r="V224" i="83"/>
  <c r="AB224" i="83" s="1"/>
  <c r="X223" i="83"/>
  <c r="W223" i="83"/>
  <c r="AC223" i="83" s="1"/>
  <c r="V223" i="83"/>
  <c r="AB223" i="83" s="1"/>
  <c r="X222" i="83"/>
  <c r="W222" i="83"/>
  <c r="V222" i="83"/>
  <c r="AB222" i="83" s="1"/>
  <c r="AB221" i="83"/>
  <c r="X221" i="83"/>
  <c r="W221" i="83"/>
  <c r="AC221" i="83" s="1"/>
  <c r="V221" i="83"/>
  <c r="X220" i="83"/>
  <c r="AC220" i="83" s="1"/>
  <c r="W220" i="83"/>
  <c r="V220" i="83"/>
  <c r="AB220" i="83" s="1"/>
  <c r="X219" i="83"/>
  <c r="W219" i="83"/>
  <c r="AC219" i="83" s="1"/>
  <c r="V219" i="83"/>
  <c r="AB219" i="83" s="1"/>
  <c r="X218" i="83"/>
  <c r="W218" i="83"/>
  <c r="V218" i="83"/>
  <c r="AB218" i="83" s="1"/>
  <c r="M40" i="5"/>
  <c r="M39" i="5"/>
  <c r="M38" i="5"/>
  <c r="J1522" i="86" s="1"/>
  <c r="M1522" i="86" s="1"/>
  <c r="AJ9" i="83"/>
  <c r="AI9" i="83"/>
  <c r="AJ4" i="83"/>
  <c r="AI4" i="83"/>
  <c r="AD939" i="83"/>
  <c r="AD938" i="83"/>
  <c r="AD937" i="83"/>
  <c r="AD936" i="83"/>
  <c r="AD935" i="83"/>
  <c r="AD934" i="83"/>
  <c r="AD933" i="83"/>
  <c r="AD932" i="83"/>
  <c r="AD931" i="83"/>
  <c r="AD930" i="83"/>
  <c r="AD929" i="83"/>
  <c r="AD928" i="83"/>
  <c r="AD927" i="83"/>
  <c r="AD926" i="83"/>
  <c r="AD925" i="83"/>
  <c r="AD924" i="83"/>
  <c r="AD923" i="83"/>
  <c r="AD922" i="83"/>
  <c r="AD921" i="83"/>
  <c r="AD920" i="83"/>
  <c r="AD919" i="83"/>
  <c r="AD918" i="83"/>
  <c r="AD917" i="83"/>
  <c r="AD916" i="83"/>
  <c r="AD915" i="83"/>
  <c r="AD914" i="83"/>
  <c r="AD913" i="83"/>
  <c r="AD912" i="83"/>
  <c r="AD911" i="83"/>
  <c r="AD910" i="83"/>
  <c r="AD909" i="83"/>
  <c r="AD908" i="83"/>
  <c r="AD907" i="83"/>
  <c r="AD906" i="83"/>
  <c r="AD905" i="83"/>
  <c r="AD904" i="83"/>
  <c r="AD903" i="83"/>
  <c r="AD902" i="83"/>
  <c r="AD901" i="83"/>
  <c r="AD900" i="83"/>
  <c r="AD899" i="83"/>
  <c r="AD898" i="83"/>
  <c r="AD897" i="83"/>
  <c r="AD896" i="83"/>
  <c r="AD895" i="83"/>
  <c r="AD894" i="83"/>
  <c r="AD893" i="83"/>
  <c r="AD892" i="83"/>
  <c r="AD891" i="83"/>
  <c r="AD890" i="83"/>
  <c r="AD889" i="83"/>
  <c r="AD888" i="83"/>
  <c r="AD887" i="83"/>
  <c r="AD886" i="83"/>
  <c r="AD885" i="83"/>
  <c r="AD884" i="83"/>
  <c r="AD883" i="83"/>
  <c r="AD882" i="83"/>
  <c r="AD881" i="83"/>
  <c r="AD880" i="83"/>
  <c r="AD879" i="83"/>
  <c r="AD878" i="83"/>
  <c r="AD877" i="83"/>
  <c r="AD876" i="83"/>
  <c r="AD875" i="83"/>
  <c r="AD874" i="83"/>
  <c r="AD873" i="83"/>
  <c r="AD872" i="83"/>
  <c r="AD871" i="83"/>
  <c r="AD870" i="83"/>
  <c r="AD869" i="83"/>
  <c r="AD868" i="83"/>
  <c r="AD867" i="83"/>
  <c r="AD866" i="83"/>
  <c r="AD865" i="83"/>
  <c r="AD864" i="83"/>
  <c r="AD863" i="83"/>
  <c r="AD862" i="83"/>
  <c r="AD861" i="83"/>
  <c r="AD860" i="83"/>
  <c r="AD859" i="83"/>
  <c r="AD858" i="83"/>
  <c r="AD857" i="83"/>
  <c r="AD856" i="83"/>
  <c r="AD855" i="83"/>
  <c r="AD854" i="83"/>
  <c r="AD853" i="83"/>
  <c r="AD852" i="83"/>
  <c r="AD851" i="83"/>
  <c r="AD850" i="83"/>
  <c r="AD849" i="83"/>
  <c r="AD848" i="83"/>
  <c r="AD847" i="83"/>
  <c r="AD846" i="83"/>
  <c r="AD845" i="83"/>
  <c r="AD844" i="83"/>
  <c r="AD843" i="83"/>
  <c r="AD842" i="83"/>
  <c r="AD841" i="83"/>
  <c r="AD840" i="83"/>
  <c r="AD839" i="83"/>
  <c r="AD838" i="83"/>
  <c r="AD837" i="83"/>
  <c r="AD836" i="83"/>
  <c r="AD835" i="83"/>
  <c r="AD834" i="83"/>
  <c r="AD833" i="83"/>
  <c r="AD832" i="83"/>
  <c r="AD831" i="83"/>
  <c r="AD830" i="83"/>
  <c r="AD829" i="83"/>
  <c r="AD828" i="83"/>
  <c r="AD827" i="83"/>
  <c r="AD826" i="83"/>
  <c r="AD825" i="83"/>
  <c r="AD824" i="83"/>
  <c r="AD823" i="83"/>
  <c r="AD822" i="83"/>
  <c r="AD821" i="83"/>
  <c r="AD820" i="83"/>
  <c r="AD819" i="83"/>
  <c r="AD818" i="83"/>
  <c r="AD817" i="83"/>
  <c r="AD816" i="83"/>
  <c r="AD815" i="83"/>
  <c r="AD814" i="83"/>
  <c r="AD813" i="83"/>
  <c r="AD812" i="83"/>
  <c r="AD811" i="83"/>
  <c r="AD810" i="83"/>
  <c r="AD809" i="83"/>
  <c r="AD808" i="83"/>
  <c r="AD807" i="83"/>
  <c r="AD806" i="83"/>
  <c r="AD805" i="83"/>
  <c r="AD804" i="83"/>
  <c r="AD803" i="83"/>
  <c r="AD802" i="83"/>
  <c r="AD801" i="83"/>
  <c r="AD800" i="83"/>
  <c r="AD799" i="83"/>
  <c r="AD798" i="83"/>
  <c r="AD797" i="83"/>
  <c r="AD796" i="83"/>
  <c r="AD795" i="83"/>
  <c r="AD794" i="83"/>
  <c r="AD793" i="83"/>
  <c r="AD792" i="83"/>
  <c r="AD791" i="83"/>
  <c r="AD790" i="83"/>
  <c r="AD789" i="83"/>
  <c r="AD788" i="83"/>
  <c r="AD787" i="83"/>
  <c r="AD786" i="83"/>
  <c r="AD785" i="83"/>
  <c r="AD784" i="83"/>
  <c r="AD783" i="83"/>
  <c r="AD782" i="83"/>
  <c r="AD781" i="83"/>
  <c r="AD780" i="83"/>
  <c r="AD779" i="83"/>
  <c r="AD778" i="83"/>
  <c r="AD777" i="83"/>
  <c r="AD776" i="83"/>
  <c r="AD775" i="83"/>
  <c r="AD774" i="83"/>
  <c r="AD773" i="83"/>
  <c r="AD772" i="83"/>
  <c r="AD771" i="83"/>
  <c r="AD770" i="83"/>
  <c r="AD769" i="83"/>
  <c r="AD768" i="83"/>
  <c r="AD767" i="83"/>
  <c r="AD766" i="83"/>
  <c r="AD765" i="83"/>
  <c r="AD764" i="83"/>
  <c r="AD763" i="83"/>
  <c r="AD762" i="83"/>
  <c r="AD761" i="83"/>
  <c r="AD760" i="83"/>
  <c r="AD759" i="83"/>
  <c r="AD758" i="83"/>
  <c r="AD757" i="83"/>
  <c r="AD756" i="83"/>
  <c r="AD755" i="83"/>
  <c r="AD754" i="83"/>
  <c r="AD753" i="83"/>
  <c r="AD752" i="83"/>
  <c r="AD751" i="83"/>
  <c r="AD750" i="83"/>
  <c r="AD749" i="83"/>
  <c r="AD748" i="83"/>
  <c r="AD747" i="83"/>
  <c r="AD746" i="83"/>
  <c r="AD745" i="83"/>
  <c r="AD744" i="83"/>
  <c r="AD743" i="83"/>
  <c r="AD742" i="83"/>
  <c r="AD741" i="83"/>
  <c r="AD740" i="83"/>
  <c r="AD739" i="83"/>
  <c r="AD738" i="83"/>
  <c r="AD737" i="83"/>
  <c r="AD736" i="83"/>
  <c r="AD735" i="83"/>
  <c r="AD734" i="83"/>
  <c r="AD733" i="83"/>
  <c r="AD732" i="83"/>
  <c r="AD731" i="83"/>
  <c r="AD730" i="83"/>
  <c r="AD729" i="83"/>
  <c r="AD728" i="83"/>
  <c r="AD727" i="83"/>
  <c r="AD726" i="83"/>
  <c r="AD725" i="83"/>
  <c r="AD724" i="83"/>
  <c r="AD723" i="83"/>
  <c r="AD722" i="83"/>
  <c r="AD721" i="83"/>
  <c r="AD720" i="83"/>
  <c r="AD719" i="83"/>
  <c r="AD718" i="83"/>
  <c r="AD717" i="83"/>
  <c r="AD716" i="83"/>
  <c r="AD715" i="83"/>
  <c r="AD714" i="83"/>
  <c r="AD713" i="83"/>
  <c r="AD712" i="83"/>
  <c r="AD711" i="83"/>
  <c r="AD710" i="83"/>
  <c r="AD709" i="83"/>
  <c r="AD708" i="83"/>
  <c r="AD707" i="83"/>
  <c r="AD706" i="83"/>
  <c r="AD705" i="83"/>
  <c r="AD704" i="83"/>
  <c r="AD703" i="83"/>
  <c r="AD702" i="83"/>
  <c r="AD701" i="83"/>
  <c r="AD700" i="83"/>
  <c r="AD699" i="83"/>
  <c r="AD698" i="83"/>
  <c r="AD697" i="83"/>
  <c r="AD696" i="83"/>
  <c r="AD695" i="83"/>
  <c r="AD694" i="83"/>
  <c r="AD693" i="83"/>
  <c r="AD692" i="83"/>
  <c r="AD691" i="83"/>
  <c r="AD690" i="83"/>
  <c r="AD689" i="83"/>
  <c r="AD688" i="83"/>
  <c r="AD687" i="83"/>
  <c r="AD686" i="83"/>
  <c r="AD685" i="83"/>
  <c r="AD684" i="83"/>
  <c r="AD683" i="83"/>
  <c r="AD682" i="83"/>
  <c r="AD681" i="83"/>
  <c r="AD680" i="83"/>
  <c r="AD679" i="83"/>
  <c r="AD678" i="83"/>
  <c r="AD677" i="83"/>
  <c r="AD676" i="83"/>
  <c r="AD675" i="83"/>
  <c r="AD674" i="83"/>
  <c r="AD673" i="83"/>
  <c r="AD672" i="83"/>
  <c r="AD671" i="83"/>
  <c r="AD670" i="83"/>
  <c r="AD669" i="83"/>
  <c r="AD668" i="83"/>
  <c r="AD667" i="83"/>
  <c r="AD666" i="83"/>
  <c r="AD665" i="83"/>
  <c r="AD664" i="83"/>
  <c r="AD663" i="83"/>
  <c r="AD662" i="83"/>
  <c r="AD661" i="83"/>
  <c r="AD660" i="83"/>
  <c r="AD659" i="83"/>
  <c r="AD658" i="83"/>
  <c r="AD657" i="83"/>
  <c r="AD656" i="83"/>
  <c r="AD655" i="83"/>
  <c r="AD654" i="83"/>
  <c r="AD653" i="83"/>
  <c r="AD652" i="83"/>
  <c r="AD651" i="83"/>
  <c r="AD650" i="83"/>
  <c r="AD649" i="83"/>
  <c r="AD648" i="83"/>
  <c r="AD647" i="83"/>
  <c r="AD646" i="83"/>
  <c r="AD645" i="83"/>
  <c r="AD644" i="83"/>
  <c r="AD643" i="83"/>
  <c r="AD642" i="83"/>
  <c r="AD641" i="83"/>
  <c r="AD640" i="83"/>
  <c r="AD639" i="83"/>
  <c r="AD638" i="83"/>
  <c r="AD637" i="83"/>
  <c r="AD636" i="83"/>
  <c r="AD635" i="83"/>
  <c r="AD634" i="83"/>
  <c r="AD633" i="83"/>
  <c r="AD632" i="83"/>
  <c r="AD631" i="83"/>
  <c r="AD630" i="83"/>
  <c r="AD629" i="83"/>
  <c r="AD628" i="83"/>
  <c r="AD627" i="83"/>
  <c r="AD626" i="83"/>
  <c r="AD625" i="83"/>
  <c r="AD624" i="83"/>
  <c r="AD623" i="83"/>
  <c r="AD622" i="83"/>
  <c r="AD621" i="83"/>
  <c r="AD620" i="83"/>
  <c r="AD619" i="83"/>
  <c r="AD618" i="83"/>
  <c r="AD617" i="83"/>
  <c r="AD616" i="83"/>
  <c r="AD615" i="83"/>
  <c r="AD614" i="83"/>
  <c r="AD613" i="83"/>
  <c r="AD612" i="83"/>
  <c r="AD611" i="83"/>
  <c r="AD610" i="83"/>
  <c r="AD609" i="83"/>
  <c r="AD608" i="83"/>
  <c r="AD607" i="83"/>
  <c r="AD606" i="83"/>
  <c r="AD605" i="83"/>
  <c r="AD604" i="83"/>
  <c r="AD603" i="83"/>
  <c r="AD602" i="83"/>
  <c r="AD601" i="83"/>
  <c r="AD600" i="83"/>
  <c r="AD599" i="83"/>
  <c r="AD598" i="83"/>
  <c r="AD597" i="83"/>
  <c r="AD521" i="83"/>
  <c r="AD520" i="83"/>
  <c r="AD519" i="83"/>
  <c r="AD518" i="83"/>
  <c r="AD517" i="83"/>
  <c r="AD516" i="83"/>
  <c r="AD515" i="83"/>
  <c r="AD514" i="83"/>
  <c r="AD513" i="83"/>
  <c r="AD512" i="83"/>
  <c r="AD511" i="83"/>
  <c r="AD510" i="83"/>
  <c r="AE509" i="83"/>
  <c r="AE508" i="83"/>
  <c r="AE507" i="83"/>
  <c r="AE506" i="83"/>
  <c r="AE505" i="83"/>
  <c r="AE504" i="83"/>
  <c r="AE503" i="83"/>
  <c r="AE502" i="83"/>
  <c r="AE501" i="83"/>
  <c r="AE500" i="83"/>
  <c r="AE499" i="83"/>
  <c r="AE498" i="83"/>
  <c r="AD497" i="83"/>
  <c r="AD496" i="83"/>
  <c r="AD495" i="83"/>
  <c r="AD494" i="83"/>
  <c r="AD493" i="83"/>
  <c r="AD492" i="83"/>
  <c r="AD491" i="83"/>
  <c r="AD490" i="83"/>
  <c r="AD489" i="83"/>
  <c r="AD488" i="83"/>
  <c r="AD487" i="83"/>
  <c r="AD486" i="83"/>
  <c r="AE485" i="83"/>
  <c r="AE484" i="83"/>
  <c r="AE483" i="83"/>
  <c r="AE482" i="83"/>
  <c r="AE481" i="83"/>
  <c r="AE480" i="83"/>
  <c r="AE479" i="83"/>
  <c r="AE478" i="83"/>
  <c r="AE477" i="83"/>
  <c r="AE476" i="83"/>
  <c r="AE475" i="83"/>
  <c r="AE474" i="83"/>
  <c r="AE473" i="83"/>
  <c r="AE472" i="83"/>
  <c r="AE471" i="83"/>
  <c r="AE470" i="83"/>
  <c r="AE469" i="83"/>
  <c r="AE468" i="83"/>
  <c r="AE467" i="83"/>
  <c r="AE466" i="83"/>
  <c r="AE465" i="83"/>
  <c r="AE464" i="83"/>
  <c r="AE463" i="83"/>
  <c r="AE462" i="83"/>
  <c r="AE461" i="83"/>
  <c r="AE460" i="83"/>
  <c r="AE459" i="83"/>
  <c r="AE458" i="83"/>
  <c r="AE457" i="83"/>
  <c r="AE456" i="83"/>
  <c r="AE455" i="83"/>
  <c r="AE454" i="83"/>
  <c r="AE453" i="83"/>
  <c r="AE452" i="83"/>
  <c r="AE451" i="83"/>
  <c r="AE450" i="83"/>
  <c r="AE449" i="83"/>
  <c r="AE448" i="83"/>
  <c r="AE447" i="83"/>
  <c r="AE446" i="83"/>
  <c r="AE445" i="83"/>
  <c r="AE444" i="83"/>
  <c r="AE443" i="83"/>
  <c r="AE442" i="83"/>
  <c r="AE441" i="83"/>
  <c r="AE440" i="83"/>
  <c r="AE439" i="83"/>
  <c r="AE438" i="83"/>
  <c r="AE437" i="83"/>
  <c r="AE436" i="83"/>
  <c r="AE435" i="83"/>
  <c r="AE434" i="83"/>
  <c r="AE433" i="83"/>
  <c r="AE432" i="83"/>
  <c r="AE431" i="83"/>
  <c r="AE430" i="83"/>
  <c r="AE429" i="83"/>
  <c r="AE428" i="83"/>
  <c r="AE427" i="83"/>
  <c r="AE426" i="83"/>
  <c r="AE425" i="83"/>
  <c r="AE424" i="83"/>
  <c r="AE423" i="83"/>
  <c r="AE422" i="83"/>
  <c r="AE421" i="83"/>
  <c r="AE420" i="83"/>
  <c r="AE419" i="83"/>
  <c r="AE418" i="83"/>
  <c r="AE417" i="83"/>
  <c r="AE416" i="83"/>
  <c r="AE415" i="83"/>
  <c r="AE414" i="83"/>
  <c r="AE413" i="83"/>
  <c r="AE412" i="83"/>
  <c r="AE411" i="83"/>
  <c r="AE410" i="83"/>
  <c r="AE409" i="83"/>
  <c r="AE408" i="83"/>
  <c r="AE407" i="83"/>
  <c r="AE406" i="83"/>
  <c r="AE405" i="83"/>
  <c r="AE404" i="83"/>
  <c r="AE403" i="83"/>
  <c r="AE402" i="83"/>
  <c r="AE401" i="83"/>
  <c r="AE400" i="83"/>
  <c r="AE399" i="83"/>
  <c r="AE398" i="83"/>
  <c r="AE397" i="83"/>
  <c r="AE396" i="83"/>
  <c r="AE395" i="83"/>
  <c r="AE394" i="83"/>
  <c r="AE393" i="83"/>
  <c r="AE392" i="83"/>
  <c r="AE391" i="83"/>
  <c r="AE390" i="83"/>
  <c r="AE389" i="83"/>
  <c r="AE388" i="83"/>
  <c r="AE387" i="83"/>
  <c r="AE386" i="83"/>
  <c r="AE385" i="83"/>
  <c r="AE384" i="83"/>
  <c r="AE383" i="83"/>
  <c r="AE382" i="83"/>
  <c r="AE381" i="83"/>
  <c r="AE380" i="83"/>
  <c r="AE379" i="83"/>
  <c r="AE378" i="83"/>
  <c r="AE377" i="83"/>
  <c r="AE376" i="83"/>
  <c r="AE375" i="83"/>
  <c r="AE374" i="83"/>
  <c r="AE373" i="83"/>
  <c r="AE372" i="83"/>
  <c r="AE371" i="83"/>
  <c r="AE370" i="83"/>
  <c r="AE369" i="83"/>
  <c r="AE368" i="83"/>
  <c r="AE367" i="83"/>
  <c r="AE366" i="83"/>
  <c r="AE365" i="83"/>
  <c r="AE364" i="83"/>
  <c r="AE363" i="83"/>
  <c r="AE362" i="83"/>
  <c r="AE361" i="83"/>
  <c r="AE360" i="83"/>
  <c r="AE359" i="83"/>
  <c r="AE358" i="83"/>
  <c r="AE357" i="83"/>
  <c r="AE356" i="83"/>
  <c r="AE355" i="83"/>
  <c r="AE354" i="83"/>
  <c r="AE353" i="83"/>
  <c r="AE352" i="83"/>
  <c r="AE351" i="83"/>
  <c r="AE350" i="83"/>
  <c r="AE349" i="83"/>
  <c r="AE348" i="83"/>
  <c r="AE347" i="83"/>
  <c r="AE346" i="83"/>
  <c r="AE345" i="83"/>
  <c r="AE344" i="83"/>
  <c r="AE343" i="83"/>
  <c r="AE342" i="83"/>
  <c r="AE341" i="83"/>
  <c r="AE340" i="83"/>
  <c r="AE339" i="83"/>
  <c r="AE338" i="83"/>
  <c r="AE337" i="83"/>
  <c r="AE336" i="83"/>
  <c r="AE335" i="83"/>
  <c r="AE334" i="83"/>
  <c r="AE333" i="83"/>
  <c r="AE332" i="83"/>
  <c r="AE331" i="83"/>
  <c r="AE330" i="83"/>
  <c r="AE329" i="83"/>
  <c r="AE328" i="83"/>
  <c r="AE327" i="83"/>
  <c r="AE326" i="83"/>
  <c r="AE325" i="83"/>
  <c r="AE324" i="83"/>
  <c r="AE323" i="83"/>
  <c r="AE322" i="83"/>
  <c r="AE321" i="83"/>
  <c r="AE320" i="83"/>
  <c r="AE319" i="83"/>
  <c r="AE318" i="83"/>
  <c r="AE317" i="83"/>
  <c r="AE316" i="83"/>
  <c r="AE315" i="83"/>
  <c r="AE314" i="83"/>
  <c r="AE313" i="83"/>
  <c r="AE312" i="83"/>
  <c r="AE311" i="83"/>
  <c r="AE310" i="83"/>
  <c r="AE309" i="83"/>
  <c r="AE308" i="83"/>
  <c r="AE307" i="83"/>
  <c r="AE306" i="83"/>
  <c r="AE305" i="83"/>
  <c r="AE304" i="83"/>
  <c r="AE303" i="83"/>
  <c r="AE302" i="83"/>
  <c r="AE301" i="83"/>
  <c r="AE300" i="83"/>
  <c r="AE299" i="83"/>
  <c r="AE298" i="83"/>
  <c r="AE297" i="83"/>
  <c r="AE296" i="83"/>
  <c r="AE295" i="83"/>
  <c r="AE294" i="83"/>
  <c r="AE293" i="83"/>
  <c r="AE292" i="83"/>
  <c r="AE291" i="83"/>
  <c r="AE290" i="83"/>
  <c r="AE289" i="83"/>
  <c r="AE288" i="83"/>
  <c r="AE287" i="83"/>
  <c r="AE286" i="83"/>
  <c r="AE285" i="83"/>
  <c r="AE284" i="83"/>
  <c r="AE283" i="83"/>
  <c r="AE282" i="83"/>
  <c r="AE281" i="83"/>
  <c r="AE280" i="83"/>
  <c r="AE279" i="83"/>
  <c r="AE278" i="83"/>
  <c r="AE277" i="83"/>
  <c r="AE276" i="83"/>
  <c r="AE275" i="83"/>
  <c r="AE274" i="83"/>
  <c r="AE273" i="83"/>
  <c r="AE272" i="83"/>
  <c r="AE271" i="83"/>
  <c r="AE270" i="83"/>
  <c r="AD205" i="83"/>
  <c r="AD204" i="83"/>
  <c r="AD203" i="83"/>
  <c r="AD202" i="83"/>
  <c r="AD201" i="83"/>
  <c r="AD200" i="83"/>
  <c r="AD199" i="83"/>
  <c r="AD198" i="83"/>
  <c r="AD197" i="83"/>
  <c r="AD196" i="83"/>
  <c r="AD195" i="83"/>
  <c r="AD194" i="83"/>
  <c r="AE181" i="83"/>
  <c r="AE180" i="83"/>
  <c r="AE179" i="83"/>
  <c r="AE178" i="83"/>
  <c r="AE177" i="83"/>
  <c r="AE176" i="83"/>
  <c r="AE175" i="83"/>
  <c r="AE174" i="83"/>
  <c r="AE173" i="83"/>
  <c r="AE172" i="83"/>
  <c r="AE171" i="83"/>
  <c r="AE170" i="83"/>
  <c r="AE169" i="83"/>
  <c r="AE168" i="83"/>
  <c r="AE167" i="83"/>
  <c r="AE166" i="83"/>
  <c r="AE165" i="83"/>
  <c r="AE164" i="83"/>
  <c r="AE163" i="83"/>
  <c r="AE162" i="83"/>
  <c r="AE161" i="83"/>
  <c r="AE160" i="83"/>
  <c r="AE159" i="83"/>
  <c r="AE158" i="83"/>
  <c r="AE157" i="83"/>
  <c r="AE156" i="83"/>
  <c r="AE155" i="83"/>
  <c r="AE154" i="83"/>
  <c r="AE153" i="83"/>
  <c r="AE152" i="83"/>
  <c r="AE151" i="83"/>
  <c r="AE150" i="83"/>
  <c r="AE149" i="83"/>
  <c r="AE148" i="83"/>
  <c r="AE147" i="83"/>
  <c r="AE146" i="83"/>
  <c r="AE145" i="83"/>
  <c r="AE144" i="83"/>
  <c r="AE143" i="83"/>
  <c r="AE142" i="83"/>
  <c r="AE141" i="83"/>
  <c r="AE140" i="83"/>
  <c r="AE139" i="83"/>
  <c r="AE138" i="83"/>
  <c r="AE137" i="83"/>
  <c r="AE136" i="83"/>
  <c r="AE135" i="83"/>
  <c r="AE134" i="83"/>
  <c r="AE133" i="83"/>
  <c r="AE132" i="83"/>
  <c r="AE131" i="83"/>
  <c r="AE130" i="83"/>
  <c r="AE129" i="83"/>
  <c r="AE128" i="83"/>
  <c r="AE127" i="83"/>
  <c r="AE126" i="83"/>
  <c r="AE125" i="83"/>
  <c r="AE124" i="83"/>
  <c r="AE123" i="83"/>
  <c r="AE122" i="83"/>
  <c r="AE121" i="83"/>
  <c r="AE120" i="83"/>
  <c r="AE119" i="83"/>
  <c r="AE118" i="83"/>
  <c r="AE117" i="83"/>
  <c r="AE116" i="83"/>
  <c r="AE115" i="83"/>
  <c r="AE114" i="83"/>
  <c r="AE113" i="83"/>
  <c r="AE112" i="83"/>
  <c r="AE111" i="83"/>
  <c r="AE110" i="83"/>
  <c r="AE109" i="83"/>
  <c r="AE108" i="83"/>
  <c r="AE107" i="83"/>
  <c r="AE106" i="83"/>
  <c r="AE105" i="83"/>
  <c r="AE104" i="83"/>
  <c r="AE103" i="83"/>
  <c r="AE102" i="83"/>
  <c r="AE101" i="83"/>
  <c r="AE100" i="83"/>
  <c r="AE99" i="83"/>
  <c r="AE98" i="83"/>
  <c r="AE97" i="83"/>
  <c r="AE96" i="83"/>
  <c r="AE95" i="83"/>
  <c r="AE94" i="83"/>
  <c r="AE93" i="83"/>
  <c r="AE92" i="83"/>
  <c r="AE91" i="83"/>
  <c r="AE90" i="83"/>
  <c r="AE89" i="83"/>
  <c r="AE88" i="83"/>
  <c r="AE87" i="83"/>
  <c r="AE86" i="83"/>
  <c r="AE85" i="83"/>
  <c r="AE84" i="83"/>
  <c r="AE83" i="83"/>
  <c r="AE82" i="83"/>
  <c r="AE81" i="83"/>
  <c r="AE80" i="83"/>
  <c r="AE79" i="83"/>
  <c r="AE78" i="83"/>
  <c r="AE77" i="83"/>
  <c r="AE76" i="83"/>
  <c r="AE75" i="83"/>
  <c r="AE74" i="83"/>
  <c r="AE73" i="83"/>
  <c r="AE72" i="83"/>
  <c r="AE71" i="83"/>
  <c r="AE70" i="83"/>
  <c r="AE69" i="83"/>
  <c r="AE68" i="83"/>
  <c r="AE67" i="83"/>
  <c r="AE66" i="83"/>
  <c r="AE65" i="83"/>
  <c r="AE64" i="83"/>
  <c r="AE63" i="83"/>
  <c r="AE62" i="83"/>
  <c r="AE61" i="83"/>
  <c r="AE60" i="83"/>
  <c r="AE59" i="83"/>
  <c r="AE58" i="83"/>
  <c r="AE57" i="83"/>
  <c r="AE56" i="83"/>
  <c r="AE55" i="83"/>
  <c r="AE54" i="83"/>
  <c r="AE53" i="83"/>
  <c r="AE52" i="83"/>
  <c r="AE51" i="83"/>
  <c r="AE50" i="83"/>
  <c r="AE49" i="83"/>
  <c r="AE48" i="83"/>
  <c r="AE47" i="83"/>
  <c r="AE46" i="83"/>
  <c r="AE45" i="83"/>
  <c r="AE44" i="83"/>
  <c r="AE43" i="83"/>
  <c r="AE42" i="83"/>
  <c r="AE41" i="83"/>
  <c r="AE40" i="83"/>
  <c r="AE39" i="83"/>
  <c r="AE38" i="83"/>
  <c r="AE37" i="83"/>
  <c r="AE36" i="83"/>
  <c r="AE35" i="83"/>
  <c r="AE34" i="83"/>
  <c r="AE33" i="83"/>
  <c r="AE32" i="83"/>
  <c r="AE31" i="83"/>
  <c r="AE30" i="83"/>
  <c r="AE29" i="83"/>
  <c r="AE28" i="83"/>
  <c r="AE27" i="83"/>
  <c r="AE26" i="83"/>
  <c r="AE25" i="83"/>
  <c r="AE24" i="83"/>
  <c r="AE23" i="83"/>
  <c r="AE22" i="83"/>
  <c r="AE21" i="83"/>
  <c r="AE20" i="83"/>
  <c r="AE19" i="83"/>
  <c r="AE18" i="83"/>
  <c r="AE17" i="83"/>
  <c r="AE16" i="83"/>
  <c r="AE15" i="83"/>
  <c r="AE14" i="83"/>
  <c r="AE13" i="83"/>
  <c r="AE12" i="83"/>
  <c r="AE11" i="83"/>
  <c r="AE10" i="83"/>
  <c r="AE9" i="83"/>
  <c r="AE8" i="83"/>
  <c r="AE7" i="83"/>
  <c r="AE6" i="83"/>
  <c r="AE5" i="83"/>
  <c r="AE4" i="83"/>
  <c r="AE3" i="83"/>
  <c r="AE2" i="83"/>
  <c r="V951" i="83"/>
  <c r="AB951" i="83" s="1"/>
  <c r="V950" i="83"/>
  <c r="AB950" i="83" s="1"/>
  <c r="V949" i="83"/>
  <c r="AB949" i="83" s="1"/>
  <c r="V948" i="83"/>
  <c r="AB948" i="83" s="1"/>
  <c r="V947" i="83"/>
  <c r="AB947" i="83" s="1"/>
  <c r="V946" i="83"/>
  <c r="AB946" i="83" s="1"/>
  <c r="V945" i="83"/>
  <c r="AB945" i="83" s="1"/>
  <c r="V944" i="83"/>
  <c r="AB944" i="83" s="1"/>
  <c r="V943" i="83"/>
  <c r="AB943" i="83" s="1"/>
  <c r="V942" i="83"/>
  <c r="AB942" i="83" s="1"/>
  <c r="V941" i="83"/>
  <c r="AB941" i="83" s="1"/>
  <c r="V940" i="83"/>
  <c r="AB940" i="83" s="1"/>
  <c r="X939" i="83"/>
  <c r="W939" i="83"/>
  <c r="V939" i="83"/>
  <c r="AB939" i="83" s="1"/>
  <c r="X938" i="83"/>
  <c r="W938" i="83"/>
  <c r="V938" i="83"/>
  <c r="AB938" i="83" s="1"/>
  <c r="X937" i="83"/>
  <c r="W937" i="83"/>
  <c r="V937" i="83"/>
  <c r="AB937" i="83" s="1"/>
  <c r="X936" i="83"/>
  <c r="W936" i="83"/>
  <c r="V936" i="83"/>
  <c r="AB936" i="83" s="1"/>
  <c r="X935" i="83"/>
  <c r="W935" i="83"/>
  <c r="V935" i="83"/>
  <c r="AB935" i="83" s="1"/>
  <c r="X934" i="83"/>
  <c r="W934" i="83"/>
  <c r="V934" i="83"/>
  <c r="AB934" i="83" s="1"/>
  <c r="X933" i="83"/>
  <c r="W933" i="83"/>
  <c r="V933" i="83"/>
  <c r="AB933" i="83" s="1"/>
  <c r="X932" i="83"/>
  <c r="W932" i="83"/>
  <c r="V932" i="83"/>
  <c r="AB932" i="83" s="1"/>
  <c r="X931" i="83"/>
  <c r="W931" i="83"/>
  <c r="V931" i="83"/>
  <c r="AB931" i="83" s="1"/>
  <c r="X930" i="83"/>
  <c r="W930" i="83"/>
  <c r="V930" i="83"/>
  <c r="AB930" i="83" s="1"/>
  <c r="X929" i="83"/>
  <c r="W929" i="83"/>
  <c r="V929" i="83"/>
  <c r="AB929" i="83" s="1"/>
  <c r="X928" i="83"/>
  <c r="W928" i="83"/>
  <c r="V928" i="83"/>
  <c r="AB928" i="83" s="1"/>
  <c r="X927" i="83"/>
  <c r="W927" i="83"/>
  <c r="V927" i="83"/>
  <c r="AB927" i="83" s="1"/>
  <c r="X926" i="83"/>
  <c r="W926" i="83"/>
  <c r="V926" i="83"/>
  <c r="AB926" i="83" s="1"/>
  <c r="X925" i="83"/>
  <c r="W925" i="83"/>
  <c r="V925" i="83"/>
  <c r="AB925" i="83" s="1"/>
  <c r="X924" i="83"/>
  <c r="W924" i="83"/>
  <c r="V924" i="83"/>
  <c r="AB924" i="83" s="1"/>
  <c r="X923" i="83"/>
  <c r="W923" i="83"/>
  <c r="V923" i="83"/>
  <c r="AB923" i="83" s="1"/>
  <c r="X922" i="83"/>
  <c r="W922" i="83"/>
  <c r="V922" i="83"/>
  <c r="AB922" i="83" s="1"/>
  <c r="X921" i="83"/>
  <c r="W921" i="83"/>
  <c r="V921" i="83"/>
  <c r="AB921" i="83" s="1"/>
  <c r="X920" i="83"/>
  <c r="W920" i="83"/>
  <c r="V920" i="83"/>
  <c r="AB920" i="83" s="1"/>
  <c r="X919" i="83"/>
  <c r="W919" i="83"/>
  <c r="V919" i="83"/>
  <c r="AB919" i="83" s="1"/>
  <c r="X918" i="83"/>
  <c r="W918" i="83"/>
  <c r="V918" i="83"/>
  <c r="AB918" i="83" s="1"/>
  <c r="X917" i="83"/>
  <c r="W917" i="83"/>
  <c r="V917" i="83"/>
  <c r="AB917" i="83" s="1"/>
  <c r="X916" i="83"/>
  <c r="W916" i="83"/>
  <c r="V916" i="83"/>
  <c r="AB916" i="83" s="1"/>
  <c r="X915" i="83"/>
  <c r="W915" i="83"/>
  <c r="V915" i="83"/>
  <c r="AB915" i="83" s="1"/>
  <c r="X914" i="83"/>
  <c r="W914" i="83"/>
  <c r="V914" i="83"/>
  <c r="AB914" i="83" s="1"/>
  <c r="X913" i="83"/>
  <c r="W913" i="83"/>
  <c r="V913" i="83"/>
  <c r="AB913" i="83" s="1"/>
  <c r="X912" i="83"/>
  <c r="W912" i="83"/>
  <c r="V912" i="83"/>
  <c r="AB912" i="83" s="1"/>
  <c r="X911" i="83"/>
  <c r="W911" i="83"/>
  <c r="V911" i="83"/>
  <c r="AB911" i="83" s="1"/>
  <c r="X910" i="83"/>
  <c r="W910" i="83"/>
  <c r="V910" i="83"/>
  <c r="AB910" i="83" s="1"/>
  <c r="X909" i="83"/>
  <c r="W909" i="83"/>
  <c r="V909" i="83"/>
  <c r="AB909" i="83" s="1"/>
  <c r="X908" i="83"/>
  <c r="W908" i="83"/>
  <c r="V908" i="83"/>
  <c r="AB908" i="83" s="1"/>
  <c r="X907" i="83"/>
  <c r="W907" i="83"/>
  <c r="V907" i="83"/>
  <c r="AB907" i="83" s="1"/>
  <c r="X906" i="83"/>
  <c r="W906" i="83"/>
  <c r="V906" i="83"/>
  <c r="AB906" i="83" s="1"/>
  <c r="X905" i="83"/>
  <c r="W905" i="83"/>
  <c r="V905" i="83"/>
  <c r="AB905" i="83" s="1"/>
  <c r="X904" i="83"/>
  <c r="W904" i="83"/>
  <c r="V904" i="83"/>
  <c r="AB904" i="83" s="1"/>
  <c r="X903" i="83"/>
  <c r="W903" i="83"/>
  <c r="V903" i="83"/>
  <c r="AB903" i="83" s="1"/>
  <c r="X902" i="83"/>
  <c r="W902" i="83"/>
  <c r="V902" i="83"/>
  <c r="AB902" i="83" s="1"/>
  <c r="X901" i="83"/>
  <c r="W901" i="83"/>
  <c r="V901" i="83"/>
  <c r="AB901" i="83" s="1"/>
  <c r="X900" i="83"/>
  <c r="W900" i="83"/>
  <c r="V900" i="83"/>
  <c r="AB900" i="83" s="1"/>
  <c r="X899" i="83"/>
  <c r="W899" i="83"/>
  <c r="V899" i="83"/>
  <c r="AB899" i="83" s="1"/>
  <c r="X898" i="83"/>
  <c r="W898" i="83"/>
  <c r="V898" i="83"/>
  <c r="AB898" i="83" s="1"/>
  <c r="X897" i="83"/>
  <c r="W897" i="83"/>
  <c r="V897" i="83"/>
  <c r="AB897" i="83" s="1"/>
  <c r="X896" i="83"/>
  <c r="W896" i="83"/>
  <c r="V896" i="83"/>
  <c r="AB896" i="83" s="1"/>
  <c r="X895" i="83"/>
  <c r="W895" i="83"/>
  <c r="V895" i="83"/>
  <c r="AB895" i="83" s="1"/>
  <c r="X894" i="83"/>
  <c r="W894" i="83"/>
  <c r="V894" i="83"/>
  <c r="AB894" i="83" s="1"/>
  <c r="X893" i="83"/>
  <c r="W893" i="83"/>
  <c r="V893" i="83"/>
  <c r="AB893" i="83" s="1"/>
  <c r="X892" i="83"/>
  <c r="W892" i="83"/>
  <c r="V892" i="83"/>
  <c r="AB892" i="83" s="1"/>
  <c r="X891" i="83"/>
  <c r="W891" i="83"/>
  <c r="V891" i="83"/>
  <c r="AB891" i="83" s="1"/>
  <c r="X890" i="83"/>
  <c r="W890" i="83"/>
  <c r="V890" i="83"/>
  <c r="AB890" i="83" s="1"/>
  <c r="X889" i="83"/>
  <c r="W889" i="83"/>
  <c r="V889" i="83"/>
  <c r="AB889" i="83" s="1"/>
  <c r="X888" i="83"/>
  <c r="W888" i="83"/>
  <c r="V888" i="83"/>
  <c r="AB888" i="83" s="1"/>
  <c r="X887" i="83"/>
  <c r="W887" i="83"/>
  <c r="V887" i="83"/>
  <c r="AB887" i="83" s="1"/>
  <c r="X886" i="83"/>
  <c r="W886" i="83"/>
  <c r="V886" i="83"/>
  <c r="AB886" i="83" s="1"/>
  <c r="X885" i="83"/>
  <c r="W885" i="83"/>
  <c r="V885" i="83"/>
  <c r="AB885" i="83" s="1"/>
  <c r="X884" i="83"/>
  <c r="W884" i="83"/>
  <c r="V884" i="83"/>
  <c r="AB884" i="83" s="1"/>
  <c r="X883" i="83"/>
  <c r="W883" i="83"/>
  <c r="V883" i="83"/>
  <c r="AB883" i="83" s="1"/>
  <c r="X882" i="83"/>
  <c r="W882" i="83"/>
  <c r="V882" i="83"/>
  <c r="AB882" i="83" s="1"/>
  <c r="X881" i="83"/>
  <c r="W881" i="83"/>
  <c r="V881" i="83"/>
  <c r="AB881" i="83" s="1"/>
  <c r="X880" i="83"/>
  <c r="W880" i="83"/>
  <c r="V880" i="83"/>
  <c r="AB880" i="83" s="1"/>
  <c r="X879" i="83"/>
  <c r="W879" i="83"/>
  <c r="V879" i="83"/>
  <c r="AB879" i="83" s="1"/>
  <c r="X878" i="83"/>
  <c r="W878" i="83"/>
  <c r="V878" i="83"/>
  <c r="AB878" i="83" s="1"/>
  <c r="X877" i="83"/>
  <c r="W877" i="83"/>
  <c r="V877" i="83"/>
  <c r="AB877" i="83" s="1"/>
  <c r="X876" i="83"/>
  <c r="W876" i="83"/>
  <c r="V876" i="83"/>
  <c r="AB876" i="83" s="1"/>
  <c r="X875" i="83"/>
  <c r="W875" i="83"/>
  <c r="V875" i="83"/>
  <c r="AB875" i="83" s="1"/>
  <c r="X874" i="83"/>
  <c r="W874" i="83"/>
  <c r="V874" i="83"/>
  <c r="AB874" i="83" s="1"/>
  <c r="X873" i="83"/>
  <c r="W873" i="83"/>
  <c r="V873" i="83"/>
  <c r="AB873" i="83" s="1"/>
  <c r="X872" i="83"/>
  <c r="W872" i="83"/>
  <c r="V872" i="83"/>
  <c r="AB872" i="83" s="1"/>
  <c r="X871" i="83"/>
  <c r="W871" i="83"/>
  <c r="V871" i="83"/>
  <c r="AB871" i="83" s="1"/>
  <c r="X870" i="83"/>
  <c r="W870" i="83"/>
  <c r="V870" i="83"/>
  <c r="AB870" i="83" s="1"/>
  <c r="X869" i="83"/>
  <c r="W869" i="83"/>
  <c r="V869" i="83"/>
  <c r="AB869" i="83" s="1"/>
  <c r="X868" i="83"/>
  <c r="W868" i="83"/>
  <c r="V868" i="83"/>
  <c r="AB868" i="83" s="1"/>
  <c r="X867" i="83"/>
  <c r="W867" i="83"/>
  <c r="V867" i="83"/>
  <c r="AB867" i="83" s="1"/>
  <c r="X866" i="83"/>
  <c r="W866" i="83"/>
  <c r="V866" i="83"/>
  <c r="AB866" i="83" s="1"/>
  <c r="X865" i="83"/>
  <c r="W865" i="83"/>
  <c r="V865" i="83"/>
  <c r="AB865" i="83" s="1"/>
  <c r="X864" i="83"/>
  <c r="W864" i="83"/>
  <c r="V864" i="83"/>
  <c r="AB864" i="83" s="1"/>
  <c r="X863" i="83"/>
  <c r="W863" i="83"/>
  <c r="V863" i="83"/>
  <c r="AB863" i="83" s="1"/>
  <c r="X862" i="83"/>
  <c r="W862" i="83"/>
  <c r="V862" i="83"/>
  <c r="AB862" i="83" s="1"/>
  <c r="X861" i="83"/>
  <c r="W861" i="83"/>
  <c r="V861" i="83"/>
  <c r="AB861" i="83" s="1"/>
  <c r="X860" i="83"/>
  <c r="W860" i="83"/>
  <c r="V860" i="83"/>
  <c r="AB860" i="83" s="1"/>
  <c r="X859" i="83"/>
  <c r="W859" i="83"/>
  <c r="V859" i="83"/>
  <c r="AB859" i="83" s="1"/>
  <c r="X858" i="83"/>
  <c r="W858" i="83"/>
  <c r="V858" i="83"/>
  <c r="AB858" i="83" s="1"/>
  <c r="X857" i="83"/>
  <c r="W857" i="83"/>
  <c r="V857" i="83"/>
  <c r="AB857" i="83" s="1"/>
  <c r="X856" i="83"/>
  <c r="W856" i="83"/>
  <c r="V856" i="83"/>
  <c r="AB856" i="83" s="1"/>
  <c r="X855" i="83"/>
  <c r="W855" i="83"/>
  <c r="V855" i="83"/>
  <c r="AB855" i="83" s="1"/>
  <c r="X854" i="83"/>
  <c r="W854" i="83"/>
  <c r="V854" i="83"/>
  <c r="AB854" i="83" s="1"/>
  <c r="X853" i="83"/>
  <c r="W853" i="83"/>
  <c r="V853" i="83"/>
  <c r="AB853" i="83" s="1"/>
  <c r="X852" i="83"/>
  <c r="W852" i="83"/>
  <c r="V852" i="83"/>
  <c r="AB852" i="83" s="1"/>
  <c r="X851" i="83"/>
  <c r="W851" i="83"/>
  <c r="V851" i="83"/>
  <c r="AB851" i="83" s="1"/>
  <c r="X850" i="83"/>
  <c r="W850" i="83"/>
  <c r="V850" i="83"/>
  <c r="AB850" i="83" s="1"/>
  <c r="X849" i="83"/>
  <c r="W849" i="83"/>
  <c r="V849" i="83"/>
  <c r="AB849" i="83" s="1"/>
  <c r="X848" i="83"/>
  <c r="W848" i="83"/>
  <c r="V848" i="83"/>
  <c r="AB848" i="83" s="1"/>
  <c r="X847" i="83"/>
  <c r="W847" i="83"/>
  <c r="V847" i="83"/>
  <c r="AB847" i="83" s="1"/>
  <c r="X846" i="83"/>
  <c r="W846" i="83"/>
  <c r="V846" i="83"/>
  <c r="AB846" i="83" s="1"/>
  <c r="X845" i="83"/>
  <c r="W845" i="83"/>
  <c r="V845" i="83"/>
  <c r="AB845" i="83" s="1"/>
  <c r="X844" i="83"/>
  <c r="W844" i="83"/>
  <c r="V844" i="83"/>
  <c r="AB844" i="83" s="1"/>
  <c r="X843" i="83"/>
  <c r="W843" i="83"/>
  <c r="V843" i="83"/>
  <c r="AB843" i="83" s="1"/>
  <c r="X842" i="83"/>
  <c r="W842" i="83"/>
  <c r="V842" i="83"/>
  <c r="AB842" i="83" s="1"/>
  <c r="X841" i="83"/>
  <c r="W841" i="83"/>
  <c r="V841" i="83"/>
  <c r="AB841" i="83" s="1"/>
  <c r="X840" i="83"/>
  <c r="W840" i="83"/>
  <c r="V840" i="83"/>
  <c r="AB840" i="83" s="1"/>
  <c r="X839" i="83"/>
  <c r="W839" i="83"/>
  <c r="V839" i="83"/>
  <c r="AB839" i="83" s="1"/>
  <c r="X838" i="83"/>
  <c r="W838" i="83"/>
  <c r="V838" i="83"/>
  <c r="AB838" i="83" s="1"/>
  <c r="X837" i="83"/>
  <c r="W837" i="83"/>
  <c r="V837" i="83"/>
  <c r="AB837" i="83" s="1"/>
  <c r="X836" i="83"/>
  <c r="W836" i="83"/>
  <c r="V836" i="83"/>
  <c r="AB836" i="83" s="1"/>
  <c r="X835" i="83"/>
  <c r="W835" i="83"/>
  <c r="V835" i="83"/>
  <c r="AB835" i="83" s="1"/>
  <c r="X834" i="83"/>
  <c r="W834" i="83"/>
  <c r="V834" i="83"/>
  <c r="AB834" i="83" s="1"/>
  <c r="X833" i="83"/>
  <c r="W833" i="83"/>
  <c r="V833" i="83"/>
  <c r="AB833" i="83" s="1"/>
  <c r="X832" i="83"/>
  <c r="W832" i="83"/>
  <c r="V832" i="83"/>
  <c r="AB832" i="83" s="1"/>
  <c r="X831" i="83"/>
  <c r="W831" i="83"/>
  <c r="V831" i="83"/>
  <c r="AB831" i="83" s="1"/>
  <c r="X830" i="83"/>
  <c r="W830" i="83"/>
  <c r="V830" i="83"/>
  <c r="AB830" i="83" s="1"/>
  <c r="X829" i="83"/>
  <c r="W829" i="83"/>
  <c r="V829" i="83"/>
  <c r="AB829" i="83" s="1"/>
  <c r="X828" i="83"/>
  <c r="W828" i="83"/>
  <c r="V828" i="83"/>
  <c r="AB828" i="83" s="1"/>
  <c r="X827" i="83"/>
  <c r="W827" i="83"/>
  <c r="V827" i="83"/>
  <c r="AB827" i="83" s="1"/>
  <c r="X826" i="83"/>
  <c r="W826" i="83"/>
  <c r="V826" i="83"/>
  <c r="AB826" i="83" s="1"/>
  <c r="X825" i="83"/>
  <c r="W825" i="83"/>
  <c r="V825" i="83"/>
  <c r="AB825" i="83" s="1"/>
  <c r="X824" i="83"/>
  <c r="W824" i="83"/>
  <c r="V824" i="83"/>
  <c r="AB824" i="83" s="1"/>
  <c r="X823" i="83"/>
  <c r="W823" i="83"/>
  <c r="V823" i="83"/>
  <c r="AB823" i="83" s="1"/>
  <c r="X822" i="83"/>
  <c r="W822" i="83"/>
  <c r="V822" i="83"/>
  <c r="AB822" i="83" s="1"/>
  <c r="X821" i="83"/>
  <c r="W821" i="83"/>
  <c r="V821" i="83"/>
  <c r="AB821" i="83" s="1"/>
  <c r="X820" i="83"/>
  <c r="W820" i="83"/>
  <c r="V820" i="83"/>
  <c r="AB820" i="83" s="1"/>
  <c r="X819" i="83"/>
  <c r="W819" i="83"/>
  <c r="V819" i="83"/>
  <c r="AB819" i="83" s="1"/>
  <c r="X818" i="83"/>
  <c r="W818" i="83"/>
  <c r="V818" i="83"/>
  <c r="AB818" i="83" s="1"/>
  <c r="X817" i="83"/>
  <c r="W817" i="83"/>
  <c r="V817" i="83"/>
  <c r="AB817" i="83" s="1"/>
  <c r="X816" i="83"/>
  <c r="W816" i="83"/>
  <c r="V816" i="83"/>
  <c r="AB816" i="83" s="1"/>
  <c r="X815" i="83"/>
  <c r="W815" i="83"/>
  <c r="V815" i="83"/>
  <c r="AB815" i="83" s="1"/>
  <c r="X814" i="83"/>
  <c r="W814" i="83"/>
  <c r="V814" i="83"/>
  <c r="AB814" i="83" s="1"/>
  <c r="X813" i="83"/>
  <c r="W813" i="83"/>
  <c r="V813" i="83"/>
  <c r="AB813" i="83" s="1"/>
  <c r="X812" i="83"/>
  <c r="W812" i="83"/>
  <c r="V812" i="83"/>
  <c r="AB812" i="83" s="1"/>
  <c r="X811" i="83"/>
  <c r="W811" i="83"/>
  <c r="V811" i="83"/>
  <c r="AB811" i="83" s="1"/>
  <c r="X810" i="83"/>
  <c r="W810" i="83"/>
  <c r="V810" i="83"/>
  <c r="AB810" i="83" s="1"/>
  <c r="X809" i="83"/>
  <c r="W809" i="83"/>
  <c r="V809" i="83"/>
  <c r="AB809" i="83" s="1"/>
  <c r="X808" i="83"/>
  <c r="W808" i="83"/>
  <c r="V808" i="83"/>
  <c r="AB808" i="83" s="1"/>
  <c r="X807" i="83"/>
  <c r="W807" i="83"/>
  <c r="V807" i="83"/>
  <c r="AB807" i="83" s="1"/>
  <c r="X806" i="83"/>
  <c r="W806" i="83"/>
  <c r="V806" i="83"/>
  <c r="AB806" i="83" s="1"/>
  <c r="X805" i="83"/>
  <c r="W805" i="83"/>
  <c r="V805" i="83"/>
  <c r="AB805" i="83" s="1"/>
  <c r="X804" i="83"/>
  <c r="W804" i="83"/>
  <c r="V804" i="83"/>
  <c r="AB804" i="83" s="1"/>
  <c r="X803" i="83"/>
  <c r="W803" i="83"/>
  <c r="V803" i="83"/>
  <c r="AB803" i="83" s="1"/>
  <c r="X802" i="83"/>
  <c r="W802" i="83"/>
  <c r="V802" i="83"/>
  <c r="AB802" i="83" s="1"/>
  <c r="X801" i="83"/>
  <c r="W801" i="83"/>
  <c r="V801" i="83"/>
  <c r="AB801" i="83" s="1"/>
  <c r="X800" i="83"/>
  <c r="W800" i="83"/>
  <c r="V800" i="83"/>
  <c r="AB800" i="83" s="1"/>
  <c r="X799" i="83"/>
  <c r="W799" i="83"/>
  <c r="V799" i="83"/>
  <c r="AB799" i="83" s="1"/>
  <c r="X798" i="83"/>
  <c r="W798" i="83"/>
  <c r="V798" i="83"/>
  <c r="AB798" i="83" s="1"/>
  <c r="X797" i="83"/>
  <c r="W797" i="83"/>
  <c r="V797" i="83"/>
  <c r="AB797" i="83" s="1"/>
  <c r="X796" i="83"/>
  <c r="W796" i="83"/>
  <c r="V796" i="83"/>
  <c r="AB796" i="83" s="1"/>
  <c r="X795" i="83"/>
  <c r="W795" i="83"/>
  <c r="V795" i="83"/>
  <c r="AB795" i="83" s="1"/>
  <c r="X794" i="83"/>
  <c r="W794" i="83"/>
  <c r="V794" i="83"/>
  <c r="AB794" i="83" s="1"/>
  <c r="X793" i="83"/>
  <c r="W793" i="83"/>
  <c r="V793" i="83"/>
  <c r="AB793" i="83" s="1"/>
  <c r="X792" i="83"/>
  <c r="W792" i="83"/>
  <c r="V792" i="83"/>
  <c r="AB792" i="83" s="1"/>
  <c r="X791" i="83"/>
  <c r="W791" i="83"/>
  <c r="V791" i="83"/>
  <c r="AB791" i="83" s="1"/>
  <c r="X790" i="83"/>
  <c r="W790" i="83"/>
  <c r="V790" i="83"/>
  <c r="AB790" i="83" s="1"/>
  <c r="X789" i="83"/>
  <c r="W789" i="83"/>
  <c r="V789" i="83"/>
  <c r="AB789" i="83" s="1"/>
  <c r="X788" i="83"/>
  <c r="W788" i="83"/>
  <c r="V788" i="83"/>
  <c r="AB788" i="83" s="1"/>
  <c r="X787" i="83"/>
  <c r="W787" i="83"/>
  <c r="V787" i="83"/>
  <c r="AB787" i="83" s="1"/>
  <c r="X786" i="83"/>
  <c r="W786" i="83"/>
  <c r="V786" i="83"/>
  <c r="AB786" i="83" s="1"/>
  <c r="X785" i="83"/>
  <c r="W785" i="83"/>
  <c r="V785" i="83"/>
  <c r="AB785" i="83" s="1"/>
  <c r="X784" i="83"/>
  <c r="W784" i="83"/>
  <c r="V784" i="83"/>
  <c r="AB784" i="83" s="1"/>
  <c r="X783" i="83"/>
  <c r="W783" i="83"/>
  <c r="AC783" i="83" s="1"/>
  <c r="V783" i="83"/>
  <c r="AB783" i="83" s="1"/>
  <c r="X782" i="83"/>
  <c r="W782" i="83"/>
  <c r="V782" i="83"/>
  <c r="AB782" i="83" s="1"/>
  <c r="X781" i="83"/>
  <c r="W781" i="83"/>
  <c r="V781" i="83"/>
  <c r="AB781" i="83" s="1"/>
  <c r="X780" i="83"/>
  <c r="W780" i="83"/>
  <c r="V780" i="83"/>
  <c r="AB780" i="83" s="1"/>
  <c r="X779" i="83"/>
  <c r="W779" i="83"/>
  <c r="AC779" i="83" s="1"/>
  <c r="V779" i="83"/>
  <c r="AB779" i="83" s="1"/>
  <c r="X778" i="83"/>
  <c r="W778" i="83"/>
  <c r="V778" i="83"/>
  <c r="AB778" i="83" s="1"/>
  <c r="X777" i="83"/>
  <c r="W777" i="83"/>
  <c r="V777" i="83"/>
  <c r="AB777" i="83" s="1"/>
  <c r="X776" i="83"/>
  <c r="W776" i="83"/>
  <c r="V776" i="83"/>
  <c r="AB776" i="83" s="1"/>
  <c r="X775" i="83"/>
  <c r="W775" i="83"/>
  <c r="AC775" i="83" s="1"/>
  <c r="V775" i="83"/>
  <c r="AB775" i="83" s="1"/>
  <c r="X774" i="83"/>
  <c r="W774" i="83"/>
  <c r="V774" i="83"/>
  <c r="AB774" i="83" s="1"/>
  <c r="X773" i="83"/>
  <c r="W773" i="83"/>
  <c r="V773" i="83"/>
  <c r="AB773" i="83" s="1"/>
  <c r="X772" i="83"/>
  <c r="W772" i="83"/>
  <c r="V772" i="83"/>
  <c r="AB772" i="83" s="1"/>
  <c r="X771" i="83"/>
  <c r="W771" i="83"/>
  <c r="AC771" i="83" s="1"/>
  <c r="V771" i="83"/>
  <c r="AB771" i="83" s="1"/>
  <c r="X770" i="83"/>
  <c r="W770" i="83"/>
  <c r="V770" i="83"/>
  <c r="AB770" i="83" s="1"/>
  <c r="X769" i="83"/>
  <c r="W769" i="83"/>
  <c r="V769" i="83"/>
  <c r="AB769" i="83" s="1"/>
  <c r="X768" i="83"/>
  <c r="W768" i="83"/>
  <c r="V768" i="83"/>
  <c r="AB768" i="83" s="1"/>
  <c r="X767" i="83"/>
  <c r="W767" i="83"/>
  <c r="AC767" i="83" s="1"/>
  <c r="V767" i="83"/>
  <c r="AB767" i="83" s="1"/>
  <c r="X766" i="83"/>
  <c r="W766" i="83"/>
  <c r="V766" i="83"/>
  <c r="AB766" i="83" s="1"/>
  <c r="X765" i="83"/>
  <c r="W765" i="83"/>
  <c r="V765" i="83"/>
  <c r="AB765" i="83" s="1"/>
  <c r="X764" i="83"/>
  <c r="W764" i="83"/>
  <c r="V764" i="83"/>
  <c r="AB764" i="83" s="1"/>
  <c r="X763" i="83"/>
  <c r="W763" i="83"/>
  <c r="AC763" i="83" s="1"/>
  <c r="V763" i="83"/>
  <c r="AB763" i="83" s="1"/>
  <c r="X762" i="83"/>
  <c r="W762" i="83"/>
  <c r="V762" i="83"/>
  <c r="AB762" i="83" s="1"/>
  <c r="X761" i="83"/>
  <c r="W761" i="83"/>
  <c r="V761" i="83"/>
  <c r="AB761" i="83" s="1"/>
  <c r="X760" i="83"/>
  <c r="W760" i="83"/>
  <c r="V760" i="83"/>
  <c r="AB760" i="83" s="1"/>
  <c r="X759" i="83"/>
  <c r="W759" i="83"/>
  <c r="AC759" i="83" s="1"/>
  <c r="V759" i="83"/>
  <c r="AB759" i="83" s="1"/>
  <c r="X758" i="83"/>
  <c r="W758" i="83"/>
  <c r="V758" i="83"/>
  <c r="AB758" i="83" s="1"/>
  <c r="X757" i="83"/>
  <c r="W757" i="83"/>
  <c r="V757" i="83"/>
  <c r="AB757" i="83" s="1"/>
  <c r="X756" i="83"/>
  <c r="W756" i="83"/>
  <c r="V756" i="83"/>
  <c r="AB756" i="83" s="1"/>
  <c r="X755" i="83"/>
  <c r="W755" i="83"/>
  <c r="AC755" i="83" s="1"/>
  <c r="V755" i="83"/>
  <c r="AB755" i="83" s="1"/>
  <c r="X754" i="83"/>
  <c r="W754" i="83"/>
  <c r="V754" i="83"/>
  <c r="AB754" i="83" s="1"/>
  <c r="X753" i="83"/>
  <c r="W753" i="83"/>
  <c r="V753" i="83"/>
  <c r="AB753" i="83" s="1"/>
  <c r="X752" i="83"/>
  <c r="W752" i="83"/>
  <c r="V752" i="83"/>
  <c r="AB752" i="83" s="1"/>
  <c r="X751" i="83"/>
  <c r="W751" i="83"/>
  <c r="AC751" i="83" s="1"/>
  <c r="V751" i="83"/>
  <c r="AB751" i="83" s="1"/>
  <c r="X750" i="83"/>
  <c r="W750" i="83"/>
  <c r="V750" i="83"/>
  <c r="AB750" i="83" s="1"/>
  <c r="X749" i="83"/>
  <c r="W749" i="83"/>
  <c r="V749" i="83"/>
  <c r="AB749" i="83" s="1"/>
  <c r="X748" i="83"/>
  <c r="W748" i="83"/>
  <c r="V748" i="83"/>
  <c r="AB748" i="83" s="1"/>
  <c r="X747" i="83"/>
  <c r="W747" i="83"/>
  <c r="V747" i="83"/>
  <c r="AB747" i="83" s="1"/>
  <c r="X746" i="83"/>
  <c r="W746" i="83"/>
  <c r="V746" i="83"/>
  <c r="AB746" i="83" s="1"/>
  <c r="X745" i="83"/>
  <c r="W745" i="83"/>
  <c r="V745" i="83"/>
  <c r="AB745" i="83" s="1"/>
  <c r="X744" i="83"/>
  <c r="W744" i="83"/>
  <c r="V744" i="83"/>
  <c r="AB744" i="83" s="1"/>
  <c r="X743" i="83"/>
  <c r="W743" i="83"/>
  <c r="V743" i="83"/>
  <c r="AB743" i="83" s="1"/>
  <c r="X742" i="83"/>
  <c r="W742" i="83"/>
  <c r="V742" i="83"/>
  <c r="AB742" i="83" s="1"/>
  <c r="X741" i="83"/>
  <c r="W741" i="83"/>
  <c r="V741" i="83"/>
  <c r="AB741" i="83" s="1"/>
  <c r="X740" i="83"/>
  <c r="W740" i="83"/>
  <c r="V740" i="83"/>
  <c r="AB740" i="83" s="1"/>
  <c r="X739" i="83"/>
  <c r="W739" i="83"/>
  <c r="V739" i="83"/>
  <c r="AB739" i="83" s="1"/>
  <c r="X738" i="83"/>
  <c r="W738" i="83"/>
  <c r="V738" i="83"/>
  <c r="AB738" i="83" s="1"/>
  <c r="X737" i="83"/>
  <c r="W737" i="83"/>
  <c r="V737" i="83"/>
  <c r="AB737" i="83" s="1"/>
  <c r="X736" i="83"/>
  <c r="W736" i="83"/>
  <c r="V736" i="83"/>
  <c r="AB736" i="83" s="1"/>
  <c r="X735" i="83"/>
  <c r="W735" i="83"/>
  <c r="V735" i="83"/>
  <c r="AB735" i="83" s="1"/>
  <c r="X734" i="83"/>
  <c r="W734" i="83"/>
  <c r="V734" i="83"/>
  <c r="AB734" i="83" s="1"/>
  <c r="X733" i="83"/>
  <c r="W733" i="83"/>
  <c r="V733" i="83"/>
  <c r="AB733" i="83" s="1"/>
  <c r="X732" i="83"/>
  <c r="W732" i="83"/>
  <c r="V732" i="83"/>
  <c r="AB732" i="83" s="1"/>
  <c r="X731" i="83"/>
  <c r="W731" i="83"/>
  <c r="V731" i="83"/>
  <c r="AB731" i="83" s="1"/>
  <c r="X730" i="83"/>
  <c r="W730" i="83"/>
  <c r="V730" i="83"/>
  <c r="AB730" i="83" s="1"/>
  <c r="X729" i="83"/>
  <c r="W729" i="83"/>
  <c r="V729" i="83"/>
  <c r="AB729" i="83" s="1"/>
  <c r="X728" i="83"/>
  <c r="W728" i="83"/>
  <c r="V728" i="83"/>
  <c r="AB728" i="83" s="1"/>
  <c r="X727" i="83"/>
  <c r="W727" i="83"/>
  <c r="V727" i="83"/>
  <c r="AB727" i="83" s="1"/>
  <c r="X726" i="83"/>
  <c r="W726" i="83"/>
  <c r="V726" i="83"/>
  <c r="AB726" i="83" s="1"/>
  <c r="X725" i="83"/>
  <c r="W725" i="83"/>
  <c r="V725" i="83"/>
  <c r="AB725" i="83" s="1"/>
  <c r="X724" i="83"/>
  <c r="W724" i="83"/>
  <c r="V724" i="83"/>
  <c r="AB724" i="83" s="1"/>
  <c r="X723" i="83"/>
  <c r="W723" i="83"/>
  <c r="V723" i="83"/>
  <c r="AB723" i="83" s="1"/>
  <c r="X722" i="83"/>
  <c r="W722" i="83"/>
  <c r="V722" i="83"/>
  <c r="AB722" i="83" s="1"/>
  <c r="X721" i="83"/>
  <c r="W721" i="83"/>
  <c r="V721" i="83"/>
  <c r="AB721" i="83" s="1"/>
  <c r="X720" i="83"/>
  <c r="W720" i="83"/>
  <c r="V720" i="83"/>
  <c r="AB720" i="83" s="1"/>
  <c r="X719" i="83"/>
  <c r="W719" i="83"/>
  <c r="V719" i="83"/>
  <c r="AB719" i="83" s="1"/>
  <c r="X718" i="83"/>
  <c r="W718" i="83"/>
  <c r="V718" i="83"/>
  <c r="AB718" i="83" s="1"/>
  <c r="X717" i="83"/>
  <c r="W717" i="83"/>
  <c r="V717" i="83"/>
  <c r="AB717" i="83" s="1"/>
  <c r="X716" i="83"/>
  <c r="W716" i="83"/>
  <c r="V716" i="83"/>
  <c r="AB716" i="83" s="1"/>
  <c r="X715" i="83"/>
  <c r="W715" i="83"/>
  <c r="V715" i="83"/>
  <c r="AB715" i="83" s="1"/>
  <c r="X714" i="83"/>
  <c r="W714" i="83"/>
  <c r="V714" i="83"/>
  <c r="AB714" i="83" s="1"/>
  <c r="X713" i="83"/>
  <c r="W713" i="83"/>
  <c r="V713" i="83"/>
  <c r="AB713" i="83" s="1"/>
  <c r="X712" i="83"/>
  <c r="W712" i="83"/>
  <c r="V712" i="83"/>
  <c r="AB712" i="83" s="1"/>
  <c r="X711" i="83"/>
  <c r="W711" i="83"/>
  <c r="AC711" i="83" s="1"/>
  <c r="V711" i="83"/>
  <c r="AB711" i="83" s="1"/>
  <c r="X710" i="83"/>
  <c r="W710" i="83"/>
  <c r="V710" i="83"/>
  <c r="AB710" i="83" s="1"/>
  <c r="X709" i="83"/>
  <c r="W709" i="83"/>
  <c r="V709" i="83"/>
  <c r="AB709" i="83" s="1"/>
  <c r="X708" i="83"/>
  <c r="W708" i="83"/>
  <c r="V708" i="83"/>
  <c r="AB708" i="83" s="1"/>
  <c r="X707" i="83"/>
  <c r="W707" i="83"/>
  <c r="V707" i="83"/>
  <c r="AB707" i="83" s="1"/>
  <c r="X706" i="83"/>
  <c r="W706" i="83"/>
  <c r="V706" i="83"/>
  <c r="AB706" i="83" s="1"/>
  <c r="X705" i="83"/>
  <c r="W705" i="83"/>
  <c r="V705" i="83"/>
  <c r="AB705" i="83" s="1"/>
  <c r="X704" i="83"/>
  <c r="W704" i="83"/>
  <c r="V704" i="83"/>
  <c r="AB704" i="83" s="1"/>
  <c r="X703" i="83"/>
  <c r="W703" i="83"/>
  <c r="AC703" i="83" s="1"/>
  <c r="V703" i="83"/>
  <c r="AB703" i="83" s="1"/>
  <c r="X702" i="83"/>
  <c r="W702" i="83"/>
  <c r="V702" i="83"/>
  <c r="AB702" i="83" s="1"/>
  <c r="X701" i="83"/>
  <c r="W701" i="83"/>
  <c r="V701" i="83"/>
  <c r="AB701" i="83" s="1"/>
  <c r="X700" i="83"/>
  <c r="W700" i="83"/>
  <c r="V700" i="83"/>
  <c r="AB700" i="83" s="1"/>
  <c r="X699" i="83"/>
  <c r="W699" i="83"/>
  <c r="V699" i="83"/>
  <c r="AB699" i="83" s="1"/>
  <c r="X698" i="83"/>
  <c r="W698" i="83"/>
  <c r="V698" i="83"/>
  <c r="AB698" i="83" s="1"/>
  <c r="X697" i="83"/>
  <c r="W697" i="83"/>
  <c r="V697" i="83"/>
  <c r="AB697" i="83" s="1"/>
  <c r="X696" i="83"/>
  <c r="W696" i="83"/>
  <c r="V696" i="83"/>
  <c r="AB696" i="83" s="1"/>
  <c r="X695" i="83"/>
  <c r="W695" i="83"/>
  <c r="AC695" i="83" s="1"/>
  <c r="V695" i="83"/>
  <c r="AB695" i="83" s="1"/>
  <c r="X694" i="83"/>
  <c r="W694" i="83"/>
  <c r="V694" i="83"/>
  <c r="AB694" i="83" s="1"/>
  <c r="X693" i="83"/>
  <c r="W693" i="83"/>
  <c r="V693" i="83"/>
  <c r="AB693" i="83" s="1"/>
  <c r="X692" i="83"/>
  <c r="W692" i="83"/>
  <c r="V692" i="83"/>
  <c r="AB692" i="83" s="1"/>
  <c r="X691" i="83"/>
  <c r="W691" i="83"/>
  <c r="V691" i="83"/>
  <c r="AB691" i="83" s="1"/>
  <c r="X690" i="83"/>
  <c r="W690" i="83"/>
  <c r="V690" i="83"/>
  <c r="AB690" i="83" s="1"/>
  <c r="X689" i="83"/>
  <c r="W689" i="83"/>
  <c r="V689" i="83"/>
  <c r="AB689" i="83" s="1"/>
  <c r="X688" i="83"/>
  <c r="W688" i="83"/>
  <c r="V688" i="83"/>
  <c r="AB688" i="83" s="1"/>
  <c r="X687" i="83"/>
  <c r="W687" i="83"/>
  <c r="AC687" i="83" s="1"/>
  <c r="V687" i="83"/>
  <c r="AB687" i="83" s="1"/>
  <c r="X686" i="83"/>
  <c r="W686" i="83"/>
  <c r="V686" i="83"/>
  <c r="AB686" i="83" s="1"/>
  <c r="X685" i="83"/>
  <c r="W685" i="83"/>
  <c r="V685" i="83"/>
  <c r="AB685" i="83" s="1"/>
  <c r="X684" i="83"/>
  <c r="W684" i="83"/>
  <c r="V684" i="83"/>
  <c r="AB684" i="83" s="1"/>
  <c r="X683" i="83"/>
  <c r="W683" i="83"/>
  <c r="V683" i="83"/>
  <c r="AB683" i="83" s="1"/>
  <c r="X682" i="83"/>
  <c r="W682" i="83"/>
  <c r="V682" i="83"/>
  <c r="AB682" i="83" s="1"/>
  <c r="X681" i="83"/>
  <c r="W681" i="83"/>
  <c r="V681" i="83"/>
  <c r="AB681" i="83" s="1"/>
  <c r="X680" i="83"/>
  <c r="W680" i="83"/>
  <c r="V680" i="83"/>
  <c r="AB680" i="83" s="1"/>
  <c r="X679" i="83"/>
  <c r="W679" i="83"/>
  <c r="AC679" i="83" s="1"/>
  <c r="V679" i="83"/>
  <c r="AB679" i="83" s="1"/>
  <c r="X678" i="83"/>
  <c r="W678" i="83"/>
  <c r="V678" i="83"/>
  <c r="AB678" i="83" s="1"/>
  <c r="X677" i="83"/>
  <c r="W677" i="83"/>
  <c r="V677" i="83"/>
  <c r="AB677" i="83" s="1"/>
  <c r="X676" i="83"/>
  <c r="W676" i="83"/>
  <c r="V676" i="83"/>
  <c r="AB676" i="83" s="1"/>
  <c r="X675" i="83"/>
  <c r="W675" i="83"/>
  <c r="V675" i="83"/>
  <c r="AB675" i="83" s="1"/>
  <c r="X674" i="83"/>
  <c r="W674" i="83"/>
  <c r="V674" i="83"/>
  <c r="AB674" i="83" s="1"/>
  <c r="X673" i="83"/>
  <c r="W673" i="83"/>
  <c r="V673" i="83"/>
  <c r="AB673" i="83" s="1"/>
  <c r="X672" i="83"/>
  <c r="W672" i="83"/>
  <c r="V672" i="83"/>
  <c r="AB672" i="83" s="1"/>
  <c r="X671" i="83"/>
  <c r="W671" i="83"/>
  <c r="AC671" i="83" s="1"/>
  <c r="V671" i="83"/>
  <c r="AB671" i="83" s="1"/>
  <c r="X670" i="83"/>
  <c r="W670" i="83"/>
  <c r="V670" i="83"/>
  <c r="AB670" i="83" s="1"/>
  <c r="X669" i="83"/>
  <c r="W669" i="83"/>
  <c r="V669" i="83"/>
  <c r="AB669" i="83" s="1"/>
  <c r="X668" i="83"/>
  <c r="W668" i="83"/>
  <c r="V668" i="83"/>
  <c r="AB668" i="83" s="1"/>
  <c r="X667" i="83"/>
  <c r="W667" i="83"/>
  <c r="V667" i="83"/>
  <c r="AB667" i="83" s="1"/>
  <c r="X666" i="83"/>
  <c r="W666" i="83"/>
  <c r="V666" i="83"/>
  <c r="AB666" i="83" s="1"/>
  <c r="X665" i="83"/>
  <c r="W665" i="83"/>
  <c r="V665" i="83"/>
  <c r="AB665" i="83" s="1"/>
  <c r="X664" i="83"/>
  <c r="W664" i="83"/>
  <c r="V664" i="83"/>
  <c r="AB664" i="83" s="1"/>
  <c r="X663" i="83"/>
  <c r="W663" i="83"/>
  <c r="AC663" i="83" s="1"/>
  <c r="V663" i="83"/>
  <c r="AB663" i="83" s="1"/>
  <c r="X662" i="83"/>
  <c r="W662" i="83"/>
  <c r="V662" i="83"/>
  <c r="AB662" i="83" s="1"/>
  <c r="X661" i="83"/>
  <c r="W661" i="83"/>
  <c r="V661" i="83"/>
  <c r="AB661" i="83" s="1"/>
  <c r="X660" i="83"/>
  <c r="W660" i="83"/>
  <c r="V660" i="83"/>
  <c r="AB660" i="83" s="1"/>
  <c r="X659" i="83"/>
  <c r="W659" i="83"/>
  <c r="V659" i="83"/>
  <c r="AB659" i="83" s="1"/>
  <c r="X658" i="83"/>
  <c r="W658" i="83"/>
  <c r="V658" i="83"/>
  <c r="AB658" i="83" s="1"/>
  <c r="X657" i="83"/>
  <c r="W657" i="83"/>
  <c r="V657" i="83"/>
  <c r="AB657" i="83" s="1"/>
  <c r="X656" i="83"/>
  <c r="W656" i="83"/>
  <c r="V656" i="83"/>
  <c r="AB656" i="83" s="1"/>
  <c r="X655" i="83"/>
  <c r="W655" i="83"/>
  <c r="AC655" i="83" s="1"/>
  <c r="V655" i="83"/>
  <c r="AB655" i="83" s="1"/>
  <c r="X654" i="83"/>
  <c r="W654" i="83"/>
  <c r="V654" i="83"/>
  <c r="AB654" i="83" s="1"/>
  <c r="X653" i="83"/>
  <c r="W653" i="83"/>
  <c r="V653" i="83"/>
  <c r="AB653" i="83" s="1"/>
  <c r="X652" i="83"/>
  <c r="W652" i="83"/>
  <c r="V652" i="83"/>
  <c r="AB652" i="83" s="1"/>
  <c r="X651" i="83"/>
  <c r="W651" i="83"/>
  <c r="V651" i="83"/>
  <c r="AB651" i="83" s="1"/>
  <c r="X650" i="83"/>
  <c r="W650" i="83"/>
  <c r="V650" i="83"/>
  <c r="AB650" i="83" s="1"/>
  <c r="X649" i="83"/>
  <c r="W649" i="83"/>
  <c r="V649" i="83"/>
  <c r="AB649" i="83" s="1"/>
  <c r="X648" i="83"/>
  <c r="W648" i="83"/>
  <c r="V648" i="83"/>
  <c r="AB648" i="83" s="1"/>
  <c r="X647" i="83"/>
  <c r="W647" i="83"/>
  <c r="AC647" i="83" s="1"/>
  <c r="V647" i="83"/>
  <c r="AB647" i="83" s="1"/>
  <c r="X646" i="83"/>
  <c r="W646" i="83"/>
  <c r="V646" i="83"/>
  <c r="AB646" i="83" s="1"/>
  <c r="X645" i="83"/>
  <c r="W645" i="83"/>
  <c r="V645" i="83"/>
  <c r="AB645" i="83" s="1"/>
  <c r="X644" i="83"/>
  <c r="W644" i="83"/>
  <c r="V644" i="83"/>
  <c r="AB644" i="83" s="1"/>
  <c r="X643" i="83"/>
  <c r="W643" i="83"/>
  <c r="V643" i="83"/>
  <c r="AB643" i="83" s="1"/>
  <c r="X642" i="83"/>
  <c r="W642" i="83"/>
  <c r="V642" i="83"/>
  <c r="AB642" i="83" s="1"/>
  <c r="X641" i="83"/>
  <c r="W641" i="83"/>
  <c r="V641" i="83"/>
  <c r="AB641" i="83" s="1"/>
  <c r="X640" i="83"/>
  <c r="W640" i="83"/>
  <c r="V640" i="83"/>
  <c r="AB640" i="83" s="1"/>
  <c r="X639" i="83"/>
  <c r="W639" i="83"/>
  <c r="AC639" i="83" s="1"/>
  <c r="V639" i="83"/>
  <c r="AB639" i="83" s="1"/>
  <c r="X638" i="83"/>
  <c r="W638" i="83"/>
  <c r="V638" i="83"/>
  <c r="AB638" i="83" s="1"/>
  <c r="X637" i="83"/>
  <c r="W637" i="83"/>
  <c r="V637" i="83"/>
  <c r="AB637" i="83" s="1"/>
  <c r="X636" i="83"/>
  <c r="W636" i="83"/>
  <c r="V636" i="83"/>
  <c r="AB636" i="83" s="1"/>
  <c r="X635" i="83"/>
  <c r="W635" i="83"/>
  <c r="V635" i="83"/>
  <c r="AB635" i="83" s="1"/>
  <c r="X634" i="83"/>
  <c r="W634" i="83"/>
  <c r="V634" i="83"/>
  <c r="AB634" i="83" s="1"/>
  <c r="X633" i="83"/>
  <c r="W633" i="83"/>
  <c r="V633" i="83"/>
  <c r="AB633" i="83" s="1"/>
  <c r="X632" i="83"/>
  <c r="W632" i="83"/>
  <c r="V632" i="83"/>
  <c r="AB632" i="83" s="1"/>
  <c r="X631" i="83"/>
  <c r="W631" i="83"/>
  <c r="AC631" i="83" s="1"/>
  <c r="V631" i="83"/>
  <c r="AB631" i="83" s="1"/>
  <c r="X630" i="83"/>
  <c r="W630" i="83"/>
  <c r="V630" i="83"/>
  <c r="AB630" i="83" s="1"/>
  <c r="X629" i="83"/>
  <c r="W629" i="83"/>
  <c r="V629" i="83"/>
  <c r="AB629" i="83" s="1"/>
  <c r="X628" i="83"/>
  <c r="W628" i="83"/>
  <c r="V628" i="83"/>
  <c r="AB628" i="83" s="1"/>
  <c r="X627" i="83"/>
  <c r="W627" i="83"/>
  <c r="V627" i="83"/>
  <c r="AB627" i="83" s="1"/>
  <c r="X626" i="83"/>
  <c r="W626" i="83"/>
  <c r="V626" i="83"/>
  <c r="AB626" i="83" s="1"/>
  <c r="X625" i="83"/>
  <c r="W625" i="83"/>
  <c r="V625" i="83"/>
  <c r="AB625" i="83" s="1"/>
  <c r="X624" i="83"/>
  <c r="W624" i="83"/>
  <c r="V624" i="83"/>
  <c r="AB624" i="83" s="1"/>
  <c r="X623" i="83"/>
  <c r="W623" i="83"/>
  <c r="AC623" i="83" s="1"/>
  <c r="V623" i="83"/>
  <c r="AB623" i="83" s="1"/>
  <c r="X622" i="83"/>
  <c r="W622" i="83"/>
  <c r="V622" i="83"/>
  <c r="AB622" i="83" s="1"/>
  <c r="X621" i="83"/>
  <c r="W621" i="83"/>
  <c r="V621" i="83"/>
  <c r="AB621" i="83" s="1"/>
  <c r="X620" i="83"/>
  <c r="W620" i="83"/>
  <c r="V620" i="83"/>
  <c r="AB620" i="83" s="1"/>
  <c r="X619" i="83"/>
  <c r="W619" i="83"/>
  <c r="V619" i="83"/>
  <c r="AB619" i="83" s="1"/>
  <c r="X618" i="83"/>
  <c r="W618" i="83"/>
  <c r="V618" i="83"/>
  <c r="AB618" i="83" s="1"/>
  <c r="X617" i="83"/>
  <c r="W617" i="83"/>
  <c r="V617" i="83"/>
  <c r="AB617" i="83" s="1"/>
  <c r="X616" i="83"/>
  <c r="W616" i="83"/>
  <c r="V616" i="83"/>
  <c r="AB616" i="83" s="1"/>
  <c r="X615" i="83"/>
  <c r="W615" i="83"/>
  <c r="AC615" i="83" s="1"/>
  <c r="V615" i="83"/>
  <c r="AB615" i="83" s="1"/>
  <c r="X614" i="83"/>
  <c r="W614" i="83"/>
  <c r="V614" i="83"/>
  <c r="AB614" i="83" s="1"/>
  <c r="X613" i="83"/>
  <c r="W613" i="83"/>
  <c r="V613" i="83"/>
  <c r="AB613" i="83" s="1"/>
  <c r="X612" i="83"/>
  <c r="W612" i="83"/>
  <c r="V612" i="83"/>
  <c r="AB612" i="83" s="1"/>
  <c r="X611" i="83"/>
  <c r="W611" i="83"/>
  <c r="V611" i="83"/>
  <c r="AB611" i="83" s="1"/>
  <c r="X610" i="83"/>
  <c r="W610" i="83"/>
  <c r="V610" i="83"/>
  <c r="AB610" i="83" s="1"/>
  <c r="X609" i="83"/>
  <c r="W609" i="83"/>
  <c r="V609" i="83"/>
  <c r="AB609" i="83" s="1"/>
  <c r="X608" i="83"/>
  <c r="W608" i="83"/>
  <c r="V608" i="83"/>
  <c r="AB608" i="83" s="1"/>
  <c r="X607" i="83"/>
  <c r="W607" i="83"/>
  <c r="AC607" i="83" s="1"/>
  <c r="V607" i="83"/>
  <c r="AB607" i="83" s="1"/>
  <c r="X606" i="83"/>
  <c r="W606" i="83"/>
  <c r="V606" i="83"/>
  <c r="AB606" i="83" s="1"/>
  <c r="X605" i="83"/>
  <c r="W605" i="83"/>
  <c r="V605" i="83"/>
  <c r="AB605" i="83" s="1"/>
  <c r="X604" i="83"/>
  <c r="W604" i="83"/>
  <c r="V604" i="83"/>
  <c r="AB604" i="83" s="1"/>
  <c r="X603" i="83"/>
  <c r="W603" i="83"/>
  <c r="V603" i="83"/>
  <c r="AB603" i="83" s="1"/>
  <c r="X602" i="83"/>
  <c r="W602" i="83"/>
  <c r="V602" i="83"/>
  <c r="AB602" i="83" s="1"/>
  <c r="X601" i="83"/>
  <c r="W601" i="83"/>
  <c r="V601" i="83"/>
  <c r="AB601" i="83" s="1"/>
  <c r="X600" i="83"/>
  <c r="W600" i="83"/>
  <c r="V600" i="83"/>
  <c r="AB600" i="83" s="1"/>
  <c r="X599" i="83"/>
  <c r="W599" i="83"/>
  <c r="AC599" i="83" s="1"/>
  <c r="V599" i="83"/>
  <c r="AB599" i="83" s="1"/>
  <c r="X598" i="83"/>
  <c r="W598" i="83"/>
  <c r="V598" i="83"/>
  <c r="AB598" i="83" s="1"/>
  <c r="X597" i="83"/>
  <c r="W597" i="83"/>
  <c r="V597" i="83"/>
  <c r="AB597" i="83" s="1"/>
  <c r="V596" i="83"/>
  <c r="AB596" i="83" s="1"/>
  <c r="V595" i="83"/>
  <c r="AB595" i="83" s="1"/>
  <c r="V594" i="83"/>
  <c r="AB594" i="83" s="1"/>
  <c r="V593" i="83"/>
  <c r="AB593" i="83" s="1"/>
  <c r="V592" i="83"/>
  <c r="AB592" i="83" s="1"/>
  <c r="V591" i="83"/>
  <c r="AB591" i="83" s="1"/>
  <c r="V590" i="83"/>
  <c r="AB590" i="83" s="1"/>
  <c r="V589" i="83"/>
  <c r="AB589" i="83" s="1"/>
  <c r="V588" i="83"/>
  <c r="AB588" i="83" s="1"/>
  <c r="V587" i="83"/>
  <c r="AB587" i="83" s="1"/>
  <c r="V586" i="83"/>
  <c r="AB586" i="83" s="1"/>
  <c r="V585" i="83"/>
  <c r="AB585" i="83" s="1"/>
  <c r="X584" i="83"/>
  <c r="W584" i="83"/>
  <c r="AC584" i="83" s="1"/>
  <c r="X583" i="83"/>
  <c r="W583" i="83"/>
  <c r="AC583" i="83" s="1"/>
  <c r="X582" i="83"/>
  <c r="W582" i="83"/>
  <c r="X581" i="83"/>
  <c r="W581" i="83"/>
  <c r="AC581" i="83" s="1"/>
  <c r="X580" i="83"/>
  <c r="W580" i="83"/>
  <c r="AC580" i="83" s="1"/>
  <c r="X579" i="83"/>
  <c r="W579" i="83"/>
  <c r="X578" i="83"/>
  <c r="W578" i="83"/>
  <c r="X577" i="83"/>
  <c r="W577" i="83"/>
  <c r="AC577" i="83" s="1"/>
  <c r="X576" i="83"/>
  <c r="W576" i="83"/>
  <c r="AC576" i="83" s="1"/>
  <c r="X575" i="83"/>
  <c r="W575" i="83"/>
  <c r="AC575" i="83" s="1"/>
  <c r="X574" i="83"/>
  <c r="W574" i="83"/>
  <c r="X573" i="83"/>
  <c r="W573" i="83"/>
  <c r="AC573" i="83" s="1"/>
  <c r="V572" i="83"/>
  <c r="AB572" i="83" s="1"/>
  <c r="V571" i="83"/>
  <c r="AB571" i="83" s="1"/>
  <c r="V570" i="83"/>
  <c r="AB570" i="83" s="1"/>
  <c r="V569" i="83"/>
  <c r="AB569" i="83" s="1"/>
  <c r="V568" i="83"/>
  <c r="AB568" i="83" s="1"/>
  <c r="V567" i="83"/>
  <c r="AB567" i="83" s="1"/>
  <c r="V566" i="83"/>
  <c r="AB566" i="83" s="1"/>
  <c r="V565" i="83"/>
  <c r="AB565" i="83" s="1"/>
  <c r="V564" i="83"/>
  <c r="V563" i="83"/>
  <c r="AB563" i="83" s="1"/>
  <c r="V562" i="83"/>
  <c r="V561" i="83"/>
  <c r="AB561" i="83" s="1"/>
  <c r="V560" i="83"/>
  <c r="AB560" i="83" s="1"/>
  <c r="V559" i="83"/>
  <c r="AB559" i="83" s="1"/>
  <c r="V558" i="83"/>
  <c r="V557" i="83"/>
  <c r="AB557" i="83" s="1"/>
  <c r="V556" i="83"/>
  <c r="AB556" i="83" s="1"/>
  <c r="V555" i="83"/>
  <c r="AB555" i="83" s="1"/>
  <c r="V554" i="83"/>
  <c r="AB554" i="83" s="1"/>
  <c r="V553" i="83"/>
  <c r="AB553" i="83" s="1"/>
  <c r="V552" i="83"/>
  <c r="AB552" i="83" s="1"/>
  <c r="V551" i="83"/>
  <c r="AB551" i="83" s="1"/>
  <c r="V550" i="83"/>
  <c r="AB550" i="83" s="1"/>
  <c r="V549" i="83"/>
  <c r="AB549" i="83" s="1"/>
  <c r="V548" i="83"/>
  <c r="AB548" i="83" s="1"/>
  <c r="X547" i="83"/>
  <c r="W547" i="83"/>
  <c r="X546" i="83"/>
  <c r="W546" i="83"/>
  <c r="AC546" i="83" s="1"/>
  <c r="X545" i="83"/>
  <c r="W545" i="83"/>
  <c r="AC545" i="83" s="1"/>
  <c r="X544" i="83"/>
  <c r="W544" i="83"/>
  <c r="AC544" i="83" s="1"/>
  <c r="X543" i="83"/>
  <c r="W543" i="83"/>
  <c r="X542" i="83"/>
  <c r="W542" i="83"/>
  <c r="AC542" i="83" s="1"/>
  <c r="X541" i="83"/>
  <c r="W541" i="83"/>
  <c r="AC541" i="83" s="1"/>
  <c r="X540" i="83"/>
  <c r="W540" i="83"/>
  <c r="AC540" i="83" s="1"/>
  <c r="X539" i="83"/>
  <c r="W539" i="83"/>
  <c r="AC539" i="83" s="1"/>
  <c r="X538" i="83"/>
  <c r="W538" i="83"/>
  <c r="AC538" i="83" s="1"/>
  <c r="X537" i="83"/>
  <c r="W537" i="83"/>
  <c r="AC537" i="83" s="1"/>
  <c r="X536" i="83"/>
  <c r="W536" i="83"/>
  <c r="AC536" i="83" s="1"/>
  <c r="X535" i="83"/>
  <c r="W535" i="83"/>
  <c r="AC535" i="83" s="1"/>
  <c r="V534" i="83"/>
  <c r="AB534" i="83" s="1"/>
  <c r="V533" i="83"/>
  <c r="AB533" i="83" s="1"/>
  <c r="V532" i="83"/>
  <c r="AB532" i="83" s="1"/>
  <c r="V531" i="83"/>
  <c r="AB531" i="83" s="1"/>
  <c r="V530" i="83"/>
  <c r="V529" i="83"/>
  <c r="AB529" i="83" s="1"/>
  <c r="V528" i="83"/>
  <c r="AB528" i="83" s="1"/>
  <c r="V527" i="83"/>
  <c r="AB527" i="83" s="1"/>
  <c r="V526" i="83"/>
  <c r="AB526" i="83" s="1"/>
  <c r="V525" i="83"/>
  <c r="AB525" i="83" s="1"/>
  <c r="V524" i="83"/>
  <c r="AB524" i="83" s="1"/>
  <c r="V523" i="83"/>
  <c r="AB523" i="83" s="1"/>
  <c r="V522" i="83"/>
  <c r="AB522" i="83" s="1"/>
  <c r="X521" i="83"/>
  <c r="W521" i="83"/>
  <c r="V521" i="83"/>
  <c r="AB521" i="83" s="1"/>
  <c r="X520" i="83"/>
  <c r="W520" i="83"/>
  <c r="AC520" i="83" s="1"/>
  <c r="V520" i="83"/>
  <c r="AB520" i="83" s="1"/>
  <c r="X519" i="83"/>
  <c r="W519" i="83"/>
  <c r="AC519" i="83" s="1"/>
  <c r="V519" i="83"/>
  <c r="AB519" i="83" s="1"/>
  <c r="X518" i="83"/>
  <c r="W518" i="83"/>
  <c r="V518" i="83"/>
  <c r="AB518" i="83" s="1"/>
  <c r="X517" i="83"/>
  <c r="W517" i="83"/>
  <c r="V517" i="83"/>
  <c r="AB517" i="83" s="1"/>
  <c r="X516" i="83"/>
  <c r="W516" i="83"/>
  <c r="AC516" i="83" s="1"/>
  <c r="V516" i="83"/>
  <c r="AB516" i="83" s="1"/>
  <c r="X515" i="83"/>
  <c r="W515" i="83"/>
  <c r="V515" i="83"/>
  <c r="AB515" i="83" s="1"/>
  <c r="X514" i="83"/>
  <c r="W514" i="83"/>
  <c r="V514" i="83"/>
  <c r="AB514" i="83" s="1"/>
  <c r="X513" i="83"/>
  <c r="W513" i="83"/>
  <c r="V513" i="83"/>
  <c r="AB513" i="83" s="1"/>
  <c r="X512" i="83"/>
  <c r="W512" i="83"/>
  <c r="AC512" i="83" s="1"/>
  <c r="V512" i="83"/>
  <c r="AB512" i="83" s="1"/>
  <c r="X511" i="83"/>
  <c r="W511" i="83"/>
  <c r="AC511" i="83" s="1"/>
  <c r="V511" i="83"/>
  <c r="AB511" i="83" s="1"/>
  <c r="X510" i="83"/>
  <c r="W510" i="83"/>
  <c r="V510" i="83"/>
  <c r="AB510" i="83" s="1"/>
  <c r="X509" i="83"/>
  <c r="W509" i="83"/>
  <c r="V509" i="83"/>
  <c r="AB509" i="83" s="1"/>
  <c r="X508" i="83"/>
  <c r="W508" i="83"/>
  <c r="AC508" i="83" s="1"/>
  <c r="V508" i="83"/>
  <c r="AB508" i="83" s="1"/>
  <c r="X507" i="83"/>
  <c r="W507" i="83"/>
  <c r="V507" i="83"/>
  <c r="AB507" i="83" s="1"/>
  <c r="X506" i="83"/>
  <c r="W506" i="83"/>
  <c r="V506" i="83"/>
  <c r="AB506" i="83" s="1"/>
  <c r="X505" i="83"/>
  <c r="W505" i="83"/>
  <c r="V505" i="83"/>
  <c r="AB505" i="83" s="1"/>
  <c r="X504" i="83"/>
  <c r="W504" i="83"/>
  <c r="AC504" i="83" s="1"/>
  <c r="V504" i="83"/>
  <c r="AB504" i="83" s="1"/>
  <c r="X503" i="83"/>
  <c r="W503" i="83"/>
  <c r="AC503" i="83" s="1"/>
  <c r="V503" i="83"/>
  <c r="AB503" i="83" s="1"/>
  <c r="X502" i="83"/>
  <c r="W502" i="83"/>
  <c r="V502" i="83"/>
  <c r="AB502" i="83" s="1"/>
  <c r="X501" i="83"/>
  <c r="W501" i="83"/>
  <c r="V501" i="83"/>
  <c r="AB501" i="83" s="1"/>
  <c r="X500" i="83"/>
  <c r="W500" i="83"/>
  <c r="AC500" i="83" s="1"/>
  <c r="V500" i="83"/>
  <c r="AB500" i="83" s="1"/>
  <c r="X499" i="83"/>
  <c r="W499" i="83"/>
  <c r="V499" i="83"/>
  <c r="AB499" i="83" s="1"/>
  <c r="X498" i="83"/>
  <c r="W498" i="83"/>
  <c r="V498" i="83"/>
  <c r="AB498" i="83" s="1"/>
  <c r="X497" i="83"/>
  <c r="W497" i="83"/>
  <c r="V497" i="83"/>
  <c r="AB497" i="83" s="1"/>
  <c r="X496" i="83"/>
  <c r="W496" i="83"/>
  <c r="AC496" i="83" s="1"/>
  <c r="V496" i="83"/>
  <c r="AB496" i="83" s="1"/>
  <c r="X495" i="83"/>
  <c r="W495" i="83"/>
  <c r="V495" i="83"/>
  <c r="AB495" i="83" s="1"/>
  <c r="X494" i="83"/>
  <c r="W494" i="83"/>
  <c r="V494" i="83"/>
  <c r="AB494" i="83" s="1"/>
  <c r="X493" i="83"/>
  <c r="W493" i="83"/>
  <c r="V493" i="83"/>
  <c r="AB493" i="83" s="1"/>
  <c r="X492" i="83"/>
  <c r="W492" i="83"/>
  <c r="AC492" i="83" s="1"/>
  <c r="V492" i="83"/>
  <c r="AB492" i="83" s="1"/>
  <c r="X491" i="83"/>
  <c r="W491" i="83"/>
  <c r="V491" i="83"/>
  <c r="AB491" i="83" s="1"/>
  <c r="X490" i="83"/>
  <c r="W490" i="83"/>
  <c r="V490" i="83"/>
  <c r="AB490" i="83" s="1"/>
  <c r="X489" i="83"/>
  <c r="W489" i="83"/>
  <c r="V489" i="83"/>
  <c r="AB489" i="83" s="1"/>
  <c r="X488" i="83"/>
  <c r="W488" i="83"/>
  <c r="AC488" i="83" s="1"/>
  <c r="V488" i="83"/>
  <c r="AB488" i="83" s="1"/>
  <c r="X487" i="83"/>
  <c r="W487" i="83"/>
  <c r="V487" i="83"/>
  <c r="AB487" i="83" s="1"/>
  <c r="X486" i="83"/>
  <c r="W486" i="83"/>
  <c r="V486" i="83"/>
  <c r="AB486" i="83" s="1"/>
  <c r="X485" i="83"/>
  <c r="W485" i="83"/>
  <c r="V485" i="83"/>
  <c r="AB485" i="83" s="1"/>
  <c r="X484" i="83"/>
  <c r="W484" i="83"/>
  <c r="AC484" i="83" s="1"/>
  <c r="V484" i="83"/>
  <c r="AB484" i="83" s="1"/>
  <c r="X483" i="83"/>
  <c r="W483" i="83"/>
  <c r="V483" i="83"/>
  <c r="AB483" i="83" s="1"/>
  <c r="X482" i="83"/>
  <c r="W482" i="83"/>
  <c r="V482" i="83"/>
  <c r="AB482" i="83" s="1"/>
  <c r="X481" i="83"/>
  <c r="W481" i="83"/>
  <c r="V481" i="83"/>
  <c r="AB481" i="83" s="1"/>
  <c r="X480" i="83"/>
  <c r="W480" i="83"/>
  <c r="AC480" i="83" s="1"/>
  <c r="V480" i="83"/>
  <c r="AB480" i="83" s="1"/>
  <c r="X479" i="83"/>
  <c r="W479" i="83"/>
  <c r="V479" i="83"/>
  <c r="AB479" i="83" s="1"/>
  <c r="X478" i="83"/>
  <c r="W478" i="83"/>
  <c r="V478" i="83"/>
  <c r="AB478" i="83" s="1"/>
  <c r="X477" i="83"/>
  <c r="W477" i="83"/>
  <c r="V477" i="83"/>
  <c r="AB477" i="83" s="1"/>
  <c r="X476" i="83"/>
  <c r="W476" i="83"/>
  <c r="AC476" i="83" s="1"/>
  <c r="V476" i="83"/>
  <c r="AB476" i="83" s="1"/>
  <c r="X475" i="83"/>
  <c r="W475" i="83"/>
  <c r="V475" i="83"/>
  <c r="AB475" i="83" s="1"/>
  <c r="X474" i="83"/>
  <c r="W474" i="83"/>
  <c r="V474" i="83"/>
  <c r="AB474" i="83" s="1"/>
  <c r="X473" i="83"/>
  <c r="W473" i="83"/>
  <c r="V473" i="83"/>
  <c r="AB473" i="83" s="1"/>
  <c r="X472" i="83"/>
  <c r="W472" i="83"/>
  <c r="AC472" i="83" s="1"/>
  <c r="V472" i="83"/>
  <c r="AB472" i="83" s="1"/>
  <c r="X471" i="83"/>
  <c r="W471" i="83"/>
  <c r="V471" i="83"/>
  <c r="AB471" i="83" s="1"/>
  <c r="X470" i="83"/>
  <c r="W470" i="83"/>
  <c r="V470" i="83"/>
  <c r="AB470" i="83" s="1"/>
  <c r="X469" i="83"/>
  <c r="W469" i="83"/>
  <c r="V469" i="83"/>
  <c r="AB469" i="83" s="1"/>
  <c r="X468" i="83"/>
  <c r="W468" i="83"/>
  <c r="AC468" i="83" s="1"/>
  <c r="V468" i="83"/>
  <c r="AB468" i="83" s="1"/>
  <c r="X467" i="83"/>
  <c r="W467" i="83"/>
  <c r="V467" i="83"/>
  <c r="AB467" i="83" s="1"/>
  <c r="X466" i="83"/>
  <c r="W466" i="83"/>
  <c r="V466" i="83"/>
  <c r="AB466" i="83" s="1"/>
  <c r="X465" i="83"/>
  <c r="W465" i="83"/>
  <c r="V465" i="83"/>
  <c r="AB465" i="83" s="1"/>
  <c r="X464" i="83"/>
  <c r="W464" i="83"/>
  <c r="AC464" i="83" s="1"/>
  <c r="V464" i="83"/>
  <c r="AB464" i="83" s="1"/>
  <c r="X463" i="83"/>
  <c r="W463" i="83"/>
  <c r="V463" i="83"/>
  <c r="AB463" i="83" s="1"/>
  <c r="X462" i="83"/>
  <c r="W462" i="83"/>
  <c r="V462" i="83"/>
  <c r="AB462" i="83" s="1"/>
  <c r="X461" i="83"/>
  <c r="W461" i="83"/>
  <c r="V461" i="83"/>
  <c r="AB461" i="83" s="1"/>
  <c r="X460" i="83"/>
  <c r="W460" i="83"/>
  <c r="AC460" i="83" s="1"/>
  <c r="V460" i="83"/>
  <c r="AB460" i="83" s="1"/>
  <c r="X459" i="83"/>
  <c r="W459" i="83"/>
  <c r="V459" i="83"/>
  <c r="AB459" i="83" s="1"/>
  <c r="X458" i="83"/>
  <c r="W458" i="83"/>
  <c r="V458" i="83"/>
  <c r="AB458" i="83" s="1"/>
  <c r="X457" i="83"/>
  <c r="W457" i="83"/>
  <c r="V457" i="83"/>
  <c r="AB457" i="83" s="1"/>
  <c r="X456" i="83"/>
  <c r="W456" i="83"/>
  <c r="AC456" i="83" s="1"/>
  <c r="V456" i="83"/>
  <c r="AB456" i="83" s="1"/>
  <c r="X455" i="83"/>
  <c r="W455" i="83"/>
  <c r="V455" i="83"/>
  <c r="AB455" i="83" s="1"/>
  <c r="X454" i="83"/>
  <c r="W454" i="83"/>
  <c r="V454" i="83"/>
  <c r="AB454" i="83" s="1"/>
  <c r="X453" i="83"/>
  <c r="W453" i="83"/>
  <c r="V453" i="83"/>
  <c r="AB453" i="83" s="1"/>
  <c r="X452" i="83"/>
  <c r="W452" i="83"/>
  <c r="AC452" i="83" s="1"/>
  <c r="V452" i="83"/>
  <c r="AB452" i="83" s="1"/>
  <c r="X451" i="83"/>
  <c r="W451" i="83"/>
  <c r="V451" i="83"/>
  <c r="AB451" i="83" s="1"/>
  <c r="X450" i="83"/>
  <c r="W450" i="83"/>
  <c r="V450" i="83"/>
  <c r="AB450" i="83" s="1"/>
  <c r="X449" i="83"/>
  <c r="W449" i="83"/>
  <c r="V449" i="83"/>
  <c r="AB449" i="83" s="1"/>
  <c r="X448" i="83"/>
  <c r="W448" i="83"/>
  <c r="AC448" i="83" s="1"/>
  <c r="V448" i="83"/>
  <c r="AB448" i="83" s="1"/>
  <c r="X447" i="83"/>
  <c r="W447" i="83"/>
  <c r="V447" i="83"/>
  <c r="AB447" i="83" s="1"/>
  <c r="X446" i="83"/>
  <c r="W446" i="83"/>
  <c r="V446" i="83"/>
  <c r="AB446" i="83" s="1"/>
  <c r="X445" i="83"/>
  <c r="W445" i="83"/>
  <c r="V445" i="83"/>
  <c r="AB445" i="83" s="1"/>
  <c r="X444" i="83"/>
  <c r="W444" i="83"/>
  <c r="AC444" i="83" s="1"/>
  <c r="V444" i="83"/>
  <c r="AB444" i="83" s="1"/>
  <c r="X443" i="83"/>
  <c r="W443" i="83"/>
  <c r="V443" i="83"/>
  <c r="AB443" i="83" s="1"/>
  <c r="X442" i="83"/>
  <c r="W442" i="83"/>
  <c r="V442" i="83"/>
  <c r="AB442" i="83" s="1"/>
  <c r="X441" i="83"/>
  <c r="W441" i="83"/>
  <c r="V441" i="83"/>
  <c r="AB441" i="83" s="1"/>
  <c r="X440" i="83"/>
  <c r="W440" i="83"/>
  <c r="AC440" i="83" s="1"/>
  <c r="V440" i="83"/>
  <c r="AB440" i="83" s="1"/>
  <c r="X439" i="83"/>
  <c r="W439" i="83"/>
  <c r="V439" i="83"/>
  <c r="AB439" i="83" s="1"/>
  <c r="X438" i="83"/>
  <c r="W438" i="83"/>
  <c r="V438" i="83"/>
  <c r="AB438" i="83" s="1"/>
  <c r="X437" i="83"/>
  <c r="W437" i="83"/>
  <c r="V437" i="83"/>
  <c r="AB437" i="83" s="1"/>
  <c r="X436" i="83"/>
  <c r="W436" i="83"/>
  <c r="AC436" i="83" s="1"/>
  <c r="V436" i="83"/>
  <c r="AB436" i="83" s="1"/>
  <c r="X435" i="83"/>
  <c r="W435" i="83"/>
  <c r="V435" i="83"/>
  <c r="AB435" i="83" s="1"/>
  <c r="X434" i="83"/>
  <c r="W434" i="83"/>
  <c r="V434" i="83"/>
  <c r="AB434" i="83" s="1"/>
  <c r="X433" i="83"/>
  <c r="W433" i="83"/>
  <c r="V433" i="83"/>
  <c r="AB433" i="83" s="1"/>
  <c r="X432" i="83"/>
  <c r="W432" i="83"/>
  <c r="AC432" i="83" s="1"/>
  <c r="V432" i="83"/>
  <c r="AB432" i="83" s="1"/>
  <c r="X431" i="83"/>
  <c r="W431" i="83"/>
  <c r="V431" i="83"/>
  <c r="AB431" i="83" s="1"/>
  <c r="X430" i="83"/>
  <c r="W430" i="83"/>
  <c r="V430" i="83"/>
  <c r="AB430" i="83" s="1"/>
  <c r="X429" i="83"/>
  <c r="W429" i="83"/>
  <c r="V429" i="83"/>
  <c r="AB429" i="83" s="1"/>
  <c r="X428" i="83"/>
  <c r="W428" i="83"/>
  <c r="V428" i="83"/>
  <c r="AB428" i="83" s="1"/>
  <c r="X427" i="83"/>
  <c r="W427" i="83"/>
  <c r="V427" i="83"/>
  <c r="AB427" i="83" s="1"/>
  <c r="X426" i="83"/>
  <c r="W426" i="83"/>
  <c r="V426" i="83"/>
  <c r="AB426" i="83" s="1"/>
  <c r="X425" i="83"/>
  <c r="W425" i="83"/>
  <c r="V425" i="83"/>
  <c r="AB425" i="83" s="1"/>
  <c r="X424" i="83"/>
  <c r="W424" i="83"/>
  <c r="V424" i="83"/>
  <c r="AB424" i="83" s="1"/>
  <c r="X423" i="83"/>
  <c r="W423" i="83"/>
  <c r="V423" i="83"/>
  <c r="AB423" i="83" s="1"/>
  <c r="X422" i="83"/>
  <c r="W422" i="83"/>
  <c r="V422" i="83"/>
  <c r="AB422" i="83" s="1"/>
  <c r="X421" i="83"/>
  <c r="W421" i="83"/>
  <c r="V421" i="83"/>
  <c r="AB421" i="83" s="1"/>
  <c r="X420" i="83"/>
  <c r="W420" i="83"/>
  <c r="AC420" i="83" s="1"/>
  <c r="V420" i="83"/>
  <c r="AB420" i="83" s="1"/>
  <c r="X419" i="83"/>
  <c r="W419" i="83"/>
  <c r="V419" i="83"/>
  <c r="AB419" i="83" s="1"/>
  <c r="X418" i="83"/>
  <c r="W418" i="83"/>
  <c r="V418" i="83"/>
  <c r="AB418" i="83" s="1"/>
  <c r="X417" i="83"/>
  <c r="W417" i="83"/>
  <c r="V417" i="83"/>
  <c r="AB417" i="83" s="1"/>
  <c r="X416" i="83"/>
  <c r="W416" i="83"/>
  <c r="V416" i="83"/>
  <c r="AB416" i="83" s="1"/>
  <c r="X415" i="83"/>
  <c r="W415" i="83"/>
  <c r="V415" i="83"/>
  <c r="AB415" i="83" s="1"/>
  <c r="X414" i="83"/>
  <c r="W414" i="83"/>
  <c r="V414" i="83"/>
  <c r="AB414" i="83" s="1"/>
  <c r="X413" i="83"/>
  <c r="W413" i="83"/>
  <c r="V413" i="83"/>
  <c r="AB413" i="83" s="1"/>
  <c r="X412" i="83"/>
  <c r="W412" i="83"/>
  <c r="V412" i="83"/>
  <c r="AB412" i="83" s="1"/>
  <c r="X411" i="83"/>
  <c r="W411" i="83"/>
  <c r="AC411" i="83" s="1"/>
  <c r="V411" i="83"/>
  <c r="AB411" i="83" s="1"/>
  <c r="X410" i="83"/>
  <c r="W410" i="83"/>
  <c r="V410" i="83"/>
  <c r="AB410" i="83" s="1"/>
  <c r="X409" i="83"/>
  <c r="W409" i="83"/>
  <c r="V409" i="83"/>
  <c r="AB409" i="83" s="1"/>
  <c r="X408" i="83"/>
  <c r="W408" i="83"/>
  <c r="V408" i="83"/>
  <c r="AB408" i="83" s="1"/>
  <c r="X407" i="83"/>
  <c r="W407" i="83"/>
  <c r="V407" i="83"/>
  <c r="AB407" i="83" s="1"/>
  <c r="X406" i="83"/>
  <c r="W406" i="83"/>
  <c r="V406" i="83"/>
  <c r="AB406" i="83" s="1"/>
  <c r="X405" i="83"/>
  <c r="W405" i="83"/>
  <c r="V405" i="83"/>
  <c r="AB405" i="83" s="1"/>
  <c r="X404" i="83"/>
  <c r="W404" i="83"/>
  <c r="AC404" i="83" s="1"/>
  <c r="V404" i="83"/>
  <c r="AB404" i="83" s="1"/>
  <c r="X403" i="83"/>
  <c r="W403" i="83"/>
  <c r="V403" i="83"/>
  <c r="AB403" i="83" s="1"/>
  <c r="X402" i="83"/>
  <c r="W402" i="83"/>
  <c r="V402" i="83"/>
  <c r="AB402" i="83" s="1"/>
  <c r="X401" i="83"/>
  <c r="W401" i="83"/>
  <c r="V401" i="83"/>
  <c r="AB401" i="83" s="1"/>
  <c r="X400" i="83"/>
  <c r="W400" i="83"/>
  <c r="V400" i="83"/>
  <c r="AB400" i="83" s="1"/>
  <c r="X399" i="83"/>
  <c r="W399" i="83"/>
  <c r="V399" i="83"/>
  <c r="AB399" i="83" s="1"/>
  <c r="X398" i="83"/>
  <c r="W398" i="83"/>
  <c r="V398" i="83"/>
  <c r="AB398" i="83" s="1"/>
  <c r="X397" i="83"/>
  <c r="W397" i="83"/>
  <c r="V397" i="83"/>
  <c r="AB397" i="83" s="1"/>
  <c r="X396" i="83"/>
  <c r="W396" i="83"/>
  <c r="V396" i="83"/>
  <c r="AB396" i="83" s="1"/>
  <c r="X395" i="83"/>
  <c r="W395" i="83"/>
  <c r="AC395" i="83" s="1"/>
  <c r="V395" i="83"/>
  <c r="AB395" i="83" s="1"/>
  <c r="X394" i="83"/>
  <c r="W394" i="83"/>
  <c r="V394" i="83"/>
  <c r="AB394" i="83" s="1"/>
  <c r="X393" i="83"/>
  <c r="W393" i="83"/>
  <c r="V393" i="83"/>
  <c r="AB393" i="83" s="1"/>
  <c r="X392" i="83"/>
  <c r="W392" i="83"/>
  <c r="V392" i="83"/>
  <c r="AB392" i="83" s="1"/>
  <c r="X391" i="83"/>
  <c r="W391" i="83"/>
  <c r="V391" i="83"/>
  <c r="AB391" i="83" s="1"/>
  <c r="X390" i="83"/>
  <c r="W390" i="83"/>
  <c r="V390" i="83"/>
  <c r="AB390" i="83" s="1"/>
  <c r="X389" i="83"/>
  <c r="W389" i="83"/>
  <c r="V389" i="83"/>
  <c r="AB389" i="83" s="1"/>
  <c r="X388" i="83"/>
  <c r="W388" i="83"/>
  <c r="AC388" i="83" s="1"/>
  <c r="V388" i="83"/>
  <c r="AB388" i="83" s="1"/>
  <c r="X387" i="83"/>
  <c r="W387" i="83"/>
  <c r="V387" i="83"/>
  <c r="AB387" i="83" s="1"/>
  <c r="X386" i="83"/>
  <c r="W386" i="83"/>
  <c r="V386" i="83"/>
  <c r="AB386" i="83" s="1"/>
  <c r="X385" i="83"/>
  <c r="W385" i="83"/>
  <c r="V385" i="83"/>
  <c r="AB385" i="83" s="1"/>
  <c r="X384" i="83"/>
  <c r="W384" i="83"/>
  <c r="V384" i="83"/>
  <c r="AB384" i="83" s="1"/>
  <c r="X383" i="83"/>
  <c r="W383" i="83"/>
  <c r="V383" i="83"/>
  <c r="AB383" i="83" s="1"/>
  <c r="X382" i="83"/>
  <c r="W382" i="83"/>
  <c r="V382" i="83"/>
  <c r="AB382" i="83" s="1"/>
  <c r="X381" i="83"/>
  <c r="W381" i="83"/>
  <c r="V381" i="83"/>
  <c r="AB381" i="83" s="1"/>
  <c r="X380" i="83"/>
  <c r="W380" i="83"/>
  <c r="V380" i="83"/>
  <c r="AB380" i="83" s="1"/>
  <c r="X379" i="83"/>
  <c r="W379" i="83"/>
  <c r="AC379" i="83" s="1"/>
  <c r="V379" i="83"/>
  <c r="AB379" i="83" s="1"/>
  <c r="X378" i="83"/>
  <c r="W378" i="83"/>
  <c r="V378" i="83"/>
  <c r="AB378" i="83" s="1"/>
  <c r="X377" i="83"/>
  <c r="W377" i="83"/>
  <c r="V377" i="83"/>
  <c r="AB377" i="83" s="1"/>
  <c r="X376" i="83"/>
  <c r="W376" i="83"/>
  <c r="V376" i="83"/>
  <c r="AB376" i="83" s="1"/>
  <c r="X375" i="83"/>
  <c r="W375" i="83"/>
  <c r="V375" i="83"/>
  <c r="AB375" i="83" s="1"/>
  <c r="X374" i="83"/>
  <c r="W374" i="83"/>
  <c r="V374" i="83"/>
  <c r="AB374" i="83" s="1"/>
  <c r="X373" i="83"/>
  <c r="W373" i="83"/>
  <c r="V373" i="83"/>
  <c r="AB373" i="83" s="1"/>
  <c r="X372" i="83"/>
  <c r="W372" i="83"/>
  <c r="AC372" i="83" s="1"/>
  <c r="V372" i="83"/>
  <c r="AB372" i="83" s="1"/>
  <c r="X371" i="83"/>
  <c r="W371" i="83"/>
  <c r="V371" i="83"/>
  <c r="AB371" i="83" s="1"/>
  <c r="X370" i="83"/>
  <c r="W370" i="83"/>
  <c r="V370" i="83"/>
  <c r="AB370" i="83" s="1"/>
  <c r="X369" i="83"/>
  <c r="W369" i="83"/>
  <c r="V369" i="83"/>
  <c r="AB369" i="83" s="1"/>
  <c r="X368" i="83"/>
  <c r="W368" i="83"/>
  <c r="V368" i="83"/>
  <c r="AB368" i="83" s="1"/>
  <c r="X367" i="83"/>
  <c r="W367" i="83"/>
  <c r="V367" i="83"/>
  <c r="AB367" i="83" s="1"/>
  <c r="X366" i="83"/>
  <c r="W366" i="83"/>
  <c r="V366" i="83"/>
  <c r="AB366" i="83" s="1"/>
  <c r="X365" i="83"/>
  <c r="W365" i="83"/>
  <c r="V365" i="83"/>
  <c r="AB365" i="83" s="1"/>
  <c r="X364" i="83"/>
  <c r="W364" i="83"/>
  <c r="V364" i="83"/>
  <c r="AB364" i="83" s="1"/>
  <c r="X363" i="83"/>
  <c r="W363" i="83"/>
  <c r="AC363" i="83" s="1"/>
  <c r="V363" i="83"/>
  <c r="AB363" i="83" s="1"/>
  <c r="X362" i="83"/>
  <c r="W362" i="83"/>
  <c r="V362" i="83"/>
  <c r="AB362" i="83" s="1"/>
  <c r="X361" i="83"/>
  <c r="W361" i="83"/>
  <c r="V361" i="83"/>
  <c r="AB361" i="83" s="1"/>
  <c r="X360" i="83"/>
  <c r="W360" i="83"/>
  <c r="V360" i="83"/>
  <c r="AB360" i="83" s="1"/>
  <c r="X359" i="83"/>
  <c r="W359" i="83"/>
  <c r="V359" i="83"/>
  <c r="AB359" i="83" s="1"/>
  <c r="X358" i="83"/>
  <c r="W358" i="83"/>
  <c r="V358" i="83"/>
  <c r="AB358" i="83" s="1"/>
  <c r="X357" i="83"/>
  <c r="W357" i="83"/>
  <c r="V357" i="83"/>
  <c r="AB357" i="83" s="1"/>
  <c r="X356" i="83"/>
  <c r="W356" i="83"/>
  <c r="AC356" i="83" s="1"/>
  <c r="V356" i="83"/>
  <c r="AB356" i="83" s="1"/>
  <c r="X355" i="83"/>
  <c r="W355" i="83"/>
  <c r="V355" i="83"/>
  <c r="AB355" i="83" s="1"/>
  <c r="X354" i="83"/>
  <c r="W354" i="83"/>
  <c r="V354" i="83"/>
  <c r="AB354" i="83" s="1"/>
  <c r="X353" i="83"/>
  <c r="W353" i="83"/>
  <c r="V353" i="83"/>
  <c r="AB353" i="83" s="1"/>
  <c r="X352" i="83"/>
  <c r="W352" i="83"/>
  <c r="V352" i="83"/>
  <c r="AB352" i="83" s="1"/>
  <c r="X351" i="83"/>
  <c r="W351" i="83"/>
  <c r="V351" i="83"/>
  <c r="AB351" i="83" s="1"/>
  <c r="X350" i="83"/>
  <c r="W350" i="83"/>
  <c r="V350" i="83"/>
  <c r="AB350" i="83" s="1"/>
  <c r="X349" i="83"/>
  <c r="W349" i="83"/>
  <c r="V349" i="83"/>
  <c r="AB349" i="83" s="1"/>
  <c r="X348" i="83"/>
  <c r="W348" i="83"/>
  <c r="V348" i="83"/>
  <c r="AB348" i="83" s="1"/>
  <c r="X347" i="83"/>
  <c r="W347" i="83"/>
  <c r="AC347" i="83" s="1"/>
  <c r="V347" i="83"/>
  <c r="AB347" i="83" s="1"/>
  <c r="X346" i="83"/>
  <c r="W346" i="83"/>
  <c r="V346" i="83"/>
  <c r="AB346" i="83" s="1"/>
  <c r="X345" i="83"/>
  <c r="W345" i="83"/>
  <c r="V345" i="83"/>
  <c r="AB345" i="83" s="1"/>
  <c r="X344" i="83"/>
  <c r="W344" i="83"/>
  <c r="V344" i="83"/>
  <c r="AB344" i="83" s="1"/>
  <c r="X343" i="83"/>
  <c r="W343" i="83"/>
  <c r="V343" i="83"/>
  <c r="AB343" i="83" s="1"/>
  <c r="X342" i="83"/>
  <c r="W342" i="83"/>
  <c r="V342" i="83"/>
  <c r="AB342" i="83" s="1"/>
  <c r="X341" i="83"/>
  <c r="W341" i="83"/>
  <c r="V341" i="83"/>
  <c r="AB341" i="83" s="1"/>
  <c r="X340" i="83"/>
  <c r="W340" i="83"/>
  <c r="AC340" i="83" s="1"/>
  <c r="V340" i="83"/>
  <c r="AB340" i="83" s="1"/>
  <c r="X339" i="83"/>
  <c r="W339" i="83"/>
  <c r="V339" i="83"/>
  <c r="AB339" i="83" s="1"/>
  <c r="X338" i="83"/>
  <c r="W338" i="83"/>
  <c r="V338" i="83"/>
  <c r="AB338" i="83" s="1"/>
  <c r="X337" i="83"/>
  <c r="W337" i="83"/>
  <c r="V337" i="83"/>
  <c r="AB337" i="83" s="1"/>
  <c r="X336" i="83"/>
  <c r="W336" i="83"/>
  <c r="AC336" i="83" s="1"/>
  <c r="V336" i="83"/>
  <c r="AB336" i="83" s="1"/>
  <c r="X335" i="83"/>
  <c r="W335" i="83"/>
  <c r="V335" i="83"/>
  <c r="AB335" i="83" s="1"/>
  <c r="X334" i="83"/>
  <c r="W334" i="83"/>
  <c r="V334" i="83"/>
  <c r="AB334" i="83" s="1"/>
  <c r="X333" i="83"/>
  <c r="W333" i="83"/>
  <c r="V333" i="83"/>
  <c r="AB333" i="83" s="1"/>
  <c r="X332" i="83"/>
  <c r="W332" i="83"/>
  <c r="AC332" i="83" s="1"/>
  <c r="V332" i="83"/>
  <c r="AB332" i="83" s="1"/>
  <c r="X331" i="83"/>
  <c r="W331" i="83"/>
  <c r="V331" i="83"/>
  <c r="AB331" i="83" s="1"/>
  <c r="X330" i="83"/>
  <c r="W330" i="83"/>
  <c r="V330" i="83"/>
  <c r="AB330" i="83" s="1"/>
  <c r="X329" i="83"/>
  <c r="W329" i="83"/>
  <c r="V329" i="83"/>
  <c r="AB329" i="83" s="1"/>
  <c r="X328" i="83"/>
  <c r="W328" i="83"/>
  <c r="AC328" i="83" s="1"/>
  <c r="V328" i="83"/>
  <c r="AB328" i="83" s="1"/>
  <c r="X327" i="83"/>
  <c r="W327" i="83"/>
  <c r="V327" i="83"/>
  <c r="AB327" i="83" s="1"/>
  <c r="X326" i="83"/>
  <c r="W326" i="83"/>
  <c r="V326" i="83"/>
  <c r="AB326" i="83" s="1"/>
  <c r="X325" i="83"/>
  <c r="W325" i="83"/>
  <c r="V325" i="83"/>
  <c r="AB325" i="83" s="1"/>
  <c r="X324" i="83"/>
  <c r="W324" i="83"/>
  <c r="AC324" i="83" s="1"/>
  <c r="V324" i="83"/>
  <c r="AB324" i="83" s="1"/>
  <c r="X323" i="83"/>
  <c r="W323" i="83"/>
  <c r="V323" i="83"/>
  <c r="AB323" i="83" s="1"/>
  <c r="X322" i="83"/>
  <c r="W322" i="83"/>
  <c r="V322" i="83"/>
  <c r="AB322" i="83" s="1"/>
  <c r="X321" i="83"/>
  <c r="W321" i="83"/>
  <c r="V321" i="83"/>
  <c r="AB321" i="83" s="1"/>
  <c r="X320" i="83"/>
  <c r="W320" i="83"/>
  <c r="AC320" i="83" s="1"/>
  <c r="V320" i="83"/>
  <c r="AB320" i="83" s="1"/>
  <c r="X319" i="83"/>
  <c r="W319" i="83"/>
  <c r="V319" i="83"/>
  <c r="AB319" i="83" s="1"/>
  <c r="X318" i="83"/>
  <c r="W318" i="83"/>
  <c r="V318" i="83"/>
  <c r="AB318" i="83" s="1"/>
  <c r="X317" i="83"/>
  <c r="W317" i="83"/>
  <c r="V317" i="83"/>
  <c r="AB317" i="83" s="1"/>
  <c r="X316" i="83"/>
  <c r="W316" i="83"/>
  <c r="AC316" i="83" s="1"/>
  <c r="V316" i="83"/>
  <c r="AB316" i="83" s="1"/>
  <c r="X315" i="83"/>
  <c r="W315" i="83"/>
  <c r="V315" i="83"/>
  <c r="AB315" i="83" s="1"/>
  <c r="X314" i="83"/>
  <c r="W314" i="83"/>
  <c r="V314" i="83"/>
  <c r="AB314" i="83" s="1"/>
  <c r="X313" i="83"/>
  <c r="W313" i="83"/>
  <c r="V313" i="83"/>
  <c r="AB313" i="83" s="1"/>
  <c r="X312" i="83"/>
  <c r="W312" i="83"/>
  <c r="AC312" i="83" s="1"/>
  <c r="V312" i="83"/>
  <c r="AB312" i="83" s="1"/>
  <c r="X311" i="83"/>
  <c r="W311" i="83"/>
  <c r="V311" i="83"/>
  <c r="AB311" i="83" s="1"/>
  <c r="X310" i="83"/>
  <c r="W310" i="83"/>
  <c r="V310" i="83"/>
  <c r="AB310" i="83" s="1"/>
  <c r="X309" i="83"/>
  <c r="W309" i="83"/>
  <c r="V309" i="83"/>
  <c r="AB309" i="83" s="1"/>
  <c r="X308" i="83"/>
  <c r="W308" i="83"/>
  <c r="AC308" i="83" s="1"/>
  <c r="V308" i="83"/>
  <c r="AB308" i="83" s="1"/>
  <c r="X307" i="83"/>
  <c r="W307" i="83"/>
  <c r="V307" i="83"/>
  <c r="AB307" i="83" s="1"/>
  <c r="X306" i="83"/>
  <c r="W306" i="83"/>
  <c r="V306" i="83"/>
  <c r="AB306" i="83" s="1"/>
  <c r="X305" i="83"/>
  <c r="W305" i="83"/>
  <c r="V305" i="83"/>
  <c r="AB305" i="83" s="1"/>
  <c r="X304" i="83"/>
  <c r="W304" i="83"/>
  <c r="AC304" i="83" s="1"/>
  <c r="V304" i="83"/>
  <c r="AB304" i="83" s="1"/>
  <c r="X303" i="83"/>
  <c r="W303" i="83"/>
  <c r="V303" i="83"/>
  <c r="AB303" i="83" s="1"/>
  <c r="X302" i="83"/>
  <c r="W302" i="83"/>
  <c r="V302" i="83"/>
  <c r="AB302" i="83" s="1"/>
  <c r="X301" i="83"/>
  <c r="W301" i="83"/>
  <c r="V301" i="83"/>
  <c r="AB301" i="83" s="1"/>
  <c r="X300" i="83"/>
  <c r="W300" i="83"/>
  <c r="AC300" i="83" s="1"/>
  <c r="V300" i="83"/>
  <c r="AB300" i="83" s="1"/>
  <c r="X299" i="83"/>
  <c r="W299" i="83"/>
  <c r="V299" i="83"/>
  <c r="AB299" i="83" s="1"/>
  <c r="X298" i="83"/>
  <c r="W298" i="83"/>
  <c r="V298" i="83"/>
  <c r="AB298" i="83" s="1"/>
  <c r="X297" i="83"/>
  <c r="W297" i="83"/>
  <c r="V297" i="83"/>
  <c r="AB297" i="83" s="1"/>
  <c r="X296" i="83"/>
  <c r="W296" i="83"/>
  <c r="AC296" i="83" s="1"/>
  <c r="V296" i="83"/>
  <c r="AB296" i="83" s="1"/>
  <c r="X295" i="83"/>
  <c r="W295" i="83"/>
  <c r="V295" i="83"/>
  <c r="AB295" i="83" s="1"/>
  <c r="X294" i="83"/>
  <c r="W294" i="83"/>
  <c r="V294" i="83"/>
  <c r="AB294" i="83" s="1"/>
  <c r="X293" i="83"/>
  <c r="W293" i="83"/>
  <c r="V293" i="83"/>
  <c r="AB293" i="83" s="1"/>
  <c r="X292" i="83"/>
  <c r="W292" i="83"/>
  <c r="AC292" i="83" s="1"/>
  <c r="V292" i="83"/>
  <c r="AB292" i="83" s="1"/>
  <c r="X291" i="83"/>
  <c r="W291" i="83"/>
  <c r="V291" i="83"/>
  <c r="AB291" i="83" s="1"/>
  <c r="X290" i="83"/>
  <c r="W290" i="83"/>
  <c r="V290" i="83"/>
  <c r="AB290" i="83" s="1"/>
  <c r="X289" i="83"/>
  <c r="W289" i="83"/>
  <c r="V289" i="83"/>
  <c r="AB289" i="83" s="1"/>
  <c r="X288" i="83"/>
  <c r="W288" i="83"/>
  <c r="AC288" i="83" s="1"/>
  <c r="V288" i="83"/>
  <c r="AB288" i="83" s="1"/>
  <c r="X287" i="83"/>
  <c r="W287" i="83"/>
  <c r="V287" i="83"/>
  <c r="AB287" i="83" s="1"/>
  <c r="X286" i="83"/>
  <c r="W286" i="83"/>
  <c r="V286" i="83"/>
  <c r="AB286" i="83" s="1"/>
  <c r="X285" i="83"/>
  <c r="W285" i="83"/>
  <c r="V285" i="83"/>
  <c r="AB285" i="83" s="1"/>
  <c r="X284" i="83"/>
  <c r="W284" i="83"/>
  <c r="AC284" i="83" s="1"/>
  <c r="V284" i="83"/>
  <c r="AB284" i="83" s="1"/>
  <c r="X283" i="83"/>
  <c r="W283" i="83"/>
  <c r="V283" i="83"/>
  <c r="AB283" i="83" s="1"/>
  <c r="X282" i="83"/>
  <c r="W282" i="83"/>
  <c r="V282" i="83"/>
  <c r="AB282" i="83" s="1"/>
  <c r="X281" i="83"/>
  <c r="W281" i="83"/>
  <c r="V281" i="83"/>
  <c r="AB281" i="83" s="1"/>
  <c r="X280" i="83"/>
  <c r="W280" i="83"/>
  <c r="AC280" i="83" s="1"/>
  <c r="V280" i="83"/>
  <c r="AB280" i="83" s="1"/>
  <c r="X279" i="83"/>
  <c r="W279" i="83"/>
  <c r="V279" i="83"/>
  <c r="AB279" i="83" s="1"/>
  <c r="X278" i="83"/>
  <c r="W278" i="83"/>
  <c r="V278" i="83"/>
  <c r="AB278" i="83" s="1"/>
  <c r="X277" i="83"/>
  <c r="W277" i="83"/>
  <c r="V277" i="83"/>
  <c r="AB277" i="83" s="1"/>
  <c r="X276" i="83"/>
  <c r="W276" i="83"/>
  <c r="AC276" i="83" s="1"/>
  <c r="V276" i="83"/>
  <c r="AB276" i="83" s="1"/>
  <c r="X275" i="83"/>
  <c r="W275" i="83"/>
  <c r="V275" i="83"/>
  <c r="AB275" i="83" s="1"/>
  <c r="X274" i="83"/>
  <c r="W274" i="83"/>
  <c r="V274" i="83"/>
  <c r="AB274" i="83" s="1"/>
  <c r="X273" i="83"/>
  <c r="W273" i="83"/>
  <c r="V273" i="83"/>
  <c r="AB273" i="83" s="1"/>
  <c r="X272" i="83"/>
  <c r="W272" i="83"/>
  <c r="AC272" i="83" s="1"/>
  <c r="V272" i="83"/>
  <c r="AB272" i="83" s="1"/>
  <c r="X271" i="83"/>
  <c r="W271" i="83"/>
  <c r="V271" i="83"/>
  <c r="AB271" i="83" s="1"/>
  <c r="X270" i="83"/>
  <c r="W270" i="83"/>
  <c r="V270" i="83"/>
  <c r="AB270" i="83" s="1"/>
  <c r="X217" i="83"/>
  <c r="W217" i="83"/>
  <c r="V217" i="83"/>
  <c r="AB217" i="83" s="1"/>
  <c r="X216" i="83"/>
  <c r="W216" i="83"/>
  <c r="V216" i="83"/>
  <c r="AB216" i="83" s="1"/>
  <c r="X215" i="83"/>
  <c r="W215" i="83"/>
  <c r="AC215" i="83" s="1"/>
  <c r="V215" i="83"/>
  <c r="AB215" i="83" s="1"/>
  <c r="X214" i="83"/>
  <c r="W214" i="83"/>
  <c r="V214" i="83"/>
  <c r="AB214" i="83" s="1"/>
  <c r="X213" i="83"/>
  <c r="W213" i="83"/>
  <c r="V213" i="83"/>
  <c r="AB213" i="83" s="1"/>
  <c r="X212" i="83"/>
  <c r="W212" i="83"/>
  <c r="V212" i="83"/>
  <c r="AB212" i="83" s="1"/>
  <c r="X211" i="83"/>
  <c r="W211" i="83"/>
  <c r="AC211" i="83" s="1"/>
  <c r="V211" i="83"/>
  <c r="AB211" i="83" s="1"/>
  <c r="X210" i="83"/>
  <c r="W210" i="83"/>
  <c r="V210" i="83"/>
  <c r="AB210" i="83" s="1"/>
  <c r="X209" i="83"/>
  <c r="W209" i="83"/>
  <c r="V209" i="83"/>
  <c r="AB209" i="83" s="1"/>
  <c r="X208" i="83"/>
  <c r="W208" i="83"/>
  <c r="V208" i="83"/>
  <c r="AB208" i="83" s="1"/>
  <c r="X207" i="83"/>
  <c r="W207" i="83"/>
  <c r="AC207" i="83" s="1"/>
  <c r="V207" i="83"/>
  <c r="AB207" i="83" s="1"/>
  <c r="X206" i="83"/>
  <c r="W206" i="83"/>
  <c r="V206" i="83"/>
  <c r="AB206" i="83" s="1"/>
  <c r="X205" i="83"/>
  <c r="W205" i="83"/>
  <c r="V205" i="83"/>
  <c r="AB205" i="83" s="1"/>
  <c r="X204" i="83"/>
  <c r="W204" i="83"/>
  <c r="AC204" i="83" s="1"/>
  <c r="V204" i="83"/>
  <c r="AB204" i="83" s="1"/>
  <c r="X203" i="83"/>
  <c r="W203" i="83"/>
  <c r="V203" i="83"/>
  <c r="AB203" i="83" s="1"/>
  <c r="X202" i="83"/>
  <c r="W202" i="83"/>
  <c r="V202" i="83"/>
  <c r="AB202" i="83" s="1"/>
  <c r="X201" i="83"/>
  <c r="W201" i="83"/>
  <c r="V201" i="83"/>
  <c r="AB201" i="83" s="1"/>
  <c r="X200" i="83"/>
  <c r="W200" i="83"/>
  <c r="V200" i="83"/>
  <c r="AB200" i="83" s="1"/>
  <c r="X199" i="83"/>
  <c r="W199" i="83"/>
  <c r="AC199" i="83" s="1"/>
  <c r="V199" i="83"/>
  <c r="AB199" i="83" s="1"/>
  <c r="X198" i="83"/>
  <c r="W198" i="83"/>
  <c r="V198" i="83"/>
  <c r="AB198" i="83" s="1"/>
  <c r="X197" i="83"/>
  <c r="W197" i="83"/>
  <c r="V197" i="83"/>
  <c r="AB197" i="83" s="1"/>
  <c r="X196" i="83"/>
  <c r="W196" i="83"/>
  <c r="AC196" i="83" s="1"/>
  <c r="V196" i="83"/>
  <c r="AB196" i="83" s="1"/>
  <c r="X195" i="83"/>
  <c r="W195" i="83"/>
  <c r="AC195" i="83" s="1"/>
  <c r="V195" i="83"/>
  <c r="AB195" i="83" s="1"/>
  <c r="X194" i="83"/>
  <c r="W194" i="83"/>
  <c r="V194" i="83"/>
  <c r="AB194" i="83" s="1"/>
  <c r="X193" i="83"/>
  <c r="W193" i="83"/>
  <c r="V193" i="83"/>
  <c r="AB193" i="83" s="1"/>
  <c r="X192" i="83"/>
  <c r="W192" i="83"/>
  <c r="V192" i="83"/>
  <c r="AB192" i="83" s="1"/>
  <c r="X191" i="83"/>
  <c r="W191" i="83"/>
  <c r="AC191" i="83" s="1"/>
  <c r="V191" i="83"/>
  <c r="AB191" i="83" s="1"/>
  <c r="X190" i="83"/>
  <c r="W190" i="83"/>
  <c r="V190" i="83"/>
  <c r="AB190" i="83" s="1"/>
  <c r="X189" i="83"/>
  <c r="W189" i="83"/>
  <c r="V189" i="83"/>
  <c r="AB189" i="83" s="1"/>
  <c r="X188" i="83"/>
  <c r="W188" i="83"/>
  <c r="V188" i="83"/>
  <c r="AB188" i="83" s="1"/>
  <c r="X187" i="83"/>
  <c r="W187" i="83"/>
  <c r="AC187" i="83" s="1"/>
  <c r="V187" i="83"/>
  <c r="AB187" i="83" s="1"/>
  <c r="X186" i="83"/>
  <c r="W186" i="83"/>
  <c r="V186" i="83"/>
  <c r="AB186" i="83" s="1"/>
  <c r="X185" i="83"/>
  <c r="W185" i="83"/>
  <c r="V185" i="83"/>
  <c r="AB185" i="83" s="1"/>
  <c r="X184" i="83"/>
  <c r="W184" i="83"/>
  <c r="V184" i="83"/>
  <c r="AB184" i="83" s="1"/>
  <c r="X183" i="83"/>
  <c r="W183" i="83"/>
  <c r="AC183" i="83" s="1"/>
  <c r="V183" i="83"/>
  <c r="AB183" i="83" s="1"/>
  <c r="X182" i="83"/>
  <c r="W182" i="83"/>
  <c r="V182" i="83"/>
  <c r="AB182" i="83" s="1"/>
  <c r="X181" i="83"/>
  <c r="W181" i="83"/>
  <c r="V181" i="83"/>
  <c r="AB181" i="83" s="1"/>
  <c r="X180" i="83"/>
  <c r="W180" i="83"/>
  <c r="AC180" i="83" s="1"/>
  <c r="V180" i="83"/>
  <c r="AB180" i="83" s="1"/>
  <c r="X179" i="83"/>
  <c r="W179" i="83"/>
  <c r="AC179" i="83" s="1"/>
  <c r="V179" i="83"/>
  <c r="AB179" i="83" s="1"/>
  <c r="X178" i="83"/>
  <c r="W178" i="83"/>
  <c r="V178" i="83"/>
  <c r="AB178" i="83" s="1"/>
  <c r="X177" i="83"/>
  <c r="W177" i="83"/>
  <c r="V177" i="83"/>
  <c r="AB177" i="83" s="1"/>
  <c r="X176" i="83"/>
  <c r="W176" i="83"/>
  <c r="V176" i="83"/>
  <c r="AB176" i="83" s="1"/>
  <c r="X175" i="83"/>
  <c r="W175" i="83"/>
  <c r="V175" i="83"/>
  <c r="AB175" i="83" s="1"/>
  <c r="X174" i="83"/>
  <c r="W174" i="83"/>
  <c r="V174" i="83"/>
  <c r="AB174" i="83" s="1"/>
  <c r="X173" i="83"/>
  <c r="W173" i="83"/>
  <c r="V173" i="83"/>
  <c r="AB173" i="83" s="1"/>
  <c r="X172" i="83"/>
  <c r="W172" i="83"/>
  <c r="AC172" i="83" s="1"/>
  <c r="V172" i="83"/>
  <c r="AB172" i="83" s="1"/>
  <c r="X171" i="83"/>
  <c r="W171" i="83"/>
  <c r="AC171" i="83" s="1"/>
  <c r="V171" i="83"/>
  <c r="AB171" i="83" s="1"/>
  <c r="X170" i="83"/>
  <c r="W170" i="83"/>
  <c r="V170" i="83"/>
  <c r="AB170" i="83" s="1"/>
  <c r="X169" i="83"/>
  <c r="W169" i="83"/>
  <c r="V169" i="83"/>
  <c r="AB169" i="83" s="1"/>
  <c r="X168" i="83"/>
  <c r="W168" i="83"/>
  <c r="V168" i="83"/>
  <c r="AB168" i="83" s="1"/>
  <c r="X167" i="83"/>
  <c r="W167" i="83"/>
  <c r="V167" i="83"/>
  <c r="AB167" i="83" s="1"/>
  <c r="X166" i="83"/>
  <c r="W166" i="83"/>
  <c r="V166" i="83"/>
  <c r="AB166" i="83" s="1"/>
  <c r="X165" i="83"/>
  <c r="W165" i="83"/>
  <c r="V165" i="83"/>
  <c r="AB165" i="83" s="1"/>
  <c r="X164" i="83"/>
  <c r="W164" i="83"/>
  <c r="AC164" i="83" s="1"/>
  <c r="V164" i="83"/>
  <c r="AB164" i="83" s="1"/>
  <c r="X163" i="83"/>
  <c r="W163" i="83"/>
  <c r="AC163" i="83" s="1"/>
  <c r="V163" i="83"/>
  <c r="AB163" i="83" s="1"/>
  <c r="X162" i="83"/>
  <c r="W162" i="83"/>
  <c r="V162" i="83"/>
  <c r="AB162" i="83" s="1"/>
  <c r="X161" i="83"/>
  <c r="W161" i="83"/>
  <c r="V161" i="83"/>
  <c r="AB161" i="83" s="1"/>
  <c r="X160" i="83"/>
  <c r="W160" i="83"/>
  <c r="V160" i="83"/>
  <c r="AB160" i="83" s="1"/>
  <c r="X159" i="83"/>
  <c r="W159" i="83"/>
  <c r="V159" i="83"/>
  <c r="AB159" i="83" s="1"/>
  <c r="X158" i="83"/>
  <c r="W158" i="83"/>
  <c r="V158" i="83"/>
  <c r="AB158" i="83" s="1"/>
  <c r="X157" i="83"/>
  <c r="W157" i="83"/>
  <c r="V157" i="83"/>
  <c r="AB157" i="83" s="1"/>
  <c r="X156" i="83"/>
  <c r="W156" i="83"/>
  <c r="AC156" i="83" s="1"/>
  <c r="V156" i="83"/>
  <c r="AB156" i="83" s="1"/>
  <c r="X155" i="83"/>
  <c r="W155" i="83"/>
  <c r="AC155" i="83" s="1"/>
  <c r="V155" i="83"/>
  <c r="AB155" i="83" s="1"/>
  <c r="X154" i="83"/>
  <c r="W154" i="83"/>
  <c r="V154" i="83"/>
  <c r="AB154" i="83" s="1"/>
  <c r="X153" i="83"/>
  <c r="W153" i="83"/>
  <c r="V153" i="83"/>
  <c r="AB153" i="83" s="1"/>
  <c r="X152" i="83"/>
  <c r="W152" i="83"/>
  <c r="V152" i="83"/>
  <c r="AB152" i="83" s="1"/>
  <c r="X151" i="83"/>
  <c r="W151" i="83"/>
  <c r="V151" i="83"/>
  <c r="AB151" i="83" s="1"/>
  <c r="X150" i="83"/>
  <c r="W150" i="83"/>
  <c r="V150" i="83"/>
  <c r="AB150" i="83" s="1"/>
  <c r="X149" i="83"/>
  <c r="W149" i="83"/>
  <c r="V149" i="83"/>
  <c r="AB149" i="83" s="1"/>
  <c r="X148" i="83"/>
  <c r="W148" i="83"/>
  <c r="AC148" i="83" s="1"/>
  <c r="V148" i="83"/>
  <c r="AB148" i="83" s="1"/>
  <c r="X147" i="83"/>
  <c r="W147" i="83"/>
  <c r="AC147" i="83" s="1"/>
  <c r="V147" i="83"/>
  <c r="AB147" i="83" s="1"/>
  <c r="X146" i="83"/>
  <c r="W146" i="83"/>
  <c r="V146" i="83"/>
  <c r="AB146" i="83" s="1"/>
  <c r="X145" i="83"/>
  <c r="W145" i="83"/>
  <c r="V145" i="83"/>
  <c r="AB145" i="83" s="1"/>
  <c r="X144" i="83"/>
  <c r="W144" i="83"/>
  <c r="V144" i="83"/>
  <c r="AB144" i="83" s="1"/>
  <c r="X143" i="83"/>
  <c r="W143" i="83"/>
  <c r="V143" i="83"/>
  <c r="AB143" i="83" s="1"/>
  <c r="X142" i="83"/>
  <c r="W142" i="83"/>
  <c r="V142" i="83"/>
  <c r="AB142" i="83" s="1"/>
  <c r="X141" i="83"/>
  <c r="W141" i="83"/>
  <c r="V141" i="83"/>
  <c r="AB141" i="83" s="1"/>
  <c r="X140" i="83"/>
  <c r="W140" i="83"/>
  <c r="AC140" i="83" s="1"/>
  <c r="V140" i="83"/>
  <c r="AB140" i="83" s="1"/>
  <c r="X139" i="83"/>
  <c r="W139" i="83"/>
  <c r="AC139" i="83" s="1"/>
  <c r="V139" i="83"/>
  <c r="AB139" i="83" s="1"/>
  <c r="X138" i="83"/>
  <c r="W138" i="83"/>
  <c r="V138" i="83"/>
  <c r="AB138" i="83" s="1"/>
  <c r="X137" i="83"/>
  <c r="W137" i="83"/>
  <c r="V137" i="83"/>
  <c r="AB137" i="83" s="1"/>
  <c r="X136" i="83"/>
  <c r="W136" i="83"/>
  <c r="V136" i="83"/>
  <c r="AB136" i="83" s="1"/>
  <c r="X135" i="83"/>
  <c r="W135" i="83"/>
  <c r="V135" i="83"/>
  <c r="AB135" i="83" s="1"/>
  <c r="X134" i="83"/>
  <c r="W134" i="83"/>
  <c r="V134" i="83"/>
  <c r="AB134" i="83" s="1"/>
  <c r="X133" i="83"/>
  <c r="W133" i="83"/>
  <c r="V133" i="83"/>
  <c r="AB133" i="83" s="1"/>
  <c r="X132" i="83"/>
  <c r="W132" i="83"/>
  <c r="AC132" i="83" s="1"/>
  <c r="V132" i="83"/>
  <c r="AB132" i="83" s="1"/>
  <c r="X131" i="83"/>
  <c r="W131" i="83"/>
  <c r="AC131" i="83" s="1"/>
  <c r="V131" i="83"/>
  <c r="AB131" i="83" s="1"/>
  <c r="X130" i="83"/>
  <c r="W130" i="83"/>
  <c r="V130" i="83"/>
  <c r="AB130" i="83" s="1"/>
  <c r="X129" i="83"/>
  <c r="W129" i="83"/>
  <c r="V129" i="83"/>
  <c r="AB129" i="83" s="1"/>
  <c r="X128" i="83"/>
  <c r="W128" i="83"/>
  <c r="V128" i="83"/>
  <c r="AB128" i="83" s="1"/>
  <c r="X127" i="83"/>
  <c r="W127" i="83"/>
  <c r="V127" i="83"/>
  <c r="AB127" i="83" s="1"/>
  <c r="X126" i="83"/>
  <c r="W126" i="83"/>
  <c r="V126" i="83"/>
  <c r="AB126" i="83" s="1"/>
  <c r="X125" i="83"/>
  <c r="W125" i="83"/>
  <c r="V125" i="83"/>
  <c r="AB125" i="83" s="1"/>
  <c r="X124" i="83"/>
  <c r="W124" i="83"/>
  <c r="AC124" i="83" s="1"/>
  <c r="V124" i="83"/>
  <c r="AB124" i="83" s="1"/>
  <c r="X123" i="83"/>
  <c r="W123" i="83"/>
  <c r="AC123" i="83" s="1"/>
  <c r="V123" i="83"/>
  <c r="AB123" i="83" s="1"/>
  <c r="X122" i="83"/>
  <c r="W122" i="83"/>
  <c r="AC122" i="83" s="1"/>
  <c r="V122" i="83"/>
  <c r="AB122" i="83" s="1"/>
  <c r="X121" i="83"/>
  <c r="W121" i="83"/>
  <c r="V121" i="83"/>
  <c r="AB121" i="83" s="1"/>
  <c r="X120" i="83"/>
  <c r="W120" i="83"/>
  <c r="V120" i="83"/>
  <c r="AB120" i="83" s="1"/>
  <c r="X119" i="83"/>
  <c r="W119" i="83"/>
  <c r="V119" i="83"/>
  <c r="AB119" i="83" s="1"/>
  <c r="X118" i="83"/>
  <c r="W118" i="83"/>
  <c r="V118" i="83"/>
  <c r="AB118" i="83" s="1"/>
  <c r="X117" i="83"/>
  <c r="W117" i="83"/>
  <c r="V117" i="83"/>
  <c r="AB117" i="83" s="1"/>
  <c r="X116" i="83"/>
  <c r="W116" i="83"/>
  <c r="AC116" i="83" s="1"/>
  <c r="V116" i="83"/>
  <c r="AB116" i="83" s="1"/>
  <c r="X115" i="83"/>
  <c r="W115" i="83"/>
  <c r="AC115" i="83" s="1"/>
  <c r="V115" i="83"/>
  <c r="AB115" i="83" s="1"/>
  <c r="X114" i="83"/>
  <c r="W114" i="83"/>
  <c r="AC114" i="83" s="1"/>
  <c r="V114" i="83"/>
  <c r="AB114" i="83" s="1"/>
  <c r="X113" i="83"/>
  <c r="W113" i="83"/>
  <c r="V113" i="83"/>
  <c r="AB113" i="83" s="1"/>
  <c r="X112" i="83"/>
  <c r="W112" i="83"/>
  <c r="V112" i="83"/>
  <c r="AB112" i="83" s="1"/>
  <c r="X111" i="83"/>
  <c r="W111" i="83"/>
  <c r="V111" i="83"/>
  <c r="AB111" i="83" s="1"/>
  <c r="X110" i="83"/>
  <c r="W110" i="83"/>
  <c r="V110" i="83"/>
  <c r="AB110" i="83" s="1"/>
  <c r="X109" i="83"/>
  <c r="W109" i="83"/>
  <c r="V109" i="83"/>
  <c r="AB109" i="83" s="1"/>
  <c r="X108" i="83"/>
  <c r="W108" i="83"/>
  <c r="AC108" i="83" s="1"/>
  <c r="V108" i="83"/>
  <c r="AB108" i="83" s="1"/>
  <c r="X107" i="83"/>
  <c r="W107" i="83"/>
  <c r="AC107" i="83" s="1"/>
  <c r="V107" i="83"/>
  <c r="AB107" i="83" s="1"/>
  <c r="X106" i="83"/>
  <c r="W106" i="83"/>
  <c r="AC106" i="83" s="1"/>
  <c r="V106" i="83"/>
  <c r="AB106" i="83" s="1"/>
  <c r="X105" i="83"/>
  <c r="W105" i="83"/>
  <c r="V105" i="83"/>
  <c r="AB105" i="83" s="1"/>
  <c r="X104" i="83"/>
  <c r="W104" i="83"/>
  <c r="V104" i="83"/>
  <c r="AB104" i="83" s="1"/>
  <c r="X103" i="83"/>
  <c r="W103" i="83"/>
  <c r="V103" i="83"/>
  <c r="AB103" i="83" s="1"/>
  <c r="X102" i="83"/>
  <c r="W102" i="83"/>
  <c r="AC102" i="83" s="1"/>
  <c r="V102" i="83"/>
  <c r="AB102" i="83" s="1"/>
  <c r="X101" i="83"/>
  <c r="W101" i="83"/>
  <c r="V101" i="83"/>
  <c r="AB101" i="83" s="1"/>
  <c r="X100" i="83"/>
  <c r="W100" i="83"/>
  <c r="AC100" i="83" s="1"/>
  <c r="V100" i="83"/>
  <c r="AB100" i="83" s="1"/>
  <c r="X99" i="83"/>
  <c r="W99" i="83"/>
  <c r="AC99" i="83" s="1"/>
  <c r="V99" i="83"/>
  <c r="AB99" i="83" s="1"/>
  <c r="X98" i="83"/>
  <c r="W98" i="83"/>
  <c r="AC98" i="83" s="1"/>
  <c r="V98" i="83"/>
  <c r="AB98" i="83" s="1"/>
  <c r="X97" i="83"/>
  <c r="W97" i="83"/>
  <c r="V97" i="83"/>
  <c r="AB97" i="83" s="1"/>
  <c r="X96" i="83"/>
  <c r="W96" i="83"/>
  <c r="V96" i="83"/>
  <c r="AB96" i="83" s="1"/>
  <c r="X95" i="83"/>
  <c r="W95" i="83"/>
  <c r="V95" i="83"/>
  <c r="AB95" i="83" s="1"/>
  <c r="X94" i="83"/>
  <c r="W94" i="83"/>
  <c r="AC94" i="83" s="1"/>
  <c r="V94" i="83"/>
  <c r="AB94" i="83" s="1"/>
  <c r="X93" i="83"/>
  <c r="W93" i="83"/>
  <c r="V93" i="83"/>
  <c r="AB93" i="83" s="1"/>
  <c r="X92" i="83"/>
  <c r="W92" i="83"/>
  <c r="AC92" i="83" s="1"/>
  <c r="V92" i="83"/>
  <c r="AB92" i="83" s="1"/>
  <c r="X91" i="83"/>
  <c r="W91" i="83"/>
  <c r="AC91" i="83" s="1"/>
  <c r="V91" i="83"/>
  <c r="AB91" i="83" s="1"/>
  <c r="X90" i="83"/>
  <c r="W90" i="83"/>
  <c r="AC90" i="83" s="1"/>
  <c r="V90" i="83"/>
  <c r="AB90" i="83" s="1"/>
  <c r="X89" i="83"/>
  <c r="W89" i="83"/>
  <c r="V89" i="83"/>
  <c r="AB89" i="83" s="1"/>
  <c r="X88" i="83"/>
  <c r="W88" i="83"/>
  <c r="V88" i="83"/>
  <c r="AB88" i="83" s="1"/>
  <c r="X87" i="83"/>
  <c r="W87" i="83"/>
  <c r="V87" i="83"/>
  <c r="AB87" i="83" s="1"/>
  <c r="X86" i="83"/>
  <c r="W86" i="83"/>
  <c r="AC86" i="83" s="1"/>
  <c r="V86" i="83"/>
  <c r="AB86" i="83" s="1"/>
  <c r="X85" i="83"/>
  <c r="W85" i="83"/>
  <c r="V85" i="83"/>
  <c r="AB85" i="83" s="1"/>
  <c r="X84" i="83"/>
  <c r="W84" i="83"/>
  <c r="AC84" i="83" s="1"/>
  <c r="V84" i="83"/>
  <c r="AB84" i="83" s="1"/>
  <c r="X83" i="83"/>
  <c r="W83" i="83"/>
  <c r="AC83" i="83" s="1"/>
  <c r="V83" i="83"/>
  <c r="AB83" i="83" s="1"/>
  <c r="X82" i="83"/>
  <c r="W82" i="83"/>
  <c r="AC82" i="83" s="1"/>
  <c r="V82" i="83"/>
  <c r="AB82" i="83" s="1"/>
  <c r="X81" i="83"/>
  <c r="W81" i="83"/>
  <c r="V81" i="83"/>
  <c r="AB81" i="83" s="1"/>
  <c r="X80" i="83"/>
  <c r="W80" i="83"/>
  <c r="V80" i="83"/>
  <c r="AB80" i="83" s="1"/>
  <c r="X79" i="83"/>
  <c r="W79" i="83"/>
  <c r="V79" i="83"/>
  <c r="AB79" i="83" s="1"/>
  <c r="X78" i="83"/>
  <c r="W78" i="83"/>
  <c r="AC78" i="83" s="1"/>
  <c r="V78" i="83"/>
  <c r="AB78" i="83" s="1"/>
  <c r="X77" i="83"/>
  <c r="W77" i="83"/>
  <c r="V77" i="83"/>
  <c r="AB77" i="83" s="1"/>
  <c r="X76" i="83"/>
  <c r="W76" i="83"/>
  <c r="AC76" i="83" s="1"/>
  <c r="V76" i="83"/>
  <c r="AB76" i="83" s="1"/>
  <c r="X75" i="83"/>
  <c r="W75" i="83"/>
  <c r="AC75" i="83" s="1"/>
  <c r="V75" i="83"/>
  <c r="AB75" i="83" s="1"/>
  <c r="X74" i="83"/>
  <c r="W74" i="83"/>
  <c r="AC74" i="83" s="1"/>
  <c r="V74" i="83"/>
  <c r="AB74" i="83" s="1"/>
  <c r="X73" i="83"/>
  <c r="W73" i="83"/>
  <c r="V73" i="83"/>
  <c r="AB73" i="83" s="1"/>
  <c r="X72" i="83"/>
  <c r="W72" i="83"/>
  <c r="V72" i="83"/>
  <c r="AB72" i="83" s="1"/>
  <c r="X71" i="83"/>
  <c r="W71" i="83"/>
  <c r="V71" i="83"/>
  <c r="AB71" i="83" s="1"/>
  <c r="X70" i="83"/>
  <c r="W70" i="83"/>
  <c r="AC70" i="83" s="1"/>
  <c r="V70" i="83"/>
  <c r="AB70" i="83" s="1"/>
  <c r="X69" i="83"/>
  <c r="W69" i="83"/>
  <c r="V69" i="83"/>
  <c r="AB69" i="83" s="1"/>
  <c r="X68" i="83"/>
  <c r="W68" i="83"/>
  <c r="AC68" i="83" s="1"/>
  <c r="V68" i="83"/>
  <c r="AB68" i="83" s="1"/>
  <c r="X67" i="83"/>
  <c r="W67" i="83"/>
  <c r="AC67" i="83" s="1"/>
  <c r="V67" i="83"/>
  <c r="AB67" i="83" s="1"/>
  <c r="X66" i="83"/>
  <c r="W66" i="83"/>
  <c r="AC66" i="83" s="1"/>
  <c r="V66" i="83"/>
  <c r="AB66" i="83" s="1"/>
  <c r="X65" i="83"/>
  <c r="W65" i="83"/>
  <c r="V65" i="83"/>
  <c r="AB65" i="83" s="1"/>
  <c r="X64" i="83"/>
  <c r="W64" i="83"/>
  <c r="V64" i="83"/>
  <c r="AB64" i="83" s="1"/>
  <c r="X63" i="83"/>
  <c r="W63" i="83"/>
  <c r="V63" i="83"/>
  <c r="AB63" i="83" s="1"/>
  <c r="X62" i="83"/>
  <c r="W62" i="83"/>
  <c r="AC62" i="83" s="1"/>
  <c r="V62" i="83"/>
  <c r="AB62" i="83" s="1"/>
  <c r="X61" i="83"/>
  <c r="W61" i="83"/>
  <c r="V61" i="83"/>
  <c r="AB61" i="83" s="1"/>
  <c r="X60" i="83"/>
  <c r="W60" i="83"/>
  <c r="AC60" i="83" s="1"/>
  <c r="V60" i="83"/>
  <c r="AB60" i="83" s="1"/>
  <c r="X59" i="83"/>
  <c r="W59" i="83"/>
  <c r="AC59" i="83" s="1"/>
  <c r="V59" i="83"/>
  <c r="AB59" i="83" s="1"/>
  <c r="X58" i="83"/>
  <c r="W58" i="83"/>
  <c r="AC58" i="83" s="1"/>
  <c r="V58" i="83"/>
  <c r="AB58" i="83" s="1"/>
  <c r="X57" i="83"/>
  <c r="W57" i="83"/>
  <c r="V57" i="83"/>
  <c r="AB57" i="83" s="1"/>
  <c r="X56" i="83"/>
  <c r="W56" i="83"/>
  <c r="V56" i="83"/>
  <c r="AB56" i="83" s="1"/>
  <c r="X55" i="83"/>
  <c r="W55" i="83"/>
  <c r="V55" i="83"/>
  <c r="AB55" i="83" s="1"/>
  <c r="X54" i="83"/>
  <c r="W54" i="83"/>
  <c r="AC54" i="83" s="1"/>
  <c r="V54" i="83"/>
  <c r="AB54" i="83" s="1"/>
  <c r="X53" i="83"/>
  <c r="W53" i="83"/>
  <c r="V53" i="83"/>
  <c r="AB53" i="83" s="1"/>
  <c r="X52" i="83"/>
  <c r="W52" i="83"/>
  <c r="AC52" i="83" s="1"/>
  <c r="V52" i="83"/>
  <c r="AB52" i="83" s="1"/>
  <c r="X51" i="83"/>
  <c r="W51" i="83"/>
  <c r="AC51" i="83" s="1"/>
  <c r="V51" i="83"/>
  <c r="AB51" i="83" s="1"/>
  <c r="X50" i="83"/>
  <c r="W50" i="83"/>
  <c r="AC50" i="83" s="1"/>
  <c r="V50" i="83"/>
  <c r="AB50" i="83" s="1"/>
  <c r="X49" i="83"/>
  <c r="W49" i="83"/>
  <c r="V49" i="83"/>
  <c r="AB49" i="83" s="1"/>
  <c r="X48" i="83"/>
  <c r="W48" i="83"/>
  <c r="V48" i="83"/>
  <c r="AB48" i="83" s="1"/>
  <c r="X47" i="83"/>
  <c r="W47" i="83"/>
  <c r="V47" i="83"/>
  <c r="AB47" i="83" s="1"/>
  <c r="X46" i="83"/>
  <c r="W46" i="83"/>
  <c r="V46" i="83"/>
  <c r="AB46" i="83" s="1"/>
  <c r="X45" i="83"/>
  <c r="W45" i="83"/>
  <c r="V45" i="83"/>
  <c r="AB45" i="83" s="1"/>
  <c r="X44" i="83"/>
  <c r="W44" i="83"/>
  <c r="V44" i="83"/>
  <c r="AB44" i="83" s="1"/>
  <c r="X43" i="83"/>
  <c r="W43" i="83"/>
  <c r="AC43" i="83" s="1"/>
  <c r="V43" i="83"/>
  <c r="AB43" i="83" s="1"/>
  <c r="X42" i="83"/>
  <c r="W42" i="83"/>
  <c r="V42" i="83"/>
  <c r="AB42" i="83" s="1"/>
  <c r="X41" i="83"/>
  <c r="W41" i="83"/>
  <c r="V41" i="83"/>
  <c r="AB41" i="83" s="1"/>
  <c r="X40" i="83"/>
  <c r="W40" i="83"/>
  <c r="V40" i="83"/>
  <c r="AB40" i="83" s="1"/>
  <c r="X39" i="83"/>
  <c r="W39" i="83"/>
  <c r="V39" i="83"/>
  <c r="AB39" i="83" s="1"/>
  <c r="X38" i="83"/>
  <c r="W38" i="83"/>
  <c r="V38" i="83"/>
  <c r="AB38" i="83" s="1"/>
  <c r="X37" i="83"/>
  <c r="W37" i="83"/>
  <c r="V37" i="83"/>
  <c r="AB37" i="83" s="1"/>
  <c r="X36" i="83"/>
  <c r="W36" i="83"/>
  <c r="V36" i="83"/>
  <c r="AB36" i="83" s="1"/>
  <c r="X35" i="83"/>
  <c r="W35" i="83"/>
  <c r="AC35" i="83" s="1"/>
  <c r="V35" i="83"/>
  <c r="AB35" i="83" s="1"/>
  <c r="X34" i="83"/>
  <c r="W34" i="83"/>
  <c r="V34" i="83"/>
  <c r="AB34" i="83" s="1"/>
  <c r="X33" i="83"/>
  <c r="W33" i="83"/>
  <c r="V33" i="83"/>
  <c r="AB33" i="83" s="1"/>
  <c r="X32" i="83"/>
  <c r="W32" i="83"/>
  <c r="V32" i="83"/>
  <c r="AB32" i="83" s="1"/>
  <c r="X31" i="83"/>
  <c r="W31" i="83"/>
  <c r="V31" i="83"/>
  <c r="AB31" i="83" s="1"/>
  <c r="X30" i="83"/>
  <c r="W30" i="83"/>
  <c r="V30" i="83"/>
  <c r="AB30" i="83" s="1"/>
  <c r="X29" i="83"/>
  <c r="W29" i="83"/>
  <c r="V29" i="83"/>
  <c r="AB29" i="83" s="1"/>
  <c r="X28" i="83"/>
  <c r="W28" i="83"/>
  <c r="V28" i="83"/>
  <c r="AB28" i="83" s="1"/>
  <c r="X27" i="83"/>
  <c r="W27" i="83"/>
  <c r="AC27" i="83" s="1"/>
  <c r="V27" i="83"/>
  <c r="AB27" i="83" s="1"/>
  <c r="X26" i="83"/>
  <c r="W26" i="83"/>
  <c r="V26" i="83"/>
  <c r="AB26" i="83" s="1"/>
  <c r="X25" i="83"/>
  <c r="W25" i="83"/>
  <c r="V25" i="83"/>
  <c r="AB25" i="83" s="1"/>
  <c r="X24" i="83"/>
  <c r="W24" i="83"/>
  <c r="V24" i="83"/>
  <c r="AB24" i="83" s="1"/>
  <c r="X23" i="83"/>
  <c r="W23" i="83"/>
  <c r="V23" i="83"/>
  <c r="AB23" i="83" s="1"/>
  <c r="X22" i="83"/>
  <c r="W22" i="83"/>
  <c r="V22" i="83"/>
  <c r="AB22" i="83" s="1"/>
  <c r="X21" i="83"/>
  <c r="W21" i="83"/>
  <c r="V21" i="83"/>
  <c r="AB21" i="83" s="1"/>
  <c r="X20" i="83"/>
  <c r="W20" i="83"/>
  <c r="V20" i="83"/>
  <c r="AB20" i="83" s="1"/>
  <c r="X19" i="83"/>
  <c r="W19" i="83"/>
  <c r="AC19" i="83" s="1"/>
  <c r="V19" i="83"/>
  <c r="AB19" i="83" s="1"/>
  <c r="X18" i="83"/>
  <c r="W18" i="83"/>
  <c r="V18" i="83"/>
  <c r="AB18" i="83" s="1"/>
  <c r="X17" i="83"/>
  <c r="W17" i="83"/>
  <c r="V17" i="83"/>
  <c r="AB17" i="83" s="1"/>
  <c r="X16" i="83"/>
  <c r="W16" i="83"/>
  <c r="V16" i="83"/>
  <c r="AB16" i="83" s="1"/>
  <c r="X15" i="83"/>
  <c r="W15" i="83"/>
  <c r="V15" i="83"/>
  <c r="AB15" i="83" s="1"/>
  <c r="X14" i="83"/>
  <c r="W14" i="83"/>
  <c r="V14" i="83"/>
  <c r="AB14" i="83" s="1"/>
  <c r="X13" i="83"/>
  <c r="W13" i="83"/>
  <c r="V13" i="83"/>
  <c r="AB13" i="83" s="1"/>
  <c r="X12" i="83"/>
  <c r="W12" i="83"/>
  <c r="V12" i="83"/>
  <c r="AB12" i="83" s="1"/>
  <c r="X11" i="83"/>
  <c r="W11" i="83"/>
  <c r="AC11" i="83" s="1"/>
  <c r="V11" i="83"/>
  <c r="AB11" i="83" s="1"/>
  <c r="X10" i="83"/>
  <c r="W10" i="83"/>
  <c r="V10" i="83"/>
  <c r="AB10" i="83" s="1"/>
  <c r="X9" i="83"/>
  <c r="W9" i="83"/>
  <c r="V9" i="83"/>
  <c r="AB9" i="83" s="1"/>
  <c r="X8" i="83"/>
  <c r="W8" i="83"/>
  <c r="V8" i="83"/>
  <c r="AB8" i="83" s="1"/>
  <c r="X7" i="83"/>
  <c r="W7" i="83"/>
  <c r="V7" i="83"/>
  <c r="AB7" i="83" s="1"/>
  <c r="X6" i="83"/>
  <c r="W6" i="83"/>
  <c r="V6" i="83"/>
  <c r="AB6" i="83" s="1"/>
  <c r="X5" i="83"/>
  <c r="W5" i="83"/>
  <c r="V5" i="83"/>
  <c r="AB5" i="83" s="1"/>
  <c r="X4" i="83"/>
  <c r="W4" i="83"/>
  <c r="V4" i="83"/>
  <c r="AB4" i="83" s="1"/>
  <c r="X3" i="83"/>
  <c r="W3" i="83"/>
  <c r="AC3" i="83" s="1"/>
  <c r="V3" i="83"/>
  <c r="AB3" i="83" s="1"/>
  <c r="X2" i="83"/>
  <c r="W2" i="83"/>
  <c r="V2" i="83"/>
  <c r="AB2" i="83" s="1"/>
  <c r="AE2022" i="82"/>
  <c r="AE2021" i="82"/>
  <c r="AE2020" i="82"/>
  <c r="AE2019" i="82"/>
  <c r="AE2018" i="82"/>
  <c r="AE2017" i="82"/>
  <c r="AE2016" i="82"/>
  <c r="AE2015" i="82"/>
  <c r="AE2014" i="82"/>
  <c r="AE2013" i="82"/>
  <c r="AE2012" i="82"/>
  <c r="AE2011" i="82"/>
  <c r="AE2010" i="82"/>
  <c r="AE2009" i="82"/>
  <c r="AE2008" i="82"/>
  <c r="AE2007" i="82"/>
  <c r="AE2006" i="82"/>
  <c r="AE2005" i="82"/>
  <c r="AE2004" i="82"/>
  <c r="AE2003" i="82"/>
  <c r="AE2002" i="82"/>
  <c r="AE2001" i="82"/>
  <c r="AE2000" i="82"/>
  <c r="AE1999" i="82"/>
  <c r="AE1998" i="82"/>
  <c r="AE1997" i="82"/>
  <c r="AE1996" i="82"/>
  <c r="AE1995" i="82"/>
  <c r="AE1994" i="82"/>
  <c r="AD1994" i="82"/>
  <c r="AC1994" i="82"/>
  <c r="AE1993" i="82"/>
  <c r="AD1993" i="82"/>
  <c r="AC1993" i="82"/>
  <c r="AE1992" i="82"/>
  <c r="AD1992" i="82"/>
  <c r="AC1992" i="82"/>
  <c r="AE1991" i="82"/>
  <c r="AD1991" i="82"/>
  <c r="AC1991" i="82"/>
  <c r="AE1990" i="82"/>
  <c r="AD1990" i="82"/>
  <c r="AC1990" i="82"/>
  <c r="AE1989" i="82"/>
  <c r="AD1989" i="82"/>
  <c r="AC1989" i="82"/>
  <c r="AE1988" i="82"/>
  <c r="AD1988" i="82"/>
  <c r="AC1988" i="82"/>
  <c r="AE1987" i="82"/>
  <c r="AD1987" i="82"/>
  <c r="AC1987" i="82"/>
  <c r="AE1986" i="82"/>
  <c r="AD1986" i="82"/>
  <c r="AC1986" i="82"/>
  <c r="AE1985" i="82"/>
  <c r="AD1985" i="82"/>
  <c r="AC1985" i="82"/>
  <c r="AE1984" i="82"/>
  <c r="AD1984" i="82"/>
  <c r="AC1984" i="82"/>
  <c r="AE1983" i="82"/>
  <c r="AD1983" i="82"/>
  <c r="AC1983" i="82"/>
  <c r="AE1982" i="82"/>
  <c r="AE1981" i="82"/>
  <c r="AE1980" i="82"/>
  <c r="AE1979" i="82"/>
  <c r="AE1978" i="82"/>
  <c r="AE1977" i="82"/>
  <c r="AE1976" i="82"/>
  <c r="AE1975" i="82"/>
  <c r="AE1974" i="82"/>
  <c r="AE1973" i="82"/>
  <c r="AE1972" i="82"/>
  <c r="AE1971" i="82"/>
  <c r="AE1970" i="82"/>
  <c r="AE1969" i="82"/>
  <c r="AE1968" i="82"/>
  <c r="AE1967" i="82"/>
  <c r="AE1966" i="82"/>
  <c r="AE1965" i="82"/>
  <c r="AE1964" i="82"/>
  <c r="AE1963" i="82"/>
  <c r="AE1962" i="82"/>
  <c r="AE1961" i="82"/>
  <c r="AE1960" i="82"/>
  <c r="AE1959" i="82"/>
  <c r="AE1958" i="82"/>
  <c r="AE1957" i="82"/>
  <c r="AE1956" i="82"/>
  <c r="AE1955" i="82"/>
  <c r="AE1954" i="82"/>
  <c r="AE1953" i="82"/>
  <c r="AE1952" i="82"/>
  <c r="AE1951" i="82"/>
  <c r="AE1950" i="82"/>
  <c r="AE1949" i="82"/>
  <c r="AE1948" i="82"/>
  <c r="AE1947" i="82"/>
  <c r="AE1946" i="82"/>
  <c r="AE1945" i="82"/>
  <c r="AE1944" i="82"/>
  <c r="AE1943" i="82"/>
  <c r="AE1942" i="82"/>
  <c r="AE1941" i="82"/>
  <c r="AE1940" i="82"/>
  <c r="AE1939" i="82"/>
  <c r="AE1938" i="82"/>
  <c r="AE1937" i="82"/>
  <c r="AE1936" i="82"/>
  <c r="AE1935" i="82"/>
  <c r="AE1934" i="82"/>
  <c r="AE1933" i="82"/>
  <c r="AE1932" i="82"/>
  <c r="AE1931" i="82"/>
  <c r="AE1930" i="82"/>
  <c r="AE1929" i="82"/>
  <c r="AE1928" i="82"/>
  <c r="AE1927" i="82"/>
  <c r="AE1926" i="82"/>
  <c r="AE1925" i="82"/>
  <c r="AE1924" i="82"/>
  <c r="AE1923" i="82"/>
  <c r="AE1922" i="82"/>
  <c r="AE1921" i="82"/>
  <c r="AE1920" i="82"/>
  <c r="AE1919" i="82"/>
  <c r="AE1918" i="82"/>
  <c r="AE1917" i="82"/>
  <c r="AE1916" i="82"/>
  <c r="AE1915" i="82"/>
  <c r="AE1914" i="82"/>
  <c r="AE1913" i="82"/>
  <c r="AE1912" i="82"/>
  <c r="AE1911" i="82"/>
  <c r="AE1910" i="82"/>
  <c r="AE1909" i="82"/>
  <c r="AE1908" i="82"/>
  <c r="AE1907" i="82"/>
  <c r="AE1906" i="82"/>
  <c r="AE1905" i="82"/>
  <c r="AE1904" i="82"/>
  <c r="AE1903" i="82"/>
  <c r="AE1902" i="82"/>
  <c r="AE1901" i="82"/>
  <c r="AE1900" i="82"/>
  <c r="AE1899" i="82"/>
  <c r="AE1898" i="82"/>
  <c r="AE1897" i="82"/>
  <c r="AE1896" i="82"/>
  <c r="AE1895" i="82"/>
  <c r="AE1894" i="82"/>
  <c r="AE1893" i="82"/>
  <c r="AE1892" i="82"/>
  <c r="AE1891" i="82"/>
  <c r="AE1890" i="82"/>
  <c r="AE1889" i="82"/>
  <c r="AE1888" i="82"/>
  <c r="AE1887" i="82"/>
  <c r="AE1886" i="82"/>
  <c r="AE1885" i="82"/>
  <c r="AE1884" i="82"/>
  <c r="AE1883" i="82"/>
  <c r="AE1882" i="82"/>
  <c r="AE1881" i="82"/>
  <c r="AE1880" i="82"/>
  <c r="AE1879" i="82"/>
  <c r="AE1878" i="82"/>
  <c r="AE1877" i="82"/>
  <c r="AE1876" i="82"/>
  <c r="AE1875" i="82"/>
  <c r="AE1874" i="82"/>
  <c r="AE1873" i="82"/>
  <c r="AE1872" i="82"/>
  <c r="AE1871" i="82"/>
  <c r="AE1870" i="82"/>
  <c r="AE1869" i="82"/>
  <c r="AE1868" i="82"/>
  <c r="AE1867" i="82"/>
  <c r="AE1866" i="82"/>
  <c r="AE1865" i="82"/>
  <c r="AE1864" i="82"/>
  <c r="AE1863" i="82"/>
  <c r="AE1862" i="82"/>
  <c r="AE1861" i="82"/>
  <c r="AE1860" i="82"/>
  <c r="AE1859" i="82"/>
  <c r="AE1858" i="82"/>
  <c r="AE1857" i="82"/>
  <c r="AE1856" i="82"/>
  <c r="AE1855" i="82"/>
  <c r="AE1854" i="82"/>
  <c r="AE1853" i="82"/>
  <c r="AE1852" i="82"/>
  <c r="AE1851" i="82"/>
  <c r="AE1850" i="82"/>
  <c r="AE1849" i="82"/>
  <c r="AE1848" i="82"/>
  <c r="AE1847" i="82"/>
  <c r="AE1846" i="82"/>
  <c r="AE1845" i="82"/>
  <c r="AE1844" i="82"/>
  <c r="AE1843" i="82"/>
  <c r="AE1842" i="82"/>
  <c r="AE1841" i="82"/>
  <c r="AE1840" i="82"/>
  <c r="AE1839" i="82"/>
  <c r="AE1838" i="82"/>
  <c r="AE1837" i="82"/>
  <c r="AE1836" i="82"/>
  <c r="AE1835" i="82"/>
  <c r="AE1834" i="82"/>
  <c r="AE1833" i="82"/>
  <c r="AE1832" i="82"/>
  <c r="AE1831" i="82"/>
  <c r="AE1830" i="82"/>
  <c r="AE1829" i="82"/>
  <c r="AE1828" i="82"/>
  <c r="AE1827" i="82"/>
  <c r="AE1826" i="82"/>
  <c r="AE1825" i="82"/>
  <c r="AE1824" i="82"/>
  <c r="AE1823" i="82"/>
  <c r="AE1822" i="82"/>
  <c r="AE1821" i="82"/>
  <c r="AE1820" i="82"/>
  <c r="AE1819" i="82"/>
  <c r="AE1818" i="82"/>
  <c r="AE1817" i="82"/>
  <c r="AE1816" i="82"/>
  <c r="AE1815" i="82"/>
  <c r="AE1814" i="82"/>
  <c r="AE1813" i="82"/>
  <c r="AE1812" i="82"/>
  <c r="AE1811" i="82"/>
  <c r="AE1810" i="82"/>
  <c r="AE1809" i="82"/>
  <c r="AE1808" i="82"/>
  <c r="AE1807" i="82"/>
  <c r="AE1806" i="82"/>
  <c r="AE1805" i="82"/>
  <c r="AE1804" i="82"/>
  <c r="AE1803" i="82"/>
  <c r="AE1802" i="82"/>
  <c r="AE1801" i="82"/>
  <c r="AE1800" i="82"/>
  <c r="AE1799" i="82"/>
  <c r="AE1798" i="82"/>
  <c r="AE1797" i="82"/>
  <c r="AE1796" i="82"/>
  <c r="AE1795" i="82"/>
  <c r="AE1794" i="82"/>
  <c r="AE1793" i="82"/>
  <c r="AE1792" i="82"/>
  <c r="AE1791" i="82"/>
  <c r="AE1790" i="82"/>
  <c r="AE1789" i="82"/>
  <c r="AE1788" i="82"/>
  <c r="AE1787" i="82"/>
  <c r="AE1786" i="82"/>
  <c r="AE1785" i="82"/>
  <c r="AE1784" i="82"/>
  <c r="AE1783" i="82"/>
  <c r="AE1782" i="82"/>
  <c r="AE1781" i="82"/>
  <c r="AE1780" i="82"/>
  <c r="AE1779" i="82"/>
  <c r="AE1778" i="82"/>
  <c r="AE1777" i="82"/>
  <c r="AE1776" i="82"/>
  <c r="AE1775" i="82"/>
  <c r="AE1774" i="82"/>
  <c r="AE1773" i="82"/>
  <c r="AE1772" i="82"/>
  <c r="AE1771" i="82"/>
  <c r="AE1770" i="82"/>
  <c r="AE1769" i="82"/>
  <c r="AE1768" i="82"/>
  <c r="AE1767" i="82"/>
  <c r="AE1766" i="82"/>
  <c r="AE1765" i="82"/>
  <c r="AE1764" i="82"/>
  <c r="AE1763" i="82"/>
  <c r="AE1762" i="82"/>
  <c r="AE1761" i="82"/>
  <c r="AE1760" i="82"/>
  <c r="AE1759" i="82"/>
  <c r="AE1758" i="82"/>
  <c r="AE1757" i="82"/>
  <c r="AE1756" i="82"/>
  <c r="AE1755" i="82"/>
  <c r="AE1754" i="82"/>
  <c r="AE1753" i="82"/>
  <c r="AE1752" i="82"/>
  <c r="AE1751" i="82"/>
  <c r="AE1750" i="82"/>
  <c r="AE1749" i="82"/>
  <c r="AE1748" i="82"/>
  <c r="AE1747" i="82"/>
  <c r="AE1746" i="82"/>
  <c r="AE1745" i="82"/>
  <c r="AE1744" i="82"/>
  <c r="AE1743" i="82"/>
  <c r="AE1742" i="82"/>
  <c r="AE1741" i="82"/>
  <c r="AE1740" i="82"/>
  <c r="AE1739" i="82"/>
  <c r="AE1738" i="82"/>
  <c r="AE1737" i="82"/>
  <c r="AE1736" i="82"/>
  <c r="AE1735" i="82"/>
  <c r="AE1734" i="82"/>
  <c r="AE1733" i="82"/>
  <c r="AE1732" i="82"/>
  <c r="AE1731" i="82"/>
  <c r="AE1730" i="82"/>
  <c r="AE1729" i="82"/>
  <c r="AE1728" i="82"/>
  <c r="AE1727" i="82"/>
  <c r="AE1726" i="82"/>
  <c r="AE1725" i="82"/>
  <c r="AE1724" i="82"/>
  <c r="AE1723" i="82"/>
  <c r="AE1722" i="82"/>
  <c r="AE1721" i="82"/>
  <c r="AE1720" i="82"/>
  <c r="AE1719" i="82"/>
  <c r="AE1718" i="82"/>
  <c r="AE1717" i="82"/>
  <c r="AE1716" i="82"/>
  <c r="AE1715" i="82"/>
  <c r="AE1714" i="82"/>
  <c r="AE1713" i="82"/>
  <c r="AE1712" i="82"/>
  <c r="AE1711" i="82"/>
  <c r="AE1710" i="82"/>
  <c r="AE1709" i="82"/>
  <c r="AE1708" i="82"/>
  <c r="AE1707" i="82"/>
  <c r="AE1706" i="82"/>
  <c r="AE1705" i="82"/>
  <c r="AE1704" i="82"/>
  <c r="AE1703" i="82"/>
  <c r="AE1702" i="82"/>
  <c r="AE1701" i="82"/>
  <c r="AE1700" i="82"/>
  <c r="AE1699" i="82"/>
  <c r="AE1698" i="82"/>
  <c r="AE1697" i="82"/>
  <c r="AE1696" i="82"/>
  <c r="AE1695" i="82"/>
  <c r="AE1694" i="82"/>
  <c r="AE1693" i="82"/>
  <c r="AE1692" i="82"/>
  <c r="AE1691" i="82"/>
  <c r="AE1690" i="82"/>
  <c r="AE1689" i="82"/>
  <c r="AE1688" i="82"/>
  <c r="AE1687" i="82"/>
  <c r="AE1686" i="82"/>
  <c r="AE1685" i="82"/>
  <c r="AE1684" i="82"/>
  <c r="AE1683" i="82"/>
  <c r="AE1682" i="82"/>
  <c r="AE1681" i="82"/>
  <c r="AE1680" i="82"/>
  <c r="AE1679" i="82"/>
  <c r="AE1678" i="82"/>
  <c r="AE1677" i="82"/>
  <c r="AE1676" i="82"/>
  <c r="AE1675" i="82"/>
  <c r="AE1674" i="82"/>
  <c r="AE1673" i="82"/>
  <c r="AE1672" i="82"/>
  <c r="AE1671" i="82"/>
  <c r="AE1670" i="82"/>
  <c r="AE1669" i="82"/>
  <c r="AE1668" i="82"/>
  <c r="AE1667" i="82"/>
  <c r="AE1666" i="82"/>
  <c r="AE1665" i="82"/>
  <c r="AE1664" i="82"/>
  <c r="AE1663" i="82"/>
  <c r="AE1662" i="82"/>
  <c r="AE1661" i="82"/>
  <c r="AE1660" i="82"/>
  <c r="AE1659" i="82"/>
  <c r="AE1658" i="82"/>
  <c r="AE1657" i="82"/>
  <c r="AE1656" i="82"/>
  <c r="AE1655" i="82"/>
  <c r="AE1654" i="82"/>
  <c r="AE1653" i="82"/>
  <c r="AE1652" i="82"/>
  <c r="AE1651" i="82"/>
  <c r="AE1650" i="82"/>
  <c r="AE1649" i="82"/>
  <c r="AE1648" i="82"/>
  <c r="AE1647" i="82"/>
  <c r="AE1646" i="82"/>
  <c r="AE1645" i="82"/>
  <c r="AE1644" i="82"/>
  <c r="AE1643" i="82"/>
  <c r="AE1642" i="82"/>
  <c r="AE1641" i="82"/>
  <c r="AE1640" i="82"/>
  <c r="AE1639" i="82"/>
  <c r="AE1638" i="82"/>
  <c r="AE1637" i="82"/>
  <c r="AE1636" i="82"/>
  <c r="AE1635" i="82"/>
  <c r="AE1634" i="82"/>
  <c r="AE1633" i="82"/>
  <c r="AE1632" i="82"/>
  <c r="AE1631" i="82"/>
  <c r="AE1630" i="82"/>
  <c r="AE1629" i="82"/>
  <c r="AE1628" i="82"/>
  <c r="AE1627" i="82"/>
  <c r="AE1626" i="82"/>
  <c r="AE1625" i="82"/>
  <c r="AE1624" i="82"/>
  <c r="AE1623" i="82"/>
  <c r="AE1622" i="82"/>
  <c r="AE1621" i="82"/>
  <c r="AE1620" i="82"/>
  <c r="AE1619" i="82"/>
  <c r="AE1618" i="82"/>
  <c r="AE1617" i="82"/>
  <c r="AE1616" i="82"/>
  <c r="AE1615" i="82"/>
  <c r="AE1614" i="82"/>
  <c r="AE1613" i="82"/>
  <c r="AE1612" i="82"/>
  <c r="AE1611" i="82"/>
  <c r="AE1610" i="82"/>
  <c r="AE1609" i="82"/>
  <c r="AE1608" i="82"/>
  <c r="AE1607" i="82"/>
  <c r="AE1606" i="82"/>
  <c r="AE1605" i="82"/>
  <c r="AE1604" i="82"/>
  <c r="AE1603" i="82"/>
  <c r="AE1602" i="82"/>
  <c r="AE1601" i="82"/>
  <c r="AE1600" i="82"/>
  <c r="AE1599" i="82"/>
  <c r="AE1598" i="82"/>
  <c r="AE1597" i="82"/>
  <c r="AE1596" i="82"/>
  <c r="AE1595" i="82"/>
  <c r="AE1594" i="82"/>
  <c r="AE1593" i="82"/>
  <c r="AE1592" i="82"/>
  <c r="AE1591" i="82"/>
  <c r="AE1590" i="82"/>
  <c r="AE1589" i="82"/>
  <c r="AE1588" i="82"/>
  <c r="AE1587" i="82"/>
  <c r="AE1586" i="82"/>
  <c r="AE1585" i="82"/>
  <c r="AE1584" i="82"/>
  <c r="AE1583" i="82"/>
  <c r="AE1582" i="82"/>
  <c r="AE1581" i="82"/>
  <c r="AE1580" i="82"/>
  <c r="AE1579" i="82"/>
  <c r="AE1578" i="82"/>
  <c r="AE1577" i="82"/>
  <c r="AE1576" i="82"/>
  <c r="AE1575" i="82"/>
  <c r="AE1574" i="82"/>
  <c r="AE1573" i="82"/>
  <c r="AE1572" i="82"/>
  <c r="AE1571" i="82"/>
  <c r="AE1570" i="82"/>
  <c r="AE1569" i="82"/>
  <c r="AE1568" i="82"/>
  <c r="AE1567" i="82"/>
  <c r="AE1566" i="82"/>
  <c r="AE1565" i="82"/>
  <c r="AE1564" i="82"/>
  <c r="AE1563" i="82"/>
  <c r="AE1562" i="82"/>
  <c r="AE1561" i="82"/>
  <c r="AE1560" i="82"/>
  <c r="AE1559" i="82"/>
  <c r="AE1558" i="82"/>
  <c r="AE1557" i="82"/>
  <c r="AE1556" i="82"/>
  <c r="AE1555" i="82"/>
  <c r="AE1554" i="82"/>
  <c r="AE1553" i="82"/>
  <c r="AE1552" i="82"/>
  <c r="AE1551" i="82"/>
  <c r="AE1550" i="82"/>
  <c r="AE1549" i="82"/>
  <c r="AE1548" i="82"/>
  <c r="AE1547" i="82"/>
  <c r="AE1546" i="82"/>
  <c r="AE1545" i="82"/>
  <c r="AE1544" i="82"/>
  <c r="AE1543" i="82"/>
  <c r="AE1542" i="82"/>
  <c r="AE1541" i="82"/>
  <c r="AE1540" i="82"/>
  <c r="AE1539" i="82"/>
  <c r="AE1538" i="82"/>
  <c r="AE1537" i="82"/>
  <c r="AE1536" i="82"/>
  <c r="AE1535" i="82"/>
  <c r="AE1534" i="82"/>
  <c r="AE1533" i="82"/>
  <c r="AE1532" i="82"/>
  <c r="AE1531" i="82"/>
  <c r="AE1530" i="82"/>
  <c r="AE1529" i="82"/>
  <c r="AE1528" i="82"/>
  <c r="AE1527" i="82"/>
  <c r="AE1526" i="82"/>
  <c r="AE1525" i="82"/>
  <c r="AE1524" i="82"/>
  <c r="AE1523" i="82"/>
  <c r="AE1522" i="82"/>
  <c r="AE1521" i="82"/>
  <c r="AE1520" i="82"/>
  <c r="AE1519" i="82"/>
  <c r="AE1518" i="82"/>
  <c r="AE1517" i="82"/>
  <c r="AE1516" i="82"/>
  <c r="AE1515" i="82"/>
  <c r="AE1514" i="82"/>
  <c r="AE1513" i="82"/>
  <c r="AE1512" i="82"/>
  <c r="AE1511" i="82"/>
  <c r="AE1510" i="82"/>
  <c r="AE1509" i="82"/>
  <c r="AE1508" i="82"/>
  <c r="AE1507" i="82"/>
  <c r="AE1506" i="82"/>
  <c r="AE1505" i="82"/>
  <c r="AE1504" i="82"/>
  <c r="AE1503" i="82"/>
  <c r="AE1502" i="82"/>
  <c r="AE1501" i="82"/>
  <c r="AE1500" i="82"/>
  <c r="AE1499" i="82"/>
  <c r="AE1498" i="82"/>
  <c r="AE1497" i="82"/>
  <c r="AE1496" i="82"/>
  <c r="AE1495" i="82"/>
  <c r="AE1494" i="82"/>
  <c r="AE1493" i="82"/>
  <c r="AE1492" i="82"/>
  <c r="AE1491" i="82"/>
  <c r="AE1490" i="82"/>
  <c r="AE1489" i="82"/>
  <c r="AE1488" i="82"/>
  <c r="AE1487" i="82"/>
  <c r="AE1486" i="82"/>
  <c r="AE1485" i="82"/>
  <c r="AE1484" i="82"/>
  <c r="AE1483" i="82"/>
  <c r="AE1482" i="82"/>
  <c r="AE1481" i="82"/>
  <c r="AE1480" i="82"/>
  <c r="AE1479" i="82"/>
  <c r="AE1478" i="82"/>
  <c r="AE1477" i="82"/>
  <c r="AE1476" i="82"/>
  <c r="AE1475" i="82"/>
  <c r="AE1474" i="82"/>
  <c r="AE1473" i="82"/>
  <c r="AE1472" i="82"/>
  <c r="AE1471" i="82"/>
  <c r="AE1470" i="82"/>
  <c r="AE1469" i="82"/>
  <c r="AE1468" i="82"/>
  <c r="AE1467" i="82"/>
  <c r="AE1466" i="82"/>
  <c r="AE1465" i="82"/>
  <c r="AE1464" i="82"/>
  <c r="AE1463" i="82"/>
  <c r="AE1462" i="82"/>
  <c r="AE1461" i="82"/>
  <c r="AE1460" i="82"/>
  <c r="AE1459" i="82"/>
  <c r="AE1458" i="82"/>
  <c r="AE1457" i="82"/>
  <c r="AE1456" i="82"/>
  <c r="AE1455" i="82"/>
  <c r="AE1454" i="82"/>
  <c r="AE1453" i="82"/>
  <c r="AE1452" i="82"/>
  <c r="AE1451" i="82"/>
  <c r="AE1450" i="82"/>
  <c r="AE1449" i="82"/>
  <c r="AE1448" i="82"/>
  <c r="AE1447" i="82"/>
  <c r="AE1446" i="82"/>
  <c r="AE1445" i="82"/>
  <c r="AE1444" i="82"/>
  <c r="AE1443" i="82"/>
  <c r="AE1442" i="82"/>
  <c r="AE1441" i="82"/>
  <c r="AE1440" i="82"/>
  <c r="AE1439" i="82"/>
  <c r="AE1438" i="82"/>
  <c r="AE1437" i="82"/>
  <c r="AE1436" i="82"/>
  <c r="AE1435" i="82"/>
  <c r="AE1434" i="82"/>
  <c r="AE1433" i="82"/>
  <c r="AE1432" i="82"/>
  <c r="AE1431" i="82"/>
  <c r="AE1430" i="82"/>
  <c r="AE1429" i="82"/>
  <c r="AE1428" i="82"/>
  <c r="AE1427" i="82"/>
  <c r="AE1426" i="82"/>
  <c r="AE1425" i="82"/>
  <c r="AE1424" i="82"/>
  <c r="AE1423" i="82"/>
  <c r="AE1422" i="82"/>
  <c r="AE1421" i="82"/>
  <c r="AE1420" i="82"/>
  <c r="AE1419" i="82"/>
  <c r="AE1418" i="82"/>
  <c r="AE1417" i="82"/>
  <c r="AE1416" i="82"/>
  <c r="AE1415" i="82"/>
  <c r="AE1414" i="82"/>
  <c r="AE1413" i="82"/>
  <c r="AE1412" i="82"/>
  <c r="AE1411" i="82"/>
  <c r="AE1410" i="82"/>
  <c r="AE1409" i="82"/>
  <c r="AE1408" i="82"/>
  <c r="AE1407" i="82"/>
  <c r="AE1406" i="82"/>
  <c r="AE1405" i="82"/>
  <c r="AE1404" i="82"/>
  <c r="AE1403" i="82"/>
  <c r="AE1402" i="82"/>
  <c r="AE1401" i="82"/>
  <c r="AE1400" i="82"/>
  <c r="AE1399" i="82"/>
  <c r="AE1398" i="82"/>
  <c r="AE1397" i="82"/>
  <c r="AE1396" i="82"/>
  <c r="AE1395" i="82"/>
  <c r="AE1394" i="82"/>
  <c r="AE1393" i="82"/>
  <c r="AE1392" i="82"/>
  <c r="AE1391" i="82"/>
  <c r="AE1390" i="82"/>
  <c r="AE1389" i="82"/>
  <c r="AE1388" i="82"/>
  <c r="AE1387" i="82"/>
  <c r="AE1386" i="82"/>
  <c r="AE1385" i="82"/>
  <c r="AE1384" i="82"/>
  <c r="AE1383" i="82"/>
  <c r="AE1382" i="82"/>
  <c r="AE1381" i="82"/>
  <c r="AE1380" i="82"/>
  <c r="AE1379" i="82"/>
  <c r="AE1378" i="82"/>
  <c r="AE1377" i="82"/>
  <c r="AE1376" i="82"/>
  <c r="AE1375" i="82"/>
  <c r="AE1374" i="82"/>
  <c r="AE1373" i="82"/>
  <c r="AE1372" i="82"/>
  <c r="AE1371" i="82"/>
  <c r="AE1370" i="82"/>
  <c r="AE1369" i="82"/>
  <c r="AE1368" i="82"/>
  <c r="AE1367" i="82"/>
  <c r="AE1366" i="82"/>
  <c r="AE1365" i="82"/>
  <c r="AE1364" i="82"/>
  <c r="AE1363" i="82"/>
  <c r="AE1362" i="82"/>
  <c r="AE1361" i="82"/>
  <c r="AE1360" i="82"/>
  <c r="AE1359" i="82"/>
  <c r="AE1358" i="82"/>
  <c r="AE1357" i="82"/>
  <c r="AE1356" i="82"/>
  <c r="AE1355" i="82"/>
  <c r="AE1354" i="82"/>
  <c r="AE1353" i="82"/>
  <c r="AE1352" i="82"/>
  <c r="AE1351" i="82"/>
  <c r="AE1350" i="82"/>
  <c r="AE1349" i="82"/>
  <c r="AE1348" i="82"/>
  <c r="AE1347" i="82"/>
  <c r="AE1346" i="82"/>
  <c r="AE1345" i="82"/>
  <c r="AE1344" i="82"/>
  <c r="AE1343" i="82"/>
  <c r="AE1342" i="82"/>
  <c r="AE1341" i="82"/>
  <c r="AE1340" i="82"/>
  <c r="AE1339" i="82"/>
  <c r="AE1338" i="82"/>
  <c r="AE1337" i="82"/>
  <c r="AE1336" i="82"/>
  <c r="AE1335" i="82"/>
  <c r="AE1334" i="82"/>
  <c r="AE1333" i="82"/>
  <c r="AE1332" i="82"/>
  <c r="AE1331" i="82"/>
  <c r="AE1330" i="82"/>
  <c r="AE1329" i="82"/>
  <c r="AE1328" i="82"/>
  <c r="AE1327" i="82"/>
  <c r="AE1326" i="82"/>
  <c r="AE1325" i="82"/>
  <c r="AE1324" i="82"/>
  <c r="AE1323" i="82"/>
  <c r="AE1322" i="82"/>
  <c r="AE1321" i="82"/>
  <c r="AE1320" i="82"/>
  <c r="AE1319" i="82"/>
  <c r="AE1318" i="82"/>
  <c r="AE1317" i="82"/>
  <c r="AE1316" i="82"/>
  <c r="AE1315" i="82"/>
  <c r="AE1314" i="82"/>
  <c r="AE1313" i="82"/>
  <c r="AE1312" i="82"/>
  <c r="AE1311" i="82"/>
  <c r="AE1310" i="82"/>
  <c r="AE1309" i="82"/>
  <c r="AE1308" i="82"/>
  <c r="AE1307" i="82"/>
  <c r="AE1306" i="82"/>
  <c r="AE1305" i="82"/>
  <c r="AE1304" i="82"/>
  <c r="AE1303" i="82"/>
  <c r="AE1302" i="82"/>
  <c r="AE1301" i="82"/>
  <c r="AE1300" i="82"/>
  <c r="AE1299" i="82"/>
  <c r="AE1298" i="82"/>
  <c r="AE1297" i="82"/>
  <c r="AE1296" i="82"/>
  <c r="AE1295" i="82"/>
  <c r="AE1294" i="82"/>
  <c r="AE1293" i="82"/>
  <c r="AE1292" i="82"/>
  <c r="AE1291" i="82"/>
  <c r="AE1290" i="82"/>
  <c r="AE1289" i="82"/>
  <c r="AE1288" i="82"/>
  <c r="AE1287" i="82"/>
  <c r="AE1286" i="82"/>
  <c r="AE1285" i="82"/>
  <c r="AE1284" i="82"/>
  <c r="AE1283" i="82"/>
  <c r="AE1282" i="82"/>
  <c r="AE1281" i="82"/>
  <c r="AE1280" i="82"/>
  <c r="AE1279" i="82"/>
  <c r="AE1278" i="82"/>
  <c r="AE1277" i="82"/>
  <c r="AE1276" i="82"/>
  <c r="AE1275" i="82"/>
  <c r="AE1274" i="82"/>
  <c r="AE1273" i="82"/>
  <c r="AE1272" i="82"/>
  <c r="AE1271" i="82"/>
  <c r="AE1270" i="82"/>
  <c r="AE1269" i="82"/>
  <c r="AE1268" i="82"/>
  <c r="AE1267" i="82"/>
  <c r="AE1266" i="82"/>
  <c r="AE1265" i="82"/>
  <c r="AE1264" i="82"/>
  <c r="AE1263" i="82"/>
  <c r="AE1262" i="82"/>
  <c r="AE1261" i="82"/>
  <c r="AE1260" i="82"/>
  <c r="AE1259" i="82"/>
  <c r="AE1258" i="82"/>
  <c r="AE1257" i="82"/>
  <c r="AE1256" i="82"/>
  <c r="AE1255" i="82"/>
  <c r="AE1254" i="82"/>
  <c r="AE1253" i="82"/>
  <c r="AE1252" i="82"/>
  <c r="AE1251" i="82"/>
  <c r="AE1250" i="82"/>
  <c r="AE1249" i="82"/>
  <c r="AE1248" i="82"/>
  <c r="AE1247" i="82"/>
  <c r="AE1246" i="82"/>
  <c r="AE1245" i="82"/>
  <c r="AE1244" i="82"/>
  <c r="AE1243" i="82"/>
  <c r="AE1242" i="82"/>
  <c r="AE1241" i="82"/>
  <c r="AE1240" i="82"/>
  <c r="AE1239" i="82"/>
  <c r="AE1238" i="82"/>
  <c r="AE1237" i="82"/>
  <c r="AE1236" i="82"/>
  <c r="AE1235" i="82"/>
  <c r="AE1234" i="82"/>
  <c r="AE1233" i="82"/>
  <c r="AE1232" i="82"/>
  <c r="AE1231" i="82"/>
  <c r="AE1230" i="82"/>
  <c r="AE1229" i="82"/>
  <c r="AE1228" i="82"/>
  <c r="AE1227" i="82"/>
  <c r="AE1226" i="82"/>
  <c r="AE1225" i="82"/>
  <c r="AE1224" i="82"/>
  <c r="AE1223" i="82"/>
  <c r="AE1222" i="82"/>
  <c r="AE1221" i="82"/>
  <c r="AE1220" i="82"/>
  <c r="AE1219" i="82"/>
  <c r="AE1218" i="82"/>
  <c r="AE1217" i="82"/>
  <c r="AE1216" i="82"/>
  <c r="AD1216" i="82"/>
  <c r="AC1216" i="82"/>
  <c r="AE1215" i="82"/>
  <c r="AD1215" i="82"/>
  <c r="AC1215" i="82"/>
  <c r="AE1214" i="82"/>
  <c r="AD1214" i="82"/>
  <c r="AC1214" i="82"/>
  <c r="AE1213" i="82"/>
  <c r="AD1213" i="82"/>
  <c r="AC1213" i="82"/>
  <c r="AE1212" i="82"/>
  <c r="AD1212" i="82"/>
  <c r="AC1212" i="82"/>
  <c r="AE1211" i="82"/>
  <c r="AD1211" i="82"/>
  <c r="AE1210" i="82"/>
  <c r="AD1210" i="82"/>
  <c r="AC1210" i="82"/>
  <c r="AE1209" i="82"/>
  <c r="AD1209" i="82"/>
  <c r="AC1209" i="82"/>
  <c r="AE1208" i="82"/>
  <c r="AD1208" i="82"/>
  <c r="AC1208" i="82"/>
  <c r="AE1207" i="82"/>
  <c r="AD1207" i="82"/>
  <c r="AC1207" i="82"/>
  <c r="AE1206" i="82"/>
  <c r="AD1206" i="82"/>
  <c r="AC1206" i="82"/>
  <c r="AE1205" i="82"/>
  <c r="AD1205" i="82"/>
  <c r="AC1205" i="82"/>
  <c r="AG1204" i="82"/>
  <c r="AF1204" i="82"/>
  <c r="AB1204" i="82"/>
  <c r="AG1203" i="82"/>
  <c r="AF1203" i="82"/>
  <c r="AB1203" i="82"/>
  <c r="AG1202" i="82"/>
  <c r="AF1202" i="82"/>
  <c r="AB1202" i="82"/>
  <c r="AG1201" i="82"/>
  <c r="AF1201" i="82"/>
  <c r="AB1201" i="82"/>
  <c r="AG1200" i="82"/>
  <c r="AF1200" i="82"/>
  <c r="AB1200" i="82"/>
  <c r="AG1199" i="82"/>
  <c r="AF1199" i="82"/>
  <c r="AB1199" i="82"/>
  <c r="AG1198" i="82"/>
  <c r="AF1198" i="82"/>
  <c r="AB1198" i="82"/>
  <c r="AG1197" i="82"/>
  <c r="AF1197" i="82"/>
  <c r="AB1197" i="82"/>
  <c r="AG1196" i="82"/>
  <c r="AF1196" i="82"/>
  <c r="AB1196" i="82"/>
  <c r="AG1195" i="82"/>
  <c r="AF1195" i="82"/>
  <c r="AB1195" i="82"/>
  <c r="AG1194" i="82"/>
  <c r="AF1194" i="82"/>
  <c r="AB1194" i="82"/>
  <c r="AG1193" i="82"/>
  <c r="AF1193" i="82"/>
  <c r="AB1193" i="82"/>
  <c r="AE1192" i="82"/>
  <c r="AD1192" i="82"/>
  <c r="AC1192" i="82"/>
  <c r="AE1191" i="82"/>
  <c r="AD1191" i="82"/>
  <c r="AC1191" i="82"/>
  <c r="AE1190" i="82"/>
  <c r="AD1190" i="82"/>
  <c r="AC1190" i="82"/>
  <c r="AE1189" i="82"/>
  <c r="AD1189" i="82"/>
  <c r="AC1189" i="82"/>
  <c r="AE1188" i="82"/>
  <c r="AD1188" i="82"/>
  <c r="AC1188" i="82"/>
  <c r="AE1187" i="82"/>
  <c r="AD1187" i="82"/>
  <c r="AC1187" i="82"/>
  <c r="AE1186" i="82"/>
  <c r="AD1186" i="82"/>
  <c r="AC1186" i="82"/>
  <c r="AE1185" i="82"/>
  <c r="AD1185" i="82"/>
  <c r="AC1185" i="82"/>
  <c r="AE1184" i="82"/>
  <c r="AD1184" i="82"/>
  <c r="AC1184" i="82"/>
  <c r="AE1183" i="82"/>
  <c r="AD1183" i="82"/>
  <c r="AC1183" i="82"/>
  <c r="AE1182" i="82"/>
  <c r="AD1182" i="82"/>
  <c r="AC1182" i="82"/>
  <c r="AE1181" i="82"/>
  <c r="AD1181" i="82"/>
  <c r="AC1181" i="82"/>
  <c r="AE1180" i="82"/>
  <c r="AD1180" i="82"/>
  <c r="AC1180" i="82"/>
  <c r="AE1179" i="82"/>
  <c r="AD1179" i="82"/>
  <c r="AC1179" i="82"/>
  <c r="AE1178" i="82"/>
  <c r="AD1178" i="82"/>
  <c r="AC1178" i="82"/>
  <c r="AE1177" i="82"/>
  <c r="AD1177" i="82"/>
  <c r="AC1177" i="82"/>
  <c r="AE1176" i="82"/>
  <c r="AD1176" i="82"/>
  <c r="AC1176" i="82"/>
  <c r="AE1175" i="82"/>
  <c r="AD1175" i="82"/>
  <c r="AC1175" i="82"/>
  <c r="AE1174" i="82"/>
  <c r="AD1174" i="82"/>
  <c r="AC1174" i="82"/>
  <c r="AE1173" i="82"/>
  <c r="AD1173" i="82"/>
  <c r="AC1173" i="82"/>
  <c r="AE1172" i="82"/>
  <c r="AD1172" i="82"/>
  <c r="AC1172" i="82"/>
  <c r="AE1171" i="82"/>
  <c r="AD1171" i="82"/>
  <c r="AC1171" i="82"/>
  <c r="AE1170" i="82"/>
  <c r="AD1170" i="82"/>
  <c r="AC1170" i="82"/>
  <c r="AE1169" i="82"/>
  <c r="AD1169" i="82"/>
  <c r="AC1169" i="82"/>
  <c r="AE1168" i="82"/>
  <c r="AD1168" i="82"/>
  <c r="AC1168" i="82"/>
  <c r="AG1167" i="82"/>
  <c r="AF1167" i="82"/>
  <c r="AB1167" i="82"/>
  <c r="AG1166" i="82"/>
  <c r="AF1166" i="82"/>
  <c r="AB1166" i="82"/>
  <c r="AG1165" i="82"/>
  <c r="AF1165" i="82"/>
  <c r="AB1165" i="82"/>
  <c r="AG1164" i="82"/>
  <c r="AF1164" i="82"/>
  <c r="AB1164" i="82"/>
  <c r="AG1163" i="82"/>
  <c r="AF1163" i="82"/>
  <c r="AB1163" i="82"/>
  <c r="AG1162" i="82"/>
  <c r="AF1162" i="82"/>
  <c r="AB1162" i="82"/>
  <c r="AG1161" i="82"/>
  <c r="AF1161" i="82"/>
  <c r="AB1161" i="82"/>
  <c r="AG1160" i="82"/>
  <c r="AF1160" i="82"/>
  <c r="AB1160" i="82"/>
  <c r="AG1159" i="82"/>
  <c r="AF1159" i="82"/>
  <c r="AB1159" i="82"/>
  <c r="AG1158" i="82"/>
  <c r="AF1158" i="82"/>
  <c r="AB1158" i="82"/>
  <c r="AG1157" i="82"/>
  <c r="AF1157" i="82"/>
  <c r="AB1157" i="82"/>
  <c r="AG1156" i="82"/>
  <c r="AF1156" i="82"/>
  <c r="AB1156" i="82"/>
  <c r="AG1155" i="82"/>
  <c r="AF1155" i="82"/>
  <c r="AB1155" i="82"/>
  <c r="AE1154" i="82"/>
  <c r="AD1154" i="82"/>
  <c r="AC1154" i="82"/>
  <c r="AE1153" i="82"/>
  <c r="AD1153" i="82"/>
  <c r="AC1153" i="82"/>
  <c r="AE1152" i="82"/>
  <c r="AD1152" i="82"/>
  <c r="AC1152" i="82"/>
  <c r="AE1151" i="82"/>
  <c r="AD1151" i="82"/>
  <c r="AC1151" i="82"/>
  <c r="AE1150" i="82"/>
  <c r="AD1150" i="82"/>
  <c r="AC1150" i="82"/>
  <c r="AE1149" i="82"/>
  <c r="AD1149" i="82"/>
  <c r="AC1149" i="82"/>
  <c r="AE1148" i="82"/>
  <c r="AD1148" i="82"/>
  <c r="AC1148" i="82"/>
  <c r="AE1147" i="82"/>
  <c r="AD1147" i="82"/>
  <c r="AC1147" i="82"/>
  <c r="AE1146" i="82"/>
  <c r="AD1146" i="82"/>
  <c r="AC1146" i="82"/>
  <c r="AE1145" i="82"/>
  <c r="AD1145" i="82"/>
  <c r="AC1145" i="82"/>
  <c r="AE1144" i="82"/>
  <c r="AD1144" i="82"/>
  <c r="AC1144" i="82"/>
  <c r="AE1143" i="82"/>
  <c r="AD1143" i="82"/>
  <c r="AC1143" i="82"/>
  <c r="AE1142" i="82"/>
  <c r="AD1142" i="82"/>
  <c r="AC1142" i="82"/>
  <c r="AE1141" i="82"/>
  <c r="AE1140" i="82"/>
  <c r="AE1139" i="82"/>
  <c r="AE1138" i="82"/>
  <c r="AE1137" i="82"/>
  <c r="AE1136" i="82"/>
  <c r="AE1135" i="82"/>
  <c r="AE1134" i="82"/>
  <c r="AE1133" i="82"/>
  <c r="AE1132" i="82"/>
  <c r="AE1131" i="82"/>
  <c r="AE1130" i="82"/>
  <c r="AE1129" i="82"/>
  <c r="AE1128" i="82"/>
  <c r="AE1127" i="82"/>
  <c r="AE1126" i="82"/>
  <c r="AE1125" i="82"/>
  <c r="AE1124" i="82"/>
  <c r="AE1123" i="82"/>
  <c r="AE1122" i="82"/>
  <c r="AE1121" i="82"/>
  <c r="AE1120" i="82"/>
  <c r="AE1119" i="82"/>
  <c r="AE1118" i="82"/>
  <c r="AE1117" i="82"/>
  <c r="AG1116" i="82"/>
  <c r="AF1116" i="82"/>
  <c r="AG1115" i="82"/>
  <c r="AF1115" i="82"/>
  <c r="AG1114" i="82"/>
  <c r="AF1114" i="82"/>
  <c r="AG1113" i="82"/>
  <c r="AF1113" i="82"/>
  <c r="AG1112" i="82"/>
  <c r="AF1112" i="82"/>
  <c r="AG1111" i="82"/>
  <c r="AF1111" i="82"/>
  <c r="AG1110" i="82"/>
  <c r="AF1110" i="82"/>
  <c r="AG1109" i="82"/>
  <c r="AF1109" i="82"/>
  <c r="AG1108" i="82"/>
  <c r="AF1108" i="82"/>
  <c r="AG1107" i="82"/>
  <c r="AF1107" i="82"/>
  <c r="AG1106" i="82"/>
  <c r="AF1106" i="82"/>
  <c r="AG1105" i="82"/>
  <c r="AF1105" i="82"/>
  <c r="AG1104" i="82"/>
  <c r="AF1104" i="82"/>
  <c r="AG1103" i="82"/>
  <c r="AF1103" i="82"/>
  <c r="AG1102" i="82"/>
  <c r="AF1102" i="82"/>
  <c r="AG1101" i="82"/>
  <c r="AF1101" i="82"/>
  <c r="AG1100" i="82"/>
  <c r="AF1100" i="82"/>
  <c r="AG1099" i="82"/>
  <c r="AF1099" i="82"/>
  <c r="AG1098" i="82"/>
  <c r="AF1098" i="82"/>
  <c r="AG1097" i="82"/>
  <c r="AF1097" i="82"/>
  <c r="AG1096" i="82"/>
  <c r="AF1096" i="82"/>
  <c r="AG1095" i="82"/>
  <c r="AF1095" i="82"/>
  <c r="AG1094" i="82"/>
  <c r="AF1094" i="82"/>
  <c r="AG1093" i="82"/>
  <c r="AF1093" i="82"/>
  <c r="AG1092" i="82"/>
  <c r="AF1092" i="82"/>
  <c r="AE1091" i="82"/>
  <c r="AE1090" i="82"/>
  <c r="AE1089" i="82"/>
  <c r="AE1088" i="82"/>
  <c r="AE1087" i="82"/>
  <c r="AE1086" i="82"/>
  <c r="AE1085" i="82"/>
  <c r="AE1084" i="82"/>
  <c r="AE1083" i="82"/>
  <c r="AE1082" i="82"/>
  <c r="AE1081" i="82"/>
  <c r="AE1080" i="82"/>
  <c r="AE1079" i="82"/>
  <c r="AE1078" i="82"/>
  <c r="AE1077" i="82"/>
  <c r="AE1076" i="82"/>
  <c r="AE1075" i="82"/>
  <c r="AE1074" i="82"/>
  <c r="AE1073" i="82"/>
  <c r="AE1072" i="82"/>
  <c r="AE1071" i="82"/>
  <c r="AE1070" i="82"/>
  <c r="AE1069" i="82"/>
  <c r="AE1068" i="82"/>
  <c r="AE1067" i="82"/>
  <c r="AE1066" i="82"/>
  <c r="AE1065" i="82"/>
  <c r="AE1064" i="82"/>
  <c r="AE1063" i="82"/>
  <c r="AE1062" i="82"/>
  <c r="AE1061" i="82"/>
  <c r="AE1060" i="82"/>
  <c r="AE1059" i="82"/>
  <c r="AE1058" i="82"/>
  <c r="AE1057" i="82"/>
  <c r="AE1056" i="82"/>
  <c r="AE1055" i="82"/>
  <c r="AE1054" i="82"/>
  <c r="AE1053" i="82"/>
  <c r="AE1052" i="82"/>
  <c r="AE1051" i="82"/>
  <c r="AE1050" i="82"/>
  <c r="AE1049" i="82"/>
  <c r="AE1048" i="82"/>
  <c r="AE1047" i="82"/>
  <c r="AE1046" i="82"/>
  <c r="AE1045" i="82"/>
  <c r="AE1044" i="82"/>
  <c r="AE1043" i="82"/>
  <c r="AE1042" i="82"/>
  <c r="AE1041" i="82"/>
  <c r="AE1040" i="82"/>
  <c r="AE1039" i="82"/>
  <c r="AE1038" i="82"/>
  <c r="AE1037" i="82"/>
  <c r="AE1036" i="82"/>
  <c r="AE1035" i="82"/>
  <c r="AG1034" i="82"/>
  <c r="AF1034" i="82"/>
  <c r="AG1033" i="82"/>
  <c r="AF1033" i="82"/>
  <c r="AG1032" i="82"/>
  <c r="AF1032" i="82"/>
  <c r="AG1031" i="82"/>
  <c r="AF1031" i="82"/>
  <c r="AG1030" i="82"/>
  <c r="AF1030" i="82"/>
  <c r="AG1029" i="82"/>
  <c r="AF1029" i="82"/>
  <c r="AG1028" i="82"/>
  <c r="AF1028" i="82"/>
  <c r="AG1027" i="82"/>
  <c r="AF1027" i="82"/>
  <c r="AG1026" i="82"/>
  <c r="AF1026" i="82"/>
  <c r="AG1025" i="82"/>
  <c r="AF1025" i="82"/>
  <c r="AG1024" i="82"/>
  <c r="AF1024" i="82"/>
  <c r="AG1023" i="82"/>
  <c r="AF1023" i="82"/>
  <c r="AG1022" i="82"/>
  <c r="AF1022" i="82"/>
  <c r="AG1021" i="82"/>
  <c r="AF1021" i="82"/>
  <c r="AG1020" i="82"/>
  <c r="AF1020" i="82"/>
  <c r="AG1019" i="82"/>
  <c r="AF1019" i="82"/>
  <c r="AG1018" i="82"/>
  <c r="AF1018" i="82"/>
  <c r="AG1017" i="82"/>
  <c r="AF1017" i="82"/>
  <c r="AG1016" i="82"/>
  <c r="AF1016" i="82"/>
  <c r="AG1015" i="82"/>
  <c r="AF1015" i="82"/>
  <c r="AG1014" i="82"/>
  <c r="AF1014" i="82"/>
  <c r="AG1013" i="82"/>
  <c r="AF1013" i="82"/>
  <c r="AG1012" i="82"/>
  <c r="AF1012" i="82"/>
  <c r="AG1011" i="82"/>
  <c r="AF1011" i="82"/>
  <c r="AG1010" i="82"/>
  <c r="AF1010" i="82"/>
  <c r="AG1009" i="82"/>
  <c r="AF1009" i="82"/>
  <c r="AG1008" i="82"/>
  <c r="AF1008" i="82"/>
  <c r="AG1007" i="82"/>
  <c r="AF1007" i="82"/>
  <c r="AG1006" i="82"/>
  <c r="AF1006" i="82"/>
  <c r="AG1005" i="82"/>
  <c r="AF1005" i="82"/>
  <c r="AE1004" i="82"/>
  <c r="AE1003" i="82"/>
  <c r="AE1002" i="82"/>
  <c r="AE1001" i="82"/>
  <c r="AE1000" i="82"/>
  <c r="AE999" i="82"/>
  <c r="AE998" i="82"/>
  <c r="AE997" i="82"/>
  <c r="AE996" i="82"/>
  <c r="AE995" i="82"/>
  <c r="AE994" i="82"/>
  <c r="AE993" i="82"/>
  <c r="AE992" i="82"/>
  <c r="AE991" i="82"/>
  <c r="AE990" i="82"/>
  <c r="AE989" i="82"/>
  <c r="AE988" i="82"/>
  <c r="AE987" i="82"/>
  <c r="AE986" i="82"/>
  <c r="AE985" i="82"/>
  <c r="AE984" i="82"/>
  <c r="AE983" i="82"/>
  <c r="AE982" i="82"/>
  <c r="AE981" i="82"/>
  <c r="AE980" i="82"/>
  <c r="AE979" i="82"/>
  <c r="AE978" i="82"/>
  <c r="AE977" i="82"/>
  <c r="AE976" i="82"/>
  <c r="AE975" i="82"/>
  <c r="AE974" i="82"/>
  <c r="AE973" i="82"/>
  <c r="AG972" i="82"/>
  <c r="AE972" i="82"/>
  <c r="AG971" i="82"/>
  <c r="AE971" i="82"/>
  <c r="AG970" i="82"/>
  <c r="AE970" i="82"/>
  <c r="AG969" i="82"/>
  <c r="AE969" i="82"/>
  <c r="AG968" i="82"/>
  <c r="AE968" i="82"/>
  <c r="AG967" i="82"/>
  <c r="AE967" i="82"/>
  <c r="AG966" i="82"/>
  <c r="AE966" i="82"/>
  <c r="AG965" i="82"/>
  <c r="AE965" i="82"/>
  <c r="AG964" i="82"/>
  <c r="AE964" i="82"/>
  <c r="AG963" i="82"/>
  <c r="AE963" i="82"/>
  <c r="AG962" i="82"/>
  <c r="AE962" i="82"/>
  <c r="AG961" i="82"/>
  <c r="AE961" i="82"/>
  <c r="AG960" i="82"/>
  <c r="AF960" i="82"/>
  <c r="AG959" i="82"/>
  <c r="AF959" i="82"/>
  <c r="AG958" i="82"/>
  <c r="AF958" i="82"/>
  <c r="AG957" i="82"/>
  <c r="AF957" i="82"/>
  <c r="AG956" i="82"/>
  <c r="AF956" i="82"/>
  <c r="AG955" i="82"/>
  <c r="AF955" i="82"/>
  <c r="AG954" i="82"/>
  <c r="AF954" i="82"/>
  <c r="AG953" i="82"/>
  <c r="AF953" i="82"/>
  <c r="AG952" i="82"/>
  <c r="AF952" i="82"/>
  <c r="AG951" i="82"/>
  <c r="AF951" i="82"/>
  <c r="AG950" i="82"/>
  <c r="AF950" i="82"/>
  <c r="AG949" i="82"/>
  <c r="AF949" i="82"/>
  <c r="AG948" i="82"/>
  <c r="AE948" i="82"/>
  <c r="AG947" i="82"/>
  <c r="AE947" i="82"/>
  <c r="AG946" i="82"/>
  <c r="AE946" i="82"/>
  <c r="AG945" i="82"/>
  <c r="AE945" i="82"/>
  <c r="AG944" i="82"/>
  <c r="AE944" i="82"/>
  <c r="AG943" i="82"/>
  <c r="AE943" i="82"/>
  <c r="AG942" i="82"/>
  <c r="AE942" i="82"/>
  <c r="AG941" i="82"/>
  <c r="AE941" i="82"/>
  <c r="AG940" i="82"/>
  <c r="AE940" i="82"/>
  <c r="AG939" i="82"/>
  <c r="AE939" i="82"/>
  <c r="AG938" i="82"/>
  <c r="AE938" i="82"/>
  <c r="AG937" i="82"/>
  <c r="AE937" i="82"/>
  <c r="AE936" i="82"/>
  <c r="AE935" i="82"/>
  <c r="AE934" i="82"/>
  <c r="AE933" i="82"/>
  <c r="AE932" i="82"/>
  <c r="AE931" i="82"/>
  <c r="AE930" i="82"/>
  <c r="AE929" i="82"/>
  <c r="AE928" i="82"/>
  <c r="AE927" i="82"/>
  <c r="AE926" i="82"/>
  <c r="AE925" i="82"/>
  <c r="AG924" i="82"/>
  <c r="AF924" i="82"/>
  <c r="AG923" i="82"/>
  <c r="AF923" i="82"/>
  <c r="AG922" i="82"/>
  <c r="AF922" i="82"/>
  <c r="AG921" i="82"/>
  <c r="AF921" i="82"/>
  <c r="AG920" i="82"/>
  <c r="AF920" i="82"/>
  <c r="AG919" i="82"/>
  <c r="AF919" i="82"/>
  <c r="AG918" i="82"/>
  <c r="AF918" i="82"/>
  <c r="AG917" i="82"/>
  <c r="AF917" i="82"/>
  <c r="AG916" i="82"/>
  <c r="AF916" i="82"/>
  <c r="AG915" i="82"/>
  <c r="AF915" i="82"/>
  <c r="AG914" i="82"/>
  <c r="AF914" i="82"/>
  <c r="AG913" i="82"/>
  <c r="AF913" i="82"/>
  <c r="AE912" i="82"/>
  <c r="AE911" i="82"/>
  <c r="AE910" i="82"/>
  <c r="AE909" i="82"/>
  <c r="AE908" i="82"/>
  <c r="AE907" i="82"/>
  <c r="AE906" i="82"/>
  <c r="AE905" i="82"/>
  <c r="AE904" i="82"/>
  <c r="AE903" i="82"/>
  <c r="AE902" i="82"/>
  <c r="AE901" i="82"/>
  <c r="AE900" i="82"/>
  <c r="AE899" i="82"/>
  <c r="AE898" i="82"/>
  <c r="AE897" i="82"/>
  <c r="AE896" i="82"/>
  <c r="AE895" i="82"/>
  <c r="AE894" i="82"/>
  <c r="AE893" i="82"/>
  <c r="AE892" i="82"/>
  <c r="AE891" i="82"/>
  <c r="AE890" i="82"/>
  <c r="AE889" i="82"/>
  <c r="AE888" i="82"/>
  <c r="AE887" i="82"/>
  <c r="AE886" i="82"/>
  <c r="AE885" i="82"/>
  <c r="AE884" i="82"/>
  <c r="AE883" i="82"/>
  <c r="AE882" i="82"/>
  <c r="AE881" i="82"/>
  <c r="AE880" i="82"/>
  <c r="AE879" i="82"/>
  <c r="AE878" i="82"/>
  <c r="AE877" i="82"/>
  <c r="AE876" i="82"/>
  <c r="AE875" i="82"/>
  <c r="AE874" i="82"/>
  <c r="AE873" i="82"/>
  <c r="AE872" i="82"/>
  <c r="AE871" i="82"/>
  <c r="AE870" i="82"/>
  <c r="AE869" i="82"/>
  <c r="AG868" i="82"/>
  <c r="AF868" i="82"/>
  <c r="AG867" i="82"/>
  <c r="AF867" i="82"/>
  <c r="AG866" i="82"/>
  <c r="AF866" i="82"/>
  <c r="AG865" i="82"/>
  <c r="AF865" i="82"/>
  <c r="AG864" i="82"/>
  <c r="AF864" i="82"/>
  <c r="AG863" i="82"/>
  <c r="AF863" i="82"/>
  <c r="AG862" i="82"/>
  <c r="AF862" i="82"/>
  <c r="AG861" i="82"/>
  <c r="AF861" i="82"/>
  <c r="AG860" i="82"/>
  <c r="AF860" i="82"/>
  <c r="AG859" i="82"/>
  <c r="AF859" i="82"/>
  <c r="AG858" i="82"/>
  <c r="AF858" i="82"/>
  <c r="AG857" i="82"/>
  <c r="AF857" i="82"/>
  <c r="AG856" i="82"/>
  <c r="AF856" i="82"/>
  <c r="AG855" i="82"/>
  <c r="AF855" i="82"/>
  <c r="AG854" i="82"/>
  <c r="AF854" i="82"/>
  <c r="AG853" i="82"/>
  <c r="AF853" i="82"/>
  <c r="AG852" i="82"/>
  <c r="AF852" i="82"/>
  <c r="AG851" i="82"/>
  <c r="AF851" i="82"/>
  <c r="AG850" i="82"/>
  <c r="AF850" i="82"/>
  <c r="AG849" i="82"/>
  <c r="AF849" i="82"/>
  <c r="AG848" i="82"/>
  <c r="AF848" i="82"/>
  <c r="AG847" i="82"/>
  <c r="AF847" i="82"/>
  <c r="AG846" i="82"/>
  <c r="AF846" i="82"/>
  <c r="AG845" i="82"/>
  <c r="AF845" i="82"/>
  <c r="AG844" i="82"/>
  <c r="AF844" i="82"/>
  <c r="AG843" i="82"/>
  <c r="AF843" i="82"/>
  <c r="AG842" i="82"/>
  <c r="AF842" i="82"/>
  <c r="AG841" i="82"/>
  <c r="AF841" i="82"/>
  <c r="AE840" i="82"/>
  <c r="AE839" i="82"/>
  <c r="AE838" i="82"/>
  <c r="AE837" i="82"/>
  <c r="AE836" i="82"/>
  <c r="AE835" i="82"/>
  <c r="AE834" i="82"/>
  <c r="AE833" i="82"/>
  <c r="AE832" i="82"/>
  <c r="AE831" i="82"/>
  <c r="AE830" i="82"/>
  <c r="AE829" i="82"/>
  <c r="AE828" i="82"/>
  <c r="AE827" i="82"/>
  <c r="AE826" i="82"/>
  <c r="AE825" i="82"/>
  <c r="AE824" i="82"/>
  <c r="AE823" i="82"/>
  <c r="AE822" i="82"/>
  <c r="AE821" i="82"/>
  <c r="AE820" i="82"/>
  <c r="AE819" i="82"/>
  <c r="AE818" i="82"/>
  <c r="AE817" i="82"/>
  <c r="AE816" i="82"/>
  <c r="AE815" i="82"/>
  <c r="AE814" i="82"/>
  <c r="AE813" i="82"/>
  <c r="AE812" i="82"/>
  <c r="AE811" i="82"/>
  <c r="AE810" i="82"/>
  <c r="AE809" i="82"/>
  <c r="AE808" i="82"/>
  <c r="AG807" i="82"/>
  <c r="AF807" i="82"/>
  <c r="AG806" i="82"/>
  <c r="AF806" i="82"/>
  <c r="AG805" i="82"/>
  <c r="AF805" i="82"/>
  <c r="AG804" i="82"/>
  <c r="AF804" i="82"/>
  <c r="AG803" i="82"/>
  <c r="AF803" i="82"/>
  <c r="AG802" i="82"/>
  <c r="AF802" i="82"/>
  <c r="AG801" i="82"/>
  <c r="AF801" i="82"/>
  <c r="AG800" i="82"/>
  <c r="AF800" i="82"/>
  <c r="AG799" i="82"/>
  <c r="AF799" i="82"/>
  <c r="AG798" i="82"/>
  <c r="AF798" i="82"/>
  <c r="AG797" i="82"/>
  <c r="AF797" i="82"/>
  <c r="AG796" i="82"/>
  <c r="AF796" i="82"/>
  <c r="AG795" i="82"/>
  <c r="AF795" i="82"/>
  <c r="AG794" i="82"/>
  <c r="AF794" i="82"/>
  <c r="AG793" i="82"/>
  <c r="AF793" i="82"/>
  <c r="AG792" i="82"/>
  <c r="AF792" i="82"/>
  <c r="AG791" i="82"/>
  <c r="AF791" i="82"/>
  <c r="AG790" i="82"/>
  <c r="AF790" i="82"/>
  <c r="AG789" i="82"/>
  <c r="AF789" i="82"/>
  <c r="AG788" i="82"/>
  <c r="AF788" i="82"/>
  <c r="AG787" i="82"/>
  <c r="AF787" i="82"/>
  <c r="AG786" i="82"/>
  <c r="AF786" i="82"/>
  <c r="AG785" i="82"/>
  <c r="AF785" i="82"/>
  <c r="AG784" i="82"/>
  <c r="AF784" i="82"/>
  <c r="AG783" i="82"/>
  <c r="AF783" i="82"/>
  <c r="AG782" i="82"/>
  <c r="AF782" i="82"/>
  <c r="AG781" i="82"/>
  <c r="AF781" i="82"/>
  <c r="AG780" i="82"/>
  <c r="AF780" i="82"/>
  <c r="AG779" i="82"/>
  <c r="AF779" i="82"/>
  <c r="AG778" i="82"/>
  <c r="AF778" i="82"/>
  <c r="AG777" i="82"/>
  <c r="AF777" i="82"/>
  <c r="AG776" i="82"/>
  <c r="AF776" i="82"/>
  <c r="AG775" i="82"/>
  <c r="AF775" i="82"/>
  <c r="AG774" i="82"/>
  <c r="AF774" i="82"/>
  <c r="AG773" i="82"/>
  <c r="AF773" i="82"/>
  <c r="AG772" i="82"/>
  <c r="AF772" i="82"/>
  <c r="AG771" i="82"/>
  <c r="AF771" i="82"/>
  <c r="AG770" i="82"/>
  <c r="AF770" i="82"/>
  <c r="AG769" i="82"/>
  <c r="AF769" i="82"/>
  <c r="AG768" i="82"/>
  <c r="AF768" i="82"/>
  <c r="AG767" i="82"/>
  <c r="AF767" i="82"/>
  <c r="AG766" i="82"/>
  <c r="AF766" i="82"/>
  <c r="AG765" i="82"/>
  <c r="AF765" i="82"/>
  <c r="AG764" i="82"/>
  <c r="AF764" i="82"/>
  <c r="AG763" i="82"/>
  <c r="AF763" i="82"/>
  <c r="AG762" i="82"/>
  <c r="AF762" i="82"/>
  <c r="AG761" i="82"/>
  <c r="AF761" i="82"/>
  <c r="AG760" i="82"/>
  <c r="AF760" i="82"/>
  <c r="AG759" i="82"/>
  <c r="AF759" i="82"/>
  <c r="AG758" i="82"/>
  <c r="AF758" i="82"/>
  <c r="AG757" i="82"/>
  <c r="AF757" i="82"/>
  <c r="AG756" i="82"/>
  <c r="AF756" i="82"/>
  <c r="AG755" i="82"/>
  <c r="AF755" i="82"/>
  <c r="AG754" i="82"/>
  <c r="AF754" i="82"/>
  <c r="AG753" i="82"/>
  <c r="AF753" i="82"/>
  <c r="AG752" i="82"/>
  <c r="AF752" i="82"/>
  <c r="AG751" i="82"/>
  <c r="AF751" i="82"/>
  <c r="AG750" i="82"/>
  <c r="AF750" i="82"/>
  <c r="AG749" i="82"/>
  <c r="AF749" i="82"/>
  <c r="AG748" i="82"/>
  <c r="AF748" i="82"/>
  <c r="AG747" i="82"/>
  <c r="AF747" i="82"/>
  <c r="AG746" i="82"/>
  <c r="AF746" i="82"/>
  <c r="AG745" i="82"/>
  <c r="AF745" i="82"/>
  <c r="AG744" i="82"/>
  <c r="AF744" i="82"/>
  <c r="AG743" i="82"/>
  <c r="AF743" i="82"/>
  <c r="AG742" i="82"/>
  <c r="AF742" i="82"/>
  <c r="AG741" i="82"/>
  <c r="AF741" i="82"/>
  <c r="AG740" i="82"/>
  <c r="AF740" i="82"/>
  <c r="AG739" i="82"/>
  <c r="AF739" i="82"/>
  <c r="AG738" i="82"/>
  <c r="AF738" i="82"/>
  <c r="AG737" i="82"/>
  <c r="AF737" i="82"/>
  <c r="AG736" i="82"/>
  <c r="AF736" i="82"/>
  <c r="AG735" i="82"/>
  <c r="AF735" i="82"/>
  <c r="AG734" i="82"/>
  <c r="AF734" i="82"/>
  <c r="AG733" i="82"/>
  <c r="AF733" i="82"/>
  <c r="AG732" i="82"/>
  <c r="AF732" i="82"/>
  <c r="AG731" i="82"/>
  <c r="AF731" i="82"/>
  <c r="AG730" i="82"/>
  <c r="AF730" i="82"/>
  <c r="AG729" i="82"/>
  <c r="AF729" i="82"/>
  <c r="AG728" i="82"/>
  <c r="AF728" i="82"/>
  <c r="AG727" i="82"/>
  <c r="AF727" i="82"/>
  <c r="AG726" i="82"/>
  <c r="AF726" i="82"/>
  <c r="AG725" i="82"/>
  <c r="AF725" i="82"/>
  <c r="AG724" i="82"/>
  <c r="AF724" i="82"/>
  <c r="AG723" i="82"/>
  <c r="AF723" i="82"/>
  <c r="AG722" i="82"/>
  <c r="AF722" i="82"/>
  <c r="AG721" i="82"/>
  <c r="AF721" i="82"/>
  <c r="AG720" i="82"/>
  <c r="AF720" i="82"/>
  <c r="AG719" i="82"/>
  <c r="AF719" i="82"/>
  <c r="AG718" i="82"/>
  <c r="AF718" i="82"/>
  <c r="AG717" i="82"/>
  <c r="AF717" i="82"/>
  <c r="AG716" i="82"/>
  <c r="AF716" i="82"/>
  <c r="AG715" i="82"/>
  <c r="AF715" i="82"/>
  <c r="AG714" i="82"/>
  <c r="AF714" i="82"/>
  <c r="AG713" i="82"/>
  <c r="AF713" i="82"/>
  <c r="AG712" i="82"/>
  <c r="AF712" i="82"/>
  <c r="AG711" i="82"/>
  <c r="AF711" i="82"/>
  <c r="AG710" i="82"/>
  <c r="AF710" i="82"/>
  <c r="AG709" i="82"/>
  <c r="AF709" i="82"/>
  <c r="AG708" i="82"/>
  <c r="AF708" i="82"/>
  <c r="AG707" i="82"/>
  <c r="AF707" i="82"/>
  <c r="AG706" i="82"/>
  <c r="AF706" i="82"/>
  <c r="AG705" i="82"/>
  <c r="AF705" i="82"/>
  <c r="AG704" i="82"/>
  <c r="AF704" i="82"/>
  <c r="AG703" i="82"/>
  <c r="AF703" i="82"/>
  <c r="AG702" i="82"/>
  <c r="AF702" i="82"/>
  <c r="AG701" i="82"/>
  <c r="AF701" i="82"/>
  <c r="AG700" i="82"/>
  <c r="AF700" i="82"/>
  <c r="AG699" i="82"/>
  <c r="AF699" i="82"/>
  <c r="AG698" i="82"/>
  <c r="AF698" i="82"/>
  <c r="AG697" i="82"/>
  <c r="AF697" i="82"/>
  <c r="AG696" i="82"/>
  <c r="AF696" i="82"/>
  <c r="AG695" i="82"/>
  <c r="AF695" i="82"/>
  <c r="AG694" i="82"/>
  <c r="AF694" i="82"/>
  <c r="AG693" i="82"/>
  <c r="AF693" i="82"/>
  <c r="AG692" i="82"/>
  <c r="AF692" i="82"/>
  <c r="AG691" i="82"/>
  <c r="AF691" i="82"/>
  <c r="AG690" i="82"/>
  <c r="AF690" i="82"/>
  <c r="AG689" i="82"/>
  <c r="AF689" i="82"/>
  <c r="AG688" i="82"/>
  <c r="AF688" i="82"/>
  <c r="AG687" i="82"/>
  <c r="AF687" i="82"/>
  <c r="AG686" i="82"/>
  <c r="AF686" i="82"/>
  <c r="AG685" i="82"/>
  <c r="AF685" i="82"/>
  <c r="AG684" i="82"/>
  <c r="AF684" i="82"/>
  <c r="AG683" i="82"/>
  <c r="AF683" i="82"/>
  <c r="AG682" i="82"/>
  <c r="AF682" i="82"/>
  <c r="AG681" i="82"/>
  <c r="AF681" i="82"/>
  <c r="AG680" i="82"/>
  <c r="AF680" i="82"/>
  <c r="AG679" i="82"/>
  <c r="AF679" i="82"/>
  <c r="AG678" i="82"/>
  <c r="AF678" i="82"/>
  <c r="AG677" i="82"/>
  <c r="AF677" i="82"/>
  <c r="AG676" i="82"/>
  <c r="AF676" i="82"/>
  <c r="AG675" i="82"/>
  <c r="AF675" i="82"/>
  <c r="AG674" i="82"/>
  <c r="AF674" i="82"/>
  <c r="AG673" i="82"/>
  <c r="AF673" i="82"/>
  <c r="AG672" i="82"/>
  <c r="AF672" i="82"/>
  <c r="AG671" i="82"/>
  <c r="AF671" i="82"/>
  <c r="AG670" i="82"/>
  <c r="AF670" i="82"/>
  <c r="AG669" i="82"/>
  <c r="AF669" i="82"/>
  <c r="AG668" i="82"/>
  <c r="AF668" i="82"/>
  <c r="AG667" i="82"/>
  <c r="AF667" i="82"/>
  <c r="AG666" i="82"/>
  <c r="AF666" i="82"/>
  <c r="AG665" i="82"/>
  <c r="AF665" i="82"/>
  <c r="AG664" i="82"/>
  <c r="AF664" i="82"/>
  <c r="AG663" i="82"/>
  <c r="AF663" i="82"/>
  <c r="AG662" i="82"/>
  <c r="AF662" i="82"/>
  <c r="AG661" i="82"/>
  <c r="AF661" i="82"/>
  <c r="AG660" i="82"/>
  <c r="AF660" i="82"/>
  <c r="AG659" i="82"/>
  <c r="AF659" i="82"/>
  <c r="AG658" i="82"/>
  <c r="AF658" i="82"/>
  <c r="AG657" i="82"/>
  <c r="AF657" i="82"/>
  <c r="AG656" i="82"/>
  <c r="AF656" i="82"/>
  <c r="AG655" i="82"/>
  <c r="AF655" i="82"/>
  <c r="AG654" i="82"/>
  <c r="AF654" i="82"/>
  <c r="AG653" i="82"/>
  <c r="AF653" i="82"/>
  <c r="AG652" i="82"/>
  <c r="AF652" i="82"/>
  <c r="AG651" i="82"/>
  <c r="AF651" i="82"/>
  <c r="AG650" i="82"/>
  <c r="AF650" i="82"/>
  <c r="AG649" i="82"/>
  <c r="AF649" i="82"/>
  <c r="AG648" i="82"/>
  <c r="AF648" i="82"/>
  <c r="AG647" i="82"/>
  <c r="AF647" i="82"/>
  <c r="AG646" i="82"/>
  <c r="AF646" i="82"/>
  <c r="AG645" i="82"/>
  <c r="AF645" i="82"/>
  <c r="AG644" i="82"/>
  <c r="AF644" i="82"/>
  <c r="AG643" i="82"/>
  <c r="AF643" i="82"/>
  <c r="AG642" i="82"/>
  <c r="AF642" i="82"/>
  <c r="AG641" i="82"/>
  <c r="AF641" i="82"/>
  <c r="AG640" i="82"/>
  <c r="AF640" i="82"/>
  <c r="AG639" i="82"/>
  <c r="AF639" i="82"/>
  <c r="AG638" i="82"/>
  <c r="AF638" i="82"/>
  <c r="AG637" i="82"/>
  <c r="AF637" i="82"/>
  <c r="AG636" i="82"/>
  <c r="AF636" i="82"/>
  <c r="AG635" i="82"/>
  <c r="AF635" i="82"/>
  <c r="AG634" i="82"/>
  <c r="AF634" i="82"/>
  <c r="AG633" i="82"/>
  <c r="AF633" i="82"/>
  <c r="AG632" i="82"/>
  <c r="AF632" i="82"/>
  <c r="AG631" i="82"/>
  <c r="AF631" i="82"/>
  <c r="AG630" i="82"/>
  <c r="AF630" i="82"/>
  <c r="AG629" i="82"/>
  <c r="AF629" i="82"/>
  <c r="AG628" i="82"/>
  <c r="AF628" i="82"/>
  <c r="AG627" i="82"/>
  <c r="AF627" i="82"/>
  <c r="AG626" i="82"/>
  <c r="AF626" i="82"/>
  <c r="AG625" i="82"/>
  <c r="AF625" i="82"/>
  <c r="AG624" i="82"/>
  <c r="AF624" i="82"/>
  <c r="AG623" i="82"/>
  <c r="AF623" i="82"/>
  <c r="AG622" i="82"/>
  <c r="AF622" i="82"/>
  <c r="AG621" i="82"/>
  <c r="AF621" i="82"/>
  <c r="AG620" i="82"/>
  <c r="AF620" i="82"/>
  <c r="AG619" i="82"/>
  <c r="AF619" i="82"/>
  <c r="AG618" i="82"/>
  <c r="AF618" i="82"/>
  <c r="AG617" i="82"/>
  <c r="AF617" i="82"/>
  <c r="AG616" i="82"/>
  <c r="AF616" i="82"/>
  <c r="AG615" i="82"/>
  <c r="AF615" i="82"/>
  <c r="AG614" i="82"/>
  <c r="AF614" i="82"/>
  <c r="AG613" i="82"/>
  <c r="AF613" i="82"/>
  <c r="AG612" i="82"/>
  <c r="AF612" i="82"/>
  <c r="AG611" i="82"/>
  <c r="AF611" i="82"/>
  <c r="AG610" i="82"/>
  <c r="AF610" i="82"/>
  <c r="AG609" i="82"/>
  <c r="AF609" i="82"/>
  <c r="AG608" i="82"/>
  <c r="AF608" i="82"/>
  <c r="AG607" i="82"/>
  <c r="AF607" i="82"/>
  <c r="AG606" i="82"/>
  <c r="AF606" i="82"/>
  <c r="AG605" i="82"/>
  <c r="AF605" i="82"/>
  <c r="AG604" i="82"/>
  <c r="AF604" i="82"/>
  <c r="AG603" i="82"/>
  <c r="AF603" i="82"/>
  <c r="AG602" i="82"/>
  <c r="AF602" i="82"/>
  <c r="AG601" i="82"/>
  <c r="AF601" i="82"/>
  <c r="AG600" i="82"/>
  <c r="AF600" i="82"/>
  <c r="AG599" i="82"/>
  <c r="AF599" i="82"/>
  <c r="AG598" i="82"/>
  <c r="AF598" i="82"/>
  <c r="AG597" i="82"/>
  <c r="AF597" i="82"/>
  <c r="AG596" i="82"/>
  <c r="AF596" i="82"/>
  <c r="AG595" i="82"/>
  <c r="AF595" i="82"/>
  <c r="AG594" i="82"/>
  <c r="AF594" i="82"/>
  <c r="AG593" i="82"/>
  <c r="AF593" i="82"/>
  <c r="AG592" i="82"/>
  <c r="AF592" i="82"/>
  <c r="AG591" i="82"/>
  <c r="AG590" i="82"/>
  <c r="AG589" i="82"/>
  <c r="AG588" i="82"/>
  <c r="AG587" i="82"/>
  <c r="AG586" i="82"/>
  <c r="AG585" i="82"/>
  <c r="AG584" i="82"/>
  <c r="AG583" i="82"/>
  <c r="AG582" i="82"/>
  <c r="AG581" i="82"/>
  <c r="AG580" i="82"/>
  <c r="AG579" i="82"/>
  <c r="AG578" i="82"/>
  <c r="AG577" i="82"/>
  <c r="AG576" i="82"/>
  <c r="AG575" i="82"/>
  <c r="AG574" i="82"/>
  <c r="AG573" i="82"/>
  <c r="AG572" i="82"/>
  <c r="AG571" i="82"/>
  <c r="AG570" i="82"/>
  <c r="AG569" i="82"/>
  <c r="AG568" i="82"/>
  <c r="AG567" i="82"/>
  <c r="AG566" i="82"/>
  <c r="AG565" i="82"/>
  <c r="AG564" i="82"/>
  <c r="AG563" i="82"/>
  <c r="AG562" i="82"/>
  <c r="AG561" i="82"/>
  <c r="AG560" i="82"/>
  <c r="AG559" i="82"/>
  <c r="AG558" i="82"/>
  <c r="AG557" i="82"/>
  <c r="AG556" i="82"/>
  <c r="AD555" i="82"/>
  <c r="AC555" i="82"/>
  <c r="AB555" i="82"/>
  <c r="AD554" i="82"/>
  <c r="AC554" i="82"/>
  <c r="AB554" i="82"/>
  <c r="AD553" i="82"/>
  <c r="AC553" i="82"/>
  <c r="AB553" i="82"/>
  <c r="AD552" i="82"/>
  <c r="AC552" i="82"/>
  <c r="AB552" i="82"/>
  <c r="AD551" i="82"/>
  <c r="AC551" i="82"/>
  <c r="AB551" i="82"/>
  <c r="AD550" i="82"/>
  <c r="AC550" i="82"/>
  <c r="AD549" i="82"/>
  <c r="AC549" i="82"/>
  <c r="AB549" i="82"/>
  <c r="AD548" i="82"/>
  <c r="AC548" i="82"/>
  <c r="AB548" i="82"/>
  <c r="AD547" i="82"/>
  <c r="AC547" i="82"/>
  <c r="AB547" i="82"/>
  <c r="AC546" i="82"/>
  <c r="AB546" i="82"/>
  <c r="AD545" i="82"/>
  <c r="AC545" i="82"/>
  <c r="AB545" i="82"/>
  <c r="AD544" i="82"/>
  <c r="AC544" i="82"/>
  <c r="AB544" i="82"/>
  <c r="AD543" i="82"/>
  <c r="AC543" i="82"/>
  <c r="AB543" i="82"/>
  <c r="AD542" i="82"/>
  <c r="AC542" i="82"/>
  <c r="AB542" i="82"/>
  <c r="AD541" i="82"/>
  <c r="AB541" i="82"/>
  <c r="AD540" i="82"/>
  <c r="AC540" i="82"/>
  <c r="AD539" i="82"/>
  <c r="AB539" i="82"/>
  <c r="AD538" i="82"/>
  <c r="AC538" i="82"/>
  <c r="AD537" i="82"/>
  <c r="AB537" i="82"/>
  <c r="AD536" i="82"/>
  <c r="AC536" i="82"/>
  <c r="AB536" i="82"/>
  <c r="AD535" i="82"/>
  <c r="AC535" i="82"/>
  <c r="AB535" i="82"/>
  <c r="AD534" i="82"/>
  <c r="AC534" i="82"/>
  <c r="AB534" i="82"/>
  <c r="AD533" i="82"/>
  <c r="AC533" i="82"/>
  <c r="AD532" i="82"/>
  <c r="AC532" i="82"/>
  <c r="AB532" i="82"/>
  <c r="AD531" i="82"/>
  <c r="AC531" i="82"/>
  <c r="AB531" i="82"/>
  <c r="AC530" i="82"/>
  <c r="AB530" i="82"/>
  <c r="AD529" i="82"/>
  <c r="AC529" i="82"/>
  <c r="AB529" i="82"/>
  <c r="AD528" i="82"/>
  <c r="AC528" i="82"/>
  <c r="AB528" i="82"/>
  <c r="AD527" i="82"/>
  <c r="AC527" i="82"/>
  <c r="AB527" i="82"/>
  <c r="AD526" i="82"/>
  <c r="AC526" i="82"/>
  <c r="AB526" i="82"/>
  <c r="AD525" i="82"/>
  <c r="AC525" i="82"/>
  <c r="AB525" i="82"/>
  <c r="AD524" i="82"/>
  <c r="AC524" i="82"/>
  <c r="AB524" i="82"/>
  <c r="AD523" i="82"/>
  <c r="AC523" i="82"/>
  <c r="AB523" i="82"/>
  <c r="AD522" i="82"/>
  <c r="AC522" i="82"/>
  <c r="AB522" i="82"/>
  <c r="AD521" i="82"/>
  <c r="AC521" i="82"/>
  <c r="AB521" i="82"/>
  <c r="AD520" i="82"/>
  <c r="AC520" i="82"/>
  <c r="AB520" i="82"/>
  <c r="AD519" i="82"/>
  <c r="AC519" i="82"/>
  <c r="AB519" i="82"/>
  <c r="AC518" i="82"/>
  <c r="AB518" i="82"/>
  <c r="AD517" i="82"/>
  <c r="AC517" i="82"/>
  <c r="AB517" i="82"/>
  <c r="AD516" i="82"/>
  <c r="AC516" i="82"/>
  <c r="AB516" i="82"/>
  <c r="AD515" i="82"/>
  <c r="AC515" i="82"/>
  <c r="AB515" i="82"/>
  <c r="AD514" i="82"/>
  <c r="AC514" i="82"/>
  <c r="AB514" i="82"/>
  <c r="AD513" i="82"/>
  <c r="AC513" i="82"/>
  <c r="AB513" i="82"/>
  <c r="AD512" i="82"/>
  <c r="AC512" i="82"/>
  <c r="AB512" i="82"/>
  <c r="AD511" i="82"/>
  <c r="AC511" i="82"/>
  <c r="AB511" i="82"/>
  <c r="AC510" i="82"/>
  <c r="AB510" i="82"/>
  <c r="AD509" i="82"/>
  <c r="AC509" i="82"/>
  <c r="AB509" i="82"/>
  <c r="AD508" i="82"/>
  <c r="AC508" i="82"/>
  <c r="AB508" i="82"/>
  <c r="AD507" i="82"/>
  <c r="AC507" i="82"/>
  <c r="AB507" i="82"/>
  <c r="AD506" i="82"/>
  <c r="AC506" i="82"/>
  <c r="AB506" i="82"/>
  <c r="AD505" i="82"/>
  <c r="AC505" i="82"/>
  <c r="AB505" i="82"/>
  <c r="AD504" i="82"/>
  <c r="AC504" i="82"/>
  <c r="AB504" i="82"/>
  <c r="AG453" i="82"/>
  <c r="AG451" i="82"/>
  <c r="AG449" i="82"/>
  <c r="AG447" i="82"/>
  <c r="AG445" i="82"/>
  <c r="AG443" i="82"/>
  <c r="AG441" i="82"/>
  <c r="AG439" i="82"/>
  <c r="AG437" i="82"/>
  <c r="AG435" i="82"/>
  <c r="AG432" i="82"/>
  <c r="AG429" i="82"/>
  <c r="AG426" i="82"/>
  <c r="AE426" i="82"/>
  <c r="AG425" i="82"/>
  <c r="AE425" i="82"/>
  <c r="AG424" i="82"/>
  <c r="AE424" i="82"/>
  <c r="AG423" i="82"/>
  <c r="AE423" i="82"/>
  <c r="AG422" i="82"/>
  <c r="AE422" i="82"/>
  <c r="AG421" i="82"/>
  <c r="AE421" i="82"/>
  <c r="AG420" i="82"/>
  <c r="AE420" i="82"/>
  <c r="AG419" i="82"/>
  <c r="AE419" i="82"/>
  <c r="AG418" i="82"/>
  <c r="AE418" i="82"/>
  <c r="AG417" i="82"/>
  <c r="AE417" i="82"/>
  <c r="AG416" i="82"/>
  <c r="AE416" i="82"/>
  <c r="AG415" i="82"/>
  <c r="AE415" i="82"/>
  <c r="AG414" i="82"/>
  <c r="AG412" i="82"/>
  <c r="AG410" i="82"/>
  <c r="AG408" i="82"/>
  <c r="AG406" i="82"/>
  <c r="AG404" i="82"/>
  <c r="AG402" i="82"/>
  <c r="AG400" i="82"/>
  <c r="AG398" i="82"/>
  <c r="AG396" i="82"/>
  <c r="AG393" i="82"/>
  <c r="AG390" i="82"/>
  <c r="AG387" i="82"/>
  <c r="AG386" i="82"/>
  <c r="AG385" i="82"/>
  <c r="AG384" i="82"/>
  <c r="AG383" i="82"/>
  <c r="AG382" i="82"/>
  <c r="AG381" i="82"/>
  <c r="AG380" i="82"/>
  <c r="AG379" i="82"/>
  <c r="AG378" i="82"/>
  <c r="AG377" i="82"/>
  <c r="AG376" i="82"/>
  <c r="AG375" i="82"/>
  <c r="AE375" i="82"/>
  <c r="AG374" i="82"/>
  <c r="AE374" i="82"/>
  <c r="AG373" i="82"/>
  <c r="AE373" i="82"/>
  <c r="AG372" i="82"/>
  <c r="AE372" i="82"/>
  <c r="AG371" i="82"/>
  <c r="AE371" i="82"/>
  <c r="AG370" i="82"/>
  <c r="AE370" i="82"/>
  <c r="AG369" i="82"/>
  <c r="AE369" i="82"/>
  <c r="AG368" i="82"/>
  <c r="AE368" i="82"/>
  <c r="AG367" i="82"/>
  <c r="AE367" i="82"/>
  <c r="AG366" i="82"/>
  <c r="AE366" i="82"/>
  <c r="AG365" i="82"/>
  <c r="AE365" i="82"/>
  <c r="AG364" i="82"/>
  <c r="AE364" i="82"/>
  <c r="AG363" i="82"/>
  <c r="AG362" i="82"/>
  <c r="AG361" i="82"/>
  <c r="AG360" i="82"/>
  <c r="AG359" i="82"/>
  <c r="AG358" i="82"/>
  <c r="AG357" i="82"/>
  <c r="AG356" i="82"/>
  <c r="AG355" i="82"/>
  <c r="AG354" i="82"/>
  <c r="AG353" i="82"/>
  <c r="AG352" i="82"/>
  <c r="AG297" i="82"/>
  <c r="AF297" i="82"/>
  <c r="AG296" i="82"/>
  <c r="AF296" i="82"/>
  <c r="AG295" i="82"/>
  <c r="AF295" i="82"/>
  <c r="AG294" i="82"/>
  <c r="AF294" i="82"/>
  <c r="AG293" i="82"/>
  <c r="AF293" i="82"/>
  <c r="AG292" i="82"/>
  <c r="AF292" i="82"/>
  <c r="AG291" i="82"/>
  <c r="AF291" i="82"/>
  <c r="AG290" i="82"/>
  <c r="AF290" i="82"/>
  <c r="AG289" i="82"/>
  <c r="AF289" i="82"/>
  <c r="AG288" i="82"/>
  <c r="AF288" i="82"/>
  <c r="AG287" i="82"/>
  <c r="AF287" i="82"/>
  <c r="AG286" i="82"/>
  <c r="AF286" i="82"/>
  <c r="AG285" i="82"/>
  <c r="AF285" i="82"/>
  <c r="AG284" i="82"/>
  <c r="AF284" i="82"/>
  <c r="AG283" i="82"/>
  <c r="AF283" i="82"/>
  <c r="AG282" i="82"/>
  <c r="AF282" i="82"/>
  <c r="AG281" i="82"/>
  <c r="AF281" i="82"/>
  <c r="AG280" i="82"/>
  <c r="AF280" i="82"/>
  <c r="AG279" i="82"/>
  <c r="AF279" i="82"/>
  <c r="AG278" i="82"/>
  <c r="AF278" i="82"/>
  <c r="AG277" i="82"/>
  <c r="AF277" i="82"/>
  <c r="AG276" i="82"/>
  <c r="AF276" i="82"/>
  <c r="AG275" i="82"/>
  <c r="AF275" i="82"/>
  <c r="AG274" i="82"/>
  <c r="AF274" i="82"/>
  <c r="AG273" i="82"/>
  <c r="AF273" i="82"/>
  <c r="AG272" i="82"/>
  <c r="AF272" i="82"/>
  <c r="AG271" i="82"/>
  <c r="AF271" i="82"/>
  <c r="AG270" i="82"/>
  <c r="AF270" i="82"/>
  <c r="AG269" i="82"/>
  <c r="AF269" i="82"/>
  <c r="AG268" i="82"/>
  <c r="AF268" i="82"/>
  <c r="AG267" i="82"/>
  <c r="AF267" i="82"/>
  <c r="AG266" i="82"/>
  <c r="AF266" i="82"/>
  <c r="AG265" i="82"/>
  <c r="AF265" i="82"/>
  <c r="AG264" i="82"/>
  <c r="AF264" i="82"/>
  <c r="AG263" i="82"/>
  <c r="AF263" i="82"/>
  <c r="AG262" i="82"/>
  <c r="AF262" i="82"/>
  <c r="AG261" i="82"/>
  <c r="AF261" i="82"/>
  <c r="AG260" i="82"/>
  <c r="AF260" i="82"/>
  <c r="AG259" i="82"/>
  <c r="AF259" i="82"/>
  <c r="AG258" i="82"/>
  <c r="AF258" i="82"/>
  <c r="AG257" i="82"/>
  <c r="AF257" i="82"/>
  <c r="AG256" i="82"/>
  <c r="AF256" i="82"/>
  <c r="AG255" i="82"/>
  <c r="AF255" i="82"/>
  <c r="AG254" i="82"/>
  <c r="AF254" i="82"/>
  <c r="AG253" i="82"/>
  <c r="AF253" i="82"/>
  <c r="AB253" i="82"/>
  <c r="AG252" i="82"/>
  <c r="AF252" i="82"/>
  <c r="AG251" i="82"/>
  <c r="AF251" i="82"/>
  <c r="AG250" i="82"/>
  <c r="AF250" i="82"/>
  <c r="AG249" i="82"/>
  <c r="AF249" i="82"/>
  <c r="AG248" i="82"/>
  <c r="AF248" i="82"/>
  <c r="AG247" i="82"/>
  <c r="AF247" i="82"/>
  <c r="AG246" i="82"/>
  <c r="AF246" i="82"/>
  <c r="AG245" i="82"/>
  <c r="AF245" i="82"/>
  <c r="AG244" i="82"/>
  <c r="AF244" i="82"/>
  <c r="AG243" i="82"/>
  <c r="AF243" i="82"/>
  <c r="AG242" i="82"/>
  <c r="AF242" i="82"/>
  <c r="AG241" i="82"/>
  <c r="AF241" i="82"/>
  <c r="AG240" i="82"/>
  <c r="AF240" i="82"/>
  <c r="AG239" i="82"/>
  <c r="AF239" i="82"/>
  <c r="AG238" i="82"/>
  <c r="AF238" i="82"/>
  <c r="AG237" i="82"/>
  <c r="AG235" i="82"/>
  <c r="AG233" i="82"/>
  <c r="AG232" i="82"/>
  <c r="AG231" i="82"/>
  <c r="AG229" i="82"/>
  <c r="AG227" i="82"/>
  <c r="AG225" i="82"/>
  <c r="AG223" i="82"/>
  <c r="AG221" i="82"/>
  <c r="AG219" i="82"/>
  <c r="AD218" i="82"/>
  <c r="AG217" i="82"/>
  <c r="AG215" i="82"/>
  <c r="AE215" i="82"/>
  <c r="AG214" i="82"/>
  <c r="AE214" i="82"/>
  <c r="AG213" i="82"/>
  <c r="AE213" i="82"/>
  <c r="AG212" i="82"/>
  <c r="AE212" i="82"/>
  <c r="AG211" i="82"/>
  <c r="AE211" i="82"/>
  <c r="AG210" i="82"/>
  <c r="AE210" i="82"/>
  <c r="AG209" i="82"/>
  <c r="AE209" i="82"/>
  <c r="AG208" i="82"/>
  <c r="AE208" i="82"/>
  <c r="AG207" i="82"/>
  <c r="AE207" i="82"/>
  <c r="AG206" i="82"/>
  <c r="AE206" i="82"/>
  <c r="AG205" i="82"/>
  <c r="AE205" i="82"/>
  <c r="AG204" i="82"/>
  <c r="AE204" i="82"/>
  <c r="AG203" i="82"/>
  <c r="AG201" i="82"/>
  <c r="AG199" i="82"/>
  <c r="AG198" i="82"/>
  <c r="AG197" i="82"/>
  <c r="AD196" i="82"/>
  <c r="AG195" i="82"/>
  <c r="AG193" i="82"/>
  <c r="AG191" i="82"/>
  <c r="AG189" i="82"/>
  <c r="AG187" i="82"/>
  <c r="AG185" i="82"/>
  <c r="AG183" i="82"/>
  <c r="AG181" i="82"/>
  <c r="AF181" i="82"/>
  <c r="AG180" i="82"/>
  <c r="AF180" i="82"/>
  <c r="AG179" i="82"/>
  <c r="AF179" i="82"/>
  <c r="AG178" i="82"/>
  <c r="AF178" i="82"/>
  <c r="AG177" i="82"/>
  <c r="AF177" i="82"/>
  <c r="AG176" i="82"/>
  <c r="AF176" i="82"/>
  <c r="AG175" i="82"/>
  <c r="AF175" i="82"/>
  <c r="AG174" i="82"/>
  <c r="AF174" i="82"/>
  <c r="AG173" i="82"/>
  <c r="AF173" i="82"/>
  <c r="AG172" i="82"/>
  <c r="AF172" i="82"/>
  <c r="AG171" i="82"/>
  <c r="AF171" i="82"/>
  <c r="AG170" i="82"/>
  <c r="AF170" i="82"/>
  <c r="AG169" i="82"/>
  <c r="AF169" i="82"/>
  <c r="AG168" i="82"/>
  <c r="AF168" i="82"/>
  <c r="AG167" i="82"/>
  <c r="AF167" i="82"/>
  <c r="AG166" i="82"/>
  <c r="AF166" i="82"/>
  <c r="AG165" i="82"/>
  <c r="AF165" i="82"/>
  <c r="AG164" i="82"/>
  <c r="AF164" i="82"/>
  <c r="AG163" i="82"/>
  <c r="AF163" i="82"/>
  <c r="AG162" i="82"/>
  <c r="AF162" i="82"/>
  <c r="AG161" i="82"/>
  <c r="AF161" i="82"/>
  <c r="AG160" i="82"/>
  <c r="AF160" i="82"/>
  <c r="AG159" i="82"/>
  <c r="AF159" i="82"/>
  <c r="AG158" i="82"/>
  <c r="AF158" i="82"/>
  <c r="AG157" i="82"/>
  <c r="AF157" i="82"/>
  <c r="AG156" i="82"/>
  <c r="AF156" i="82"/>
  <c r="AG155" i="82"/>
  <c r="AF155" i="82"/>
  <c r="AG154" i="82"/>
  <c r="AF154" i="82"/>
  <c r="AG153" i="82"/>
  <c r="AF153" i="82"/>
  <c r="AG152" i="82"/>
  <c r="AF152" i="82"/>
  <c r="AD152" i="82"/>
  <c r="AG151" i="82"/>
  <c r="AF151" i="82"/>
  <c r="AG150" i="82"/>
  <c r="AF150" i="82"/>
  <c r="AG149" i="82"/>
  <c r="AF149" i="82"/>
  <c r="AG148" i="82"/>
  <c r="AF148" i="82"/>
  <c r="AG147" i="82"/>
  <c r="AF147" i="82"/>
  <c r="AG146" i="82"/>
  <c r="AF146" i="82"/>
  <c r="AG145" i="82"/>
  <c r="AF145" i="82"/>
  <c r="AG144" i="82"/>
  <c r="AF144" i="82"/>
  <c r="AG143" i="82"/>
  <c r="AF143" i="82"/>
  <c r="AG142" i="82"/>
  <c r="AF142" i="82"/>
  <c r="AG141" i="82"/>
  <c r="AF141" i="82"/>
  <c r="AB141" i="82"/>
  <c r="AG140" i="82"/>
  <c r="AF140" i="82"/>
  <c r="AG139" i="82"/>
  <c r="AF139" i="82"/>
  <c r="AG138" i="82"/>
  <c r="AF138" i="82"/>
  <c r="AG137" i="82"/>
  <c r="AF137" i="82"/>
  <c r="AG136" i="82"/>
  <c r="AF136" i="82"/>
  <c r="AG135" i="82"/>
  <c r="AF135" i="82"/>
  <c r="AG134" i="82"/>
  <c r="AF134" i="82"/>
  <c r="AG133" i="82"/>
  <c r="AF133" i="82"/>
  <c r="AG132" i="82"/>
  <c r="AF132" i="82"/>
  <c r="AG131" i="82"/>
  <c r="AF131" i="82"/>
  <c r="AG130" i="82"/>
  <c r="AF130" i="82"/>
  <c r="AG129" i="82"/>
  <c r="AF129" i="82"/>
  <c r="AG128" i="82"/>
  <c r="AF128" i="82"/>
  <c r="AG127" i="82"/>
  <c r="AF127" i="82"/>
  <c r="AG126" i="82"/>
  <c r="AF126" i="82"/>
  <c r="AG125" i="82"/>
  <c r="AF125" i="82"/>
  <c r="AG124" i="82"/>
  <c r="AF124" i="82"/>
  <c r="AG123" i="82"/>
  <c r="AF123" i="82"/>
  <c r="AG122" i="82"/>
  <c r="AF122" i="82"/>
  <c r="AG121" i="82"/>
  <c r="AF121" i="82"/>
  <c r="AG120" i="82"/>
  <c r="AF120" i="82"/>
  <c r="AG119" i="82"/>
  <c r="AF119" i="82"/>
  <c r="AG118" i="82"/>
  <c r="AF118" i="82"/>
  <c r="AG117" i="82"/>
  <c r="AF117" i="82"/>
  <c r="AG116" i="82"/>
  <c r="AF116" i="82"/>
  <c r="AG115" i="82"/>
  <c r="AF115" i="82"/>
  <c r="AG114" i="82"/>
  <c r="AF114" i="82"/>
  <c r="AG113" i="82"/>
  <c r="AF113" i="82"/>
  <c r="AG112" i="82"/>
  <c r="AF112" i="82"/>
  <c r="AG111" i="82"/>
  <c r="AF111" i="82"/>
  <c r="AG110" i="82"/>
  <c r="AF110" i="82"/>
  <c r="AG109" i="82"/>
  <c r="AF109" i="82"/>
  <c r="AG108" i="82"/>
  <c r="AF108" i="82"/>
  <c r="AG107" i="82"/>
  <c r="AF107" i="82"/>
  <c r="AG106" i="82"/>
  <c r="AF106" i="82"/>
  <c r="AG105" i="82"/>
  <c r="AF105" i="82"/>
  <c r="AG104" i="82"/>
  <c r="AF104" i="82"/>
  <c r="AG103" i="82"/>
  <c r="AF103" i="82"/>
  <c r="AG102" i="82"/>
  <c r="AF102" i="82"/>
  <c r="AG101" i="82"/>
  <c r="AF101" i="82"/>
  <c r="AG100" i="82"/>
  <c r="AF100" i="82"/>
  <c r="AG99" i="82"/>
  <c r="AF99" i="82"/>
  <c r="AG98" i="82"/>
  <c r="AF98" i="82"/>
  <c r="AG97" i="82"/>
  <c r="AF97" i="82"/>
  <c r="AG96" i="82"/>
  <c r="AF96" i="82"/>
  <c r="AG95" i="82"/>
  <c r="AF95" i="82"/>
  <c r="AG94" i="82"/>
  <c r="AF94" i="82"/>
  <c r="AG93" i="82"/>
  <c r="AF93" i="82"/>
  <c r="AG92" i="82"/>
  <c r="AF92" i="82"/>
  <c r="AG91" i="82"/>
  <c r="AF91" i="82"/>
  <c r="AG90" i="82"/>
  <c r="AF90" i="82"/>
  <c r="AG89" i="82"/>
  <c r="AF89" i="82"/>
  <c r="AG88" i="82"/>
  <c r="AF88" i="82"/>
  <c r="AG87" i="82"/>
  <c r="AF87" i="82"/>
  <c r="AG86" i="82"/>
  <c r="AF86" i="82"/>
  <c r="AG85" i="82"/>
  <c r="AF85" i="82"/>
  <c r="AG84" i="82"/>
  <c r="AF84" i="82"/>
  <c r="AG83" i="82"/>
  <c r="AF83" i="82"/>
  <c r="AG82" i="82"/>
  <c r="AF82" i="82"/>
  <c r="AG81" i="82"/>
  <c r="AF81" i="82"/>
  <c r="AG80" i="82"/>
  <c r="AF80" i="82"/>
  <c r="AG79" i="82"/>
  <c r="AF79" i="82"/>
  <c r="AG78" i="82"/>
  <c r="AF78" i="82"/>
  <c r="AG77" i="82"/>
  <c r="AF77" i="82"/>
  <c r="AG76" i="82"/>
  <c r="AF76" i="82"/>
  <c r="AG75" i="82"/>
  <c r="AF75" i="82"/>
  <c r="AG74" i="82"/>
  <c r="AF74" i="82"/>
  <c r="AG73" i="82"/>
  <c r="AF73" i="82"/>
  <c r="AG72" i="82"/>
  <c r="AF72" i="82"/>
  <c r="AG71" i="82"/>
  <c r="AF71" i="82"/>
  <c r="AG70" i="82"/>
  <c r="AF70" i="82"/>
  <c r="AG69" i="82"/>
  <c r="AF69" i="82"/>
  <c r="AG68" i="82"/>
  <c r="AF68" i="82"/>
  <c r="AG67" i="82"/>
  <c r="AF67" i="82"/>
  <c r="AG66" i="82"/>
  <c r="AF66" i="82"/>
  <c r="AG65" i="82"/>
  <c r="AF65" i="82"/>
  <c r="AG64" i="82"/>
  <c r="AF64" i="82"/>
  <c r="AG63" i="82"/>
  <c r="AF63" i="82"/>
  <c r="AG62" i="82"/>
  <c r="AF62" i="82"/>
  <c r="AG61" i="82"/>
  <c r="AC61" i="82"/>
  <c r="AG60" i="82"/>
  <c r="AG59" i="82"/>
  <c r="AG58" i="82"/>
  <c r="AG57" i="82"/>
  <c r="AG56" i="82"/>
  <c r="AG55" i="82"/>
  <c r="AG54" i="82"/>
  <c r="AG53" i="82"/>
  <c r="AG52" i="82"/>
  <c r="AG51" i="82"/>
  <c r="AG50" i="82"/>
  <c r="AG49" i="82"/>
  <c r="AE49" i="82"/>
  <c r="AG48" i="82"/>
  <c r="AE48" i="82"/>
  <c r="AG47" i="82"/>
  <c r="AE47" i="82"/>
  <c r="AG46" i="82"/>
  <c r="AE46" i="82"/>
  <c r="AG45" i="82"/>
  <c r="AE45" i="82"/>
  <c r="AG44" i="82"/>
  <c r="AE44" i="82"/>
  <c r="AG43" i="82"/>
  <c r="AE43" i="82"/>
  <c r="AG42" i="82"/>
  <c r="AE42" i="82"/>
  <c r="AG41" i="82"/>
  <c r="AE41" i="82"/>
  <c r="AG40" i="82"/>
  <c r="AE40" i="82"/>
  <c r="AG39" i="82"/>
  <c r="AE39" i="82"/>
  <c r="AG38" i="82"/>
  <c r="AE38" i="82"/>
  <c r="AG37" i="82"/>
  <c r="AE37" i="82"/>
  <c r="AG36" i="82"/>
  <c r="AE36" i="82"/>
  <c r="AG35" i="82"/>
  <c r="AE35" i="82"/>
  <c r="AG34" i="82"/>
  <c r="AE34" i="82"/>
  <c r="AG33" i="82"/>
  <c r="AE33" i="82"/>
  <c r="AG32" i="82"/>
  <c r="AE32" i="82"/>
  <c r="AG31" i="82"/>
  <c r="AE31" i="82"/>
  <c r="AG30" i="82"/>
  <c r="AE30" i="82"/>
  <c r="AG29" i="82"/>
  <c r="AE29" i="82"/>
  <c r="AG28" i="82"/>
  <c r="AE28" i="82"/>
  <c r="AG27" i="82"/>
  <c r="AE27" i="82"/>
  <c r="AG26" i="82"/>
  <c r="AE26" i="82"/>
  <c r="AG25" i="82"/>
  <c r="AG24" i="82"/>
  <c r="AG23" i="82"/>
  <c r="AG22" i="82"/>
  <c r="AG21" i="82"/>
  <c r="AG20" i="82"/>
  <c r="AG19" i="82"/>
  <c r="AG18" i="82"/>
  <c r="AG17" i="82"/>
  <c r="AG16" i="82"/>
  <c r="AG15" i="82"/>
  <c r="AG14" i="82"/>
  <c r="AG13" i="82"/>
  <c r="AE13" i="82"/>
  <c r="AG12" i="82"/>
  <c r="AE12" i="82"/>
  <c r="AG11" i="82"/>
  <c r="AE11" i="82"/>
  <c r="AG10" i="82"/>
  <c r="AE10" i="82"/>
  <c r="AG9" i="82"/>
  <c r="AE9" i="82"/>
  <c r="AG8" i="82"/>
  <c r="AE8" i="82"/>
  <c r="AD8" i="82"/>
  <c r="AG7" i="82"/>
  <c r="AE7" i="82"/>
  <c r="AG6" i="82"/>
  <c r="AE6" i="82"/>
  <c r="AG5" i="82"/>
  <c r="AE5" i="82"/>
  <c r="AD5" i="82"/>
  <c r="AG4" i="82"/>
  <c r="AE4" i="82"/>
  <c r="AG3" i="82"/>
  <c r="AE3" i="82"/>
  <c r="AG2" i="82"/>
  <c r="AE2" i="82"/>
  <c r="AC2" i="82"/>
  <c r="X2022" i="82"/>
  <c r="AD2022" i="82" s="1"/>
  <c r="W2022" i="82"/>
  <c r="AC2022" i="82" s="1"/>
  <c r="V2022" i="82"/>
  <c r="AB2022" i="82" s="1"/>
  <c r="X2021" i="82"/>
  <c r="AD2021" i="82" s="1"/>
  <c r="W2021" i="82"/>
  <c r="AC2021" i="82" s="1"/>
  <c r="V2021" i="82"/>
  <c r="AB2021" i="82" s="1"/>
  <c r="X2020" i="82"/>
  <c r="AD2020" i="82" s="1"/>
  <c r="W2020" i="82"/>
  <c r="AC2020" i="82" s="1"/>
  <c r="V2020" i="82"/>
  <c r="AB2020" i="82" s="1"/>
  <c r="X2019" i="82"/>
  <c r="AD2019" i="82" s="1"/>
  <c r="W2019" i="82"/>
  <c r="AC2019" i="82" s="1"/>
  <c r="V2019" i="82"/>
  <c r="AB2019" i="82" s="1"/>
  <c r="X2018" i="82"/>
  <c r="AD2018" i="82" s="1"/>
  <c r="W2018" i="82"/>
  <c r="AC2018" i="82" s="1"/>
  <c r="V2018" i="82"/>
  <c r="AB2018" i="82" s="1"/>
  <c r="X2017" i="82"/>
  <c r="AD2017" i="82" s="1"/>
  <c r="W2017" i="82"/>
  <c r="AC2017" i="82" s="1"/>
  <c r="V2017" i="82"/>
  <c r="AB2017" i="82" s="1"/>
  <c r="X2016" i="82"/>
  <c r="AD2016" i="82" s="1"/>
  <c r="W2016" i="82"/>
  <c r="AC2016" i="82" s="1"/>
  <c r="V2016" i="82"/>
  <c r="AB2016" i="82" s="1"/>
  <c r="X2015" i="82"/>
  <c r="AD2015" i="82" s="1"/>
  <c r="W2015" i="82"/>
  <c r="AC2015" i="82" s="1"/>
  <c r="V2015" i="82"/>
  <c r="AB2015" i="82" s="1"/>
  <c r="X2014" i="82"/>
  <c r="AD2014" i="82" s="1"/>
  <c r="W2014" i="82"/>
  <c r="AC2014" i="82" s="1"/>
  <c r="V2014" i="82"/>
  <c r="AB2014" i="82" s="1"/>
  <c r="X2013" i="82"/>
  <c r="AD2013" i="82" s="1"/>
  <c r="W2013" i="82"/>
  <c r="AC2013" i="82" s="1"/>
  <c r="V2013" i="82"/>
  <c r="AB2013" i="82" s="1"/>
  <c r="X2012" i="82"/>
  <c r="AD2012" i="82" s="1"/>
  <c r="W2012" i="82"/>
  <c r="AC2012" i="82" s="1"/>
  <c r="V2012" i="82"/>
  <c r="AB2012" i="82" s="1"/>
  <c r="X2011" i="82"/>
  <c r="AD2011" i="82" s="1"/>
  <c r="W2011" i="82"/>
  <c r="AC2011" i="82" s="1"/>
  <c r="V2011" i="82"/>
  <c r="AB2011" i="82" s="1"/>
  <c r="X2010" i="82"/>
  <c r="AD2010" i="82" s="1"/>
  <c r="W2010" i="82"/>
  <c r="AC2010" i="82" s="1"/>
  <c r="V2010" i="82"/>
  <c r="AB2010" i="82" s="1"/>
  <c r="X2009" i="82"/>
  <c r="AD2009" i="82" s="1"/>
  <c r="W2009" i="82"/>
  <c r="AC2009" i="82" s="1"/>
  <c r="V2009" i="82"/>
  <c r="AB2009" i="82" s="1"/>
  <c r="X2008" i="82"/>
  <c r="AD2008" i="82" s="1"/>
  <c r="W2008" i="82"/>
  <c r="AC2008" i="82" s="1"/>
  <c r="V2008" i="82"/>
  <c r="AB2008" i="82" s="1"/>
  <c r="X2007" i="82"/>
  <c r="AD2007" i="82" s="1"/>
  <c r="W2007" i="82"/>
  <c r="AC2007" i="82" s="1"/>
  <c r="V2007" i="82"/>
  <c r="AB2007" i="82" s="1"/>
  <c r="X2006" i="82"/>
  <c r="AD2006" i="82" s="1"/>
  <c r="W2006" i="82"/>
  <c r="AC2006" i="82" s="1"/>
  <c r="V2006" i="82"/>
  <c r="AB2006" i="82" s="1"/>
  <c r="X2005" i="82"/>
  <c r="AD2005" i="82" s="1"/>
  <c r="W2005" i="82"/>
  <c r="AC2005" i="82" s="1"/>
  <c r="V2005" i="82"/>
  <c r="AB2005" i="82" s="1"/>
  <c r="X2004" i="82"/>
  <c r="AD2004" i="82" s="1"/>
  <c r="W2004" i="82"/>
  <c r="AC2004" i="82" s="1"/>
  <c r="V2004" i="82"/>
  <c r="AB2004" i="82" s="1"/>
  <c r="X2003" i="82"/>
  <c r="AD2003" i="82" s="1"/>
  <c r="W2003" i="82"/>
  <c r="AC2003" i="82" s="1"/>
  <c r="V2003" i="82"/>
  <c r="AB2003" i="82" s="1"/>
  <c r="X2002" i="82"/>
  <c r="AD2002" i="82" s="1"/>
  <c r="W2002" i="82"/>
  <c r="AC2002" i="82" s="1"/>
  <c r="V2002" i="82"/>
  <c r="AB2002" i="82" s="1"/>
  <c r="X2001" i="82"/>
  <c r="AD2001" i="82" s="1"/>
  <c r="W2001" i="82"/>
  <c r="AC2001" i="82" s="1"/>
  <c r="V2001" i="82"/>
  <c r="AB2001" i="82" s="1"/>
  <c r="X2000" i="82"/>
  <c r="AD2000" i="82" s="1"/>
  <c r="W2000" i="82"/>
  <c r="AC2000" i="82" s="1"/>
  <c r="V2000" i="82"/>
  <c r="AB2000" i="82" s="1"/>
  <c r="X1999" i="82"/>
  <c r="AD1999" i="82" s="1"/>
  <c r="W1999" i="82"/>
  <c r="AC1999" i="82" s="1"/>
  <c r="V1999" i="82"/>
  <c r="AB1999" i="82" s="1"/>
  <c r="X1998" i="82"/>
  <c r="AD1998" i="82" s="1"/>
  <c r="W1998" i="82"/>
  <c r="AC1998" i="82" s="1"/>
  <c r="V1998" i="82"/>
  <c r="AB1998" i="82" s="1"/>
  <c r="X1997" i="82"/>
  <c r="AD1997" i="82" s="1"/>
  <c r="W1997" i="82"/>
  <c r="AC1997" i="82" s="1"/>
  <c r="V1997" i="82"/>
  <c r="AB1997" i="82" s="1"/>
  <c r="X1996" i="82"/>
  <c r="AD1996" i="82" s="1"/>
  <c r="W1996" i="82"/>
  <c r="AC1996" i="82" s="1"/>
  <c r="V1996" i="82"/>
  <c r="AB1996" i="82" s="1"/>
  <c r="X1995" i="82"/>
  <c r="AD1995" i="82" s="1"/>
  <c r="W1995" i="82"/>
  <c r="AC1995" i="82" s="1"/>
  <c r="V1995" i="82"/>
  <c r="AB1995" i="82" s="1"/>
  <c r="V1994" i="82"/>
  <c r="AB1994" i="82" s="1"/>
  <c r="V1993" i="82"/>
  <c r="AB1993" i="82" s="1"/>
  <c r="V1992" i="82"/>
  <c r="AB1992" i="82" s="1"/>
  <c r="V1991" i="82"/>
  <c r="AB1991" i="82" s="1"/>
  <c r="V1990" i="82"/>
  <c r="AB1990" i="82" s="1"/>
  <c r="V1989" i="82"/>
  <c r="AB1989" i="82" s="1"/>
  <c r="V1988" i="82"/>
  <c r="AB1988" i="82" s="1"/>
  <c r="V1987" i="82"/>
  <c r="AB1987" i="82" s="1"/>
  <c r="V1986" i="82"/>
  <c r="AB1986" i="82" s="1"/>
  <c r="V1985" i="82"/>
  <c r="AB1985" i="82" s="1"/>
  <c r="V1984" i="82"/>
  <c r="AB1984" i="82" s="1"/>
  <c r="V1983" i="82"/>
  <c r="AB1983" i="82" s="1"/>
  <c r="X1982" i="82"/>
  <c r="AD1982" i="82" s="1"/>
  <c r="W1982" i="82"/>
  <c r="AC1982" i="82" s="1"/>
  <c r="V1982" i="82"/>
  <c r="AB1982" i="82" s="1"/>
  <c r="X1981" i="82"/>
  <c r="AD1981" i="82" s="1"/>
  <c r="W1981" i="82"/>
  <c r="AC1981" i="82" s="1"/>
  <c r="V1981" i="82"/>
  <c r="AB1981" i="82" s="1"/>
  <c r="X1980" i="82"/>
  <c r="AD1980" i="82" s="1"/>
  <c r="W1980" i="82"/>
  <c r="AC1980" i="82" s="1"/>
  <c r="V1980" i="82"/>
  <c r="AB1980" i="82" s="1"/>
  <c r="X1979" i="82"/>
  <c r="AD1979" i="82" s="1"/>
  <c r="W1979" i="82"/>
  <c r="AC1979" i="82" s="1"/>
  <c r="V1979" i="82"/>
  <c r="AB1979" i="82" s="1"/>
  <c r="X1978" i="82"/>
  <c r="AD1978" i="82" s="1"/>
  <c r="W1978" i="82"/>
  <c r="AC1978" i="82" s="1"/>
  <c r="V1978" i="82"/>
  <c r="AB1978" i="82" s="1"/>
  <c r="X1977" i="82"/>
  <c r="AD1977" i="82" s="1"/>
  <c r="W1977" i="82"/>
  <c r="AC1977" i="82" s="1"/>
  <c r="V1977" i="82"/>
  <c r="AB1977" i="82" s="1"/>
  <c r="X1976" i="82"/>
  <c r="AD1976" i="82" s="1"/>
  <c r="W1976" i="82"/>
  <c r="AC1976" i="82" s="1"/>
  <c r="V1976" i="82"/>
  <c r="AB1976" i="82" s="1"/>
  <c r="X1975" i="82"/>
  <c r="AD1975" i="82" s="1"/>
  <c r="W1975" i="82"/>
  <c r="AC1975" i="82" s="1"/>
  <c r="V1975" i="82"/>
  <c r="AB1975" i="82" s="1"/>
  <c r="X1974" i="82"/>
  <c r="AD1974" i="82" s="1"/>
  <c r="W1974" i="82"/>
  <c r="AC1974" i="82" s="1"/>
  <c r="V1974" i="82"/>
  <c r="AB1974" i="82" s="1"/>
  <c r="X1973" i="82"/>
  <c r="AD1973" i="82" s="1"/>
  <c r="W1973" i="82"/>
  <c r="AC1973" i="82" s="1"/>
  <c r="V1973" i="82"/>
  <c r="AB1973" i="82" s="1"/>
  <c r="X1972" i="82"/>
  <c r="AD1972" i="82" s="1"/>
  <c r="W1972" i="82"/>
  <c r="AC1972" i="82" s="1"/>
  <c r="V1972" i="82"/>
  <c r="AB1972" i="82" s="1"/>
  <c r="X1971" i="82"/>
  <c r="AD1971" i="82" s="1"/>
  <c r="W1971" i="82"/>
  <c r="AC1971" i="82" s="1"/>
  <c r="V1971" i="82"/>
  <c r="AB1971" i="82" s="1"/>
  <c r="X1970" i="82"/>
  <c r="AD1970" i="82" s="1"/>
  <c r="W1970" i="82"/>
  <c r="AC1970" i="82" s="1"/>
  <c r="V1970" i="82"/>
  <c r="AB1970" i="82" s="1"/>
  <c r="X1969" i="82"/>
  <c r="AD1969" i="82" s="1"/>
  <c r="W1969" i="82"/>
  <c r="AC1969" i="82" s="1"/>
  <c r="V1969" i="82"/>
  <c r="AB1969" i="82" s="1"/>
  <c r="X1968" i="82"/>
  <c r="AD1968" i="82" s="1"/>
  <c r="W1968" i="82"/>
  <c r="AC1968" i="82" s="1"/>
  <c r="V1968" i="82"/>
  <c r="AB1968" i="82" s="1"/>
  <c r="X1967" i="82"/>
  <c r="AD1967" i="82" s="1"/>
  <c r="W1967" i="82"/>
  <c r="AC1967" i="82" s="1"/>
  <c r="V1967" i="82"/>
  <c r="AB1967" i="82" s="1"/>
  <c r="X1966" i="82"/>
  <c r="AD1966" i="82" s="1"/>
  <c r="W1966" i="82"/>
  <c r="AC1966" i="82" s="1"/>
  <c r="V1966" i="82"/>
  <c r="AB1966" i="82" s="1"/>
  <c r="X1965" i="82"/>
  <c r="AD1965" i="82" s="1"/>
  <c r="W1965" i="82"/>
  <c r="AC1965" i="82" s="1"/>
  <c r="V1965" i="82"/>
  <c r="AB1965" i="82" s="1"/>
  <c r="X1964" i="82"/>
  <c r="AD1964" i="82" s="1"/>
  <c r="W1964" i="82"/>
  <c r="AC1964" i="82" s="1"/>
  <c r="V1964" i="82"/>
  <c r="AB1964" i="82" s="1"/>
  <c r="X1963" i="82"/>
  <c r="AD1963" i="82" s="1"/>
  <c r="W1963" i="82"/>
  <c r="AC1963" i="82" s="1"/>
  <c r="V1963" i="82"/>
  <c r="AB1963" i="82" s="1"/>
  <c r="X1962" i="82"/>
  <c r="AD1962" i="82" s="1"/>
  <c r="W1962" i="82"/>
  <c r="AC1962" i="82" s="1"/>
  <c r="V1962" i="82"/>
  <c r="AB1962" i="82" s="1"/>
  <c r="X1961" i="82"/>
  <c r="AD1961" i="82" s="1"/>
  <c r="W1961" i="82"/>
  <c r="AC1961" i="82" s="1"/>
  <c r="V1961" i="82"/>
  <c r="AB1961" i="82" s="1"/>
  <c r="X1960" i="82"/>
  <c r="AD1960" i="82" s="1"/>
  <c r="W1960" i="82"/>
  <c r="AC1960" i="82" s="1"/>
  <c r="V1960" i="82"/>
  <c r="AB1960" i="82" s="1"/>
  <c r="X1959" i="82"/>
  <c r="AD1959" i="82" s="1"/>
  <c r="W1959" i="82"/>
  <c r="AC1959" i="82" s="1"/>
  <c r="V1959" i="82"/>
  <c r="AB1959" i="82" s="1"/>
  <c r="X1958" i="82"/>
  <c r="AD1958" i="82" s="1"/>
  <c r="W1958" i="82"/>
  <c r="AC1958" i="82" s="1"/>
  <c r="V1958" i="82"/>
  <c r="AB1958" i="82" s="1"/>
  <c r="X1957" i="82"/>
  <c r="AD1957" i="82" s="1"/>
  <c r="W1957" i="82"/>
  <c r="AC1957" i="82" s="1"/>
  <c r="V1957" i="82"/>
  <c r="AB1957" i="82" s="1"/>
  <c r="X1956" i="82"/>
  <c r="AD1956" i="82" s="1"/>
  <c r="W1956" i="82"/>
  <c r="AC1956" i="82" s="1"/>
  <c r="V1956" i="82"/>
  <c r="AB1956" i="82" s="1"/>
  <c r="X1955" i="82"/>
  <c r="AD1955" i="82" s="1"/>
  <c r="W1955" i="82"/>
  <c r="AC1955" i="82" s="1"/>
  <c r="V1955" i="82"/>
  <c r="AB1955" i="82" s="1"/>
  <c r="X1954" i="82"/>
  <c r="AD1954" i="82" s="1"/>
  <c r="W1954" i="82"/>
  <c r="AC1954" i="82" s="1"/>
  <c r="V1954" i="82"/>
  <c r="AB1954" i="82" s="1"/>
  <c r="X1953" i="82"/>
  <c r="AD1953" i="82" s="1"/>
  <c r="W1953" i="82"/>
  <c r="AC1953" i="82" s="1"/>
  <c r="V1953" i="82"/>
  <c r="AB1953" i="82" s="1"/>
  <c r="X1952" i="82"/>
  <c r="AD1952" i="82" s="1"/>
  <c r="W1952" i="82"/>
  <c r="AC1952" i="82" s="1"/>
  <c r="V1952" i="82"/>
  <c r="AB1952" i="82" s="1"/>
  <c r="X1951" i="82"/>
  <c r="AD1951" i="82" s="1"/>
  <c r="W1951" i="82"/>
  <c r="AC1951" i="82" s="1"/>
  <c r="V1951" i="82"/>
  <c r="AB1951" i="82" s="1"/>
  <c r="X1950" i="82"/>
  <c r="AD1950" i="82" s="1"/>
  <c r="W1950" i="82"/>
  <c r="AC1950" i="82" s="1"/>
  <c r="V1950" i="82"/>
  <c r="AB1950" i="82" s="1"/>
  <c r="X1949" i="82"/>
  <c r="AD1949" i="82" s="1"/>
  <c r="W1949" i="82"/>
  <c r="AC1949" i="82" s="1"/>
  <c r="V1949" i="82"/>
  <c r="AB1949" i="82" s="1"/>
  <c r="X1948" i="82"/>
  <c r="AD1948" i="82" s="1"/>
  <c r="W1948" i="82"/>
  <c r="AC1948" i="82" s="1"/>
  <c r="V1948" i="82"/>
  <c r="AB1948" i="82" s="1"/>
  <c r="X1947" i="82"/>
  <c r="AD1947" i="82" s="1"/>
  <c r="W1947" i="82"/>
  <c r="AC1947" i="82" s="1"/>
  <c r="V1947" i="82"/>
  <c r="AB1947" i="82" s="1"/>
  <c r="X1946" i="82"/>
  <c r="AD1946" i="82" s="1"/>
  <c r="W1946" i="82"/>
  <c r="AC1946" i="82" s="1"/>
  <c r="V1946" i="82"/>
  <c r="AB1946" i="82" s="1"/>
  <c r="X1945" i="82"/>
  <c r="AD1945" i="82" s="1"/>
  <c r="W1945" i="82"/>
  <c r="AC1945" i="82" s="1"/>
  <c r="V1945" i="82"/>
  <c r="AB1945" i="82" s="1"/>
  <c r="X1944" i="82"/>
  <c r="AD1944" i="82" s="1"/>
  <c r="W1944" i="82"/>
  <c r="AC1944" i="82" s="1"/>
  <c r="V1944" i="82"/>
  <c r="AB1944" i="82" s="1"/>
  <c r="X1943" i="82"/>
  <c r="AD1943" i="82" s="1"/>
  <c r="W1943" i="82"/>
  <c r="AC1943" i="82" s="1"/>
  <c r="V1943" i="82"/>
  <c r="AB1943" i="82" s="1"/>
  <c r="X1942" i="82"/>
  <c r="AD1942" i="82" s="1"/>
  <c r="W1942" i="82"/>
  <c r="AC1942" i="82" s="1"/>
  <c r="V1942" i="82"/>
  <c r="AB1942" i="82" s="1"/>
  <c r="X1941" i="82"/>
  <c r="AD1941" i="82" s="1"/>
  <c r="W1941" i="82"/>
  <c r="AC1941" i="82" s="1"/>
  <c r="V1941" i="82"/>
  <c r="AB1941" i="82" s="1"/>
  <c r="X1940" i="82"/>
  <c r="AD1940" i="82" s="1"/>
  <c r="W1940" i="82"/>
  <c r="AC1940" i="82" s="1"/>
  <c r="V1940" i="82"/>
  <c r="AB1940" i="82" s="1"/>
  <c r="X1939" i="82"/>
  <c r="AD1939" i="82" s="1"/>
  <c r="W1939" i="82"/>
  <c r="AC1939" i="82" s="1"/>
  <c r="V1939" i="82"/>
  <c r="AB1939" i="82" s="1"/>
  <c r="X1938" i="82"/>
  <c r="AD1938" i="82" s="1"/>
  <c r="W1938" i="82"/>
  <c r="AC1938" i="82" s="1"/>
  <c r="V1938" i="82"/>
  <c r="AB1938" i="82" s="1"/>
  <c r="X1937" i="82"/>
  <c r="AD1937" i="82" s="1"/>
  <c r="W1937" i="82"/>
  <c r="AC1937" i="82" s="1"/>
  <c r="V1937" i="82"/>
  <c r="AB1937" i="82" s="1"/>
  <c r="X1936" i="82"/>
  <c r="AD1936" i="82" s="1"/>
  <c r="W1936" i="82"/>
  <c r="AC1936" i="82" s="1"/>
  <c r="V1936" i="82"/>
  <c r="AB1936" i="82" s="1"/>
  <c r="X1935" i="82"/>
  <c r="AD1935" i="82" s="1"/>
  <c r="W1935" i="82"/>
  <c r="AC1935" i="82" s="1"/>
  <c r="V1935" i="82"/>
  <c r="AB1935" i="82" s="1"/>
  <c r="X1934" i="82"/>
  <c r="AD1934" i="82" s="1"/>
  <c r="W1934" i="82"/>
  <c r="AC1934" i="82" s="1"/>
  <c r="V1934" i="82"/>
  <c r="AB1934" i="82" s="1"/>
  <c r="X1933" i="82"/>
  <c r="AD1933" i="82" s="1"/>
  <c r="W1933" i="82"/>
  <c r="AC1933" i="82" s="1"/>
  <c r="V1933" i="82"/>
  <c r="AB1933" i="82" s="1"/>
  <c r="X1932" i="82"/>
  <c r="AD1932" i="82" s="1"/>
  <c r="W1932" i="82"/>
  <c r="AC1932" i="82" s="1"/>
  <c r="V1932" i="82"/>
  <c r="AB1932" i="82" s="1"/>
  <c r="X1931" i="82"/>
  <c r="AD1931" i="82" s="1"/>
  <c r="W1931" i="82"/>
  <c r="AC1931" i="82" s="1"/>
  <c r="V1931" i="82"/>
  <c r="AB1931" i="82" s="1"/>
  <c r="X1930" i="82"/>
  <c r="AD1930" i="82" s="1"/>
  <c r="W1930" i="82"/>
  <c r="AC1930" i="82" s="1"/>
  <c r="V1930" i="82"/>
  <c r="AB1930" i="82" s="1"/>
  <c r="X1929" i="82"/>
  <c r="AD1929" i="82" s="1"/>
  <c r="W1929" i="82"/>
  <c r="AC1929" i="82" s="1"/>
  <c r="V1929" i="82"/>
  <c r="AB1929" i="82" s="1"/>
  <c r="X1928" i="82"/>
  <c r="AD1928" i="82" s="1"/>
  <c r="W1928" i="82"/>
  <c r="AC1928" i="82" s="1"/>
  <c r="V1928" i="82"/>
  <c r="AB1928" i="82" s="1"/>
  <c r="X1927" i="82"/>
  <c r="AD1927" i="82" s="1"/>
  <c r="W1927" i="82"/>
  <c r="AC1927" i="82" s="1"/>
  <c r="V1927" i="82"/>
  <c r="AB1927" i="82" s="1"/>
  <c r="X1926" i="82"/>
  <c r="AD1926" i="82" s="1"/>
  <c r="W1926" i="82"/>
  <c r="AC1926" i="82" s="1"/>
  <c r="V1926" i="82"/>
  <c r="AB1926" i="82" s="1"/>
  <c r="X1925" i="82"/>
  <c r="AD1925" i="82" s="1"/>
  <c r="W1925" i="82"/>
  <c r="AC1925" i="82" s="1"/>
  <c r="V1925" i="82"/>
  <c r="AB1925" i="82" s="1"/>
  <c r="X1924" i="82"/>
  <c r="AD1924" i="82" s="1"/>
  <c r="W1924" i="82"/>
  <c r="AC1924" i="82" s="1"/>
  <c r="V1924" i="82"/>
  <c r="AB1924" i="82" s="1"/>
  <c r="X1923" i="82"/>
  <c r="AD1923" i="82" s="1"/>
  <c r="W1923" i="82"/>
  <c r="AC1923" i="82" s="1"/>
  <c r="V1923" i="82"/>
  <c r="AB1923" i="82" s="1"/>
  <c r="X1922" i="82"/>
  <c r="AD1922" i="82" s="1"/>
  <c r="W1922" i="82"/>
  <c r="AC1922" i="82" s="1"/>
  <c r="V1922" i="82"/>
  <c r="AB1922" i="82" s="1"/>
  <c r="X1921" i="82"/>
  <c r="AD1921" i="82" s="1"/>
  <c r="W1921" i="82"/>
  <c r="AC1921" i="82" s="1"/>
  <c r="V1921" i="82"/>
  <c r="AB1921" i="82" s="1"/>
  <c r="X1920" i="82"/>
  <c r="AD1920" i="82" s="1"/>
  <c r="W1920" i="82"/>
  <c r="AC1920" i="82" s="1"/>
  <c r="V1920" i="82"/>
  <c r="AB1920" i="82" s="1"/>
  <c r="X1919" i="82"/>
  <c r="AD1919" i="82" s="1"/>
  <c r="W1919" i="82"/>
  <c r="AC1919" i="82" s="1"/>
  <c r="V1919" i="82"/>
  <c r="AB1919" i="82" s="1"/>
  <c r="X1918" i="82"/>
  <c r="AD1918" i="82" s="1"/>
  <c r="W1918" i="82"/>
  <c r="AC1918" i="82" s="1"/>
  <c r="V1918" i="82"/>
  <c r="AB1918" i="82" s="1"/>
  <c r="X1917" i="82"/>
  <c r="AD1917" i="82" s="1"/>
  <c r="W1917" i="82"/>
  <c r="AC1917" i="82" s="1"/>
  <c r="V1917" i="82"/>
  <c r="AB1917" i="82" s="1"/>
  <c r="X1916" i="82"/>
  <c r="AD1916" i="82" s="1"/>
  <c r="W1916" i="82"/>
  <c r="AC1916" i="82" s="1"/>
  <c r="V1916" i="82"/>
  <c r="AB1916" i="82" s="1"/>
  <c r="X1915" i="82"/>
  <c r="AD1915" i="82" s="1"/>
  <c r="W1915" i="82"/>
  <c r="AC1915" i="82" s="1"/>
  <c r="V1915" i="82"/>
  <c r="AB1915" i="82" s="1"/>
  <c r="X1914" i="82"/>
  <c r="AD1914" i="82" s="1"/>
  <c r="W1914" i="82"/>
  <c r="AC1914" i="82" s="1"/>
  <c r="V1914" i="82"/>
  <c r="AB1914" i="82" s="1"/>
  <c r="X1913" i="82"/>
  <c r="AD1913" i="82" s="1"/>
  <c r="W1913" i="82"/>
  <c r="AC1913" i="82" s="1"/>
  <c r="V1913" i="82"/>
  <c r="AB1913" i="82" s="1"/>
  <c r="X1912" i="82"/>
  <c r="AD1912" i="82" s="1"/>
  <c r="W1912" i="82"/>
  <c r="AC1912" i="82" s="1"/>
  <c r="V1912" i="82"/>
  <c r="AB1912" i="82" s="1"/>
  <c r="X1911" i="82"/>
  <c r="AD1911" i="82" s="1"/>
  <c r="W1911" i="82"/>
  <c r="AC1911" i="82" s="1"/>
  <c r="V1911" i="82"/>
  <c r="AB1911" i="82" s="1"/>
  <c r="X1910" i="82"/>
  <c r="AD1910" i="82" s="1"/>
  <c r="W1910" i="82"/>
  <c r="AC1910" i="82" s="1"/>
  <c r="V1910" i="82"/>
  <c r="AB1910" i="82" s="1"/>
  <c r="X1909" i="82"/>
  <c r="AD1909" i="82" s="1"/>
  <c r="W1909" i="82"/>
  <c r="AC1909" i="82" s="1"/>
  <c r="V1909" i="82"/>
  <c r="AB1909" i="82" s="1"/>
  <c r="X1908" i="82"/>
  <c r="AD1908" i="82" s="1"/>
  <c r="W1908" i="82"/>
  <c r="AC1908" i="82" s="1"/>
  <c r="V1908" i="82"/>
  <c r="AB1908" i="82" s="1"/>
  <c r="X1907" i="82"/>
  <c r="AD1907" i="82" s="1"/>
  <c r="W1907" i="82"/>
  <c r="AC1907" i="82" s="1"/>
  <c r="V1907" i="82"/>
  <c r="AB1907" i="82" s="1"/>
  <c r="X1906" i="82"/>
  <c r="AD1906" i="82" s="1"/>
  <c r="W1906" i="82"/>
  <c r="AC1906" i="82" s="1"/>
  <c r="V1906" i="82"/>
  <c r="AB1906" i="82" s="1"/>
  <c r="X1905" i="82"/>
  <c r="AD1905" i="82" s="1"/>
  <c r="W1905" i="82"/>
  <c r="AC1905" i="82" s="1"/>
  <c r="V1905" i="82"/>
  <c r="AB1905" i="82" s="1"/>
  <c r="X1904" i="82"/>
  <c r="AD1904" i="82" s="1"/>
  <c r="W1904" i="82"/>
  <c r="AC1904" i="82" s="1"/>
  <c r="V1904" i="82"/>
  <c r="AB1904" i="82" s="1"/>
  <c r="X1903" i="82"/>
  <c r="AD1903" i="82" s="1"/>
  <c r="W1903" i="82"/>
  <c r="AC1903" i="82" s="1"/>
  <c r="V1903" i="82"/>
  <c r="AB1903" i="82" s="1"/>
  <c r="X1902" i="82"/>
  <c r="AD1902" i="82" s="1"/>
  <c r="W1902" i="82"/>
  <c r="AC1902" i="82" s="1"/>
  <c r="V1902" i="82"/>
  <c r="AB1902" i="82" s="1"/>
  <c r="X1901" i="82"/>
  <c r="AD1901" i="82" s="1"/>
  <c r="W1901" i="82"/>
  <c r="AC1901" i="82" s="1"/>
  <c r="V1901" i="82"/>
  <c r="AB1901" i="82" s="1"/>
  <c r="X1900" i="82"/>
  <c r="AD1900" i="82" s="1"/>
  <c r="W1900" i="82"/>
  <c r="AC1900" i="82" s="1"/>
  <c r="V1900" i="82"/>
  <c r="AB1900" i="82" s="1"/>
  <c r="X1899" i="82"/>
  <c r="AD1899" i="82" s="1"/>
  <c r="W1899" i="82"/>
  <c r="AC1899" i="82" s="1"/>
  <c r="V1899" i="82"/>
  <c r="AB1899" i="82" s="1"/>
  <c r="X1898" i="82"/>
  <c r="AD1898" i="82" s="1"/>
  <c r="W1898" i="82"/>
  <c r="AC1898" i="82" s="1"/>
  <c r="V1898" i="82"/>
  <c r="AB1898" i="82" s="1"/>
  <c r="X1897" i="82"/>
  <c r="AD1897" i="82" s="1"/>
  <c r="W1897" i="82"/>
  <c r="AC1897" i="82" s="1"/>
  <c r="V1897" i="82"/>
  <c r="AB1897" i="82" s="1"/>
  <c r="X1896" i="82"/>
  <c r="AD1896" i="82" s="1"/>
  <c r="W1896" i="82"/>
  <c r="AC1896" i="82" s="1"/>
  <c r="V1896" i="82"/>
  <c r="AB1896" i="82" s="1"/>
  <c r="X1895" i="82"/>
  <c r="AD1895" i="82" s="1"/>
  <c r="W1895" i="82"/>
  <c r="AC1895" i="82" s="1"/>
  <c r="V1895" i="82"/>
  <c r="AB1895" i="82" s="1"/>
  <c r="X1894" i="82"/>
  <c r="AD1894" i="82" s="1"/>
  <c r="W1894" i="82"/>
  <c r="AC1894" i="82" s="1"/>
  <c r="V1894" i="82"/>
  <c r="AB1894" i="82" s="1"/>
  <c r="X1893" i="82"/>
  <c r="AD1893" i="82" s="1"/>
  <c r="W1893" i="82"/>
  <c r="AC1893" i="82" s="1"/>
  <c r="V1893" i="82"/>
  <c r="AB1893" i="82" s="1"/>
  <c r="X1892" i="82"/>
  <c r="AD1892" i="82" s="1"/>
  <c r="W1892" i="82"/>
  <c r="AC1892" i="82" s="1"/>
  <c r="V1892" i="82"/>
  <c r="AB1892" i="82" s="1"/>
  <c r="X1891" i="82"/>
  <c r="AD1891" i="82" s="1"/>
  <c r="W1891" i="82"/>
  <c r="AC1891" i="82" s="1"/>
  <c r="V1891" i="82"/>
  <c r="AB1891" i="82" s="1"/>
  <c r="X1890" i="82"/>
  <c r="AD1890" i="82" s="1"/>
  <c r="W1890" i="82"/>
  <c r="AC1890" i="82" s="1"/>
  <c r="V1890" i="82"/>
  <c r="AB1890" i="82" s="1"/>
  <c r="X1889" i="82"/>
  <c r="AD1889" i="82" s="1"/>
  <c r="W1889" i="82"/>
  <c r="AC1889" i="82" s="1"/>
  <c r="V1889" i="82"/>
  <c r="AB1889" i="82" s="1"/>
  <c r="X1888" i="82"/>
  <c r="AD1888" i="82" s="1"/>
  <c r="W1888" i="82"/>
  <c r="AC1888" i="82" s="1"/>
  <c r="V1888" i="82"/>
  <c r="AB1888" i="82" s="1"/>
  <c r="X1887" i="82"/>
  <c r="AD1887" i="82" s="1"/>
  <c r="W1887" i="82"/>
  <c r="AC1887" i="82" s="1"/>
  <c r="V1887" i="82"/>
  <c r="AB1887" i="82" s="1"/>
  <c r="X1886" i="82"/>
  <c r="AD1886" i="82" s="1"/>
  <c r="W1886" i="82"/>
  <c r="AC1886" i="82" s="1"/>
  <c r="V1886" i="82"/>
  <c r="AB1886" i="82" s="1"/>
  <c r="X1885" i="82"/>
  <c r="AD1885" i="82" s="1"/>
  <c r="W1885" i="82"/>
  <c r="AC1885" i="82" s="1"/>
  <c r="V1885" i="82"/>
  <c r="AB1885" i="82" s="1"/>
  <c r="X1884" i="82"/>
  <c r="AD1884" i="82" s="1"/>
  <c r="W1884" i="82"/>
  <c r="AC1884" i="82" s="1"/>
  <c r="V1884" i="82"/>
  <c r="AB1884" i="82" s="1"/>
  <c r="X1883" i="82"/>
  <c r="AD1883" i="82" s="1"/>
  <c r="W1883" i="82"/>
  <c r="AC1883" i="82" s="1"/>
  <c r="V1883" i="82"/>
  <c r="AB1883" i="82" s="1"/>
  <c r="X1882" i="82"/>
  <c r="AD1882" i="82" s="1"/>
  <c r="W1882" i="82"/>
  <c r="AC1882" i="82" s="1"/>
  <c r="V1882" i="82"/>
  <c r="AB1882" i="82" s="1"/>
  <c r="X1881" i="82"/>
  <c r="AD1881" i="82" s="1"/>
  <c r="W1881" i="82"/>
  <c r="AC1881" i="82" s="1"/>
  <c r="V1881" i="82"/>
  <c r="AB1881" i="82" s="1"/>
  <c r="X1880" i="82"/>
  <c r="AD1880" i="82" s="1"/>
  <c r="W1880" i="82"/>
  <c r="AC1880" i="82" s="1"/>
  <c r="V1880" i="82"/>
  <c r="AB1880" i="82" s="1"/>
  <c r="X1879" i="82"/>
  <c r="AD1879" i="82" s="1"/>
  <c r="W1879" i="82"/>
  <c r="AC1879" i="82" s="1"/>
  <c r="V1879" i="82"/>
  <c r="AB1879" i="82" s="1"/>
  <c r="X1878" i="82"/>
  <c r="AD1878" i="82" s="1"/>
  <c r="W1878" i="82"/>
  <c r="AC1878" i="82" s="1"/>
  <c r="V1878" i="82"/>
  <c r="AB1878" i="82" s="1"/>
  <c r="X1877" i="82"/>
  <c r="AD1877" i="82" s="1"/>
  <c r="W1877" i="82"/>
  <c r="AC1877" i="82" s="1"/>
  <c r="V1877" i="82"/>
  <c r="AB1877" i="82" s="1"/>
  <c r="X1876" i="82"/>
  <c r="AD1876" i="82" s="1"/>
  <c r="W1876" i="82"/>
  <c r="AC1876" i="82" s="1"/>
  <c r="V1876" i="82"/>
  <c r="AB1876" i="82" s="1"/>
  <c r="X1875" i="82"/>
  <c r="AD1875" i="82" s="1"/>
  <c r="W1875" i="82"/>
  <c r="AC1875" i="82" s="1"/>
  <c r="V1875" i="82"/>
  <c r="AB1875" i="82" s="1"/>
  <c r="X1874" i="82"/>
  <c r="AD1874" i="82" s="1"/>
  <c r="W1874" i="82"/>
  <c r="AC1874" i="82" s="1"/>
  <c r="V1874" i="82"/>
  <c r="AB1874" i="82" s="1"/>
  <c r="X1873" i="82"/>
  <c r="AD1873" i="82" s="1"/>
  <c r="W1873" i="82"/>
  <c r="AC1873" i="82" s="1"/>
  <c r="V1873" i="82"/>
  <c r="AB1873" i="82" s="1"/>
  <c r="X1872" i="82"/>
  <c r="AD1872" i="82" s="1"/>
  <c r="W1872" i="82"/>
  <c r="AC1872" i="82" s="1"/>
  <c r="V1872" i="82"/>
  <c r="AB1872" i="82" s="1"/>
  <c r="X1871" i="82"/>
  <c r="AD1871" i="82" s="1"/>
  <c r="W1871" i="82"/>
  <c r="AC1871" i="82" s="1"/>
  <c r="V1871" i="82"/>
  <c r="AB1871" i="82" s="1"/>
  <c r="X1870" i="82"/>
  <c r="AD1870" i="82" s="1"/>
  <c r="W1870" i="82"/>
  <c r="AC1870" i="82" s="1"/>
  <c r="V1870" i="82"/>
  <c r="AB1870" i="82" s="1"/>
  <c r="X1869" i="82"/>
  <c r="AD1869" i="82" s="1"/>
  <c r="W1869" i="82"/>
  <c r="AC1869" i="82" s="1"/>
  <c r="V1869" i="82"/>
  <c r="AB1869" i="82" s="1"/>
  <c r="X1868" i="82"/>
  <c r="AD1868" i="82" s="1"/>
  <c r="W1868" i="82"/>
  <c r="AC1868" i="82" s="1"/>
  <c r="V1868" i="82"/>
  <c r="AB1868" i="82" s="1"/>
  <c r="X1867" i="82"/>
  <c r="AD1867" i="82" s="1"/>
  <c r="W1867" i="82"/>
  <c r="AC1867" i="82" s="1"/>
  <c r="V1867" i="82"/>
  <c r="AB1867" i="82" s="1"/>
  <c r="X1866" i="82"/>
  <c r="AD1866" i="82" s="1"/>
  <c r="W1866" i="82"/>
  <c r="AC1866" i="82" s="1"/>
  <c r="V1866" i="82"/>
  <c r="AB1866" i="82" s="1"/>
  <c r="X1865" i="82"/>
  <c r="AD1865" i="82" s="1"/>
  <c r="W1865" i="82"/>
  <c r="AC1865" i="82" s="1"/>
  <c r="V1865" i="82"/>
  <c r="AB1865" i="82" s="1"/>
  <c r="X1864" i="82"/>
  <c r="AD1864" i="82" s="1"/>
  <c r="W1864" i="82"/>
  <c r="AC1864" i="82" s="1"/>
  <c r="V1864" i="82"/>
  <c r="AB1864" i="82" s="1"/>
  <c r="X1863" i="82"/>
  <c r="AD1863" i="82" s="1"/>
  <c r="W1863" i="82"/>
  <c r="AC1863" i="82" s="1"/>
  <c r="V1863" i="82"/>
  <c r="AB1863" i="82" s="1"/>
  <c r="X1862" i="82"/>
  <c r="AD1862" i="82" s="1"/>
  <c r="W1862" i="82"/>
  <c r="AC1862" i="82" s="1"/>
  <c r="V1862" i="82"/>
  <c r="AB1862" i="82" s="1"/>
  <c r="X1861" i="82"/>
  <c r="AD1861" i="82" s="1"/>
  <c r="W1861" i="82"/>
  <c r="AC1861" i="82" s="1"/>
  <c r="V1861" i="82"/>
  <c r="AB1861" i="82" s="1"/>
  <c r="X1860" i="82"/>
  <c r="AD1860" i="82" s="1"/>
  <c r="W1860" i="82"/>
  <c r="AC1860" i="82" s="1"/>
  <c r="V1860" i="82"/>
  <c r="AB1860" i="82" s="1"/>
  <c r="X1859" i="82"/>
  <c r="AD1859" i="82" s="1"/>
  <c r="W1859" i="82"/>
  <c r="AC1859" i="82" s="1"/>
  <c r="V1859" i="82"/>
  <c r="AB1859" i="82" s="1"/>
  <c r="X1858" i="82"/>
  <c r="AD1858" i="82" s="1"/>
  <c r="W1858" i="82"/>
  <c r="AC1858" i="82" s="1"/>
  <c r="V1858" i="82"/>
  <c r="AB1858" i="82" s="1"/>
  <c r="X1857" i="82"/>
  <c r="AD1857" i="82" s="1"/>
  <c r="W1857" i="82"/>
  <c r="AC1857" i="82" s="1"/>
  <c r="V1857" i="82"/>
  <c r="AB1857" i="82" s="1"/>
  <c r="X1856" i="82"/>
  <c r="AD1856" i="82" s="1"/>
  <c r="W1856" i="82"/>
  <c r="AC1856" i="82" s="1"/>
  <c r="V1856" i="82"/>
  <c r="AB1856" i="82" s="1"/>
  <c r="X1855" i="82"/>
  <c r="AD1855" i="82" s="1"/>
  <c r="W1855" i="82"/>
  <c r="AC1855" i="82" s="1"/>
  <c r="V1855" i="82"/>
  <c r="AB1855" i="82" s="1"/>
  <c r="X1854" i="82"/>
  <c r="AD1854" i="82" s="1"/>
  <c r="W1854" i="82"/>
  <c r="AC1854" i="82" s="1"/>
  <c r="V1854" i="82"/>
  <c r="AB1854" i="82" s="1"/>
  <c r="X1853" i="82"/>
  <c r="AD1853" i="82" s="1"/>
  <c r="W1853" i="82"/>
  <c r="AC1853" i="82" s="1"/>
  <c r="V1853" i="82"/>
  <c r="AB1853" i="82" s="1"/>
  <c r="X1852" i="82"/>
  <c r="AD1852" i="82" s="1"/>
  <c r="W1852" i="82"/>
  <c r="AC1852" i="82" s="1"/>
  <c r="V1852" i="82"/>
  <c r="AB1852" i="82" s="1"/>
  <c r="X1851" i="82"/>
  <c r="AD1851" i="82" s="1"/>
  <c r="W1851" i="82"/>
  <c r="AC1851" i="82" s="1"/>
  <c r="V1851" i="82"/>
  <c r="AB1851" i="82" s="1"/>
  <c r="X1850" i="82"/>
  <c r="AD1850" i="82" s="1"/>
  <c r="W1850" i="82"/>
  <c r="AC1850" i="82" s="1"/>
  <c r="V1850" i="82"/>
  <c r="AB1850" i="82" s="1"/>
  <c r="X1849" i="82"/>
  <c r="AD1849" i="82" s="1"/>
  <c r="W1849" i="82"/>
  <c r="AC1849" i="82" s="1"/>
  <c r="V1849" i="82"/>
  <c r="AB1849" i="82" s="1"/>
  <c r="X1848" i="82"/>
  <c r="AD1848" i="82" s="1"/>
  <c r="W1848" i="82"/>
  <c r="AC1848" i="82" s="1"/>
  <c r="V1848" i="82"/>
  <c r="AB1848" i="82" s="1"/>
  <c r="X1847" i="82"/>
  <c r="AD1847" i="82" s="1"/>
  <c r="W1847" i="82"/>
  <c r="AC1847" i="82" s="1"/>
  <c r="V1847" i="82"/>
  <c r="AB1847" i="82" s="1"/>
  <c r="X1846" i="82"/>
  <c r="AD1846" i="82" s="1"/>
  <c r="W1846" i="82"/>
  <c r="AC1846" i="82" s="1"/>
  <c r="V1846" i="82"/>
  <c r="AB1846" i="82" s="1"/>
  <c r="X1845" i="82"/>
  <c r="AD1845" i="82" s="1"/>
  <c r="W1845" i="82"/>
  <c r="AC1845" i="82" s="1"/>
  <c r="V1845" i="82"/>
  <c r="AB1845" i="82" s="1"/>
  <c r="X1844" i="82"/>
  <c r="AD1844" i="82" s="1"/>
  <c r="W1844" i="82"/>
  <c r="AC1844" i="82" s="1"/>
  <c r="V1844" i="82"/>
  <c r="AB1844" i="82" s="1"/>
  <c r="X1843" i="82"/>
  <c r="AD1843" i="82" s="1"/>
  <c r="W1843" i="82"/>
  <c r="AC1843" i="82" s="1"/>
  <c r="V1843" i="82"/>
  <c r="AB1843" i="82" s="1"/>
  <c r="X1842" i="82"/>
  <c r="AD1842" i="82" s="1"/>
  <c r="W1842" i="82"/>
  <c r="AC1842" i="82" s="1"/>
  <c r="V1842" i="82"/>
  <c r="AB1842" i="82" s="1"/>
  <c r="X1841" i="82"/>
  <c r="AD1841" i="82" s="1"/>
  <c r="W1841" i="82"/>
  <c r="AC1841" i="82" s="1"/>
  <c r="V1841" i="82"/>
  <c r="AB1841" i="82" s="1"/>
  <c r="X1840" i="82"/>
  <c r="AD1840" i="82" s="1"/>
  <c r="W1840" i="82"/>
  <c r="AC1840" i="82" s="1"/>
  <c r="V1840" i="82"/>
  <c r="AB1840" i="82" s="1"/>
  <c r="X1839" i="82"/>
  <c r="AD1839" i="82" s="1"/>
  <c r="W1839" i="82"/>
  <c r="AC1839" i="82" s="1"/>
  <c r="V1839" i="82"/>
  <c r="AB1839" i="82" s="1"/>
  <c r="X1838" i="82"/>
  <c r="AD1838" i="82" s="1"/>
  <c r="W1838" i="82"/>
  <c r="AC1838" i="82" s="1"/>
  <c r="V1838" i="82"/>
  <c r="AB1838" i="82" s="1"/>
  <c r="X1837" i="82"/>
  <c r="AD1837" i="82" s="1"/>
  <c r="W1837" i="82"/>
  <c r="AC1837" i="82" s="1"/>
  <c r="V1837" i="82"/>
  <c r="AB1837" i="82" s="1"/>
  <c r="X1836" i="82"/>
  <c r="AD1836" i="82" s="1"/>
  <c r="W1836" i="82"/>
  <c r="AC1836" i="82" s="1"/>
  <c r="V1836" i="82"/>
  <c r="AB1836" i="82" s="1"/>
  <c r="X1835" i="82"/>
  <c r="AD1835" i="82" s="1"/>
  <c r="W1835" i="82"/>
  <c r="AC1835" i="82" s="1"/>
  <c r="V1835" i="82"/>
  <c r="AB1835" i="82" s="1"/>
  <c r="X1834" i="82"/>
  <c r="AD1834" i="82" s="1"/>
  <c r="W1834" i="82"/>
  <c r="AC1834" i="82" s="1"/>
  <c r="V1834" i="82"/>
  <c r="AB1834" i="82" s="1"/>
  <c r="X1833" i="82"/>
  <c r="AD1833" i="82" s="1"/>
  <c r="W1833" i="82"/>
  <c r="AC1833" i="82" s="1"/>
  <c r="V1833" i="82"/>
  <c r="AB1833" i="82" s="1"/>
  <c r="X1832" i="82"/>
  <c r="AD1832" i="82" s="1"/>
  <c r="W1832" i="82"/>
  <c r="AC1832" i="82" s="1"/>
  <c r="V1832" i="82"/>
  <c r="AB1832" i="82" s="1"/>
  <c r="X1831" i="82"/>
  <c r="AD1831" i="82" s="1"/>
  <c r="W1831" i="82"/>
  <c r="AC1831" i="82" s="1"/>
  <c r="V1831" i="82"/>
  <c r="AB1831" i="82" s="1"/>
  <c r="X1830" i="82"/>
  <c r="AD1830" i="82" s="1"/>
  <c r="W1830" i="82"/>
  <c r="AC1830" i="82" s="1"/>
  <c r="V1830" i="82"/>
  <c r="AB1830" i="82" s="1"/>
  <c r="X1829" i="82"/>
  <c r="AD1829" i="82" s="1"/>
  <c r="W1829" i="82"/>
  <c r="AC1829" i="82" s="1"/>
  <c r="V1829" i="82"/>
  <c r="AB1829" i="82" s="1"/>
  <c r="X1828" i="82"/>
  <c r="AD1828" i="82" s="1"/>
  <c r="W1828" i="82"/>
  <c r="AC1828" i="82" s="1"/>
  <c r="V1828" i="82"/>
  <c r="AB1828" i="82" s="1"/>
  <c r="X1827" i="82"/>
  <c r="AD1827" i="82" s="1"/>
  <c r="W1827" i="82"/>
  <c r="AC1827" i="82" s="1"/>
  <c r="V1827" i="82"/>
  <c r="AB1827" i="82" s="1"/>
  <c r="X1826" i="82"/>
  <c r="AD1826" i="82" s="1"/>
  <c r="W1826" i="82"/>
  <c r="AC1826" i="82" s="1"/>
  <c r="V1826" i="82"/>
  <c r="AB1826" i="82" s="1"/>
  <c r="X1825" i="82"/>
  <c r="AD1825" i="82" s="1"/>
  <c r="W1825" i="82"/>
  <c r="AC1825" i="82" s="1"/>
  <c r="V1825" i="82"/>
  <c r="AB1825" i="82" s="1"/>
  <c r="X1824" i="82"/>
  <c r="AD1824" i="82" s="1"/>
  <c r="W1824" i="82"/>
  <c r="AC1824" i="82" s="1"/>
  <c r="V1824" i="82"/>
  <c r="AB1824" i="82" s="1"/>
  <c r="X1823" i="82"/>
  <c r="AD1823" i="82" s="1"/>
  <c r="W1823" i="82"/>
  <c r="AC1823" i="82" s="1"/>
  <c r="V1823" i="82"/>
  <c r="AB1823" i="82" s="1"/>
  <c r="X1822" i="82"/>
  <c r="AD1822" i="82" s="1"/>
  <c r="W1822" i="82"/>
  <c r="AC1822" i="82" s="1"/>
  <c r="V1822" i="82"/>
  <c r="AB1822" i="82" s="1"/>
  <c r="X1821" i="82"/>
  <c r="AD1821" i="82" s="1"/>
  <c r="W1821" i="82"/>
  <c r="AC1821" i="82" s="1"/>
  <c r="V1821" i="82"/>
  <c r="AB1821" i="82" s="1"/>
  <c r="X1820" i="82"/>
  <c r="AD1820" i="82" s="1"/>
  <c r="W1820" i="82"/>
  <c r="AC1820" i="82" s="1"/>
  <c r="V1820" i="82"/>
  <c r="AB1820" i="82" s="1"/>
  <c r="X1819" i="82"/>
  <c r="AD1819" i="82" s="1"/>
  <c r="W1819" i="82"/>
  <c r="AC1819" i="82" s="1"/>
  <c r="V1819" i="82"/>
  <c r="AB1819" i="82" s="1"/>
  <c r="X1818" i="82"/>
  <c r="AD1818" i="82" s="1"/>
  <c r="W1818" i="82"/>
  <c r="AC1818" i="82" s="1"/>
  <c r="V1818" i="82"/>
  <c r="AB1818" i="82" s="1"/>
  <c r="X1817" i="82"/>
  <c r="AD1817" i="82" s="1"/>
  <c r="W1817" i="82"/>
  <c r="AC1817" i="82" s="1"/>
  <c r="V1817" i="82"/>
  <c r="AB1817" i="82" s="1"/>
  <c r="X1816" i="82"/>
  <c r="AD1816" i="82" s="1"/>
  <c r="W1816" i="82"/>
  <c r="AC1816" i="82" s="1"/>
  <c r="V1816" i="82"/>
  <c r="AB1816" i="82" s="1"/>
  <c r="X1815" i="82"/>
  <c r="AD1815" i="82" s="1"/>
  <c r="W1815" i="82"/>
  <c r="AC1815" i="82" s="1"/>
  <c r="V1815" i="82"/>
  <c r="AB1815" i="82" s="1"/>
  <c r="X1814" i="82"/>
  <c r="AD1814" i="82" s="1"/>
  <c r="W1814" i="82"/>
  <c r="AC1814" i="82" s="1"/>
  <c r="V1814" i="82"/>
  <c r="AB1814" i="82" s="1"/>
  <c r="X1813" i="82"/>
  <c r="AD1813" i="82" s="1"/>
  <c r="W1813" i="82"/>
  <c r="AC1813" i="82" s="1"/>
  <c r="V1813" i="82"/>
  <c r="AB1813" i="82" s="1"/>
  <c r="X1812" i="82"/>
  <c r="AD1812" i="82" s="1"/>
  <c r="W1812" i="82"/>
  <c r="AC1812" i="82" s="1"/>
  <c r="V1812" i="82"/>
  <c r="AB1812" i="82" s="1"/>
  <c r="X1811" i="82"/>
  <c r="AD1811" i="82" s="1"/>
  <c r="W1811" i="82"/>
  <c r="AC1811" i="82" s="1"/>
  <c r="V1811" i="82"/>
  <c r="AB1811" i="82" s="1"/>
  <c r="X1810" i="82"/>
  <c r="AD1810" i="82" s="1"/>
  <c r="W1810" i="82"/>
  <c r="AC1810" i="82" s="1"/>
  <c r="V1810" i="82"/>
  <c r="AB1810" i="82" s="1"/>
  <c r="X1809" i="82"/>
  <c r="AD1809" i="82" s="1"/>
  <c r="W1809" i="82"/>
  <c r="AC1809" i="82" s="1"/>
  <c r="V1809" i="82"/>
  <c r="AB1809" i="82" s="1"/>
  <c r="X1808" i="82"/>
  <c r="AD1808" i="82" s="1"/>
  <c r="W1808" i="82"/>
  <c r="AC1808" i="82" s="1"/>
  <c r="V1808" i="82"/>
  <c r="AB1808" i="82" s="1"/>
  <c r="X1807" i="82"/>
  <c r="AD1807" i="82" s="1"/>
  <c r="W1807" i="82"/>
  <c r="AC1807" i="82" s="1"/>
  <c r="V1807" i="82"/>
  <c r="AB1807" i="82" s="1"/>
  <c r="X1806" i="82"/>
  <c r="AD1806" i="82" s="1"/>
  <c r="W1806" i="82"/>
  <c r="AC1806" i="82" s="1"/>
  <c r="V1806" i="82"/>
  <c r="AB1806" i="82" s="1"/>
  <c r="X1805" i="82"/>
  <c r="AD1805" i="82" s="1"/>
  <c r="W1805" i="82"/>
  <c r="AC1805" i="82" s="1"/>
  <c r="V1805" i="82"/>
  <c r="AB1805" i="82" s="1"/>
  <c r="X1804" i="82"/>
  <c r="AD1804" i="82" s="1"/>
  <c r="W1804" i="82"/>
  <c r="AC1804" i="82" s="1"/>
  <c r="V1804" i="82"/>
  <c r="AB1804" i="82" s="1"/>
  <c r="X1803" i="82"/>
  <c r="AD1803" i="82" s="1"/>
  <c r="W1803" i="82"/>
  <c r="AC1803" i="82" s="1"/>
  <c r="V1803" i="82"/>
  <c r="AB1803" i="82" s="1"/>
  <c r="X1802" i="82"/>
  <c r="AD1802" i="82" s="1"/>
  <c r="W1802" i="82"/>
  <c r="AC1802" i="82" s="1"/>
  <c r="V1802" i="82"/>
  <c r="AB1802" i="82" s="1"/>
  <c r="X1801" i="82"/>
  <c r="AD1801" i="82" s="1"/>
  <c r="W1801" i="82"/>
  <c r="AC1801" i="82" s="1"/>
  <c r="V1801" i="82"/>
  <c r="AB1801" i="82" s="1"/>
  <c r="X1800" i="82"/>
  <c r="AD1800" i="82" s="1"/>
  <c r="W1800" i="82"/>
  <c r="AC1800" i="82" s="1"/>
  <c r="V1800" i="82"/>
  <c r="AB1800" i="82" s="1"/>
  <c r="X1799" i="82"/>
  <c r="AD1799" i="82" s="1"/>
  <c r="W1799" i="82"/>
  <c r="AC1799" i="82" s="1"/>
  <c r="V1799" i="82"/>
  <c r="AB1799" i="82" s="1"/>
  <c r="X1798" i="82"/>
  <c r="AD1798" i="82" s="1"/>
  <c r="W1798" i="82"/>
  <c r="AC1798" i="82" s="1"/>
  <c r="V1798" i="82"/>
  <c r="AB1798" i="82" s="1"/>
  <c r="X1797" i="82"/>
  <c r="AD1797" i="82" s="1"/>
  <c r="W1797" i="82"/>
  <c r="AC1797" i="82" s="1"/>
  <c r="V1797" i="82"/>
  <c r="AB1797" i="82" s="1"/>
  <c r="X1796" i="82"/>
  <c r="AD1796" i="82" s="1"/>
  <c r="W1796" i="82"/>
  <c r="AC1796" i="82" s="1"/>
  <c r="V1796" i="82"/>
  <c r="AB1796" i="82" s="1"/>
  <c r="X1795" i="82"/>
  <c r="AD1795" i="82" s="1"/>
  <c r="W1795" i="82"/>
  <c r="AC1795" i="82" s="1"/>
  <c r="V1795" i="82"/>
  <c r="AB1795" i="82" s="1"/>
  <c r="X1794" i="82"/>
  <c r="AD1794" i="82" s="1"/>
  <c r="W1794" i="82"/>
  <c r="AC1794" i="82" s="1"/>
  <c r="V1794" i="82"/>
  <c r="AB1794" i="82" s="1"/>
  <c r="X1793" i="82"/>
  <c r="AD1793" i="82" s="1"/>
  <c r="W1793" i="82"/>
  <c r="AC1793" i="82" s="1"/>
  <c r="V1793" i="82"/>
  <c r="AB1793" i="82" s="1"/>
  <c r="X1792" i="82"/>
  <c r="AD1792" i="82" s="1"/>
  <c r="W1792" i="82"/>
  <c r="AC1792" i="82" s="1"/>
  <c r="V1792" i="82"/>
  <c r="AB1792" i="82" s="1"/>
  <c r="X1791" i="82"/>
  <c r="AD1791" i="82" s="1"/>
  <c r="W1791" i="82"/>
  <c r="AC1791" i="82" s="1"/>
  <c r="V1791" i="82"/>
  <c r="AB1791" i="82" s="1"/>
  <c r="X1790" i="82"/>
  <c r="AD1790" i="82" s="1"/>
  <c r="W1790" i="82"/>
  <c r="AC1790" i="82" s="1"/>
  <c r="V1790" i="82"/>
  <c r="AB1790" i="82" s="1"/>
  <c r="X1789" i="82"/>
  <c r="AD1789" i="82" s="1"/>
  <c r="W1789" i="82"/>
  <c r="AC1789" i="82" s="1"/>
  <c r="V1789" i="82"/>
  <c r="AB1789" i="82" s="1"/>
  <c r="X1788" i="82"/>
  <c r="AD1788" i="82" s="1"/>
  <c r="W1788" i="82"/>
  <c r="AC1788" i="82" s="1"/>
  <c r="V1788" i="82"/>
  <c r="AB1788" i="82" s="1"/>
  <c r="X1787" i="82"/>
  <c r="AD1787" i="82" s="1"/>
  <c r="W1787" i="82"/>
  <c r="AC1787" i="82" s="1"/>
  <c r="V1787" i="82"/>
  <c r="AB1787" i="82" s="1"/>
  <c r="X1786" i="82"/>
  <c r="AD1786" i="82" s="1"/>
  <c r="W1786" i="82"/>
  <c r="AC1786" i="82" s="1"/>
  <c r="V1786" i="82"/>
  <c r="AB1786" i="82" s="1"/>
  <c r="X1785" i="82"/>
  <c r="AD1785" i="82" s="1"/>
  <c r="W1785" i="82"/>
  <c r="AC1785" i="82" s="1"/>
  <c r="V1785" i="82"/>
  <c r="AB1785" i="82" s="1"/>
  <c r="X1784" i="82"/>
  <c r="AD1784" i="82" s="1"/>
  <c r="W1784" i="82"/>
  <c r="AC1784" i="82" s="1"/>
  <c r="V1784" i="82"/>
  <c r="AB1784" i="82" s="1"/>
  <c r="X1783" i="82"/>
  <c r="AD1783" i="82" s="1"/>
  <c r="W1783" i="82"/>
  <c r="AC1783" i="82" s="1"/>
  <c r="V1783" i="82"/>
  <c r="AB1783" i="82" s="1"/>
  <c r="X1782" i="82"/>
  <c r="AD1782" i="82" s="1"/>
  <c r="W1782" i="82"/>
  <c r="AC1782" i="82" s="1"/>
  <c r="V1782" i="82"/>
  <c r="AB1782" i="82" s="1"/>
  <c r="X1781" i="82"/>
  <c r="AD1781" i="82" s="1"/>
  <c r="W1781" i="82"/>
  <c r="AC1781" i="82" s="1"/>
  <c r="V1781" i="82"/>
  <c r="AB1781" i="82" s="1"/>
  <c r="X1780" i="82"/>
  <c r="AD1780" i="82" s="1"/>
  <c r="W1780" i="82"/>
  <c r="AC1780" i="82" s="1"/>
  <c r="V1780" i="82"/>
  <c r="AB1780" i="82" s="1"/>
  <c r="X1779" i="82"/>
  <c r="AD1779" i="82" s="1"/>
  <c r="W1779" i="82"/>
  <c r="AC1779" i="82" s="1"/>
  <c r="V1779" i="82"/>
  <c r="AB1779" i="82" s="1"/>
  <c r="X1778" i="82"/>
  <c r="AD1778" i="82" s="1"/>
  <c r="W1778" i="82"/>
  <c r="AC1778" i="82" s="1"/>
  <c r="V1778" i="82"/>
  <c r="AB1778" i="82" s="1"/>
  <c r="X1777" i="82"/>
  <c r="AD1777" i="82" s="1"/>
  <c r="W1777" i="82"/>
  <c r="AC1777" i="82" s="1"/>
  <c r="V1777" i="82"/>
  <c r="AB1777" i="82" s="1"/>
  <c r="X1776" i="82"/>
  <c r="AD1776" i="82" s="1"/>
  <c r="W1776" i="82"/>
  <c r="AC1776" i="82" s="1"/>
  <c r="V1776" i="82"/>
  <c r="AB1776" i="82" s="1"/>
  <c r="X1775" i="82"/>
  <c r="AD1775" i="82" s="1"/>
  <c r="W1775" i="82"/>
  <c r="AC1775" i="82" s="1"/>
  <c r="V1775" i="82"/>
  <c r="AB1775" i="82" s="1"/>
  <c r="X1774" i="82"/>
  <c r="AD1774" i="82" s="1"/>
  <c r="W1774" i="82"/>
  <c r="AC1774" i="82" s="1"/>
  <c r="V1774" i="82"/>
  <c r="AB1774" i="82" s="1"/>
  <c r="X1773" i="82"/>
  <c r="AD1773" i="82" s="1"/>
  <c r="W1773" i="82"/>
  <c r="AC1773" i="82" s="1"/>
  <c r="V1773" i="82"/>
  <c r="AB1773" i="82" s="1"/>
  <c r="X1772" i="82"/>
  <c r="AD1772" i="82" s="1"/>
  <c r="W1772" i="82"/>
  <c r="AC1772" i="82" s="1"/>
  <c r="V1772" i="82"/>
  <c r="AB1772" i="82" s="1"/>
  <c r="X1771" i="82"/>
  <c r="AD1771" i="82" s="1"/>
  <c r="W1771" i="82"/>
  <c r="AC1771" i="82" s="1"/>
  <c r="V1771" i="82"/>
  <c r="AB1771" i="82" s="1"/>
  <c r="X1770" i="82"/>
  <c r="AD1770" i="82" s="1"/>
  <c r="W1770" i="82"/>
  <c r="AC1770" i="82" s="1"/>
  <c r="V1770" i="82"/>
  <c r="AB1770" i="82" s="1"/>
  <c r="X1769" i="82"/>
  <c r="AD1769" i="82" s="1"/>
  <c r="W1769" i="82"/>
  <c r="AC1769" i="82" s="1"/>
  <c r="V1769" i="82"/>
  <c r="AB1769" i="82" s="1"/>
  <c r="X1768" i="82"/>
  <c r="AD1768" i="82" s="1"/>
  <c r="W1768" i="82"/>
  <c r="AC1768" i="82" s="1"/>
  <c r="V1768" i="82"/>
  <c r="AB1768" i="82" s="1"/>
  <c r="X1767" i="82"/>
  <c r="AD1767" i="82" s="1"/>
  <c r="W1767" i="82"/>
  <c r="AC1767" i="82" s="1"/>
  <c r="V1767" i="82"/>
  <c r="AB1767" i="82" s="1"/>
  <c r="X1766" i="82"/>
  <c r="AD1766" i="82" s="1"/>
  <c r="W1766" i="82"/>
  <c r="AC1766" i="82" s="1"/>
  <c r="V1766" i="82"/>
  <c r="AB1766" i="82" s="1"/>
  <c r="X1765" i="82"/>
  <c r="AD1765" i="82" s="1"/>
  <c r="W1765" i="82"/>
  <c r="AC1765" i="82" s="1"/>
  <c r="V1765" i="82"/>
  <c r="AB1765" i="82" s="1"/>
  <c r="X1764" i="82"/>
  <c r="AD1764" i="82" s="1"/>
  <c r="W1764" i="82"/>
  <c r="AC1764" i="82" s="1"/>
  <c r="V1764" i="82"/>
  <c r="AB1764" i="82" s="1"/>
  <c r="X1763" i="82"/>
  <c r="AD1763" i="82" s="1"/>
  <c r="W1763" i="82"/>
  <c r="AC1763" i="82" s="1"/>
  <c r="V1763" i="82"/>
  <c r="AB1763" i="82" s="1"/>
  <c r="X1762" i="82"/>
  <c r="AD1762" i="82" s="1"/>
  <c r="W1762" i="82"/>
  <c r="AC1762" i="82" s="1"/>
  <c r="V1762" i="82"/>
  <c r="AB1762" i="82" s="1"/>
  <c r="X1761" i="82"/>
  <c r="AD1761" i="82" s="1"/>
  <c r="W1761" i="82"/>
  <c r="AC1761" i="82" s="1"/>
  <c r="V1761" i="82"/>
  <c r="AB1761" i="82" s="1"/>
  <c r="X1760" i="82"/>
  <c r="AD1760" i="82" s="1"/>
  <c r="W1760" i="82"/>
  <c r="AC1760" i="82" s="1"/>
  <c r="V1760" i="82"/>
  <c r="AB1760" i="82" s="1"/>
  <c r="X1759" i="82"/>
  <c r="AD1759" i="82" s="1"/>
  <c r="W1759" i="82"/>
  <c r="AC1759" i="82" s="1"/>
  <c r="V1759" i="82"/>
  <c r="AB1759" i="82" s="1"/>
  <c r="X1758" i="82"/>
  <c r="AD1758" i="82" s="1"/>
  <c r="W1758" i="82"/>
  <c r="AC1758" i="82" s="1"/>
  <c r="V1758" i="82"/>
  <c r="AB1758" i="82" s="1"/>
  <c r="X1757" i="82"/>
  <c r="AD1757" i="82" s="1"/>
  <c r="W1757" i="82"/>
  <c r="AC1757" i="82" s="1"/>
  <c r="V1757" i="82"/>
  <c r="AB1757" i="82" s="1"/>
  <c r="X1756" i="82"/>
  <c r="AD1756" i="82" s="1"/>
  <c r="W1756" i="82"/>
  <c r="AC1756" i="82" s="1"/>
  <c r="V1756" i="82"/>
  <c r="AB1756" i="82" s="1"/>
  <c r="X1755" i="82"/>
  <c r="AD1755" i="82" s="1"/>
  <c r="W1755" i="82"/>
  <c r="AC1755" i="82" s="1"/>
  <c r="V1755" i="82"/>
  <c r="AB1755" i="82" s="1"/>
  <c r="X1754" i="82"/>
  <c r="AD1754" i="82" s="1"/>
  <c r="W1754" i="82"/>
  <c r="AC1754" i="82" s="1"/>
  <c r="V1754" i="82"/>
  <c r="AB1754" i="82" s="1"/>
  <c r="X1753" i="82"/>
  <c r="AD1753" i="82" s="1"/>
  <c r="W1753" i="82"/>
  <c r="AC1753" i="82" s="1"/>
  <c r="V1753" i="82"/>
  <c r="AB1753" i="82" s="1"/>
  <c r="X1752" i="82"/>
  <c r="AD1752" i="82" s="1"/>
  <c r="W1752" i="82"/>
  <c r="AC1752" i="82" s="1"/>
  <c r="V1752" i="82"/>
  <c r="AB1752" i="82" s="1"/>
  <c r="X1751" i="82"/>
  <c r="AD1751" i="82" s="1"/>
  <c r="W1751" i="82"/>
  <c r="AC1751" i="82" s="1"/>
  <c r="V1751" i="82"/>
  <c r="AB1751" i="82" s="1"/>
  <c r="X1750" i="82"/>
  <c r="AD1750" i="82" s="1"/>
  <c r="W1750" i="82"/>
  <c r="AC1750" i="82" s="1"/>
  <c r="V1750" i="82"/>
  <c r="AB1750" i="82" s="1"/>
  <c r="X1749" i="82"/>
  <c r="AD1749" i="82" s="1"/>
  <c r="W1749" i="82"/>
  <c r="AC1749" i="82" s="1"/>
  <c r="V1749" i="82"/>
  <c r="AB1749" i="82" s="1"/>
  <c r="X1748" i="82"/>
  <c r="AD1748" i="82" s="1"/>
  <c r="W1748" i="82"/>
  <c r="AC1748" i="82" s="1"/>
  <c r="V1748" i="82"/>
  <c r="AB1748" i="82" s="1"/>
  <c r="X1747" i="82"/>
  <c r="AD1747" i="82" s="1"/>
  <c r="W1747" i="82"/>
  <c r="AC1747" i="82" s="1"/>
  <c r="V1747" i="82"/>
  <c r="AB1747" i="82" s="1"/>
  <c r="X1746" i="82"/>
  <c r="AD1746" i="82" s="1"/>
  <c r="W1746" i="82"/>
  <c r="AC1746" i="82" s="1"/>
  <c r="V1746" i="82"/>
  <c r="AB1746" i="82" s="1"/>
  <c r="X1745" i="82"/>
  <c r="AD1745" i="82" s="1"/>
  <c r="W1745" i="82"/>
  <c r="AC1745" i="82" s="1"/>
  <c r="V1745" i="82"/>
  <c r="AB1745" i="82" s="1"/>
  <c r="X1744" i="82"/>
  <c r="AD1744" i="82" s="1"/>
  <c r="W1744" i="82"/>
  <c r="AC1744" i="82" s="1"/>
  <c r="V1744" i="82"/>
  <c r="AB1744" i="82" s="1"/>
  <c r="X1743" i="82"/>
  <c r="AD1743" i="82" s="1"/>
  <c r="W1743" i="82"/>
  <c r="AC1743" i="82" s="1"/>
  <c r="V1743" i="82"/>
  <c r="AB1743" i="82" s="1"/>
  <c r="X1742" i="82"/>
  <c r="AD1742" i="82" s="1"/>
  <c r="W1742" i="82"/>
  <c r="AC1742" i="82" s="1"/>
  <c r="V1742" i="82"/>
  <c r="AB1742" i="82" s="1"/>
  <c r="X1741" i="82"/>
  <c r="AD1741" i="82" s="1"/>
  <c r="W1741" i="82"/>
  <c r="AC1741" i="82" s="1"/>
  <c r="V1741" i="82"/>
  <c r="AB1741" i="82" s="1"/>
  <c r="X1740" i="82"/>
  <c r="AD1740" i="82" s="1"/>
  <c r="W1740" i="82"/>
  <c r="AC1740" i="82" s="1"/>
  <c r="V1740" i="82"/>
  <c r="AB1740" i="82" s="1"/>
  <c r="X1739" i="82"/>
  <c r="AD1739" i="82" s="1"/>
  <c r="W1739" i="82"/>
  <c r="AC1739" i="82" s="1"/>
  <c r="V1739" i="82"/>
  <c r="AB1739" i="82" s="1"/>
  <c r="X1738" i="82"/>
  <c r="AD1738" i="82" s="1"/>
  <c r="W1738" i="82"/>
  <c r="AC1738" i="82" s="1"/>
  <c r="V1738" i="82"/>
  <c r="AB1738" i="82" s="1"/>
  <c r="X1737" i="82"/>
  <c r="AD1737" i="82" s="1"/>
  <c r="W1737" i="82"/>
  <c r="AC1737" i="82" s="1"/>
  <c r="V1737" i="82"/>
  <c r="AB1737" i="82" s="1"/>
  <c r="X1736" i="82"/>
  <c r="AD1736" i="82" s="1"/>
  <c r="W1736" i="82"/>
  <c r="AC1736" i="82" s="1"/>
  <c r="V1736" i="82"/>
  <c r="AB1736" i="82" s="1"/>
  <c r="X1735" i="82"/>
  <c r="AD1735" i="82" s="1"/>
  <c r="W1735" i="82"/>
  <c r="AC1735" i="82" s="1"/>
  <c r="V1735" i="82"/>
  <c r="AB1735" i="82" s="1"/>
  <c r="X1734" i="82"/>
  <c r="AD1734" i="82" s="1"/>
  <c r="W1734" i="82"/>
  <c r="AC1734" i="82" s="1"/>
  <c r="V1734" i="82"/>
  <c r="AB1734" i="82" s="1"/>
  <c r="X1733" i="82"/>
  <c r="AD1733" i="82" s="1"/>
  <c r="W1733" i="82"/>
  <c r="AC1733" i="82" s="1"/>
  <c r="V1733" i="82"/>
  <c r="AB1733" i="82" s="1"/>
  <c r="X1732" i="82"/>
  <c r="AD1732" i="82" s="1"/>
  <c r="W1732" i="82"/>
  <c r="AC1732" i="82" s="1"/>
  <c r="V1732" i="82"/>
  <c r="AB1732" i="82" s="1"/>
  <c r="X1731" i="82"/>
  <c r="AD1731" i="82" s="1"/>
  <c r="W1731" i="82"/>
  <c r="AC1731" i="82" s="1"/>
  <c r="V1731" i="82"/>
  <c r="AB1731" i="82" s="1"/>
  <c r="X1730" i="82"/>
  <c r="AD1730" i="82" s="1"/>
  <c r="W1730" i="82"/>
  <c r="AC1730" i="82" s="1"/>
  <c r="V1730" i="82"/>
  <c r="AB1730" i="82" s="1"/>
  <c r="X1729" i="82"/>
  <c r="AD1729" i="82" s="1"/>
  <c r="W1729" i="82"/>
  <c r="AC1729" i="82" s="1"/>
  <c r="V1729" i="82"/>
  <c r="AB1729" i="82" s="1"/>
  <c r="X1728" i="82"/>
  <c r="AD1728" i="82" s="1"/>
  <c r="W1728" i="82"/>
  <c r="AC1728" i="82" s="1"/>
  <c r="V1728" i="82"/>
  <c r="AB1728" i="82" s="1"/>
  <c r="X1727" i="82"/>
  <c r="AD1727" i="82" s="1"/>
  <c r="W1727" i="82"/>
  <c r="AC1727" i="82" s="1"/>
  <c r="V1727" i="82"/>
  <c r="AB1727" i="82" s="1"/>
  <c r="X1726" i="82"/>
  <c r="AD1726" i="82" s="1"/>
  <c r="W1726" i="82"/>
  <c r="AC1726" i="82" s="1"/>
  <c r="V1726" i="82"/>
  <c r="AB1726" i="82" s="1"/>
  <c r="X1725" i="82"/>
  <c r="AD1725" i="82" s="1"/>
  <c r="W1725" i="82"/>
  <c r="AC1725" i="82" s="1"/>
  <c r="V1725" i="82"/>
  <c r="AB1725" i="82" s="1"/>
  <c r="X1724" i="82"/>
  <c r="AD1724" i="82" s="1"/>
  <c r="W1724" i="82"/>
  <c r="AC1724" i="82" s="1"/>
  <c r="V1724" i="82"/>
  <c r="AB1724" i="82" s="1"/>
  <c r="X1723" i="82"/>
  <c r="AD1723" i="82" s="1"/>
  <c r="W1723" i="82"/>
  <c r="AC1723" i="82" s="1"/>
  <c r="V1723" i="82"/>
  <c r="AB1723" i="82" s="1"/>
  <c r="X1722" i="82"/>
  <c r="AD1722" i="82" s="1"/>
  <c r="W1722" i="82"/>
  <c r="AC1722" i="82" s="1"/>
  <c r="V1722" i="82"/>
  <c r="AB1722" i="82" s="1"/>
  <c r="X1721" i="82"/>
  <c r="AD1721" i="82" s="1"/>
  <c r="W1721" i="82"/>
  <c r="AC1721" i="82" s="1"/>
  <c r="V1721" i="82"/>
  <c r="AB1721" i="82" s="1"/>
  <c r="X1720" i="82"/>
  <c r="AD1720" i="82" s="1"/>
  <c r="W1720" i="82"/>
  <c r="AC1720" i="82" s="1"/>
  <c r="V1720" i="82"/>
  <c r="AB1720" i="82" s="1"/>
  <c r="X1719" i="82"/>
  <c r="AD1719" i="82" s="1"/>
  <c r="W1719" i="82"/>
  <c r="AC1719" i="82" s="1"/>
  <c r="V1719" i="82"/>
  <c r="AB1719" i="82" s="1"/>
  <c r="X1718" i="82"/>
  <c r="AD1718" i="82" s="1"/>
  <c r="W1718" i="82"/>
  <c r="AC1718" i="82" s="1"/>
  <c r="V1718" i="82"/>
  <c r="AB1718" i="82" s="1"/>
  <c r="X1717" i="82"/>
  <c r="AD1717" i="82" s="1"/>
  <c r="W1717" i="82"/>
  <c r="AC1717" i="82" s="1"/>
  <c r="V1717" i="82"/>
  <c r="AB1717" i="82" s="1"/>
  <c r="X1716" i="82"/>
  <c r="AD1716" i="82" s="1"/>
  <c r="W1716" i="82"/>
  <c r="AC1716" i="82" s="1"/>
  <c r="V1716" i="82"/>
  <c r="AB1716" i="82" s="1"/>
  <c r="X1715" i="82"/>
  <c r="AD1715" i="82" s="1"/>
  <c r="W1715" i="82"/>
  <c r="AC1715" i="82" s="1"/>
  <c r="V1715" i="82"/>
  <c r="AB1715" i="82" s="1"/>
  <c r="X1714" i="82"/>
  <c r="AD1714" i="82" s="1"/>
  <c r="W1714" i="82"/>
  <c r="AC1714" i="82" s="1"/>
  <c r="V1714" i="82"/>
  <c r="AB1714" i="82" s="1"/>
  <c r="X1713" i="82"/>
  <c r="AD1713" i="82" s="1"/>
  <c r="W1713" i="82"/>
  <c r="AC1713" i="82" s="1"/>
  <c r="V1713" i="82"/>
  <c r="AB1713" i="82" s="1"/>
  <c r="X1712" i="82"/>
  <c r="AD1712" i="82" s="1"/>
  <c r="W1712" i="82"/>
  <c r="AC1712" i="82" s="1"/>
  <c r="V1712" i="82"/>
  <c r="AB1712" i="82" s="1"/>
  <c r="X1711" i="82"/>
  <c r="AD1711" i="82" s="1"/>
  <c r="W1711" i="82"/>
  <c r="AC1711" i="82" s="1"/>
  <c r="V1711" i="82"/>
  <c r="AB1711" i="82" s="1"/>
  <c r="X1710" i="82"/>
  <c r="AD1710" i="82" s="1"/>
  <c r="W1710" i="82"/>
  <c r="AC1710" i="82" s="1"/>
  <c r="V1710" i="82"/>
  <c r="AB1710" i="82" s="1"/>
  <c r="X1709" i="82"/>
  <c r="AD1709" i="82" s="1"/>
  <c r="W1709" i="82"/>
  <c r="AC1709" i="82" s="1"/>
  <c r="V1709" i="82"/>
  <c r="AB1709" i="82" s="1"/>
  <c r="X1708" i="82"/>
  <c r="AD1708" i="82" s="1"/>
  <c r="W1708" i="82"/>
  <c r="AC1708" i="82" s="1"/>
  <c r="V1708" i="82"/>
  <c r="AB1708" i="82" s="1"/>
  <c r="X1707" i="82"/>
  <c r="AD1707" i="82" s="1"/>
  <c r="W1707" i="82"/>
  <c r="AC1707" i="82" s="1"/>
  <c r="V1707" i="82"/>
  <c r="AB1707" i="82" s="1"/>
  <c r="X1706" i="82"/>
  <c r="AD1706" i="82" s="1"/>
  <c r="W1706" i="82"/>
  <c r="AC1706" i="82" s="1"/>
  <c r="V1706" i="82"/>
  <c r="AB1706" i="82" s="1"/>
  <c r="X1705" i="82"/>
  <c r="AD1705" i="82" s="1"/>
  <c r="W1705" i="82"/>
  <c r="AC1705" i="82" s="1"/>
  <c r="V1705" i="82"/>
  <c r="AB1705" i="82" s="1"/>
  <c r="X1704" i="82"/>
  <c r="AD1704" i="82" s="1"/>
  <c r="W1704" i="82"/>
  <c r="AC1704" i="82" s="1"/>
  <c r="V1704" i="82"/>
  <c r="AB1704" i="82" s="1"/>
  <c r="X1703" i="82"/>
  <c r="AD1703" i="82" s="1"/>
  <c r="W1703" i="82"/>
  <c r="AC1703" i="82" s="1"/>
  <c r="V1703" i="82"/>
  <c r="AB1703" i="82" s="1"/>
  <c r="X1702" i="82"/>
  <c r="AD1702" i="82" s="1"/>
  <c r="W1702" i="82"/>
  <c r="AC1702" i="82" s="1"/>
  <c r="V1702" i="82"/>
  <c r="AB1702" i="82" s="1"/>
  <c r="X1701" i="82"/>
  <c r="AD1701" i="82" s="1"/>
  <c r="W1701" i="82"/>
  <c r="AC1701" i="82" s="1"/>
  <c r="V1701" i="82"/>
  <c r="AB1701" i="82" s="1"/>
  <c r="X1700" i="82"/>
  <c r="AD1700" i="82" s="1"/>
  <c r="W1700" i="82"/>
  <c r="AC1700" i="82" s="1"/>
  <c r="V1700" i="82"/>
  <c r="AB1700" i="82" s="1"/>
  <c r="X1699" i="82"/>
  <c r="AD1699" i="82" s="1"/>
  <c r="W1699" i="82"/>
  <c r="AC1699" i="82" s="1"/>
  <c r="V1699" i="82"/>
  <c r="AB1699" i="82" s="1"/>
  <c r="X1698" i="82"/>
  <c r="AD1698" i="82" s="1"/>
  <c r="W1698" i="82"/>
  <c r="AC1698" i="82" s="1"/>
  <c r="V1698" i="82"/>
  <c r="AB1698" i="82" s="1"/>
  <c r="X1697" i="82"/>
  <c r="AD1697" i="82" s="1"/>
  <c r="W1697" i="82"/>
  <c r="AC1697" i="82" s="1"/>
  <c r="V1697" i="82"/>
  <c r="AB1697" i="82" s="1"/>
  <c r="X1696" i="82"/>
  <c r="AD1696" i="82" s="1"/>
  <c r="W1696" i="82"/>
  <c r="AC1696" i="82" s="1"/>
  <c r="V1696" i="82"/>
  <c r="AB1696" i="82" s="1"/>
  <c r="X1695" i="82"/>
  <c r="AD1695" i="82" s="1"/>
  <c r="W1695" i="82"/>
  <c r="AC1695" i="82" s="1"/>
  <c r="V1695" i="82"/>
  <c r="AB1695" i="82" s="1"/>
  <c r="X1694" i="82"/>
  <c r="AD1694" i="82" s="1"/>
  <c r="W1694" i="82"/>
  <c r="AC1694" i="82" s="1"/>
  <c r="V1694" i="82"/>
  <c r="AB1694" i="82" s="1"/>
  <c r="X1693" i="82"/>
  <c r="AD1693" i="82" s="1"/>
  <c r="W1693" i="82"/>
  <c r="AC1693" i="82" s="1"/>
  <c r="V1693" i="82"/>
  <c r="AB1693" i="82" s="1"/>
  <c r="X1692" i="82"/>
  <c r="AD1692" i="82" s="1"/>
  <c r="W1692" i="82"/>
  <c r="AC1692" i="82" s="1"/>
  <c r="V1692" i="82"/>
  <c r="AB1692" i="82" s="1"/>
  <c r="X1691" i="82"/>
  <c r="AD1691" i="82" s="1"/>
  <c r="W1691" i="82"/>
  <c r="AC1691" i="82" s="1"/>
  <c r="V1691" i="82"/>
  <c r="AB1691" i="82" s="1"/>
  <c r="X1690" i="82"/>
  <c r="AD1690" i="82" s="1"/>
  <c r="W1690" i="82"/>
  <c r="AC1690" i="82" s="1"/>
  <c r="V1690" i="82"/>
  <c r="AB1690" i="82" s="1"/>
  <c r="X1689" i="82"/>
  <c r="AD1689" i="82" s="1"/>
  <c r="W1689" i="82"/>
  <c r="AC1689" i="82" s="1"/>
  <c r="V1689" i="82"/>
  <c r="AB1689" i="82" s="1"/>
  <c r="X1688" i="82"/>
  <c r="AD1688" i="82" s="1"/>
  <c r="W1688" i="82"/>
  <c r="AC1688" i="82" s="1"/>
  <c r="V1688" i="82"/>
  <c r="AB1688" i="82" s="1"/>
  <c r="X1687" i="82"/>
  <c r="AD1687" i="82" s="1"/>
  <c r="W1687" i="82"/>
  <c r="AC1687" i="82" s="1"/>
  <c r="V1687" i="82"/>
  <c r="AB1687" i="82" s="1"/>
  <c r="X1686" i="82"/>
  <c r="AD1686" i="82" s="1"/>
  <c r="W1686" i="82"/>
  <c r="AC1686" i="82" s="1"/>
  <c r="V1686" i="82"/>
  <c r="AB1686" i="82" s="1"/>
  <c r="X1685" i="82"/>
  <c r="AD1685" i="82" s="1"/>
  <c r="W1685" i="82"/>
  <c r="AC1685" i="82" s="1"/>
  <c r="V1685" i="82"/>
  <c r="AB1685" i="82" s="1"/>
  <c r="X1684" i="82"/>
  <c r="AD1684" i="82" s="1"/>
  <c r="W1684" i="82"/>
  <c r="AC1684" i="82" s="1"/>
  <c r="V1684" i="82"/>
  <c r="AB1684" i="82" s="1"/>
  <c r="X1683" i="82"/>
  <c r="AD1683" i="82" s="1"/>
  <c r="W1683" i="82"/>
  <c r="AC1683" i="82" s="1"/>
  <c r="V1683" i="82"/>
  <c r="AB1683" i="82" s="1"/>
  <c r="X1682" i="82"/>
  <c r="AD1682" i="82" s="1"/>
  <c r="W1682" i="82"/>
  <c r="AC1682" i="82" s="1"/>
  <c r="V1682" i="82"/>
  <c r="AB1682" i="82" s="1"/>
  <c r="X1681" i="82"/>
  <c r="AD1681" i="82" s="1"/>
  <c r="W1681" i="82"/>
  <c r="AC1681" i="82" s="1"/>
  <c r="V1681" i="82"/>
  <c r="AB1681" i="82" s="1"/>
  <c r="X1680" i="82"/>
  <c r="AD1680" i="82" s="1"/>
  <c r="W1680" i="82"/>
  <c r="AC1680" i="82" s="1"/>
  <c r="V1680" i="82"/>
  <c r="AB1680" i="82" s="1"/>
  <c r="X1679" i="82"/>
  <c r="AD1679" i="82" s="1"/>
  <c r="W1679" i="82"/>
  <c r="AC1679" i="82" s="1"/>
  <c r="V1679" i="82"/>
  <c r="AB1679" i="82" s="1"/>
  <c r="X1678" i="82"/>
  <c r="AD1678" i="82" s="1"/>
  <c r="W1678" i="82"/>
  <c r="AC1678" i="82" s="1"/>
  <c r="V1678" i="82"/>
  <c r="AB1678" i="82" s="1"/>
  <c r="X1677" i="82"/>
  <c r="AD1677" i="82" s="1"/>
  <c r="W1677" i="82"/>
  <c r="AC1677" i="82" s="1"/>
  <c r="V1677" i="82"/>
  <c r="AB1677" i="82" s="1"/>
  <c r="X1676" i="82"/>
  <c r="AD1676" i="82" s="1"/>
  <c r="W1676" i="82"/>
  <c r="AC1676" i="82" s="1"/>
  <c r="V1676" i="82"/>
  <c r="AB1676" i="82" s="1"/>
  <c r="X1675" i="82"/>
  <c r="AD1675" i="82" s="1"/>
  <c r="W1675" i="82"/>
  <c r="AC1675" i="82" s="1"/>
  <c r="V1675" i="82"/>
  <c r="AB1675" i="82" s="1"/>
  <c r="X1674" i="82"/>
  <c r="AD1674" i="82" s="1"/>
  <c r="W1674" i="82"/>
  <c r="AC1674" i="82" s="1"/>
  <c r="V1674" i="82"/>
  <c r="AB1674" i="82" s="1"/>
  <c r="X1673" i="82"/>
  <c r="AD1673" i="82" s="1"/>
  <c r="W1673" i="82"/>
  <c r="AC1673" i="82" s="1"/>
  <c r="V1673" i="82"/>
  <c r="AB1673" i="82" s="1"/>
  <c r="X1672" i="82"/>
  <c r="AD1672" i="82" s="1"/>
  <c r="W1672" i="82"/>
  <c r="AC1672" i="82" s="1"/>
  <c r="V1672" i="82"/>
  <c r="AB1672" i="82" s="1"/>
  <c r="X1671" i="82"/>
  <c r="AD1671" i="82" s="1"/>
  <c r="W1671" i="82"/>
  <c r="AC1671" i="82" s="1"/>
  <c r="V1671" i="82"/>
  <c r="AB1671" i="82" s="1"/>
  <c r="X1670" i="82"/>
  <c r="AD1670" i="82" s="1"/>
  <c r="W1670" i="82"/>
  <c r="AC1670" i="82" s="1"/>
  <c r="V1670" i="82"/>
  <c r="AB1670" i="82" s="1"/>
  <c r="X1669" i="82"/>
  <c r="AD1669" i="82" s="1"/>
  <c r="W1669" i="82"/>
  <c r="AC1669" i="82" s="1"/>
  <c r="V1669" i="82"/>
  <c r="AB1669" i="82" s="1"/>
  <c r="X1668" i="82"/>
  <c r="AD1668" i="82" s="1"/>
  <c r="W1668" i="82"/>
  <c r="AC1668" i="82" s="1"/>
  <c r="V1668" i="82"/>
  <c r="AB1668" i="82" s="1"/>
  <c r="X1667" i="82"/>
  <c r="AD1667" i="82" s="1"/>
  <c r="W1667" i="82"/>
  <c r="AC1667" i="82" s="1"/>
  <c r="V1667" i="82"/>
  <c r="AB1667" i="82" s="1"/>
  <c r="X1666" i="82"/>
  <c r="AD1666" i="82" s="1"/>
  <c r="W1666" i="82"/>
  <c r="AC1666" i="82" s="1"/>
  <c r="V1666" i="82"/>
  <c r="AB1666" i="82" s="1"/>
  <c r="X1665" i="82"/>
  <c r="AD1665" i="82" s="1"/>
  <c r="W1665" i="82"/>
  <c r="AC1665" i="82" s="1"/>
  <c r="V1665" i="82"/>
  <c r="AB1665" i="82" s="1"/>
  <c r="X1664" i="82"/>
  <c r="AD1664" i="82" s="1"/>
  <c r="W1664" i="82"/>
  <c r="AC1664" i="82" s="1"/>
  <c r="V1664" i="82"/>
  <c r="AB1664" i="82" s="1"/>
  <c r="X1663" i="82"/>
  <c r="AD1663" i="82" s="1"/>
  <c r="W1663" i="82"/>
  <c r="AC1663" i="82" s="1"/>
  <c r="V1663" i="82"/>
  <c r="AB1663" i="82" s="1"/>
  <c r="X1662" i="82"/>
  <c r="AD1662" i="82" s="1"/>
  <c r="W1662" i="82"/>
  <c r="AC1662" i="82" s="1"/>
  <c r="V1662" i="82"/>
  <c r="AB1662" i="82" s="1"/>
  <c r="X1661" i="82"/>
  <c r="AD1661" i="82" s="1"/>
  <c r="W1661" i="82"/>
  <c r="AC1661" i="82" s="1"/>
  <c r="V1661" i="82"/>
  <c r="AB1661" i="82" s="1"/>
  <c r="X1660" i="82"/>
  <c r="AD1660" i="82" s="1"/>
  <c r="W1660" i="82"/>
  <c r="AC1660" i="82" s="1"/>
  <c r="V1660" i="82"/>
  <c r="AB1660" i="82" s="1"/>
  <c r="X1659" i="82"/>
  <c r="AD1659" i="82" s="1"/>
  <c r="W1659" i="82"/>
  <c r="AC1659" i="82" s="1"/>
  <c r="V1659" i="82"/>
  <c r="AB1659" i="82" s="1"/>
  <c r="X1658" i="82"/>
  <c r="AD1658" i="82" s="1"/>
  <c r="W1658" i="82"/>
  <c r="AC1658" i="82" s="1"/>
  <c r="V1658" i="82"/>
  <c r="AB1658" i="82" s="1"/>
  <c r="X1657" i="82"/>
  <c r="AD1657" i="82" s="1"/>
  <c r="W1657" i="82"/>
  <c r="AC1657" i="82" s="1"/>
  <c r="V1657" i="82"/>
  <c r="AB1657" i="82" s="1"/>
  <c r="X1656" i="82"/>
  <c r="AD1656" i="82" s="1"/>
  <c r="W1656" i="82"/>
  <c r="AC1656" i="82" s="1"/>
  <c r="V1656" i="82"/>
  <c r="AB1656" i="82" s="1"/>
  <c r="X1655" i="82"/>
  <c r="AD1655" i="82" s="1"/>
  <c r="W1655" i="82"/>
  <c r="AC1655" i="82" s="1"/>
  <c r="V1655" i="82"/>
  <c r="AB1655" i="82" s="1"/>
  <c r="X1654" i="82"/>
  <c r="AD1654" i="82" s="1"/>
  <c r="W1654" i="82"/>
  <c r="AC1654" i="82" s="1"/>
  <c r="V1654" i="82"/>
  <c r="AB1654" i="82" s="1"/>
  <c r="X1653" i="82"/>
  <c r="AD1653" i="82" s="1"/>
  <c r="W1653" i="82"/>
  <c r="AC1653" i="82" s="1"/>
  <c r="V1653" i="82"/>
  <c r="AB1653" i="82" s="1"/>
  <c r="X1652" i="82"/>
  <c r="AD1652" i="82" s="1"/>
  <c r="W1652" i="82"/>
  <c r="AC1652" i="82" s="1"/>
  <c r="V1652" i="82"/>
  <c r="AB1652" i="82" s="1"/>
  <c r="X1651" i="82"/>
  <c r="AD1651" i="82" s="1"/>
  <c r="W1651" i="82"/>
  <c r="AC1651" i="82" s="1"/>
  <c r="V1651" i="82"/>
  <c r="AB1651" i="82" s="1"/>
  <c r="X1650" i="82"/>
  <c r="AD1650" i="82" s="1"/>
  <c r="W1650" i="82"/>
  <c r="AC1650" i="82" s="1"/>
  <c r="V1650" i="82"/>
  <c r="AB1650" i="82" s="1"/>
  <c r="X1649" i="82"/>
  <c r="AD1649" i="82" s="1"/>
  <c r="W1649" i="82"/>
  <c r="AC1649" i="82" s="1"/>
  <c r="V1649" i="82"/>
  <c r="AB1649" i="82" s="1"/>
  <c r="X1648" i="82"/>
  <c r="AD1648" i="82" s="1"/>
  <c r="W1648" i="82"/>
  <c r="AC1648" i="82" s="1"/>
  <c r="V1648" i="82"/>
  <c r="AB1648" i="82" s="1"/>
  <c r="X1647" i="82"/>
  <c r="AD1647" i="82" s="1"/>
  <c r="W1647" i="82"/>
  <c r="AC1647" i="82" s="1"/>
  <c r="V1647" i="82"/>
  <c r="AB1647" i="82" s="1"/>
  <c r="X1646" i="82"/>
  <c r="AD1646" i="82" s="1"/>
  <c r="W1646" i="82"/>
  <c r="AC1646" i="82" s="1"/>
  <c r="V1646" i="82"/>
  <c r="AB1646" i="82" s="1"/>
  <c r="X1645" i="82"/>
  <c r="AD1645" i="82" s="1"/>
  <c r="W1645" i="82"/>
  <c r="AC1645" i="82" s="1"/>
  <c r="V1645" i="82"/>
  <c r="AB1645" i="82" s="1"/>
  <c r="X1644" i="82"/>
  <c r="AD1644" i="82" s="1"/>
  <c r="W1644" i="82"/>
  <c r="AC1644" i="82" s="1"/>
  <c r="V1644" i="82"/>
  <c r="AB1644" i="82" s="1"/>
  <c r="X1643" i="82"/>
  <c r="AD1643" i="82" s="1"/>
  <c r="W1643" i="82"/>
  <c r="AC1643" i="82" s="1"/>
  <c r="V1643" i="82"/>
  <c r="AB1643" i="82" s="1"/>
  <c r="X1642" i="82"/>
  <c r="AD1642" i="82" s="1"/>
  <c r="W1642" i="82"/>
  <c r="AC1642" i="82" s="1"/>
  <c r="V1642" i="82"/>
  <c r="AB1642" i="82" s="1"/>
  <c r="X1641" i="82"/>
  <c r="AD1641" i="82" s="1"/>
  <c r="W1641" i="82"/>
  <c r="AC1641" i="82" s="1"/>
  <c r="V1641" i="82"/>
  <c r="AB1641" i="82" s="1"/>
  <c r="X1640" i="82"/>
  <c r="AD1640" i="82" s="1"/>
  <c r="W1640" i="82"/>
  <c r="AC1640" i="82" s="1"/>
  <c r="V1640" i="82"/>
  <c r="AB1640" i="82" s="1"/>
  <c r="X1639" i="82"/>
  <c r="AD1639" i="82" s="1"/>
  <c r="W1639" i="82"/>
  <c r="AC1639" i="82" s="1"/>
  <c r="V1639" i="82"/>
  <c r="AB1639" i="82" s="1"/>
  <c r="X1638" i="82"/>
  <c r="AD1638" i="82" s="1"/>
  <c r="W1638" i="82"/>
  <c r="AC1638" i="82" s="1"/>
  <c r="V1638" i="82"/>
  <c r="AB1638" i="82" s="1"/>
  <c r="X1637" i="82"/>
  <c r="AD1637" i="82" s="1"/>
  <c r="W1637" i="82"/>
  <c r="AC1637" i="82" s="1"/>
  <c r="V1637" i="82"/>
  <c r="AB1637" i="82" s="1"/>
  <c r="X1636" i="82"/>
  <c r="AD1636" i="82" s="1"/>
  <c r="W1636" i="82"/>
  <c r="AC1636" i="82" s="1"/>
  <c r="V1636" i="82"/>
  <c r="AB1636" i="82" s="1"/>
  <c r="X1635" i="82"/>
  <c r="AD1635" i="82" s="1"/>
  <c r="W1635" i="82"/>
  <c r="AC1635" i="82" s="1"/>
  <c r="V1635" i="82"/>
  <c r="AB1635" i="82" s="1"/>
  <c r="X1634" i="82"/>
  <c r="AD1634" i="82" s="1"/>
  <c r="W1634" i="82"/>
  <c r="AC1634" i="82" s="1"/>
  <c r="V1634" i="82"/>
  <c r="AB1634" i="82" s="1"/>
  <c r="X1633" i="82"/>
  <c r="AD1633" i="82" s="1"/>
  <c r="W1633" i="82"/>
  <c r="AC1633" i="82" s="1"/>
  <c r="V1633" i="82"/>
  <c r="AB1633" i="82" s="1"/>
  <c r="X1632" i="82"/>
  <c r="AD1632" i="82" s="1"/>
  <c r="W1632" i="82"/>
  <c r="AC1632" i="82" s="1"/>
  <c r="V1632" i="82"/>
  <c r="AB1632" i="82" s="1"/>
  <c r="X1631" i="82"/>
  <c r="AD1631" i="82" s="1"/>
  <c r="W1631" i="82"/>
  <c r="AC1631" i="82" s="1"/>
  <c r="V1631" i="82"/>
  <c r="AB1631" i="82" s="1"/>
  <c r="X1630" i="82"/>
  <c r="AD1630" i="82" s="1"/>
  <c r="W1630" i="82"/>
  <c r="AC1630" i="82" s="1"/>
  <c r="V1630" i="82"/>
  <c r="AB1630" i="82" s="1"/>
  <c r="X1629" i="82"/>
  <c r="AD1629" i="82" s="1"/>
  <c r="W1629" i="82"/>
  <c r="AC1629" i="82" s="1"/>
  <c r="V1629" i="82"/>
  <c r="AB1629" i="82" s="1"/>
  <c r="X1628" i="82"/>
  <c r="AD1628" i="82" s="1"/>
  <c r="W1628" i="82"/>
  <c r="AC1628" i="82" s="1"/>
  <c r="V1628" i="82"/>
  <c r="AB1628" i="82" s="1"/>
  <c r="X1627" i="82"/>
  <c r="AD1627" i="82" s="1"/>
  <c r="W1627" i="82"/>
  <c r="AC1627" i="82" s="1"/>
  <c r="V1627" i="82"/>
  <c r="AB1627" i="82" s="1"/>
  <c r="X1626" i="82"/>
  <c r="AD1626" i="82" s="1"/>
  <c r="W1626" i="82"/>
  <c r="AC1626" i="82" s="1"/>
  <c r="V1626" i="82"/>
  <c r="AB1626" i="82" s="1"/>
  <c r="X1625" i="82"/>
  <c r="AD1625" i="82" s="1"/>
  <c r="W1625" i="82"/>
  <c r="AC1625" i="82" s="1"/>
  <c r="V1625" i="82"/>
  <c r="AB1625" i="82" s="1"/>
  <c r="X1624" i="82"/>
  <c r="AD1624" i="82" s="1"/>
  <c r="W1624" i="82"/>
  <c r="AC1624" i="82" s="1"/>
  <c r="V1624" i="82"/>
  <c r="AB1624" i="82" s="1"/>
  <c r="X1623" i="82"/>
  <c r="AD1623" i="82" s="1"/>
  <c r="W1623" i="82"/>
  <c r="AC1623" i="82" s="1"/>
  <c r="V1623" i="82"/>
  <c r="AB1623" i="82" s="1"/>
  <c r="X1622" i="82"/>
  <c r="AD1622" i="82" s="1"/>
  <c r="W1622" i="82"/>
  <c r="AC1622" i="82" s="1"/>
  <c r="V1622" i="82"/>
  <c r="AB1622" i="82" s="1"/>
  <c r="X1621" i="82"/>
  <c r="AD1621" i="82" s="1"/>
  <c r="W1621" i="82"/>
  <c r="AC1621" i="82" s="1"/>
  <c r="V1621" i="82"/>
  <c r="AB1621" i="82" s="1"/>
  <c r="X1620" i="82"/>
  <c r="AD1620" i="82" s="1"/>
  <c r="W1620" i="82"/>
  <c r="AC1620" i="82" s="1"/>
  <c r="V1620" i="82"/>
  <c r="AB1620" i="82" s="1"/>
  <c r="X1619" i="82"/>
  <c r="AD1619" i="82" s="1"/>
  <c r="W1619" i="82"/>
  <c r="AC1619" i="82" s="1"/>
  <c r="V1619" i="82"/>
  <c r="AB1619" i="82" s="1"/>
  <c r="X1618" i="82"/>
  <c r="AD1618" i="82" s="1"/>
  <c r="W1618" i="82"/>
  <c r="AC1618" i="82" s="1"/>
  <c r="V1618" i="82"/>
  <c r="AB1618" i="82" s="1"/>
  <c r="X1617" i="82"/>
  <c r="AD1617" i="82" s="1"/>
  <c r="W1617" i="82"/>
  <c r="AC1617" i="82" s="1"/>
  <c r="V1617" i="82"/>
  <c r="AB1617" i="82" s="1"/>
  <c r="X1616" i="82"/>
  <c r="AD1616" i="82" s="1"/>
  <c r="W1616" i="82"/>
  <c r="AC1616" i="82" s="1"/>
  <c r="V1616" i="82"/>
  <c r="AB1616" i="82" s="1"/>
  <c r="X1615" i="82"/>
  <c r="AD1615" i="82" s="1"/>
  <c r="W1615" i="82"/>
  <c r="AC1615" i="82" s="1"/>
  <c r="V1615" i="82"/>
  <c r="AB1615" i="82" s="1"/>
  <c r="X1614" i="82"/>
  <c r="AD1614" i="82" s="1"/>
  <c r="W1614" i="82"/>
  <c r="AC1614" i="82" s="1"/>
  <c r="V1614" i="82"/>
  <c r="AB1614" i="82" s="1"/>
  <c r="X1613" i="82"/>
  <c r="AD1613" i="82" s="1"/>
  <c r="W1613" i="82"/>
  <c r="AC1613" i="82" s="1"/>
  <c r="V1613" i="82"/>
  <c r="AB1613" i="82" s="1"/>
  <c r="X1612" i="82"/>
  <c r="AD1612" i="82" s="1"/>
  <c r="W1612" i="82"/>
  <c r="AC1612" i="82" s="1"/>
  <c r="V1612" i="82"/>
  <c r="AB1612" i="82" s="1"/>
  <c r="X1611" i="82"/>
  <c r="AD1611" i="82" s="1"/>
  <c r="W1611" i="82"/>
  <c r="AC1611" i="82" s="1"/>
  <c r="V1611" i="82"/>
  <c r="AB1611" i="82" s="1"/>
  <c r="X1610" i="82"/>
  <c r="AD1610" i="82" s="1"/>
  <c r="W1610" i="82"/>
  <c r="AC1610" i="82" s="1"/>
  <c r="V1610" i="82"/>
  <c r="AB1610" i="82" s="1"/>
  <c r="X1609" i="82"/>
  <c r="AD1609" i="82" s="1"/>
  <c r="W1609" i="82"/>
  <c r="AC1609" i="82" s="1"/>
  <c r="V1609" i="82"/>
  <c r="AB1609" i="82" s="1"/>
  <c r="X1608" i="82"/>
  <c r="AD1608" i="82" s="1"/>
  <c r="W1608" i="82"/>
  <c r="AC1608" i="82" s="1"/>
  <c r="V1608" i="82"/>
  <c r="AB1608" i="82" s="1"/>
  <c r="X1607" i="82"/>
  <c r="AD1607" i="82" s="1"/>
  <c r="W1607" i="82"/>
  <c r="AC1607" i="82" s="1"/>
  <c r="V1607" i="82"/>
  <c r="AB1607" i="82" s="1"/>
  <c r="X1606" i="82"/>
  <c r="AD1606" i="82" s="1"/>
  <c r="W1606" i="82"/>
  <c r="AC1606" i="82" s="1"/>
  <c r="V1606" i="82"/>
  <c r="AB1606" i="82" s="1"/>
  <c r="X1605" i="82"/>
  <c r="AD1605" i="82" s="1"/>
  <c r="W1605" i="82"/>
  <c r="AC1605" i="82" s="1"/>
  <c r="V1605" i="82"/>
  <c r="AB1605" i="82" s="1"/>
  <c r="X1604" i="82"/>
  <c r="AD1604" i="82" s="1"/>
  <c r="W1604" i="82"/>
  <c r="AC1604" i="82" s="1"/>
  <c r="V1604" i="82"/>
  <c r="AB1604" i="82" s="1"/>
  <c r="X1603" i="82"/>
  <c r="AD1603" i="82" s="1"/>
  <c r="W1603" i="82"/>
  <c r="AC1603" i="82" s="1"/>
  <c r="V1603" i="82"/>
  <c r="AB1603" i="82" s="1"/>
  <c r="X1602" i="82"/>
  <c r="AD1602" i="82" s="1"/>
  <c r="W1602" i="82"/>
  <c r="AC1602" i="82" s="1"/>
  <c r="V1602" i="82"/>
  <c r="AB1602" i="82" s="1"/>
  <c r="X1601" i="82"/>
  <c r="AD1601" i="82" s="1"/>
  <c r="W1601" i="82"/>
  <c r="AC1601" i="82" s="1"/>
  <c r="V1601" i="82"/>
  <c r="AB1601" i="82" s="1"/>
  <c r="X1600" i="82"/>
  <c r="AD1600" i="82" s="1"/>
  <c r="W1600" i="82"/>
  <c r="AC1600" i="82" s="1"/>
  <c r="V1600" i="82"/>
  <c r="AB1600" i="82" s="1"/>
  <c r="X1599" i="82"/>
  <c r="AD1599" i="82" s="1"/>
  <c r="W1599" i="82"/>
  <c r="AC1599" i="82" s="1"/>
  <c r="V1599" i="82"/>
  <c r="AB1599" i="82" s="1"/>
  <c r="X1598" i="82"/>
  <c r="AD1598" i="82" s="1"/>
  <c r="W1598" i="82"/>
  <c r="AC1598" i="82" s="1"/>
  <c r="V1598" i="82"/>
  <c r="AB1598" i="82" s="1"/>
  <c r="X1597" i="82"/>
  <c r="AD1597" i="82" s="1"/>
  <c r="W1597" i="82"/>
  <c r="AC1597" i="82" s="1"/>
  <c r="V1597" i="82"/>
  <c r="AB1597" i="82" s="1"/>
  <c r="X1596" i="82"/>
  <c r="AD1596" i="82" s="1"/>
  <c r="W1596" i="82"/>
  <c r="AC1596" i="82" s="1"/>
  <c r="V1596" i="82"/>
  <c r="AB1596" i="82" s="1"/>
  <c r="X1595" i="82"/>
  <c r="AD1595" i="82" s="1"/>
  <c r="W1595" i="82"/>
  <c r="AC1595" i="82" s="1"/>
  <c r="V1595" i="82"/>
  <c r="AB1595" i="82" s="1"/>
  <c r="X1594" i="82"/>
  <c r="AD1594" i="82" s="1"/>
  <c r="W1594" i="82"/>
  <c r="AC1594" i="82" s="1"/>
  <c r="V1594" i="82"/>
  <c r="AB1594" i="82" s="1"/>
  <c r="X1593" i="82"/>
  <c r="AD1593" i="82" s="1"/>
  <c r="W1593" i="82"/>
  <c r="AC1593" i="82" s="1"/>
  <c r="V1593" i="82"/>
  <c r="AB1593" i="82" s="1"/>
  <c r="X1592" i="82"/>
  <c r="AD1592" i="82" s="1"/>
  <c r="W1592" i="82"/>
  <c r="AC1592" i="82" s="1"/>
  <c r="V1592" i="82"/>
  <c r="AB1592" i="82" s="1"/>
  <c r="X1591" i="82"/>
  <c r="AD1591" i="82" s="1"/>
  <c r="W1591" i="82"/>
  <c r="AC1591" i="82" s="1"/>
  <c r="V1591" i="82"/>
  <c r="AB1591" i="82" s="1"/>
  <c r="X1590" i="82"/>
  <c r="AD1590" i="82" s="1"/>
  <c r="W1590" i="82"/>
  <c r="AC1590" i="82" s="1"/>
  <c r="V1590" i="82"/>
  <c r="AB1590" i="82" s="1"/>
  <c r="X1589" i="82"/>
  <c r="AD1589" i="82" s="1"/>
  <c r="W1589" i="82"/>
  <c r="AC1589" i="82" s="1"/>
  <c r="V1589" i="82"/>
  <c r="AB1589" i="82" s="1"/>
  <c r="X1588" i="82"/>
  <c r="AD1588" i="82" s="1"/>
  <c r="W1588" i="82"/>
  <c r="AC1588" i="82" s="1"/>
  <c r="V1588" i="82"/>
  <c r="AB1588" i="82" s="1"/>
  <c r="X1587" i="82"/>
  <c r="AD1587" i="82" s="1"/>
  <c r="W1587" i="82"/>
  <c r="AC1587" i="82" s="1"/>
  <c r="V1587" i="82"/>
  <c r="AB1587" i="82" s="1"/>
  <c r="X1586" i="82"/>
  <c r="AD1586" i="82" s="1"/>
  <c r="W1586" i="82"/>
  <c r="AC1586" i="82" s="1"/>
  <c r="V1586" i="82"/>
  <c r="AB1586" i="82" s="1"/>
  <c r="X1585" i="82"/>
  <c r="AD1585" i="82" s="1"/>
  <c r="W1585" i="82"/>
  <c r="AC1585" i="82" s="1"/>
  <c r="V1585" i="82"/>
  <c r="AB1585" i="82" s="1"/>
  <c r="X1584" i="82"/>
  <c r="AD1584" i="82" s="1"/>
  <c r="W1584" i="82"/>
  <c r="AC1584" i="82" s="1"/>
  <c r="V1584" i="82"/>
  <c r="AB1584" i="82" s="1"/>
  <c r="X1583" i="82"/>
  <c r="AD1583" i="82" s="1"/>
  <c r="W1583" i="82"/>
  <c r="AC1583" i="82" s="1"/>
  <c r="V1583" i="82"/>
  <c r="AB1583" i="82" s="1"/>
  <c r="X1582" i="82"/>
  <c r="AD1582" i="82" s="1"/>
  <c r="W1582" i="82"/>
  <c r="AC1582" i="82" s="1"/>
  <c r="V1582" i="82"/>
  <c r="AB1582" i="82" s="1"/>
  <c r="X1581" i="82"/>
  <c r="AD1581" i="82" s="1"/>
  <c r="W1581" i="82"/>
  <c r="AC1581" i="82" s="1"/>
  <c r="V1581" i="82"/>
  <c r="AB1581" i="82" s="1"/>
  <c r="X1580" i="82"/>
  <c r="AD1580" i="82" s="1"/>
  <c r="W1580" i="82"/>
  <c r="AC1580" i="82" s="1"/>
  <c r="V1580" i="82"/>
  <c r="AB1580" i="82" s="1"/>
  <c r="X1579" i="82"/>
  <c r="AD1579" i="82" s="1"/>
  <c r="W1579" i="82"/>
  <c r="AC1579" i="82" s="1"/>
  <c r="V1579" i="82"/>
  <c r="AB1579" i="82" s="1"/>
  <c r="X1578" i="82"/>
  <c r="AD1578" i="82" s="1"/>
  <c r="W1578" i="82"/>
  <c r="AC1578" i="82" s="1"/>
  <c r="V1578" i="82"/>
  <c r="AB1578" i="82" s="1"/>
  <c r="X1577" i="82"/>
  <c r="AD1577" i="82" s="1"/>
  <c r="W1577" i="82"/>
  <c r="AC1577" i="82" s="1"/>
  <c r="V1577" i="82"/>
  <c r="AB1577" i="82" s="1"/>
  <c r="X1576" i="82"/>
  <c r="AD1576" i="82" s="1"/>
  <c r="W1576" i="82"/>
  <c r="AC1576" i="82" s="1"/>
  <c r="V1576" i="82"/>
  <c r="AB1576" i="82" s="1"/>
  <c r="X1575" i="82"/>
  <c r="AD1575" i="82" s="1"/>
  <c r="W1575" i="82"/>
  <c r="AC1575" i="82" s="1"/>
  <c r="V1575" i="82"/>
  <c r="AB1575" i="82" s="1"/>
  <c r="X1574" i="82"/>
  <c r="AD1574" i="82" s="1"/>
  <c r="W1574" i="82"/>
  <c r="AC1574" i="82" s="1"/>
  <c r="V1574" i="82"/>
  <c r="AB1574" i="82" s="1"/>
  <c r="X1573" i="82"/>
  <c r="AD1573" i="82" s="1"/>
  <c r="W1573" i="82"/>
  <c r="AC1573" i="82" s="1"/>
  <c r="V1573" i="82"/>
  <c r="AB1573" i="82" s="1"/>
  <c r="X1572" i="82"/>
  <c r="AD1572" i="82" s="1"/>
  <c r="W1572" i="82"/>
  <c r="AC1572" i="82" s="1"/>
  <c r="V1572" i="82"/>
  <c r="AB1572" i="82" s="1"/>
  <c r="X1571" i="82"/>
  <c r="AD1571" i="82" s="1"/>
  <c r="W1571" i="82"/>
  <c r="AC1571" i="82" s="1"/>
  <c r="V1571" i="82"/>
  <c r="AB1571" i="82" s="1"/>
  <c r="X1570" i="82"/>
  <c r="AD1570" i="82" s="1"/>
  <c r="W1570" i="82"/>
  <c r="AC1570" i="82" s="1"/>
  <c r="V1570" i="82"/>
  <c r="AB1570" i="82" s="1"/>
  <c r="X1569" i="82"/>
  <c r="AD1569" i="82" s="1"/>
  <c r="W1569" i="82"/>
  <c r="AC1569" i="82" s="1"/>
  <c r="V1569" i="82"/>
  <c r="AB1569" i="82" s="1"/>
  <c r="X1568" i="82"/>
  <c r="AD1568" i="82" s="1"/>
  <c r="W1568" i="82"/>
  <c r="AC1568" i="82" s="1"/>
  <c r="V1568" i="82"/>
  <c r="AB1568" i="82" s="1"/>
  <c r="X1567" i="82"/>
  <c r="AD1567" i="82" s="1"/>
  <c r="W1567" i="82"/>
  <c r="AC1567" i="82" s="1"/>
  <c r="V1567" i="82"/>
  <c r="AB1567" i="82" s="1"/>
  <c r="X1566" i="82"/>
  <c r="AD1566" i="82" s="1"/>
  <c r="W1566" i="82"/>
  <c r="AC1566" i="82" s="1"/>
  <c r="V1566" i="82"/>
  <c r="AB1566" i="82" s="1"/>
  <c r="X1565" i="82"/>
  <c r="AD1565" i="82" s="1"/>
  <c r="W1565" i="82"/>
  <c r="AC1565" i="82" s="1"/>
  <c r="V1565" i="82"/>
  <c r="AB1565" i="82" s="1"/>
  <c r="X1564" i="82"/>
  <c r="AD1564" i="82" s="1"/>
  <c r="W1564" i="82"/>
  <c r="AC1564" i="82" s="1"/>
  <c r="V1564" i="82"/>
  <c r="AB1564" i="82" s="1"/>
  <c r="X1563" i="82"/>
  <c r="AD1563" i="82" s="1"/>
  <c r="W1563" i="82"/>
  <c r="AC1563" i="82" s="1"/>
  <c r="V1563" i="82"/>
  <c r="AB1563" i="82" s="1"/>
  <c r="X1562" i="82"/>
  <c r="AD1562" i="82" s="1"/>
  <c r="W1562" i="82"/>
  <c r="AC1562" i="82" s="1"/>
  <c r="V1562" i="82"/>
  <c r="AB1562" i="82" s="1"/>
  <c r="X1561" i="82"/>
  <c r="AD1561" i="82" s="1"/>
  <c r="W1561" i="82"/>
  <c r="AC1561" i="82" s="1"/>
  <c r="V1561" i="82"/>
  <c r="AB1561" i="82" s="1"/>
  <c r="X1560" i="82"/>
  <c r="AD1560" i="82" s="1"/>
  <c r="W1560" i="82"/>
  <c r="AC1560" i="82" s="1"/>
  <c r="V1560" i="82"/>
  <c r="AB1560" i="82" s="1"/>
  <c r="X1559" i="82"/>
  <c r="AD1559" i="82" s="1"/>
  <c r="W1559" i="82"/>
  <c r="AC1559" i="82" s="1"/>
  <c r="V1559" i="82"/>
  <c r="AB1559" i="82" s="1"/>
  <c r="X1558" i="82"/>
  <c r="AD1558" i="82" s="1"/>
  <c r="W1558" i="82"/>
  <c r="AC1558" i="82" s="1"/>
  <c r="V1558" i="82"/>
  <c r="AB1558" i="82" s="1"/>
  <c r="X1557" i="82"/>
  <c r="AD1557" i="82" s="1"/>
  <c r="W1557" i="82"/>
  <c r="AC1557" i="82" s="1"/>
  <c r="V1557" i="82"/>
  <c r="AB1557" i="82" s="1"/>
  <c r="X1556" i="82"/>
  <c r="AD1556" i="82" s="1"/>
  <c r="W1556" i="82"/>
  <c r="AC1556" i="82" s="1"/>
  <c r="V1556" i="82"/>
  <c r="AB1556" i="82" s="1"/>
  <c r="X1555" i="82"/>
  <c r="AD1555" i="82" s="1"/>
  <c r="W1555" i="82"/>
  <c r="AC1555" i="82" s="1"/>
  <c r="V1555" i="82"/>
  <c r="AB1555" i="82" s="1"/>
  <c r="X1554" i="82"/>
  <c r="AD1554" i="82" s="1"/>
  <c r="W1554" i="82"/>
  <c r="AC1554" i="82" s="1"/>
  <c r="V1554" i="82"/>
  <c r="AB1554" i="82" s="1"/>
  <c r="X1553" i="82"/>
  <c r="AD1553" i="82" s="1"/>
  <c r="W1553" i="82"/>
  <c r="AC1553" i="82" s="1"/>
  <c r="V1553" i="82"/>
  <c r="AB1553" i="82" s="1"/>
  <c r="X1552" i="82"/>
  <c r="AD1552" i="82" s="1"/>
  <c r="W1552" i="82"/>
  <c r="AC1552" i="82" s="1"/>
  <c r="V1552" i="82"/>
  <c r="AB1552" i="82" s="1"/>
  <c r="X1551" i="82"/>
  <c r="AD1551" i="82" s="1"/>
  <c r="W1551" i="82"/>
  <c r="AC1551" i="82" s="1"/>
  <c r="V1551" i="82"/>
  <c r="AB1551" i="82" s="1"/>
  <c r="X1550" i="82"/>
  <c r="AD1550" i="82" s="1"/>
  <c r="W1550" i="82"/>
  <c r="AC1550" i="82" s="1"/>
  <c r="V1550" i="82"/>
  <c r="AB1550" i="82" s="1"/>
  <c r="X1549" i="82"/>
  <c r="AD1549" i="82" s="1"/>
  <c r="W1549" i="82"/>
  <c r="AC1549" i="82" s="1"/>
  <c r="V1549" i="82"/>
  <c r="AB1549" i="82" s="1"/>
  <c r="X1548" i="82"/>
  <c r="AD1548" i="82" s="1"/>
  <c r="W1548" i="82"/>
  <c r="AC1548" i="82" s="1"/>
  <c r="V1548" i="82"/>
  <c r="AB1548" i="82" s="1"/>
  <c r="X1547" i="82"/>
  <c r="AD1547" i="82" s="1"/>
  <c r="W1547" i="82"/>
  <c r="AC1547" i="82" s="1"/>
  <c r="V1547" i="82"/>
  <c r="AB1547" i="82" s="1"/>
  <c r="X1546" i="82"/>
  <c r="AD1546" i="82" s="1"/>
  <c r="W1546" i="82"/>
  <c r="AC1546" i="82" s="1"/>
  <c r="V1546" i="82"/>
  <c r="AB1546" i="82" s="1"/>
  <c r="X1545" i="82"/>
  <c r="AD1545" i="82" s="1"/>
  <c r="W1545" i="82"/>
  <c r="AC1545" i="82" s="1"/>
  <c r="V1545" i="82"/>
  <c r="AB1545" i="82" s="1"/>
  <c r="X1544" i="82"/>
  <c r="AD1544" i="82" s="1"/>
  <c r="W1544" i="82"/>
  <c r="AC1544" i="82" s="1"/>
  <c r="V1544" i="82"/>
  <c r="AB1544" i="82" s="1"/>
  <c r="X1543" i="82"/>
  <c r="AD1543" i="82" s="1"/>
  <c r="W1543" i="82"/>
  <c r="AC1543" i="82" s="1"/>
  <c r="V1543" i="82"/>
  <c r="AB1543" i="82" s="1"/>
  <c r="X1542" i="82"/>
  <c r="AD1542" i="82" s="1"/>
  <c r="W1542" i="82"/>
  <c r="AC1542" i="82" s="1"/>
  <c r="V1542" i="82"/>
  <c r="AB1542" i="82" s="1"/>
  <c r="X1541" i="82"/>
  <c r="AD1541" i="82" s="1"/>
  <c r="W1541" i="82"/>
  <c r="AC1541" i="82" s="1"/>
  <c r="V1541" i="82"/>
  <c r="AB1541" i="82" s="1"/>
  <c r="X1540" i="82"/>
  <c r="AD1540" i="82" s="1"/>
  <c r="W1540" i="82"/>
  <c r="AC1540" i="82" s="1"/>
  <c r="V1540" i="82"/>
  <c r="AB1540" i="82" s="1"/>
  <c r="X1539" i="82"/>
  <c r="AD1539" i="82" s="1"/>
  <c r="W1539" i="82"/>
  <c r="AC1539" i="82" s="1"/>
  <c r="V1539" i="82"/>
  <c r="AB1539" i="82" s="1"/>
  <c r="X1538" i="82"/>
  <c r="AD1538" i="82" s="1"/>
  <c r="W1538" i="82"/>
  <c r="AC1538" i="82" s="1"/>
  <c r="V1538" i="82"/>
  <c r="AB1538" i="82" s="1"/>
  <c r="X1537" i="82"/>
  <c r="AD1537" i="82" s="1"/>
  <c r="W1537" i="82"/>
  <c r="AC1537" i="82" s="1"/>
  <c r="V1537" i="82"/>
  <c r="AB1537" i="82" s="1"/>
  <c r="X1536" i="82"/>
  <c r="AD1536" i="82" s="1"/>
  <c r="W1536" i="82"/>
  <c r="AC1536" i="82" s="1"/>
  <c r="V1536" i="82"/>
  <c r="AB1536" i="82" s="1"/>
  <c r="X1535" i="82"/>
  <c r="AD1535" i="82" s="1"/>
  <c r="W1535" i="82"/>
  <c r="AC1535" i="82" s="1"/>
  <c r="V1535" i="82"/>
  <c r="AB1535" i="82" s="1"/>
  <c r="X1534" i="82"/>
  <c r="AD1534" i="82" s="1"/>
  <c r="W1534" i="82"/>
  <c r="AC1534" i="82" s="1"/>
  <c r="V1534" i="82"/>
  <c r="AB1534" i="82" s="1"/>
  <c r="X1533" i="82"/>
  <c r="AD1533" i="82" s="1"/>
  <c r="W1533" i="82"/>
  <c r="AC1533" i="82" s="1"/>
  <c r="V1533" i="82"/>
  <c r="AB1533" i="82" s="1"/>
  <c r="X1532" i="82"/>
  <c r="AD1532" i="82" s="1"/>
  <c r="W1532" i="82"/>
  <c r="AC1532" i="82" s="1"/>
  <c r="V1532" i="82"/>
  <c r="AB1532" i="82" s="1"/>
  <c r="X1531" i="82"/>
  <c r="AD1531" i="82" s="1"/>
  <c r="W1531" i="82"/>
  <c r="AC1531" i="82" s="1"/>
  <c r="V1531" i="82"/>
  <c r="AB1531" i="82" s="1"/>
  <c r="X1530" i="82"/>
  <c r="AD1530" i="82" s="1"/>
  <c r="W1530" i="82"/>
  <c r="AC1530" i="82" s="1"/>
  <c r="V1530" i="82"/>
  <c r="AB1530" i="82" s="1"/>
  <c r="X1529" i="82"/>
  <c r="AD1529" i="82" s="1"/>
  <c r="W1529" i="82"/>
  <c r="AC1529" i="82" s="1"/>
  <c r="V1529" i="82"/>
  <c r="AB1529" i="82" s="1"/>
  <c r="X1528" i="82"/>
  <c r="AD1528" i="82" s="1"/>
  <c r="W1528" i="82"/>
  <c r="AC1528" i="82" s="1"/>
  <c r="V1528" i="82"/>
  <c r="AB1528" i="82" s="1"/>
  <c r="X1527" i="82"/>
  <c r="AD1527" i="82" s="1"/>
  <c r="W1527" i="82"/>
  <c r="AC1527" i="82" s="1"/>
  <c r="V1527" i="82"/>
  <c r="AB1527" i="82" s="1"/>
  <c r="X1526" i="82"/>
  <c r="AD1526" i="82" s="1"/>
  <c r="W1526" i="82"/>
  <c r="AC1526" i="82" s="1"/>
  <c r="V1526" i="82"/>
  <c r="AB1526" i="82" s="1"/>
  <c r="X1525" i="82"/>
  <c r="AD1525" i="82" s="1"/>
  <c r="W1525" i="82"/>
  <c r="AC1525" i="82" s="1"/>
  <c r="V1525" i="82"/>
  <c r="AB1525" i="82" s="1"/>
  <c r="X1524" i="82"/>
  <c r="AD1524" i="82" s="1"/>
  <c r="W1524" i="82"/>
  <c r="AC1524" i="82" s="1"/>
  <c r="V1524" i="82"/>
  <c r="AB1524" i="82" s="1"/>
  <c r="X1523" i="82"/>
  <c r="AD1523" i="82" s="1"/>
  <c r="W1523" i="82"/>
  <c r="AC1523" i="82" s="1"/>
  <c r="V1523" i="82"/>
  <c r="AB1523" i="82" s="1"/>
  <c r="X1522" i="82"/>
  <c r="AD1522" i="82" s="1"/>
  <c r="W1522" i="82"/>
  <c r="AC1522" i="82" s="1"/>
  <c r="V1522" i="82"/>
  <c r="AB1522" i="82" s="1"/>
  <c r="X1521" i="82"/>
  <c r="AD1521" i="82" s="1"/>
  <c r="W1521" i="82"/>
  <c r="AC1521" i="82" s="1"/>
  <c r="V1521" i="82"/>
  <c r="AB1521" i="82" s="1"/>
  <c r="X1520" i="82"/>
  <c r="AD1520" i="82" s="1"/>
  <c r="W1520" i="82"/>
  <c r="AC1520" i="82" s="1"/>
  <c r="V1520" i="82"/>
  <c r="AB1520" i="82" s="1"/>
  <c r="X1519" i="82"/>
  <c r="AD1519" i="82" s="1"/>
  <c r="W1519" i="82"/>
  <c r="AC1519" i="82" s="1"/>
  <c r="V1519" i="82"/>
  <c r="AB1519" i="82" s="1"/>
  <c r="X1518" i="82"/>
  <c r="AD1518" i="82" s="1"/>
  <c r="W1518" i="82"/>
  <c r="AC1518" i="82" s="1"/>
  <c r="V1518" i="82"/>
  <c r="AB1518" i="82" s="1"/>
  <c r="X1517" i="82"/>
  <c r="AD1517" i="82" s="1"/>
  <c r="W1517" i="82"/>
  <c r="AC1517" i="82" s="1"/>
  <c r="V1517" i="82"/>
  <c r="AB1517" i="82" s="1"/>
  <c r="X1516" i="82"/>
  <c r="AD1516" i="82" s="1"/>
  <c r="W1516" i="82"/>
  <c r="AC1516" i="82" s="1"/>
  <c r="V1516" i="82"/>
  <c r="AB1516" i="82" s="1"/>
  <c r="X1515" i="82"/>
  <c r="AD1515" i="82" s="1"/>
  <c r="W1515" i="82"/>
  <c r="AC1515" i="82" s="1"/>
  <c r="V1515" i="82"/>
  <c r="AB1515" i="82" s="1"/>
  <c r="X1514" i="82"/>
  <c r="AD1514" i="82" s="1"/>
  <c r="W1514" i="82"/>
  <c r="AC1514" i="82" s="1"/>
  <c r="V1514" i="82"/>
  <c r="AB1514" i="82" s="1"/>
  <c r="X1513" i="82"/>
  <c r="AD1513" i="82" s="1"/>
  <c r="W1513" i="82"/>
  <c r="AC1513" i="82" s="1"/>
  <c r="V1513" i="82"/>
  <c r="AB1513" i="82" s="1"/>
  <c r="X1512" i="82"/>
  <c r="AD1512" i="82" s="1"/>
  <c r="W1512" i="82"/>
  <c r="AC1512" i="82" s="1"/>
  <c r="V1512" i="82"/>
  <c r="AB1512" i="82" s="1"/>
  <c r="X1511" i="82"/>
  <c r="AD1511" i="82" s="1"/>
  <c r="W1511" i="82"/>
  <c r="AC1511" i="82" s="1"/>
  <c r="V1511" i="82"/>
  <c r="AB1511" i="82" s="1"/>
  <c r="X1510" i="82"/>
  <c r="AD1510" i="82" s="1"/>
  <c r="W1510" i="82"/>
  <c r="AC1510" i="82" s="1"/>
  <c r="V1510" i="82"/>
  <c r="AB1510" i="82" s="1"/>
  <c r="X1509" i="82"/>
  <c r="AD1509" i="82" s="1"/>
  <c r="W1509" i="82"/>
  <c r="AC1509" i="82" s="1"/>
  <c r="V1509" i="82"/>
  <c r="AB1509" i="82" s="1"/>
  <c r="X1508" i="82"/>
  <c r="AD1508" i="82" s="1"/>
  <c r="W1508" i="82"/>
  <c r="AC1508" i="82" s="1"/>
  <c r="V1508" i="82"/>
  <c r="AB1508" i="82" s="1"/>
  <c r="X1507" i="82"/>
  <c r="AD1507" i="82" s="1"/>
  <c r="W1507" i="82"/>
  <c r="AC1507" i="82" s="1"/>
  <c r="V1507" i="82"/>
  <c r="AB1507" i="82" s="1"/>
  <c r="X1506" i="82"/>
  <c r="AD1506" i="82" s="1"/>
  <c r="W1506" i="82"/>
  <c r="AC1506" i="82" s="1"/>
  <c r="V1506" i="82"/>
  <c r="AB1506" i="82" s="1"/>
  <c r="X1505" i="82"/>
  <c r="AD1505" i="82" s="1"/>
  <c r="W1505" i="82"/>
  <c r="AC1505" i="82" s="1"/>
  <c r="V1505" i="82"/>
  <c r="AB1505" i="82" s="1"/>
  <c r="X1504" i="82"/>
  <c r="AD1504" i="82" s="1"/>
  <c r="W1504" i="82"/>
  <c r="AC1504" i="82" s="1"/>
  <c r="V1504" i="82"/>
  <c r="AB1504" i="82" s="1"/>
  <c r="X1503" i="82"/>
  <c r="AD1503" i="82" s="1"/>
  <c r="W1503" i="82"/>
  <c r="AC1503" i="82" s="1"/>
  <c r="V1503" i="82"/>
  <c r="AB1503" i="82" s="1"/>
  <c r="X1502" i="82"/>
  <c r="AD1502" i="82" s="1"/>
  <c r="W1502" i="82"/>
  <c r="AC1502" i="82" s="1"/>
  <c r="V1502" i="82"/>
  <c r="AB1502" i="82" s="1"/>
  <c r="X1501" i="82"/>
  <c r="AD1501" i="82" s="1"/>
  <c r="W1501" i="82"/>
  <c r="AC1501" i="82" s="1"/>
  <c r="V1501" i="82"/>
  <c r="AB1501" i="82" s="1"/>
  <c r="X1500" i="82"/>
  <c r="AD1500" i="82" s="1"/>
  <c r="W1500" i="82"/>
  <c r="AC1500" i="82" s="1"/>
  <c r="V1500" i="82"/>
  <c r="AB1500" i="82" s="1"/>
  <c r="X1499" i="82"/>
  <c r="AD1499" i="82" s="1"/>
  <c r="W1499" i="82"/>
  <c r="AC1499" i="82" s="1"/>
  <c r="V1499" i="82"/>
  <c r="AB1499" i="82" s="1"/>
  <c r="X1498" i="82"/>
  <c r="AD1498" i="82" s="1"/>
  <c r="W1498" i="82"/>
  <c r="AC1498" i="82" s="1"/>
  <c r="V1498" i="82"/>
  <c r="AB1498" i="82" s="1"/>
  <c r="X1497" i="82"/>
  <c r="AD1497" i="82" s="1"/>
  <c r="W1497" i="82"/>
  <c r="AC1497" i="82" s="1"/>
  <c r="V1497" i="82"/>
  <c r="AB1497" i="82" s="1"/>
  <c r="X1496" i="82"/>
  <c r="AD1496" i="82" s="1"/>
  <c r="W1496" i="82"/>
  <c r="AC1496" i="82" s="1"/>
  <c r="V1496" i="82"/>
  <c r="AB1496" i="82" s="1"/>
  <c r="X1495" i="82"/>
  <c r="AD1495" i="82" s="1"/>
  <c r="W1495" i="82"/>
  <c r="AC1495" i="82" s="1"/>
  <c r="V1495" i="82"/>
  <c r="AB1495" i="82" s="1"/>
  <c r="X1494" i="82"/>
  <c r="AD1494" i="82" s="1"/>
  <c r="W1494" i="82"/>
  <c r="AC1494" i="82" s="1"/>
  <c r="V1494" i="82"/>
  <c r="AB1494" i="82" s="1"/>
  <c r="X1493" i="82"/>
  <c r="AD1493" i="82" s="1"/>
  <c r="W1493" i="82"/>
  <c r="AC1493" i="82" s="1"/>
  <c r="V1493" i="82"/>
  <c r="AB1493" i="82" s="1"/>
  <c r="X1492" i="82"/>
  <c r="AD1492" i="82" s="1"/>
  <c r="W1492" i="82"/>
  <c r="AC1492" i="82" s="1"/>
  <c r="V1492" i="82"/>
  <c r="AB1492" i="82" s="1"/>
  <c r="X1491" i="82"/>
  <c r="AD1491" i="82" s="1"/>
  <c r="W1491" i="82"/>
  <c r="AC1491" i="82" s="1"/>
  <c r="V1491" i="82"/>
  <c r="AB1491" i="82" s="1"/>
  <c r="X1490" i="82"/>
  <c r="AD1490" i="82" s="1"/>
  <c r="W1490" i="82"/>
  <c r="AC1490" i="82" s="1"/>
  <c r="V1490" i="82"/>
  <c r="AB1490" i="82" s="1"/>
  <c r="X1489" i="82"/>
  <c r="AD1489" i="82" s="1"/>
  <c r="W1489" i="82"/>
  <c r="AC1489" i="82" s="1"/>
  <c r="V1489" i="82"/>
  <c r="AB1489" i="82" s="1"/>
  <c r="X1488" i="82"/>
  <c r="AD1488" i="82" s="1"/>
  <c r="W1488" i="82"/>
  <c r="AC1488" i="82" s="1"/>
  <c r="V1488" i="82"/>
  <c r="AB1488" i="82" s="1"/>
  <c r="X1487" i="82"/>
  <c r="AD1487" i="82" s="1"/>
  <c r="W1487" i="82"/>
  <c r="AC1487" i="82" s="1"/>
  <c r="V1487" i="82"/>
  <c r="AB1487" i="82" s="1"/>
  <c r="X1486" i="82"/>
  <c r="AD1486" i="82" s="1"/>
  <c r="W1486" i="82"/>
  <c r="AC1486" i="82" s="1"/>
  <c r="V1486" i="82"/>
  <c r="AB1486" i="82" s="1"/>
  <c r="X1485" i="82"/>
  <c r="AD1485" i="82" s="1"/>
  <c r="W1485" i="82"/>
  <c r="AC1485" i="82" s="1"/>
  <c r="V1485" i="82"/>
  <c r="AB1485" i="82" s="1"/>
  <c r="X1484" i="82"/>
  <c r="AD1484" i="82" s="1"/>
  <c r="W1484" i="82"/>
  <c r="AC1484" i="82" s="1"/>
  <c r="V1484" i="82"/>
  <c r="AB1484" i="82" s="1"/>
  <c r="X1483" i="82"/>
  <c r="AD1483" i="82" s="1"/>
  <c r="W1483" i="82"/>
  <c r="AC1483" i="82" s="1"/>
  <c r="V1483" i="82"/>
  <c r="AB1483" i="82" s="1"/>
  <c r="X1482" i="82"/>
  <c r="AD1482" i="82" s="1"/>
  <c r="W1482" i="82"/>
  <c r="AC1482" i="82" s="1"/>
  <c r="V1482" i="82"/>
  <c r="AB1482" i="82" s="1"/>
  <c r="X1481" i="82"/>
  <c r="AD1481" i="82" s="1"/>
  <c r="W1481" i="82"/>
  <c r="AC1481" i="82" s="1"/>
  <c r="V1481" i="82"/>
  <c r="AB1481" i="82" s="1"/>
  <c r="X1480" i="82"/>
  <c r="AD1480" i="82" s="1"/>
  <c r="W1480" i="82"/>
  <c r="AC1480" i="82" s="1"/>
  <c r="V1480" i="82"/>
  <c r="AB1480" i="82" s="1"/>
  <c r="X1479" i="82"/>
  <c r="AD1479" i="82" s="1"/>
  <c r="W1479" i="82"/>
  <c r="AC1479" i="82" s="1"/>
  <c r="V1479" i="82"/>
  <c r="AB1479" i="82" s="1"/>
  <c r="X1478" i="82"/>
  <c r="AD1478" i="82" s="1"/>
  <c r="W1478" i="82"/>
  <c r="AC1478" i="82" s="1"/>
  <c r="V1478" i="82"/>
  <c r="AB1478" i="82" s="1"/>
  <c r="X1477" i="82"/>
  <c r="AD1477" i="82" s="1"/>
  <c r="W1477" i="82"/>
  <c r="AC1477" i="82" s="1"/>
  <c r="V1477" i="82"/>
  <c r="AB1477" i="82" s="1"/>
  <c r="X1476" i="82"/>
  <c r="AD1476" i="82" s="1"/>
  <c r="W1476" i="82"/>
  <c r="AC1476" i="82" s="1"/>
  <c r="V1476" i="82"/>
  <c r="AB1476" i="82" s="1"/>
  <c r="X1475" i="82"/>
  <c r="AD1475" i="82" s="1"/>
  <c r="W1475" i="82"/>
  <c r="AC1475" i="82" s="1"/>
  <c r="V1475" i="82"/>
  <c r="AB1475" i="82" s="1"/>
  <c r="X1474" i="82"/>
  <c r="AD1474" i="82" s="1"/>
  <c r="W1474" i="82"/>
  <c r="AC1474" i="82" s="1"/>
  <c r="V1474" i="82"/>
  <c r="AB1474" i="82" s="1"/>
  <c r="X1473" i="82"/>
  <c r="AD1473" i="82" s="1"/>
  <c r="W1473" i="82"/>
  <c r="AC1473" i="82" s="1"/>
  <c r="V1473" i="82"/>
  <c r="AB1473" i="82" s="1"/>
  <c r="X1472" i="82"/>
  <c r="AD1472" i="82" s="1"/>
  <c r="W1472" i="82"/>
  <c r="AC1472" i="82" s="1"/>
  <c r="V1472" i="82"/>
  <c r="AB1472" i="82" s="1"/>
  <c r="X1471" i="82"/>
  <c r="AD1471" i="82" s="1"/>
  <c r="W1471" i="82"/>
  <c r="AC1471" i="82" s="1"/>
  <c r="V1471" i="82"/>
  <c r="AB1471" i="82" s="1"/>
  <c r="X1470" i="82"/>
  <c r="AD1470" i="82" s="1"/>
  <c r="W1470" i="82"/>
  <c r="AC1470" i="82" s="1"/>
  <c r="V1470" i="82"/>
  <c r="AB1470" i="82" s="1"/>
  <c r="X1469" i="82"/>
  <c r="AD1469" i="82" s="1"/>
  <c r="W1469" i="82"/>
  <c r="AC1469" i="82" s="1"/>
  <c r="V1469" i="82"/>
  <c r="AB1469" i="82" s="1"/>
  <c r="X1468" i="82"/>
  <c r="AD1468" i="82" s="1"/>
  <c r="W1468" i="82"/>
  <c r="AC1468" i="82" s="1"/>
  <c r="V1468" i="82"/>
  <c r="AB1468" i="82" s="1"/>
  <c r="X1467" i="82"/>
  <c r="AD1467" i="82" s="1"/>
  <c r="W1467" i="82"/>
  <c r="AC1467" i="82" s="1"/>
  <c r="V1467" i="82"/>
  <c r="AB1467" i="82" s="1"/>
  <c r="X1466" i="82"/>
  <c r="AD1466" i="82" s="1"/>
  <c r="W1466" i="82"/>
  <c r="AC1466" i="82" s="1"/>
  <c r="V1466" i="82"/>
  <c r="AB1466" i="82" s="1"/>
  <c r="X1465" i="82"/>
  <c r="AD1465" i="82" s="1"/>
  <c r="W1465" i="82"/>
  <c r="AC1465" i="82" s="1"/>
  <c r="V1465" i="82"/>
  <c r="AB1465" i="82" s="1"/>
  <c r="X1464" i="82"/>
  <c r="AD1464" i="82" s="1"/>
  <c r="W1464" i="82"/>
  <c r="AC1464" i="82" s="1"/>
  <c r="V1464" i="82"/>
  <c r="AB1464" i="82" s="1"/>
  <c r="X1463" i="82"/>
  <c r="AD1463" i="82" s="1"/>
  <c r="W1463" i="82"/>
  <c r="AC1463" i="82" s="1"/>
  <c r="V1463" i="82"/>
  <c r="AB1463" i="82" s="1"/>
  <c r="X1462" i="82"/>
  <c r="AD1462" i="82" s="1"/>
  <c r="W1462" i="82"/>
  <c r="AC1462" i="82" s="1"/>
  <c r="V1462" i="82"/>
  <c r="AB1462" i="82" s="1"/>
  <c r="X1461" i="82"/>
  <c r="AD1461" i="82" s="1"/>
  <c r="W1461" i="82"/>
  <c r="AC1461" i="82" s="1"/>
  <c r="V1461" i="82"/>
  <c r="AB1461" i="82" s="1"/>
  <c r="X1460" i="82"/>
  <c r="AD1460" i="82" s="1"/>
  <c r="W1460" i="82"/>
  <c r="AC1460" i="82" s="1"/>
  <c r="V1460" i="82"/>
  <c r="AB1460" i="82" s="1"/>
  <c r="X1459" i="82"/>
  <c r="AD1459" i="82" s="1"/>
  <c r="W1459" i="82"/>
  <c r="AC1459" i="82" s="1"/>
  <c r="V1459" i="82"/>
  <c r="AB1459" i="82" s="1"/>
  <c r="X1458" i="82"/>
  <c r="AD1458" i="82" s="1"/>
  <c r="W1458" i="82"/>
  <c r="AC1458" i="82" s="1"/>
  <c r="V1458" i="82"/>
  <c r="AB1458" i="82" s="1"/>
  <c r="X1457" i="82"/>
  <c r="AD1457" i="82" s="1"/>
  <c r="W1457" i="82"/>
  <c r="AC1457" i="82" s="1"/>
  <c r="V1457" i="82"/>
  <c r="AB1457" i="82" s="1"/>
  <c r="X1456" i="82"/>
  <c r="AD1456" i="82" s="1"/>
  <c r="W1456" i="82"/>
  <c r="AC1456" i="82" s="1"/>
  <c r="V1456" i="82"/>
  <c r="AB1456" i="82" s="1"/>
  <c r="X1455" i="82"/>
  <c r="AD1455" i="82" s="1"/>
  <c r="W1455" i="82"/>
  <c r="AC1455" i="82" s="1"/>
  <c r="V1455" i="82"/>
  <c r="AB1455" i="82" s="1"/>
  <c r="X1454" i="82"/>
  <c r="AD1454" i="82" s="1"/>
  <c r="W1454" i="82"/>
  <c r="AC1454" i="82" s="1"/>
  <c r="V1454" i="82"/>
  <c r="AB1454" i="82" s="1"/>
  <c r="X1453" i="82"/>
  <c r="AD1453" i="82" s="1"/>
  <c r="W1453" i="82"/>
  <c r="AC1453" i="82" s="1"/>
  <c r="V1453" i="82"/>
  <c r="AB1453" i="82" s="1"/>
  <c r="X1452" i="82"/>
  <c r="AD1452" i="82" s="1"/>
  <c r="W1452" i="82"/>
  <c r="AC1452" i="82" s="1"/>
  <c r="V1452" i="82"/>
  <c r="AB1452" i="82" s="1"/>
  <c r="X1451" i="82"/>
  <c r="AD1451" i="82" s="1"/>
  <c r="W1451" i="82"/>
  <c r="AC1451" i="82" s="1"/>
  <c r="V1451" i="82"/>
  <c r="AB1451" i="82" s="1"/>
  <c r="X1450" i="82"/>
  <c r="AD1450" i="82" s="1"/>
  <c r="W1450" i="82"/>
  <c r="AC1450" i="82" s="1"/>
  <c r="V1450" i="82"/>
  <c r="AB1450" i="82" s="1"/>
  <c r="X1449" i="82"/>
  <c r="AD1449" i="82" s="1"/>
  <c r="W1449" i="82"/>
  <c r="AC1449" i="82" s="1"/>
  <c r="V1449" i="82"/>
  <c r="AB1449" i="82" s="1"/>
  <c r="X1448" i="82"/>
  <c r="AD1448" i="82" s="1"/>
  <c r="W1448" i="82"/>
  <c r="AC1448" i="82" s="1"/>
  <c r="V1448" i="82"/>
  <c r="AB1448" i="82" s="1"/>
  <c r="X1447" i="82"/>
  <c r="AD1447" i="82" s="1"/>
  <c r="W1447" i="82"/>
  <c r="AC1447" i="82" s="1"/>
  <c r="V1447" i="82"/>
  <c r="AB1447" i="82" s="1"/>
  <c r="X1446" i="82"/>
  <c r="AD1446" i="82" s="1"/>
  <c r="W1446" i="82"/>
  <c r="AC1446" i="82" s="1"/>
  <c r="V1446" i="82"/>
  <c r="AB1446" i="82" s="1"/>
  <c r="X1445" i="82"/>
  <c r="AD1445" i="82" s="1"/>
  <c r="W1445" i="82"/>
  <c r="AC1445" i="82" s="1"/>
  <c r="V1445" i="82"/>
  <c r="AB1445" i="82" s="1"/>
  <c r="X1444" i="82"/>
  <c r="AD1444" i="82" s="1"/>
  <c r="W1444" i="82"/>
  <c r="AC1444" i="82" s="1"/>
  <c r="V1444" i="82"/>
  <c r="AB1444" i="82" s="1"/>
  <c r="X1443" i="82"/>
  <c r="AD1443" i="82" s="1"/>
  <c r="W1443" i="82"/>
  <c r="AC1443" i="82" s="1"/>
  <c r="V1443" i="82"/>
  <c r="AB1443" i="82" s="1"/>
  <c r="X1442" i="82"/>
  <c r="AD1442" i="82" s="1"/>
  <c r="W1442" i="82"/>
  <c r="AC1442" i="82" s="1"/>
  <c r="V1442" i="82"/>
  <c r="AB1442" i="82" s="1"/>
  <c r="X1441" i="82"/>
  <c r="AD1441" i="82" s="1"/>
  <c r="W1441" i="82"/>
  <c r="AC1441" i="82" s="1"/>
  <c r="V1441" i="82"/>
  <c r="AB1441" i="82" s="1"/>
  <c r="X1440" i="82"/>
  <c r="AD1440" i="82" s="1"/>
  <c r="W1440" i="82"/>
  <c r="AC1440" i="82" s="1"/>
  <c r="V1440" i="82"/>
  <c r="AB1440" i="82" s="1"/>
  <c r="X1439" i="82"/>
  <c r="AD1439" i="82" s="1"/>
  <c r="W1439" i="82"/>
  <c r="AC1439" i="82" s="1"/>
  <c r="V1439" i="82"/>
  <c r="AB1439" i="82" s="1"/>
  <c r="X1438" i="82"/>
  <c r="AD1438" i="82" s="1"/>
  <c r="W1438" i="82"/>
  <c r="AC1438" i="82" s="1"/>
  <c r="V1438" i="82"/>
  <c r="AB1438" i="82" s="1"/>
  <c r="X1437" i="82"/>
  <c r="AD1437" i="82" s="1"/>
  <c r="W1437" i="82"/>
  <c r="AC1437" i="82" s="1"/>
  <c r="V1437" i="82"/>
  <c r="AB1437" i="82" s="1"/>
  <c r="X1436" i="82"/>
  <c r="AD1436" i="82" s="1"/>
  <c r="W1436" i="82"/>
  <c r="AC1436" i="82" s="1"/>
  <c r="V1436" i="82"/>
  <c r="AB1436" i="82" s="1"/>
  <c r="X1435" i="82"/>
  <c r="AD1435" i="82" s="1"/>
  <c r="W1435" i="82"/>
  <c r="AC1435" i="82" s="1"/>
  <c r="V1435" i="82"/>
  <c r="AB1435" i="82" s="1"/>
  <c r="X1434" i="82"/>
  <c r="AD1434" i="82" s="1"/>
  <c r="W1434" i="82"/>
  <c r="AC1434" i="82" s="1"/>
  <c r="V1434" i="82"/>
  <c r="AB1434" i="82" s="1"/>
  <c r="X1433" i="82"/>
  <c r="AD1433" i="82" s="1"/>
  <c r="W1433" i="82"/>
  <c r="AC1433" i="82" s="1"/>
  <c r="V1433" i="82"/>
  <c r="AB1433" i="82" s="1"/>
  <c r="X1432" i="82"/>
  <c r="AD1432" i="82" s="1"/>
  <c r="W1432" i="82"/>
  <c r="AC1432" i="82" s="1"/>
  <c r="V1432" i="82"/>
  <c r="AB1432" i="82" s="1"/>
  <c r="X1431" i="82"/>
  <c r="AD1431" i="82" s="1"/>
  <c r="W1431" i="82"/>
  <c r="AC1431" i="82" s="1"/>
  <c r="V1431" i="82"/>
  <c r="AB1431" i="82" s="1"/>
  <c r="X1430" i="82"/>
  <c r="AD1430" i="82" s="1"/>
  <c r="W1430" i="82"/>
  <c r="AC1430" i="82" s="1"/>
  <c r="V1430" i="82"/>
  <c r="AB1430" i="82" s="1"/>
  <c r="X1429" i="82"/>
  <c r="AD1429" i="82" s="1"/>
  <c r="W1429" i="82"/>
  <c r="AC1429" i="82" s="1"/>
  <c r="V1429" i="82"/>
  <c r="AB1429" i="82" s="1"/>
  <c r="X1428" i="82"/>
  <c r="AD1428" i="82" s="1"/>
  <c r="W1428" i="82"/>
  <c r="AC1428" i="82" s="1"/>
  <c r="V1428" i="82"/>
  <c r="AB1428" i="82" s="1"/>
  <c r="X1427" i="82"/>
  <c r="AD1427" i="82" s="1"/>
  <c r="W1427" i="82"/>
  <c r="AC1427" i="82" s="1"/>
  <c r="V1427" i="82"/>
  <c r="AB1427" i="82" s="1"/>
  <c r="X1426" i="82"/>
  <c r="AD1426" i="82" s="1"/>
  <c r="W1426" i="82"/>
  <c r="AC1426" i="82" s="1"/>
  <c r="V1426" i="82"/>
  <c r="AB1426" i="82" s="1"/>
  <c r="X1425" i="82"/>
  <c r="AD1425" i="82" s="1"/>
  <c r="W1425" i="82"/>
  <c r="AC1425" i="82" s="1"/>
  <c r="V1425" i="82"/>
  <c r="AB1425" i="82" s="1"/>
  <c r="X1424" i="82"/>
  <c r="AD1424" i="82" s="1"/>
  <c r="W1424" i="82"/>
  <c r="AC1424" i="82" s="1"/>
  <c r="V1424" i="82"/>
  <c r="AB1424" i="82" s="1"/>
  <c r="X1423" i="82"/>
  <c r="AD1423" i="82" s="1"/>
  <c r="W1423" i="82"/>
  <c r="AC1423" i="82" s="1"/>
  <c r="V1423" i="82"/>
  <c r="AB1423" i="82" s="1"/>
  <c r="X1422" i="82"/>
  <c r="AD1422" i="82" s="1"/>
  <c r="W1422" i="82"/>
  <c r="AC1422" i="82" s="1"/>
  <c r="V1422" i="82"/>
  <c r="AB1422" i="82" s="1"/>
  <c r="X1421" i="82"/>
  <c r="AD1421" i="82" s="1"/>
  <c r="W1421" i="82"/>
  <c r="AC1421" i="82" s="1"/>
  <c r="V1421" i="82"/>
  <c r="AB1421" i="82" s="1"/>
  <c r="X1420" i="82"/>
  <c r="AD1420" i="82" s="1"/>
  <c r="W1420" i="82"/>
  <c r="AC1420" i="82" s="1"/>
  <c r="V1420" i="82"/>
  <c r="AB1420" i="82" s="1"/>
  <c r="X1419" i="82"/>
  <c r="AD1419" i="82" s="1"/>
  <c r="W1419" i="82"/>
  <c r="AC1419" i="82" s="1"/>
  <c r="V1419" i="82"/>
  <c r="AB1419" i="82" s="1"/>
  <c r="X1418" i="82"/>
  <c r="AD1418" i="82" s="1"/>
  <c r="W1418" i="82"/>
  <c r="AC1418" i="82" s="1"/>
  <c r="V1418" i="82"/>
  <c r="AB1418" i="82" s="1"/>
  <c r="X1417" i="82"/>
  <c r="AD1417" i="82" s="1"/>
  <c r="W1417" i="82"/>
  <c r="AC1417" i="82" s="1"/>
  <c r="V1417" i="82"/>
  <c r="AB1417" i="82" s="1"/>
  <c r="X1416" i="82"/>
  <c r="AD1416" i="82" s="1"/>
  <c r="W1416" i="82"/>
  <c r="AC1416" i="82" s="1"/>
  <c r="V1416" i="82"/>
  <c r="AB1416" i="82" s="1"/>
  <c r="X1415" i="82"/>
  <c r="AD1415" i="82" s="1"/>
  <c r="W1415" i="82"/>
  <c r="AC1415" i="82" s="1"/>
  <c r="V1415" i="82"/>
  <c r="AB1415" i="82" s="1"/>
  <c r="X1414" i="82"/>
  <c r="AD1414" i="82" s="1"/>
  <c r="W1414" i="82"/>
  <c r="AC1414" i="82" s="1"/>
  <c r="V1414" i="82"/>
  <c r="AB1414" i="82" s="1"/>
  <c r="X1413" i="82"/>
  <c r="AD1413" i="82" s="1"/>
  <c r="W1413" i="82"/>
  <c r="AC1413" i="82" s="1"/>
  <c r="V1413" i="82"/>
  <c r="AB1413" i="82" s="1"/>
  <c r="X1412" i="82"/>
  <c r="AD1412" i="82" s="1"/>
  <c r="W1412" i="82"/>
  <c r="AC1412" i="82" s="1"/>
  <c r="V1412" i="82"/>
  <c r="AB1412" i="82" s="1"/>
  <c r="X1411" i="82"/>
  <c r="AD1411" i="82" s="1"/>
  <c r="W1411" i="82"/>
  <c r="AC1411" i="82" s="1"/>
  <c r="V1411" i="82"/>
  <c r="AB1411" i="82" s="1"/>
  <c r="X1410" i="82"/>
  <c r="AD1410" i="82" s="1"/>
  <c r="W1410" i="82"/>
  <c r="AC1410" i="82" s="1"/>
  <c r="V1410" i="82"/>
  <c r="AB1410" i="82" s="1"/>
  <c r="X1409" i="82"/>
  <c r="AD1409" i="82" s="1"/>
  <c r="W1409" i="82"/>
  <c r="AC1409" i="82" s="1"/>
  <c r="V1409" i="82"/>
  <c r="AB1409" i="82" s="1"/>
  <c r="X1408" i="82"/>
  <c r="AD1408" i="82" s="1"/>
  <c r="W1408" i="82"/>
  <c r="AC1408" i="82" s="1"/>
  <c r="V1408" i="82"/>
  <c r="AB1408" i="82" s="1"/>
  <c r="X1407" i="82"/>
  <c r="AD1407" i="82" s="1"/>
  <c r="W1407" i="82"/>
  <c r="AC1407" i="82" s="1"/>
  <c r="V1407" i="82"/>
  <c r="AB1407" i="82" s="1"/>
  <c r="X1406" i="82"/>
  <c r="AD1406" i="82" s="1"/>
  <c r="W1406" i="82"/>
  <c r="AC1406" i="82" s="1"/>
  <c r="V1406" i="82"/>
  <c r="AB1406" i="82" s="1"/>
  <c r="X1405" i="82"/>
  <c r="AD1405" i="82" s="1"/>
  <c r="W1405" i="82"/>
  <c r="AC1405" i="82" s="1"/>
  <c r="V1405" i="82"/>
  <c r="AB1405" i="82" s="1"/>
  <c r="X1404" i="82"/>
  <c r="AD1404" i="82" s="1"/>
  <c r="W1404" i="82"/>
  <c r="AC1404" i="82" s="1"/>
  <c r="V1404" i="82"/>
  <c r="AB1404" i="82" s="1"/>
  <c r="X1403" i="82"/>
  <c r="AD1403" i="82" s="1"/>
  <c r="W1403" i="82"/>
  <c r="AC1403" i="82" s="1"/>
  <c r="V1403" i="82"/>
  <c r="AB1403" i="82" s="1"/>
  <c r="X1402" i="82"/>
  <c r="AD1402" i="82" s="1"/>
  <c r="W1402" i="82"/>
  <c r="AC1402" i="82" s="1"/>
  <c r="V1402" i="82"/>
  <c r="AB1402" i="82" s="1"/>
  <c r="X1401" i="82"/>
  <c r="AD1401" i="82" s="1"/>
  <c r="W1401" i="82"/>
  <c r="AC1401" i="82" s="1"/>
  <c r="V1401" i="82"/>
  <c r="AB1401" i="82" s="1"/>
  <c r="X1400" i="82"/>
  <c r="AD1400" i="82" s="1"/>
  <c r="W1400" i="82"/>
  <c r="AC1400" i="82" s="1"/>
  <c r="V1400" i="82"/>
  <c r="AB1400" i="82" s="1"/>
  <c r="X1399" i="82"/>
  <c r="AD1399" i="82" s="1"/>
  <c r="W1399" i="82"/>
  <c r="AC1399" i="82" s="1"/>
  <c r="V1399" i="82"/>
  <c r="AB1399" i="82" s="1"/>
  <c r="X1398" i="82"/>
  <c r="AD1398" i="82" s="1"/>
  <c r="W1398" i="82"/>
  <c r="AC1398" i="82" s="1"/>
  <c r="V1398" i="82"/>
  <c r="AB1398" i="82" s="1"/>
  <c r="X1397" i="82"/>
  <c r="AD1397" i="82" s="1"/>
  <c r="W1397" i="82"/>
  <c r="AC1397" i="82" s="1"/>
  <c r="V1397" i="82"/>
  <c r="AB1397" i="82" s="1"/>
  <c r="X1396" i="82"/>
  <c r="AD1396" i="82" s="1"/>
  <c r="W1396" i="82"/>
  <c r="AC1396" i="82" s="1"/>
  <c r="V1396" i="82"/>
  <c r="AB1396" i="82" s="1"/>
  <c r="X1395" i="82"/>
  <c r="AD1395" i="82" s="1"/>
  <c r="W1395" i="82"/>
  <c r="AC1395" i="82" s="1"/>
  <c r="V1395" i="82"/>
  <c r="AB1395" i="82" s="1"/>
  <c r="X1394" i="82"/>
  <c r="AD1394" i="82" s="1"/>
  <c r="W1394" i="82"/>
  <c r="AC1394" i="82" s="1"/>
  <c r="V1394" i="82"/>
  <c r="AB1394" i="82" s="1"/>
  <c r="X1393" i="82"/>
  <c r="AD1393" i="82" s="1"/>
  <c r="W1393" i="82"/>
  <c r="AC1393" i="82" s="1"/>
  <c r="V1393" i="82"/>
  <c r="AB1393" i="82" s="1"/>
  <c r="X1392" i="82"/>
  <c r="AD1392" i="82" s="1"/>
  <c r="W1392" i="82"/>
  <c r="AC1392" i="82" s="1"/>
  <c r="V1392" i="82"/>
  <c r="AB1392" i="82" s="1"/>
  <c r="X1391" i="82"/>
  <c r="AD1391" i="82" s="1"/>
  <c r="W1391" i="82"/>
  <c r="AC1391" i="82" s="1"/>
  <c r="V1391" i="82"/>
  <c r="AB1391" i="82" s="1"/>
  <c r="X1390" i="82"/>
  <c r="AD1390" i="82" s="1"/>
  <c r="W1390" i="82"/>
  <c r="AC1390" i="82" s="1"/>
  <c r="V1390" i="82"/>
  <c r="AB1390" i="82" s="1"/>
  <c r="X1389" i="82"/>
  <c r="AD1389" i="82" s="1"/>
  <c r="W1389" i="82"/>
  <c r="AC1389" i="82" s="1"/>
  <c r="V1389" i="82"/>
  <c r="AB1389" i="82" s="1"/>
  <c r="X1388" i="82"/>
  <c r="AD1388" i="82" s="1"/>
  <c r="W1388" i="82"/>
  <c r="AC1388" i="82" s="1"/>
  <c r="V1388" i="82"/>
  <c r="AB1388" i="82" s="1"/>
  <c r="X1387" i="82"/>
  <c r="AD1387" i="82" s="1"/>
  <c r="W1387" i="82"/>
  <c r="AC1387" i="82" s="1"/>
  <c r="V1387" i="82"/>
  <c r="AB1387" i="82" s="1"/>
  <c r="X1386" i="82"/>
  <c r="AD1386" i="82" s="1"/>
  <c r="W1386" i="82"/>
  <c r="AC1386" i="82" s="1"/>
  <c r="V1386" i="82"/>
  <c r="AB1386" i="82" s="1"/>
  <c r="X1385" i="82"/>
  <c r="AD1385" i="82" s="1"/>
  <c r="W1385" i="82"/>
  <c r="AC1385" i="82" s="1"/>
  <c r="V1385" i="82"/>
  <c r="AB1385" i="82" s="1"/>
  <c r="X1384" i="82"/>
  <c r="AD1384" i="82" s="1"/>
  <c r="W1384" i="82"/>
  <c r="AC1384" i="82" s="1"/>
  <c r="V1384" i="82"/>
  <c r="AB1384" i="82" s="1"/>
  <c r="X1383" i="82"/>
  <c r="AD1383" i="82" s="1"/>
  <c r="W1383" i="82"/>
  <c r="AC1383" i="82" s="1"/>
  <c r="V1383" i="82"/>
  <c r="AB1383" i="82" s="1"/>
  <c r="X1382" i="82"/>
  <c r="AD1382" i="82" s="1"/>
  <c r="W1382" i="82"/>
  <c r="AC1382" i="82" s="1"/>
  <c r="V1382" i="82"/>
  <c r="AB1382" i="82" s="1"/>
  <c r="X1381" i="82"/>
  <c r="AD1381" i="82" s="1"/>
  <c r="W1381" i="82"/>
  <c r="AC1381" i="82" s="1"/>
  <c r="V1381" i="82"/>
  <c r="AB1381" i="82" s="1"/>
  <c r="X1380" i="82"/>
  <c r="AD1380" i="82" s="1"/>
  <c r="W1380" i="82"/>
  <c r="AC1380" i="82" s="1"/>
  <c r="V1380" i="82"/>
  <c r="AB1380" i="82" s="1"/>
  <c r="X1379" i="82"/>
  <c r="AD1379" i="82" s="1"/>
  <c r="W1379" i="82"/>
  <c r="AC1379" i="82" s="1"/>
  <c r="V1379" i="82"/>
  <c r="AB1379" i="82" s="1"/>
  <c r="X1378" i="82"/>
  <c r="AD1378" i="82" s="1"/>
  <c r="W1378" i="82"/>
  <c r="AC1378" i="82" s="1"/>
  <c r="V1378" i="82"/>
  <c r="AB1378" i="82" s="1"/>
  <c r="X1377" i="82"/>
  <c r="AD1377" i="82" s="1"/>
  <c r="W1377" i="82"/>
  <c r="AC1377" i="82" s="1"/>
  <c r="V1377" i="82"/>
  <c r="AB1377" i="82" s="1"/>
  <c r="X1376" i="82"/>
  <c r="AD1376" i="82" s="1"/>
  <c r="W1376" i="82"/>
  <c r="AC1376" i="82" s="1"/>
  <c r="V1376" i="82"/>
  <c r="AB1376" i="82" s="1"/>
  <c r="X1375" i="82"/>
  <c r="AD1375" i="82" s="1"/>
  <c r="W1375" i="82"/>
  <c r="AC1375" i="82" s="1"/>
  <c r="V1375" i="82"/>
  <c r="AB1375" i="82" s="1"/>
  <c r="X1374" i="82"/>
  <c r="AD1374" i="82" s="1"/>
  <c r="W1374" i="82"/>
  <c r="AC1374" i="82" s="1"/>
  <c r="V1374" i="82"/>
  <c r="AB1374" i="82" s="1"/>
  <c r="X1373" i="82"/>
  <c r="AD1373" i="82" s="1"/>
  <c r="W1373" i="82"/>
  <c r="AC1373" i="82" s="1"/>
  <c r="V1373" i="82"/>
  <c r="AB1373" i="82" s="1"/>
  <c r="X1372" i="82"/>
  <c r="AD1372" i="82" s="1"/>
  <c r="W1372" i="82"/>
  <c r="AC1372" i="82" s="1"/>
  <c r="V1372" i="82"/>
  <c r="AB1372" i="82" s="1"/>
  <c r="X1371" i="82"/>
  <c r="AD1371" i="82" s="1"/>
  <c r="W1371" i="82"/>
  <c r="AC1371" i="82" s="1"/>
  <c r="V1371" i="82"/>
  <c r="AB1371" i="82" s="1"/>
  <c r="X1370" i="82"/>
  <c r="AD1370" i="82" s="1"/>
  <c r="W1370" i="82"/>
  <c r="AC1370" i="82" s="1"/>
  <c r="V1370" i="82"/>
  <c r="AB1370" i="82" s="1"/>
  <c r="X1369" i="82"/>
  <c r="AD1369" i="82" s="1"/>
  <c r="W1369" i="82"/>
  <c r="AC1369" i="82" s="1"/>
  <c r="V1369" i="82"/>
  <c r="AB1369" i="82" s="1"/>
  <c r="X1368" i="82"/>
  <c r="AD1368" i="82" s="1"/>
  <c r="W1368" i="82"/>
  <c r="AC1368" i="82" s="1"/>
  <c r="V1368" i="82"/>
  <c r="AB1368" i="82" s="1"/>
  <c r="X1367" i="82"/>
  <c r="AD1367" i="82" s="1"/>
  <c r="W1367" i="82"/>
  <c r="AC1367" i="82" s="1"/>
  <c r="V1367" i="82"/>
  <c r="AB1367" i="82" s="1"/>
  <c r="X1366" i="82"/>
  <c r="AD1366" i="82" s="1"/>
  <c r="W1366" i="82"/>
  <c r="AC1366" i="82" s="1"/>
  <c r="V1366" i="82"/>
  <c r="AB1366" i="82" s="1"/>
  <c r="X1365" i="82"/>
  <c r="AD1365" i="82" s="1"/>
  <c r="W1365" i="82"/>
  <c r="AC1365" i="82" s="1"/>
  <c r="V1365" i="82"/>
  <c r="AB1365" i="82" s="1"/>
  <c r="X1364" i="82"/>
  <c r="AD1364" i="82" s="1"/>
  <c r="W1364" i="82"/>
  <c r="AC1364" i="82" s="1"/>
  <c r="V1364" i="82"/>
  <c r="AB1364" i="82" s="1"/>
  <c r="X1363" i="82"/>
  <c r="AD1363" i="82" s="1"/>
  <c r="W1363" i="82"/>
  <c r="AC1363" i="82" s="1"/>
  <c r="V1363" i="82"/>
  <c r="AB1363" i="82" s="1"/>
  <c r="X1362" i="82"/>
  <c r="AD1362" i="82" s="1"/>
  <c r="W1362" i="82"/>
  <c r="AC1362" i="82" s="1"/>
  <c r="V1362" i="82"/>
  <c r="AB1362" i="82" s="1"/>
  <c r="X1361" i="82"/>
  <c r="AD1361" i="82" s="1"/>
  <c r="W1361" i="82"/>
  <c r="AC1361" i="82" s="1"/>
  <c r="V1361" i="82"/>
  <c r="AB1361" i="82" s="1"/>
  <c r="X1360" i="82"/>
  <c r="AD1360" i="82" s="1"/>
  <c r="W1360" i="82"/>
  <c r="AC1360" i="82" s="1"/>
  <c r="V1360" i="82"/>
  <c r="AB1360" i="82" s="1"/>
  <c r="X1359" i="82"/>
  <c r="AD1359" i="82" s="1"/>
  <c r="W1359" i="82"/>
  <c r="AC1359" i="82" s="1"/>
  <c r="V1359" i="82"/>
  <c r="AB1359" i="82" s="1"/>
  <c r="X1358" i="82"/>
  <c r="AD1358" i="82" s="1"/>
  <c r="W1358" i="82"/>
  <c r="AC1358" i="82" s="1"/>
  <c r="V1358" i="82"/>
  <c r="AB1358" i="82" s="1"/>
  <c r="X1357" i="82"/>
  <c r="AD1357" i="82" s="1"/>
  <c r="W1357" i="82"/>
  <c r="AC1357" i="82" s="1"/>
  <c r="V1357" i="82"/>
  <c r="AB1357" i="82" s="1"/>
  <c r="X1356" i="82"/>
  <c r="AD1356" i="82" s="1"/>
  <c r="W1356" i="82"/>
  <c r="AC1356" i="82" s="1"/>
  <c r="V1356" i="82"/>
  <c r="AB1356" i="82" s="1"/>
  <c r="X1355" i="82"/>
  <c r="AD1355" i="82" s="1"/>
  <c r="W1355" i="82"/>
  <c r="AC1355" i="82" s="1"/>
  <c r="V1355" i="82"/>
  <c r="AB1355" i="82" s="1"/>
  <c r="X1354" i="82"/>
  <c r="AD1354" i="82" s="1"/>
  <c r="W1354" i="82"/>
  <c r="AC1354" i="82" s="1"/>
  <c r="V1354" i="82"/>
  <c r="AB1354" i="82" s="1"/>
  <c r="X1353" i="82"/>
  <c r="AD1353" i="82" s="1"/>
  <c r="W1353" i="82"/>
  <c r="AC1353" i="82" s="1"/>
  <c r="V1353" i="82"/>
  <c r="AB1353" i="82" s="1"/>
  <c r="X1352" i="82"/>
  <c r="AD1352" i="82" s="1"/>
  <c r="W1352" i="82"/>
  <c r="AC1352" i="82" s="1"/>
  <c r="V1352" i="82"/>
  <c r="AB1352" i="82" s="1"/>
  <c r="X1351" i="82"/>
  <c r="AD1351" i="82" s="1"/>
  <c r="W1351" i="82"/>
  <c r="AC1351" i="82" s="1"/>
  <c r="V1351" i="82"/>
  <c r="AB1351" i="82" s="1"/>
  <c r="X1350" i="82"/>
  <c r="AD1350" i="82" s="1"/>
  <c r="W1350" i="82"/>
  <c r="AC1350" i="82" s="1"/>
  <c r="V1350" i="82"/>
  <c r="AB1350" i="82" s="1"/>
  <c r="X1349" i="82"/>
  <c r="AD1349" i="82" s="1"/>
  <c r="W1349" i="82"/>
  <c r="AC1349" i="82" s="1"/>
  <c r="V1349" i="82"/>
  <c r="AB1349" i="82" s="1"/>
  <c r="X1348" i="82"/>
  <c r="AD1348" i="82" s="1"/>
  <c r="W1348" i="82"/>
  <c r="AC1348" i="82" s="1"/>
  <c r="V1348" i="82"/>
  <c r="AB1348" i="82" s="1"/>
  <c r="X1347" i="82"/>
  <c r="AD1347" i="82" s="1"/>
  <c r="W1347" i="82"/>
  <c r="AC1347" i="82" s="1"/>
  <c r="V1347" i="82"/>
  <c r="AB1347" i="82" s="1"/>
  <c r="X1346" i="82"/>
  <c r="AD1346" i="82" s="1"/>
  <c r="W1346" i="82"/>
  <c r="AC1346" i="82" s="1"/>
  <c r="V1346" i="82"/>
  <c r="AB1346" i="82" s="1"/>
  <c r="X1345" i="82"/>
  <c r="AD1345" i="82" s="1"/>
  <c r="W1345" i="82"/>
  <c r="AC1345" i="82" s="1"/>
  <c r="V1345" i="82"/>
  <c r="AB1345" i="82" s="1"/>
  <c r="X1344" i="82"/>
  <c r="AD1344" i="82" s="1"/>
  <c r="W1344" i="82"/>
  <c r="AC1344" i="82" s="1"/>
  <c r="V1344" i="82"/>
  <c r="AB1344" i="82" s="1"/>
  <c r="X1343" i="82"/>
  <c r="AD1343" i="82" s="1"/>
  <c r="W1343" i="82"/>
  <c r="AC1343" i="82" s="1"/>
  <c r="V1343" i="82"/>
  <c r="AB1343" i="82" s="1"/>
  <c r="X1342" i="82"/>
  <c r="AD1342" i="82" s="1"/>
  <c r="W1342" i="82"/>
  <c r="AC1342" i="82" s="1"/>
  <c r="V1342" i="82"/>
  <c r="AB1342" i="82" s="1"/>
  <c r="X1341" i="82"/>
  <c r="AD1341" i="82" s="1"/>
  <c r="W1341" i="82"/>
  <c r="AC1341" i="82" s="1"/>
  <c r="V1341" i="82"/>
  <c r="AB1341" i="82" s="1"/>
  <c r="X1340" i="82"/>
  <c r="AD1340" i="82" s="1"/>
  <c r="W1340" i="82"/>
  <c r="AC1340" i="82" s="1"/>
  <c r="V1340" i="82"/>
  <c r="AB1340" i="82" s="1"/>
  <c r="X1339" i="82"/>
  <c r="AD1339" i="82" s="1"/>
  <c r="W1339" i="82"/>
  <c r="AC1339" i="82" s="1"/>
  <c r="V1339" i="82"/>
  <c r="AB1339" i="82" s="1"/>
  <c r="X1338" i="82"/>
  <c r="AD1338" i="82" s="1"/>
  <c r="W1338" i="82"/>
  <c r="AC1338" i="82" s="1"/>
  <c r="V1338" i="82"/>
  <c r="AB1338" i="82" s="1"/>
  <c r="X1337" i="82"/>
  <c r="AD1337" i="82" s="1"/>
  <c r="W1337" i="82"/>
  <c r="AC1337" i="82" s="1"/>
  <c r="V1337" i="82"/>
  <c r="AB1337" i="82" s="1"/>
  <c r="X1336" i="82"/>
  <c r="AD1336" i="82" s="1"/>
  <c r="W1336" i="82"/>
  <c r="AC1336" i="82" s="1"/>
  <c r="V1336" i="82"/>
  <c r="AB1336" i="82" s="1"/>
  <c r="X1335" i="82"/>
  <c r="AD1335" i="82" s="1"/>
  <c r="W1335" i="82"/>
  <c r="AC1335" i="82" s="1"/>
  <c r="V1335" i="82"/>
  <c r="AB1335" i="82" s="1"/>
  <c r="X1334" i="82"/>
  <c r="AD1334" i="82" s="1"/>
  <c r="W1334" i="82"/>
  <c r="AC1334" i="82" s="1"/>
  <c r="V1334" i="82"/>
  <c r="AB1334" i="82" s="1"/>
  <c r="X1333" i="82"/>
  <c r="AD1333" i="82" s="1"/>
  <c r="W1333" i="82"/>
  <c r="AC1333" i="82" s="1"/>
  <c r="V1333" i="82"/>
  <c r="AB1333" i="82" s="1"/>
  <c r="X1332" i="82"/>
  <c r="AD1332" i="82" s="1"/>
  <c r="W1332" i="82"/>
  <c r="AC1332" i="82" s="1"/>
  <c r="V1332" i="82"/>
  <c r="AB1332" i="82" s="1"/>
  <c r="X1331" i="82"/>
  <c r="AD1331" i="82" s="1"/>
  <c r="W1331" i="82"/>
  <c r="AC1331" i="82" s="1"/>
  <c r="V1331" i="82"/>
  <c r="AB1331" i="82" s="1"/>
  <c r="X1330" i="82"/>
  <c r="AD1330" i="82" s="1"/>
  <c r="W1330" i="82"/>
  <c r="AC1330" i="82" s="1"/>
  <c r="V1330" i="82"/>
  <c r="AB1330" i="82" s="1"/>
  <c r="X1329" i="82"/>
  <c r="AD1329" i="82" s="1"/>
  <c r="W1329" i="82"/>
  <c r="AC1329" i="82" s="1"/>
  <c r="V1329" i="82"/>
  <c r="AB1329" i="82" s="1"/>
  <c r="X1328" i="82"/>
  <c r="AD1328" i="82" s="1"/>
  <c r="W1328" i="82"/>
  <c r="AC1328" i="82" s="1"/>
  <c r="V1328" i="82"/>
  <c r="AB1328" i="82" s="1"/>
  <c r="X1327" i="82"/>
  <c r="AD1327" i="82" s="1"/>
  <c r="W1327" i="82"/>
  <c r="AC1327" i="82" s="1"/>
  <c r="V1327" i="82"/>
  <c r="AB1327" i="82" s="1"/>
  <c r="X1326" i="82"/>
  <c r="AD1326" i="82" s="1"/>
  <c r="W1326" i="82"/>
  <c r="AC1326" i="82" s="1"/>
  <c r="V1326" i="82"/>
  <c r="AB1326" i="82" s="1"/>
  <c r="X1325" i="82"/>
  <c r="AD1325" i="82" s="1"/>
  <c r="W1325" i="82"/>
  <c r="AC1325" i="82" s="1"/>
  <c r="V1325" i="82"/>
  <c r="AB1325" i="82" s="1"/>
  <c r="X1324" i="82"/>
  <c r="AD1324" i="82" s="1"/>
  <c r="W1324" i="82"/>
  <c r="AC1324" i="82" s="1"/>
  <c r="V1324" i="82"/>
  <c r="AB1324" i="82" s="1"/>
  <c r="X1323" i="82"/>
  <c r="AD1323" i="82" s="1"/>
  <c r="W1323" i="82"/>
  <c r="AC1323" i="82" s="1"/>
  <c r="V1323" i="82"/>
  <c r="AB1323" i="82" s="1"/>
  <c r="X1322" i="82"/>
  <c r="AD1322" i="82" s="1"/>
  <c r="W1322" i="82"/>
  <c r="AC1322" i="82" s="1"/>
  <c r="V1322" i="82"/>
  <c r="AB1322" i="82" s="1"/>
  <c r="X1321" i="82"/>
  <c r="AD1321" i="82" s="1"/>
  <c r="W1321" i="82"/>
  <c r="AC1321" i="82" s="1"/>
  <c r="V1321" i="82"/>
  <c r="AB1321" i="82" s="1"/>
  <c r="X1320" i="82"/>
  <c r="AD1320" i="82" s="1"/>
  <c r="W1320" i="82"/>
  <c r="AC1320" i="82" s="1"/>
  <c r="V1320" i="82"/>
  <c r="AB1320" i="82" s="1"/>
  <c r="X1319" i="82"/>
  <c r="AD1319" i="82" s="1"/>
  <c r="W1319" i="82"/>
  <c r="AC1319" i="82" s="1"/>
  <c r="V1319" i="82"/>
  <c r="AB1319" i="82" s="1"/>
  <c r="X1318" i="82"/>
  <c r="AD1318" i="82" s="1"/>
  <c r="W1318" i="82"/>
  <c r="AC1318" i="82" s="1"/>
  <c r="V1318" i="82"/>
  <c r="AB1318" i="82" s="1"/>
  <c r="X1317" i="82"/>
  <c r="AD1317" i="82" s="1"/>
  <c r="W1317" i="82"/>
  <c r="AC1317" i="82" s="1"/>
  <c r="V1317" i="82"/>
  <c r="AB1317" i="82" s="1"/>
  <c r="X1316" i="82"/>
  <c r="AD1316" i="82" s="1"/>
  <c r="W1316" i="82"/>
  <c r="AC1316" i="82" s="1"/>
  <c r="V1316" i="82"/>
  <c r="AB1316" i="82" s="1"/>
  <c r="X1315" i="82"/>
  <c r="AD1315" i="82" s="1"/>
  <c r="W1315" i="82"/>
  <c r="AC1315" i="82" s="1"/>
  <c r="V1315" i="82"/>
  <c r="AB1315" i="82" s="1"/>
  <c r="X1314" i="82"/>
  <c r="AD1314" i="82" s="1"/>
  <c r="W1314" i="82"/>
  <c r="AC1314" i="82" s="1"/>
  <c r="V1314" i="82"/>
  <c r="AB1314" i="82" s="1"/>
  <c r="X1313" i="82"/>
  <c r="AD1313" i="82" s="1"/>
  <c r="W1313" i="82"/>
  <c r="AC1313" i="82" s="1"/>
  <c r="V1313" i="82"/>
  <c r="AB1313" i="82" s="1"/>
  <c r="X1312" i="82"/>
  <c r="AD1312" i="82" s="1"/>
  <c r="W1312" i="82"/>
  <c r="AC1312" i="82" s="1"/>
  <c r="V1312" i="82"/>
  <c r="AB1312" i="82" s="1"/>
  <c r="X1311" i="82"/>
  <c r="AD1311" i="82" s="1"/>
  <c r="W1311" i="82"/>
  <c r="AC1311" i="82" s="1"/>
  <c r="V1311" i="82"/>
  <c r="AB1311" i="82" s="1"/>
  <c r="X1310" i="82"/>
  <c r="AD1310" i="82" s="1"/>
  <c r="W1310" i="82"/>
  <c r="AC1310" i="82" s="1"/>
  <c r="V1310" i="82"/>
  <c r="AB1310" i="82" s="1"/>
  <c r="X1309" i="82"/>
  <c r="AD1309" i="82" s="1"/>
  <c r="W1309" i="82"/>
  <c r="AC1309" i="82" s="1"/>
  <c r="V1309" i="82"/>
  <c r="AB1309" i="82" s="1"/>
  <c r="X1308" i="82"/>
  <c r="AD1308" i="82" s="1"/>
  <c r="W1308" i="82"/>
  <c r="AC1308" i="82" s="1"/>
  <c r="V1308" i="82"/>
  <c r="AB1308" i="82" s="1"/>
  <c r="X1307" i="82"/>
  <c r="AD1307" i="82" s="1"/>
  <c r="W1307" i="82"/>
  <c r="AC1307" i="82" s="1"/>
  <c r="V1307" i="82"/>
  <c r="AB1307" i="82" s="1"/>
  <c r="X1306" i="82"/>
  <c r="AD1306" i="82" s="1"/>
  <c r="W1306" i="82"/>
  <c r="AC1306" i="82" s="1"/>
  <c r="V1306" i="82"/>
  <c r="AB1306" i="82" s="1"/>
  <c r="X1305" i="82"/>
  <c r="AD1305" i="82" s="1"/>
  <c r="W1305" i="82"/>
  <c r="AC1305" i="82" s="1"/>
  <c r="V1305" i="82"/>
  <c r="AB1305" i="82" s="1"/>
  <c r="X1304" i="82"/>
  <c r="AD1304" i="82" s="1"/>
  <c r="W1304" i="82"/>
  <c r="AC1304" i="82" s="1"/>
  <c r="V1304" i="82"/>
  <c r="AB1304" i="82" s="1"/>
  <c r="X1303" i="82"/>
  <c r="AD1303" i="82" s="1"/>
  <c r="W1303" i="82"/>
  <c r="AC1303" i="82" s="1"/>
  <c r="V1303" i="82"/>
  <c r="AB1303" i="82" s="1"/>
  <c r="X1302" i="82"/>
  <c r="AD1302" i="82" s="1"/>
  <c r="W1302" i="82"/>
  <c r="AC1302" i="82" s="1"/>
  <c r="V1302" i="82"/>
  <c r="AB1302" i="82" s="1"/>
  <c r="X1301" i="82"/>
  <c r="AD1301" i="82" s="1"/>
  <c r="W1301" i="82"/>
  <c r="AC1301" i="82" s="1"/>
  <c r="V1301" i="82"/>
  <c r="AB1301" i="82" s="1"/>
  <c r="X1300" i="82"/>
  <c r="AD1300" i="82" s="1"/>
  <c r="W1300" i="82"/>
  <c r="AC1300" i="82" s="1"/>
  <c r="V1300" i="82"/>
  <c r="AB1300" i="82" s="1"/>
  <c r="X1299" i="82"/>
  <c r="AD1299" i="82" s="1"/>
  <c r="W1299" i="82"/>
  <c r="AC1299" i="82" s="1"/>
  <c r="V1299" i="82"/>
  <c r="AB1299" i="82" s="1"/>
  <c r="X1298" i="82"/>
  <c r="AD1298" i="82" s="1"/>
  <c r="W1298" i="82"/>
  <c r="AC1298" i="82" s="1"/>
  <c r="V1298" i="82"/>
  <c r="AB1298" i="82" s="1"/>
  <c r="X1297" i="82"/>
  <c r="AD1297" i="82" s="1"/>
  <c r="W1297" i="82"/>
  <c r="AC1297" i="82" s="1"/>
  <c r="V1297" i="82"/>
  <c r="AB1297" i="82" s="1"/>
  <c r="X1296" i="82"/>
  <c r="AD1296" i="82" s="1"/>
  <c r="W1296" i="82"/>
  <c r="AC1296" i="82" s="1"/>
  <c r="V1296" i="82"/>
  <c r="AB1296" i="82" s="1"/>
  <c r="X1295" i="82"/>
  <c r="AD1295" i="82" s="1"/>
  <c r="W1295" i="82"/>
  <c r="AC1295" i="82" s="1"/>
  <c r="V1295" i="82"/>
  <c r="AB1295" i="82" s="1"/>
  <c r="X1294" i="82"/>
  <c r="AD1294" i="82" s="1"/>
  <c r="W1294" i="82"/>
  <c r="AC1294" i="82" s="1"/>
  <c r="V1294" i="82"/>
  <c r="AB1294" i="82" s="1"/>
  <c r="X1293" i="82"/>
  <c r="AD1293" i="82" s="1"/>
  <c r="W1293" i="82"/>
  <c r="AC1293" i="82" s="1"/>
  <c r="V1293" i="82"/>
  <c r="AB1293" i="82" s="1"/>
  <c r="X1292" i="82"/>
  <c r="AD1292" i="82" s="1"/>
  <c r="W1292" i="82"/>
  <c r="AC1292" i="82" s="1"/>
  <c r="V1292" i="82"/>
  <c r="AB1292" i="82" s="1"/>
  <c r="X1291" i="82"/>
  <c r="AD1291" i="82" s="1"/>
  <c r="W1291" i="82"/>
  <c r="AC1291" i="82" s="1"/>
  <c r="V1291" i="82"/>
  <c r="AB1291" i="82" s="1"/>
  <c r="X1290" i="82"/>
  <c r="AD1290" i="82" s="1"/>
  <c r="W1290" i="82"/>
  <c r="AC1290" i="82" s="1"/>
  <c r="V1290" i="82"/>
  <c r="AB1290" i="82" s="1"/>
  <c r="X1289" i="82"/>
  <c r="AD1289" i="82" s="1"/>
  <c r="W1289" i="82"/>
  <c r="AC1289" i="82" s="1"/>
  <c r="V1289" i="82"/>
  <c r="AB1289" i="82" s="1"/>
  <c r="X1288" i="82"/>
  <c r="AD1288" i="82" s="1"/>
  <c r="W1288" i="82"/>
  <c r="AC1288" i="82" s="1"/>
  <c r="V1288" i="82"/>
  <c r="AB1288" i="82" s="1"/>
  <c r="X1287" i="82"/>
  <c r="AD1287" i="82" s="1"/>
  <c r="W1287" i="82"/>
  <c r="AC1287" i="82" s="1"/>
  <c r="V1287" i="82"/>
  <c r="AB1287" i="82" s="1"/>
  <c r="X1286" i="82"/>
  <c r="AD1286" i="82" s="1"/>
  <c r="W1286" i="82"/>
  <c r="AC1286" i="82" s="1"/>
  <c r="V1286" i="82"/>
  <c r="AB1286" i="82" s="1"/>
  <c r="X1285" i="82"/>
  <c r="AD1285" i="82" s="1"/>
  <c r="W1285" i="82"/>
  <c r="AC1285" i="82" s="1"/>
  <c r="V1285" i="82"/>
  <c r="AB1285" i="82" s="1"/>
  <c r="X1284" i="82"/>
  <c r="AD1284" i="82" s="1"/>
  <c r="W1284" i="82"/>
  <c r="AC1284" i="82" s="1"/>
  <c r="V1284" i="82"/>
  <c r="AB1284" i="82" s="1"/>
  <c r="X1283" i="82"/>
  <c r="AD1283" i="82" s="1"/>
  <c r="W1283" i="82"/>
  <c r="AC1283" i="82" s="1"/>
  <c r="V1283" i="82"/>
  <c r="AB1283" i="82" s="1"/>
  <c r="X1282" i="82"/>
  <c r="AD1282" i="82" s="1"/>
  <c r="W1282" i="82"/>
  <c r="AC1282" i="82" s="1"/>
  <c r="V1282" i="82"/>
  <c r="AB1282" i="82" s="1"/>
  <c r="X1281" i="82"/>
  <c r="AD1281" i="82" s="1"/>
  <c r="W1281" i="82"/>
  <c r="AC1281" i="82" s="1"/>
  <c r="V1281" i="82"/>
  <c r="AB1281" i="82" s="1"/>
  <c r="X1280" i="82"/>
  <c r="AD1280" i="82" s="1"/>
  <c r="W1280" i="82"/>
  <c r="AC1280" i="82" s="1"/>
  <c r="V1280" i="82"/>
  <c r="AB1280" i="82" s="1"/>
  <c r="X1279" i="82"/>
  <c r="AD1279" i="82" s="1"/>
  <c r="W1279" i="82"/>
  <c r="AC1279" i="82" s="1"/>
  <c r="V1279" i="82"/>
  <c r="AB1279" i="82" s="1"/>
  <c r="X1278" i="82"/>
  <c r="AD1278" i="82" s="1"/>
  <c r="W1278" i="82"/>
  <c r="AC1278" i="82" s="1"/>
  <c r="V1278" i="82"/>
  <c r="AB1278" i="82" s="1"/>
  <c r="X1277" i="82"/>
  <c r="AD1277" i="82" s="1"/>
  <c r="W1277" i="82"/>
  <c r="AC1277" i="82" s="1"/>
  <c r="V1277" i="82"/>
  <c r="AB1277" i="82" s="1"/>
  <c r="X1276" i="82"/>
  <c r="AD1276" i="82" s="1"/>
  <c r="W1276" i="82"/>
  <c r="AC1276" i="82" s="1"/>
  <c r="V1276" i="82"/>
  <c r="AB1276" i="82" s="1"/>
  <c r="X1275" i="82"/>
  <c r="AD1275" i="82" s="1"/>
  <c r="W1275" i="82"/>
  <c r="AC1275" i="82" s="1"/>
  <c r="V1275" i="82"/>
  <c r="AB1275" i="82" s="1"/>
  <c r="X1274" i="82"/>
  <c r="AD1274" i="82" s="1"/>
  <c r="W1274" i="82"/>
  <c r="AC1274" i="82" s="1"/>
  <c r="V1274" i="82"/>
  <c r="AB1274" i="82" s="1"/>
  <c r="X1273" i="82"/>
  <c r="AD1273" i="82" s="1"/>
  <c r="W1273" i="82"/>
  <c r="AC1273" i="82" s="1"/>
  <c r="V1273" i="82"/>
  <c r="AB1273" i="82" s="1"/>
  <c r="X1272" i="82"/>
  <c r="AD1272" i="82" s="1"/>
  <c r="W1272" i="82"/>
  <c r="AC1272" i="82" s="1"/>
  <c r="V1272" i="82"/>
  <c r="AB1272" i="82" s="1"/>
  <c r="X1271" i="82"/>
  <c r="AD1271" i="82" s="1"/>
  <c r="W1271" i="82"/>
  <c r="AC1271" i="82" s="1"/>
  <c r="V1271" i="82"/>
  <c r="AB1271" i="82" s="1"/>
  <c r="X1270" i="82"/>
  <c r="AD1270" i="82" s="1"/>
  <c r="W1270" i="82"/>
  <c r="AC1270" i="82" s="1"/>
  <c r="V1270" i="82"/>
  <c r="AB1270" i="82" s="1"/>
  <c r="X1269" i="82"/>
  <c r="AD1269" i="82" s="1"/>
  <c r="W1269" i="82"/>
  <c r="AC1269" i="82" s="1"/>
  <c r="V1269" i="82"/>
  <c r="AB1269" i="82" s="1"/>
  <c r="X1268" i="82"/>
  <c r="AD1268" i="82" s="1"/>
  <c r="W1268" i="82"/>
  <c r="AC1268" i="82" s="1"/>
  <c r="V1268" i="82"/>
  <c r="AB1268" i="82" s="1"/>
  <c r="X1267" i="82"/>
  <c r="AD1267" i="82" s="1"/>
  <c r="W1267" i="82"/>
  <c r="AC1267" i="82" s="1"/>
  <c r="V1267" i="82"/>
  <c r="AB1267" i="82" s="1"/>
  <c r="X1266" i="82"/>
  <c r="AD1266" i="82" s="1"/>
  <c r="W1266" i="82"/>
  <c r="AC1266" i="82" s="1"/>
  <c r="V1266" i="82"/>
  <c r="AB1266" i="82" s="1"/>
  <c r="X1265" i="82"/>
  <c r="AD1265" i="82" s="1"/>
  <c r="W1265" i="82"/>
  <c r="AC1265" i="82" s="1"/>
  <c r="V1265" i="82"/>
  <c r="AB1265" i="82" s="1"/>
  <c r="X1264" i="82"/>
  <c r="AD1264" i="82" s="1"/>
  <c r="W1264" i="82"/>
  <c r="AC1264" i="82" s="1"/>
  <c r="V1264" i="82"/>
  <c r="AB1264" i="82" s="1"/>
  <c r="X1263" i="82"/>
  <c r="AD1263" i="82" s="1"/>
  <c r="W1263" i="82"/>
  <c r="AC1263" i="82" s="1"/>
  <c r="V1263" i="82"/>
  <c r="AB1263" i="82" s="1"/>
  <c r="X1262" i="82"/>
  <c r="AD1262" i="82" s="1"/>
  <c r="W1262" i="82"/>
  <c r="AC1262" i="82" s="1"/>
  <c r="V1262" i="82"/>
  <c r="AB1262" i="82" s="1"/>
  <c r="X1261" i="82"/>
  <c r="AD1261" i="82" s="1"/>
  <c r="W1261" i="82"/>
  <c r="AC1261" i="82" s="1"/>
  <c r="V1261" i="82"/>
  <c r="AB1261" i="82" s="1"/>
  <c r="X1260" i="82"/>
  <c r="AD1260" i="82" s="1"/>
  <c r="W1260" i="82"/>
  <c r="AC1260" i="82" s="1"/>
  <c r="V1260" i="82"/>
  <c r="AB1260" i="82" s="1"/>
  <c r="X1259" i="82"/>
  <c r="AD1259" i="82" s="1"/>
  <c r="W1259" i="82"/>
  <c r="AC1259" i="82" s="1"/>
  <c r="V1259" i="82"/>
  <c r="AB1259" i="82" s="1"/>
  <c r="X1258" i="82"/>
  <c r="AD1258" i="82" s="1"/>
  <c r="W1258" i="82"/>
  <c r="AC1258" i="82" s="1"/>
  <c r="V1258" i="82"/>
  <c r="AB1258" i="82" s="1"/>
  <c r="X1257" i="82"/>
  <c r="AD1257" i="82" s="1"/>
  <c r="W1257" i="82"/>
  <c r="AC1257" i="82" s="1"/>
  <c r="V1257" i="82"/>
  <c r="AB1257" i="82" s="1"/>
  <c r="X1256" i="82"/>
  <c r="AD1256" i="82" s="1"/>
  <c r="W1256" i="82"/>
  <c r="AC1256" i="82" s="1"/>
  <c r="V1256" i="82"/>
  <c r="AB1256" i="82" s="1"/>
  <c r="X1255" i="82"/>
  <c r="AD1255" i="82" s="1"/>
  <c r="W1255" i="82"/>
  <c r="AC1255" i="82" s="1"/>
  <c r="V1255" i="82"/>
  <c r="AB1255" i="82" s="1"/>
  <c r="X1254" i="82"/>
  <c r="AD1254" i="82" s="1"/>
  <c r="W1254" i="82"/>
  <c r="AC1254" i="82" s="1"/>
  <c r="V1254" i="82"/>
  <c r="AB1254" i="82" s="1"/>
  <c r="X1253" i="82"/>
  <c r="AD1253" i="82" s="1"/>
  <c r="W1253" i="82"/>
  <c r="AC1253" i="82" s="1"/>
  <c r="V1253" i="82"/>
  <c r="AB1253" i="82" s="1"/>
  <c r="X1252" i="82"/>
  <c r="AD1252" i="82" s="1"/>
  <c r="W1252" i="82"/>
  <c r="AC1252" i="82" s="1"/>
  <c r="V1252" i="82"/>
  <c r="AB1252" i="82" s="1"/>
  <c r="X1251" i="82"/>
  <c r="AD1251" i="82" s="1"/>
  <c r="W1251" i="82"/>
  <c r="AC1251" i="82" s="1"/>
  <c r="V1251" i="82"/>
  <c r="AB1251" i="82" s="1"/>
  <c r="X1250" i="82"/>
  <c r="AD1250" i="82" s="1"/>
  <c r="W1250" i="82"/>
  <c r="AC1250" i="82" s="1"/>
  <c r="V1250" i="82"/>
  <c r="AB1250" i="82" s="1"/>
  <c r="X1249" i="82"/>
  <c r="AD1249" i="82" s="1"/>
  <c r="W1249" i="82"/>
  <c r="AC1249" i="82" s="1"/>
  <c r="V1249" i="82"/>
  <c r="AB1249" i="82" s="1"/>
  <c r="X1248" i="82"/>
  <c r="AD1248" i="82" s="1"/>
  <c r="W1248" i="82"/>
  <c r="AC1248" i="82" s="1"/>
  <c r="V1248" i="82"/>
  <c r="AB1248" i="82" s="1"/>
  <c r="X1247" i="82"/>
  <c r="AD1247" i="82" s="1"/>
  <c r="W1247" i="82"/>
  <c r="AC1247" i="82" s="1"/>
  <c r="V1247" i="82"/>
  <c r="AB1247" i="82" s="1"/>
  <c r="X1246" i="82"/>
  <c r="AD1246" i="82" s="1"/>
  <c r="W1246" i="82"/>
  <c r="AC1246" i="82" s="1"/>
  <c r="V1246" i="82"/>
  <c r="AB1246" i="82" s="1"/>
  <c r="X1245" i="82"/>
  <c r="AD1245" i="82" s="1"/>
  <c r="W1245" i="82"/>
  <c r="AC1245" i="82" s="1"/>
  <c r="V1245" i="82"/>
  <c r="AB1245" i="82" s="1"/>
  <c r="X1244" i="82"/>
  <c r="AD1244" i="82" s="1"/>
  <c r="W1244" i="82"/>
  <c r="AC1244" i="82" s="1"/>
  <c r="V1244" i="82"/>
  <c r="AB1244" i="82" s="1"/>
  <c r="X1243" i="82"/>
  <c r="AD1243" i="82" s="1"/>
  <c r="W1243" i="82"/>
  <c r="AC1243" i="82" s="1"/>
  <c r="V1243" i="82"/>
  <c r="AB1243" i="82" s="1"/>
  <c r="X1242" i="82"/>
  <c r="AD1242" i="82" s="1"/>
  <c r="W1242" i="82"/>
  <c r="AC1242" i="82" s="1"/>
  <c r="V1242" i="82"/>
  <c r="AB1242" i="82" s="1"/>
  <c r="X1241" i="82"/>
  <c r="AD1241" i="82" s="1"/>
  <c r="W1241" i="82"/>
  <c r="AC1241" i="82" s="1"/>
  <c r="V1241" i="82"/>
  <c r="AB1241" i="82" s="1"/>
  <c r="X1240" i="82"/>
  <c r="AD1240" i="82" s="1"/>
  <c r="W1240" i="82"/>
  <c r="AC1240" i="82" s="1"/>
  <c r="V1240" i="82"/>
  <c r="AB1240" i="82" s="1"/>
  <c r="X1239" i="82"/>
  <c r="AD1239" i="82" s="1"/>
  <c r="W1239" i="82"/>
  <c r="AC1239" i="82" s="1"/>
  <c r="V1239" i="82"/>
  <c r="AB1239" i="82" s="1"/>
  <c r="X1238" i="82"/>
  <c r="AD1238" i="82" s="1"/>
  <c r="W1238" i="82"/>
  <c r="AC1238" i="82" s="1"/>
  <c r="V1238" i="82"/>
  <c r="AB1238" i="82" s="1"/>
  <c r="X1237" i="82"/>
  <c r="AD1237" i="82" s="1"/>
  <c r="W1237" i="82"/>
  <c r="AC1237" i="82" s="1"/>
  <c r="V1237" i="82"/>
  <c r="AB1237" i="82" s="1"/>
  <c r="X1236" i="82"/>
  <c r="AD1236" i="82" s="1"/>
  <c r="W1236" i="82"/>
  <c r="AC1236" i="82" s="1"/>
  <c r="V1236" i="82"/>
  <c r="AB1236" i="82" s="1"/>
  <c r="X1235" i="82"/>
  <c r="AD1235" i="82" s="1"/>
  <c r="W1235" i="82"/>
  <c r="AC1235" i="82" s="1"/>
  <c r="V1235" i="82"/>
  <c r="AB1235" i="82" s="1"/>
  <c r="X1234" i="82"/>
  <c r="AD1234" i="82" s="1"/>
  <c r="W1234" i="82"/>
  <c r="AC1234" i="82" s="1"/>
  <c r="V1234" i="82"/>
  <c r="AB1234" i="82" s="1"/>
  <c r="X1233" i="82"/>
  <c r="AD1233" i="82" s="1"/>
  <c r="W1233" i="82"/>
  <c r="AC1233" i="82" s="1"/>
  <c r="V1233" i="82"/>
  <c r="AB1233" i="82" s="1"/>
  <c r="X1232" i="82"/>
  <c r="AD1232" i="82" s="1"/>
  <c r="W1232" i="82"/>
  <c r="AC1232" i="82" s="1"/>
  <c r="V1232" i="82"/>
  <c r="AB1232" i="82" s="1"/>
  <c r="X1231" i="82"/>
  <c r="AD1231" i="82" s="1"/>
  <c r="W1231" i="82"/>
  <c r="AC1231" i="82" s="1"/>
  <c r="V1231" i="82"/>
  <c r="AB1231" i="82" s="1"/>
  <c r="X1230" i="82"/>
  <c r="AD1230" i="82" s="1"/>
  <c r="W1230" i="82"/>
  <c r="AC1230" i="82" s="1"/>
  <c r="V1230" i="82"/>
  <c r="AB1230" i="82" s="1"/>
  <c r="X1229" i="82"/>
  <c r="AD1229" i="82" s="1"/>
  <c r="W1229" i="82"/>
  <c r="AC1229" i="82" s="1"/>
  <c r="V1229" i="82"/>
  <c r="AB1229" i="82" s="1"/>
  <c r="X1228" i="82"/>
  <c r="AD1228" i="82" s="1"/>
  <c r="W1228" i="82"/>
  <c r="AC1228" i="82" s="1"/>
  <c r="V1228" i="82"/>
  <c r="AB1228" i="82" s="1"/>
  <c r="X1227" i="82"/>
  <c r="AD1227" i="82" s="1"/>
  <c r="W1227" i="82"/>
  <c r="AC1227" i="82" s="1"/>
  <c r="V1227" i="82"/>
  <c r="AB1227" i="82" s="1"/>
  <c r="X1226" i="82"/>
  <c r="AD1226" i="82" s="1"/>
  <c r="W1226" i="82"/>
  <c r="AC1226" i="82" s="1"/>
  <c r="V1226" i="82"/>
  <c r="AB1226" i="82" s="1"/>
  <c r="X1225" i="82"/>
  <c r="AD1225" i="82" s="1"/>
  <c r="W1225" i="82"/>
  <c r="AC1225" i="82" s="1"/>
  <c r="V1225" i="82"/>
  <c r="AB1225" i="82" s="1"/>
  <c r="X1224" i="82"/>
  <c r="AD1224" i="82" s="1"/>
  <c r="W1224" i="82"/>
  <c r="AC1224" i="82" s="1"/>
  <c r="V1224" i="82"/>
  <c r="AB1224" i="82" s="1"/>
  <c r="X1223" i="82"/>
  <c r="AD1223" i="82" s="1"/>
  <c r="W1223" i="82"/>
  <c r="AC1223" i="82" s="1"/>
  <c r="V1223" i="82"/>
  <c r="AB1223" i="82" s="1"/>
  <c r="X1222" i="82"/>
  <c r="AD1222" i="82" s="1"/>
  <c r="W1222" i="82"/>
  <c r="AC1222" i="82" s="1"/>
  <c r="V1222" i="82"/>
  <c r="AB1222" i="82" s="1"/>
  <c r="X1221" i="82"/>
  <c r="AD1221" i="82" s="1"/>
  <c r="W1221" i="82"/>
  <c r="AC1221" i="82" s="1"/>
  <c r="V1221" i="82"/>
  <c r="AB1221" i="82" s="1"/>
  <c r="X1220" i="82"/>
  <c r="AD1220" i="82" s="1"/>
  <c r="W1220" i="82"/>
  <c r="AC1220" i="82" s="1"/>
  <c r="V1220" i="82"/>
  <c r="AB1220" i="82" s="1"/>
  <c r="X1219" i="82"/>
  <c r="AD1219" i="82" s="1"/>
  <c r="W1219" i="82"/>
  <c r="AC1219" i="82" s="1"/>
  <c r="V1219" i="82"/>
  <c r="AB1219" i="82" s="1"/>
  <c r="X1218" i="82"/>
  <c r="AD1218" i="82" s="1"/>
  <c r="W1218" i="82"/>
  <c r="AC1218" i="82" s="1"/>
  <c r="V1218" i="82"/>
  <c r="AB1218" i="82" s="1"/>
  <c r="X1217" i="82"/>
  <c r="AD1217" i="82" s="1"/>
  <c r="W1217" i="82"/>
  <c r="AC1217" i="82" s="1"/>
  <c r="V1217" i="82"/>
  <c r="AB1217" i="82" s="1"/>
  <c r="V1216" i="82"/>
  <c r="AB1216" i="82" s="1"/>
  <c r="V1215" i="82"/>
  <c r="AB1215" i="82" s="1"/>
  <c r="V1214" i="82"/>
  <c r="AB1214" i="82" s="1"/>
  <c r="V1213" i="82"/>
  <c r="AB1213" i="82" s="1"/>
  <c r="V1212" i="82"/>
  <c r="AB1212" i="82" s="1"/>
  <c r="V1211" i="82"/>
  <c r="AB1211" i="82" s="1"/>
  <c r="V1210" i="82"/>
  <c r="AB1210" i="82" s="1"/>
  <c r="V1209" i="82"/>
  <c r="AB1209" i="82" s="1"/>
  <c r="V1208" i="82"/>
  <c r="AB1208" i="82" s="1"/>
  <c r="V1207" i="82"/>
  <c r="AB1207" i="82" s="1"/>
  <c r="V1206" i="82"/>
  <c r="AB1206" i="82" s="1"/>
  <c r="V1205" i="82"/>
  <c r="AB1205" i="82" s="1"/>
  <c r="X1204" i="82"/>
  <c r="AD1204" i="82" s="1"/>
  <c r="W1204" i="82"/>
  <c r="AC1204" i="82" s="1"/>
  <c r="X1203" i="82"/>
  <c r="AD1203" i="82" s="1"/>
  <c r="W1203" i="82"/>
  <c r="AC1203" i="82" s="1"/>
  <c r="X1202" i="82"/>
  <c r="AD1202" i="82" s="1"/>
  <c r="W1202" i="82"/>
  <c r="AC1202" i="82" s="1"/>
  <c r="X1201" i="82"/>
  <c r="AD1201" i="82" s="1"/>
  <c r="W1201" i="82"/>
  <c r="AC1201" i="82" s="1"/>
  <c r="X1200" i="82"/>
  <c r="AD1200" i="82" s="1"/>
  <c r="W1200" i="82"/>
  <c r="AC1200" i="82" s="1"/>
  <c r="X1199" i="82"/>
  <c r="AD1199" i="82" s="1"/>
  <c r="W1199" i="82"/>
  <c r="AC1199" i="82" s="1"/>
  <c r="X1198" i="82"/>
  <c r="AD1198" i="82" s="1"/>
  <c r="W1198" i="82"/>
  <c r="AC1198" i="82" s="1"/>
  <c r="X1197" i="82"/>
  <c r="AD1197" i="82" s="1"/>
  <c r="W1197" i="82"/>
  <c r="AC1197" i="82" s="1"/>
  <c r="X1196" i="82"/>
  <c r="AD1196" i="82" s="1"/>
  <c r="W1196" i="82"/>
  <c r="AC1196" i="82" s="1"/>
  <c r="X1195" i="82"/>
  <c r="AD1195" i="82" s="1"/>
  <c r="W1195" i="82"/>
  <c r="AC1195" i="82" s="1"/>
  <c r="X1194" i="82"/>
  <c r="AD1194" i="82" s="1"/>
  <c r="W1194" i="82"/>
  <c r="AC1194" i="82" s="1"/>
  <c r="X1193" i="82"/>
  <c r="AD1193" i="82" s="1"/>
  <c r="W1193" i="82"/>
  <c r="AC1193" i="82" s="1"/>
  <c r="V1192" i="82"/>
  <c r="AB1192" i="82" s="1"/>
  <c r="V1191" i="82"/>
  <c r="AB1191" i="82" s="1"/>
  <c r="V1190" i="82"/>
  <c r="AB1190" i="82" s="1"/>
  <c r="V1189" i="82"/>
  <c r="AB1189" i="82" s="1"/>
  <c r="V1188" i="82"/>
  <c r="AB1188" i="82" s="1"/>
  <c r="V1187" i="82"/>
  <c r="AB1187" i="82" s="1"/>
  <c r="V1186" i="82"/>
  <c r="AB1186" i="82" s="1"/>
  <c r="V1185" i="82"/>
  <c r="AB1185" i="82" s="1"/>
  <c r="V1184" i="82"/>
  <c r="AB1184" i="82" s="1"/>
  <c r="V1183" i="82"/>
  <c r="AB1183" i="82" s="1"/>
  <c r="V1182" i="82"/>
  <c r="AB1182" i="82" s="1"/>
  <c r="V1181" i="82"/>
  <c r="AB1181" i="82" s="1"/>
  <c r="V1180" i="82"/>
  <c r="AB1180" i="82" s="1"/>
  <c r="V1179" i="82"/>
  <c r="AB1179" i="82" s="1"/>
  <c r="V1178" i="82"/>
  <c r="AB1178" i="82" s="1"/>
  <c r="V1177" i="82"/>
  <c r="AB1177" i="82" s="1"/>
  <c r="V1176" i="82"/>
  <c r="AB1176" i="82" s="1"/>
  <c r="V1175" i="82"/>
  <c r="AB1175" i="82" s="1"/>
  <c r="V1174" i="82"/>
  <c r="AB1174" i="82" s="1"/>
  <c r="V1173" i="82"/>
  <c r="AB1173" i="82" s="1"/>
  <c r="V1172" i="82"/>
  <c r="AB1172" i="82" s="1"/>
  <c r="V1171" i="82"/>
  <c r="AB1171" i="82" s="1"/>
  <c r="V1170" i="82"/>
  <c r="AB1170" i="82" s="1"/>
  <c r="V1169" i="82"/>
  <c r="AB1169" i="82" s="1"/>
  <c r="V1168" i="82"/>
  <c r="AB1168" i="82" s="1"/>
  <c r="X1167" i="82"/>
  <c r="AD1167" i="82" s="1"/>
  <c r="W1167" i="82"/>
  <c r="AC1167" i="82" s="1"/>
  <c r="X1166" i="82"/>
  <c r="AD1166" i="82" s="1"/>
  <c r="W1166" i="82"/>
  <c r="AC1166" i="82" s="1"/>
  <c r="X1165" i="82"/>
  <c r="AD1165" i="82" s="1"/>
  <c r="W1165" i="82"/>
  <c r="AC1165" i="82" s="1"/>
  <c r="X1164" i="82"/>
  <c r="AD1164" i="82" s="1"/>
  <c r="W1164" i="82"/>
  <c r="AC1164" i="82" s="1"/>
  <c r="X1163" i="82"/>
  <c r="AD1163" i="82" s="1"/>
  <c r="W1163" i="82"/>
  <c r="AC1163" i="82" s="1"/>
  <c r="X1162" i="82"/>
  <c r="AD1162" i="82" s="1"/>
  <c r="W1162" i="82"/>
  <c r="AC1162" i="82" s="1"/>
  <c r="X1161" i="82"/>
  <c r="AD1161" i="82" s="1"/>
  <c r="W1161" i="82"/>
  <c r="AC1161" i="82" s="1"/>
  <c r="X1160" i="82"/>
  <c r="AD1160" i="82" s="1"/>
  <c r="W1160" i="82"/>
  <c r="AC1160" i="82" s="1"/>
  <c r="X1159" i="82"/>
  <c r="AD1159" i="82" s="1"/>
  <c r="W1159" i="82"/>
  <c r="AC1159" i="82" s="1"/>
  <c r="X1158" i="82"/>
  <c r="AD1158" i="82" s="1"/>
  <c r="W1158" i="82"/>
  <c r="AC1158" i="82" s="1"/>
  <c r="X1157" i="82"/>
  <c r="AD1157" i="82" s="1"/>
  <c r="W1157" i="82"/>
  <c r="AC1157" i="82" s="1"/>
  <c r="X1156" i="82"/>
  <c r="AD1156" i="82" s="1"/>
  <c r="W1156" i="82"/>
  <c r="AC1156" i="82" s="1"/>
  <c r="X1155" i="82"/>
  <c r="AD1155" i="82" s="1"/>
  <c r="W1155" i="82"/>
  <c r="AC1155" i="82" s="1"/>
  <c r="V1154" i="82"/>
  <c r="AB1154" i="82" s="1"/>
  <c r="V1153" i="82"/>
  <c r="AB1153" i="82" s="1"/>
  <c r="V1152" i="82"/>
  <c r="AB1152" i="82" s="1"/>
  <c r="V1151" i="82"/>
  <c r="AB1151" i="82" s="1"/>
  <c r="V1150" i="82"/>
  <c r="AB1150" i="82" s="1"/>
  <c r="V1149" i="82"/>
  <c r="AB1149" i="82" s="1"/>
  <c r="V1148" i="82"/>
  <c r="AB1148" i="82" s="1"/>
  <c r="V1147" i="82"/>
  <c r="AB1147" i="82" s="1"/>
  <c r="V1146" i="82"/>
  <c r="AB1146" i="82" s="1"/>
  <c r="V1145" i="82"/>
  <c r="AB1145" i="82" s="1"/>
  <c r="V1144" i="82"/>
  <c r="AB1144" i="82" s="1"/>
  <c r="V1143" i="82"/>
  <c r="AB1143" i="82" s="1"/>
  <c r="V1142" i="82"/>
  <c r="AB1142" i="82" s="1"/>
  <c r="X1141" i="82"/>
  <c r="AD1141" i="82" s="1"/>
  <c r="W1141" i="82"/>
  <c r="AC1141" i="82" s="1"/>
  <c r="V1141" i="82"/>
  <c r="AB1141" i="82" s="1"/>
  <c r="X1140" i="82"/>
  <c r="AD1140" i="82" s="1"/>
  <c r="W1140" i="82"/>
  <c r="AC1140" i="82" s="1"/>
  <c r="V1140" i="82"/>
  <c r="AB1140" i="82" s="1"/>
  <c r="X1139" i="82"/>
  <c r="AD1139" i="82" s="1"/>
  <c r="W1139" i="82"/>
  <c r="AC1139" i="82" s="1"/>
  <c r="V1139" i="82"/>
  <c r="AB1139" i="82" s="1"/>
  <c r="X1138" i="82"/>
  <c r="AD1138" i="82" s="1"/>
  <c r="W1138" i="82"/>
  <c r="AC1138" i="82" s="1"/>
  <c r="V1138" i="82"/>
  <c r="AB1138" i="82" s="1"/>
  <c r="X1137" i="82"/>
  <c r="AD1137" i="82" s="1"/>
  <c r="W1137" i="82"/>
  <c r="AC1137" i="82" s="1"/>
  <c r="V1137" i="82"/>
  <c r="AB1137" i="82" s="1"/>
  <c r="X1136" i="82"/>
  <c r="AD1136" i="82" s="1"/>
  <c r="W1136" i="82"/>
  <c r="AC1136" i="82" s="1"/>
  <c r="V1136" i="82"/>
  <c r="AB1136" i="82" s="1"/>
  <c r="X1135" i="82"/>
  <c r="AD1135" i="82" s="1"/>
  <c r="W1135" i="82"/>
  <c r="AC1135" i="82" s="1"/>
  <c r="V1135" i="82"/>
  <c r="AB1135" i="82" s="1"/>
  <c r="X1134" i="82"/>
  <c r="AD1134" i="82" s="1"/>
  <c r="W1134" i="82"/>
  <c r="AC1134" i="82" s="1"/>
  <c r="V1134" i="82"/>
  <c r="AB1134" i="82" s="1"/>
  <c r="X1133" i="82"/>
  <c r="AD1133" i="82" s="1"/>
  <c r="W1133" i="82"/>
  <c r="AC1133" i="82" s="1"/>
  <c r="V1133" i="82"/>
  <c r="AB1133" i="82" s="1"/>
  <c r="X1132" i="82"/>
  <c r="AD1132" i="82" s="1"/>
  <c r="W1132" i="82"/>
  <c r="AC1132" i="82" s="1"/>
  <c r="V1132" i="82"/>
  <c r="AB1132" i="82" s="1"/>
  <c r="X1131" i="82"/>
  <c r="AD1131" i="82" s="1"/>
  <c r="W1131" i="82"/>
  <c r="AC1131" i="82" s="1"/>
  <c r="V1131" i="82"/>
  <c r="AB1131" i="82" s="1"/>
  <c r="X1130" i="82"/>
  <c r="AD1130" i="82" s="1"/>
  <c r="W1130" i="82"/>
  <c r="AC1130" i="82" s="1"/>
  <c r="V1130" i="82"/>
  <c r="AB1130" i="82" s="1"/>
  <c r="X1129" i="82"/>
  <c r="AD1129" i="82" s="1"/>
  <c r="W1129" i="82"/>
  <c r="AC1129" i="82" s="1"/>
  <c r="V1129" i="82"/>
  <c r="AB1129" i="82" s="1"/>
  <c r="X1128" i="82"/>
  <c r="AD1128" i="82" s="1"/>
  <c r="W1128" i="82"/>
  <c r="AC1128" i="82" s="1"/>
  <c r="V1128" i="82"/>
  <c r="AB1128" i="82" s="1"/>
  <c r="X1127" i="82"/>
  <c r="AD1127" i="82" s="1"/>
  <c r="W1127" i="82"/>
  <c r="AC1127" i="82" s="1"/>
  <c r="V1127" i="82"/>
  <c r="AB1127" i="82" s="1"/>
  <c r="X1126" i="82"/>
  <c r="AD1126" i="82" s="1"/>
  <c r="W1126" i="82"/>
  <c r="AC1126" i="82" s="1"/>
  <c r="V1126" i="82"/>
  <c r="AB1126" i="82" s="1"/>
  <c r="X1125" i="82"/>
  <c r="AD1125" i="82" s="1"/>
  <c r="W1125" i="82"/>
  <c r="AC1125" i="82" s="1"/>
  <c r="V1125" i="82"/>
  <c r="AB1125" i="82" s="1"/>
  <c r="X1124" i="82"/>
  <c r="AD1124" i="82" s="1"/>
  <c r="W1124" i="82"/>
  <c r="AC1124" i="82" s="1"/>
  <c r="V1124" i="82"/>
  <c r="AB1124" i="82" s="1"/>
  <c r="X1123" i="82"/>
  <c r="AD1123" i="82" s="1"/>
  <c r="W1123" i="82"/>
  <c r="AC1123" i="82" s="1"/>
  <c r="V1123" i="82"/>
  <c r="AB1123" i="82" s="1"/>
  <c r="X1122" i="82"/>
  <c r="AD1122" i="82" s="1"/>
  <c r="W1122" i="82"/>
  <c r="AC1122" i="82" s="1"/>
  <c r="V1122" i="82"/>
  <c r="AB1122" i="82" s="1"/>
  <c r="X1121" i="82"/>
  <c r="AD1121" i="82" s="1"/>
  <c r="W1121" i="82"/>
  <c r="AC1121" i="82" s="1"/>
  <c r="V1121" i="82"/>
  <c r="AB1121" i="82" s="1"/>
  <c r="X1120" i="82"/>
  <c r="AD1120" i="82" s="1"/>
  <c r="W1120" i="82"/>
  <c r="AC1120" i="82" s="1"/>
  <c r="V1120" i="82"/>
  <c r="AB1120" i="82" s="1"/>
  <c r="X1119" i="82"/>
  <c r="AD1119" i="82" s="1"/>
  <c r="W1119" i="82"/>
  <c r="AC1119" i="82" s="1"/>
  <c r="V1119" i="82"/>
  <c r="AB1119" i="82" s="1"/>
  <c r="X1118" i="82"/>
  <c r="AD1118" i="82" s="1"/>
  <c r="W1118" i="82"/>
  <c r="AC1118" i="82" s="1"/>
  <c r="V1118" i="82"/>
  <c r="AB1118" i="82" s="1"/>
  <c r="X1117" i="82"/>
  <c r="AD1117" i="82" s="1"/>
  <c r="W1117" i="82"/>
  <c r="AC1117" i="82" s="1"/>
  <c r="V1117" i="82"/>
  <c r="AB1117" i="82" s="1"/>
  <c r="X1116" i="82"/>
  <c r="AD1116" i="82" s="1"/>
  <c r="W1116" i="82"/>
  <c r="AC1116" i="82" s="1"/>
  <c r="V1116" i="82"/>
  <c r="AB1116" i="82" s="1"/>
  <c r="X1115" i="82"/>
  <c r="AD1115" i="82" s="1"/>
  <c r="W1115" i="82"/>
  <c r="AC1115" i="82" s="1"/>
  <c r="V1115" i="82"/>
  <c r="AB1115" i="82" s="1"/>
  <c r="X1114" i="82"/>
  <c r="AD1114" i="82" s="1"/>
  <c r="W1114" i="82"/>
  <c r="AC1114" i="82" s="1"/>
  <c r="V1114" i="82"/>
  <c r="AB1114" i="82" s="1"/>
  <c r="X1113" i="82"/>
  <c r="AD1113" i="82" s="1"/>
  <c r="W1113" i="82"/>
  <c r="AC1113" i="82" s="1"/>
  <c r="V1113" i="82"/>
  <c r="AB1113" i="82" s="1"/>
  <c r="X1112" i="82"/>
  <c r="AD1112" i="82" s="1"/>
  <c r="W1112" i="82"/>
  <c r="AC1112" i="82" s="1"/>
  <c r="V1112" i="82"/>
  <c r="AB1112" i="82" s="1"/>
  <c r="X1111" i="82"/>
  <c r="AD1111" i="82" s="1"/>
  <c r="W1111" i="82"/>
  <c r="AC1111" i="82" s="1"/>
  <c r="V1111" i="82"/>
  <c r="AB1111" i="82" s="1"/>
  <c r="X1110" i="82"/>
  <c r="AD1110" i="82" s="1"/>
  <c r="W1110" i="82"/>
  <c r="AC1110" i="82" s="1"/>
  <c r="V1110" i="82"/>
  <c r="AB1110" i="82" s="1"/>
  <c r="X1109" i="82"/>
  <c r="AD1109" i="82" s="1"/>
  <c r="W1109" i="82"/>
  <c r="AC1109" i="82" s="1"/>
  <c r="V1109" i="82"/>
  <c r="AB1109" i="82" s="1"/>
  <c r="X1108" i="82"/>
  <c r="AD1108" i="82" s="1"/>
  <c r="W1108" i="82"/>
  <c r="AC1108" i="82" s="1"/>
  <c r="V1108" i="82"/>
  <c r="AB1108" i="82" s="1"/>
  <c r="X1107" i="82"/>
  <c r="AD1107" i="82" s="1"/>
  <c r="W1107" i="82"/>
  <c r="AC1107" i="82" s="1"/>
  <c r="V1107" i="82"/>
  <c r="AB1107" i="82" s="1"/>
  <c r="X1106" i="82"/>
  <c r="AD1106" i="82" s="1"/>
  <c r="W1106" i="82"/>
  <c r="AC1106" i="82" s="1"/>
  <c r="V1106" i="82"/>
  <c r="AB1106" i="82" s="1"/>
  <c r="X1105" i="82"/>
  <c r="AD1105" i="82" s="1"/>
  <c r="W1105" i="82"/>
  <c r="AC1105" i="82" s="1"/>
  <c r="V1105" i="82"/>
  <c r="AB1105" i="82" s="1"/>
  <c r="X1104" i="82"/>
  <c r="AD1104" i="82" s="1"/>
  <c r="W1104" i="82"/>
  <c r="AC1104" i="82" s="1"/>
  <c r="V1104" i="82"/>
  <c r="AB1104" i="82" s="1"/>
  <c r="X1103" i="82"/>
  <c r="AD1103" i="82" s="1"/>
  <c r="W1103" i="82"/>
  <c r="AC1103" i="82" s="1"/>
  <c r="V1103" i="82"/>
  <c r="AB1103" i="82" s="1"/>
  <c r="X1102" i="82"/>
  <c r="AD1102" i="82" s="1"/>
  <c r="W1102" i="82"/>
  <c r="AC1102" i="82" s="1"/>
  <c r="V1102" i="82"/>
  <c r="AB1102" i="82" s="1"/>
  <c r="X1101" i="82"/>
  <c r="AD1101" i="82" s="1"/>
  <c r="W1101" i="82"/>
  <c r="AC1101" i="82" s="1"/>
  <c r="V1101" i="82"/>
  <c r="AB1101" i="82" s="1"/>
  <c r="X1100" i="82"/>
  <c r="AD1100" i="82" s="1"/>
  <c r="W1100" i="82"/>
  <c r="AC1100" i="82" s="1"/>
  <c r="V1100" i="82"/>
  <c r="AB1100" i="82" s="1"/>
  <c r="X1099" i="82"/>
  <c r="AD1099" i="82" s="1"/>
  <c r="W1099" i="82"/>
  <c r="AC1099" i="82" s="1"/>
  <c r="V1099" i="82"/>
  <c r="AB1099" i="82" s="1"/>
  <c r="X1098" i="82"/>
  <c r="AD1098" i="82" s="1"/>
  <c r="W1098" i="82"/>
  <c r="AC1098" i="82" s="1"/>
  <c r="V1098" i="82"/>
  <c r="AB1098" i="82" s="1"/>
  <c r="X1097" i="82"/>
  <c r="AD1097" i="82" s="1"/>
  <c r="W1097" i="82"/>
  <c r="AC1097" i="82" s="1"/>
  <c r="V1097" i="82"/>
  <c r="AB1097" i="82" s="1"/>
  <c r="X1096" i="82"/>
  <c r="AD1096" i="82" s="1"/>
  <c r="W1096" i="82"/>
  <c r="AC1096" i="82" s="1"/>
  <c r="V1096" i="82"/>
  <c r="AB1096" i="82" s="1"/>
  <c r="X1095" i="82"/>
  <c r="AD1095" i="82" s="1"/>
  <c r="W1095" i="82"/>
  <c r="AC1095" i="82" s="1"/>
  <c r="V1095" i="82"/>
  <c r="AB1095" i="82" s="1"/>
  <c r="X1094" i="82"/>
  <c r="AD1094" i="82" s="1"/>
  <c r="W1094" i="82"/>
  <c r="AC1094" i="82" s="1"/>
  <c r="V1094" i="82"/>
  <c r="AB1094" i="82" s="1"/>
  <c r="X1093" i="82"/>
  <c r="AD1093" i="82" s="1"/>
  <c r="W1093" i="82"/>
  <c r="AC1093" i="82" s="1"/>
  <c r="V1093" i="82"/>
  <c r="AB1093" i="82" s="1"/>
  <c r="X1092" i="82"/>
  <c r="AD1092" i="82" s="1"/>
  <c r="W1092" i="82"/>
  <c r="AC1092" i="82" s="1"/>
  <c r="V1092" i="82"/>
  <c r="AB1092" i="82" s="1"/>
  <c r="X1091" i="82"/>
  <c r="AD1091" i="82" s="1"/>
  <c r="W1091" i="82"/>
  <c r="AC1091" i="82" s="1"/>
  <c r="V1091" i="82"/>
  <c r="AB1091" i="82" s="1"/>
  <c r="X1090" i="82"/>
  <c r="AD1090" i="82" s="1"/>
  <c r="W1090" i="82"/>
  <c r="AC1090" i="82" s="1"/>
  <c r="V1090" i="82"/>
  <c r="AB1090" i="82" s="1"/>
  <c r="X1089" i="82"/>
  <c r="AD1089" i="82" s="1"/>
  <c r="W1089" i="82"/>
  <c r="AC1089" i="82" s="1"/>
  <c r="V1089" i="82"/>
  <c r="AB1089" i="82" s="1"/>
  <c r="X1088" i="82"/>
  <c r="AD1088" i="82" s="1"/>
  <c r="W1088" i="82"/>
  <c r="AC1088" i="82" s="1"/>
  <c r="V1088" i="82"/>
  <c r="AB1088" i="82" s="1"/>
  <c r="X1087" i="82"/>
  <c r="AD1087" i="82" s="1"/>
  <c r="W1087" i="82"/>
  <c r="AC1087" i="82" s="1"/>
  <c r="V1087" i="82"/>
  <c r="AB1087" i="82" s="1"/>
  <c r="X1086" i="82"/>
  <c r="AD1086" i="82" s="1"/>
  <c r="W1086" i="82"/>
  <c r="AC1086" i="82" s="1"/>
  <c r="V1086" i="82"/>
  <c r="AB1086" i="82" s="1"/>
  <c r="X1085" i="82"/>
  <c r="AD1085" i="82" s="1"/>
  <c r="W1085" i="82"/>
  <c r="AC1085" i="82" s="1"/>
  <c r="V1085" i="82"/>
  <c r="AB1085" i="82" s="1"/>
  <c r="X1084" i="82"/>
  <c r="AD1084" i="82" s="1"/>
  <c r="W1084" i="82"/>
  <c r="AC1084" i="82" s="1"/>
  <c r="V1084" i="82"/>
  <c r="AB1084" i="82" s="1"/>
  <c r="X1083" i="82"/>
  <c r="AD1083" i="82" s="1"/>
  <c r="W1083" i="82"/>
  <c r="AC1083" i="82" s="1"/>
  <c r="V1083" i="82"/>
  <c r="AB1083" i="82" s="1"/>
  <c r="X1082" i="82"/>
  <c r="AD1082" i="82" s="1"/>
  <c r="W1082" i="82"/>
  <c r="AC1082" i="82" s="1"/>
  <c r="V1082" i="82"/>
  <c r="AB1082" i="82" s="1"/>
  <c r="X1081" i="82"/>
  <c r="AD1081" i="82" s="1"/>
  <c r="W1081" i="82"/>
  <c r="AC1081" i="82" s="1"/>
  <c r="V1081" i="82"/>
  <c r="AB1081" i="82" s="1"/>
  <c r="X1080" i="82"/>
  <c r="AD1080" i="82" s="1"/>
  <c r="W1080" i="82"/>
  <c r="AC1080" i="82" s="1"/>
  <c r="V1080" i="82"/>
  <c r="AB1080" i="82" s="1"/>
  <c r="X1079" i="82"/>
  <c r="AD1079" i="82" s="1"/>
  <c r="W1079" i="82"/>
  <c r="AC1079" i="82" s="1"/>
  <c r="V1079" i="82"/>
  <c r="AB1079" i="82" s="1"/>
  <c r="X1078" i="82"/>
  <c r="AD1078" i="82" s="1"/>
  <c r="W1078" i="82"/>
  <c r="AC1078" i="82" s="1"/>
  <c r="V1078" i="82"/>
  <c r="AB1078" i="82" s="1"/>
  <c r="X1077" i="82"/>
  <c r="AD1077" i="82" s="1"/>
  <c r="W1077" i="82"/>
  <c r="AC1077" i="82" s="1"/>
  <c r="V1077" i="82"/>
  <c r="AB1077" i="82" s="1"/>
  <c r="X1076" i="82"/>
  <c r="AD1076" i="82" s="1"/>
  <c r="W1076" i="82"/>
  <c r="AC1076" i="82" s="1"/>
  <c r="V1076" i="82"/>
  <c r="AB1076" i="82" s="1"/>
  <c r="X1075" i="82"/>
  <c r="AD1075" i="82" s="1"/>
  <c r="W1075" i="82"/>
  <c r="AC1075" i="82" s="1"/>
  <c r="V1075" i="82"/>
  <c r="AB1075" i="82" s="1"/>
  <c r="X1074" i="82"/>
  <c r="AD1074" i="82" s="1"/>
  <c r="W1074" i="82"/>
  <c r="AC1074" i="82" s="1"/>
  <c r="V1074" i="82"/>
  <c r="AB1074" i="82" s="1"/>
  <c r="X1073" i="82"/>
  <c r="AD1073" i="82" s="1"/>
  <c r="W1073" i="82"/>
  <c r="AC1073" i="82" s="1"/>
  <c r="V1073" i="82"/>
  <c r="AB1073" i="82" s="1"/>
  <c r="X1072" i="82"/>
  <c r="AD1072" i="82" s="1"/>
  <c r="W1072" i="82"/>
  <c r="AC1072" i="82" s="1"/>
  <c r="V1072" i="82"/>
  <c r="AB1072" i="82" s="1"/>
  <c r="X1071" i="82"/>
  <c r="AD1071" i="82" s="1"/>
  <c r="W1071" i="82"/>
  <c r="AC1071" i="82" s="1"/>
  <c r="V1071" i="82"/>
  <c r="AB1071" i="82" s="1"/>
  <c r="X1070" i="82"/>
  <c r="AD1070" i="82" s="1"/>
  <c r="W1070" i="82"/>
  <c r="AC1070" i="82" s="1"/>
  <c r="V1070" i="82"/>
  <c r="AB1070" i="82" s="1"/>
  <c r="X1069" i="82"/>
  <c r="AD1069" i="82" s="1"/>
  <c r="W1069" i="82"/>
  <c r="AC1069" i="82" s="1"/>
  <c r="V1069" i="82"/>
  <c r="AB1069" i="82" s="1"/>
  <c r="X1068" i="82"/>
  <c r="AD1068" i="82" s="1"/>
  <c r="W1068" i="82"/>
  <c r="AC1068" i="82" s="1"/>
  <c r="V1068" i="82"/>
  <c r="AB1068" i="82" s="1"/>
  <c r="X1067" i="82"/>
  <c r="AD1067" i="82" s="1"/>
  <c r="W1067" i="82"/>
  <c r="AC1067" i="82" s="1"/>
  <c r="V1067" i="82"/>
  <c r="AB1067" i="82" s="1"/>
  <c r="X1066" i="82"/>
  <c r="AD1066" i="82" s="1"/>
  <c r="W1066" i="82"/>
  <c r="AC1066" i="82" s="1"/>
  <c r="V1066" i="82"/>
  <c r="AB1066" i="82" s="1"/>
  <c r="X1065" i="82"/>
  <c r="AD1065" i="82" s="1"/>
  <c r="W1065" i="82"/>
  <c r="AC1065" i="82" s="1"/>
  <c r="V1065" i="82"/>
  <c r="AB1065" i="82" s="1"/>
  <c r="X1064" i="82"/>
  <c r="AD1064" i="82" s="1"/>
  <c r="W1064" i="82"/>
  <c r="AC1064" i="82" s="1"/>
  <c r="V1064" i="82"/>
  <c r="AB1064" i="82" s="1"/>
  <c r="X1063" i="82"/>
  <c r="AD1063" i="82" s="1"/>
  <c r="W1063" i="82"/>
  <c r="AC1063" i="82" s="1"/>
  <c r="V1063" i="82"/>
  <c r="AB1063" i="82" s="1"/>
  <c r="X1062" i="82"/>
  <c r="AD1062" i="82" s="1"/>
  <c r="W1062" i="82"/>
  <c r="AC1062" i="82" s="1"/>
  <c r="V1062" i="82"/>
  <c r="AB1062" i="82" s="1"/>
  <c r="X1061" i="82"/>
  <c r="AD1061" i="82" s="1"/>
  <c r="W1061" i="82"/>
  <c r="AC1061" i="82" s="1"/>
  <c r="V1061" i="82"/>
  <c r="AB1061" i="82" s="1"/>
  <c r="X1060" i="82"/>
  <c r="AD1060" i="82" s="1"/>
  <c r="W1060" i="82"/>
  <c r="AC1060" i="82" s="1"/>
  <c r="V1060" i="82"/>
  <c r="AB1060" i="82" s="1"/>
  <c r="X1059" i="82"/>
  <c r="AD1059" i="82" s="1"/>
  <c r="W1059" i="82"/>
  <c r="AC1059" i="82" s="1"/>
  <c r="V1059" i="82"/>
  <c r="AB1059" i="82" s="1"/>
  <c r="X1058" i="82"/>
  <c r="AD1058" i="82" s="1"/>
  <c r="W1058" i="82"/>
  <c r="AC1058" i="82" s="1"/>
  <c r="V1058" i="82"/>
  <c r="AB1058" i="82" s="1"/>
  <c r="X1057" i="82"/>
  <c r="AD1057" i="82" s="1"/>
  <c r="W1057" i="82"/>
  <c r="AC1057" i="82" s="1"/>
  <c r="V1057" i="82"/>
  <c r="AB1057" i="82" s="1"/>
  <c r="X1056" i="82"/>
  <c r="AD1056" i="82" s="1"/>
  <c r="W1056" i="82"/>
  <c r="AC1056" i="82" s="1"/>
  <c r="V1056" i="82"/>
  <c r="AB1056" i="82" s="1"/>
  <c r="X1055" i="82"/>
  <c r="AD1055" i="82" s="1"/>
  <c r="W1055" i="82"/>
  <c r="AC1055" i="82" s="1"/>
  <c r="V1055" i="82"/>
  <c r="AB1055" i="82" s="1"/>
  <c r="X1054" i="82"/>
  <c r="AD1054" i="82" s="1"/>
  <c r="W1054" i="82"/>
  <c r="AC1054" i="82" s="1"/>
  <c r="V1054" i="82"/>
  <c r="AB1054" i="82" s="1"/>
  <c r="X1053" i="82"/>
  <c r="AD1053" i="82" s="1"/>
  <c r="W1053" i="82"/>
  <c r="AC1053" i="82" s="1"/>
  <c r="V1053" i="82"/>
  <c r="AB1053" i="82" s="1"/>
  <c r="X1052" i="82"/>
  <c r="AD1052" i="82" s="1"/>
  <c r="W1052" i="82"/>
  <c r="AC1052" i="82" s="1"/>
  <c r="V1052" i="82"/>
  <c r="AB1052" i="82" s="1"/>
  <c r="X1051" i="82"/>
  <c r="AD1051" i="82" s="1"/>
  <c r="W1051" i="82"/>
  <c r="AC1051" i="82" s="1"/>
  <c r="V1051" i="82"/>
  <c r="AB1051" i="82" s="1"/>
  <c r="X1050" i="82"/>
  <c r="AD1050" i="82" s="1"/>
  <c r="W1050" i="82"/>
  <c r="AC1050" i="82" s="1"/>
  <c r="V1050" i="82"/>
  <c r="AB1050" i="82" s="1"/>
  <c r="X1049" i="82"/>
  <c r="AD1049" i="82" s="1"/>
  <c r="W1049" i="82"/>
  <c r="AC1049" i="82" s="1"/>
  <c r="V1049" i="82"/>
  <c r="AB1049" i="82" s="1"/>
  <c r="X1048" i="82"/>
  <c r="AD1048" i="82" s="1"/>
  <c r="W1048" i="82"/>
  <c r="AC1048" i="82" s="1"/>
  <c r="V1048" i="82"/>
  <c r="AB1048" i="82" s="1"/>
  <c r="X1047" i="82"/>
  <c r="AD1047" i="82" s="1"/>
  <c r="W1047" i="82"/>
  <c r="AC1047" i="82" s="1"/>
  <c r="V1047" i="82"/>
  <c r="AB1047" i="82" s="1"/>
  <c r="X1046" i="82"/>
  <c r="AD1046" i="82" s="1"/>
  <c r="W1046" i="82"/>
  <c r="AC1046" i="82" s="1"/>
  <c r="V1046" i="82"/>
  <c r="AB1046" i="82" s="1"/>
  <c r="X1045" i="82"/>
  <c r="AD1045" i="82" s="1"/>
  <c r="W1045" i="82"/>
  <c r="AC1045" i="82" s="1"/>
  <c r="V1045" i="82"/>
  <c r="AB1045" i="82" s="1"/>
  <c r="X1044" i="82"/>
  <c r="AD1044" i="82" s="1"/>
  <c r="W1044" i="82"/>
  <c r="AC1044" i="82" s="1"/>
  <c r="V1044" i="82"/>
  <c r="AB1044" i="82" s="1"/>
  <c r="X1043" i="82"/>
  <c r="AD1043" i="82" s="1"/>
  <c r="W1043" i="82"/>
  <c r="AC1043" i="82" s="1"/>
  <c r="V1043" i="82"/>
  <c r="AB1043" i="82" s="1"/>
  <c r="X1042" i="82"/>
  <c r="AD1042" i="82" s="1"/>
  <c r="W1042" i="82"/>
  <c r="AC1042" i="82" s="1"/>
  <c r="V1042" i="82"/>
  <c r="AB1042" i="82" s="1"/>
  <c r="X1041" i="82"/>
  <c r="AD1041" i="82" s="1"/>
  <c r="W1041" i="82"/>
  <c r="AC1041" i="82" s="1"/>
  <c r="V1041" i="82"/>
  <c r="AB1041" i="82" s="1"/>
  <c r="X1040" i="82"/>
  <c r="AD1040" i="82" s="1"/>
  <c r="W1040" i="82"/>
  <c r="AC1040" i="82" s="1"/>
  <c r="V1040" i="82"/>
  <c r="AB1040" i="82" s="1"/>
  <c r="X1039" i="82"/>
  <c r="AD1039" i="82" s="1"/>
  <c r="W1039" i="82"/>
  <c r="AC1039" i="82" s="1"/>
  <c r="V1039" i="82"/>
  <c r="AB1039" i="82" s="1"/>
  <c r="X1038" i="82"/>
  <c r="AD1038" i="82" s="1"/>
  <c r="W1038" i="82"/>
  <c r="AC1038" i="82" s="1"/>
  <c r="V1038" i="82"/>
  <c r="AB1038" i="82" s="1"/>
  <c r="X1037" i="82"/>
  <c r="AD1037" i="82" s="1"/>
  <c r="W1037" i="82"/>
  <c r="AC1037" i="82" s="1"/>
  <c r="V1037" i="82"/>
  <c r="AB1037" i="82" s="1"/>
  <c r="X1036" i="82"/>
  <c r="AD1036" i="82" s="1"/>
  <c r="W1036" i="82"/>
  <c r="AC1036" i="82" s="1"/>
  <c r="V1036" i="82"/>
  <c r="AB1036" i="82" s="1"/>
  <c r="X1035" i="82"/>
  <c r="AD1035" i="82" s="1"/>
  <c r="W1035" i="82"/>
  <c r="AC1035" i="82" s="1"/>
  <c r="V1035" i="82"/>
  <c r="AB1035" i="82" s="1"/>
  <c r="X1034" i="82"/>
  <c r="AD1034" i="82" s="1"/>
  <c r="W1034" i="82"/>
  <c r="AC1034" i="82" s="1"/>
  <c r="V1034" i="82"/>
  <c r="AB1034" i="82" s="1"/>
  <c r="X1033" i="82"/>
  <c r="AD1033" i="82" s="1"/>
  <c r="W1033" i="82"/>
  <c r="AC1033" i="82" s="1"/>
  <c r="V1033" i="82"/>
  <c r="AB1033" i="82" s="1"/>
  <c r="X1032" i="82"/>
  <c r="AD1032" i="82" s="1"/>
  <c r="W1032" i="82"/>
  <c r="AC1032" i="82" s="1"/>
  <c r="V1032" i="82"/>
  <c r="AB1032" i="82" s="1"/>
  <c r="X1031" i="82"/>
  <c r="AD1031" i="82" s="1"/>
  <c r="W1031" i="82"/>
  <c r="AC1031" i="82" s="1"/>
  <c r="V1031" i="82"/>
  <c r="AB1031" i="82" s="1"/>
  <c r="X1030" i="82"/>
  <c r="AD1030" i="82" s="1"/>
  <c r="W1030" i="82"/>
  <c r="AC1030" i="82" s="1"/>
  <c r="V1030" i="82"/>
  <c r="AB1030" i="82" s="1"/>
  <c r="X1029" i="82"/>
  <c r="AD1029" i="82" s="1"/>
  <c r="W1029" i="82"/>
  <c r="AC1029" i="82" s="1"/>
  <c r="V1029" i="82"/>
  <c r="AB1029" i="82" s="1"/>
  <c r="X1028" i="82"/>
  <c r="AD1028" i="82" s="1"/>
  <c r="W1028" i="82"/>
  <c r="AC1028" i="82" s="1"/>
  <c r="V1028" i="82"/>
  <c r="AB1028" i="82" s="1"/>
  <c r="X1027" i="82"/>
  <c r="AD1027" i="82" s="1"/>
  <c r="W1027" i="82"/>
  <c r="AC1027" i="82" s="1"/>
  <c r="V1027" i="82"/>
  <c r="AB1027" i="82" s="1"/>
  <c r="X1026" i="82"/>
  <c r="AD1026" i="82" s="1"/>
  <c r="W1026" i="82"/>
  <c r="AC1026" i="82" s="1"/>
  <c r="V1026" i="82"/>
  <c r="AB1026" i="82" s="1"/>
  <c r="X1025" i="82"/>
  <c r="AD1025" i="82" s="1"/>
  <c r="W1025" i="82"/>
  <c r="AC1025" i="82" s="1"/>
  <c r="V1025" i="82"/>
  <c r="AB1025" i="82" s="1"/>
  <c r="X1024" i="82"/>
  <c r="AD1024" i="82" s="1"/>
  <c r="W1024" i="82"/>
  <c r="AC1024" i="82" s="1"/>
  <c r="V1024" i="82"/>
  <c r="AB1024" i="82" s="1"/>
  <c r="X1023" i="82"/>
  <c r="AD1023" i="82" s="1"/>
  <c r="W1023" i="82"/>
  <c r="AC1023" i="82" s="1"/>
  <c r="V1023" i="82"/>
  <c r="AB1023" i="82" s="1"/>
  <c r="X1022" i="82"/>
  <c r="AD1022" i="82" s="1"/>
  <c r="W1022" i="82"/>
  <c r="AC1022" i="82" s="1"/>
  <c r="V1022" i="82"/>
  <c r="AB1022" i="82" s="1"/>
  <c r="X1021" i="82"/>
  <c r="AD1021" i="82" s="1"/>
  <c r="W1021" i="82"/>
  <c r="AC1021" i="82" s="1"/>
  <c r="V1021" i="82"/>
  <c r="AB1021" i="82" s="1"/>
  <c r="X1020" i="82"/>
  <c r="AD1020" i="82" s="1"/>
  <c r="W1020" i="82"/>
  <c r="AC1020" i="82" s="1"/>
  <c r="V1020" i="82"/>
  <c r="AB1020" i="82" s="1"/>
  <c r="X1019" i="82"/>
  <c r="AD1019" i="82" s="1"/>
  <c r="W1019" i="82"/>
  <c r="AC1019" i="82" s="1"/>
  <c r="V1019" i="82"/>
  <c r="AB1019" i="82" s="1"/>
  <c r="X1018" i="82"/>
  <c r="AD1018" i="82" s="1"/>
  <c r="W1018" i="82"/>
  <c r="AC1018" i="82" s="1"/>
  <c r="V1018" i="82"/>
  <c r="AB1018" i="82" s="1"/>
  <c r="X1017" i="82"/>
  <c r="AD1017" i="82" s="1"/>
  <c r="W1017" i="82"/>
  <c r="AC1017" i="82" s="1"/>
  <c r="V1017" i="82"/>
  <c r="AB1017" i="82" s="1"/>
  <c r="X1016" i="82"/>
  <c r="AD1016" i="82" s="1"/>
  <c r="W1016" i="82"/>
  <c r="AC1016" i="82" s="1"/>
  <c r="V1016" i="82"/>
  <c r="AB1016" i="82" s="1"/>
  <c r="X1015" i="82"/>
  <c r="AD1015" i="82" s="1"/>
  <c r="W1015" i="82"/>
  <c r="AC1015" i="82" s="1"/>
  <c r="V1015" i="82"/>
  <c r="AB1015" i="82" s="1"/>
  <c r="X1014" i="82"/>
  <c r="AD1014" i="82" s="1"/>
  <c r="W1014" i="82"/>
  <c r="AC1014" i="82" s="1"/>
  <c r="V1014" i="82"/>
  <c r="AB1014" i="82" s="1"/>
  <c r="X1013" i="82"/>
  <c r="AD1013" i="82" s="1"/>
  <c r="W1013" i="82"/>
  <c r="AC1013" i="82" s="1"/>
  <c r="V1013" i="82"/>
  <c r="AB1013" i="82" s="1"/>
  <c r="X1012" i="82"/>
  <c r="AD1012" i="82" s="1"/>
  <c r="W1012" i="82"/>
  <c r="AC1012" i="82" s="1"/>
  <c r="V1012" i="82"/>
  <c r="AB1012" i="82" s="1"/>
  <c r="X1011" i="82"/>
  <c r="AD1011" i="82" s="1"/>
  <c r="W1011" i="82"/>
  <c r="AC1011" i="82" s="1"/>
  <c r="V1011" i="82"/>
  <c r="AB1011" i="82" s="1"/>
  <c r="X1010" i="82"/>
  <c r="AD1010" i="82" s="1"/>
  <c r="W1010" i="82"/>
  <c r="AC1010" i="82" s="1"/>
  <c r="V1010" i="82"/>
  <c r="AB1010" i="82" s="1"/>
  <c r="X1009" i="82"/>
  <c r="AD1009" i="82" s="1"/>
  <c r="W1009" i="82"/>
  <c r="AC1009" i="82" s="1"/>
  <c r="V1009" i="82"/>
  <c r="AB1009" i="82" s="1"/>
  <c r="X1008" i="82"/>
  <c r="AD1008" i="82" s="1"/>
  <c r="W1008" i="82"/>
  <c r="AC1008" i="82" s="1"/>
  <c r="V1008" i="82"/>
  <c r="AB1008" i="82" s="1"/>
  <c r="X1007" i="82"/>
  <c r="AD1007" i="82" s="1"/>
  <c r="W1007" i="82"/>
  <c r="AC1007" i="82" s="1"/>
  <c r="V1007" i="82"/>
  <c r="AB1007" i="82" s="1"/>
  <c r="X1006" i="82"/>
  <c r="AD1006" i="82" s="1"/>
  <c r="W1006" i="82"/>
  <c r="AC1006" i="82" s="1"/>
  <c r="V1006" i="82"/>
  <c r="AB1006" i="82" s="1"/>
  <c r="X1005" i="82"/>
  <c r="AD1005" i="82" s="1"/>
  <c r="W1005" i="82"/>
  <c r="AC1005" i="82" s="1"/>
  <c r="V1005" i="82"/>
  <c r="AB1005" i="82" s="1"/>
  <c r="X1004" i="82"/>
  <c r="AD1004" i="82" s="1"/>
  <c r="W1004" i="82"/>
  <c r="AC1004" i="82" s="1"/>
  <c r="V1004" i="82"/>
  <c r="AB1004" i="82" s="1"/>
  <c r="X1003" i="82"/>
  <c r="AD1003" i="82" s="1"/>
  <c r="W1003" i="82"/>
  <c r="AC1003" i="82" s="1"/>
  <c r="V1003" i="82"/>
  <c r="AB1003" i="82" s="1"/>
  <c r="X1002" i="82"/>
  <c r="AD1002" i="82" s="1"/>
  <c r="W1002" i="82"/>
  <c r="AC1002" i="82" s="1"/>
  <c r="V1002" i="82"/>
  <c r="AB1002" i="82" s="1"/>
  <c r="X1001" i="82"/>
  <c r="AD1001" i="82" s="1"/>
  <c r="W1001" i="82"/>
  <c r="AC1001" i="82" s="1"/>
  <c r="V1001" i="82"/>
  <c r="AB1001" i="82" s="1"/>
  <c r="X1000" i="82"/>
  <c r="AD1000" i="82" s="1"/>
  <c r="W1000" i="82"/>
  <c r="AC1000" i="82" s="1"/>
  <c r="V1000" i="82"/>
  <c r="AB1000" i="82" s="1"/>
  <c r="X999" i="82"/>
  <c r="AD999" i="82" s="1"/>
  <c r="W999" i="82"/>
  <c r="AC999" i="82" s="1"/>
  <c r="V999" i="82"/>
  <c r="AB999" i="82" s="1"/>
  <c r="X998" i="82"/>
  <c r="AD998" i="82" s="1"/>
  <c r="W998" i="82"/>
  <c r="AC998" i="82" s="1"/>
  <c r="V998" i="82"/>
  <c r="AB998" i="82" s="1"/>
  <c r="X997" i="82"/>
  <c r="AD997" i="82" s="1"/>
  <c r="W997" i="82"/>
  <c r="AC997" i="82" s="1"/>
  <c r="V997" i="82"/>
  <c r="AB997" i="82" s="1"/>
  <c r="X996" i="82"/>
  <c r="AD996" i="82" s="1"/>
  <c r="W996" i="82"/>
  <c r="AC996" i="82" s="1"/>
  <c r="V996" i="82"/>
  <c r="AB996" i="82" s="1"/>
  <c r="X995" i="82"/>
  <c r="AD995" i="82" s="1"/>
  <c r="W995" i="82"/>
  <c r="AC995" i="82" s="1"/>
  <c r="V995" i="82"/>
  <c r="AB995" i="82" s="1"/>
  <c r="X994" i="82"/>
  <c r="AD994" i="82" s="1"/>
  <c r="W994" i="82"/>
  <c r="AC994" i="82" s="1"/>
  <c r="V994" i="82"/>
  <c r="AB994" i="82" s="1"/>
  <c r="X993" i="82"/>
  <c r="AD993" i="82" s="1"/>
  <c r="W993" i="82"/>
  <c r="AC993" i="82" s="1"/>
  <c r="V993" i="82"/>
  <c r="AB993" i="82" s="1"/>
  <c r="X992" i="82"/>
  <c r="AD992" i="82" s="1"/>
  <c r="W992" i="82"/>
  <c r="AC992" i="82" s="1"/>
  <c r="V992" i="82"/>
  <c r="AB992" i="82" s="1"/>
  <c r="X991" i="82"/>
  <c r="AD991" i="82" s="1"/>
  <c r="W991" i="82"/>
  <c r="AC991" i="82" s="1"/>
  <c r="V991" i="82"/>
  <c r="AB991" i="82" s="1"/>
  <c r="X990" i="82"/>
  <c r="AD990" i="82" s="1"/>
  <c r="W990" i="82"/>
  <c r="AC990" i="82" s="1"/>
  <c r="V990" i="82"/>
  <c r="AB990" i="82" s="1"/>
  <c r="X989" i="82"/>
  <c r="AD989" i="82" s="1"/>
  <c r="W989" i="82"/>
  <c r="AC989" i="82" s="1"/>
  <c r="V989" i="82"/>
  <c r="AB989" i="82" s="1"/>
  <c r="X988" i="82"/>
  <c r="AD988" i="82" s="1"/>
  <c r="W988" i="82"/>
  <c r="AC988" i="82" s="1"/>
  <c r="V988" i="82"/>
  <c r="AB988" i="82" s="1"/>
  <c r="X987" i="82"/>
  <c r="AD987" i="82" s="1"/>
  <c r="W987" i="82"/>
  <c r="AC987" i="82" s="1"/>
  <c r="V987" i="82"/>
  <c r="AB987" i="82" s="1"/>
  <c r="X986" i="82"/>
  <c r="AD986" i="82" s="1"/>
  <c r="W986" i="82"/>
  <c r="AC986" i="82" s="1"/>
  <c r="V986" i="82"/>
  <c r="AB986" i="82" s="1"/>
  <c r="X985" i="82"/>
  <c r="AD985" i="82" s="1"/>
  <c r="W985" i="82"/>
  <c r="AC985" i="82" s="1"/>
  <c r="V985" i="82"/>
  <c r="AB985" i="82" s="1"/>
  <c r="X984" i="82"/>
  <c r="AD984" i="82" s="1"/>
  <c r="W984" i="82"/>
  <c r="AC984" i="82" s="1"/>
  <c r="V984" i="82"/>
  <c r="AB984" i="82" s="1"/>
  <c r="X983" i="82"/>
  <c r="AD983" i="82" s="1"/>
  <c r="W983" i="82"/>
  <c r="AC983" i="82" s="1"/>
  <c r="V983" i="82"/>
  <c r="AB983" i="82" s="1"/>
  <c r="X982" i="82"/>
  <c r="AD982" i="82" s="1"/>
  <c r="W982" i="82"/>
  <c r="AC982" i="82" s="1"/>
  <c r="V982" i="82"/>
  <c r="AB982" i="82" s="1"/>
  <c r="X981" i="82"/>
  <c r="AD981" i="82" s="1"/>
  <c r="W981" i="82"/>
  <c r="AC981" i="82" s="1"/>
  <c r="V981" i="82"/>
  <c r="AB981" i="82" s="1"/>
  <c r="X980" i="82"/>
  <c r="AD980" i="82" s="1"/>
  <c r="W980" i="82"/>
  <c r="AC980" i="82" s="1"/>
  <c r="V980" i="82"/>
  <c r="AB980" i="82" s="1"/>
  <c r="X979" i="82"/>
  <c r="AD979" i="82" s="1"/>
  <c r="W979" i="82"/>
  <c r="AC979" i="82" s="1"/>
  <c r="V979" i="82"/>
  <c r="AB979" i="82" s="1"/>
  <c r="X978" i="82"/>
  <c r="AD978" i="82" s="1"/>
  <c r="W978" i="82"/>
  <c r="AC978" i="82" s="1"/>
  <c r="V978" i="82"/>
  <c r="AB978" i="82" s="1"/>
  <c r="X977" i="82"/>
  <c r="AD977" i="82" s="1"/>
  <c r="W977" i="82"/>
  <c r="AC977" i="82" s="1"/>
  <c r="V977" i="82"/>
  <c r="AB977" i="82" s="1"/>
  <c r="X976" i="82"/>
  <c r="AD976" i="82" s="1"/>
  <c r="W976" i="82"/>
  <c r="AC976" i="82" s="1"/>
  <c r="V976" i="82"/>
  <c r="AB976" i="82" s="1"/>
  <c r="X975" i="82"/>
  <c r="AD975" i="82" s="1"/>
  <c r="W975" i="82"/>
  <c r="AC975" i="82" s="1"/>
  <c r="V975" i="82"/>
  <c r="AB975" i="82" s="1"/>
  <c r="X974" i="82"/>
  <c r="AD974" i="82" s="1"/>
  <c r="W974" i="82"/>
  <c r="AC974" i="82" s="1"/>
  <c r="V974" i="82"/>
  <c r="AB974" i="82" s="1"/>
  <c r="X973" i="82"/>
  <c r="AD973" i="82" s="1"/>
  <c r="W973" i="82"/>
  <c r="AC973" i="82" s="1"/>
  <c r="V973" i="82"/>
  <c r="AB973" i="82" s="1"/>
  <c r="X972" i="82"/>
  <c r="AD972" i="82" s="1"/>
  <c r="W972" i="82"/>
  <c r="AC972" i="82" s="1"/>
  <c r="V972" i="82"/>
  <c r="AB972" i="82" s="1"/>
  <c r="X971" i="82"/>
  <c r="AD971" i="82" s="1"/>
  <c r="W971" i="82"/>
  <c r="AC971" i="82" s="1"/>
  <c r="V971" i="82"/>
  <c r="AB971" i="82" s="1"/>
  <c r="X970" i="82"/>
  <c r="AD970" i="82" s="1"/>
  <c r="W970" i="82"/>
  <c r="AC970" i="82" s="1"/>
  <c r="V970" i="82"/>
  <c r="AB970" i="82" s="1"/>
  <c r="X969" i="82"/>
  <c r="AD969" i="82" s="1"/>
  <c r="W969" i="82"/>
  <c r="AC969" i="82" s="1"/>
  <c r="V969" i="82"/>
  <c r="AB969" i="82" s="1"/>
  <c r="X968" i="82"/>
  <c r="AD968" i="82" s="1"/>
  <c r="W968" i="82"/>
  <c r="AC968" i="82" s="1"/>
  <c r="V968" i="82"/>
  <c r="AB968" i="82" s="1"/>
  <c r="X967" i="82"/>
  <c r="AD967" i="82" s="1"/>
  <c r="W967" i="82"/>
  <c r="AC967" i="82" s="1"/>
  <c r="V967" i="82"/>
  <c r="AB967" i="82" s="1"/>
  <c r="X966" i="82"/>
  <c r="AD966" i="82" s="1"/>
  <c r="W966" i="82"/>
  <c r="AC966" i="82" s="1"/>
  <c r="V966" i="82"/>
  <c r="AB966" i="82" s="1"/>
  <c r="X965" i="82"/>
  <c r="AD965" i="82" s="1"/>
  <c r="W965" i="82"/>
  <c r="AC965" i="82" s="1"/>
  <c r="V965" i="82"/>
  <c r="AB965" i="82" s="1"/>
  <c r="X964" i="82"/>
  <c r="AD964" i="82" s="1"/>
  <c r="W964" i="82"/>
  <c r="AC964" i="82" s="1"/>
  <c r="V964" i="82"/>
  <c r="AB964" i="82" s="1"/>
  <c r="X963" i="82"/>
  <c r="AD963" i="82" s="1"/>
  <c r="W963" i="82"/>
  <c r="AC963" i="82" s="1"/>
  <c r="V963" i="82"/>
  <c r="AB963" i="82" s="1"/>
  <c r="X962" i="82"/>
  <c r="AD962" i="82" s="1"/>
  <c r="W962" i="82"/>
  <c r="AC962" i="82" s="1"/>
  <c r="V962" i="82"/>
  <c r="AB962" i="82" s="1"/>
  <c r="X961" i="82"/>
  <c r="AD961" i="82" s="1"/>
  <c r="W961" i="82"/>
  <c r="AC961" i="82" s="1"/>
  <c r="V961" i="82"/>
  <c r="AB961" i="82" s="1"/>
  <c r="X960" i="82"/>
  <c r="AD960" i="82" s="1"/>
  <c r="W960" i="82"/>
  <c r="AC960" i="82" s="1"/>
  <c r="V960" i="82"/>
  <c r="AB960" i="82" s="1"/>
  <c r="X959" i="82"/>
  <c r="AD959" i="82" s="1"/>
  <c r="W959" i="82"/>
  <c r="AC959" i="82" s="1"/>
  <c r="V959" i="82"/>
  <c r="AB959" i="82" s="1"/>
  <c r="X958" i="82"/>
  <c r="AD958" i="82" s="1"/>
  <c r="W958" i="82"/>
  <c r="AC958" i="82" s="1"/>
  <c r="V958" i="82"/>
  <c r="AB958" i="82" s="1"/>
  <c r="X957" i="82"/>
  <c r="AD957" i="82" s="1"/>
  <c r="W957" i="82"/>
  <c r="AC957" i="82" s="1"/>
  <c r="V957" i="82"/>
  <c r="AB957" i="82" s="1"/>
  <c r="X956" i="82"/>
  <c r="AD956" i="82" s="1"/>
  <c r="W956" i="82"/>
  <c r="AC956" i="82" s="1"/>
  <c r="V956" i="82"/>
  <c r="AB956" i="82" s="1"/>
  <c r="X955" i="82"/>
  <c r="AD955" i="82" s="1"/>
  <c r="W955" i="82"/>
  <c r="AC955" i="82" s="1"/>
  <c r="V955" i="82"/>
  <c r="AB955" i="82" s="1"/>
  <c r="X954" i="82"/>
  <c r="AD954" i="82" s="1"/>
  <c r="W954" i="82"/>
  <c r="AC954" i="82" s="1"/>
  <c r="V954" i="82"/>
  <c r="AB954" i="82" s="1"/>
  <c r="X953" i="82"/>
  <c r="AD953" i="82" s="1"/>
  <c r="W953" i="82"/>
  <c r="AC953" i="82" s="1"/>
  <c r="V953" i="82"/>
  <c r="AB953" i="82" s="1"/>
  <c r="X952" i="82"/>
  <c r="AD952" i="82" s="1"/>
  <c r="W952" i="82"/>
  <c r="AC952" i="82" s="1"/>
  <c r="V952" i="82"/>
  <c r="AB952" i="82" s="1"/>
  <c r="X951" i="82"/>
  <c r="AD951" i="82" s="1"/>
  <c r="W951" i="82"/>
  <c r="AC951" i="82" s="1"/>
  <c r="V951" i="82"/>
  <c r="AB951" i="82" s="1"/>
  <c r="X950" i="82"/>
  <c r="AD950" i="82" s="1"/>
  <c r="W950" i="82"/>
  <c r="AC950" i="82" s="1"/>
  <c r="V950" i="82"/>
  <c r="AB950" i="82" s="1"/>
  <c r="X949" i="82"/>
  <c r="AD949" i="82" s="1"/>
  <c r="W949" i="82"/>
  <c r="AC949" i="82" s="1"/>
  <c r="V949" i="82"/>
  <c r="AB949" i="82" s="1"/>
  <c r="X948" i="82"/>
  <c r="AD948" i="82" s="1"/>
  <c r="W948" i="82"/>
  <c r="AC948" i="82" s="1"/>
  <c r="V948" i="82"/>
  <c r="AB948" i="82" s="1"/>
  <c r="X947" i="82"/>
  <c r="AD947" i="82" s="1"/>
  <c r="W947" i="82"/>
  <c r="AC947" i="82" s="1"/>
  <c r="V947" i="82"/>
  <c r="AB947" i="82" s="1"/>
  <c r="X946" i="82"/>
  <c r="AD946" i="82" s="1"/>
  <c r="W946" i="82"/>
  <c r="AC946" i="82" s="1"/>
  <c r="V946" i="82"/>
  <c r="AB946" i="82" s="1"/>
  <c r="X945" i="82"/>
  <c r="AD945" i="82" s="1"/>
  <c r="W945" i="82"/>
  <c r="AC945" i="82" s="1"/>
  <c r="V945" i="82"/>
  <c r="AB945" i="82" s="1"/>
  <c r="X944" i="82"/>
  <c r="AD944" i="82" s="1"/>
  <c r="W944" i="82"/>
  <c r="AC944" i="82" s="1"/>
  <c r="V944" i="82"/>
  <c r="AB944" i="82" s="1"/>
  <c r="X943" i="82"/>
  <c r="AD943" i="82" s="1"/>
  <c r="W943" i="82"/>
  <c r="AC943" i="82" s="1"/>
  <c r="V943" i="82"/>
  <c r="AB943" i="82" s="1"/>
  <c r="X942" i="82"/>
  <c r="AD942" i="82" s="1"/>
  <c r="W942" i="82"/>
  <c r="AC942" i="82" s="1"/>
  <c r="V942" i="82"/>
  <c r="AB942" i="82" s="1"/>
  <c r="X941" i="82"/>
  <c r="AD941" i="82" s="1"/>
  <c r="W941" i="82"/>
  <c r="AC941" i="82" s="1"/>
  <c r="V941" i="82"/>
  <c r="AB941" i="82" s="1"/>
  <c r="X940" i="82"/>
  <c r="AD940" i="82" s="1"/>
  <c r="W940" i="82"/>
  <c r="AC940" i="82" s="1"/>
  <c r="V940" i="82"/>
  <c r="AB940" i="82" s="1"/>
  <c r="X939" i="82"/>
  <c r="AD939" i="82" s="1"/>
  <c r="W939" i="82"/>
  <c r="AC939" i="82" s="1"/>
  <c r="V939" i="82"/>
  <c r="AB939" i="82" s="1"/>
  <c r="X938" i="82"/>
  <c r="AD938" i="82" s="1"/>
  <c r="W938" i="82"/>
  <c r="AC938" i="82" s="1"/>
  <c r="V938" i="82"/>
  <c r="AB938" i="82" s="1"/>
  <c r="X937" i="82"/>
  <c r="AD937" i="82" s="1"/>
  <c r="W937" i="82"/>
  <c r="AC937" i="82" s="1"/>
  <c r="V937" i="82"/>
  <c r="AB937" i="82" s="1"/>
  <c r="X936" i="82"/>
  <c r="AD936" i="82" s="1"/>
  <c r="W936" i="82"/>
  <c r="AC936" i="82" s="1"/>
  <c r="V936" i="82"/>
  <c r="AB936" i="82" s="1"/>
  <c r="X935" i="82"/>
  <c r="AD935" i="82" s="1"/>
  <c r="W935" i="82"/>
  <c r="AC935" i="82" s="1"/>
  <c r="V935" i="82"/>
  <c r="AB935" i="82" s="1"/>
  <c r="X934" i="82"/>
  <c r="AD934" i="82" s="1"/>
  <c r="W934" i="82"/>
  <c r="AC934" i="82" s="1"/>
  <c r="V934" i="82"/>
  <c r="AB934" i="82" s="1"/>
  <c r="X933" i="82"/>
  <c r="AD933" i="82" s="1"/>
  <c r="W933" i="82"/>
  <c r="AC933" i="82" s="1"/>
  <c r="V933" i="82"/>
  <c r="AB933" i="82" s="1"/>
  <c r="X932" i="82"/>
  <c r="AD932" i="82" s="1"/>
  <c r="W932" i="82"/>
  <c r="AC932" i="82" s="1"/>
  <c r="V932" i="82"/>
  <c r="AB932" i="82" s="1"/>
  <c r="X931" i="82"/>
  <c r="AD931" i="82" s="1"/>
  <c r="W931" i="82"/>
  <c r="AC931" i="82" s="1"/>
  <c r="V931" i="82"/>
  <c r="AB931" i="82" s="1"/>
  <c r="X930" i="82"/>
  <c r="AD930" i="82" s="1"/>
  <c r="W930" i="82"/>
  <c r="AC930" i="82" s="1"/>
  <c r="V930" i="82"/>
  <c r="AB930" i="82" s="1"/>
  <c r="X929" i="82"/>
  <c r="AD929" i="82" s="1"/>
  <c r="W929" i="82"/>
  <c r="AC929" i="82" s="1"/>
  <c r="V929" i="82"/>
  <c r="AB929" i="82" s="1"/>
  <c r="X928" i="82"/>
  <c r="AD928" i="82" s="1"/>
  <c r="W928" i="82"/>
  <c r="AC928" i="82" s="1"/>
  <c r="V928" i="82"/>
  <c r="AB928" i="82" s="1"/>
  <c r="X927" i="82"/>
  <c r="AD927" i="82" s="1"/>
  <c r="W927" i="82"/>
  <c r="AC927" i="82" s="1"/>
  <c r="V927" i="82"/>
  <c r="AB927" i="82" s="1"/>
  <c r="X926" i="82"/>
  <c r="AD926" i="82" s="1"/>
  <c r="W926" i="82"/>
  <c r="AC926" i="82" s="1"/>
  <c r="V926" i="82"/>
  <c r="AB926" i="82" s="1"/>
  <c r="X925" i="82"/>
  <c r="AD925" i="82" s="1"/>
  <c r="W925" i="82"/>
  <c r="AC925" i="82" s="1"/>
  <c r="V925" i="82"/>
  <c r="AB925" i="82" s="1"/>
  <c r="X924" i="82"/>
  <c r="AD924" i="82" s="1"/>
  <c r="W924" i="82"/>
  <c r="AC924" i="82" s="1"/>
  <c r="V924" i="82"/>
  <c r="AB924" i="82" s="1"/>
  <c r="X923" i="82"/>
  <c r="AD923" i="82" s="1"/>
  <c r="W923" i="82"/>
  <c r="AC923" i="82" s="1"/>
  <c r="V923" i="82"/>
  <c r="AB923" i="82" s="1"/>
  <c r="X922" i="82"/>
  <c r="AD922" i="82" s="1"/>
  <c r="W922" i="82"/>
  <c r="AC922" i="82" s="1"/>
  <c r="V922" i="82"/>
  <c r="AB922" i="82" s="1"/>
  <c r="X921" i="82"/>
  <c r="AD921" i="82" s="1"/>
  <c r="W921" i="82"/>
  <c r="AC921" i="82" s="1"/>
  <c r="V921" i="82"/>
  <c r="AB921" i="82" s="1"/>
  <c r="X920" i="82"/>
  <c r="AD920" i="82" s="1"/>
  <c r="W920" i="82"/>
  <c r="AC920" i="82" s="1"/>
  <c r="V920" i="82"/>
  <c r="AB920" i="82" s="1"/>
  <c r="X919" i="82"/>
  <c r="AD919" i="82" s="1"/>
  <c r="W919" i="82"/>
  <c r="AC919" i="82" s="1"/>
  <c r="V919" i="82"/>
  <c r="AB919" i="82" s="1"/>
  <c r="X918" i="82"/>
  <c r="AD918" i="82" s="1"/>
  <c r="W918" i="82"/>
  <c r="AC918" i="82" s="1"/>
  <c r="V918" i="82"/>
  <c r="AB918" i="82" s="1"/>
  <c r="X917" i="82"/>
  <c r="AD917" i="82" s="1"/>
  <c r="W917" i="82"/>
  <c r="AC917" i="82" s="1"/>
  <c r="V917" i="82"/>
  <c r="AB917" i="82" s="1"/>
  <c r="X916" i="82"/>
  <c r="AD916" i="82" s="1"/>
  <c r="W916" i="82"/>
  <c r="AC916" i="82" s="1"/>
  <c r="V916" i="82"/>
  <c r="AB916" i="82" s="1"/>
  <c r="X915" i="82"/>
  <c r="AD915" i="82" s="1"/>
  <c r="W915" i="82"/>
  <c r="AC915" i="82" s="1"/>
  <c r="V915" i="82"/>
  <c r="AB915" i="82" s="1"/>
  <c r="X914" i="82"/>
  <c r="AD914" i="82" s="1"/>
  <c r="W914" i="82"/>
  <c r="AC914" i="82" s="1"/>
  <c r="V914" i="82"/>
  <c r="AB914" i="82" s="1"/>
  <c r="X913" i="82"/>
  <c r="AD913" i="82" s="1"/>
  <c r="W913" i="82"/>
  <c r="AC913" i="82" s="1"/>
  <c r="V913" i="82"/>
  <c r="AB913" i="82" s="1"/>
  <c r="X912" i="82"/>
  <c r="AD912" i="82" s="1"/>
  <c r="W912" i="82"/>
  <c r="AC912" i="82" s="1"/>
  <c r="V912" i="82"/>
  <c r="AB912" i="82" s="1"/>
  <c r="X911" i="82"/>
  <c r="AD911" i="82" s="1"/>
  <c r="W911" i="82"/>
  <c r="AC911" i="82" s="1"/>
  <c r="V911" i="82"/>
  <c r="AB911" i="82" s="1"/>
  <c r="X910" i="82"/>
  <c r="AD910" i="82" s="1"/>
  <c r="W910" i="82"/>
  <c r="AC910" i="82" s="1"/>
  <c r="V910" i="82"/>
  <c r="AB910" i="82" s="1"/>
  <c r="X909" i="82"/>
  <c r="AD909" i="82" s="1"/>
  <c r="W909" i="82"/>
  <c r="AC909" i="82" s="1"/>
  <c r="V909" i="82"/>
  <c r="AB909" i="82" s="1"/>
  <c r="X908" i="82"/>
  <c r="AD908" i="82" s="1"/>
  <c r="W908" i="82"/>
  <c r="AC908" i="82" s="1"/>
  <c r="V908" i="82"/>
  <c r="AB908" i="82" s="1"/>
  <c r="X907" i="82"/>
  <c r="AD907" i="82" s="1"/>
  <c r="W907" i="82"/>
  <c r="AC907" i="82" s="1"/>
  <c r="V907" i="82"/>
  <c r="AB907" i="82" s="1"/>
  <c r="X906" i="82"/>
  <c r="AD906" i="82" s="1"/>
  <c r="W906" i="82"/>
  <c r="AC906" i="82" s="1"/>
  <c r="V906" i="82"/>
  <c r="AB906" i="82" s="1"/>
  <c r="X905" i="82"/>
  <c r="AD905" i="82" s="1"/>
  <c r="W905" i="82"/>
  <c r="AC905" i="82" s="1"/>
  <c r="V905" i="82"/>
  <c r="AB905" i="82" s="1"/>
  <c r="X904" i="82"/>
  <c r="AD904" i="82" s="1"/>
  <c r="W904" i="82"/>
  <c r="AC904" i="82" s="1"/>
  <c r="V904" i="82"/>
  <c r="AB904" i="82" s="1"/>
  <c r="X903" i="82"/>
  <c r="AD903" i="82" s="1"/>
  <c r="W903" i="82"/>
  <c r="AC903" i="82" s="1"/>
  <c r="V903" i="82"/>
  <c r="AB903" i="82" s="1"/>
  <c r="X902" i="82"/>
  <c r="AD902" i="82" s="1"/>
  <c r="W902" i="82"/>
  <c r="AC902" i="82" s="1"/>
  <c r="V902" i="82"/>
  <c r="AB902" i="82" s="1"/>
  <c r="X901" i="82"/>
  <c r="AD901" i="82" s="1"/>
  <c r="W901" i="82"/>
  <c r="AC901" i="82" s="1"/>
  <c r="V901" i="82"/>
  <c r="AB901" i="82" s="1"/>
  <c r="X900" i="82"/>
  <c r="AD900" i="82" s="1"/>
  <c r="W900" i="82"/>
  <c r="AC900" i="82" s="1"/>
  <c r="V900" i="82"/>
  <c r="AB900" i="82" s="1"/>
  <c r="X899" i="82"/>
  <c r="AD899" i="82" s="1"/>
  <c r="W899" i="82"/>
  <c r="AC899" i="82" s="1"/>
  <c r="V899" i="82"/>
  <c r="AB899" i="82" s="1"/>
  <c r="X898" i="82"/>
  <c r="AD898" i="82" s="1"/>
  <c r="W898" i="82"/>
  <c r="AC898" i="82" s="1"/>
  <c r="V898" i="82"/>
  <c r="AB898" i="82" s="1"/>
  <c r="X897" i="82"/>
  <c r="AD897" i="82" s="1"/>
  <c r="W897" i="82"/>
  <c r="AC897" i="82" s="1"/>
  <c r="V897" i="82"/>
  <c r="AB897" i="82" s="1"/>
  <c r="X896" i="82"/>
  <c r="AD896" i="82" s="1"/>
  <c r="W896" i="82"/>
  <c r="AC896" i="82" s="1"/>
  <c r="V896" i="82"/>
  <c r="AB896" i="82" s="1"/>
  <c r="X895" i="82"/>
  <c r="AD895" i="82" s="1"/>
  <c r="W895" i="82"/>
  <c r="AC895" i="82" s="1"/>
  <c r="V895" i="82"/>
  <c r="AB895" i="82" s="1"/>
  <c r="X894" i="82"/>
  <c r="AD894" i="82" s="1"/>
  <c r="W894" i="82"/>
  <c r="AC894" i="82" s="1"/>
  <c r="V894" i="82"/>
  <c r="AB894" i="82" s="1"/>
  <c r="X893" i="82"/>
  <c r="AD893" i="82" s="1"/>
  <c r="W893" i="82"/>
  <c r="AC893" i="82" s="1"/>
  <c r="V893" i="82"/>
  <c r="AB893" i="82" s="1"/>
  <c r="X892" i="82"/>
  <c r="AD892" i="82" s="1"/>
  <c r="W892" i="82"/>
  <c r="AC892" i="82" s="1"/>
  <c r="V892" i="82"/>
  <c r="AB892" i="82" s="1"/>
  <c r="X891" i="82"/>
  <c r="AD891" i="82" s="1"/>
  <c r="W891" i="82"/>
  <c r="AC891" i="82" s="1"/>
  <c r="V891" i="82"/>
  <c r="AB891" i="82" s="1"/>
  <c r="X890" i="82"/>
  <c r="AD890" i="82" s="1"/>
  <c r="W890" i="82"/>
  <c r="AC890" i="82" s="1"/>
  <c r="V890" i="82"/>
  <c r="AB890" i="82" s="1"/>
  <c r="X889" i="82"/>
  <c r="AD889" i="82" s="1"/>
  <c r="W889" i="82"/>
  <c r="AC889" i="82" s="1"/>
  <c r="V889" i="82"/>
  <c r="AB889" i="82" s="1"/>
  <c r="X888" i="82"/>
  <c r="AD888" i="82" s="1"/>
  <c r="W888" i="82"/>
  <c r="AC888" i="82" s="1"/>
  <c r="V888" i="82"/>
  <c r="AB888" i="82" s="1"/>
  <c r="X887" i="82"/>
  <c r="AD887" i="82" s="1"/>
  <c r="W887" i="82"/>
  <c r="AC887" i="82" s="1"/>
  <c r="V887" i="82"/>
  <c r="AB887" i="82" s="1"/>
  <c r="X886" i="82"/>
  <c r="AD886" i="82" s="1"/>
  <c r="W886" i="82"/>
  <c r="AC886" i="82" s="1"/>
  <c r="V886" i="82"/>
  <c r="AB886" i="82" s="1"/>
  <c r="X885" i="82"/>
  <c r="AD885" i="82" s="1"/>
  <c r="W885" i="82"/>
  <c r="AC885" i="82" s="1"/>
  <c r="V885" i="82"/>
  <c r="AB885" i="82" s="1"/>
  <c r="X884" i="82"/>
  <c r="AD884" i="82" s="1"/>
  <c r="W884" i="82"/>
  <c r="AC884" i="82" s="1"/>
  <c r="V884" i="82"/>
  <c r="AB884" i="82" s="1"/>
  <c r="X883" i="82"/>
  <c r="AD883" i="82" s="1"/>
  <c r="W883" i="82"/>
  <c r="AC883" i="82" s="1"/>
  <c r="V883" i="82"/>
  <c r="AB883" i="82" s="1"/>
  <c r="X882" i="82"/>
  <c r="AD882" i="82" s="1"/>
  <c r="W882" i="82"/>
  <c r="AC882" i="82" s="1"/>
  <c r="V882" i="82"/>
  <c r="AB882" i="82" s="1"/>
  <c r="X881" i="82"/>
  <c r="AD881" i="82" s="1"/>
  <c r="W881" i="82"/>
  <c r="AC881" i="82" s="1"/>
  <c r="V881" i="82"/>
  <c r="AB881" i="82" s="1"/>
  <c r="X880" i="82"/>
  <c r="AD880" i="82" s="1"/>
  <c r="W880" i="82"/>
  <c r="AC880" i="82" s="1"/>
  <c r="V880" i="82"/>
  <c r="AB880" i="82" s="1"/>
  <c r="X879" i="82"/>
  <c r="AD879" i="82" s="1"/>
  <c r="W879" i="82"/>
  <c r="AC879" i="82" s="1"/>
  <c r="V879" i="82"/>
  <c r="AB879" i="82" s="1"/>
  <c r="X878" i="82"/>
  <c r="AD878" i="82" s="1"/>
  <c r="W878" i="82"/>
  <c r="AC878" i="82" s="1"/>
  <c r="V878" i="82"/>
  <c r="AB878" i="82" s="1"/>
  <c r="X877" i="82"/>
  <c r="AD877" i="82" s="1"/>
  <c r="W877" i="82"/>
  <c r="AC877" i="82" s="1"/>
  <c r="V877" i="82"/>
  <c r="AB877" i="82" s="1"/>
  <c r="X876" i="82"/>
  <c r="AD876" i="82" s="1"/>
  <c r="W876" i="82"/>
  <c r="AC876" i="82" s="1"/>
  <c r="V876" i="82"/>
  <c r="AB876" i="82" s="1"/>
  <c r="X875" i="82"/>
  <c r="AD875" i="82" s="1"/>
  <c r="W875" i="82"/>
  <c r="AC875" i="82" s="1"/>
  <c r="V875" i="82"/>
  <c r="AB875" i="82" s="1"/>
  <c r="X874" i="82"/>
  <c r="AD874" i="82" s="1"/>
  <c r="W874" i="82"/>
  <c r="AC874" i="82" s="1"/>
  <c r="V874" i="82"/>
  <c r="AB874" i="82" s="1"/>
  <c r="X873" i="82"/>
  <c r="AD873" i="82" s="1"/>
  <c r="W873" i="82"/>
  <c r="AC873" i="82" s="1"/>
  <c r="V873" i="82"/>
  <c r="AB873" i="82" s="1"/>
  <c r="X872" i="82"/>
  <c r="AD872" i="82" s="1"/>
  <c r="W872" i="82"/>
  <c r="AC872" i="82" s="1"/>
  <c r="V872" i="82"/>
  <c r="AB872" i="82" s="1"/>
  <c r="X871" i="82"/>
  <c r="AD871" i="82" s="1"/>
  <c r="W871" i="82"/>
  <c r="AC871" i="82" s="1"/>
  <c r="V871" i="82"/>
  <c r="AB871" i="82" s="1"/>
  <c r="X870" i="82"/>
  <c r="AD870" i="82" s="1"/>
  <c r="W870" i="82"/>
  <c r="AC870" i="82" s="1"/>
  <c r="V870" i="82"/>
  <c r="AB870" i="82" s="1"/>
  <c r="X869" i="82"/>
  <c r="AD869" i="82" s="1"/>
  <c r="W869" i="82"/>
  <c r="AC869" i="82" s="1"/>
  <c r="V869" i="82"/>
  <c r="AB869" i="82" s="1"/>
  <c r="X868" i="82"/>
  <c r="AD868" i="82" s="1"/>
  <c r="W868" i="82"/>
  <c r="AC868" i="82" s="1"/>
  <c r="V868" i="82"/>
  <c r="AB868" i="82" s="1"/>
  <c r="X867" i="82"/>
  <c r="AD867" i="82" s="1"/>
  <c r="W867" i="82"/>
  <c r="AC867" i="82" s="1"/>
  <c r="V867" i="82"/>
  <c r="AB867" i="82" s="1"/>
  <c r="X866" i="82"/>
  <c r="AD866" i="82" s="1"/>
  <c r="W866" i="82"/>
  <c r="AC866" i="82" s="1"/>
  <c r="V866" i="82"/>
  <c r="AB866" i="82" s="1"/>
  <c r="X865" i="82"/>
  <c r="AD865" i="82" s="1"/>
  <c r="W865" i="82"/>
  <c r="AC865" i="82" s="1"/>
  <c r="V865" i="82"/>
  <c r="AB865" i="82" s="1"/>
  <c r="X864" i="82"/>
  <c r="AD864" i="82" s="1"/>
  <c r="W864" i="82"/>
  <c r="AC864" i="82" s="1"/>
  <c r="V864" i="82"/>
  <c r="AB864" i="82" s="1"/>
  <c r="X863" i="82"/>
  <c r="AD863" i="82" s="1"/>
  <c r="W863" i="82"/>
  <c r="AC863" i="82" s="1"/>
  <c r="V863" i="82"/>
  <c r="AB863" i="82" s="1"/>
  <c r="X862" i="82"/>
  <c r="AD862" i="82" s="1"/>
  <c r="W862" i="82"/>
  <c r="AC862" i="82" s="1"/>
  <c r="V862" i="82"/>
  <c r="AB862" i="82" s="1"/>
  <c r="X861" i="82"/>
  <c r="AD861" i="82" s="1"/>
  <c r="W861" i="82"/>
  <c r="AC861" i="82" s="1"/>
  <c r="V861" i="82"/>
  <c r="AB861" i="82" s="1"/>
  <c r="X860" i="82"/>
  <c r="AD860" i="82" s="1"/>
  <c r="W860" i="82"/>
  <c r="AC860" i="82" s="1"/>
  <c r="V860" i="82"/>
  <c r="AB860" i="82" s="1"/>
  <c r="X859" i="82"/>
  <c r="AD859" i="82" s="1"/>
  <c r="W859" i="82"/>
  <c r="AC859" i="82" s="1"/>
  <c r="V859" i="82"/>
  <c r="AB859" i="82" s="1"/>
  <c r="X858" i="82"/>
  <c r="AD858" i="82" s="1"/>
  <c r="W858" i="82"/>
  <c r="AC858" i="82" s="1"/>
  <c r="V858" i="82"/>
  <c r="AB858" i="82" s="1"/>
  <c r="X857" i="82"/>
  <c r="AD857" i="82" s="1"/>
  <c r="W857" i="82"/>
  <c r="AC857" i="82" s="1"/>
  <c r="V857" i="82"/>
  <c r="AB857" i="82" s="1"/>
  <c r="X856" i="82"/>
  <c r="AD856" i="82" s="1"/>
  <c r="W856" i="82"/>
  <c r="AC856" i="82" s="1"/>
  <c r="V856" i="82"/>
  <c r="AB856" i="82" s="1"/>
  <c r="X855" i="82"/>
  <c r="AD855" i="82" s="1"/>
  <c r="W855" i="82"/>
  <c r="AC855" i="82" s="1"/>
  <c r="V855" i="82"/>
  <c r="AB855" i="82" s="1"/>
  <c r="X854" i="82"/>
  <c r="AD854" i="82" s="1"/>
  <c r="W854" i="82"/>
  <c r="AC854" i="82" s="1"/>
  <c r="V854" i="82"/>
  <c r="AB854" i="82" s="1"/>
  <c r="X853" i="82"/>
  <c r="AD853" i="82" s="1"/>
  <c r="W853" i="82"/>
  <c r="AC853" i="82" s="1"/>
  <c r="V853" i="82"/>
  <c r="AB853" i="82" s="1"/>
  <c r="X852" i="82"/>
  <c r="AD852" i="82" s="1"/>
  <c r="W852" i="82"/>
  <c r="AC852" i="82" s="1"/>
  <c r="V852" i="82"/>
  <c r="AB852" i="82" s="1"/>
  <c r="X851" i="82"/>
  <c r="AD851" i="82" s="1"/>
  <c r="W851" i="82"/>
  <c r="AC851" i="82" s="1"/>
  <c r="V851" i="82"/>
  <c r="AB851" i="82" s="1"/>
  <c r="X850" i="82"/>
  <c r="AD850" i="82" s="1"/>
  <c r="W850" i="82"/>
  <c r="AC850" i="82" s="1"/>
  <c r="V850" i="82"/>
  <c r="AB850" i="82" s="1"/>
  <c r="X849" i="82"/>
  <c r="AD849" i="82" s="1"/>
  <c r="W849" i="82"/>
  <c r="AC849" i="82" s="1"/>
  <c r="V849" i="82"/>
  <c r="AB849" i="82" s="1"/>
  <c r="X848" i="82"/>
  <c r="AD848" i="82" s="1"/>
  <c r="W848" i="82"/>
  <c r="AC848" i="82" s="1"/>
  <c r="V848" i="82"/>
  <c r="AB848" i="82" s="1"/>
  <c r="X847" i="82"/>
  <c r="AD847" i="82" s="1"/>
  <c r="W847" i="82"/>
  <c r="AC847" i="82" s="1"/>
  <c r="V847" i="82"/>
  <c r="AB847" i="82" s="1"/>
  <c r="X846" i="82"/>
  <c r="AD846" i="82" s="1"/>
  <c r="W846" i="82"/>
  <c r="AC846" i="82" s="1"/>
  <c r="V846" i="82"/>
  <c r="AB846" i="82" s="1"/>
  <c r="X845" i="82"/>
  <c r="AD845" i="82" s="1"/>
  <c r="W845" i="82"/>
  <c r="AC845" i="82" s="1"/>
  <c r="V845" i="82"/>
  <c r="AB845" i="82" s="1"/>
  <c r="X844" i="82"/>
  <c r="AD844" i="82" s="1"/>
  <c r="W844" i="82"/>
  <c r="AC844" i="82" s="1"/>
  <c r="V844" i="82"/>
  <c r="AB844" i="82" s="1"/>
  <c r="X843" i="82"/>
  <c r="AD843" i="82" s="1"/>
  <c r="W843" i="82"/>
  <c r="AC843" i="82" s="1"/>
  <c r="V843" i="82"/>
  <c r="AB843" i="82" s="1"/>
  <c r="X842" i="82"/>
  <c r="AD842" i="82" s="1"/>
  <c r="W842" i="82"/>
  <c r="AC842" i="82" s="1"/>
  <c r="V842" i="82"/>
  <c r="AB842" i="82" s="1"/>
  <c r="X841" i="82"/>
  <c r="AD841" i="82" s="1"/>
  <c r="W841" i="82"/>
  <c r="AC841" i="82" s="1"/>
  <c r="V841" i="82"/>
  <c r="AB841" i="82" s="1"/>
  <c r="X840" i="82"/>
  <c r="AD840" i="82" s="1"/>
  <c r="W840" i="82"/>
  <c r="AC840" i="82" s="1"/>
  <c r="V840" i="82"/>
  <c r="AB840" i="82" s="1"/>
  <c r="X839" i="82"/>
  <c r="AD839" i="82" s="1"/>
  <c r="W839" i="82"/>
  <c r="AC839" i="82" s="1"/>
  <c r="V839" i="82"/>
  <c r="AB839" i="82" s="1"/>
  <c r="X838" i="82"/>
  <c r="AD838" i="82" s="1"/>
  <c r="W838" i="82"/>
  <c r="AC838" i="82" s="1"/>
  <c r="V838" i="82"/>
  <c r="AB838" i="82" s="1"/>
  <c r="X837" i="82"/>
  <c r="AD837" i="82" s="1"/>
  <c r="W837" i="82"/>
  <c r="AC837" i="82" s="1"/>
  <c r="V837" i="82"/>
  <c r="AB837" i="82" s="1"/>
  <c r="X836" i="82"/>
  <c r="AD836" i="82" s="1"/>
  <c r="W836" i="82"/>
  <c r="AC836" i="82" s="1"/>
  <c r="V836" i="82"/>
  <c r="AB836" i="82" s="1"/>
  <c r="X835" i="82"/>
  <c r="AD835" i="82" s="1"/>
  <c r="W835" i="82"/>
  <c r="AC835" i="82" s="1"/>
  <c r="V835" i="82"/>
  <c r="AB835" i="82" s="1"/>
  <c r="X834" i="82"/>
  <c r="AD834" i="82" s="1"/>
  <c r="W834" i="82"/>
  <c r="AC834" i="82" s="1"/>
  <c r="V834" i="82"/>
  <c r="AB834" i="82" s="1"/>
  <c r="X833" i="82"/>
  <c r="AD833" i="82" s="1"/>
  <c r="W833" i="82"/>
  <c r="AC833" i="82" s="1"/>
  <c r="V833" i="82"/>
  <c r="AB833" i="82" s="1"/>
  <c r="X832" i="82"/>
  <c r="AD832" i="82" s="1"/>
  <c r="W832" i="82"/>
  <c r="AC832" i="82" s="1"/>
  <c r="V832" i="82"/>
  <c r="AB832" i="82" s="1"/>
  <c r="X831" i="82"/>
  <c r="AD831" i="82" s="1"/>
  <c r="W831" i="82"/>
  <c r="AC831" i="82" s="1"/>
  <c r="V831" i="82"/>
  <c r="AB831" i="82" s="1"/>
  <c r="X830" i="82"/>
  <c r="AD830" i="82" s="1"/>
  <c r="W830" i="82"/>
  <c r="AC830" i="82" s="1"/>
  <c r="V830" i="82"/>
  <c r="AB830" i="82" s="1"/>
  <c r="X829" i="82"/>
  <c r="AD829" i="82" s="1"/>
  <c r="W829" i="82"/>
  <c r="AC829" i="82" s="1"/>
  <c r="V829" i="82"/>
  <c r="AB829" i="82" s="1"/>
  <c r="X828" i="82"/>
  <c r="AD828" i="82" s="1"/>
  <c r="W828" i="82"/>
  <c r="AC828" i="82" s="1"/>
  <c r="V828" i="82"/>
  <c r="AB828" i="82" s="1"/>
  <c r="X827" i="82"/>
  <c r="AD827" i="82" s="1"/>
  <c r="W827" i="82"/>
  <c r="AC827" i="82" s="1"/>
  <c r="V827" i="82"/>
  <c r="AB827" i="82" s="1"/>
  <c r="X826" i="82"/>
  <c r="AD826" i="82" s="1"/>
  <c r="W826" i="82"/>
  <c r="AC826" i="82" s="1"/>
  <c r="V826" i="82"/>
  <c r="AB826" i="82" s="1"/>
  <c r="X825" i="82"/>
  <c r="AD825" i="82" s="1"/>
  <c r="W825" i="82"/>
  <c r="AC825" i="82" s="1"/>
  <c r="V825" i="82"/>
  <c r="AB825" i="82" s="1"/>
  <c r="X824" i="82"/>
  <c r="AD824" i="82" s="1"/>
  <c r="W824" i="82"/>
  <c r="AC824" i="82" s="1"/>
  <c r="V824" i="82"/>
  <c r="AB824" i="82" s="1"/>
  <c r="X823" i="82"/>
  <c r="AD823" i="82" s="1"/>
  <c r="W823" i="82"/>
  <c r="AC823" i="82" s="1"/>
  <c r="V823" i="82"/>
  <c r="AB823" i="82" s="1"/>
  <c r="X822" i="82"/>
  <c r="AD822" i="82" s="1"/>
  <c r="W822" i="82"/>
  <c r="AC822" i="82" s="1"/>
  <c r="V822" i="82"/>
  <c r="AB822" i="82" s="1"/>
  <c r="X821" i="82"/>
  <c r="AD821" i="82" s="1"/>
  <c r="W821" i="82"/>
  <c r="AC821" i="82" s="1"/>
  <c r="V821" i="82"/>
  <c r="AB821" i="82" s="1"/>
  <c r="X820" i="82"/>
  <c r="AD820" i="82" s="1"/>
  <c r="W820" i="82"/>
  <c r="AC820" i="82" s="1"/>
  <c r="V820" i="82"/>
  <c r="AB820" i="82" s="1"/>
  <c r="X819" i="82"/>
  <c r="AD819" i="82" s="1"/>
  <c r="W819" i="82"/>
  <c r="AC819" i="82" s="1"/>
  <c r="V819" i="82"/>
  <c r="AB819" i="82" s="1"/>
  <c r="X818" i="82"/>
  <c r="AD818" i="82" s="1"/>
  <c r="W818" i="82"/>
  <c r="AC818" i="82" s="1"/>
  <c r="V818" i="82"/>
  <c r="AB818" i="82" s="1"/>
  <c r="X817" i="82"/>
  <c r="AD817" i="82" s="1"/>
  <c r="W817" i="82"/>
  <c r="AC817" i="82" s="1"/>
  <c r="V817" i="82"/>
  <c r="AB817" i="82" s="1"/>
  <c r="X816" i="82"/>
  <c r="AD816" i="82" s="1"/>
  <c r="W816" i="82"/>
  <c r="AC816" i="82" s="1"/>
  <c r="V816" i="82"/>
  <c r="AB816" i="82" s="1"/>
  <c r="X815" i="82"/>
  <c r="AD815" i="82" s="1"/>
  <c r="W815" i="82"/>
  <c r="AC815" i="82" s="1"/>
  <c r="V815" i="82"/>
  <c r="AB815" i="82" s="1"/>
  <c r="X814" i="82"/>
  <c r="AD814" i="82" s="1"/>
  <c r="W814" i="82"/>
  <c r="AC814" i="82" s="1"/>
  <c r="V814" i="82"/>
  <c r="AB814" i="82" s="1"/>
  <c r="X813" i="82"/>
  <c r="AD813" i="82" s="1"/>
  <c r="W813" i="82"/>
  <c r="AC813" i="82" s="1"/>
  <c r="V813" i="82"/>
  <c r="AB813" i="82" s="1"/>
  <c r="X812" i="82"/>
  <c r="AD812" i="82" s="1"/>
  <c r="W812" i="82"/>
  <c r="AC812" i="82" s="1"/>
  <c r="V812" i="82"/>
  <c r="AB812" i="82" s="1"/>
  <c r="X811" i="82"/>
  <c r="AD811" i="82" s="1"/>
  <c r="W811" i="82"/>
  <c r="AC811" i="82" s="1"/>
  <c r="V811" i="82"/>
  <c r="AB811" i="82" s="1"/>
  <c r="X810" i="82"/>
  <c r="AD810" i="82" s="1"/>
  <c r="W810" i="82"/>
  <c r="AC810" i="82" s="1"/>
  <c r="V810" i="82"/>
  <c r="AB810" i="82" s="1"/>
  <c r="X809" i="82"/>
  <c r="AD809" i="82" s="1"/>
  <c r="W809" i="82"/>
  <c r="AC809" i="82" s="1"/>
  <c r="V809" i="82"/>
  <c r="AB809" i="82" s="1"/>
  <c r="X808" i="82"/>
  <c r="AD808" i="82" s="1"/>
  <c r="W808" i="82"/>
  <c r="AC808" i="82" s="1"/>
  <c r="V808" i="82"/>
  <c r="AB808" i="82" s="1"/>
  <c r="X807" i="82"/>
  <c r="AD807" i="82" s="1"/>
  <c r="W807" i="82"/>
  <c r="AC807" i="82" s="1"/>
  <c r="V807" i="82"/>
  <c r="AB807" i="82" s="1"/>
  <c r="X806" i="82"/>
  <c r="AD806" i="82" s="1"/>
  <c r="W806" i="82"/>
  <c r="AC806" i="82" s="1"/>
  <c r="V806" i="82"/>
  <c r="AB806" i="82" s="1"/>
  <c r="X805" i="82"/>
  <c r="AD805" i="82" s="1"/>
  <c r="W805" i="82"/>
  <c r="AC805" i="82" s="1"/>
  <c r="V805" i="82"/>
  <c r="AB805" i="82" s="1"/>
  <c r="X804" i="82"/>
  <c r="AD804" i="82" s="1"/>
  <c r="W804" i="82"/>
  <c r="AC804" i="82" s="1"/>
  <c r="V804" i="82"/>
  <c r="AB804" i="82" s="1"/>
  <c r="X803" i="82"/>
  <c r="AD803" i="82" s="1"/>
  <c r="W803" i="82"/>
  <c r="AC803" i="82" s="1"/>
  <c r="V803" i="82"/>
  <c r="AB803" i="82" s="1"/>
  <c r="X802" i="82"/>
  <c r="AD802" i="82" s="1"/>
  <c r="W802" i="82"/>
  <c r="AC802" i="82" s="1"/>
  <c r="V802" i="82"/>
  <c r="AB802" i="82" s="1"/>
  <c r="X801" i="82"/>
  <c r="AD801" i="82" s="1"/>
  <c r="W801" i="82"/>
  <c r="AC801" i="82" s="1"/>
  <c r="V801" i="82"/>
  <c r="AB801" i="82" s="1"/>
  <c r="X800" i="82"/>
  <c r="AD800" i="82" s="1"/>
  <c r="W800" i="82"/>
  <c r="AC800" i="82" s="1"/>
  <c r="V800" i="82"/>
  <c r="AB800" i="82" s="1"/>
  <c r="X799" i="82"/>
  <c r="AD799" i="82" s="1"/>
  <c r="W799" i="82"/>
  <c r="AC799" i="82" s="1"/>
  <c r="V799" i="82"/>
  <c r="AB799" i="82" s="1"/>
  <c r="X798" i="82"/>
  <c r="AD798" i="82" s="1"/>
  <c r="W798" i="82"/>
  <c r="AC798" i="82" s="1"/>
  <c r="V798" i="82"/>
  <c r="AB798" i="82" s="1"/>
  <c r="X797" i="82"/>
  <c r="AD797" i="82" s="1"/>
  <c r="W797" i="82"/>
  <c r="AC797" i="82" s="1"/>
  <c r="V797" i="82"/>
  <c r="AB797" i="82" s="1"/>
  <c r="X796" i="82"/>
  <c r="AD796" i="82" s="1"/>
  <c r="W796" i="82"/>
  <c r="AC796" i="82" s="1"/>
  <c r="V796" i="82"/>
  <c r="AB796" i="82" s="1"/>
  <c r="X795" i="82"/>
  <c r="AD795" i="82" s="1"/>
  <c r="W795" i="82"/>
  <c r="AC795" i="82" s="1"/>
  <c r="V795" i="82"/>
  <c r="AB795" i="82" s="1"/>
  <c r="X794" i="82"/>
  <c r="AD794" i="82" s="1"/>
  <c r="W794" i="82"/>
  <c r="AC794" i="82" s="1"/>
  <c r="V794" i="82"/>
  <c r="AB794" i="82" s="1"/>
  <c r="X793" i="82"/>
  <c r="AD793" i="82" s="1"/>
  <c r="W793" i="82"/>
  <c r="AC793" i="82" s="1"/>
  <c r="V793" i="82"/>
  <c r="AB793" i="82" s="1"/>
  <c r="X792" i="82"/>
  <c r="AD792" i="82" s="1"/>
  <c r="W792" i="82"/>
  <c r="AC792" i="82" s="1"/>
  <c r="V792" i="82"/>
  <c r="AB792" i="82" s="1"/>
  <c r="X791" i="82"/>
  <c r="AD791" i="82" s="1"/>
  <c r="W791" i="82"/>
  <c r="AC791" i="82" s="1"/>
  <c r="V791" i="82"/>
  <c r="AB791" i="82" s="1"/>
  <c r="X790" i="82"/>
  <c r="AD790" i="82" s="1"/>
  <c r="W790" i="82"/>
  <c r="AC790" i="82" s="1"/>
  <c r="V790" i="82"/>
  <c r="AB790" i="82" s="1"/>
  <c r="X789" i="82"/>
  <c r="AD789" i="82" s="1"/>
  <c r="W789" i="82"/>
  <c r="AC789" i="82" s="1"/>
  <c r="V789" i="82"/>
  <c r="AB789" i="82" s="1"/>
  <c r="X788" i="82"/>
  <c r="AD788" i="82" s="1"/>
  <c r="W788" i="82"/>
  <c r="AC788" i="82" s="1"/>
  <c r="V788" i="82"/>
  <c r="AB788" i="82" s="1"/>
  <c r="X787" i="82"/>
  <c r="AD787" i="82" s="1"/>
  <c r="W787" i="82"/>
  <c r="AC787" i="82" s="1"/>
  <c r="V787" i="82"/>
  <c r="AB787" i="82" s="1"/>
  <c r="X786" i="82"/>
  <c r="AD786" i="82" s="1"/>
  <c r="W786" i="82"/>
  <c r="AC786" i="82" s="1"/>
  <c r="V786" i="82"/>
  <c r="AB786" i="82" s="1"/>
  <c r="X785" i="82"/>
  <c r="AD785" i="82" s="1"/>
  <c r="W785" i="82"/>
  <c r="AC785" i="82" s="1"/>
  <c r="V785" i="82"/>
  <c r="AB785" i="82" s="1"/>
  <c r="X784" i="82"/>
  <c r="AD784" i="82" s="1"/>
  <c r="W784" i="82"/>
  <c r="AC784" i="82" s="1"/>
  <c r="V784" i="82"/>
  <c r="AB784" i="82" s="1"/>
  <c r="X783" i="82"/>
  <c r="AD783" i="82" s="1"/>
  <c r="W783" i="82"/>
  <c r="AC783" i="82" s="1"/>
  <c r="V783" i="82"/>
  <c r="AB783" i="82" s="1"/>
  <c r="X782" i="82"/>
  <c r="AD782" i="82" s="1"/>
  <c r="W782" i="82"/>
  <c r="AC782" i="82" s="1"/>
  <c r="V782" i="82"/>
  <c r="AB782" i="82" s="1"/>
  <c r="X781" i="82"/>
  <c r="AD781" i="82" s="1"/>
  <c r="W781" i="82"/>
  <c r="AC781" i="82" s="1"/>
  <c r="V781" i="82"/>
  <c r="AB781" i="82" s="1"/>
  <c r="X780" i="82"/>
  <c r="AD780" i="82" s="1"/>
  <c r="W780" i="82"/>
  <c r="AC780" i="82" s="1"/>
  <c r="V780" i="82"/>
  <c r="AB780" i="82" s="1"/>
  <c r="X779" i="82"/>
  <c r="AD779" i="82" s="1"/>
  <c r="W779" i="82"/>
  <c r="AC779" i="82" s="1"/>
  <c r="V779" i="82"/>
  <c r="AB779" i="82" s="1"/>
  <c r="X778" i="82"/>
  <c r="AD778" i="82" s="1"/>
  <c r="W778" i="82"/>
  <c r="AC778" i="82" s="1"/>
  <c r="V778" i="82"/>
  <c r="AB778" i="82" s="1"/>
  <c r="X777" i="82"/>
  <c r="AD777" i="82" s="1"/>
  <c r="W777" i="82"/>
  <c r="AC777" i="82" s="1"/>
  <c r="V777" i="82"/>
  <c r="AB777" i="82" s="1"/>
  <c r="X776" i="82"/>
  <c r="AD776" i="82" s="1"/>
  <c r="W776" i="82"/>
  <c r="AC776" i="82" s="1"/>
  <c r="V776" i="82"/>
  <c r="AB776" i="82" s="1"/>
  <c r="X775" i="82"/>
  <c r="AD775" i="82" s="1"/>
  <c r="W775" i="82"/>
  <c r="AC775" i="82" s="1"/>
  <c r="V775" i="82"/>
  <c r="AB775" i="82" s="1"/>
  <c r="X774" i="82"/>
  <c r="AD774" i="82" s="1"/>
  <c r="W774" i="82"/>
  <c r="AC774" i="82" s="1"/>
  <c r="V774" i="82"/>
  <c r="AB774" i="82" s="1"/>
  <c r="X773" i="82"/>
  <c r="AD773" i="82" s="1"/>
  <c r="W773" i="82"/>
  <c r="AC773" i="82" s="1"/>
  <c r="V773" i="82"/>
  <c r="AB773" i="82" s="1"/>
  <c r="X772" i="82"/>
  <c r="AD772" i="82" s="1"/>
  <c r="W772" i="82"/>
  <c r="AC772" i="82" s="1"/>
  <c r="V772" i="82"/>
  <c r="AB772" i="82" s="1"/>
  <c r="X771" i="82"/>
  <c r="AD771" i="82" s="1"/>
  <c r="W771" i="82"/>
  <c r="AC771" i="82" s="1"/>
  <c r="V771" i="82"/>
  <c r="AB771" i="82" s="1"/>
  <c r="X770" i="82"/>
  <c r="AD770" i="82" s="1"/>
  <c r="W770" i="82"/>
  <c r="AC770" i="82" s="1"/>
  <c r="V770" i="82"/>
  <c r="AB770" i="82" s="1"/>
  <c r="X769" i="82"/>
  <c r="AD769" i="82" s="1"/>
  <c r="W769" i="82"/>
  <c r="AC769" i="82" s="1"/>
  <c r="V769" i="82"/>
  <c r="AB769" i="82" s="1"/>
  <c r="X768" i="82"/>
  <c r="AD768" i="82" s="1"/>
  <c r="W768" i="82"/>
  <c r="AC768" i="82" s="1"/>
  <c r="V768" i="82"/>
  <c r="AB768" i="82" s="1"/>
  <c r="X767" i="82"/>
  <c r="AD767" i="82" s="1"/>
  <c r="W767" i="82"/>
  <c r="AC767" i="82" s="1"/>
  <c r="V767" i="82"/>
  <c r="AB767" i="82" s="1"/>
  <c r="X766" i="82"/>
  <c r="AD766" i="82" s="1"/>
  <c r="W766" i="82"/>
  <c r="AC766" i="82" s="1"/>
  <c r="V766" i="82"/>
  <c r="AB766" i="82" s="1"/>
  <c r="X765" i="82"/>
  <c r="AD765" i="82" s="1"/>
  <c r="W765" i="82"/>
  <c r="AC765" i="82" s="1"/>
  <c r="V765" i="82"/>
  <c r="AB765" i="82" s="1"/>
  <c r="X764" i="82"/>
  <c r="AD764" i="82" s="1"/>
  <c r="W764" i="82"/>
  <c r="AC764" i="82" s="1"/>
  <c r="V764" i="82"/>
  <c r="AB764" i="82" s="1"/>
  <c r="X763" i="82"/>
  <c r="AD763" i="82" s="1"/>
  <c r="W763" i="82"/>
  <c r="AC763" i="82" s="1"/>
  <c r="V763" i="82"/>
  <c r="AB763" i="82" s="1"/>
  <c r="X762" i="82"/>
  <c r="AD762" i="82" s="1"/>
  <c r="W762" i="82"/>
  <c r="AC762" i="82" s="1"/>
  <c r="V762" i="82"/>
  <c r="AB762" i="82" s="1"/>
  <c r="X761" i="82"/>
  <c r="AD761" i="82" s="1"/>
  <c r="W761" i="82"/>
  <c r="AC761" i="82" s="1"/>
  <c r="V761" i="82"/>
  <c r="AB761" i="82" s="1"/>
  <c r="X760" i="82"/>
  <c r="AD760" i="82" s="1"/>
  <c r="W760" i="82"/>
  <c r="AC760" i="82" s="1"/>
  <c r="V760" i="82"/>
  <c r="AB760" i="82" s="1"/>
  <c r="X759" i="82"/>
  <c r="AD759" i="82" s="1"/>
  <c r="W759" i="82"/>
  <c r="AC759" i="82" s="1"/>
  <c r="V759" i="82"/>
  <c r="AB759" i="82" s="1"/>
  <c r="X758" i="82"/>
  <c r="AD758" i="82" s="1"/>
  <c r="W758" i="82"/>
  <c r="AC758" i="82" s="1"/>
  <c r="V758" i="82"/>
  <c r="AB758" i="82" s="1"/>
  <c r="X757" i="82"/>
  <c r="AD757" i="82" s="1"/>
  <c r="W757" i="82"/>
  <c r="AC757" i="82" s="1"/>
  <c r="V757" i="82"/>
  <c r="AB757" i="82" s="1"/>
  <c r="X756" i="82"/>
  <c r="AD756" i="82" s="1"/>
  <c r="W756" i="82"/>
  <c r="AC756" i="82" s="1"/>
  <c r="V756" i="82"/>
  <c r="AB756" i="82" s="1"/>
  <c r="X755" i="82"/>
  <c r="AD755" i="82" s="1"/>
  <c r="W755" i="82"/>
  <c r="AC755" i="82" s="1"/>
  <c r="V755" i="82"/>
  <c r="AB755" i="82" s="1"/>
  <c r="X754" i="82"/>
  <c r="AD754" i="82" s="1"/>
  <c r="W754" i="82"/>
  <c r="AC754" i="82" s="1"/>
  <c r="V754" i="82"/>
  <c r="AB754" i="82" s="1"/>
  <c r="X753" i="82"/>
  <c r="AD753" i="82" s="1"/>
  <c r="W753" i="82"/>
  <c r="AC753" i="82" s="1"/>
  <c r="V753" i="82"/>
  <c r="AB753" i="82" s="1"/>
  <c r="X752" i="82"/>
  <c r="AD752" i="82" s="1"/>
  <c r="W752" i="82"/>
  <c r="AC752" i="82" s="1"/>
  <c r="V752" i="82"/>
  <c r="AB752" i="82" s="1"/>
  <c r="X751" i="82"/>
  <c r="AD751" i="82" s="1"/>
  <c r="W751" i="82"/>
  <c r="AC751" i="82" s="1"/>
  <c r="V751" i="82"/>
  <c r="AB751" i="82" s="1"/>
  <c r="X750" i="82"/>
  <c r="AD750" i="82" s="1"/>
  <c r="W750" i="82"/>
  <c r="AC750" i="82" s="1"/>
  <c r="V750" i="82"/>
  <c r="AB750" i="82" s="1"/>
  <c r="X749" i="82"/>
  <c r="AD749" i="82" s="1"/>
  <c r="W749" i="82"/>
  <c r="AC749" i="82" s="1"/>
  <c r="V749" i="82"/>
  <c r="AB749" i="82" s="1"/>
  <c r="X748" i="82"/>
  <c r="AD748" i="82" s="1"/>
  <c r="W748" i="82"/>
  <c r="AC748" i="82" s="1"/>
  <c r="V748" i="82"/>
  <c r="AB748" i="82" s="1"/>
  <c r="X747" i="82"/>
  <c r="AD747" i="82" s="1"/>
  <c r="W747" i="82"/>
  <c r="AC747" i="82" s="1"/>
  <c r="V747" i="82"/>
  <c r="AB747" i="82" s="1"/>
  <c r="X746" i="82"/>
  <c r="AD746" i="82" s="1"/>
  <c r="W746" i="82"/>
  <c r="AC746" i="82" s="1"/>
  <c r="V746" i="82"/>
  <c r="AB746" i="82" s="1"/>
  <c r="X745" i="82"/>
  <c r="AD745" i="82" s="1"/>
  <c r="W745" i="82"/>
  <c r="AC745" i="82" s="1"/>
  <c r="V745" i="82"/>
  <c r="AB745" i="82" s="1"/>
  <c r="X744" i="82"/>
  <c r="AD744" i="82" s="1"/>
  <c r="W744" i="82"/>
  <c r="AC744" i="82" s="1"/>
  <c r="V744" i="82"/>
  <c r="AB744" i="82" s="1"/>
  <c r="X743" i="82"/>
  <c r="AD743" i="82" s="1"/>
  <c r="W743" i="82"/>
  <c r="AC743" i="82" s="1"/>
  <c r="V743" i="82"/>
  <c r="AB743" i="82" s="1"/>
  <c r="X742" i="82"/>
  <c r="AD742" i="82" s="1"/>
  <c r="W742" i="82"/>
  <c r="AC742" i="82" s="1"/>
  <c r="V742" i="82"/>
  <c r="AB742" i="82" s="1"/>
  <c r="X741" i="82"/>
  <c r="AD741" i="82" s="1"/>
  <c r="W741" i="82"/>
  <c r="AC741" i="82" s="1"/>
  <c r="V741" i="82"/>
  <c r="AB741" i="82" s="1"/>
  <c r="X740" i="82"/>
  <c r="AD740" i="82" s="1"/>
  <c r="W740" i="82"/>
  <c r="AC740" i="82" s="1"/>
  <c r="V740" i="82"/>
  <c r="AB740" i="82" s="1"/>
  <c r="X739" i="82"/>
  <c r="AD739" i="82" s="1"/>
  <c r="W739" i="82"/>
  <c r="AC739" i="82" s="1"/>
  <c r="V739" i="82"/>
  <c r="AB739" i="82" s="1"/>
  <c r="X738" i="82"/>
  <c r="AD738" i="82" s="1"/>
  <c r="W738" i="82"/>
  <c r="AC738" i="82" s="1"/>
  <c r="V738" i="82"/>
  <c r="AB738" i="82" s="1"/>
  <c r="X737" i="82"/>
  <c r="AD737" i="82" s="1"/>
  <c r="W737" i="82"/>
  <c r="AC737" i="82" s="1"/>
  <c r="V737" i="82"/>
  <c r="AB737" i="82" s="1"/>
  <c r="X736" i="82"/>
  <c r="AD736" i="82" s="1"/>
  <c r="W736" i="82"/>
  <c r="AC736" i="82" s="1"/>
  <c r="V736" i="82"/>
  <c r="AB736" i="82" s="1"/>
  <c r="X735" i="82"/>
  <c r="AD735" i="82" s="1"/>
  <c r="W735" i="82"/>
  <c r="AC735" i="82" s="1"/>
  <c r="V735" i="82"/>
  <c r="AB735" i="82" s="1"/>
  <c r="X734" i="82"/>
  <c r="AD734" i="82" s="1"/>
  <c r="W734" i="82"/>
  <c r="AC734" i="82" s="1"/>
  <c r="V734" i="82"/>
  <c r="AB734" i="82" s="1"/>
  <c r="X733" i="82"/>
  <c r="AD733" i="82" s="1"/>
  <c r="W733" i="82"/>
  <c r="AC733" i="82" s="1"/>
  <c r="V733" i="82"/>
  <c r="AB733" i="82" s="1"/>
  <c r="X732" i="82"/>
  <c r="AD732" i="82" s="1"/>
  <c r="W732" i="82"/>
  <c r="AC732" i="82" s="1"/>
  <c r="V732" i="82"/>
  <c r="AB732" i="82" s="1"/>
  <c r="X731" i="82"/>
  <c r="AD731" i="82" s="1"/>
  <c r="W731" i="82"/>
  <c r="AC731" i="82" s="1"/>
  <c r="V731" i="82"/>
  <c r="AB731" i="82" s="1"/>
  <c r="X730" i="82"/>
  <c r="AD730" i="82" s="1"/>
  <c r="W730" i="82"/>
  <c r="AC730" i="82" s="1"/>
  <c r="V730" i="82"/>
  <c r="AB730" i="82" s="1"/>
  <c r="X729" i="82"/>
  <c r="AD729" i="82" s="1"/>
  <c r="W729" i="82"/>
  <c r="AC729" i="82" s="1"/>
  <c r="V729" i="82"/>
  <c r="AB729" i="82" s="1"/>
  <c r="X728" i="82"/>
  <c r="AD728" i="82" s="1"/>
  <c r="W728" i="82"/>
  <c r="AC728" i="82" s="1"/>
  <c r="V728" i="82"/>
  <c r="AB728" i="82" s="1"/>
  <c r="X727" i="82"/>
  <c r="AD727" i="82" s="1"/>
  <c r="W727" i="82"/>
  <c r="AC727" i="82" s="1"/>
  <c r="V727" i="82"/>
  <c r="AB727" i="82" s="1"/>
  <c r="X726" i="82"/>
  <c r="AD726" i="82" s="1"/>
  <c r="W726" i="82"/>
  <c r="AC726" i="82" s="1"/>
  <c r="V726" i="82"/>
  <c r="AB726" i="82" s="1"/>
  <c r="X725" i="82"/>
  <c r="AD725" i="82" s="1"/>
  <c r="W725" i="82"/>
  <c r="AC725" i="82" s="1"/>
  <c r="V725" i="82"/>
  <c r="AB725" i="82" s="1"/>
  <c r="X724" i="82"/>
  <c r="AD724" i="82" s="1"/>
  <c r="W724" i="82"/>
  <c r="AC724" i="82" s="1"/>
  <c r="V724" i="82"/>
  <c r="AB724" i="82" s="1"/>
  <c r="X723" i="82"/>
  <c r="AD723" i="82" s="1"/>
  <c r="W723" i="82"/>
  <c r="AC723" i="82" s="1"/>
  <c r="V723" i="82"/>
  <c r="AB723" i="82" s="1"/>
  <c r="X722" i="82"/>
  <c r="AD722" i="82" s="1"/>
  <c r="W722" i="82"/>
  <c r="AC722" i="82" s="1"/>
  <c r="V722" i="82"/>
  <c r="AB722" i="82" s="1"/>
  <c r="X721" i="82"/>
  <c r="AD721" i="82" s="1"/>
  <c r="W721" i="82"/>
  <c r="AC721" i="82" s="1"/>
  <c r="V721" i="82"/>
  <c r="AB721" i="82" s="1"/>
  <c r="X720" i="82"/>
  <c r="AD720" i="82" s="1"/>
  <c r="W720" i="82"/>
  <c r="AC720" i="82" s="1"/>
  <c r="V720" i="82"/>
  <c r="AB720" i="82" s="1"/>
  <c r="X719" i="82"/>
  <c r="AD719" i="82" s="1"/>
  <c r="W719" i="82"/>
  <c r="AC719" i="82" s="1"/>
  <c r="V719" i="82"/>
  <c r="AB719" i="82" s="1"/>
  <c r="X718" i="82"/>
  <c r="AD718" i="82" s="1"/>
  <c r="W718" i="82"/>
  <c r="AC718" i="82" s="1"/>
  <c r="V718" i="82"/>
  <c r="AB718" i="82" s="1"/>
  <c r="X717" i="82"/>
  <c r="AD717" i="82" s="1"/>
  <c r="W717" i="82"/>
  <c r="AC717" i="82" s="1"/>
  <c r="V717" i="82"/>
  <c r="AB717" i="82" s="1"/>
  <c r="X716" i="82"/>
  <c r="AD716" i="82" s="1"/>
  <c r="W716" i="82"/>
  <c r="AC716" i="82" s="1"/>
  <c r="V716" i="82"/>
  <c r="AB716" i="82" s="1"/>
  <c r="X715" i="82"/>
  <c r="AD715" i="82" s="1"/>
  <c r="W715" i="82"/>
  <c r="AC715" i="82" s="1"/>
  <c r="V715" i="82"/>
  <c r="AB715" i="82" s="1"/>
  <c r="X714" i="82"/>
  <c r="AD714" i="82" s="1"/>
  <c r="W714" i="82"/>
  <c r="AC714" i="82" s="1"/>
  <c r="V714" i="82"/>
  <c r="AB714" i="82" s="1"/>
  <c r="X713" i="82"/>
  <c r="AD713" i="82" s="1"/>
  <c r="W713" i="82"/>
  <c r="AC713" i="82" s="1"/>
  <c r="V713" i="82"/>
  <c r="AB713" i="82" s="1"/>
  <c r="X712" i="82"/>
  <c r="AD712" i="82" s="1"/>
  <c r="W712" i="82"/>
  <c r="AC712" i="82" s="1"/>
  <c r="V712" i="82"/>
  <c r="AB712" i="82" s="1"/>
  <c r="X711" i="82"/>
  <c r="AD711" i="82" s="1"/>
  <c r="W711" i="82"/>
  <c r="AC711" i="82" s="1"/>
  <c r="V711" i="82"/>
  <c r="AB711" i="82" s="1"/>
  <c r="X710" i="82"/>
  <c r="AD710" i="82" s="1"/>
  <c r="W710" i="82"/>
  <c r="AC710" i="82" s="1"/>
  <c r="V710" i="82"/>
  <c r="AB710" i="82" s="1"/>
  <c r="X709" i="82"/>
  <c r="AD709" i="82" s="1"/>
  <c r="W709" i="82"/>
  <c r="AC709" i="82" s="1"/>
  <c r="V709" i="82"/>
  <c r="AB709" i="82" s="1"/>
  <c r="X708" i="82"/>
  <c r="AD708" i="82" s="1"/>
  <c r="W708" i="82"/>
  <c r="AC708" i="82" s="1"/>
  <c r="V708" i="82"/>
  <c r="AB708" i="82" s="1"/>
  <c r="X707" i="82"/>
  <c r="AD707" i="82" s="1"/>
  <c r="W707" i="82"/>
  <c r="AC707" i="82" s="1"/>
  <c r="V707" i="82"/>
  <c r="AB707" i="82" s="1"/>
  <c r="X706" i="82"/>
  <c r="AD706" i="82" s="1"/>
  <c r="W706" i="82"/>
  <c r="AC706" i="82" s="1"/>
  <c r="V706" i="82"/>
  <c r="AB706" i="82" s="1"/>
  <c r="X705" i="82"/>
  <c r="AD705" i="82" s="1"/>
  <c r="W705" i="82"/>
  <c r="AC705" i="82" s="1"/>
  <c r="V705" i="82"/>
  <c r="AB705" i="82" s="1"/>
  <c r="X704" i="82"/>
  <c r="AD704" i="82" s="1"/>
  <c r="W704" i="82"/>
  <c r="AC704" i="82" s="1"/>
  <c r="V704" i="82"/>
  <c r="AB704" i="82" s="1"/>
  <c r="X703" i="82"/>
  <c r="AD703" i="82" s="1"/>
  <c r="W703" i="82"/>
  <c r="AC703" i="82" s="1"/>
  <c r="V703" i="82"/>
  <c r="AB703" i="82" s="1"/>
  <c r="X702" i="82"/>
  <c r="AD702" i="82" s="1"/>
  <c r="W702" i="82"/>
  <c r="AC702" i="82" s="1"/>
  <c r="V702" i="82"/>
  <c r="AB702" i="82" s="1"/>
  <c r="X701" i="82"/>
  <c r="AD701" i="82" s="1"/>
  <c r="W701" i="82"/>
  <c r="AC701" i="82" s="1"/>
  <c r="V701" i="82"/>
  <c r="AB701" i="82" s="1"/>
  <c r="X700" i="82"/>
  <c r="AD700" i="82" s="1"/>
  <c r="W700" i="82"/>
  <c r="AC700" i="82" s="1"/>
  <c r="V700" i="82"/>
  <c r="AB700" i="82" s="1"/>
  <c r="X699" i="82"/>
  <c r="AD699" i="82" s="1"/>
  <c r="W699" i="82"/>
  <c r="AC699" i="82" s="1"/>
  <c r="V699" i="82"/>
  <c r="AB699" i="82" s="1"/>
  <c r="X698" i="82"/>
  <c r="AD698" i="82" s="1"/>
  <c r="W698" i="82"/>
  <c r="AC698" i="82" s="1"/>
  <c r="V698" i="82"/>
  <c r="AB698" i="82" s="1"/>
  <c r="X697" i="82"/>
  <c r="AD697" i="82" s="1"/>
  <c r="W697" i="82"/>
  <c r="AC697" i="82" s="1"/>
  <c r="V697" i="82"/>
  <c r="AB697" i="82" s="1"/>
  <c r="X696" i="82"/>
  <c r="AD696" i="82" s="1"/>
  <c r="W696" i="82"/>
  <c r="AC696" i="82" s="1"/>
  <c r="V696" i="82"/>
  <c r="AB696" i="82" s="1"/>
  <c r="X695" i="82"/>
  <c r="AD695" i="82" s="1"/>
  <c r="W695" i="82"/>
  <c r="AC695" i="82" s="1"/>
  <c r="V695" i="82"/>
  <c r="AB695" i="82" s="1"/>
  <c r="X694" i="82"/>
  <c r="AD694" i="82" s="1"/>
  <c r="W694" i="82"/>
  <c r="AC694" i="82" s="1"/>
  <c r="V694" i="82"/>
  <c r="AB694" i="82" s="1"/>
  <c r="X693" i="82"/>
  <c r="AD693" i="82" s="1"/>
  <c r="W693" i="82"/>
  <c r="AC693" i="82" s="1"/>
  <c r="V693" i="82"/>
  <c r="AB693" i="82" s="1"/>
  <c r="X692" i="82"/>
  <c r="AD692" i="82" s="1"/>
  <c r="W692" i="82"/>
  <c r="AC692" i="82" s="1"/>
  <c r="V692" i="82"/>
  <c r="AB692" i="82" s="1"/>
  <c r="X691" i="82"/>
  <c r="AD691" i="82" s="1"/>
  <c r="W691" i="82"/>
  <c r="AC691" i="82" s="1"/>
  <c r="V691" i="82"/>
  <c r="AB691" i="82" s="1"/>
  <c r="X690" i="82"/>
  <c r="AD690" i="82" s="1"/>
  <c r="W690" i="82"/>
  <c r="AC690" i="82" s="1"/>
  <c r="V690" i="82"/>
  <c r="AB690" i="82" s="1"/>
  <c r="X689" i="82"/>
  <c r="AD689" i="82" s="1"/>
  <c r="W689" i="82"/>
  <c r="AC689" i="82" s="1"/>
  <c r="V689" i="82"/>
  <c r="AB689" i="82" s="1"/>
  <c r="X688" i="82"/>
  <c r="AD688" i="82" s="1"/>
  <c r="W688" i="82"/>
  <c r="AC688" i="82" s="1"/>
  <c r="V688" i="82"/>
  <c r="AB688" i="82" s="1"/>
  <c r="X687" i="82"/>
  <c r="AD687" i="82" s="1"/>
  <c r="W687" i="82"/>
  <c r="AC687" i="82" s="1"/>
  <c r="V687" i="82"/>
  <c r="AB687" i="82" s="1"/>
  <c r="X686" i="82"/>
  <c r="AD686" i="82" s="1"/>
  <c r="W686" i="82"/>
  <c r="AC686" i="82" s="1"/>
  <c r="V686" i="82"/>
  <c r="AB686" i="82" s="1"/>
  <c r="X685" i="82"/>
  <c r="AD685" i="82" s="1"/>
  <c r="W685" i="82"/>
  <c r="AC685" i="82" s="1"/>
  <c r="V685" i="82"/>
  <c r="AB685" i="82" s="1"/>
  <c r="X684" i="82"/>
  <c r="AD684" i="82" s="1"/>
  <c r="W684" i="82"/>
  <c r="AC684" i="82" s="1"/>
  <c r="V684" i="82"/>
  <c r="AB684" i="82" s="1"/>
  <c r="X683" i="82"/>
  <c r="AD683" i="82" s="1"/>
  <c r="W683" i="82"/>
  <c r="AC683" i="82" s="1"/>
  <c r="V683" i="82"/>
  <c r="AB683" i="82" s="1"/>
  <c r="X682" i="82"/>
  <c r="AD682" i="82" s="1"/>
  <c r="W682" i="82"/>
  <c r="AC682" i="82" s="1"/>
  <c r="V682" i="82"/>
  <c r="AB682" i="82" s="1"/>
  <c r="X681" i="82"/>
  <c r="AD681" i="82" s="1"/>
  <c r="W681" i="82"/>
  <c r="AC681" i="82" s="1"/>
  <c r="V681" i="82"/>
  <c r="AB681" i="82" s="1"/>
  <c r="X680" i="82"/>
  <c r="AD680" i="82" s="1"/>
  <c r="W680" i="82"/>
  <c r="AC680" i="82" s="1"/>
  <c r="V680" i="82"/>
  <c r="AB680" i="82" s="1"/>
  <c r="X679" i="82"/>
  <c r="AD679" i="82" s="1"/>
  <c r="W679" i="82"/>
  <c r="AC679" i="82" s="1"/>
  <c r="V679" i="82"/>
  <c r="AB679" i="82" s="1"/>
  <c r="X678" i="82"/>
  <c r="AD678" i="82" s="1"/>
  <c r="W678" i="82"/>
  <c r="AC678" i="82" s="1"/>
  <c r="V678" i="82"/>
  <c r="AB678" i="82" s="1"/>
  <c r="X677" i="82"/>
  <c r="AD677" i="82" s="1"/>
  <c r="W677" i="82"/>
  <c r="AC677" i="82" s="1"/>
  <c r="V677" i="82"/>
  <c r="AB677" i="82" s="1"/>
  <c r="X676" i="82"/>
  <c r="AD676" i="82" s="1"/>
  <c r="W676" i="82"/>
  <c r="AC676" i="82" s="1"/>
  <c r="V676" i="82"/>
  <c r="AB676" i="82" s="1"/>
  <c r="X675" i="82"/>
  <c r="AD675" i="82" s="1"/>
  <c r="W675" i="82"/>
  <c r="AC675" i="82" s="1"/>
  <c r="V675" i="82"/>
  <c r="AB675" i="82" s="1"/>
  <c r="X674" i="82"/>
  <c r="AD674" i="82" s="1"/>
  <c r="W674" i="82"/>
  <c r="AC674" i="82" s="1"/>
  <c r="V674" i="82"/>
  <c r="AB674" i="82" s="1"/>
  <c r="X673" i="82"/>
  <c r="AD673" i="82" s="1"/>
  <c r="W673" i="82"/>
  <c r="AC673" i="82" s="1"/>
  <c r="V673" i="82"/>
  <c r="AB673" i="82" s="1"/>
  <c r="X672" i="82"/>
  <c r="AD672" i="82" s="1"/>
  <c r="W672" i="82"/>
  <c r="AC672" i="82" s="1"/>
  <c r="V672" i="82"/>
  <c r="AB672" i="82" s="1"/>
  <c r="X671" i="82"/>
  <c r="AD671" i="82" s="1"/>
  <c r="W671" i="82"/>
  <c r="AC671" i="82" s="1"/>
  <c r="V671" i="82"/>
  <c r="AB671" i="82" s="1"/>
  <c r="X670" i="82"/>
  <c r="AD670" i="82" s="1"/>
  <c r="W670" i="82"/>
  <c r="AC670" i="82" s="1"/>
  <c r="V670" i="82"/>
  <c r="AB670" i="82" s="1"/>
  <c r="X669" i="82"/>
  <c r="AD669" i="82" s="1"/>
  <c r="W669" i="82"/>
  <c r="AC669" i="82" s="1"/>
  <c r="V669" i="82"/>
  <c r="AB669" i="82" s="1"/>
  <c r="X668" i="82"/>
  <c r="AD668" i="82" s="1"/>
  <c r="W668" i="82"/>
  <c r="AC668" i="82" s="1"/>
  <c r="V668" i="82"/>
  <c r="AB668" i="82" s="1"/>
  <c r="X667" i="82"/>
  <c r="AD667" i="82" s="1"/>
  <c r="W667" i="82"/>
  <c r="AC667" i="82" s="1"/>
  <c r="V667" i="82"/>
  <c r="AB667" i="82" s="1"/>
  <c r="X666" i="82"/>
  <c r="AD666" i="82" s="1"/>
  <c r="W666" i="82"/>
  <c r="AC666" i="82" s="1"/>
  <c r="V666" i="82"/>
  <c r="AB666" i="82" s="1"/>
  <c r="X665" i="82"/>
  <c r="AD665" i="82" s="1"/>
  <c r="W665" i="82"/>
  <c r="AC665" i="82" s="1"/>
  <c r="V665" i="82"/>
  <c r="AB665" i="82" s="1"/>
  <c r="X664" i="82"/>
  <c r="AD664" i="82" s="1"/>
  <c r="W664" i="82"/>
  <c r="AC664" i="82" s="1"/>
  <c r="V664" i="82"/>
  <c r="AB664" i="82" s="1"/>
  <c r="X663" i="82"/>
  <c r="AD663" i="82" s="1"/>
  <c r="W663" i="82"/>
  <c r="AC663" i="82" s="1"/>
  <c r="V663" i="82"/>
  <c r="AB663" i="82" s="1"/>
  <c r="X662" i="82"/>
  <c r="AD662" i="82" s="1"/>
  <c r="W662" i="82"/>
  <c r="AC662" i="82" s="1"/>
  <c r="V662" i="82"/>
  <c r="AB662" i="82" s="1"/>
  <c r="X661" i="82"/>
  <c r="AD661" i="82" s="1"/>
  <c r="W661" i="82"/>
  <c r="AC661" i="82" s="1"/>
  <c r="V661" i="82"/>
  <c r="AB661" i="82" s="1"/>
  <c r="X660" i="82"/>
  <c r="AD660" i="82" s="1"/>
  <c r="W660" i="82"/>
  <c r="AC660" i="82" s="1"/>
  <c r="V660" i="82"/>
  <c r="AB660" i="82" s="1"/>
  <c r="X659" i="82"/>
  <c r="AD659" i="82" s="1"/>
  <c r="W659" i="82"/>
  <c r="AC659" i="82" s="1"/>
  <c r="V659" i="82"/>
  <c r="AB659" i="82" s="1"/>
  <c r="X658" i="82"/>
  <c r="AD658" i="82" s="1"/>
  <c r="W658" i="82"/>
  <c r="AC658" i="82" s="1"/>
  <c r="V658" i="82"/>
  <c r="AB658" i="82" s="1"/>
  <c r="X657" i="82"/>
  <c r="AD657" i="82" s="1"/>
  <c r="W657" i="82"/>
  <c r="AC657" i="82" s="1"/>
  <c r="V657" i="82"/>
  <c r="AB657" i="82" s="1"/>
  <c r="X656" i="82"/>
  <c r="AD656" i="82" s="1"/>
  <c r="W656" i="82"/>
  <c r="AC656" i="82" s="1"/>
  <c r="V656" i="82"/>
  <c r="AB656" i="82" s="1"/>
  <c r="X655" i="82"/>
  <c r="AD655" i="82" s="1"/>
  <c r="W655" i="82"/>
  <c r="AC655" i="82" s="1"/>
  <c r="V655" i="82"/>
  <c r="AB655" i="82" s="1"/>
  <c r="X654" i="82"/>
  <c r="AD654" i="82" s="1"/>
  <c r="W654" i="82"/>
  <c r="AC654" i="82" s="1"/>
  <c r="V654" i="82"/>
  <c r="AB654" i="82" s="1"/>
  <c r="X653" i="82"/>
  <c r="AD653" i="82" s="1"/>
  <c r="W653" i="82"/>
  <c r="AC653" i="82" s="1"/>
  <c r="V653" i="82"/>
  <c r="AB653" i="82" s="1"/>
  <c r="X652" i="82"/>
  <c r="AD652" i="82" s="1"/>
  <c r="W652" i="82"/>
  <c r="AC652" i="82" s="1"/>
  <c r="V652" i="82"/>
  <c r="AB652" i="82" s="1"/>
  <c r="X651" i="82"/>
  <c r="AD651" i="82" s="1"/>
  <c r="W651" i="82"/>
  <c r="AC651" i="82" s="1"/>
  <c r="V651" i="82"/>
  <c r="AB651" i="82" s="1"/>
  <c r="X650" i="82"/>
  <c r="AD650" i="82" s="1"/>
  <c r="W650" i="82"/>
  <c r="AC650" i="82" s="1"/>
  <c r="V650" i="82"/>
  <c r="AB650" i="82" s="1"/>
  <c r="X649" i="82"/>
  <c r="AD649" i="82" s="1"/>
  <c r="W649" i="82"/>
  <c r="AC649" i="82" s="1"/>
  <c r="V649" i="82"/>
  <c r="AB649" i="82" s="1"/>
  <c r="X648" i="82"/>
  <c r="AD648" i="82" s="1"/>
  <c r="W648" i="82"/>
  <c r="AC648" i="82" s="1"/>
  <c r="V648" i="82"/>
  <c r="AB648" i="82" s="1"/>
  <c r="X647" i="82"/>
  <c r="AD647" i="82" s="1"/>
  <c r="W647" i="82"/>
  <c r="AC647" i="82" s="1"/>
  <c r="V647" i="82"/>
  <c r="AB647" i="82" s="1"/>
  <c r="X646" i="82"/>
  <c r="AD646" i="82" s="1"/>
  <c r="W646" i="82"/>
  <c r="AC646" i="82" s="1"/>
  <c r="V646" i="82"/>
  <c r="AB646" i="82" s="1"/>
  <c r="X645" i="82"/>
  <c r="AD645" i="82" s="1"/>
  <c r="W645" i="82"/>
  <c r="AC645" i="82" s="1"/>
  <c r="V645" i="82"/>
  <c r="AB645" i="82" s="1"/>
  <c r="X644" i="82"/>
  <c r="AD644" i="82" s="1"/>
  <c r="W644" i="82"/>
  <c r="AC644" i="82" s="1"/>
  <c r="V644" i="82"/>
  <c r="AB644" i="82" s="1"/>
  <c r="X643" i="82"/>
  <c r="AD643" i="82" s="1"/>
  <c r="W643" i="82"/>
  <c r="AC643" i="82" s="1"/>
  <c r="V643" i="82"/>
  <c r="AB643" i="82" s="1"/>
  <c r="X642" i="82"/>
  <c r="AD642" i="82" s="1"/>
  <c r="W642" i="82"/>
  <c r="AC642" i="82" s="1"/>
  <c r="V642" i="82"/>
  <c r="AB642" i="82" s="1"/>
  <c r="X641" i="82"/>
  <c r="AD641" i="82" s="1"/>
  <c r="W641" i="82"/>
  <c r="AC641" i="82" s="1"/>
  <c r="V641" i="82"/>
  <c r="AB641" i="82" s="1"/>
  <c r="X640" i="82"/>
  <c r="AD640" i="82" s="1"/>
  <c r="W640" i="82"/>
  <c r="AC640" i="82" s="1"/>
  <c r="V640" i="82"/>
  <c r="AB640" i="82" s="1"/>
  <c r="X639" i="82"/>
  <c r="AD639" i="82" s="1"/>
  <c r="W639" i="82"/>
  <c r="AC639" i="82" s="1"/>
  <c r="V639" i="82"/>
  <c r="AB639" i="82" s="1"/>
  <c r="X638" i="82"/>
  <c r="AD638" i="82" s="1"/>
  <c r="W638" i="82"/>
  <c r="AC638" i="82" s="1"/>
  <c r="V638" i="82"/>
  <c r="AB638" i="82" s="1"/>
  <c r="X637" i="82"/>
  <c r="AD637" i="82" s="1"/>
  <c r="W637" i="82"/>
  <c r="AC637" i="82" s="1"/>
  <c r="V637" i="82"/>
  <c r="AB637" i="82" s="1"/>
  <c r="X636" i="82"/>
  <c r="AD636" i="82" s="1"/>
  <c r="W636" i="82"/>
  <c r="AC636" i="82" s="1"/>
  <c r="V636" i="82"/>
  <c r="AB636" i="82" s="1"/>
  <c r="X635" i="82"/>
  <c r="AD635" i="82" s="1"/>
  <c r="W635" i="82"/>
  <c r="AC635" i="82" s="1"/>
  <c r="V635" i="82"/>
  <c r="AB635" i="82" s="1"/>
  <c r="X634" i="82"/>
  <c r="AD634" i="82" s="1"/>
  <c r="W634" i="82"/>
  <c r="AC634" i="82" s="1"/>
  <c r="V634" i="82"/>
  <c r="AB634" i="82" s="1"/>
  <c r="X633" i="82"/>
  <c r="AD633" i="82" s="1"/>
  <c r="W633" i="82"/>
  <c r="AC633" i="82" s="1"/>
  <c r="V633" i="82"/>
  <c r="AB633" i="82" s="1"/>
  <c r="X632" i="82"/>
  <c r="AD632" i="82" s="1"/>
  <c r="W632" i="82"/>
  <c r="AC632" i="82" s="1"/>
  <c r="V632" i="82"/>
  <c r="AB632" i="82" s="1"/>
  <c r="X631" i="82"/>
  <c r="AD631" i="82" s="1"/>
  <c r="W631" i="82"/>
  <c r="AC631" i="82" s="1"/>
  <c r="V631" i="82"/>
  <c r="AB631" i="82" s="1"/>
  <c r="X630" i="82"/>
  <c r="AD630" i="82" s="1"/>
  <c r="W630" i="82"/>
  <c r="AC630" i="82" s="1"/>
  <c r="V630" i="82"/>
  <c r="AB630" i="82" s="1"/>
  <c r="X629" i="82"/>
  <c r="AD629" i="82" s="1"/>
  <c r="W629" i="82"/>
  <c r="AC629" i="82" s="1"/>
  <c r="V629" i="82"/>
  <c r="AB629" i="82" s="1"/>
  <c r="X628" i="82"/>
  <c r="AD628" i="82" s="1"/>
  <c r="W628" i="82"/>
  <c r="AC628" i="82" s="1"/>
  <c r="V628" i="82"/>
  <c r="AB628" i="82" s="1"/>
  <c r="X627" i="82"/>
  <c r="AD627" i="82" s="1"/>
  <c r="W627" i="82"/>
  <c r="AC627" i="82" s="1"/>
  <c r="V627" i="82"/>
  <c r="AB627" i="82" s="1"/>
  <c r="X626" i="82"/>
  <c r="AD626" i="82" s="1"/>
  <c r="W626" i="82"/>
  <c r="AC626" i="82" s="1"/>
  <c r="V626" i="82"/>
  <c r="AB626" i="82" s="1"/>
  <c r="X625" i="82"/>
  <c r="AD625" i="82" s="1"/>
  <c r="W625" i="82"/>
  <c r="AC625" i="82" s="1"/>
  <c r="V625" i="82"/>
  <c r="AB625" i="82" s="1"/>
  <c r="X624" i="82"/>
  <c r="AD624" i="82" s="1"/>
  <c r="W624" i="82"/>
  <c r="AC624" i="82" s="1"/>
  <c r="V624" i="82"/>
  <c r="AB624" i="82" s="1"/>
  <c r="X623" i="82"/>
  <c r="AD623" i="82" s="1"/>
  <c r="W623" i="82"/>
  <c r="AC623" i="82" s="1"/>
  <c r="V623" i="82"/>
  <c r="AB623" i="82" s="1"/>
  <c r="X622" i="82"/>
  <c r="AD622" i="82" s="1"/>
  <c r="W622" i="82"/>
  <c r="AC622" i="82" s="1"/>
  <c r="V622" i="82"/>
  <c r="AB622" i="82" s="1"/>
  <c r="X621" i="82"/>
  <c r="AD621" i="82" s="1"/>
  <c r="W621" i="82"/>
  <c r="AC621" i="82" s="1"/>
  <c r="V621" i="82"/>
  <c r="AB621" i="82" s="1"/>
  <c r="X620" i="82"/>
  <c r="AD620" i="82" s="1"/>
  <c r="W620" i="82"/>
  <c r="AC620" i="82" s="1"/>
  <c r="V620" i="82"/>
  <c r="AB620" i="82" s="1"/>
  <c r="X619" i="82"/>
  <c r="AD619" i="82" s="1"/>
  <c r="W619" i="82"/>
  <c r="AC619" i="82" s="1"/>
  <c r="V619" i="82"/>
  <c r="AB619" i="82" s="1"/>
  <c r="X618" i="82"/>
  <c r="AD618" i="82" s="1"/>
  <c r="W618" i="82"/>
  <c r="AC618" i="82" s="1"/>
  <c r="V618" i="82"/>
  <c r="AB618" i="82" s="1"/>
  <c r="X617" i="82"/>
  <c r="AD617" i="82" s="1"/>
  <c r="W617" i="82"/>
  <c r="AC617" i="82" s="1"/>
  <c r="V617" i="82"/>
  <c r="AB617" i="82" s="1"/>
  <c r="X616" i="82"/>
  <c r="AD616" i="82" s="1"/>
  <c r="W616" i="82"/>
  <c r="AC616" i="82" s="1"/>
  <c r="V616" i="82"/>
  <c r="AB616" i="82" s="1"/>
  <c r="X615" i="82"/>
  <c r="AD615" i="82" s="1"/>
  <c r="W615" i="82"/>
  <c r="AC615" i="82" s="1"/>
  <c r="V615" i="82"/>
  <c r="AB615" i="82" s="1"/>
  <c r="X614" i="82"/>
  <c r="AD614" i="82" s="1"/>
  <c r="W614" i="82"/>
  <c r="AC614" i="82" s="1"/>
  <c r="V614" i="82"/>
  <c r="AB614" i="82" s="1"/>
  <c r="X613" i="82"/>
  <c r="AD613" i="82" s="1"/>
  <c r="W613" i="82"/>
  <c r="AC613" i="82" s="1"/>
  <c r="V613" i="82"/>
  <c r="AB613" i="82" s="1"/>
  <c r="X612" i="82"/>
  <c r="AD612" i="82" s="1"/>
  <c r="W612" i="82"/>
  <c r="AC612" i="82" s="1"/>
  <c r="V612" i="82"/>
  <c r="AB612" i="82" s="1"/>
  <c r="X611" i="82"/>
  <c r="AD611" i="82" s="1"/>
  <c r="W611" i="82"/>
  <c r="AC611" i="82" s="1"/>
  <c r="V611" i="82"/>
  <c r="AB611" i="82" s="1"/>
  <c r="X610" i="82"/>
  <c r="AD610" i="82" s="1"/>
  <c r="W610" i="82"/>
  <c r="AC610" i="82" s="1"/>
  <c r="V610" i="82"/>
  <c r="AB610" i="82" s="1"/>
  <c r="X609" i="82"/>
  <c r="AD609" i="82" s="1"/>
  <c r="W609" i="82"/>
  <c r="AC609" i="82" s="1"/>
  <c r="V609" i="82"/>
  <c r="AB609" i="82" s="1"/>
  <c r="X608" i="82"/>
  <c r="AD608" i="82" s="1"/>
  <c r="W608" i="82"/>
  <c r="AC608" i="82" s="1"/>
  <c r="V608" i="82"/>
  <c r="AB608" i="82" s="1"/>
  <c r="X607" i="82"/>
  <c r="AD607" i="82" s="1"/>
  <c r="W607" i="82"/>
  <c r="AC607" i="82" s="1"/>
  <c r="V607" i="82"/>
  <c r="AB607" i="82" s="1"/>
  <c r="X606" i="82"/>
  <c r="AD606" i="82" s="1"/>
  <c r="W606" i="82"/>
  <c r="AC606" i="82" s="1"/>
  <c r="V606" i="82"/>
  <c r="AB606" i="82" s="1"/>
  <c r="X605" i="82"/>
  <c r="AD605" i="82" s="1"/>
  <c r="W605" i="82"/>
  <c r="AC605" i="82" s="1"/>
  <c r="V605" i="82"/>
  <c r="AB605" i="82" s="1"/>
  <c r="X604" i="82"/>
  <c r="AD604" i="82" s="1"/>
  <c r="W604" i="82"/>
  <c r="AC604" i="82" s="1"/>
  <c r="V604" i="82"/>
  <c r="AB604" i="82" s="1"/>
  <c r="X603" i="82"/>
  <c r="AD603" i="82" s="1"/>
  <c r="W603" i="82"/>
  <c r="AC603" i="82" s="1"/>
  <c r="V603" i="82"/>
  <c r="AB603" i="82" s="1"/>
  <c r="X602" i="82"/>
  <c r="AD602" i="82" s="1"/>
  <c r="W602" i="82"/>
  <c r="AC602" i="82" s="1"/>
  <c r="V602" i="82"/>
  <c r="AB602" i="82" s="1"/>
  <c r="X601" i="82"/>
  <c r="AD601" i="82" s="1"/>
  <c r="W601" i="82"/>
  <c r="AC601" i="82" s="1"/>
  <c r="V601" i="82"/>
  <c r="AB601" i="82" s="1"/>
  <c r="X600" i="82"/>
  <c r="AD600" i="82" s="1"/>
  <c r="W600" i="82"/>
  <c r="AC600" i="82" s="1"/>
  <c r="V600" i="82"/>
  <c r="AB600" i="82" s="1"/>
  <c r="X599" i="82"/>
  <c r="AD599" i="82" s="1"/>
  <c r="W599" i="82"/>
  <c r="AC599" i="82" s="1"/>
  <c r="V599" i="82"/>
  <c r="AB599" i="82" s="1"/>
  <c r="X598" i="82"/>
  <c r="AD598" i="82" s="1"/>
  <c r="W598" i="82"/>
  <c r="AC598" i="82" s="1"/>
  <c r="V598" i="82"/>
  <c r="AB598" i="82" s="1"/>
  <c r="X597" i="82"/>
  <c r="AD597" i="82" s="1"/>
  <c r="W597" i="82"/>
  <c r="AC597" i="82" s="1"/>
  <c r="V597" i="82"/>
  <c r="AB597" i="82" s="1"/>
  <c r="X596" i="82"/>
  <c r="AD596" i="82" s="1"/>
  <c r="W596" i="82"/>
  <c r="AC596" i="82" s="1"/>
  <c r="V596" i="82"/>
  <c r="AB596" i="82" s="1"/>
  <c r="X595" i="82"/>
  <c r="AD595" i="82" s="1"/>
  <c r="W595" i="82"/>
  <c r="AC595" i="82" s="1"/>
  <c r="V595" i="82"/>
  <c r="AB595" i="82" s="1"/>
  <c r="X594" i="82"/>
  <c r="AD594" i="82" s="1"/>
  <c r="W594" i="82"/>
  <c r="AC594" i="82" s="1"/>
  <c r="V594" i="82"/>
  <c r="AB594" i="82" s="1"/>
  <c r="X593" i="82"/>
  <c r="AD593" i="82" s="1"/>
  <c r="W593" i="82"/>
  <c r="AC593" i="82" s="1"/>
  <c r="V593" i="82"/>
  <c r="AB593" i="82" s="1"/>
  <c r="X592" i="82"/>
  <c r="AD592" i="82" s="1"/>
  <c r="W592" i="82"/>
  <c r="AC592" i="82" s="1"/>
  <c r="V592" i="82"/>
  <c r="AB592" i="82" s="1"/>
  <c r="X591" i="82"/>
  <c r="AD591" i="82" s="1"/>
  <c r="W591" i="82"/>
  <c r="AC591" i="82" s="1"/>
  <c r="V591" i="82"/>
  <c r="AB591" i="82" s="1"/>
  <c r="X590" i="82"/>
  <c r="AD590" i="82" s="1"/>
  <c r="W590" i="82"/>
  <c r="AC590" i="82" s="1"/>
  <c r="V590" i="82"/>
  <c r="AB590" i="82" s="1"/>
  <c r="X589" i="82"/>
  <c r="AD589" i="82" s="1"/>
  <c r="W589" i="82"/>
  <c r="AC589" i="82" s="1"/>
  <c r="V589" i="82"/>
  <c r="AB589" i="82" s="1"/>
  <c r="X588" i="82"/>
  <c r="AD588" i="82" s="1"/>
  <c r="W588" i="82"/>
  <c r="AC588" i="82" s="1"/>
  <c r="V588" i="82"/>
  <c r="AB588" i="82" s="1"/>
  <c r="X587" i="82"/>
  <c r="AD587" i="82" s="1"/>
  <c r="W587" i="82"/>
  <c r="AC587" i="82" s="1"/>
  <c r="V587" i="82"/>
  <c r="AB587" i="82" s="1"/>
  <c r="X586" i="82"/>
  <c r="AD586" i="82" s="1"/>
  <c r="W586" i="82"/>
  <c r="AC586" i="82" s="1"/>
  <c r="V586" i="82"/>
  <c r="AB586" i="82" s="1"/>
  <c r="X585" i="82"/>
  <c r="AD585" i="82" s="1"/>
  <c r="W585" i="82"/>
  <c r="AC585" i="82" s="1"/>
  <c r="V585" i="82"/>
  <c r="AB585" i="82" s="1"/>
  <c r="X584" i="82"/>
  <c r="AD584" i="82" s="1"/>
  <c r="W584" i="82"/>
  <c r="AC584" i="82" s="1"/>
  <c r="V584" i="82"/>
  <c r="AB584" i="82" s="1"/>
  <c r="X583" i="82"/>
  <c r="AD583" i="82" s="1"/>
  <c r="W583" i="82"/>
  <c r="AC583" i="82" s="1"/>
  <c r="V583" i="82"/>
  <c r="AB583" i="82" s="1"/>
  <c r="X582" i="82"/>
  <c r="AD582" i="82" s="1"/>
  <c r="W582" i="82"/>
  <c r="AC582" i="82" s="1"/>
  <c r="V582" i="82"/>
  <c r="AB582" i="82" s="1"/>
  <c r="X581" i="82"/>
  <c r="AD581" i="82" s="1"/>
  <c r="W581" i="82"/>
  <c r="AC581" i="82" s="1"/>
  <c r="V581" i="82"/>
  <c r="AB581" i="82" s="1"/>
  <c r="X580" i="82"/>
  <c r="AD580" i="82" s="1"/>
  <c r="W580" i="82"/>
  <c r="AC580" i="82" s="1"/>
  <c r="V580" i="82"/>
  <c r="AB580" i="82" s="1"/>
  <c r="X579" i="82"/>
  <c r="AD579" i="82" s="1"/>
  <c r="W579" i="82"/>
  <c r="AC579" i="82" s="1"/>
  <c r="V579" i="82"/>
  <c r="AB579" i="82" s="1"/>
  <c r="X578" i="82"/>
  <c r="AD578" i="82" s="1"/>
  <c r="W578" i="82"/>
  <c r="AC578" i="82" s="1"/>
  <c r="V578" i="82"/>
  <c r="AB578" i="82" s="1"/>
  <c r="X577" i="82"/>
  <c r="AD577" i="82" s="1"/>
  <c r="W577" i="82"/>
  <c r="AC577" i="82" s="1"/>
  <c r="V577" i="82"/>
  <c r="AB577" i="82" s="1"/>
  <c r="X576" i="82"/>
  <c r="AD576" i="82" s="1"/>
  <c r="W576" i="82"/>
  <c r="AC576" i="82" s="1"/>
  <c r="V576" i="82"/>
  <c r="AB576" i="82" s="1"/>
  <c r="X575" i="82"/>
  <c r="AD575" i="82" s="1"/>
  <c r="W575" i="82"/>
  <c r="AC575" i="82" s="1"/>
  <c r="V575" i="82"/>
  <c r="AB575" i="82" s="1"/>
  <c r="X574" i="82"/>
  <c r="AD574" i="82" s="1"/>
  <c r="W574" i="82"/>
  <c r="AC574" i="82" s="1"/>
  <c r="V574" i="82"/>
  <c r="AB574" i="82" s="1"/>
  <c r="X573" i="82"/>
  <c r="AD573" i="82" s="1"/>
  <c r="W573" i="82"/>
  <c r="AC573" i="82" s="1"/>
  <c r="V573" i="82"/>
  <c r="AB573" i="82" s="1"/>
  <c r="X572" i="82"/>
  <c r="AD572" i="82" s="1"/>
  <c r="W572" i="82"/>
  <c r="AC572" i="82" s="1"/>
  <c r="V572" i="82"/>
  <c r="AB572" i="82" s="1"/>
  <c r="X571" i="82"/>
  <c r="AD571" i="82" s="1"/>
  <c r="W571" i="82"/>
  <c r="AC571" i="82" s="1"/>
  <c r="V571" i="82"/>
  <c r="AB571" i="82" s="1"/>
  <c r="X570" i="82"/>
  <c r="AD570" i="82" s="1"/>
  <c r="W570" i="82"/>
  <c r="AC570" i="82" s="1"/>
  <c r="V570" i="82"/>
  <c r="AB570" i="82" s="1"/>
  <c r="X569" i="82"/>
  <c r="AD569" i="82" s="1"/>
  <c r="W569" i="82"/>
  <c r="AC569" i="82" s="1"/>
  <c r="V569" i="82"/>
  <c r="AB569" i="82" s="1"/>
  <c r="X568" i="82"/>
  <c r="AD568" i="82" s="1"/>
  <c r="W568" i="82"/>
  <c r="AC568" i="82" s="1"/>
  <c r="V568" i="82"/>
  <c r="AB568" i="82" s="1"/>
  <c r="X567" i="82"/>
  <c r="AD567" i="82" s="1"/>
  <c r="W567" i="82"/>
  <c r="AC567" i="82" s="1"/>
  <c r="V567" i="82"/>
  <c r="AB567" i="82" s="1"/>
  <c r="X566" i="82"/>
  <c r="AD566" i="82" s="1"/>
  <c r="W566" i="82"/>
  <c r="AC566" i="82" s="1"/>
  <c r="V566" i="82"/>
  <c r="AB566" i="82" s="1"/>
  <c r="X565" i="82"/>
  <c r="AD565" i="82" s="1"/>
  <c r="W565" i="82"/>
  <c r="AC565" i="82" s="1"/>
  <c r="V565" i="82"/>
  <c r="AB565" i="82" s="1"/>
  <c r="X564" i="82"/>
  <c r="AD564" i="82" s="1"/>
  <c r="W564" i="82"/>
  <c r="AC564" i="82" s="1"/>
  <c r="V564" i="82"/>
  <c r="AB564" i="82" s="1"/>
  <c r="X563" i="82"/>
  <c r="AD563" i="82" s="1"/>
  <c r="W563" i="82"/>
  <c r="AC563" i="82" s="1"/>
  <c r="V563" i="82"/>
  <c r="AB563" i="82" s="1"/>
  <c r="X562" i="82"/>
  <c r="AD562" i="82" s="1"/>
  <c r="W562" i="82"/>
  <c r="AC562" i="82" s="1"/>
  <c r="V562" i="82"/>
  <c r="AB562" i="82" s="1"/>
  <c r="X561" i="82"/>
  <c r="AD561" i="82" s="1"/>
  <c r="W561" i="82"/>
  <c r="AC561" i="82" s="1"/>
  <c r="V561" i="82"/>
  <c r="AB561" i="82" s="1"/>
  <c r="X560" i="82"/>
  <c r="AD560" i="82" s="1"/>
  <c r="W560" i="82"/>
  <c r="AC560" i="82" s="1"/>
  <c r="V560" i="82"/>
  <c r="AB560" i="82" s="1"/>
  <c r="X559" i="82"/>
  <c r="AD559" i="82" s="1"/>
  <c r="W559" i="82"/>
  <c r="AC559" i="82" s="1"/>
  <c r="V559" i="82"/>
  <c r="AB559" i="82" s="1"/>
  <c r="X558" i="82"/>
  <c r="AD558" i="82" s="1"/>
  <c r="W558" i="82"/>
  <c r="AC558" i="82" s="1"/>
  <c r="V558" i="82"/>
  <c r="AB558" i="82" s="1"/>
  <c r="X557" i="82"/>
  <c r="AD557" i="82" s="1"/>
  <c r="W557" i="82"/>
  <c r="AC557" i="82" s="1"/>
  <c r="V557" i="82"/>
  <c r="AB557" i="82" s="1"/>
  <c r="X556" i="82"/>
  <c r="AD556" i="82" s="1"/>
  <c r="W556" i="82"/>
  <c r="AC556" i="82" s="1"/>
  <c r="V556" i="82"/>
  <c r="AB556" i="82" s="1"/>
  <c r="X503" i="82"/>
  <c r="AD503" i="82" s="1"/>
  <c r="W503" i="82"/>
  <c r="AC503" i="82" s="1"/>
  <c r="V503" i="82"/>
  <c r="AB503" i="82" s="1"/>
  <c r="X502" i="82"/>
  <c r="AD502" i="82" s="1"/>
  <c r="W502" i="82"/>
  <c r="AC502" i="82" s="1"/>
  <c r="V502" i="82"/>
  <c r="AB502" i="82" s="1"/>
  <c r="X501" i="82"/>
  <c r="AD501" i="82" s="1"/>
  <c r="W501" i="82"/>
  <c r="AC501" i="82" s="1"/>
  <c r="V501" i="82"/>
  <c r="AB501" i="82" s="1"/>
  <c r="X500" i="82"/>
  <c r="AD500" i="82" s="1"/>
  <c r="W500" i="82"/>
  <c r="AC500" i="82" s="1"/>
  <c r="V500" i="82"/>
  <c r="AB500" i="82" s="1"/>
  <c r="X499" i="82"/>
  <c r="AD499" i="82" s="1"/>
  <c r="W499" i="82"/>
  <c r="AC499" i="82" s="1"/>
  <c r="V499" i="82"/>
  <c r="AB499" i="82" s="1"/>
  <c r="X498" i="82"/>
  <c r="AD498" i="82" s="1"/>
  <c r="W498" i="82"/>
  <c r="AC498" i="82" s="1"/>
  <c r="V498" i="82"/>
  <c r="AB498" i="82" s="1"/>
  <c r="X497" i="82"/>
  <c r="AD497" i="82" s="1"/>
  <c r="W497" i="82"/>
  <c r="AC497" i="82" s="1"/>
  <c r="V497" i="82"/>
  <c r="AB497" i="82" s="1"/>
  <c r="X496" i="82"/>
  <c r="AD496" i="82" s="1"/>
  <c r="W496" i="82"/>
  <c r="AC496" i="82" s="1"/>
  <c r="V496" i="82"/>
  <c r="AB496" i="82" s="1"/>
  <c r="X495" i="82"/>
  <c r="AD495" i="82" s="1"/>
  <c r="W495" i="82"/>
  <c r="AC495" i="82" s="1"/>
  <c r="V495" i="82"/>
  <c r="AB495" i="82" s="1"/>
  <c r="X494" i="82"/>
  <c r="AD494" i="82" s="1"/>
  <c r="W494" i="82"/>
  <c r="AC494" i="82" s="1"/>
  <c r="V494" i="82"/>
  <c r="AB494" i="82" s="1"/>
  <c r="X493" i="82"/>
  <c r="AD493" i="82" s="1"/>
  <c r="W493" i="82"/>
  <c r="AC493" i="82" s="1"/>
  <c r="V493" i="82"/>
  <c r="AB493" i="82" s="1"/>
  <c r="X492" i="82"/>
  <c r="AD492" i="82" s="1"/>
  <c r="W492" i="82"/>
  <c r="AC492" i="82" s="1"/>
  <c r="V492" i="82"/>
  <c r="AB492" i="82" s="1"/>
  <c r="X491" i="82"/>
  <c r="AD491" i="82" s="1"/>
  <c r="W491" i="82"/>
  <c r="AC491" i="82" s="1"/>
  <c r="V491" i="82"/>
  <c r="AB491" i="82" s="1"/>
  <c r="X490" i="82"/>
  <c r="AD490" i="82" s="1"/>
  <c r="W490" i="82"/>
  <c r="AC490" i="82" s="1"/>
  <c r="V490" i="82"/>
  <c r="AB490" i="82" s="1"/>
  <c r="X489" i="82"/>
  <c r="AD489" i="82" s="1"/>
  <c r="W489" i="82"/>
  <c r="AC489" i="82" s="1"/>
  <c r="V489" i="82"/>
  <c r="AB489" i="82" s="1"/>
  <c r="X488" i="82"/>
  <c r="AD488" i="82" s="1"/>
  <c r="W488" i="82"/>
  <c r="AC488" i="82" s="1"/>
  <c r="V488" i="82"/>
  <c r="AB488" i="82" s="1"/>
  <c r="X487" i="82"/>
  <c r="AD487" i="82" s="1"/>
  <c r="W487" i="82"/>
  <c r="AC487" i="82" s="1"/>
  <c r="V487" i="82"/>
  <c r="AB487" i="82" s="1"/>
  <c r="X486" i="82"/>
  <c r="AD486" i="82" s="1"/>
  <c r="W486" i="82"/>
  <c r="AC486" i="82" s="1"/>
  <c r="V486" i="82"/>
  <c r="AB486" i="82" s="1"/>
  <c r="X485" i="82"/>
  <c r="AD485" i="82" s="1"/>
  <c r="W485" i="82"/>
  <c r="AC485" i="82" s="1"/>
  <c r="V485" i="82"/>
  <c r="AB485" i="82" s="1"/>
  <c r="X484" i="82"/>
  <c r="AD484" i="82" s="1"/>
  <c r="W484" i="82"/>
  <c r="AC484" i="82" s="1"/>
  <c r="V484" i="82"/>
  <c r="AB484" i="82" s="1"/>
  <c r="X483" i="82"/>
  <c r="AD483" i="82" s="1"/>
  <c r="W483" i="82"/>
  <c r="AC483" i="82" s="1"/>
  <c r="V483" i="82"/>
  <c r="AB483" i="82" s="1"/>
  <c r="X482" i="82"/>
  <c r="AD482" i="82" s="1"/>
  <c r="W482" i="82"/>
  <c r="AC482" i="82" s="1"/>
  <c r="V482" i="82"/>
  <c r="AB482" i="82" s="1"/>
  <c r="X481" i="82"/>
  <c r="AD481" i="82" s="1"/>
  <c r="W481" i="82"/>
  <c r="AC481" i="82" s="1"/>
  <c r="V481" i="82"/>
  <c r="AB481" i="82" s="1"/>
  <c r="X480" i="82"/>
  <c r="AD480" i="82" s="1"/>
  <c r="W480" i="82"/>
  <c r="AC480" i="82" s="1"/>
  <c r="V480" i="82"/>
  <c r="AB480" i="82" s="1"/>
  <c r="X479" i="82"/>
  <c r="AD479" i="82" s="1"/>
  <c r="W479" i="82"/>
  <c r="AC479" i="82" s="1"/>
  <c r="V479" i="82"/>
  <c r="AB479" i="82" s="1"/>
  <c r="X478" i="82"/>
  <c r="AD478" i="82" s="1"/>
  <c r="W478" i="82"/>
  <c r="AC478" i="82" s="1"/>
  <c r="V478" i="82"/>
  <c r="AB478" i="82" s="1"/>
  <c r="X477" i="82"/>
  <c r="AD477" i="82" s="1"/>
  <c r="W477" i="82"/>
  <c r="AC477" i="82" s="1"/>
  <c r="V477" i="82"/>
  <c r="AB477" i="82" s="1"/>
  <c r="X476" i="82"/>
  <c r="AD476" i="82" s="1"/>
  <c r="W476" i="82"/>
  <c r="AC476" i="82" s="1"/>
  <c r="V476" i="82"/>
  <c r="AB476" i="82" s="1"/>
  <c r="X475" i="82"/>
  <c r="AD475" i="82" s="1"/>
  <c r="W475" i="82"/>
  <c r="AC475" i="82" s="1"/>
  <c r="V475" i="82"/>
  <c r="AB475" i="82" s="1"/>
  <c r="X474" i="82"/>
  <c r="AD474" i="82" s="1"/>
  <c r="W474" i="82"/>
  <c r="AC474" i="82" s="1"/>
  <c r="V474" i="82"/>
  <c r="AB474" i="82" s="1"/>
  <c r="X473" i="82"/>
  <c r="AD473" i="82" s="1"/>
  <c r="W473" i="82"/>
  <c r="AC473" i="82" s="1"/>
  <c r="V473" i="82"/>
  <c r="AB473" i="82" s="1"/>
  <c r="X472" i="82"/>
  <c r="AD472" i="82" s="1"/>
  <c r="W472" i="82"/>
  <c r="AC472" i="82" s="1"/>
  <c r="V472" i="82"/>
  <c r="AB472" i="82" s="1"/>
  <c r="X471" i="82"/>
  <c r="AD471" i="82" s="1"/>
  <c r="W471" i="82"/>
  <c r="AC471" i="82" s="1"/>
  <c r="V471" i="82"/>
  <c r="AB471" i="82" s="1"/>
  <c r="X470" i="82"/>
  <c r="AD470" i="82" s="1"/>
  <c r="W470" i="82"/>
  <c r="AC470" i="82" s="1"/>
  <c r="V470" i="82"/>
  <c r="AB470" i="82" s="1"/>
  <c r="X469" i="82"/>
  <c r="AD469" i="82" s="1"/>
  <c r="W469" i="82"/>
  <c r="AC469" i="82" s="1"/>
  <c r="V469" i="82"/>
  <c r="AB469" i="82" s="1"/>
  <c r="X468" i="82"/>
  <c r="AD468" i="82" s="1"/>
  <c r="W468" i="82"/>
  <c r="AC468" i="82" s="1"/>
  <c r="V468" i="82"/>
  <c r="AB468" i="82" s="1"/>
  <c r="X467" i="82"/>
  <c r="AD467" i="82" s="1"/>
  <c r="W467" i="82"/>
  <c r="AC467" i="82" s="1"/>
  <c r="V467" i="82"/>
  <c r="AB467" i="82" s="1"/>
  <c r="X466" i="82"/>
  <c r="AD466" i="82" s="1"/>
  <c r="W466" i="82"/>
  <c r="AC466" i="82" s="1"/>
  <c r="V466" i="82"/>
  <c r="AB466" i="82" s="1"/>
  <c r="X465" i="82"/>
  <c r="AD465" i="82" s="1"/>
  <c r="W465" i="82"/>
  <c r="AC465" i="82" s="1"/>
  <c r="V465" i="82"/>
  <c r="AB465" i="82" s="1"/>
  <c r="X464" i="82"/>
  <c r="AD464" i="82" s="1"/>
  <c r="W464" i="82"/>
  <c r="AC464" i="82" s="1"/>
  <c r="V464" i="82"/>
  <c r="AB464" i="82" s="1"/>
  <c r="X463" i="82"/>
  <c r="AD463" i="82" s="1"/>
  <c r="W463" i="82"/>
  <c r="AC463" i="82" s="1"/>
  <c r="V463" i="82"/>
  <c r="AB463" i="82" s="1"/>
  <c r="X462" i="82"/>
  <c r="AD462" i="82" s="1"/>
  <c r="W462" i="82"/>
  <c r="AC462" i="82" s="1"/>
  <c r="V462" i="82"/>
  <c r="AB462" i="82" s="1"/>
  <c r="X461" i="82"/>
  <c r="AD461" i="82" s="1"/>
  <c r="W461" i="82"/>
  <c r="AC461" i="82" s="1"/>
  <c r="V461" i="82"/>
  <c r="AB461" i="82" s="1"/>
  <c r="X460" i="82"/>
  <c r="AD460" i="82" s="1"/>
  <c r="W460" i="82"/>
  <c r="AC460" i="82" s="1"/>
  <c r="V460" i="82"/>
  <c r="AB460" i="82" s="1"/>
  <c r="X459" i="82"/>
  <c r="AD459" i="82" s="1"/>
  <c r="W459" i="82"/>
  <c r="AC459" i="82" s="1"/>
  <c r="V459" i="82"/>
  <c r="AB459" i="82" s="1"/>
  <c r="X458" i="82"/>
  <c r="AD458" i="82" s="1"/>
  <c r="W458" i="82"/>
  <c r="AC458" i="82" s="1"/>
  <c r="V458" i="82"/>
  <c r="AB458" i="82" s="1"/>
  <c r="X457" i="82"/>
  <c r="AD457" i="82" s="1"/>
  <c r="W457" i="82"/>
  <c r="AC457" i="82" s="1"/>
  <c r="V457" i="82"/>
  <c r="AB457" i="82" s="1"/>
  <c r="X456" i="82"/>
  <c r="AD456" i="82" s="1"/>
  <c r="W456" i="82"/>
  <c r="AC456" i="82" s="1"/>
  <c r="V456" i="82"/>
  <c r="AB456" i="82" s="1"/>
  <c r="X455" i="82"/>
  <c r="AD455" i="82" s="1"/>
  <c r="W455" i="82"/>
  <c r="AC455" i="82" s="1"/>
  <c r="V455" i="82"/>
  <c r="AB455" i="82" s="1"/>
  <c r="X454" i="82"/>
  <c r="AD454" i="82" s="1"/>
  <c r="W454" i="82"/>
  <c r="AC454" i="82" s="1"/>
  <c r="V454" i="82"/>
  <c r="AB454" i="82" s="1"/>
  <c r="X453" i="82"/>
  <c r="AD453" i="82" s="1"/>
  <c r="W453" i="82"/>
  <c r="AC453" i="82" s="1"/>
  <c r="V453" i="82"/>
  <c r="AB453" i="82" s="1"/>
  <c r="X452" i="82"/>
  <c r="AD452" i="82" s="1"/>
  <c r="W452" i="82"/>
  <c r="AC452" i="82" s="1"/>
  <c r="V452" i="82"/>
  <c r="AB452" i="82" s="1"/>
  <c r="X451" i="82"/>
  <c r="AD451" i="82" s="1"/>
  <c r="W451" i="82"/>
  <c r="AC451" i="82" s="1"/>
  <c r="V451" i="82"/>
  <c r="AB451" i="82" s="1"/>
  <c r="X450" i="82"/>
  <c r="AD450" i="82" s="1"/>
  <c r="W450" i="82"/>
  <c r="AC450" i="82" s="1"/>
  <c r="V450" i="82"/>
  <c r="AB450" i="82" s="1"/>
  <c r="X449" i="82"/>
  <c r="AD449" i="82" s="1"/>
  <c r="W449" i="82"/>
  <c r="AC449" i="82" s="1"/>
  <c r="V449" i="82"/>
  <c r="AB449" i="82" s="1"/>
  <c r="X448" i="82"/>
  <c r="AD448" i="82" s="1"/>
  <c r="W448" i="82"/>
  <c r="AC448" i="82" s="1"/>
  <c r="V448" i="82"/>
  <c r="AB448" i="82" s="1"/>
  <c r="X447" i="82"/>
  <c r="AD447" i="82" s="1"/>
  <c r="W447" i="82"/>
  <c r="AC447" i="82" s="1"/>
  <c r="V447" i="82"/>
  <c r="AB447" i="82" s="1"/>
  <c r="X446" i="82"/>
  <c r="AD446" i="82" s="1"/>
  <c r="W446" i="82"/>
  <c r="AC446" i="82" s="1"/>
  <c r="V446" i="82"/>
  <c r="AB446" i="82" s="1"/>
  <c r="X445" i="82"/>
  <c r="AD445" i="82" s="1"/>
  <c r="W445" i="82"/>
  <c r="AC445" i="82" s="1"/>
  <c r="V445" i="82"/>
  <c r="AB445" i="82" s="1"/>
  <c r="X444" i="82"/>
  <c r="AD444" i="82" s="1"/>
  <c r="W444" i="82"/>
  <c r="AC444" i="82" s="1"/>
  <c r="V444" i="82"/>
  <c r="AB444" i="82" s="1"/>
  <c r="X443" i="82"/>
  <c r="AD443" i="82" s="1"/>
  <c r="W443" i="82"/>
  <c r="AC443" i="82" s="1"/>
  <c r="V443" i="82"/>
  <c r="AB443" i="82" s="1"/>
  <c r="X442" i="82"/>
  <c r="AD442" i="82" s="1"/>
  <c r="W442" i="82"/>
  <c r="AC442" i="82" s="1"/>
  <c r="V442" i="82"/>
  <c r="AB442" i="82" s="1"/>
  <c r="X441" i="82"/>
  <c r="AD441" i="82" s="1"/>
  <c r="W441" i="82"/>
  <c r="AC441" i="82" s="1"/>
  <c r="V441" i="82"/>
  <c r="AB441" i="82" s="1"/>
  <c r="X440" i="82"/>
  <c r="AD440" i="82" s="1"/>
  <c r="W440" i="82"/>
  <c r="AC440" i="82" s="1"/>
  <c r="V440" i="82"/>
  <c r="AB440" i="82" s="1"/>
  <c r="X439" i="82"/>
  <c r="AD439" i="82" s="1"/>
  <c r="W439" i="82"/>
  <c r="AC439" i="82" s="1"/>
  <c r="V439" i="82"/>
  <c r="AB439" i="82" s="1"/>
  <c r="X438" i="82"/>
  <c r="AD438" i="82" s="1"/>
  <c r="W438" i="82"/>
  <c r="AC438" i="82" s="1"/>
  <c r="V438" i="82"/>
  <c r="AB438" i="82" s="1"/>
  <c r="X437" i="82"/>
  <c r="AD437" i="82" s="1"/>
  <c r="W437" i="82"/>
  <c r="AC437" i="82" s="1"/>
  <c r="V437" i="82"/>
  <c r="AB437" i="82" s="1"/>
  <c r="X436" i="82"/>
  <c r="AD436" i="82" s="1"/>
  <c r="W436" i="82"/>
  <c r="AC436" i="82" s="1"/>
  <c r="V436" i="82"/>
  <c r="AB436" i="82" s="1"/>
  <c r="X435" i="82"/>
  <c r="AD435" i="82" s="1"/>
  <c r="W435" i="82"/>
  <c r="AC435" i="82" s="1"/>
  <c r="V435" i="82"/>
  <c r="AB435" i="82" s="1"/>
  <c r="X434" i="82"/>
  <c r="AD434" i="82" s="1"/>
  <c r="W434" i="82"/>
  <c r="AC434" i="82" s="1"/>
  <c r="V434" i="82"/>
  <c r="AB434" i="82" s="1"/>
  <c r="X433" i="82"/>
  <c r="AD433" i="82" s="1"/>
  <c r="W433" i="82"/>
  <c r="AC433" i="82" s="1"/>
  <c r="V433" i="82"/>
  <c r="AB433" i="82" s="1"/>
  <c r="X432" i="82"/>
  <c r="AD432" i="82" s="1"/>
  <c r="W432" i="82"/>
  <c r="AC432" i="82" s="1"/>
  <c r="V432" i="82"/>
  <c r="AB432" i="82" s="1"/>
  <c r="X431" i="82"/>
  <c r="AD431" i="82" s="1"/>
  <c r="W431" i="82"/>
  <c r="AC431" i="82" s="1"/>
  <c r="V431" i="82"/>
  <c r="AB431" i="82" s="1"/>
  <c r="X430" i="82"/>
  <c r="AD430" i="82" s="1"/>
  <c r="W430" i="82"/>
  <c r="AC430" i="82" s="1"/>
  <c r="V430" i="82"/>
  <c r="AB430" i="82" s="1"/>
  <c r="X429" i="82"/>
  <c r="AD429" i="82" s="1"/>
  <c r="W429" i="82"/>
  <c r="AC429" i="82" s="1"/>
  <c r="V429" i="82"/>
  <c r="AB429" i="82" s="1"/>
  <c r="X428" i="82"/>
  <c r="AD428" i="82" s="1"/>
  <c r="W428" i="82"/>
  <c r="AC428" i="82" s="1"/>
  <c r="V428" i="82"/>
  <c r="AB428" i="82" s="1"/>
  <c r="X427" i="82"/>
  <c r="AD427" i="82" s="1"/>
  <c r="W427" i="82"/>
  <c r="AC427" i="82" s="1"/>
  <c r="V427" i="82"/>
  <c r="AB427" i="82" s="1"/>
  <c r="X426" i="82"/>
  <c r="AD426" i="82" s="1"/>
  <c r="W426" i="82"/>
  <c r="AC426" i="82" s="1"/>
  <c r="V426" i="82"/>
  <c r="AB426" i="82" s="1"/>
  <c r="X425" i="82"/>
  <c r="AD425" i="82" s="1"/>
  <c r="W425" i="82"/>
  <c r="AC425" i="82" s="1"/>
  <c r="V425" i="82"/>
  <c r="AB425" i="82" s="1"/>
  <c r="X424" i="82"/>
  <c r="AD424" i="82" s="1"/>
  <c r="W424" i="82"/>
  <c r="AC424" i="82" s="1"/>
  <c r="V424" i="82"/>
  <c r="AB424" i="82" s="1"/>
  <c r="X423" i="82"/>
  <c r="AD423" i="82" s="1"/>
  <c r="W423" i="82"/>
  <c r="AC423" i="82" s="1"/>
  <c r="V423" i="82"/>
  <c r="AB423" i="82" s="1"/>
  <c r="X422" i="82"/>
  <c r="AD422" i="82" s="1"/>
  <c r="W422" i="82"/>
  <c r="AC422" i="82" s="1"/>
  <c r="V422" i="82"/>
  <c r="AB422" i="82" s="1"/>
  <c r="X421" i="82"/>
  <c r="AD421" i="82" s="1"/>
  <c r="W421" i="82"/>
  <c r="AC421" i="82" s="1"/>
  <c r="V421" i="82"/>
  <c r="AB421" i="82" s="1"/>
  <c r="X420" i="82"/>
  <c r="AD420" i="82" s="1"/>
  <c r="W420" i="82"/>
  <c r="AC420" i="82" s="1"/>
  <c r="V420" i="82"/>
  <c r="AB420" i="82" s="1"/>
  <c r="X419" i="82"/>
  <c r="AD419" i="82" s="1"/>
  <c r="W419" i="82"/>
  <c r="AC419" i="82" s="1"/>
  <c r="V419" i="82"/>
  <c r="AB419" i="82" s="1"/>
  <c r="X418" i="82"/>
  <c r="AD418" i="82" s="1"/>
  <c r="W418" i="82"/>
  <c r="AC418" i="82" s="1"/>
  <c r="V418" i="82"/>
  <c r="AB418" i="82" s="1"/>
  <c r="X417" i="82"/>
  <c r="AD417" i="82" s="1"/>
  <c r="W417" i="82"/>
  <c r="AC417" i="82" s="1"/>
  <c r="V417" i="82"/>
  <c r="AB417" i="82" s="1"/>
  <c r="X416" i="82"/>
  <c r="AD416" i="82" s="1"/>
  <c r="W416" i="82"/>
  <c r="AC416" i="82" s="1"/>
  <c r="V416" i="82"/>
  <c r="AB416" i="82" s="1"/>
  <c r="X415" i="82"/>
  <c r="AD415" i="82" s="1"/>
  <c r="W415" i="82"/>
  <c r="AC415" i="82" s="1"/>
  <c r="V415" i="82"/>
  <c r="AB415" i="82" s="1"/>
  <c r="X414" i="82"/>
  <c r="AD414" i="82" s="1"/>
  <c r="W414" i="82"/>
  <c r="AC414" i="82" s="1"/>
  <c r="V414" i="82"/>
  <c r="AB414" i="82" s="1"/>
  <c r="X413" i="82"/>
  <c r="AD413" i="82" s="1"/>
  <c r="W413" i="82"/>
  <c r="AC413" i="82" s="1"/>
  <c r="V413" i="82"/>
  <c r="AB413" i="82" s="1"/>
  <c r="X412" i="82"/>
  <c r="AD412" i="82" s="1"/>
  <c r="W412" i="82"/>
  <c r="AC412" i="82" s="1"/>
  <c r="V412" i="82"/>
  <c r="AB412" i="82" s="1"/>
  <c r="X411" i="82"/>
  <c r="AD411" i="82" s="1"/>
  <c r="W411" i="82"/>
  <c r="AC411" i="82" s="1"/>
  <c r="V411" i="82"/>
  <c r="AB411" i="82" s="1"/>
  <c r="X410" i="82"/>
  <c r="AD410" i="82" s="1"/>
  <c r="W410" i="82"/>
  <c r="AC410" i="82" s="1"/>
  <c r="V410" i="82"/>
  <c r="AB410" i="82" s="1"/>
  <c r="X409" i="82"/>
  <c r="AD409" i="82" s="1"/>
  <c r="W409" i="82"/>
  <c r="AC409" i="82" s="1"/>
  <c r="V409" i="82"/>
  <c r="AB409" i="82" s="1"/>
  <c r="X408" i="82"/>
  <c r="AD408" i="82" s="1"/>
  <c r="W408" i="82"/>
  <c r="AC408" i="82" s="1"/>
  <c r="V408" i="82"/>
  <c r="AB408" i="82" s="1"/>
  <c r="X407" i="82"/>
  <c r="AD407" i="82" s="1"/>
  <c r="W407" i="82"/>
  <c r="AC407" i="82" s="1"/>
  <c r="V407" i="82"/>
  <c r="AB407" i="82" s="1"/>
  <c r="X406" i="82"/>
  <c r="AD406" i="82" s="1"/>
  <c r="W406" i="82"/>
  <c r="AC406" i="82" s="1"/>
  <c r="V406" i="82"/>
  <c r="AB406" i="82" s="1"/>
  <c r="X405" i="82"/>
  <c r="AD405" i="82" s="1"/>
  <c r="W405" i="82"/>
  <c r="AC405" i="82" s="1"/>
  <c r="V405" i="82"/>
  <c r="AB405" i="82" s="1"/>
  <c r="X404" i="82"/>
  <c r="AD404" i="82" s="1"/>
  <c r="W404" i="82"/>
  <c r="AC404" i="82" s="1"/>
  <c r="V404" i="82"/>
  <c r="AB404" i="82" s="1"/>
  <c r="X403" i="82"/>
  <c r="AD403" i="82" s="1"/>
  <c r="W403" i="82"/>
  <c r="AC403" i="82" s="1"/>
  <c r="V403" i="82"/>
  <c r="AB403" i="82" s="1"/>
  <c r="X402" i="82"/>
  <c r="AD402" i="82" s="1"/>
  <c r="W402" i="82"/>
  <c r="AC402" i="82" s="1"/>
  <c r="V402" i="82"/>
  <c r="AB402" i="82" s="1"/>
  <c r="X401" i="82"/>
  <c r="AD401" i="82" s="1"/>
  <c r="W401" i="82"/>
  <c r="AC401" i="82" s="1"/>
  <c r="V401" i="82"/>
  <c r="AB401" i="82" s="1"/>
  <c r="X400" i="82"/>
  <c r="AD400" i="82" s="1"/>
  <c r="W400" i="82"/>
  <c r="AC400" i="82" s="1"/>
  <c r="V400" i="82"/>
  <c r="AB400" i="82" s="1"/>
  <c r="X399" i="82"/>
  <c r="AD399" i="82" s="1"/>
  <c r="W399" i="82"/>
  <c r="AC399" i="82" s="1"/>
  <c r="V399" i="82"/>
  <c r="AB399" i="82" s="1"/>
  <c r="X398" i="82"/>
  <c r="AD398" i="82" s="1"/>
  <c r="W398" i="82"/>
  <c r="AC398" i="82" s="1"/>
  <c r="V398" i="82"/>
  <c r="AB398" i="82" s="1"/>
  <c r="X397" i="82"/>
  <c r="AD397" i="82" s="1"/>
  <c r="W397" i="82"/>
  <c r="AC397" i="82" s="1"/>
  <c r="V397" i="82"/>
  <c r="AB397" i="82" s="1"/>
  <c r="X396" i="82"/>
  <c r="AD396" i="82" s="1"/>
  <c r="W396" i="82"/>
  <c r="AC396" i="82" s="1"/>
  <c r="V396" i="82"/>
  <c r="AB396" i="82" s="1"/>
  <c r="X395" i="82"/>
  <c r="AD395" i="82" s="1"/>
  <c r="W395" i="82"/>
  <c r="AC395" i="82" s="1"/>
  <c r="V395" i="82"/>
  <c r="AB395" i="82" s="1"/>
  <c r="X394" i="82"/>
  <c r="AD394" i="82" s="1"/>
  <c r="W394" i="82"/>
  <c r="AC394" i="82" s="1"/>
  <c r="V394" i="82"/>
  <c r="AB394" i="82" s="1"/>
  <c r="X393" i="82"/>
  <c r="AD393" i="82" s="1"/>
  <c r="W393" i="82"/>
  <c r="AC393" i="82" s="1"/>
  <c r="V393" i="82"/>
  <c r="AB393" i="82" s="1"/>
  <c r="X392" i="82"/>
  <c r="AD392" i="82" s="1"/>
  <c r="W392" i="82"/>
  <c r="AC392" i="82" s="1"/>
  <c r="V392" i="82"/>
  <c r="AB392" i="82" s="1"/>
  <c r="X391" i="82"/>
  <c r="AD391" i="82" s="1"/>
  <c r="W391" i="82"/>
  <c r="AC391" i="82" s="1"/>
  <c r="V391" i="82"/>
  <c r="AB391" i="82" s="1"/>
  <c r="X390" i="82"/>
  <c r="AD390" i="82" s="1"/>
  <c r="W390" i="82"/>
  <c r="AC390" i="82" s="1"/>
  <c r="V390" i="82"/>
  <c r="AB390" i="82" s="1"/>
  <c r="X389" i="82"/>
  <c r="AD389" i="82" s="1"/>
  <c r="W389" i="82"/>
  <c r="AC389" i="82" s="1"/>
  <c r="V389" i="82"/>
  <c r="AB389" i="82" s="1"/>
  <c r="X388" i="82"/>
  <c r="AD388" i="82" s="1"/>
  <c r="W388" i="82"/>
  <c r="AC388" i="82" s="1"/>
  <c r="V388" i="82"/>
  <c r="AB388" i="82" s="1"/>
  <c r="X387" i="82"/>
  <c r="AD387" i="82" s="1"/>
  <c r="W387" i="82"/>
  <c r="AC387" i="82" s="1"/>
  <c r="V387" i="82"/>
  <c r="AB387" i="82" s="1"/>
  <c r="X386" i="82"/>
  <c r="AD386" i="82" s="1"/>
  <c r="W386" i="82"/>
  <c r="AC386" i="82" s="1"/>
  <c r="V386" i="82"/>
  <c r="AB386" i="82" s="1"/>
  <c r="X385" i="82"/>
  <c r="AD385" i="82" s="1"/>
  <c r="W385" i="82"/>
  <c r="AC385" i="82" s="1"/>
  <c r="V385" i="82"/>
  <c r="AB385" i="82" s="1"/>
  <c r="X384" i="82"/>
  <c r="AD384" i="82" s="1"/>
  <c r="W384" i="82"/>
  <c r="AC384" i="82" s="1"/>
  <c r="V384" i="82"/>
  <c r="AB384" i="82" s="1"/>
  <c r="X383" i="82"/>
  <c r="AD383" i="82" s="1"/>
  <c r="W383" i="82"/>
  <c r="AC383" i="82" s="1"/>
  <c r="V383" i="82"/>
  <c r="AB383" i="82" s="1"/>
  <c r="X382" i="82"/>
  <c r="AD382" i="82" s="1"/>
  <c r="W382" i="82"/>
  <c r="AC382" i="82" s="1"/>
  <c r="V382" i="82"/>
  <c r="AB382" i="82" s="1"/>
  <c r="X381" i="82"/>
  <c r="AD381" i="82" s="1"/>
  <c r="W381" i="82"/>
  <c r="AC381" i="82" s="1"/>
  <c r="V381" i="82"/>
  <c r="AB381" i="82" s="1"/>
  <c r="X380" i="82"/>
  <c r="AD380" i="82" s="1"/>
  <c r="W380" i="82"/>
  <c r="AC380" i="82" s="1"/>
  <c r="V380" i="82"/>
  <c r="AB380" i="82" s="1"/>
  <c r="X379" i="82"/>
  <c r="AD379" i="82" s="1"/>
  <c r="W379" i="82"/>
  <c r="AC379" i="82" s="1"/>
  <c r="V379" i="82"/>
  <c r="AB379" i="82" s="1"/>
  <c r="X378" i="82"/>
  <c r="AD378" i="82" s="1"/>
  <c r="W378" i="82"/>
  <c r="AC378" i="82" s="1"/>
  <c r="V378" i="82"/>
  <c r="AB378" i="82" s="1"/>
  <c r="X377" i="82"/>
  <c r="AD377" i="82" s="1"/>
  <c r="W377" i="82"/>
  <c r="AC377" i="82" s="1"/>
  <c r="V377" i="82"/>
  <c r="AB377" i="82" s="1"/>
  <c r="X376" i="82"/>
  <c r="AD376" i="82" s="1"/>
  <c r="W376" i="82"/>
  <c r="AC376" i="82" s="1"/>
  <c r="V376" i="82"/>
  <c r="AB376" i="82" s="1"/>
  <c r="X375" i="82"/>
  <c r="AD375" i="82" s="1"/>
  <c r="W375" i="82"/>
  <c r="AC375" i="82" s="1"/>
  <c r="V375" i="82"/>
  <c r="AB375" i="82" s="1"/>
  <c r="X374" i="82"/>
  <c r="AD374" i="82" s="1"/>
  <c r="W374" i="82"/>
  <c r="AC374" i="82" s="1"/>
  <c r="V374" i="82"/>
  <c r="AB374" i="82" s="1"/>
  <c r="X373" i="82"/>
  <c r="AD373" i="82" s="1"/>
  <c r="W373" i="82"/>
  <c r="AC373" i="82" s="1"/>
  <c r="V373" i="82"/>
  <c r="AB373" i="82" s="1"/>
  <c r="X372" i="82"/>
  <c r="AD372" i="82" s="1"/>
  <c r="W372" i="82"/>
  <c r="AC372" i="82" s="1"/>
  <c r="V372" i="82"/>
  <c r="AB372" i="82" s="1"/>
  <c r="X371" i="82"/>
  <c r="AD371" i="82" s="1"/>
  <c r="W371" i="82"/>
  <c r="AC371" i="82" s="1"/>
  <c r="V371" i="82"/>
  <c r="AB371" i="82" s="1"/>
  <c r="X370" i="82"/>
  <c r="AD370" i="82" s="1"/>
  <c r="W370" i="82"/>
  <c r="AC370" i="82" s="1"/>
  <c r="V370" i="82"/>
  <c r="AB370" i="82" s="1"/>
  <c r="X369" i="82"/>
  <c r="AD369" i="82" s="1"/>
  <c r="W369" i="82"/>
  <c r="AC369" i="82" s="1"/>
  <c r="V369" i="82"/>
  <c r="AB369" i="82" s="1"/>
  <c r="X368" i="82"/>
  <c r="AD368" i="82" s="1"/>
  <c r="W368" i="82"/>
  <c r="AC368" i="82" s="1"/>
  <c r="V368" i="82"/>
  <c r="AB368" i="82" s="1"/>
  <c r="X367" i="82"/>
  <c r="AD367" i="82" s="1"/>
  <c r="W367" i="82"/>
  <c r="AC367" i="82" s="1"/>
  <c r="V367" i="82"/>
  <c r="AB367" i="82" s="1"/>
  <c r="X366" i="82"/>
  <c r="AD366" i="82" s="1"/>
  <c r="W366" i="82"/>
  <c r="AC366" i="82" s="1"/>
  <c r="V366" i="82"/>
  <c r="AB366" i="82" s="1"/>
  <c r="X365" i="82"/>
  <c r="AD365" i="82" s="1"/>
  <c r="W365" i="82"/>
  <c r="AC365" i="82" s="1"/>
  <c r="V365" i="82"/>
  <c r="AB365" i="82" s="1"/>
  <c r="X364" i="82"/>
  <c r="AD364" i="82" s="1"/>
  <c r="W364" i="82"/>
  <c r="AC364" i="82" s="1"/>
  <c r="V364" i="82"/>
  <c r="AB364" i="82" s="1"/>
  <c r="X363" i="82"/>
  <c r="AD363" i="82" s="1"/>
  <c r="W363" i="82"/>
  <c r="AC363" i="82" s="1"/>
  <c r="V363" i="82"/>
  <c r="AB363" i="82" s="1"/>
  <c r="X362" i="82"/>
  <c r="AD362" i="82" s="1"/>
  <c r="W362" i="82"/>
  <c r="AC362" i="82" s="1"/>
  <c r="V362" i="82"/>
  <c r="AB362" i="82" s="1"/>
  <c r="X361" i="82"/>
  <c r="AD361" i="82" s="1"/>
  <c r="W361" i="82"/>
  <c r="AC361" i="82" s="1"/>
  <c r="V361" i="82"/>
  <c r="AB361" i="82" s="1"/>
  <c r="X360" i="82"/>
  <c r="AD360" i="82" s="1"/>
  <c r="W360" i="82"/>
  <c r="AC360" i="82" s="1"/>
  <c r="V360" i="82"/>
  <c r="AB360" i="82" s="1"/>
  <c r="X359" i="82"/>
  <c r="AD359" i="82" s="1"/>
  <c r="W359" i="82"/>
  <c r="AC359" i="82" s="1"/>
  <c r="V359" i="82"/>
  <c r="AB359" i="82" s="1"/>
  <c r="X358" i="82"/>
  <c r="AD358" i="82" s="1"/>
  <c r="W358" i="82"/>
  <c r="AC358" i="82" s="1"/>
  <c r="V358" i="82"/>
  <c r="AB358" i="82" s="1"/>
  <c r="X357" i="82"/>
  <c r="AD357" i="82" s="1"/>
  <c r="W357" i="82"/>
  <c r="AC357" i="82" s="1"/>
  <c r="V357" i="82"/>
  <c r="AB357" i="82" s="1"/>
  <c r="X356" i="82"/>
  <c r="AD356" i="82" s="1"/>
  <c r="W356" i="82"/>
  <c r="AC356" i="82" s="1"/>
  <c r="V356" i="82"/>
  <c r="AB356" i="82" s="1"/>
  <c r="X355" i="82"/>
  <c r="AD355" i="82" s="1"/>
  <c r="W355" i="82"/>
  <c r="AC355" i="82" s="1"/>
  <c r="V355" i="82"/>
  <c r="AB355" i="82" s="1"/>
  <c r="X354" i="82"/>
  <c r="AD354" i="82" s="1"/>
  <c r="W354" i="82"/>
  <c r="AC354" i="82" s="1"/>
  <c r="V354" i="82"/>
  <c r="AB354" i="82" s="1"/>
  <c r="X353" i="82"/>
  <c r="AD353" i="82" s="1"/>
  <c r="W353" i="82"/>
  <c r="AC353" i="82" s="1"/>
  <c r="V353" i="82"/>
  <c r="AB353" i="82" s="1"/>
  <c r="X352" i="82"/>
  <c r="AD352" i="82" s="1"/>
  <c r="W352" i="82"/>
  <c r="AC352" i="82" s="1"/>
  <c r="V352" i="82"/>
  <c r="AB352" i="82" s="1"/>
  <c r="X351" i="82"/>
  <c r="AD351" i="82" s="1"/>
  <c r="W351" i="82"/>
  <c r="AC351" i="82" s="1"/>
  <c r="V351" i="82"/>
  <c r="AB351" i="82" s="1"/>
  <c r="X350" i="82"/>
  <c r="AD350" i="82" s="1"/>
  <c r="W350" i="82"/>
  <c r="AC350" i="82" s="1"/>
  <c r="V350" i="82"/>
  <c r="AB350" i="82" s="1"/>
  <c r="X349" i="82"/>
  <c r="AD349" i="82" s="1"/>
  <c r="W349" i="82"/>
  <c r="AC349" i="82" s="1"/>
  <c r="V349" i="82"/>
  <c r="AB349" i="82" s="1"/>
  <c r="X348" i="82"/>
  <c r="AD348" i="82" s="1"/>
  <c r="W348" i="82"/>
  <c r="AC348" i="82" s="1"/>
  <c r="V348" i="82"/>
  <c r="AB348" i="82" s="1"/>
  <c r="X347" i="82"/>
  <c r="AD347" i="82" s="1"/>
  <c r="W347" i="82"/>
  <c r="AC347" i="82" s="1"/>
  <c r="V347" i="82"/>
  <c r="AB347" i="82" s="1"/>
  <c r="X346" i="82"/>
  <c r="AD346" i="82" s="1"/>
  <c r="W346" i="82"/>
  <c r="AC346" i="82" s="1"/>
  <c r="V346" i="82"/>
  <c r="AB346" i="82" s="1"/>
  <c r="X345" i="82"/>
  <c r="AD345" i="82" s="1"/>
  <c r="W345" i="82"/>
  <c r="AC345" i="82" s="1"/>
  <c r="V345" i="82"/>
  <c r="AB345" i="82" s="1"/>
  <c r="X344" i="82"/>
  <c r="AD344" i="82" s="1"/>
  <c r="W344" i="82"/>
  <c r="AC344" i="82" s="1"/>
  <c r="V344" i="82"/>
  <c r="AB344" i="82" s="1"/>
  <c r="X343" i="82"/>
  <c r="AD343" i="82" s="1"/>
  <c r="W343" i="82"/>
  <c r="AC343" i="82" s="1"/>
  <c r="V343" i="82"/>
  <c r="AB343" i="82" s="1"/>
  <c r="X342" i="82"/>
  <c r="AD342" i="82" s="1"/>
  <c r="W342" i="82"/>
  <c r="AC342" i="82" s="1"/>
  <c r="V342" i="82"/>
  <c r="AB342" i="82" s="1"/>
  <c r="X341" i="82"/>
  <c r="AD341" i="82" s="1"/>
  <c r="W341" i="82"/>
  <c r="AC341" i="82" s="1"/>
  <c r="V341" i="82"/>
  <c r="AB341" i="82" s="1"/>
  <c r="X340" i="82"/>
  <c r="AD340" i="82" s="1"/>
  <c r="W340" i="82"/>
  <c r="AC340" i="82" s="1"/>
  <c r="V340" i="82"/>
  <c r="AB340" i="82" s="1"/>
  <c r="X339" i="82"/>
  <c r="AD339" i="82" s="1"/>
  <c r="W339" i="82"/>
  <c r="AC339" i="82" s="1"/>
  <c r="V339" i="82"/>
  <c r="AB339" i="82" s="1"/>
  <c r="X338" i="82"/>
  <c r="AD338" i="82" s="1"/>
  <c r="W338" i="82"/>
  <c r="AC338" i="82" s="1"/>
  <c r="V338" i="82"/>
  <c r="AB338" i="82" s="1"/>
  <c r="X337" i="82"/>
  <c r="AD337" i="82" s="1"/>
  <c r="W337" i="82"/>
  <c r="AC337" i="82" s="1"/>
  <c r="V337" i="82"/>
  <c r="AB337" i="82" s="1"/>
  <c r="X336" i="82"/>
  <c r="AD336" i="82" s="1"/>
  <c r="W336" i="82"/>
  <c r="AC336" i="82" s="1"/>
  <c r="V336" i="82"/>
  <c r="AB336" i="82" s="1"/>
  <c r="X335" i="82"/>
  <c r="AD335" i="82" s="1"/>
  <c r="W335" i="82"/>
  <c r="AC335" i="82" s="1"/>
  <c r="V335" i="82"/>
  <c r="AB335" i="82" s="1"/>
  <c r="X334" i="82"/>
  <c r="AD334" i="82" s="1"/>
  <c r="W334" i="82"/>
  <c r="AC334" i="82" s="1"/>
  <c r="V334" i="82"/>
  <c r="AB334" i="82" s="1"/>
  <c r="X333" i="82"/>
  <c r="AD333" i="82" s="1"/>
  <c r="W333" i="82"/>
  <c r="AC333" i="82" s="1"/>
  <c r="V333" i="82"/>
  <c r="AB333" i="82" s="1"/>
  <c r="X332" i="82"/>
  <c r="AD332" i="82" s="1"/>
  <c r="W332" i="82"/>
  <c r="AC332" i="82" s="1"/>
  <c r="V332" i="82"/>
  <c r="AB332" i="82" s="1"/>
  <c r="X331" i="82"/>
  <c r="AD331" i="82" s="1"/>
  <c r="W331" i="82"/>
  <c r="AC331" i="82" s="1"/>
  <c r="V331" i="82"/>
  <c r="AB331" i="82" s="1"/>
  <c r="X330" i="82"/>
  <c r="AD330" i="82" s="1"/>
  <c r="W330" i="82"/>
  <c r="AC330" i="82" s="1"/>
  <c r="V330" i="82"/>
  <c r="AB330" i="82" s="1"/>
  <c r="X329" i="82"/>
  <c r="AD329" i="82" s="1"/>
  <c r="W329" i="82"/>
  <c r="AC329" i="82" s="1"/>
  <c r="V329" i="82"/>
  <c r="AB329" i="82" s="1"/>
  <c r="X328" i="82"/>
  <c r="AD328" i="82" s="1"/>
  <c r="W328" i="82"/>
  <c r="AC328" i="82" s="1"/>
  <c r="V328" i="82"/>
  <c r="AB328" i="82" s="1"/>
  <c r="X327" i="82"/>
  <c r="AD327" i="82" s="1"/>
  <c r="W327" i="82"/>
  <c r="AC327" i="82" s="1"/>
  <c r="V327" i="82"/>
  <c r="AB327" i="82" s="1"/>
  <c r="X326" i="82"/>
  <c r="AD326" i="82" s="1"/>
  <c r="W326" i="82"/>
  <c r="AC326" i="82" s="1"/>
  <c r="V326" i="82"/>
  <c r="AB326" i="82" s="1"/>
  <c r="X325" i="82"/>
  <c r="AD325" i="82" s="1"/>
  <c r="W325" i="82"/>
  <c r="AC325" i="82" s="1"/>
  <c r="V325" i="82"/>
  <c r="AB325" i="82" s="1"/>
  <c r="X324" i="82"/>
  <c r="AD324" i="82" s="1"/>
  <c r="W324" i="82"/>
  <c r="AC324" i="82" s="1"/>
  <c r="V324" i="82"/>
  <c r="AB324" i="82" s="1"/>
  <c r="X323" i="82"/>
  <c r="AD323" i="82" s="1"/>
  <c r="W323" i="82"/>
  <c r="AC323" i="82" s="1"/>
  <c r="V323" i="82"/>
  <c r="AB323" i="82" s="1"/>
  <c r="X322" i="82"/>
  <c r="AD322" i="82" s="1"/>
  <c r="W322" i="82"/>
  <c r="AC322" i="82" s="1"/>
  <c r="V322" i="82"/>
  <c r="AB322" i="82" s="1"/>
  <c r="X321" i="82"/>
  <c r="AD321" i="82" s="1"/>
  <c r="W321" i="82"/>
  <c r="AC321" i="82" s="1"/>
  <c r="V321" i="82"/>
  <c r="AB321" i="82" s="1"/>
  <c r="X320" i="82"/>
  <c r="AD320" i="82" s="1"/>
  <c r="W320" i="82"/>
  <c r="AC320" i="82" s="1"/>
  <c r="V320" i="82"/>
  <c r="AB320" i="82" s="1"/>
  <c r="X319" i="82"/>
  <c r="AD319" i="82" s="1"/>
  <c r="W319" i="82"/>
  <c r="AC319" i="82" s="1"/>
  <c r="V319" i="82"/>
  <c r="AB319" i="82" s="1"/>
  <c r="X318" i="82"/>
  <c r="AD318" i="82" s="1"/>
  <c r="W318" i="82"/>
  <c r="AC318" i="82" s="1"/>
  <c r="V318" i="82"/>
  <c r="AB318" i="82" s="1"/>
  <c r="X317" i="82"/>
  <c r="AD317" i="82" s="1"/>
  <c r="W317" i="82"/>
  <c r="AC317" i="82" s="1"/>
  <c r="V317" i="82"/>
  <c r="AB317" i="82" s="1"/>
  <c r="X316" i="82"/>
  <c r="AD316" i="82" s="1"/>
  <c r="W316" i="82"/>
  <c r="AC316" i="82" s="1"/>
  <c r="V316" i="82"/>
  <c r="AB316" i="82" s="1"/>
  <c r="X315" i="82"/>
  <c r="AD315" i="82" s="1"/>
  <c r="W315" i="82"/>
  <c r="AC315" i="82" s="1"/>
  <c r="V315" i="82"/>
  <c r="AB315" i="82" s="1"/>
  <c r="X314" i="82"/>
  <c r="AD314" i="82" s="1"/>
  <c r="W314" i="82"/>
  <c r="AC314" i="82" s="1"/>
  <c r="V314" i="82"/>
  <c r="AB314" i="82" s="1"/>
  <c r="X313" i="82"/>
  <c r="AD313" i="82" s="1"/>
  <c r="W313" i="82"/>
  <c r="AC313" i="82" s="1"/>
  <c r="V313" i="82"/>
  <c r="AB313" i="82" s="1"/>
  <c r="X312" i="82"/>
  <c r="AD312" i="82" s="1"/>
  <c r="W312" i="82"/>
  <c r="AC312" i="82" s="1"/>
  <c r="V312" i="82"/>
  <c r="AB312" i="82" s="1"/>
  <c r="X311" i="82"/>
  <c r="AD311" i="82" s="1"/>
  <c r="W311" i="82"/>
  <c r="AC311" i="82" s="1"/>
  <c r="V311" i="82"/>
  <c r="AB311" i="82" s="1"/>
  <c r="X310" i="82"/>
  <c r="AD310" i="82" s="1"/>
  <c r="W310" i="82"/>
  <c r="AC310" i="82" s="1"/>
  <c r="V310" i="82"/>
  <c r="AB310" i="82" s="1"/>
  <c r="X309" i="82"/>
  <c r="AD309" i="82" s="1"/>
  <c r="W309" i="82"/>
  <c r="AC309" i="82" s="1"/>
  <c r="V309" i="82"/>
  <c r="AB309" i="82" s="1"/>
  <c r="X308" i="82"/>
  <c r="AD308" i="82" s="1"/>
  <c r="W308" i="82"/>
  <c r="AC308" i="82" s="1"/>
  <c r="V308" i="82"/>
  <c r="AB308" i="82" s="1"/>
  <c r="X307" i="82"/>
  <c r="AD307" i="82" s="1"/>
  <c r="W307" i="82"/>
  <c r="AC307" i="82" s="1"/>
  <c r="V307" i="82"/>
  <c r="AB307" i="82" s="1"/>
  <c r="X306" i="82"/>
  <c r="AD306" i="82" s="1"/>
  <c r="W306" i="82"/>
  <c r="AC306" i="82" s="1"/>
  <c r="V306" i="82"/>
  <c r="AB306" i="82" s="1"/>
  <c r="X305" i="82"/>
  <c r="AD305" i="82" s="1"/>
  <c r="W305" i="82"/>
  <c r="AC305" i="82" s="1"/>
  <c r="V305" i="82"/>
  <c r="AB305" i="82" s="1"/>
  <c r="X304" i="82"/>
  <c r="AD304" i="82" s="1"/>
  <c r="W304" i="82"/>
  <c r="AC304" i="82" s="1"/>
  <c r="V304" i="82"/>
  <c r="AB304" i="82" s="1"/>
  <c r="X303" i="82"/>
  <c r="AD303" i="82" s="1"/>
  <c r="W303" i="82"/>
  <c r="AC303" i="82" s="1"/>
  <c r="V303" i="82"/>
  <c r="AB303" i="82" s="1"/>
  <c r="X302" i="82"/>
  <c r="AD302" i="82" s="1"/>
  <c r="W302" i="82"/>
  <c r="AC302" i="82" s="1"/>
  <c r="V302" i="82"/>
  <c r="AB302" i="82" s="1"/>
  <c r="X301" i="82"/>
  <c r="AD301" i="82" s="1"/>
  <c r="W301" i="82"/>
  <c r="AC301" i="82" s="1"/>
  <c r="V301" i="82"/>
  <c r="AB301" i="82" s="1"/>
  <c r="X300" i="82"/>
  <c r="AD300" i="82" s="1"/>
  <c r="W300" i="82"/>
  <c r="AC300" i="82" s="1"/>
  <c r="V300" i="82"/>
  <c r="AB300" i="82" s="1"/>
  <c r="X299" i="82"/>
  <c r="AD299" i="82" s="1"/>
  <c r="W299" i="82"/>
  <c r="AC299" i="82" s="1"/>
  <c r="V299" i="82"/>
  <c r="AB299" i="82" s="1"/>
  <c r="X298" i="82"/>
  <c r="AD298" i="82" s="1"/>
  <c r="W298" i="82"/>
  <c r="AC298" i="82" s="1"/>
  <c r="V298" i="82"/>
  <c r="AB298" i="82" s="1"/>
  <c r="X297" i="82"/>
  <c r="AD297" i="82" s="1"/>
  <c r="W297" i="82"/>
  <c r="AC297" i="82" s="1"/>
  <c r="V297" i="82"/>
  <c r="AB297" i="82" s="1"/>
  <c r="X296" i="82"/>
  <c r="AD296" i="82" s="1"/>
  <c r="W296" i="82"/>
  <c r="AC296" i="82" s="1"/>
  <c r="V296" i="82"/>
  <c r="AB296" i="82" s="1"/>
  <c r="X295" i="82"/>
  <c r="AD295" i="82" s="1"/>
  <c r="W295" i="82"/>
  <c r="AC295" i="82" s="1"/>
  <c r="V295" i="82"/>
  <c r="AB295" i="82" s="1"/>
  <c r="X294" i="82"/>
  <c r="AD294" i="82" s="1"/>
  <c r="W294" i="82"/>
  <c r="AC294" i="82" s="1"/>
  <c r="V294" i="82"/>
  <c r="AB294" i="82" s="1"/>
  <c r="X293" i="82"/>
  <c r="AD293" i="82" s="1"/>
  <c r="W293" i="82"/>
  <c r="AC293" i="82" s="1"/>
  <c r="V293" i="82"/>
  <c r="AB293" i="82" s="1"/>
  <c r="X292" i="82"/>
  <c r="AD292" i="82" s="1"/>
  <c r="W292" i="82"/>
  <c r="AC292" i="82" s="1"/>
  <c r="V292" i="82"/>
  <c r="AB292" i="82" s="1"/>
  <c r="X291" i="82"/>
  <c r="AD291" i="82" s="1"/>
  <c r="W291" i="82"/>
  <c r="AC291" i="82" s="1"/>
  <c r="V291" i="82"/>
  <c r="AB291" i="82" s="1"/>
  <c r="X290" i="82"/>
  <c r="AD290" i="82" s="1"/>
  <c r="W290" i="82"/>
  <c r="AC290" i="82" s="1"/>
  <c r="V290" i="82"/>
  <c r="AB290" i="82" s="1"/>
  <c r="X289" i="82"/>
  <c r="AD289" i="82" s="1"/>
  <c r="W289" i="82"/>
  <c r="AC289" i="82" s="1"/>
  <c r="V289" i="82"/>
  <c r="AB289" i="82" s="1"/>
  <c r="X288" i="82"/>
  <c r="AD288" i="82" s="1"/>
  <c r="W288" i="82"/>
  <c r="AC288" i="82" s="1"/>
  <c r="V288" i="82"/>
  <c r="AB288" i="82" s="1"/>
  <c r="X287" i="82"/>
  <c r="AD287" i="82" s="1"/>
  <c r="W287" i="82"/>
  <c r="AC287" i="82" s="1"/>
  <c r="V287" i="82"/>
  <c r="AB287" i="82" s="1"/>
  <c r="X286" i="82"/>
  <c r="AD286" i="82" s="1"/>
  <c r="W286" i="82"/>
  <c r="AC286" i="82" s="1"/>
  <c r="V286" i="82"/>
  <c r="AB286" i="82" s="1"/>
  <c r="X285" i="82"/>
  <c r="AD285" i="82" s="1"/>
  <c r="W285" i="82"/>
  <c r="AC285" i="82" s="1"/>
  <c r="V285" i="82"/>
  <c r="AB285" i="82" s="1"/>
  <c r="X284" i="82"/>
  <c r="AD284" i="82" s="1"/>
  <c r="W284" i="82"/>
  <c r="AC284" i="82" s="1"/>
  <c r="V284" i="82"/>
  <c r="AB284" i="82" s="1"/>
  <c r="X283" i="82"/>
  <c r="AD283" i="82" s="1"/>
  <c r="W283" i="82"/>
  <c r="AC283" i="82" s="1"/>
  <c r="V283" i="82"/>
  <c r="AB283" i="82" s="1"/>
  <c r="X282" i="82"/>
  <c r="AD282" i="82" s="1"/>
  <c r="W282" i="82"/>
  <c r="AC282" i="82" s="1"/>
  <c r="V282" i="82"/>
  <c r="AB282" i="82" s="1"/>
  <c r="X281" i="82"/>
  <c r="AD281" i="82" s="1"/>
  <c r="W281" i="82"/>
  <c r="AC281" i="82" s="1"/>
  <c r="V281" i="82"/>
  <c r="AB281" i="82" s="1"/>
  <c r="X280" i="82"/>
  <c r="AD280" i="82" s="1"/>
  <c r="W280" i="82"/>
  <c r="AC280" i="82" s="1"/>
  <c r="V280" i="82"/>
  <c r="AB280" i="82" s="1"/>
  <c r="X279" i="82"/>
  <c r="AD279" i="82" s="1"/>
  <c r="W279" i="82"/>
  <c r="AC279" i="82" s="1"/>
  <c r="V279" i="82"/>
  <c r="AB279" i="82" s="1"/>
  <c r="X278" i="82"/>
  <c r="AD278" i="82" s="1"/>
  <c r="W278" i="82"/>
  <c r="AC278" i="82" s="1"/>
  <c r="V278" i="82"/>
  <c r="AB278" i="82" s="1"/>
  <c r="X277" i="82"/>
  <c r="AD277" i="82" s="1"/>
  <c r="W277" i="82"/>
  <c r="AC277" i="82" s="1"/>
  <c r="V277" i="82"/>
  <c r="AB277" i="82" s="1"/>
  <c r="X276" i="82"/>
  <c r="AD276" i="82" s="1"/>
  <c r="W276" i="82"/>
  <c r="AC276" i="82" s="1"/>
  <c r="V276" i="82"/>
  <c r="AB276" i="82" s="1"/>
  <c r="X275" i="82"/>
  <c r="AD275" i="82" s="1"/>
  <c r="W275" i="82"/>
  <c r="AC275" i="82" s="1"/>
  <c r="V275" i="82"/>
  <c r="AB275" i="82" s="1"/>
  <c r="X274" i="82"/>
  <c r="AD274" i="82" s="1"/>
  <c r="W274" i="82"/>
  <c r="AC274" i="82" s="1"/>
  <c r="V274" i="82"/>
  <c r="AB274" i="82" s="1"/>
  <c r="X273" i="82"/>
  <c r="AD273" i="82" s="1"/>
  <c r="W273" i="82"/>
  <c r="AC273" i="82" s="1"/>
  <c r="V273" i="82"/>
  <c r="AB273" i="82" s="1"/>
  <c r="X272" i="82"/>
  <c r="AD272" i="82" s="1"/>
  <c r="W272" i="82"/>
  <c r="AC272" i="82" s="1"/>
  <c r="V272" i="82"/>
  <c r="AB272" i="82" s="1"/>
  <c r="X271" i="82"/>
  <c r="AD271" i="82" s="1"/>
  <c r="W271" i="82"/>
  <c r="AC271" i="82" s="1"/>
  <c r="V271" i="82"/>
  <c r="AB271" i="82" s="1"/>
  <c r="X270" i="82"/>
  <c r="AD270" i="82" s="1"/>
  <c r="W270" i="82"/>
  <c r="AC270" i="82" s="1"/>
  <c r="V270" i="82"/>
  <c r="AB270" i="82" s="1"/>
  <c r="X269" i="82"/>
  <c r="AD269" i="82" s="1"/>
  <c r="W269" i="82"/>
  <c r="AC269" i="82" s="1"/>
  <c r="V269" i="82"/>
  <c r="AB269" i="82" s="1"/>
  <c r="X268" i="82"/>
  <c r="AD268" i="82" s="1"/>
  <c r="W268" i="82"/>
  <c r="AC268" i="82" s="1"/>
  <c r="V268" i="82"/>
  <c r="AB268" i="82" s="1"/>
  <c r="X267" i="82"/>
  <c r="AD267" i="82" s="1"/>
  <c r="W267" i="82"/>
  <c r="AC267" i="82" s="1"/>
  <c r="V267" i="82"/>
  <c r="AB267" i="82" s="1"/>
  <c r="X266" i="82"/>
  <c r="AD266" i="82" s="1"/>
  <c r="W266" i="82"/>
  <c r="AC266" i="82" s="1"/>
  <c r="V266" i="82"/>
  <c r="AB266" i="82" s="1"/>
  <c r="X265" i="82"/>
  <c r="AD265" i="82" s="1"/>
  <c r="W265" i="82"/>
  <c r="AC265" i="82" s="1"/>
  <c r="V265" i="82"/>
  <c r="AB265" i="82" s="1"/>
  <c r="X264" i="82"/>
  <c r="AD264" i="82" s="1"/>
  <c r="W264" i="82"/>
  <c r="AC264" i="82" s="1"/>
  <c r="V264" i="82"/>
  <c r="AB264" i="82" s="1"/>
  <c r="X263" i="82"/>
  <c r="AD263" i="82" s="1"/>
  <c r="W263" i="82"/>
  <c r="AC263" i="82" s="1"/>
  <c r="V263" i="82"/>
  <c r="AB263" i="82" s="1"/>
  <c r="X262" i="82"/>
  <c r="AD262" i="82" s="1"/>
  <c r="W262" i="82"/>
  <c r="AC262" i="82" s="1"/>
  <c r="V262" i="82"/>
  <c r="AB262" i="82" s="1"/>
  <c r="X261" i="82"/>
  <c r="AD261" i="82" s="1"/>
  <c r="W261" i="82"/>
  <c r="AC261" i="82" s="1"/>
  <c r="V261" i="82"/>
  <c r="AB261" i="82" s="1"/>
  <c r="X260" i="82"/>
  <c r="AD260" i="82" s="1"/>
  <c r="W260" i="82"/>
  <c r="AC260" i="82" s="1"/>
  <c r="V260" i="82"/>
  <c r="AB260" i="82" s="1"/>
  <c r="X259" i="82"/>
  <c r="AD259" i="82" s="1"/>
  <c r="W259" i="82"/>
  <c r="AC259" i="82" s="1"/>
  <c r="V259" i="82"/>
  <c r="AB259" i="82" s="1"/>
  <c r="X258" i="82"/>
  <c r="AD258" i="82" s="1"/>
  <c r="W258" i="82"/>
  <c r="AC258" i="82" s="1"/>
  <c r="V258" i="82"/>
  <c r="AB258" i="82" s="1"/>
  <c r="X257" i="82"/>
  <c r="AD257" i="82" s="1"/>
  <c r="W257" i="82"/>
  <c r="AC257" i="82" s="1"/>
  <c r="V257" i="82"/>
  <c r="AB257" i="82" s="1"/>
  <c r="X256" i="82"/>
  <c r="AD256" i="82" s="1"/>
  <c r="W256" i="82"/>
  <c r="AC256" i="82" s="1"/>
  <c r="V256" i="82"/>
  <c r="AB256" i="82" s="1"/>
  <c r="X255" i="82"/>
  <c r="AD255" i="82" s="1"/>
  <c r="W255" i="82"/>
  <c r="AC255" i="82" s="1"/>
  <c r="V255" i="82"/>
  <c r="AB255" i="82" s="1"/>
  <c r="X254" i="82"/>
  <c r="AD254" i="82" s="1"/>
  <c r="W254" i="82"/>
  <c r="AC254" i="82" s="1"/>
  <c r="V254" i="82"/>
  <c r="AB254" i="82" s="1"/>
  <c r="X253" i="82"/>
  <c r="AD253" i="82" s="1"/>
  <c r="W253" i="82"/>
  <c r="AC253" i="82" s="1"/>
  <c r="V253" i="82"/>
  <c r="X252" i="82"/>
  <c r="AD252" i="82" s="1"/>
  <c r="W252" i="82"/>
  <c r="AC252" i="82" s="1"/>
  <c r="V252" i="82"/>
  <c r="AB252" i="82" s="1"/>
  <c r="X251" i="82"/>
  <c r="AD251" i="82" s="1"/>
  <c r="W251" i="82"/>
  <c r="AC251" i="82" s="1"/>
  <c r="V251" i="82"/>
  <c r="AB251" i="82" s="1"/>
  <c r="X250" i="82"/>
  <c r="AD250" i="82" s="1"/>
  <c r="W250" i="82"/>
  <c r="AC250" i="82" s="1"/>
  <c r="V250" i="82"/>
  <c r="AB250" i="82" s="1"/>
  <c r="X249" i="82"/>
  <c r="AD249" i="82" s="1"/>
  <c r="W249" i="82"/>
  <c r="AC249" i="82" s="1"/>
  <c r="V249" i="82"/>
  <c r="AB249" i="82" s="1"/>
  <c r="X248" i="82"/>
  <c r="AD248" i="82" s="1"/>
  <c r="W248" i="82"/>
  <c r="AC248" i="82" s="1"/>
  <c r="V248" i="82"/>
  <c r="AB248" i="82" s="1"/>
  <c r="X247" i="82"/>
  <c r="AD247" i="82" s="1"/>
  <c r="W247" i="82"/>
  <c r="AC247" i="82" s="1"/>
  <c r="V247" i="82"/>
  <c r="AB247" i="82" s="1"/>
  <c r="X246" i="82"/>
  <c r="AD246" i="82" s="1"/>
  <c r="W246" i="82"/>
  <c r="AC246" i="82" s="1"/>
  <c r="V246" i="82"/>
  <c r="AB246" i="82" s="1"/>
  <c r="X245" i="82"/>
  <c r="AD245" i="82" s="1"/>
  <c r="W245" i="82"/>
  <c r="AC245" i="82" s="1"/>
  <c r="V245" i="82"/>
  <c r="AB245" i="82" s="1"/>
  <c r="X244" i="82"/>
  <c r="AD244" i="82" s="1"/>
  <c r="W244" i="82"/>
  <c r="AC244" i="82" s="1"/>
  <c r="V244" i="82"/>
  <c r="AB244" i="82" s="1"/>
  <c r="X243" i="82"/>
  <c r="AD243" i="82" s="1"/>
  <c r="W243" i="82"/>
  <c r="AC243" i="82" s="1"/>
  <c r="V243" i="82"/>
  <c r="AB243" i="82" s="1"/>
  <c r="X242" i="82"/>
  <c r="AD242" i="82" s="1"/>
  <c r="W242" i="82"/>
  <c r="AC242" i="82" s="1"/>
  <c r="V242" i="82"/>
  <c r="AB242" i="82" s="1"/>
  <c r="X241" i="82"/>
  <c r="AD241" i="82" s="1"/>
  <c r="W241" i="82"/>
  <c r="AC241" i="82" s="1"/>
  <c r="V241" i="82"/>
  <c r="AB241" i="82" s="1"/>
  <c r="X240" i="82"/>
  <c r="AD240" i="82" s="1"/>
  <c r="W240" i="82"/>
  <c r="AC240" i="82" s="1"/>
  <c r="V240" i="82"/>
  <c r="AB240" i="82" s="1"/>
  <c r="X239" i="82"/>
  <c r="AD239" i="82" s="1"/>
  <c r="W239" i="82"/>
  <c r="AC239" i="82" s="1"/>
  <c r="V239" i="82"/>
  <c r="AB239" i="82" s="1"/>
  <c r="X238" i="82"/>
  <c r="AD238" i="82" s="1"/>
  <c r="W238" i="82"/>
  <c r="AC238" i="82" s="1"/>
  <c r="V238" i="82"/>
  <c r="AB238" i="82" s="1"/>
  <c r="X237" i="82"/>
  <c r="AD237" i="82" s="1"/>
  <c r="W237" i="82"/>
  <c r="AC237" i="82" s="1"/>
  <c r="V237" i="82"/>
  <c r="AB237" i="82" s="1"/>
  <c r="X236" i="82"/>
  <c r="AD236" i="82" s="1"/>
  <c r="W236" i="82"/>
  <c r="AC236" i="82" s="1"/>
  <c r="V236" i="82"/>
  <c r="AB236" i="82" s="1"/>
  <c r="X235" i="82"/>
  <c r="AD235" i="82" s="1"/>
  <c r="W235" i="82"/>
  <c r="AC235" i="82" s="1"/>
  <c r="V235" i="82"/>
  <c r="AB235" i="82" s="1"/>
  <c r="X234" i="82"/>
  <c r="AD234" i="82" s="1"/>
  <c r="W234" i="82"/>
  <c r="AC234" i="82" s="1"/>
  <c r="V234" i="82"/>
  <c r="AB234" i="82" s="1"/>
  <c r="X233" i="82"/>
  <c r="AD233" i="82" s="1"/>
  <c r="W233" i="82"/>
  <c r="AC233" i="82" s="1"/>
  <c r="V233" i="82"/>
  <c r="AB233" i="82" s="1"/>
  <c r="X232" i="82"/>
  <c r="AD232" i="82" s="1"/>
  <c r="W232" i="82"/>
  <c r="AC232" i="82" s="1"/>
  <c r="V232" i="82"/>
  <c r="AB232" i="82" s="1"/>
  <c r="X231" i="82"/>
  <c r="AD231" i="82" s="1"/>
  <c r="W231" i="82"/>
  <c r="AC231" i="82" s="1"/>
  <c r="V231" i="82"/>
  <c r="AB231" i="82" s="1"/>
  <c r="X230" i="82"/>
  <c r="AD230" i="82" s="1"/>
  <c r="W230" i="82"/>
  <c r="AC230" i="82" s="1"/>
  <c r="V230" i="82"/>
  <c r="AB230" i="82" s="1"/>
  <c r="X229" i="82"/>
  <c r="AD229" i="82" s="1"/>
  <c r="W229" i="82"/>
  <c r="AC229" i="82" s="1"/>
  <c r="V229" i="82"/>
  <c r="AB229" i="82" s="1"/>
  <c r="X228" i="82"/>
  <c r="AD228" i="82" s="1"/>
  <c r="W228" i="82"/>
  <c r="AC228" i="82" s="1"/>
  <c r="V228" i="82"/>
  <c r="AB228" i="82" s="1"/>
  <c r="X227" i="82"/>
  <c r="AD227" i="82" s="1"/>
  <c r="W227" i="82"/>
  <c r="AC227" i="82" s="1"/>
  <c r="V227" i="82"/>
  <c r="AB227" i="82" s="1"/>
  <c r="X226" i="82"/>
  <c r="AD226" i="82" s="1"/>
  <c r="W226" i="82"/>
  <c r="AC226" i="82" s="1"/>
  <c r="V226" i="82"/>
  <c r="AB226" i="82" s="1"/>
  <c r="X225" i="82"/>
  <c r="AD225" i="82" s="1"/>
  <c r="W225" i="82"/>
  <c r="AC225" i="82" s="1"/>
  <c r="V225" i="82"/>
  <c r="AB225" i="82" s="1"/>
  <c r="X224" i="82"/>
  <c r="AD224" i="82" s="1"/>
  <c r="W224" i="82"/>
  <c r="AC224" i="82" s="1"/>
  <c r="V224" i="82"/>
  <c r="AB224" i="82" s="1"/>
  <c r="X223" i="82"/>
  <c r="AD223" i="82" s="1"/>
  <c r="W223" i="82"/>
  <c r="AC223" i="82" s="1"/>
  <c r="V223" i="82"/>
  <c r="AB223" i="82" s="1"/>
  <c r="X222" i="82"/>
  <c r="AD222" i="82" s="1"/>
  <c r="W222" i="82"/>
  <c r="AC222" i="82" s="1"/>
  <c r="V222" i="82"/>
  <c r="AB222" i="82" s="1"/>
  <c r="X221" i="82"/>
  <c r="AD221" i="82" s="1"/>
  <c r="W221" i="82"/>
  <c r="AC221" i="82" s="1"/>
  <c r="V221" i="82"/>
  <c r="AB221" i="82" s="1"/>
  <c r="X220" i="82"/>
  <c r="AD220" i="82" s="1"/>
  <c r="W220" i="82"/>
  <c r="AC220" i="82" s="1"/>
  <c r="V220" i="82"/>
  <c r="AB220" i="82" s="1"/>
  <c r="X219" i="82"/>
  <c r="AD219" i="82" s="1"/>
  <c r="W219" i="82"/>
  <c r="AC219" i="82" s="1"/>
  <c r="V219" i="82"/>
  <c r="AB219" i="82" s="1"/>
  <c r="X218" i="82"/>
  <c r="W218" i="82"/>
  <c r="AC218" i="82" s="1"/>
  <c r="V218" i="82"/>
  <c r="AB218" i="82" s="1"/>
  <c r="X217" i="82"/>
  <c r="AD217" i="82" s="1"/>
  <c r="W217" i="82"/>
  <c r="AC217" i="82" s="1"/>
  <c r="V217" i="82"/>
  <c r="AB217" i="82" s="1"/>
  <c r="X216" i="82"/>
  <c r="AD216" i="82" s="1"/>
  <c r="W216" i="82"/>
  <c r="AC216" i="82" s="1"/>
  <c r="V216" i="82"/>
  <c r="AB216" i="82" s="1"/>
  <c r="X215" i="82"/>
  <c r="AD215" i="82" s="1"/>
  <c r="W215" i="82"/>
  <c r="AC215" i="82" s="1"/>
  <c r="V215" i="82"/>
  <c r="AB215" i="82" s="1"/>
  <c r="X214" i="82"/>
  <c r="AD214" i="82" s="1"/>
  <c r="W214" i="82"/>
  <c r="AC214" i="82" s="1"/>
  <c r="V214" i="82"/>
  <c r="AB214" i="82" s="1"/>
  <c r="X213" i="82"/>
  <c r="AD213" i="82" s="1"/>
  <c r="W213" i="82"/>
  <c r="AC213" i="82" s="1"/>
  <c r="V213" i="82"/>
  <c r="AB213" i="82" s="1"/>
  <c r="X212" i="82"/>
  <c r="AD212" i="82" s="1"/>
  <c r="W212" i="82"/>
  <c r="AC212" i="82" s="1"/>
  <c r="V212" i="82"/>
  <c r="AB212" i="82" s="1"/>
  <c r="X211" i="82"/>
  <c r="AD211" i="82" s="1"/>
  <c r="W211" i="82"/>
  <c r="AC211" i="82" s="1"/>
  <c r="V211" i="82"/>
  <c r="AB211" i="82" s="1"/>
  <c r="X210" i="82"/>
  <c r="AD210" i="82" s="1"/>
  <c r="W210" i="82"/>
  <c r="AC210" i="82" s="1"/>
  <c r="V210" i="82"/>
  <c r="AB210" i="82" s="1"/>
  <c r="X209" i="82"/>
  <c r="AD209" i="82" s="1"/>
  <c r="W209" i="82"/>
  <c r="AC209" i="82" s="1"/>
  <c r="V209" i="82"/>
  <c r="AB209" i="82" s="1"/>
  <c r="X208" i="82"/>
  <c r="AD208" i="82" s="1"/>
  <c r="W208" i="82"/>
  <c r="AC208" i="82" s="1"/>
  <c r="V208" i="82"/>
  <c r="AB208" i="82" s="1"/>
  <c r="X207" i="82"/>
  <c r="AD207" i="82" s="1"/>
  <c r="W207" i="82"/>
  <c r="AC207" i="82" s="1"/>
  <c r="V207" i="82"/>
  <c r="AB207" i="82" s="1"/>
  <c r="X206" i="82"/>
  <c r="AD206" i="82" s="1"/>
  <c r="W206" i="82"/>
  <c r="AC206" i="82" s="1"/>
  <c r="V206" i="82"/>
  <c r="AB206" i="82" s="1"/>
  <c r="X205" i="82"/>
  <c r="AD205" i="82" s="1"/>
  <c r="W205" i="82"/>
  <c r="AC205" i="82" s="1"/>
  <c r="V205" i="82"/>
  <c r="AB205" i="82" s="1"/>
  <c r="X204" i="82"/>
  <c r="AD204" i="82" s="1"/>
  <c r="W204" i="82"/>
  <c r="AC204" i="82" s="1"/>
  <c r="V204" i="82"/>
  <c r="AB204" i="82" s="1"/>
  <c r="X203" i="82"/>
  <c r="AD203" i="82" s="1"/>
  <c r="W203" i="82"/>
  <c r="AC203" i="82" s="1"/>
  <c r="V203" i="82"/>
  <c r="AB203" i="82" s="1"/>
  <c r="X202" i="82"/>
  <c r="AD202" i="82" s="1"/>
  <c r="W202" i="82"/>
  <c r="AC202" i="82" s="1"/>
  <c r="V202" i="82"/>
  <c r="AB202" i="82" s="1"/>
  <c r="X201" i="82"/>
  <c r="AD201" i="82" s="1"/>
  <c r="W201" i="82"/>
  <c r="AC201" i="82" s="1"/>
  <c r="V201" i="82"/>
  <c r="AB201" i="82" s="1"/>
  <c r="X200" i="82"/>
  <c r="AD200" i="82" s="1"/>
  <c r="W200" i="82"/>
  <c r="AC200" i="82" s="1"/>
  <c r="V200" i="82"/>
  <c r="AB200" i="82" s="1"/>
  <c r="X199" i="82"/>
  <c r="AD199" i="82" s="1"/>
  <c r="W199" i="82"/>
  <c r="AC199" i="82" s="1"/>
  <c r="V199" i="82"/>
  <c r="AB199" i="82" s="1"/>
  <c r="X198" i="82"/>
  <c r="AD198" i="82" s="1"/>
  <c r="W198" i="82"/>
  <c r="AC198" i="82" s="1"/>
  <c r="V198" i="82"/>
  <c r="AB198" i="82" s="1"/>
  <c r="X197" i="82"/>
  <c r="AD197" i="82" s="1"/>
  <c r="W197" i="82"/>
  <c r="AC197" i="82" s="1"/>
  <c r="V197" i="82"/>
  <c r="AB197" i="82" s="1"/>
  <c r="X196" i="82"/>
  <c r="W196" i="82"/>
  <c r="AC196" i="82" s="1"/>
  <c r="V196" i="82"/>
  <c r="AB196" i="82" s="1"/>
  <c r="X195" i="82"/>
  <c r="AD195" i="82" s="1"/>
  <c r="W195" i="82"/>
  <c r="AC195" i="82" s="1"/>
  <c r="V195" i="82"/>
  <c r="AB195" i="82" s="1"/>
  <c r="X194" i="82"/>
  <c r="AD194" i="82" s="1"/>
  <c r="W194" i="82"/>
  <c r="AC194" i="82" s="1"/>
  <c r="V194" i="82"/>
  <c r="AB194" i="82" s="1"/>
  <c r="X193" i="82"/>
  <c r="AD193" i="82" s="1"/>
  <c r="W193" i="82"/>
  <c r="AC193" i="82" s="1"/>
  <c r="V193" i="82"/>
  <c r="AB193" i="82" s="1"/>
  <c r="X192" i="82"/>
  <c r="AD192" i="82" s="1"/>
  <c r="W192" i="82"/>
  <c r="AC192" i="82" s="1"/>
  <c r="V192" i="82"/>
  <c r="AB192" i="82" s="1"/>
  <c r="X191" i="82"/>
  <c r="AD191" i="82" s="1"/>
  <c r="W191" i="82"/>
  <c r="AC191" i="82" s="1"/>
  <c r="V191" i="82"/>
  <c r="AB191" i="82" s="1"/>
  <c r="X190" i="82"/>
  <c r="AD190" i="82" s="1"/>
  <c r="W190" i="82"/>
  <c r="AC190" i="82" s="1"/>
  <c r="V190" i="82"/>
  <c r="AB190" i="82" s="1"/>
  <c r="X189" i="82"/>
  <c r="AD189" i="82" s="1"/>
  <c r="W189" i="82"/>
  <c r="AC189" i="82" s="1"/>
  <c r="V189" i="82"/>
  <c r="AB189" i="82" s="1"/>
  <c r="X188" i="82"/>
  <c r="AD188" i="82" s="1"/>
  <c r="W188" i="82"/>
  <c r="AC188" i="82" s="1"/>
  <c r="V188" i="82"/>
  <c r="AB188" i="82" s="1"/>
  <c r="X187" i="82"/>
  <c r="AD187" i="82" s="1"/>
  <c r="W187" i="82"/>
  <c r="AC187" i="82" s="1"/>
  <c r="V187" i="82"/>
  <c r="AB187" i="82" s="1"/>
  <c r="X186" i="82"/>
  <c r="AD186" i="82" s="1"/>
  <c r="W186" i="82"/>
  <c r="AC186" i="82" s="1"/>
  <c r="V186" i="82"/>
  <c r="AB186" i="82" s="1"/>
  <c r="X185" i="82"/>
  <c r="AD185" i="82" s="1"/>
  <c r="W185" i="82"/>
  <c r="AC185" i="82" s="1"/>
  <c r="V185" i="82"/>
  <c r="AB185" i="82" s="1"/>
  <c r="X184" i="82"/>
  <c r="AD184" i="82" s="1"/>
  <c r="W184" i="82"/>
  <c r="AC184" i="82" s="1"/>
  <c r="V184" i="82"/>
  <c r="AB184" i="82" s="1"/>
  <c r="X183" i="82"/>
  <c r="AD183" i="82" s="1"/>
  <c r="W183" i="82"/>
  <c r="AC183" i="82" s="1"/>
  <c r="V183" i="82"/>
  <c r="AB183" i="82" s="1"/>
  <c r="X182" i="82"/>
  <c r="AD182" i="82" s="1"/>
  <c r="W182" i="82"/>
  <c r="AC182" i="82" s="1"/>
  <c r="V182" i="82"/>
  <c r="AB182" i="82" s="1"/>
  <c r="X181" i="82"/>
  <c r="AD181" i="82" s="1"/>
  <c r="W181" i="82"/>
  <c r="AC181" i="82" s="1"/>
  <c r="V181" i="82"/>
  <c r="AB181" i="82" s="1"/>
  <c r="X180" i="82"/>
  <c r="AD180" i="82" s="1"/>
  <c r="W180" i="82"/>
  <c r="AC180" i="82" s="1"/>
  <c r="V180" i="82"/>
  <c r="AB180" i="82" s="1"/>
  <c r="X179" i="82"/>
  <c r="AD179" i="82" s="1"/>
  <c r="W179" i="82"/>
  <c r="AC179" i="82" s="1"/>
  <c r="V179" i="82"/>
  <c r="AB179" i="82" s="1"/>
  <c r="X178" i="82"/>
  <c r="AD178" i="82" s="1"/>
  <c r="W178" i="82"/>
  <c r="AC178" i="82" s="1"/>
  <c r="V178" i="82"/>
  <c r="AB178" i="82" s="1"/>
  <c r="X177" i="82"/>
  <c r="AD177" i="82" s="1"/>
  <c r="W177" i="82"/>
  <c r="AC177" i="82" s="1"/>
  <c r="V177" i="82"/>
  <c r="AB177" i="82" s="1"/>
  <c r="X176" i="82"/>
  <c r="AD176" i="82" s="1"/>
  <c r="W176" i="82"/>
  <c r="AC176" i="82" s="1"/>
  <c r="V176" i="82"/>
  <c r="AB176" i="82" s="1"/>
  <c r="X175" i="82"/>
  <c r="AD175" i="82" s="1"/>
  <c r="W175" i="82"/>
  <c r="AC175" i="82" s="1"/>
  <c r="V175" i="82"/>
  <c r="AB175" i="82" s="1"/>
  <c r="X174" i="82"/>
  <c r="AD174" i="82" s="1"/>
  <c r="W174" i="82"/>
  <c r="AC174" i="82" s="1"/>
  <c r="V174" i="82"/>
  <c r="AB174" i="82" s="1"/>
  <c r="X173" i="82"/>
  <c r="AD173" i="82" s="1"/>
  <c r="W173" i="82"/>
  <c r="AC173" i="82" s="1"/>
  <c r="V173" i="82"/>
  <c r="AB173" i="82" s="1"/>
  <c r="X172" i="82"/>
  <c r="AD172" i="82" s="1"/>
  <c r="W172" i="82"/>
  <c r="AC172" i="82" s="1"/>
  <c r="V172" i="82"/>
  <c r="AB172" i="82" s="1"/>
  <c r="X171" i="82"/>
  <c r="AD171" i="82" s="1"/>
  <c r="W171" i="82"/>
  <c r="AC171" i="82" s="1"/>
  <c r="V171" i="82"/>
  <c r="AB171" i="82" s="1"/>
  <c r="X170" i="82"/>
  <c r="AD170" i="82" s="1"/>
  <c r="W170" i="82"/>
  <c r="AC170" i="82" s="1"/>
  <c r="V170" i="82"/>
  <c r="AB170" i="82" s="1"/>
  <c r="X169" i="82"/>
  <c r="AD169" i="82" s="1"/>
  <c r="W169" i="82"/>
  <c r="AC169" i="82" s="1"/>
  <c r="V169" i="82"/>
  <c r="AB169" i="82" s="1"/>
  <c r="X168" i="82"/>
  <c r="AD168" i="82" s="1"/>
  <c r="W168" i="82"/>
  <c r="AC168" i="82" s="1"/>
  <c r="V168" i="82"/>
  <c r="AB168" i="82" s="1"/>
  <c r="X167" i="82"/>
  <c r="AD167" i="82" s="1"/>
  <c r="W167" i="82"/>
  <c r="AC167" i="82" s="1"/>
  <c r="V167" i="82"/>
  <c r="AB167" i="82" s="1"/>
  <c r="X166" i="82"/>
  <c r="AD166" i="82" s="1"/>
  <c r="W166" i="82"/>
  <c r="AC166" i="82" s="1"/>
  <c r="V166" i="82"/>
  <c r="AB166" i="82" s="1"/>
  <c r="X165" i="82"/>
  <c r="AD165" i="82" s="1"/>
  <c r="W165" i="82"/>
  <c r="AC165" i="82" s="1"/>
  <c r="V165" i="82"/>
  <c r="AB165" i="82" s="1"/>
  <c r="X164" i="82"/>
  <c r="AD164" i="82" s="1"/>
  <c r="W164" i="82"/>
  <c r="AC164" i="82" s="1"/>
  <c r="V164" i="82"/>
  <c r="AB164" i="82" s="1"/>
  <c r="X163" i="82"/>
  <c r="AD163" i="82" s="1"/>
  <c r="W163" i="82"/>
  <c r="AC163" i="82" s="1"/>
  <c r="V163" i="82"/>
  <c r="AB163" i="82" s="1"/>
  <c r="X162" i="82"/>
  <c r="AD162" i="82" s="1"/>
  <c r="W162" i="82"/>
  <c r="AC162" i="82" s="1"/>
  <c r="V162" i="82"/>
  <c r="AB162" i="82" s="1"/>
  <c r="X161" i="82"/>
  <c r="AD161" i="82" s="1"/>
  <c r="W161" i="82"/>
  <c r="AC161" i="82" s="1"/>
  <c r="V161" i="82"/>
  <c r="AB161" i="82" s="1"/>
  <c r="X160" i="82"/>
  <c r="AD160" i="82" s="1"/>
  <c r="W160" i="82"/>
  <c r="AC160" i="82" s="1"/>
  <c r="V160" i="82"/>
  <c r="AB160" i="82" s="1"/>
  <c r="X159" i="82"/>
  <c r="AD159" i="82" s="1"/>
  <c r="W159" i="82"/>
  <c r="AC159" i="82" s="1"/>
  <c r="V159" i="82"/>
  <c r="AB159" i="82" s="1"/>
  <c r="X158" i="82"/>
  <c r="AD158" i="82" s="1"/>
  <c r="W158" i="82"/>
  <c r="AC158" i="82" s="1"/>
  <c r="V158" i="82"/>
  <c r="AB158" i="82" s="1"/>
  <c r="X157" i="82"/>
  <c r="AD157" i="82" s="1"/>
  <c r="W157" i="82"/>
  <c r="AC157" i="82" s="1"/>
  <c r="V157" i="82"/>
  <c r="AB157" i="82" s="1"/>
  <c r="X156" i="82"/>
  <c r="AD156" i="82" s="1"/>
  <c r="W156" i="82"/>
  <c r="AC156" i="82" s="1"/>
  <c r="V156" i="82"/>
  <c r="AB156" i="82" s="1"/>
  <c r="X155" i="82"/>
  <c r="AD155" i="82" s="1"/>
  <c r="W155" i="82"/>
  <c r="AC155" i="82" s="1"/>
  <c r="V155" i="82"/>
  <c r="AB155" i="82" s="1"/>
  <c r="X154" i="82"/>
  <c r="AD154" i="82" s="1"/>
  <c r="W154" i="82"/>
  <c r="AC154" i="82" s="1"/>
  <c r="V154" i="82"/>
  <c r="AB154" i="82" s="1"/>
  <c r="X153" i="82"/>
  <c r="AD153" i="82" s="1"/>
  <c r="W153" i="82"/>
  <c r="AC153" i="82" s="1"/>
  <c r="V153" i="82"/>
  <c r="AB153" i="82" s="1"/>
  <c r="X152" i="82"/>
  <c r="W152" i="82"/>
  <c r="AC152" i="82" s="1"/>
  <c r="V152" i="82"/>
  <c r="AB152" i="82" s="1"/>
  <c r="X151" i="82"/>
  <c r="AD151" i="82" s="1"/>
  <c r="W151" i="82"/>
  <c r="AC151" i="82" s="1"/>
  <c r="V151" i="82"/>
  <c r="AB151" i="82" s="1"/>
  <c r="X150" i="82"/>
  <c r="AD150" i="82" s="1"/>
  <c r="W150" i="82"/>
  <c r="AC150" i="82" s="1"/>
  <c r="V150" i="82"/>
  <c r="AB150" i="82" s="1"/>
  <c r="X149" i="82"/>
  <c r="AD149" i="82" s="1"/>
  <c r="W149" i="82"/>
  <c r="AC149" i="82" s="1"/>
  <c r="V149" i="82"/>
  <c r="AB149" i="82" s="1"/>
  <c r="X148" i="82"/>
  <c r="AD148" i="82" s="1"/>
  <c r="W148" i="82"/>
  <c r="AC148" i="82" s="1"/>
  <c r="V148" i="82"/>
  <c r="AB148" i="82" s="1"/>
  <c r="X147" i="82"/>
  <c r="AD147" i="82" s="1"/>
  <c r="W147" i="82"/>
  <c r="AC147" i="82" s="1"/>
  <c r="V147" i="82"/>
  <c r="AB147" i="82" s="1"/>
  <c r="X146" i="82"/>
  <c r="AD146" i="82" s="1"/>
  <c r="W146" i="82"/>
  <c r="AC146" i="82" s="1"/>
  <c r="V146" i="82"/>
  <c r="AB146" i="82" s="1"/>
  <c r="X145" i="82"/>
  <c r="AD145" i="82" s="1"/>
  <c r="W145" i="82"/>
  <c r="AC145" i="82" s="1"/>
  <c r="V145" i="82"/>
  <c r="AB145" i="82" s="1"/>
  <c r="X144" i="82"/>
  <c r="AD144" i="82" s="1"/>
  <c r="W144" i="82"/>
  <c r="AC144" i="82" s="1"/>
  <c r="V144" i="82"/>
  <c r="AB144" i="82" s="1"/>
  <c r="X143" i="82"/>
  <c r="AD143" i="82" s="1"/>
  <c r="W143" i="82"/>
  <c r="AC143" i="82" s="1"/>
  <c r="V143" i="82"/>
  <c r="AB143" i="82" s="1"/>
  <c r="X142" i="82"/>
  <c r="AD142" i="82" s="1"/>
  <c r="W142" i="82"/>
  <c r="AC142" i="82" s="1"/>
  <c r="V142" i="82"/>
  <c r="AB142" i="82" s="1"/>
  <c r="X141" i="82"/>
  <c r="AD141" i="82" s="1"/>
  <c r="W141" i="82"/>
  <c r="AC141" i="82" s="1"/>
  <c r="V141" i="82"/>
  <c r="X140" i="82"/>
  <c r="AD140" i="82" s="1"/>
  <c r="W140" i="82"/>
  <c r="AC140" i="82" s="1"/>
  <c r="V140" i="82"/>
  <c r="AB140" i="82" s="1"/>
  <c r="X139" i="82"/>
  <c r="AD139" i="82" s="1"/>
  <c r="W139" i="82"/>
  <c r="AC139" i="82" s="1"/>
  <c r="V139" i="82"/>
  <c r="AB139" i="82" s="1"/>
  <c r="X138" i="82"/>
  <c r="AD138" i="82" s="1"/>
  <c r="W138" i="82"/>
  <c r="AC138" i="82" s="1"/>
  <c r="V138" i="82"/>
  <c r="AB138" i="82" s="1"/>
  <c r="X137" i="82"/>
  <c r="AD137" i="82" s="1"/>
  <c r="W137" i="82"/>
  <c r="AC137" i="82" s="1"/>
  <c r="V137" i="82"/>
  <c r="AB137" i="82" s="1"/>
  <c r="X136" i="82"/>
  <c r="AD136" i="82" s="1"/>
  <c r="W136" i="82"/>
  <c r="AC136" i="82" s="1"/>
  <c r="V136" i="82"/>
  <c r="AB136" i="82" s="1"/>
  <c r="X135" i="82"/>
  <c r="AD135" i="82" s="1"/>
  <c r="W135" i="82"/>
  <c r="AC135" i="82" s="1"/>
  <c r="V135" i="82"/>
  <c r="AB135" i="82" s="1"/>
  <c r="X134" i="82"/>
  <c r="AD134" i="82" s="1"/>
  <c r="W134" i="82"/>
  <c r="AC134" i="82" s="1"/>
  <c r="V134" i="82"/>
  <c r="AB134" i="82" s="1"/>
  <c r="X133" i="82"/>
  <c r="AD133" i="82" s="1"/>
  <c r="W133" i="82"/>
  <c r="AC133" i="82" s="1"/>
  <c r="V133" i="82"/>
  <c r="AB133" i="82" s="1"/>
  <c r="X132" i="82"/>
  <c r="AD132" i="82" s="1"/>
  <c r="W132" i="82"/>
  <c r="AC132" i="82" s="1"/>
  <c r="V132" i="82"/>
  <c r="AB132" i="82" s="1"/>
  <c r="X131" i="82"/>
  <c r="AD131" i="82" s="1"/>
  <c r="W131" i="82"/>
  <c r="AC131" i="82" s="1"/>
  <c r="V131" i="82"/>
  <c r="AB131" i="82" s="1"/>
  <c r="X130" i="82"/>
  <c r="AD130" i="82" s="1"/>
  <c r="W130" i="82"/>
  <c r="AC130" i="82" s="1"/>
  <c r="V130" i="82"/>
  <c r="AB130" i="82" s="1"/>
  <c r="X129" i="82"/>
  <c r="AD129" i="82" s="1"/>
  <c r="W129" i="82"/>
  <c r="AC129" i="82" s="1"/>
  <c r="V129" i="82"/>
  <c r="AB129" i="82" s="1"/>
  <c r="X128" i="82"/>
  <c r="AD128" i="82" s="1"/>
  <c r="W128" i="82"/>
  <c r="AC128" i="82" s="1"/>
  <c r="V128" i="82"/>
  <c r="AB128" i="82" s="1"/>
  <c r="X127" i="82"/>
  <c r="AD127" i="82" s="1"/>
  <c r="W127" i="82"/>
  <c r="AC127" i="82" s="1"/>
  <c r="V127" i="82"/>
  <c r="AB127" i="82" s="1"/>
  <c r="X126" i="82"/>
  <c r="AD126" i="82" s="1"/>
  <c r="W126" i="82"/>
  <c r="AC126" i="82" s="1"/>
  <c r="V126" i="82"/>
  <c r="AB126" i="82" s="1"/>
  <c r="X125" i="82"/>
  <c r="AD125" i="82" s="1"/>
  <c r="W125" i="82"/>
  <c r="AC125" i="82" s="1"/>
  <c r="V125" i="82"/>
  <c r="AB125" i="82" s="1"/>
  <c r="X124" i="82"/>
  <c r="AD124" i="82" s="1"/>
  <c r="W124" i="82"/>
  <c r="AC124" i="82" s="1"/>
  <c r="V124" i="82"/>
  <c r="AB124" i="82" s="1"/>
  <c r="X123" i="82"/>
  <c r="AD123" i="82" s="1"/>
  <c r="W123" i="82"/>
  <c r="AC123" i="82" s="1"/>
  <c r="V123" i="82"/>
  <c r="AB123" i="82" s="1"/>
  <c r="X122" i="82"/>
  <c r="AD122" i="82" s="1"/>
  <c r="W122" i="82"/>
  <c r="AC122" i="82" s="1"/>
  <c r="V122" i="82"/>
  <c r="AB122" i="82" s="1"/>
  <c r="X121" i="82"/>
  <c r="AD121" i="82" s="1"/>
  <c r="W121" i="82"/>
  <c r="AC121" i="82" s="1"/>
  <c r="V121" i="82"/>
  <c r="AB121" i="82" s="1"/>
  <c r="X120" i="82"/>
  <c r="AD120" i="82" s="1"/>
  <c r="W120" i="82"/>
  <c r="AC120" i="82" s="1"/>
  <c r="V120" i="82"/>
  <c r="AB120" i="82" s="1"/>
  <c r="X119" i="82"/>
  <c r="AD119" i="82" s="1"/>
  <c r="W119" i="82"/>
  <c r="AC119" i="82" s="1"/>
  <c r="V119" i="82"/>
  <c r="AB119" i="82" s="1"/>
  <c r="X118" i="82"/>
  <c r="AD118" i="82" s="1"/>
  <c r="W118" i="82"/>
  <c r="AC118" i="82" s="1"/>
  <c r="V118" i="82"/>
  <c r="AB118" i="82" s="1"/>
  <c r="X117" i="82"/>
  <c r="AD117" i="82" s="1"/>
  <c r="W117" i="82"/>
  <c r="AC117" i="82" s="1"/>
  <c r="V117" i="82"/>
  <c r="AB117" i="82" s="1"/>
  <c r="X116" i="82"/>
  <c r="AD116" i="82" s="1"/>
  <c r="W116" i="82"/>
  <c r="AC116" i="82" s="1"/>
  <c r="V116" i="82"/>
  <c r="AB116" i="82" s="1"/>
  <c r="X115" i="82"/>
  <c r="AD115" i="82" s="1"/>
  <c r="W115" i="82"/>
  <c r="AC115" i="82" s="1"/>
  <c r="V115" i="82"/>
  <c r="AB115" i="82" s="1"/>
  <c r="X114" i="82"/>
  <c r="AD114" i="82" s="1"/>
  <c r="W114" i="82"/>
  <c r="AC114" i="82" s="1"/>
  <c r="V114" i="82"/>
  <c r="AB114" i="82" s="1"/>
  <c r="X113" i="82"/>
  <c r="AD113" i="82" s="1"/>
  <c r="W113" i="82"/>
  <c r="AC113" i="82" s="1"/>
  <c r="V113" i="82"/>
  <c r="AB113" i="82" s="1"/>
  <c r="X112" i="82"/>
  <c r="AD112" i="82" s="1"/>
  <c r="W112" i="82"/>
  <c r="AC112" i="82" s="1"/>
  <c r="V112" i="82"/>
  <c r="AB112" i="82" s="1"/>
  <c r="X111" i="82"/>
  <c r="AD111" i="82" s="1"/>
  <c r="W111" i="82"/>
  <c r="AC111" i="82" s="1"/>
  <c r="V111" i="82"/>
  <c r="AB111" i="82" s="1"/>
  <c r="X110" i="82"/>
  <c r="AD110" i="82" s="1"/>
  <c r="W110" i="82"/>
  <c r="AC110" i="82" s="1"/>
  <c r="V110" i="82"/>
  <c r="AB110" i="82" s="1"/>
  <c r="X109" i="82"/>
  <c r="AD109" i="82" s="1"/>
  <c r="W109" i="82"/>
  <c r="AC109" i="82" s="1"/>
  <c r="V109" i="82"/>
  <c r="AB109" i="82" s="1"/>
  <c r="X108" i="82"/>
  <c r="AD108" i="82" s="1"/>
  <c r="W108" i="82"/>
  <c r="AC108" i="82" s="1"/>
  <c r="V108" i="82"/>
  <c r="AB108" i="82" s="1"/>
  <c r="X107" i="82"/>
  <c r="AD107" i="82" s="1"/>
  <c r="W107" i="82"/>
  <c r="AC107" i="82" s="1"/>
  <c r="V107" i="82"/>
  <c r="AB107" i="82" s="1"/>
  <c r="X106" i="82"/>
  <c r="AD106" i="82" s="1"/>
  <c r="W106" i="82"/>
  <c r="AC106" i="82" s="1"/>
  <c r="V106" i="82"/>
  <c r="AB106" i="82" s="1"/>
  <c r="X105" i="82"/>
  <c r="AD105" i="82" s="1"/>
  <c r="W105" i="82"/>
  <c r="AC105" i="82" s="1"/>
  <c r="V105" i="82"/>
  <c r="AB105" i="82" s="1"/>
  <c r="X104" i="82"/>
  <c r="AD104" i="82" s="1"/>
  <c r="W104" i="82"/>
  <c r="AC104" i="82" s="1"/>
  <c r="V104" i="82"/>
  <c r="AB104" i="82" s="1"/>
  <c r="X103" i="82"/>
  <c r="AD103" i="82" s="1"/>
  <c r="W103" i="82"/>
  <c r="AC103" i="82" s="1"/>
  <c r="V103" i="82"/>
  <c r="AB103" i="82" s="1"/>
  <c r="X102" i="82"/>
  <c r="AD102" i="82" s="1"/>
  <c r="W102" i="82"/>
  <c r="AC102" i="82" s="1"/>
  <c r="V102" i="82"/>
  <c r="AB102" i="82" s="1"/>
  <c r="X101" i="82"/>
  <c r="AD101" i="82" s="1"/>
  <c r="W101" i="82"/>
  <c r="AC101" i="82" s="1"/>
  <c r="V101" i="82"/>
  <c r="AB101" i="82" s="1"/>
  <c r="X100" i="82"/>
  <c r="AD100" i="82" s="1"/>
  <c r="W100" i="82"/>
  <c r="AC100" i="82" s="1"/>
  <c r="V100" i="82"/>
  <c r="AB100" i="82" s="1"/>
  <c r="X99" i="82"/>
  <c r="AD99" i="82" s="1"/>
  <c r="W99" i="82"/>
  <c r="AC99" i="82" s="1"/>
  <c r="V99" i="82"/>
  <c r="AB99" i="82" s="1"/>
  <c r="X98" i="82"/>
  <c r="AD98" i="82" s="1"/>
  <c r="W98" i="82"/>
  <c r="AC98" i="82" s="1"/>
  <c r="V98" i="82"/>
  <c r="AB98" i="82" s="1"/>
  <c r="X97" i="82"/>
  <c r="AD97" i="82" s="1"/>
  <c r="W97" i="82"/>
  <c r="AC97" i="82" s="1"/>
  <c r="V97" i="82"/>
  <c r="AB97" i="82" s="1"/>
  <c r="X96" i="82"/>
  <c r="AD96" i="82" s="1"/>
  <c r="W96" i="82"/>
  <c r="AC96" i="82" s="1"/>
  <c r="V96" i="82"/>
  <c r="AB96" i="82" s="1"/>
  <c r="X95" i="82"/>
  <c r="AD95" i="82" s="1"/>
  <c r="W95" i="82"/>
  <c r="AC95" i="82" s="1"/>
  <c r="V95" i="82"/>
  <c r="AB95" i="82" s="1"/>
  <c r="X94" i="82"/>
  <c r="AD94" i="82" s="1"/>
  <c r="W94" i="82"/>
  <c r="AC94" i="82" s="1"/>
  <c r="V94" i="82"/>
  <c r="AB94" i="82" s="1"/>
  <c r="X93" i="82"/>
  <c r="AD93" i="82" s="1"/>
  <c r="W93" i="82"/>
  <c r="AC93" i="82" s="1"/>
  <c r="V93" i="82"/>
  <c r="AB93" i="82" s="1"/>
  <c r="X92" i="82"/>
  <c r="AD92" i="82" s="1"/>
  <c r="W92" i="82"/>
  <c r="AC92" i="82" s="1"/>
  <c r="V92" i="82"/>
  <c r="AB92" i="82" s="1"/>
  <c r="X91" i="82"/>
  <c r="AD91" i="82" s="1"/>
  <c r="W91" i="82"/>
  <c r="AC91" i="82" s="1"/>
  <c r="V91" i="82"/>
  <c r="AB91" i="82" s="1"/>
  <c r="X90" i="82"/>
  <c r="AD90" i="82" s="1"/>
  <c r="W90" i="82"/>
  <c r="AC90" i="82" s="1"/>
  <c r="V90" i="82"/>
  <c r="AB90" i="82" s="1"/>
  <c r="X89" i="82"/>
  <c r="AD89" i="82" s="1"/>
  <c r="W89" i="82"/>
  <c r="AC89" i="82" s="1"/>
  <c r="V89" i="82"/>
  <c r="AB89" i="82" s="1"/>
  <c r="X88" i="82"/>
  <c r="AD88" i="82" s="1"/>
  <c r="W88" i="82"/>
  <c r="AC88" i="82" s="1"/>
  <c r="V88" i="82"/>
  <c r="AB88" i="82" s="1"/>
  <c r="X87" i="82"/>
  <c r="AD87" i="82" s="1"/>
  <c r="W87" i="82"/>
  <c r="AC87" i="82" s="1"/>
  <c r="V87" i="82"/>
  <c r="AB87" i="82" s="1"/>
  <c r="X86" i="82"/>
  <c r="AD86" i="82" s="1"/>
  <c r="W86" i="82"/>
  <c r="AC86" i="82" s="1"/>
  <c r="V86" i="82"/>
  <c r="AB86" i="82" s="1"/>
  <c r="X85" i="82"/>
  <c r="AD85" i="82" s="1"/>
  <c r="W85" i="82"/>
  <c r="AC85" i="82" s="1"/>
  <c r="V85" i="82"/>
  <c r="AB85" i="82" s="1"/>
  <c r="X84" i="82"/>
  <c r="AD84" i="82" s="1"/>
  <c r="W84" i="82"/>
  <c r="AC84" i="82" s="1"/>
  <c r="V84" i="82"/>
  <c r="AB84" i="82" s="1"/>
  <c r="X83" i="82"/>
  <c r="AD83" i="82" s="1"/>
  <c r="W83" i="82"/>
  <c r="AC83" i="82" s="1"/>
  <c r="V83" i="82"/>
  <c r="AB83" i="82" s="1"/>
  <c r="X82" i="82"/>
  <c r="AD82" i="82" s="1"/>
  <c r="W82" i="82"/>
  <c r="AC82" i="82" s="1"/>
  <c r="V82" i="82"/>
  <c r="AB82" i="82" s="1"/>
  <c r="X81" i="82"/>
  <c r="AD81" i="82" s="1"/>
  <c r="W81" i="82"/>
  <c r="AC81" i="82" s="1"/>
  <c r="V81" i="82"/>
  <c r="AB81" i="82" s="1"/>
  <c r="X80" i="82"/>
  <c r="AD80" i="82" s="1"/>
  <c r="W80" i="82"/>
  <c r="AC80" i="82" s="1"/>
  <c r="V80" i="82"/>
  <c r="AB80" i="82" s="1"/>
  <c r="X79" i="82"/>
  <c r="AD79" i="82" s="1"/>
  <c r="W79" i="82"/>
  <c r="AC79" i="82" s="1"/>
  <c r="V79" i="82"/>
  <c r="AB79" i="82" s="1"/>
  <c r="X78" i="82"/>
  <c r="AD78" i="82" s="1"/>
  <c r="W78" i="82"/>
  <c r="AC78" i="82" s="1"/>
  <c r="V78" i="82"/>
  <c r="AB78" i="82" s="1"/>
  <c r="X77" i="82"/>
  <c r="AD77" i="82" s="1"/>
  <c r="W77" i="82"/>
  <c r="AC77" i="82" s="1"/>
  <c r="V77" i="82"/>
  <c r="AB77" i="82" s="1"/>
  <c r="X76" i="82"/>
  <c r="AD76" i="82" s="1"/>
  <c r="W76" i="82"/>
  <c r="AC76" i="82" s="1"/>
  <c r="V76" i="82"/>
  <c r="AB76" i="82" s="1"/>
  <c r="X75" i="82"/>
  <c r="AD75" i="82" s="1"/>
  <c r="W75" i="82"/>
  <c r="AC75" i="82" s="1"/>
  <c r="V75" i="82"/>
  <c r="AB75" i="82" s="1"/>
  <c r="X74" i="82"/>
  <c r="AD74" i="82" s="1"/>
  <c r="W74" i="82"/>
  <c r="AC74" i="82" s="1"/>
  <c r="V74" i="82"/>
  <c r="AB74" i="82" s="1"/>
  <c r="X73" i="82"/>
  <c r="AD73" i="82" s="1"/>
  <c r="W73" i="82"/>
  <c r="AC73" i="82" s="1"/>
  <c r="V73" i="82"/>
  <c r="AB73" i="82" s="1"/>
  <c r="X72" i="82"/>
  <c r="AD72" i="82" s="1"/>
  <c r="W72" i="82"/>
  <c r="AC72" i="82" s="1"/>
  <c r="V72" i="82"/>
  <c r="AB72" i="82" s="1"/>
  <c r="X71" i="82"/>
  <c r="AD71" i="82" s="1"/>
  <c r="W71" i="82"/>
  <c r="AC71" i="82" s="1"/>
  <c r="V71" i="82"/>
  <c r="AB71" i="82" s="1"/>
  <c r="X70" i="82"/>
  <c r="AD70" i="82" s="1"/>
  <c r="W70" i="82"/>
  <c r="AC70" i="82" s="1"/>
  <c r="V70" i="82"/>
  <c r="AB70" i="82" s="1"/>
  <c r="X69" i="82"/>
  <c r="AD69" i="82" s="1"/>
  <c r="W69" i="82"/>
  <c r="AC69" i="82" s="1"/>
  <c r="V69" i="82"/>
  <c r="AB69" i="82" s="1"/>
  <c r="X68" i="82"/>
  <c r="AD68" i="82" s="1"/>
  <c r="W68" i="82"/>
  <c r="AC68" i="82" s="1"/>
  <c r="V68" i="82"/>
  <c r="AB68" i="82" s="1"/>
  <c r="X67" i="82"/>
  <c r="AD67" i="82" s="1"/>
  <c r="W67" i="82"/>
  <c r="AC67" i="82" s="1"/>
  <c r="V67" i="82"/>
  <c r="AB67" i="82" s="1"/>
  <c r="X66" i="82"/>
  <c r="AD66" i="82" s="1"/>
  <c r="W66" i="82"/>
  <c r="AC66" i="82" s="1"/>
  <c r="V66" i="82"/>
  <c r="AB66" i="82" s="1"/>
  <c r="X65" i="82"/>
  <c r="AD65" i="82" s="1"/>
  <c r="W65" i="82"/>
  <c r="AC65" i="82" s="1"/>
  <c r="V65" i="82"/>
  <c r="AB65" i="82" s="1"/>
  <c r="X64" i="82"/>
  <c r="AD64" i="82" s="1"/>
  <c r="W64" i="82"/>
  <c r="AC64" i="82" s="1"/>
  <c r="V64" i="82"/>
  <c r="AB64" i="82" s="1"/>
  <c r="X63" i="82"/>
  <c r="AD63" i="82" s="1"/>
  <c r="W63" i="82"/>
  <c r="AC63" i="82" s="1"/>
  <c r="V63" i="82"/>
  <c r="AB63" i="82" s="1"/>
  <c r="X62" i="82"/>
  <c r="AD62" i="82" s="1"/>
  <c r="W62" i="82"/>
  <c r="AC62" i="82" s="1"/>
  <c r="V62" i="82"/>
  <c r="AB62" i="82" s="1"/>
  <c r="X61" i="82"/>
  <c r="AD61" i="82" s="1"/>
  <c r="W61" i="82"/>
  <c r="V61" i="82"/>
  <c r="AB61" i="82" s="1"/>
  <c r="X60" i="82"/>
  <c r="AD60" i="82" s="1"/>
  <c r="W60" i="82"/>
  <c r="AC60" i="82" s="1"/>
  <c r="V60" i="82"/>
  <c r="AB60" i="82" s="1"/>
  <c r="X59" i="82"/>
  <c r="AD59" i="82" s="1"/>
  <c r="W59" i="82"/>
  <c r="AC59" i="82" s="1"/>
  <c r="V59" i="82"/>
  <c r="AB59" i="82" s="1"/>
  <c r="X58" i="82"/>
  <c r="AD58" i="82" s="1"/>
  <c r="W58" i="82"/>
  <c r="AC58" i="82" s="1"/>
  <c r="V58" i="82"/>
  <c r="AB58" i="82" s="1"/>
  <c r="X57" i="82"/>
  <c r="AD57" i="82" s="1"/>
  <c r="W57" i="82"/>
  <c r="AC57" i="82" s="1"/>
  <c r="V57" i="82"/>
  <c r="AB57" i="82" s="1"/>
  <c r="X56" i="82"/>
  <c r="AD56" i="82" s="1"/>
  <c r="W56" i="82"/>
  <c r="AC56" i="82" s="1"/>
  <c r="V56" i="82"/>
  <c r="AB56" i="82" s="1"/>
  <c r="X55" i="82"/>
  <c r="AD55" i="82" s="1"/>
  <c r="W55" i="82"/>
  <c r="AC55" i="82" s="1"/>
  <c r="V55" i="82"/>
  <c r="AB55" i="82" s="1"/>
  <c r="X54" i="82"/>
  <c r="AD54" i="82" s="1"/>
  <c r="W54" i="82"/>
  <c r="AC54" i="82" s="1"/>
  <c r="V54" i="82"/>
  <c r="AB54" i="82" s="1"/>
  <c r="X53" i="82"/>
  <c r="AD53" i="82" s="1"/>
  <c r="W53" i="82"/>
  <c r="AC53" i="82" s="1"/>
  <c r="V53" i="82"/>
  <c r="AB53" i="82" s="1"/>
  <c r="X52" i="82"/>
  <c r="AD52" i="82" s="1"/>
  <c r="W52" i="82"/>
  <c r="AC52" i="82" s="1"/>
  <c r="V52" i="82"/>
  <c r="AB52" i="82" s="1"/>
  <c r="X51" i="82"/>
  <c r="AD51" i="82" s="1"/>
  <c r="W51" i="82"/>
  <c r="AC51" i="82" s="1"/>
  <c r="V51" i="82"/>
  <c r="AB51" i="82" s="1"/>
  <c r="X50" i="82"/>
  <c r="AD50" i="82" s="1"/>
  <c r="W50" i="82"/>
  <c r="AC50" i="82" s="1"/>
  <c r="V50" i="82"/>
  <c r="AB50" i="82" s="1"/>
  <c r="X49" i="82"/>
  <c r="AD49" i="82" s="1"/>
  <c r="W49" i="82"/>
  <c r="AC49" i="82" s="1"/>
  <c r="V49" i="82"/>
  <c r="AB49" i="82" s="1"/>
  <c r="X48" i="82"/>
  <c r="AD48" i="82" s="1"/>
  <c r="W48" i="82"/>
  <c r="AC48" i="82" s="1"/>
  <c r="V48" i="82"/>
  <c r="AB48" i="82" s="1"/>
  <c r="X47" i="82"/>
  <c r="AD47" i="82" s="1"/>
  <c r="W47" i="82"/>
  <c r="AC47" i="82" s="1"/>
  <c r="V47" i="82"/>
  <c r="AB47" i="82" s="1"/>
  <c r="X46" i="82"/>
  <c r="AD46" i="82" s="1"/>
  <c r="W46" i="82"/>
  <c r="AC46" i="82" s="1"/>
  <c r="V46" i="82"/>
  <c r="AB46" i="82" s="1"/>
  <c r="X45" i="82"/>
  <c r="AD45" i="82" s="1"/>
  <c r="W45" i="82"/>
  <c r="AC45" i="82" s="1"/>
  <c r="V45" i="82"/>
  <c r="AB45" i="82" s="1"/>
  <c r="X44" i="82"/>
  <c r="AD44" i="82" s="1"/>
  <c r="W44" i="82"/>
  <c r="AC44" i="82" s="1"/>
  <c r="V44" i="82"/>
  <c r="AB44" i="82" s="1"/>
  <c r="X43" i="82"/>
  <c r="AD43" i="82" s="1"/>
  <c r="W43" i="82"/>
  <c r="AC43" i="82" s="1"/>
  <c r="V43" i="82"/>
  <c r="AB43" i="82" s="1"/>
  <c r="X42" i="82"/>
  <c r="AD42" i="82" s="1"/>
  <c r="W42" i="82"/>
  <c r="AC42" i="82" s="1"/>
  <c r="V42" i="82"/>
  <c r="AB42" i="82" s="1"/>
  <c r="X41" i="82"/>
  <c r="AD41" i="82" s="1"/>
  <c r="W41" i="82"/>
  <c r="AC41" i="82" s="1"/>
  <c r="V41" i="82"/>
  <c r="AB41" i="82" s="1"/>
  <c r="X40" i="82"/>
  <c r="AD40" i="82" s="1"/>
  <c r="W40" i="82"/>
  <c r="AC40" i="82" s="1"/>
  <c r="V40" i="82"/>
  <c r="AB40" i="82" s="1"/>
  <c r="X39" i="82"/>
  <c r="AD39" i="82" s="1"/>
  <c r="W39" i="82"/>
  <c r="AC39" i="82" s="1"/>
  <c r="V39" i="82"/>
  <c r="AB39" i="82" s="1"/>
  <c r="X38" i="82"/>
  <c r="AD38" i="82" s="1"/>
  <c r="W38" i="82"/>
  <c r="AC38" i="82" s="1"/>
  <c r="V38" i="82"/>
  <c r="AB38" i="82" s="1"/>
  <c r="X37" i="82"/>
  <c r="AD37" i="82" s="1"/>
  <c r="W37" i="82"/>
  <c r="AC37" i="82" s="1"/>
  <c r="V37" i="82"/>
  <c r="AB37" i="82" s="1"/>
  <c r="X36" i="82"/>
  <c r="AD36" i="82" s="1"/>
  <c r="W36" i="82"/>
  <c r="AC36" i="82" s="1"/>
  <c r="V36" i="82"/>
  <c r="AB36" i="82" s="1"/>
  <c r="X35" i="82"/>
  <c r="AD35" i="82" s="1"/>
  <c r="W35" i="82"/>
  <c r="AC35" i="82" s="1"/>
  <c r="V35" i="82"/>
  <c r="AB35" i="82" s="1"/>
  <c r="X34" i="82"/>
  <c r="AD34" i="82" s="1"/>
  <c r="W34" i="82"/>
  <c r="AC34" i="82" s="1"/>
  <c r="V34" i="82"/>
  <c r="AB34" i="82" s="1"/>
  <c r="X33" i="82"/>
  <c r="AD33" i="82" s="1"/>
  <c r="W33" i="82"/>
  <c r="AC33" i="82" s="1"/>
  <c r="V33" i="82"/>
  <c r="AB33" i="82" s="1"/>
  <c r="X32" i="82"/>
  <c r="AD32" i="82" s="1"/>
  <c r="W32" i="82"/>
  <c r="AC32" i="82" s="1"/>
  <c r="V32" i="82"/>
  <c r="AB32" i="82" s="1"/>
  <c r="X31" i="82"/>
  <c r="AD31" i="82" s="1"/>
  <c r="W31" i="82"/>
  <c r="AC31" i="82" s="1"/>
  <c r="V31" i="82"/>
  <c r="AB31" i="82" s="1"/>
  <c r="X30" i="82"/>
  <c r="AD30" i="82" s="1"/>
  <c r="W30" i="82"/>
  <c r="AC30" i="82" s="1"/>
  <c r="V30" i="82"/>
  <c r="AB30" i="82" s="1"/>
  <c r="X29" i="82"/>
  <c r="AD29" i="82" s="1"/>
  <c r="W29" i="82"/>
  <c r="AC29" i="82" s="1"/>
  <c r="V29" i="82"/>
  <c r="AB29" i="82" s="1"/>
  <c r="X28" i="82"/>
  <c r="AD28" i="82" s="1"/>
  <c r="W28" i="82"/>
  <c r="AC28" i="82" s="1"/>
  <c r="V28" i="82"/>
  <c r="AB28" i="82" s="1"/>
  <c r="X27" i="82"/>
  <c r="AD27" i="82" s="1"/>
  <c r="W27" i="82"/>
  <c r="AC27" i="82" s="1"/>
  <c r="V27" i="82"/>
  <c r="AB27" i="82" s="1"/>
  <c r="X26" i="82"/>
  <c r="AD26" i="82" s="1"/>
  <c r="W26" i="82"/>
  <c r="AC26" i="82" s="1"/>
  <c r="V26" i="82"/>
  <c r="AB26" i="82" s="1"/>
  <c r="X25" i="82"/>
  <c r="AD25" i="82" s="1"/>
  <c r="W25" i="82"/>
  <c r="AC25" i="82" s="1"/>
  <c r="V25" i="82"/>
  <c r="AB25" i="82" s="1"/>
  <c r="X24" i="82"/>
  <c r="AD24" i="82" s="1"/>
  <c r="W24" i="82"/>
  <c r="AC24" i="82" s="1"/>
  <c r="V24" i="82"/>
  <c r="AB24" i="82" s="1"/>
  <c r="X23" i="82"/>
  <c r="AD23" i="82" s="1"/>
  <c r="W23" i="82"/>
  <c r="AC23" i="82" s="1"/>
  <c r="V23" i="82"/>
  <c r="AB23" i="82" s="1"/>
  <c r="X22" i="82"/>
  <c r="AD22" i="82" s="1"/>
  <c r="W22" i="82"/>
  <c r="AC22" i="82" s="1"/>
  <c r="V22" i="82"/>
  <c r="AB22" i="82" s="1"/>
  <c r="X21" i="82"/>
  <c r="AD21" i="82" s="1"/>
  <c r="W21" i="82"/>
  <c r="AC21" i="82" s="1"/>
  <c r="V21" i="82"/>
  <c r="AB21" i="82" s="1"/>
  <c r="X20" i="82"/>
  <c r="AD20" i="82" s="1"/>
  <c r="W20" i="82"/>
  <c r="AC20" i="82" s="1"/>
  <c r="V20" i="82"/>
  <c r="AB20" i="82" s="1"/>
  <c r="X19" i="82"/>
  <c r="AD19" i="82" s="1"/>
  <c r="W19" i="82"/>
  <c r="AC19" i="82" s="1"/>
  <c r="V19" i="82"/>
  <c r="AB19" i="82" s="1"/>
  <c r="X18" i="82"/>
  <c r="AD18" i="82" s="1"/>
  <c r="W18" i="82"/>
  <c r="AC18" i="82" s="1"/>
  <c r="V18" i="82"/>
  <c r="AB18" i="82" s="1"/>
  <c r="X17" i="82"/>
  <c r="AD17" i="82" s="1"/>
  <c r="W17" i="82"/>
  <c r="AC17" i="82" s="1"/>
  <c r="V17" i="82"/>
  <c r="AB17" i="82" s="1"/>
  <c r="X16" i="82"/>
  <c r="AD16" i="82" s="1"/>
  <c r="W16" i="82"/>
  <c r="AC16" i="82" s="1"/>
  <c r="V16" i="82"/>
  <c r="AB16" i="82" s="1"/>
  <c r="X15" i="82"/>
  <c r="AD15" i="82" s="1"/>
  <c r="W15" i="82"/>
  <c r="AC15" i="82" s="1"/>
  <c r="V15" i="82"/>
  <c r="AB15" i="82" s="1"/>
  <c r="X14" i="82"/>
  <c r="AD14" i="82" s="1"/>
  <c r="W14" i="82"/>
  <c r="AC14" i="82" s="1"/>
  <c r="V14" i="82"/>
  <c r="AB14" i="82" s="1"/>
  <c r="X13" i="82"/>
  <c r="AD13" i="82" s="1"/>
  <c r="W13" i="82"/>
  <c r="AC13" i="82" s="1"/>
  <c r="V13" i="82"/>
  <c r="AB13" i="82" s="1"/>
  <c r="X12" i="82"/>
  <c r="AD12" i="82" s="1"/>
  <c r="W12" i="82"/>
  <c r="AC12" i="82" s="1"/>
  <c r="V12" i="82"/>
  <c r="AB12" i="82" s="1"/>
  <c r="X11" i="82"/>
  <c r="AD11" i="82" s="1"/>
  <c r="W11" i="82"/>
  <c r="AC11" i="82" s="1"/>
  <c r="V11" i="82"/>
  <c r="AB11" i="82" s="1"/>
  <c r="X10" i="82"/>
  <c r="AD10" i="82" s="1"/>
  <c r="W10" i="82"/>
  <c r="AC10" i="82" s="1"/>
  <c r="V10" i="82"/>
  <c r="AB10" i="82" s="1"/>
  <c r="X9" i="82"/>
  <c r="AD9" i="82" s="1"/>
  <c r="W9" i="82"/>
  <c r="AC9" i="82" s="1"/>
  <c r="V9" i="82"/>
  <c r="AB9" i="82" s="1"/>
  <c r="X8" i="82"/>
  <c r="W8" i="82"/>
  <c r="AC8" i="82" s="1"/>
  <c r="V8" i="82"/>
  <c r="AB8" i="82" s="1"/>
  <c r="X7" i="82"/>
  <c r="AD7" i="82" s="1"/>
  <c r="W7" i="82"/>
  <c r="AC7" i="82" s="1"/>
  <c r="V7" i="82"/>
  <c r="AB7" i="82" s="1"/>
  <c r="X6" i="82"/>
  <c r="AD6" i="82" s="1"/>
  <c r="W6" i="82"/>
  <c r="AC6" i="82" s="1"/>
  <c r="V6" i="82"/>
  <c r="AB6" i="82" s="1"/>
  <c r="X5" i="82"/>
  <c r="W5" i="82"/>
  <c r="AC5" i="82" s="1"/>
  <c r="V5" i="82"/>
  <c r="AB5" i="82" s="1"/>
  <c r="X4" i="82"/>
  <c r="AD4" i="82" s="1"/>
  <c r="W4" i="82"/>
  <c r="AC4" i="82" s="1"/>
  <c r="V4" i="82"/>
  <c r="AB4" i="82" s="1"/>
  <c r="X3" i="82"/>
  <c r="AD3" i="82" s="1"/>
  <c r="W3" i="82"/>
  <c r="AC3" i="82" s="1"/>
  <c r="V3" i="82"/>
  <c r="AB3" i="82" s="1"/>
  <c r="X2" i="82"/>
  <c r="AD2" i="82" s="1"/>
  <c r="W2" i="82"/>
  <c r="V2" i="82"/>
  <c r="AB2" i="82" s="1"/>
  <c r="AD74" i="67"/>
  <c r="AB74" i="67"/>
  <c r="AA74" i="67"/>
  <c r="Z74" i="67"/>
  <c r="X74" i="67"/>
  <c r="W74" i="67"/>
  <c r="AD73" i="67"/>
  <c r="AB73" i="67"/>
  <c r="AA73" i="67"/>
  <c r="Z73" i="67"/>
  <c r="Z73" i="68" s="1"/>
  <c r="X73" i="67"/>
  <c r="W73" i="67"/>
  <c r="AD72" i="67"/>
  <c r="AB72" i="67"/>
  <c r="AA72" i="67"/>
  <c r="AA72" i="68" s="1"/>
  <c r="Z72" i="67"/>
  <c r="Z72" i="68" s="1"/>
  <c r="X72" i="67"/>
  <c r="W72" i="67"/>
  <c r="AD71" i="67"/>
  <c r="AB71" i="67"/>
  <c r="AA71" i="67"/>
  <c r="Z71" i="67"/>
  <c r="X71" i="67"/>
  <c r="W71" i="67"/>
  <c r="AD70" i="67"/>
  <c r="AB70" i="67"/>
  <c r="AA70" i="67"/>
  <c r="Z70" i="67"/>
  <c r="X70" i="67"/>
  <c r="W70" i="67"/>
  <c r="AD69" i="67"/>
  <c r="AB69" i="67"/>
  <c r="AA69" i="67"/>
  <c r="AA69" i="68" s="1"/>
  <c r="Z69" i="67"/>
  <c r="Z69" i="68" s="1"/>
  <c r="X69" i="67"/>
  <c r="W69" i="67"/>
  <c r="AD68" i="67"/>
  <c r="AB68" i="67"/>
  <c r="AA68" i="67"/>
  <c r="AA68" i="68" s="1"/>
  <c r="Z68" i="67"/>
  <c r="X68" i="67"/>
  <c r="W68" i="67"/>
  <c r="AD67" i="67"/>
  <c r="AB67" i="67"/>
  <c r="AA67" i="67"/>
  <c r="AA67" i="68" s="1"/>
  <c r="Z67" i="67"/>
  <c r="X67" i="67"/>
  <c r="W67" i="67"/>
  <c r="V67" i="67"/>
  <c r="AD66" i="67"/>
  <c r="AB66" i="67"/>
  <c r="AA66" i="67"/>
  <c r="AA66" i="68" s="1"/>
  <c r="Z66" i="67"/>
  <c r="X66" i="67"/>
  <c r="W66" i="67"/>
  <c r="AD65" i="67"/>
  <c r="AB65" i="67"/>
  <c r="AA65" i="67"/>
  <c r="Z65" i="67"/>
  <c r="Z65" i="68" s="1"/>
  <c r="Y65" i="67"/>
  <c r="X65" i="67"/>
  <c r="W65" i="67"/>
  <c r="AD64" i="67"/>
  <c r="AB64" i="67"/>
  <c r="AA64" i="67"/>
  <c r="Z64" i="67"/>
  <c r="X64" i="67"/>
  <c r="W64" i="67"/>
  <c r="AD63" i="67"/>
  <c r="AB63" i="67"/>
  <c r="AA63" i="67"/>
  <c r="AA63" i="68" s="1"/>
  <c r="Z63" i="67"/>
  <c r="Z63" i="68" s="1"/>
  <c r="X63" i="67"/>
  <c r="W63" i="67"/>
  <c r="V63" i="67"/>
  <c r="U63" i="67"/>
  <c r="AD62" i="67"/>
  <c r="AB62" i="67"/>
  <c r="AA62" i="67"/>
  <c r="Z62" i="67"/>
  <c r="Z62" i="68" s="1"/>
  <c r="X62" i="67"/>
  <c r="W62" i="67"/>
  <c r="AD61" i="67"/>
  <c r="AB61" i="67"/>
  <c r="AA61" i="67"/>
  <c r="Z61" i="67"/>
  <c r="Z61" i="68" s="1"/>
  <c r="X61" i="67"/>
  <c r="W61" i="67"/>
  <c r="AD60" i="67"/>
  <c r="AB60" i="67"/>
  <c r="AA60" i="67"/>
  <c r="AA60" i="68" s="1"/>
  <c r="Z60" i="67"/>
  <c r="X60" i="67"/>
  <c r="W60" i="67"/>
  <c r="AD59" i="67"/>
  <c r="AB59" i="67"/>
  <c r="AA59" i="67"/>
  <c r="Z59" i="67"/>
  <c r="Z59" i="68" s="1"/>
  <c r="X59" i="67"/>
  <c r="W59" i="67"/>
  <c r="U59" i="67"/>
  <c r="AD58" i="67"/>
  <c r="AB58" i="67"/>
  <c r="AA58" i="67"/>
  <c r="Z58" i="67"/>
  <c r="X58" i="67"/>
  <c r="W58" i="67"/>
  <c r="AD57" i="67"/>
  <c r="AB57" i="67"/>
  <c r="AA57" i="67"/>
  <c r="AA57" i="68" s="1"/>
  <c r="Z57" i="67"/>
  <c r="Z57" i="68" s="1"/>
  <c r="X57" i="67"/>
  <c r="W57" i="67"/>
  <c r="AD56" i="67"/>
  <c r="AB56" i="67"/>
  <c r="AA56" i="67"/>
  <c r="Z56" i="67"/>
  <c r="X56" i="67"/>
  <c r="W56" i="67"/>
  <c r="AD55" i="67"/>
  <c r="AB55" i="67"/>
  <c r="AA55" i="67"/>
  <c r="Z55" i="67"/>
  <c r="X55" i="67"/>
  <c r="W55" i="67"/>
  <c r="AD54" i="67"/>
  <c r="AB54" i="67"/>
  <c r="AA54" i="67"/>
  <c r="Z54" i="67"/>
  <c r="X54" i="67"/>
  <c r="W54" i="67"/>
  <c r="AD53" i="67"/>
  <c r="AB53" i="67"/>
  <c r="AA53" i="67"/>
  <c r="AA53" i="68" s="1"/>
  <c r="Z53" i="67"/>
  <c r="Z53" i="68" s="1"/>
  <c r="X53" i="67"/>
  <c r="W53" i="67"/>
  <c r="AD52" i="67"/>
  <c r="AB52" i="67"/>
  <c r="AA52" i="67"/>
  <c r="AA52" i="68" s="1"/>
  <c r="Z52" i="67"/>
  <c r="Z52" i="68" s="1"/>
  <c r="X52" i="67"/>
  <c r="W52" i="67"/>
  <c r="AD51" i="67"/>
  <c r="AB51" i="67"/>
  <c r="AA51" i="67"/>
  <c r="Z51" i="67"/>
  <c r="X51" i="67"/>
  <c r="W51" i="67"/>
  <c r="V51" i="67"/>
  <c r="AD50" i="67"/>
  <c r="AB50" i="67"/>
  <c r="AA50" i="67"/>
  <c r="AA50" i="68" s="1"/>
  <c r="Z50" i="67"/>
  <c r="X50" i="67"/>
  <c r="W50" i="67"/>
  <c r="AD49" i="67"/>
  <c r="AB49" i="67"/>
  <c r="AA49" i="67"/>
  <c r="Z49" i="67"/>
  <c r="Z49" i="68" s="1"/>
  <c r="X49" i="67"/>
  <c r="W49" i="67"/>
  <c r="AD48" i="67"/>
  <c r="AC48" i="67"/>
  <c r="AB48" i="67"/>
  <c r="AA48" i="67"/>
  <c r="Z48" i="67"/>
  <c r="Z48" i="68" s="1"/>
  <c r="Y48" i="67"/>
  <c r="X48" i="67"/>
  <c r="W48" i="67"/>
  <c r="V48" i="67"/>
  <c r="U48" i="67"/>
  <c r="AD47" i="67"/>
  <c r="AB47" i="67"/>
  <c r="AA47" i="67"/>
  <c r="AA47" i="68" s="1"/>
  <c r="Z47" i="67"/>
  <c r="X47" i="67"/>
  <c r="W47" i="67"/>
  <c r="V47" i="67"/>
  <c r="AD46" i="67"/>
  <c r="AB46" i="67"/>
  <c r="AA46" i="67"/>
  <c r="AA46" i="68" s="1"/>
  <c r="Z46" i="67"/>
  <c r="X46" i="67"/>
  <c r="W46" i="67"/>
  <c r="AD45" i="67"/>
  <c r="AB45" i="67"/>
  <c r="AA45" i="67"/>
  <c r="Z45" i="67"/>
  <c r="Z45" i="68" s="1"/>
  <c r="X45" i="67"/>
  <c r="W45" i="67"/>
  <c r="AD44" i="67"/>
  <c r="AB44" i="67"/>
  <c r="AA44" i="67"/>
  <c r="AA44" i="68" s="1"/>
  <c r="Z44" i="67"/>
  <c r="X44" i="67"/>
  <c r="W44" i="67"/>
  <c r="AD43" i="67"/>
  <c r="AC43" i="67"/>
  <c r="AB43" i="67"/>
  <c r="AA43" i="67"/>
  <c r="AA43" i="68" s="1"/>
  <c r="Z43" i="67"/>
  <c r="Z43" i="68" s="1"/>
  <c r="Y43" i="67"/>
  <c r="X43" i="67"/>
  <c r="W43" i="67"/>
  <c r="V43" i="67"/>
  <c r="U43" i="67"/>
  <c r="AD42" i="67"/>
  <c r="AC42" i="67"/>
  <c r="AB42" i="67"/>
  <c r="AA42" i="67"/>
  <c r="Z42" i="67"/>
  <c r="Y42" i="67"/>
  <c r="X42" i="67"/>
  <c r="W42" i="67"/>
  <c r="V42" i="67"/>
  <c r="U42" i="67"/>
  <c r="AD41" i="67"/>
  <c r="AC41" i="67"/>
  <c r="AB41" i="67"/>
  <c r="AA41" i="67"/>
  <c r="Z41" i="67"/>
  <c r="Z41" i="68" s="1"/>
  <c r="Y41" i="67"/>
  <c r="X41" i="67"/>
  <c r="W41" i="67"/>
  <c r="V41" i="67"/>
  <c r="U41" i="67"/>
  <c r="AD40" i="67"/>
  <c r="AC40" i="67"/>
  <c r="AB40" i="67"/>
  <c r="AA40" i="67"/>
  <c r="Z40" i="67"/>
  <c r="Y40" i="67"/>
  <c r="X40" i="67"/>
  <c r="W40" i="67"/>
  <c r="V40" i="67"/>
  <c r="U40" i="67"/>
  <c r="AD39" i="67"/>
  <c r="AC39" i="67"/>
  <c r="AB39" i="67"/>
  <c r="AA39" i="67"/>
  <c r="Z39" i="67"/>
  <c r="Z39" i="68" s="1"/>
  <c r="Y39" i="67"/>
  <c r="X39" i="67"/>
  <c r="W39" i="67"/>
  <c r="V39" i="67"/>
  <c r="U39" i="67"/>
  <c r="AD38" i="67"/>
  <c r="AC38" i="67"/>
  <c r="AB38" i="67"/>
  <c r="AA38" i="67"/>
  <c r="Z38" i="67"/>
  <c r="Y38" i="67"/>
  <c r="X38" i="67"/>
  <c r="W38" i="67"/>
  <c r="V38" i="67"/>
  <c r="U38" i="67"/>
  <c r="AD37" i="67"/>
  <c r="AC37" i="67"/>
  <c r="AB37" i="67"/>
  <c r="AA37" i="67"/>
  <c r="AA37" i="68" s="1"/>
  <c r="Z37" i="67"/>
  <c r="Z37" i="68" s="1"/>
  <c r="Y37" i="67"/>
  <c r="X37" i="67"/>
  <c r="W37" i="67"/>
  <c r="V37" i="67"/>
  <c r="U37" i="67"/>
  <c r="AD36" i="67"/>
  <c r="AC36" i="67"/>
  <c r="AB36" i="67"/>
  <c r="AA36" i="67"/>
  <c r="AA36" i="68" s="1"/>
  <c r="Z36" i="67"/>
  <c r="Y36" i="67"/>
  <c r="X36" i="67"/>
  <c r="W36" i="67"/>
  <c r="V36" i="67"/>
  <c r="U36" i="67"/>
  <c r="AD35" i="67"/>
  <c r="AC35" i="67"/>
  <c r="AB35" i="67"/>
  <c r="AA35" i="67"/>
  <c r="AA35" i="68" s="1"/>
  <c r="Z35" i="67"/>
  <c r="Z35" i="68" s="1"/>
  <c r="Y35" i="67"/>
  <c r="X35" i="67"/>
  <c r="W35" i="67"/>
  <c r="V35" i="67"/>
  <c r="U35" i="67"/>
  <c r="AD34" i="67"/>
  <c r="AC34" i="67"/>
  <c r="AB34" i="67"/>
  <c r="AA34" i="67"/>
  <c r="Z34" i="67"/>
  <c r="Y34" i="67"/>
  <c r="X34" i="67"/>
  <c r="W34" i="67"/>
  <c r="V34" i="67"/>
  <c r="U34" i="67"/>
  <c r="AD33" i="67"/>
  <c r="AC33" i="67"/>
  <c r="AB33" i="67"/>
  <c r="AA33" i="67"/>
  <c r="Z33" i="67"/>
  <c r="Z33" i="68" s="1"/>
  <c r="Y33" i="67"/>
  <c r="X33" i="67"/>
  <c r="W33" i="67"/>
  <c r="V33" i="67"/>
  <c r="U33" i="67"/>
  <c r="AD32" i="67"/>
  <c r="AC32" i="67"/>
  <c r="AB32" i="67"/>
  <c r="AA32" i="67"/>
  <c r="Z32" i="67"/>
  <c r="Y32" i="67"/>
  <c r="X32" i="67"/>
  <c r="W32" i="67"/>
  <c r="V32" i="67"/>
  <c r="U32" i="67"/>
  <c r="AD31" i="67"/>
  <c r="AC31" i="67"/>
  <c r="AB31" i="67"/>
  <c r="AA31" i="67"/>
  <c r="AA31" i="68" s="1"/>
  <c r="Z31" i="67"/>
  <c r="Z31" i="68" s="1"/>
  <c r="Y31" i="67"/>
  <c r="X31" i="67"/>
  <c r="W31" i="67"/>
  <c r="V31" i="67"/>
  <c r="U31" i="67"/>
  <c r="AD30" i="67"/>
  <c r="AC30" i="67"/>
  <c r="AB30" i="67"/>
  <c r="AA30" i="67"/>
  <c r="Z30" i="67"/>
  <c r="Y30" i="67"/>
  <c r="X30" i="67"/>
  <c r="W30" i="67"/>
  <c r="V30" i="67"/>
  <c r="U30" i="67"/>
  <c r="AD29" i="67"/>
  <c r="AC29" i="67"/>
  <c r="AB29" i="67"/>
  <c r="AA29" i="67"/>
  <c r="Z29" i="67"/>
  <c r="Z29" i="68" s="1"/>
  <c r="Y29" i="67"/>
  <c r="X29" i="67"/>
  <c r="W29" i="67"/>
  <c r="V29" i="67"/>
  <c r="U29" i="67"/>
  <c r="AD28" i="67"/>
  <c r="AC28" i="67"/>
  <c r="AB28" i="67"/>
  <c r="AA28" i="67"/>
  <c r="AA28" i="68" s="1"/>
  <c r="Z28" i="67"/>
  <c r="Z28" i="68" s="1"/>
  <c r="Y28" i="67"/>
  <c r="X28" i="67"/>
  <c r="W28" i="67"/>
  <c r="V28" i="67"/>
  <c r="U28" i="67"/>
  <c r="AD27" i="67"/>
  <c r="AC27" i="67"/>
  <c r="AB27" i="67"/>
  <c r="AA27" i="67"/>
  <c r="AA27" i="68" s="1"/>
  <c r="Z27" i="67"/>
  <c r="Y27" i="67"/>
  <c r="X27" i="67"/>
  <c r="W27" i="67"/>
  <c r="V27" i="67"/>
  <c r="U27" i="67"/>
  <c r="AD26" i="67"/>
  <c r="AC26" i="67"/>
  <c r="AB26" i="67"/>
  <c r="AA26" i="67"/>
  <c r="Z26" i="67"/>
  <c r="Y26" i="67"/>
  <c r="X26" i="67"/>
  <c r="W26" i="67"/>
  <c r="V26" i="67"/>
  <c r="U26" i="67"/>
  <c r="AD25" i="67"/>
  <c r="AC25" i="67"/>
  <c r="AB25" i="67"/>
  <c r="AA25" i="67"/>
  <c r="Z25" i="67"/>
  <c r="Z25" i="68" s="1"/>
  <c r="Y25" i="67"/>
  <c r="X25" i="67"/>
  <c r="W25" i="67"/>
  <c r="V25" i="67"/>
  <c r="U25" i="67"/>
  <c r="AD24" i="67"/>
  <c r="AB24" i="67"/>
  <c r="AA24" i="67"/>
  <c r="AA24" i="68" s="1"/>
  <c r="Z24" i="67"/>
  <c r="Z24" i="68" s="1"/>
  <c r="AD23" i="67"/>
  <c r="AC23" i="67"/>
  <c r="AB23" i="67"/>
  <c r="AA23" i="67"/>
  <c r="Z23" i="67"/>
  <c r="Y23" i="67"/>
  <c r="X23" i="67"/>
  <c r="W23" i="67"/>
  <c r="V23" i="67"/>
  <c r="U23" i="67"/>
  <c r="AD22" i="67"/>
  <c r="AC22" i="67"/>
  <c r="AB22" i="67"/>
  <c r="AA22" i="67"/>
  <c r="AA22" i="68" s="1"/>
  <c r="Z22" i="67"/>
  <c r="Z22" i="68" s="1"/>
  <c r="Y22" i="67"/>
  <c r="X22" i="67"/>
  <c r="W22" i="67"/>
  <c r="V22" i="67"/>
  <c r="U22" i="67"/>
  <c r="AD21" i="67"/>
  <c r="AC21" i="67"/>
  <c r="AB21" i="67"/>
  <c r="AA21" i="67"/>
  <c r="Z21" i="67"/>
  <c r="Z21" i="68" s="1"/>
  <c r="Y21" i="67"/>
  <c r="X21" i="67"/>
  <c r="W21" i="67"/>
  <c r="V21" i="67"/>
  <c r="U21" i="67"/>
  <c r="AD20" i="67"/>
  <c r="AC20" i="67"/>
  <c r="AB20" i="67"/>
  <c r="AA20" i="67"/>
  <c r="AA20" i="68" s="1"/>
  <c r="Z20" i="67"/>
  <c r="Z20" i="68" s="1"/>
  <c r="Y20" i="67"/>
  <c r="X20" i="67"/>
  <c r="W20" i="67"/>
  <c r="V20" i="67"/>
  <c r="U20" i="67"/>
  <c r="AD19" i="67"/>
  <c r="AC19" i="67"/>
  <c r="AC19" i="68" s="1"/>
  <c r="AD19" i="68" s="1"/>
  <c r="AB19" i="67"/>
  <c r="AA19" i="67"/>
  <c r="Z19" i="67"/>
  <c r="Y19" i="67"/>
  <c r="Y19" i="68" s="1"/>
  <c r="X19" i="67"/>
  <c r="X19" i="68" s="1"/>
  <c r="W19" i="67"/>
  <c r="V19" i="67"/>
  <c r="V19" i="68" s="1"/>
  <c r="U19" i="67"/>
  <c r="U19" i="68" s="1"/>
  <c r="AD18" i="67"/>
  <c r="AC18" i="67"/>
  <c r="AB18" i="67"/>
  <c r="AA18" i="67"/>
  <c r="Z18" i="67"/>
  <c r="Y18" i="67"/>
  <c r="X18" i="67"/>
  <c r="X18" i="68" s="1"/>
  <c r="W18" i="67"/>
  <c r="W18" i="68" s="1"/>
  <c r="V18" i="67"/>
  <c r="V18" i="68" s="1"/>
  <c r="U18" i="67"/>
  <c r="AD17" i="67"/>
  <c r="AC17" i="67"/>
  <c r="AC17" i="68" s="1"/>
  <c r="AD17" i="68" s="1"/>
  <c r="AB17" i="67"/>
  <c r="AA17" i="67"/>
  <c r="Z17" i="67"/>
  <c r="Y17" i="67"/>
  <c r="Y17" i="68" s="1"/>
  <c r="X17" i="67"/>
  <c r="X17" i="68" s="1"/>
  <c r="W17" i="67"/>
  <c r="V17" i="67"/>
  <c r="U17" i="67"/>
  <c r="U17" i="68" s="1"/>
  <c r="AD16" i="67"/>
  <c r="AC16" i="67"/>
  <c r="AB16" i="67"/>
  <c r="AA16" i="67"/>
  <c r="AA16" i="68" s="1"/>
  <c r="Z16" i="67"/>
  <c r="Z16" i="68" s="1"/>
  <c r="Y16" i="67"/>
  <c r="X16" i="67"/>
  <c r="W16" i="67"/>
  <c r="V16" i="67"/>
  <c r="U16" i="67"/>
  <c r="AD15" i="67"/>
  <c r="AC15" i="67"/>
  <c r="AB15" i="67"/>
  <c r="AA15" i="67"/>
  <c r="Z15" i="67"/>
  <c r="Y15" i="67"/>
  <c r="Y15" i="68" s="1"/>
  <c r="X15" i="67"/>
  <c r="X15" i="68" s="1"/>
  <c r="W15" i="67"/>
  <c r="V15" i="67"/>
  <c r="V15" i="68" s="1"/>
  <c r="U15" i="67"/>
  <c r="U15" i="68" s="1"/>
  <c r="AD14" i="67"/>
  <c r="AC14" i="67"/>
  <c r="AB14" i="67"/>
  <c r="AA14" i="67"/>
  <c r="Z14" i="67"/>
  <c r="Y14" i="67"/>
  <c r="X14" i="67"/>
  <c r="X14" i="68" s="1"/>
  <c r="W14" i="67"/>
  <c r="W14" i="68" s="1"/>
  <c r="V14" i="67"/>
  <c r="V14" i="68" s="1"/>
  <c r="U14" i="67"/>
  <c r="AD13" i="67"/>
  <c r="AC13" i="67"/>
  <c r="AB13" i="67"/>
  <c r="AA13" i="67"/>
  <c r="Z13" i="67"/>
  <c r="Z13" i="68" s="1"/>
  <c r="Y13" i="67"/>
  <c r="Y13" i="68" s="1"/>
  <c r="X13" i="67"/>
  <c r="X13" i="68" s="1"/>
  <c r="W13" i="67"/>
  <c r="V13" i="67"/>
  <c r="U13" i="67"/>
  <c r="U13" i="68" s="1"/>
  <c r="AD12" i="67"/>
  <c r="AC12" i="67"/>
  <c r="AB12" i="67"/>
  <c r="AA12" i="67"/>
  <c r="AA12" i="68" s="1"/>
  <c r="Z12" i="67"/>
  <c r="Z12" i="68" s="1"/>
  <c r="Y12" i="67"/>
  <c r="X12" i="67"/>
  <c r="W12" i="67"/>
  <c r="W12" i="68" s="1"/>
  <c r="V12" i="67"/>
  <c r="V12" i="68" s="1"/>
  <c r="U12" i="67"/>
  <c r="AD11" i="67"/>
  <c r="AC11" i="67"/>
  <c r="AC11" i="68" s="1"/>
  <c r="AD11" i="68" s="1"/>
  <c r="AB11" i="67"/>
  <c r="AA11" i="67"/>
  <c r="Z11" i="67"/>
  <c r="Y11" i="67"/>
  <c r="X11" i="67"/>
  <c r="X11" i="68" s="1"/>
  <c r="W11" i="67"/>
  <c r="V11" i="67"/>
  <c r="V11" i="68" s="1"/>
  <c r="U11" i="67"/>
  <c r="U11" i="68" s="1"/>
  <c r="AD10" i="67"/>
  <c r="AC10" i="67"/>
  <c r="AB10" i="67"/>
  <c r="AA10" i="67"/>
  <c r="AA10" i="68" s="1"/>
  <c r="Z10" i="67"/>
  <c r="Y10" i="67"/>
  <c r="X10" i="67"/>
  <c r="W10" i="67"/>
  <c r="W10" i="68" s="1"/>
  <c r="V10" i="67"/>
  <c r="V10" i="68" s="1"/>
  <c r="U10" i="67"/>
  <c r="AD9" i="67"/>
  <c r="AC9" i="67"/>
  <c r="AC9" i="68" s="1"/>
  <c r="AD9" i="68" s="1"/>
  <c r="AB9" i="67"/>
  <c r="AA9" i="67"/>
  <c r="Z9" i="67"/>
  <c r="Z9" i="68" s="1"/>
  <c r="Y9" i="67"/>
  <c r="Y9" i="68" s="1"/>
  <c r="X9" i="67"/>
  <c r="X9" i="68" s="1"/>
  <c r="W9" i="67"/>
  <c r="V9" i="67"/>
  <c r="U9" i="67"/>
  <c r="U9" i="68" s="1"/>
  <c r="AD8" i="67"/>
  <c r="AC8" i="67"/>
  <c r="AB8" i="67"/>
  <c r="AA8" i="67"/>
  <c r="AA8" i="68" s="1"/>
  <c r="Z8" i="67"/>
  <c r="Z8" i="68" s="1"/>
  <c r="Y8" i="67"/>
  <c r="X8" i="67"/>
  <c r="W8" i="67"/>
  <c r="V8" i="67"/>
  <c r="U8" i="67"/>
  <c r="AD7" i="67"/>
  <c r="AC7" i="67"/>
  <c r="AB7" i="67"/>
  <c r="AA7" i="67"/>
  <c r="Z7" i="67"/>
  <c r="Y7" i="67"/>
  <c r="X7" i="67"/>
  <c r="W7" i="67"/>
  <c r="V7" i="67"/>
  <c r="U7" i="67"/>
  <c r="AD6" i="67"/>
  <c r="AC6" i="67"/>
  <c r="AB6" i="67"/>
  <c r="AA6" i="67"/>
  <c r="Z6" i="67"/>
  <c r="Z6" i="68" s="1"/>
  <c r="Y6" i="67"/>
  <c r="X6" i="67"/>
  <c r="W6" i="67"/>
  <c r="V6" i="67"/>
  <c r="U6" i="67"/>
  <c r="AD5" i="67"/>
  <c r="AC5" i="67"/>
  <c r="AB5" i="67"/>
  <c r="AA5" i="67"/>
  <c r="Z5" i="67"/>
  <c r="Z5" i="68" s="1"/>
  <c r="Y5" i="67"/>
  <c r="X5" i="67"/>
  <c r="W5" i="67"/>
  <c r="V5" i="67"/>
  <c r="U5" i="67"/>
  <c r="AP74" i="75"/>
  <c r="AC74" i="75"/>
  <c r="AC74" i="67" s="1"/>
  <c r="Y74" i="75"/>
  <c r="Y74" i="67" s="1"/>
  <c r="V74" i="75"/>
  <c r="V74" i="67" s="1"/>
  <c r="U74" i="75"/>
  <c r="U74" i="67" s="1"/>
  <c r="AP73" i="75"/>
  <c r="AC73" i="75"/>
  <c r="AC73" i="67" s="1"/>
  <c r="Y73" i="75"/>
  <c r="Y73" i="67" s="1"/>
  <c r="V73" i="75"/>
  <c r="V73" i="67" s="1"/>
  <c r="U73" i="75"/>
  <c r="U73" i="67" s="1"/>
  <c r="AP72" i="75"/>
  <c r="AC72" i="75"/>
  <c r="AC72" i="67" s="1"/>
  <c r="Y72" i="75"/>
  <c r="Y72" i="67" s="1"/>
  <c r="V72" i="75"/>
  <c r="V72" i="67" s="1"/>
  <c r="U72" i="75"/>
  <c r="U72" i="67" s="1"/>
  <c r="AP71" i="75"/>
  <c r="AC71" i="75"/>
  <c r="AC71" i="67" s="1"/>
  <c r="Y71" i="75"/>
  <c r="Y71" i="67" s="1"/>
  <c r="V71" i="75"/>
  <c r="V71" i="67" s="1"/>
  <c r="U71" i="75"/>
  <c r="U71" i="67" s="1"/>
  <c r="AP70" i="75"/>
  <c r="AC70" i="75"/>
  <c r="AC70" i="67" s="1"/>
  <c r="Y70" i="75"/>
  <c r="Y70" i="67" s="1"/>
  <c r="V70" i="75"/>
  <c r="V70" i="67" s="1"/>
  <c r="U70" i="75"/>
  <c r="U70" i="67" s="1"/>
  <c r="AP69" i="75"/>
  <c r="AC69" i="75"/>
  <c r="AC69" i="67" s="1"/>
  <c r="Y69" i="75"/>
  <c r="Y69" i="67" s="1"/>
  <c r="V69" i="75"/>
  <c r="V69" i="67" s="1"/>
  <c r="U69" i="75"/>
  <c r="U69" i="67" s="1"/>
  <c r="AP68" i="75"/>
  <c r="AC68" i="75"/>
  <c r="AC68" i="67" s="1"/>
  <c r="Y68" i="75"/>
  <c r="Y68" i="67" s="1"/>
  <c r="V68" i="75"/>
  <c r="V68" i="67" s="1"/>
  <c r="U68" i="75"/>
  <c r="U68" i="67" s="1"/>
  <c r="AP67" i="75"/>
  <c r="AC67" i="75"/>
  <c r="AC67" i="67" s="1"/>
  <c r="Y67" i="75"/>
  <c r="Y67" i="67" s="1"/>
  <c r="V67" i="75"/>
  <c r="U67" i="75"/>
  <c r="U67" i="67" s="1"/>
  <c r="AP66" i="75"/>
  <c r="AC66" i="75"/>
  <c r="AC66" i="67" s="1"/>
  <c r="Y66" i="75"/>
  <c r="Y66" i="67" s="1"/>
  <c r="V66" i="75"/>
  <c r="V66" i="67" s="1"/>
  <c r="U66" i="75"/>
  <c r="U66" i="67" s="1"/>
  <c r="AP65" i="75"/>
  <c r="AC65" i="75"/>
  <c r="AC65" i="67" s="1"/>
  <c r="Y65" i="75"/>
  <c r="V65" i="75"/>
  <c r="V65" i="67" s="1"/>
  <c r="U65" i="75"/>
  <c r="U65" i="67" s="1"/>
  <c r="AP64" i="75"/>
  <c r="AC64" i="75"/>
  <c r="AC64" i="67" s="1"/>
  <c r="Y64" i="75"/>
  <c r="Y64" i="67" s="1"/>
  <c r="V64" i="75"/>
  <c r="V64" i="67" s="1"/>
  <c r="U64" i="75"/>
  <c r="U64" i="67" s="1"/>
  <c r="AP63" i="75"/>
  <c r="AC63" i="75"/>
  <c r="AC63" i="67" s="1"/>
  <c r="Y63" i="75"/>
  <c r="Y63" i="67" s="1"/>
  <c r="V63" i="75"/>
  <c r="U63" i="75"/>
  <c r="AP62" i="75"/>
  <c r="AC62" i="75"/>
  <c r="AC62" i="67" s="1"/>
  <c r="Y62" i="75"/>
  <c r="Y62" i="67" s="1"/>
  <c r="V62" i="75"/>
  <c r="V62" i="67" s="1"/>
  <c r="U62" i="75"/>
  <c r="U62" i="67" s="1"/>
  <c r="AP61" i="75"/>
  <c r="AC61" i="75"/>
  <c r="AC61" i="67" s="1"/>
  <c r="Y61" i="75"/>
  <c r="Y61" i="67" s="1"/>
  <c r="V61" i="75"/>
  <c r="V61" i="67" s="1"/>
  <c r="U61" i="75"/>
  <c r="U61" i="67" s="1"/>
  <c r="AP60" i="75"/>
  <c r="AC60" i="75"/>
  <c r="AC60" i="67" s="1"/>
  <c r="Y60" i="75"/>
  <c r="Y60" i="67" s="1"/>
  <c r="V60" i="75"/>
  <c r="V60" i="67" s="1"/>
  <c r="U60" i="75"/>
  <c r="U60" i="67" s="1"/>
  <c r="AP59" i="75"/>
  <c r="AC59" i="75"/>
  <c r="AC59" i="67" s="1"/>
  <c r="Y59" i="75"/>
  <c r="Y59" i="67" s="1"/>
  <c r="V59" i="75"/>
  <c r="V59" i="67" s="1"/>
  <c r="U59" i="75"/>
  <c r="AP58" i="75"/>
  <c r="AC58" i="75"/>
  <c r="AC58" i="67" s="1"/>
  <c r="Y58" i="75"/>
  <c r="Y58" i="67" s="1"/>
  <c r="V58" i="75"/>
  <c r="V58" i="67" s="1"/>
  <c r="U58" i="75"/>
  <c r="U58" i="67" s="1"/>
  <c r="AP57" i="75"/>
  <c r="AC57" i="75"/>
  <c r="AC57" i="67" s="1"/>
  <c r="Y57" i="75"/>
  <c r="Y57" i="67" s="1"/>
  <c r="V57" i="75"/>
  <c r="V57" i="67" s="1"/>
  <c r="U57" i="75"/>
  <c r="U57" i="67" s="1"/>
  <c r="AP56" i="75"/>
  <c r="AC56" i="75"/>
  <c r="AC56" i="67" s="1"/>
  <c r="Y56" i="75"/>
  <c r="Y56" i="67" s="1"/>
  <c r="V56" i="75"/>
  <c r="V56" i="67" s="1"/>
  <c r="U56" i="75"/>
  <c r="U56" i="67" s="1"/>
  <c r="AP55" i="75"/>
  <c r="AC55" i="75"/>
  <c r="AC55" i="67" s="1"/>
  <c r="Y55" i="75"/>
  <c r="Y55" i="67" s="1"/>
  <c r="V55" i="75"/>
  <c r="V55" i="67" s="1"/>
  <c r="U55" i="75"/>
  <c r="U55" i="67" s="1"/>
  <c r="AP54" i="75"/>
  <c r="AC54" i="75"/>
  <c r="AC54" i="67" s="1"/>
  <c r="Y54" i="75"/>
  <c r="Y54" i="67" s="1"/>
  <c r="V54" i="75"/>
  <c r="V54" i="67" s="1"/>
  <c r="U54" i="75"/>
  <c r="U54" i="67" s="1"/>
  <c r="AP53" i="75"/>
  <c r="AC53" i="75"/>
  <c r="AC53" i="67" s="1"/>
  <c r="Y53" i="75"/>
  <c r="Y53" i="67" s="1"/>
  <c r="V53" i="75"/>
  <c r="V53" i="67" s="1"/>
  <c r="U53" i="75"/>
  <c r="U53" i="67" s="1"/>
  <c r="AP52" i="75"/>
  <c r="AC52" i="75"/>
  <c r="AC52" i="67" s="1"/>
  <c r="Y52" i="75"/>
  <c r="Y52" i="67" s="1"/>
  <c r="V52" i="75"/>
  <c r="V52" i="67" s="1"/>
  <c r="U52" i="75"/>
  <c r="U52" i="67" s="1"/>
  <c r="AP51" i="75"/>
  <c r="AC51" i="75"/>
  <c r="AC51" i="67" s="1"/>
  <c r="Y51" i="75"/>
  <c r="Y51" i="67" s="1"/>
  <c r="V51" i="75"/>
  <c r="U51" i="75"/>
  <c r="U51" i="67" s="1"/>
  <c r="AP50" i="75"/>
  <c r="AC50" i="75"/>
  <c r="AC50" i="67" s="1"/>
  <c r="Y50" i="75"/>
  <c r="Y50" i="67" s="1"/>
  <c r="V50" i="75"/>
  <c r="V50" i="67" s="1"/>
  <c r="U50" i="75"/>
  <c r="U50" i="67" s="1"/>
  <c r="AP49" i="75"/>
  <c r="AC49" i="75"/>
  <c r="AC49" i="67" s="1"/>
  <c r="Y49" i="75"/>
  <c r="Y49" i="67" s="1"/>
  <c r="V49" i="75"/>
  <c r="V49" i="67" s="1"/>
  <c r="U49" i="75"/>
  <c r="U49" i="67" s="1"/>
  <c r="AP47" i="75"/>
  <c r="AC47" i="75"/>
  <c r="AC47" i="67" s="1"/>
  <c r="Y47" i="75"/>
  <c r="Y47" i="67" s="1"/>
  <c r="V47" i="75"/>
  <c r="U47" i="75"/>
  <c r="U47" i="67" s="1"/>
  <c r="AP46" i="75"/>
  <c r="AC46" i="75"/>
  <c r="AC46" i="67" s="1"/>
  <c r="Y46" i="75"/>
  <c r="Y46" i="67" s="1"/>
  <c r="V46" i="75"/>
  <c r="V46" i="67" s="1"/>
  <c r="U46" i="75"/>
  <c r="U46" i="67" s="1"/>
  <c r="AP45" i="75"/>
  <c r="AC45" i="75"/>
  <c r="AC45" i="67" s="1"/>
  <c r="Y45" i="75"/>
  <c r="Y45" i="67" s="1"/>
  <c r="V45" i="75"/>
  <c r="V45" i="67" s="1"/>
  <c r="U45" i="75"/>
  <c r="U45" i="67" s="1"/>
  <c r="AP44" i="75"/>
  <c r="AC44" i="75"/>
  <c r="AC44" i="67" s="1"/>
  <c r="Y44" i="75"/>
  <c r="Y44" i="67" s="1"/>
  <c r="V44" i="75"/>
  <c r="V44" i="67" s="1"/>
  <c r="U44" i="75"/>
  <c r="U44" i="67" s="1"/>
  <c r="AC24" i="75"/>
  <c r="AC24" i="67" s="1"/>
  <c r="AC24" i="68" s="1"/>
  <c r="Y24" i="75"/>
  <c r="Y24" i="67" s="1"/>
  <c r="Y24" i="68" s="1"/>
  <c r="X24" i="75"/>
  <c r="X24" i="67" s="1"/>
  <c r="X24" i="68" s="1"/>
  <c r="W24" i="75"/>
  <c r="W24" i="67" s="1"/>
  <c r="W24" i="68" s="1"/>
  <c r="V24" i="75"/>
  <c r="V24" i="67" s="1"/>
  <c r="V24" i="68" s="1"/>
  <c r="U24" i="75"/>
  <c r="U24" i="67" s="1"/>
  <c r="U24" i="68" s="1"/>
  <c r="X50" i="74"/>
  <c r="V50" i="74"/>
  <c r="T50" i="74"/>
  <c r="P50" i="74"/>
  <c r="O50" i="74"/>
  <c r="N50" i="74"/>
  <c r="M50" i="74"/>
  <c r="V49" i="74"/>
  <c r="U49" i="74"/>
  <c r="T49" i="74"/>
  <c r="P49" i="74"/>
  <c r="O49" i="74"/>
  <c r="N49" i="74"/>
  <c r="M49" i="74"/>
  <c r="X48" i="74"/>
  <c r="V48" i="74"/>
  <c r="U48" i="74"/>
  <c r="T48" i="74"/>
  <c r="P48" i="74"/>
  <c r="O48" i="74"/>
  <c r="N48" i="74"/>
  <c r="M48" i="74"/>
  <c r="X50" i="73"/>
  <c r="V50" i="73"/>
  <c r="T50" i="73"/>
  <c r="P50" i="73"/>
  <c r="O50" i="73"/>
  <c r="N50" i="73"/>
  <c r="M50" i="73"/>
  <c r="V49" i="73"/>
  <c r="U49" i="73"/>
  <c r="T49" i="73"/>
  <c r="P49" i="73"/>
  <c r="O49" i="73"/>
  <c r="N49" i="73"/>
  <c r="M49" i="73"/>
  <c r="X48" i="73"/>
  <c r="V48" i="73"/>
  <c r="V52" i="73" s="1"/>
  <c r="U48" i="73"/>
  <c r="T48" i="73"/>
  <c r="P48" i="73"/>
  <c r="O48" i="73"/>
  <c r="N48" i="73"/>
  <c r="N52" i="73" s="1"/>
  <c r="M48" i="73"/>
  <c r="Y45" i="72"/>
  <c r="Y44" i="72"/>
  <c r="Y43" i="72"/>
  <c r="Y42" i="72"/>
  <c r="Y41" i="72"/>
  <c r="Y40" i="72"/>
  <c r="Y39" i="72"/>
  <c r="Y38" i="72"/>
  <c r="Y37" i="72"/>
  <c r="Y36" i="72"/>
  <c r="Y35" i="72"/>
  <c r="Y34" i="72"/>
  <c r="Y33" i="72"/>
  <c r="Y32" i="72"/>
  <c r="Y31" i="72"/>
  <c r="Y30" i="72"/>
  <c r="Y29" i="72"/>
  <c r="Y28" i="72"/>
  <c r="Y27" i="72"/>
  <c r="Y26" i="72"/>
  <c r="Y25" i="72"/>
  <c r="Y24" i="72"/>
  <c r="Y23" i="72"/>
  <c r="Y22" i="72"/>
  <c r="Y21" i="72"/>
  <c r="Y20" i="72"/>
  <c r="Y19" i="72"/>
  <c r="Y18" i="72"/>
  <c r="Y17" i="72"/>
  <c r="Y16" i="72"/>
  <c r="Y15" i="72"/>
  <c r="Y14" i="72"/>
  <c r="Y13" i="72"/>
  <c r="Y12" i="72"/>
  <c r="Y11" i="72"/>
  <c r="Y10" i="72"/>
  <c r="Y9" i="72"/>
  <c r="Y8" i="72"/>
  <c r="Y7" i="72"/>
  <c r="Y6" i="72"/>
  <c r="Y5" i="72"/>
  <c r="X50" i="72"/>
  <c r="V50" i="72"/>
  <c r="T50" i="72"/>
  <c r="P50" i="72"/>
  <c r="O50" i="72"/>
  <c r="N50" i="72"/>
  <c r="M50" i="72"/>
  <c r="V49" i="72"/>
  <c r="U49" i="72"/>
  <c r="T49" i="72"/>
  <c r="P49" i="72"/>
  <c r="O49" i="72"/>
  <c r="N49" i="72"/>
  <c r="M49" i="72"/>
  <c r="X48" i="72"/>
  <c r="V48" i="72"/>
  <c r="V52" i="72" s="1"/>
  <c r="U48" i="72"/>
  <c r="T48" i="72"/>
  <c r="T52" i="72" s="1"/>
  <c r="P48" i="72"/>
  <c r="P52" i="72" s="1"/>
  <c r="O48" i="72"/>
  <c r="O52" i="72" s="1"/>
  <c r="N48" i="72"/>
  <c r="N52" i="72" s="1"/>
  <c r="M48" i="72"/>
  <c r="M52" i="72" s="1"/>
  <c r="X50" i="71"/>
  <c r="X48" i="71"/>
  <c r="V50" i="71"/>
  <c r="V49" i="71"/>
  <c r="V48" i="71"/>
  <c r="U49" i="71"/>
  <c r="U48" i="71"/>
  <c r="T50" i="71"/>
  <c r="T49" i="71"/>
  <c r="T48" i="71"/>
  <c r="R51" i="71"/>
  <c r="P50" i="71"/>
  <c r="P49" i="71"/>
  <c r="P48" i="71"/>
  <c r="O50" i="71"/>
  <c r="O49" i="71"/>
  <c r="O48" i="71"/>
  <c r="N50" i="71"/>
  <c r="N49" i="71"/>
  <c r="N48" i="71"/>
  <c r="M50" i="71"/>
  <c r="M49" i="71"/>
  <c r="M48" i="71"/>
  <c r="Z45" i="71"/>
  <c r="Z44" i="71"/>
  <c r="Z43" i="71"/>
  <c r="Z42" i="71"/>
  <c r="Z41" i="71"/>
  <c r="Z40" i="71"/>
  <c r="Z39" i="71"/>
  <c r="Z38" i="71"/>
  <c r="Z37" i="71"/>
  <c r="Z36" i="71"/>
  <c r="Z35" i="71"/>
  <c r="Z34" i="71"/>
  <c r="Z33" i="71"/>
  <c r="Z32" i="71"/>
  <c r="Z31" i="71"/>
  <c r="Z30" i="71"/>
  <c r="Z29" i="71"/>
  <c r="Z28" i="71"/>
  <c r="Z27" i="71"/>
  <c r="Z26" i="71"/>
  <c r="Z25" i="71"/>
  <c r="Z24" i="71"/>
  <c r="Z23" i="71"/>
  <c r="Z22" i="71"/>
  <c r="Z21" i="71"/>
  <c r="Z20" i="71"/>
  <c r="Z18" i="71"/>
  <c r="Z17" i="71"/>
  <c r="Z16" i="71"/>
  <c r="Z15" i="71"/>
  <c r="V45" i="71"/>
  <c r="V44" i="71"/>
  <c r="V43" i="71"/>
  <c r="V42" i="71"/>
  <c r="V41" i="71"/>
  <c r="V40" i="71"/>
  <c r="V39" i="71"/>
  <c r="V38" i="71"/>
  <c r="V37" i="71"/>
  <c r="V36" i="71"/>
  <c r="V35" i="71"/>
  <c r="V34" i="71"/>
  <c r="V33" i="71"/>
  <c r="V32" i="71"/>
  <c r="V31" i="71"/>
  <c r="V30" i="71"/>
  <c r="V29" i="71"/>
  <c r="V28" i="71"/>
  <c r="V27" i="71"/>
  <c r="V26" i="71"/>
  <c r="V25" i="71"/>
  <c r="V24" i="71"/>
  <c r="V23" i="71"/>
  <c r="V22" i="71"/>
  <c r="V21" i="71"/>
  <c r="V20" i="71"/>
  <c r="V18" i="71"/>
  <c r="V17" i="71"/>
  <c r="V16" i="71"/>
  <c r="V15" i="71"/>
  <c r="U45" i="71"/>
  <c r="U44" i="71"/>
  <c r="U43" i="71"/>
  <c r="U42" i="71"/>
  <c r="U41" i="71"/>
  <c r="U40" i="71"/>
  <c r="U39" i="71"/>
  <c r="U38" i="71"/>
  <c r="U37" i="71"/>
  <c r="U36" i="71"/>
  <c r="U35" i="71"/>
  <c r="U34" i="71"/>
  <c r="U33" i="71"/>
  <c r="U32" i="71"/>
  <c r="U31" i="71"/>
  <c r="U30" i="71"/>
  <c r="U29" i="71"/>
  <c r="U28" i="71"/>
  <c r="U27" i="71"/>
  <c r="U26" i="71"/>
  <c r="U25" i="71"/>
  <c r="U24" i="71"/>
  <c r="U23" i="71"/>
  <c r="U22" i="71"/>
  <c r="U21" i="71"/>
  <c r="U20" i="71"/>
  <c r="U18" i="71"/>
  <c r="U17" i="71"/>
  <c r="U16" i="71"/>
  <c r="U15" i="71"/>
  <c r="T45" i="71"/>
  <c r="T44" i="71"/>
  <c r="T43" i="71"/>
  <c r="T42" i="71"/>
  <c r="T41" i="71"/>
  <c r="T40" i="71"/>
  <c r="T39" i="71"/>
  <c r="T38" i="71"/>
  <c r="T37" i="71"/>
  <c r="T36" i="71"/>
  <c r="T35" i="71"/>
  <c r="T34" i="71"/>
  <c r="T33" i="71"/>
  <c r="T32" i="71"/>
  <c r="T31" i="71"/>
  <c r="T30" i="71"/>
  <c r="T29" i="71"/>
  <c r="T28" i="71"/>
  <c r="T27" i="71"/>
  <c r="T26" i="71"/>
  <c r="T25" i="71"/>
  <c r="T24" i="71"/>
  <c r="T23" i="71"/>
  <c r="T22" i="71"/>
  <c r="T21" i="71"/>
  <c r="T20" i="71"/>
  <c r="T18" i="71"/>
  <c r="T17" i="71"/>
  <c r="T16" i="71"/>
  <c r="T15" i="71"/>
  <c r="R45" i="71"/>
  <c r="R44" i="71"/>
  <c r="R43" i="71"/>
  <c r="R42" i="71"/>
  <c r="R41" i="71"/>
  <c r="R40" i="71"/>
  <c r="R39" i="71"/>
  <c r="R38" i="71"/>
  <c r="R37" i="71"/>
  <c r="R36" i="71"/>
  <c r="R35" i="71"/>
  <c r="R34" i="71"/>
  <c r="R33" i="71"/>
  <c r="R32" i="71"/>
  <c r="R31" i="71"/>
  <c r="R30" i="71"/>
  <c r="R29" i="71"/>
  <c r="R28" i="71"/>
  <c r="R27" i="71"/>
  <c r="R26" i="71"/>
  <c r="R25" i="71"/>
  <c r="R24" i="71"/>
  <c r="R23" i="71"/>
  <c r="R22" i="71"/>
  <c r="R21" i="71"/>
  <c r="R20" i="71"/>
  <c r="R18" i="71"/>
  <c r="R17" i="71"/>
  <c r="R16" i="71"/>
  <c r="R15" i="71"/>
  <c r="P45" i="71"/>
  <c r="P44" i="71"/>
  <c r="P43" i="71"/>
  <c r="P42" i="71"/>
  <c r="P41" i="71"/>
  <c r="P40" i="71"/>
  <c r="P39" i="71"/>
  <c r="P38" i="71"/>
  <c r="P37" i="71"/>
  <c r="P36" i="71"/>
  <c r="P35" i="71"/>
  <c r="P34" i="71"/>
  <c r="P33" i="71"/>
  <c r="P32" i="71"/>
  <c r="P31" i="71"/>
  <c r="P30" i="71"/>
  <c r="P29" i="71"/>
  <c r="P28" i="71"/>
  <c r="P27" i="71"/>
  <c r="P26" i="71"/>
  <c r="P25" i="71"/>
  <c r="P24" i="71"/>
  <c r="P23" i="71"/>
  <c r="P22" i="71"/>
  <c r="P21" i="71"/>
  <c r="P20" i="71"/>
  <c r="P18" i="71"/>
  <c r="P17" i="71"/>
  <c r="P16" i="71"/>
  <c r="P15" i="71"/>
  <c r="O45" i="71"/>
  <c r="O44" i="71"/>
  <c r="O43" i="71"/>
  <c r="O42" i="71"/>
  <c r="O41" i="71"/>
  <c r="O40" i="71"/>
  <c r="O39" i="71"/>
  <c r="O38" i="71"/>
  <c r="O37" i="71"/>
  <c r="O36" i="71"/>
  <c r="O35" i="71"/>
  <c r="O34" i="71"/>
  <c r="O33" i="71"/>
  <c r="O32" i="71"/>
  <c r="O31" i="71"/>
  <c r="O30" i="71"/>
  <c r="O29" i="71"/>
  <c r="O28" i="71"/>
  <c r="O27" i="71"/>
  <c r="O26" i="71"/>
  <c r="O25" i="71"/>
  <c r="O24" i="71"/>
  <c r="O23" i="71"/>
  <c r="O22" i="71"/>
  <c r="O21" i="71"/>
  <c r="O20" i="71"/>
  <c r="O18" i="71"/>
  <c r="O17" i="71"/>
  <c r="O16" i="71"/>
  <c r="O15" i="71"/>
  <c r="N45" i="71"/>
  <c r="N44" i="71"/>
  <c r="N43" i="71"/>
  <c r="N42" i="71"/>
  <c r="N41" i="71"/>
  <c r="N40" i="71"/>
  <c r="N39" i="71"/>
  <c r="N38" i="71"/>
  <c r="N37" i="71"/>
  <c r="N36" i="71"/>
  <c r="N35" i="71"/>
  <c r="N34" i="71"/>
  <c r="N33" i="71"/>
  <c r="N32" i="71"/>
  <c r="N31" i="71"/>
  <c r="N30" i="71"/>
  <c r="N29" i="71"/>
  <c r="N28" i="71"/>
  <c r="N27" i="71"/>
  <c r="N26" i="71"/>
  <c r="N25" i="71"/>
  <c r="N24" i="71"/>
  <c r="N23" i="71"/>
  <c r="N22" i="71"/>
  <c r="N21" i="71"/>
  <c r="N20" i="71"/>
  <c r="N18" i="71"/>
  <c r="N17" i="71"/>
  <c r="N16" i="71"/>
  <c r="N15" i="71"/>
  <c r="M45" i="71"/>
  <c r="M44" i="71"/>
  <c r="M43" i="71"/>
  <c r="M42" i="71"/>
  <c r="M41" i="71"/>
  <c r="M40" i="71"/>
  <c r="M39" i="71"/>
  <c r="M38" i="71"/>
  <c r="M37" i="71"/>
  <c r="M36" i="71"/>
  <c r="M35" i="71"/>
  <c r="M34" i="71"/>
  <c r="M33" i="71"/>
  <c r="M32" i="71"/>
  <c r="M31" i="71"/>
  <c r="M30" i="71"/>
  <c r="M29" i="71"/>
  <c r="M28" i="71"/>
  <c r="M27" i="71"/>
  <c r="M26" i="71"/>
  <c r="M25" i="71"/>
  <c r="M24" i="71"/>
  <c r="M23" i="71"/>
  <c r="M22" i="71"/>
  <c r="M21" i="71"/>
  <c r="M20" i="71"/>
  <c r="M18" i="71"/>
  <c r="M17" i="71"/>
  <c r="M16" i="71"/>
  <c r="M15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8" i="71"/>
  <c r="L17" i="71"/>
  <c r="L16" i="71"/>
  <c r="L15" i="71"/>
  <c r="AK79" i="70"/>
  <c r="AF79" i="70"/>
  <c r="AP77" i="70" s="1"/>
  <c r="AE79" i="70"/>
  <c r="AO77" i="70" s="1"/>
  <c r="AC79" i="70"/>
  <c r="Y79" i="70"/>
  <c r="X79" i="70"/>
  <c r="W79" i="70"/>
  <c r="S79" i="70"/>
  <c r="R79" i="70"/>
  <c r="Q79" i="70"/>
  <c r="P79" i="70"/>
  <c r="O79" i="70"/>
  <c r="M79" i="70"/>
  <c r="L79" i="70"/>
  <c r="AK78" i="70"/>
  <c r="AF78" i="70"/>
  <c r="AC78" i="70"/>
  <c r="AA78" i="70"/>
  <c r="Z78" i="70"/>
  <c r="Y78" i="70"/>
  <c r="X78" i="70"/>
  <c r="W78" i="70"/>
  <c r="V78" i="70"/>
  <c r="U78" i="70"/>
  <c r="S78" i="70"/>
  <c r="R78" i="70"/>
  <c r="Q78" i="70"/>
  <c r="P78" i="70"/>
  <c r="O78" i="70"/>
  <c r="M78" i="70"/>
  <c r="L78" i="70"/>
  <c r="AL80" i="69"/>
  <c r="AG80" i="69"/>
  <c r="AD80" i="69"/>
  <c r="AB80" i="69"/>
  <c r="T80" i="69"/>
  <c r="AK79" i="69"/>
  <c r="AF79" i="69"/>
  <c r="AE79" i="69"/>
  <c r="AC79" i="69"/>
  <c r="Y79" i="69"/>
  <c r="X79" i="69"/>
  <c r="W79" i="69"/>
  <c r="S79" i="69"/>
  <c r="R79" i="69"/>
  <c r="Q79" i="69"/>
  <c r="P79" i="69"/>
  <c r="O79" i="69"/>
  <c r="M79" i="69"/>
  <c r="L79" i="69"/>
  <c r="AK78" i="69"/>
  <c r="AF78" i="69"/>
  <c r="AP77" i="69" s="1"/>
  <c r="AC78" i="69"/>
  <c r="AA78" i="69"/>
  <c r="Z78" i="69"/>
  <c r="Y78" i="69"/>
  <c r="X78" i="69"/>
  <c r="W78" i="69"/>
  <c r="V78" i="69"/>
  <c r="U78" i="69"/>
  <c r="S78" i="69"/>
  <c r="R78" i="69"/>
  <c r="Q78" i="69"/>
  <c r="P78" i="69"/>
  <c r="O78" i="69"/>
  <c r="M78" i="69"/>
  <c r="L78" i="69"/>
  <c r="AL80" i="68"/>
  <c r="AG80" i="68"/>
  <c r="AD80" i="68"/>
  <c r="AB80" i="68"/>
  <c r="T80" i="68"/>
  <c r="AG74" i="68"/>
  <c r="AA74" i="68"/>
  <c r="Z74" i="68"/>
  <c r="AG73" i="68"/>
  <c r="AA73" i="68"/>
  <c r="AG72" i="68"/>
  <c r="AG71" i="68"/>
  <c r="AA71" i="68"/>
  <c r="Z71" i="68"/>
  <c r="AG70" i="68"/>
  <c r="AA70" i="68"/>
  <c r="Z70" i="68"/>
  <c r="AG69" i="68"/>
  <c r="AG68" i="68"/>
  <c r="Z68" i="68"/>
  <c r="AG67" i="68"/>
  <c r="Z67" i="68"/>
  <c r="AG66" i="68"/>
  <c r="Z66" i="68"/>
  <c r="AG65" i="68"/>
  <c r="AA65" i="68"/>
  <c r="AG64" i="68"/>
  <c r="AA64" i="68"/>
  <c r="Z64" i="68"/>
  <c r="AG63" i="68"/>
  <c r="AG62" i="68"/>
  <c r="AA62" i="68"/>
  <c r="AG61" i="68"/>
  <c r="AA61" i="68"/>
  <c r="AG60" i="68"/>
  <c r="Z60" i="68"/>
  <c r="AG59" i="68"/>
  <c r="AA59" i="68"/>
  <c r="AG58" i="68"/>
  <c r="AA58" i="68"/>
  <c r="Z58" i="68"/>
  <c r="AG57" i="68"/>
  <c r="AG56" i="68"/>
  <c r="AA56" i="68"/>
  <c r="Z56" i="68"/>
  <c r="AG55" i="68"/>
  <c r="AA55" i="68"/>
  <c r="Z55" i="68"/>
  <c r="AG54" i="68"/>
  <c r="AA54" i="68"/>
  <c r="Z54" i="68"/>
  <c r="AG53" i="68"/>
  <c r="AG52" i="68"/>
  <c r="AG51" i="68"/>
  <c r="AA51" i="68"/>
  <c r="Z51" i="68"/>
  <c r="AG50" i="68"/>
  <c r="Z50" i="68"/>
  <c r="AG49" i="68"/>
  <c r="AA49" i="68"/>
  <c r="AG48" i="68"/>
  <c r="AA48" i="68"/>
  <c r="AG47" i="68"/>
  <c r="Z47" i="68"/>
  <c r="AG46" i="68"/>
  <c r="Z46" i="68"/>
  <c r="AG45" i="68"/>
  <c r="AA45" i="68"/>
  <c r="AG44" i="68"/>
  <c r="Z44" i="68"/>
  <c r="AG43" i="68"/>
  <c r="AG42" i="68"/>
  <c r="AA42" i="68"/>
  <c r="Z42" i="68"/>
  <c r="AG41" i="68"/>
  <c r="AA41" i="68"/>
  <c r="AG40" i="68"/>
  <c r="AA40" i="68"/>
  <c r="Z40" i="68"/>
  <c r="AG39" i="68"/>
  <c r="AA39" i="68"/>
  <c r="AG38" i="68"/>
  <c r="AA38" i="68"/>
  <c r="Z38" i="68"/>
  <c r="AG37" i="68"/>
  <c r="AG36" i="68"/>
  <c r="Z36" i="68"/>
  <c r="AG35" i="68"/>
  <c r="AG34" i="68"/>
  <c r="AA34" i="68"/>
  <c r="Z34" i="68"/>
  <c r="AG33" i="68"/>
  <c r="AA33" i="68"/>
  <c r="AG32" i="68"/>
  <c r="AA32" i="68"/>
  <c r="Z32" i="68"/>
  <c r="AG31" i="68"/>
  <c r="AG30" i="68"/>
  <c r="AA30" i="68"/>
  <c r="Z30" i="68"/>
  <c r="AG29" i="68"/>
  <c r="AA29" i="68"/>
  <c r="AG28" i="68"/>
  <c r="AG27" i="68"/>
  <c r="Z27" i="68"/>
  <c r="AG26" i="68"/>
  <c r="AA26" i="68"/>
  <c r="Z26" i="68"/>
  <c r="AG25" i="68"/>
  <c r="AA25" i="68"/>
  <c r="AJ24" i="68"/>
  <c r="AG24" i="68"/>
  <c r="S24" i="68"/>
  <c r="R24" i="68"/>
  <c r="Q24" i="68"/>
  <c r="P24" i="68"/>
  <c r="L24" i="68"/>
  <c r="AG23" i="68"/>
  <c r="AA23" i="68"/>
  <c r="Z23" i="68"/>
  <c r="AG22" i="68"/>
  <c r="AG21" i="68"/>
  <c r="AA21" i="68"/>
  <c r="AG20" i="68"/>
  <c r="AJ19" i="68"/>
  <c r="AI19" i="68"/>
  <c r="AH19" i="68"/>
  <c r="AG19" i="68"/>
  <c r="AA19" i="68"/>
  <c r="Z19" i="68"/>
  <c r="W19" i="68"/>
  <c r="S19" i="68"/>
  <c r="R19" i="68"/>
  <c r="Q19" i="68"/>
  <c r="P19" i="68"/>
  <c r="O19" i="68"/>
  <c r="M19" i="68"/>
  <c r="L19" i="68"/>
  <c r="AK18" i="68"/>
  <c r="AJ18" i="68"/>
  <c r="AI18" i="68"/>
  <c r="AH18" i="68"/>
  <c r="AG18" i="68"/>
  <c r="AD18" i="68"/>
  <c r="AC18" i="68"/>
  <c r="AA18" i="68"/>
  <c r="Z18" i="68"/>
  <c r="Y18" i="68"/>
  <c r="U18" i="68"/>
  <c r="S18" i="68"/>
  <c r="R18" i="68"/>
  <c r="Q18" i="68"/>
  <c r="P18" i="68"/>
  <c r="O18" i="68"/>
  <c r="M18" i="68"/>
  <c r="L18" i="68"/>
  <c r="AK17" i="68"/>
  <c r="AJ17" i="68"/>
  <c r="AI17" i="68"/>
  <c r="AH17" i="68"/>
  <c r="AL17" i="68" s="1"/>
  <c r="AG17" i="68"/>
  <c r="AA17" i="68"/>
  <c r="Z17" i="68"/>
  <c r="W17" i="68"/>
  <c r="V17" i="68"/>
  <c r="S17" i="68"/>
  <c r="R17" i="68"/>
  <c r="Q17" i="68"/>
  <c r="P17" i="68"/>
  <c r="O17" i="68"/>
  <c r="N17" i="68"/>
  <c r="M17" i="68"/>
  <c r="L17" i="68"/>
  <c r="AK16" i="68"/>
  <c r="AJ16" i="68"/>
  <c r="AI16" i="68"/>
  <c r="AH16" i="68"/>
  <c r="AG16" i="68"/>
  <c r="AC16" i="68"/>
  <c r="AD16" i="68" s="1"/>
  <c r="Y16" i="68"/>
  <c r="X16" i="68"/>
  <c r="W16" i="68"/>
  <c r="V16" i="68"/>
  <c r="U16" i="68"/>
  <c r="S16" i="68"/>
  <c r="R16" i="68"/>
  <c r="Q16" i="68"/>
  <c r="P16" i="68"/>
  <c r="O16" i="68"/>
  <c r="N16" i="68"/>
  <c r="M16" i="68"/>
  <c r="L16" i="68"/>
  <c r="AJ15" i="68"/>
  <c r="AI15" i="68"/>
  <c r="AH15" i="68"/>
  <c r="AG15" i="68"/>
  <c r="AC15" i="68"/>
  <c r="AD15" i="68" s="1"/>
  <c r="AA15" i="68"/>
  <c r="Z15" i="68"/>
  <c r="W15" i="68"/>
  <c r="S15" i="68"/>
  <c r="R15" i="68"/>
  <c r="Q15" i="68"/>
  <c r="P15" i="68"/>
  <c r="O15" i="68"/>
  <c r="M15" i="68"/>
  <c r="L15" i="68"/>
  <c r="AJ14" i="68"/>
  <c r="AI14" i="68"/>
  <c r="AH14" i="68"/>
  <c r="AG14" i="68"/>
  <c r="AC14" i="68"/>
  <c r="AD14" i="68" s="1"/>
  <c r="AA14" i="68"/>
  <c r="Z14" i="68"/>
  <c r="Y14" i="68"/>
  <c r="U14" i="68"/>
  <c r="S14" i="68"/>
  <c r="R14" i="68"/>
  <c r="Q14" i="68"/>
  <c r="P14" i="68"/>
  <c r="O14" i="68"/>
  <c r="M14" i="68"/>
  <c r="L14" i="68"/>
  <c r="AK13" i="68"/>
  <c r="AJ13" i="68"/>
  <c r="AI13" i="68"/>
  <c r="AH13" i="68"/>
  <c r="AG13" i="68"/>
  <c r="AC13" i="68"/>
  <c r="AD13" i="68" s="1"/>
  <c r="AA13" i="68"/>
  <c r="W13" i="68"/>
  <c r="V13" i="68"/>
  <c r="S13" i="68"/>
  <c r="R13" i="68"/>
  <c r="Q13" i="68"/>
  <c r="P13" i="68"/>
  <c r="O13" i="68"/>
  <c r="N13" i="68"/>
  <c r="M13" i="68"/>
  <c r="L13" i="68"/>
  <c r="AJ12" i="68"/>
  <c r="AI12" i="68"/>
  <c r="AH12" i="68"/>
  <c r="AG12" i="68"/>
  <c r="AC12" i="68"/>
  <c r="AD12" i="68" s="1"/>
  <c r="Y12" i="68"/>
  <c r="X12" i="68"/>
  <c r="U12" i="68"/>
  <c r="S12" i="68"/>
  <c r="R12" i="68"/>
  <c r="Q12" i="68"/>
  <c r="P12" i="68"/>
  <c r="O12" i="68"/>
  <c r="M12" i="68"/>
  <c r="L12" i="68"/>
  <c r="AJ11" i="68"/>
  <c r="AI11" i="68"/>
  <c r="AH11" i="68"/>
  <c r="AG11" i="68"/>
  <c r="AA11" i="68"/>
  <c r="Z11" i="68"/>
  <c r="Y11" i="68"/>
  <c r="W11" i="68"/>
  <c r="S11" i="68"/>
  <c r="R11" i="68"/>
  <c r="Q11" i="68"/>
  <c r="P11" i="68"/>
  <c r="O11" i="68"/>
  <c r="N11" i="68"/>
  <c r="M11" i="68"/>
  <c r="L11" i="68"/>
  <c r="AK10" i="68"/>
  <c r="AJ10" i="68"/>
  <c r="AI10" i="68"/>
  <c r="AH10" i="68"/>
  <c r="AG10" i="68"/>
  <c r="AD10" i="68"/>
  <c r="AC10" i="68"/>
  <c r="Z10" i="68"/>
  <c r="Y10" i="68"/>
  <c r="X10" i="68"/>
  <c r="U10" i="68"/>
  <c r="S10" i="68"/>
  <c r="R10" i="68"/>
  <c r="Q10" i="68"/>
  <c r="P10" i="68"/>
  <c r="O10" i="68"/>
  <c r="M10" i="68"/>
  <c r="L10" i="68"/>
  <c r="AJ9" i="68"/>
  <c r="AI9" i="68"/>
  <c r="AH9" i="68"/>
  <c r="AG9" i="68"/>
  <c r="AA9" i="68"/>
  <c r="W9" i="68"/>
  <c r="V9" i="68"/>
  <c r="S9" i="68"/>
  <c r="R9" i="68"/>
  <c r="Q9" i="68"/>
  <c r="P9" i="68"/>
  <c r="O9" i="68"/>
  <c r="N9" i="68"/>
  <c r="M9" i="68"/>
  <c r="L9" i="68"/>
  <c r="AG8" i="68"/>
  <c r="AG7" i="68"/>
  <c r="AA7" i="68"/>
  <c r="Z7" i="68"/>
  <c r="AG6" i="68"/>
  <c r="AA6" i="68"/>
  <c r="AG5" i="68"/>
  <c r="AA5" i="68"/>
  <c r="AK79" i="68"/>
  <c r="AF79" i="68"/>
  <c r="AE79" i="68"/>
  <c r="AC79" i="68"/>
  <c r="Y79" i="68"/>
  <c r="X79" i="68"/>
  <c r="W79" i="68"/>
  <c r="S79" i="68"/>
  <c r="R79" i="68"/>
  <c r="Q79" i="68"/>
  <c r="P79" i="68"/>
  <c r="O79" i="68"/>
  <c r="M79" i="68"/>
  <c r="L79" i="68"/>
  <c r="AK78" i="68"/>
  <c r="AF78" i="68"/>
  <c r="AC78" i="68"/>
  <c r="AA78" i="68"/>
  <c r="Z78" i="68"/>
  <c r="Y78" i="68"/>
  <c r="X78" i="68"/>
  <c r="W78" i="68"/>
  <c r="V78" i="68"/>
  <c r="U78" i="68"/>
  <c r="S78" i="68"/>
  <c r="R78" i="68"/>
  <c r="Q78" i="68"/>
  <c r="P78" i="68"/>
  <c r="O78" i="68"/>
  <c r="M78" i="68"/>
  <c r="L78" i="68"/>
  <c r="AP74" i="68"/>
  <c r="AP73" i="68"/>
  <c r="AP72" i="68"/>
  <c r="AP71" i="68"/>
  <c r="AP70" i="68"/>
  <c r="AP69" i="68"/>
  <c r="AP68" i="68"/>
  <c r="AP67" i="68"/>
  <c r="AP66" i="68"/>
  <c r="AP65" i="68"/>
  <c r="AP64" i="68"/>
  <c r="AP63" i="68"/>
  <c r="AP62" i="68"/>
  <c r="AP61" i="68"/>
  <c r="AP60" i="68"/>
  <c r="AP59" i="68"/>
  <c r="AP58" i="68"/>
  <c r="AP57" i="68"/>
  <c r="AP56" i="68"/>
  <c r="AP55" i="68"/>
  <c r="AP54" i="68"/>
  <c r="AP53" i="68"/>
  <c r="AP52" i="68"/>
  <c r="AP51" i="68"/>
  <c r="AP50" i="68"/>
  <c r="AP49" i="68"/>
  <c r="AP47" i="68"/>
  <c r="AP46" i="68"/>
  <c r="AP45" i="68"/>
  <c r="AP44" i="68"/>
  <c r="AK81" i="67"/>
  <c r="AK80" i="67"/>
  <c r="AK79" i="67"/>
  <c r="AF81" i="67"/>
  <c r="AF80" i="67"/>
  <c r="AF79" i="67"/>
  <c r="AE81" i="67"/>
  <c r="AE79" i="67"/>
  <c r="AC81" i="67"/>
  <c r="AC80" i="67"/>
  <c r="AC79" i="67"/>
  <c r="AA80" i="67"/>
  <c r="Z80" i="67"/>
  <c r="Y81" i="67"/>
  <c r="Y80" i="67"/>
  <c r="X81" i="67"/>
  <c r="X80" i="67"/>
  <c r="X79" i="67"/>
  <c r="W81" i="67"/>
  <c r="W80" i="67"/>
  <c r="V80" i="67"/>
  <c r="U80" i="67"/>
  <c r="U79" i="67"/>
  <c r="S81" i="67"/>
  <c r="S80" i="67"/>
  <c r="S79" i="67"/>
  <c r="R81" i="67"/>
  <c r="R80" i="67"/>
  <c r="R79" i="67"/>
  <c r="Q81" i="67"/>
  <c r="Q80" i="67"/>
  <c r="Q79" i="67"/>
  <c r="P81" i="67"/>
  <c r="P80" i="67"/>
  <c r="P79" i="67"/>
  <c r="O81" i="67"/>
  <c r="O80" i="67"/>
  <c r="O79" i="67"/>
  <c r="M81" i="67"/>
  <c r="M80" i="67"/>
  <c r="M79" i="67"/>
  <c r="L81" i="67"/>
  <c r="L80" i="67"/>
  <c r="L79" i="67"/>
  <c r="AK39" i="67"/>
  <c r="AK38" i="67"/>
  <c r="AK33" i="67"/>
  <c r="AK32" i="67"/>
  <c r="AK31" i="67"/>
  <c r="AK30" i="67"/>
  <c r="AK29" i="67"/>
  <c r="AK26" i="67"/>
  <c r="AK25" i="67"/>
  <c r="AK24" i="67"/>
  <c r="AK24" i="68" s="1"/>
  <c r="AK21" i="67"/>
  <c r="AK20" i="67"/>
  <c r="AK19" i="67"/>
  <c r="AK19" i="68" s="1"/>
  <c r="AK18" i="67"/>
  <c r="AK17" i="67"/>
  <c r="AK16" i="67"/>
  <c r="AK15" i="67"/>
  <c r="AK15" i="68" s="1"/>
  <c r="AK14" i="67"/>
  <c r="AK14" i="68" s="1"/>
  <c r="AK13" i="67"/>
  <c r="AK12" i="67"/>
  <c r="AK12" i="68" s="1"/>
  <c r="AK11" i="67"/>
  <c r="AK11" i="68" s="1"/>
  <c r="AK10" i="67"/>
  <c r="AK9" i="67"/>
  <c r="AK9" i="68" s="1"/>
  <c r="AK6" i="67"/>
  <c r="AK5" i="67"/>
  <c r="AI74" i="67"/>
  <c r="AI73" i="67"/>
  <c r="AI72" i="67"/>
  <c r="AI71" i="67"/>
  <c r="AI70" i="67"/>
  <c r="AI69" i="67"/>
  <c r="AI68" i="67"/>
  <c r="AI67" i="67"/>
  <c r="AI66" i="67"/>
  <c r="AI65" i="67"/>
  <c r="AI64" i="67"/>
  <c r="AI63" i="67"/>
  <c r="AI62" i="67"/>
  <c r="AI61" i="67"/>
  <c r="AI60" i="67"/>
  <c r="AI59" i="67"/>
  <c r="AI58" i="67"/>
  <c r="AI57" i="67"/>
  <c r="AI56" i="67"/>
  <c r="AI55" i="67"/>
  <c r="AI54" i="67"/>
  <c r="AI53" i="67"/>
  <c r="AI52" i="67"/>
  <c r="AI51" i="67"/>
  <c r="AI50" i="67"/>
  <c r="AI49" i="67"/>
  <c r="AI47" i="67"/>
  <c r="AI46" i="67"/>
  <c r="AI45" i="67"/>
  <c r="AI44" i="67"/>
  <c r="AI24" i="67"/>
  <c r="AI24" i="68" s="1"/>
  <c r="AH74" i="67"/>
  <c r="AH73" i="67"/>
  <c r="AH72" i="67"/>
  <c r="AH71" i="67"/>
  <c r="AH70" i="67"/>
  <c r="AH69" i="67"/>
  <c r="AH68" i="67"/>
  <c r="AH67" i="67"/>
  <c r="AH66" i="67"/>
  <c r="AH65" i="67"/>
  <c r="AH64" i="67"/>
  <c r="AH63" i="67"/>
  <c r="AH62" i="67"/>
  <c r="AH61" i="67"/>
  <c r="AH60" i="67"/>
  <c r="AH59" i="67"/>
  <c r="AH58" i="67"/>
  <c r="AH57" i="67"/>
  <c r="AH56" i="67"/>
  <c r="AH55" i="67"/>
  <c r="AH54" i="67"/>
  <c r="AH53" i="67"/>
  <c r="AH52" i="67"/>
  <c r="AH51" i="67"/>
  <c r="AH50" i="67"/>
  <c r="AH49" i="67"/>
  <c r="AH47" i="67"/>
  <c r="AH46" i="67"/>
  <c r="AH45" i="67"/>
  <c r="AH44" i="67"/>
  <c r="AH24" i="67"/>
  <c r="AH24" i="68" s="1"/>
  <c r="S74" i="67"/>
  <c r="S73" i="67"/>
  <c r="S72" i="67"/>
  <c r="S71" i="67"/>
  <c r="S70" i="67"/>
  <c r="S69" i="67"/>
  <c r="S68" i="67"/>
  <c r="S67" i="67"/>
  <c r="S66" i="67"/>
  <c r="S65" i="67"/>
  <c r="S64" i="67"/>
  <c r="S63" i="67"/>
  <c r="S62" i="67"/>
  <c r="S61" i="67"/>
  <c r="S60" i="67"/>
  <c r="S59" i="67"/>
  <c r="S58" i="67"/>
  <c r="S57" i="67"/>
  <c r="S56" i="67"/>
  <c r="S55" i="67"/>
  <c r="S54" i="67"/>
  <c r="S53" i="67"/>
  <c r="S52" i="67"/>
  <c r="S51" i="67"/>
  <c r="S50" i="67"/>
  <c r="S49" i="67"/>
  <c r="S47" i="67"/>
  <c r="S46" i="67"/>
  <c r="S45" i="67"/>
  <c r="S44" i="67"/>
  <c r="R74" i="67"/>
  <c r="R73" i="67"/>
  <c r="R72" i="67"/>
  <c r="R71" i="67"/>
  <c r="R70" i="67"/>
  <c r="R69" i="67"/>
  <c r="R68" i="67"/>
  <c r="R67" i="67"/>
  <c r="R66" i="67"/>
  <c r="R65" i="67"/>
  <c r="R64" i="67"/>
  <c r="R63" i="67"/>
  <c r="R62" i="67"/>
  <c r="R61" i="67"/>
  <c r="R60" i="67"/>
  <c r="R59" i="67"/>
  <c r="R58" i="67"/>
  <c r="R57" i="67"/>
  <c r="R56" i="67"/>
  <c r="R55" i="67"/>
  <c r="R54" i="67"/>
  <c r="R53" i="67"/>
  <c r="Q74" i="67"/>
  <c r="Q73" i="67"/>
  <c r="Q72" i="67"/>
  <c r="Q71" i="67"/>
  <c r="Q70" i="67"/>
  <c r="Q69" i="67"/>
  <c r="Q68" i="67"/>
  <c r="Q67" i="67"/>
  <c r="Q66" i="67"/>
  <c r="Q65" i="67"/>
  <c r="Q64" i="67"/>
  <c r="Q63" i="67"/>
  <c r="Q62" i="67"/>
  <c r="Q61" i="67"/>
  <c r="Q60" i="67"/>
  <c r="Q59" i="67"/>
  <c r="Q58" i="67"/>
  <c r="Q57" i="67"/>
  <c r="Q56" i="67"/>
  <c r="Q55" i="67"/>
  <c r="Q54" i="67"/>
  <c r="Q53" i="67"/>
  <c r="Q48" i="67"/>
  <c r="Q43" i="67"/>
  <c r="Q42" i="67"/>
  <c r="Q41" i="67"/>
  <c r="Q40" i="67"/>
  <c r="Q35" i="67"/>
  <c r="Q34" i="67"/>
  <c r="Q27" i="67"/>
  <c r="Q22" i="67"/>
  <c r="Q7" i="67"/>
  <c r="P74" i="67"/>
  <c r="P73" i="67"/>
  <c r="P72" i="67"/>
  <c r="P71" i="67"/>
  <c r="P70" i="67"/>
  <c r="P69" i="67"/>
  <c r="P68" i="67"/>
  <c r="P67" i="67"/>
  <c r="P66" i="67"/>
  <c r="P65" i="67"/>
  <c r="P64" i="67"/>
  <c r="P63" i="67"/>
  <c r="P62" i="67"/>
  <c r="P61" i="67"/>
  <c r="P60" i="67"/>
  <c r="P59" i="67"/>
  <c r="P58" i="67"/>
  <c r="P57" i="67"/>
  <c r="P56" i="67"/>
  <c r="P55" i="67"/>
  <c r="P54" i="67"/>
  <c r="P53" i="67"/>
  <c r="O74" i="67"/>
  <c r="O73" i="67"/>
  <c r="O72" i="67"/>
  <c r="O71" i="67"/>
  <c r="O70" i="67"/>
  <c r="O69" i="67"/>
  <c r="O68" i="67"/>
  <c r="O67" i="67"/>
  <c r="O66" i="67"/>
  <c r="O65" i="67"/>
  <c r="O64" i="67"/>
  <c r="O63" i="67"/>
  <c r="O62" i="67"/>
  <c r="O61" i="67"/>
  <c r="O60" i="67"/>
  <c r="O59" i="67"/>
  <c r="O58" i="67"/>
  <c r="O57" i="67"/>
  <c r="O56" i="67"/>
  <c r="O55" i="67"/>
  <c r="O54" i="67"/>
  <c r="O53" i="67"/>
  <c r="O52" i="67"/>
  <c r="O51" i="67"/>
  <c r="O50" i="67"/>
  <c r="O49" i="67"/>
  <c r="O47" i="67"/>
  <c r="O46" i="67"/>
  <c r="O45" i="67"/>
  <c r="O44" i="67"/>
  <c r="O24" i="67"/>
  <c r="O24" i="68" s="1"/>
  <c r="N39" i="67"/>
  <c r="N38" i="67"/>
  <c r="N32" i="67"/>
  <c r="N24" i="67"/>
  <c r="N24" i="68" s="1"/>
  <c r="N19" i="67"/>
  <c r="N19" i="68" s="1"/>
  <c r="N18" i="67"/>
  <c r="N18" i="68" s="1"/>
  <c r="N17" i="67"/>
  <c r="N16" i="67"/>
  <c r="N15" i="67"/>
  <c r="N15" i="68" s="1"/>
  <c r="N14" i="67"/>
  <c r="N14" i="68" s="1"/>
  <c r="N13" i="67"/>
  <c r="N12" i="67"/>
  <c r="N12" i="68" s="1"/>
  <c r="N11" i="67"/>
  <c r="N10" i="67"/>
  <c r="N9" i="67"/>
  <c r="AP74" i="67"/>
  <c r="AP73" i="67"/>
  <c r="AP72" i="67"/>
  <c r="AP71" i="67"/>
  <c r="AP70" i="67"/>
  <c r="AP69" i="67"/>
  <c r="AP68" i="67"/>
  <c r="AP67" i="67"/>
  <c r="AP66" i="67"/>
  <c r="AP65" i="67"/>
  <c r="AP64" i="67"/>
  <c r="AP63" i="67"/>
  <c r="AP62" i="67"/>
  <c r="AP61" i="67"/>
  <c r="AP60" i="67"/>
  <c r="AP59" i="67"/>
  <c r="AP58" i="67"/>
  <c r="AP57" i="67"/>
  <c r="AP56" i="67"/>
  <c r="AP55" i="67"/>
  <c r="AP54" i="67"/>
  <c r="AP53" i="67"/>
  <c r="AP52" i="67"/>
  <c r="AP51" i="67"/>
  <c r="AP50" i="67"/>
  <c r="AP49" i="67"/>
  <c r="AP47" i="67"/>
  <c r="AP46" i="67"/>
  <c r="AP45" i="67"/>
  <c r="AP44" i="67"/>
  <c r="M24" i="67"/>
  <c r="M24" i="68" s="1"/>
  <c r="L74" i="67"/>
  <c r="L73" i="67"/>
  <c r="L72" i="67"/>
  <c r="L71" i="67"/>
  <c r="L70" i="67"/>
  <c r="L69" i="67"/>
  <c r="L68" i="67"/>
  <c r="L67" i="67"/>
  <c r="L66" i="67"/>
  <c r="L65" i="67"/>
  <c r="L64" i="67"/>
  <c r="L63" i="67"/>
  <c r="L62" i="67"/>
  <c r="L61" i="67"/>
  <c r="L60" i="67"/>
  <c r="L59" i="67"/>
  <c r="L58" i="67"/>
  <c r="L57" i="67"/>
  <c r="L56" i="67"/>
  <c r="L55" i="67"/>
  <c r="L54" i="67"/>
  <c r="L53" i="67"/>
  <c r="L48" i="67"/>
  <c r="L43" i="67"/>
  <c r="L42" i="67"/>
  <c r="L41" i="67"/>
  <c r="L40" i="67"/>
  <c r="L35" i="67"/>
  <c r="L34" i="67"/>
  <c r="L27" i="67"/>
  <c r="L22" i="67"/>
  <c r="L7" i="67"/>
  <c r="AJ79" i="67"/>
  <c r="AI79" i="67"/>
  <c r="F28" i="5"/>
  <c r="AH79" i="67"/>
  <c r="W79" i="67"/>
  <c r="E45" i="5"/>
  <c r="F43" i="5"/>
  <c r="D43" i="5"/>
  <c r="F41" i="5"/>
  <c r="E41" i="5"/>
  <c r="D41" i="5"/>
  <c r="F23" i="5"/>
  <c r="D23" i="5"/>
  <c r="AG79" i="67" s="1"/>
  <c r="F20" i="5"/>
  <c r="E20" i="5"/>
  <c r="D20" i="5"/>
  <c r="AD79" i="67" s="1"/>
  <c r="E18" i="5"/>
  <c r="D18" i="5"/>
  <c r="AB79" i="67" s="1"/>
  <c r="AT2" i="82" l="1"/>
  <c r="AJ2" i="82"/>
  <c r="AL14" i="68"/>
  <c r="AO3" i="82"/>
  <c r="AO5" i="82"/>
  <c r="AT7" i="82"/>
  <c r="T9" i="68"/>
  <c r="T11" i="68"/>
  <c r="T14" i="68"/>
  <c r="T17" i="68"/>
  <c r="T52" i="73"/>
  <c r="AT6" i="82"/>
  <c r="AJ6" i="82"/>
  <c r="AL9" i="68"/>
  <c r="AL12" i="68"/>
  <c r="T15" i="68"/>
  <c r="AO2" i="82"/>
  <c r="AO6" i="82"/>
  <c r="T12" i="68"/>
  <c r="AL18" i="68"/>
  <c r="AL19" i="68"/>
  <c r="AL11" i="68"/>
  <c r="N10" i="68"/>
  <c r="T10" i="68" s="1"/>
  <c r="AL10" i="68"/>
  <c r="AL13" i="68"/>
  <c r="AL16" i="68"/>
  <c r="AJ3" i="82"/>
  <c r="AT3" i="82"/>
  <c r="AT5" i="82"/>
  <c r="AJ5" i="82"/>
  <c r="T19" i="68"/>
  <c r="P52" i="73"/>
  <c r="AL15" i="68"/>
  <c r="T18" i="68"/>
  <c r="T13" i="68"/>
  <c r="T16" i="68"/>
  <c r="AM80" i="68"/>
  <c r="AT8" i="82"/>
  <c r="AJ8" i="82"/>
  <c r="AC4" i="86"/>
  <c r="AP2" i="82"/>
  <c r="AO8" i="82"/>
  <c r="AT4" i="82"/>
  <c r="AO4" i="82"/>
  <c r="AA10" i="86"/>
  <c r="AA9" i="86"/>
  <c r="AA11" i="86"/>
  <c r="AA12" i="86"/>
  <c r="AC9" i="83"/>
  <c r="AC17" i="83"/>
  <c r="AC25" i="83"/>
  <c r="AC33" i="83"/>
  <c r="AC41" i="83"/>
  <c r="AC49" i="83"/>
  <c r="AC57" i="83"/>
  <c r="AC65" i="83"/>
  <c r="AC73" i="83"/>
  <c r="AC81" i="83"/>
  <c r="AC89" i="83"/>
  <c r="AC97" i="83"/>
  <c r="AC105" i="83"/>
  <c r="AC113" i="83"/>
  <c r="AC121" i="83"/>
  <c r="AC129" i="83"/>
  <c r="AC137" i="83"/>
  <c r="AC145" i="83"/>
  <c r="AC153" i="83"/>
  <c r="AC574" i="83"/>
  <c r="AC578" i="83"/>
  <c r="AC582" i="83"/>
  <c r="AC7" i="83"/>
  <c r="AC15" i="83"/>
  <c r="AC23" i="83"/>
  <c r="AC31" i="83"/>
  <c r="AC39" i="83"/>
  <c r="AC47" i="83"/>
  <c r="AO7" i="82"/>
  <c r="AC5" i="83"/>
  <c r="AC13" i="83"/>
  <c r="AC21" i="83"/>
  <c r="AC29" i="83"/>
  <c r="AC37" i="83"/>
  <c r="AC45" i="83"/>
  <c r="AC53" i="83"/>
  <c r="AC61" i="83"/>
  <c r="AC69" i="83"/>
  <c r="AC77" i="83"/>
  <c r="AC85" i="83"/>
  <c r="AC93" i="83"/>
  <c r="AC101" i="83"/>
  <c r="AC109" i="83"/>
  <c r="AC117" i="83"/>
  <c r="AC125" i="83"/>
  <c r="AC133" i="83"/>
  <c r="AC141" i="83"/>
  <c r="AC149" i="83"/>
  <c r="AC161" i="83"/>
  <c r="AC169" i="83"/>
  <c r="AC177" i="83"/>
  <c r="AC193" i="83"/>
  <c r="AC341" i="83"/>
  <c r="AC357" i="83"/>
  <c r="AC373" i="83"/>
  <c r="AC389" i="83"/>
  <c r="AC405" i="83"/>
  <c r="AC421" i="83"/>
  <c r="AC501" i="83"/>
  <c r="AC509" i="83"/>
  <c r="AC517" i="83"/>
  <c r="AC232" i="83"/>
  <c r="AC239" i="83"/>
  <c r="AC248" i="83"/>
  <c r="AC255" i="83"/>
  <c r="AC264" i="83"/>
  <c r="AC592" i="83"/>
  <c r="AC594" i="83"/>
  <c r="AC596" i="83"/>
  <c r="AC427" i="83"/>
  <c r="AC507" i="83"/>
  <c r="AC515" i="83"/>
  <c r="AC218" i="83"/>
  <c r="AC222" i="83"/>
  <c r="AC555" i="83"/>
  <c r="AC585" i="83"/>
  <c r="AC130" i="83"/>
  <c r="AC138" i="83"/>
  <c r="AC146" i="83"/>
  <c r="AC154" i="83"/>
  <c r="AC162" i="83"/>
  <c r="AC170" i="83"/>
  <c r="AC178" i="83"/>
  <c r="AC186" i="83"/>
  <c r="AC210" i="83"/>
  <c r="AC270" i="83"/>
  <c r="AC278" i="83"/>
  <c r="AC286" i="83"/>
  <c r="AC294" i="83"/>
  <c r="AC302" i="83"/>
  <c r="AC310" i="83"/>
  <c r="AC318" i="83"/>
  <c r="AC326" i="83"/>
  <c r="AC334" i="83"/>
  <c r="AC350" i="83"/>
  <c r="AC366" i="83"/>
  <c r="AC382" i="83"/>
  <c r="AC398" i="83"/>
  <c r="AC414" i="83"/>
  <c r="AC430" i="83"/>
  <c r="AC438" i="83"/>
  <c r="AC446" i="83"/>
  <c r="AC454" i="83"/>
  <c r="AC462" i="83"/>
  <c r="AC470" i="83"/>
  <c r="AC478" i="83"/>
  <c r="AC486" i="83"/>
  <c r="AC494" i="83"/>
  <c r="AC502" i="83"/>
  <c r="AC510" i="83"/>
  <c r="AC518" i="83"/>
  <c r="AC597" i="83"/>
  <c r="AC605" i="83"/>
  <c r="AC613" i="83"/>
  <c r="AC621" i="83"/>
  <c r="AC629" i="83"/>
  <c r="AC637" i="83"/>
  <c r="AC645" i="83"/>
  <c r="AC653" i="83"/>
  <c r="AC661" i="83"/>
  <c r="AC669" i="83"/>
  <c r="AC677" i="83"/>
  <c r="AC685" i="83"/>
  <c r="AC693" i="83"/>
  <c r="AC701" i="83"/>
  <c r="AC749" i="83"/>
  <c r="AC757" i="83"/>
  <c r="AC765" i="83"/>
  <c r="AC773" i="83"/>
  <c r="AC781" i="83"/>
  <c r="AE4" i="86"/>
  <c r="AE5" i="86"/>
  <c r="AC589" i="83"/>
  <c r="J1515" i="86"/>
  <c r="M1515" i="86" s="1"/>
  <c r="AC157" i="83"/>
  <c r="AC165" i="83"/>
  <c r="AC173" i="83"/>
  <c r="AC181" i="83"/>
  <c r="AC197" i="83"/>
  <c r="AC205" i="83"/>
  <c r="AC213" i="83"/>
  <c r="AC345" i="83"/>
  <c r="AC353" i="83"/>
  <c r="AC361" i="83"/>
  <c r="AC369" i="83"/>
  <c r="AC377" i="83"/>
  <c r="AC385" i="83"/>
  <c r="AC393" i="83"/>
  <c r="AC401" i="83"/>
  <c r="AC409" i="83"/>
  <c r="AC417" i="83"/>
  <c r="AC425" i="83"/>
  <c r="AC505" i="83"/>
  <c r="AC513" i="83"/>
  <c r="AC521" i="83"/>
  <c r="AC231" i="83"/>
  <c r="AC240" i="83"/>
  <c r="AC247" i="83"/>
  <c r="AC256" i="83"/>
  <c r="AC263" i="83"/>
  <c r="AC525" i="83"/>
  <c r="AC563" i="83"/>
  <c r="AC593" i="83"/>
  <c r="J1517" i="86"/>
  <c r="M1517" i="86" s="1"/>
  <c r="AC603" i="83"/>
  <c r="AC611" i="83"/>
  <c r="AC619" i="83"/>
  <c r="AC627" i="83"/>
  <c r="AC635" i="83"/>
  <c r="AC643" i="83"/>
  <c r="AC651" i="83"/>
  <c r="AC659" i="83"/>
  <c r="AC667" i="83"/>
  <c r="AC675" i="83"/>
  <c r="AC683" i="83"/>
  <c r="AC691" i="83"/>
  <c r="AC699" i="83"/>
  <c r="AC707" i="83"/>
  <c r="AC229" i="83"/>
  <c r="AC238" i="83"/>
  <c r="AC245" i="83"/>
  <c r="AC254" i="83"/>
  <c r="AC261" i="83"/>
  <c r="AC523" i="83"/>
  <c r="AC533" i="83"/>
  <c r="AC549" i="83"/>
  <c r="AC567" i="83"/>
  <c r="AC203" i="83"/>
  <c r="AC598" i="83"/>
  <c r="AC606" i="83"/>
  <c r="AC614" i="83"/>
  <c r="AC622" i="83"/>
  <c r="AC630" i="83"/>
  <c r="AC638" i="83"/>
  <c r="AC646" i="83"/>
  <c r="AC654" i="83"/>
  <c r="AC662" i="83"/>
  <c r="AC670" i="83"/>
  <c r="AC678" i="83"/>
  <c r="AC686" i="83"/>
  <c r="AC694" i="83"/>
  <c r="AC702" i="83"/>
  <c r="AC710" i="83"/>
  <c r="AC718" i="83"/>
  <c r="AC726" i="83"/>
  <c r="AC750" i="83"/>
  <c r="AC758" i="83"/>
  <c r="AC766" i="83"/>
  <c r="AC774" i="83"/>
  <c r="AC782" i="83"/>
  <c r="AD10" i="86"/>
  <c r="J1525" i="86"/>
  <c r="M1525" i="86" s="1"/>
  <c r="J1509" i="86"/>
  <c r="M1509" i="86" s="1"/>
  <c r="J1535" i="86"/>
  <c r="M1535" i="86" s="1"/>
  <c r="J1530" i="86"/>
  <c r="M1530" i="86" s="1"/>
  <c r="J1524" i="86"/>
  <c r="M1524" i="86" s="1"/>
  <c r="J1519" i="86"/>
  <c r="M1519" i="86" s="1"/>
  <c r="J1514" i="86"/>
  <c r="M1514" i="86" s="1"/>
  <c r="J1508" i="86"/>
  <c r="M1508" i="86" s="1"/>
  <c r="J1503" i="86"/>
  <c r="M1503" i="86" s="1"/>
  <c r="J1521" i="86"/>
  <c r="M1521" i="86" s="1"/>
  <c r="J1513" i="86"/>
  <c r="M1513" i="86" s="1"/>
  <c r="J1534" i="86"/>
  <c r="M1534" i="86" s="1"/>
  <c r="J1527" i="86"/>
  <c r="M1527" i="86" s="1"/>
  <c r="J1520" i="86"/>
  <c r="M1520" i="86" s="1"/>
  <c r="J1512" i="86"/>
  <c r="M1512" i="86" s="1"/>
  <c r="J1506" i="86"/>
  <c r="M1506" i="86" s="1"/>
  <c r="J1533" i="86"/>
  <c r="M1533" i="86" s="1"/>
  <c r="J1505" i="86"/>
  <c r="M1505" i="86" s="1"/>
  <c r="J1532" i="86"/>
  <c r="M1532" i="86" s="1"/>
  <c r="J1526" i="86"/>
  <c r="M1526" i="86" s="1"/>
  <c r="J1518" i="86"/>
  <c r="M1518" i="86" s="1"/>
  <c r="J1511" i="86"/>
  <c r="M1511" i="86" s="1"/>
  <c r="J1504" i="86"/>
  <c r="M1504" i="86" s="1"/>
  <c r="J1538" i="86"/>
  <c r="M1538" i="86" s="1"/>
  <c r="J1531" i="86"/>
  <c r="M1531" i="86" s="1"/>
  <c r="J1523" i="86"/>
  <c r="M1523" i="86" s="1"/>
  <c r="J1516" i="86"/>
  <c r="M1516" i="86" s="1"/>
  <c r="J1510" i="86"/>
  <c r="M1510" i="86" s="1"/>
  <c r="J1502" i="86"/>
  <c r="M1502" i="86" s="1"/>
  <c r="J1537" i="86"/>
  <c r="M1537" i="86" s="1"/>
  <c r="J1529" i="86"/>
  <c r="M1529" i="86" s="1"/>
  <c r="J1501" i="86"/>
  <c r="AC586" i="83"/>
  <c r="AC588" i="83"/>
  <c r="T4" i="86"/>
  <c r="AC110" i="83"/>
  <c r="AC118" i="83"/>
  <c r="AC126" i="83"/>
  <c r="AC134" i="83"/>
  <c r="AC190" i="83"/>
  <c r="AC198" i="83"/>
  <c r="AC206" i="83"/>
  <c r="AC274" i="83"/>
  <c r="AC282" i="83"/>
  <c r="AC290" i="83"/>
  <c r="AC298" i="83"/>
  <c r="AC306" i="83"/>
  <c r="AC314" i="83"/>
  <c r="AC322" i="83"/>
  <c r="AC330" i="83"/>
  <c r="AC338" i="83"/>
  <c r="AC346" i="83"/>
  <c r="AC354" i="83"/>
  <c r="AC362" i="83"/>
  <c r="AC370" i="83"/>
  <c r="AC378" i="83"/>
  <c r="AC386" i="83"/>
  <c r="AC394" i="83"/>
  <c r="AC402" i="83"/>
  <c r="AC410" i="83"/>
  <c r="AC418" i="83"/>
  <c r="AC426" i="83"/>
  <c r="AC434" i="83"/>
  <c r="AC442" i="83"/>
  <c r="AC450" i="83"/>
  <c r="AC458" i="83"/>
  <c r="AC466" i="83"/>
  <c r="AC474" i="83"/>
  <c r="AC482" i="83"/>
  <c r="AC490" i="83"/>
  <c r="AC498" i="83"/>
  <c r="AC506" i="83"/>
  <c r="AC514" i="83"/>
  <c r="AD9" i="86"/>
  <c r="AC532" i="83"/>
  <c r="AC548" i="83"/>
  <c r="AD11" i="86"/>
  <c r="AC948" i="83"/>
  <c r="O2" i="86"/>
  <c r="J1528" i="86"/>
  <c r="M1528" i="86" s="1"/>
  <c r="AI13" i="86"/>
  <c r="D36" i="5"/>
  <c r="U52" i="72"/>
  <c r="M52" i="73"/>
  <c r="O52" i="73"/>
  <c r="E36" i="5"/>
  <c r="Z6" i="86"/>
  <c r="AH6" i="86" s="1"/>
  <c r="Z3" i="86"/>
  <c r="AH3" i="86" s="1"/>
  <c r="AJ3" i="86"/>
  <c r="AJ13" i="86"/>
  <c r="Z8" i="86"/>
  <c r="AH8" i="86" s="1"/>
  <c r="AH13" i="86"/>
  <c r="W4" i="86"/>
  <c r="M2" i="86"/>
  <c r="R9" i="86"/>
  <c r="M1217" i="86"/>
  <c r="U9" i="86" s="1"/>
  <c r="AI9" i="86" s="1"/>
  <c r="M1501" i="86"/>
  <c r="U10" i="86" s="1"/>
  <c r="AI10" i="86" s="1"/>
  <c r="R11" i="86"/>
  <c r="M1693" i="86"/>
  <c r="U11" i="86" s="1"/>
  <c r="AI11" i="86" s="1"/>
  <c r="U12" i="86"/>
  <c r="AI12" i="86" s="1"/>
  <c r="Y3" i="86"/>
  <c r="AG3" i="86" s="1"/>
  <c r="AI3" i="86"/>
  <c r="X3" i="86"/>
  <c r="AF3" i="86" s="1"/>
  <c r="R12" i="86"/>
  <c r="X12" i="86" s="1"/>
  <c r="AF12" i="86" s="1"/>
  <c r="X8" i="86"/>
  <c r="AF8" i="86" s="1"/>
  <c r="AG8" i="86"/>
  <c r="X6" i="86"/>
  <c r="AF6" i="86" s="1"/>
  <c r="AT9" i="82"/>
  <c r="AC552" i="83"/>
  <c r="AC569" i="83"/>
  <c r="AC595" i="83"/>
  <c r="AO10" i="82"/>
  <c r="AJ4" i="82"/>
  <c r="AJ9" i="82" s="1"/>
  <c r="AC561" i="83"/>
  <c r="AO9" i="82"/>
  <c r="AO11" i="82" s="1"/>
  <c r="AJ7" i="82"/>
  <c r="AJ10" i="82" s="1"/>
  <c r="AC524" i="83"/>
  <c r="AC587" i="83"/>
  <c r="AQ2" i="82"/>
  <c r="AC142" i="83"/>
  <c r="AC150" i="83"/>
  <c r="AC158" i="83"/>
  <c r="AC166" i="83"/>
  <c r="AC174" i="83"/>
  <c r="AC182" i="83"/>
  <c r="AI2" i="83" s="1"/>
  <c r="AC189" i="83"/>
  <c r="AC200" i="83"/>
  <c r="AC209" i="83"/>
  <c r="AC55" i="83"/>
  <c r="AC63" i="83"/>
  <c r="AC71" i="83"/>
  <c r="AC79" i="83"/>
  <c r="AC87" i="83"/>
  <c r="AC95" i="83"/>
  <c r="AC103" i="83"/>
  <c r="AC111" i="83"/>
  <c r="AC119" i="83"/>
  <c r="AC127" i="83"/>
  <c r="AC135" i="83"/>
  <c r="AC143" i="83"/>
  <c r="AC151" i="83"/>
  <c r="AC159" i="83"/>
  <c r="AC167" i="83"/>
  <c r="AC175" i="83"/>
  <c r="AC201" i="83"/>
  <c r="AC217" i="83"/>
  <c r="AC2" i="83"/>
  <c r="AI3" i="83" s="1"/>
  <c r="AC4" i="83"/>
  <c r="AC6" i="83"/>
  <c r="AC8" i="83"/>
  <c r="AC10" i="83"/>
  <c r="AC12" i="83"/>
  <c r="AC14" i="83"/>
  <c r="AC16" i="83"/>
  <c r="AC18" i="83"/>
  <c r="AC20" i="83"/>
  <c r="AC22" i="83"/>
  <c r="AC24" i="83"/>
  <c r="AC26" i="83"/>
  <c r="AC28" i="83"/>
  <c r="AC30" i="83"/>
  <c r="AC32" i="83"/>
  <c r="AC34" i="83"/>
  <c r="AC36" i="83"/>
  <c r="AC38" i="83"/>
  <c r="AC40" i="83"/>
  <c r="AC42" i="83"/>
  <c r="AC44" i="83"/>
  <c r="AC46" i="83"/>
  <c r="AC48" i="83"/>
  <c r="AC56" i="83"/>
  <c r="AC64" i="83"/>
  <c r="AC72" i="83"/>
  <c r="AC80" i="83"/>
  <c r="AC88" i="83"/>
  <c r="AC96" i="83"/>
  <c r="AC104" i="83"/>
  <c r="AC112" i="83"/>
  <c r="AC120" i="83"/>
  <c r="AC128" i="83"/>
  <c r="AC136" i="83"/>
  <c r="AC144" i="83"/>
  <c r="AC152" i="83"/>
  <c r="AC160" i="83"/>
  <c r="AC168" i="83"/>
  <c r="AC176" i="83"/>
  <c r="AC185" i="83"/>
  <c r="AC194" i="83"/>
  <c r="AC202" i="83"/>
  <c r="AC214" i="83"/>
  <c r="AC437" i="83"/>
  <c r="AC445" i="83"/>
  <c r="AC453" i="83"/>
  <c r="AC461" i="83"/>
  <c r="AC469" i="83"/>
  <c r="AC477" i="83"/>
  <c r="AC485" i="83"/>
  <c r="AC493" i="83"/>
  <c r="AC184" i="83"/>
  <c r="AC192" i="83"/>
  <c r="AC212" i="83"/>
  <c r="AC343" i="83"/>
  <c r="AC352" i="83"/>
  <c r="AC359" i="83"/>
  <c r="AC368" i="83"/>
  <c r="AC375" i="83"/>
  <c r="AC384" i="83"/>
  <c r="AC391" i="83"/>
  <c r="AC400" i="83"/>
  <c r="AC407" i="83"/>
  <c r="AC416" i="83"/>
  <c r="AC423" i="83"/>
  <c r="AC435" i="83"/>
  <c r="AC443" i="83"/>
  <c r="AC451" i="83"/>
  <c r="AC459" i="83"/>
  <c r="AC467" i="83"/>
  <c r="AC475" i="83"/>
  <c r="AC483" i="83"/>
  <c r="AC491" i="83"/>
  <c r="AC499" i="83"/>
  <c r="AC271" i="83"/>
  <c r="AC273" i="83"/>
  <c r="AC275" i="83"/>
  <c r="AC277" i="83"/>
  <c r="AC279" i="83"/>
  <c r="AC281" i="83"/>
  <c r="AC283" i="83"/>
  <c r="AC285" i="83"/>
  <c r="AC287" i="83"/>
  <c r="AC289" i="83"/>
  <c r="AC291" i="83"/>
  <c r="AC293" i="83"/>
  <c r="AC295" i="83"/>
  <c r="AC297" i="83"/>
  <c r="AC299" i="83"/>
  <c r="AC301" i="83"/>
  <c r="AC303" i="83"/>
  <c r="AC305" i="83"/>
  <c r="AC307" i="83"/>
  <c r="AC309" i="83"/>
  <c r="AC311" i="83"/>
  <c r="AC313" i="83"/>
  <c r="AC315" i="83"/>
  <c r="AC317" i="83"/>
  <c r="AC319" i="83"/>
  <c r="AC321" i="83"/>
  <c r="AC323" i="83"/>
  <c r="AC325" i="83"/>
  <c r="AC327" i="83"/>
  <c r="AC329" i="83"/>
  <c r="AC331" i="83"/>
  <c r="AC333" i="83"/>
  <c r="AC335" i="83"/>
  <c r="AC337" i="83"/>
  <c r="AC339" i="83"/>
  <c r="AC348" i="83"/>
  <c r="AC355" i="83"/>
  <c r="AC364" i="83"/>
  <c r="AC371" i="83"/>
  <c r="AC380" i="83"/>
  <c r="AC387" i="83"/>
  <c r="AC396" i="83"/>
  <c r="AC403" i="83"/>
  <c r="AC412" i="83"/>
  <c r="AC419" i="83"/>
  <c r="AC428" i="83"/>
  <c r="AC433" i="83"/>
  <c r="AC441" i="83"/>
  <c r="AC449" i="83"/>
  <c r="AC457" i="83"/>
  <c r="AC465" i="83"/>
  <c r="AC473" i="83"/>
  <c r="AC481" i="83"/>
  <c r="AC489" i="83"/>
  <c r="AC497" i="83"/>
  <c r="AC188" i="83"/>
  <c r="AC208" i="83"/>
  <c r="AC216" i="83"/>
  <c r="AC344" i="83"/>
  <c r="AC351" i="83"/>
  <c r="AC360" i="83"/>
  <c r="AC367" i="83"/>
  <c r="AC376" i="83"/>
  <c r="AC383" i="83"/>
  <c r="AC392" i="83"/>
  <c r="AC399" i="83"/>
  <c r="AC408" i="83"/>
  <c r="AC415" i="83"/>
  <c r="AC424" i="83"/>
  <c r="AC431" i="83"/>
  <c r="AC439" i="83"/>
  <c r="AC447" i="83"/>
  <c r="AC455" i="83"/>
  <c r="AC463" i="83"/>
  <c r="AC471" i="83"/>
  <c r="AC479" i="83"/>
  <c r="AC487" i="83"/>
  <c r="AC495" i="83"/>
  <c r="AC342" i="83"/>
  <c r="AC349" i="83"/>
  <c r="AC358" i="83"/>
  <c r="AC365" i="83"/>
  <c r="AC374" i="83"/>
  <c r="AC381" i="83"/>
  <c r="AC390" i="83"/>
  <c r="AC397" i="83"/>
  <c r="AC406" i="83"/>
  <c r="AC413" i="83"/>
  <c r="AC422" i="83"/>
  <c r="AC429" i="83"/>
  <c r="AC734" i="83"/>
  <c r="AC742" i="83"/>
  <c r="AC805" i="83"/>
  <c r="AC810" i="83"/>
  <c r="AC820" i="83"/>
  <c r="AC827" i="83"/>
  <c r="AC843" i="83"/>
  <c r="AC861" i="83"/>
  <c r="AC907" i="83"/>
  <c r="AC715" i="83"/>
  <c r="AC723" i="83"/>
  <c r="AC731" i="83"/>
  <c r="AC739" i="83"/>
  <c r="AC747" i="83"/>
  <c r="AC787" i="83"/>
  <c r="AC795" i="83"/>
  <c r="AC807" i="83"/>
  <c r="AC817" i="83"/>
  <c r="AC829" i="83"/>
  <c r="AC836" i="83"/>
  <c r="AC845" i="83"/>
  <c r="AC852" i="83"/>
  <c r="AC863" i="83"/>
  <c r="AC915" i="83"/>
  <c r="AC600" i="83"/>
  <c r="AC608" i="83"/>
  <c r="AC616" i="83"/>
  <c r="AC624" i="83"/>
  <c r="AC632" i="83"/>
  <c r="AC640" i="83"/>
  <c r="AC648" i="83"/>
  <c r="AC656" i="83"/>
  <c r="AC664" i="83"/>
  <c r="AC672" i="83"/>
  <c r="AC680" i="83"/>
  <c r="AC688" i="83"/>
  <c r="AC696" i="83"/>
  <c r="AC704" i="83"/>
  <c r="AC712" i="83"/>
  <c r="AC720" i="83"/>
  <c r="AC728" i="83"/>
  <c r="AC736" i="83"/>
  <c r="AC744" i="83"/>
  <c r="AC752" i="83"/>
  <c r="AC760" i="83"/>
  <c r="AC768" i="83"/>
  <c r="AC776" i="83"/>
  <c r="AC784" i="83"/>
  <c r="AC792" i="83"/>
  <c r="AC797" i="83"/>
  <c r="AC802" i="83"/>
  <c r="AC812" i="83"/>
  <c r="AC831" i="83"/>
  <c r="AC847" i="83"/>
  <c r="AC867" i="83"/>
  <c r="AC923" i="83"/>
  <c r="AC709" i="83"/>
  <c r="AC717" i="83"/>
  <c r="AC725" i="83"/>
  <c r="AC733" i="83"/>
  <c r="AC741" i="83"/>
  <c r="AC789" i="83"/>
  <c r="AC799" i="83"/>
  <c r="AC809" i="83"/>
  <c r="AC819" i="83"/>
  <c r="AC826" i="83"/>
  <c r="AC869" i="83"/>
  <c r="AC931" i="83"/>
  <c r="AC602" i="83"/>
  <c r="AC610" i="83"/>
  <c r="AC618" i="83"/>
  <c r="AC626" i="83"/>
  <c r="AC634" i="83"/>
  <c r="AC642" i="83"/>
  <c r="AC650" i="83"/>
  <c r="AC658" i="83"/>
  <c r="AC666" i="83"/>
  <c r="AC674" i="83"/>
  <c r="AC682" i="83"/>
  <c r="AC690" i="83"/>
  <c r="AC698" i="83"/>
  <c r="AC706" i="83"/>
  <c r="AC714" i="83"/>
  <c r="AC722" i="83"/>
  <c r="AC730" i="83"/>
  <c r="AC738" i="83"/>
  <c r="AC746" i="83"/>
  <c r="AC754" i="83"/>
  <c r="AC762" i="83"/>
  <c r="AC770" i="83"/>
  <c r="AC778" i="83"/>
  <c r="AC786" i="83"/>
  <c r="AC794" i="83"/>
  <c r="AC804" i="83"/>
  <c r="AC821" i="83"/>
  <c r="AC835" i="83"/>
  <c r="AC851" i="83"/>
  <c r="AC875" i="83"/>
  <c r="AC939" i="83"/>
  <c r="AC719" i="83"/>
  <c r="AC727" i="83"/>
  <c r="AC735" i="83"/>
  <c r="AC743" i="83"/>
  <c r="AC791" i="83"/>
  <c r="AC801" i="83"/>
  <c r="AC811" i="83"/>
  <c r="AC823" i="83"/>
  <c r="AC828" i="83"/>
  <c r="AC837" i="83"/>
  <c r="AC844" i="83"/>
  <c r="AC853" i="83"/>
  <c r="AC883" i="83"/>
  <c r="AC604" i="83"/>
  <c r="AC612" i="83"/>
  <c r="AC620" i="83"/>
  <c r="AC628" i="83"/>
  <c r="AC636" i="83"/>
  <c r="AC644" i="83"/>
  <c r="AC652" i="83"/>
  <c r="AC660" i="83"/>
  <c r="AC668" i="83"/>
  <c r="AC676" i="83"/>
  <c r="AC684" i="83"/>
  <c r="AC692" i="83"/>
  <c r="AC700" i="83"/>
  <c r="AC708" i="83"/>
  <c r="AC716" i="83"/>
  <c r="AC724" i="83"/>
  <c r="AC732" i="83"/>
  <c r="AC740" i="83"/>
  <c r="AC748" i="83"/>
  <c r="AC756" i="83"/>
  <c r="AC764" i="83"/>
  <c r="AC772" i="83"/>
  <c r="AC780" i="83"/>
  <c r="AC788" i="83"/>
  <c r="AC796" i="83"/>
  <c r="AC813" i="83"/>
  <c r="AC818" i="83"/>
  <c r="AI7" i="83" s="1"/>
  <c r="AC839" i="83"/>
  <c r="AC855" i="83"/>
  <c r="AC891" i="83"/>
  <c r="AC601" i="83"/>
  <c r="AC609" i="83"/>
  <c r="AC617" i="83"/>
  <c r="AC625" i="83"/>
  <c r="AC633" i="83"/>
  <c r="AC641" i="83"/>
  <c r="AC649" i="83"/>
  <c r="AC657" i="83"/>
  <c r="AC665" i="83"/>
  <c r="AC673" i="83"/>
  <c r="AC681" i="83"/>
  <c r="AC689" i="83"/>
  <c r="AC697" i="83"/>
  <c r="AC705" i="83"/>
  <c r="AC713" i="83"/>
  <c r="AC721" i="83"/>
  <c r="AC729" i="83"/>
  <c r="AC737" i="83"/>
  <c r="AC745" i="83"/>
  <c r="AC753" i="83"/>
  <c r="AC761" i="83"/>
  <c r="AC769" i="83"/>
  <c r="AC777" i="83"/>
  <c r="AC785" i="83"/>
  <c r="AC793" i="83"/>
  <c r="AC803" i="83"/>
  <c r="AC815" i="83"/>
  <c r="AC859" i="83"/>
  <c r="AC899" i="83"/>
  <c r="AC877" i="83"/>
  <c r="AC885" i="83"/>
  <c r="AC893" i="83"/>
  <c r="AC901" i="83"/>
  <c r="AC909" i="83"/>
  <c r="AC917" i="83"/>
  <c r="AC925" i="83"/>
  <c r="AC933" i="83"/>
  <c r="AT10" i="82"/>
  <c r="AC834" i="83"/>
  <c r="AC842" i="83"/>
  <c r="AC850" i="83"/>
  <c r="AC858" i="83"/>
  <c r="AC866" i="83"/>
  <c r="AC874" i="83"/>
  <c r="AC882" i="83"/>
  <c r="AC890" i="83"/>
  <c r="AC898" i="83"/>
  <c r="AC906" i="83"/>
  <c r="AC914" i="83"/>
  <c r="AC922" i="83"/>
  <c r="AC930" i="83"/>
  <c r="AC938" i="83"/>
  <c r="AC871" i="83"/>
  <c r="AC879" i="83"/>
  <c r="AC887" i="83"/>
  <c r="AC895" i="83"/>
  <c r="AC903" i="83"/>
  <c r="AC911" i="83"/>
  <c r="AC919" i="83"/>
  <c r="AC927" i="83"/>
  <c r="AC935" i="83"/>
  <c r="AC860" i="83"/>
  <c r="AC868" i="83"/>
  <c r="AC876" i="83"/>
  <c r="AC884" i="83"/>
  <c r="AC892" i="83"/>
  <c r="AC900" i="83"/>
  <c r="AC908" i="83"/>
  <c r="AC916" i="83"/>
  <c r="AC924" i="83"/>
  <c r="AC932" i="83"/>
  <c r="AC825" i="83"/>
  <c r="AC833" i="83"/>
  <c r="AC841" i="83"/>
  <c r="AC849" i="83"/>
  <c r="AC857" i="83"/>
  <c r="AC865" i="83"/>
  <c r="AC873" i="83"/>
  <c r="AC881" i="83"/>
  <c r="AC889" i="83"/>
  <c r="AC897" i="83"/>
  <c r="AC905" i="83"/>
  <c r="AC913" i="83"/>
  <c r="AC921" i="83"/>
  <c r="AC929" i="83"/>
  <c r="AC937" i="83"/>
  <c r="AC790" i="83"/>
  <c r="AC798" i="83"/>
  <c r="AC806" i="83"/>
  <c r="AC814" i="83"/>
  <c r="AC822" i="83"/>
  <c r="AC830" i="83"/>
  <c r="AC838" i="83"/>
  <c r="AC846" i="83"/>
  <c r="AC854" i="83"/>
  <c r="AC862" i="83"/>
  <c r="AC870" i="83"/>
  <c r="AC878" i="83"/>
  <c r="AC886" i="83"/>
  <c r="AC894" i="83"/>
  <c r="AC902" i="83"/>
  <c r="AC910" i="83"/>
  <c r="AC918" i="83"/>
  <c r="AC926" i="83"/>
  <c r="AC934" i="83"/>
  <c r="AC800" i="83"/>
  <c r="AC808" i="83"/>
  <c r="AC816" i="83"/>
  <c r="AC824" i="83"/>
  <c r="AC832" i="83"/>
  <c r="AC840" i="83"/>
  <c r="AC848" i="83"/>
  <c r="AC856" i="83"/>
  <c r="AC864" i="83"/>
  <c r="AC872" i="83"/>
  <c r="AC880" i="83"/>
  <c r="AC888" i="83"/>
  <c r="AC896" i="83"/>
  <c r="AC904" i="83"/>
  <c r="AC912" i="83"/>
  <c r="AC920" i="83"/>
  <c r="AC928" i="83"/>
  <c r="AC936" i="83"/>
  <c r="AB11" i="68"/>
  <c r="AB15" i="68"/>
  <c r="AB19" i="68"/>
  <c r="AB9" i="68"/>
  <c r="AB12" i="68"/>
  <c r="AM12" i="68" s="1"/>
  <c r="AM14" i="68"/>
  <c r="AB14" i="68"/>
  <c r="AB17" i="68"/>
  <c r="AB18" i="68"/>
  <c r="AB10" i="68"/>
  <c r="AM10" i="68" s="1"/>
  <c r="AB13" i="68"/>
  <c r="AM16" i="68"/>
  <c r="AB16" i="68"/>
  <c r="AL79" i="70"/>
  <c r="AL79" i="69"/>
  <c r="AL79" i="68"/>
  <c r="AL81" i="67"/>
  <c r="AI77" i="69"/>
  <c r="AI77" i="70"/>
  <c r="AI77" i="68"/>
  <c r="AD78" i="70"/>
  <c r="AD78" i="69"/>
  <c r="AD80" i="67"/>
  <c r="AD78" i="68"/>
  <c r="W50" i="74"/>
  <c r="W50" i="73"/>
  <c r="W50" i="72"/>
  <c r="W50" i="71"/>
  <c r="V79" i="70"/>
  <c r="V79" i="69"/>
  <c r="V79" i="68"/>
  <c r="Z50" i="73"/>
  <c r="Z50" i="74"/>
  <c r="Z50" i="72"/>
  <c r="Z50" i="71"/>
  <c r="AD79" i="70"/>
  <c r="AD79" i="69"/>
  <c r="AD79" i="68"/>
  <c r="AD81" i="67"/>
  <c r="Y48" i="74"/>
  <c r="Y48" i="73"/>
  <c r="Y48" i="71"/>
  <c r="Y48" i="72"/>
  <c r="Z79" i="70"/>
  <c r="Z79" i="69"/>
  <c r="Z79" i="68"/>
  <c r="Z81" i="67"/>
  <c r="AI78" i="70"/>
  <c r="AI78" i="69"/>
  <c r="AI80" i="67"/>
  <c r="AG77" i="69"/>
  <c r="AG77" i="70"/>
  <c r="AG77" i="68"/>
  <c r="Y50" i="74"/>
  <c r="Y50" i="73"/>
  <c r="Y50" i="72"/>
  <c r="Y50" i="71"/>
  <c r="AA79" i="70"/>
  <c r="AA79" i="69"/>
  <c r="AA79" i="68"/>
  <c r="AA81" i="67"/>
  <c r="AI79" i="70"/>
  <c r="AI79" i="69"/>
  <c r="AI79" i="68"/>
  <c r="AI81" i="67"/>
  <c r="AG79" i="70"/>
  <c r="AG79" i="69"/>
  <c r="AG81" i="67"/>
  <c r="AG79" i="68"/>
  <c r="AA49" i="73"/>
  <c r="AA49" i="74"/>
  <c r="AA49" i="72"/>
  <c r="AA49" i="71"/>
  <c r="U50" i="73"/>
  <c r="U50" i="74"/>
  <c r="U50" i="71"/>
  <c r="U50" i="72"/>
  <c r="AJ77" i="69"/>
  <c r="AJ77" i="70"/>
  <c r="AJ77" i="68"/>
  <c r="AF77" i="69"/>
  <c r="AF77" i="70"/>
  <c r="AF77" i="68"/>
  <c r="D28" i="5"/>
  <c r="AL79" i="67" s="1"/>
  <c r="F45" i="5"/>
  <c r="W77" i="69"/>
  <c r="W81" i="69" s="1"/>
  <c r="W77" i="70"/>
  <c r="W77" i="68"/>
  <c r="AJ78" i="70"/>
  <c r="AJ78" i="69"/>
  <c r="AJ80" i="67"/>
  <c r="AJ78" i="68"/>
  <c r="V81" i="67"/>
  <c r="AB77" i="69"/>
  <c r="AB77" i="70"/>
  <c r="AB77" i="68"/>
  <c r="R48" i="74"/>
  <c r="R48" i="73"/>
  <c r="R48" i="72"/>
  <c r="R48" i="71"/>
  <c r="AH77" i="70"/>
  <c r="AH77" i="69"/>
  <c r="AH77" i="68"/>
  <c r="AJ79" i="70"/>
  <c r="AJ79" i="69"/>
  <c r="AJ79" i="68"/>
  <c r="AJ81" i="67"/>
  <c r="P77" i="69"/>
  <c r="P81" i="69" s="1"/>
  <c r="P77" i="70"/>
  <c r="P77" i="68"/>
  <c r="AB78" i="70"/>
  <c r="AB78" i="69"/>
  <c r="AB80" i="67"/>
  <c r="AB78" i="68"/>
  <c r="W48" i="73"/>
  <c r="W48" i="74"/>
  <c r="W48" i="71"/>
  <c r="W48" i="72"/>
  <c r="E28" i="5"/>
  <c r="AH78" i="70"/>
  <c r="AH78" i="69"/>
  <c r="AH78" i="68"/>
  <c r="AH80" i="67"/>
  <c r="D45" i="5"/>
  <c r="Z48" i="74"/>
  <c r="Z48" i="73"/>
  <c r="Z48" i="72"/>
  <c r="Z48" i="71"/>
  <c r="AD24" i="68"/>
  <c r="AC77" i="69"/>
  <c r="AC81" i="69" s="1"/>
  <c r="AC17" i="70" s="1"/>
  <c r="AD17" i="70" s="1"/>
  <c r="AC77" i="70"/>
  <c r="AC77" i="68"/>
  <c r="AD77" i="70"/>
  <c r="AD77" i="69"/>
  <c r="AD77" i="68"/>
  <c r="W49" i="74"/>
  <c r="W49" i="73"/>
  <c r="W49" i="72"/>
  <c r="W49" i="71"/>
  <c r="F18" i="5"/>
  <c r="U79" i="70"/>
  <c r="U79" i="69"/>
  <c r="U79" i="68"/>
  <c r="U81" i="67"/>
  <c r="AH79" i="70"/>
  <c r="AH79" i="69"/>
  <c r="AH81" i="67"/>
  <c r="AH79" i="68"/>
  <c r="Z49" i="74"/>
  <c r="Z49" i="73"/>
  <c r="Z49" i="72"/>
  <c r="Z49" i="71"/>
  <c r="AB24" i="68"/>
  <c r="AI78" i="68"/>
  <c r="S77" i="69"/>
  <c r="S77" i="70"/>
  <c r="S77" i="68"/>
  <c r="M77" i="69"/>
  <c r="M81" i="69" s="1"/>
  <c r="M24" i="70" s="1"/>
  <c r="M77" i="70"/>
  <c r="M77" i="68"/>
  <c r="Q77" i="69"/>
  <c r="Q81" i="69" s="1"/>
  <c r="Q77" i="70"/>
  <c r="Q77" i="68"/>
  <c r="U77" i="69"/>
  <c r="U81" i="69" s="1"/>
  <c r="U77" i="70"/>
  <c r="U77" i="68"/>
  <c r="X77" i="69"/>
  <c r="X81" i="69" s="1"/>
  <c r="X11" i="70" s="1"/>
  <c r="X77" i="70"/>
  <c r="X77" i="68"/>
  <c r="T24" i="68"/>
  <c r="O77" i="69"/>
  <c r="O81" i="69" s="1"/>
  <c r="O9" i="70" s="1"/>
  <c r="O77" i="70"/>
  <c r="O77" i="68"/>
  <c r="R77" i="70"/>
  <c r="R77" i="69"/>
  <c r="R81" i="69" s="1"/>
  <c r="R13" i="70" s="1"/>
  <c r="R77" i="68"/>
  <c r="AE77" i="69"/>
  <c r="AE77" i="70"/>
  <c r="AE77" i="68"/>
  <c r="AK77" i="69"/>
  <c r="AK81" i="69" s="1"/>
  <c r="AK17" i="70" s="1"/>
  <c r="AK77" i="70"/>
  <c r="AK77" i="68"/>
  <c r="L77" i="69"/>
  <c r="L81" i="69" s="1"/>
  <c r="L18" i="70" s="1"/>
  <c r="L77" i="70"/>
  <c r="L77" i="68"/>
  <c r="AL24" i="68"/>
  <c r="U52" i="73"/>
  <c r="AK11" i="70"/>
  <c r="AK18" i="70"/>
  <c r="AK12" i="70"/>
  <c r="AK24" i="70"/>
  <c r="AK19" i="70"/>
  <c r="AK14" i="70"/>
  <c r="AK13" i="70"/>
  <c r="AK9" i="70"/>
  <c r="AK10" i="70"/>
  <c r="O14" i="70"/>
  <c r="W13" i="70"/>
  <c r="L24" i="70"/>
  <c r="L16" i="70"/>
  <c r="L19" i="70"/>
  <c r="L11" i="70"/>
  <c r="L12" i="70"/>
  <c r="P24" i="70"/>
  <c r="P16" i="70"/>
  <c r="P18" i="70"/>
  <c r="P15" i="70"/>
  <c r="P11" i="70"/>
  <c r="P12" i="70"/>
  <c r="P17" i="70"/>
  <c r="P13" i="70"/>
  <c r="P9" i="70"/>
  <c r="P19" i="70"/>
  <c r="P10" i="70"/>
  <c r="P14" i="70"/>
  <c r="X14" i="70"/>
  <c r="X10" i="70"/>
  <c r="M19" i="70"/>
  <c r="M10" i="70"/>
  <c r="M14" i="70"/>
  <c r="M11" i="70"/>
  <c r="M16" i="70"/>
  <c r="M17" i="70"/>
  <c r="M18" i="70"/>
  <c r="M13" i="70"/>
  <c r="Q19" i="70"/>
  <c r="U18" i="70"/>
  <c r="U10" i="70"/>
  <c r="U24" i="70"/>
  <c r="U19" i="70"/>
  <c r="U14" i="70"/>
  <c r="U11" i="70"/>
  <c r="U15" i="70"/>
  <c r="U12" i="70"/>
  <c r="U16" i="70"/>
  <c r="U17" i="70"/>
  <c r="U13" i="70"/>
  <c r="U9" i="70"/>
  <c r="AC14" i="70"/>
  <c r="AD14" i="70" s="1"/>
  <c r="R16" i="70"/>
  <c r="R11" i="70"/>
  <c r="AM18" i="68"/>
  <c r="AM9" i="68"/>
  <c r="AM15" i="68"/>
  <c r="AM17" i="68"/>
  <c r="AM11" i="68"/>
  <c r="AM19" i="68"/>
  <c r="D37" i="5"/>
  <c r="T42" i="4"/>
  <c r="S42" i="4"/>
  <c r="R42" i="4"/>
  <c r="Q42" i="4"/>
  <c r="P42" i="4"/>
  <c r="O42" i="4"/>
  <c r="N42" i="4"/>
  <c r="M42" i="4"/>
  <c r="L42" i="4"/>
  <c r="K42" i="4"/>
  <c r="J42" i="4"/>
  <c r="I42" i="4"/>
  <c r="U42" i="4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U36" i="4" s="1"/>
  <c r="L36" i="4"/>
  <c r="K36" i="4"/>
  <c r="J36" i="4"/>
  <c r="I36" i="4"/>
  <c r="T35" i="4"/>
  <c r="S35" i="4"/>
  <c r="R35" i="4"/>
  <c r="Q35" i="4"/>
  <c r="P35" i="4"/>
  <c r="O35" i="4"/>
  <c r="N35" i="4"/>
  <c r="M35" i="4"/>
  <c r="U35" i="4" s="1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U28" i="4" s="1"/>
  <c r="L28" i="4"/>
  <c r="K28" i="4"/>
  <c r="J28" i="4"/>
  <c r="I28" i="4"/>
  <c r="T27" i="4"/>
  <c r="S27" i="4"/>
  <c r="R27" i="4"/>
  <c r="Q27" i="4"/>
  <c r="P27" i="4"/>
  <c r="O27" i="4"/>
  <c r="N27" i="4"/>
  <c r="M27" i="4"/>
  <c r="U27" i="4" s="1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U26" i="4" s="1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U20" i="4" s="1"/>
  <c r="L20" i="4"/>
  <c r="K20" i="4"/>
  <c r="J20" i="4"/>
  <c r="I20" i="4"/>
  <c r="T19" i="4"/>
  <c r="S19" i="4"/>
  <c r="R19" i="4"/>
  <c r="Q19" i="4"/>
  <c r="P19" i="4"/>
  <c r="O19" i="4"/>
  <c r="N19" i="4"/>
  <c r="M19" i="4"/>
  <c r="U19" i="4" s="1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U18" i="4" s="1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U12" i="4" s="1"/>
  <c r="L12" i="4"/>
  <c r="K12" i="4"/>
  <c r="J12" i="4"/>
  <c r="I12" i="4"/>
  <c r="T11" i="4"/>
  <c r="S11" i="4"/>
  <c r="R11" i="4"/>
  <c r="Q11" i="4"/>
  <c r="P11" i="4"/>
  <c r="O11" i="4"/>
  <c r="N11" i="4"/>
  <c r="M11" i="4"/>
  <c r="U11" i="4" s="1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U10" i="4" s="1"/>
  <c r="I10" i="4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U4" i="4" s="1"/>
  <c r="L4" i="4"/>
  <c r="K4" i="4"/>
  <c r="J4" i="4"/>
  <c r="I4" i="4"/>
  <c r="T3" i="4"/>
  <c r="S3" i="4"/>
  <c r="R3" i="4"/>
  <c r="Q3" i="4"/>
  <c r="P3" i="4"/>
  <c r="O3" i="4"/>
  <c r="N3" i="4"/>
  <c r="M3" i="4"/>
  <c r="U3" i="4" s="1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U2" i="4" s="1"/>
  <c r="I2" i="4"/>
  <c r="T71" i="3"/>
  <c r="S71" i="3"/>
  <c r="R71" i="3"/>
  <c r="Q71" i="3"/>
  <c r="P71" i="3"/>
  <c r="O71" i="3"/>
  <c r="N71" i="3"/>
  <c r="M71" i="3"/>
  <c r="L71" i="3"/>
  <c r="K71" i="3"/>
  <c r="J71" i="3"/>
  <c r="I71" i="3"/>
  <c r="U71" i="3" s="1"/>
  <c r="T70" i="3"/>
  <c r="S70" i="3"/>
  <c r="R70" i="3"/>
  <c r="Q70" i="3"/>
  <c r="P70" i="3"/>
  <c r="O70" i="3"/>
  <c r="N70" i="3"/>
  <c r="M70" i="3"/>
  <c r="L70" i="3"/>
  <c r="K70" i="3"/>
  <c r="J70" i="3"/>
  <c r="I70" i="3"/>
  <c r="T69" i="3"/>
  <c r="S69" i="3"/>
  <c r="R69" i="3"/>
  <c r="Q69" i="3"/>
  <c r="P69" i="3"/>
  <c r="O69" i="3"/>
  <c r="N69" i="3"/>
  <c r="M69" i="3"/>
  <c r="L69" i="3"/>
  <c r="K69" i="3"/>
  <c r="J69" i="3"/>
  <c r="I69" i="3"/>
  <c r="U69" i="3" s="1"/>
  <c r="T68" i="3"/>
  <c r="S68" i="3"/>
  <c r="R68" i="3"/>
  <c r="Q68" i="3"/>
  <c r="P68" i="3"/>
  <c r="O68" i="3"/>
  <c r="N68" i="3"/>
  <c r="M68" i="3"/>
  <c r="U68" i="3" s="1"/>
  <c r="L68" i="3"/>
  <c r="K68" i="3"/>
  <c r="J68" i="3"/>
  <c r="I68" i="3"/>
  <c r="T67" i="3"/>
  <c r="S67" i="3"/>
  <c r="R67" i="3"/>
  <c r="Q67" i="3"/>
  <c r="P67" i="3"/>
  <c r="O67" i="3"/>
  <c r="N67" i="3"/>
  <c r="M67" i="3"/>
  <c r="L67" i="3"/>
  <c r="K67" i="3"/>
  <c r="J67" i="3"/>
  <c r="I67" i="3"/>
  <c r="U67" i="3" s="1"/>
  <c r="T66" i="3"/>
  <c r="S66" i="3"/>
  <c r="R66" i="3"/>
  <c r="Q66" i="3"/>
  <c r="P66" i="3"/>
  <c r="O66" i="3"/>
  <c r="N66" i="3"/>
  <c r="M66" i="3"/>
  <c r="L66" i="3"/>
  <c r="K66" i="3"/>
  <c r="J66" i="3"/>
  <c r="I66" i="3"/>
  <c r="T65" i="3"/>
  <c r="S65" i="3"/>
  <c r="R65" i="3"/>
  <c r="Q65" i="3"/>
  <c r="P65" i="3"/>
  <c r="O65" i="3"/>
  <c r="N65" i="3"/>
  <c r="M65" i="3"/>
  <c r="U65" i="3" s="1"/>
  <c r="L65" i="3"/>
  <c r="K65" i="3"/>
  <c r="J65" i="3"/>
  <c r="I65" i="3"/>
  <c r="T64" i="3"/>
  <c r="S64" i="3"/>
  <c r="R64" i="3"/>
  <c r="Q64" i="3"/>
  <c r="P64" i="3"/>
  <c r="O64" i="3"/>
  <c r="N64" i="3"/>
  <c r="M64" i="3"/>
  <c r="L64" i="3"/>
  <c r="K64" i="3"/>
  <c r="J64" i="3"/>
  <c r="I64" i="3"/>
  <c r="T63" i="3"/>
  <c r="S63" i="3"/>
  <c r="R63" i="3"/>
  <c r="Q63" i="3"/>
  <c r="P63" i="3"/>
  <c r="O63" i="3"/>
  <c r="N63" i="3"/>
  <c r="M63" i="3"/>
  <c r="L63" i="3"/>
  <c r="K63" i="3"/>
  <c r="J63" i="3"/>
  <c r="I63" i="3"/>
  <c r="T62" i="3"/>
  <c r="S62" i="3"/>
  <c r="R62" i="3"/>
  <c r="Q62" i="3"/>
  <c r="P62" i="3"/>
  <c r="O62" i="3"/>
  <c r="N62" i="3"/>
  <c r="M62" i="3"/>
  <c r="L62" i="3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J61" i="3"/>
  <c r="I61" i="3"/>
  <c r="U61" i="3" s="1"/>
  <c r="T60" i="3"/>
  <c r="S60" i="3"/>
  <c r="R60" i="3"/>
  <c r="Q60" i="3"/>
  <c r="P60" i="3"/>
  <c r="O60" i="3"/>
  <c r="N60" i="3"/>
  <c r="M60" i="3"/>
  <c r="U60" i="3" s="1"/>
  <c r="L60" i="3"/>
  <c r="K60" i="3"/>
  <c r="J60" i="3"/>
  <c r="I60" i="3"/>
  <c r="T59" i="3"/>
  <c r="S59" i="3"/>
  <c r="R59" i="3"/>
  <c r="Q59" i="3"/>
  <c r="P59" i="3"/>
  <c r="O59" i="3"/>
  <c r="N59" i="3"/>
  <c r="M59" i="3"/>
  <c r="L59" i="3"/>
  <c r="K59" i="3"/>
  <c r="J59" i="3"/>
  <c r="U59" i="3" s="1"/>
  <c r="I59" i="3"/>
  <c r="T58" i="3"/>
  <c r="S58" i="3"/>
  <c r="R58" i="3"/>
  <c r="Q58" i="3"/>
  <c r="P58" i="3"/>
  <c r="O58" i="3"/>
  <c r="N58" i="3"/>
  <c r="M58" i="3"/>
  <c r="L58" i="3"/>
  <c r="K58" i="3"/>
  <c r="U58" i="3" s="1"/>
  <c r="J58" i="3"/>
  <c r="I58" i="3"/>
  <c r="T57" i="3"/>
  <c r="S57" i="3"/>
  <c r="R57" i="3"/>
  <c r="Q57" i="3"/>
  <c r="P57" i="3"/>
  <c r="O57" i="3"/>
  <c r="N57" i="3"/>
  <c r="M57" i="3"/>
  <c r="U57" i="3" s="1"/>
  <c r="L57" i="3"/>
  <c r="K57" i="3"/>
  <c r="J57" i="3"/>
  <c r="I57" i="3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J55" i="3"/>
  <c r="I55" i="3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U52" i="3" s="1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U51" i="3" s="1"/>
  <c r="I51" i="3"/>
  <c r="T50" i="3"/>
  <c r="S50" i="3"/>
  <c r="R50" i="3"/>
  <c r="Q50" i="3"/>
  <c r="P50" i="3"/>
  <c r="O50" i="3"/>
  <c r="N50" i="3"/>
  <c r="M50" i="3"/>
  <c r="L50" i="3"/>
  <c r="K50" i="3"/>
  <c r="U50" i="3" s="1"/>
  <c r="J50" i="3"/>
  <c r="I50" i="3"/>
  <c r="T49" i="3"/>
  <c r="S49" i="3"/>
  <c r="R49" i="3"/>
  <c r="Q49" i="3"/>
  <c r="P49" i="3"/>
  <c r="O49" i="3"/>
  <c r="N49" i="3"/>
  <c r="M49" i="3"/>
  <c r="U49" i="3" s="1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U41" i="3" s="1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U34" i="3" s="1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U33" i="3" s="1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U30" i="3" s="1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M28" i="3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T28" i="3" s="1"/>
  <c r="S26" i="3"/>
  <c r="S28" i="3" s="1"/>
  <c r="R26" i="3"/>
  <c r="Q26" i="3"/>
  <c r="Q28" i="3" s="1"/>
  <c r="P26" i="3"/>
  <c r="P28" i="3" s="1"/>
  <c r="O26" i="3"/>
  <c r="O28" i="3" s="1"/>
  <c r="N26" i="3"/>
  <c r="N28" i="3" s="1"/>
  <c r="M26" i="3"/>
  <c r="L26" i="3"/>
  <c r="L28" i="3" s="1"/>
  <c r="K26" i="3"/>
  <c r="K28" i="3" s="1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U23" i="3" s="1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U20" i="3" s="1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U15" i="3" s="1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U12" i="3" s="1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U7" i="3" s="1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U2" i="3" s="1"/>
  <c r="J2" i="3"/>
  <c r="I2" i="3"/>
  <c r="H1" i="2"/>
  <c r="I6" i="88" l="1"/>
  <c r="I6" i="68"/>
  <c r="I6" i="67"/>
  <c r="I6" i="70"/>
  <c r="I6" i="75"/>
  <c r="I6" i="69"/>
  <c r="I8" i="88"/>
  <c r="I8" i="70"/>
  <c r="I8" i="69"/>
  <c r="I8" i="75"/>
  <c r="I8" i="68"/>
  <c r="I8" i="67"/>
  <c r="I12" i="88"/>
  <c r="I12" i="68"/>
  <c r="I12" i="67"/>
  <c r="I12" i="70"/>
  <c r="I12" i="75"/>
  <c r="I12" i="69"/>
  <c r="I14" i="88"/>
  <c r="I14" i="68"/>
  <c r="I14" i="67"/>
  <c r="I14" i="70"/>
  <c r="I14" i="75"/>
  <c r="I14" i="69"/>
  <c r="I16" i="88"/>
  <c r="I16" i="70"/>
  <c r="I16" i="67"/>
  <c r="I16" i="75"/>
  <c r="I16" i="69"/>
  <c r="I16" i="68"/>
  <c r="I20" i="88"/>
  <c r="I20" i="68"/>
  <c r="I20" i="67"/>
  <c r="I20" i="70"/>
  <c r="I20" i="69"/>
  <c r="I20" i="75"/>
  <c r="I22" i="88"/>
  <c r="I22" i="68"/>
  <c r="I22" i="67"/>
  <c r="I22" i="70"/>
  <c r="I22" i="75"/>
  <c r="I22" i="69"/>
  <c r="I24" i="88"/>
  <c r="I24" i="70"/>
  <c r="I24" i="75"/>
  <c r="I24" i="69"/>
  <c r="I24" i="68"/>
  <c r="I24" i="67"/>
  <c r="I28" i="88"/>
  <c r="I28" i="68"/>
  <c r="I28" i="67"/>
  <c r="I28" i="69"/>
  <c r="I28" i="70"/>
  <c r="I28" i="75"/>
  <c r="I30" i="88"/>
  <c r="I30" i="68"/>
  <c r="I30" i="67"/>
  <c r="I30" i="70"/>
  <c r="I30" i="69"/>
  <c r="I30" i="75"/>
  <c r="I44" i="88"/>
  <c r="I44" i="68"/>
  <c r="I44" i="69"/>
  <c r="I44" i="70"/>
  <c r="I44" i="67"/>
  <c r="I44" i="75"/>
  <c r="I5" i="88"/>
  <c r="I5" i="68"/>
  <c r="I5" i="67"/>
  <c r="I5" i="70"/>
  <c r="I5" i="75"/>
  <c r="I5" i="69"/>
  <c r="I37" i="88"/>
  <c r="I37" i="70"/>
  <c r="I37" i="75"/>
  <c r="I37" i="68"/>
  <c r="I37" i="67"/>
  <c r="I37" i="69"/>
  <c r="I15" i="88"/>
  <c r="I15" i="70"/>
  <c r="I15" i="75"/>
  <c r="I15" i="69"/>
  <c r="I15" i="67"/>
  <c r="I15" i="68"/>
  <c r="I23" i="88"/>
  <c r="I23" i="69"/>
  <c r="I23" i="67"/>
  <c r="I23" i="70"/>
  <c r="I23" i="75"/>
  <c r="I23" i="68"/>
  <c r="I35" i="88"/>
  <c r="I35" i="75"/>
  <c r="I35" i="68"/>
  <c r="I35" i="67"/>
  <c r="I35" i="69"/>
  <c r="I35" i="70"/>
  <c r="I39" i="88"/>
  <c r="I39" i="68"/>
  <c r="I39" i="70"/>
  <c r="I39" i="67"/>
  <c r="I39" i="69"/>
  <c r="I39" i="75"/>
  <c r="I52" i="88"/>
  <c r="I52" i="68"/>
  <c r="I52" i="75"/>
  <c r="I52" i="70"/>
  <c r="I52" i="67"/>
  <c r="I52" i="69"/>
  <c r="I60" i="88"/>
  <c r="I60" i="68"/>
  <c r="I60" i="69"/>
  <c r="I60" i="75"/>
  <c r="I60" i="70"/>
  <c r="I60" i="67"/>
  <c r="I68" i="88"/>
  <c r="I68" i="68"/>
  <c r="I68" i="75"/>
  <c r="I68" i="70"/>
  <c r="I68" i="67"/>
  <c r="I68" i="69"/>
  <c r="I7" i="88"/>
  <c r="I7" i="75"/>
  <c r="I7" i="70"/>
  <c r="I7" i="69"/>
  <c r="I7" i="67"/>
  <c r="I7" i="68"/>
  <c r="M86" i="67" s="1"/>
  <c r="I9" i="88"/>
  <c r="I9" i="75"/>
  <c r="I9" i="69"/>
  <c r="I9" i="70"/>
  <c r="I9" i="68"/>
  <c r="I9" i="67"/>
  <c r="I10" i="88"/>
  <c r="I10" i="69"/>
  <c r="I10" i="70"/>
  <c r="I10" i="68"/>
  <c r="I10" i="67"/>
  <c r="I10" i="75"/>
  <c r="I11" i="88"/>
  <c r="I11" i="68"/>
  <c r="I11" i="67"/>
  <c r="I11" i="75"/>
  <c r="I11" i="69"/>
  <c r="I11" i="70"/>
  <c r="I13" i="88"/>
  <c r="I13" i="68"/>
  <c r="I13" i="67"/>
  <c r="I13" i="70"/>
  <c r="I13" i="75"/>
  <c r="I13" i="69"/>
  <c r="I17" i="88"/>
  <c r="I17" i="75"/>
  <c r="I17" i="70"/>
  <c r="I17" i="69"/>
  <c r="I17" i="68"/>
  <c r="I17" i="67"/>
  <c r="I18" i="88"/>
  <c r="I18" i="69"/>
  <c r="I18" i="68"/>
  <c r="I18" i="67"/>
  <c r="I18" i="70"/>
  <c r="I18" i="75"/>
  <c r="I19" i="88"/>
  <c r="I19" i="69"/>
  <c r="I19" i="68"/>
  <c r="I19" i="67"/>
  <c r="I19" i="75"/>
  <c r="I19" i="70"/>
  <c r="I21" i="88"/>
  <c r="I21" i="68"/>
  <c r="I21" i="67"/>
  <c r="I21" i="70"/>
  <c r="I21" i="75"/>
  <c r="I21" i="69"/>
  <c r="I25" i="88"/>
  <c r="I25" i="75"/>
  <c r="I25" i="69"/>
  <c r="I25" i="68"/>
  <c r="I25" i="67"/>
  <c r="I25" i="70"/>
  <c r="I26" i="88"/>
  <c r="I26" i="69"/>
  <c r="I26" i="75"/>
  <c r="I26" i="70"/>
  <c r="I26" i="68"/>
  <c r="I26" i="67"/>
  <c r="I27" i="88"/>
  <c r="I27" i="75"/>
  <c r="I27" i="67"/>
  <c r="I27" i="68"/>
  <c r="I27" i="70"/>
  <c r="I27" i="69"/>
  <c r="I29" i="88"/>
  <c r="I29" i="68"/>
  <c r="I29" i="67"/>
  <c r="I29" i="70"/>
  <c r="I29" i="75"/>
  <c r="I29" i="69"/>
  <c r="I33" i="88"/>
  <c r="I33" i="69"/>
  <c r="I33" i="70"/>
  <c r="I33" i="75"/>
  <c r="I33" i="68"/>
  <c r="I33" i="67"/>
  <c r="I36" i="88"/>
  <c r="I36" i="67"/>
  <c r="I36" i="68"/>
  <c r="I36" i="69"/>
  <c r="I36" i="70"/>
  <c r="I36" i="75"/>
  <c r="J28" i="3"/>
  <c r="R28" i="3"/>
  <c r="U35" i="3"/>
  <c r="U42" i="3"/>
  <c r="U62" i="3"/>
  <c r="U64" i="3"/>
  <c r="I28" i="3"/>
  <c r="U28" i="3" s="1"/>
  <c r="I40" i="88"/>
  <c r="I40" i="70"/>
  <c r="I40" i="67"/>
  <c r="I40" i="68"/>
  <c r="I40" i="75"/>
  <c r="I40" i="69"/>
  <c r="U39" i="3"/>
  <c r="I53" i="88"/>
  <c r="I53" i="68"/>
  <c r="I53" i="75"/>
  <c r="I53" i="70"/>
  <c r="I53" i="67"/>
  <c r="I53" i="69"/>
  <c r="U70" i="3"/>
  <c r="I6" i="89"/>
  <c r="I6" i="73"/>
  <c r="I6" i="72"/>
  <c r="I6" i="74"/>
  <c r="I6" i="71"/>
  <c r="I9" i="89"/>
  <c r="I9" i="71"/>
  <c r="I9" i="73"/>
  <c r="I9" i="72"/>
  <c r="I9" i="74"/>
  <c r="I11" i="89"/>
  <c r="I11" i="71"/>
  <c r="I11" i="73"/>
  <c r="I11" i="72"/>
  <c r="I11" i="74"/>
  <c r="I14" i="89"/>
  <c r="I14" i="74"/>
  <c r="I14" i="73"/>
  <c r="I14" i="72"/>
  <c r="I14" i="71"/>
  <c r="I17" i="89"/>
  <c r="I17" i="74"/>
  <c r="I17" i="71"/>
  <c r="I17" i="73"/>
  <c r="I17" i="72"/>
  <c r="I19" i="89"/>
  <c r="I19" i="71"/>
  <c r="I19" i="73"/>
  <c r="I19" i="72"/>
  <c r="I19" i="74"/>
  <c r="I22" i="89"/>
  <c r="I22" i="73"/>
  <c r="I22" i="72"/>
  <c r="I22" i="74"/>
  <c r="I22" i="71"/>
  <c r="I25" i="89"/>
  <c r="I25" i="71"/>
  <c r="I25" i="72"/>
  <c r="I25" i="73"/>
  <c r="I25" i="74"/>
  <c r="I27" i="89"/>
  <c r="I27" i="71"/>
  <c r="I27" i="73"/>
  <c r="I27" i="72"/>
  <c r="I27" i="74"/>
  <c r="I30" i="89"/>
  <c r="I30" i="73"/>
  <c r="I30" i="72"/>
  <c r="I30" i="74"/>
  <c r="I30" i="71"/>
  <c r="I33" i="89"/>
  <c r="I33" i="71"/>
  <c r="I33" i="73"/>
  <c r="I33" i="72"/>
  <c r="I33" i="74"/>
  <c r="I35" i="89"/>
  <c r="I35" i="71"/>
  <c r="I35" i="73"/>
  <c r="I35" i="72"/>
  <c r="I35" i="74"/>
  <c r="I37" i="89"/>
  <c r="I37" i="74"/>
  <c r="I37" i="73"/>
  <c r="I37" i="72"/>
  <c r="I37" i="71"/>
  <c r="I38" i="89"/>
  <c r="I38" i="73"/>
  <c r="I38" i="72"/>
  <c r="I38" i="74"/>
  <c r="I38" i="71"/>
  <c r="I41" i="89"/>
  <c r="I41" i="71"/>
  <c r="I41" i="73"/>
  <c r="I41" i="72"/>
  <c r="I41" i="74"/>
  <c r="I43" i="89"/>
  <c r="I43" i="71"/>
  <c r="I43" i="73"/>
  <c r="I43" i="72"/>
  <c r="I43" i="74"/>
  <c r="I45" i="89"/>
  <c r="I45" i="73"/>
  <c r="I45" i="71"/>
  <c r="I45" i="74"/>
  <c r="I45" i="72"/>
  <c r="U43" i="3"/>
  <c r="U44" i="3"/>
  <c r="I48" i="88"/>
  <c r="I48" i="70"/>
  <c r="I48" i="67"/>
  <c r="I48" i="69"/>
  <c r="I48" i="68"/>
  <c r="I48" i="75"/>
  <c r="U47" i="3"/>
  <c r="I61" i="88"/>
  <c r="I61" i="67"/>
  <c r="I61" i="75"/>
  <c r="I61" i="68"/>
  <c r="I61" i="70"/>
  <c r="I61" i="69"/>
  <c r="I5" i="89"/>
  <c r="P14" i="5"/>
  <c r="P17" i="5" s="1"/>
  <c r="I5" i="74"/>
  <c r="I5" i="73"/>
  <c r="I5" i="72"/>
  <c r="I5" i="71"/>
  <c r="I13" i="89"/>
  <c r="I13" i="73"/>
  <c r="I13" i="72"/>
  <c r="I13" i="74"/>
  <c r="I13" i="71"/>
  <c r="I21" i="89"/>
  <c r="I21" i="73"/>
  <c r="I21" i="74"/>
  <c r="I21" i="72"/>
  <c r="I21" i="71"/>
  <c r="I29" i="89"/>
  <c r="I29" i="72"/>
  <c r="I29" i="71"/>
  <c r="I29" i="73"/>
  <c r="I29" i="74"/>
  <c r="I55" i="88"/>
  <c r="I55" i="70"/>
  <c r="I55" i="67"/>
  <c r="I55" i="75"/>
  <c r="I55" i="69"/>
  <c r="I55" i="68"/>
  <c r="I56" i="88"/>
  <c r="I56" i="70"/>
  <c r="I56" i="67"/>
  <c r="I56" i="69"/>
  <c r="I56" i="68"/>
  <c r="I56" i="75"/>
  <c r="U55" i="3"/>
  <c r="U66" i="3"/>
  <c r="I32" i="88"/>
  <c r="I32" i="70"/>
  <c r="I32" i="69"/>
  <c r="I32" i="75"/>
  <c r="I32" i="67"/>
  <c r="I32" i="68"/>
  <c r="I54" i="88"/>
  <c r="I54" i="75"/>
  <c r="I54" i="70"/>
  <c r="I54" i="67"/>
  <c r="I54" i="69"/>
  <c r="I54" i="68"/>
  <c r="I63" i="88"/>
  <c r="I63" i="69"/>
  <c r="I63" i="70"/>
  <c r="I63" i="67"/>
  <c r="I63" i="75"/>
  <c r="I63" i="68"/>
  <c r="I64" i="88"/>
  <c r="I64" i="70"/>
  <c r="I64" i="67"/>
  <c r="I64" i="69"/>
  <c r="I64" i="68"/>
  <c r="I64" i="75"/>
  <c r="U63" i="3"/>
  <c r="I34" i="88"/>
  <c r="I34" i="69"/>
  <c r="I34" i="75"/>
  <c r="I34" i="70"/>
  <c r="I34" i="68"/>
  <c r="I34" i="67"/>
  <c r="I41" i="88"/>
  <c r="I41" i="75"/>
  <c r="I41" i="69"/>
  <c r="I41" i="70"/>
  <c r="I41" i="68"/>
  <c r="I41" i="67"/>
  <c r="I43" i="88"/>
  <c r="I43" i="75"/>
  <c r="I43" i="68"/>
  <c r="I43" i="69"/>
  <c r="I43" i="70"/>
  <c r="I43" i="67"/>
  <c r="I62" i="88"/>
  <c r="I62" i="75"/>
  <c r="I62" i="67"/>
  <c r="I62" i="70"/>
  <c r="I62" i="68"/>
  <c r="I62" i="69"/>
  <c r="I70" i="88"/>
  <c r="I70" i="75"/>
  <c r="I70" i="70"/>
  <c r="I70" i="67"/>
  <c r="I70" i="69"/>
  <c r="I70" i="68"/>
  <c r="I71" i="88"/>
  <c r="I71" i="70"/>
  <c r="I71" i="67"/>
  <c r="I71" i="75"/>
  <c r="I71" i="69"/>
  <c r="I71" i="68"/>
  <c r="I72" i="88"/>
  <c r="I72" i="70"/>
  <c r="I72" i="67"/>
  <c r="I72" i="68"/>
  <c r="I72" i="69"/>
  <c r="I72" i="75"/>
  <c r="I74" i="88"/>
  <c r="I74" i="75"/>
  <c r="I74" i="69"/>
  <c r="I74" i="67"/>
  <c r="I74" i="70"/>
  <c r="I74" i="68"/>
  <c r="I7" i="89"/>
  <c r="I7" i="73"/>
  <c r="I7" i="72"/>
  <c r="I7" i="74"/>
  <c r="I7" i="71"/>
  <c r="I8" i="89"/>
  <c r="I8" i="74"/>
  <c r="I8" i="71"/>
  <c r="I8" i="72"/>
  <c r="I8" i="73"/>
  <c r="I10" i="89"/>
  <c r="I10" i="71"/>
  <c r="I10" i="74"/>
  <c r="I10" i="73"/>
  <c r="I10" i="72"/>
  <c r="I12" i="89"/>
  <c r="I12" i="73"/>
  <c r="I12" i="72"/>
  <c r="I12" i="74"/>
  <c r="I12" i="71"/>
  <c r="I15" i="89"/>
  <c r="I15" i="73"/>
  <c r="I15" i="72"/>
  <c r="I15" i="74"/>
  <c r="I15" i="71"/>
  <c r="I16" i="89"/>
  <c r="I16" i="74"/>
  <c r="I16" i="71"/>
  <c r="I16" i="73"/>
  <c r="I16" i="72"/>
  <c r="I18" i="89"/>
  <c r="I18" i="71"/>
  <c r="I18" i="74"/>
  <c r="I18" i="73"/>
  <c r="I18" i="72"/>
  <c r="I20" i="89"/>
  <c r="I20" i="73"/>
  <c r="I20" i="72"/>
  <c r="I20" i="74"/>
  <c r="I20" i="71"/>
  <c r="I23" i="89"/>
  <c r="I23" i="73"/>
  <c r="I23" i="72"/>
  <c r="I23" i="74"/>
  <c r="I23" i="71"/>
  <c r="I24" i="89"/>
  <c r="I24" i="74"/>
  <c r="I24" i="71"/>
  <c r="I24" i="73"/>
  <c r="I24" i="72"/>
  <c r="I26" i="89"/>
  <c r="I26" i="71"/>
  <c r="I26" i="74"/>
  <c r="I26" i="73"/>
  <c r="I26" i="72"/>
  <c r="I28" i="89"/>
  <c r="I28" i="71"/>
  <c r="I28" i="72"/>
  <c r="I28" i="73"/>
  <c r="I28" i="74"/>
  <c r="I31" i="89"/>
  <c r="I31" i="73"/>
  <c r="I31" i="72"/>
  <c r="I31" i="74"/>
  <c r="I31" i="71"/>
  <c r="I32" i="89"/>
  <c r="I32" i="74"/>
  <c r="I32" i="71"/>
  <c r="I32" i="73"/>
  <c r="I32" i="72"/>
  <c r="I34" i="89"/>
  <c r="I34" i="74"/>
  <c r="I34" i="71"/>
  <c r="I34" i="73"/>
  <c r="I34" i="72"/>
  <c r="I36" i="89"/>
  <c r="I36" i="73"/>
  <c r="I36" i="72"/>
  <c r="I36" i="71"/>
  <c r="I36" i="74"/>
  <c r="I39" i="89"/>
  <c r="I39" i="73"/>
  <c r="I39" i="72"/>
  <c r="I39" i="74"/>
  <c r="I39" i="71"/>
  <c r="I40" i="89"/>
  <c r="I40" i="74"/>
  <c r="I40" i="71"/>
  <c r="I40" i="73"/>
  <c r="I40" i="72"/>
  <c r="I42" i="89"/>
  <c r="I42" i="71"/>
  <c r="I42" i="74"/>
  <c r="I42" i="73"/>
  <c r="I42" i="72"/>
  <c r="I44" i="89"/>
  <c r="I44" i="73"/>
  <c r="I44" i="72"/>
  <c r="I44" i="74"/>
  <c r="I44" i="71"/>
  <c r="U46" i="3"/>
  <c r="U48" i="3"/>
  <c r="I57" i="88"/>
  <c r="I57" i="69"/>
  <c r="I57" i="68"/>
  <c r="I57" i="67"/>
  <c r="I57" i="75"/>
  <c r="I57" i="70"/>
  <c r="I59" i="88"/>
  <c r="I59" i="75"/>
  <c r="I59" i="69"/>
  <c r="I59" i="70"/>
  <c r="I59" i="68"/>
  <c r="I59" i="67"/>
  <c r="R10" i="70"/>
  <c r="X9" i="70"/>
  <c r="L17" i="70"/>
  <c r="L14" i="70"/>
  <c r="AI5" i="83"/>
  <c r="X11" i="86"/>
  <c r="AF11" i="86" s="1"/>
  <c r="AI8" i="83"/>
  <c r="AJ11" i="82"/>
  <c r="R19" i="70"/>
  <c r="M9" i="70"/>
  <c r="M15" i="70"/>
  <c r="X16" i="70"/>
  <c r="L10" i="70"/>
  <c r="AC24" i="70"/>
  <c r="AD24" i="70" s="1"/>
  <c r="L9" i="70"/>
  <c r="AH81" i="69"/>
  <c r="AH10" i="70" s="1"/>
  <c r="M12" i="70"/>
  <c r="L13" i="70"/>
  <c r="AK16" i="70"/>
  <c r="AM24" i="68"/>
  <c r="Z4" i="86"/>
  <c r="AH4" i="86" s="1"/>
  <c r="D30" i="5"/>
  <c r="R10" i="86"/>
  <c r="X10" i="86" s="1"/>
  <c r="AF10" i="86" s="1"/>
  <c r="Q12" i="70"/>
  <c r="Q14" i="70"/>
  <c r="Q17" i="70"/>
  <c r="Q15" i="70"/>
  <c r="Q13" i="70"/>
  <c r="Q11" i="70"/>
  <c r="Q9" i="70"/>
  <c r="Q18" i="70"/>
  <c r="Q24" i="70"/>
  <c r="Q16" i="70"/>
  <c r="Q10" i="70"/>
  <c r="AH24" i="70"/>
  <c r="AH17" i="70"/>
  <c r="W19" i="70"/>
  <c r="W17" i="70"/>
  <c r="W14" i="70"/>
  <c r="W18" i="70"/>
  <c r="W11" i="70"/>
  <c r="W10" i="70"/>
  <c r="W15" i="70"/>
  <c r="W12" i="70"/>
  <c r="W16" i="70"/>
  <c r="W24" i="70"/>
  <c r="W9" i="70"/>
  <c r="R12" i="70"/>
  <c r="AC12" i="70"/>
  <c r="AD12" i="70" s="1"/>
  <c r="AC16" i="70"/>
  <c r="AD16" i="70" s="1"/>
  <c r="X19" i="70"/>
  <c r="R14" i="70"/>
  <c r="R15" i="70"/>
  <c r="AC19" i="70"/>
  <c r="AD19" i="70" s="1"/>
  <c r="X17" i="70"/>
  <c r="X18" i="70"/>
  <c r="R24" i="70"/>
  <c r="R17" i="70"/>
  <c r="AC11" i="70"/>
  <c r="AD11" i="70" s="1"/>
  <c r="X13" i="70"/>
  <c r="X24" i="70"/>
  <c r="L15" i="70"/>
  <c r="AK15" i="70"/>
  <c r="R18" i="70"/>
  <c r="AC9" i="70"/>
  <c r="AD9" i="70" s="1"/>
  <c r="AC18" i="70"/>
  <c r="AD18" i="70" s="1"/>
  <c r="X12" i="70"/>
  <c r="R9" i="70"/>
  <c r="AC13" i="70"/>
  <c r="AD13" i="70" s="1"/>
  <c r="AC10" i="70"/>
  <c r="AD10" i="70" s="1"/>
  <c r="X15" i="70"/>
  <c r="AC15" i="70"/>
  <c r="AD15" i="70" s="1"/>
  <c r="D4" i="5"/>
  <c r="F30" i="5" s="1"/>
  <c r="X9" i="86"/>
  <c r="AF9" i="86" s="1"/>
  <c r="AI6" i="83"/>
  <c r="AT11" i="82"/>
  <c r="AP10" i="70"/>
  <c r="AP10" i="69"/>
  <c r="AO10" i="70"/>
  <c r="AO10" i="69"/>
  <c r="AP18" i="70"/>
  <c r="AP18" i="69"/>
  <c r="AO18" i="70"/>
  <c r="AO18" i="69"/>
  <c r="AO12" i="70"/>
  <c r="AP12" i="70"/>
  <c r="AP12" i="69"/>
  <c r="AO12" i="69"/>
  <c r="AP17" i="70"/>
  <c r="AP17" i="69"/>
  <c r="AO17" i="70"/>
  <c r="AO17" i="69"/>
  <c r="AP9" i="70"/>
  <c r="AP9" i="69"/>
  <c r="AO9" i="70"/>
  <c r="AO9" i="69"/>
  <c r="AP13" i="70"/>
  <c r="AP13" i="69"/>
  <c r="AO13" i="70"/>
  <c r="AO13" i="69"/>
  <c r="AM13" i="68"/>
  <c r="AP14" i="70"/>
  <c r="AP14" i="69"/>
  <c r="AO14" i="70"/>
  <c r="AO14" i="69"/>
  <c r="AP19" i="70"/>
  <c r="AP19" i="69"/>
  <c r="AO19" i="70"/>
  <c r="AO19" i="69"/>
  <c r="AO16" i="69"/>
  <c r="AP16" i="70"/>
  <c r="AP16" i="69"/>
  <c r="AO16" i="70"/>
  <c r="AP15" i="70"/>
  <c r="AP15" i="69"/>
  <c r="AO15" i="70"/>
  <c r="AO15" i="69"/>
  <c r="AP11" i="70"/>
  <c r="AP11" i="69"/>
  <c r="AO11" i="70"/>
  <c r="AO11" i="69"/>
  <c r="F37" i="5"/>
  <c r="R50" i="73"/>
  <c r="R52" i="73" s="1"/>
  <c r="R50" i="74"/>
  <c r="R50" i="72"/>
  <c r="R50" i="71"/>
  <c r="E37" i="5"/>
  <c r="R49" i="74"/>
  <c r="R49" i="72"/>
  <c r="R52" i="72" s="1"/>
  <c r="R49" i="71"/>
  <c r="R49" i="73"/>
  <c r="L48" i="73"/>
  <c r="L48" i="74"/>
  <c r="L48" i="71"/>
  <c r="L48" i="72"/>
  <c r="S48" i="74"/>
  <c r="S48" i="73"/>
  <c r="S48" i="72"/>
  <c r="S48" i="71"/>
  <c r="O15" i="70"/>
  <c r="O12" i="70"/>
  <c r="O24" i="70"/>
  <c r="O11" i="70"/>
  <c r="O19" i="70"/>
  <c r="O17" i="70"/>
  <c r="O10" i="70"/>
  <c r="O18" i="70"/>
  <c r="O16" i="70"/>
  <c r="O13" i="70"/>
  <c r="AA48" i="74"/>
  <c r="AA48" i="72"/>
  <c r="AA48" i="71"/>
  <c r="AA48" i="73"/>
  <c r="Z52" i="73"/>
  <c r="AP24" i="70"/>
  <c r="AO24" i="70"/>
  <c r="AP24" i="69"/>
  <c r="AO24" i="69"/>
  <c r="AA50" i="73"/>
  <c r="AA50" i="74"/>
  <c r="AA50" i="72"/>
  <c r="AA50" i="71"/>
  <c r="AI81" i="69"/>
  <c r="AL77" i="70"/>
  <c r="AL77" i="68"/>
  <c r="AL77" i="69"/>
  <c r="Z52" i="72"/>
  <c r="AL78" i="70"/>
  <c r="AL78" i="69"/>
  <c r="AL78" i="68"/>
  <c r="AL80" i="67"/>
  <c r="AJ81" i="69"/>
  <c r="AB79" i="70"/>
  <c r="AB79" i="69"/>
  <c r="AB81" i="67"/>
  <c r="AB79" i="68"/>
  <c r="D35" i="5"/>
  <c r="N79" i="67"/>
  <c r="AH9" i="70" l="1"/>
  <c r="AY132" i="88"/>
  <c r="AV132" i="88"/>
  <c r="BA132" i="88"/>
  <c r="AW132" i="88"/>
  <c r="AT132" i="88"/>
  <c r="AO132" i="88"/>
  <c r="AL132" i="88"/>
  <c r="BD132" i="88"/>
  <c r="AS132" i="88"/>
  <c r="AI132" i="88"/>
  <c r="AU132" i="88"/>
  <c r="AR132" i="88"/>
  <c r="AP132" i="88"/>
  <c r="BB132" i="88"/>
  <c r="AN132" i="88"/>
  <c r="BC132" i="88"/>
  <c r="AM132" i="88"/>
  <c r="AK132" i="88"/>
  <c r="AZ132" i="88"/>
  <c r="AJ132" i="88"/>
  <c r="AQ132" i="88"/>
  <c r="AX132" i="88"/>
  <c r="X80" i="89"/>
  <c r="AE80" i="89"/>
  <c r="AB80" i="89"/>
  <c r="AC80" i="89"/>
  <c r="AF80" i="89"/>
  <c r="Z80" i="89"/>
  <c r="AA80" i="89"/>
  <c r="Y80" i="89"/>
  <c r="AH80" i="89"/>
  <c r="AG80" i="89"/>
  <c r="AD80" i="89"/>
  <c r="AA64" i="89"/>
  <c r="Y64" i="89"/>
  <c r="AH64" i="89"/>
  <c r="AC64" i="89"/>
  <c r="AF64" i="89"/>
  <c r="AG64" i="89"/>
  <c r="AE64" i="89"/>
  <c r="AD64" i="89"/>
  <c r="Z64" i="89"/>
  <c r="AB64" i="89"/>
  <c r="X64" i="89"/>
  <c r="AN146" i="88"/>
  <c r="AS146" i="88"/>
  <c r="BB146" i="88"/>
  <c r="AY146" i="88"/>
  <c r="AV146" i="88"/>
  <c r="AK146" i="88"/>
  <c r="AP146" i="88"/>
  <c r="AU146" i="88"/>
  <c r="AR146" i="88"/>
  <c r="AO146" i="88"/>
  <c r="AZ146" i="88"/>
  <c r="AJ146" i="88"/>
  <c r="BD146" i="88"/>
  <c r="AQ146" i="88"/>
  <c r="BC146" i="88"/>
  <c r="AI146" i="88"/>
  <c r="AM146" i="88"/>
  <c r="AX146" i="88"/>
  <c r="AT146" i="88"/>
  <c r="AW146" i="88"/>
  <c r="AL146" i="88"/>
  <c r="BA146" i="88"/>
  <c r="AQ116" i="88"/>
  <c r="AN116" i="88"/>
  <c r="AY116" i="88"/>
  <c r="BC116" i="88"/>
  <c r="AI116" i="88"/>
  <c r="AM116" i="88"/>
  <c r="AX116" i="88"/>
  <c r="BB116" i="88"/>
  <c r="BA116" i="88"/>
  <c r="AT116" i="88"/>
  <c r="AJ116" i="88"/>
  <c r="AK116" i="88"/>
  <c r="BD116" i="88"/>
  <c r="AS116" i="88"/>
  <c r="AP116" i="88"/>
  <c r="AU116" i="88"/>
  <c r="AR116" i="88"/>
  <c r="AL116" i="88"/>
  <c r="AZ116" i="88"/>
  <c r="AW116" i="88"/>
  <c r="AV116" i="88"/>
  <c r="AO116" i="88"/>
  <c r="I69" i="88"/>
  <c r="I69" i="70"/>
  <c r="I69" i="68"/>
  <c r="I69" i="67"/>
  <c r="I69" i="75"/>
  <c r="I69" i="69"/>
  <c r="AX136" i="88"/>
  <c r="AU136" i="88"/>
  <c r="AZ136" i="88"/>
  <c r="AI136" i="88"/>
  <c r="AM136" i="88"/>
  <c r="AJ136" i="88"/>
  <c r="BD136" i="88"/>
  <c r="BA136" i="88"/>
  <c r="AY136" i="88"/>
  <c r="AN136" i="88"/>
  <c r="AK136" i="88"/>
  <c r="AW136" i="88"/>
  <c r="AR136" i="88"/>
  <c r="AO136" i="88"/>
  <c r="AV136" i="88"/>
  <c r="BC136" i="88"/>
  <c r="BB136" i="88"/>
  <c r="AT136" i="88"/>
  <c r="AQ136" i="88"/>
  <c r="AL136" i="88"/>
  <c r="AP136" i="88"/>
  <c r="AS136" i="88"/>
  <c r="I47" i="88"/>
  <c r="I47" i="70"/>
  <c r="I47" i="67"/>
  <c r="I47" i="69"/>
  <c r="I47" i="68"/>
  <c r="I47" i="75"/>
  <c r="Y87" i="89"/>
  <c r="Z87" i="89"/>
  <c r="AF87" i="89"/>
  <c r="AD87" i="89"/>
  <c r="AB87" i="89"/>
  <c r="AA87" i="89"/>
  <c r="X87" i="89"/>
  <c r="AH87" i="89"/>
  <c r="AE87" i="89"/>
  <c r="AC87" i="89"/>
  <c r="AG87" i="89"/>
  <c r="AH68" i="89"/>
  <c r="AC68" i="89"/>
  <c r="AB68" i="89"/>
  <c r="AA68" i="89"/>
  <c r="AG68" i="89"/>
  <c r="Y68" i="89"/>
  <c r="AF68" i="89"/>
  <c r="Z68" i="89"/>
  <c r="X68" i="89"/>
  <c r="AE68" i="89"/>
  <c r="AD68" i="89"/>
  <c r="I45" i="88"/>
  <c r="I45" i="68"/>
  <c r="I45" i="75"/>
  <c r="I45" i="67"/>
  <c r="I45" i="70"/>
  <c r="I45" i="69"/>
  <c r="M88" i="67"/>
  <c r="AM127" i="88"/>
  <c r="BD127" i="88"/>
  <c r="BB127" i="88"/>
  <c r="AW127" i="88"/>
  <c r="AR127" i="88"/>
  <c r="AO127" i="88"/>
  <c r="AP127" i="88"/>
  <c r="AY127" i="88"/>
  <c r="AN127" i="88"/>
  <c r="AK127" i="88"/>
  <c r="AI127" i="88"/>
  <c r="AT127" i="88"/>
  <c r="AJ127" i="88"/>
  <c r="AV127" i="88"/>
  <c r="AX127" i="88"/>
  <c r="AS127" i="88"/>
  <c r="BC127" i="88"/>
  <c r="AL127" i="88"/>
  <c r="AU127" i="88"/>
  <c r="BA127" i="88"/>
  <c r="AQ127" i="88"/>
  <c r="AZ127" i="88"/>
  <c r="R127" i="88"/>
  <c r="P127" i="88"/>
  <c r="AS90" i="88"/>
  <c r="AX90" i="88"/>
  <c r="AK90" i="88"/>
  <c r="AW90" i="88"/>
  <c r="BB90" i="88"/>
  <c r="AY90" i="88"/>
  <c r="AN90" i="88"/>
  <c r="AL90" i="88"/>
  <c r="AI90" i="88"/>
  <c r="AZ90" i="88"/>
  <c r="AR90" i="88"/>
  <c r="AJ90" i="88"/>
  <c r="BC90" i="88"/>
  <c r="AQ90" i="88"/>
  <c r="AU90" i="88"/>
  <c r="AP90" i="88"/>
  <c r="AM90" i="88"/>
  <c r="AO90" i="88"/>
  <c r="AT90" i="88"/>
  <c r="BD90" i="88"/>
  <c r="BA90" i="88"/>
  <c r="AV90" i="88"/>
  <c r="Z51" i="73"/>
  <c r="AH13" i="70"/>
  <c r="I51" i="88"/>
  <c r="I51" i="75"/>
  <c r="I51" i="70"/>
  <c r="I51" i="68"/>
  <c r="I51" i="67"/>
  <c r="I51" i="69"/>
  <c r="X86" i="89"/>
  <c r="AC86" i="89"/>
  <c r="AF86" i="89"/>
  <c r="AA86" i="89"/>
  <c r="AD86" i="89"/>
  <c r="AE86" i="89"/>
  <c r="AB86" i="89"/>
  <c r="Z86" i="89"/>
  <c r="Y86" i="89"/>
  <c r="AH86" i="89"/>
  <c r="AG86" i="89"/>
  <c r="AD70" i="89"/>
  <c r="AE70" i="89"/>
  <c r="AC70" i="89"/>
  <c r="AB70" i="89"/>
  <c r="AA70" i="89"/>
  <c r="AG70" i="89"/>
  <c r="AH70" i="89"/>
  <c r="Y70" i="89"/>
  <c r="Z70" i="89"/>
  <c r="AF70" i="89"/>
  <c r="X70" i="89"/>
  <c r="AH54" i="89"/>
  <c r="AE54" i="89"/>
  <c r="AA54" i="89"/>
  <c r="AF54" i="89"/>
  <c r="AD54" i="89"/>
  <c r="AC54" i="89"/>
  <c r="Y54" i="89"/>
  <c r="Z54" i="89"/>
  <c r="AG54" i="89"/>
  <c r="AB54" i="89"/>
  <c r="X54" i="89"/>
  <c r="AU129" i="88"/>
  <c r="AW129" i="88"/>
  <c r="AJ129" i="88"/>
  <c r="AY129" i="88"/>
  <c r="AL129" i="88"/>
  <c r="AM129" i="88"/>
  <c r="BD129" i="88"/>
  <c r="AT129" i="88"/>
  <c r="BA129" i="88"/>
  <c r="AN129" i="88"/>
  <c r="AO129" i="88"/>
  <c r="AV129" i="88"/>
  <c r="AP129" i="88"/>
  <c r="BC129" i="88"/>
  <c r="AK129" i="88"/>
  <c r="BB129" i="88"/>
  <c r="AZ129" i="88"/>
  <c r="AS129" i="88"/>
  <c r="AX129" i="88"/>
  <c r="AQ129" i="88"/>
  <c r="AR129" i="88"/>
  <c r="AI129" i="88"/>
  <c r="I58" i="88"/>
  <c r="I58" i="75"/>
  <c r="I58" i="69"/>
  <c r="I58" i="67"/>
  <c r="I58" i="68"/>
  <c r="I58" i="70"/>
  <c r="I50" i="88"/>
  <c r="I50" i="75"/>
  <c r="I50" i="69"/>
  <c r="I50" i="70"/>
  <c r="I50" i="67"/>
  <c r="I50" i="68"/>
  <c r="I46" i="88"/>
  <c r="I46" i="70"/>
  <c r="I46" i="67"/>
  <c r="I46" i="75"/>
  <c r="I46" i="69"/>
  <c r="I46" i="68"/>
  <c r="M91" i="67" s="1"/>
  <c r="AH76" i="89"/>
  <c r="AC76" i="89"/>
  <c r="AD76" i="89"/>
  <c r="AB76" i="89"/>
  <c r="AA76" i="89"/>
  <c r="Z76" i="89"/>
  <c r="AG76" i="89"/>
  <c r="Y76" i="89"/>
  <c r="AF76" i="89"/>
  <c r="X76" i="89"/>
  <c r="AE76" i="89"/>
  <c r="AC55" i="89"/>
  <c r="AG55" i="89"/>
  <c r="AA55" i="89"/>
  <c r="Z55" i="89"/>
  <c r="AE55" i="89"/>
  <c r="AB55" i="89"/>
  <c r="X55" i="89"/>
  <c r="Y55" i="89"/>
  <c r="AF55" i="89"/>
  <c r="AD55" i="89"/>
  <c r="AH55" i="89"/>
  <c r="I38" i="88"/>
  <c r="I38" i="68"/>
  <c r="I38" i="70"/>
  <c r="I38" i="69"/>
  <c r="I38" i="67"/>
  <c r="I38" i="75"/>
  <c r="AZ111" i="88"/>
  <c r="AW111" i="88"/>
  <c r="BB111" i="88"/>
  <c r="AP111" i="88"/>
  <c r="AT111" i="88"/>
  <c r="AO111" i="88"/>
  <c r="AL111" i="88"/>
  <c r="AY111" i="88"/>
  <c r="AN111" i="88"/>
  <c r="AK111" i="88"/>
  <c r="AI111" i="88"/>
  <c r="AU111" i="88"/>
  <c r="AJ111" i="88"/>
  <c r="AS111" i="88"/>
  <c r="AQ111" i="88"/>
  <c r="AX111" i="88"/>
  <c r="BD111" i="88"/>
  <c r="AV111" i="88"/>
  <c r="BC111" i="88"/>
  <c r="AM111" i="88"/>
  <c r="AR111" i="88"/>
  <c r="BA111" i="88"/>
  <c r="M36" i="67"/>
  <c r="M27" i="67"/>
  <c r="AX101" i="88"/>
  <c r="AU101" i="88"/>
  <c r="AR101" i="88"/>
  <c r="BD101" i="88"/>
  <c r="BA101" i="88"/>
  <c r="AJ101" i="88"/>
  <c r="AV101" i="88"/>
  <c r="AS101" i="88"/>
  <c r="AY101" i="88"/>
  <c r="AN101" i="88"/>
  <c r="AK101" i="88"/>
  <c r="AP101" i="88"/>
  <c r="BB101" i="88"/>
  <c r="AZ101" i="88"/>
  <c r="AO101" i="88"/>
  <c r="AL101" i="88"/>
  <c r="AM101" i="88"/>
  <c r="AT101" i="88"/>
  <c r="AQ101" i="88"/>
  <c r="AI101" i="88"/>
  <c r="AW101" i="88"/>
  <c r="BC101" i="88"/>
  <c r="AP93" i="88"/>
  <c r="AM93" i="88"/>
  <c r="AR93" i="88"/>
  <c r="AW93" i="88"/>
  <c r="AT93" i="88"/>
  <c r="AO93" i="88"/>
  <c r="AL93" i="88"/>
  <c r="BD93" i="88"/>
  <c r="BA93" i="88"/>
  <c r="AQ93" i="88"/>
  <c r="BC93" i="88"/>
  <c r="AZ93" i="88"/>
  <c r="AX93" i="88"/>
  <c r="BB93" i="88"/>
  <c r="AU93" i="88"/>
  <c r="AS93" i="88"/>
  <c r="AK93" i="88"/>
  <c r="AJ93" i="88"/>
  <c r="AY93" i="88"/>
  <c r="AI93" i="88"/>
  <c r="AV93" i="88"/>
  <c r="AN93" i="88"/>
  <c r="AI85" i="88"/>
  <c r="BC85" i="88"/>
  <c r="AK85" i="88"/>
  <c r="AV85" i="88"/>
  <c r="AS85" i="88"/>
  <c r="AY85" i="88"/>
  <c r="AN85" i="88"/>
  <c r="AZ85" i="88"/>
  <c r="AQ85" i="88"/>
  <c r="AU85" i="88"/>
  <c r="AR85" i="88"/>
  <c r="AW85" i="88"/>
  <c r="AT85" i="88"/>
  <c r="BD85" i="88"/>
  <c r="BA85" i="88"/>
  <c r="AM85" i="88"/>
  <c r="BB85" i="88"/>
  <c r="AL85" i="88"/>
  <c r="AJ85" i="88"/>
  <c r="AX85" i="88"/>
  <c r="AP85" i="88"/>
  <c r="AO85" i="88"/>
  <c r="AX105" i="88"/>
  <c r="AU105" i="88"/>
  <c r="AB105" i="88"/>
  <c r="AJ105" i="88"/>
  <c r="AV105" i="88"/>
  <c r="AS105" i="88"/>
  <c r="AP105" i="88"/>
  <c r="BB105" i="88"/>
  <c r="AZ105" i="88"/>
  <c r="AO105" i="88"/>
  <c r="AL105" i="88"/>
  <c r="AI105" i="88"/>
  <c r="AK105" i="88"/>
  <c r="AW105" i="88"/>
  <c r="BD105" i="88"/>
  <c r="AN105" i="88"/>
  <c r="BC105" i="88"/>
  <c r="AR105" i="88"/>
  <c r="AM105" i="88"/>
  <c r="AY105" i="88"/>
  <c r="AT105" i="88"/>
  <c r="AQ105" i="88"/>
  <c r="BA105" i="88"/>
  <c r="AN95" i="88"/>
  <c r="AP95" i="88"/>
  <c r="AW95" i="88"/>
  <c r="AT95" i="88"/>
  <c r="AM95" i="88"/>
  <c r="BA95" i="88"/>
  <c r="AY95" i="88"/>
  <c r="AR95" i="88"/>
  <c r="AI95" i="88"/>
  <c r="AK95" i="88"/>
  <c r="AV95" i="88"/>
  <c r="AO95" i="88"/>
  <c r="AU95" i="88"/>
  <c r="AQ95" i="88"/>
  <c r="BC95" i="88"/>
  <c r="AL95" i="88"/>
  <c r="AZ95" i="88"/>
  <c r="AX95" i="88"/>
  <c r="BD95" i="88"/>
  <c r="AJ95" i="88"/>
  <c r="BB95" i="88"/>
  <c r="AS95" i="88"/>
  <c r="BD83" i="88"/>
  <c r="AL83" i="88"/>
  <c r="AX83" i="88"/>
  <c r="AU83" i="88"/>
  <c r="AZ83" i="88"/>
  <c r="AW83" i="88"/>
  <c r="BB83" i="88"/>
  <c r="AJ83" i="88"/>
  <c r="AQ83" i="88"/>
  <c r="AT83" i="88"/>
  <c r="AI83" i="88"/>
  <c r="BA83" i="88"/>
  <c r="AP83" i="88"/>
  <c r="AS83" i="88"/>
  <c r="AO83" i="88"/>
  <c r="AK83" i="88"/>
  <c r="AV83" i="88"/>
  <c r="AR83" i="88"/>
  <c r="AN83" i="88"/>
  <c r="BC83" i="88"/>
  <c r="AY83" i="88"/>
  <c r="AM83" i="88"/>
  <c r="AH19" i="70"/>
  <c r="AQ134" i="88"/>
  <c r="AN134" i="88"/>
  <c r="AS134" i="88"/>
  <c r="AI134" i="88"/>
  <c r="AU134" i="88"/>
  <c r="AR134" i="88"/>
  <c r="AX134" i="88"/>
  <c r="AM134" i="88"/>
  <c r="AJ134" i="88"/>
  <c r="AO134" i="88"/>
  <c r="AL134" i="88"/>
  <c r="AV134" i="88"/>
  <c r="AK134" i="88"/>
  <c r="AW134" i="88"/>
  <c r="BD134" i="88"/>
  <c r="BC134" i="88"/>
  <c r="BB134" i="88"/>
  <c r="AT134" i="88"/>
  <c r="BA134" i="88"/>
  <c r="AY134" i="88"/>
  <c r="AZ134" i="88"/>
  <c r="AP134" i="88"/>
  <c r="I49" i="88"/>
  <c r="I49" i="75"/>
  <c r="I49" i="69"/>
  <c r="I49" i="68"/>
  <c r="I49" i="70"/>
  <c r="I49" i="67"/>
  <c r="AH77" i="89"/>
  <c r="Z77" i="89"/>
  <c r="X77" i="89"/>
  <c r="AF77" i="89"/>
  <c r="AE77" i="89"/>
  <c r="AG77" i="89"/>
  <c r="AD77" i="89"/>
  <c r="Y77" i="89"/>
  <c r="AB77" i="89"/>
  <c r="AC77" i="89"/>
  <c r="AA77" i="89"/>
  <c r="AF61" i="89"/>
  <c r="X61" i="89"/>
  <c r="AB61" i="89"/>
  <c r="AD61" i="89"/>
  <c r="Z61" i="89"/>
  <c r="AC61" i="89"/>
  <c r="AE61" i="89"/>
  <c r="AA61" i="89"/>
  <c r="AG61" i="89"/>
  <c r="AH61" i="89"/>
  <c r="Y61" i="89"/>
  <c r="AP147" i="88"/>
  <c r="AM147" i="88"/>
  <c r="AY147" i="88"/>
  <c r="AV147" i="88"/>
  <c r="BA147" i="88"/>
  <c r="AJ147" i="88"/>
  <c r="BC147" i="88"/>
  <c r="AQ147" i="88"/>
  <c r="AU147" i="88"/>
  <c r="AI147" i="88"/>
  <c r="BB147" i="88"/>
  <c r="AX147" i="88"/>
  <c r="AT147" i="88"/>
  <c r="AW147" i="88"/>
  <c r="AL147" i="88"/>
  <c r="AO147" i="88"/>
  <c r="AS147" i="88"/>
  <c r="AZ147" i="88"/>
  <c r="BD147" i="88"/>
  <c r="AK147" i="88"/>
  <c r="AR147" i="88"/>
  <c r="AN147" i="88"/>
  <c r="AM118" i="88"/>
  <c r="AR118" i="88"/>
  <c r="AO118" i="88"/>
  <c r="AL118" i="88"/>
  <c r="AI118" i="88"/>
  <c r="BD118" i="88"/>
  <c r="BA118" i="88"/>
  <c r="AX118" i="88"/>
  <c r="AV118" i="88"/>
  <c r="AS118" i="88"/>
  <c r="AP118" i="88"/>
  <c r="AU118" i="88"/>
  <c r="AJ118" i="88"/>
  <c r="AW118" i="88"/>
  <c r="AT118" i="88"/>
  <c r="AQ118" i="88"/>
  <c r="AK118" i="88"/>
  <c r="AZ118" i="88"/>
  <c r="AY118" i="88"/>
  <c r="AN118" i="88"/>
  <c r="BC118" i="88"/>
  <c r="BB118" i="88"/>
  <c r="AF75" i="89"/>
  <c r="Z75" i="89"/>
  <c r="AD75" i="89"/>
  <c r="AB75" i="89"/>
  <c r="AA75" i="89"/>
  <c r="AH75" i="89"/>
  <c r="AG75" i="89"/>
  <c r="Y75" i="89"/>
  <c r="AE75" i="89"/>
  <c r="AC75" i="89"/>
  <c r="X75" i="89"/>
  <c r="AB51" i="89"/>
  <c r="X51" i="89"/>
  <c r="Y51" i="89"/>
  <c r="AE51" i="89"/>
  <c r="AA51" i="89"/>
  <c r="AG51" i="89"/>
  <c r="AD51" i="89"/>
  <c r="Z51" i="89"/>
  <c r="AH51" i="89"/>
  <c r="AC51" i="89"/>
  <c r="AF51" i="89"/>
  <c r="Z83" i="89"/>
  <c r="AC83" i="89"/>
  <c r="AF83" i="89"/>
  <c r="AB83" i="89"/>
  <c r="AE83" i="89"/>
  <c r="AG83" i="89"/>
  <c r="Y83" i="89"/>
  <c r="AD83" i="89"/>
  <c r="AA83" i="89"/>
  <c r="X83" i="89"/>
  <c r="AH83" i="89"/>
  <c r="AC63" i="89"/>
  <c r="AG63" i="89"/>
  <c r="Y63" i="89"/>
  <c r="AF63" i="89"/>
  <c r="AH63" i="89"/>
  <c r="AD63" i="89"/>
  <c r="AA63" i="89"/>
  <c r="AE63" i="89"/>
  <c r="AB63" i="89"/>
  <c r="X63" i="89"/>
  <c r="Z63" i="89"/>
  <c r="M74" i="67"/>
  <c r="M63" i="67"/>
  <c r="M73" i="67"/>
  <c r="M50" i="67"/>
  <c r="M41" i="67"/>
  <c r="M64" i="67"/>
  <c r="M51" i="67"/>
  <c r="M68" i="67"/>
  <c r="M70" i="67"/>
  <c r="M59" i="67"/>
  <c r="AE77" i="67"/>
  <c r="N77" i="67"/>
  <c r="AK77" i="67"/>
  <c r="W77" i="67"/>
  <c r="P77" i="67"/>
  <c r="AJ77" i="67"/>
  <c r="O77" i="67"/>
  <c r="AA77" i="67"/>
  <c r="AA79" i="67" s="1"/>
  <c r="AI77" i="67"/>
  <c r="S77" i="67"/>
  <c r="Z77" i="67"/>
  <c r="Z79" i="67" s="1"/>
  <c r="Y77" i="67"/>
  <c r="X77" i="67"/>
  <c r="V77" i="67"/>
  <c r="AC77" i="67"/>
  <c r="R77" i="67"/>
  <c r="M77" i="67"/>
  <c r="AF77" i="67"/>
  <c r="AH77" i="67"/>
  <c r="Q77" i="67"/>
  <c r="L77" i="67"/>
  <c r="U77" i="67"/>
  <c r="AM135" i="88"/>
  <c r="AR135" i="88"/>
  <c r="AO135" i="88"/>
  <c r="AU135" i="88"/>
  <c r="AJ135" i="88"/>
  <c r="AV135" i="88"/>
  <c r="BB135" i="88"/>
  <c r="AY135" i="88"/>
  <c r="AN135" i="88"/>
  <c r="BA135" i="88"/>
  <c r="AX135" i="88"/>
  <c r="AK135" i="88"/>
  <c r="AW135" i="88"/>
  <c r="AL135" i="88"/>
  <c r="AS135" i="88"/>
  <c r="AZ135" i="88"/>
  <c r="AQ135" i="88"/>
  <c r="AI135" i="88"/>
  <c r="AP135" i="88"/>
  <c r="BC135" i="88"/>
  <c r="BD135" i="88"/>
  <c r="AT135" i="88"/>
  <c r="AV98" i="88"/>
  <c r="AO98" i="88"/>
  <c r="AY98" i="88"/>
  <c r="AR98" i="88"/>
  <c r="BB98" i="88"/>
  <c r="AW98" i="88"/>
  <c r="AI98" i="88"/>
  <c r="AN98" i="88"/>
  <c r="BC98" i="88"/>
  <c r="AT98" i="88"/>
  <c r="BD98" i="88"/>
  <c r="BA98" i="88"/>
  <c r="AZ98" i="88"/>
  <c r="AK98" i="88"/>
  <c r="AJ98" i="88"/>
  <c r="AU98" i="88"/>
  <c r="AX98" i="88"/>
  <c r="AS98" i="88"/>
  <c r="AP98" i="88"/>
  <c r="AQ98" i="88"/>
  <c r="AM98" i="88"/>
  <c r="AL98" i="88"/>
  <c r="AH78" i="67"/>
  <c r="AH83" i="67" s="1"/>
  <c r="AE78" i="67"/>
  <c r="AE83" i="67" s="1"/>
  <c r="X78" i="67"/>
  <c r="X83" i="67" s="1"/>
  <c r="P78" i="67"/>
  <c r="P83" i="67" s="1"/>
  <c r="M87" i="67"/>
  <c r="AH16" i="70"/>
  <c r="AC82" i="89"/>
  <c r="AD82" i="89"/>
  <c r="Y82" i="89"/>
  <c r="AA82" i="89"/>
  <c r="AE82" i="89"/>
  <c r="AH82" i="89"/>
  <c r="Z82" i="89"/>
  <c r="X82" i="89"/>
  <c r="AG82" i="89"/>
  <c r="AF82" i="89"/>
  <c r="AB82" i="89"/>
  <c r="AE66" i="89"/>
  <c r="X66" i="89"/>
  <c r="AH66" i="89"/>
  <c r="AG66" i="89"/>
  <c r="Y66" i="89"/>
  <c r="AF66" i="89"/>
  <c r="AC66" i="89"/>
  <c r="AD66" i="89"/>
  <c r="AB66" i="89"/>
  <c r="AA66" i="89"/>
  <c r="Z66" i="89"/>
  <c r="AY138" i="88"/>
  <c r="AV138" i="88"/>
  <c r="BA138" i="88"/>
  <c r="AQ138" i="88"/>
  <c r="BC138" i="88"/>
  <c r="AZ138" i="88"/>
  <c r="AW138" i="88"/>
  <c r="AT138" i="88"/>
  <c r="BD138" i="88"/>
  <c r="AS138" i="88"/>
  <c r="AP138" i="88"/>
  <c r="AR138" i="88"/>
  <c r="AO138" i="88"/>
  <c r="AJ138" i="88"/>
  <c r="AN138" i="88"/>
  <c r="AU138" i="88"/>
  <c r="AM138" i="88"/>
  <c r="BB138" i="88"/>
  <c r="AI138" i="88"/>
  <c r="AL138" i="88"/>
  <c r="AX138" i="88"/>
  <c r="AK138" i="88"/>
  <c r="Y89" i="89"/>
  <c r="AA89" i="89"/>
  <c r="AB89" i="89"/>
  <c r="AH89" i="89"/>
  <c r="Z89" i="89"/>
  <c r="AG89" i="89"/>
  <c r="AC89" i="89"/>
  <c r="AD89" i="89"/>
  <c r="AF89" i="89"/>
  <c r="AE89" i="89"/>
  <c r="X89" i="89"/>
  <c r="AD71" i="89"/>
  <c r="Z71" i="89"/>
  <c r="AH71" i="89"/>
  <c r="AG71" i="89"/>
  <c r="AF71" i="89"/>
  <c r="Y71" i="89"/>
  <c r="X71" i="89"/>
  <c r="AE71" i="89"/>
  <c r="AC71" i="89"/>
  <c r="AB71" i="89"/>
  <c r="AA71" i="89"/>
  <c r="BC102" i="88"/>
  <c r="AK102" i="88"/>
  <c r="AP102" i="88"/>
  <c r="AL102" i="88"/>
  <c r="AI102" i="88"/>
  <c r="BD102" i="88"/>
  <c r="BA102" i="88"/>
  <c r="AX102" i="88"/>
  <c r="AV102" i="88"/>
  <c r="AS102" i="88"/>
  <c r="AW102" i="88"/>
  <c r="AM102" i="88"/>
  <c r="AJ102" i="88"/>
  <c r="AT102" i="88"/>
  <c r="AQ102" i="88"/>
  <c r="BB102" i="88"/>
  <c r="AZ102" i="88"/>
  <c r="AR102" i="88"/>
  <c r="AY102" i="88"/>
  <c r="AO102" i="88"/>
  <c r="AN102" i="88"/>
  <c r="AU102" i="88"/>
  <c r="AU94" i="88"/>
  <c r="AZ94" i="88"/>
  <c r="AW94" i="88"/>
  <c r="BB94" i="88"/>
  <c r="AY94" i="88"/>
  <c r="AN94" i="88"/>
  <c r="AT94" i="88"/>
  <c r="AQ94" i="88"/>
  <c r="AL94" i="88"/>
  <c r="AI94" i="88"/>
  <c r="AK94" i="88"/>
  <c r="AO94" i="88"/>
  <c r="AM94" i="88"/>
  <c r="AJ94" i="88"/>
  <c r="AV94" i="88"/>
  <c r="BA94" i="88"/>
  <c r="AS94" i="88"/>
  <c r="AR94" i="88"/>
  <c r="AX94" i="88"/>
  <c r="AP94" i="88"/>
  <c r="BD94" i="88"/>
  <c r="BC94" i="88"/>
  <c r="AS86" i="88"/>
  <c r="AX86" i="88"/>
  <c r="BA86" i="88"/>
  <c r="AP86" i="88"/>
  <c r="AK86" i="88"/>
  <c r="AW86" i="88"/>
  <c r="BC86" i="88"/>
  <c r="AZ86" i="88"/>
  <c r="AO86" i="88"/>
  <c r="BB86" i="88"/>
  <c r="AY86" i="88"/>
  <c r="AN86" i="88"/>
  <c r="AL86" i="88"/>
  <c r="AI86" i="88"/>
  <c r="AM86" i="88"/>
  <c r="AT86" i="88"/>
  <c r="AR86" i="88"/>
  <c r="AJ86" i="88"/>
  <c r="AQ86" i="88"/>
  <c r="BD86" i="88"/>
  <c r="AV86" i="88"/>
  <c r="AU86" i="88"/>
  <c r="M93" i="67"/>
  <c r="AA76" i="68"/>
  <c r="AA81" i="68" s="1"/>
  <c r="AK119" i="88"/>
  <c r="AX119" i="88"/>
  <c r="BC119" i="88"/>
  <c r="AR119" i="88"/>
  <c r="AO119" i="88"/>
  <c r="AT119" i="88"/>
  <c r="AJ119" i="88"/>
  <c r="P119" i="88"/>
  <c r="AL119" i="88"/>
  <c r="AI119" i="88"/>
  <c r="AN119" i="88"/>
  <c r="AS119" i="88"/>
  <c r="AP119" i="88"/>
  <c r="AM119" i="88"/>
  <c r="AV119" i="88"/>
  <c r="BA119" i="88"/>
  <c r="AU119" i="88"/>
  <c r="AZ119" i="88"/>
  <c r="BB119" i="88"/>
  <c r="AY119" i="88"/>
  <c r="AQ119" i="88"/>
  <c r="R119" i="88"/>
  <c r="AW119" i="88"/>
  <c r="BD119" i="88"/>
  <c r="AV97" i="88"/>
  <c r="BC97" i="88"/>
  <c r="AP97" i="88"/>
  <c r="BB97" i="88"/>
  <c r="AI97" i="88"/>
  <c r="AR97" i="88"/>
  <c r="AS97" i="88"/>
  <c r="AQ97" i="88"/>
  <c r="BD97" i="88"/>
  <c r="AM97" i="88"/>
  <c r="AY97" i="88"/>
  <c r="AZ97" i="88"/>
  <c r="AX97" i="88"/>
  <c r="AJ97" i="88"/>
  <c r="AW97" i="88"/>
  <c r="AN97" i="88"/>
  <c r="AU97" i="88"/>
  <c r="AT97" i="88"/>
  <c r="AO97" i="88"/>
  <c r="AL97" i="88"/>
  <c r="BA97" i="88"/>
  <c r="AK97" i="88"/>
  <c r="AI87" i="88"/>
  <c r="BC87" i="88"/>
  <c r="AK87" i="88"/>
  <c r="AY87" i="88"/>
  <c r="AN87" i="88"/>
  <c r="AZ87" i="88"/>
  <c r="AQ87" i="88"/>
  <c r="AU87" i="88"/>
  <c r="AR87" i="88"/>
  <c r="AW87" i="88"/>
  <c r="AT87" i="88"/>
  <c r="BD87" i="88"/>
  <c r="BA87" i="88"/>
  <c r="BB87" i="88"/>
  <c r="AL87" i="88"/>
  <c r="AS87" i="88"/>
  <c r="AX87" i="88"/>
  <c r="AJ87" i="88"/>
  <c r="AP87" i="88"/>
  <c r="AO87" i="88"/>
  <c r="AV87" i="88"/>
  <c r="AM87" i="88"/>
  <c r="AH12" i="70"/>
  <c r="AF88" i="89"/>
  <c r="AB88" i="89"/>
  <c r="Z88" i="89"/>
  <c r="AD88" i="89"/>
  <c r="AC88" i="89"/>
  <c r="AG88" i="89"/>
  <c r="Y88" i="89"/>
  <c r="X88" i="89"/>
  <c r="AE88" i="89"/>
  <c r="AA88" i="89"/>
  <c r="AH88" i="89"/>
  <c r="AH72" i="89"/>
  <c r="AF72" i="89"/>
  <c r="AB72" i="89"/>
  <c r="X72" i="89"/>
  <c r="AE72" i="89"/>
  <c r="AD72" i="89"/>
  <c r="AC72" i="89"/>
  <c r="AA72" i="89"/>
  <c r="AG72" i="89"/>
  <c r="Z72" i="89"/>
  <c r="Y72" i="89"/>
  <c r="AA56" i="89"/>
  <c r="AB56" i="89"/>
  <c r="AE56" i="89"/>
  <c r="AC56" i="89"/>
  <c r="AF56" i="89"/>
  <c r="AH56" i="89"/>
  <c r="AG56" i="89"/>
  <c r="Z56" i="89"/>
  <c r="Y56" i="89"/>
  <c r="X56" i="89"/>
  <c r="AD56" i="89"/>
  <c r="AZ149" i="88"/>
  <c r="AW149" i="88"/>
  <c r="BB149" i="88"/>
  <c r="AQ149" i="88"/>
  <c r="BC149" i="88"/>
  <c r="AI149" i="88"/>
  <c r="AU149" i="88"/>
  <c r="AX149" i="88"/>
  <c r="AM149" i="88"/>
  <c r="AR149" i="88"/>
  <c r="BD149" i="88"/>
  <c r="BA149" i="88"/>
  <c r="AY149" i="88"/>
  <c r="AN149" i="88"/>
  <c r="AK149" i="88"/>
  <c r="AJ149" i="88"/>
  <c r="AP149" i="88"/>
  <c r="AO149" i="88"/>
  <c r="AV149" i="88"/>
  <c r="AT149" i="88"/>
  <c r="AL149" i="88"/>
  <c r="AS149" i="88"/>
  <c r="BB137" i="88"/>
  <c r="AJ137" i="88"/>
  <c r="BD137" i="88"/>
  <c r="AM137" i="88"/>
  <c r="AY137" i="88"/>
  <c r="AN137" i="88"/>
  <c r="AS137" i="88"/>
  <c r="AP137" i="88"/>
  <c r="BC137" i="88"/>
  <c r="AZ137" i="88"/>
  <c r="AO137" i="88"/>
  <c r="AT137" i="88"/>
  <c r="AW137" i="88"/>
  <c r="AL137" i="88"/>
  <c r="AV137" i="88"/>
  <c r="BA137" i="88"/>
  <c r="AK137" i="88"/>
  <c r="AR137" i="88"/>
  <c r="AQ137" i="88"/>
  <c r="AI137" i="88"/>
  <c r="AU137" i="88"/>
  <c r="AX137" i="88"/>
  <c r="AF59" i="89"/>
  <c r="AE59" i="89"/>
  <c r="Z59" i="89"/>
  <c r="Y59" i="89"/>
  <c r="AA59" i="89"/>
  <c r="AC59" i="89"/>
  <c r="AB59" i="89"/>
  <c r="AH59" i="89"/>
  <c r="AD59" i="89"/>
  <c r="AG59" i="89"/>
  <c r="X59" i="89"/>
  <c r="AH79" i="89"/>
  <c r="AF79" i="89"/>
  <c r="AG79" i="89"/>
  <c r="AA79" i="89"/>
  <c r="Z79" i="89"/>
  <c r="X79" i="89"/>
  <c r="AE79" i="89"/>
  <c r="AD79" i="89"/>
  <c r="AB79" i="89"/>
  <c r="AC79" i="89"/>
  <c r="Y79" i="89"/>
  <c r="Y57" i="89"/>
  <c r="Z57" i="89"/>
  <c r="AB57" i="89"/>
  <c r="AG57" i="89"/>
  <c r="AF57" i="89"/>
  <c r="X57" i="89"/>
  <c r="AD57" i="89"/>
  <c r="AC57" i="89"/>
  <c r="AE57" i="89"/>
  <c r="AA57" i="89"/>
  <c r="AH57" i="89"/>
  <c r="AM115" i="88"/>
  <c r="AZ115" i="88"/>
  <c r="AW115" i="88"/>
  <c r="AQ115" i="88"/>
  <c r="AX115" i="88"/>
  <c r="BC115" i="88"/>
  <c r="BD115" i="88"/>
  <c r="AR115" i="88"/>
  <c r="AK115" i="88"/>
  <c r="AJ115" i="88"/>
  <c r="AO115" i="88"/>
  <c r="AY115" i="88"/>
  <c r="AU115" i="88"/>
  <c r="AI115" i="88"/>
  <c r="BB115" i="88"/>
  <c r="AV115" i="88"/>
  <c r="AT115" i="88"/>
  <c r="AL115" i="88"/>
  <c r="BA115" i="88"/>
  <c r="AP115" i="88"/>
  <c r="AS115" i="88"/>
  <c r="AN115" i="88"/>
  <c r="AQ143" i="88"/>
  <c r="AN143" i="88"/>
  <c r="AS143" i="88"/>
  <c r="AP143" i="88"/>
  <c r="BB143" i="88"/>
  <c r="AW143" i="88"/>
  <c r="AT143" i="88"/>
  <c r="AJ143" i="88"/>
  <c r="AV143" i="88"/>
  <c r="AK143" i="88"/>
  <c r="AI143" i="88"/>
  <c r="AU143" i="88"/>
  <c r="AR143" i="88"/>
  <c r="BA143" i="88"/>
  <c r="AY143" i="88"/>
  <c r="AX143" i="88"/>
  <c r="AO143" i="88"/>
  <c r="BD143" i="88"/>
  <c r="BC143" i="88"/>
  <c r="AM143" i="88"/>
  <c r="AZ143" i="88"/>
  <c r="AL143" i="88"/>
  <c r="AM110" i="88"/>
  <c r="AR110" i="88"/>
  <c r="AO110" i="88"/>
  <c r="AU110" i="88"/>
  <c r="AJ110" i="88"/>
  <c r="BB110" i="88"/>
  <c r="AY110" i="88"/>
  <c r="AT110" i="88"/>
  <c r="AQ110" i="88"/>
  <c r="AV110" i="88"/>
  <c r="AS110" i="88"/>
  <c r="AP110" i="88"/>
  <c r="BC110" i="88"/>
  <c r="AZ110" i="88"/>
  <c r="BA110" i="88"/>
  <c r="AK110" i="88"/>
  <c r="AI110" i="88"/>
  <c r="AX110" i="88"/>
  <c r="AW110" i="88"/>
  <c r="BD110" i="88"/>
  <c r="AN110" i="88"/>
  <c r="AL110" i="88"/>
  <c r="P12" i="5"/>
  <c r="P15" i="5" s="1"/>
  <c r="Z78" i="89"/>
  <c r="AG78" i="89"/>
  <c r="Y78" i="89"/>
  <c r="AH78" i="89"/>
  <c r="X78" i="89"/>
  <c r="AF78" i="89"/>
  <c r="AD78" i="89"/>
  <c r="AA78" i="89"/>
  <c r="AC78" i="89"/>
  <c r="AE78" i="89"/>
  <c r="AB78" i="89"/>
  <c r="AB62" i="89"/>
  <c r="X62" i="89"/>
  <c r="AC62" i="89"/>
  <c r="AA62" i="89"/>
  <c r="AH62" i="89"/>
  <c r="Z62" i="89"/>
  <c r="AD62" i="89"/>
  <c r="AF62" i="89"/>
  <c r="AG62" i="89"/>
  <c r="AE62" i="89"/>
  <c r="Y62" i="89"/>
  <c r="AL139" i="88"/>
  <c r="AQ139" i="88"/>
  <c r="AN139" i="88"/>
  <c r="AU139" i="88"/>
  <c r="AZ139" i="88"/>
  <c r="AW139" i="88"/>
  <c r="BB139" i="88"/>
  <c r="AJ139" i="88"/>
  <c r="BC139" i="88"/>
  <c r="AI139" i="88"/>
  <c r="AM139" i="88"/>
  <c r="AX139" i="88"/>
  <c r="AT139" i="88"/>
  <c r="AP139" i="88"/>
  <c r="BA139" i="88"/>
  <c r="AO139" i="88"/>
  <c r="AS139" i="88"/>
  <c r="BD139" i="88"/>
  <c r="AK139" i="88"/>
  <c r="AV139" i="88"/>
  <c r="AR139" i="88"/>
  <c r="AY139" i="88"/>
  <c r="AO130" i="88"/>
  <c r="BA130" i="88"/>
  <c r="AP130" i="88"/>
  <c r="BB130" i="88"/>
  <c r="AY130" i="88"/>
  <c r="AN130" i="88"/>
  <c r="AR130" i="88"/>
  <c r="AI130" i="88"/>
  <c r="AU130" i="88"/>
  <c r="AL130" i="88"/>
  <c r="AM130" i="88"/>
  <c r="AS130" i="88"/>
  <c r="AQ130" i="88"/>
  <c r="AK130" i="88"/>
  <c r="AX130" i="88"/>
  <c r="AZ130" i="88"/>
  <c r="AW130" i="88"/>
  <c r="AJ130" i="88"/>
  <c r="BD130" i="88"/>
  <c r="AT130" i="88"/>
  <c r="AV130" i="88"/>
  <c r="BC130" i="88"/>
  <c r="AB47" i="71"/>
  <c r="M51" i="71"/>
  <c r="Y47" i="71"/>
  <c r="X51" i="71"/>
  <c r="Q47" i="71"/>
  <c r="O47" i="71"/>
  <c r="N47" i="71"/>
  <c r="W47" i="71"/>
  <c r="P47" i="71"/>
  <c r="P52" i="71" s="1"/>
  <c r="R47" i="71"/>
  <c r="R52" i="71" s="1"/>
  <c r="T47" i="71"/>
  <c r="V47" i="71"/>
  <c r="U47" i="71"/>
  <c r="U52" i="71" s="1"/>
  <c r="U10" i="72" s="1"/>
  <c r="Z47" i="71"/>
  <c r="Z52" i="71" s="1"/>
  <c r="Z19" i="72" s="1"/>
  <c r="P51" i="71"/>
  <c r="X47" i="71"/>
  <c r="X52" i="71" s="1"/>
  <c r="N51" i="71"/>
  <c r="V51" i="71"/>
  <c r="AA47" i="71"/>
  <c r="T51" i="71"/>
  <c r="L47" i="71"/>
  <c r="L52" i="71" s="1"/>
  <c r="L13" i="72" s="1"/>
  <c r="O51" i="71"/>
  <c r="Z51" i="71"/>
  <c r="Z51" i="72" s="1"/>
  <c r="S47" i="71"/>
  <c r="U51" i="71"/>
  <c r="M47" i="71"/>
  <c r="M52" i="71" s="1"/>
  <c r="AC84" i="89"/>
  <c r="AB84" i="89"/>
  <c r="AG84" i="89"/>
  <c r="Z84" i="89"/>
  <c r="Y84" i="89"/>
  <c r="X84" i="89"/>
  <c r="AE84" i="89"/>
  <c r="AA84" i="89"/>
  <c r="AH84" i="89"/>
  <c r="AF84" i="89"/>
  <c r="AD84" i="89"/>
  <c r="AB65" i="89"/>
  <c r="AD65" i="89"/>
  <c r="AG65" i="89"/>
  <c r="AF65" i="89"/>
  <c r="X65" i="89"/>
  <c r="AC65" i="89"/>
  <c r="AE65" i="89"/>
  <c r="AA65" i="89"/>
  <c r="AH65" i="89"/>
  <c r="Z65" i="89"/>
  <c r="Y65" i="89"/>
  <c r="AQ128" i="88"/>
  <c r="AZ128" i="88"/>
  <c r="AT128" i="88"/>
  <c r="BA128" i="88"/>
  <c r="AW128" i="88"/>
  <c r="AI128" i="88"/>
  <c r="AJ128" i="88"/>
  <c r="BD128" i="88"/>
  <c r="AU128" i="88"/>
  <c r="AL128" i="88"/>
  <c r="BB128" i="88"/>
  <c r="AX128" i="88"/>
  <c r="AY128" i="88"/>
  <c r="AV128" i="88"/>
  <c r="BC128" i="88"/>
  <c r="AP128" i="88"/>
  <c r="AM128" i="88"/>
  <c r="AO128" i="88"/>
  <c r="AS128" i="88"/>
  <c r="AN128" i="88"/>
  <c r="AK128" i="88"/>
  <c r="AR128" i="88"/>
  <c r="I31" i="88"/>
  <c r="I31" i="70"/>
  <c r="I31" i="69"/>
  <c r="I31" i="67"/>
  <c r="M35" i="67" s="1"/>
  <c r="I31" i="75"/>
  <c r="I31" i="68"/>
  <c r="Z76" i="68" s="1"/>
  <c r="Z81" i="68" s="1"/>
  <c r="BB104" i="88"/>
  <c r="AR104" i="88"/>
  <c r="AO104" i="88"/>
  <c r="AN104" i="88"/>
  <c r="AK104" i="88"/>
  <c r="AP104" i="88"/>
  <c r="AT104" i="88"/>
  <c r="AY104" i="88"/>
  <c r="BD104" i="88"/>
  <c r="BA104" i="88"/>
  <c r="AI104" i="88"/>
  <c r="AL104" i="88"/>
  <c r="AS104" i="88"/>
  <c r="AB104" i="88"/>
  <c r="AZ104" i="88"/>
  <c r="AV104" i="88"/>
  <c r="AJ104" i="88"/>
  <c r="BC104" i="88"/>
  <c r="AQ104" i="88"/>
  <c r="AU104" i="88"/>
  <c r="AX104" i="88"/>
  <c r="AM104" i="88"/>
  <c r="AW104" i="88"/>
  <c r="AR96" i="88"/>
  <c r="AU96" i="88"/>
  <c r="BA96" i="88"/>
  <c r="AX96" i="88"/>
  <c r="AQ96" i="88"/>
  <c r="AV96" i="88"/>
  <c r="AY96" i="88"/>
  <c r="AL96" i="88"/>
  <c r="AZ96" i="88"/>
  <c r="AT96" i="88"/>
  <c r="BD96" i="88"/>
  <c r="BC96" i="88"/>
  <c r="AN96" i="88"/>
  <c r="AM96" i="88"/>
  <c r="AJ96" i="88"/>
  <c r="BB96" i="88"/>
  <c r="AP96" i="88"/>
  <c r="AK96" i="88"/>
  <c r="AW96" i="88"/>
  <c r="AO96" i="88"/>
  <c r="AI96" i="88"/>
  <c r="AS96" i="88"/>
  <c r="AM88" i="88"/>
  <c r="AR88" i="88"/>
  <c r="AO88" i="88"/>
  <c r="BC88" i="88"/>
  <c r="AZ88" i="88"/>
  <c r="BD88" i="88"/>
  <c r="AU88" i="88"/>
  <c r="AJ88" i="88"/>
  <c r="AV88" i="88"/>
  <c r="AL88" i="88"/>
  <c r="AI88" i="88"/>
  <c r="AS88" i="88"/>
  <c r="AP88" i="88"/>
  <c r="AT88" i="88"/>
  <c r="BA88" i="88"/>
  <c r="AK88" i="88"/>
  <c r="AY88" i="88"/>
  <c r="AQ88" i="88"/>
  <c r="AX88" i="88"/>
  <c r="AW88" i="88"/>
  <c r="BB88" i="88"/>
  <c r="AN88" i="88"/>
  <c r="P13" i="5"/>
  <c r="P16" i="5" s="1"/>
  <c r="AP80" i="88"/>
  <c r="AI80" i="88"/>
  <c r="AK80" i="88"/>
  <c r="BA80" i="88"/>
  <c r="AM80" i="88"/>
  <c r="AY80" i="88"/>
  <c r="AJ80" i="88"/>
  <c r="AO80" i="88"/>
  <c r="AR80" i="88"/>
  <c r="AS80" i="88"/>
  <c r="BB80" i="88"/>
  <c r="BC80" i="88"/>
  <c r="AV80" i="88"/>
  <c r="AL80" i="88"/>
  <c r="AU80" i="88"/>
  <c r="AQ80" i="88"/>
  <c r="AZ80" i="88"/>
  <c r="AW80" i="88"/>
  <c r="BD80" i="88"/>
  <c r="AN80" i="88"/>
  <c r="AT80" i="88"/>
  <c r="AX80" i="88"/>
  <c r="AX99" i="88"/>
  <c r="AL99" i="88"/>
  <c r="AM99" i="88"/>
  <c r="BC99" i="88"/>
  <c r="AW99" i="88"/>
  <c r="AR99" i="88"/>
  <c r="BB99" i="88"/>
  <c r="AP99" i="88"/>
  <c r="AU99" i="88"/>
  <c r="AY99" i="88"/>
  <c r="AT99" i="88"/>
  <c r="BA99" i="88"/>
  <c r="AZ99" i="88"/>
  <c r="AS99" i="88"/>
  <c r="AJ99" i="88"/>
  <c r="AK99" i="88"/>
  <c r="BD99" i="88"/>
  <c r="AQ99" i="88"/>
  <c r="AV99" i="88"/>
  <c r="AO99" i="88"/>
  <c r="AN99" i="88"/>
  <c r="AI99" i="88"/>
  <c r="AI89" i="88"/>
  <c r="BC89" i="88"/>
  <c r="AK89" i="88"/>
  <c r="AY89" i="88"/>
  <c r="AN89" i="88"/>
  <c r="AZ89" i="88"/>
  <c r="AW89" i="88"/>
  <c r="AT89" i="88"/>
  <c r="BD89" i="88"/>
  <c r="BA89" i="88"/>
  <c r="AO89" i="88"/>
  <c r="AJ89" i="88"/>
  <c r="AV89" i="88"/>
  <c r="AU89" i="88"/>
  <c r="AM89" i="88"/>
  <c r="BB89" i="88"/>
  <c r="AQ89" i="88"/>
  <c r="AL89" i="88"/>
  <c r="AX89" i="88"/>
  <c r="AS89" i="88"/>
  <c r="AP89" i="88"/>
  <c r="AR89" i="88"/>
  <c r="AH18" i="70"/>
  <c r="AH11" i="70"/>
  <c r="AF85" i="89"/>
  <c r="Y85" i="89"/>
  <c r="AC85" i="89"/>
  <c r="X85" i="89"/>
  <c r="AH85" i="89"/>
  <c r="AE85" i="89"/>
  <c r="AD85" i="89"/>
  <c r="AA85" i="89"/>
  <c r="AB85" i="89"/>
  <c r="AG85" i="89"/>
  <c r="Z85" i="89"/>
  <c r="AG69" i="89"/>
  <c r="Y69" i="89"/>
  <c r="AE69" i="89"/>
  <c r="AF69" i="89"/>
  <c r="AD69" i="89"/>
  <c r="X69" i="89"/>
  <c r="AC69" i="89"/>
  <c r="AA69" i="89"/>
  <c r="AB69" i="89"/>
  <c r="AH69" i="89"/>
  <c r="Z69" i="89"/>
  <c r="AF53" i="89"/>
  <c r="AB53" i="89"/>
  <c r="Z53" i="89"/>
  <c r="AA53" i="89"/>
  <c r="AE53" i="89"/>
  <c r="X53" i="89"/>
  <c r="AC53" i="89"/>
  <c r="AH53" i="89"/>
  <c r="Y53" i="89"/>
  <c r="AD53" i="89"/>
  <c r="AG53" i="89"/>
  <c r="AI145" i="88"/>
  <c r="BC145" i="88"/>
  <c r="AK145" i="88"/>
  <c r="AW145" i="88"/>
  <c r="AT145" i="88"/>
  <c r="AY145" i="88"/>
  <c r="AN145" i="88"/>
  <c r="AX145" i="88"/>
  <c r="AM145" i="88"/>
  <c r="BD145" i="88"/>
  <c r="AV145" i="88"/>
  <c r="AZ145" i="88"/>
  <c r="AU145" i="88"/>
  <c r="AR145" i="88"/>
  <c r="BB145" i="88"/>
  <c r="AJ145" i="88"/>
  <c r="AL145" i="88"/>
  <c r="AQ145" i="88"/>
  <c r="BA145" i="88"/>
  <c r="AP145" i="88"/>
  <c r="AS145" i="88"/>
  <c r="AO145" i="88"/>
  <c r="AZ109" i="88"/>
  <c r="AW109" i="88"/>
  <c r="BB109" i="88"/>
  <c r="AX109" i="88"/>
  <c r="AM109" i="88"/>
  <c r="AP109" i="88"/>
  <c r="AT109" i="88"/>
  <c r="AO109" i="88"/>
  <c r="AL109" i="88"/>
  <c r="AY109" i="88"/>
  <c r="AN109" i="88"/>
  <c r="AK109" i="88"/>
  <c r="AI109" i="88"/>
  <c r="AU109" i="88"/>
  <c r="BA109" i="88"/>
  <c r="AS109" i="88"/>
  <c r="AR109" i="88"/>
  <c r="AJ109" i="88"/>
  <c r="AQ109" i="88"/>
  <c r="BD109" i="88"/>
  <c r="AV109" i="88"/>
  <c r="BC109" i="88"/>
  <c r="X47" i="72"/>
  <c r="Y47" i="72"/>
  <c r="AH91" i="89"/>
  <c r="AA91" i="89"/>
  <c r="AE91" i="89"/>
  <c r="Z91" i="89"/>
  <c r="AD91" i="89"/>
  <c r="AC91" i="89"/>
  <c r="AG91" i="89"/>
  <c r="Y91" i="89"/>
  <c r="X91" i="89"/>
  <c r="AF91" i="89"/>
  <c r="AB91" i="89"/>
  <c r="AE73" i="89"/>
  <c r="AF73" i="89"/>
  <c r="AH73" i="89"/>
  <c r="AB73" i="89"/>
  <c r="X73" i="89"/>
  <c r="AD73" i="89"/>
  <c r="AC73" i="89"/>
  <c r="AA73" i="89"/>
  <c r="Z73" i="89"/>
  <c r="AG73" i="89"/>
  <c r="Y73" i="89"/>
  <c r="AD52" i="89"/>
  <c r="AE52" i="89"/>
  <c r="AG52" i="89"/>
  <c r="Z52" i="89"/>
  <c r="Y52" i="89"/>
  <c r="AH52" i="89"/>
  <c r="AC52" i="89"/>
  <c r="AA52" i="89"/>
  <c r="X52" i="89"/>
  <c r="AF52" i="89"/>
  <c r="AB52" i="89"/>
  <c r="I42" i="88"/>
  <c r="I42" i="69"/>
  <c r="I42" i="75"/>
  <c r="I42" i="68"/>
  <c r="I42" i="70"/>
  <c r="I42" i="67"/>
  <c r="M43" i="67" s="1"/>
  <c r="I67" i="88"/>
  <c r="I67" i="75"/>
  <c r="I67" i="69"/>
  <c r="I67" i="70"/>
  <c r="I67" i="68"/>
  <c r="I67" i="67"/>
  <c r="AL82" i="88"/>
  <c r="AQ82" i="88"/>
  <c r="AN82" i="88"/>
  <c r="AM82" i="88"/>
  <c r="AJ82" i="88"/>
  <c r="AV82" i="88"/>
  <c r="AS82" i="88"/>
  <c r="AP82" i="88"/>
  <c r="BC82" i="88"/>
  <c r="AZ82" i="88"/>
  <c r="AO82" i="88"/>
  <c r="AU82" i="88"/>
  <c r="AX82" i="88"/>
  <c r="BB82" i="88"/>
  <c r="AW82" i="88"/>
  <c r="AT82" i="88"/>
  <c r="BD82" i="88"/>
  <c r="BA82" i="88"/>
  <c r="AK82" i="88"/>
  <c r="AR82" i="88"/>
  <c r="AY82" i="88"/>
  <c r="AI82" i="88"/>
  <c r="AK114" i="88"/>
  <c r="BB114" i="88"/>
  <c r="BD114" i="88"/>
  <c r="AY114" i="88"/>
  <c r="AZ114" i="88"/>
  <c r="AW114" i="88"/>
  <c r="AP114" i="88"/>
  <c r="AT114" i="88"/>
  <c r="BA114" i="88"/>
  <c r="AM114" i="88"/>
  <c r="AN114" i="88"/>
  <c r="AJ114" i="88"/>
  <c r="AO114" i="88"/>
  <c r="AV114" i="88"/>
  <c r="AS114" i="88"/>
  <c r="AU114" i="88"/>
  <c r="AQ114" i="88"/>
  <c r="AR114" i="88"/>
  <c r="AI114" i="88"/>
  <c r="AX114" i="88"/>
  <c r="BC114" i="88"/>
  <c r="AL114" i="88"/>
  <c r="AI112" i="88"/>
  <c r="BC112" i="88"/>
  <c r="AQ112" i="88"/>
  <c r="AM112" i="88"/>
  <c r="BA112" i="88"/>
  <c r="AT112" i="88"/>
  <c r="AJ112" i="88"/>
  <c r="AK112" i="88"/>
  <c r="BD112" i="88"/>
  <c r="AW112" i="88"/>
  <c r="AN112" i="88"/>
  <c r="AO112" i="88"/>
  <c r="BB112" i="88"/>
  <c r="AS112" i="88"/>
  <c r="AL112" i="88"/>
  <c r="AY112" i="88"/>
  <c r="AZ112" i="88"/>
  <c r="AX112" i="88"/>
  <c r="AV112" i="88"/>
  <c r="AP112" i="88"/>
  <c r="AU112" i="88"/>
  <c r="AR112" i="88"/>
  <c r="L51" i="71"/>
  <c r="AH15" i="70"/>
  <c r="AH14" i="70"/>
  <c r="Y90" i="89"/>
  <c r="AA90" i="89"/>
  <c r="AB90" i="89"/>
  <c r="AE90" i="89"/>
  <c r="X90" i="89"/>
  <c r="AD90" i="89"/>
  <c r="Z90" i="89"/>
  <c r="AH90" i="89"/>
  <c r="AG90" i="89"/>
  <c r="AF90" i="89"/>
  <c r="AC90" i="89"/>
  <c r="AF74" i="89"/>
  <c r="AB74" i="89"/>
  <c r="AG74" i="89"/>
  <c r="Y74" i="89"/>
  <c r="X74" i="89"/>
  <c r="AD74" i="89"/>
  <c r="AE74" i="89"/>
  <c r="AC74" i="89"/>
  <c r="AA74" i="89"/>
  <c r="AH74" i="89"/>
  <c r="Z74" i="89"/>
  <c r="Y58" i="89"/>
  <c r="Z58" i="89"/>
  <c r="AF58" i="89"/>
  <c r="AH58" i="89"/>
  <c r="AB58" i="89"/>
  <c r="AE58" i="89"/>
  <c r="X58" i="89"/>
  <c r="AG58" i="89"/>
  <c r="AC58" i="89"/>
  <c r="AD58" i="89"/>
  <c r="AA58" i="89"/>
  <c r="I66" i="88"/>
  <c r="I66" i="75"/>
  <c r="I66" i="69"/>
  <c r="I66" i="68"/>
  <c r="I66" i="67"/>
  <c r="I66" i="70"/>
  <c r="AI107" i="88"/>
  <c r="BC107" i="88"/>
  <c r="AK107" i="88"/>
  <c r="AR107" i="88"/>
  <c r="AO107" i="88"/>
  <c r="AT107" i="88"/>
  <c r="AY107" i="88"/>
  <c r="AV107" i="88"/>
  <c r="BA107" i="88"/>
  <c r="AN107" i="88"/>
  <c r="AZ107" i="88"/>
  <c r="AU107" i="88"/>
  <c r="AJ107" i="88"/>
  <c r="AM107" i="88"/>
  <c r="AQ107" i="88"/>
  <c r="BB107" i="88"/>
  <c r="AX107" i="88"/>
  <c r="AL107" i="88"/>
  <c r="AP107" i="88"/>
  <c r="AS107" i="88"/>
  <c r="AW107" i="88"/>
  <c r="BD107" i="88"/>
  <c r="BB131" i="88"/>
  <c r="AJ131" i="88"/>
  <c r="BD131" i="88"/>
  <c r="AS131" i="88"/>
  <c r="AX131" i="88"/>
  <c r="AU131" i="88"/>
  <c r="AZ131" i="88"/>
  <c r="AW131" i="88"/>
  <c r="AR131" i="88"/>
  <c r="AY131" i="88"/>
  <c r="BC131" i="88"/>
  <c r="AQ131" i="88"/>
  <c r="AM131" i="88"/>
  <c r="AI131" i="88"/>
  <c r="AT131" i="88"/>
  <c r="AP131" i="88"/>
  <c r="AL131" i="88"/>
  <c r="AO131" i="88"/>
  <c r="BA131" i="88"/>
  <c r="AV131" i="88"/>
  <c r="AK131" i="88"/>
  <c r="AN131" i="88"/>
  <c r="X67" i="89"/>
  <c r="AH67" i="89"/>
  <c r="AC67" i="89"/>
  <c r="AD67" i="89"/>
  <c r="AF67" i="89"/>
  <c r="AB67" i="89"/>
  <c r="Y67" i="89"/>
  <c r="AA67" i="89"/>
  <c r="AG67" i="89"/>
  <c r="Z67" i="89"/>
  <c r="AE67" i="89"/>
  <c r="AS123" i="88"/>
  <c r="AX123" i="88"/>
  <c r="AU123" i="88"/>
  <c r="AJ123" i="88"/>
  <c r="BD123" i="88"/>
  <c r="AL123" i="88"/>
  <c r="AQ123" i="88"/>
  <c r="AN123" i="88"/>
  <c r="AY123" i="88"/>
  <c r="BB123" i="88"/>
  <c r="AI123" i="88"/>
  <c r="AT123" i="88"/>
  <c r="AP123" i="88"/>
  <c r="AW123" i="88"/>
  <c r="BA123" i="88"/>
  <c r="AO123" i="88"/>
  <c r="AK123" i="88"/>
  <c r="AV123" i="88"/>
  <c r="AZ123" i="88"/>
  <c r="BC123" i="88"/>
  <c r="AR123" i="88"/>
  <c r="AM123" i="88"/>
  <c r="AD81" i="89"/>
  <c r="AC81" i="89"/>
  <c r="Z81" i="89"/>
  <c r="AG81" i="89"/>
  <c r="Y81" i="89"/>
  <c r="X81" i="89"/>
  <c r="AE81" i="89"/>
  <c r="AH81" i="89"/>
  <c r="AF81" i="89"/>
  <c r="AB81" i="89"/>
  <c r="AA81" i="89"/>
  <c r="AA60" i="89"/>
  <c r="AH60" i="89"/>
  <c r="AF60" i="89"/>
  <c r="AC60" i="89"/>
  <c r="AG60" i="89"/>
  <c r="Z60" i="89"/>
  <c r="Y60" i="89"/>
  <c r="AB60" i="89"/>
  <c r="X60" i="89"/>
  <c r="AE60" i="89"/>
  <c r="AD60" i="89"/>
  <c r="I73" i="88"/>
  <c r="I73" i="67"/>
  <c r="I73" i="69"/>
  <c r="I73" i="68"/>
  <c r="M94" i="67" s="1"/>
  <c r="I73" i="75"/>
  <c r="I73" i="70"/>
  <c r="I65" i="88"/>
  <c r="I65" i="69"/>
  <c r="I65" i="68"/>
  <c r="M92" i="67" s="1"/>
  <c r="I65" i="70"/>
  <c r="I65" i="67"/>
  <c r="Z78" i="67" s="1"/>
  <c r="I65" i="75"/>
  <c r="AU108" i="88"/>
  <c r="AZ108" i="88"/>
  <c r="AW108" i="88"/>
  <c r="BD108" i="88"/>
  <c r="AL108" i="88"/>
  <c r="AQ108" i="88"/>
  <c r="AT108" i="88"/>
  <c r="AX108" i="88"/>
  <c r="BA108" i="88"/>
  <c r="AP108" i="88"/>
  <c r="AS108" i="88"/>
  <c r="AO108" i="88"/>
  <c r="BC108" i="88"/>
  <c r="AJ108" i="88"/>
  <c r="BB108" i="88"/>
  <c r="AI108" i="88"/>
  <c r="AV108" i="88"/>
  <c r="AN108" i="88"/>
  <c r="AM108" i="88"/>
  <c r="AK108" i="88"/>
  <c r="AR108" i="88"/>
  <c r="AY108" i="88"/>
  <c r="AN100" i="88"/>
  <c r="AZ100" i="88"/>
  <c r="AW100" i="88"/>
  <c r="AT100" i="88"/>
  <c r="AQ100" i="88"/>
  <c r="BA100" i="88"/>
  <c r="AO100" i="88"/>
  <c r="AS100" i="88"/>
  <c r="AK100" i="88"/>
  <c r="BD100" i="88"/>
  <c r="AR100" i="88"/>
  <c r="AM100" i="88"/>
  <c r="AU100" i="88"/>
  <c r="AI100" i="88"/>
  <c r="AL100" i="88"/>
  <c r="AP100" i="88"/>
  <c r="AV100" i="88"/>
  <c r="BC100" i="88"/>
  <c r="BB100" i="88"/>
  <c r="AJ100" i="88"/>
  <c r="AY100" i="88"/>
  <c r="AX100" i="88"/>
  <c r="BC92" i="88"/>
  <c r="AK92" i="88"/>
  <c r="AP92" i="88"/>
  <c r="AT92" i="88"/>
  <c r="AY92" i="88"/>
  <c r="AV92" i="88"/>
  <c r="AZ92" i="88"/>
  <c r="BD92" i="88"/>
  <c r="AR92" i="88"/>
  <c r="AN92" i="88"/>
  <c r="AU92" i="88"/>
  <c r="AJ92" i="88"/>
  <c r="AL92" i="88"/>
  <c r="AX92" i="88"/>
  <c r="AS92" i="88"/>
  <c r="AO92" i="88"/>
  <c r="AI92" i="88"/>
  <c r="AW92" i="88"/>
  <c r="AM92" i="88"/>
  <c r="BB92" i="88"/>
  <c r="BA92" i="88"/>
  <c r="AQ92" i="88"/>
  <c r="BA84" i="88"/>
  <c r="AI84" i="88"/>
  <c r="AM84" i="88"/>
  <c r="AR84" i="88"/>
  <c r="AO84" i="88"/>
  <c r="AZ84" i="88"/>
  <c r="AV84" i="88"/>
  <c r="BC84" i="88"/>
  <c r="AJ84" i="88"/>
  <c r="AN84" i="88"/>
  <c r="AU84" i="88"/>
  <c r="AY84" i="88"/>
  <c r="AL84" i="88"/>
  <c r="AP84" i="88"/>
  <c r="AK84" i="88"/>
  <c r="BD84" i="88"/>
  <c r="AS84" i="88"/>
  <c r="AQ84" i="88"/>
  <c r="AX84" i="88"/>
  <c r="AW84" i="88"/>
  <c r="BB84" i="88"/>
  <c r="AT84" i="88"/>
  <c r="AX103" i="88"/>
  <c r="AU103" i="88"/>
  <c r="AJ103" i="88"/>
  <c r="AV103" i="88"/>
  <c r="AS103" i="88"/>
  <c r="AY103" i="88"/>
  <c r="AN103" i="88"/>
  <c r="AK103" i="88"/>
  <c r="AP103" i="88"/>
  <c r="BB103" i="88"/>
  <c r="AZ103" i="88"/>
  <c r="AO103" i="88"/>
  <c r="AL103" i="88"/>
  <c r="AI103" i="88"/>
  <c r="AW103" i="88"/>
  <c r="BD103" i="88"/>
  <c r="BC103" i="88"/>
  <c r="AM103" i="88"/>
  <c r="AT103" i="88"/>
  <c r="AR103" i="88"/>
  <c r="BA103" i="88"/>
  <c r="AQ103" i="88"/>
  <c r="AQ91" i="88"/>
  <c r="AN91" i="88"/>
  <c r="AS91" i="88"/>
  <c r="AW91" i="88"/>
  <c r="BB91" i="88"/>
  <c r="AJ91" i="88"/>
  <c r="BD91" i="88"/>
  <c r="AL91" i="88"/>
  <c r="AP91" i="88"/>
  <c r="AK91" i="88"/>
  <c r="AO91" i="88"/>
  <c r="AZ91" i="88"/>
  <c r="AV91" i="88"/>
  <c r="AR91" i="88"/>
  <c r="BC91" i="88"/>
  <c r="AU91" i="88"/>
  <c r="AY91" i="88"/>
  <c r="AM91" i="88"/>
  <c r="AI91" i="88"/>
  <c r="AT91" i="88"/>
  <c r="AX91" i="88"/>
  <c r="BA91" i="88"/>
  <c r="AV81" i="88"/>
  <c r="AO81" i="88"/>
  <c r="BA81" i="88"/>
  <c r="BD81" i="88"/>
  <c r="BC81" i="88"/>
  <c r="AX81" i="88"/>
  <c r="AL81" i="88"/>
  <c r="AK81" i="88"/>
  <c r="AN81" i="88"/>
  <c r="AQ81" i="88"/>
  <c r="AR81" i="88"/>
  <c r="AU81" i="88"/>
  <c r="BB81" i="88"/>
  <c r="AT81" i="88"/>
  <c r="AM81" i="88"/>
  <c r="AP81" i="88"/>
  <c r="AS81" i="88"/>
  <c r="AZ81" i="88"/>
  <c r="AJ81" i="88"/>
  <c r="AY81" i="88"/>
  <c r="AI81" i="88"/>
  <c r="AW81" i="88"/>
  <c r="R17" i="72"/>
  <c r="R17" i="74" s="1"/>
  <c r="S17" i="74" s="1"/>
  <c r="R32" i="72"/>
  <c r="F4" i="5"/>
  <c r="E4" i="5"/>
  <c r="E30" i="5"/>
  <c r="R51" i="73"/>
  <c r="R32" i="74"/>
  <c r="S32" i="74" s="1"/>
  <c r="R51" i="72"/>
  <c r="R32" i="73"/>
  <c r="S32" i="73" s="1"/>
  <c r="P13" i="72"/>
  <c r="P19" i="72"/>
  <c r="P7" i="72"/>
  <c r="P10" i="72"/>
  <c r="P14" i="72"/>
  <c r="P5" i="72"/>
  <c r="P11" i="72"/>
  <c r="P8" i="72"/>
  <c r="P12" i="72"/>
  <c r="P6" i="72"/>
  <c r="P9" i="72"/>
  <c r="P30" i="72"/>
  <c r="P41" i="72"/>
  <c r="P43" i="72"/>
  <c r="P36" i="72"/>
  <c r="P37" i="72"/>
  <c r="P38" i="72"/>
  <c r="P44" i="72"/>
  <c r="P45" i="72"/>
  <c r="P15" i="72"/>
  <c r="P32" i="72"/>
  <c r="P17" i="72"/>
  <c r="P40" i="72"/>
  <c r="P26" i="72"/>
  <c r="P34" i="72"/>
  <c r="P20" i="72"/>
  <c r="P21" i="72"/>
  <c r="P23" i="72"/>
  <c r="P42" i="72"/>
  <c r="P28" i="72"/>
  <c r="P31" i="72"/>
  <c r="P22" i="72"/>
  <c r="P39" i="72"/>
  <c r="P16" i="72"/>
  <c r="P18" i="72"/>
  <c r="P25" i="72"/>
  <c r="P33" i="72"/>
  <c r="P29" i="72"/>
  <c r="P27" i="72"/>
  <c r="P24" i="72"/>
  <c r="P35" i="72"/>
  <c r="S50" i="73"/>
  <c r="S50" i="74"/>
  <c r="S50" i="72"/>
  <c r="S50" i="71"/>
  <c r="S49" i="73"/>
  <c r="S49" i="74"/>
  <c r="S49" i="72"/>
  <c r="S49" i="71"/>
  <c r="AJ18" i="70"/>
  <c r="AJ12" i="70"/>
  <c r="AJ19" i="70"/>
  <c r="AJ24" i="70"/>
  <c r="AJ15" i="70"/>
  <c r="AJ14" i="70"/>
  <c r="AJ17" i="70"/>
  <c r="AJ13" i="70"/>
  <c r="AJ11" i="70"/>
  <c r="AJ10" i="70"/>
  <c r="AJ9" i="70"/>
  <c r="AJ16" i="70"/>
  <c r="U13" i="72"/>
  <c r="U19" i="72"/>
  <c r="U8" i="72"/>
  <c r="U23" i="72"/>
  <c r="U41" i="72"/>
  <c r="U17" i="72"/>
  <c r="U24" i="72"/>
  <c r="U21" i="72"/>
  <c r="U44" i="72"/>
  <c r="U25" i="72"/>
  <c r="L12" i="72"/>
  <c r="L6" i="72"/>
  <c r="L14" i="72"/>
  <c r="L22" i="72"/>
  <c r="L20" i="72"/>
  <c r="L38" i="72"/>
  <c r="L26" i="72"/>
  <c r="L36" i="72"/>
  <c r="L16" i="72"/>
  <c r="L24" i="72"/>
  <c r="Z8" i="72"/>
  <c r="Z27" i="72"/>
  <c r="Z24" i="72"/>
  <c r="Z37" i="72"/>
  <c r="Z32" i="72"/>
  <c r="N77" i="70"/>
  <c r="N77" i="69"/>
  <c r="N77" i="68"/>
  <c r="Q48" i="74"/>
  <c r="Q48" i="73"/>
  <c r="Q48" i="71"/>
  <c r="Q48" i="72"/>
  <c r="AI14" i="70"/>
  <c r="AI16" i="70"/>
  <c r="AI18" i="70"/>
  <c r="AL18" i="70" s="1"/>
  <c r="AI13" i="70"/>
  <c r="AL13" i="70" s="1"/>
  <c r="AI12" i="70"/>
  <c r="AL12" i="70" s="1"/>
  <c r="AI9" i="70"/>
  <c r="AI17" i="70"/>
  <c r="AL17" i="70" s="1"/>
  <c r="AI15" i="70"/>
  <c r="AI11" i="70"/>
  <c r="AL11" i="70" s="1"/>
  <c r="AI24" i="70"/>
  <c r="AI10" i="70"/>
  <c r="AL10" i="70" s="1"/>
  <c r="AI19" i="70"/>
  <c r="D10" i="5"/>
  <c r="T79" i="67" s="1"/>
  <c r="D46" i="5"/>
  <c r="Z69" i="69" l="1"/>
  <c r="Z61" i="69"/>
  <c r="Z53" i="69"/>
  <c r="Z59" i="69"/>
  <c r="Z58" i="69"/>
  <c r="Z11" i="69"/>
  <c r="Z24" i="69"/>
  <c r="Z23" i="69"/>
  <c r="Z14" i="69"/>
  <c r="Z74" i="69"/>
  <c r="Z51" i="69"/>
  <c r="Z15" i="69"/>
  <c r="Z66" i="69"/>
  <c r="Z49" i="69"/>
  <c r="Z12" i="69"/>
  <c r="Z73" i="69"/>
  <c r="Z45" i="69"/>
  <c r="Z7" i="69"/>
  <c r="Z63" i="69"/>
  <c r="Z47" i="69"/>
  <c r="Z42" i="69"/>
  <c r="Z22" i="69"/>
  <c r="Z72" i="69"/>
  <c r="Z43" i="69"/>
  <c r="Z54" i="69"/>
  <c r="Z68" i="69"/>
  <c r="Z39" i="69"/>
  <c r="Z31" i="69"/>
  <c r="Z35" i="69"/>
  <c r="Z34" i="69"/>
  <c r="Z29" i="69"/>
  <c r="Z71" i="69"/>
  <c r="Z25" i="69"/>
  <c r="Z32" i="69"/>
  <c r="Z62" i="69"/>
  <c r="Z16" i="69"/>
  <c r="Z33" i="69"/>
  <c r="Z17" i="69"/>
  <c r="Z56" i="69"/>
  <c r="Z30" i="69"/>
  <c r="Z13" i="69"/>
  <c r="Z8" i="69"/>
  <c r="Z9" i="69"/>
  <c r="Z6" i="69"/>
  <c r="Z64" i="69"/>
  <c r="Z40" i="69"/>
  <c r="Z46" i="69"/>
  <c r="Z44" i="69"/>
  <c r="Z65" i="69"/>
  <c r="Z57" i="69"/>
  <c r="Z41" i="69"/>
  <c r="Z10" i="69"/>
  <c r="Z26" i="69"/>
  <c r="Z52" i="69"/>
  <c r="Z70" i="69"/>
  <c r="Z67" i="69"/>
  <c r="Z38" i="69"/>
  <c r="Z36" i="69"/>
  <c r="Z60" i="69"/>
  <c r="Z20" i="69"/>
  <c r="Z28" i="69"/>
  <c r="Z27" i="69"/>
  <c r="Z18" i="69"/>
  <c r="Z55" i="69"/>
  <c r="Z50" i="69"/>
  <c r="Z19" i="69"/>
  <c r="Z37" i="69"/>
  <c r="Z5" i="69"/>
  <c r="Z76" i="69" s="1"/>
  <c r="Z48" i="69"/>
  <c r="Z21" i="69"/>
  <c r="M89" i="67"/>
  <c r="M95" i="67" s="1"/>
  <c r="R8" i="90"/>
  <c r="R10" i="90"/>
  <c r="O52" i="71"/>
  <c r="AA63" i="69"/>
  <c r="AA47" i="69"/>
  <c r="AA53" i="69"/>
  <c r="AA59" i="69"/>
  <c r="AA34" i="69"/>
  <c r="AA21" i="69"/>
  <c r="AA15" i="69"/>
  <c r="AA19" i="69"/>
  <c r="AA11" i="69"/>
  <c r="AA37" i="69"/>
  <c r="AA6" i="69"/>
  <c r="AA69" i="69"/>
  <c r="AA39" i="69"/>
  <c r="AA45" i="69"/>
  <c r="AA51" i="69"/>
  <c r="AA74" i="69"/>
  <c r="AA18" i="69"/>
  <c r="AA5" i="69"/>
  <c r="AA12" i="69"/>
  <c r="AA30" i="69"/>
  <c r="AA43" i="69"/>
  <c r="AA68" i="69"/>
  <c r="AA32" i="69"/>
  <c r="AA72" i="69"/>
  <c r="AA56" i="69"/>
  <c r="AA70" i="69"/>
  <c r="AA9" i="69"/>
  <c r="AA41" i="69"/>
  <c r="AA73" i="69"/>
  <c r="AA54" i="69"/>
  <c r="AA31" i="69"/>
  <c r="AA35" i="69"/>
  <c r="AA57" i="69"/>
  <c r="AA29" i="69"/>
  <c r="AA17" i="69"/>
  <c r="AA40" i="69"/>
  <c r="AA7" i="69"/>
  <c r="AA46" i="69"/>
  <c r="AA38" i="69"/>
  <c r="AA58" i="69"/>
  <c r="AA48" i="69"/>
  <c r="AA65" i="69"/>
  <c r="AA62" i="69"/>
  <c r="AA60" i="69"/>
  <c r="AA49" i="69"/>
  <c r="AA13" i="69"/>
  <c r="AA10" i="69"/>
  <c r="AA26" i="69"/>
  <c r="AA20" i="69"/>
  <c r="AA67" i="69"/>
  <c r="AA61" i="69"/>
  <c r="AA66" i="69"/>
  <c r="AA44" i="69"/>
  <c r="AA50" i="69"/>
  <c r="AA33" i="69"/>
  <c r="AA28" i="69"/>
  <c r="AA27" i="69"/>
  <c r="AA14" i="69"/>
  <c r="AA71" i="69"/>
  <c r="AA55" i="69"/>
  <c r="AA64" i="69"/>
  <c r="AA36" i="69"/>
  <c r="AA42" i="69"/>
  <c r="AA25" i="69"/>
  <c r="AA24" i="69"/>
  <c r="AA23" i="69"/>
  <c r="AA16" i="69"/>
  <c r="AA8" i="69"/>
  <c r="AA52" i="69"/>
  <c r="AA22" i="69"/>
  <c r="AA77" i="68"/>
  <c r="AA77" i="69"/>
  <c r="AA81" i="69" s="1"/>
  <c r="AA77" i="70"/>
  <c r="AH42" i="68"/>
  <c r="AH42" i="70" s="1"/>
  <c r="AH7" i="68"/>
  <c r="AH7" i="70" s="1"/>
  <c r="AH29" i="68"/>
  <c r="AH29" i="70" s="1"/>
  <c r="AH60" i="68"/>
  <c r="AH60" i="70" s="1"/>
  <c r="AH72" i="68"/>
  <c r="AH72" i="70" s="1"/>
  <c r="AH58" i="68"/>
  <c r="AH58" i="70" s="1"/>
  <c r="AH51" i="68"/>
  <c r="AH51" i="70" s="1"/>
  <c r="AH64" i="68"/>
  <c r="AH64" i="70" s="1"/>
  <c r="AH40" i="68"/>
  <c r="AH40" i="70" s="1"/>
  <c r="AH69" i="68"/>
  <c r="AH69" i="70" s="1"/>
  <c r="AH38" i="68"/>
  <c r="AH38" i="70" s="1"/>
  <c r="AH34" i="68"/>
  <c r="AH34" i="70" s="1"/>
  <c r="AH23" i="68"/>
  <c r="AH23" i="70" s="1"/>
  <c r="AH70" i="68"/>
  <c r="AH70" i="70" s="1"/>
  <c r="AH57" i="68"/>
  <c r="AH57" i="70" s="1"/>
  <c r="AH45" i="68"/>
  <c r="AH45" i="70" s="1"/>
  <c r="AH56" i="68"/>
  <c r="AH56" i="70" s="1"/>
  <c r="AH30" i="68"/>
  <c r="AH30" i="70" s="1"/>
  <c r="AH71" i="68"/>
  <c r="AH71" i="70" s="1"/>
  <c r="AH49" i="68"/>
  <c r="AH49" i="70" s="1"/>
  <c r="AH25" i="68"/>
  <c r="AH25" i="70" s="1"/>
  <c r="AH59" i="68"/>
  <c r="AH59" i="70" s="1"/>
  <c r="AH28" i="68"/>
  <c r="AH28" i="70" s="1"/>
  <c r="AH62" i="68"/>
  <c r="AH62" i="70" s="1"/>
  <c r="AH35" i="68"/>
  <c r="AH35" i="70" s="1"/>
  <c r="AH26" i="68"/>
  <c r="AH26" i="70" s="1"/>
  <c r="AH5" i="68"/>
  <c r="AH5" i="70" s="1"/>
  <c r="AH73" i="68"/>
  <c r="AH73" i="70" s="1"/>
  <c r="AH55" i="68"/>
  <c r="AH55" i="70" s="1"/>
  <c r="AH44" i="68"/>
  <c r="AH44" i="70" s="1"/>
  <c r="AH66" i="68"/>
  <c r="AH66" i="70" s="1"/>
  <c r="AH31" i="68"/>
  <c r="AH31" i="70" s="1"/>
  <c r="AH36" i="68"/>
  <c r="AH36" i="70" s="1"/>
  <c r="AH50" i="68"/>
  <c r="AH50" i="70" s="1"/>
  <c r="AH27" i="68"/>
  <c r="AH27" i="70" s="1"/>
  <c r="AH48" i="68"/>
  <c r="AH48" i="70" s="1"/>
  <c r="AH20" i="68"/>
  <c r="AH20" i="70" s="1"/>
  <c r="AH67" i="68"/>
  <c r="AH67" i="70" s="1"/>
  <c r="AH52" i="68"/>
  <c r="AH52" i="70" s="1"/>
  <c r="AH74" i="68"/>
  <c r="AH74" i="70" s="1"/>
  <c r="AH43" i="68"/>
  <c r="AH43" i="70" s="1"/>
  <c r="AH41" i="68"/>
  <c r="AH41" i="70" s="1"/>
  <c r="AH37" i="68"/>
  <c r="AH37" i="70" s="1"/>
  <c r="AH22" i="68"/>
  <c r="AH22" i="70" s="1"/>
  <c r="AH68" i="68"/>
  <c r="AH68" i="70" s="1"/>
  <c r="AH61" i="68"/>
  <c r="AH61" i="70" s="1"/>
  <c r="AH54" i="68"/>
  <c r="AH54" i="70" s="1"/>
  <c r="AH39" i="68"/>
  <c r="AH39" i="70" s="1"/>
  <c r="AH21" i="68"/>
  <c r="AH21" i="70" s="1"/>
  <c r="AH33" i="68"/>
  <c r="AH33" i="70" s="1"/>
  <c r="AH32" i="68"/>
  <c r="AH32" i="70" s="1"/>
  <c r="AH46" i="68"/>
  <c r="AH46" i="70" s="1"/>
  <c r="AH63" i="68"/>
  <c r="AH63" i="70" s="1"/>
  <c r="AH47" i="68"/>
  <c r="AH47" i="70" s="1"/>
  <c r="AH8" i="68"/>
  <c r="AH8" i="70" s="1"/>
  <c r="AH53" i="68"/>
  <c r="AH53" i="70" s="1"/>
  <c r="AH6" i="68"/>
  <c r="AH6" i="70" s="1"/>
  <c r="AH65" i="68"/>
  <c r="AH65" i="70" s="1"/>
  <c r="J8" i="91"/>
  <c r="J10" i="91"/>
  <c r="J6" i="91"/>
  <c r="AT133" i="88"/>
  <c r="AY133" i="88"/>
  <c r="AV133" i="88"/>
  <c r="AM133" i="88"/>
  <c r="AJ133" i="88"/>
  <c r="AN133" i="88"/>
  <c r="BB133" i="88"/>
  <c r="AQ133" i="88"/>
  <c r="AL133" i="88"/>
  <c r="AI133" i="88"/>
  <c r="AK133" i="88"/>
  <c r="AW133" i="88"/>
  <c r="AU133" i="88"/>
  <c r="AR133" i="88"/>
  <c r="BD133" i="88"/>
  <c r="BC133" i="88"/>
  <c r="BA133" i="88"/>
  <c r="AS133" i="88"/>
  <c r="AZ133" i="88"/>
  <c r="AX133" i="88"/>
  <c r="AP133" i="88"/>
  <c r="AO133" i="88"/>
  <c r="Z45" i="72"/>
  <c r="Z31" i="72"/>
  <c r="Z41" i="72"/>
  <c r="Z36" i="72"/>
  <c r="Z12" i="72"/>
  <c r="Z13" i="72"/>
  <c r="L35" i="72"/>
  <c r="L44" i="72"/>
  <c r="L17" i="72"/>
  <c r="L25" i="72"/>
  <c r="L9" i="72"/>
  <c r="U18" i="72"/>
  <c r="U34" i="72"/>
  <c r="U35" i="72"/>
  <c r="U32" i="72"/>
  <c r="U7" i="72"/>
  <c r="R17" i="73"/>
  <c r="S17" i="73" s="1"/>
  <c r="I10" i="90"/>
  <c r="AX141" i="88"/>
  <c r="AU141" i="88"/>
  <c r="AW141" i="88"/>
  <c r="AT141" i="88"/>
  <c r="AZ141" i="88"/>
  <c r="AO141" i="88"/>
  <c r="AL141" i="88"/>
  <c r="AR141" i="88"/>
  <c r="BD141" i="88"/>
  <c r="BA141" i="88"/>
  <c r="AQ141" i="88"/>
  <c r="BC141" i="88"/>
  <c r="AP141" i="88"/>
  <c r="BB141" i="88"/>
  <c r="AJ141" i="88"/>
  <c r="AY141" i="88"/>
  <c r="AI141" i="88"/>
  <c r="AV141" i="88"/>
  <c r="AN141" i="88"/>
  <c r="AM141" i="88"/>
  <c r="AS141" i="88"/>
  <c r="AK141" i="88"/>
  <c r="N8" i="90"/>
  <c r="N10" i="90"/>
  <c r="C8" i="90"/>
  <c r="C10" i="90"/>
  <c r="BC106" i="88"/>
  <c r="AK106" i="88"/>
  <c r="AX106" i="88"/>
  <c r="BD106" i="88"/>
  <c r="BA106" i="88"/>
  <c r="AI106" i="88"/>
  <c r="AM106" i="88"/>
  <c r="AR106" i="88"/>
  <c r="AT106" i="88"/>
  <c r="AY106" i="88"/>
  <c r="R6" i="90" s="1"/>
  <c r="AL106" i="88"/>
  <c r="AO106" i="88"/>
  <c r="AS106" i="88"/>
  <c r="AB106" i="88"/>
  <c r="AZ106" i="88"/>
  <c r="AV106" i="88"/>
  <c r="AJ106" i="88"/>
  <c r="C6" i="90" s="1"/>
  <c r="AN106" i="88"/>
  <c r="AQ106" i="88"/>
  <c r="AU106" i="88"/>
  <c r="N6" i="90" s="1"/>
  <c r="AP106" i="88"/>
  <c r="BB106" i="88"/>
  <c r="AW106" i="88"/>
  <c r="P51" i="72"/>
  <c r="P51" i="73"/>
  <c r="N52" i="71"/>
  <c r="AC78" i="67"/>
  <c r="Q78" i="67"/>
  <c r="Q83" i="67" s="1"/>
  <c r="M57" i="67"/>
  <c r="M47" i="67"/>
  <c r="M71" i="67"/>
  <c r="M42" i="67"/>
  <c r="E8" i="91"/>
  <c r="E10" i="91"/>
  <c r="E6" i="91"/>
  <c r="M34" i="67"/>
  <c r="O51" i="72"/>
  <c r="O51" i="73"/>
  <c r="P51" i="68"/>
  <c r="P51" i="70" s="1"/>
  <c r="P49" i="68"/>
  <c r="P49" i="70" s="1"/>
  <c r="P30" i="68"/>
  <c r="P30" i="70" s="1"/>
  <c r="P25" i="68"/>
  <c r="P25" i="70" s="1"/>
  <c r="P31" i="68"/>
  <c r="P31" i="70" s="1"/>
  <c r="P60" i="68"/>
  <c r="P60" i="70" s="1"/>
  <c r="P54" i="68"/>
  <c r="P54" i="70" s="1"/>
  <c r="P73" i="68"/>
  <c r="P73" i="70" s="1"/>
  <c r="P53" i="68"/>
  <c r="P53" i="70" s="1"/>
  <c r="P41" i="68"/>
  <c r="P41" i="70" s="1"/>
  <c r="P71" i="68"/>
  <c r="P71" i="70" s="1"/>
  <c r="P45" i="68"/>
  <c r="P45" i="70" s="1"/>
  <c r="P27" i="68"/>
  <c r="P27" i="70" s="1"/>
  <c r="P58" i="68"/>
  <c r="P58" i="70" s="1"/>
  <c r="P43" i="68"/>
  <c r="P43" i="70" s="1"/>
  <c r="P21" i="68"/>
  <c r="P21" i="70" s="1"/>
  <c r="P22" i="68"/>
  <c r="P22" i="70" s="1"/>
  <c r="P20" i="68"/>
  <c r="P20" i="70" s="1"/>
  <c r="P62" i="68"/>
  <c r="P62" i="70" s="1"/>
  <c r="P44" i="68"/>
  <c r="P44" i="70" s="1"/>
  <c r="P70" i="68"/>
  <c r="P70" i="70" s="1"/>
  <c r="P39" i="68"/>
  <c r="P39" i="70" s="1"/>
  <c r="P52" i="68"/>
  <c r="P52" i="70" s="1"/>
  <c r="P6" i="68"/>
  <c r="P6" i="70" s="1"/>
  <c r="P32" i="68"/>
  <c r="P32" i="70" s="1"/>
  <c r="P7" i="68"/>
  <c r="P7" i="70" s="1"/>
  <c r="P64" i="68"/>
  <c r="P64" i="70" s="1"/>
  <c r="P65" i="68"/>
  <c r="P65" i="70" s="1"/>
  <c r="P50" i="68"/>
  <c r="P50" i="70" s="1"/>
  <c r="P48" i="68"/>
  <c r="P48" i="70" s="1"/>
  <c r="P28" i="68"/>
  <c r="P28" i="70" s="1"/>
  <c r="P66" i="68"/>
  <c r="P66" i="70" s="1"/>
  <c r="P59" i="68"/>
  <c r="P59" i="70" s="1"/>
  <c r="P33" i="68"/>
  <c r="P33" i="70" s="1"/>
  <c r="P37" i="68"/>
  <c r="P37" i="70" s="1"/>
  <c r="P68" i="68"/>
  <c r="P68" i="70" s="1"/>
  <c r="P46" i="68"/>
  <c r="P46" i="70" s="1"/>
  <c r="P61" i="68"/>
  <c r="P61" i="70" s="1"/>
  <c r="P42" i="68"/>
  <c r="P42" i="70" s="1"/>
  <c r="P40" i="68"/>
  <c r="P40" i="70" s="1"/>
  <c r="P29" i="68"/>
  <c r="P29" i="70" s="1"/>
  <c r="P8" i="68"/>
  <c r="P8" i="70" s="1"/>
  <c r="P56" i="68"/>
  <c r="P56" i="70" s="1"/>
  <c r="P72" i="68"/>
  <c r="P72" i="70" s="1"/>
  <c r="P67" i="68"/>
  <c r="P67" i="70" s="1"/>
  <c r="P38" i="68"/>
  <c r="P38" i="70" s="1"/>
  <c r="P34" i="68"/>
  <c r="P34" i="70" s="1"/>
  <c r="P23" i="68"/>
  <c r="P23" i="70" s="1"/>
  <c r="P35" i="68"/>
  <c r="P35" i="70" s="1"/>
  <c r="P74" i="68"/>
  <c r="P74" i="70" s="1"/>
  <c r="P69" i="68"/>
  <c r="P69" i="70" s="1"/>
  <c r="P55" i="68"/>
  <c r="P55" i="70" s="1"/>
  <c r="P47" i="68"/>
  <c r="P47" i="70" s="1"/>
  <c r="P26" i="68"/>
  <c r="P26" i="70" s="1"/>
  <c r="P5" i="68"/>
  <c r="P5" i="70" s="1"/>
  <c r="P57" i="68"/>
  <c r="P57" i="70" s="1"/>
  <c r="P36" i="68"/>
  <c r="P36" i="70" s="1"/>
  <c r="P63" i="68"/>
  <c r="P63" i="70" s="1"/>
  <c r="AM113" i="88"/>
  <c r="AR113" i="88"/>
  <c r="AU113" i="88"/>
  <c r="AQ113" i="88"/>
  <c r="AK113" i="88"/>
  <c r="AY113" i="88"/>
  <c r="AZ113" i="88"/>
  <c r="AO113" i="88"/>
  <c r="AX113" i="88"/>
  <c r="AI113" i="88"/>
  <c r="BA113" i="88"/>
  <c r="T6" i="90" s="1"/>
  <c r="AV113" i="88"/>
  <c r="AS113" i="88"/>
  <c r="AP113" i="88"/>
  <c r="AW113" i="88"/>
  <c r="BD113" i="88"/>
  <c r="BC113" i="88"/>
  <c r="AN113" i="88"/>
  <c r="BB113" i="88"/>
  <c r="AJ113" i="88"/>
  <c r="AT113" i="88"/>
  <c r="AL113" i="88"/>
  <c r="Z22" i="72"/>
  <c r="AK117" i="88"/>
  <c r="AT117" i="88"/>
  <c r="AP117" i="88"/>
  <c r="AW117" i="88"/>
  <c r="AY117" i="88"/>
  <c r="AJ117" i="88"/>
  <c r="AO117" i="88"/>
  <c r="AI117" i="88"/>
  <c r="BD117" i="88"/>
  <c r="AX117" i="88"/>
  <c r="AM117" i="88"/>
  <c r="AQ117" i="88"/>
  <c r="AS117" i="88"/>
  <c r="AL117" i="88"/>
  <c r="AZ117" i="88"/>
  <c r="AN117" i="88"/>
  <c r="BA117" i="88"/>
  <c r="BC117" i="88"/>
  <c r="AU117" i="88"/>
  <c r="BB117" i="88"/>
  <c r="AV117" i="88"/>
  <c r="AR117" i="88"/>
  <c r="F8" i="90"/>
  <c r="F10" i="90"/>
  <c r="AH76" i="68"/>
  <c r="AH81" i="68" s="1"/>
  <c r="AH72" i="69" s="1"/>
  <c r="AD72" i="88" s="1"/>
  <c r="AD147" i="88" s="1"/>
  <c r="Z20" i="72"/>
  <c r="Z17" i="72"/>
  <c r="Z35" i="72"/>
  <c r="Z38" i="72"/>
  <c r="Z11" i="72"/>
  <c r="L15" i="72"/>
  <c r="L45" i="72"/>
  <c r="L18" i="72"/>
  <c r="L5" i="72"/>
  <c r="L8" i="72"/>
  <c r="U16" i="72"/>
  <c r="U38" i="72"/>
  <c r="U40" i="72"/>
  <c r="U11" i="72"/>
  <c r="U9" i="72"/>
  <c r="F6" i="91"/>
  <c r="G8" i="90"/>
  <c r="G10" i="90"/>
  <c r="V8" i="90"/>
  <c r="V10" i="90"/>
  <c r="T8" i="90"/>
  <c r="T10" i="90"/>
  <c r="T51" i="72"/>
  <c r="T51" i="73"/>
  <c r="V52" i="71"/>
  <c r="AF76" i="68"/>
  <c r="V78" i="67"/>
  <c r="Y79" i="67" s="1"/>
  <c r="Y78" i="67"/>
  <c r="M61" i="67"/>
  <c r="M40" i="67"/>
  <c r="M58" i="67"/>
  <c r="M52" i="67"/>
  <c r="M65" i="67"/>
  <c r="G8" i="91"/>
  <c r="G6" i="91"/>
  <c r="G10" i="91"/>
  <c r="B8" i="91"/>
  <c r="B10" i="91"/>
  <c r="B6" i="91"/>
  <c r="M23" i="67"/>
  <c r="M28" i="67"/>
  <c r="X59" i="68"/>
  <c r="X59" i="70" s="1"/>
  <c r="X62" i="68"/>
  <c r="X62" i="70" s="1"/>
  <c r="X61" i="68"/>
  <c r="X61" i="70" s="1"/>
  <c r="X34" i="68"/>
  <c r="X34" i="70" s="1"/>
  <c r="X40" i="68"/>
  <c r="X40" i="70" s="1"/>
  <c r="X36" i="68"/>
  <c r="X36" i="70" s="1"/>
  <c r="X60" i="68"/>
  <c r="X60" i="70" s="1"/>
  <c r="X58" i="68"/>
  <c r="X58" i="70" s="1"/>
  <c r="X32" i="68"/>
  <c r="X32" i="70" s="1"/>
  <c r="X54" i="68"/>
  <c r="X54" i="70" s="1"/>
  <c r="X31" i="68"/>
  <c r="X31" i="70" s="1"/>
  <c r="X70" i="68"/>
  <c r="X70" i="70" s="1"/>
  <c r="X30" i="68"/>
  <c r="X30" i="70" s="1"/>
  <c r="X52" i="68"/>
  <c r="X52" i="70" s="1"/>
  <c r="X51" i="68"/>
  <c r="X51" i="70" s="1"/>
  <c r="X33" i="68"/>
  <c r="X33" i="70" s="1"/>
  <c r="X39" i="68"/>
  <c r="X39" i="70" s="1"/>
  <c r="X68" i="68"/>
  <c r="X68" i="70" s="1"/>
  <c r="X53" i="68"/>
  <c r="X53" i="70" s="1"/>
  <c r="X28" i="68"/>
  <c r="X28" i="70" s="1"/>
  <c r="X71" i="68"/>
  <c r="X71" i="70" s="1"/>
  <c r="X47" i="68"/>
  <c r="X47" i="70" s="1"/>
  <c r="X50" i="68"/>
  <c r="X50" i="70" s="1"/>
  <c r="X49" i="68"/>
  <c r="X49" i="70" s="1"/>
  <c r="X20" i="68"/>
  <c r="X20" i="70" s="1"/>
  <c r="X29" i="68"/>
  <c r="X29" i="70" s="1"/>
  <c r="X22" i="68"/>
  <c r="X22" i="70" s="1"/>
  <c r="X44" i="68"/>
  <c r="X44" i="70" s="1"/>
  <c r="X43" i="68"/>
  <c r="X43" i="70" s="1"/>
  <c r="X46" i="68"/>
  <c r="X46" i="70" s="1"/>
  <c r="X6" i="68"/>
  <c r="X6" i="70" s="1"/>
  <c r="X8" i="68"/>
  <c r="X8" i="70" s="1"/>
  <c r="X25" i="68"/>
  <c r="X25" i="70" s="1"/>
  <c r="X74" i="68"/>
  <c r="X74" i="70" s="1"/>
  <c r="X45" i="68"/>
  <c r="X45" i="70" s="1"/>
  <c r="X23" i="68"/>
  <c r="X23" i="70" s="1"/>
  <c r="X42" i="68"/>
  <c r="X42" i="70" s="1"/>
  <c r="X41" i="68"/>
  <c r="X41" i="70" s="1"/>
  <c r="X67" i="68"/>
  <c r="X67" i="70" s="1"/>
  <c r="X73" i="68"/>
  <c r="X73" i="70" s="1"/>
  <c r="X69" i="68"/>
  <c r="X69" i="70" s="1"/>
  <c r="X21" i="68"/>
  <c r="X21" i="70" s="1"/>
  <c r="X56" i="68"/>
  <c r="X56" i="70" s="1"/>
  <c r="X5" i="68"/>
  <c r="X35" i="68"/>
  <c r="X35" i="70" s="1"/>
  <c r="X63" i="68"/>
  <c r="X63" i="70" s="1"/>
  <c r="X66" i="68"/>
  <c r="X66" i="70" s="1"/>
  <c r="X65" i="68"/>
  <c r="X65" i="70" s="1"/>
  <c r="X7" i="68"/>
  <c r="X7" i="70" s="1"/>
  <c r="X48" i="68"/>
  <c r="X48" i="70" s="1"/>
  <c r="X38" i="68"/>
  <c r="X38" i="70" s="1"/>
  <c r="X27" i="68"/>
  <c r="X27" i="70" s="1"/>
  <c r="X55" i="68"/>
  <c r="X55" i="70" s="1"/>
  <c r="X57" i="68"/>
  <c r="X57" i="70" s="1"/>
  <c r="X37" i="68"/>
  <c r="X37" i="70" s="1"/>
  <c r="X72" i="68"/>
  <c r="X72" i="70" s="1"/>
  <c r="X26" i="68"/>
  <c r="X26" i="70" s="1"/>
  <c r="X64" i="68"/>
  <c r="X64" i="70" s="1"/>
  <c r="C8" i="91"/>
  <c r="C6" i="91"/>
  <c r="C10" i="91"/>
  <c r="BC122" i="88"/>
  <c r="AK122" i="88"/>
  <c r="AX122" i="88"/>
  <c r="AO122" i="88"/>
  <c r="AT122" i="88"/>
  <c r="AQ122" i="88"/>
  <c r="AN122" i="88"/>
  <c r="AZ122" i="88"/>
  <c r="AM122" i="88"/>
  <c r="AJ122" i="88"/>
  <c r="AU122" i="88"/>
  <c r="R122" i="88"/>
  <c r="BB122" i="88"/>
  <c r="AP122" i="88"/>
  <c r="AL122" i="88"/>
  <c r="BA122" i="88"/>
  <c r="AW122" i="88"/>
  <c r="AS122" i="88"/>
  <c r="P122" i="88"/>
  <c r="AR122" i="88"/>
  <c r="BD122" i="88"/>
  <c r="AY122" i="88"/>
  <c r="AV122" i="88"/>
  <c r="AI122" i="88"/>
  <c r="AL14" i="70"/>
  <c r="AL15" i="70"/>
  <c r="Z42" i="72"/>
  <c r="Z23" i="72"/>
  <c r="Z33" i="72"/>
  <c r="Z30" i="72"/>
  <c r="Z14" i="72"/>
  <c r="L37" i="72"/>
  <c r="L31" i="72"/>
  <c r="L40" i="72"/>
  <c r="L41" i="72"/>
  <c r="L10" i="72"/>
  <c r="L11" i="72"/>
  <c r="U36" i="72"/>
  <c r="U45" i="72"/>
  <c r="U31" i="72"/>
  <c r="U37" i="72"/>
  <c r="U6" i="72"/>
  <c r="BC142" i="88"/>
  <c r="AK142" i="88"/>
  <c r="AP142" i="88"/>
  <c r="AT142" i="88"/>
  <c r="AQ142" i="88"/>
  <c r="AL142" i="88"/>
  <c r="AI142" i="88"/>
  <c r="AN142" i="88"/>
  <c r="AZ142" i="88"/>
  <c r="AO142" i="88"/>
  <c r="AM142" i="88"/>
  <c r="AJ142" i="88"/>
  <c r="AV142" i="88"/>
  <c r="AW142" i="88"/>
  <c r="AU142" i="88"/>
  <c r="BB142" i="88"/>
  <c r="BA142" i="88"/>
  <c r="AS142" i="88"/>
  <c r="AR142" i="88"/>
  <c r="AY142" i="88"/>
  <c r="BD142" i="88"/>
  <c r="AX142" i="88"/>
  <c r="W8" i="90"/>
  <c r="W10" i="90"/>
  <c r="U8" i="90"/>
  <c r="U10" i="90"/>
  <c r="D8" i="90"/>
  <c r="D10" i="90"/>
  <c r="T52" i="71"/>
  <c r="AG76" i="68"/>
  <c r="L78" i="67"/>
  <c r="L83" i="67" s="1"/>
  <c r="AA78" i="67"/>
  <c r="M72" i="67"/>
  <c r="M62" i="67"/>
  <c r="M49" i="67"/>
  <c r="M67" i="67"/>
  <c r="L8" i="91"/>
  <c r="L6" i="91"/>
  <c r="L10" i="91"/>
  <c r="F8" i="91"/>
  <c r="F10" i="91"/>
  <c r="M22" i="67"/>
  <c r="M7" i="67"/>
  <c r="M37" i="67"/>
  <c r="AS125" i="88"/>
  <c r="R125" i="88"/>
  <c r="AU125" i="88"/>
  <c r="AJ125" i="88"/>
  <c r="P125" i="88"/>
  <c r="BC125" i="88"/>
  <c r="BA125" i="88"/>
  <c r="AV125" i="88"/>
  <c r="AY125" i="88"/>
  <c r="AQ125" i="88"/>
  <c r="AN125" i="88"/>
  <c r="AK125" i="88"/>
  <c r="AP125" i="88"/>
  <c r="AL125" i="88"/>
  <c r="AR125" i="88"/>
  <c r="AO125" i="88"/>
  <c r="AT125" i="88"/>
  <c r="AW125" i="88"/>
  <c r="BD125" i="88"/>
  <c r="BB125" i="88"/>
  <c r="AI125" i="88"/>
  <c r="AZ125" i="88"/>
  <c r="AX125" i="88"/>
  <c r="AM125" i="88"/>
  <c r="Q8" i="90"/>
  <c r="Q10" i="90"/>
  <c r="Z25" i="72"/>
  <c r="O8" i="90"/>
  <c r="O10" i="90"/>
  <c r="Z16" i="72"/>
  <c r="Z29" i="72"/>
  <c r="Z15" i="72"/>
  <c r="Z21" i="72"/>
  <c r="Z7" i="72"/>
  <c r="L29" i="72"/>
  <c r="L42" i="72"/>
  <c r="L21" i="72"/>
  <c r="L30" i="72"/>
  <c r="L7" i="72"/>
  <c r="U22" i="72"/>
  <c r="U42" i="72"/>
  <c r="U26" i="72"/>
  <c r="U43" i="72"/>
  <c r="U5" i="72"/>
  <c r="U12" i="72"/>
  <c r="P8" i="90"/>
  <c r="P10" i="90"/>
  <c r="L8" i="90"/>
  <c r="L10" i="90"/>
  <c r="B8" i="90"/>
  <c r="B10" i="90"/>
  <c r="M14" i="72"/>
  <c r="M16" i="72"/>
  <c r="M21" i="72"/>
  <c r="M22" i="72"/>
  <c r="M25" i="72"/>
  <c r="M35" i="72"/>
  <c r="M12" i="72"/>
  <c r="M5" i="72"/>
  <c r="M34" i="72"/>
  <c r="M30" i="72"/>
  <c r="M11" i="72"/>
  <c r="M40" i="72"/>
  <c r="M28" i="72"/>
  <c r="M6" i="72"/>
  <c r="M24" i="72"/>
  <c r="M9" i="72"/>
  <c r="M8" i="72"/>
  <c r="M42" i="72"/>
  <c r="M23" i="72"/>
  <c r="M38" i="72"/>
  <c r="M13" i="72"/>
  <c r="M18" i="72"/>
  <c r="M45" i="72"/>
  <c r="M27" i="72"/>
  <c r="M15" i="72"/>
  <c r="M37" i="72"/>
  <c r="M41" i="72"/>
  <c r="M33" i="72"/>
  <c r="M20" i="72"/>
  <c r="M7" i="72"/>
  <c r="M26" i="72"/>
  <c r="M32" i="72"/>
  <c r="M36" i="72"/>
  <c r="M31" i="72"/>
  <c r="M10" i="72"/>
  <c r="M39" i="72"/>
  <c r="M43" i="72"/>
  <c r="M44" i="72"/>
  <c r="M17" i="72"/>
  <c r="M29" i="72"/>
  <c r="M19" i="72"/>
  <c r="V51" i="72"/>
  <c r="V51" i="73"/>
  <c r="R9" i="72"/>
  <c r="R42" i="72"/>
  <c r="R22" i="72"/>
  <c r="R36" i="72"/>
  <c r="R18" i="72"/>
  <c r="R14" i="72"/>
  <c r="R35" i="72"/>
  <c r="R10" i="72"/>
  <c r="R23" i="72"/>
  <c r="R19" i="72"/>
  <c r="R28" i="72"/>
  <c r="R33" i="72"/>
  <c r="R5" i="72"/>
  <c r="R7" i="72"/>
  <c r="R21" i="72"/>
  <c r="R39" i="72"/>
  <c r="R30" i="72"/>
  <c r="R11" i="72"/>
  <c r="R15" i="72"/>
  <c r="R41" i="72"/>
  <c r="R8" i="72"/>
  <c r="R26" i="72"/>
  <c r="R12" i="72"/>
  <c r="R20" i="72"/>
  <c r="R44" i="72"/>
  <c r="R37" i="72"/>
  <c r="R34" i="72"/>
  <c r="R24" i="72"/>
  <c r="R16" i="72"/>
  <c r="R6" i="72"/>
  <c r="R27" i="72"/>
  <c r="R29" i="72"/>
  <c r="R43" i="72"/>
  <c r="R13" i="72"/>
  <c r="R40" i="72"/>
  <c r="R38" i="72"/>
  <c r="R45" i="72"/>
  <c r="R25" i="72"/>
  <c r="R31" i="72"/>
  <c r="M51" i="73"/>
  <c r="M51" i="72"/>
  <c r="AI78" i="67"/>
  <c r="AI83" i="67" s="1"/>
  <c r="R78" i="67"/>
  <c r="R83" i="67" s="1"/>
  <c r="S78" i="67"/>
  <c r="S83" i="67" s="1"/>
  <c r="M55" i="67"/>
  <c r="M45" i="67"/>
  <c r="M60" i="67"/>
  <c r="M69" i="67"/>
  <c r="D8" i="91"/>
  <c r="D6" i="91"/>
  <c r="D10" i="91"/>
  <c r="M8" i="67"/>
  <c r="E8" i="90"/>
  <c r="E10" i="90"/>
  <c r="Z18" i="72"/>
  <c r="P76" i="68"/>
  <c r="P81" i="68" s="1"/>
  <c r="P28" i="69" s="1"/>
  <c r="P28" i="88" s="1"/>
  <c r="P103" i="88" s="1"/>
  <c r="Z34" i="72"/>
  <c r="Z40" i="72"/>
  <c r="Z44" i="72"/>
  <c r="Z9" i="72"/>
  <c r="Z10" i="72"/>
  <c r="L43" i="72"/>
  <c r="L23" i="72"/>
  <c r="L28" i="72"/>
  <c r="L33" i="72"/>
  <c r="L19" i="72"/>
  <c r="U30" i="72"/>
  <c r="U29" i="72"/>
  <c r="U39" i="72"/>
  <c r="U27" i="72"/>
  <c r="U14" i="72"/>
  <c r="S8" i="90"/>
  <c r="S10" i="90"/>
  <c r="K8" i="90"/>
  <c r="K10" i="90"/>
  <c r="I8" i="90"/>
  <c r="U51" i="72"/>
  <c r="U51" i="73"/>
  <c r="N51" i="72"/>
  <c r="N51" i="73"/>
  <c r="U78" i="67"/>
  <c r="U83" i="67" s="1"/>
  <c r="W78" i="67"/>
  <c r="W83" i="67" s="1"/>
  <c r="AF78" i="67"/>
  <c r="AF83" i="67" s="1"/>
  <c r="Z77" i="70"/>
  <c r="Z77" i="68"/>
  <c r="Z77" i="69"/>
  <c r="Z81" i="69" s="1"/>
  <c r="M46" i="67"/>
  <c r="M53" i="67"/>
  <c r="M54" i="67"/>
  <c r="M48" i="67"/>
  <c r="H8" i="91"/>
  <c r="H6" i="91"/>
  <c r="H10" i="91"/>
  <c r="AS121" i="88"/>
  <c r="R121" i="88"/>
  <c r="AN121" i="88"/>
  <c r="AZ121" i="88"/>
  <c r="AW121" i="88"/>
  <c r="BB121" i="88"/>
  <c r="AQ121" i="88"/>
  <c r="AV121" i="88"/>
  <c r="BA121" i="88"/>
  <c r="AX121" i="88"/>
  <c r="AU121" i="88"/>
  <c r="AJ121" i="88"/>
  <c r="AM121" i="88"/>
  <c r="AY121" i="88"/>
  <c r="AT121" i="88"/>
  <c r="AI121" i="88"/>
  <c r="AL121" i="88"/>
  <c r="AP121" i="88"/>
  <c r="AO121" i="88"/>
  <c r="H6" i="90" s="1"/>
  <c r="P121" i="88"/>
  <c r="AK121" i="88"/>
  <c r="BD121" i="88"/>
  <c r="AR121" i="88"/>
  <c r="K6" i="90" s="1"/>
  <c r="BC121" i="88"/>
  <c r="AO120" i="88"/>
  <c r="BB120" i="88"/>
  <c r="U6" i="90" s="1"/>
  <c r="AJ120" i="88"/>
  <c r="BD120" i="88"/>
  <c r="W6" i="90" s="1"/>
  <c r="BA120" i="88"/>
  <c r="R120" i="88"/>
  <c r="AU120" i="88"/>
  <c r="AR120" i="88"/>
  <c r="AW120" i="88"/>
  <c r="P6" i="90" s="1"/>
  <c r="AT120" i="88"/>
  <c r="AQ120" i="88"/>
  <c r="J6" i="90" s="1"/>
  <c r="BC120" i="88"/>
  <c r="V6" i="90" s="1"/>
  <c r="AX120" i="88"/>
  <c r="Q6" i="90" s="1"/>
  <c r="AM120" i="88"/>
  <c r="F6" i="90" s="1"/>
  <c r="AP120" i="88"/>
  <c r="I6" i="90" s="1"/>
  <c r="AL120" i="88"/>
  <c r="E6" i="90" s="1"/>
  <c r="AS120" i="88"/>
  <c r="L6" i="90" s="1"/>
  <c r="AK120" i="88"/>
  <c r="D6" i="90" s="1"/>
  <c r="P120" i="88"/>
  <c r="AZ120" i="88"/>
  <c r="S6" i="90" s="1"/>
  <c r="AV120" i="88"/>
  <c r="O6" i="90" s="1"/>
  <c r="AY120" i="88"/>
  <c r="AN120" i="88"/>
  <c r="G6" i="90" s="1"/>
  <c r="AI120" i="88"/>
  <c r="AM144" i="88"/>
  <c r="AR144" i="88"/>
  <c r="AO144" i="88"/>
  <c r="AL144" i="88"/>
  <c r="AI144" i="88"/>
  <c r="BC144" i="88"/>
  <c r="AZ144" i="88"/>
  <c r="BB144" i="88"/>
  <c r="AY144" i="88"/>
  <c r="AK144" i="88"/>
  <c r="BD144" i="88"/>
  <c r="AJ144" i="88"/>
  <c r="AV144" i="88"/>
  <c r="AQ144" i="88"/>
  <c r="AN144" i="88"/>
  <c r="AX144" i="88"/>
  <c r="AU144" i="88"/>
  <c r="AP144" i="88"/>
  <c r="AT144" i="88"/>
  <c r="AW144" i="88"/>
  <c r="BA144" i="88"/>
  <c r="AS144" i="88"/>
  <c r="AI140" i="88"/>
  <c r="BC140" i="88"/>
  <c r="AK140" i="88"/>
  <c r="AQ140" i="88"/>
  <c r="AU140" i="88"/>
  <c r="AR140" i="88"/>
  <c r="AX140" i="88"/>
  <c r="AM140" i="88"/>
  <c r="AJ140" i="88"/>
  <c r="AP140" i="88"/>
  <c r="BB140" i="88"/>
  <c r="BD140" i="88"/>
  <c r="BA140" i="88"/>
  <c r="AY140" i="88"/>
  <c r="AN140" i="88"/>
  <c r="AZ140" i="88"/>
  <c r="AV140" i="88"/>
  <c r="AT140" i="88"/>
  <c r="AL140" i="88"/>
  <c r="AS140" i="88"/>
  <c r="AW140" i="88"/>
  <c r="AO140" i="88"/>
  <c r="I8" i="91"/>
  <c r="I10" i="91"/>
  <c r="I6" i="91"/>
  <c r="Z28" i="72"/>
  <c r="Z5" i="72"/>
  <c r="M8" i="90"/>
  <c r="M10" i="90"/>
  <c r="AE76" i="68"/>
  <c r="AC83" i="67"/>
  <c r="Z26" i="72"/>
  <c r="Z43" i="72"/>
  <c r="Z39" i="72"/>
  <c r="Z6" i="72"/>
  <c r="L32" i="72"/>
  <c r="L34" i="72"/>
  <c r="L27" i="72"/>
  <c r="L39" i="72"/>
  <c r="U15" i="72"/>
  <c r="U28" i="72"/>
  <c r="U20" i="72"/>
  <c r="U33" i="72"/>
  <c r="AU148" i="88"/>
  <c r="AZ148" i="88"/>
  <c r="AW148" i="88"/>
  <c r="AT148" i="88"/>
  <c r="AQ148" i="88"/>
  <c r="AL148" i="88"/>
  <c r="AI148" i="88"/>
  <c r="BD148" i="88"/>
  <c r="BA148" i="88"/>
  <c r="AX148" i="88"/>
  <c r="BC148" i="88"/>
  <c r="AR148" i="88"/>
  <c r="BB148" i="88"/>
  <c r="AY148" i="88"/>
  <c r="AK148" i="88"/>
  <c r="AJ148" i="88"/>
  <c r="AP148" i="88"/>
  <c r="AO148" i="88"/>
  <c r="AV148" i="88"/>
  <c r="AN148" i="88"/>
  <c r="AM148" i="88"/>
  <c r="AS148" i="88"/>
  <c r="J8" i="90"/>
  <c r="J10" i="90"/>
  <c r="H8" i="90"/>
  <c r="H10" i="90"/>
  <c r="O78" i="67"/>
  <c r="O83" i="67" s="1"/>
  <c r="M66" i="67"/>
  <c r="M44" i="67"/>
  <c r="M56" i="67"/>
  <c r="K8" i="91"/>
  <c r="K6" i="91"/>
  <c r="K10" i="91"/>
  <c r="AW124" i="88"/>
  <c r="AM124" i="88"/>
  <c r="AR124" i="88"/>
  <c r="P124" i="88"/>
  <c r="AL124" i="88"/>
  <c r="AI124" i="88"/>
  <c r="B6" i="90" s="1"/>
  <c r="BD124" i="88"/>
  <c r="BA124" i="88"/>
  <c r="R124" i="88"/>
  <c r="AV124" i="88"/>
  <c r="AS124" i="88"/>
  <c r="AX124" i="88"/>
  <c r="AU124" i="88"/>
  <c r="AJ124" i="88"/>
  <c r="AO124" i="88"/>
  <c r="AT124" i="88"/>
  <c r="AQ124" i="88"/>
  <c r="BC124" i="88"/>
  <c r="BB124" i="88"/>
  <c r="AK124" i="88"/>
  <c r="AZ124" i="88"/>
  <c r="AY124" i="88"/>
  <c r="AP124" i="88"/>
  <c r="AN124" i="88"/>
  <c r="AQ126" i="88"/>
  <c r="AK126" i="88"/>
  <c r="AN126" i="88"/>
  <c r="BA126" i="88"/>
  <c r="BD126" i="88"/>
  <c r="AS126" i="88"/>
  <c r="BB126" i="88"/>
  <c r="R126" i="88"/>
  <c r="AJ126" i="88"/>
  <c r="AW126" i="88"/>
  <c r="AU126" i="88"/>
  <c r="AP126" i="88"/>
  <c r="AV126" i="88"/>
  <c r="AR126" i="88"/>
  <c r="AT126" i="88"/>
  <c r="M6" i="90" s="1"/>
  <c r="AO126" i="88"/>
  <c r="AY126" i="88"/>
  <c r="AL126" i="88"/>
  <c r="AI126" i="88"/>
  <c r="AX126" i="88"/>
  <c r="BC126" i="88"/>
  <c r="P126" i="88"/>
  <c r="AM126" i="88"/>
  <c r="AZ126" i="88"/>
  <c r="AL9" i="70"/>
  <c r="P53" i="69"/>
  <c r="P53" i="88" s="1"/>
  <c r="P128" i="88" s="1"/>
  <c r="AL19" i="70"/>
  <c r="P47" i="69"/>
  <c r="Q32" i="89"/>
  <c r="Q78" i="89" s="1"/>
  <c r="S32" i="72"/>
  <c r="Q17" i="89"/>
  <c r="Q63" i="89" s="1"/>
  <c r="S17" i="72"/>
  <c r="AH64" i="69"/>
  <c r="AD64" i="88" s="1"/>
  <c r="AD139" i="88" s="1"/>
  <c r="AH5" i="69"/>
  <c r="AD5" i="88" s="1"/>
  <c r="AD80" i="88" s="1"/>
  <c r="AH67" i="69"/>
  <c r="AD67" i="88" s="1"/>
  <c r="AD142" i="88" s="1"/>
  <c r="AH59" i="69"/>
  <c r="AD59" i="88" s="1"/>
  <c r="AD134" i="88" s="1"/>
  <c r="P58" i="69"/>
  <c r="P58" i="88" s="1"/>
  <c r="P133" i="88" s="1"/>
  <c r="AH48" i="69"/>
  <c r="AD48" i="88" s="1"/>
  <c r="AD123" i="88" s="1"/>
  <c r="AH69" i="69"/>
  <c r="AD69" i="88" s="1"/>
  <c r="AD144" i="88" s="1"/>
  <c r="AH25" i="69"/>
  <c r="AD25" i="88" s="1"/>
  <c r="AD100" i="88" s="1"/>
  <c r="AH29" i="69"/>
  <c r="AD29" i="88" s="1"/>
  <c r="AD104" i="88" s="1"/>
  <c r="AH8" i="69"/>
  <c r="AD8" i="88" s="1"/>
  <c r="AD83" i="88" s="1"/>
  <c r="AH53" i="69"/>
  <c r="AD53" i="88" s="1"/>
  <c r="AD128" i="88" s="1"/>
  <c r="AH73" i="69"/>
  <c r="AD73" i="88" s="1"/>
  <c r="AD148" i="88" s="1"/>
  <c r="AH43" i="69"/>
  <c r="AD43" i="88" s="1"/>
  <c r="AD118" i="88" s="1"/>
  <c r="AH66" i="69"/>
  <c r="AD66" i="88" s="1"/>
  <c r="AD141" i="88" s="1"/>
  <c r="AH68" i="69"/>
  <c r="AD68" i="88" s="1"/>
  <c r="AD143" i="88" s="1"/>
  <c r="P5" i="69"/>
  <c r="P5" i="88" s="1"/>
  <c r="P80" i="88" s="1"/>
  <c r="AH35" i="69"/>
  <c r="AD35" i="88" s="1"/>
  <c r="AD110" i="88" s="1"/>
  <c r="AH52" i="69"/>
  <c r="AD52" i="88" s="1"/>
  <c r="AD127" i="88" s="1"/>
  <c r="AH30" i="69"/>
  <c r="AD30" i="88" s="1"/>
  <c r="AD105" i="88" s="1"/>
  <c r="AH71" i="69"/>
  <c r="AD71" i="88" s="1"/>
  <c r="AD146" i="88" s="1"/>
  <c r="AH55" i="69"/>
  <c r="AD55" i="88" s="1"/>
  <c r="AD130" i="88" s="1"/>
  <c r="AH20" i="69"/>
  <c r="AD20" i="88" s="1"/>
  <c r="AD95" i="88" s="1"/>
  <c r="AH6" i="69"/>
  <c r="AD6" i="88" s="1"/>
  <c r="AD81" i="88" s="1"/>
  <c r="AH51" i="69"/>
  <c r="AD51" i="88" s="1"/>
  <c r="AD126" i="88" s="1"/>
  <c r="AH36" i="69"/>
  <c r="AD36" i="88" s="1"/>
  <c r="AD111" i="88" s="1"/>
  <c r="AH26" i="69"/>
  <c r="AD26" i="88" s="1"/>
  <c r="AD101" i="88" s="1"/>
  <c r="AH74" i="69"/>
  <c r="AD74" i="88" s="1"/>
  <c r="AD149" i="88" s="1"/>
  <c r="AH45" i="69"/>
  <c r="AD45" i="88" s="1"/>
  <c r="AD120" i="88" s="1"/>
  <c r="AB48" i="73"/>
  <c r="X52" i="73" s="1"/>
  <c r="AB48" i="74"/>
  <c r="AB48" i="71"/>
  <c r="AB48" i="72"/>
  <c r="U24" i="73"/>
  <c r="S24" i="89" s="1"/>
  <c r="S70" i="89" s="1"/>
  <c r="U24" i="74"/>
  <c r="P25" i="73"/>
  <c r="P25" i="89" s="1"/>
  <c r="P71" i="89" s="1"/>
  <c r="P25" i="74"/>
  <c r="F35" i="5"/>
  <c r="L50" i="73"/>
  <c r="L52" i="73" s="1"/>
  <c r="L51" i="73" s="1"/>
  <c r="L50" i="72"/>
  <c r="L50" i="74"/>
  <c r="L50" i="71"/>
  <c r="P14" i="69"/>
  <c r="P14" i="88" s="1"/>
  <c r="P89" i="88" s="1"/>
  <c r="P18" i="69"/>
  <c r="P18" i="88" s="1"/>
  <c r="P93" i="88" s="1"/>
  <c r="P11" i="69"/>
  <c r="P11" i="88" s="1"/>
  <c r="P86" i="88" s="1"/>
  <c r="P13" i="69"/>
  <c r="P13" i="88" s="1"/>
  <c r="P88" i="88" s="1"/>
  <c r="P24" i="69"/>
  <c r="P24" i="88" s="1"/>
  <c r="P99" i="88" s="1"/>
  <c r="P15" i="69"/>
  <c r="P15" i="88" s="1"/>
  <c r="P90" i="88" s="1"/>
  <c r="P17" i="69"/>
  <c r="P17" i="88" s="1"/>
  <c r="P92" i="88" s="1"/>
  <c r="P10" i="69"/>
  <c r="P10" i="88" s="1"/>
  <c r="P85" i="88" s="1"/>
  <c r="P9" i="69"/>
  <c r="P9" i="88" s="1"/>
  <c r="P84" i="88" s="1"/>
  <c r="P16" i="69"/>
  <c r="P16" i="88" s="1"/>
  <c r="P91" i="88" s="1"/>
  <c r="P12" i="69"/>
  <c r="P12" i="88" s="1"/>
  <c r="P87" i="88" s="1"/>
  <c r="P19" i="69"/>
  <c r="P19" i="88" s="1"/>
  <c r="P94" i="88" s="1"/>
  <c r="P57" i="69"/>
  <c r="P57" i="88" s="1"/>
  <c r="P132" i="88" s="1"/>
  <c r="AL24" i="70"/>
  <c r="AL16" i="70"/>
  <c r="AA42" i="72"/>
  <c r="Z42" i="73"/>
  <c r="AA42" i="73" s="1"/>
  <c r="Z42" i="74"/>
  <c r="AA42" i="74" s="1"/>
  <c r="AA23" i="72"/>
  <c r="Z23" i="73"/>
  <c r="AA23" i="73" s="1"/>
  <c r="Z23" i="74"/>
  <c r="AA23" i="74" s="1"/>
  <c r="AA33" i="72"/>
  <c r="Z33" i="73"/>
  <c r="AA33" i="73" s="1"/>
  <c r="Z33" i="74"/>
  <c r="AA33" i="74" s="1"/>
  <c r="AA30" i="72"/>
  <c r="Z30" i="73"/>
  <c r="AA30" i="73" s="1"/>
  <c r="Z30" i="74"/>
  <c r="AA30" i="74" s="1"/>
  <c r="AA14" i="72"/>
  <c r="Z14" i="73"/>
  <c r="AA14" i="73" s="1"/>
  <c r="Z14" i="74"/>
  <c r="AA14" i="74" s="1"/>
  <c r="AH27" i="69"/>
  <c r="AD27" i="88" s="1"/>
  <c r="AD102" i="88" s="1"/>
  <c r="AH65" i="69"/>
  <c r="AD65" i="88" s="1"/>
  <c r="AD140" i="88" s="1"/>
  <c r="P37" i="69"/>
  <c r="P37" i="88" s="1"/>
  <c r="P112" i="88" s="1"/>
  <c r="P59" i="69"/>
  <c r="P59" i="88" s="1"/>
  <c r="P134" i="88" s="1"/>
  <c r="L35" i="74"/>
  <c r="L44" i="74"/>
  <c r="L17" i="74"/>
  <c r="L25" i="74"/>
  <c r="L9" i="74"/>
  <c r="U18" i="73"/>
  <c r="U18" i="74"/>
  <c r="U34" i="73"/>
  <c r="S34" i="89" s="1"/>
  <c r="S80" i="89" s="1"/>
  <c r="U34" i="74"/>
  <c r="U35" i="73"/>
  <c r="S35" i="89" s="1"/>
  <c r="S81" i="89" s="1"/>
  <c r="U35" i="74"/>
  <c r="U32" i="73"/>
  <c r="S32" i="89" s="1"/>
  <c r="S78" i="89" s="1"/>
  <c r="U32" i="74"/>
  <c r="U7" i="73"/>
  <c r="U7" i="74"/>
  <c r="AH22" i="69"/>
  <c r="AD22" i="88" s="1"/>
  <c r="AD97" i="88" s="1"/>
  <c r="AH38" i="69"/>
  <c r="AD38" i="88" s="1"/>
  <c r="AD113" i="88" s="1"/>
  <c r="AH7" i="69"/>
  <c r="AD7" i="88" s="1"/>
  <c r="AD82" i="88" s="1"/>
  <c r="AH58" i="69"/>
  <c r="AD58" i="88" s="1"/>
  <c r="AD133" i="88" s="1"/>
  <c r="P29" i="73"/>
  <c r="P29" i="89" s="1"/>
  <c r="P75" i="89" s="1"/>
  <c r="P29" i="74"/>
  <c r="P28" i="73"/>
  <c r="P28" i="74"/>
  <c r="P17" i="73"/>
  <c r="P17" i="89" s="1"/>
  <c r="P63" i="89" s="1"/>
  <c r="P17" i="74"/>
  <c r="P43" i="73"/>
  <c r="P43" i="89" s="1"/>
  <c r="P89" i="89" s="1"/>
  <c r="P43" i="74"/>
  <c r="P5" i="73"/>
  <c r="P5" i="89" s="1"/>
  <c r="P51" i="89" s="1"/>
  <c r="P5" i="74"/>
  <c r="P47" i="72"/>
  <c r="P76" i="70"/>
  <c r="P43" i="69"/>
  <c r="P43" i="88" s="1"/>
  <c r="P118" i="88" s="1"/>
  <c r="P21" i="69"/>
  <c r="P21" i="88" s="1"/>
  <c r="P96" i="88" s="1"/>
  <c r="AA16" i="72"/>
  <c r="Z16" i="73"/>
  <c r="AA16" i="73" s="1"/>
  <c r="Z16" i="74"/>
  <c r="AA16" i="74" s="1"/>
  <c r="AA29" i="72"/>
  <c r="Z29" i="73"/>
  <c r="AA29" i="73" s="1"/>
  <c r="Z29" i="74"/>
  <c r="AA29" i="74" s="1"/>
  <c r="AA15" i="72"/>
  <c r="Z15" i="73"/>
  <c r="AA15" i="73" s="1"/>
  <c r="Z15" i="74"/>
  <c r="AA15" i="74" s="1"/>
  <c r="AA21" i="72"/>
  <c r="Z21" i="73"/>
  <c r="AA21" i="73" s="1"/>
  <c r="Z21" i="74"/>
  <c r="AA21" i="74" s="1"/>
  <c r="AA7" i="72"/>
  <c r="Z7" i="73"/>
  <c r="AA7" i="73" s="1"/>
  <c r="Z7" i="74"/>
  <c r="AA7" i="74" s="1"/>
  <c r="P39" i="69"/>
  <c r="P39" i="88" s="1"/>
  <c r="P114" i="88" s="1"/>
  <c r="P7" i="69"/>
  <c r="P7" i="88" s="1"/>
  <c r="P82" i="88" s="1"/>
  <c r="E35" i="5"/>
  <c r="L49" i="73"/>
  <c r="L49" i="74"/>
  <c r="L49" i="71"/>
  <c r="L49" i="72"/>
  <c r="L52" i="72" s="1"/>
  <c r="L51" i="72" s="1"/>
  <c r="AH76" i="70"/>
  <c r="L24" i="74"/>
  <c r="L36" i="74"/>
  <c r="L38" i="74"/>
  <c r="L22" i="74"/>
  <c r="L6" i="74"/>
  <c r="U25" i="73"/>
  <c r="S25" i="89" s="1"/>
  <c r="S71" i="89" s="1"/>
  <c r="U25" i="74"/>
  <c r="U21" i="73"/>
  <c r="U21" i="74"/>
  <c r="U17" i="73"/>
  <c r="S17" i="89" s="1"/>
  <c r="S63" i="89" s="1"/>
  <c r="U17" i="74"/>
  <c r="U23" i="74"/>
  <c r="U23" i="73"/>
  <c r="U19" i="73"/>
  <c r="S19" i="89" s="1"/>
  <c r="S65" i="89" s="1"/>
  <c r="U19" i="74"/>
  <c r="AH56" i="69"/>
  <c r="AD56" i="88" s="1"/>
  <c r="AD131" i="88" s="1"/>
  <c r="P73" i="69"/>
  <c r="P73" i="88" s="1"/>
  <c r="P148" i="88" s="1"/>
  <c r="P44" i="69"/>
  <c r="P61" i="69"/>
  <c r="P61" i="88" s="1"/>
  <c r="P136" i="88" s="1"/>
  <c r="P60" i="69"/>
  <c r="P60" i="88" s="1"/>
  <c r="P135" i="88" s="1"/>
  <c r="AH32" i="69"/>
  <c r="AD32" i="88" s="1"/>
  <c r="AD107" i="88" s="1"/>
  <c r="P42" i="69"/>
  <c r="P42" i="88" s="1"/>
  <c r="P117" i="88" s="1"/>
  <c r="P56" i="69"/>
  <c r="P56" i="88" s="1"/>
  <c r="P131" i="88" s="1"/>
  <c r="P23" i="69"/>
  <c r="P23" i="88" s="1"/>
  <c r="P98" i="88" s="1"/>
  <c r="P55" i="69"/>
  <c r="P55" i="88" s="1"/>
  <c r="P130" i="88" s="1"/>
  <c r="P33" i="73"/>
  <c r="P33" i="74"/>
  <c r="P42" i="73"/>
  <c r="P42" i="74"/>
  <c r="P32" i="73"/>
  <c r="P32" i="89" s="1"/>
  <c r="P78" i="89" s="1"/>
  <c r="P32" i="74"/>
  <c r="P41" i="73"/>
  <c r="P41" i="74"/>
  <c r="P14" i="73"/>
  <c r="P14" i="74"/>
  <c r="AA9" i="72"/>
  <c r="Z9" i="73"/>
  <c r="AA9" i="73" s="1"/>
  <c r="Z9" i="74"/>
  <c r="AA9" i="74" s="1"/>
  <c r="L16" i="74"/>
  <c r="U8" i="73"/>
  <c r="S8" i="89" s="1"/>
  <c r="S54" i="89" s="1"/>
  <c r="U8" i="74"/>
  <c r="P41" i="69"/>
  <c r="P41" i="88" s="1"/>
  <c r="P116" i="88" s="1"/>
  <c r="P71" i="69"/>
  <c r="P71" i="88" s="1"/>
  <c r="P146" i="88" s="1"/>
  <c r="AA26" i="72"/>
  <c r="Z26" i="73"/>
  <c r="AA26" i="73" s="1"/>
  <c r="Z26" i="74"/>
  <c r="AA26" i="74" s="1"/>
  <c r="AA43" i="72"/>
  <c r="Z43" i="73"/>
  <c r="AA43" i="73" s="1"/>
  <c r="Z43" i="74"/>
  <c r="AA43" i="74" s="1"/>
  <c r="AA39" i="72"/>
  <c r="Z39" i="73"/>
  <c r="AA39" i="73" s="1"/>
  <c r="Z39" i="74"/>
  <c r="AA39" i="74" s="1"/>
  <c r="AA6" i="72"/>
  <c r="Z6" i="73"/>
  <c r="AA6" i="73" s="1"/>
  <c r="Z6" i="74"/>
  <c r="AA6" i="74" s="1"/>
  <c r="AA19" i="72"/>
  <c r="Z19" i="73"/>
  <c r="AA19" i="73" s="1"/>
  <c r="Z19" i="74"/>
  <c r="AA19" i="74" s="1"/>
  <c r="P52" i="69"/>
  <c r="P64" i="69"/>
  <c r="P64" i="88" s="1"/>
  <c r="P139" i="88" s="1"/>
  <c r="L15" i="74"/>
  <c r="L45" i="74"/>
  <c r="L18" i="74"/>
  <c r="L5" i="74"/>
  <c r="L47" i="72"/>
  <c r="L8" i="74"/>
  <c r="U16" i="73"/>
  <c r="U16" i="74"/>
  <c r="U38" i="73"/>
  <c r="S38" i="89" s="1"/>
  <c r="S84" i="89" s="1"/>
  <c r="U38" i="74"/>
  <c r="U40" i="73"/>
  <c r="U40" i="74"/>
  <c r="U11" i="73"/>
  <c r="U11" i="74"/>
  <c r="U9" i="73"/>
  <c r="S9" i="89" s="1"/>
  <c r="S55" i="89" s="1"/>
  <c r="U9" i="74"/>
  <c r="P33" i="69"/>
  <c r="P33" i="88" s="1"/>
  <c r="P108" i="88" s="1"/>
  <c r="P70" i="69"/>
  <c r="P70" i="88" s="1"/>
  <c r="P145" i="88" s="1"/>
  <c r="AH39" i="69"/>
  <c r="AD39" i="88" s="1"/>
  <c r="AD114" i="88" s="1"/>
  <c r="AH46" i="69"/>
  <c r="AD46" i="88" s="1"/>
  <c r="AD121" i="88" s="1"/>
  <c r="P40" i="69"/>
  <c r="P40" i="88" s="1"/>
  <c r="P115" i="88" s="1"/>
  <c r="P72" i="69"/>
  <c r="P72" i="88" s="1"/>
  <c r="P147" i="88" s="1"/>
  <c r="P25" i="69"/>
  <c r="P25" i="88" s="1"/>
  <c r="P100" i="88" s="1"/>
  <c r="P35" i="69"/>
  <c r="P35" i="88" s="1"/>
  <c r="P110" i="88" s="1"/>
  <c r="P18" i="73"/>
  <c r="P18" i="89" s="1"/>
  <c r="P64" i="89" s="1"/>
  <c r="P18" i="74"/>
  <c r="P21" i="73"/>
  <c r="P21" i="89" s="1"/>
  <c r="P67" i="89" s="1"/>
  <c r="P21" i="74"/>
  <c r="P45" i="73"/>
  <c r="P45" i="74"/>
  <c r="P9" i="73"/>
  <c r="P9" i="89" s="1"/>
  <c r="P55" i="89" s="1"/>
  <c r="P9" i="74"/>
  <c r="P7" i="73"/>
  <c r="P7" i="89" s="1"/>
  <c r="P53" i="89" s="1"/>
  <c r="P7" i="74"/>
  <c r="P51" i="69"/>
  <c r="AA44" i="72"/>
  <c r="Z44" i="73"/>
  <c r="AA44" i="73" s="1"/>
  <c r="Z44" i="74"/>
  <c r="AA44" i="74" s="1"/>
  <c r="L14" i="74"/>
  <c r="U13" i="73"/>
  <c r="S13" i="89" s="1"/>
  <c r="S59" i="89" s="1"/>
  <c r="U13" i="74"/>
  <c r="P10" i="73"/>
  <c r="P10" i="74"/>
  <c r="T77" i="69"/>
  <c r="T77" i="70"/>
  <c r="T77" i="68"/>
  <c r="P27" i="69"/>
  <c r="P27" i="88" s="1"/>
  <c r="P102" i="88" s="1"/>
  <c r="AA45" i="72"/>
  <c r="Z45" i="73"/>
  <c r="AA45" i="73" s="1"/>
  <c r="Z45" i="74"/>
  <c r="AA45" i="74" s="1"/>
  <c r="AA31" i="72"/>
  <c r="Z31" i="73"/>
  <c r="AA31" i="73" s="1"/>
  <c r="Z31" i="74"/>
  <c r="AA31" i="74" s="1"/>
  <c r="AA41" i="72"/>
  <c r="Z41" i="73"/>
  <c r="AA41" i="73" s="1"/>
  <c r="Z41" i="74"/>
  <c r="AA41" i="74" s="1"/>
  <c r="AA36" i="72"/>
  <c r="Z36" i="73"/>
  <c r="AA36" i="73" s="1"/>
  <c r="Z36" i="74"/>
  <c r="AA36" i="74" s="1"/>
  <c r="AA12" i="72"/>
  <c r="Z12" i="73"/>
  <c r="AA12" i="73" s="1"/>
  <c r="Z12" i="74"/>
  <c r="AA12" i="74" s="1"/>
  <c r="AA13" i="72"/>
  <c r="Z13" i="73"/>
  <c r="AA13" i="73" s="1"/>
  <c r="Z13" i="74"/>
  <c r="AA13" i="74" s="1"/>
  <c r="AH31" i="69"/>
  <c r="AD31" i="88" s="1"/>
  <c r="AD106" i="88" s="1"/>
  <c r="AH50" i="69"/>
  <c r="AD50" i="88" s="1"/>
  <c r="AD125" i="88" s="1"/>
  <c r="AH28" i="69"/>
  <c r="AD28" i="88" s="1"/>
  <c r="AD103" i="88" s="1"/>
  <c r="AH62" i="69"/>
  <c r="AD62" i="88" s="1"/>
  <c r="AD137" i="88" s="1"/>
  <c r="P50" i="69"/>
  <c r="P66" i="69"/>
  <c r="P66" i="88" s="1"/>
  <c r="P141" i="88" s="1"/>
  <c r="L37" i="74"/>
  <c r="L31" i="74"/>
  <c r="L40" i="74"/>
  <c r="L41" i="74"/>
  <c r="L10" i="74"/>
  <c r="L11" i="74"/>
  <c r="U36" i="73"/>
  <c r="U36" i="74"/>
  <c r="U45" i="73"/>
  <c r="U45" i="74"/>
  <c r="U31" i="73"/>
  <c r="S31" i="89" s="1"/>
  <c r="S77" i="89" s="1"/>
  <c r="U31" i="74"/>
  <c r="U37" i="73"/>
  <c r="U37" i="74"/>
  <c r="U6" i="73"/>
  <c r="U6" i="74"/>
  <c r="AH41" i="69"/>
  <c r="AD41" i="88" s="1"/>
  <c r="AD116" i="88" s="1"/>
  <c r="AH61" i="69"/>
  <c r="AD61" i="88" s="1"/>
  <c r="AD136" i="88" s="1"/>
  <c r="AH34" i="69"/>
  <c r="AD34" i="88" s="1"/>
  <c r="AD109" i="88" s="1"/>
  <c r="AH60" i="69"/>
  <c r="AD60" i="88" s="1"/>
  <c r="AD135" i="88" s="1"/>
  <c r="P16" i="73"/>
  <c r="P16" i="74"/>
  <c r="P20" i="73"/>
  <c r="P20" i="89" s="1"/>
  <c r="P66" i="89" s="1"/>
  <c r="P20" i="74"/>
  <c r="P44" i="73"/>
  <c r="P44" i="74"/>
  <c r="P6" i="73"/>
  <c r="P6" i="89" s="1"/>
  <c r="P52" i="89" s="1"/>
  <c r="P6" i="74"/>
  <c r="P19" i="73"/>
  <c r="P19" i="89" s="1"/>
  <c r="P65" i="89" s="1"/>
  <c r="P19" i="74"/>
  <c r="AA40" i="72"/>
  <c r="Z40" i="73"/>
  <c r="AA40" i="73" s="1"/>
  <c r="Z40" i="74"/>
  <c r="AA40" i="74" s="1"/>
  <c r="U44" i="73"/>
  <c r="U44" i="74"/>
  <c r="P23" i="73"/>
  <c r="P23" i="89" s="1"/>
  <c r="P69" i="89" s="1"/>
  <c r="P23" i="74"/>
  <c r="N78" i="70"/>
  <c r="N78" i="69"/>
  <c r="N78" i="68"/>
  <c r="P45" i="69"/>
  <c r="P20" i="69"/>
  <c r="P20" i="88" s="1"/>
  <c r="P95" i="88" s="1"/>
  <c r="P62" i="69"/>
  <c r="P62" i="88" s="1"/>
  <c r="P137" i="88" s="1"/>
  <c r="AA32" i="72"/>
  <c r="Z32" i="73"/>
  <c r="AA32" i="73" s="1"/>
  <c r="Z32" i="74"/>
  <c r="AA32" i="74" s="1"/>
  <c r="AA37" i="72"/>
  <c r="Z37" i="73"/>
  <c r="AA37" i="73" s="1"/>
  <c r="Z37" i="74"/>
  <c r="AA37" i="74" s="1"/>
  <c r="AA24" i="72"/>
  <c r="Z24" i="73"/>
  <c r="AA24" i="73" s="1"/>
  <c r="Z24" i="74"/>
  <c r="AA24" i="74" s="1"/>
  <c r="AA27" i="72"/>
  <c r="Z27" i="73"/>
  <c r="AA27" i="73" s="1"/>
  <c r="Z27" i="74"/>
  <c r="AA27" i="74" s="1"/>
  <c r="AA8" i="72"/>
  <c r="Z8" i="73"/>
  <c r="AA8" i="73" s="1"/>
  <c r="Z8" i="74"/>
  <c r="AA8" i="74" s="1"/>
  <c r="P6" i="69"/>
  <c r="P6" i="88" s="1"/>
  <c r="P81" i="88" s="1"/>
  <c r="P65" i="69"/>
  <c r="P65" i="88" s="1"/>
  <c r="P140" i="88" s="1"/>
  <c r="L29" i="74"/>
  <c r="L42" i="74"/>
  <c r="L21" i="74"/>
  <c r="L30" i="74"/>
  <c r="L7" i="74"/>
  <c r="U22" i="73"/>
  <c r="U22" i="74"/>
  <c r="U42" i="73"/>
  <c r="U42" i="74"/>
  <c r="U26" i="73"/>
  <c r="S26" i="89" s="1"/>
  <c r="S72" i="89" s="1"/>
  <c r="U26" i="74"/>
  <c r="U43" i="73"/>
  <c r="S43" i="89" s="1"/>
  <c r="S89" i="89" s="1"/>
  <c r="U43" i="74"/>
  <c r="U5" i="73"/>
  <c r="U47" i="72"/>
  <c r="U5" i="74"/>
  <c r="U12" i="73"/>
  <c r="S12" i="89" s="1"/>
  <c r="S58" i="89" s="1"/>
  <c r="U12" i="74"/>
  <c r="AH23" i="69"/>
  <c r="AD23" i="88" s="1"/>
  <c r="AD98" i="88" s="1"/>
  <c r="P30" i="69"/>
  <c r="P30" i="88" s="1"/>
  <c r="P105" i="88" s="1"/>
  <c r="P22" i="69"/>
  <c r="P22" i="88" s="1"/>
  <c r="P97" i="88" s="1"/>
  <c r="AH21" i="69"/>
  <c r="AD21" i="88" s="1"/>
  <c r="AD96" i="88" s="1"/>
  <c r="AH63" i="69"/>
  <c r="AD63" i="88" s="1"/>
  <c r="AD138" i="88" s="1"/>
  <c r="P29" i="69"/>
  <c r="P29" i="88" s="1"/>
  <c r="P104" i="88" s="1"/>
  <c r="P67" i="69"/>
  <c r="P67" i="88" s="1"/>
  <c r="P142" i="88" s="1"/>
  <c r="P54" i="69"/>
  <c r="P54" i="88" s="1"/>
  <c r="P129" i="88" s="1"/>
  <c r="P38" i="69"/>
  <c r="P38" i="88" s="1"/>
  <c r="P113" i="88" s="1"/>
  <c r="P74" i="69"/>
  <c r="P74" i="88" s="1"/>
  <c r="P149" i="88" s="1"/>
  <c r="P35" i="73"/>
  <c r="P35" i="89" s="1"/>
  <c r="P81" i="89" s="1"/>
  <c r="P35" i="74"/>
  <c r="P39" i="73"/>
  <c r="P39" i="74"/>
  <c r="P34" i="73"/>
  <c r="P34" i="89" s="1"/>
  <c r="P80" i="89" s="1"/>
  <c r="P34" i="74"/>
  <c r="P38" i="73"/>
  <c r="P38" i="89" s="1"/>
  <c r="P84" i="89" s="1"/>
  <c r="P38" i="74"/>
  <c r="P12" i="73"/>
  <c r="P12" i="89" s="1"/>
  <c r="P58" i="89" s="1"/>
  <c r="P12" i="74"/>
  <c r="P13" i="73"/>
  <c r="P13" i="74"/>
  <c r="AA10" i="72"/>
  <c r="Z10" i="73"/>
  <c r="AA10" i="73" s="1"/>
  <c r="Z10" i="74"/>
  <c r="AA10" i="74" s="1"/>
  <c r="L20" i="74"/>
  <c r="U41" i="73"/>
  <c r="S41" i="89" s="1"/>
  <c r="S87" i="89" s="1"/>
  <c r="U41" i="74"/>
  <c r="P15" i="73"/>
  <c r="P15" i="74"/>
  <c r="N79" i="70"/>
  <c r="N79" i="69"/>
  <c r="N81" i="69" s="1"/>
  <c r="N79" i="68"/>
  <c r="AA28" i="72"/>
  <c r="Z28" i="73"/>
  <c r="AA28" i="73" s="1"/>
  <c r="Z28" i="74"/>
  <c r="AA28" i="74" s="1"/>
  <c r="AA18" i="72"/>
  <c r="Z18" i="73"/>
  <c r="AA18" i="73" s="1"/>
  <c r="Z18" i="74"/>
  <c r="AA18" i="74" s="1"/>
  <c r="AA22" i="72"/>
  <c r="Z22" i="73"/>
  <c r="AA22" i="73" s="1"/>
  <c r="Z22" i="74"/>
  <c r="AA22" i="74" s="1"/>
  <c r="AA25" i="72"/>
  <c r="Z25" i="73"/>
  <c r="AA25" i="73" s="1"/>
  <c r="Z25" i="74"/>
  <c r="AA25" i="74" s="1"/>
  <c r="AA5" i="72"/>
  <c r="Z5" i="73"/>
  <c r="V5" i="89" s="1"/>
  <c r="V51" i="89" s="1"/>
  <c r="Z5" i="74"/>
  <c r="Z47" i="72"/>
  <c r="AH40" i="69"/>
  <c r="AD40" i="88" s="1"/>
  <c r="AD115" i="88" s="1"/>
  <c r="AH49" i="69"/>
  <c r="AD49" i="88" s="1"/>
  <c r="AD124" i="88" s="1"/>
  <c r="P48" i="69"/>
  <c r="P48" i="88" s="1"/>
  <c r="P123" i="88" s="1"/>
  <c r="P68" i="69"/>
  <c r="P68" i="88" s="1"/>
  <c r="P143" i="88" s="1"/>
  <c r="L43" i="74"/>
  <c r="L23" i="74"/>
  <c r="L28" i="74"/>
  <c r="L33" i="74"/>
  <c r="L19" i="74"/>
  <c r="U30" i="73"/>
  <c r="S30" i="89" s="1"/>
  <c r="S76" i="89" s="1"/>
  <c r="U30" i="74"/>
  <c r="U29" i="73"/>
  <c r="U29" i="74"/>
  <c r="U39" i="73"/>
  <c r="S39" i="89" s="1"/>
  <c r="S85" i="89" s="1"/>
  <c r="U39" i="74"/>
  <c r="U27" i="73"/>
  <c r="S27" i="89" s="1"/>
  <c r="S73" i="89" s="1"/>
  <c r="U27" i="74"/>
  <c r="U14" i="73"/>
  <c r="S14" i="89" s="1"/>
  <c r="S60" i="89" s="1"/>
  <c r="U14" i="74"/>
  <c r="AH37" i="69"/>
  <c r="AD37" i="88" s="1"/>
  <c r="AD112" i="88" s="1"/>
  <c r="AH54" i="69"/>
  <c r="AD54" i="88" s="1"/>
  <c r="AD129" i="88" s="1"/>
  <c r="AH70" i="69"/>
  <c r="AD70" i="88" s="1"/>
  <c r="AD145" i="88" s="1"/>
  <c r="AH42" i="69"/>
  <c r="AD42" i="88" s="1"/>
  <c r="AD117" i="88" s="1"/>
  <c r="P24" i="73"/>
  <c r="P24" i="74"/>
  <c r="P22" i="73"/>
  <c r="P22" i="74"/>
  <c r="P26" i="73"/>
  <c r="P26" i="74"/>
  <c r="P26" i="89" s="1"/>
  <c r="P72" i="89" s="1"/>
  <c r="P37" i="73"/>
  <c r="P37" i="89" s="1"/>
  <c r="P83" i="89" s="1"/>
  <c r="P37" i="74"/>
  <c r="P8" i="73"/>
  <c r="P8" i="74"/>
  <c r="AA34" i="72"/>
  <c r="Z34" i="73"/>
  <c r="AA34" i="73" s="1"/>
  <c r="Z34" i="74"/>
  <c r="AA34" i="74" s="1"/>
  <c r="L12" i="74"/>
  <c r="P30" i="73"/>
  <c r="P30" i="89" s="1"/>
  <c r="P76" i="89" s="1"/>
  <c r="P30" i="74"/>
  <c r="P26" i="69"/>
  <c r="P26" i="88" s="1"/>
  <c r="P101" i="88" s="1"/>
  <c r="AH19" i="69"/>
  <c r="AD19" i="88" s="1"/>
  <c r="AD94" i="88" s="1"/>
  <c r="AH10" i="69"/>
  <c r="AD10" i="88" s="1"/>
  <c r="AD85" i="88" s="1"/>
  <c r="AH14" i="69"/>
  <c r="AD14" i="88" s="1"/>
  <c r="AD89" i="88" s="1"/>
  <c r="AH16" i="69"/>
  <c r="AD16" i="88" s="1"/>
  <c r="AD91" i="88" s="1"/>
  <c r="AH9" i="69"/>
  <c r="AD9" i="88" s="1"/>
  <c r="AD84" i="88" s="1"/>
  <c r="AH18" i="69"/>
  <c r="AD18" i="88" s="1"/>
  <c r="AD93" i="88" s="1"/>
  <c r="AH11" i="69"/>
  <c r="AD11" i="88" s="1"/>
  <c r="AD86" i="88" s="1"/>
  <c r="AH13" i="69"/>
  <c r="AD13" i="88" s="1"/>
  <c r="AD88" i="88" s="1"/>
  <c r="AH15" i="69"/>
  <c r="AD15" i="88" s="1"/>
  <c r="AD90" i="88" s="1"/>
  <c r="AH17" i="69"/>
  <c r="AD17" i="88" s="1"/>
  <c r="AD92" i="88" s="1"/>
  <c r="AH12" i="69"/>
  <c r="AD12" i="88" s="1"/>
  <c r="AD87" i="88" s="1"/>
  <c r="AH24" i="69"/>
  <c r="AD24" i="88" s="1"/>
  <c r="AD99" i="88" s="1"/>
  <c r="AH44" i="69"/>
  <c r="AD44" i="88" s="1"/>
  <c r="AD119" i="88" s="1"/>
  <c r="P36" i="69"/>
  <c r="P36" i="88" s="1"/>
  <c r="P111" i="88" s="1"/>
  <c r="AA20" i="72"/>
  <c r="Z20" i="73"/>
  <c r="AA20" i="73" s="1"/>
  <c r="Z20" i="74"/>
  <c r="AA20" i="74" s="1"/>
  <c r="AA17" i="72"/>
  <c r="Z17" i="73"/>
  <c r="AA17" i="73" s="1"/>
  <c r="Z17" i="74"/>
  <c r="AA17" i="74" s="1"/>
  <c r="AA35" i="72"/>
  <c r="Z35" i="73"/>
  <c r="AA35" i="73" s="1"/>
  <c r="Z35" i="74"/>
  <c r="AA35" i="74" s="1"/>
  <c r="AA38" i="72"/>
  <c r="Z38" i="73"/>
  <c r="AA38" i="73" s="1"/>
  <c r="Z38" i="74"/>
  <c r="AA38" i="74" s="1"/>
  <c r="AA11" i="72"/>
  <c r="Z11" i="73"/>
  <c r="AA11" i="73" s="1"/>
  <c r="Z11" i="74"/>
  <c r="AA11" i="74" s="1"/>
  <c r="P32" i="69"/>
  <c r="P32" i="88" s="1"/>
  <c r="P107" i="88" s="1"/>
  <c r="L32" i="74"/>
  <c r="L34" i="74"/>
  <c r="L27" i="73"/>
  <c r="L27" i="89" s="1"/>
  <c r="L73" i="89" s="1"/>
  <c r="L27" i="74"/>
  <c r="L39" i="74"/>
  <c r="L13" i="74"/>
  <c r="U15" i="73"/>
  <c r="S15" i="89" s="1"/>
  <c r="S61" i="89" s="1"/>
  <c r="U15" i="74"/>
  <c r="U28" i="73"/>
  <c r="S28" i="89" s="1"/>
  <c r="S74" i="89" s="1"/>
  <c r="U28" i="74"/>
  <c r="U20" i="73"/>
  <c r="U20" i="74"/>
  <c r="U33" i="73"/>
  <c r="S33" i="89" s="1"/>
  <c r="S79" i="89" s="1"/>
  <c r="U33" i="74"/>
  <c r="U10" i="73"/>
  <c r="S10" i="89" s="1"/>
  <c r="S56" i="89" s="1"/>
  <c r="U10" i="74"/>
  <c r="AH57" i="69"/>
  <c r="AD57" i="88" s="1"/>
  <c r="AD132" i="88" s="1"/>
  <c r="P31" i="69"/>
  <c r="P31" i="88" s="1"/>
  <c r="P106" i="88" s="1"/>
  <c r="P46" i="69"/>
  <c r="P63" i="69"/>
  <c r="P63" i="88" s="1"/>
  <c r="P138" i="88" s="1"/>
  <c r="P49" i="69"/>
  <c r="AH33" i="69"/>
  <c r="AD33" i="88" s="1"/>
  <c r="AD108" i="88" s="1"/>
  <c r="AH47" i="69"/>
  <c r="AD47" i="88" s="1"/>
  <c r="AD122" i="88" s="1"/>
  <c r="P8" i="69"/>
  <c r="P8" i="88" s="1"/>
  <c r="P83" i="88" s="1"/>
  <c r="P34" i="69"/>
  <c r="P34" i="88" s="1"/>
  <c r="P109" i="88" s="1"/>
  <c r="P69" i="69"/>
  <c r="P69" i="88" s="1"/>
  <c r="P144" i="88" s="1"/>
  <c r="P27" i="73"/>
  <c r="P27" i="89" s="1"/>
  <c r="P73" i="89" s="1"/>
  <c r="P27" i="74"/>
  <c r="P31" i="73"/>
  <c r="P31" i="74"/>
  <c r="P40" i="73"/>
  <c r="P40" i="89" s="1"/>
  <c r="P86" i="89" s="1"/>
  <c r="P40" i="74"/>
  <c r="P36" i="73"/>
  <c r="P36" i="74"/>
  <c r="P11" i="73"/>
  <c r="P11" i="89" s="1"/>
  <c r="P57" i="89" s="1"/>
  <c r="P11" i="74"/>
  <c r="E10" i="5"/>
  <c r="N80" i="67"/>
  <c r="F10" i="5"/>
  <c r="F29" i="5" s="1"/>
  <c r="N81" i="67"/>
  <c r="F46" i="5"/>
  <c r="D47" i="5"/>
  <c r="D29" i="5"/>
  <c r="Y77" i="68" l="1"/>
  <c r="Y77" i="69"/>
  <c r="Y81" i="69" s="1"/>
  <c r="Y77" i="70"/>
  <c r="X6" i="90"/>
  <c r="P22" i="89"/>
  <c r="P68" i="89" s="1"/>
  <c r="S6" i="89"/>
  <c r="S52" i="89" s="1"/>
  <c r="S36" i="89"/>
  <c r="S82" i="89" s="1"/>
  <c r="S11" i="89"/>
  <c r="S57" i="89" s="1"/>
  <c r="P14" i="89"/>
  <c r="P60" i="89" s="1"/>
  <c r="P33" i="89"/>
  <c r="P79" i="89" s="1"/>
  <c r="S43" i="72"/>
  <c r="R43" i="74"/>
  <c r="S43" i="74" s="1"/>
  <c r="R43" i="73"/>
  <c r="R44" i="73"/>
  <c r="S44" i="72"/>
  <c r="R44" i="74"/>
  <c r="S44" i="74" s="1"/>
  <c r="R30" i="74"/>
  <c r="S30" i="74" s="1"/>
  <c r="R30" i="73"/>
  <c r="S30" i="72"/>
  <c r="R23" i="73"/>
  <c r="S23" i="72"/>
  <c r="R23" i="74"/>
  <c r="S23" i="74" s="1"/>
  <c r="S9" i="72"/>
  <c r="R9" i="74"/>
  <c r="S9" i="74" s="1"/>
  <c r="R9" i="73"/>
  <c r="M39" i="74"/>
  <c r="M39" i="73"/>
  <c r="M39" i="89" s="1"/>
  <c r="M85" i="89" s="1"/>
  <c r="M33" i="73"/>
  <c r="M33" i="89" s="1"/>
  <c r="M79" i="89" s="1"/>
  <c r="M33" i="74"/>
  <c r="M38" i="73"/>
  <c r="M38" i="89" s="1"/>
  <c r="M84" i="89" s="1"/>
  <c r="M38" i="74"/>
  <c r="M40" i="74"/>
  <c r="M40" i="73"/>
  <c r="M40" i="89" s="1"/>
  <c r="M86" i="89" s="1"/>
  <c r="M22" i="73"/>
  <c r="M22" i="74"/>
  <c r="M10" i="91"/>
  <c r="M78" i="67"/>
  <c r="M83" i="67" s="1"/>
  <c r="M40" i="68"/>
  <c r="M40" i="70" s="1"/>
  <c r="Q39" i="68"/>
  <c r="Q23" i="68"/>
  <c r="Q8" i="68"/>
  <c r="Q43" i="68"/>
  <c r="Q35" i="68"/>
  <c r="Q53" i="68"/>
  <c r="Q69" i="68"/>
  <c r="Q50" i="68"/>
  <c r="Q38" i="68"/>
  <c r="Q25" i="68"/>
  <c r="Q31" i="68"/>
  <c r="Q62" i="68"/>
  <c r="Q73" i="68"/>
  <c r="Q63" i="68"/>
  <c r="Q72" i="68"/>
  <c r="Q37" i="68"/>
  <c r="Q46" i="68"/>
  <c r="Q26" i="68"/>
  <c r="Q5" i="68"/>
  <c r="Q27" i="68"/>
  <c r="Q57" i="68"/>
  <c r="Q58" i="68"/>
  <c r="Q56" i="68"/>
  <c r="Q54" i="68"/>
  <c r="Q49" i="68"/>
  <c r="Q20" i="68"/>
  <c r="Q36" i="68"/>
  <c r="Q21" i="68"/>
  <c r="Q59" i="68"/>
  <c r="Q48" i="68"/>
  <c r="Q74" i="68"/>
  <c r="Q52" i="68"/>
  <c r="Q28" i="68"/>
  <c r="Q30" i="68"/>
  <c r="Q65" i="68"/>
  <c r="Q40" i="68"/>
  <c r="Q61" i="68"/>
  <c r="Q45" i="68"/>
  <c r="Q6" i="68"/>
  <c r="Q32" i="68"/>
  <c r="Q7" i="68"/>
  <c r="Q70" i="68"/>
  <c r="Q55" i="68"/>
  <c r="Q55" i="70" s="1"/>
  <c r="Q68" i="68"/>
  <c r="Q44" i="68"/>
  <c r="Q33" i="68"/>
  <c r="Q51" i="68"/>
  <c r="Q34" i="68"/>
  <c r="Q42" i="68"/>
  <c r="Q66" i="68"/>
  <c r="Q71" i="68"/>
  <c r="Q47" i="68"/>
  <c r="Q29" i="68"/>
  <c r="Q22" i="68"/>
  <c r="Q41" i="68"/>
  <c r="Q67" i="68"/>
  <c r="Q60" i="68"/>
  <c r="Q64" i="68"/>
  <c r="O41" i="68"/>
  <c r="O41" i="70" s="1"/>
  <c r="O6" i="68"/>
  <c r="O6" i="70" s="1"/>
  <c r="O5" i="68"/>
  <c r="O31" i="68"/>
  <c r="O31" i="70" s="1"/>
  <c r="O60" i="68"/>
  <c r="O60" i="70" s="1"/>
  <c r="O65" i="68"/>
  <c r="O65" i="70" s="1"/>
  <c r="O72" i="68"/>
  <c r="O72" i="70" s="1"/>
  <c r="O48" i="68"/>
  <c r="O48" i="70" s="1"/>
  <c r="O66" i="68"/>
  <c r="O66" i="70" s="1"/>
  <c r="O26" i="68"/>
  <c r="O59" i="68"/>
  <c r="O21" i="68"/>
  <c r="O21" i="70" s="1"/>
  <c r="O37" i="68"/>
  <c r="O37" i="70" s="1"/>
  <c r="O36" i="68"/>
  <c r="O36" i="70" s="1"/>
  <c r="O70" i="68"/>
  <c r="O70" i="70" s="1"/>
  <c r="O63" i="68"/>
  <c r="O63" i="70" s="1"/>
  <c r="O53" i="68"/>
  <c r="O53" i="70" s="1"/>
  <c r="O58" i="68"/>
  <c r="O58" i="70" s="1"/>
  <c r="O52" i="68"/>
  <c r="O52" i="70" s="1"/>
  <c r="O61" i="68"/>
  <c r="O7" i="68"/>
  <c r="O7" i="70" s="1"/>
  <c r="O33" i="68"/>
  <c r="O33" i="70" s="1"/>
  <c r="O32" i="68"/>
  <c r="O32" i="70" s="1"/>
  <c r="O74" i="68"/>
  <c r="O74" i="70" s="1"/>
  <c r="O47" i="68"/>
  <c r="O47" i="70" s="1"/>
  <c r="O45" i="68"/>
  <c r="O45" i="70" s="1"/>
  <c r="O51" i="68"/>
  <c r="O51" i="70" s="1"/>
  <c r="O43" i="68"/>
  <c r="O43" i="70" s="1"/>
  <c r="O38" i="68"/>
  <c r="O29" i="68"/>
  <c r="O29" i="70" s="1"/>
  <c r="O28" i="68"/>
  <c r="O67" i="68"/>
  <c r="O67" i="70" s="1"/>
  <c r="O57" i="68"/>
  <c r="O57" i="70" s="1"/>
  <c r="O64" i="68"/>
  <c r="O64" i="70" s="1"/>
  <c r="O69" i="68"/>
  <c r="O50" i="68"/>
  <c r="O50" i="70" s="1"/>
  <c r="O35" i="68"/>
  <c r="O34" i="68"/>
  <c r="O34" i="70" s="1"/>
  <c r="O23" i="68"/>
  <c r="O23" i="70" s="1"/>
  <c r="O22" i="68"/>
  <c r="O22" i="70" s="1"/>
  <c r="O46" i="68"/>
  <c r="O46" i="70" s="1"/>
  <c r="O68" i="68"/>
  <c r="O68" i="70" s="1"/>
  <c r="O73" i="68"/>
  <c r="O73" i="70" s="1"/>
  <c r="O62" i="68"/>
  <c r="O62" i="70" s="1"/>
  <c r="O30" i="68"/>
  <c r="O30" i="70" s="1"/>
  <c r="O8" i="68"/>
  <c r="O8" i="70" s="1"/>
  <c r="O55" i="68"/>
  <c r="O40" i="68"/>
  <c r="O42" i="68"/>
  <c r="O20" i="68"/>
  <c r="O25" i="68"/>
  <c r="O27" i="68"/>
  <c r="O49" i="68"/>
  <c r="O56" i="68"/>
  <c r="O54" i="68"/>
  <c r="O44" i="68"/>
  <c r="O44" i="70" s="1"/>
  <c r="O39" i="68"/>
  <c r="O71" i="68"/>
  <c r="R29" i="73"/>
  <c r="S29" i="72"/>
  <c r="R29" i="74"/>
  <c r="S29" i="74" s="1"/>
  <c r="S20" i="72"/>
  <c r="R20" i="74"/>
  <c r="S20" i="74" s="1"/>
  <c r="R20" i="73"/>
  <c r="S39" i="72"/>
  <c r="R39" i="73"/>
  <c r="R39" i="74"/>
  <c r="S39" i="74" s="1"/>
  <c r="S10" i="72"/>
  <c r="R10" i="74"/>
  <c r="S10" i="74" s="1"/>
  <c r="R10" i="73"/>
  <c r="M10" i="73"/>
  <c r="M10" i="89" s="1"/>
  <c r="M56" i="89" s="1"/>
  <c r="M10" i="74"/>
  <c r="M41" i="74"/>
  <c r="M41" i="73"/>
  <c r="M41" i="89" s="1"/>
  <c r="M87" i="89" s="1"/>
  <c r="M23" i="74"/>
  <c r="M23" i="73"/>
  <c r="M23" i="89" s="1"/>
  <c r="M69" i="89" s="1"/>
  <c r="M11" i="74"/>
  <c r="M11" i="73"/>
  <c r="M21" i="73"/>
  <c r="M21" i="89" s="1"/>
  <c r="M67" i="89" s="1"/>
  <c r="M21" i="74"/>
  <c r="L44" i="68"/>
  <c r="L44" i="70" s="1"/>
  <c r="L31" i="68"/>
  <c r="L31" i="70" s="1"/>
  <c r="L20" i="68"/>
  <c r="L20" i="70" s="1"/>
  <c r="L32" i="68"/>
  <c r="L32" i="70" s="1"/>
  <c r="L48" i="68"/>
  <c r="L48" i="70" s="1"/>
  <c r="L68" i="68"/>
  <c r="L68" i="70" s="1"/>
  <c r="L74" i="68"/>
  <c r="L74" i="70" s="1"/>
  <c r="L41" i="68"/>
  <c r="L41" i="70" s="1"/>
  <c r="L46" i="68"/>
  <c r="L46" i="70" s="1"/>
  <c r="L38" i="68"/>
  <c r="L38" i="70" s="1"/>
  <c r="L53" i="68"/>
  <c r="L53" i="70" s="1"/>
  <c r="L62" i="68"/>
  <c r="L62" i="70" s="1"/>
  <c r="L30" i="68"/>
  <c r="L30" i="70" s="1"/>
  <c r="L71" i="68"/>
  <c r="L71" i="70" s="1"/>
  <c r="L51" i="68"/>
  <c r="L51" i="70" s="1"/>
  <c r="L27" i="68"/>
  <c r="L27" i="70" s="1"/>
  <c r="L6" i="68"/>
  <c r="L6" i="70" s="1"/>
  <c r="L36" i="68"/>
  <c r="L36" i="70" s="1"/>
  <c r="L65" i="68"/>
  <c r="L65" i="70" s="1"/>
  <c r="L61" i="68"/>
  <c r="L61" i="70" s="1"/>
  <c r="L59" i="68"/>
  <c r="L59" i="70" s="1"/>
  <c r="L70" i="68"/>
  <c r="L70" i="70" s="1"/>
  <c r="L22" i="68"/>
  <c r="L22" i="70" s="1"/>
  <c r="L47" i="68"/>
  <c r="L47" i="70" s="1"/>
  <c r="L21" i="68"/>
  <c r="L21" i="70" s="1"/>
  <c r="L37" i="68"/>
  <c r="L37" i="70" s="1"/>
  <c r="L28" i="68"/>
  <c r="L28" i="70" s="1"/>
  <c r="L63" i="68"/>
  <c r="L63" i="70" s="1"/>
  <c r="L58" i="68"/>
  <c r="L58" i="70" s="1"/>
  <c r="L54" i="68"/>
  <c r="L54" i="70" s="1"/>
  <c r="L55" i="68"/>
  <c r="L55" i="70" s="1"/>
  <c r="L39" i="68"/>
  <c r="L39" i="70" s="1"/>
  <c r="L7" i="68"/>
  <c r="L7" i="70" s="1"/>
  <c r="L33" i="68"/>
  <c r="L33" i="70" s="1"/>
  <c r="L49" i="68"/>
  <c r="L49" i="70" s="1"/>
  <c r="L72" i="68"/>
  <c r="L72" i="70" s="1"/>
  <c r="L69" i="68"/>
  <c r="L69" i="70" s="1"/>
  <c r="L40" i="68"/>
  <c r="L40" i="70" s="1"/>
  <c r="L50" i="68"/>
  <c r="L50" i="70" s="1"/>
  <c r="L45" i="68"/>
  <c r="L45" i="70" s="1"/>
  <c r="L29" i="68"/>
  <c r="L29" i="70" s="1"/>
  <c r="L57" i="68"/>
  <c r="L57" i="70" s="1"/>
  <c r="L60" i="68"/>
  <c r="L60" i="70" s="1"/>
  <c r="L73" i="68"/>
  <c r="L73" i="70" s="1"/>
  <c r="L67" i="68"/>
  <c r="L67" i="70" s="1"/>
  <c r="L23" i="68"/>
  <c r="L23" i="70" s="1"/>
  <c r="L66" i="68"/>
  <c r="L66" i="70" s="1"/>
  <c r="L25" i="68"/>
  <c r="L25" i="70" s="1"/>
  <c r="L35" i="68"/>
  <c r="L35" i="70" s="1"/>
  <c r="L52" i="68"/>
  <c r="L52" i="70" s="1"/>
  <c r="L8" i="68"/>
  <c r="L8" i="70" s="1"/>
  <c r="L26" i="68"/>
  <c r="L5" i="68"/>
  <c r="L64" i="68"/>
  <c r="L64" i="70" s="1"/>
  <c r="L42" i="68"/>
  <c r="L42" i="70" s="1"/>
  <c r="L34" i="68"/>
  <c r="L34" i="70" s="1"/>
  <c r="L56" i="68"/>
  <c r="L56" i="70" s="1"/>
  <c r="L43" i="68"/>
  <c r="L43" i="70" s="1"/>
  <c r="X76" i="68"/>
  <c r="X81" i="68" s="1"/>
  <c r="X5" i="70"/>
  <c r="X76" i="70" s="1"/>
  <c r="M8" i="91"/>
  <c r="P8" i="89"/>
  <c r="P54" i="89" s="1"/>
  <c r="P24" i="89"/>
  <c r="P70" i="89" s="1"/>
  <c r="P15" i="89"/>
  <c r="P61" i="89" s="1"/>
  <c r="P16" i="89"/>
  <c r="P62" i="89" s="1"/>
  <c r="S37" i="89"/>
  <c r="S83" i="89" s="1"/>
  <c r="S40" i="89"/>
  <c r="S86" i="89" s="1"/>
  <c r="P41" i="89"/>
  <c r="P87" i="89" s="1"/>
  <c r="S23" i="89"/>
  <c r="S69" i="89" s="1"/>
  <c r="AC72" i="68"/>
  <c r="AC5" i="68"/>
  <c r="AC31" i="68"/>
  <c r="AC20" i="68"/>
  <c r="AC65" i="68"/>
  <c r="AC60" i="68"/>
  <c r="AC47" i="68"/>
  <c r="AC56" i="68"/>
  <c r="AC66" i="68"/>
  <c r="AC21" i="68"/>
  <c r="AC71" i="68"/>
  <c r="AC44" i="68"/>
  <c r="AC36" i="68"/>
  <c r="AC27" i="68"/>
  <c r="AC6" i="68"/>
  <c r="AC53" i="68"/>
  <c r="AC32" i="68"/>
  <c r="AC73" i="68"/>
  <c r="AC22" i="68"/>
  <c r="AC23" i="68"/>
  <c r="AC57" i="68"/>
  <c r="AC48" i="68"/>
  <c r="AC28" i="68"/>
  <c r="AC7" i="68"/>
  <c r="AC33" i="68"/>
  <c r="AC51" i="68"/>
  <c r="AC62" i="68"/>
  <c r="AC64" i="68"/>
  <c r="AC40" i="68"/>
  <c r="AC34" i="68"/>
  <c r="AC52" i="68"/>
  <c r="AC67" i="68"/>
  <c r="AC43" i="68"/>
  <c r="AC50" i="68"/>
  <c r="AC38" i="68"/>
  <c r="AC37" i="68"/>
  <c r="AC49" i="68"/>
  <c r="AC68" i="68"/>
  <c r="AC29" i="68"/>
  <c r="AC39" i="68"/>
  <c r="AC8" i="68"/>
  <c r="AC42" i="68"/>
  <c r="AC58" i="68"/>
  <c r="AC54" i="68"/>
  <c r="AC61" i="68"/>
  <c r="AC45" i="68"/>
  <c r="AC25" i="68"/>
  <c r="AC35" i="68"/>
  <c r="AC26" i="68"/>
  <c r="AC70" i="68"/>
  <c r="AC59" i="68"/>
  <c r="AC63" i="68"/>
  <c r="AC46" i="68"/>
  <c r="AC74" i="68"/>
  <c r="AC69" i="68"/>
  <c r="AC41" i="68"/>
  <c r="AC55" i="68"/>
  <c r="AC30" i="68"/>
  <c r="R31" i="73"/>
  <c r="S31" i="72"/>
  <c r="R31" i="74"/>
  <c r="S31" i="74" s="1"/>
  <c r="R27" i="74"/>
  <c r="S27" i="74" s="1"/>
  <c r="S27" i="72"/>
  <c r="R27" i="73"/>
  <c r="S12" i="72"/>
  <c r="R12" i="74"/>
  <c r="S12" i="74" s="1"/>
  <c r="R12" i="73"/>
  <c r="S21" i="72"/>
  <c r="R21" i="74"/>
  <c r="S21" i="74" s="1"/>
  <c r="R21" i="73"/>
  <c r="R35" i="73"/>
  <c r="S35" i="72"/>
  <c r="R35" i="74"/>
  <c r="S35" i="74" s="1"/>
  <c r="M31" i="74"/>
  <c r="M31" i="73"/>
  <c r="M31" i="89" s="1"/>
  <c r="M77" i="89" s="1"/>
  <c r="M37" i="73"/>
  <c r="M37" i="74"/>
  <c r="M42" i="74"/>
  <c r="M42" i="73"/>
  <c r="M30" i="73"/>
  <c r="M30" i="89" s="1"/>
  <c r="M76" i="89" s="1"/>
  <c r="M30" i="74"/>
  <c r="M16" i="73"/>
  <c r="M16" i="74"/>
  <c r="V79" i="67"/>
  <c r="N9" i="72"/>
  <c r="N8" i="72"/>
  <c r="N45" i="72"/>
  <c r="N18" i="72"/>
  <c r="N28" i="72"/>
  <c r="N32" i="72"/>
  <c r="N22" i="72"/>
  <c r="N13" i="72"/>
  <c r="N23" i="72"/>
  <c r="N39" i="72"/>
  <c r="N17" i="72"/>
  <c r="N33" i="72"/>
  <c r="N31" i="72"/>
  <c r="N15" i="72"/>
  <c r="N19" i="72"/>
  <c r="N26" i="72"/>
  <c r="N24" i="72"/>
  <c r="N43" i="72"/>
  <c r="N36" i="72"/>
  <c r="N20" i="72"/>
  <c r="N7" i="72"/>
  <c r="N37" i="72"/>
  <c r="N16" i="72"/>
  <c r="N27" i="72"/>
  <c r="N41" i="72"/>
  <c r="N40" i="72"/>
  <c r="N10" i="72"/>
  <c r="N38" i="72"/>
  <c r="N42" i="72"/>
  <c r="N21" i="72"/>
  <c r="N44" i="72"/>
  <c r="N14" i="72"/>
  <c r="N35" i="72"/>
  <c r="N5" i="72"/>
  <c r="N30" i="72"/>
  <c r="N6" i="72"/>
  <c r="N11" i="72"/>
  <c r="N34" i="72"/>
  <c r="N25" i="72"/>
  <c r="N29" i="72"/>
  <c r="N12" i="72"/>
  <c r="P36" i="89"/>
  <c r="P82" i="89" s="1"/>
  <c r="W71" i="68"/>
  <c r="W40" i="68"/>
  <c r="W39" i="68"/>
  <c r="W42" i="68"/>
  <c r="W45" i="68"/>
  <c r="W30" i="68"/>
  <c r="W25" i="68"/>
  <c r="W36" i="68"/>
  <c r="W57" i="68"/>
  <c r="W68" i="68"/>
  <c r="W67" i="68"/>
  <c r="W74" i="68"/>
  <c r="W38" i="68"/>
  <c r="W41" i="68"/>
  <c r="W26" i="68"/>
  <c r="W26" i="70" s="1"/>
  <c r="W5" i="68"/>
  <c r="W35" i="68"/>
  <c r="W33" i="68"/>
  <c r="W64" i="68"/>
  <c r="W66" i="68"/>
  <c r="W69" i="68"/>
  <c r="W54" i="68"/>
  <c r="W60" i="68"/>
  <c r="W59" i="68"/>
  <c r="W62" i="68"/>
  <c r="W65" i="68"/>
  <c r="W31" i="68"/>
  <c r="W6" i="68"/>
  <c r="W32" i="68"/>
  <c r="W55" i="68"/>
  <c r="W61" i="68"/>
  <c r="W37" i="68"/>
  <c r="W52" i="68"/>
  <c r="W22" i="68"/>
  <c r="W56" i="68"/>
  <c r="W58" i="68"/>
  <c r="W27" i="68"/>
  <c r="W28" i="68"/>
  <c r="W70" i="68"/>
  <c r="W73" i="68"/>
  <c r="W48" i="68"/>
  <c r="W47" i="68"/>
  <c r="W50" i="68"/>
  <c r="W53" i="68"/>
  <c r="W7" i="68"/>
  <c r="W29" i="68"/>
  <c r="W8" i="68"/>
  <c r="W72" i="68"/>
  <c r="W44" i="68"/>
  <c r="W43" i="68"/>
  <c r="W46" i="68"/>
  <c r="W49" i="68"/>
  <c r="W34" i="68"/>
  <c r="W23" i="68"/>
  <c r="W63" i="68"/>
  <c r="W20" i="68"/>
  <c r="W51" i="68"/>
  <c r="W21" i="68"/>
  <c r="S25" i="72"/>
  <c r="R25" i="73"/>
  <c r="R25" i="74"/>
  <c r="S25" i="74" s="1"/>
  <c r="S6" i="72"/>
  <c r="R6" i="73"/>
  <c r="R6" i="74"/>
  <c r="S6" i="74" s="1"/>
  <c r="R26" i="73"/>
  <c r="S26" i="73" s="1"/>
  <c r="S26" i="72"/>
  <c r="R26" i="74"/>
  <c r="S26" i="74" s="1"/>
  <c r="R7" i="73"/>
  <c r="S7" i="72"/>
  <c r="R7" i="74"/>
  <c r="S7" i="74" s="1"/>
  <c r="R14" i="73"/>
  <c r="S14" i="72"/>
  <c r="R14" i="74"/>
  <c r="S14" i="74" s="1"/>
  <c r="M19" i="73"/>
  <c r="M19" i="74"/>
  <c r="M36" i="73"/>
  <c r="M36" i="89" s="1"/>
  <c r="M82" i="89" s="1"/>
  <c r="M36" i="74"/>
  <c r="M15" i="73"/>
  <c r="M15" i="74"/>
  <c r="M8" i="74"/>
  <c r="M8" i="73"/>
  <c r="M8" i="89" s="1"/>
  <c r="M54" i="89" s="1"/>
  <c r="M34" i="74"/>
  <c r="M34" i="73"/>
  <c r="M34" i="89" s="1"/>
  <c r="M80" i="89" s="1"/>
  <c r="M14" i="74"/>
  <c r="M14" i="73"/>
  <c r="T8" i="72"/>
  <c r="T25" i="72"/>
  <c r="T43" i="72"/>
  <c r="T23" i="72"/>
  <c r="T45" i="72"/>
  <c r="T32" i="72"/>
  <c r="T12" i="72"/>
  <c r="T5" i="72"/>
  <c r="T27" i="72"/>
  <c r="T29" i="72"/>
  <c r="T22" i="72"/>
  <c r="T38" i="72"/>
  <c r="T6" i="72"/>
  <c r="T14" i="72"/>
  <c r="T20" i="72"/>
  <c r="T31" i="72"/>
  <c r="T44" i="72"/>
  <c r="T40" i="72"/>
  <c r="T7" i="72"/>
  <c r="T9" i="72"/>
  <c r="T39" i="72"/>
  <c r="T17" i="72"/>
  <c r="T16" i="72"/>
  <c r="T36" i="72"/>
  <c r="T42" i="72"/>
  <c r="T13" i="72"/>
  <c r="T34" i="72"/>
  <c r="T35" i="72"/>
  <c r="T37" i="72"/>
  <c r="T30" i="72"/>
  <c r="T19" i="72"/>
  <c r="T33" i="72"/>
  <c r="T26" i="72"/>
  <c r="T41" i="72"/>
  <c r="T11" i="72"/>
  <c r="T10" i="72"/>
  <c r="T18" i="72"/>
  <c r="T21" i="72"/>
  <c r="T28" i="72"/>
  <c r="T24" i="72"/>
  <c r="T15" i="72"/>
  <c r="S42" i="89"/>
  <c r="S88" i="89" s="1"/>
  <c r="V41" i="89"/>
  <c r="V87" i="89" s="1"/>
  <c r="V40" i="89"/>
  <c r="V86" i="89" s="1"/>
  <c r="V21" i="89"/>
  <c r="V67" i="89" s="1"/>
  <c r="M54" i="68"/>
  <c r="M54" i="70" s="1"/>
  <c r="U38" i="68"/>
  <c r="U27" i="68"/>
  <c r="U37" i="68"/>
  <c r="U37" i="70" s="1"/>
  <c r="U46" i="68"/>
  <c r="U62" i="68"/>
  <c r="U44" i="68"/>
  <c r="U65" i="68"/>
  <c r="U26" i="68"/>
  <c r="U26" i="70" s="1"/>
  <c r="U71" i="68"/>
  <c r="U36" i="68"/>
  <c r="U36" i="70" s="1"/>
  <c r="U21" i="68"/>
  <c r="U21" i="70" s="1"/>
  <c r="U33" i="68"/>
  <c r="U72" i="68"/>
  <c r="U63" i="68"/>
  <c r="U68" i="68"/>
  <c r="U73" i="68"/>
  <c r="U43" i="68"/>
  <c r="U43" i="70" s="1"/>
  <c r="U41" i="68"/>
  <c r="U41" i="70" s="1"/>
  <c r="U32" i="68"/>
  <c r="U32" i="70" s="1"/>
  <c r="U7" i="68"/>
  <c r="U7" i="70" s="1"/>
  <c r="U29" i="68"/>
  <c r="U29" i="70" s="1"/>
  <c r="U74" i="68"/>
  <c r="U74" i="70" s="1"/>
  <c r="U57" i="68"/>
  <c r="U53" i="68"/>
  <c r="U53" i="70" s="1"/>
  <c r="U47" i="68"/>
  <c r="U47" i="70" s="1"/>
  <c r="U56" i="68"/>
  <c r="U56" i="70" s="1"/>
  <c r="U20" i="68"/>
  <c r="U48" i="68"/>
  <c r="U48" i="70" s="1"/>
  <c r="U28" i="68"/>
  <c r="U28" i="70" s="1"/>
  <c r="U34" i="68"/>
  <c r="U34" i="70" s="1"/>
  <c r="U23" i="68"/>
  <c r="U51" i="68"/>
  <c r="U51" i="70" s="1"/>
  <c r="U67" i="68"/>
  <c r="U67" i="70" s="1"/>
  <c r="U50" i="68"/>
  <c r="U50" i="70" s="1"/>
  <c r="U64" i="68"/>
  <c r="U55" i="68"/>
  <c r="U55" i="70" s="1"/>
  <c r="U39" i="68"/>
  <c r="U49" i="68"/>
  <c r="U40" i="68"/>
  <c r="U40" i="70" s="1"/>
  <c r="U22" i="68"/>
  <c r="U22" i="70" s="1"/>
  <c r="U30" i="68"/>
  <c r="U30" i="70" s="1"/>
  <c r="U25" i="68"/>
  <c r="U25" i="70" s="1"/>
  <c r="U54" i="68"/>
  <c r="U54" i="70" s="1"/>
  <c r="U52" i="68"/>
  <c r="U52" i="70" s="1"/>
  <c r="U61" i="68"/>
  <c r="U8" i="68"/>
  <c r="U8" i="70" s="1"/>
  <c r="U70" i="68"/>
  <c r="U70" i="70" s="1"/>
  <c r="U35" i="68"/>
  <c r="U69" i="68"/>
  <c r="U69" i="70" s="1"/>
  <c r="U42" i="68"/>
  <c r="U31" i="68"/>
  <c r="U6" i="68"/>
  <c r="U45" i="68"/>
  <c r="U59" i="68"/>
  <c r="U59" i="70" s="1"/>
  <c r="U60" i="68"/>
  <c r="U58" i="68"/>
  <c r="U5" i="68"/>
  <c r="U66" i="68"/>
  <c r="U66" i="70" s="1"/>
  <c r="M55" i="68"/>
  <c r="R45" i="73"/>
  <c r="S45" i="72"/>
  <c r="R45" i="74"/>
  <c r="S45" i="74" s="1"/>
  <c r="S16" i="72"/>
  <c r="R16" i="74"/>
  <c r="S16" i="74" s="1"/>
  <c r="R16" i="73"/>
  <c r="S8" i="72"/>
  <c r="R8" i="74"/>
  <c r="S8" i="74" s="1"/>
  <c r="R8" i="73"/>
  <c r="R47" i="72"/>
  <c r="S5" i="72"/>
  <c r="R5" i="73"/>
  <c r="R5" i="74"/>
  <c r="S18" i="72"/>
  <c r="R18" i="73"/>
  <c r="R18" i="74"/>
  <c r="S18" i="74" s="1"/>
  <c r="M29" i="73"/>
  <c r="M29" i="74"/>
  <c r="M32" i="74"/>
  <c r="M32" i="73"/>
  <c r="M32" i="89" s="1"/>
  <c r="M78" i="89" s="1"/>
  <c r="M27" i="74"/>
  <c r="M27" i="73"/>
  <c r="M9" i="73"/>
  <c r="M9" i="74"/>
  <c r="M47" i="72"/>
  <c r="M5" i="74"/>
  <c r="M5" i="73"/>
  <c r="X10" i="90"/>
  <c r="M37" i="68"/>
  <c r="M37" i="70" s="1"/>
  <c r="Y83" i="67"/>
  <c r="V24" i="89"/>
  <c r="V70" i="89" s="1"/>
  <c r="M53" i="68"/>
  <c r="M53" i="70" s="1"/>
  <c r="M8" i="68"/>
  <c r="M8" i="70" s="1"/>
  <c r="S69" i="68"/>
  <c r="S41" i="68"/>
  <c r="S36" i="68"/>
  <c r="S21" i="68"/>
  <c r="S37" i="68"/>
  <c r="S59" i="68"/>
  <c r="S50" i="68"/>
  <c r="S53" i="68"/>
  <c r="S32" i="68"/>
  <c r="S68" i="68"/>
  <c r="S23" i="68"/>
  <c r="S29" i="68"/>
  <c r="S61" i="68"/>
  <c r="S34" i="68"/>
  <c r="S63" i="68"/>
  <c r="S44" i="68"/>
  <c r="S40" i="68"/>
  <c r="S49" i="68"/>
  <c r="S35" i="68"/>
  <c r="S43" i="68"/>
  <c r="S22" i="68"/>
  <c r="S30" i="68"/>
  <c r="S33" i="68"/>
  <c r="S67" i="68"/>
  <c r="S65" i="68"/>
  <c r="S56" i="68"/>
  <c r="S39" i="68"/>
  <c r="S8" i="68"/>
  <c r="S62" i="68"/>
  <c r="S60" i="68"/>
  <c r="S64" i="68"/>
  <c r="S55" i="68"/>
  <c r="S38" i="68"/>
  <c r="S58" i="68"/>
  <c r="S74" i="68"/>
  <c r="S25" i="68"/>
  <c r="S70" i="68"/>
  <c r="S47" i="68"/>
  <c r="S5" i="68"/>
  <c r="S31" i="68"/>
  <c r="S20" i="68"/>
  <c r="S51" i="68"/>
  <c r="S46" i="68"/>
  <c r="S73" i="68"/>
  <c r="S71" i="68"/>
  <c r="S26" i="68"/>
  <c r="S42" i="68"/>
  <c r="S27" i="68"/>
  <c r="S6" i="68"/>
  <c r="S72" i="68"/>
  <c r="S57" i="68"/>
  <c r="S66" i="68"/>
  <c r="S54" i="68"/>
  <c r="S48" i="68"/>
  <c r="S7" i="68"/>
  <c r="S52" i="68"/>
  <c r="S28" i="68"/>
  <c r="S45" i="68"/>
  <c r="R38" i="73"/>
  <c r="R38" i="74"/>
  <c r="S38" i="74" s="1"/>
  <c r="S38" i="72"/>
  <c r="S24" i="72"/>
  <c r="R24" i="73"/>
  <c r="R24" i="74"/>
  <c r="S24" i="74" s="1"/>
  <c r="R41" i="74"/>
  <c r="S41" i="74" s="1"/>
  <c r="R41" i="73"/>
  <c r="S41" i="72"/>
  <c r="S33" i="72"/>
  <c r="R33" i="73"/>
  <c r="R33" i="74"/>
  <c r="S33" i="74" s="1"/>
  <c r="R36" i="74"/>
  <c r="S36" i="74" s="1"/>
  <c r="R36" i="73"/>
  <c r="S36" i="72"/>
  <c r="M17" i="73"/>
  <c r="M17" i="74"/>
  <c r="M26" i="73"/>
  <c r="M26" i="89" s="1"/>
  <c r="M72" i="89" s="1"/>
  <c r="M26" i="74"/>
  <c r="M45" i="73"/>
  <c r="M45" i="74"/>
  <c r="M24" i="73"/>
  <c r="M24" i="74"/>
  <c r="M24" i="89"/>
  <c r="M70" i="89" s="1"/>
  <c r="M12" i="73"/>
  <c r="M12" i="89" s="1"/>
  <c r="M58" i="89" s="1"/>
  <c r="M12" i="74"/>
  <c r="M7" i="68"/>
  <c r="M7" i="70" s="1"/>
  <c r="M49" i="68"/>
  <c r="M49" i="70" s="1"/>
  <c r="M28" i="68"/>
  <c r="M28" i="70" s="1"/>
  <c r="M65" i="68"/>
  <c r="M65" i="70" s="1"/>
  <c r="M71" i="68"/>
  <c r="M71" i="70" s="1"/>
  <c r="AA76" i="69"/>
  <c r="S44" i="89"/>
  <c r="S90" i="89" s="1"/>
  <c r="S45" i="89"/>
  <c r="S91" i="89" s="1"/>
  <c r="S16" i="89"/>
  <c r="S62" i="89" s="1"/>
  <c r="P42" i="89"/>
  <c r="P88" i="89" s="1"/>
  <c r="V26" i="89"/>
  <c r="V72" i="89" s="1"/>
  <c r="M56" i="68"/>
  <c r="M56" i="70" s="1"/>
  <c r="M46" i="68"/>
  <c r="M46" i="70" s="1"/>
  <c r="R41" i="68"/>
  <c r="R41" i="70" s="1"/>
  <c r="R39" i="68"/>
  <c r="R39" i="70" s="1"/>
  <c r="R32" i="68"/>
  <c r="R32" i="70" s="1"/>
  <c r="R7" i="68"/>
  <c r="R7" i="70" s="1"/>
  <c r="R63" i="68"/>
  <c r="R63" i="70" s="1"/>
  <c r="R59" i="68"/>
  <c r="R59" i="70" s="1"/>
  <c r="R68" i="68"/>
  <c r="R68" i="70" s="1"/>
  <c r="R52" i="68"/>
  <c r="R52" i="70" s="1"/>
  <c r="R34" i="68"/>
  <c r="R34" i="70" s="1"/>
  <c r="R74" i="68"/>
  <c r="R74" i="70" s="1"/>
  <c r="R30" i="68"/>
  <c r="R30" i="70" s="1"/>
  <c r="R25" i="68"/>
  <c r="R25" i="70" s="1"/>
  <c r="R28" i="68"/>
  <c r="R28" i="70" s="1"/>
  <c r="R73" i="68"/>
  <c r="R73" i="70" s="1"/>
  <c r="R48" i="68"/>
  <c r="R48" i="70" s="1"/>
  <c r="R61" i="68"/>
  <c r="R61" i="70" s="1"/>
  <c r="R22" i="68"/>
  <c r="R22" i="70" s="1"/>
  <c r="R53" i="68"/>
  <c r="R53" i="70" s="1"/>
  <c r="R51" i="68"/>
  <c r="R51" i="70" s="1"/>
  <c r="R50" i="68"/>
  <c r="R50" i="70" s="1"/>
  <c r="R44" i="68"/>
  <c r="R44" i="70" s="1"/>
  <c r="R29" i="68"/>
  <c r="R29" i="70" s="1"/>
  <c r="R8" i="68"/>
  <c r="R8" i="70" s="1"/>
  <c r="R20" i="68"/>
  <c r="R20" i="70" s="1"/>
  <c r="R66" i="68"/>
  <c r="R66" i="70" s="1"/>
  <c r="R54" i="68"/>
  <c r="R54" i="70" s="1"/>
  <c r="R72" i="68"/>
  <c r="R72" i="70" s="1"/>
  <c r="R40" i="68"/>
  <c r="R40" i="70" s="1"/>
  <c r="R23" i="68"/>
  <c r="R23" i="70" s="1"/>
  <c r="R38" i="68"/>
  <c r="R38" i="70" s="1"/>
  <c r="R57" i="68"/>
  <c r="R57" i="70" s="1"/>
  <c r="R70" i="68"/>
  <c r="R70" i="70" s="1"/>
  <c r="R69" i="68"/>
  <c r="R69" i="70" s="1"/>
  <c r="R46" i="68"/>
  <c r="R46" i="70" s="1"/>
  <c r="R35" i="68"/>
  <c r="R35" i="70" s="1"/>
  <c r="R71" i="68"/>
  <c r="R71" i="70" s="1"/>
  <c r="R31" i="68"/>
  <c r="R31" i="70" s="1"/>
  <c r="R64" i="68"/>
  <c r="R64" i="70" s="1"/>
  <c r="R49" i="68"/>
  <c r="R49" i="70" s="1"/>
  <c r="R47" i="68"/>
  <c r="R47" i="70" s="1"/>
  <c r="R5" i="68"/>
  <c r="R27" i="68"/>
  <c r="R27" i="70" s="1"/>
  <c r="R26" i="68"/>
  <c r="R26" i="70" s="1"/>
  <c r="R56" i="68"/>
  <c r="R56" i="70" s="1"/>
  <c r="R65" i="68"/>
  <c r="R65" i="70" s="1"/>
  <c r="R6" i="68"/>
  <c r="R6" i="70" s="1"/>
  <c r="R45" i="68"/>
  <c r="R45" i="70" s="1"/>
  <c r="R43" i="68"/>
  <c r="R43" i="70" s="1"/>
  <c r="R36" i="68"/>
  <c r="R36" i="70" s="1"/>
  <c r="R21" i="68"/>
  <c r="R21" i="70" s="1"/>
  <c r="R58" i="68"/>
  <c r="R58" i="70" s="1"/>
  <c r="R62" i="68"/>
  <c r="R62" i="70" s="1"/>
  <c r="R55" i="68"/>
  <c r="R55" i="70" s="1"/>
  <c r="R37" i="68"/>
  <c r="R37" i="70" s="1"/>
  <c r="R67" i="68"/>
  <c r="R67" i="70" s="1"/>
  <c r="R33" i="68"/>
  <c r="R33" i="70" s="1"/>
  <c r="R60" i="68"/>
  <c r="R60" i="70" s="1"/>
  <c r="R42" i="68"/>
  <c r="R42" i="70" s="1"/>
  <c r="R40" i="73"/>
  <c r="S40" i="72"/>
  <c r="R40" i="74"/>
  <c r="S40" i="74" s="1"/>
  <c r="R34" i="74"/>
  <c r="S34" i="74" s="1"/>
  <c r="R34" i="73"/>
  <c r="S34" i="72"/>
  <c r="R15" i="74"/>
  <c r="S15" i="74" s="1"/>
  <c r="S15" i="72"/>
  <c r="R15" i="73"/>
  <c r="S28" i="72"/>
  <c r="R28" i="73"/>
  <c r="S28" i="73" s="1"/>
  <c r="R28" i="74"/>
  <c r="S28" i="74" s="1"/>
  <c r="S22" i="72"/>
  <c r="R22" i="73"/>
  <c r="R22" i="74"/>
  <c r="S22" i="74" s="1"/>
  <c r="M44" i="73"/>
  <c r="M44" i="89" s="1"/>
  <c r="M90" i="89" s="1"/>
  <c r="M44" i="74"/>
  <c r="M7" i="73"/>
  <c r="M7" i="74"/>
  <c r="M18" i="73"/>
  <c r="M18" i="89" s="1"/>
  <c r="M64" i="89" s="1"/>
  <c r="M18" i="74"/>
  <c r="M6" i="74"/>
  <c r="M6" i="73"/>
  <c r="M6" i="89" s="1"/>
  <c r="M52" i="89" s="1"/>
  <c r="M35" i="73"/>
  <c r="M35" i="89" s="1"/>
  <c r="M81" i="89" s="1"/>
  <c r="M35" i="74"/>
  <c r="X8" i="90"/>
  <c r="M22" i="68"/>
  <c r="M22" i="70" s="1"/>
  <c r="M62" i="68"/>
  <c r="M62" i="70" s="1"/>
  <c r="M23" i="68"/>
  <c r="M23" i="70" s="1"/>
  <c r="M52" i="68"/>
  <c r="M52" i="70" s="1"/>
  <c r="M47" i="68"/>
  <c r="M47" i="70" s="1"/>
  <c r="F47" i="5"/>
  <c r="P31" i="89"/>
  <c r="P77" i="89" s="1"/>
  <c r="S20" i="89"/>
  <c r="S66" i="89" s="1"/>
  <c r="S29" i="89"/>
  <c r="S75" i="89" s="1"/>
  <c r="P13" i="89"/>
  <c r="P59" i="89" s="1"/>
  <c r="P39" i="89"/>
  <c r="P85" i="89" s="1"/>
  <c r="S5" i="89"/>
  <c r="S51" i="89" s="1"/>
  <c r="I9" i="91" s="1"/>
  <c r="S22" i="89"/>
  <c r="S68" i="89" s="1"/>
  <c r="P44" i="89"/>
  <c r="P90" i="89" s="1"/>
  <c r="P10" i="89"/>
  <c r="P56" i="89" s="1"/>
  <c r="P45" i="89"/>
  <c r="P91" i="89" s="1"/>
  <c r="S21" i="89"/>
  <c r="S67" i="89" s="1"/>
  <c r="P28" i="89"/>
  <c r="P74" i="89" s="1"/>
  <c r="S7" i="89"/>
  <c r="S53" i="89" s="1"/>
  <c r="S18" i="89"/>
  <c r="S64" i="89" s="1"/>
  <c r="M44" i="68"/>
  <c r="M44" i="70" s="1"/>
  <c r="Z43" i="70"/>
  <c r="Y43" i="88" s="1"/>
  <c r="Y118" i="88" s="1"/>
  <c r="Z53" i="70"/>
  <c r="Y53" i="88" s="1"/>
  <c r="Y128" i="88" s="1"/>
  <c r="Z60" i="70"/>
  <c r="Y60" i="88" s="1"/>
  <c r="Y135" i="88" s="1"/>
  <c r="Z56" i="70"/>
  <c r="Y56" i="88" s="1"/>
  <c r="Y131" i="88" s="1"/>
  <c r="Z74" i="70"/>
  <c r="Y74" i="88" s="1"/>
  <c r="Y149" i="88" s="1"/>
  <c r="Z6" i="70"/>
  <c r="Y6" i="88" s="1"/>
  <c r="Y81" i="88" s="1"/>
  <c r="Z38" i="70"/>
  <c r="Y38" i="88" s="1"/>
  <c r="Y113" i="88" s="1"/>
  <c r="Z36" i="70"/>
  <c r="Y36" i="88" s="1"/>
  <c r="Y111" i="88" s="1"/>
  <c r="Z30" i="70"/>
  <c r="Y30" i="88" s="1"/>
  <c r="Y105" i="88" s="1"/>
  <c r="Z15" i="70"/>
  <c r="Y15" i="88" s="1"/>
  <c r="Y90" i="88" s="1"/>
  <c r="Z28" i="70"/>
  <c r="Y28" i="88" s="1"/>
  <c r="Y103" i="88" s="1"/>
  <c r="Z51" i="70"/>
  <c r="Y51" i="88" s="1"/>
  <c r="Y126" i="88" s="1"/>
  <c r="Z68" i="70"/>
  <c r="Y68" i="88" s="1"/>
  <c r="Y143" i="88" s="1"/>
  <c r="Z49" i="70"/>
  <c r="Y49" i="88" s="1"/>
  <c r="Y124" i="88" s="1"/>
  <c r="Z39" i="70"/>
  <c r="Y39" i="88" s="1"/>
  <c r="Y114" i="88" s="1"/>
  <c r="Z50" i="70"/>
  <c r="Y50" i="88" s="1"/>
  <c r="Y125" i="88" s="1"/>
  <c r="Z46" i="70"/>
  <c r="Y46" i="88" s="1"/>
  <c r="Y121" i="88" s="1"/>
  <c r="Z63" i="70"/>
  <c r="Y63" i="88" s="1"/>
  <c r="Y138" i="88" s="1"/>
  <c r="Z72" i="70"/>
  <c r="Y72" i="88" s="1"/>
  <c r="Y147" i="88" s="1"/>
  <c r="Z44" i="70"/>
  <c r="Y44" i="88" s="1"/>
  <c r="Y119" i="88" s="1"/>
  <c r="Z11" i="70"/>
  <c r="Y11" i="88" s="1"/>
  <c r="Y86" i="88" s="1"/>
  <c r="Z16" i="70"/>
  <c r="Y16" i="88" s="1"/>
  <c r="Y91" i="88" s="1"/>
  <c r="Z7" i="70"/>
  <c r="Y7" i="88" s="1"/>
  <c r="Y82" i="88" s="1"/>
  <c r="Z18" i="70"/>
  <c r="Y18" i="88" s="1"/>
  <c r="Y93" i="88" s="1"/>
  <c r="Z10" i="70"/>
  <c r="Y10" i="88" s="1"/>
  <c r="Y85" i="88" s="1"/>
  <c r="Z25" i="70"/>
  <c r="Y25" i="88" s="1"/>
  <c r="Y100" i="88" s="1"/>
  <c r="Z45" i="70"/>
  <c r="Y45" i="88" s="1"/>
  <c r="Y120" i="88" s="1"/>
  <c r="Z35" i="70"/>
  <c r="Y35" i="88" s="1"/>
  <c r="Y110" i="88" s="1"/>
  <c r="Z52" i="70"/>
  <c r="Y52" i="88" s="1"/>
  <c r="Y127" i="88" s="1"/>
  <c r="Z73" i="70"/>
  <c r="Y73" i="88" s="1"/>
  <c r="Y148" i="88" s="1"/>
  <c r="Z47" i="70"/>
  <c r="Y47" i="88" s="1"/>
  <c r="Y122" i="88" s="1"/>
  <c r="Z34" i="70"/>
  <c r="Y34" i="88" s="1"/>
  <c r="Y109" i="88" s="1"/>
  <c r="Z66" i="70"/>
  <c r="Y66" i="88" s="1"/>
  <c r="Y141" i="88" s="1"/>
  <c r="Z24" i="70"/>
  <c r="Y24" i="88" s="1"/>
  <c r="Y99" i="88" s="1"/>
  <c r="Z58" i="70"/>
  <c r="Y58" i="88" s="1"/>
  <c r="Y133" i="88" s="1"/>
  <c r="Z14" i="70"/>
  <c r="Y14" i="88" s="1"/>
  <c r="Y89" i="88" s="1"/>
  <c r="Z59" i="70"/>
  <c r="Y59" i="88" s="1"/>
  <c r="Y134" i="88" s="1"/>
  <c r="Z23" i="70"/>
  <c r="Y23" i="88" s="1"/>
  <c r="Y98" i="88" s="1"/>
  <c r="Z21" i="70"/>
  <c r="Y21" i="88" s="1"/>
  <c r="Y96" i="88" s="1"/>
  <c r="Z41" i="70"/>
  <c r="Y41" i="88" s="1"/>
  <c r="Y116" i="88" s="1"/>
  <c r="Z33" i="70"/>
  <c r="Y33" i="88" s="1"/>
  <c r="Y108" i="88" s="1"/>
  <c r="Z42" i="70"/>
  <c r="Y42" i="88" s="1"/>
  <c r="Y117" i="88" s="1"/>
  <c r="Z29" i="70"/>
  <c r="Y29" i="88" s="1"/>
  <c r="Y104" i="88" s="1"/>
  <c r="Z32" i="70"/>
  <c r="Y32" i="88" s="1"/>
  <c r="Y107" i="88" s="1"/>
  <c r="Z55" i="70"/>
  <c r="Y55" i="88" s="1"/>
  <c r="Y130" i="88" s="1"/>
  <c r="Z22" i="70"/>
  <c r="Y22" i="88" s="1"/>
  <c r="Y97" i="88" s="1"/>
  <c r="Z9" i="70"/>
  <c r="Y9" i="88" s="1"/>
  <c r="Y84" i="88" s="1"/>
  <c r="Z19" i="70"/>
  <c r="Y19" i="88" s="1"/>
  <c r="Y94" i="88" s="1"/>
  <c r="Z17" i="70"/>
  <c r="Y17" i="88" s="1"/>
  <c r="Y92" i="88" s="1"/>
  <c r="Z26" i="70"/>
  <c r="Y26" i="88" s="1"/>
  <c r="Y101" i="88" s="1"/>
  <c r="Z48" i="70"/>
  <c r="Y48" i="88" s="1"/>
  <c r="Y123" i="88" s="1"/>
  <c r="Z13" i="70"/>
  <c r="Y13" i="88" s="1"/>
  <c r="Y88" i="88" s="1"/>
  <c r="Z8" i="70"/>
  <c r="Y8" i="88" s="1"/>
  <c r="Y83" i="88" s="1"/>
  <c r="Z65" i="70"/>
  <c r="Y65" i="88" s="1"/>
  <c r="Y140" i="88" s="1"/>
  <c r="Z5" i="70"/>
  <c r="Z20" i="70"/>
  <c r="Y20" i="88" s="1"/>
  <c r="Y95" i="88" s="1"/>
  <c r="Z70" i="70"/>
  <c r="Y70" i="88" s="1"/>
  <c r="Y145" i="88" s="1"/>
  <c r="Z40" i="70"/>
  <c r="Y40" i="88" s="1"/>
  <c r="Y115" i="88" s="1"/>
  <c r="Z54" i="70"/>
  <c r="Y54" i="88" s="1"/>
  <c r="Y129" i="88" s="1"/>
  <c r="Z62" i="70"/>
  <c r="Y62" i="88" s="1"/>
  <c r="Y137" i="88" s="1"/>
  <c r="Z57" i="70"/>
  <c r="Y57" i="88" s="1"/>
  <c r="Y132" i="88" s="1"/>
  <c r="Z64" i="70"/>
  <c r="Y64" i="88" s="1"/>
  <c r="Y139" i="88" s="1"/>
  <c r="Z71" i="70"/>
  <c r="Y71" i="88" s="1"/>
  <c r="Y146" i="88" s="1"/>
  <c r="Z67" i="70"/>
  <c r="Y67" i="88" s="1"/>
  <c r="Y142" i="88" s="1"/>
  <c r="Z27" i="70"/>
  <c r="Y27" i="88" s="1"/>
  <c r="Y102" i="88" s="1"/>
  <c r="Z12" i="70"/>
  <c r="Y12" i="88" s="1"/>
  <c r="Y87" i="88" s="1"/>
  <c r="Z69" i="70"/>
  <c r="Y69" i="88" s="1"/>
  <c r="Y144" i="88" s="1"/>
  <c r="Z61" i="70"/>
  <c r="Y61" i="88" s="1"/>
  <c r="Y136" i="88" s="1"/>
  <c r="Z31" i="70"/>
  <c r="Y31" i="88" s="1"/>
  <c r="Y106" i="88" s="1"/>
  <c r="Z37" i="70"/>
  <c r="Y37" i="88" s="1"/>
  <c r="Y112" i="88" s="1"/>
  <c r="AI40" i="68"/>
  <c r="AI40" i="70" s="1"/>
  <c r="AI27" i="68"/>
  <c r="AI27" i="70" s="1"/>
  <c r="AI37" i="68"/>
  <c r="AI37" i="70" s="1"/>
  <c r="AI28" i="68"/>
  <c r="AI28" i="70" s="1"/>
  <c r="AI50" i="68"/>
  <c r="AI50" i="70" s="1"/>
  <c r="AI53" i="68"/>
  <c r="AI53" i="70" s="1"/>
  <c r="AI69" i="68"/>
  <c r="AI69" i="70" s="1"/>
  <c r="AI45" i="68"/>
  <c r="AI45" i="70" s="1"/>
  <c r="AI5" i="68"/>
  <c r="AI61" i="68"/>
  <c r="AI61" i="70" s="1"/>
  <c r="AI35" i="68"/>
  <c r="AI35" i="70" s="1"/>
  <c r="AI43" i="68"/>
  <c r="AI43" i="70" s="1"/>
  <c r="AI21" i="68"/>
  <c r="AI21" i="70" s="1"/>
  <c r="AI33" i="68"/>
  <c r="AI33" i="70" s="1"/>
  <c r="AI22" i="68"/>
  <c r="AI22" i="70" s="1"/>
  <c r="AI52" i="68"/>
  <c r="AI52" i="70" s="1"/>
  <c r="AI63" i="68"/>
  <c r="AI63" i="70" s="1"/>
  <c r="AI47" i="68"/>
  <c r="AI47" i="70" s="1"/>
  <c r="AI67" i="68"/>
  <c r="AI67" i="70" s="1"/>
  <c r="AI58" i="68"/>
  <c r="AI58" i="70" s="1"/>
  <c r="AI39" i="68"/>
  <c r="AI7" i="68"/>
  <c r="AI29" i="68"/>
  <c r="AI8" i="68"/>
  <c r="AI44" i="68"/>
  <c r="AI57" i="68"/>
  <c r="AI56" i="68"/>
  <c r="AI26" i="68"/>
  <c r="AI26" i="70" s="1"/>
  <c r="AI62" i="68"/>
  <c r="AI62" i="70" s="1"/>
  <c r="AI42" i="68"/>
  <c r="AI34" i="68"/>
  <c r="AI23" i="68"/>
  <c r="AI54" i="68"/>
  <c r="AI70" i="68"/>
  <c r="AI66" i="68"/>
  <c r="AI51" i="68"/>
  <c r="AI71" i="68"/>
  <c r="AI71" i="70" s="1"/>
  <c r="AI38" i="68"/>
  <c r="AI30" i="68"/>
  <c r="AI25" i="68"/>
  <c r="AI72" i="68"/>
  <c r="AI55" i="68"/>
  <c r="AI74" i="68"/>
  <c r="AI73" i="68"/>
  <c r="AI41" i="68"/>
  <c r="AI41" i="70" s="1"/>
  <c r="AI49" i="68"/>
  <c r="AI49" i="70" s="1"/>
  <c r="AI68" i="68"/>
  <c r="AI68" i="70" s="1"/>
  <c r="AI64" i="68"/>
  <c r="AI64" i="70" s="1"/>
  <c r="AI36" i="68"/>
  <c r="AI36" i="70" s="1"/>
  <c r="AI48" i="68"/>
  <c r="AI31" i="68"/>
  <c r="AI6" i="68"/>
  <c r="AI32" i="68"/>
  <c r="AI32" i="70" s="1"/>
  <c r="AI46" i="68"/>
  <c r="AI46" i="70" s="1"/>
  <c r="AI60" i="68"/>
  <c r="AI60" i="70" s="1"/>
  <c r="AI65" i="68"/>
  <c r="AI65" i="70" s="1"/>
  <c r="AI59" i="68"/>
  <c r="AI20" i="68"/>
  <c r="AI20" i="70" s="1"/>
  <c r="R13" i="73"/>
  <c r="S13" i="72"/>
  <c r="R13" i="74"/>
  <c r="S13" i="74" s="1"/>
  <c r="R37" i="74"/>
  <c r="S37" i="74" s="1"/>
  <c r="R37" i="73"/>
  <c r="S37" i="72"/>
  <c r="R11" i="74"/>
  <c r="S11" i="74" s="1"/>
  <c r="S11" i="72"/>
  <c r="R11" i="73"/>
  <c r="S19" i="72"/>
  <c r="R19" i="74"/>
  <c r="S19" i="74" s="1"/>
  <c r="R19" i="73"/>
  <c r="S42" i="72"/>
  <c r="R42" i="74"/>
  <c r="S42" i="74" s="1"/>
  <c r="R42" i="73"/>
  <c r="M43" i="74"/>
  <c r="M43" i="73"/>
  <c r="M20" i="74"/>
  <c r="M20" i="73"/>
  <c r="M13" i="74"/>
  <c r="M13" i="73"/>
  <c r="M28" i="73"/>
  <c r="M28" i="89" s="1"/>
  <c r="M74" i="89" s="1"/>
  <c r="M28" i="74"/>
  <c r="M25" i="73"/>
  <c r="M25" i="74"/>
  <c r="M72" i="68"/>
  <c r="M72" i="70" s="1"/>
  <c r="M6" i="91"/>
  <c r="M58" i="68"/>
  <c r="M58" i="70" s="1"/>
  <c r="V14" i="72"/>
  <c r="V44" i="72"/>
  <c r="V34" i="72"/>
  <c r="V27" i="72"/>
  <c r="V43" i="72"/>
  <c r="V21" i="72"/>
  <c r="V25" i="72"/>
  <c r="V12" i="72"/>
  <c r="V5" i="72"/>
  <c r="V24" i="72"/>
  <c r="V39" i="72"/>
  <c r="V36" i="72"/>
  <c r="V35" i="72"/>
  <c r="V32" i="72"/>
  <c r="V7" i="72"/>
  <c r="V6" i="72"/>
  <c r="V11" i="72"/>
  <c r="V40" i="72"/>
  <c r="V31" i="72"/>
  <c r="V29" i="72"/>
  <c r="V41" i="72"/>
  <c r="V9" i="72"/>
  <c r="V8" i="72"/>
  <c r="V17" i="72"/>
  <c r="V42" i="72"/>
  <c r="V37" i="72"/>
  <c r="V13" i="72"/>
  <c r="V23" i="72"/>
  <c r="V18" i="72"/>
  <c r="V20" i="72"/>
  <c r="V45" i="72"/>
  <c r="V19" i="72"/>
  <c r="V28" i="72"/>
  <c r="V30" i="72"/>
  <c r="V38" i="72"/>
  <c r="V10" i="72"/>
  <c r="V15" i="72"/>
  <c r="V26" i="72"/>
  <c r="V16" i="72"/>
  <c r="V33" i="72"/>
  <c r="V22" i="72"/>
  <c r="M57" i="68"/>
  <c r="M57" i="70" s="1"/>
  <c r="AA72" i="70"/>
  <c r="Z72" i="88" s="1"/>
  <c r="Z147" i="88" s="1"/>
  <c r="AA68" i="70"/>
  <c r="Z68" i="88" s="1"/>
  <c r="Z143" i="88" s="1"/>
  <c r="AA74" i="70"/>
  <c r="Z74" i="88" s="1"/>
  <c r="Z149" i="88" s="1"/>
  <c r="AA7" i="70"/>
  <c r="Z7" i="88" s="1"/>
  <c r="Z82" i="88" s="1"/>
  <c r="AA6" i="70"/>
  <c r="Z6" i="88" s="1"/>
  <c r="Z81" i="88" s="1"/>
  <c r="AA9" i="70"/>
  <c r="Z9" i="88" s="1"/>
  <c r="Z84" i="88" s="1"/>
  <c r="AA32" i="70"/>
  <c r="Z32" i="88" s="1"/>
  <c r="Z107" i="88" s="1"/>
  <c r="AA30" i="70"/>
  <c r="Z30" i="88" s="1"/>
  <c r="Z105" i="88" s="1"/>
  <c r="AA40" i="70"/>
  <c r="Z40" i="88" s="1"/>
  <c r="Z115" i="88" s="1"/>
  <c r="AA21" i="70"/>
  <c r="Z21" i="88" s="1"/>
  <c r="Z96" i="88" s="1"/>
  <c r="AA50" i="70"/>
  <c r="Z50" i="88" s="1"/>
  <c r="Z125" i="88" s="1"/>
  <c r="AA33" i="70"/>
  <c r="Z33" i="88" s="1"/>
  <c r="Z108" i="88" s="1"/>
  <c r="AA17" i="70"/>
  <c r="Z17" i="88" s="1"/>
  <c r="Z92" i="88" s="1"/>
  <c r="AA47" i="70"/>
  <c r="Z47" i="88" s="1"/>
  <c r="Z122" i="88" s="1"/>
  <c r="AA43" i="70"/>
  <c r="Z43" i="88" s="1"/>
  <c r="Z118" i="88" s="1"/>
  <c r="AA64" i="70"/>
  <c r="Z64" i="88" s="1"/>
  <c r="Z139" i="88" s="1"/>
  <c r="AA70" i="70"/>
  <c r="Z70" i="88" s="1"/>
  <c r="Z145" i="88" s="1"/>
  <c r="AA19" i="70"/>
  <c r="Z19" i="88" s="1"/>
  <c r="Z94" i="88" s="1"/>
  <c r="AA28" i="70"/>
  <c r="Z28" i="88" s="1"/>
  <c r="Z103" i="88" s="1"/>
  <c r="AA5" i="70"/>
  <c r="AA51" i="70"/>
  <c r="Z51" i="88" s="1"/>
  <c r="Z126" i="88" s="1"/>
  <c r="AA22" i="70"/>
  <c r="Z22" i="88" s="1"/>
  <c r="Z97" i="88" s="1"/>
  <c r="AA39" i="70"/>
  <c r="Z39" i="88" s="1"/>
  <c r="Z114" i="88" s="1"/>
  <c r="AA27" i="70"/>
  <c r="Z27" i="88" s="1"/>
  <c r="Z102" i="88" s="1"/>
  <c r="AA8" i="70"/>
  <c r="Z8" i="88" s="1"/>
  <c r="Z83" i="88" s="1"/>
  <c r="AA36" i="70"/>
  <c r="Z36" i="88" s="1"/>
  <c r="Z111" i="88" s="1"/>
  <c r="AA62" i="70"/>
  <c r="Z62" i="88" s="1"/>
  <c r="Z137" i="88" s="1"/>
  <c r="AA54" i="70"/>
  <c r="Z54" i="88" s="1"/>
  <c r="Z129" i="88" s="1"/>
  <c r="AA60" i="70"/>
  <c r="Z60" i="88" s="1"/>
  <c r="Z135" i="88" s="1"/>
  <c r="AA66" i="70"/>
  <c r="Z66" i="88" s="1"/>
  <c r="Z141" i="88" s="1"/>
  <c r="AA14" i="70"/>
  <c r="Z14" i="88" s="1"/>
  <c r="Z89" i="88" s="1"/>
  <c r="AA23" i="70"/>
  <c r="Z23" i="88" s="1"/>
  <c r="Z98" i="88" s="1"/>
  <c r="AA15" i="70"/>
  <c r="Z15" i="88" s="1"/>
  <c r="Z90" i="88" s="1"/>
  <c r="AA45" i="70"/>
  <c r="Z45" i="88" s="1"/>
  <c r="Z120" i="88" s="1"/>
  <c r="AA67" i="70"/>
  <c r="Z67" i="88" s="1"/>
  <c r="Z142" i="88" s="1"/>
  <c r="AA16" i="70"/>
  <c r="Z16" i="88" s="1"/>
  <c r="Z91" i="88" s="1"/>
  <c r="AA38" i="70"/>
  <c r="Z38" i="88" s="1"/>
  <c r="Z113" i="88" s="1"/>
  <c r="AA58" i="70"/>
  <c r="Z58" i="88" s="1"/>
  <c r="Z133" i="88" s="1"/>
  <c r="AA53" i="70"/>
  <c r="Z53" i="88" s="1"/>
  <c r="Z128" i="88" s="1"/>
  <c r="AA56" i="70"/>
  <c r="Z56" i="88" s="1"/>
  <c r="Z131" i="88" s="1"/>
  <c r="AA55" i="70"/>
  <c r="Z55" i="88" s="1"/>
  <c r="Z130" i="88" s="1"/>
  <c r="AA73" i="70"/>
  <c r="Z73" i="88" s="1"/>
  <c r="Z148" i="88" s="1"/>
  <c r="AA71" i="70"/>
  <c r="Z71" i="88" s="1"/>
  <c r="Z146" i="88" s="1"/>
  <c r="AA20" i="70"/>
  <c r="Z20" i="88" s="1"/>
  <c r="Z95" i="88" s="1"/>
  <c r="AA44" i="70"/>
  <c r="Z44" i="88" s="1"/>
  <c r="Z119" i="88" s="1"/>
  <c r="AA18" i="70"/>
  <c r="Z18" i="88" s="1"/>
  <c r="Z93" i="88" s="1"/>
  <c r="AA34" i="70"/>
  <c r="Z34" i="88" s="1"/>
  <c r="Z109" i="88" s="1"/>
  <c r="AA31" i="70"/>
  <c r="Z31" i="88" s="1"/>
  <c r="Z106" i="88" s="1"/>
  <c r="AA59" i="70"/>
  <c r="Z59" i="88" s="1"/>
  <c r="Z134" i="88" s="1"/>
  <c r="AA61" i="70"/>
  <c r="Z61" i="88" s="1"/>
  <c r="Z136" i="88" s="1"/>
  <c r="AA52" i="70"/>
  <c r="Z52" i="88" s="1"/>
  <c r="Z127" i="88" s="1"/>
  <c r="AA69" i="70"/>
  <c r="Z69" i="88" s="1"/>
  <c r="Z144" i="88" s="1"/>
  <c r="AA63" i="70"/>
  <c r="Z63" i="88" s="1"/>
  <c r="Z138" i="88" s="1"/>
  <c r="AA26" i="70"/>
  <c r="Z26" i="88" s="1"/>
  <c r="Z101" i="88" s="1"/>
  <c r="AA41" i="70"/>
  <c r="Z41" i="88" s="1"/>
  <c r="Z116" i="88" s="1"/>
  <c r="AA25" i="70"/>
  <c r="Z25" i="88" s="1"/>
  <c r="Z100" i="88" s="1"/>
  <c r="AA57" i="70"/>
  <c r="Z57" i="88" s="1"/>
  <c r="Z132" i="88" s="1"/>
  <c r="AA48" i="70"/>
  <c r="Z48" i="88" s="1"/>
  <c r="Z123" i="88" s="1"/>
  <c r="AA29" i="70"/>
  <c r="Z29" i="88" s="1"/>
  <c r="Z104" i="88" s="1"/>
  <c r="AA37" i="70"/>
  <c r="Z37" i="88" s="1"/>
  <c r="Z112" i="88" s="1"/>
  <c r="AA49" i="70"/>
  <c r="Z49" i="88" s="1"/>
  <c r="Z124" i="88" s="1"/>
  <c r="AA24" i="70"/>
  <c r="Z24" i="88" s="1"/>
  <c r="Z99" i="88" s="1"/>
  <c r="AA11" i="70"/>
  <c r="Z11" i="88" s="1"/>
  <c r="Z86" i="88" s="1"/>
  <c r="AA10" i="70"/>
  <c r="Z10" i="88" s="1"/>
  <c r="Z85" i="88" s="1"/>
  <c r="AA13" i="70"/>
  <c r="Z13" i="88" s="1"/>
  <c r="Z88" i="88" s="1"/>
  <c r="AA35" i="70"/>
  <c r="Z35" i="88" s="1"/>
  <c r="Z110" i="88" s="1"/>
  <c r="AA42" i="70"/>
  <c r="Z42" i="88" s="1"/>
  <c r="Z117" i="88" s="1"/>
  <c r="AA65" i="70"/>
  <c r="Z65" i="88" s="1"/>
  <c r="Z140" i="88" s="1"/>
  <c r="AA12" i="70"/>
  <c r="Z12" i="88" s="1"/>
  <c r="Z87" i="88" s="1"/>
  <c r="AA46" i="70"/>
  <c r="Z46" i="88" s="1"/>
  <c r="Z121" i="88" s="1"/>
  <c r="O10" i="72"/>
  <c r="O21" i="72"/>
  <c r="O32" i="72"/>
  <c r="O35" i="72"/>
  <c r="O17" i="72"/>
  <c r="O6" i="72"/>
  <c r="O42" i="72"/>
  <c r="O20" i="72"/>
  <c r="O14" i="72"/>
  <c r="O30" i="72"/>
  <c r="O16" i="72"/>
  <c r="O28" i="72"/>
  <c r="O40" i="72"/>
  <c r="O45" i="72"/>
  <c r="O5" i="72"/>
  <c r="O41" i="72"/>
  <c r="O44" i="72"/>
  <c r="O31" i="72"/>
  <c r="O22" i="72"/>
  <c r="O39" i="72"/>
  <c r="O19" i="72"/>
  <c r="O11" i="72"/>
  <c r="O37" i="72"/>
  <c r="O34" i="72"/>
  <c r="O25" i="72"/>
  <c r="O15" i="72"/>
  <c r="O12" i="72"/>
  <c r="O9" i="72"/>
  <c r="O8" i="72"/>
  <c r="O38" i="72"/>
  <c r="O18" i="72"/>
  <c r="O36" i="72"/>
  <c r="O43" i="72"/>
  <c r="O13" i="72"/>
  <c r="O24" i="72"/>
  <c r="O33" i="72"/>
  <c r="O7" i="72"/>
  <c r="O26" i="72"/>
  <c r="O23" i="72"/>
  <c r="O29" i="72"/>
  <c r="O27" i="72"/>
  <c r="F9" i="91"/>
  <c r="F11" i="91"/>
  <c r="F7" i="91"/>
  <c r="T9" i="90"/>
  <c r="T7" i="90"/>
  <c r="T13" i="90" s="1"/>
  <c r="T11" i="90"/>
  <c r="V28" i="89"/>
  <c r="V74" i="89" s="1"/>
  <c r="V27" i="89"/>
  <c r="V73" i="89" s="1"/>
  <c r="V36" i="89"/>
  <c r="V82" i="89" s="1"/>
  <c r="V43" i="89"/>
  <c r="V89" i="89" s="1"/>
  <c r="V44" i="89"/>
  <c r="V90" i="89" s="1"/>
  <c r="V7" i="89"/>
  <c r="V53" i="89" s="1"/>
  <c r="V20" i="89"/>
  <c r="V66" i="89" s="1"/>
  <c r="F9" i="90"/>
  <c r="F7" i="90"/>
  <c r="F13" i="90" s="1"/>
  <c r="F11" i="90"/>
  <c r="V37" i="89"/>
  <c r="V83" i="89" s="1"/>
  <c r="V31" i="89"/>
  <c r="V77" i="89" s="1"/>
  <c r="V34" i="89"/>
  <c r="V80" i="89" s="1"/>
  <c r="V15" i="89"/>
  <c r="V61" i="89" s="1"/>
  <c r="V32" i="89"/>
  <c r="V78" i="89" s="1"/>
  <c r="V45" i="89"/>
  <c r="V91" i="89" s="1"/>
  <c r="V42" i="89"/>
  <c r="V88" i="89" s="1"/>
  <c r="V29" i="89"/>
  <c r="V75" i="89" s="1"/>
  <c r="V16" i="89"/>
  <c r="V62" i="89" s="1"/>
  <c r="V11" i="89"/>
  <c r="V57" i="89" s="1"/>
  <c r="V25" i="89"/>
  <c r="V71" i="89" s="1"/>
  <c r="V19" i="89"/>
  <c r="V65" i="89" s="1"/>
  <c r="V38" i="89"/>
  <c r="V84" i="89" s="1"/>
  <c r="E21" i="5"/>
  <c r="E42" i="5"/>
  <c r="V22" i="89"/>
  <c r="V68" i="89" s="1"/>
  <c r="V30" i="89"/>
  <c r="V76" i="89" s="1"/>
  <c r="V13" i="89"/>
  <c r="V59" i="89" s="1"/>
  <c r="V6" i="89"/>
  <c r="V52" i="89" s="1"/>
  <c r="L9" i="91" s="1"/>
  <c r="V10" i="89"/>
  <c r="V56" i="89" s="1"/>
  <c r="V14" i="89"/>
  <c r="V60" i="89" s="1"/>
  <c r="V35" i="89"/>
  <c r="V81" i="89" s="1"/>
  <c r="V33" i="89"/>
  <c r="V79" i="89" s="1"/>
  <c r="V18" i="89"/>
  <c r="V64" i="89" s="1"/>
  <c r="V8" i="89"/>
  <c r="V54" i="89" s="1"/>
  <c r="V12" i="89"/>
  <c r="V58" i="89" s="1"/>
  <c r="V39" i="89"/>
  <c r="V85" i="89" s="1"/>
  <c r="V23" i="89"/>
  <c r="V69" i="89" s="1"/>
  <c r="V9" i="89"/>
  <c r="V55" i="89" s="1"/>
  <c r="V17" i="89"/>
  <c r="V63" i="89" s="1"/>
  <c r="AH76" i="69"/>
  <c r="P76" i="69"/>
  <c r="AM81" i="67"/>
  <c r="AM79" i="70"/>
  <c r="AM79" i="69"/>
  <c r="AM79" i="68"/>
  <c r="N14" i="70"/>
  <c r="N11" i="70"/>
  <c r="N16" i="70"/>
  <c r="N12" i="70"/>
  <c r="N19" i="70"/>
  <c r="N18" i="70"/>
  <c r="N24" i="70"/>
  <c r="N15" i="70"/>
  <c r="N13" i="70"/>
  <c r="N10" i="70"/>
  <c r="N17" i="70"/>
  <c r="N9" i="70"/>
  <c r="L33" i="73"/>
  <c r="L7" i="73"/>
  <c r="L41" i="73"/>
  <c r="L13" i="73"/>
  <c r="L43" i="73"/>
  <c r="L42" i="73"/>
  <c r="L11" i="73"/>
  <c r="L37" i="73"/>
  <c r="L5" i="73"/>
  <c r="L5" i="89" s="1"/>
  <c r="L51" i="89" s="1"/>
  <c r="L22" i="73"/>
  <c r="L22" i="89" s="1"/>
  <c r="L68" i="89" s="1"/>
  <c r="P47" i="74"/>
  <c r="L25" i="73"/>
  <c r="L26" i="73"/>
  <c r="L34" i="73"/>
  <c r="L28" i="73"/>
  <c r="L40" i="73"/>
  <c r="L15" i="73"/>
  <c r="L24" i="73"/>
  <c r="P47" i="73"/>
  <c r="L35" i="73"/>
  <c r="AM79" i="67"/>
  <c r="AM77" i="70"/>
  <c r="AM77" i="68"/>
  <c r="AM77" i="69" s="1"/>
  <c r="L12" i="73"/>
  <c r="AA5" i="74"/>
  <c r="AA47" i="74" s="1"/>
  <c r="Z47" i="74"/>
  <c r="L20" i="73"/>
  <c r="U47" i="74"/>
  <c r="L30" i="73"/>
  <c r="L18" i="73"/>
  <c r="Q49" i="74"/>
  <c r="Q49" i="73"/>
  <c r="Q49" i="71"/>
  <c r="Q49" i="72"/>
  <c r="Q50" i="74"/>
  <c r="Q50" i="71"/>
  <c r="Q50" i="72"/>
  <c r="Q50" i="73"/>
  <c r="AB50" i="73"/>
  <c r="AB50" i="72"/>
  <c r="AB50" i="74"/>
  <c r="AB50" i="71"/>
  <c r="L39" i="73"/>
  <c r="AA5" i="73"/>
  <c r="AA47" i="73" s="1"/>
  <c r="Z47" i="73"/>
  <c r="L29" i="73"/>
  <c r="L14" i="73"/>
  <c r="L38" i="73"/>
  <c r="L17" i="73"/>
  <c r="L36" i="73"/>
  <c r="L44" i="73"/>
  <c r="T81" i="67"/>
  <c r="T79" i="70"/>
  <c r="T79" i="69"/>
  <c r="T79" i="68"/>
  <c r="L32" i="73"/>
  <c r="L19" i="73"/>
  <c r="AA47" i="72"/>
  <c r="U47" i="73"/>
  <c r="L10" i="73"/>
  <c r="L8" i="73"/>
  <c r="L16" i="73"/>
  <c r="L6" i="73"/>
  <c r="L26" i="74"/>
  <c r="T80" i="67"/>
  <c r="T78" i="70"/>
  <c r="T78" i="69"/>
  <c r="T78" i="68"/>
  <c r="L23" i="73"/>
  <c r="L21" i="73"/>
  <c r="L31" i="73"/>
  <c r="L45" i="73"/>
  <c r="L9" i="73"/>
  <c r="F13" i="91" l="1"/>
  <c r="Q17" i="74"/>
  <c r="O13" i="74"/>
  <c r="O13" i="73"/>
  <c r="O13" i="89" s="1"/>
  <c r="O59" i="89" s="1"/>
  <c r="S42" i="73"/>
  <c r="Q42" i="89"/>
  <c r="Q88" i="89" s="1"/>
  <c r="W28" i="70"/>
  <c r="N35" i="73"/>
  <c r="Q35" i="72"/>
  <c r="N35" i="74"/>
  <c r="AD48" i="68"/>
  <c r="AC48" i="69"/>
  <c r="AD48" i="69" s="1"/>
  <c r="AC48" i="70"/>
  <c r="AD48" i="70" s="1"/>
  <c r="O35" i="70"/>
  <c r="Q41" i="70"/>
  <c r="Q51" i="70"/>
  <c r="Q74" i="70"/>
  <c r="Q56" i="70"/>
  <c r="U53" i="69"/>
  <c r="T53" i="88" s="1"/>
  <c r="T128" i="88" s="1"/>
  <c r="O27" i="73"/>
  <c r="O27" i="89" s="1"/>
  <c r="O73" i="89" s="1"/>
  <c r="O27" i="74"/>
  <c r="O43" i="73"/>
  <c r="O43" i="74"/>
  <c r="O25" i="74"/>
  <c r="O25" i="73"/>
  <c r="O44" i="73"/>
  <c r="O44" i="89" s="1"/>
  <c r="O90" i="89" s="1"/>
  <c r="O44" i="74"/>
  <c r="O14" i="73"/>
  <c r="O14" i="89" s="1"/>
  <c r="O60" i="89" s="1"/>
  <c r="O14" i="74"/>
  <c r="O10" i="73"/>
  <c r="O10" i="74"/>
  <c r="T22" i="89"/>
  <c r="T68" i="89" s="1"/>
  <c r="V22" i="73"/>
  <c r="V22" i="74"/>
  <c r="V28" i="73"/>
  <c r="V28" i="74"/>
  <c r="V42" i="73"/>
  <c r="V42" i="74"/>
  <c r="V11" i="73"/>
  <c r="T11" i="89" s="1"/>
  <c r="T57" i="89" s="1"/>
  <c r="V11" i="74"/>
  <c r="V5" i="73"/>
  <c r="V47" i="72"/>
  <c r="V5" i="74"/>
  <c r="V14" i="73"/>
  <c r="T14" i="89" s="1"/>
  <c r="T60" i="89" s="1"/>
  <c r="V14" i="74"/>
  <c r="AI25" i="70"/>
  <c r="AI23" i="70"/>
  <c r="AI8" i="70"/>
  <c r="S22" i="73"/>
  <c r="Q22" i="89"/>
  <c r="Q68" i="89" s="1"/>
  <c r="R76" i="68"/>
  <c r="R5" i="70"/>
  <c r="R76" i="70" s="1"/>
  <c r="M17" i="89"/>
  <c r="M63" i="89" s="1"/>
  <c r="S41" i="73"/>
  <c r="Q41" i="89"/>
  <c r="Q87" i="89" s="1"/>
  <c r="Q5" i="89"/>
  <c r="Q51" i="89" s="1"/>
  <c r="S5" i="73"/>
  <c r="R47" i="73"/>
  <c r="U60" i="69"/>
  <c r="T60" i="88" s="1"/>
  <c r="T135" i="88" s="1"/>
  <c r="U60" i="70"/>
  <c r="U23" i="70"/>
  <c r="U57" i="70"/>
  <c r="U68" i="70"/>
  <c r="U65" i="70"/>
  <c r="W21" i="72"/>
  <c r="T21" i="73"/>
  <c r="T21" i="74"/>
  <c r="T30" i="74"/>
  <c r="W30" i="72"/>
  <c r="T30" i="73"/>
  <c r="W17" i="72"/>
  <c r="T17" i="73"/>
  <c r="T17" i="74"/>
  <c r="T14" i="74"/>
  <c r="W14" i="74" s="1"/>
  <c r="W14" i="72"/>
  <c r="T14" i="73"/>
  <c r="T32" i="73"/>
  <c r="T32" i="74"/>
  <c r="W32" i="72"/>
  <c r="S25" i="73"/>
  <c r="Q25" i="89"/>
  <c r="Q71" i="89" s="1"/>
  <c r="W34" i="70"/>
  <c r="W7" i="70"/>
  <c r="W7" i="69"/>
  <c r="V7" i="88" s="1"/>
  <c r="V82" i="88" s="1"/>
  <c r="W27" i="70"/>
  <c r="W32" i="70"/>
  <c r="W69" i="70"/>
  <c r="W38" i="70"/>
  <c r="W38" i="69"/>
  <c r="V38" i="88" s="1"/>
  <c r="V113" i="88" s="1"/>
  <c r="W45" i="70"/>
  <c r="N29" i="73"/>
  <c r="N29" i="74"/>
  <c r="Q29" i="72"/>
  <c r="Q14" i="72"/>
  <c r="AB14" i="72" s="1"/>
  <c r="N14" i="74"/>
  <c r="Q14" i="74" s="1"/>
  <c r="N14" i="73"/>
  <c r="N14" i="89" s="1"/>
  <c r="N60" i="89" s="1"/>
  <c r="N27" i="73"/>
  <c r="N27" i="74"/>
  <c r="Q27" i="74" s="1"/>
  <c r="Q27" i="72"/>
  <c r="Q26" i="72"/>
  <c r="N26" i="73"/>
  <c r="N26" i="89" s="1"/>
  <c r="N72" i="89" s="1"/>
  <c r="N26" i="74"/>
  <c r="N13" i="73"/>
  <c r="N13" i="74"/>
  <c r="Q13" i="74" s="1"/>
  <c r="Q13" i="72"/>
  <c r="V83" i="67"/>
  <c r="V77" i="68"/>
  <c r="V77" i="70"/>
  <c r="V77" i="69"/>
  <c r="V81" i="69" s="1"/>
  <c r="M37" i="89"/>
  <c r="M83" i="89" s="1"/>
  <c r="AD46" i="68"/>
  <c r="AC46" i="69"/>
  <c r="AD46" i="69" s="1"/>
  <c r="AC46" i="70"/>
  <c r="AD46" i="70" s="1"/>
  <c r="AC61" i="70"/>
  <c r="AD61" i="70" s="1"/>
  <c r="AD61" i="68"/>
  <c r="AD49" i="68"/>
  <c r="AC49" i="69"/>
  <c r="AD49" i="69" s="1"/>
  <c r="AC49" i="70"/>
  <c r="AD49" i="70" s="1"/>
  <c r="AD40" i="68"/>
  <c r="AC40" i="70"/>
  <c r="AD40" i="70" s="1"/>
  <c r="AC57" i="70"/>
  <c r="AD57" i="70" s="1"/>
  <c r="AD57" i="68"/>
  <c r="AC36" i="70"/>
  <c r="AD36" i="70" s="1"/>
  <c r="AD36" i="68"/>
  <c r="AC65" i="70"/>
  <c r="AD65" i="70" s="1"/>
  <c r="AD65" i="68"/>
  <c r="AC65" i="69"/>
  <c r="X60" i="69"/>
  <c r="W60" i="88" s="1"/>
  <c r="W135" i="88" s="1"/>
  <c r="X38" i="69"/>
  <c r="W38" i="88" s="1"/>
  <c r="W113" i="88" s="1"/>
  <c r="X63" i="69"/>
  <c r="W63" i="88" s="1"/>
  <c r="W138" i="88" s="1"/>
  <c r="X47" i="69"/>
  <c r="W47" i="88" s="1"/>
  <c r="W122" i="88" s="1"/>
  <c r="X42" i="69"/>
  <c r="W42" i="88" s="1"/>
  <c r="W117" i="88" s="1"/>
  <c r="X22" i="69"/>
  <c r="W22" i="88" s="1"/>
  <c r="W97" i="88" s="1"/>
  <c r="X18" i="69"/>
  <c r="W18" i="88" s="1"/>
  <c r="W93" i="88" s="1"/>
  <c r="X52" i="69"/>
  <c r="W52" i="88" s="1"/>
  <c r="W127" i="88" s="1"/>
  <c r="X33" i="69"/>
  <c r="W33" i="88" s="1"/>
  <c r="W108" i="88" s="1"/>
  <c r="X13" i="69"/>
  <c r="W13" i="88" s="1"/>
  <c r="W88" i="88" s="1"/>
  <c r="X25" i="69"/>
  <c r="W25" i="88" s="1"/>
  <c r="W100" i="88" s="1"/>
  <c r="X48" i="69"/>
  <c r="W48" i="88" s="1"/>
  <c r="W123" i="88" s="1"/>
  <c r="X29" i="69"/>
  <c r="W29" i="88" s="1"/>
  <c r="W104" i="88" s="1"/>
  <c r="X11" i="69"/>
  <c r="W11" i="88" s="1"/>
  <c r="W86" i="88" s="1"/>
  <c r="X68" i="69"/>
  <c r="W68" i="88" s="1"/>
  <c r="W143" i="88" s="1"/>
  <c r="X39" i="69"/>
  <c r="W39" i="88" s="1"/>
  <c r="W114" i="88" s="1"/>
  <c r="X71" i="69"/>
  <c r="W71" i="88" s="1"/>
  <c r="W146" i="88" s="1"/>
  <c r="X73" i="69"/>
  <c r="W73" i="88" s="1"/>
  <c r="W148" i="88" s="1"/>
  <c r="X74" i="69"/>
  <c r="W74" i="88" s="1"/>
  <c r="W149" i="88" s="1"/>
  <c r="X65" i="69"/>
  <c r="W65" i="88" s="1"/>
  <c r="W140" i="88" s="1"/>
  <c r="X21" i="69"/>
  <c r="W21" i="88" s="1"/>
  <c r="W96" i="88" s="1"/>
  <c r="X36" i="69"/>
  <c r="W36" i="88" s="1"/>
  <c r="W111" i="88" s="1"/>
  <c r="X30" i="69"/>
  <c r="W30" i="88" s="1"/>
  <c r="W105" i="88" s="1"/>
  <c r="X54" i="69"/>
  <c r="W54" i="88" s="1"/>
  <c r="W129" i="88" s="1"/>
  <c r="X45" i="69"/>
  <c r="W45" i="88" s="1"/>
  <c r="W120" i="88" s="1"/>
  <c r="X53" i="69"/>
  <c r="W53" i="88" s="1"/>
  <c r="W128" i="88" s="1"/>
  <c r="X6" i="69"/>
  <c r="W6" i="88" s="1"/>
  <c r="W81" i="88" s="1"/>
  <c r="X56" i="69"/>
  <c r="W56" i="88" s="1"/>
  <c r="W131" i="88" s="1"/>
  <c r="X27" i="69"/>
  <c r="W27" i="88" s="1"/>
  <c r="W102" i="88" s="1"/>
  <c r="X15" i="69"/>
  <c r="W15" i="88" s="1"/>
  <c r="W90" i="88" s="1"/>
  <c r="X41" i="69"/>
  <c r="W41" i="88" s="1"/>
  <c r="W116" i="88" s="1"/>
  <c r="X20" i="69"/>
  <c r="W20" i="88" s="1"/>
  <c r="W95" i="88" s="1"/>
  <c r="X8" i="69"/>
  <c r="W8" i="88" s="1"/>
  <c r="W83" i="88" s="1"/>
  <c r="X69" i="69"/>
  <c r="W69" i="88" s="1"/>
  <c r="W144" i="88" s="1"/>
  <c r="X35" i="69"/>
  <c r="W35" i="88" s="1"/>
  <c r="W110" i="88" s="1"/>
  <c r="X28" i="69"/>
  <c r="W28" i="88" s="1"/>
  <c r="W103" i="88" s="1"/>
  <c r="X55" i="69"/>
  <c r="W55" i="88" s="1"/>
  <c r="W130" i="88" s="1"/>
  <c r="X31" i="69"/>
  <c r="W31" i="88" s="1"/>
  <c r="W106" i="88" s="1"/>
  <c r="X61" i="69"/>
  <c r="W61" i="88" s="1"/>
  <c r="W136" i="88" s="1"/>
  <c r="X19" i="69"/>
  <c r="W19" i="88" s="1"/>
  <c r="W94" i="88" s="1"/>
  <c r="X17" i="69"/>
  <c r="W17" i="88" s="1"/>
  <c r="W92" i="88" s="1"/>
  <c r="X58" i="69"/>
  <c r="W58" i="88" s="1"/>
  <c r="W133" i="88" s="1"/>
  <c r="X72" i="69"/>
  <c r="W72" i="88" s="1"/>
  <c r="W147" i="88" s="1"/>
  <c r="X43" i="69"/>
  <c r="W43" i="88" s="1"/>
  <c r="W118" i="88" s="1"/>
  <c r="X34" i="69"/>
  <c r="W34" i="88" s="1"/>
  <c r="W109" i="88" s="1"/>
  <c r="X66" i="69"/>
  <c r="W66" i="88" s="1"/>
  <c r="W141" i="88" s="1"/>
  <c r="X59" i="69"/>
  <c r="W59" i="88" s="1"/>
  <c r="W134" i="88" s="1"/>
  <c r="X37" i="69"/>
  <c r="W37" i="88" s="1"/>
  <c r="W112" i="88" s="1"/>
  <c r="X12" i="69"/>
  <c r="W12" i="88" s="1"/>
  <c r="W87" i="88" s="1"/>
  <c r="X14" i="69"/>
  <c r="W14" i="88" s="1"/>
  <c r="W89" i="88" s="1"/>
  <c r="X32" i="69"/>
  <c r="W32" i="88" s="1"/>
  <c r="W107" i="88" s="1"/>
  <c r="X26" i="69"/>
  <c r="W26" i="88" s="1"/>
  <c r="W101" i="88" s="1"/>
  <c r="X23" i="69"/>
  <c r="W23" i="88" s="1"/>
  <c r="W98" i="88" s="1"/>
  <c r="X62" i="69"/>
  <c r="W62" i="88" s="1"/>
  <c r="W137" i="88" s="1"/>
  <c r="X40" i="69"/>
  <c r="W40" i="88" s="1"/>
  <c r="W115" i="88" s="1"/>
  <c r="X64" i="69"/>
  <c r="W64" i="88" s="1"/>
  <c r="W139" i="88" s="1"/>
  <c r="X16" i="69"/>
  <c r="W16" i="88" s="1"/>
  <c r="W91" i="88" s="1"/>
  <c r="X10" i="69"/>
  <c r="W10" i="88" s="1"/>
  <c r="W85" i="88" s="1"/>
  <c r="X49" i="69"/>
  <c r="W49" i="88" s="1"/>
  <c r="W124" i="88" s="1"/>
  <c r="X7" i="69"/>
  <c r="W7" i="88" s="1"/>
  <c r="W82" i="88" s="1"/>
  <c r="X70" i="69"/>
  <c r="W70" i="88" s="1"/>
  <c r="W145" i="88" s="1"/>
  <c r="X50" i="69"/>
  <c r="W50" i="88" s="1"/>
  <c r="W125" i="88" s="1"/>
  <c r="X9" i="69"/>
  <c r="W9" i="88" s="1"/>
  <c r="W84" i="88" s="1"/>
  <c r="X24" i="69"/>
  <c r="W24" i="88" s="1"/>
  <c r="W99" i="88" s="1"/>
  <c r="X44" i="69"/>
  <c r="W44" i="88" s="1"/>
  <c r="W119" i="88" s="1"/>
  <c r="X5" i="69"/>
  <c r="X57" i="69"/>
  <c r="W57" i="88" s="1"/>
  <c r="W132" i="88" s="1"/>
  <c r="X51" i="69"/>
  <c r="W51" i="88" s="1"/>
  <c r="W126" i="88" s="1"/>
  <c r="X67" i="69"/>
  <c r="W67" i="88" s="1"/>
  <c r="W142" i="88" s="1"/>
  <c r="X46" i="69"/>
  <c r="W46" i="88" s="1"/>
  <c r="W121" i="88" s="1"/>
  <c r="S29" i="73"/>
  <c r="Q29" i="89"/>
  <c r="Q75" i="89" s="1"/>
  <c r="O27" i="70"/>
  <c r="O61" i="70"/>
  <c r="Q22" i="70"/>
  <c r="Q33" i="70"/>
  <c r="Q45" i="70"/>
  <c r="Q48" i="70"/>
  <c r="Q58" i="70"/>
  <c r="Q63" i="70"/>
  <c r="Q53" i="70"/>
  <c r="M67" i="68"/>
  <c r="M6" i="68"/>
  <c r="M39" i="68"/>
  <c r="M33" i="68"/>
  <c r="M31" i="68"/>
  <c r="M29" i="68"/>
  <c r="M21" i="68"/>
  <c r="M25" i="68"/>
  <c r="M26" i="68"/>
  <c r="M38" i="68"/>
  <c r="M5" i="68"/>
  <c r="M30" i="68"/>
  <c r="M20" i="68"/>
  <c r="M32" i="68"/>
  <c r="M41" i="68"/>
  <c r="M27" i="68"/>
  <c r="M73" i="68"/>
  <c r="M43" i="68"/>
  <c r="M35" i="68"/>
  <c r="M51" i="68"/>
  <c r="M59" i="68"/>
  <c r="M36" i="68"/>
  <c r="M63" i="68"/>
  <c r="M64" i="68"/>
  <c r="M70" i="68"/>
  <c r="M74" i="68"/>
  <c r="M50" i="68"/>
  <c r="M68" i="68"/>
  <c r="S43" i="73"/>
  <c r="Q43" i="89"/>
  <c r="Q89" i="89" s="1"/>
  <c r="O31" i="73"/>
  <c r="O31" i="74"/>
  <c r="V37" i="73"/>
  <c r="V37" i="74"/>
  <c r="W20" i="72"/>
  <c r="T20" i="73"/>
  <c r="T20" i="74"/>
  <c r="W20" i="74" s="1"/>
  <c r="W55" i="70"/>
  <c r="N12" i="74"/>
  <c r="N12" i="73"/>
  <c r="Q12" i="72"/>
  <c r="N23" i="74"/>
  <c r="Q23" i="72"/>
  <c r="N23" i="73"/>
  <c r="N23" i="89" s="1"/>
  <c r="N69" i="89" s="1"/>
  <c r="AC74" i="70"/>
  <c r="AD74" i="70" s="1"/>
  <c r="AD74" i="68"/>
  <c r="AC68" i="70"/>
  <c r="AD68" i="70" s="1"/>
  <c r="AD68" i="68"/>
  <c r="AC27" i="70"/>
  <c r="AD27" i="70" s="1"/>
  <c r="AD27" i="68"/>
  <c r="L26" i="70"/>
  <c r="O49" i="70"/>
  <c r="O37" i="69"/>
  <c r="O37" i="88" s="1"/>
  <c r="O112" i="88" s="1"/>
  <c r="O29" i="73"/>
  <c r="O29" i="74"/>
  <c r="O29" i="89" s="1"/>
  <c r="O75" i="89" s="1"/>
  <c r="O36" i="74"/>
  <c r="O36" i="73"/>
  <c r="O34" i="73"/>
  <c r="O34" i="89" s="1"/>
  <c r="O80" i="89" s="1"/>
  <c r="O34" i="74"/>
  <c r="O41" i="74"/>
  <c r="O41" i="73"/>
  <c r="O20" i="73"/>
  <c r="O20" i="74"/>
  <c r="V33" i="73"/>
  <c r="V33" i="74"/>
  <c r="V19" i="73"/>
  <c r="T19" i="89" s="1"/>
  <c r="T65" i="89" s="1"/>
  <c r="V19" i="74"/>
  <c r="V17" i="73"/>
  <c r="V17" i="74"/>
  <c r="V6" i="73"/>
  <c r="V6" i="74"/>
  <c r="V12" i="73"/>
  <c r="T12" i="89" s="1"/>
  <c r="T58" i="89" s="1"/>
  <c r="V12" i="74"/>
  <c r="M13" i="89"/>
  <c r="M59" i="89" s="1"/>
  <c r="S37" i="73"/>
  <c r="Q37" i="89"/>
  <c r="Q83" i="89" s="1"/>
  <c r="AI30" i="70"/>
  <c r="AI30" i="69"/>
  <c r="AE30" i="88" s="1"/>
  <c r="AE105" i="88" s="1"/>
  <c r="AI34" i="70"/>
  <c r="AI29" i="70"/>
  <c r="M5" i="89"/>
  <c r="M51" i="89" s="1"/>
  <c r="M47" i="73"/>
  <c r="S47" i="72"/>
  <c r="U49" i="70"/>
  <c r="U63" i="70"/>
  <c r="U44" i="70"/>
  <c r="T18" i="73"/>
  <c r="T18" i="74"/>
  <c r="W18" i="72"/>
  <c r="W37" i="72"/>
  <c r="T37" i="73"/>
  <c r="W37" i="73" s="1"/>
  <c r="R37" i="89"/>
  <c r="R83" i="89" s="1"/>
  <c r="T37" i="74"/>
  <c r="T39" i="74"/>
  <c r="W39" i="72"/>
  <c r="T39" i="73"/>
  <c r="W6" i="72"/>
  <c r="T6" i="73"/>
  <c r="T6" i="74"/>
  <c r="W45" i="72"/>
  <c r="T45" i="73"/>
  <c r="T45" i="74"/>
  <c r="W45" i="74" s="1"/>
  <c r="M19" i="89"/>
  <c r="M65" i="89" s="1"/>
  <c r="W49" i="70"/>
  <c r="W53" i="70"/>
  <c r="W58" i="70"/>
  <c r="W6" i="70"/>
  <c r="W66" i="70"/>
  <c r="W74" i="70"/>
  <c r="W42" i="70"/>
  <c r="Q25" i="72"/>
  <c r="N25" i="73"/>
  <c r="N25" i="89" s="1"/>
  <c r="N71" i="89" s="1"/>
  <c r="N25" i="74"/>
  <c r="Q25" i="74" s="1"/>
  <c r="Q44" i="72"/>
  <c r="N44" i="73"/>
  <c r="N44" i="89" s="1"/>
  <c r="N90" i="89" s="1"/>
  <c r="N44" i="74"/>
  <c r="Q44" i="74" s="1"/>
  <c r="Q16" i="72"/>
  <c r="N16" i="73"/>
  <c r="N16" i="74"/>
  <c r="Q19" i="72"/>
  <c r="AB19" i="72" s="1"/>
  <c r="N19" i="73"/>
  <c r="N19" i="89" s="1"/>
  <c r="N65" i="89" s="1"/>
  <c r="N19" i="74"/>
  <c r="N22" i="74"/>
  <c r="Q22" i="72"/>
  <c r="N22" i="73"/>
  <c r="S12" i="73"/>
  <c r="Q12" i="89"/>
  <c r="Q58" i="89" s="1"/>
  <c r="Q31" i="89"/>
  <c r="Q77" i="89" s="1"/>
  <c r="S31" i="73"/>
  <c r="AD63" i="68"/>
  <c r="AC63" i="70"/>
  <c r="AD63" i="70" s="1"/>
  <c r="AD54" i="68"/>
  <c r="AC54" i="70"/>
  <c r="AD54" i="70" s="1"/>
  <c r="AC37" i="70"/>
  <c r="AD37" i="70" s="1"/>
  <c r="AD37" i="68"/>
  <c r="AC64" i="70"/>
  <c r="AD64" i="70" s="1"/>
  <c r="AD64" i="68"/>
  <c r="AD23" i="68"/>
  <c r="AC23" i="70"/>
  <c r="AD23" i="70" s="1"/>
  <c r="AD44" i="68"/>
  <c r="AC44" i="70"/>
  <c r="AD44" i="70" s="1"/>
  <c r="AD20" i="68"/>
  <c r="AC20" i="70"/>
  <c r="AD20" i="70" s="1"/>
  <c r="S39" i="73"/>
  <c r="Q39" i="89"/>
  <c r="Q85" i="89" s="1"/>
  <c r="M69" i="68"/>
  <c r="O25" i="70"/>
  <c r="O69" i="70"/>
  <c r="O59" i="70"/>
  <c r="O76" i="68"/>
  <c r="O81" i="68" s="1"/>
  <c r="O49" i="69" s="1"/>
  <c r="O49" i="88" s="1"/>
  <c r="O124" i="88" s="1"/>
  <c r="O5" i="70"/>
  <c r="Q29" i="70"/>
  <c r="Q44" i="70"/>
  <c r="Q61" i="70"/>
  <c r="Q59" i="70"/>
  <c r="Q57" i="70"/>
  <c r="Q73" i="70"/>
  <c r="Q35" i="70"/>
  <c r="H14" i="91"/>
  <c r="D14" i="91"/>
  <c r="K14" i="91"/>
  <c r="G14" i="91"/>
  <c r="I14" i="91"/>
  <c r="C14" i="91"/>
  <c r="E14" i="91"/>
  <c r="J14" i="91"/>
  <c r="M14" i="91"/>
  <c r="F14" i="91"/>
  <c r="L14" i="91"/>
  <c r="B14" i="91"/>
  <c r="S23" i="73"/>
  <c r="Q23" i="89"/>
  <c r="Q69" i="89" s="1"/>
  <c r="V24" i="73"/>
  <c r="V24" i="74"/>
  <c r="AI59" i="70"/>
  <c r="U35" i="70"/>
  <c r="U73" i="70"/>
  <c r="T28" i="73"/>
  <c r="W28" i="73" s="1"/>
  <c r="T28" i="74"/>
  <c r="W28" i="74" s="1"/>
  <c r="W28" i="72"/>
  <c r="W12" i="72"/>
  <c r="T12" i="74"/>
  <c r="W12" i="74" s="1"/>
  <c r="T12" i="73"/>
  <c r="W23" i="70"/>
  <c r="W41" i="70"/>
  <c r="N24" i="73"/>
  <c r="N24" i="74"/>
  <c r="Q24" i="74" s="1"/>
  <c r="Q24" i="72"/>
  <c r="AC45" i="70"/>
  <c r="AD45" i="70" s="1"/>
  <c r="AD45" i="68"/>
  <c r="AD60" i="68"/>
  <c r="AC60" i="70"/>
  <c r="AD60" i="70" s="1"/>
  <c r="AC60" i="69"/>
  <c r="S44" i="73"/>
  <c r="Q44" i="89"/>
  <c r="Q90" i="89" s="1"/>
  <c r="L63" i="69"/>
  <c r="L63" i="88" s="1"/>
  <c r="L138" i="88" s="1"/>
  <c r="I7" i="91"/>
  <c r="I13" i="91" s="1"/>
  <c r="O23" i="73"/>
  <c r="O23" i="89" s="1"/>
  <c r="O69" i="89" s="1"/>
  <c r="O23" i="74"/>
  <c r="O18" i="73"/>
  <c r="O18" i="89" s="1"/>
  <c r="O64" i="89" s="1"/>
  <c r="O18" i="74"/>
  <c r="O37" i="73"/>
  <c r="Q37" i="73" s="1"/>
  <c r="O37" i="74"/>
  <c r="O5" i="73"/>
  <c r="O47" i="72"/>
  <c r="O5" i="74"/>
  <c r="O42" i="73"/>
  <c r="O42" i="89" s="1"/>
  <c r="O88" i="89" s="1"/>
  <c r="O42" i="74"/>
  <c r="V16" i="73"/>
  <c r="V16" i="74"/>
  <c r="V45" i="73"/>
  <c r="T45" i="89" s="1"/>
  <c r="T91" i="89" s="1"/>
  <c r="V45" i="74"/>
  <c r="V8" i="74"/>
  <c r="V8" i="73"/>
  <c r="V7" i="73"/>
  <c r="T7" i="89" s="1"/>
  <c r="T53" i="89" s="1"/>
  <c r="V7" i="74"/>
  <c r="V25" i="73"/>
  <c r="V25" i="74"/>
  <c r="Q19" i="89"/>
  <c r="Q65" i="89" s="1"/>
  <c r="S19" i="73"/>
  <c r="AI38" i="70"/>
  <c r="AI42" i="70"/>
  <c r="AI7" i="70"/>
  <c r="S34" i="73"/>
  <c r="Q34" i="89"/>
  <c r="Q80" i="89" s="1"/>
  <c r="Q36" i="89"/>
  <c r="Q82" i="89" s="1"/>
  <c r="S36" i="73"/>
  <c r="M47" i="74"/>
  <c r="U45" i="70"/>
  <c r="U61" i="70"/>
  <c r="U39" i="70"/>
  <c r="U72" i="70"/>
  <c r="U62" i="70"/>
  <c r="T10" i="73"/>
  <c r="W10" i="72"/>
  <c r="T10" i="74"/>
  <c r="W35" i="72"/>
  <c r="T35" i="73"/>
  <c r="T35" i="74"/>
  <c r="W9" i="72"/>
  <c r="R9" i="89"/>
  <c r="R55" i="89" s="1"/>
  <c r="T9" i="73"/>
  <c r="T9" i="74"/>
  <c r="W38" i="72"/>
  <c r="T38" i="73"/>
  <c r="T38" i="74"/>
  <c r="W23" i="72"/>
  <c r="T23" i="73"/>
  <c r="T23" i="74"/>
  <c r="W23" i="74" s="1"/>
  <c r="Q26" i="89"/>
  <c r="Q72" i="89" s="1"/>
  <c r="M45" i="68"/>
  <c r="W46" i="70"/>
  <c r="W50" i="70"/>
  <c r="W56" i="70"/>
  <c r="W56" i="69"/>
  <c r="V56" i="88" s="1"/>
  <c r="V131" i="88" s="1"/>
  <c r="W31" i="70"/>
  <c r="W64" i="70"/>
  <c r="W67" i="70"/>
  <c r="W39" i="70"/>
  <c r="W39" i="69"/>
  <c r="V39" i="88" s="1"/>
  <c r="V114" i="88" s="1"/>
  <c r="N34" i="74"/>
  <c r="Q34" i="74" s="1"/>
  <c r="Q34" i="72"/>
  <c r="N34" i="73"/>
  <c r="N34" i="89" s="1"/>
  <c r="N80" i="89" s="1"/>
  <c r="N21" i="73"/>
  <c r="N21" i="74"/>
  <c r="Q21" i="72"/>
  <c r="AB21" i="72" s="1"/>
  <c r="N37" i="74"/>
  <c r="Q37" i="74" s="1"/>
  <c r="Q37" i="72"/>
  <c r="AB37" i="72" s="1"/>
  <c r="X37" i="74" s="1"/>
  <c r="N37" i="73"/>
  <c r="N15" i="73"/>
  <c r="N15" i="89" s="1"/>
  <c r="N61" i="89" s="1"/>
  <c r="N15" i="74"/>
  <c r="Q15" i="72"/>
  <c r="Q32" i="72"/>
  <c r="AB32" i="72" s="1"/>
  <c r="N32" i="73"/>
  <c r="N32" i="74"/>
  <c r="Q32" i="74" s="1"/>
  <c r="M16" i="89"/>
  <c r="M62" i="89" s="1"/>
  <c r="M60" i="68"/>
  <c r="AD59" i="68"/>
  <c r="AC59" i="70"/>
  <c r="AD59" i="70" s="1"/>
  <c r="AC58" i="70"/>
  <c r="AD58" i="70" s="1"/>
  <c r="AD58" i="68"/>
  <c r="AD38" i="68"/>
  <c r="AC38" i="70"/>
  <c r="AD38" i="70" s="1"/>
  <c r="AD62" i="68"/>
  <c r="AC62" i="70"/>
  <c r="AD62" i="70" s="1"/>
  <c r="AD22" i="68"/>
  <c r="AC22" i="70"/>
  <c r="AD22" i="70" s="1"/>
  <c r="AD71" i="68"/>
  <c r="AC71" i="70"/>
  <c r="AD71" i="70" s="1"/>
  <c r="AD31" i="68"/>
  <c r="AC31" i="70"/>
  <c r="AD31" i="70" s="1"/>
  <c r="O71" i="69"/>
  <c r="O71" i="88" s="1"/>
  <c r="O146" i="88" s="1"/>
  <c r="O71" i="70"/>
  <c r="O20" i="70"/>
  <c r="O20" i="69"/>
  <c r="O20" i="88" s="1"/>
  <c r="O95" i="88" s="1"/>
  <c r="O26" i="70"/>
  <c r="Q47" i="70"/>
  <c r="Q68" i="70"/>
  <c r="Q40" i="70"/>
  <c r="Q21" i="70"/>
  <c r="Q27" i="70"/>
  <c r="Q62" i="70"/>
  <c r="Q43" i="70"/>
  <c r="V40" i="73"/>
  <c r="T40" i="89" s="1"/>
  <c r="T86" i="89" s="1"/>
  <c r="V40" i="74"/>
  <c r="Q72" i="70"/>
  <c r="AI63" i="69"/>
  <c r="AE63" i="88" s="1"/>
  <c r="AE138" i="88" s="1"/>
  <c r="I11" i="91"/>
  <c r="O26" i="73"/>
  <c r="O26" i="89" s="1"/>
  <c r="O72" i="89" s="1"/>
  <c r="O26" i="74"/>
  <c r="Q26" i="74" s="1"/>
  <c r="O38" i="73"/>
  <c r="O38" i="89" s="1"/>
  <c r="O84" i="89" s="1"/>
  <c r="O38" i="74"/>
  <c r="O11" i="73"/>
  <c r="O11" i="74"/>
  <c r="O45" i="73"/>
  <c r="O45" i="74"/>
  <c r="O45" i="89" s="1"/>
  <c r="O91" i="89" s="1"/>
  <c r="O6" i="73"/>
  <c r="O6" i="74"/>
  <c r="O6" i="89" s="1"/>
  <c r="O52" i="89" s="1"/>
  <c r="Z5" i="88"/>
  <c r="Z80" i="88" s="1"/>
  <c r="AA76" i="70"/>
  <c r="V26" i="73"/>
  <c r="T26" i="89" s="1"/>
  <c r="T72" i="89" s="1"/>
  <c r="V26" i="74"/>
  <c r="V20" i="73"/>
  <c r="T20" i="89" s="1"/>
  <c r="T66" i="89" s="1"/>
  <c r="V20" i="74"/>
  <c r="V9" i="73"/>
  <c r="T9" i="89" s="1"/>
  <c r="T55" i="89" s="1"/>
  <c r="V9" i="74"/>
  <c r="V32" i="73"/>
  <c r="V32" i="74"/>
  <c r="V21" i="73"/>
  <c r="T21" i="89" s="1"/>
  <c r="T67" i="89" s="1"/>
  <c r="V21" i="74"/>
  <c r="M20" i="89"/>
  <c r="M66" i="89" s="1"/>
  <c r="AI39" i="70"/>
  <c r="S24" i="73"/>
  <c r="Q24" i="89"/>
  <c r="Q70" i="89" s="1"/>
  <c r="S76" i="68"/>
  <c r="M29" i="89"/>
  <c r="M75" i="89" s="1"/>
  <c r="S8" i="73"/>
  <c r="Q8" i="89"/>
  <c r="Q54" i="89" s="1"/>
  <c r="S45" i="73"/>
  <c r="Q45" i="89"/>
  <c r="Q91" i="89" s="1"/>
  <c r="U6" i="70"/>
  <c r="U33" i="69"/>
  <c r="T33" i="88" s="1"/>
  <c r="T108" i="88" s="1"/>
  <c r="U33" i="70"/>
  <c r="U46" i="70"/>
  <c r="W11" i="72"/>
  <c r="T11" i="73"/>
  <c r="T11" i="74"/>
  <c r="W11" i="74" s="1"/>
  <c r="T34" i="73"/>
  <c r="T34" i="74"/>
  <c r="W34" i="72"/>
  <c r="W7" i="72"/>
  <c r="T7" i="73"/>
  <c r="T7" i="74"/>
  <c r="W7" i="74" s="1"/>
  <c r="W22" i="72"/>
  <c r="T22" i="73"/>
  <c r="T22" i="74"/>
  <c r="W22" i="74" s="1"/>
  <c r="W43" i="72"/>
  <c r="T43" i="73"/>
  <c r="T43" i="74"/>
  <c r="W21" i="70"/>
  <c r="W43" i="70"/>
  <c r="W47" i="70"/>
  <c r="W22" i="70"/>
  <c r="W65" i="70"/>
  <c r="W33" i="70"/>
  <c r="W68" i="70"/>
  <c r="W40" i="70"/>
  <c r="N11" i="73"/>
  <c r="Q11" i="72"/>
  <c r="AB11" i="72" s="1"/>
  <c r="N11" i="74"/>
  <c r="Q42" i="72"/>
  <c r="AB42" i="72" s="1"/>
  <c r="N42" i="73"/>
  <c r="N42" i="89" s="1"/>
  <c r="N88" i="89" s="1"/>
  <c r="N42" i="74"/>
  <c r="Q42" i="74" s="1"/>
  <c r="N7" i="73"/>
  <c r="N7" i="74"/>
  <c r="Q7" i="72"/>
  <c r="AB7" i="72" s="1"/>
  <c r="Q31" i="72"/>
  <c r="N31" i="73"/>
  <c r="N31" i="74"/>
  <c r="Q31" i="74" s="1"/>
  <c r="Q28" i="72"/>
  <c r="AB28" i="72" s="1"/>
  <c r="N28" i="73"/>
  <c r="N28" i="74"/>
  <c r="Q28" i="74" s="1"/>
  <c r="AC30" i="70"/>
  <c r="AD30" i="70" s="1"/>
  <c r="AD30" i="68"/>
  <c r="AC70" i="70"/>
  <c r="AD70" i="70" s="1"/>
  <c r="AD70" i="68"/>
  <c r="AC42" i="70"/>
  <c r="AD42" i="70" s="1"/>
  <c r="AD42" i="68"/>
  <c r="AD50" i="68"/>
  <c r="AC50" i="70"/>
  <c r="AD50" i="70" s="1"/>
  <c r="AD51" i="68"/>
  <c r="AC51" i="70"/>
  <c r="AD51" i="70" s="1"/>
  <c r="AD73" i="68"/>
  <c r="AC73" i="70"/>
  <c r="AD73" i="70" s="1"/>
  <c r="AD21" i="68"/>
  <c r="AC21" i="70"/>
  <c r="AD21" i="70" s="1"/>
  <c r="AC21" i="69"/>
  <c r="AD5" i="68"/>
  <c r="AC5" i="70"/>
  <c r="AC5" i="69"/>
  <c r="AC76" i="68"/>
  <c r="AC81" i="68" s="1"/>
  <c r="S20" i="73"/>
  <c r="Q20" i="89"/>
  <c r="Q66" i="89" s="1"/>
  <c r="O39" i="69"/>
  <c r="O39" i="70"/>
  <c r="O42" i="69"/>
  <c r="O42" i="70"/>
  <c r="Q71" i="70"/>
  <c r="Q65" i="70"/>
  <c r="Q36" i="70"/>
  <c r="Q5" i="70"/>
  <c r="Q76" i="68"/>
  <c r="Q81" i="68" s="1"/>
  <c r="Q22" i="69" s="1"/>
  <c r="Q22" i="88" s="1"/>
  <c r="Q97" i="88" s="1"/>
  <c r="Q31" i="70"/>
  <c r="Q8" i="70"/>
  <c r="M22" i="89"/>
  <c r="M68" i="89" s="1"/>
  <c r="S30" i="73"/>
  <c r="Q30" i="89"/>
  <c r="Q76" i="89" s="1"/>
  <c r="M66" i="68"/>
  <c r="O30" i="73"/>
  <c r="O30" i="89" s="1"/>
  <c r="O76" i="89" s="1"/>
  <c r="O30" i="74"/>
  <c r="AI54" i="70"/>
  <c r="S5" i="74"/>
  <c r="S47" i="74" s="1"/>
  <c r="R47" i="74"/>
  <c r="W19" i="72"/>
  <c r="T19" i="73"/>
  <c r="T19" i="74"/>
  <c r="W19" i="74" s="1"/>
  <c r="W29" i="70"/>
  <c r="W30" i="70"/>
  <c r="N9" i="73"/>
  <c r="N9" i="89" s="1"/>
  <c r="N55" i="89" s="1"/>
  <c r="Q9" i="72"/>
  <c r="AB9" i="72" s="1"/>
  <c r="X9" i="74" s="1"/>
  <c r="N9" i="74"/>
  <c r="O38" i="69"/>
  <c r="O38" i="70"/>
  <c r="Q69" i="70"/>
  <c r="O7" i="73"/>
  <c r="O7" i="89" s="1"/>
  <c r="O53" i="89" s="1"/>
  <c r="O7" i="74"/>
  <c r="O8" i="73"/>
  <c r="O8" i="89" s="1"/>
  <c r="O54" i="89" s="1"/>
  <c r="O8" i="74"/>
  <c r="O19" i="73"/>
  <c r="O19" i="74"/>
  <c r="O40" i="73"/>
  <c r="O40" i="74"/>
  <c r="O17" i="73"/>
  <c r="O17" i="89" s="1"/>
  <c r="O63" i="89" s="1"/>
  <c r="O17" i="74"/>
  <c r="V15" i="73"/>
  <c r="T15" i="89" s="1"/>
  <c r="T61" i="89" s="1"/>
  <c r="V15" i="74"/>
  <c r="V18" i="73"/>
  <c r="V18" i="74"/>
  <c r="V41" i="73"/>
  <c r="V41" i="74"/>
  <c r="V35" i="73"/>
  <c r="T35" i="89" s="1"/>
  <c r="T81" i="89" s="1"/>
  <c r="V35" i="74"/>
  <c r="V43" i="73"/>
  <c r="T43" i="89" s="1"/>
  <c r="T89" i="89" s="1"/>
  <c r="V43" i="74"/>
  <c r="AI6" i="70"/>
  <c r="AI73" i="70"/>
  <c r="AI51" i="70"/>
  <c r="M7" i="89"/>
  <c r="M53" i="89" s="1"/>
  <c r="Q28" i="89"/>
  <c r="Q74" i="89" s="1"/>
  <c r="M45" i="89"/>
  <c r="M91" i="89" s="1"/>
  <c r="M55" i="70"/>
  <c r="U31" i="70"/>
  <c r="U64" i="70"/>
  <c r="U20" i="70"/>
  <c r="W41" i="72"/>
  <c r="T41" i="73"/>
  <c r="T41" i="74"/>
  <c r="W41" i="74" s="1"/>
  <c r="W13" i="72"/>
  <c r="T13" i="73"/>
  <c r="T13" i="74"/>
  <c r="W40" i="72"/>
  <c r="T40" i="73"/>
  <c r="T40" i="74"/>
  <c r="W40" i="74" s="1"/>
  <c r="T29" i="73"/>
  <c r="T29" i="74"/>
  <c r="W29" i="72"/>
  <c r="T25" i="74"/>
  <c r="W25" i="72"/>
  <c r="T25" i="73"/>
  <c r="S14" i="73"/>
  <c r="Q14" i="89"/>
  <c r="Q60" i="89" s="1"/>
  <c r="W51" i="70"/>
  <c r="W51" i="69"/>
  <c r="V51" i="88" s="1"/>
  <c r="V126" i="88" s="1"/>
  <c r="W44" i="70"/>
  <c r="W48" i="70"/>
  <c r="W52" i="70"/>
  <c r="W62" i="70"/>
  <c r="W62" i="69"/>
  <c r="V62" i="88" s="1"/>
  <c r="V137" i="88" s="1"/>
  <c r="W35" i="70"/>
  <c r="W57" i="69"/>
  <c r="V57" i="88" s="1"/>
  <c r="V132" i="88" s="1"/>
  <c r="W57" i="70"/>
  <c r="W71" i="70"/>
  <c r="N6" i="73"/>
  <c r="N6" i="74"/>
  <c r="Q6" i="74" s="1"/>
  <c r="Q6" i="72"/>
  <c r="AB6" i="72" s="1"/>
  <c r="Q38" i="72"/>
  <c r="AB38" i="72" s="1"/>
  <c r="N38" i="74"/>
  <c r="Q38" i="74" s="1"/>
  <c r="N38" i="73"/>
  <c r="N20" i="73"/>
  <c r="Q20" i="72"/>
  <c r="AB20" i="72" s="1"/>
  <c r="N20" i="74"/>
  <c r="Q33" i="72"/>
  <c r="AB33" i="72" s="1"/>
  <c r="N33" i="73"/>
  <c r="N33" i="74"/>
  <c r="Q33" i="74" s="1"/>
  <c r="N18" i="74"/>
  <c r="Q18" i="74" s="1"/>
  <c r="Q18" i="72"/>
  <c r="AB18" i="72" s="1"/>
  <c r="N18" i="73"/>
  <c r="N18" i="89" s="1"/>
  <c r="N64" i="89" s="1"/>
  <c r="S27" i="73"/>
  <c r="Q27" i="89"/>
  <c r="Q73" i="89" s="1"/>
  <c r="AD55" i="68"/>
  <c r="AC55" i="70"/>
  <c r="AD55" i="70" s="1"/>
  <c r="AC55" i="69"/>
  <c r="AC26" i="70"/>
  <c r="AD26" i="70" s="1"/>
  <c r="AD26" i="68"/>
  <c r="AD8" i="68"/>
  <c r="AC8" i="69"/>
  <c r="AD8" i="69" s="1"/>
  <c r="AC8" i="70"/>
  <c r="AD8" i="70" s="1"/>
  <c r="AA8" i="88"/>
  <c r="AA83" i="88" s="1"/>
  <c r="AC43" i="69"/>
  <c r="AD43" i="69" s="1"/>
  <c r="AD43" i="68"/>
  <c r="AC43" i="70"/>
  <c r="AD43" i="70" s="1"/>
  <c r="AC33" i="69"/>
  <c r="AD33" i="69" s="1"/>
  <c r="AD33" i="68"/>
  <c r="AC33" i="70"/>
  <c r="AD33" i="70" s="1"/>
  <c r="AA33" i="88"/>
  <c r="AA108" i="88" s="1"/>
  <c r="AD32" i="68"/>
  <c r="AC32" i="70"/>
  <c r="AD32" i="70" s="1"/>
  <c r="AD66" i="68"/>
  <c r="AC66" i="70"/>
  <c r="AD66" i="70" s="1"/>
  <c r="AC66" i="69"/>
  <c r="AC72" i="70"/>
  <c r="AD72" i="70" s="1"/>
  <c r="AD72" i="68"/>
  <c r="O40" i="69"/>
  <c r="O40" i="88" s="1"/>
  <c r="O115" i="88" s="1"/>
  <c r="O40" i="70"/>
  <c r="Q64" i="70"/>
  <c r="Q66" i="70"/>
  <c r="Q70" i="70"/>
  <c r="Q30" i="70"/>
  <c r="Q20" i="70"/>
  <c r="Q26" i="70"/>
  <c r="Q25" i="70"/>
  <c r="Q23" i="70"/>
  <c r="Q9" i="89"/>
  <c r="Q55" i="89" s="1"/>
  <c r="S9" i="73"/>
  <c r="O15" i="73"/>
  <c r="O15" i="74"/>
  <c r="O21" i="73"/>
  <c r="O21" i="89" s="1"/>
  <c r="O67" i="89" s="1"/>
  <c r="O21" i="74"/>
  <c r="V44" i="73"/>
  <c r="T44" i="89" s="1"/>
  <c r="T90" i="89" s="1"/>
  <c r="V44" i="74"/>
  <c r="AI72" i="70"/>
  <c r="Q6" i="70"/>
  <c r="O30" i="69"/>
  <c r="O30" i="88" s="1"/>
  <c r="O105" i="88" s="1"/>
  <c r="O33" i="73"/>
  <c r="O33" i="89" s="1"/>
  <c r="O79" i="89" s="1"/>
  <c r="O33" i="74"/>
  <c r="O9" i="73"/>
  <c r="Q9" i="73" s="1"/>
  <c r="O9" i="74"/>
  <c r="O39" i="73"/>
  <c r="O39" i="74"/>
  <c r="O28" i="73"/>
  <c r="O28" i="74"/>
  <c r="O35" i="73"/>
  <c r="O35" i="89" s="1"/>
  <c r="O81" i="89" s="1"/>
  <c r="O35" i="74"/>
  <c r="V10" i="73"/>
  <c r="T10" i="89" s="1"/>
  <c r="T56" i="89" s="1"/>
  <c r="V10" i="74"/>
  <c r="V23" i="73"/>
  <c r="T23" i="89" s="1"/>
  <c r="T69" i="89" s="1"/>
  <c r="V23" i="74"/>
  <c r="V29" i="73"/>
  <c r="T29" i="89" s="1"/>
  <c r="T75" i="89" s="1"/>
  <c r="V29" i="74"/>
  <c r="V36" i="74"/>
  <c r="V36" i="73"/>
  <c r="T36" i="89" s="1"/>
  <c r="T82" i="89" s="1"/>
  <c r="V27" i="73"/>
  <c r="T27" i="89" s="1"/>
  <c r="T73" i="89" s="1"/>
  <c r="V27" i="74"/>
  <c r="M25" i="89"/>
  <c r="M71" i="89" s="1"/>
  <c r="M43" i="89"/>
  <c r="M89" i="89" s="1"/>
  <c r="S11" i="73"/>
  <c r="Q11" i="89"/>
  <c r="Q57" i="89" s="1"/>
  <c r="S13" i="73"/>
  <c r="Q13" i="89"/>
  <c r="Q59" i="89" s="1"/>
  <c r="AI31" i="70"/>
  <c r="AI74" i="70"/>
  <c r="AI66" i="70"/>
  <c r="AI56" i="69"/>
  <c r="AE56" i="88" s="1"/>
  <c r="AE131" i="88" s="1"/>
  <c r="AI56" i="70"/>
  <c r="S33" i="73"/>
  <c r="Q33" i="89"/>
  <c r="Q79" i="89" s="1"/>
  <c r="M42" i="68"/>
  <c r="M9" i="89"/>
  <c r="M55" i="89" s="1"/>
  <c r="S18" i="73"/>
  <c r="Q18" i="89"/>
  <c r="Q64" i="89" s="1"/>
  <c r="U42" i="70"/>
  <c r="U27" i="70"/>
  <c r="W15" i="72"/>
  <c r="T15" i="73"/>
  <c r="T15" i="74"/>
  <c r="W15" i="74" s="1"/>
  <c r="T26" i="74"/>
  <c r="W26" i="74" s="1"/>
  <c r="W26" i="72"/>
  <c r="T26" i="73"/>
  <c r="W42" i="72"/>
  <c r="T42" i="73"/>
  <c r="T42" i="74"/>
  <c r="W42" i="74" s="1"/>
  <c r="W44" i="72"/>
  <c r="T44" i="73"/>
  <c r="T44" i="74"/>
  <c r="W44" i="74" s="1"/>
  <c r="W27" i="72"/>
  <c r="T27" i="73"/>
  <c r="T27" i="74"/>
  <c r="W27" i="74" s="1"/>
  <c r="W8" i="72"/>
  <c r="T8" i="74"/>
  <c r="W8" i="74" s="1"/>
  <c r="T8" i="73"/>
  <c r="M15" i="89"/>
  <c r="M61" i="89" s="1"/>
  <c r="S6" i="73"/>
  <c r="Q6" i="89"/>
  <c r="Q52" i="89" s="1"/>
  <c r="W20" i="70"/>
  <c r="W72" i="70"/>
  <c r="W73" i="70"/>
  <c r="W73" i="69"/>
  <c r="W37" i="70"/>
  <c r="W37" i="69"/>
  <c r="V37" i="88" s="1"/>
  <c r="V112" i="88" s="1"/>
  <c r="W59" i="69"/>
  <c r="V59" i="88" s="1"/>
  <c r="V134" i="88" s="1"/>
  <c r="W59" i="70"/>
  <c r="W5" i="70"/>
  <c r="W76" i="68"/>
  <c r="W81" i="68" s="1"/>
  <c r="W58" i="69" s="1"/>
  <c r="V58" i="88" s="1"/>
  <c r="V133" i="88" s="1"/>
  <c r="W5" i="69"/>
  <c r="W36" i="70"/>
  <c r="W36" i="69"/>
  <c r="M48" i="68"/>
  <c r="Q30" i="72"/>
  <c r="N30" i="73"/>
  <c r="N30" i="74"/>
  <c r="Q30" i="74" s="1"/>
  <c r="Q10" i="72"/>
  <c r="AB10" i="72" s="1"/>
  <c r="N10" i="74"/>
  <c r="N10" i="73"/>
  <c r="Q36" i="72"/>
  <c r="N36" i="73"/>
  <c r="N36" i="89" s="1"/>
  <c r="N82" i="89" s="1"/>
  <c r="N36" i="74"/>
  <c r="Q36" i="74" s="1"/>
  <c r="Q17" i="72"/>
  <c r="AB17" i="72" s="1"/>
  <c r="N17" i="73"/>
  <c r="N17" i="89" s="1"/>
  <c r="N63" i="89" s="1"/>
  <c r="N17" i="74"/>
  <c r="Q45" i="72"/>
  <c r="AB45" i="72" s="1"/>
  <c r="N45" i="74"/>
  <c r="Q45" i="74" s="1"/>
  <c r="N45" i="73"/>
  <c r="M42" i="89"/>
  <c r="M88" i="89" s="1"/>
  <c r="S35" i="73"/>
  <c r="Q35" i="89"/>
  <c r="Q81" i="89" s="1"/>
  <c r="AC41" i="70"/>
  <c r="AD41" i="70" s="1"/>
  <c r="AD41" i="68"/>
  <c r="AC41" i="69"/>
  <c r="AD35" i="68"/>
  <c r="AC35" i="69"/>
  <c r="AD35" i="69" s="1"/>
  <c r="AC35" i="70"/>
  <c r="AD35" i="70" s="1"/>
  <c r="AD39" i="68"/>
  <c r="AC39" i="69"/>
  <c r="AD39" i="69" s="1"/>
  <c r="AC39" i="70"/>
  <c r="AD39" i="70" s="1"/>
  <c r="AA39" i="88"/>
  <c r="AA114" i="88" s="1"/>
  <c r="AD67" i="68"/>
  <c r="AC67" i="70"/>
  <c r="AD67" i="70" s="1"/>
  <c r="AC67" i="69"/>
  <c r="AD67" i="69" s="1"/>
  <c r="AD7" i="68"/>
  <c r="AC7" i="69"/>
  <c r="AD7" i="69" s="1"/>
  <c r="AC7" i="70"/>
  <c r="AD7" i="70" s="1"/>
  <c r="AA7" i="88"/>
  <c r="AA82" i="88" s="1"/>
  <c r="AC53" i="70"/>
  <c r="AD53" i="70" s="1"/>
  <c r="AD53" i="68"/>
  <c r="AC53" i="69"/>
  <c r="AD56" i="68"/>
  <c r="AC56" i="70"/>
  <c r="AD56" i="70" s="1"/>
  <c r="AC56" i="69"/>
  <c r="M61" i="68"/>
  <c r="M11" i="89"/>
  <c r="M57" i="89" s="1"/>
  <c r="S10" i="73"/>
  <c r="Q10" i="89"/>
  <c r="Q56" i="89" s="1"/>
  <c r="O54" i="69"/>
  <c r="O54" i="88" s="1"/>
  <c r="O129" i="88" s="1"/>
  <c r="O54" i="70"/>
  <c r="O55" i="70"/>
  <c r="O55" i="69"/>
  <c r="O55" i="88" s="1"/>
  <c r="O130" i="88" s="1"/>
  <c r="O28" i="69"/>
  <c r="O28" i="70"/>
  <c r="Q60" i="70"/>
  <c r="Q42" i="70"/>
  <c r="Q7" i="70"/>
  <c r="Q28" i="70"/>
  <c r="Q49" i="70"/>
  <c r="Q46" i="70"/>
  <c r="Q38" i="70"/>
  <c r="Q39" i="70"/>
  <c r="Y9" i="70"/>
  <c r="Y12" i="70"/>
  <c r="Y14" i="70"/>
  <c r="Y19" i="70"/>
  <c r="Y11" i="70"/>
  <c r="Y18" i="70"/>
  <c r="Y16" i="70"/>
  <c r="Y17" i="70"/>
  <c r="Y13" i="70"/>
  <c r="Y24" i="70"/>
  <c r="Y10" i="70"/>
  <c r="Y15" i="70"/>
  <c r="V30" i="73"/>
  <c r="V30" i="74"/>
  <c r="AI44" i="70"/>
  <c r="AI5" i="70"/>
  <c r="AI76" i="68"/>
  <c r="AI81" i="68" s="1"/>
  <c r="AI7" i="69" s="1"/>
  <c r="AE7" i="88" s="1"/>
  <c r="AE82" i="88" s="1"/>
  <c r="Y5" i="88"/>
  <c r="Y80" i="88" s="1"/>
  <c r="Z76" i="70"/>
  <c r="S38" i="73"/>
  <c r="Q38" i="89"/>
  <c r="Q84" i="89" s="1"/>
  <c r="U58" i="70"/>
  <c r="W16" i="72"/>
  <c r="T16" i="73"/>
  <c r="T16" i="74"/>
  <c r="W16" i="74" s="1"/>
  <c r="S7" i="73"/>
  <c r="Q7" i="89"/>
  <c r="Q53" i="89" s="1"/>
  <c r="W54" i="70"/>
  <c r="W54" i="69"/>
  <c r="N41" i="73"/>
  <c r="Q41" i="72"/>
  <c r="AB41" i="72" s="1"/>
  <c r="N41" i="74"/>
  <c r="AC34" i="70"/>
  <c r="AD34" i="70" s="1"/>
  <c r="AD34" i="68"/>
  <c r="AC34" i="69"/>
  <c r="AD34" i="69" s="1"/>
  <c r="O24" i="73"/>
  <c r="O24" i="89" s="1"/>
  <c r="O70" i="89" s="1"/>
  <c r="O24" i="74"/>
  <c r="O12" i="74"/>
  <c r="O12" i="73"/>
  <c r="O22" i="73"/>
  <c r="O22" i="74"/>
  <c r="O16" i="73"/>
  <c r="O16" i="89" s="1"/>
  <c r="O62" i="89" s="1"/>
  <c r="O16" i="74"/>
  <c r="O32" i="73"/>
  <c r="O32" i="89" s="1"/>
  <c r="O78" i="89" s="1"/>
  <c r="O32" i="74"/>
  <c r="V38" i="74"/>
  <c r="V38" i="73"/>
  <c r="V13" i="73"/>
  <c r="V13" i="74"/>
  <c r="V31" i="74"/>
  <c r="V31" i="73"/>
  <c r="T31" i="89" s="1"/>
  <c r="T77" i="89" s="1"/>
  <c r="V39" i="73"/>
  <c r="V39" i="74"/>
  <c r="V34" i="74"/>
  <c r="V34" i="73"/>
  <c r="AI48" i="70"/>
  <c r="AI55" i="70"/>
  <c r="AI70" i="70"/>
  <c r="AI57" i="70"/>
  <c r="AI57" i="69"/>
  <c r="S15" i="73"/>
  <c r="Q15" i="89"/>
  <c r="Q61" i="89" s="1"/>
  <c r="S40" i="73"/>
  <c r="Q40" i="89"/>
  <c r="Q86" i="89" s="1"/>
  <c r="Y41" i="68"/>
  <c r="Y37" i="68"/>
  <c r="Y28" i="68"/>
  <c r="Y66" i="68"/>
  <c r="Y54" i="68"/>
  <c r="Y71" i="68"/>
  <c r="Y52" i="68"/>
  <c r="Y48" i="68"/>
  <c r="Y33" i="68"/>
  <c r="Y22" i="68"/>
  <c r="Y59" i="68"/>
  <c r="Y55" i="68"/>
  <c r="Y56" i="68"/>
  <c r="Y51" i="68"/>
  <c r="Y40" i="68"/>
  <c r="Y29" i="68"/>
  <c r="Y8" i="68"/>
  <c r="Y60" i="68"/>
  <c r="Y49" i="68"/>
  <c r="Y53" i="68"/>
  <c r="Y65" i="68"/>
  <c r="Y34" i="68"/>
  <c r="Y23" i="68"/>
  <c r="Y35" i="68"/>
  <c r="Y35" i="70" s="1"/>
  <c r="Y45" i="68"/>
  <c r="Y62" i="68"/>
  <c r="Y61" i="68"/>
  <c r="Y73" i="68"/>
  <c r="Y73" i="70" s="1"/>
  <c r="Y43" i="68"/>
  <c r="Y30" i="68"/>
  <c r="Y30" i="70" s="1"/>
  <c r="Y25" i="68"/>
  <c r="Y25" i="70" s="1"/>
  <c r="Y31" i="68"/>
  <c r="Y31" i="70" s="1"/>
  <c r="Y46" i="68"/>
  <c r="Y63" i="68"/>
  <c r="Y70" i="68"/>
  <c r="Y70" i="70" s="1"/>
  <c r="Y64" i="68"/>
  <c r="Y64" i="70" s="1"/>
  <c r="Y39" i="68"/>
  <c r="Y39" i="70" s="1"/>
  <c r="Y26" i="68"/>
  <c r="Y26" i="70" s="1"/>
  <c r="Y5" i="68"/>
  <c r="Y27" i="68"/>
  <c r="Y27" i="70" s="1"/>
  <c r="Y74" i="68"/>
  <c r="Y74" i="70" s="1"/>
  <c r="Y47" i="68"/>
  <c r="Y47" i="70" s="1"/>
  <c r="Y50" i="68"/>
  <c r="Y50" i="70" s="1"/>
  <c r="Y72" i="68"/>
  <c r="Y72" i="70" s="1"/>
  <c r="Y42" i="68"/>
  <c r="Y42" i="70" s="1"/>
  <c r="Y20" i="68"/>
  <c r="Y36" i="68"/>
  <c r="Y36" i="70" s="1"/>
  <c r="Y21" i="68"/>
  <c r="Y67" i="68"/>
  <c r="Y67" i="70" s="1"/>
  <c r="Y57" i="68"/>
  <c r="Y69" i="68"/>
  <c r="Y38" i="68"/>
  <c r="Y6" i="68"/>
  <c r="Y32" i="68"/>
  <c r="Y7" i="68"/>
  <c r="Y68" i="68"/>
  <c r="Y44" i="68"/>
  <c r="Y58" i="68"/>
  <c r="M27" i="89"/>
  <c r="M73" i="89" s="1"/>
  <c r="S16" i="73"/>
  <c r="Q16" i="89"/>
  <c r="Q62" i="89" s="1"/>
  <c r="U5" i="70"/>
  <c r="U76" i="68"/>
  <c r="U81" i="68" s="1"/>
  <c r="U51" i="69" s="1"/>
  <c r="U71" i="70"/>
  <c r="U38" i="70"/>
  <c r="T24" i="74"/>
  <c r="W24" i="74" s="1"/>
  <c r="W24" i="72"/>
  <c r="T24" i="73"/>
  <c r="W33" i="72"/>
  <c r="T33" i="73"/>
  <c r="T33" i="74"/>
  <c r="W33" i="74" s="1"/>
  <c r="T36" i="73"/>
  <c r="W36" i="72"/>
  <c r="T36" i="74"/>
  <c r="W36" i="74" s="1"/>
  <c r="W31" i="72"/>
  <c r="T31" i="73"/>
  <c r="T31" i="74"/>
  <c r="T5" i="74"/>
  <c r="T47" i="72"/>
  <c r="W5" i="72"/>
  <c r="T5" i="73"/>
  <c r="M14" i="89"/>
  <c r="M60" i="89" s="1"/>
  <c r="W63" i="70"/>
  <c r="W63" i="69"/>
  <c r="W8" i="70"/>
  <c r="W8" i="69"/>
  <c r="V8" i="88" s="1"/>
  <c r="V83" i="88" s="1"/>
  <c r="W70" i="69"/>
  <c r="W70" i="70"/>
  <c r="V70" i="88" s="1"/>
  <c r="V145" i="88" s="1"/>
  <c r="W61" i="70"/>
  <c r="W61" i="69"/>
  <c r="V61" i="88" s="1"/>
  <c r="V136" i="88" s="1"/>
  <c r="W60" i="70"/>
  <c r="W60" i="69"/>
  <c r="W25" i="70"/>
  <c r="W25" i="69"/>
  <c r="N47" i="72"/>
  <c r="Q5" i="72"/>
  <c r="N5" i="73"/>
  <c r="N5" i="74"/>
  <c r="N40" i="74"/>
  <c r="Q40" i="74" s="1"/>
  <c r="Q40" i="72"/>
  <c r="AB40" i="72" s="1"/>
  <c r="N40" i="73"/>
  <c r="N40" i="89" s="1"/>
  <c r="N86" i="89" s="1"/>
  <c r="N43" i="73"/>
  <c r="N43" i="74"/>
  <c r="Q43" i="72"/>
  <c r="Q39" i="72"/>
  <c r="N39" i="73"/>
  <c r="N39" i="89" s="1"/>
  <c r="N85" i="89" s="1"/>
  <c r="N39" i="74"/>
  <c r="Q39" i="74" s="1"/>
  <c r="N8" i="73"/>
  <c r="N8" i="74"/>
  <c r="Q8" i="74" s="1"/>
  <c r="Q8" i="72"/>
  <c r="AB8" i="72" s="1"/>
  <c r="S21" i="73"/>
  <c r="Q21" i="89"/>
  <c r="Q67" i="89" s="1"/>
  <c r="AD69" i="68"/>
  <c r="AC69" i="70"/>
  <c r="AD69" i="70" s="1"/>
  <c r="AC69" i="69"/>
  <c r="AC25" i="70"/>
  <c r="AD25" i="70" s="1"/>
  <c r="AC25" i="69"/>
  <c r="AD25" i="69" s="1"/>
  <c r="AD25" i="68"/>
  <c r="AA25" i="88"/>
  <c r="AA100" i="88" s="1"/>
  <c r="AC29" i="69"/>
  <c r="AD29" i="69" s="1"/>
  <c r="AC29" i="70"/>
  <c r="AD29" i="70" s="1"/>
  <c r="AD29" i="68"/>
  <c r="AD52" i="68"/>
  <c r="AC52" i="69"/>
  <c r="AD52" i="69" s="1"/>
  <c r="AC52" i="70"/>
  <c r="AD52" i="70" s="1"/>
  <c r="AA52" i="88"/>
  <c r="AA127" i="88" s="1"/>
  <c r="AD28" i="68"/>
  <c r="AC28" i="69"/>
  <c r="AD28" i="69" s="1"/>
  <c r="AC28" i="70"/>
  <c r="AD28" i="70" s="1"/>
  <c r="AD6" i="68"/>
  <c r="AC6" i="70"/>
  <c r="AD6" i="70" s="1"/>
  <c r="AC6" i="69"/>
  <c r="AD47" i="68"/>
  <c r="AC47" i="70"/>
  <c r="AD47" i="70" s="1"/>
  <c r="AC47" i="69"/>
  <c r="D15" i="91"/>
  <c r="E15" i="91"/>
  <c r="L15" i="91"/>
  <c r="K15" i="91"/>
  <c r="G15" i="91"/>
  <c r="F15" i="91"/>
  <c r="C15" i="91"/>
  <c r="J15" i="91"/>
  <c r="M15" i="91"/>
  <c r="B15" i="91"/>
  <c r="H15" i="91"/>
  <c r="I15" i="91"/>
  <c r="L5" i="70"/>
  <c r="L76" i="70" s="1"/>
  <c r="L76" i="68"/>
  <c r="L81" i="68" s="1"/>
  <c r="L73" i="69" s="1"/>
  <c r="L73" i="88" s="1"/>
  <c r="L148" i="88" s="1"/>
  <c r="O56" i="69"/>
  <c r="O56" i="88" s="1"/>
  <c r="O131" i="88" s="1"/>
  <c r="O56" i="70"/>
  <c r="Q67" i="70"/>
  <c r="Q34" i="70"/>
  <c r="Q32" i="70"/>
  <c r="Q52" i="70"/>
  <c r="Q54" i="70"/>
  <c r="Q37" i="70"/>
  <c r="Q50" i="70"/>
  <c r="M34" i="68"/>
  <c r="Q30" i="73"/>
  <c r="L30" i="89"/>
  <c r="L76" i="89" s="1"/>
  <c r="Q45" i="73"/>
  <c r="L45" i="89"/>
  <c r="L91" i="89" s="1"/>
  <c r="Q19" i="73"/>
  <c r="L19" i="89"/>
  <c r="L65" i="89" s="1"/>
  <c r="Q6" i="73"/>
  <c r="L6" i="89"/>
  <c r="L52" i="89" s="1"/>
  <c r="L8" i="89"/>
  <c r="L54" i="89" s="1"/>
  <c r="Q26" i="73"/>
  <c r="L26" i="89"/>
  <c r="L72" i="89" s="1"/>
  <c r="Q11" i="73"/>
  <c r="L11" i="89"/>
  <c r="L57" i="89" s="1"/>
  <c r="L42" i="89"/>
  <c r="L88" i="89" s="1"/>
  <c r="T15" i="90"/>
  <c r="T14" i="90"/>
  <c r="Q44" i="73"/>
  <c r="L44" i="89"/>
  <c r="L90" i="89" s="1"/>
  <c r="Q38" i="73"/>
  <c r="L38" i="89"/>
  <c r="L84" i="89" s="1"/>
  <c r="Q29" i="73"/>
  <c r="L29" i="89"/>
  <c r="L75" i="89" s="1"/>
  <c r="L39" i="89"/>
  <c r="L85" i="89" s="1"/>
  <c r="Q43" i="73"/>
  <c r="L43" i="89"/>
  <c r="L89" i="89" s="1"/>
  <c r="Q32" i="73"/>
  <c r="L32" i="89"/>
  <c r="L78" i="89" s="1"/>
  <c r="L36" i="89"/>
  <c r="L82" i="89" s="1"/>
  <c r="Q17" i="73"/>
  <c r="L17" i="89"/>
  <c r="L63" i="89" s="1"/>
  <c r="Q34" i="73"/>
  <c r="L34" i="89"/>
  <c r="L80" i="89" s="1"/>
  <c r="L11" i="91"/>
  <c r="Q21" i="73"/>
  <c r="L21" i="89"/>
  <c r="L67" i="89" s="1"/>
  <c r="L9" i="89"/>
  <c r="L55" i="89" s="1"/>
  <c r="L23" i="89"/>
  <c r="L69" i="89" s="1"/>
  <c r="Q16" i="73"/>
  <c r="L16" i="89"/>
  <c r="L62" i="89" s="1"/>
  <c r="L14" i="89"/>
  <c r="L60" i="89" s="1"/>
  <c r="Q20" i="73"/>
  <c r="L20" i="89"/>
  <c r="L66" i="89" s="1"/>
  <c r="Q12" i="73"/>
  <c r="L12" i="89"/>
  <c r="L58" i="89" s="1"/>
  <c r="B7" i="91" s="1"/>
  <c r="B13" i="91" s="1"/>
  <c r="Q35" i="73"/>
  <c r="L35" i="89"/>
  <c r="L81" i="89" s="1"/>
  <c r="Q15" i="73"/>
  <c r="L15" i="89"/>
  <c r="L61" i="89" s="1"/>
  <c r="Q28" i="73"/>
  <c r="L28" i="89"/>
  <c r="L74" i="89" s="1"/>
  <c r="L25" i="89"/>
  <c r="L71" i="89" s="1"/>
  <c r="Q7" i="73"/>
  <c r="L7" i="89"/>
  <c r="L53" i="89" s="1"/>
  <c r="L7" i="91"/>
  <c r="L13" i="91" s="1"/>
  <c r="Q10" i="73"/>
  <c r="L10" i="89"/>
  <c r="L56" i="89" s="1"/>
  <c r="Q24" i="73"/>
  <c r="L24" i="89"/>
  <c r="L70" i="89" s="1"/>
  <c r="B9" i="91"/>
  <c r="B11" i="91"/>
  <c r="X28" i="74"/>
  <c r="Y28" i="74" s="1"/>
  <c r="X45" i="74"/>
  <c r="X41" i="74"/>
  <c r="Y41" i="74" s="1"/>
  <c r="F15" i="90"/>
  <c r="F14" i="90"/>
  <c r="Q13" i="73"/>
  <c r="L13" i="89"/>
  <c r="L59" i="89" s="1"/>
  <c r="Q33" i="73"/>
  <c r="L33" i="89"/>
  <c r="L79" i="89" s="1"/>
  <c r="L47" i="74"/>
  <c r="Q18" i="73"/>
  <c r="L18" i="89"/>
  <c r="L64" i="89" s="1"/>
  <c r="Q40" i="73"/>
  <c r="L40" i="89"/>
  <c r="L86" i="89" s="1"/>
  <c r="L37" i="89"/>
  <c r="L83" i="89" s="1"/>
  <c r="Q41" i="73"/>
  <c r="L41" i="89"/>
  <c r="L87" i="89" s="1"/>
  <c r="Q31" i="73"/>
  <c r="L31" i="89"/>
  <c r="L77" i="89" s="1"/>
  <c r="Y45" i="74"/>
  <c r="AB45" i="74" s="1"/>
  <c r="S33" i="93" s="1"/>
  <c r="E43" i="5"/>
  <c r="X49" i="74"/>
  <c r="X49" i="73"/>
  <c r="X49" i="71"/>
  <c r="X49" i="72"/>
  <c r="X52" i="72" s="1"/>
  <c r="X17" i="74"/>
  <c r="L47" i="73"/>
  <c r="X11" i="74"/>
  <c r="X10" i="74"/>
  <c r="X40" i="73"/>
  <c r="Y40" i="73" s="1"/>
  <c r="X40" i="74"/>
  <c r="X21" i="74"/>
  <c r="X38" i="74"/>
  <c r="X42" i="74"/>
  <c r="AE78" i="70"/>
  <c r="AE78" i="69"/>
  <c r="AO77" i="69" s="1"/>
  <c r="AE78" i="68"/>
  <c r="X20" i="74"/>
  <c r="X18" i="73"/>
  <c r="Y18" i="73" s="1"/>
  <c r="X18" i="74"/>
  <c r="X8" i="74"/>
  <c r="E23" i="5"/>
  <c r="AE80" i="67"/>
  <c r="E46" i="5"/>
  <c r="T51" i="88" l="1"/>
  <c r="T126" i="88" s="1"/>
  <c r="W13" i="74"/>
  <c r="M66" i="70"/>
  <c r="X19" i="74"/>
  <c r="Y19" i="74" s="1"/>
  <c r="W18" i="73"/>
  <c r="R18" i="89"/>
  <c r="R64" i="89" s="1"/>
  <c r="M20" i="70"/>
  <c r="M20" i="69"/>
  <c r="M20" i="88" s="1"/>
  <c r="M95" i="88" s="1"/>
  <c r="R32" i="89"/>
  <c r="R78" i="89" s="1"/>
  <c r="W32" i="73"/>
  <c r="AB18" i="73"/>
  <c r="AB28" i="74"/>
  <c r="S17" i="93" s="1"/>
  <c r="Q14" i="73"/>
  <c r="Q54" i="69"/>
  <c r="Q54" i="88" s="1"/>
  <c r="Q129" i="88" s="1"/>
  <c r="Q67" i="69"/>
  <c r="Q67" i="88" s="1"/>
  <c r="Q142" i="88" s="1"/>
  <c r="AA28" i="88"/>
  <c r="AA103" i="88" s="1"/>
  <c r="AA29" i="88"/>
  <c r="AA104" i="88" s="1"/>
  <c r="AD69" i="69"/>
  <c r="AA69" i="88"/>
  <c r="AA144" i="88" s="1"/>
  <c r="V63" i="88"/>
  <c r="V138" i="88" s="1"/>
  <c r="R31" i="89"/>
  <c r="R77" i="89" s="1"/>
  <c r="W31" i="73"/>
  <c r="R24" i="89"/>
  <c r="R70" i="89" s="1"/>
  <c r="W24" i="73"/>
  <c r="U76" i="70"/>
  <c r="Y32" i="70"/>
  <c r="Y20" i="70"/>
  <c r="Y34" i="70"/>
  <c r="Y51" i="70"/>
  <c r="Y71" i="70"/>
  <c r="AI48" i="69"/>
  <c r="AE48" i="88" s="1"/>
  <c r="AE123" i="88" s="1"/>
  <c r="Q46" i="69"/>
  <c r="Q46" i="88" s="1"/>
  <c r="Q121" i="88" s="1"/>
  <c r="Q42" i="69"/>
  <c r="Q42" i="88" s="1"/>
  <c r="Q117" i="88" s="1"/>
  <c r="AA67" i="88"/>
  <c r="AA142" i="88" s="1"/>
  <c r="AA35" i="88"/>
  <c r="AA110" i="88" s="1"/>
  <c r="AB30" i="72"/>
  <c r="R27" i="89"/>
  <c r="R73" i="89" s="1"/>
  <c r="W27" i="73"/>
  <c r="W26" i="73"/>
  <c r="R26" i="89"/>
  <c r="R72" i="89" s="1"/>
  <c r="O9" i="89"/>
  <c r="O55" i="89" s="1"/>
  <c r="N38" i="89"/>
  <c r="N84" i="89" s="1"/>
  <c r="W48" i="69"/>
  <c r="V48" i="88" s="1"/>
  <c r="V123" i="88" s="1"/>
  <c r="W25" i="73"/>
  <c r="R25" i="89"/>
  <c r="R71" i="89" s="1"/>
  <c r="U20" i="69"/>
  <c r="Q9" i="74"/>
  <c r="Q71" i="69"/>
  <c r="Q71" i="88" s="1"/>
  <c r="Q146" i="88" s="1"/>
  <c r="AC27" i="69"/>
  <c r="AC17" i="69"/>
  <c r="AC13" i="69"/>
  <c r="AC10" i="69"/>
  <c r="AC24" i="69"/>
  <c r="AC19" i="69"/>
  <c r="AC12" i="69"/>
  <c r="AC14" i="69"/>
  <c r="AC76" i="69" s="1"/>
  <c r="AC16" i="69"/>
  <c r="AC11" i="69"/>
  <c r="AC9" i="69"/>
  <c r="AC15" i="69"/>
  <c r="AC18" i="69"/>
  <c r="AC73" i="69"/>
  <c r="W68" i="69"/>
  <c r="V68" i="88" s="1"/>
  <c r="V143" i="88" s="1"/>
  <c r="R43" i="89"/>
  <c r="R89" i="89" s="1"/>
  <c r="W43" i="73"/>
  <c r="C7" i="91"/>
  <c r="C13" i="91" s="1"/>
  <c r="O26" i="69"/>
  <c r="O26" i="88" s="1"/>
  <c r="O101" i="88" s="1"/>
  <c r="AC71" i="69"/>
  <c r="AC62" i="69"/>
  <c r="AC58" i="69"/>
  <c r="N37" i="89"/>
  <c r="N83" i="89" s="1"/>
  <c r="W9" i="73"/>
  <c r="R10" i="89"/>
  <c r="R56" i="89" s="1"/>
  <c r="W10" i="73"/>
  <c r="U61" i="69"/>
  <c r="L61" i="69"/>
  <c r="L61" i="88" s="1"/>
  <c r="L136" i="88" s="1"/>
  <c r="AB24" i="72"/>
  <c r="O69" i="69"/>
  <c r="O69" i="88" s="1"/>
  <c r="O144" i="88" s="1"/>
  <c r="R39" i="89"/>
  <c r="R85" i="89" s="1"/>
  <c r="W39" i="73"/>
  <c r="W18" i="74"/>
  <c r="M36" i="70"/>
  <c r="M32" i="70"/>
  <c r="M29" i="70"/>
  <c r="M29" i="69"/>
  <c r="M29" i="88" s="1"/>
  <c r="M104" i="88" s="1"/>
  <c r="Q63" i="69"/>
  <c r="Q63" i="88" s="1"/>
  <c r="Q138" i="88" s="1"/>
  <c r="Q33" i="69"/>
  <c r="Q33" i="88" s="1"/>
  <c r="Q108" i="88" s="1"/>
  <c r="O27" i="69"/>
  <c r="O27" i="88" s="1"/>
  <c r="O102" i="88" s="1"/>
  <c r="AC57" i="69"/>
  <c r="AB13" i="72"/>
  <c r="N27" i="89"/>
  <c r="N73" i="89" s="1"/>
  <c r="Q27" i="73"/>
  <c r="W32" i="74"/>
  <c r="R30" i="89"/>
  <c r="R76" i="89" s="1"/>
  <c r="W30" i="73"/>
  <c r="O60" i="69"/>
  <c r="O60" i="88" s="1"/>
  <c r="O135" i="88" s="1"/>
  <c r="Y54" i="70"/>
  <c r="Q26" i="69"/>
  <c r="Q26" i="88" s="1"/>
  <c r="Q101" i="88" s="1"/>
  <c r="Q40" i="69"/>
  <c r="Q40" i="88" s="1"/>
  <c r="Q115" i="88" s="1"/>
  <c r="Q25" i="73"/>
  <c r="Q52" i="69"/>
  <c r="Q52" i="88" s="1"/>
  <c r="Q127" i="88" s="1"/>
  <c r="AD47" i="69"/>
  <c r="AA47" i="88"/>
  <c r="AA122" i="88" s="1"/>
  <c r="AB39" i="72"/>
  <c r="N5" i="89"/>
  <c r="N51" i="89" s="1"/>
  <c r="N47" i="73"/>
  <c r="Q5" i="73"/>
  <c r="Y38" i="70"/>
  <c r="Y53" i="70"/>
  <c r="Y55" i="70"/>
  <c r="Y66" i="70"/>
  <c r="AE57" i="88"/>
  <c r="AE132" i="88" s="1"/>
  <c r="T34" i="89"/>
  <c r="T80" i="89" s="1"/>
  <c r="T13" i="89"/>
  <c r="T59" i="89" s="1"/>
  <c r="O22" i="89"/>
  <c r="O68" i="89" s="1"/>
  <c r="N41" i="89"/>
  <c r="N87" i="89" s="1"/>
  <c r="Q41" i="74"/>
  <c r="AB41" i="74" s="1"/>
  <c r="S29" i="93" s="1"/>
  <c r="R16" i="89"/>
  <c r="R62" i="89" s="1"/>
  <c r="W16" i="73"/>
  <c r="AI22" i="69"/>
  <c r="AE22" i="88" s="1"/>
  <c r="AE97" i="88" s="1"/>
  <c r="AI32" i="69"/>
  <c r="AE32" i="88" s="1"/>
  <c r="AE107" i="88" s="1"/>
  <c r="AI60" i="69"/>
  <c r="AE60" i="88" s="1"/>
  <c r="AE135" i="88" s="1"/>
  <c r="AI35" i="69"/>
  <c r="AE35" i="88" s="1"/>
  <c r="AE110" i="88" s="1"/>
  <c r="AI16" i="69"/>
  <c r="AE16" i="88" s="1"/>
  <c r="AE91" i="88" s="1"/>
  <c r="AI14" i="69"/>
  <c r="AE14" i="88" s="1"/>
  <c r="AE89" i="88" s="1"/>
  <c r="AI37" i="69"/>
  <c r="AE37" i="88" s="1"/>
  <c r="AE112" i="88" s="1"/>
  <c r="AI68" i="69"/>
  <c r="AE68" i="88" s="1"/>
  <c r="AE143" i="88" s="1"/>
  <c r="AI58" i="69"/>
  <c r="AE58" i="88" s="1"/>
  <c r="AE133" i="88" s="1"/>
  <c r="AI9" i="69"/>
  <c r="AE9" i="88" s="1"/>
  <c r="AE84" i="88" s="1"/>
  <c r="AI10" i="69"/>
  <c r="AE10" i="88" s="1"/>
  <c r="AE85" i="88" s="1"/>
  <c r="AI69" i="69"/>
  <c r="AE69" i="88" s="1"/>
  <c r="AE144" i="88" s="1"/>
  <c r="AI52" i="69"/>
  <c r="AE52" i="88" s="1"/>
  <c r="AE127" i="88" s="1"/>
  <c r="AI71" i="69"/>
  <c r="AE71" i="88" s="1"/>
  <c r="AE146" i="88" s="1"/>
  <c r="AI26" i="69"/>
  <c r="AE26" i="88" s="1"/>
  <c r="AE101" i="88" s="1"/>
  <c r="AI64" i="69"/>
  <c r="AE64" i="88" s="1"/>
  <c r="AE139" i="88" s="1"/>
  <c r="AI21" i="69"/>
  <c r="AE21" i="88" s="1"/>
  <c r="AE96" i="88" s="1"/>
  <c r="AI18" i="69"/>
  <c r="AE18" i="88" s="1"/>
  <c r="AE93" i="88" s="1"/>
  <c r="AI24" i="69"/>
  <c r="AE24" i="88" s="1"/>
  <c r="AE99" i="88" s="1"/>
  <c r="AI65" i="69"/>
  <c r="AE65" i="88" s="1"/>
  <c r="AE140" i="88" s="1"/>
  <c r="AI43" i="69"/>
  <c r="AE43" i="88" s="1"/>
  <c r="AE118" i="88" s="1"/>
  <c r="AI49" i="69"/>
  <c r="AE49" i="88" s="1"/>
  <c r="AE124" i="88" s="1"/>
  <c r="AI46" i="69"/>
  <c r="AE46" i="88" s="1"/>
  <c r="AE121" i="88" s="1"/>
  <c r="AI11" i="69"/>
  <c r="AE11" i="88" s="1"/>
  <c r="AE86" i="88" s="1"/>
  <c r="AI61" i="69"/>
  <c r="AE61" i="88" s="1"/>
  <c r="AE136" i="88" s="1"/>
  <c r="AI62" i="69"/>
  <c r="AE62" i="88" s="1"/>
  <c r="AE137" i="88" s="1"/>
  <c r="AI50" i="69"/>
  <c r="AE50" i="88" s="1"/>
  <c r="AE125" i="88" s="1"/>
  <c r="AI33" i="69"/>
  <c r="AE33" i="88" s="1"/>
  <c r="AE108" i="88" s="1"/>
  <c r="AI13" i="69"/>
  <c r="AE13" i="88" s="1"/>
  <c r="AE88" i="88" s="1"/>
  <c r="AI15" i="69"/>
  <c r="AE15" i="88" s="1"/>
  <c r="AE90" i="88" s="1"/>
  <c r="AI20" i="69"/>
  <c r="AE20" i="88" s="1"/>
  <c r="AE95" i="88" s="1"/>
  <c r="AI17" i="69"/>
  <c r="AE17" i="88" s="1"/>
  <c r="AE92" i="88" s="1"/>
  <c r="AI19" i="69"/>
  <c r="AE19" i="88" s="1"/>
  <c r="AE94" i="88" s="1"/>
  <c r="AI67" i="69"/>
  <c r="AE67" i="88" s="1"/>
  <c r="AE142" i="88" s="1"/>
  <c r="AI28" i="69"/>
  <c r="AE28" i="88" s="1"/>
  <c r="AE103" i="88" s="1"/>
  <c r="AI47" i="69"/>
  <c r="AE47" i="88" s="1"/>
  <c r="AE122" i="88" s="1"/>
  <c r="AI27" i="69"/>
  <c r="AE27" i="88" s="1"/>
  <c r="AE102" i="88" s="1"/>
  <c r="AI12" i="69"/>
  <c r="AE12" i="88" s="1"/>
  <c r="AE87" i="88" s="1"/>
  <c r="AI41" i="69"/>
  <c r="AE41" i="88" s="1"/>
  <c r="AE116" i="88" s="1"/>
  <c r="AI45" i="69"/>
  <c r="AE45" i="88" s="1"/>
  <c r="AE120" i="88" s="1"/>
  <c r="AI53" i="69"/>
  <c r="AE53" i="88" s="1"/>
  <c r="AE128" i="88" s="1"/>
  <c r="Q49" i="69"/>
  <c r="Q49" i="88" s="1"/>
  <c r="Q124" i="88" s="1"/>
  <c r="Q60" i="69"/>
  <c r="Q60" i="88" s="1"/>
  <c r="Q135" i="88" s="1"/>
  <c r="N45" i="89"/>
  <c r="N91" i="89" s="1"/>
  <c r="AB36" i="72"/>
  <c r="V36" i="88"/>
  <c r="V111" i="88" s="1"/>
  <c r="AI66" i="69"/>
  <c r="AE66" i="88" s="1"/>
  <c r="AE141" i="88" s="1"/>
  <c r="O15" i="89"/>
  <c r="O61" i="89" s="1"/>
  <c r="AA66" i="88"/>
  <c r="AA141" i="88" s="1"/>
  <c r="AD66" i="69"/>
  <c r="W35" i="69"/>
  <c r="V35" i="88" s="1"/>
  <c r="V110" i="88" s="1"/>
  <c r="W44" i="69"/>
  <c r="V44" i="88" s="1"/>
  <c r="V119" i="88" s="1"/>
  <c r="W25" i="74"/>
  <c r="R13" i="89"/>
  <c r="R59" i="89" s="1"/>
  <c r="W13" i="73"/>
  <c r="Q5" i="69"/>
  <c r="AD5" i="70"/>
  <c r="AD76" i="70" s="1"/>
  <c r="AC76" i="70"/>
  <c r="W33" i="69"/>
  <c r="V33" i="88" s="1"/>
  <c r="V108" i="88" s="1"/>
  <c r="W47" i="69"/>
  <c r="V47" i="88" s="1"/>
  <c r="V122" i="88" s="1"/>
  <c r="W34" i="73"/>
  <c r="T32" i="89"/>
  <c r="T78" i="89" s="1"/>
  <c r="P9" i="90"/>
  <c r="P11" i="90"/>
  <c r="P7" i="90"/>
  <c r="P13" i="90" s="1"/>
  <c r="O11" i="89"/>
  <c r="O57" i="89" s="1"/>
  <c r="AI40" i="69"/>
  <c r="AE40" i="88" s="1"/>
  <c r="AE115" i="88" s="1"/>
  <c r="N32" i="89"/>
  <c r="N78" i="89" s="1"/>
  <c r="W23" i="73"/>
  <c r="R23" i="89"/>
  <c r="R69" i="89" s="1"/>
  <c r="T25" i="89"/>
  <c r="T71" i="89" s="1"/>
  <c r="T16" i="89"/>
  <c r="T62" i="89" s="1"/>
  <c r="O37" i="89"/>
  <c r="O83" i="89" s="1"/>
  <c r="N24" i="89"/>
  <c r="N70" i="89" s="1"/>
  <c r="R28" i="89"/>
  <c r="R74" i="89" s="1"/>
  <c r="O25" i="69"/>
  <c r="O25" i="88" s="1"/>
  <c r="O100" i="88" s="1"/>
  <c r="AC64" i="69"/>
  <c r="AC54" i="69"/>
  <c r="Q16" i="74"/>
  <c r="AB25" i="72"/>
  <c r="W6" i="69"/>
  <c r="V6" i="88" s="1"/>
  <c r="V81" i="88" s="1"/>
  <c r="W39" i="74"/>
  <c r="T6" i="89"/>
  <c r="T52" i="89" s="1"/>
  <c r="O20" i="89"/>
  <c r="O66" i="89" s="1"/>
  <c r="AC68" i="69"/>
  <c r="AB23" i="72"/>
  <c r="X23" i="74" s="1"/>
  <c r="Y23" i="74" s="1"/>
  <c r="R20" i="89"/>
  <c r="R66" i="89" s="1"/>
  <c r="W20" i="73"/>
  <c r="M68" i="70"/>
  <c r="M51" i="70"/>
  <c r="M30" i="70"/>
  <c r="M33" i="70"/>
  <c r="Q58" i="69"/>
  <c r="Q58" i="88" s="1"/>
  <c r="Q133" i="88" s="1"/>
  <c r="N13" i="89"/>
  <c r="N59" i="89" s="1"/>
  <c r="R14" i="89"/>
  <c r="R60" i="89" s="1"/>
  <c r="W14" i="73"/>
  <c r="W30" i="74"/>
  <c r="U57" i="69"/>
  <c r="T57" i="88" s="1"/>
  <c r="T132" i="88" s="1"/>
  <c r="S81" i="68"/>
  <c r="R81" i="68"/>
  <c r="AI25" i="69"/>
  <c r="AE25" i="88" s="1"/>
  <c r="AE100" i="88" s="1"/>
  <c r="O10" i="89"/>
  <c r="O56" i="89" s="1"/>
  <c r="O43" i="89"/>
  <c r="O89" i="89" s="1"/>
  <c r="Y65" i="70"/>
  <c r="M48" i="70"/>
  <c r="Q55" i="69"/>
  <c r="Q55" i="88" s="1"/>
  <c r="Q130" i="88" s="1"/>
  <c r="Q15" i="69"/>
  <c r="Q15" i="88" s="1"/>
  <c r="Q90" i="88" s="1"/>
  <c r="Q10" i="69"/>
  <c r="Q10" i="88" s="1"/>
  <c r="Q85" i="88" s="1"/>
  <c r="Q17" i="69"/>
  <c r="Q17" i="88" s="1"/>
  <c r="Q92" i="88" s="1"/>
  <c r="Q16" i="69"/>
  <c r="Q16" i="88" s="1"/>
  <c r="Q91" i="88" s="1"/>
  <c r="Q19" i="69"/>
  <c r="Q19" i="88" s="1"/>
  <c r="Q94" i="88" s="1"/>
  <c r="Q9" i="69"/>
  <c r="Q9" i="88" s="1"/>
  <c r="Q84" i="88" s="1"/>
  <c r="Q12" i="69"/>
  <c r="Q12" i="88" s="1"/>
  <c r="Q87" i="88" s="1"/>
  <c r="Q11" i="69"/>
  <c r="Q11" i="88" s="1"/>
  <c r="Q86" i="88" s="1"/>
  <c r="Q18" i="69"/>
  <c r="Q18" i="88" s="1"/>
  <c r="Q93" i="88" s="1"/>
  <c r="Q13" i="69"/>
  <c r="Q13" i="88" s="1"/>
  <c r="Q88" i="88" s="1"/>
  <c r="Q14" i="69"/>
  <c r="Q14" i="88" s="1"/>
  <c r="Q89" i="88" s="1"/>
  <c r="Q24" i="69"/>
  <c r="Q24" i="88" s="1"/>
  <c r="Q99" i="88" s="1"/>
  <c r="Q43" i="69"/>
  <c r="Q43" i="88" s="1"/>
  <c r="Q118" i="88" s="1"/>
  <c r="Q57" i="69"/>
  <c r="Q57" i="88" s="1"/>
  <c r="Q132" i="88" s="1"/>
  <c r="M59" i="70"/>
  <c r="M34" i="70"/>
  <c r="AB43" i="72"/>
  <c r="Q47" i="72"/>
  <c r="AB5" i="72"/>
  <c r="R5" i="89"/>
  <c r="R51" i="89" s="1"/>
  <c r="W5" i="73"/>
  <c r="T47" i="73"/>
  <c r="Y69" i="70"/>
  <c r="Y61" i="70"/>
  <c r="Y49" i="70"/>
  <c r="Y59" i="70"/>
  <c r="Y28" i="70"/>
  <c r="T38" i="89"/>
  <c r="T84" i="89" s="1"/>
  <c r="O12" i="89"/>
  <c r="O58" i="89" s="1"/>
  <c r="AI76" i="70"/>
  <c r="N10" i="89"/>
  <c r="N56" i="89" s="1"/>
  <c r="V73" i="88"/>
  <c r="V148" i="88" s="1"/>
  <c r="R44" i="89"/>
  <c r="R90" i="89" s="1"/>
  <c r="W44" i="73"/>
  <c r="Q20" i="69"/>
  <c r="Q20" i="88" s="1"/>
  <c r="Q95" i="88" s="1"/>
  <c r="Q64" i="69"/>
  <c r="Q64" i="88" s="1"/>
  <c r="Q139" i="88" s="1"/>
  <c r="X33" i="74"/>
  <c r="Y33" i="74" s="1"/>
  <c r="AB33" i="74" s="1"/>
  <c r="S23" i="93" s="1"/>
  <c r="X6" i="74"/>
  <c r="Y6" i="74" s="1"/>
  <c r="AI51" i="69"/>
  <c r="AE51" i="88" s="1"/>
  <c r="AE126" i="88" s="1"/>
  <c r="W30" i="69"/>
  <c r="V30" i="88" s="1"/>
  <c r="V105" i="88" s="1"/>
  <c r="Q76" i="70"/>
  <c r="O42" i="88"/>
  <c r="O117" i="88" s="1"/>
  <c r="AD76" i="68"/>
  <c r="AB31" i="72"/>
  <c r="X31" i="74" s="1"/>
  <c r="Y31" i="74" s="1"/>
  <c r="Q11" i="74"/>
  <c r="W43" i="69"/>
  <c r="V43" i="88" s="1"/>
  <c r="V118" i="88" s="1"/>
  <c r="R22" i="89"/>
  <c r="R68" i="89" s="1"/>
  <c r="W22" i="73"/>
  <c r="Q62" i="69"/>
  <c r="Q62" i="88" s="1"/>
  <c r="Q137" i="88" s="1"/>
  <c r="Q68" i="69"/>
  <c r="Q68" i="88" s="1"/>
  <c r="Q143" i="88" s="1"/>
  <c r="X32" i="74"/>
  <c r="Y32" i="74" s="1"/>
  <c r="W67" i="69"/>
  <c r="V67" i="88" s="1"/>
  <c r="V142" i="88" s="1"/>
  <c r="W50" i="69"/>
  <c r="V50" i="88" s="1"/>
  <c r="V125" i="88" s="1"/>
  <c r="W35" i="74"/>
  <c r="AI42" i="69"/>
  <c r="AE42" i="88" s="1"/>
  <c r="AE117" i="88" s="1"/>
  <c r="W41" i="69"/>
  <c r="V41" i="88" s="1"/>
  <c r="V116" i="88" s="1"/>
  <c r="AI59" i="69"/>
  <c r="AE59" i="88" s="1"/>
  <c r="AE134" i="88" s="1"/>
  <c r="Q59" i="69"/>
  <c r="Q59" i="88" s="1"/>
  <c r="Q134" i="88" s="1"/>
  <c r="O76" i="70"/>
  <c r="M69" i="70"/>
  <c r="AC44" i="69"/>
  <c r="N16" i="89"/>
  <c r="N62" i="89" s="1"/>
  <c r="W42" i="69"/>
  <c r="V42" i="88" s="1"/>
  <c r="V117" i="88" s="1"/>
  <c r="R45" i="89"/>
  <c r="R91" i="89" s="1"/>
  <c r="W45" i="73"/>
  <c r="W37" i="74"/>
  <c r="U44" i="69"/>
  <c r="C9" i="91"/>
  <c r="C11" i="91"/>
  <c r="T17" i="89"/>
  <c r="T63" i="89" s="1"/>
  <c r="O41" i="89"/>
  <c r="O87" i="89" s="1"/>
  <c r="Q23" i="74"/>
  <c r="M50" i="70"/>
  <c r="M35" i="70"/>
  <c r="M76" i="68"/>
  <c r="M81" i="68" s="1"/>
  <c r="M68" i="69" s="1"/>
  <c r="M68" i="88" s="1"/>
  <c r="M143" i="88" s="1"/>
  <c r="M5" i="70"/>
  <c r="M39" i="70"/>
  <c r="M39" i="69"/>
  <c r="M39" i="88" s="1"/>
  <c r="M114" i="88" s="1"/>
  <c r="X14" i="74"/>
  <c r="Y14" i="74" s="1"/>
  <c r="AB14" i="74" s="1"/>
  <c r="S9" i="93" s="1"/>
  <c r="W69" i="69"/>
  <c r="V69" i="88" s="1"/>
  <c r="V144" i="88" s="1"/>
  <c r="W34" i="69"/>
  <c r="V34" i="88" s="1"/>
  <c r="V109" i="88" s="1"/>
  <c r="W21" i="74"/>
  <c r="S47" i="73"/>
  <c r="T42" i="89"/>
  <c r="T88" i="89" s="1"/>
  <c r="Q41" i="69"/>
  <c r="Q41" i="88" s="1"/>
  <c r="Q116" i="88" s="1"/>
  <c r="Q35" i="74"/>
  <c r="U73" i="69"/>
  <c r="Y43" i="70"/>
  <c r="Q66" i="69"/>
  <c r="Q66" i="88" s="1"/>
  <c r="Q141" i="88" s="1"/>
  <c r="AA5" i="88"/>
  <c r="AA80" i="88" s="1"/>
  <c r="AD5" i="69"/>
  <c r="R34" i="89"/>
  <c r="R80" i="89" s="1"/>
  <c r="W34" i="74"/>
  <c r="AD65" i="69"/>
  <c r="AA65" i="88"/>
  <c r="AA140" i="88" s="1"/>
  <c r="Q51" i="69"/>
  <c r="Q51" i="88" s="1"/>
  <c r="Q126" i="88" s="1"/>
  <c r="Q23" i="73"/>
  <c r="Q8" i="73"/>
  <c r="Q47" i="73" s="1"/>
  <c r="Q50" i="69"/>
  <c r="Q50" i="88" s="1"/>
  <c r="Q125" i="88" s="1"/>
  <c r="Q32" i="69"/>
  <c r="Q32" i="88" s="1"/>
  <c r="Q107" i="88" s="1"/>
  <c r="L43" i="69"/>
  <c r="L43" i="88" s="1"/>
  <c r="L118" i="88" s="1"/>
  <c r="L44" i="69"/>
  <c r="L44" i="88" s="1"/>
  <c r="L119" i="88" s="1"/>
  <c r="L69" i="69"/>
  <c r="L69" i="88" s="1"/>
  <c r="L144" i="88" s="1"/>
  <c r="L31" i="69"/>
  <c r="L31" i="88" s="1"/>
  <c r="L106" i="88" s="1"/>
  <c r="L74" i="69"/>
  <c r="L74" i="88" s="1"/>
  <c r="L149" i="88" s="1"/>
  <c r="L50" i="69"/>
  <c r="L50" i="88" s="1"/>
  <c r="L125" i="88" s="1"/>
  <c r="L53" i="69"/>
  <c r="L53" i="88" s="1"/>
  <c r="L128" i="88" s="1"/>
  <c r="L19" i="69"/>
  <c r="L19" i="88" s="1"/>
  <c r="L94" i="88" s="1"/>
  <c r="L17" i="69"/>
  <c r="L17" i="88" s="1"/>
  <c r="L92" i="88" s="1"/>
  <c r="L7" i="69"/>
  <c r="L7" i="88" s="1"/>
  <c r="L82" i="88" s="1"/>
  <c r="L20" i="69"/>
  <c r="L20" i="88" s="1"/>
  <c r="L95" i="88" s="1"/>
  <c r="L65" i="69"/>
  <c r="L65" i="88" s="1"/>
  <c r="L140" i="88" s="1"/>
  <c r="L48" i="69"/>
  <c r="L48" i="88" s="1"/>
  <c r="L123" i="88" s="1"/>
  <c r="L23" i="69"/>
  <c r="L23" i="88" s="1"/>
  <c r="L98" i="88" s="1"/>
  <c r="L5" i="69"/>
  <c r="L68" i="69"/>
  <c r="L68" i="88" s="1"/>
  <c r="L143" i="88" s="1"/>
  <c r="L6" i="69"/>
  <c r="L6" i="88" s="1"/>
  <c r="L81" i="88" s="1"/>
  <c r="L12" i="69"/>
  <c r="L12" i="88" s="1"/>
  <c r="L87" i="88" s="1"/>
  <c r="L13" i="69"/>
  <c r="L13" i="88" s="1"/>
  <c r="L88" i="88" s="1"/>
  <c r="L39" i="69"/>
  <c r="L39" i="88" s="1"/>
  <c r="L114" i="88" s="1"/>
  <c r="L27" i="69"/>
  <c r="L27" i="88" s="1"/>
  <c r="L102" i="88" s="1"/>
  <c r="L25" i="69"/>
  <c r="L25" i="88" s="1"/>
  <c r="L100" i="88" s="1"/>
  <c r="L56" i="69"/>
  <c r="L56" i="88" s="1"/>
  <c r="L131" i="88" s="1"/>
  <c r="L59" i="69"/>
  <c r="L59" i="88" s="1"/>
  <c r="L134" i="88" s="1"/>
  <c r="L45" i="69"/>
  <c r="L45" i="88" s="1"/>
  <c r="L120" i="88" s="1"/>
  <c r="L33" i="69"/>
  <c r="L33" i="88" s="1"/>
  <c r="L108" i="88" s="1"/>
  <c r="L41" i="69"/>
  <c r="L41" i="88" s="1"/>
  <c r="L116" i="88" s="1"/>
  <c r="L14" i="69"/>
  <c r="L14" i="88" s="1"/>
  <c r="L89" i="88" s="1"/>
  <c r="L34" i="69"/>
  <c r="L34" i="88" s="1"/>
  <c r="L109" i="88" s="1"/>
  <c r="L66" i="69"/>
  <c r="L66" i="88" s="1"/>
  <c r="L141" i="88" s="1"/>
  <c r="L10" i="69"/>
  <c r="L10" i="88" s="1"/>
  <c r="L85" i="88" s="1"/>
  <c r="L35" i="69"/>
  <c r="L35" i="88" s="1"/>
  <c r="L110" i="88" s="1"/>
  <c r="L52" i="69"/>
  <c r="L52" i="88" s="1"/>
  <c r="L127" i="88" s="1"/>
  <c r="L47" i="69"/>
  <c r="L47" i="88" s="1"/>
  <c r="L122" i="88" s="1"/>
  <c r="L40" i="69"/>
  <c r="L40" i="88" s="1"/>
  <c r="L115" i="88" s="1"/>
  <c r="L37" i="69"/>
  <c r="L37" i="88" s="1"/>
  <c r="L112" i="88" s="1"/>
  <c r="L16" i="69"/>
  <c r="L16" i="88" s="1"/>
  <c r="L91" i="88" s="1"/>
  <c r="L46" i="69"/>
  <c r="L46" i="88" s="1"/>
  <c r="L121" i="88" s="1"/>
  <c r="L49" i="69"/>
  <c r="L49" i="88" s="1"/>
  <c r="L124" i="88" s="1"/>
  <c r="L57" i="69"/>
  <c r="L57" i="88" s="1"/>
  <c r="L132" i="88" s="1"/>
  <c r="L70" i="69"/>
  <c r="L70" i="88" s="1"/>
  <c r="L145" i="88" s="1"/>
  <c r="L60" i="69"/>
  <c r="L60" i="88" s="1"/>
  <c r="L135" i="88" s="1"/>
  <c r="L29" i="69"/>
  <c r="L29" i="88" s="1"/>
  <c r="L104" i="88" s="1"/>
  <c r="L21" i="69"/>
  <c r="L21" i="88" s="1"/>
  <c r="L96" i="88" s="1"/>
  <c r="L54" i="69"/>
  <c r="L54" i="88" s="1"/>
  <c r="L129" i="88" s="1"/>
  <c r="L30" i="69"/>
  <c r="L30" i="88" s="1"/>
  <c r="L105" i="88" s="1"/>
  <c r="L9" i="69"/>
  <c r="L9" i="88" s="1"/>
  <c r="L84" i="88" s="1"/>
  <c r="L18" i="69"/>
  <c r="L18" i="88" s="1"/>
  <c r="L93" i="88" s="1"/>
  <c r="L51" i="69"/>
  <c r="L51" i="88" s="1"/>
  <c r="L126" i="88" s="1"/>
  <c r="L11" i="69"/>
  <c r="L11" i="88" s="1"/>
  <c r="L86" i="88" s="1"/>
  <c r="L36" i="69"/>
  <c r="L36" i="88" s="1"/>
  <c r="L111" i="88" s="1"/>
  <c r="L8" i="69"/>
  <c r="L8" i="88" s="1"/>
  <c r="L83" i="88" s="1"/>
  <c r="L64" i="69"/>
  <c r="L64" i="88" s="1"/>
  <c r="L139" i="88" s="1"/>
  <c r="L58" i="69"/>
  <c r="L58" i="88" s="1"/>
  <c r="L133" i="88" s="1"/>
  <c r="L22" i="69"/>
  <c r="L22" i="88" s="1"/>
  <c r="L97" i="88" s="1"/>
  <c r="L38" i="69"/>
  <c r="L38" i="88" s="1"/>
  <c r="L113" i="88" s="1"/>
  <c r="L24" i="69"/>
  <c r="L24" i="88" s="1"/>
  <c r="L99" i="88" s="1"/>
  <c r="L67" i="69"/>
  <c r="L67" i="88" s="1"/>
  <c r="L142" i="88" s="1"/>
  <c r="L28" i="69"/>
  <c r="L28" i="88" s="1"/>
  <c r="L103" i="88" s="1"/>
  <c r="L42" i="69"/>
  <c r="L42" i="88" s="1"/>
  <c r="L117" i="88" s="1"/>
  <c r="L55" i="69"/>
  <c r="L55" i="88" s="1"/>
  <c r="L130" i="88" s="1"/>
  <c r="L71" i="69"/>
  <c r="L71" i="88" s="1"/>
  <c r="L146" i="88" s="1"/>
  <c r="L15" i="69"/>
  <c r="L15" i="88" s="1"/>
  <c r="L90" i="88" s="1"/>
  <c r="N43" i="89"/>
  <c r="N89" i="89" s="1"/>
  <c r="Q43" i="74"/>
  <c r="W47" i="72"/>
  <c r="R36" i="89"/>
  <c r="R82" i="89" s="1"/>
  <c r="W36" i="73"/>
  <c r="Y58" i="70"/>
  <c r="Y57" i="70"/>
  <c r="Y63" i="70"/>
  <c r="Y62" i="70"/>
  <c r="Y60" i="70"/>
  <c r="Y22" i="70"/>
  <c r="Y37" i="70"/>
  <c r="Q39" i="69"/>
  <c r="Q39" i="88" s="1"/>
  <c r="Q114" i="88" s="1"/>
  <c r="Q28" i="69"/>
  <c r="Q28" i="88" s="1"/>
  <c r="Q103" i="88" s="1"/>
  <c r="AD41" i="69"/>
  <c r="AA41" i="88"/>
  <c r="AA116" i="88" s="1"/>
  <c r="Q10" i="74"/>
  <c r="V5" i="88"/>
  <c r="V80" i="88" s="1"/>
  <c r="R8" i="89"/>
  <c r="R54" i="89" s="1"/>
  <c r="W8" i="73"/>
  <c r="R15" i="89"/>
  <c r="R61" i="89" s="1"/>
  <c r="W15" i="73"/>
  <c r="L62" i="69"/>
  <c r="L62" i="88" s="1"/>
  <c r="L137" i="88" s="1"/>
  <c r="AI72" i="69"/>
  <c r="AE72" i="88" s="1"/>
  <c r="AE147" i="88" s="1"/>
  <c r="N33" i="89"/>
  <c r="N79" i="89" s="1"/>
  <c r="W29" i="74"/>
  <c r="Q69" i="69"/>
  <c r="Q69" i="88" s="1"/>
  <c r="Q144" i="88" s="1"/>
  <c r="Q36" i="69"/>
  <c r="Q36" i="88" s="1"/>
  <c r="Q111" i="88" s="1"/>
  <c r="AD21" i="69"/>
  <c r="AA21" i="88"/>
  <c r="AA96" i="88" s="1"/>
  <c r="N31" i="89"/>
  <c r="N77" i="89" s="1"/>
  <c r="W65" i="69"/>
  <c r="V65" i="88" s="1"/>
  <c r="V140" i="88" s="1"/>
  <c r="R11" i="89"/>
  <c r="R57" i="89" s="1"/>
  <c r="W11" i="73"/>
  <c r="U35" i="69"/>
  <c r="AC59" i="69"/>
  <c r="AB15" i="72"/>
  <c r="Q21" i="74"/>
  <c r="W38" i="74"/>
  <c r="R35" i="89"/>
  <c r="R81" i="89" s="1"/>
  <c r="W35" i="73"/>
  <c r="O29" i="69"/>
  <c r="O29" i="88" s="1"/>
  <c r="O104" i="88" s="1"/>
  <c r="O62" i="69"/>
  <c r="O62" i="88" s="1"/>
  <c r="O137" i="88" s="1"/>
  <c r="O33" i="69"/>
  <c r="O33" i="88" s="1"/>
  <c r="O108" i="88" s="1"/>
  <c r="O43" i="69"/>
  <c r="O43" i="88" s="1"/>
  <c r="O118" i="88" s="1"/>
  <c r="O15" i="69"/>
  <c r="O15" i="88" s="1"/>
  <c r="O90" i="88" s="1"/>
  <c r="O13" i="69"/>
  <c r="O13" i="88" s="1"/>
  <c r="O88" i="88" s="1"/>
  <c r="O53" i="69"/>
  <c r="O53" i="88" s="1"/>
  <c r="O128" i="88" s="1"/>
  <c r="O70" i="69"/>
  <c r="O70" i="88" s="1"/>
  <c r="O145" i="88" s="1"/>
  <c r="O6" i="69"/>
  <c r="O6" i="88" s="1"/>
  <c r="O81" i="88" s="1"/>
  <c r="O45" i="69"/>
  <c r="O45" i="88" s="1"/>
  <c r="O120" i="88" s="1"/>
  <c r="O64" i="69"/>
  <c r="O64" i="88" s="1"/>
  <c r="O139" i="88" s="1"/>
  <c r="O21" i="69"/>
  <c r="O21" i="88" s="1"/>
  <c r="O96" i="88" s="1"/>
  <c r="O52" i="69"/>
  <c r="O52" i="88" s="1"/>
  <c r="O127" i="88" s="1"/>
  <c r="O19" i="69"/>
  <c r="O19" i="88" s="1"/>
  <c r="O94" i="88" s="1"/>
  <c r="O14" i="69"/>
  <c r="O14" i="88" s="1"/>
  <c r="O89" i="88" s="1"/>
  <c r="O48" i="69"/>
  <c r="O48" i="88" s="1"/>
  <c r="O123" i="88" s="1"/>
  <c r="O23" i="69"/>
  <c r="O23" i="88" s="1"/>
  <c r="O98" i="88" s="1"/>
  <c r="O73" i="69"/>
  <c r="O73" i="88" s="1"/>
  <c r="O148" i="88" s="1"/>
  <c r="O67" i="69"/>
  <c r="O67" i="88" s="1"/>
  <c r="O142" i="88" s="1"/>
  <c r="O8" i="69"/>
  <c r="O8" i="88" s="1"/>
  <c r="O83" i="88" s="1"/>
  <c r="O63" i="69"/>
  <c r="O63" i="88" s="1"/>
  <c r="O138" i="88" s="1"/>
  <c r="O12" i="69"/>
  <c r="O12" i="88" s="1"/>
  <c r="O87" i="88" s="1"/>
  <c r="O10" i="69"/>
  <c r="O10" i="88" s="1"/>
  <c r="O85" i="88" s="1"/>
  <c r="O44" i="69"/>
  <c r="O44" i="88" s="1"/>
  <c r="O119" i="88" s="1"/>
  <c r="O74" i="69"/>
  <c r="O74" i="88" s="1"/>
  <c r="O149" i="88" s="1"/>
  <c r="O36" i="69"/>
  <c r="O36" i="88" s="1"/>
  <c r="O111" i="88" s="1"/>
  <c r="O50" i="69"/>
  <c r="O50" i="88" s="1"/>
  <c r="O125" i="88" s="1"/>
  <c r="O66" i="69"/>
  <c r="O66" i="88" s="1"/>
  <c r="O141" i="88" s="1"/>
  <c r="O16" i="69"/>
  <c r="O16" i="88" s="1"/>
  <c r="O91" i="88" s="1"/>
  <c r="O17" i="69"/>
  <c r="O17" i="88" s="1"/>
  <c r="O92" i="88" s="1"/>
  <c r="O5" i="69"/>
  <c r="O58" i="69"/>
  <c r="O58" i="88" s="1"/>
  <c r="O133" i="88" s="1"/>
  <c r="O47" i="69"/>
  <c r="O47" i="88" s="1"/>
  <c r="O122" i="88" s="1"/>
  <c r="O22" i="69"/>
  <c r="O22" i="88" s="1"/>
  <c r="O97" i="88" s="1"/>
  <c r="O57" i="69"/>
  <c r="O57" i="88" s="1"/>
  <c r="O132" i="88" s="1"/>
  <c r="O65" i="69"/>
  <c r="O65" i="88" s="1"/>
  <c r="O140" i="88" s="1"/>
  <c r="O9" i="69"/>
  <c r="O9" i="88" s="1"/>
  <c r="O84" i="88" s="1"/>
  <c r="O24" i="69"/>
  <c r="O24" i="88" s="1"/>
  <c r="O99" i="88" s="1"/>
  <c r="O72" i="69"/>
  <c r="O72" i="88" s="1"/>
  <c r="O147" i="88" s="1"/>
  <c r="O34" i="69"/>
  <c r="O34" i="88" s="1"/>
  <c r="O109" i="88" s="1"/>
  <c r="O68" i="69"/>
  <c r="O68" i="88" s="1"/>
  <c r="O143" i="88" s="1"/>
  <c r="O41" i="69"/>
  <c r="O41" i="88" s="1"/>
  <c r="O116" i="88" s="1"/>
  <c r="O18" i="69"/>
  <c r="O18" i="88" s="1"/>
  <c r="O93" i="88" s="1"/>
  <c r="O32" i="69"/>
  <c r="O32" i="88" s="1"/>
  <c r="O107" i="88" s="1"/>
  <c r="O31" i="69"/>
  <c r="O31" i="88" s="1"/>
  <c r="O106" i="88" s="1"/>
  <c r="O46" i="69"/>
  <c r="O46" i="88" s="1"/>
  <c r="O121" i="88" s="1"/>
  <c r="O11" i="69"/>
  <c r="O11" i="88" s="1"/>
  <c r="O86" i="88" s="1"/>
  <c r="O51" i="69"/>
  <c r="O51" i="88" s="1"/>
  <c r="O126" i="88" s="1"/>
  <c r="N22" i="89"/>
  <c r="N68" i="89" s="1"/>
  <c r="Q22" i="73"/>
  <c r="AB16" i="72"/>
  <c r="AB12" i="72"/>
  <c r="X12" i="73" s="1"/>
  <c r="M74" i="69"/>
  <c r="M74" i="88" s="1"/>
  <c r="M149" i="88" s="1"/>
  <c r="M74" i="70"/>
  <c r="M43" i="70"/>
  <c r="M43" i="69"/>
  <c r="M43" i="88" s="1"/>
  <c r="M118" i="88" s="1"/>
  <c r="M38" i="70"/>
  <c r="M38" i="69"/>
  <c r="M6" i="70"/>
  <c r="M6" i="69"/>
  <c r="M6" i="88" s="1"/>
  <c r="M81" i="88" s="1"/>
  <c r="Q48" i="69"/>
  <c r="Q48" i="88" s="1"/>
  <c r="Q123" i="88" s="1"/>
  <c r="AC36" i="69"/>
  <c r="V19" i="70"/>
  <c r="AB19" i="70" s="1"/>
  <c r="V16" i="70"/>
  <c r="AB16" i="70" s="1"/>
  <c r="V24" i="70"/>
  <c r="AB24" i="70" s="1"/>
  <c r="V17" i="70"/>
  <c r="AB17" i="70" s="1"/>
  <c r="V14" i="70"/>
  <c r="AB14" i="70" s="1"/>
  <c r="V18" i="70"/>
  <c r="AB18" i="70" s="1"/>
  <c r="V10" i="70"/>
  <c r="AB10" i="70" s="1"/>
  <c r="V15" i="70"/>
  <c r="AB15" i="70" s="1"/>
  <c r="V13" i="70"/>
  <c r="AB13" i="70" s="1"/>
  <c r="V12" i="70"/>
  <c r="AB12" i="70" s="1"/>
  <c r="V11" i="70"/>
  <c r="AB11" i="70" s="1"/>
  <c r="V9" i="70"/>
  <c r="AB9" i="70" s="1"/>
  <c r="AB29" i="72"/>
  <c r="W21" i="73"/>
  <c r="R21" i="89"/>
  <c r="R67" i="89" s="1"/>
  <c r="G11" i="91"/>
  <c r="G9" i="91"/>
  <c r="AB35" i="72"/>
  <c r="X35" i="74" s="1"/>
  <c r="Y35" i="74" s="1"/>
  <c r="AB35" i="74" s="1"/>
  <c r="G7" i="91"/>
  <c r="G13" i="91" s="1"/>
  <c r="Q6" i="69"/>
  <c r="Q6" i="88" s="1"/>
  <c r="Q81" i="88" s="1"/>
  <c r="AA55" i="88"/>
  <c r="AA130" i="88" s="1"/>
  <c r="AD55" i="69"/>
  <c r="Q29" i="69"/>
  <c r="Q29" i="88" s="1"/>
  <c r="Q104" i="88" s="1"/>
  <c r="Q42" i="73"/>
  <c r="AD6" i="69"/>
  <c r="AA6" i="88"/>
  <c r="AA81" i="88" s="1"/>
  <c r="V25" i="88"/>
  <c r="V100" i="88" s="1"/>
  <c r="Y44" i="70"/>
  <c r="Y46" i="70"/>
  <c r="Y45" i="70"/>
  <c r="Y8" i="70"/>
  <c r="Y33" i="70"/>
  <c r="Y41" i="70"/>
  <c r="AI70" i="69"/>
  <c r="AE70" i="88" s="1"/>
  <c r="AE145" i="88" s="1"/>
  <c r="T39" i="89"/>
  <c r="T85" i="89" s="1"/>
  <c r="V54" i="88"/>
  <c r="V129" i="88" s="1"/>
  <c r="AI44" i="69"/>
  <c r="AE44" i="88" s="1"/>
  <c r="AE119" i="88" s="1"/>
  <c r="O28" i="88"/>
  <c r="O103" i="88" s="1"/>
  <c r="M61" i="70"/>
  <c r="M61" i="69"/>
  <c r="W26" i="69"/>
  <c r="V26" i="88" s="1"/>
  <c r="V101" i="88" s="1"/>
  <c r="W10" i="69"/>
  <c r="V10" i="88" s="1"/>
  <c r="V85" i="88" s="1"/>
  <c r="W19" i="69"/>
  <c r="V19" i="88" s="1"/>
  <c r="V94" i="88" s="1"/>
  <c r="W14" i="69"/>
  <c r="V14" i="88" s="1"/>
  <c r="V89" i="88" s="1"/>
  <c r="W15" i="69"/>
  <c r="V15" i="88" s="1"/>
  <c r="V90" i="88" s="1"/>
  <c r="W16" i="69"/>
  <c r="V16" i="88" s="1"/>
  <c r="V91" i="88" s="1"/>
  <c r="W24" i="69"/>
  <c r="V24" i="88" s="1"/>
  <c r="V99" i="88" s="1"/>
  <c r="W9" i="69"/>
  <c r="V9" i="88" s="1"/>
  <c r="V84" i="88" s="1"/>
  <c r="W18" i="69"/>
  <c r="V18" i="88" s="1"/>
  <c r="V93" i="88" s="1"/>
  <c r="W11" i="69"/>
  <c r="V11" i="88" s="1"/>
  <c r="V86" i="88" s="1"/>
  <c r="W13" i="69"/>
  <c r="V13" i="88" s="1"/>
  <c r="V88" i="88" s="1"/>
  <c r="W17" i="69"/>
  <c r="V17" i="88" s="1"/>
  <c r="V92" i="88" s="1"/>
  <c r="W12" i="69"/>
  <c r="V12" i="88" s="1"/>
  <c r="V87" i="88" s="1"/>
  <c r="W72" i="69"/>
  <c r="V72" i="88" s="1"/>
  <c r="V147" i="88" s="1"/>
  <c r="M42" i="70"/>
  <c r="M42" i="69"/>
  <c r="AI74" i="69"/>
  <c r="AE74" i="88" s="1"/>
  <c r="AE149" i="88" s="1"/>
  <c r="O28" i="89"/>
  <c r="O74" i="89" s="1"/>
  <c r="AI36" i="69"/>
  <c r="AE36" i="88" s="1"/>
  <c r="AE111" i="88" s="1"/>
  <c r="Q23" i="69"/>
  <c r="Q23" i="88" s="1"/>
  <c r="Q98" i="88" s="1"/>
  <c r="Q30" i="69"/>
  <c r="Q30" i="88" s="1"/>
  <c r="Q105" i="88" s="1"/>
  <c r="AA43" i="88"/>
  <c r="AA118" i="88" s="1"/>
  <c r="Q20" i="74"/>
  <c r="N6" i="89"/>
  <c r="N52" i="89" s="1"/>
  <c r="R29" i="89"/>
  <c r="R75" i="89" s="1"/>
  <c r="W29" i="73"/>
  <c r="W41" i="73"/>
  <c r="R41" i="89"/>
  <c r="R87" i="89" s="1"/>
  <c r="AI73" i="69"/>
  <c r="AE73" i="88" s="1"/>
  <c r="AE148" i="88" s="1"/>
  <c r="T41" i="89"/>
  <c r="T87" i="89" s="1"/>
  <c r="O40" i="89"/>
  <c r="O86" i="89" s="1"/>
  <c r="Q8" i="69"/>
  <c r="Q8" i="88" s="1"/>
  <c r="Q83" i="88" s="1"/>
  <c r="O39" i="88"/>
  <c r="O114" i="88" s="1"/>
  <c r="AC51" i="69"/>
  <c r="AC42" i="69"/>
  <c r="AC30" i="69"/>
  <c r="X7" i="74"/>
  <c r="Y7" i="74" s="1"/>
  <c r="N11" i="89"/>
  <c r="N57" i="89" s="1"/>
  <c r="W21" i="69"/>
  <c r="V21" i="88" s="1"/>
  <c r="V96" i="88" s="1"/>
  <c r="AI39" i="69"/>
  <c r="AE39" i="88" s="1"/>
  <c r="AE114" i="88" s="1"/>
  <c r="Q72" i="69"/>
  <c r="Q72" i="88" s="1"/>
  <c r="Q147" i="88" s="1"/>
  <c r="Q27" i="69"/>
  <c r="Q27" i="88" s="1"/>
  <c r="Q102" i="88" s="1"/>
  <c r="Q47" i="69"/>
  <c r="Q47" i="88" s="1"/>
  <c r="Q122" i="88" s="1"/>
  <c r="AC31" i="69"/>
  <c r="AC38" i="69"/>
  <c r="Q15" i="74"/>
  <c r="N21" i="89"/>
  <c r="N67" i="89" s="1"/>
  <c r="W64" i="69"/>
  <c r="V64" i="88" s="1"/>
  <c r="V139" i="88" s="1"/>
  <c r="R38" i="89"/>
  <c r="R84" i="89" s="1"/>
  <c r="W38" i="73"/>
  <c r="T8" i="89"/>
  <c r="T54" i="89" s="1"/>
  <c r="O47" i="74"/>
  <c r="U26" i="69"/>
  <c r="AC45" i="69"/>
  <c r="W23" i="69"/>
  <c r="V23" i="88" s="1"/>
  <c r="V98" i="88" s="1"/>
  <c r="T24" i="89"/>
  <c r="T70" i="89" s="1"/>
  <c r="Q35" i="69"/>
  <c r="Q35" i="88" s="1"/>
  <c r="Q110" i="88" s="1"/>
  <c r="Q61" i="69"/>
  <c r="Q61" i="88" s="1"/>
  <c r="Q136" i="88" s="1"/>
  <c r="O59" i="69"/>
  <c r="O59" i="88" s="1"/>
  <c r="O134" i="88" s="1"/>
  <c r="AC23" i="69"/>
  <c r="AC37" i="69"/>
  <c r="AB22" i="72"/>
  <c r="X22" i="74" s="1"/>
  <c r="W74" i="69"/>
  <c r="V74" i="88" s="1"/>
  <c r="V149" i="88" s="1"/>
  <c r="W53" i="69"/>
  <c r="V53" i="88" s="1"/>
  <c r="V128" i="88" s="1"/>
  <c r="W6" i="74"/>
  <c r="AI29" i="69"/>
  <c r="AE29" i="88" s="1"/>
  <c r="AE104" i="88" s="1"/>
  <c r="L26" i="69"/>
  <c r="L26" i="88" s="1"/>
  <c r="L101" i="88" s="1"/>
  <c r="N12" i="89"/>
  <c r="N58" i="89" s="1"/>
  <c r="T37" i="89"/>
  <c r="T83" i="89" s="1"/>
  <c r="M70" i="70"/>
  <c r="M70" i="69"/>
  <c r="M70" i="88" s="1"/>
  <c r="M145" i="88" s="1"/>
  <c r="M73" i="70"/>
  <c r="M73" i="69"/>
  <c r="M26" i="70"/>
  <c r="M26" i="69"/>
  <c r="M26" i="88" s="1"/>
  <c r="M101" i="88" s="1"/>
  <c r="M67" i="70"/>
  <c r="M67" i="69"/>
  <c r="O61" i="69"/>
  <c r="O61" i="88" s="1"/>
  <c r="O136" i="88" s="1"/>
  <c r="AC61" i="69"/>
  <c r="AB26" i="72"/>
  <c r="Q29" i="74"/>
  <c r="W32" i="69"/>
  <c r="V32" i="88" s="1"/>
  <c r="V107" i="88" s="1"/>
  <c r="W17" i="74"/>
  <c r="U23" i="69"/>
  <c r="V47" i="74"/>
  <c r="T28" i="89"/>
  <c r="T74" i="89" s="1"/>
  <c r="Q56" i="69"/>
  <c r="Q56" i="88" s="1"/>
  <c r="Q131" i="88" s="1"/>
  <c r="O35" i="69"/>
  <c r="O35" i="88" s="1"/>
  <c r="O110" i="88" s="1"/>
  <c r="N35" i="89"/>
  <c r="N81" i="89" s="1"/>
  <c r="AI5" i="69"/>
  <c r="U58" i="69"/>
  <c r="N47" i="74"/>
  <c r="Q5" i="74"/>
  <c r="Y56" i="70"/>
  <c r="Q36" i="73"/>
  <c r="Q39" i="73"/>
  <c r="Q37" i="69"/>
  <c r="Q37" i="88" s="1"/>
  <c r="Q112" i="88" s="1"/>
  <c r="Q34" i="69"/>
  <c r="Q34" i="88" s="1"/>
  <c r="Q109" i="88" s="1"/>
  <c r="W5" i="74"/>
  <c r="T47" i="74"/>
  <c r="R33" i="89"/>
  <c r="R79" i="89" s="1"/>
  <c r="W33" i="73"/>
  <c r="Y68" i="70"/>
  <c r="Y21" i="70"/>
  <c r="Y29" i="70"/>
  <c r="Y48" i="70"/>
  <c r="AA34" i="88"/>
  <c r="AA109" i="88" s="1"/>
  <c r="Q38" i="69"/>
  <c r="Q38" i="88" s="1"/>
  <c r="Q113" i="88" s="1"/>
  <c r="Q7" i="69"/>
  <c r="Q7" i="88" s="1"/>
  <c r="Q82" i="88" s="1"/>
  <c r="AD56" i="69"/>
  <c r="AA56" i="88"/>
  <c r="AA131" i="88" s="1"/>
  <c r="W76" i="70"/>
  <c r="W42" i="73"/>
  <c r="R42" i="89"/>
  <c r="R88" i="89" s="1"/>
  <c r="W71" i="69"/>
  <c r="V71" i="88" s="1"/>
  <c r="V146" i="88" s="1"/>
  <c r="W52" i="69"/>
  <c r="V52" i="88" s="1"/>
  <c r="V127" i="88" s="1"/>
  <c r="AI54" i="69"/>
  <c r="AE54" i="88" s="1"/>
  <c r="AE129" i="88" s="1"/>
  <c r="Q65" i="69"/>
  <c r="Q65" i="88" s="1"/>
  <c r="Q140" i="88" s="1"/>
  <c r="Q7" i="74"/>
  <c r="W40" i="69"/>
  <c r="V40" i="88" s="1"/>
  <c r="V115" i="88" s="1"/>
  <c r="W22" i="69"/>
  <c r="V22" i="88" s="1"/>
  <c r="V97" i="88" s="1"/>
  <c r="W7" i="73"/>
  <c r="R7" i="89"/>
  <c r="R53" i="89" s="1"/>
  <c r="AC22" i="69"/>
  <c r="W46" i="69"/>
  <c r="V46" i="88" s="1"/>
  <c r="V121" i="88" s="1"/>
  <c r="W10" i="74"/>
  <c r="AI38" i="69"/>
  <c r="AE38" i="88" s="1"/>
  <c r="AE113" i="88" s="1"/>
  <c r="L72" i="69"/>
  <c r="L72" i="88" s="1"/>
  <c r="L147" i="88" s="1"/>
  <c r="AC20" i="69"/>
  <c r="AC63" i="69"/>
  <c r="Q22" i="74"/>
  <c r="R6" i="89"/>
  <c r="R52" i="89" s="1"/>
  <c r="W6" i="73"/>
  <c r="AC74" i="69"/>
  <c r="Q12" i="74"/>
  <c r="M64" i="70"/>
  <c r="M64" i="69"/>
  <c r="M27" i="70"/>
  <c r="M27" i="69"/>
  <c r="M27" i="88" s="1"/>
  <c r="M102" i="88" s="1"/>
  <c r="M25" i="70"/>
  <c r="M25" i="69"/>
  <c r="Q53" i="69"/>
  <c r="Q53" i="88" s="1"/>
  <c r="Q128" i="88" s="1"/>
  <c r="Q45" i="69"/>
  <c r="Q45" i="88" s="1"/>
  <c r="Q120" i="88" s="1"/>
  <c r="AC40" i="69"/>
  <c r="AB27" i="72"/>
  <c r="N29" i="89"/>
  <c r="N75" i="89" s="1"/>
  <c r="R17" i="89"/>
  <c r="R63" i="89" s="1"/>
  <c r="W17" i="73"/>
  <c r="AI8" i="69"/>
  <c r="AE8" i="88" s="1"/>
  <c r="AE83" i="88" s="1"/>
  <c r="W28" i="69"/>
  <c r="V28" i="88" s="1"/>
  <c r="V103" i="88" s="1"/>
  <c r="Y6" i="70"/>
  <c r="O9" i="90"/>
  <c r="O7" i="90"/>
  <c r="O13" i="90" s="1"/>
  <c r="O11" i="90"/>
  <c r="AD53" i="69"/>
  <c r="AA53" i="88"/>
  <c r="AA128" i="88" s="1"/>
  <c r="R19" i="89"/>
  <c r="R65" i="89" s="1"/>
  <c r="W19" i="73"/>
  <c r="AA60" i="88"/>
  <c r="AA135" i="88" s="1"/>
  <c r="AD60" i="69"/>
  <c r="M31" i="70"/>
  <c r="M31" i="69"/>
  <c r="M31" i="88" s="1"/>
  <c r="M106" i="88" s="1"/>
  <c r="N8" i="89"/>
  <c r="N54" i="89" s="1"/>
  <c r="V60" i="88"/>
  <c r="V135" i="88" s="1"/>
  <c r="W31" i="74"/>
  <c r="U22" i="69"/>
  <c r="U19" i="69"/>
  <c r="T19" i="88" s="1"/>
  <c r="T94" i="88" s="1"/>
  <c r="U24" i="69"/>
  <c r="T24" i="88" s="1"/>
  <c r="T99" i="88" s="1"/>
  <c r="U39" i="69"/>
  <c r="T39" i="88" s="1"/>
  <c r="T114" i="88" s="1"/>
  <c r="U46" i="69"/>
  <c r="U8" i="69"/>
  <c r="U25" i="69"/>
  <c r="T25" i="88" s="1"/>
  <c r="T100" i="88" s="1"/>
  <c r="U64" i="69"/>
  <c r="T64" i="88" s="1"/>
  <c r="T139" i="88" s="1"/>
  <c r="U12" i="69"/>
  <c r="T12" i="88" s="1"/>
  <c r="T87" i="88" s="1"/>
  <c r="U45" i="69"/>
  <c r="U36" i="69"/>
  <c r="T36" i="88" s="1"/>
  <c r="T111" i="88" s="1"/>
  <c r="U50" i="69"/>
  <c r="T50" i="88" s="1"/>
  <c r="T125" i="88" s="1"/>
  <c r="U32" i="69"/>
  <c r="U14" i="69"/>
  <c r="T14" i="88" s="1"/>
  <c r="T89" i="88" s="1"/>
  <c r="U67" i="69"/>
  <c r="U43" i="69"/>
  <c r="U56" i="69"/>
  <c r="U30" i="69"/>
  <c r="U74" i="69"/>
  <c r="T74" i="88" s="1"/>
  <c r="T149" i="88" s="1"/>
  <c r="U55" i="69"/>
  <c r="U37" i="69"/>
  <c r="U16" i="69"/>
  <c r="T16" i="88" s="1"/>
  <c r="T91" i="88" s="1"/>
  <c r="U28" i="69"/>
  <c r="U68" i="69"/>
  <c r="U54" i="69"/>
  <c r="U5" i="69"/>
  <c r="U70" i="69"/>
  <c r="T70" i="88" s="1"/>
  <c r="T145" i="88" s="1"/>
  <c r="U66" i="69"/>
  <c r="U65" i="69"/>
  <c r="U31" i="69"/>
  <c r="U47" i="69"/>
  <c r="T47" i="88" s="1"/>
  <c r="T122" i="88" s="1"/>
  <c r="U40" i="69"/>
  <c r="U10" i="69"/>
  <c r="T10" i="88" s="1"/>
  <c r="T85" i="88" s="1"/>
  <c r="U11" i="69"/>
  <c r="T11" i="88" s="1"/>
  <c r="T86" i="88" s="1"/>
  <c r="U38" i="69"/>
  <c r="U27" i="69"/>
  <c r="T27" i="88" s="1"/>
  <c r="T102" i="88" s="1"/>
  <c r="U9" i="69"/>
  <c r="T9" i="88" s="1"/>
  <c r="T84" i="88" s="1"/>
  <c r="U71" i="69"/>
  <c r="U29" i="69"/>
  <c r="U72" i="69"/>
  <c r="U59" i="69"/>
  <c r="U21" i="69"/>
  <c r="U52" i="69"/>
  <c r="U63" i="69"/>
  <c r="U6" i="69"/>
  <c r="U13" i="69"/>
  <c r="T13" i="88" s="1"/>
  <c r="T88" i="88" s="1"/>
  <c r="U18" i="69"/>
  <c r="T18" i="88" s="1"/>
  <c r="T93" i="88" s="1"/>
  <c r="U41" i="69"/>
  <c r="U69" i="69"/>
  <c r="U49" i="69"/>
  <c r="U7" i="69"/>
  <c r="U17" i="69"/>
  <c r="T17" i="88" s="1"/>
  <c r="T92" i="88" s="1"/>
  <c r="U15" i="69"/>
  <c r="T15" i="88" s="1"/>
  <c r="T90" i="88" s="1"/>
  <c r="U48" i="69"/>
  <c r="U42" i="69"/>
  <c r="U34" i="69"/>
  <c r="U62" i="69"/>
  <c r="Y7" i="70"/>
  <c r="Y5" i="70"/>
  <c r="Y76" i="68"/>
  <c r="Y81" i="68" s="1"/>
  <c r="Y39" i="69" s="1"/>
  <c r="X39" i="88" s="1"/>
  <c r="X114" i="88" s="1"/>
  <c r="Y23" i="70"/>
  <c r="Y40" i="70"/>
  <c r="Y52" i="70"/>
  <c r="AI55" i="69"/>
  <c r="AE55" i="88" s="1"/>
  <c r="AE130" i="88" s="1"/>
  <c r="T30" i="89"/>
  <c r="T76" i="89" s="1"/>
  <c r="N30" i="89"/>
  <c r="N76" i="89" s="1"/>
  <c r="W20" i="69"/>
  <c r="V20" i="88" s="1"/>
  <c r="V95" i="88" s="1"/>
  <c r="AI31" i="69"/>
  <c r="AE31" i="88" s="1"/>
  <c r="AE106" i="88" s="1"/>
  <c r="O39" i="89"/>
  <c r="O85" i="89" s="1"/>
  <c r="L32" i="69"/>
  <c r="L32" i="88" s="1"/>
  <c r="L107" i="88" s="1"/>
  <c r="Q25" i="69"/>
  <c r="Q25" i="88" s="1"/>
  <c r="Q100" i="88" s="1"/>
  <c r="Q70" i="69"/>
  <c r="Q70" i="88" s="1"/>
  <c r="Q145" i="88" s="1"/>
  <c r="AC72" i="69"/>
  <c r="AC32" i="69"/>
  <c r="AC26" i="69"/>
  <c r="N20" i="89"/>
  <c r="N66" i="89" s="1"/>
  <c r="R40" i="89"/>
  <c r="R86" i="89" s="1"/>
  <c r="W40" i="73"/>
  <c r="AB40" i="73" s="1"/>
  <c r="AI6" i="69"/>
  <c r="AE6" i="88" s="1"/>
  <c r="AE81" i="88" s="1"/>
  <c r="T18" i="89"/>
  <c r="T64" i="89" s="1"/>
  <c r="O19" i="89"/>
  <c r="O65" i="89" s="1"/>
  <c r="O38" i="88"/>
  <c r="O113" i="88" s="1"/>
  <c r="W29" i="69"/>
  <c r="V29" i="88" s="1"/>
  <c r="V104" i="88" s="1"/>
  <c r="Q31" i="69"/>
  <c r="Q31" i="88" s="1"/>
  <c r="Q106" i="88" s="1"/>
  <c r="AC50" i="69"/>
  <c r="AC70" i="69"/>
  <c r="N28" i="89"/>
  <c r="N74" i="89" s="1"/>
  <c r="N7" i="89"/>
  <c r="N53" i="89" s="1"/>
  <c r="W43" i="74"/>
  <c r="Q21" i="69"/>
  <c r="Q21" i="88" s="1"/>
  <c r="Q96" i="88" s="1"/>
  <c r="M60" i="70"/>
  <c r="M60" i="69"/>
  <c r="AB34" i="72"/>
  <c r="W31" i="69"/>
  <c r="V31" i="88" s="1"/>
  <c r="V106" i="88" s="1"/>
  <c r="M45" i="70"/>
  <c r="M45" i="69"/>
  <c r="W9" i="74"/>
  <c r="T61" i="88"/>
  <c r="T136" i="88" s="1"/>
  <c r="O5" i="89"/>
  <c r="O51" i="89" s="1"/>
  <c r="O47" i="73"/>
  <c r="R12" i="89"/>
  <c r="R58" i="89" s="1"/>
  <c r="W12" i="73"/>
  <c r="Q73" i="69"/>
  <c r="Q73" i="88" s="1"/>
  <c r="Q148" i="88" s="1"/>
  <c r="Q44" i="69"/>
  <c r="Q44" i="88" s="1"/>
  <c r="Q119" i="88" s="1"/>
  <c r="Q19" i="74"/>
  <c r="AB44" i="72"/>
  <c r="X44" i="73" s="1"/>
  <c r="W66" i="69"/>
  <c r="V66" i="88" s="1"/>
  <c r="V141" i="88" s="1"/>
  <c r="W49" i="69"/>
  <c r="V49" i="88" s="1"/>
  <c r="V124" i="88" s="1"/>
  <c r="AI34" i="69"/>
  <c r="AE34" i="88" s="1"/>
  <c r="AE109" i="88" s="1"/>
  <c r="T33" i="89"/>
  <c r="T79" i="89" s="1"/>
  <c r="O36" i="89"/>
  <c r="O82" i="89" s="1"/>
  <c r="W55" i="69"/>
  <c r="V55" i="88" s="1"/>
  <c r="V130" i="88" s="1"/>
  <c r="O31" i="89"/>
  <c r="O77" i="89" s="1"/>
  <c r="M63" i="70"/>
  <c r="M63" i="69"/>
  <c r="M41" i="70"/>
  <c r="M41" i="69"/>
  <c r="M21" i="70"/>
  <c r="M21" i="69"/>
  <c r="W5" i="88"/>
  <c r="W80" i="88" s="1"/>
  <c r="X76" i="69"/>
  <c r="AA49" i="88"/>
  <c r="AA124" i="88" s="1"/>
  <c r="AA46" i="88"/>
  <c r="AA121" i="88" s="1"/>
  <c r="V42" i="68"/>
  <c r="V7" i="68"/>
  <c r="V29" i="68"/>
  <c r="V54" i="68"/>
  <c r="V70" i="68"/>
  <c r="V57" i="68"/>
  <c r="V58" i="68"/>
  <c r="V31" i="68"/>
  <c r="V32" i="68"/>
  <c r="V45" i="68"/>
  <c r="V71" i="68"/>
  <c r="V37" i="68"/>
  <c r="V63" i="68"/>
  <c r="V38" i="68"/>
  <c r="V34" i="68"/>
  <c r="V23" i="68"/>
  <c r="V74" i="68"/>
  <c r="V59" i="68"/>
  <c r="V60" i="68"/>
  <c r="V56" i="68"/>
  <c r="V40" i="68"/>
  <c r="V44" i="68"/>
  <c r="V36" i="68"/>
  <c r="V22" i="68"/>
  <c r="V30" i="68"/>
  <c r="V41" i="68"/>
  <c r="V53" i="68"/>
  <c r="V69" i="68"/>
  <c r="V55" i="68"/>
  <c r="V50" i="68"/>
  <c r="V43" i="68"/>
  <c r="V51" i="68"/>
  <c r="V8" i="68"/>
  <c r="V26" i="68"/>
  <c r="V25" i="68"/>
  <c r="V62" i="68"/>
  <c r="V49" i="68"/>
  <c r="V65" i="68"/>
  <c r="V72" i="68"/>
  <c r="V48" i="68"/>
  <c r="V35" i="68"/>
  <c r="V20" i="68"/>
  <c r="V5" i="68"/>
  <c r="V73" i="68"/>
  <c r="V67" i="68"/>
  <c r="V68" i="68"/>
  <c r="V66" i="68"/>
  <c r="V6" i="68"/>
  <c r="V52" i="68"/>
  <c r="V27" i="68"/>
  <c r="V46" i="68"/>
  <c r="V39" i="68"/>
  <c r="V21" i="68"/>
  <c r="V33" i="68"/>
  <c r="V28" i="68"/>
  <c r="V61" i="68"/>
  <c r="V47" i="68"/>
  <c r="V64" i="68"/>
  <c r="W45" i="69"/>
  <c r="V45" i="88" s="1"/>
  <c r="V120" i="88" s="1"/>
  <c r="W27" i="69"/>
  <c r="V27" i="88" s="1"/>
  <c r="V102" i="88" s="1"/>
  <c r="AI23" i="69"/>
  <c r="AE23" i="88" s="1"/>
  <c r="AE98" i="88" s="1"/>
  <c r="T5" i="89"/>
  <c r="T51" i="89" s="1"/>
  <c r="V47" i="73"/>
  <c r="O25" i="89"/>
  <c r="O71" i="89" s="1"/>
  <c r="O7" i="69"/>
  <c r="O7" i="88" s="1"/>
  <c r="O82" i="88" s="1"/>
  <c r="Q74" i="69"/>
  <c r="Q74" i="88" s="1"/>
  <c r="Q149" i="88" s="1"/>
  <c r="AA48" i="88"/>
  <c r="AA123" i="88" s="1"/>
  <c r="X8" i="73"/>
  <c r="Y8" i="73" s="1"/>
  <c r="AB8" i="73" s="1"/>
  <c r="X22" i="73"/>
  <c r="Y22" i="73" s="1"/>
  <c r="AB22" i="73" s="1"/>
  <c r="X38" i="73"/>
  <c r="Y38" i="73" s="1"/>
  <c r="AB38" i="73" s="1"/>
  <c r="X24" i="73"/>
  <c r="Y24" i="73" s="1"/>
  <c r="AB24" i="73" s="1"/>
  <c r="X26" i="73"/>
  <c r="Y26" i="73" s="1"/>
  <c r="AB26" i="73" s="1"/>
  <c r="X21" i="73"/>
  <c r="Y21" i="73" s="1"/>
  <c r="AB21" i="73" s="1"/>
  <c r="X10" i="73"/>
  <c r="Y10" i="73" s="1"/>
  <c r="AB10" i="73" s="1"/>
  <c r="X42" i="73"/>
  <c r="Y42" i="73" s="1"/>
  <c r="AB42" i="73" s="1"/>
  <c r="X20" i="73"/>
  <c r="Y20" i="73" s="1"/>
  <c r="AB20" i="73" s="1"/>
  <c r="X25" i="73"/>
  <c r="Y25" i="73" s="1"/>
  <c r="X37" i="73"/>
  <c r="Y37" i="73" s="1"/>
  <c r="AB37" i="73" s="1"/>
  <c r="X9" i="73"/>
  <c r="Y9" i="73" s="1"/>
  <c r="AB9" i="73" s="1"/>
  <c r="Y40" i="74"/>
  <c r="AB40" i="74" s="1"/>
  <c r="S28" i="93" s="1"/>
  <c r="U40" i="89"/>
  <c r="U86" i="89" s="1"/>
  <c r="Y20" i="74"/>
  <c r="AB20" i="74" s="1"/>
  <c r="S10" i="93" s="1"/>
  <c r="Y21" i="74"/>
  <c r="AB21" i="74" s="1"/>
  <c r="Y11" i="74"/>
  <c r="AB11" i="74" s="1"/>
  <c r="S5" i="93" s="1"/>
  <c r="Y38" i="74"/>
  <c r="AB38" i="74" s="1"/>
  <c r="U38" i="89"/>
  <c r="U84" i="89" s="1"/>
  <c r="Y42" i="74"/>
  <c r="AB42" i="74" s="1"/>
  <c r="S31" i="93" s="1"/>
  <c r="U42" i="89"/>
  <c r="U88" i="89" s="1"/>
  <c r="Y37" i="74"/>
  <c r="AB37" i="74" s="1"/>
  <c r="Y18" i="74"/>
  <c r="AB18" i="74" s="1"/>
  <c r="AA736" i="83" s="1"/>
  <c r="U18" i="89"/>
  <c r="U64" i="89" s="1"/>
  <c r="Y9" i="74"/>
  <c r="AB9" i="74" s="1"/>
  <c r="AA555" i="83" s="1"/>
  <c r="U9" i="89"/>
  <c r="U55" i="89" s="1"/>
  <c r="Y10" i="74"/>
  <c r="AB10" i="74" s="1"/>
  <c r="U10" i="89"/>
  <c r="U56" i="89" s="1"/>
  <c r="Y8" i="74"/>
  <c r="AB8" i="74" s="1"/>
  <c r="G21" i="93" s="1"/>
  <c r="Y22" i="74"/>
  <c r="U22" i="89"/>
  <c r="U68" i="89" s="1"/>
  <c r="Y17" i="74"/>
  <c r="AB17" i="74" s="1"/>
  <c r="AA1905" i="82"/>
  <c r="AA1873" i="82"/>
  <c r="AA1857" i="82"/>
  <c r="AA1975" i="82"/>
  <c r="AA1935" i="82"/>
  <c r="AA1895" i="82"/>
  <c r="AA1878" i="82"/>
  <c r="AA1870" i="82"/>
  <c r="AA1981" i="82"/>
  <c r="AA1956" i="82"/>
  <c r="AA1924" i="82"/>
  <c r="AA1916" i="82"/>
  <c r="AA1947" i="82"/>
  <c r="AA1923" i="82"/>
  <c r="AA1915" i="82"/>
  <c r="AA1843" i="82"/>
  <c r="AA1938" i="82"/>
  <c r="AA1930" i="82"/>
  <c r="AA1850" i="82"/>
  <c r="AA1954" i="82"/>
  <c r="AA1890" i="82"/>
  <c r="AA1946" i="82"/>
  <c r="AA1079" i="82"/>
  <c r="AA902" i="82"/>
  <c r="AA405" i="82"/>
  <c r="AA744" i="83"/>
  <c r="AA742" i="83"/>
  <c r="AA740" i="83"/>
  <c r="AA724" i="83"/>
  <c r="AA722" i="83"/>
  <c r="AA718" i="83"/>
  <c r="AA739" i="83"/>
  <c r="AA735" i="83"/>
  <c r="AA733" i="83"/>
  <c r="AA717" i="83"/>
  <c r="AA715" i="83"/>
  <c r="AA713" i="83"/>
  <c r="AA1483" i="82"/>
  <c r="AG1483" i="82" s="1"/>
  <c r="AA1475" i="82"/>
  <c r="AG1475" i="82" s="1"/>
  <c r="AA1467" i="82"/>
  <c r="AG1467" i="82" s="1"/>
  <c r="AA1487" i="82"/>
  <c r="AG1487" i="82" s="1"/>
  <c r="AA1479" i="82"/>
  <c r="AG1479" i="82" s="1"/>
  <c r="AA1471" i="82"/>
  <c r="AG1471" i="82" s="1"/>
  <c r="AA1465" i="82"/>
  <c r="AG1465" i="82" s="1"/>
  <c r="AA1496" i="82"/>
  <c r="AG1496" i="82" s="1"/>
  <c r="AA1480" i="82"/>
  <c r="AG1480" i="82" s="1"/>
  <c r="AA1489" i="82"/>
  <c r="AG1489" i="82" s="1"/>
  <c r="AA1473" i="82"/>
  <c r="AG1473" i="82" s="1"/>
  <c r="AA1488" i="82"/>
  <c r="AG1488" i="82" s="1"/>
  <c r="AA1127" i="82"/>
  <c r="AA487" i="82"/>
  <c r="AA928" i="82"/>
  <c r="AA1057" i="82"/>
  <c r="AA482" i="82"/>
  <c r="AA493" i="82"/>
  <c r="AA1129" i="82"/>
  <c r="AB49" i="73"/>
  <c r="AB49" i="74"/>
  <c r="AB49" i="72"/>
  <c r="AB49" i="71"/>
  <c r="X41" i="73"/>
  <c r="X32" i="73"/>
  <c r="X19" i="73"/>
  <c r="X13" i="73"/>
  <c r="X43" i="73"/>
  <c r="X39" i="73"/>
  <c r="X33" i="73"/>
  <c r="X31" i="73"/>
  <c r="X23" i="73"/>
  <c r="X14" i="73"/>
  <c r="X7" i="73"/>
  <c r="X30" i="73"/>
  <c r="X28" i="73"/>
  <c r="X45" i="73"/>
  <c r="X27" i="73"/>
  <c r="X11" i="73"/>
  <c r="Y11" i="73" s="1"/>
  <c r="AB11" i="73" s="1"/>
  <c r="AG80" i="67"/>
  <c r="AG78" i="70"/>
  <c r="AG78" i="69"/>
  <c r="AG78" i="68"/>
  <c r="X6" i="73"/>
  <c r="X36" i="73"/>
  <c r="X17" i="73"/>
  <c r="X35" i="73"/>
  <c r="Y49" i="74"/>
  <c r="Y49" i="73"/>
  <c r="Y49" i="71"/>
  <c r="Y49" i="72"/>
  <c r="E29" i="5"/>
  <c r="E47" i="5"/>
  <c r="G47" i="5" s="1"/>
  <c r="AA1492" i="82" l="1"/>
  <c r="AG1492" i="82" s="1"/>
  <c r="AA1466" i="82"/>
  <c r="AG1466" i="82" s="1"/>
  <c r="AA723" i="83"/>
  <c r="AA745" i="83"/>
  <c r="AA728" i="83"/>
  <c r="AA1859" i="82"/>
  <c r="AA1971" i="82"/>
  <c r="AA1861" i="82"/>
  <c r="AA1958" i="82"/>
  <c r="AA1872" i="82"/>
  <c r="AA1977" i="82"/>
  <c r="AA1472" i="82"/>
  <c r="AG1472" i="82" s="1"/>
  <c r="AA1464" i="82"/>
  <c r="AA1500" i="82"/>
  <c r="AG1500" i="82" s="1"/>
  <c r="AA1498" i="82"/>
  <c r="AG1498" i="82" s="1"/>
  <c r="AA711" i="83"/>
  <c r="AA731" i="83"/>
  <c r="AA714" i="83"/>
  <c r="AA738" i="83"/>
  <c r="AA1882" i="82"/>
  <c r="AA1858" i="82"/>
  <c r="AA1907" i="82"/>
  <c r="AA1876" i="82"/>
  <c r="AA1941" i="82"/>
  <c r="AA1887" i="82"/>
  <c r="AA1960" i="82"/>
  <c r="AA946" i="83"/>
  <c r="AA1476" i="82"/>
  <c r="AG1476" i="82" s="1"/>
  <c r="AA1481" i="82"/>
  <c r="AG1481" i="82" s="1"/>
  <c r="AA1495" i="82"/>
  <c r="AG1495" i="82" s="1"/>
  <c r="AA1491" i="82"/>
  <c r="AG1491" i="82" s="1"/>
  <c r="AA719" i="83"/>
  <c r="AA743" i="83"/>
  <c r="AA726" i="83"/>
  <c r="AA746" i="83"/>
  <c r="AA1906" i="82"/>
  <c r="AA1851" i="82"/>
  <c r="AA1963" i="82"/>
  <c r="AA1853" i="82"/>
  <c r="AA1910" i="82"/>
  <c r="AA1840" i="82"/>
  <c r="AA1953" i="82"/>
  <c r="AA1497" i="82"/>
  <c r="AG1497" i="82" s="1"/>
  <c r="AA1499" i="82"/>
  <c r="AG1499" i="82" s="1"/>
  <c r="AA1486" i="82"/>
  <c r="AG1486" i="82" s="1"/>
  <c r="AA1478" i="82"/>
  <c r="AG1478" i="82" s="1"/>
  <c r="AA1468" i="82"/>
  <c r="AG1468" i="82" s="1"/>
  <c r="AA1474" i="82"/>
  <c r="AG1474" i="82" s="1"/>
  <c r="AA1469" i="82"/>
  <c r="AG1469" i="82" s="1"/>
  <c r="AA727" i="83"/>
  <c r="AA747" i="83"/>
  <c r="AA730" i="83"/>
  <c r="AA1914" i="82"/>
  <c r="AA1883" i="82"/>
  <c r="AA1979" i="82"/>
  <c r="AA1893" i="82"/>
  <c r="AA1966" i="82"/>
  <c r="AA1920" i="82"/>
  <c r="AA945" i="83"/>
  <c r="AA1470" i="82"/>
  <c r="AG1470" i="82" s="1"/>
  <c r="AA1494" i="82"/>
  <c r="AG1494" i="82" s="1"/>
  <c r="AA1484" i="82"/>
  <c r="AG1484" i="82" s="1"/>
  <c r="AA1482" i="82"/>
  <c r="AG1482" i="82" s="1"/>
  <c r="AA1485" i="82"/>
  <c r="AG1485" i="82" s="1"/>
  <c r="AA729" i="83"/>
  <c r="AA712" i="83"/>
  <c r="AA734" i="83"/>
  <c r="AA1978" i="82"/>
  <c r="AA1899" i="82"/>
  <c r="AA1836" i="82"/>
  <c r="AA1933" i="82"/>
  <c r="AA1847" i="82"/>
  <c r="AA1928" i="82"/>
  <c r="AA944" i="83"/>
  <c r="AA349" i="82"/>
  <c r="AA893" i="82"/>
  <c r="AA498" i="82"/>
  <c r="AA1122" i="82"/>
  <c r="AA1131" i="82"/>
  <c r="AA879" i="82"/>
  <c r="AA489" i="82"/>
  <c r="AG489" i="82" s="1"/>
  <c r="AA1842" i="82"/>
  <c r="AA1970" i="82"/>
  <c r="AA1874" i="82"/>
  <c r="AA1891" i="82"/>
  <c r="AA1955" i="82"/>
  <c r="AA1884" i="82"/>
  <c r="AA1964" i="82"/>
  <c r="AA1901" i="82"/>
  <c r="L1901" i="86" s="1"/>
  <c r="O1901" i="86" s="1"/>
  <c r="AA1838" i="82"/>
  <c r="AA1918" i="82"/>
  <c r="AA1855" i="82"/>
  <c r="AA1943" i="82"/>
  <c r="AA1880" i="82"/>
  <c r="AA1968" i="82"/>
  <c r="AA1913" i="82"/>
  <c r="AA547" i="82"/>
  <c r="AG547" i="82" s="1"/>
  <c r="AA1987" i="82"/>
  <c r="AG1987" i="82" s="1"/>
  <c r="AA885" i="82"/>
  <c r="AA438" i="82"/>
  <c r="AA347" i="82"/>
  <c r="AA1130" i="82"/>
  <c r="AA1139" i="82"/>
  <c r="AA887" i="82"/>
  <c r="AA497" i="82"/>
  <c r="L497" i="86" s="1"/>
  <c r="O497" i="86" s="1"/>
  <c r="AA1892" i="82"/>
  <c r="AA1980" i="82"/>
  <c r="AA1917" i="82"/>
  <c r="AA1846" i="82"/>
  <c r="AA1934" i="82"/>
  <c r="AA1871" i="82"/>
  <c r="AA1951" i="82"/>
  <c r="AA1896" i="82"/>
  <c r="AG1896" i="82" s="1"/>
  <c r="AA1841" i="82"/>
  <c r="AA1929" i="82"/>
  <c r="AA546" i="82"/>
  <c r="AG546" i="82" s="1"/>
  <c r="AA941" i="83"/>
  <c r="AA1048" i="82"/>
  <c r="AA898" i="82"/>
  <c r="AA448" i="82"/>
  <c r="AA450" i="82"/>
  <c r="AG450" i="82" s="1"/>
  <c r="AA1124" i="82"/>
  <c r="AA1118" i="82"/>
  <c r="AA897" i="82"/>
  <c r="AA1900" i="82"/>
  <c r="AA1837" i="82"/>
  <c r="AA1925" i="82"/>
  <c r="AA1854" i="82"/>
  <c r="AA1942" i="82"/>
  <c r="AG1942" i="82" s="1"/>
  <c r="AA1879" i="82"/>
  <c r="AA1959" i="82"/>
  <c r="AA1904" i="82"/>
  <c r="AA1849" i="82"/>
  <c r="AA1945" i="82"/>
  <c r="AA237" i="83"/>
  <c r="AA1985" i="82"/>
  <c r="AG1985" i="82" s="1"/>
  <c r="AA492" i="82"/>
  <c r="AG492" i="82" s="1"/>
  <c r="AA554" i="83"/>
  <c r="AA1993" i="82"/>
  <c r="AG1993" i="82" s="1"/>
  <c r="AA1213" i="82"/>
  <c r="AG1213" i="82" s="1"/>
  <c r="AA346" i="82"/>
  <c r="AA1121" i="82"/>
  <c r="AA875" i="82"/>
  <c r="AA1044" i="82"/>
  <c r="AA880" i="82"/>
  <c r="AG880" i="82" s="1"/>
  <c r="AA1215" i="82"/>
  <c r="AG1215" i="82" s="1"/>
  <c r="G25" i="93"/>
  <c r="G30" i="93"/>
  <c r="AA1137" i="82"/>
  <c r="AA1132" i="82"/>
  <c r="AA1126" i="82"/>
  <c r="AA925" i="82"/>
  <c r="AA490" i="82"/>
  <c r="AG490" i="82" s="1"/>
  <c r="AA329" i="82"/>
  <c r="AA934" i="82"/>
  <c r="AA496" i="82"/>
  <c r="AA891" i="82"/>
  <c r="AA884" i="82"/>
  <c r="AA1052" i="82"/>
  <c r="AA888" i="82"/>
  <c r="AA1136" i="82"/>
  <c r="AG1136" i="82" s="1"/>
  <c r="AA1898" i="82"/>
  <c r="AA1922" i="82"/>
  <c r="AA1867" i="82"/>
  <c r="AA1931" i="82"/>
  <c r="AA1852" i="82"/>
  <c r="AA1940" i="82"/>
  <c r="AA1869" i="82"/>
  <c r="AA1957" i="82"/>
  <c r="AG1957" i="82" s="1"/>
  <c r="AA1894" i="82"/>
  <c r="AA1974" i="82"/>
  <c r="AA1911" i="82"/>
  <c r="AA1856" i="82"/>
  <c r="AA1936" i="82"/>
  <c r="AA1881" i="82"/>
  <c r="AA522" i="82"/>
  <c r="AG522" i="82" s="1"/>
  <c r="AA558" i="83"/>
  <c r="AA949" i="83"/>
  <c r="G31" i="93"/>
  <c r="G26" i="93"/>
  <c r="AA338" i="82"/>
  <c r="AA483" i="82"/>
  <c r="AA480" i="82"/>
  <c r="AA500" i="82"/>
  <c r="AA1128" i="82"/>
  <c r="AG1128" i="82" s="1"/>
  <c r="AA926" i="82"/>
  <c r="AA1056" i="82"/>
  <c r="AA348" i="82"/>
  <c r="AA899" i="82"/>
  <c r="AA900" i="82"/>
  <c r="AA479" i="82"/>
  <c r="AA1119" i="82"/>
  <c r="AA1962" i="82"/>
  <c r="AG1962" i="82" s="1"/>
  <c r="AA1866" i="82"/>
  <c r="AA1875" i="82"/>
  <c r="AA1939" i="82"/>
  <c r="AA1860" i="82"/>
  <c r="AA1948" i="82"/>
  <c r="AA1877" i="82"/>
  <c r="AA1965" i="82"/>
  <c r="AA1902" i="82"/>
  <c r="AG1902" i="82" s="1"/>
  <c r="AA1982" i="82"/>
  <c r="AA1919" i="82"/>
  <c r="AA1864" i="82"/>
  <c r="AA1944" i="82"/>
  <c r="AA1897" i="82"/>
  <c r="AA548" i="82"/>
  <c r="AG548" i="82" s="1"/>
  <c r="AA1992" i="82"/>
  <c r="AG1992" i="82" s="1"/>
  <c r="AA1991" i="82"/>
  <c r="AG1991" i="82" s="1"/>
  <c r="AA951" i="83"/>
  <c r="AA1984" i="82"/>
  <c r="AG1984" i="82" s="1"/>
  <c r="AA1986" i="82"/>
  <c r="AG1986" i="82" s="1"/>
  <c r="AA190" i="82"/>
  <c r="AA940" i="83"/>
  <c r="AA241" i="83"/>
  <c r="AA1776" i="82"/>
  <c r="AG1776" i="82" s="1"/>
  <c r="AA1813" i="82"/>
  <c r="AG1813" i="82" s="1"/>
  <c r="AA1733" i="82"/>
  <c r="AA1786" i="82"/>
  <c r="AA1727" i="82"/>
  <c r="AA1778" i="82"/>
  <c r="AA1823" i="82"/>
  <c r="L1823" i="86" s="1"/>
  <c r="O1823" i="86" s="1"/>
  <c r="AA1781" i="82"/>
  <c r="AA1725" i="82"/>
  <c r="AG1725" i="82" s="1"/>
  <c r="AA1738" i="82"/>
  <c r="AG1738" i="82" s="1"/>
  <c r="AA1719" i="82"/>
  <c r="AA1721" i="82"/>
  <c r="AA1730" i="82"/>
  <c r="AA1740" i="82"/>
  <c r="AA1782" i="82"/>
  <c r="AG1782" i="82" s="1"/>
  <c r="AA1731" i="82"/>
  <c r="AA1817" i="82"/>
  <c r="L1817" i="86" s="1"/>
  <c r="O1817" i="86" s="1"/>
  <c r="AA1783" i="82"/>
  <c r="AG1783" i="82" s="1"/>
  <c r="AA1812" i="82"/>
  <c r="AA1732" i="82"/>
  <c r="AA1722" i="82"/>
  <c r="AA1737" i="82"/>
  <c r="AA1720" i="82"/>
  <c r="L1720" i="86" s="1"/>
  <c r="O1720" i="86" s="1"/>
  <c r="AA1785" i="82"/>
  <c r="AA1822" i="82"/>
  <c r="AG1822" i="82" s="1"/>
  <c r="AA1780" i="82"/>
  <c r="AG1780" i="82" s="1"/>
  <c r="AA1724" i="82"/>
  <c r="AA1736" i="82"/>
  <c r="AA1734" i="82"/>
  <c r="AA1777" i="82"/>
  <c r="AA1814" i="82"/>
  <c r="L1814" i="86" s="1"/>
  <c r="O1814" i="86" s="1"/>
  <c r="AA1819" i="82"/>
  <c r="AA1739" i="82"/>
  <c r="AG1739" i="82" s="1"/>
  <c r="AA1728" i="82"/>
  <c r="L1728" i="86" s="1"/>
  <c r="O1728" i="86" s="1"/>
  <c r="AA1729" i="82"/>
  <c r="AA1816" i="82"/>
  <c r="AA1787" i="82"/>
  <c r="AA1818" i="82"/>
  <c r="AA1784" i="82"/>
  <c r="AG1784" i="82" s="1"/>
  <c r="AA1821" i="82"/>
  <c r="AA1779" i="82"/>
  <c r="AG1779" i="82" s="1"/>
  <c r="AA1723" i="82"/>
  <c r="L1723" i="86" s="1"/>
  <c r="O1723" i="86" s="1"/>
  <c r="AA1735" i="82"/>
  <c r="AA1726" i="82"/>
  <c r="AA1815" i="82"/>
  <c r="AA1820" i="82"/>
  <c r="AA1718" i="82"/>
  <c r="AG1718" i="82" s="1"/>
  <c r="Y44" i="73"/>
  <c r="AB44" i="73" s="1"/>
  <c r="V53" i="70"/>
  <c r="AB53" i="68"/>
  <c r="X5" i="74"/>
  <c r="AB47" i="72"/>
  <c r="AA901" i="82"/>
  <c r="AA1091" i="82"/>
  <c r="AA829" i="82"/>
  <c r="U37" i="89"/>
  <c r="U83" i="89" s="1"/>
  <c r="U20" i="89"/>
  <c r="U66" i="89" s="1"/>
  <c r="V39" i="70"/>
  <c r="AB39" i="70" s="1"/>
  <c r="AB39" i="68"/>
  <c r="V73" i="70"/>
  <c r="AB73" i="70" s="1"/>
  <c r="AB73" i="68"/>
  <c r="V62" i="70"/>
  <c r="V62" i="69"/>
  <c r="U62" i="88" s="1"/>
  <c r="U137" i="88" s="1"/>
  <c r="AB62" i="68"/>
  <c r="V69" i="70"/>
  <c r="AB69" i="68"/>
  <c r="V56" i="70"/>
  <c r="AB56" i="68"/>
  <c r="V37" i="70"/>
  <c r="AB37" i="68"/>
  <c r="V54" i="70"/>
  <c r="AB54" i="68"/>
  <c r="M21" i="88"/>
  <c r="M96" i="88" s="1"/>
  <c r="M45" i="88"/>
  <c r="M120" i="88" s="1"/>
  <c r="AA72" i="88"/>
  <c r="AA147" i="88" s="1"/>
  <c r="AD72" i="69"/>
  <c r="T48" i="88"/>
  <c r="T123" i="88" s="1"/>
  <c r="T71" i="88"/>
  <c r="T146" i="88" s="1"/>
  <c r="T31" i="88"/>
  <c r="T106" i="88" s="1"/>
  <c r="T8" i="88"/>
  <c r="T83" i="88" s="1"/>
  <c r="AD22" i="69"/>
  <c r="AA22" i="88"/>
  <c r="AA97" i="88" s="1"/>
  <c r="W47" i="74"/>
  <c r="X26" i="74"/>
  <c r="AD51" i="69"/>
  <c r="AA51" i="88"/>
  <c r="AA126" i="88" s="1"/>
  <c r="Y45" i="69"/>
  <c r="X45" i="88" s="1"/>
  <c r="X120" i="88" s="1"/>
  <c r="Y60" i="69"/>
  <c r="X60" i="88" s="1"/>
  <c r="X135" i="88" s="1"/>
  <c r="Y57" i="69"/>
  <c r="L5" i="88"/>
  <c r="L80" i="88" s="1"/>
  <c r="L76" i="69"/>
  <c r="M50" i="69"/>
  <c r="M50" i="88" s="1"/>
  <c r="M125" i="88" s="1"/>
  <c r="AB32" i="74"/>
  <c r="S22" i="93" s="1"/>
  <c r="AB31" i="74"/>
  <c r="Y49" i="69"/>
  <c r="X49" i="88" s="1"/>
  <c r="X124" i="88" s="1"/>
  <c r="H9" i="91"/>
  <c r="H11" i="91"/>
  <c r="M30" i="69"/>
  <c r="M30" i="88" s="1"/>
  <c r="M105" i="88" s="1"/>
  <c r="AB23" i="74"/>
  <c r="P15" i="90"/>
  <c r="P14" i="90"/>
  <c r="Y66" i="69"/>
  <c r="X66" i="88" s="1"/>
  <c r="X141" i="88" s="1"/>
  <c r="AB38" i="70"/>
  <c r="AD16" i="69"/>
  <c r="AA16" i="88"/>
  <c r="AA91" i="88" s="1"/>
  <c r="AD27" i="69"/>
  <c r="AA27" i="88"/>
  <c r="AA102" i="88" s="1"/>
  <c r="V46" i="70"/>
  <c r="AB46" i="70" s="1"/>
  <c r="AB46" i="68"/>
  <c r="V25" i="70"/>
  <c r="AB25" i="70" s="1"/>
  <c r="AB25" i="68"/>
  <c r="V71" i="70"/>
  <c r="AB71" i="68"/>
  <c r="T37" i="88"/>
  <c r="T112" i="88" s="1"/>
  <c r="T46" i="88"/>
  <c r="T121" i="88" s="1"/>
  <c r="AD61" i="69"/>
  <c r="AA61" i="88"/>
  <c r="AA136" i="88" s="1"/>
  <c r="Y61" i="69"/>
  <c r="X61" i="88" s="1"/>
  <c r="X136" i="88" s="1"/>
  <c r="AA14" i="88"/>
  <c r="AA89" i="88" s="1"/>
  <c r="AD14" i="69"/>
  <c r="AA315" i="82"/>
  <c r="AA1084" i="82"/>
  <c r="AG1084" i="82" s="1"/>
  <c r="AA1868" i="82"/>
  <c r="AA1932" i="82"/>
  <c r="AA1845" i="82"/>
  <c r="AA1909" i="82"/>
  <c r="AA1973" i="82"/>
  <c r="L1973" i="86" s="1"/>
  <c r="O1973" i="86" s="1"/>
  <c r="AA1886" i="82"/>
  <c r="AA1950" i="82"/>
  <c r="AA1863" i="82"/>
  <c r="L1863" i="86" s="1"/>
  <c r="O1863" i="86" s="1"/>
  <c r="AA1927" i="82"/>
  <c r="AA1848" i="82"/>
  <c r="AA1912" i="82"/>
  <c r="AA1976" i="82"/>
  <c r="AA1889" i="82"/>
  <c r="L1889" i="86" s="1"/>
  <c r="O1889" i="86" s="1"/>
  <c r="AA1961" i="82"/>
  <c r="AA550" i="82"/>
  <c r="AG550" i="82" s="1"/>
  <c r="AA942" i="83"/>
  <c r="AA948" i="83"/>
  <c r="AA943" i="83"/>
  <c r="V64" i="70"/>
  <c r="AB64" i="70" s="1"/>
  <c r="V64" i="69"/>
  <c r="AB64" i="68"/>
  <c r="V27" i="70"/>
  <c r="AB27" i="70" s="1"/>
  <c r="AB27" i="68"/>
  <c r="V20" i="70"/>
  <c r="AB20" i="70" s="1"/>
  <c r="AB20" i="68"/>
  <c r="V26" i="70"/>
  <c r="AB26" i="70" s="1"/>
  <c r="AB26" i="68"/>
  <c r="V41" i="70"/>
  <c r="AB41" i="68"/>
  <c r="V59" i="70"/>
  <c r="AB59" i="68"/>
  <c r="V45" i="70"/>
  <c r="AB45" i="68"/>
  <c r="V7" i="70"/>
  <c r="AB7" i="68"/>
  <c r="M41" i="88"/>
  <c r="M116" i="88" s="1"/>
  <c r="AD70" i="69"/>
  <c r="AA70" i="88"/>
  <c r="AA145" i="88" s="1"/>
  <c r="Y52" i="69"/>
  <c r="X52" i="88" s="1"/>
  <c r="X127" i="88" s="1"/>
  <c r="Y76" i="70"/>
  <c r="T63" i="88"/>
  <c r="T138" i="88" s="1"/>
  <c r="T66" i="88"/>
  <c r="T141" i="88" s="1"/>
  <c r="T55" i="88"/>
  <c r="T130" i="88" s="1"/>
  <c r="AD63" i="69"/>
  <c r="AA63" i="88"/>
  <c r="AA138" i="88" s="1"/>
  <c r="Y21" i="69"/>
  <c r="X21" i="88" s="1"/>
  <c r="X96" i="88" s="1"/>
  <c r="AB56" i="70"/>
  <c r="M42" i="88"/>
  <c r="M117" i="88" s="1"/>
  <c r="M61" i="88"/>
  <c r="M136" i="88" s="1"/>
  <c r="Y41" i="69"/>
  <c r="X41" i="88" s="1"/>
  <c r="X116" i="88" s="1"/>
  <c r="Y46" i="69"/>
  <c r="X46" i="88" s="1"/>
  <c r="X121" i="88" s="1"/>
  <c r="X16" i="74"/>
  <c r="Y16" i="74" s="1"/>
  <c r="AB16" i="74" s="1"/>
  <c r="X16" i="73"/>
  <c r="AD59" i="69"/>
  <c r="AA59" i="88"/>
  <c r="AA134" i="88" s="1"/>
  <c r="Y58" i="69"/>
  <c r="X58" i="88" s="1"/>
  <c r="X133" i="88" s="1"/>
  <c r="Y65" i="69"/>
  <c r="X65" i="88" s="1"/>
  <c r="X140" i="88" s="1"/>
  <c r="M51" i="69"/>
  <c r="M51" i="88" s="1"/>
  <c r="M126" i="88" s="1"/>
  <c r="AD64" i="69"/>
  <c r="AA64" i="88"/>
  <c r="AA139" i="88" s="1"/>
  <c r="X36" i="74"/>
  <c r="Y36" i="74" s="1"/>
  <c r="AB36" i="74" s="1"/>
  <c r="Y55" i="69"/>
  <c r="X55" i="88" s="1"/>
  <c r="X130" i="88" s="1"/>
  <c r="AD58" i="69"/>
  <c r="AA58" i="88"/>
  <c r="AA133" i="88" s="1"/>
  <c r="AD12" i="69"/>
  <c r="AA12" i="88"/>
  <c r="AA87" i="88" s="1"/>
  <c r="Y20" i="69"/>
  <c r="X20" i="88" s="1"/>
  <c r="X95" i="88" s="1"/>
  <c r="Y38" i="69"/>
  <c r="X38" i="88" s="1"/>
  <c r="X113" i="88" s="1"/>
  <c r="AA815" i="82"/>
  <c r="AA471" i="82"/>
  <c r="V47" i="70"/>
  <c r="AB47" i="70" s="1"/>
  <c r="AB47" i="68"/>
  <c r="V52" i="70"/>
  <c r="AB52" i="68"/>
  <c r="V52" i="69"/>
  <c r="U52" i="88" s="1"/>
  <c r="U127" i="88" s="1"/>
  <c r="V35" i="70"/>
  <c r="AB35" i="70" s="1"/>
  <c r="AB35" i="68"/>
  <c r="V8" i="70"/>
  <c r="AB8" i="68"/>
  <c r="V30" i="70"/>
  <c r="AB30" i="70" s="1"/>
  <c r="AB30" i="68"/>
  <c r="V74" i="70"/>
  <c r="AB74" i="70" s="1"/>
  <c r="AB74" i="68"/>
  <c r="V32" i="70"/>
  <c r="AB32" i="68"/>
  <c r="V42" i="70"/>
  <c r="AB42" i="70" s="1"/>
  <c r="AB42" i="68"/>
  <c r="X34" i="74"/>
  <c r="Y34" i="74" s="1"/>
  <c r="AB34" i="74" s="1"/>
  <c r="S24" i="93" s="1"/>
  <c r="AD50" i="69"/>
  <c r="AA50" i="88"/>
  <c r="AA125" i="88" s="1"/>
  <c r="AB52" i="70"/>
  <c r="AB7" i="70"/>
  <c r="T7" i="88"/>
  <c r="T82" i="88" s="1"/>
  <c r="T52" i="88"/>
  <c r="T127" i="88" s="1"/>
  <c r="T38" i="88"/>
  <c r="T113" i="88" s="1"/>
  <c r="O15" i="90"/>
  <c r="O14" i="90"/>
  <c r="X27" i="74"/>
  <c r="Y27" i="74" s="1"/>
  <c r="AB27" i="74" s="1"/>
  <c r="M64" i="88"/>
  <c r="M139" i="88" s="1"/>
  <c r="AD20" i="69"/>
  <c r="AA20" i="88"/>
  <c r="AA95" i="88" s="1"/>
  <c r="Y48" i="69"/>
  <c r="X48" i="88" s="1"/>
  <c r="X123" i="88" s="1"/>
  <c r="Q47" i="74"/>
  <c r="M67" i="88"/>
  <c r="M142" i="88" s="1"/>
  <c r="AD45" i="69"/>
  <c r="AA45" i="88"/>
  <c r="AA120" i="88" s="1"/>
  <c r="Y33" i="69"/>
  <c r="X33" i="88" s="1"/>
  <c r="X108" i="88" s="1"/>
  <c r="M38" i="88"/>
  <c r="M113" i="88" s="1"/>
  <c r="T35" i="88"/>
  <c r="T110" i="88" s="1"/>
  <c r="AB37" i="70"/>
  <c r="AB62" i="70"/>
  <c r="M5" i="69"/>
  <c r="Y28" i="69"/>
  <c r="X28" i="88" s="1"/>
  <c r="X103" i="88" s="1"/>
  <c r="X43" i="74"/>
  <c r="Y43" i="74" s="1"/>
  <c r="AB43" i="74" s="1"/>
  <c r="S30" i="93" s="1"/>
  <c r="AB53" i="70"/>
  <c r="M32" i="69"/>
  <c r="M32" i="88" s="1"/>
  <c r="M107" i="88" s="1"/>
  <c r="X24" i="74"/>
  <c r="Y24" i="74" s="1"/>
  <c r="AB24" i="74" s="1"/>
  <c r="S12" i="93" s="1"/>
  <c r="AD62" i="69"/>
  <c r="AA62" i="88"/>
  <c r="AA137" i="88" s="1"/>
  <c r="AD73" i="69"/>
  <c r="AA73" i="88"/>
  <c r="AA148" i="88" s="1"/>
  <c r="AD19" i="69"/>
  <c r="AA19" i="88"/>
  <c r="AA94" i="88" s="1"/>
  <c r="T20" i="88"/>
  <c r="T95" i="88" s="1"/>
  <c r="AB71" i="70"/>
  <c r="AB32" i="70"/>
  <c r="V29" i="70"/>
  <c r="AB29" i="68"/>
  <c r="T65" i="88"/>
  <c r="T140" i="88" s="1"/>
  <c r="X15" i="74"/>
  <c r="Y15" i="74" s="1"/>
  <c r="AB15" i="74" s="1"/>
  <c r="S11" i="93" s="1"/>
  <c r="AA456" i="82"/>
  <c r="AG456" i="82" s="1"/>
  <c r="AA1003" i="82"/>
  <c r="AA911" i="82"/>
  <c r="U11" i="89"/>
  <c r="U57" i="89" s="1"/>
  <c r="V61" i="70"/>
  <c r="AB61" i="70" s="1"/>
  <c r="AB61" i="68"/>
  <c r="V6" i="70"/>
  <c r="AB6" i="68"/>
  <c r="V48" i="70"/>
  <c r="AB48" i="70" s="1"/>
  <c r="AB48" i="68"/>
  <c r="V51" i="70"/>
  <c r="AB51" i="68"/>
  <c r="V22" i="70"/>
  <c r="AB22" i="70" s="1"/>
  <c r="V22" i="69"/>
  <c r="U22" i="88" s="1"/>
  <c r="U97" i="88" s="1"/>
  <c r="AB22" i="68"/>
  <c r="V23" i="70"/>
  <c r="AB23" i="70" s="1"/>
  <c r="AB23" i="68"/>
  <c r="V31" i="70"/>
  <c r="AB31" i="70" s="1"/>
  <c r="AB31" i="68"/>
  <c r="M63" i="88"/>
  <c r="M138" i="88" s="1"/>
  <c r="E7" i="91"/>
  <c r="E13" i="91" s="1"/>
  <c r="E9" i="91"/>
  <c r="E11" i="91"/>
  <c r="M60" i="88"/>
  <c r="M135" i="88" s="1"/>
  <c r="Y7" i="69"/>
  <c r="X7" i="88" s="1"/>
  <c r="X82" i="88" s="1"/>
  <c r="T49" i="88"/>
  <c r="T124" i="88" s="1"/>
  <c r="AB49" i="69"/>
  <c r="T21" i="88"/>
  <c r="T96" i="88" s="1"/>
  <c r="T5" i="88"/>
  <c r="T80" i="88" s="1"/>
  <c r="U76" i="69"/>
  <c r="T30" i="88"/>
  <c r="T105" i="88" s="1"/>
  <c r="T45" i="88"/>
  <c r="T120" i="88" s="1"/>
  <c r="Y6" i="69"/>
  <c r="X6" i="88" s="1"/>
  <c r="X81" i="88" s="1"/>
  <c r="AD40" i="69"/>
  <c r="AA40" i="88"/>
  <c r="AA115" i="88" s="1"/>
  <c r="AB29" i="70"/>
  <c r="Y68" i="69"/>
  <c r="X68" i="88" s="1"/>
  <c r="X143" i="88" s="1"/>
  <c r="T23" i="88"/>
  <c r="T98" i="88" s="1"/>
  <c r="AD37" i="69"/>
  <c r="AA37" i="88"/>
  <c r="AA112" i="88" s="1"/>
  <c r="T26" i="88"/>
  <c r="T101" i="88" s="1"/>
  <c r="AD38" i="69"/>
  <c r="AA38" i="88"/>
  <c r="AA113" i="88" s="1"/>
  <c r="AB7" i="74"/>
  <c r="G20" i="93" s="1"/>
  <c r="X34" i="73"/>
  <c r="W76" i="69"/>
  <c r="Y37" i="69"/>
  <c r="X37" i="88" s="1"/>
  <c r="X112" i="88" s="1"/>
  <c r="Y62" i="69"/>
  <c r="X62" i="88" s="1"/>
  <c r="X137" i="88" s="1"/>
  <c r="M76" i="70"/>
  <c r="AB69" i="70"/>
  <c r="M34" i="69"/>
  <c r="M34" i="88" s="1"/>
  <c r="M109" i="88" s="1"/>
  <c r="Y53" i="69"/>
  <c r="X53" i="88" s="1"/>
  <c r="X128" i="88" s="1"/>
  <c r="D7" i="91"/>
  <c r="D13" i="91" s="1"/>
  <c r="D9" i="91"/>
  <c r="D11" i="91"/>
  <c r="AB54" i="70"/>
  <c r="X13" i="74"/>
  <c r="Y13" i="74" s="1"/>
  <c r="AB13" i="74" s="1"/>
  <c r="S7" i="93" s="1"/>
  <c r="AD71" i="69"/>
  <c r="AA71" i="88"/>
  <c r="AA146" i="88" s="1"/>
  <c r="AD18" i="69"/>
  <c r="AA18" i="88"/>
  <c r="AA93" i="88" s="1"/>
  <c r="AA24" i="88"/>
  <c r="AA99" i="88" s="1"/>
  <c r="AD24" i="69"/>
  <c r="Y71" i="69"/>
  <c r="X71" i="88" s="1"/>
  <c r="X146" i="88" s="1"/>
  <c r="Y32" i="69"/>
  <c r="X32" i="88" s="1"/>
  <c r="X107" i="88" s="1"/>
  <c r="Y26" i="69"/>
  <c r="X26" i="88" s="1"/>
  <c r="X101" i="88" s="1"/>
  <c r="Y73" i="69"/>
  <c r="X73" i="88" s="1"/>
  <c r="X148" i="88" s="1"/>
  <c r="Y18" i="69"/>
  <c r="X18" i="88" s="1"/>
  <c r="X93" i="88" s="1"/>
  <c r="Y19" i="69"/>
  <c r="X19" i="88" s="1"/>
  <c r="X94" i="88" s="1"/>
  <c r="Y70" i="69"/>
  <c r="X70" i="88" s="1"/>
  <c r="X145" i="88" s="1"/>
  <c r="Y50" i="69"/>
  <c r="X50" i="88" s="1"/>
  <c r="X125" i="88" s="1"/>
  <c r="Y15" i="69"/>
  <c r="X15" i="88" s="1"/>
  <c r="X90" i="88" s="1"/>
  <c r="Y17" i="69"/>
  <c r="X17" i="88" s="1"/>
  <c r="X92" i="88" s="1"/>
  <c r="Y36" i="69"/>
  <c r="X36" i="88" s="1"/>
  <c r="X111" i="88" s="1"/>
  <c r="Y11" i="69"/>
  <c r="X11" i="88" s="1"/>
  <c r="X86" i="88" s="1"/>
  <c r="Y9" i="69"/>
  <c r="X9" i="88" s="1"/>
  <c r="X84" i="88" s="1"/>
  <c r="Y67" i="69"/>
  <c r="X67" i="88" s="1"/>
  <c r="X142" i="88" s="1"/>
  <c r="Y25" i="69"/>
  <c r="X25" i="88" s="1"/>
  <c r="X100" i="88" s="1"/>
  <c r="Y13" i="69"/>
  <c r="X13" i="88" s="1"/>
  <c r="X88" i="88" s="1"/>
  <c r="Y24" i="69"/>
  <c r="X24" i="88" s="1"/>
  <c r="X99" i="88" s="1"/>
  <c r="Y64" i="69"/>
  <c r="X64" i="88" s="1"/>
  <c r="X139" i="88" s="1"/>
  <c r="Y72" i="69"/>
  <c r="X72" i="88" s="1"/>
  <c r="X147" i="88" s="1"/>
  <c r="Y30" i="69"/>
  <c r="X30" i="88" s="1"/>
  <c r="X105" i="88" s="1"/>
  <c r="Y5" i="69"/>
  <c r="Y31" i="69"/>
  <c r="X31" i="88" s="1"/>
  <c r="X106" i="88" s="1"/>
  <c r="Y10" i="69"/>
  <c r="X10" i="88" s="1"/>
  <c r="X85" i="88" s="1"/>
  <c r="Y27" i="69"/>
  <c r="X27" i="88" s="1"/>
  <c r="X102" i="88" s="1"/>
  <c r="Y35" i="69"/>
  <c r="X35" i="88" s="1"/>
  <c r="X110" i="88" s="1"/>
  <c r="Y74" i="69"/>
  <c r="X74" i="88" s="1"/>
  <c r="X149" i="88" s="1"/>
  <c r="Y14" i="69"/>
  <c r="X14" i="88" s="1"/>
  <c r="X89" i="88" s="1"/>
  <c r="Y12" i="69"/>
  <c r="X12" i="88" s="1"/>
  <c r="X87" i="88" s="1"/>
  <c r="Y47" i="69"/>
  <c r="X47" i="88" s="1"/>
  <c r="X122" i="88" s="1"/>
  <c r="Y16" i="69"/>
  <c r="X16" i="88" s="1"/>
  <c r="X91" i="88" s="1"/>
  <c r="T6" i="88"/>
  <c r="T81" i="88" s="1"/>
  <c r="Y56" i="69"/>
  <c r="X56" i="88" s="1"/>
  <c r="X131" i="88" s="1"/>
  <c r="AB41" i="70"/>
  <c r="X12" i="74"/>
  <c r="Y12" i="74" s="1"/>
  <c r="AB12" i="74" s="1"/>
  <c r="S6" i="93" s="1"/>
  <c r="AD68" i="69"/>
  <c r="AA68" i="88"/>
  <c r="AA143" i="88" s="1"/>
  <c r="AD54" i="69"/>
  <c r="AA54" i="88"/>
  <c r="AA129" i="88" s="1"/>
  <c r="AA458" i="82"/>
  <c r="AG458" i="82" s="1"/>
  <c r="AA460" i="82"/>
  <c r="AG460" i="82" s="1"/>
  <c r="AA828" i="82"/>
  <c r="AG828" i="82" s="1"/>
  <c r="AB22" i="74"/>
  <c r="J7" i="91"/>
  <c r="J13" i="91" s="1"/>
  <c r="J11" i="91"/>
  <c r="J9" i="91"/>
  <c r="V28" i="70"/>
  <c r="AB28" i="70" s="1"/>
  <c r="AB28" i="68"/>
  <c r="V28" i="69"/>
  <c r="U28" i="88" s="1"/>
  <c r="U103" i="88" s="1"/>
  <c r="V66" i="70"/>
  <c r="AB66" i="68"/>
  <c r="V72" i="70"/>
  <c r="AB72" i="70" s="1"/>
  <c r="AB72" i="68"/>
  <c r="V43" i="70"/>
  <c r="AB43" i="70" s="1"/>
  <c r="V43" i="69"/>
  <c r="U43" i="88" s="1"/>
  <c r="U118" i="88" s="1"/>
  <c r="AB43" i="68"/>
  <c r="V36" i="70"/>
  <c r="AB36" i="70" s="1"/>
  <c r="AB36" i="68"/>
  <c r="V34" i="70"/>
  <c r="AB34" i="70" s="1"/>
  <c r="AB34" i="68"/>
  <c r="V34" i="69"/>
  <c r="U34" i="88" s="1"/>
  <c r="U109" i="88" s="1"/>
  <c r="V58" i="70"/>
  <c r="AB58" i="70" s="1"/>
  <c r="V58" i="69"/>
  <c r="AB58" i="68"/>
  <c r="X44" i="74"/>
  <c r="Y44" i="74" s="1"/>
  <c r="AB44" i="74" s="1"/>
  <c r="S32" i="93" s="1"/>
  <c r="Y40" i="69"/>
  <c r="X40" i="88" s="1"/>
  <c r="X115" i="88" s="1"/>
  <c r="T62" i="88"/>
  <c r="T137" i="88" s="1"/>
  <c r="T69" i="88"/>
  <c r="T144" i="88" s="1"/>
  <c r="T59" i="88"/>
  <c r="T134" i="88" s="1"/>
  <c r="T54" i="88"/>
  <c r="T129" i="88" s="1"/>
  <c r="T56" i="88"/>
  <c r="T131" i="88" s="1"/>
  <c r="T22" i="88"/>
  <c r="T97" i="88" s="1"/>
  <c r="AB6" i="70"/>
  <c r="Y29" i="69"/>
  <c r="X29" i="88" s="1"/>
  <c r="X104" i="88" s="1"/>
  <c r="T58" i="88"/>
  <c r="T133" i="88" s="1"/>
  <c r="AD23" i="69"/>
  <c r="AA23" i="88"/>
  <c r="AA98" i="88" s="1"/>
  <c r="AA31" i="88"/>
  <c r="AA106" i="88" s="1"/>
  <c r="AD31" i="69"/>
  <c r="AB8" i="70"/>
  <c r="Y44" i="69"/>
  <c r="X44" i="88" s="1"/>
  <c r="X119" i="88" s="1"/>
  <c r="L9" i="90"/>
  <c r="L7" i="90"/>
  <c r="L13" i="90" s="1"/>
  <c r="L11" i="90"/>
  <c r="Y43" i="69"/>
  <c r="X43" i="88" s="1"/>
  <c r="X118" i="88" s="1"/>
  <c r="M62" i="69"/>
  <c r="M62" i="88" s="1"/>
  <c r="M137" i="88" s="1"/>
  <c r="M71" i="69"/>
  <c r="M71" i="88" s="1"/>
  <c r="M146" i="88" s="1"/>
  <c r="M7" i="69"/>
  <c r="M7" i="88" s="1"/>
  <c r="M82" i="88" s="1"/>
  <c r="M17" i="69"/>
  <c r="M17" i="88" s="1"/>
  <c r="M92" i="88" s="1"/>
  <c r="M19" i="69"/>
  <c r="M19" i="88" s="1"/>
  <c r="M94" i="88" s="1"/>
  <c r="M23" i="69"/>
  <c r="M23" i="88" s="1"/>
  <c r="M98" i="88" s="1"/>
  <c r="M10" i="69"/>
  <c r="M10" i="88" s="1"/>
  <c r="M85" i="88" s="1"/>
  <c r="M15" i="69"/>
  <c r="M15" i="88" s="1"/>
  <c r="M90" i="88" s="1"/>
  <c r="M46" i="69"/>
  <c r="M46" i="88" s="1"/>
  <c r="M121" i="88" s="1"/>
  <c r="M14" i="69"/>
  <c r="M14" i="88" s="1"/>
  <c r="M89" i="88" s="1"/>
  <c r="M12" i="69"/>
  <c r="M12" i="88" s="1"/>
  <c r="M87" i="88" s="1"/>
  <c r="M65" i="69"/>
  <c r="M65" i="88" s="1"/>
  <c r="M140" i="88" s="1"/>
  <c r="M72" i="69"/>
  <c r="M72" i="88" s="1"/>
  <c r="M147" i="88" s="1"/>
  <c r="M16" i="69"/>
  <c r="M16" i="88" s="1"/>
  <c r="M91" i="88" s="1"/>
  <c r="M24" i="69"/>
  <c r="M24" i="88" s="1"/>
  <c r="M99" i="88" s="1"/>
  <c r="M58" i="69"/>
  <c r="M58" i="88" s="1"/>
  <c r="M133" i="88" s="1"/>
  <c r="M53" i="69"/>
  <c r="M53" i="88" s="1"/>
  <c r="M128" i="88" s="1"/>
  <c r="M57" i="69"/>
  <c r="M57" i="88" s="1"/>
  <c r="M132" i="88" s="1"/>
  <c r="M9" i="69"/>
  <c r="M9" i="88" s="1"/>
  <c r="M84" i="88" s="1"/>
  <c r="M8" i="69"/>
  <c r="M8" i="88" s="1"/>
  <c r="M83" i="88" s="1"/>
  <c r="M49" i="69"/>
  <c r="M49" i="88" s="1"/>
  <c r="M124" i="88" s="1"/>
  <c r="M52" i="69"/>
  <c r="M52" i="88" s="1"/>
  <c r="M127" i="88" s="1"/>
  <c r="M56" i="69"/>
  <c r="M56" i="88" s="1"/>
  <c r="M131" i="88" s="1"/>
  <c r="M28" i="69"/>
  <c r="M28" i="88" s="1"/>
  <c r="M103" i="88" s="1"/>
  <c r="M44" i="69"/>
  <c r="M44" i="88" s="1"/>
  <c r="M119" i="88" s="1"/>
  <c r="M18" i="69"/>
  <c r="M18" i="88" s="1"/>
  <c r="M93" i="88" s="1"/>
  <c r="M22" i="69"/>
  <c r="M22" i="88" s="1"/>
  <c r="M97" i="88" s="1"/>
  <c r="M11" i="69"/>
  <c r="M11" i="88" s="1"/>
  <c r="M86" i="88" s="1"/>
  <c r="M13" i="69"/>
  <c r="M13" i="88" s="1"/>
  <c r="M88" i="88" s="1"/>
  <c r="M55" i="69"/>
  <c r="M55" i="88" s="1"/>
  <c r="M130" i="88" s="1"/>
  <c r="M40" i="69"/>
  <c r="M40" i="88" s="1"/>
  <c r="M115" i="88" s="1"/>
  <c r="M54" i="69"/>
  <c r="M54" i="88" s="1"/>
  <c r="M129" i="88" s="1"/>
  <c r="M37" i="69"/>
  <c r="M37" i="88" s="1"/>
  <c r="M112" i="88" s="1"/>
  <c r="M47" i="69"/>
  <c r="M47" i="88" s="1"/>
  <c r="M122" i="88" s="1"/>
  <c r="AD44" i="69"/>
  <c r="AA44" i="88"/>
  <c r="AA119" i="88" s="1"/>
  <c r="AB59" i="70"/>
  <c r="Y69" i="69"/>
  <c r="X69" i="88" s="1"/>
  <c r="X144" i="88" s="1"/>
  <c r="X39" i="74"/>
  <c r="Y39" i="74" s="1"/>
  <c r="AB39" i="74" s="1"/>
  <c r="S27" i="93" s="1"/>
  <c r="Y54" i="69"/>
  <c r="X54" i="88" s="1"/>
  <c r="X129" i="88" s="1"/>
  <c r="AD57" i="69"/>
  <c r="AA57" i="88"/>
  <c r="AA132" i="88" s="1"/>
  <c r="M36" i="69"/>
  <c r="M36" i="88" s="1"/>
  <c r="M111" i="88" s="1"/>
  <c r="AD15" i="69"/>
  <c r="AA15" i="88"/>
  <c r="AA90" i="88" s="1"/>
  <c r="AD10" i="69"/>
  <c r="AA10" i="88"/>
  <c r="AA85" i="88" s="1"/>
  <c r="X30" i="74"/>
  <c r="Y30" i="74" s="1"/>
  <c r="AB30" i="74" s="1"/>
  <c r="S19" i="93" s="1"/>
  <c r="AB51" i="70"/>
  <c r="AB19" i="74"/>
  <c r="S8" i="93" s="1"/>
  <c r="V5" i="70"/>
  <c r="V76" i="68"/>
  <c r="V81" i="68" s="1"/>
  <c r="V46" i="69" s="1"/>
  <c r="V5" i="69"/>
  <c r="AB5" i="68"/>
  <c r="V60" i="70"/>
  <c r="AB60" i="70" s="1"/>
  <c r="AB60" i="68"/>
  <c r="T32" i="88"/>
  <c r="T107" i="88" s="1"/>
  <c r="H7" i="91"/>
  <c r="H13" i="91" s="1"/>
  <c r="X29" i="74"/>
  <c r="Y29" i="74" s="1"/>
  <c r="AB29" i="74" s="1"/>
  <c r="S18" i="93" s="1"/>
  <c r="X5" i="73"/>
  <c r="U5" i="89" s="1"/>
  <c r="U51" i="89" s="1"/>
  <c r="X15" i="73"/>
  <c r="AA312" i="82"/>
  <c r="AA832" i="82"/>
  <c r="AA1070" i="82"/>
  <c r="AG1070" i="82" s="1"/>
  <c r="AA586" i="83"/>
  <c r="U8" i="89"/>
  <c r="U54" i="89" s="1"/>
  <c r="U21" i="89"/>
  <c r="U67" i="89" s="1"/>
  <c r="AB25" i="73"/>
  <c r="V33" i="70"/>
  <c r="AB33" i="70" s="1"/>
  <c r="V33" i="69"/>
  <c r="AB33" i="68"/>
  <c r="V68" i="70"/>
  <c r="AB68" i="70" s="1"/>
  <c r="V68" i="69"/>
  <c r="AB68" i="68"/>
  <c r="V65" i="70"/>
  <c r="AB65" i="70" s="1"/>
  <c r="V65" i="69"/>
  <c r="U65" i="88" s="1"/>
  <c r="U140" i="88" s="1"/>
  <c r="AB65" i="68"/>
  <c r="V50" i="70"/>
  <c r="AB50" i="70" s="1"/>
  <c r="AB50" i="68"/>
  <c r="V50" i="69"/>
  <c r="V44" i="70"/>
  <c r="AB44" i="70" s="1"/>
  <c r="AB44" i="68"/>
  <c r="V38" i="70"/>
  <c r="V38" i="69"/>
  <c r="AB38" i="69" s="1"/>
  <c r="AB38" i="68"/>
  <c r="V57" i="70"/>
  <c r="AB57" i="70" s="1"/>
  <c r="V57" i="69"/>
  <c r="U57" i="88" s="1"/>
  <c r="U132" i="88" s="1"/>
  <c r="AB57" i="68"/>
  <c r="AD26" i="69"/>
  <c r="AA26" i="88"/>
  <c r="AA101" i="88" s="1"/>
  <c r="T34" i="88"/>
  <c r="T109" i="88" s="1"/>
  <c r="T41" i="88"/>
  <c r="T116" i="88" s="1"/>
  <c r="T72" i="88"/>
  <c r="T147" i="88" s="1"/>
  <c r="T40" i="88"/>
  <c r="T115" i="88" s="1"/>
  <c r="T68" i="88"/>
  <c r="T143" i="88" s="1"/>
  <c r="T43" i="88"/>
  <c r="T118" i="88" s="1"/>
  <c r="AD74" i="69"/>
  <c r="AA74" i="88"/>
  <c r="AA149" i="88" s="1"/>
  <c r="AE5" i="88"/>
  <c r="AE80" i="88" s="1"/>
  <c r="AI76" i="69"/>
  <c r="AD30" i="69"/>
  <c r="AA30" i="88"/>
  <c r="AA105" i="88" s="1"/>
  <c r="Y8" i="69"/>
  <c r="X8" i="88" s="1"/>
  <c r="X83" i="88" s="1"/>
  <c r="AA36" i="88"/>
  <c r="AA111" i="88" s="1"/>
  <c r="AD36" i="69"/>
  <c r="O5" i="88"/>
  <c r="O80" i="88" s="1"/>
  <c r="O76" i="69"/>
  <c r="Y63" i="69"/>
  <c r="X63" i="88" s="1"/>
  <c r="X138" i="88" s="1"/>
  <c r="T73" i="88"/>
  <c r="T148" i="88" s="1"/>
  <c r="M35" i="69"/>
  <c r="M35" i="88" s="1"/>
  <c r="M110" i="88" s="1"/>
  <c r="M69" i="69"/>
  <c r="M69" i="88" s="1"/>
  <c r="M144" i="88" s="1"/>
  <c r="AB6" i="74"/>
  <c r="G6" i="93" s="1"/>
  <c r="Y59" i="69"/>
  <c r="X59" i="88" s="1"/>
  <c r="X134" i="88" s="1"/>
  <c r="R12" i="69"/>
  <c r="R12" i="88" s="1"/>
  <c r="R87" i="88" s="1"/>
  <c r="R36" i="69"/>
  <c r="R36" i="88" s="1"/>
  <c r="R111" i="88" s="1"/>
  <c r="R64" i="69"/>
  <c r="R64" i="88" s="1"/>
  <c r="R139" i="88" s="1"/>
  <c r="R57" i="69"/>
  <c r="R57" i="88" s="1"/>
  <c r="R132" i="88" s="1"/>
  <c r="R67" i="69"/>
  <c r="R67" i="88" s="1"/>
  <c r="R142" i="88" s="1"/>
  <c r="R25" i="69"/>
  <c r="R25" i="88" s="1"/>
  <c r="R100" i="88" s="1"/>
  <c r="R5" i="69"/>
  <c r="R6" i="69"/>
  <c r="R6" i="88" s="1"/>
  <c r="R81" i="88" s="1"/>
  <c r="R18" i="69"/>
  <c r="R18" i="88" s="1"/>
  <c r="R93" i="88" s="1"/>
  <c r="R14" i="69"/>
  <c r="R14" i="88" s="1"/>
  <c r="R89" i="88" s="1"/>
  <c r="R8" i="69"/>
  <c r="R8" i="88" s="1"/>
  <c r="R83" i="88" s="1"/>
  <c r="R38" i="69"/>
  <c r="R38" i="88" s="1"/>
  <c r="R113" i="88" s="1"/>
  <c r="R34" i="69"/>
  <c r="R34" i="88" s="1"/>
  <c r="R109" i="88" s="1"/>
  <c r="R65" i="69"/>
  <c r="R65" i="88" s="1"/>
  <c r="R140" i="88" s="1"/>
  <c r="R70" i="69"/>
  <c r="R70" i="88" s="1"/>
  <c r="R145" i="88" s="1"/>
  <c r="R28" i="69"/>
  <c r="R28" i="88" s="1"/>
  <c r="R103" i="88" s="1"/>
  <c r="R69" i="69"/>
  <c r="R69" i="88" s="1"/>
  <c r="R144" i="88" s="1"/>
  <c r="R13" i="69"/>
  <c r="R13" i="88" s="1"/>
  <c r="R88" i="88" s="1"/>
  <c r="R16" i="69"/>
  <c r="R16" i="88" s="1"/>
  <c r="R91" i="88" s="1"/>
  <c r="R71" i="69"/>
  <c r="R71" i="88" s="1"/>
  <c r="R146" i="88" s="1"/>
  <c r="R20" i="69"/>
  <c r="R20" i="88" s="1"/>
  <c r="R95" i="88" s="1"/>
  <c r="R23" i="69"/>
  <c r="R23" i="88" s="1"/>
  <c r="R98" i="88" s="1"/>
  <c r="R37" i="69"/>
  <c r="R37" i="88" s="1"/>
  <c r="R112" i="88" s="1"/>
  <c r="R30" i="69"/>
  <c r="R30" i="88" s="1"/>
  <c r="R105" i="88" s="1"/>
  <c r="R35" i="69"/>
  <c r="R35" i="88" s="1"/>
  <c r="R110" i="88" s="1"/>
  <c r="R52" i="69"/>
  <c r="R19" i="69"/>
  <c r="R19" i="88" s="1"/>
  <c r="R94" i="88" s="1"/>
  <c r="R24" i="69"/>
  <c r="R24" i="88" s="1"/>
  <c r="R99" i="88" s="1"/>
  <c r="R11" i="69"/>
  <c r="R11" i="88" s="1"/>
  <c r="R86" i="88" s="1"/>
  <c r="R62" i="69"/>
  <c r="R62" i="88" s="1"/>
  <c r="R137" i="88" s="1"/>
  <c r="R63" i="69"/>
  <c r="R63" i="88" s="1"/>
  <c r="R138" i="88" s="1"/>
  <c r="R68" i="69"/>
  <c r="R68" i="88" s="1"/>
  <c r="R143" i="88" s="1"/>
  <c r="R73" i="69"/>
  <c r="R73" i="88" s="1"/>
  <c r="R148" i="88" s="1"/>
  <c r="R40" i="69"/>
  <c r="R40" i="88" s="1"/>
  <c r="R115" i="88" s="1"/>
  <c r="R59" i="69"/>
  <c r="R59" i="88" s="1"/>
  <c r="R134" i="88" s="1"/>
  <c r="R58" i="69"/>
  <c r="R58" i="88" s="1"/>
  <c r="R133" i="88" s="1"/>
  <c r="R26" i="69"/>
  <c r="R26" i="88" s="1"/>
  <c r="R101" i="88" s="1"/>
  <c r="R15" i="69"/>
  <c r="R15" i="88" s="1"/>
  <c r="R90" i="88" s="1"/>
  <c r="R9" i="69"/>
  <c r="R9" i="88" s="1"/>
  <c r="R84" i="88" s="1"/>
  <c r="R43" i="69"/>
  <c r="R43" i="88" s="1"/>
  <c r="R118" i="88" s="1"/>
  <c r="R32" i="69"/>
  <c r="R32" i="88" s="1"/>
  <c r="R107" i="88" s="1"/>
  <c r="R41" i="69"/>
  <c r="R41" i="88" s="1"/>
  <c r="R116" i="88" s="1"/>
  <c r="R72" i="69"/>
  <c r="R72" i="88" s="1"/>
  <c r="R147" i="88" s="1"/>
  <c r="R7" i="69"/>
  <c r="R7" i="88" s="1"/>
  <c r="R82" i="88" s="1"/>
  <c r="R47" i="69"/>
  <c r="R33" i="69"/>
  <c r="R33" i="88" s="1"/>
  <c r="R108" i="88" s="1"/>
  <c r="R17" i="69"/>
  <c r="R17" i="88" s="1"/>
  <c r="R92" i="88" s="1"/>
  <c r="R66" i="69"/>
  <c r="R66" i="88" s="1"/>
  <c r="R141" i="88" s="1"/>
  <c r="R31" i="69"/>
  <c r="R31" i="88" s="1"/>
  <c r="R106" i="88" s="1"/>
  <c r="R56" i="69"/>
  <c r="R56" i="88" s="1"/>
  <c r="R131" i="88" s="1"/>
  <c r="R61" i="69"/>
  <c r="R61" i="88" s="1"/>
  <c r="R136" i="88" s="1"/>
  <c r="R29" i="69"/>
  <c r="R29" i="88" s="1"/>
  <c r="R104" i="88" s="1"/>
  <c r="R44" i="69"/>
  <c r="R50" i="69"/>
  <c r="R49" i="69"/>
  <c r="R48" i="69"/>
  <c r="R48" i="88" s="1"/>
  <c r="R123" i="88" s="1"/>
  <c r="R10" i="69"/>
  <c r="R10" i="88" s="1"/>
  <c r="R85" i="88" s="1"/>
  <c r="R51" i="69"/>
  <c r="R22" i="69"/>
  <c r="R22" i="88" s="1"/>
  <c r="R97" i="88" s="1"/>
  <c r="R55" i="69"/>
  <c r="R55" i="88" s="1"/>
  <c r="R130" i="88" s="1"/>
  <c r="R60" i="69"/>
  <c r="R60" i="88" s="1"/>
  <c r="R135" i="88" s="1"/>
  <c r="R45" i="69"/>
  <c r="R42" i="69"/>
  <c r="R42" i="88" s="1"/>
  <c r="R117" i="88" s="1"/>
  <c r="R39" i="69"/>
  <c r="R39" i="88" s="1"/>
  <c r="R114" i="88" s="1"/>
  <c r="R54" i="69"/>
  <c r="R54" i="88" s="1"/>
  <c r="R129" i="88" s="1"/>
  <c r="R27" i="69"/>
  <c r="R27" i="88" s="1"/>
  <c r="R102" i="88" s="1"/>
  <c r="R53" i="69"/>
  <c r="R53" i="88" s="1"/>
  <c r="R128" i="88" s="1"/>
  <c r="R46" i="69"/>
  <c r="R21" i="69"/>
  <c r="R21" i="88" s="1"/>
  <c r="R96" i="88" s="1"/>
  <c r="R74" i="69"/>
  <c r="R74" i="88" s="1"/>
  <c r="R149" i="88" s="1"/>
  <c r="M33" i="69"/>
  <c r="M33" i="88" s="1"/>
  <c r="M108" i="88" s="1"/>
  <c r="AD9" i="69"/>
  <c r="AD76" i="69" s="1"/>
  <c r="AA9" i="88"/>
  <c r="AA84" i="88" s="1"/>
  <c r="Q7" i="90" s="1"/>
  <c r="Q13" i="90" s="1"/>
  <c r="AD13" i="69"/>
  <c r="AA13" i="88"/>
  <c r="AA88" i="88" s="1"/>
  <c r="Y51" i="69"/>
  <c r="X51" i="88" s="1"/>
  <c r="X126" i="88" s="1"/>
  <c r="X29" i="73"/>
  <c r="AA978" i="82"/>
  <c r="AG978" i="82" s="1"/>
  <c r="AA1082" i="82"/>
  <c r="L1082" i="86" s="1"/>
  <c r="O1082" i="86" s="1"/>
  <c r="AA457" i="82"/>
  <c r="AA1844" i="82"/>
  <c r="AA1908" i="82"/>
  <c r="L1908" i="86" s="1"/>
  <c r="O1908" i="86" s="1"/>
  <c r="AA1972" i="82"/>
  <c r="AA1885" i="82"/>
  <c r="AA1949" i="82"/>
  <c r="AA1862" i="82"/>
  <c r="AG1862" i="82" s="1"/>
  <c r="AA1926" i="82"/>
  <c r="AG1926" i="82" s="1"/>
  <c r="AA1839" i="82"/>
  <c r="AA1903" i="82"/>
  <c r="AA1967" i="82"/>
  <c r="AG1967" i="82" s="1"/>
  <c r="AA1888" i="82"/>
  <c r="AA1952" i="82"/>
  <c r="AA1865" i="82"/>
  <c r="AA1937" i="82"/>
  <c r="L1937" i="86" s="1"/>
  <c r="O1937" i="86" s="1"/>
  <c r="AA268" i="83"/>
  <c r="AA950" i="83"/>
  <c r="U24" i="89"/>
  <c r="U70" i="89" s="1"/>
  <c r="V21" i="70"/>
  <c r="AB21" i="70" s="1"/>
  <c r="AB21" i="68"/>
  <c r="V21" i="69"/>
  <c r="U21" i="88" s="1"/>
  <c r="U96" i="88" s="1"/>
  <c r="V67" i="70"/>
  <c r="AB67" i="70" s="1"/>
  <c r="V67" i="69"/>
  <c r="AB67" i="68"/>
  <c r="V49" i="70"/>
  <c r="V49" i="69"/>
  <c r="U49" i="88" s="1"/>
  <c r="U124" i="88" s="1"/>
  <c r="AB49" i="68"/>
  <c r="V55" i="70"/>
  <c r="AB55" i="70" s="1"/>
  <c r="V55" i="69"/>
  <c r="U55" i="88" s="1"/>
  <c r="U130" i="88" s="1"/>
  <c r="AB55" i="68"/>
  <c r="V40" i="70"/>
  <c r="AB40" i="70" s="1"/>
  <c r="V40" i="69"/>
  <c r="AB40" i="69" s="1"/>
  <c r="AB40" i="68"/>
  <c r="V63" i="70"/>
  <c r="AB63" i="70" s="1"/>
  <c r="V63" i="69"/>
  <c r="AB63" i="69" s="1"/>
  <c r="AB63" i="68"/>
  <c r="V70" i="70"/>
  <c r="AB70" i="70" s="1"/>
  <c r="V70" i="69"/>
  <c r="AB70" i="68"/>
  <c r="M9" i="90"/>
  <c r="M11" i="90"/>
  <c r="M7" i="90"/>
  <c r="M13" i="90" s="1"/>
  <c r="AD32" i="69"/>
  <c r="AA32" i="88"/>
  <c r="AA107" i="88" s="1"/>
  <c r="Y23" i="69"/>
  <c r="X23" i="88" s="1"/>
  <c r="X98" i="88" s="1"/>
  <c r="T42" i="88"/>
  <c r="T117" i="88" s="1"/>
  <c r="T29" i="88"/>
  <c r="T104" i="88" s="1"/>
  <c r="T28" i="88"/>
  <c r="T103" i="88" s="1"/>
  <c r="T67" i="88"/>
  <c r="T142" i="88" s="1"/>
  <c r="M25" i="88"/>
  <c r="M100" i="88" s="1"/>
  <c r="Y42" i="69"/>
  <c r="X42" i="88" s="1"/>
  <c r="X117" i="88" s="1"/>
  <c r="M73" i="88"/>
  <c r="M148" i="88" s="1"/>
  <c r="AD42" i="69"/>
  <c r="AA42" i="88"/>
  <c r="AA117" i="88" s="1"/>
  <c r="AB45" i="70"/>
  <c r="Y22" i="69"/>
  <c r="X22" i="88" s="1"/>
  <c r="X97" i="88" s="1"/>
  <c r="T44" i="88"/>
  <c r="T119" i="88" s="1"/>
  <c r="AB49" i="70"/>
  <c r="W47" i="73"/>
  <c r="M59" i="69"/>
  <c r="M59" i="88" s="1"/>
  <c r="M134" i="88" s="1"/>
  <c r="M48" i="69"/>
  <c r="M48" i="88" s="1"/>
  <c r="M123" i="88" s="1"/>
  <c r="S10" i="69"/>
  <c r="S62" i="69"/>
  <c r="S69" i="69"/>
  <c r="S61" i="69"/>
  <c r="S5" i="69"/>
  <c r="S26" i="69"/>
  <c r="S44" i="69"/>
  <c r="S59" i="69"/>
  <c r="S17" i="69"/>
  <c r="S19" i="69"/>
  <c r="S43" i="69"/>
  <c r="S57" i="69"/>
  <c r="S22" i="69"/>
  <c r="S25" i="69"/>
  <c r="S6" i="69"/>
  <c r="S72" i="69"/>
  <c r="S7" i="69"/>
  <c r="S66" i="69"/>
  <c r="S12" i="69"/>
  <c r="S31" i="69"/>
  <c r="S38" i="69"/>
  <c r="S48" i="69"/>
  <c r="S35" i="69"/>
  <c r="S29" i="69"/>
  <c r="S50" i="69"/>
  <c r="S65" i="69"/>
  <c r="S14" i="69"/>
  <c r="S51" i="69"/>
  <c r="S23" i="69"/>
  <c r="S67" i="69"/>
  <c r="S8" i="69"/>
  <c r="S58" i="69"/>
  <c r="S60" i="69"/>
  <c r="S49" i="69"/>
  <c r="S53" i="69"/>
  <c r="S42" i="69"/>
  <c r="S11" i="69"/>
  <c r="S16" i="69"/>
  <c r="S20" i="69"/>
  <c r="S34" i="69"/>
  <c r="S63" i="69"/>
  <c r="S36" i="69"/>
  <c r="S33" i="69"/>
  <c r="S71" i="69"/>
  <c r="S27" i="69"/>
  <c r="S55" i="69"/>
  <c r="S73" i="69"/>
  <c r="S24" i="69"/>
  <c r="S9" i="69"/>
  <c r="S37" i="69"/>
  <c r="S32" i="69"/>
  <c r="S45" i="69"/>
  <c r="S40" i="69"/>
  <c r="S13" i="69"/>
  <c r="S41" i="69"/>
  <c r="S52" i="69"/>
  <c r="S15" i="69"/>
  <c r="S18" i="69"/>
  <c r="S56" i="69"/>
  <c r="S70" i="69"/>
  <c r="S68" i="69"/>
  <c r="S47" i="69"/>
  <c r="S64" i="69"/>
  <c r="S28" i="69"/>
  <c r="S30" i="69"/>
  <c r="S74" i="69"/>
  <c r="S54" i="69"/>
  <c r="S21" i="69"/>
  <c r="S46" i="69"/>
  <c r="S39" i="69"/>
  <c r="X25" i="74"/>
  <c r="Y25" i="74" s="1"/>
  <c r="AB25" i="74" s="1"/>
  <c r="S13" i="93" s="1"/>
  <c r="Q5" i="88"/>
  <c r="Q80" i="88" s="1"/>
  <c r="Q76" i="69"/>
  <c r="AB66" i="70"/>
  <c r="AD11" i="69"/>
  <c r="AA11" i="88"/>
  <c r="AA86" i="88" s="1"/>
  <c r="AD17" i="69"/>
  <c r="AA17" i="88"/>
  <c r="AA92" i="88" s="1"/>
  <c r="Y34" i="69"/>
  <c r="X34" i="88" s="1"/>
  <c r="X109" i="88" s="1"/>
  <c r="M66" i="69"/>
  <c r="M66" i="88" s="1"/>
  <c r="M141" i="88" s="1"/>
  <c r="AA1490" i="82"/>
  <c r="AG1490" i="82" s="1"/>
  <c r="AA1477" i="82"/>
  <c r="AG1477" i="82" s="1"/>
  <c r="AA721" i="83"/>
  <c r="AA737" i="83"/>
  <c r="AA716" i="83"/>
  <c r="AA732" i="83"/>
  <c r="AA1969" i="82"/>
  <c r="AA549" i="82"/>
  <c r="AG549" i="82" s="1"/>
  <c r="AA589" i="83"/>
  <c r="AA1172" i="82"/>
  <c r="AG1172" i="82" s="1"/>
  <c r="AA1990" i="82"/>
  <c r="AG1990" i="82" s="1"/>
  <c r="AA1988" i="82"/>
  <c r="AG1988" i="82" s="1"/>
  <c r="AA1994" i="82"/>
  <c r="AG1994" i="82" s="1"/>
  <c r="AA1176" i="82"/>
  <c r="AG1176" i="82" s="1"/>
  <c r="AA262" i="83"/>
  <c r="AA551" i="83"/>
  <c r="AA1493" i="82"/>
  <c r="AG1493" i="82" s="1"/>
  <c r="AA725" i="83"/>
  <c r="AA741" i="83"/>
  <c r="AA720" i="83"/>
  <c r="AA1921" i="82"/>
  <c r="AA1208" i="82"/>
  <c r="AG1208" i="82" s="1"/>
  <c r="AA517" i="82"/>
  <c r="AG517" i="82" s="1"/>
  <c r="AA553" i="82"/>
  <c r="AG553" i="82" s="1"/>
  <c r="AA947" i="83"/>
  <c r="AA1983" i="82"/>
  <c r="AG1983" i="82" s="1"/>
  <c r="AA1989" i="82"/>
  <c r="AG1989" i="82" s="1"/>
  <c r="AA560" i="83"/>
  <c r="AA232" i="83"/>
  <c r="AA777" i="83"/>
  <c r="AA780" i="83"/>
  <c r="AA470" i="82"/>
  <c r="AG470" i="82" s="1"/>
  <c r="AA388" i="82"/>
  <c r="L388" i="86" s="1"/>
  <c r="O388" i="86" s="1"/>
  <c r="AA391" i="82"/>
  <c r="AA301" i="82"/>
  <c r="AA838" i="82"/>
  <c r="AA809" i="82"/>
  <c r="AA316" i="82"/>
  <c r="AG316" i="82" s="1"/>
  <c r="AA307" i="82"/>
  <c r="AA995" i="82"/>
  <c r="AG995" i="82" s="1"/>
  <c r="AA409" i="82"/>
  <c r="AG409" i="82" s="1"/>
  <c r="AA824" i="82"/>
  <c r="AA1074" i="82"/>
  <c r="AA1083" i="82"/>
  <c r="AA834" i="82"/>
  <c r="AA1076" i="82"/>
  <c r="AG1076" i="82" s="1"/>
  <c r="AA463" i="82"/>
  <c r="AA903" i="82"/>
  <c r="AG903" i="82" s="1"/>
  <c r="AA1085" i="82"/>
  <c r="AG1085" i="82" s="1"/>
  <c r="AA820" i="82"/>
  <c r="AA1000" i="82"/>
  <c r="AA403" i="82"/>
  <c r="AA821" i="82"/>
  <c r="AA1071" i="82"/>
  <c r="AG1071" i="82" s="1"/>
  <c r="AA508" i="82"/>
  <c r="AG508" i="82" s="1"/>
  <c r="AA571" i="83"/>
  <c r="AA566" i="83"/>
  <c r="AA565" i="83"/>
  <c r="AA223" i="83"/>
  <c r="AA534" i="82"/>
  <c r="AG534" i="82" s="1"/>
  <c r="AA522" i="83"/>
  <c r="AA1190" i="82"/>
  <c r="AG1190" i="82" s="1"/>
  <c r="AA515" i="82"/>
  <c r="AG515" i="82" s="1"/>
  <c r="AA538" i="82"/>
  <c r="AG538" i="82" s="1"/>
  <c r="AA1142" i="82"/>
  <c r="AG1142" i="82" s="1"/>
  <c r="AA531" i="83"/>
  <c r="AA1183" i="82"/>
  <c r="AG1183" i="82" s="1"/>
  <c r="AA510" i="82"/>
  <c r="AG510" i="82" s="1"/>
  <c r="AA1148" i="82"/>
  <c r="AG1148" i="82" s="1"/>
  <c r="AA222" i="83"/>
  <c r="AA472" i="82"/>
  <c r="AA474" i="82"/>
  <c r="AG474" i="82" s="1"/>
  <c r="AA322" i="82"/>
  <c r="AA302" i="82"/>
  <c r="AA1072" i="82"/>
  <c r="AG1072" i="82" s="1"/>
  <c r="AA986" i="82"/>
  <c r="AA466" i="82"/>
  <c r="AG466" i="82" s="1"/>
  <c r="AA323" i="82"/>
  <c r="AG323" i="82" s="1"/>
  <c r="AA823" i="82"/>
  <c r="AA1073" i="82"/>
  <c r="AG1073" i="82" s="1"/>
  <c r="AA468" i="82"/>
  <c r="AA840" i="82"/>
  <c r="AA1090" i="82"/>
  <c r="AG1090" i="82" s="1"/>
  <c r="AA910" i="82"/>
  <c r="AA975" i="82"/>
  <c r="AG975" i="82" s="1"/>
  <c r="AA836" i="82"/>
  <c r="AG836" i="82" s="1"/>
  <c r="AA1078" i="82"/>
  <c r="AA465" i="82"/>
  <c r="AG465" i="82" s="1"/>
  <c r="AA837" i="82"/>
  <c r="AA1087" i="82"/>
  <c r="AA512" i="82"/>
  <c r="AG512" i="82" s="1"/>
  <c r="AA1151" i="82"/>
  <c r="AG1151" i="82" s="1"/>
  <c r="AA226" i="83"/>
  <c r="AA1146" i="82"/>
  <c r="AG1146" i="82" s="1"/>
  <c r="AA251" i="83"/>
  <c r="AA1186" i="82"/>
  <c r="AG1186" i="82" s="1"/>
  <c r="AA531" i="82"/>
  <c r="AG531" i="82" s="1"/>
  <c r="AA255" i="83"/>
  <c r="AA561" i="83"/>
  <c r="AA248" i="83"/>
  <c r="AA1188" i="82"/>
  <c r="AG1188" i="82" s="1"/>
  <c r="AA539" i="82"/>
  <c r="AG539" i="82" s="1"/>
  <c r="AA242" i="83"/>
  <c r="AA1150" i="82"/>
  <c r="AG1150" i="82" s="1"/>
  <c r="AA822" i="82"/>
  <c r="AA395" i="82"/>
  <c r="AG395" i="82" s="1"/>
  <c r="AA313" i="82"/>
  <c r="AG313" i="82" s="1"/>
  <c r="AA411" i="82"/>
  <c r="AA1080" i="82"/>
  <c r="AA814" i="82"/>
  <c r="AG814" i="82" s="1"/>
  <c r="AA392" i="82"/>
  <c r="AG392" i="82" s="1"/>
  <c r="AA831" i="82"/>
  <c r="AG831" i="82" s="1"/>
  <c r="AA1081" i="82"/>
  <c r="AA476" i="82"/>
  <c r="L476" i="86" s="1"/>
  <c r="O476" i="86" s="1"/>
  <c r="AA908" i="82"/>
  <c r="L908" i="86" s="1"/>
  <c r="O908" i="86" s="1"/>
  <c r="AA981" i="82"/>
  <c r="AA974" i="82"/>
  <c r="AA303" i="82"/>
  <c r="L303" i="86" s="1"/>
  <c r="O303" i="86" s="1"/>
  <c r="AA983" i="82"/>
  <c r="L983" i="86" s="1"/>
  <c r="O983" i="86" s="1"/>
  <c r="AA904" i="82"/>
  <c r="AG904" i="82" s="1"/>
  <c r="AA1086" i="82"/>
  <c r="AA473" i="82"/>
  <c r="AG473" i="82" s="1"/>
  <c r="AA905" i="82"/>
  <c r="AG905" i="82" s="1"/>
  <c r="AA514" i="82"/>
  <c r="AG514" i="82" s="1"/>
  <c r="AA1181" i="82"/>
  <c r="AG1181" i="82" s="1"/>
  <c r="AA249" i="83"/>
  <c r="AA1154" i="82"/>
  <c r="AG1154" i="82" s="1"/>
  <c r="AA527" i="83"/>
  <c r="AA220" i="83"/>
  <c r="AA564" i="83"/>
  <c r="AA505" i="82"/>
  <c r="AG505" i="82" s="1"/>
  <c r="AA567" i="83"/>
  <c r="AA523" i="83"/>
  <c r="AA219" i="83"/>
  <c r="AA540" i="82"/>
  <c r="AG540" i="82" s="1"/>
  <c r="AA1143" i="82"/>
  <c r="AG1143" i="82" s="1"/>
  <c r="AA568" i="83"/>
  <c r="AA528" i="83"/>
  <c r="AA529" i="83"/>
  <c r="AA533" i="82"/>
  <c r="AG533" i="82" s="1"/>
  <c r="AA1191" i="82"/>
  <c r="AG1191" i="82" s="1"/>
  <c r="AA308" i="82"/>
  <c r="L308" i="86" s="1"/>
  <c r="O308" i="86" s="1"/>
  <c r="AA817" i="82"/>
  <c r="AG817" i="82" s="1"/>
  <c r="AA825" i="82"/>
  <c r="AA830" i="82"/>
  <c r="AA461" i="82"/>
  <c r="AA324" i="82"/>
  <c r="AA304" i="82"/>
  <c r="L304" i="86" s="1"/>
  <c r="O304" i="86" s="1"/>
  <c r="AA317" i="82"/>
  <c r="AA906" i="82"/>
  <c r="AG906" i="82" s="1"/>
  <c r="AA407" i="82"/>
  <c r="AG407" i="82" s="1"/>
  <c r="AA839" i="82"/>
  <c r="AA1089" i="82"/>
  <c r="AA980" i="82"/>
  <c r="AA989" i="82"/>
  <c r="AA982" i="82"/>
  <c r="AG982" i="82" s="1"/>
  <c r="AA311" i="82"/>
  <c r="AA811" i="82"/>
  <c r="L811" i="86" s="1"/>
  <c r="O811" i="86" s="1"/>
  <c r="AA991" i="82"/>
  <c r="L991" i="86" s="1"/>
  <c r="O991" i="86" s="1"/>
  <c r="AA912" i="82"/>
  <c r="AA977" i="82"/>
  <c r="AA247" i="83"/>
  <c r="AA526" i="83"/>
  <c r="AA1189" i="82"/>
  <c r="AG1189" i="82" s="1"/>
  <c r="AA529" i="82"/>
  <c r="AG529" i="82" s="1"/>
  <c r="AA1184" i="82"/>
  <c r="AG1184" i="82" s="1"/>
  <c r="AA530" i="82"/>
  <c r="AG530" i="82" s="1"/>
  <c r="AA225" i="83"/>
  <c r="AA570" i="83"/>
  <c r="AA507" i="82"/>
  <c r="AG507" i="82" s="1"/>
  <c r="AA1147" i="82"/>
  <c r="AG1147" i="82" s="1"/>
  <c r="AA530" i="83"/>
  <c r="AA227" i="83"/>
  <c r="AA563" i="83"/>
  <c r="AA318" i="82"/>
  <c r="AG318" i="82" s="1"/>
  <c r="AA298" i="82"/>
  <c r="AA300" i="82"/>
  <c r="AA477" i="82"/>
  <c r="AG477" i="82" s="1"/>
  <c r="AA397" i="82"/>
  <c r="AA314" i="82"/>
  <c r="AG314" i="82" s="1"/>
  <c r="AA469" i="82"/>
  <c r="AG469" i="82" s="1"/>
  <c r="AA994" i="82"/>
  <c r="AG994" i="82" s="1"/>
  <c r="AA459" i="82"/>
  <c r="AG459" i="82" s="1"/>
  <c r="AA907" i="82"/>
  <c r="AA988" i="82"/>
  <c r="AA997" i="82"/>
  <c r="AG997" i="82" s="1"/>
  <c r="AA810" i="82"/>
  <c r="AA990" i="82"/>
  <c r="AG990" i="82" s="1"/>
  <c r="AA319" i="82"/>
  <c r="AG319" i="82" s="1"/>
  <c r="AA819" i="82"/>
  <c r="L819" i="86" s="1"/>
  <c r="O819" i="86" s="1"/>
  <c r="AA999" i="82"/>
  <c r="L999" i="86" s="1"/>
  <c r="O999" i="86" s="1"/>
  <c r="AA976" i="82"/>
  <c r="AA985" i="82"/>
  <c r="AA254" i="83"/>
  <c r="AA528" i="82"/>
  <c r="AG528" i="82" s="1"/>
  <c r="AA221" i="83"/>
  <c r="AA533" i="83"/>
  <c r="AA1192" i="82"/>
  <c r="AG1192" i="82" s="1"/>
  <c r="AA534" i="83"/>
  <c r="AA228" i="83"/>
  <c r="AA1144" i="82"/>
  <c r="AG1144" i="82" s="1"/>
  <c r="AA509" i="82"/>
  <c r="AG509" i="82" s="1"/>
  <c r="AA1185" i="82"/>
  <c r="AG1185" i="82" s="1"/>
  <c r="AA532" i="82"/>
  <c r="AG532" i="82" s="1"/>
  <c r="AA243" i="83"/>
  <c r="AA569" i="83"/>
  <c r="AA413" i="82"/>
  <c r="AG413" i="82" s="1"/>
  <c r="AA309" i="82"/>
  <c r="AG309" i="82" s="1"/>
  <c r="AA310" i="82"/>
  <c r="AA306" i="82"/>
  <c r="AA833" i="82"/>
  <c r="AA462" i="82"/>
  <c r="AA401" i="82"/>
  <c r="AG401" i="82" s="1"/>
  <c r="AA909" i="82"/>
  <c r="AG909" i="82" s="1"/>
  <c r="AA1088" i="82"/>
  <c r="AG1088" i="82" s="1"/>
  <c r="AA467" i="82"/>
  <c r="AG467" i="82" s="1"/>
  <c r="AA979" i="82"/>
  <c r="AA808" i="82"/>
  <c r="AA996" i="82"/>
  <c r="AA1067" i="82"/>
  <c r="AA818" i="82"/>
  <c r="L818" i="86" s="1"/>
  <c r="O818" i="86" s="1"/>
  <c r="AA998" i="82"/>
  <c r="AG998" i="82" s="1"/>
  <c r="AA399" i="82"/>
  <c r="AG399" i="82" s="1"/>
  <c r="AA827" i="82"/>
  <c r="AG827" i="82" s="1"/>
  <c r="AA1069" i="82"/>
  <c r="AA984" i="82"/>
  <c r="AA993" i="82"/>
  <c r="AA504" i="82"/>
  <c r="AG504" i="82" s="1"/>
  <c r="AA532" i="83"/>
  <c r="AA229" i="83"/>
  <c r="AA535" i="82"/>
  <c r="AG535" i="82" s="1"/>
  <c r="AA245" i="83"/>
  <c r="AA1149" i="82"/>
  <c r="AG1149" i="82" s="1"/>
  <c r="AA244" i="83"/>
  <c r="AA1152" i="82"/>
  <c r="AG1152" i="82" s="1"/>
  <c r="AA511" i="82"/>
  <c r="AG511" i="82" s="1"/>
  <c r="AA224" i="83"/>
  <c r="AA541" i="82"/>
  <c r="AG541" i="82" s="1"/>
  <c r="AA250" i="83"/>
  <c r="AA1145" i="82"/>
  <c r="AG1145" i="82" s="1"/>
  <c r="AA218" i="83"/>
  <c r="AA246" i="83"/>
  <c r="AA454" i="82"/>
  <c r="L454" i="86" s="1"/>
  <c r="O454" i="86" s="1"/>
  <c r="AA320" i="82"/>
  <c r="AA321" i="82"/>
  <c r="AG321" i="82" s="1"/>
  <c r="AA1002" i="82"/>
  <c r="AG1002" i="82" s="1"/>
  <c r="AA973" i="82"/>
  <c r="AG973" i="82" s="1"/>
  <c r="AA478" i="82"/>
  <c r="AA464" i="82"/>
  <c r="AA305" i="82"/>
  <c r="AA299" i="82"/>
  <c r="AG299" i="82" s="1"/>
  <c r="AA475" i="82"/>
  <c r="AA987" i="82"/>
  <c r="AG987" i="82" s="1"/>
  <c r="AA394" i="82"/>
  <c r="AG394" i="82" s="1"/>
  <c r="AA816" i="82"/>
  <c r="AG816" i="82" s="1"/>
  <c r="AA1004" i="82"/>
  <c r="AA1075" i="82"/>
  <c r="AA826" i="82"/>
  <c r="AA1068" i="82"/>
  <c r="AG1068" i="82" s="1"/>
  <c r="AA455" i="82"/>
  <c r="AA835" i="82"/>
  <c r="AG835" i="82" s="1"/>
  <c r="AA1077" i="82"/>
  <c r="AG1077" i="82" s="1"/>
  <c r="AA812" i="82"/>
  <c r="AG812" i="82" s="1"/>
  <c r="AA992" i="82"/>
  <c r="AA389" i="82"/>
  <c r="AA813" i="82"/>
  <c r="AA1001" i="82"/>
  <c r="AG1001" i="82" s="1"/>
  <c r="AA506" i="82"/>
  <c r="AG506" i="82" s="1"/>
  <c r="AA536" i="82"/>
  <c r="AG536" i="82" s="1"/>
  <c r="AA537" i="82"/>
  <c r="AG537" i="82" s="1"/>
  <c r="AA562" i="83"/>
  <c r="AA525" i="83"/>
  <c r="AA1187" i="82"/>
  <c r="AG1187" i="82" s="1"/>
  <c r="AA253" i="83"/>
  <c r="AA1182" i="82"/>
  <c r="AG1182" i="82" s="1"/>
  <c r="AA513" i="82"/>
  <c r="AG513" i="82" s="1"/>
  <c r="AA252" i="83"/>
  <c r="AA572" i="83"/>
  <c r="AA524" i="83"/>
  <c r="AA1153" i="82"/>
  <c r="AG1153" i="82" s="1"/>
  <c r="Y14" i="73"/>
  <c r="AB14" i="73" s="1"/>
  <c r="U14" i="89"/>
  <c r="U60" i="89" s="1"/>
  <c r="Y36" i="73"/>
  <c r="AB36" i="73" s="1"/>
  <c r="U36" i="89"/>
  <c r="U82" i="89" s="1"/>
  <c r="AA1299" i="82"/>
  <c r="AA1290" i="82"/>
  <c r="AG1290" i="82" s="1"/>
  <c r="AA1297" i="82"/>
  <c r="L1297" i="86" s="1"/>
  <c r="O1297" i="86" s="1"/>
  <c r="Y23" i="73"/>
  <c r="AB23" i="73" s="1"/>
  <c r="U23" i="89"/>
  <c r="U69" i="89" s="1"/>
  <c r="Y19" i="73"/>
  <c r="AB19" i="73" s="1"/>
  <c r="U19" i="89"/>
  <c r="U65" i="89" s="1"/>
  <c r="Y6" i="73"/>
  <c r="AB6" i="73" s="1"/>
  <c r="U6" i="89"/>
  <c r="U52" i="89" s="1"/>
  <c r="Y15" i="73"/>
  <c r="AB15" i="73" s="1"/>
  <c r="U15" i="89"/>
  <c r="U61" i="89" s="1"/>
  <c r="Y31" i="73"/>
  <c r="AB31" i="73" s="1"/>
  <c r="U31" i="89"/>
  <c r="U77" i="89" s="1"/>
  <c r="Y32" i="73"/>
  <c r="AB32" i="73" s="1"/>
  <c r="U32" i="89"/>
  <c r="U78" i="89" s="1"/>
  <c r="K11" i="91"/>
  <c r="M11" i="91" s="1"/>
  <c r="Y29" i="73"/>
  <c r="AB29" i="73" s="1"/>
  <c r="U29" i="89"/>
  <c r="U75" i="89" s="1"/>
  <c r="Y45" i="73"/>
  <c r="AB45" i="73" s="1"/>
  <c r="U45" i="89"/>
  <c r="U91" i="89" s="1"/>
  <c r="Y33" i="73"/>
  <c r="AB33" i="73" s="1"/>
  <c r="U33" i="89"/>
  <c r="U79" i="89" s="1"/>
  <c r="AA1293" i="82"/>
  <c r="AG1293" i="82" s="1"/>
  <c r="Y28" i="73"/>
  <c r="AB28" i="73" s="1"/>
  <c r="U28" i="89"/>
  <c r="U74" i="89" s="1"/>
  <c r="Y39" i="73"/>
  <c r="AB39" i="73" s="1"/>
  <c r="U39" i="89"/>
  <c r="U85" i="89" s="1"/>
  <c r="Y12" i="73"/>
  <c r="AB12" i="73" s="1"/>
  <c r="Y27" i="73"/>
  <c r="AB27" i="73" s="1"/>
  <c r="U27" i="89"/>
  <c r="U73" i="89" s="1"/>
  <c r="Y35" i="73"/>
  <c r="AB35" i="73" s="1"/>
  <c r="U35" i="89"/>
  <c r="U81" i="89" s="1"/>
  <c r="K9" i="91"/>
  <c r="Y41" i="73"/>
  <c r="AB41" i="73" s="1"/>
  <c r="U41" i="89"/>
  <c r="U87" i="89" s="1"/>
  <c r="Y30" i="73"/>
  <c r="AB30" i="73" s="1"/>
  <c r="U30" i="89"/>
  <c r="U76" i="89" s="1"/>
  <c r="Y43" i="73"/>
  <c r="AB43" i="73" s="1"/>
  <c r="U43" i="89"/>
  <c r="U89" i="89" s="1"/>
  <c r="Y17" i="73"/>
  <c r="AB17" i="73" s="1"/>
  <c r="U17" i="89"/>
  <c r="U63" i="89" s="1"/>
  <c r="Y7" i="73"/>
  <c r="AB7" i="73" s="1"/>
  <c r="U7" i="89"/>
  <c r="U53" i="89" s="1"/>
  <c r="Y13" i="73"/>
  <c r="AB13" i="73" s="1"/>
  <c r="U13" i="89"/>
  <c r="U59" i="89" s="1"/>
  <c r="AA779" i="83"/>
  <c r="AA1277" i="82"/>
  <c r="AA1535" i="82"/>
  <c r="AA781" i="83"/>
  <c r="AA784" i="83"/>
  <c r="AA192" i="82"/>
  <c r="AG192" i="82" s="1"/>
  <c r="AA340" i="82"/>
  <c r="AG340" i="82" s="1"/>
  <c r="AA330" i="82"/>
  <c r="L330" i="86" s="1"/>
  <c r="O330" i="86" s="1"/>
  <c r="AA501" i="82"/>
  <c r="AA452" i="82"/>
  <c r="AA1064" i="82"/>
  <c r="AA874" i="82"/>
  <c r="AG874" i="82" s="1"/>
  <c r="AA491" i="82"/>
  <c r="AG491" i="82" s="1"/>
  <c r="AA927" i="82"/>
  <c r="L927" i="86" s="1"/>
  <c r="O927" i="86" s="1"/>
  <c r="AA1138" i="82"/>
  <c r="AG1138" i="82" s="1"/>
  <c r="AA936" i="82"/>
  <c r="AG936" i="82" s="1"/>
  <c r="AA1140" i="82"/>
  <c r="AA870" i="82"/>
  <c r="AA1060" i="82"/>
  <c r="AA327" i="82"/>
  <c r="AG327" i="82" s="1"/>
  <c r="AA495" i="82"/>
  <c r="AG495" i="82" s="1"/>
  <c r="AA895" i="82"/>
  <c r="AG895" i="82" s="1"/>
  <c r="AA1134" i="82"/>
  <c r="L1134" i="86" s="1"/>
  <c r="O1134" i="86" s="1"/>
  <c r="AA896" i="82"/>
  <c r="L896" i="86" s="1"/>
  <c r="O896" i="86" s="1"/>
  <c r="AA1135" i="82"/>
  <c r="AA933" i="82"/>
  <c r="AA1518" i="82"/>
  <c r="AA1522" i="82"/>
  <c r="AG1522" i="82" s="1"/>
  <c r="AA767" i="83"/>
  <c r="AA770" i="83"/>
  <c r="AA1294" i="82"/>
  <c r="AG1294" i="82" s="1"/>
  <c r="AA1288" i="82"/>
  <c r="AG1288" i="82" s="1"/>
  <c r="AA1279" i="82"/>
  <c r="AA231" i="83"/>
  <c r="AA552" i="83"/>
  <c r="AA585" i="83"/>
  <c r="AA553" i="83"/>
  <c r="AA1216" i="82"/>
  <c r="AG1216" i="82" s="1"/>
  <c r="AA559" i="83"/>
  <c r="AA260" i="83"/>
  <c r="AA595" i="83"/>
  <c r="AA519" i="82"/>
  <c r="AG519" i="82" s="1"/>
  <c r="AA592" i="83"/>
  <c r="AA257" i="83"/>
  <c r="AA1180" i="82"/>
  <c r="AG1180" i="82" s="1"/>
  <c r="AA588" i="83"/>
  <c r="AA1534" i="82"/>
  <c r="AG1534" i="82" s="1"/>
  <c r="AA1530" i="82"/>
  <c r="AA783" i="83"/>
  <c r="AA200" i="82"/>
  <c r="AA184" i="82"/>
  <c r="AG184" i="82" s="1"/>
  <c r="AA350" i="82"/>
  <c r="AA341" i="82"/>
  <c r="AG341" i="82" s="1"/>
  <c r="AA332" i="82"/>
  <c r="AG332" i="82" s="1"/>
  <c r="AA333" i="82"/>
  <c r="AG333" i="82" s="1"/>
  <c r="AA328" i="82"/>
  <c r="AA877" i="82"/>
  <c r="AA869" i="82"/>
  <c r="AG869" i="82" s="1"/>
  <c r="AA499" i="82"/>
  <c r="AG499" i="82" s="1"/>
  <c r="AA935" i="82"/>
  <c r="AA1042" i="82"/>
  <c r="AG1042" i="82" s="1"/>
  <c r="AA878" i="82"/>
  <c r="AG878" i="82" s="1"/>
  <c r="AA1117" i="82"/>
  <c r="AG1117" i="82" s="1"/>
  <c r="AA335" i="82"/>
  <c r="AA503" i="82"/>
  <c r="AA931" i="82"/>
  <c r="AA932" i="82"/>
  <c r="AG932" i="82" s="1"/>
  <c r="AA1039" i="82"/>
  <c r="AA1520" i="82"/>
  <c r="AG1520" i="82" s="1"/>
  <c r="AA1515" i="82"/>
  <c r="AG1515" i="82" s="1"/>
  <c r="AA769" i="83"/>
  <c r="AA772" i="83"/>
  <c r="AA1274" i="82"/>
  <c r="AA1298" i="82"/>
  <c r="AA1287" i="82"/>
  <c r="AG1287" i="82" s="1"/>
  <c r="AA238" i="83"/>
  <c r="AA554" i="82"/>
  <c r="AG554" i="82" s="1"/>
  <c r="AA1178" i="82"/>
  <c r="AG1178" i="82" s="1"/>
  <c r="AA555" i="82"/>
  <c r="AG555" i="82" s="1"/>
  <c r="AA1170" i="82"/>
  <c r="AG1170" i="82" s="1"/>
  <c r="AA1171" i="82"/>
  <c r="AG1171" i="82" s="1"/>
  <c r="AA269" i="83"/>
  <c r="AA1174" i="82"/>
  <c r="AG1174" i="82" s="1"/>
  <c r="AA521" i="82"/>
  <c r="AG521" i="82" s="1"/>
  <c r="AA1169" i="82"/>
  <c r="AG1169" i="82" s="1"/>
  <c r="AA264" i="83"/>
  <c r="AA1212" i="82"/>
  <c r="AG1212" i="82" s="1"/>
  <c r="AA591" i="83"/>
  <c r="AA1284" i="82"/>
  <c r="AA1301" i="82"/>
  <c r="AA1536" i="82"/>
  <c r="AG1536" i="82" s="1"/>
  <c r="AA1538" i="82"/>
  <c r="AA785" i="83"/>
  <c r="AA196" i="82"/>
  <c r="AG196" i="82" s="1"/>
  <c r="AA202" i="82"/>
  <c r="L202" i="86" s="1"/>
  <c r="O202" i="86" s="1"/>
  <c r="AA486" i="82"/>
  <c r="AA428" i="82"/>
  <c r="AA342" i="82"/>
  <c r="L342" i="86" s="1"/>
  <c r="O342" i="86" s="1"/>
  <c r="AA344" i="82"/>
  <c r="AG344" i="82" s="1"/>
  <c r="AA334" i="82"/>
  <c r="AA325" i="82"/>
  <c r="L325" i="86" s="1"/>
  <c r="O325" i="86" s="1"/>
  <c r="AA326" i="82"/>
  <c r="AG326" i="82" s="1"/>
  <c r="AA331" i="82"/>
  <c r="L331" i="86" s="1"/>
  <c r="O331" i="86" s="1"/>
  <c r="AA1041" i="82"/>
  <c r="AA1050" i="82"/>
  <c r="AA1035" i="82"/>
  <c r="AA886" i="82"/>
  <c r="AG886" i="82" s="1"/>
  <c r="AA1125" i="82"/>
  <c r="AA343" i="82"/>
  <c r="L343" i="86" s="1"/>
  <c r="O343" i="86" s="1"/>
  <c r="AA1037" i="82"/>
  <c r="AG1037" i="82" s="1"/>
  <c r="AA1038" i="82"/>
  <c r="L1038" i="86" s="1"/>
  <c r="O1038" i="86" s="1"/>
  <c r="AA1047" i="82"/>
  <c r="AA1521" i="82"/>
  <c r="AA1523" i="82"/>
  <c r="AA771" i="83"/>
  <c r="AA1302" i="82"/>
  <c r="AA1285" i="82"/>
  <c r="AG1285" i="82" s="1"/>
  <c r="AA1278" i="82"/>
  <c r="L1278" i="86" s="1"/>
  <c r="O1278" i="86" s="1"/>
  <c r="AA1295" i="82"/>
  <c r="L1295" i="86" s="1"/>
  <c r="O1295" i="86" s="1"/>
  <c r="AA263" i="83"/>
  <c r="AA590" i="83"/>
  <c r="AA233" i="83"/>
  <c r="AA556" i="83"/>
  <c r="AA235" i="83"/>
  <c r="AA1179" i="82"/>
  <c r="AG1179" i="82" s="1"/>
  <c r="AA524" i="82"/>
  <c r="AG524" i="82" s="1"/>
  <c r="AA1206" i="82"/>
  <c r="AG1206" i="82" s="1"/>
  <c r="AA525" i="82"/>
  <c r="AG525" i="82" s="1"/>
  <c r="AA1177" i="82"/>
  <c r="AG1177" i="82" s="1"/>
  <c r="AA526" i="82"/>
  <c r="AG526" i="82" s="1"/>
  <c r="AA1210" i="82"/>
  <c r="AG1210" i="82" s="1"/>
  <c r="AA594" i="83"/>
  <c r="AA1527" i="82"/>
  <c r="AG1527" i="82" s="1"/>
  <c r="AA1537" i="82"/>
  <c r="AA1531" i="82"/>
  <c r="AA774" i="83"/>
  <c r="AA182" i="82"/>
  <c r="L182" i="86" s="1"/>
  <c r="AA882" i="82"/>
  <c r="L882" i="86" s="1"/>
  <c r="O882" i="86" s="1"/>
  <c r="AA488" i="82"/>
  <c r="AA431" i="82"/>
  <c r="AG431" i="82" s="1"/>
  <c r="AA436" i="82"/>
  <c r="L436" i="86" s="1"/>
  <c r="O436" i="86" s="1"/>
  <c r="AA345" i="82"/>
  <c r="AA336" i="82"/>
  <c r="AA337" i="82"/>
  <c r="AA339" i="82"/>
  <c r="AG339" i="82" s="1"/>
  <c r="AA1049" i="82"/>
  <c r="AG1049" i="82" s="1"/>
  <c r="AA434" i="82"/>
  <c r="AA876" i="82"/>
  <c r="L876" i="86" s="1"/>
  <c r="O876" i="86" s="1"/>
  <c r="AA1058" i="82"/>
  <c r="AG1058" i="82" s="1"/>
  <c r="AA1043" i="82"/>
  <c r="AA894" i="82"/>
  <c r="AA1133" i="82"/>
  <c r="AA351" i="82"/>
  <c r="AG351" i="82" s="1"/>
  <c r="AA1045" i="82"/>
  <c r="AG1045" i="82" s="1"/>
  <c r="AA1046" i="82"/>
  <c r="AA430" i="82"/>
  <c r="AG430" i="82" s="1"/>
  <c r="AA873" i="82"/>
  <c r="L873" i="86" s="1"/>
  <c r="O873" i="86" s="1"/>
  <c r="AA1055" i="82"/>
  <c r="AA1524" i="82"/>
  <c r="AA1517" i="82"/>
  <c r="AA773" i="83"/>
  <c r="AA1281" i="82"/>
  <c r="AG1281" i="82" s="1"/>
  <c r="AA1296" i="82"/>
  <c r="AA1289" i="82"/>
  <c r="AG1289" i="82" s="1"/>
  <c r="AA1275" i="82"/>
  <c r="AG1275" i="82" s="1"/>
  <c r="AA516" i="82"/>
  <c r="AG516" i="82" s="1"/>
  <c r="AA596" i="83"/>
  <c r="AA240" i="83"/>
  <c r="AA587" i="83"/>
  <c r="AA258" i="83"/>
  <c r="AA1211" i="82"/>
  <c r="AG1211" i="82" s="1"/>
  <c r="AA545" i="82"/>
  <c r="AG545" i="82" s="1"/>
  <c r="AA1214" i="82"/>
  <c r="AG1214" i="82" s="1"/>
  <c r="AA543" i="82"/>
  <c r="AG543" i="82" s="1"/>
  <c r="AA1209" i="82"/>
  <c r="AG1209" i="82" s="1"/>
  <c r="AA542" i="82"/>
  <c r="AG542" i="82" s="1"/>
  <c r="AA234" i="83"/>
  <c r="AA1175" i="82"/>
  <c r="AG1175" i="82" s="1"/>
  <c r="AA194" i="82"/>
  <c r="AA1533" i="82"/>
  <c r="AG1533" i="82" s="1"/>
  <c r="AA1051" i="82"/>
  <c r="L1051" i="86" s="1"/>
  <c r="O1051" i="86" s="1"/>
  <c r="AA1141" i="82"/>
  <c r="AA881" i="82"/>
  <c r="AA762" i="83"/>
  <c r="AA1276" i="82"/>
  <c r="AA1283" i="82"/>
  <c r="AG1283" i="82" s="1"/>
  <c r="AA518" i="82"/>
  <c r="AG518" i="82" s="1"/>
  <c r="AA1173" i="82"/>
  <c r="AG1173" i="82" s="1"/>
  <c r="AA256" i="83"/>
  <c r="AA593" i="83"/>
  <c r="AA267" i="83"/>
  <c r="AA236" i="83"/>
  <c r="AA548" i="83"/>
  <c r="AA230" i="83"/>
  <c r="AA544" i="82"/>
  <c r="AG544" i="82" s="1"/>
  <c r="AA527" i="82"/>
  <c r="AG527" i="82" s="1"/>
  <c r="AA550" i="83"/>
  <c r="AA259" i="83"/>
  <c r="AA1207" i="82"/>
  <c r="AG1207" i="82" s="1"/>
  <c r="AA782" i="83"/>
  <c r="AA1528" i="82"/>
  <c r="AG1528" i="82" s="1"/>
  <c r="AA776" i="83"/>
  <c r="AA186" i="82"/>
  <c r="AA1066" i="82"/>
  <c r="AG1066" i="82" s="1"/>
  <c r="AA502" i="82"/>
  <c r="AG502" i="82" s="1"/>
  <c r="AA930" i="82"/>
  <c r="AA427" i="82"/>
  <c r="AA1053" i="82"/>
  <c r="AG1053" i="82" s="1"/>
  <c r="AA1054" i="82"/>
  <c r="L1054" i="86" s="1"/>
  <c r="O1054" i="86" s="1"/>
  <c r="AA444" i="82"/>
  <c r="AG444" i="82" s="1"/>
  <c r="AA1063" i="82"/>
  <c r="AA1526" i="82"/>
  <c r="AG1526" i="82" s="1"/>
  <c r="AA1525" i="82"/>
  <c r="AG1525" i="82" s="1"/>
  <c r="AA1292" i="82"/>
  <c r="AA1300" i="82"/>
  <c r="AA1529" i="82"/>
  <c r="AG1529" i="82" s="1"/>
  <c r="AA775" i="83"/>
  <c r="AA778" i="83"/>
  <c r="AA188" i="82"/>
  <c r="AA485" i="82"/>
  <c r="AG485" i="82" s="1"/>
  <c r="AA1040" i="82"/>
  <c r="AG1040" i="82" s="1"/>
  <c r="AA929" i="82"/>
  <c r="AA890" i="82"/>
  <c r="AA494" i="82"/>
  <c r="AG494" i="82" s="1"/>
  <c r="AA442" i="82"/>
  <c r="AG442" i="82" s="1"/>
  <c r="AA446" i="82"/>
  <c r="AG446" i="82" s="1"/>
  <c r="AA433" i="82"/>
  <c r="AA883" i="82"/>
  <c r="L883" i="86" s="1"/>
  <c r="O883" i="86" s="1"/>
  <c r="AA1065" i="82"/>
  <c r="AG1065" i="82" s="1"/>
  <c r="AA484" i="82"/>
  <c r="AA892" i="82"/>
  <c r="AA1123" i="82"/>
  <c r="AG1123" i="82" s="1"/>
  <c r="AA1059" i="82"/>
  <c r="AG1059" i="82" s="1"/>
  <c r="AA1036" i="82"/>
  <c r="AG1036" i="82" s="1"/>
  <c r="AA440" i="82"/>
  <c r="AA871" i="82"/>
  <c r="AG871" i="82" s="1"/>
  <c r="AA1061" i="82"/>
  <c r="L1061" i="86" s="1"/>
  <c r="O1061" i="86" s="1"/>
  <c r="AA872" i="82"/>
  <c r="AG872" i="82" s="1"/>
  <c r="AA1062" i="82"/>
  <c r="AG1062" i="82" s="1"/>
  <c r="AA481" i="82"/>
  <c r="AG481" i="82" s="1"/>
  <c r="AA889" i="82"/>
  <c r="AG889" i="82" s="1"/>
  <c r="AA1120" i="82"/>
  <c r="AG1120" i="82" s="1"/>
  <c r="AA1516" i="82"/>
  <c r="AG1516" i="82" s="1"/>
  <c r="AA761" i="83"/>
  <c r="AA764" i="83"/>
  <c r="AA1282" i="82"/>
  <c r="AG1282" i="82" s="1"/>
  <c r="AA1286" i="82"/>
  <c r="L1286" i="86" s="1"/>
  <c r="O1286" i="86" s="1"/>
  <c r="AA1280" i="82"/>
  <c r="AG1280" i="82" s="1"/>
  <c r="AA1291" i="82"/>
  <c r="AG1291" i="82" s="1"/>
  <c r="AA520" i="82"/>
  <c r="AG520" i="82" s="1"/>
  <c r="AA1205" i="82"/>
  <c r="AG1205" i="82" s="1"/>
  <c r="AA265" i="83"/>
  <c r="AA1168" i="82"/>
  <c r="AG1168" i="82" s="1"/>
  <c r="AA523" i="82"/>
  <c r="AG523" i="82" s="1"/>
  <c r="AA261" i="83"/>
  <c r="AA551" i="82"/>
  <c r="AG551" i="82" s="1"/>
  <c r="AA239" i="83"/>
  <c r="AA549" i="83"/>
  <c r="AA557" i="83"/>
  <c r="AA552" i="82"/>
  <c r="AG552" i="82" s="1"/>
  <c r="AA266" i="83"/>
  <c r="AG1721" i="82"/>
  <c r="L1721" i="86"/>
  <c r="O1721" i="86" s="1"/>
  <c r="AG1719" i="82"/>
  <c r="L1719" i="86"/>
  <c r="O1719" i="86" s="1"/>
  <c r="AG1781" i="82"/>
  <c r="L1781" i="86"/>
  <c r="O1781" i="86" s="1"/>
  <c r="AG1823" i="82"/>
  <c r="AG1538" i="82"/>
  <c r="L1538" i="86"/>
  <c r="O1538" i="86" s="1"/>
  <c r="AG486" i="82"/>
  <c r="L486" i="86"/>
  <c r="O486" i="86" s="1"/>
  <c r="AG428" i="82"/>
  <c r="L428" i="86"/>
  <c r="O428" i="86" s="1"/>
  <c r="AG342" i="82"/>
  <c r="AG328" i="82"/>
  <c r="L328" i="86"/>
  <c r="O328" i="86" s="1"/>
  <c r="AG899" i="82"/>
  <c r="L899" i="86"/>
  <c r="O899" i="86" s="1"/>
  <c r="AG1130" i="82"/>
  <c r="L1130" i="86"/>
  <c r="O1130" i="86" s="1"/>
  <c r="AG500" i="82"/>
  <c r="L500" i="86"/>
  <c r="O500" i="86" s="1"/>
  <c r="AG928" i="82"/>
  <c r="L928" i="86"/>
  <c r="O928" i="86" s="1"/>
  <c r="AG1139" i="82"/>
  <c r="L1139" i="86"/>
  <c r="O1139" i="86" s="1"/>
  <c r="AG1124" i="82"/>
  <c r="L1124" i="86"/>
  <c r="O1124" i="86" s="1"/>
  <c r="AG1044" i="82"/>
  <c r="L1044" i="86"/>
  <c r="O1044" i="86" s="1"/>
  <c r="AG479" i="82"/>
  <c r="L479" i="86"/>
  <c r="O479" i="86" s="1"/>
  <c r="AG879" i="82"/>
  <c r="L879" i="86"/>
  <c r="O879" i="86" s="1"/>
  <c r="AG1118" i="82"/>
  <c r="L1118" i="86"/>
  <c r="O1118" i="86" s="1"/>
  <c r="L1282" i="86"/>
  <c r="O1282" i="86" s="1"/>
  <c r="AG1286" i="82"/>
  <c r="AG300" i="82"/>
  <c r="L300" i="86"/>
  <c r="O300" i="86" s="1"/>
  <c r="AG397" i="82"/>
  <c r="L397" i="86"/>
  <c r="O397" i="86" s="1"/>
  <c r="AG317" i="82"/>
  <c r="L317" i="86"/>
  <c r="O317" i="86" s="1"/>
  <c r="AG815" i="82"/>
  <c r="L815" i="86"/>
  <c r="O815" i="86" s="1"/>
  <c r="AG1003" i="82"/>
  <c r="L1003" i="86"/>
  <c r="O1003" i="86" s="1"/>
  <c r="AG824" i="82"/>
  <c r="L824" i="86"/>
  <c r="O824" i="86" s="1"/>
  <c r="AG1074" i="82"/>
  <c r="L1074" i="86"/>
  <c r="O1074" i="86" s="1"/>
  <c r="AG1075" i="82"/>
  <c r="L1075" i="86"/>
  <c r="O1075" i="86" s="1"/>
  <c r="L998" i="86"/>
  <c r="O998" i="86" s="1"/>
  <c r="AG999" i="82"/>
  <c r="AG976" i="82"/>
  <c r="L976" i="86"/>
  <c r="O976" i="86" s="1"/>
  <c r="AG977" i="82"/>
  <c r="L977" i="86"/>
  <c r="O977" i="86" s="1"/>
  <c r="AG1890" i="82"/>
  <c r="L1890" i="86"/>
  <c r="O1890" i="86" s="1"/>
  <c r="AG1978" i="82"/>
  <c r="L1978" i="86"/>
  <c r="O1978" i="86" s="1"/>
  <c r="AG1938" i="82"/>
  <c r="L1938" i="86"/>
  <c r="O1938" i="86" s="1"/>
  <c r="AG1899" i="82"/>
  <c r="L1899" i="86"/>
  <c r="O1899" i="86" s="1"/>
  <c r="AG1963" i="82"/>
  <c r="L1963" i="86"/>
  <c r="O1963" i="86" s="1"/>
  <c r="AG1868" i="82"/>
  <c r="L1868" i="86"/>
  <c r="O1868" i="86" s="1"/>
  <c r="AG1932" i="82"/>
  <c r="L1932" i="86"/>
  <c r="O1932" i="86" s="1"/>
  <c r="AG1837" i="82"/>
  <c r="L1837" i="86"/>
  <c r="O1837" i="86" s="1"/>
  <c r="AG1901" i="82"/>
  <c r="AG1965" i="82"/>
  <c r="L1965" i="86"/>
  <c r="O1965" i="86" s="1"/>
  <c r="AG1870" i="82"/>
  <c r="L1870" i="86"/>
  <c r="O1870" i="86" s="1"/>
  <c r="AG1934" i="82"/>
  <c r="L1934" i="86"/>
  <c r="O1934" i="86" s="1"/>
  <c r="AG1839" i="82"/>
  <c r="L1839" i="86"/>
  <c r="O1839" i="86" s="1"/>
  <c r="AG1903" i="82"/>
  <c r="L1903" i="86"/>
  <c r="O1903" i="86" s="1"/>
  <c r="AG1880" i="82"/>
  <c r="L1880" i="86"/>
  <c r="O1880" i="86" s="1"/>
  <c r="AG1944" i="82"/>
  <c r="L1944" i="86"/>
  <c r="O1944" i="86" s="1"/>
  <c r="AG1857" i="82"/>
  <c r="L1857" i="86"/>
  <c r="O1857" i="86" s="1"/>
  <c r="AG1921" i="82"/>
  <c r="L1921" i="86"/>
  <c r="O1921" i="86" s="1"/>
  <c r="AG1778" i="82"/>
  <c r="L1778" i="86"/>
  <c r="O1778" i="86" s="1"/>
  <c r="AG1727" i="82"/>
  <c r="L1727" i="86"/>
  <c r="O1727" i="86" s="1"/>
  <c r="AG1786" i="82"/>
  <c r="L1786" i="86"/>
  <c r="O1786" i="86" s="1"/>
  <c r="AG1733" i="82"/>
  <c r="L1733" i="86"/>
  <c r="O1733" i="86" s="1"/>
  <c r="AG1537" i="82"/>
  <c r="L1537" i="86"/>
  <c r="O1537" i="86" s="1"/>
  <c r="AG1531" i="82"/>
  <c r="L1531" i="86"/>
  <c r="O1531" i="86" s="1"/>
  <c r="AG488" i="82"/>
  <c r="L488" i="86"/>
  <c r="O488" i="86" s="1"/>
  <c r="AG334" i="82"/>
  <c r="L334" i="86"/>
  <c r="O334" i="86" s="1"/>
  <c r="AG877" i="82"/>
  <c r="L877" i="86"/>
  <c r="O877" i="86" s="1"/>
  <c r="L869" i="86"/>
  <c r="O869" i="86" s="1"/>
  <c r="AG927" i="82"/>
  <c r="AG1132" i="82"/>
  <c r="L1132" i="86"/>
  <c r="O1132" i="86" s="1"/>
  <c r="AG1052" i="82"/>
  <c r="L1052" i="86"/>
  <c r="O1052" i="86" s="1"/>
  <c r="AG487" i="82"/>
  <c r="L487" i="86"/>
  <c r="O487" i="86" s="1"/>
  <c r="AG887" i="82"/>
  <c r="L887" i="86"/>
  <c r="O887" i="86" s="1"/>
  <c r="AG1126" i="82"/>
  <c r="L1126" i="86"/>
  <c r="O1126" i="86" s="1"/>
  <c r="L880" i="86"/>
  <c r="O880" i="86" s="1"/>
  <c r="AG1119" i="82"/>
  <c r="L1119" i="86"/>
  <c r="O1119" i="86" s="1"/>
  <c r="AG897" i="82"/>
  <c r="L897" i="86"/>
  <c r="O897" i="86" s="1"/>
  <c r="L1128" i="86"/>
  <c r="O1128" i="86" s="1"/>
  <c r="AG1299" i="82"/>
  <c r="L1299" i="86"/>
  <c r="O1299" i="86" s="1"/>
  <c r="AG320" i="82"/>
  <c r="L320" i="86"/>
  <c r="O320" i="86" s="1"/>
  <c r="AG310" i="82"/>
  <c r="L310" i="86"/>
  <c r="O310" i="86" s="1"/>
  <c r="AG306" i="82"/>
  <c r="L306" i="86"/>
  <c r="O306" i="86" s="1"/>
  <c r="AG833" i="82"/>
  <c r="L833" i="86"/>
  <c r="O833" i="86" s="1"/>
  <c r="AG462" i="82"/>
  <c r="L462" i="86"/>
  <c r="O462" i="86" s="1"/>
  <c r="L469" i="86"/>
  <c r="O469" i="86" s="1"/>
  <c r="AG823" i="82"/>
  <c r="L823" i="86"/>
  <c r="O823" i="86" s="1"/>
  <c r="AG468" i="82"/>
  <c r="L468" i="86"/>
  <c r="O468" i="86" s="1"/>
  <c r="AG832" i="82"/>
  <c r="L832" i="86"/>
  <c r="O832" i="86" s="1"/>
  <c r="AG1082" i="82"/>
  <c r="AG1083" i="82"/>
  <c r="L1083" i="86"/>
  <c r="O1083" i="86" s="1"/>
  <c r="AG826" i="82"/>
  <c r="L826" i="86"/>
  <c r="O826" i="86" s="1"/>
  <c r="L827" i="86"/>
  <c r="O827" i="86" s="1"/>
  <c r="AG1069" i="82"/>
  <c r="L1069" i="86"/>
  <c r="O1069" i="86" s="1"/>
  <c r="AG984" i="82"/>
  <c r="L984" i="86"/>
  <c r="O984" i="86" s="1"/>
  <c r="AG985" i="82"/>
  <c r="L985" i="86"/>
  <c r="O985" i="86" s="1"/>
  <c r="AG1954" i="82"/>
  <c r="L1954" i="86"/>
  <c r="O1954" i="86" s="1"/>
  <c r="AG1858" i="82"/>
  <c r="L1858" i="86"/>
  <c r="O1858" i="86" s="1"/>
  <c r="AG1843" i="82"/>
  <c r="L1843" i="86"/>
  <c r="O1843" i="86" s="1"/>
  <c r="AG1907" i="82"/>
  <c r="L1907" i="86"/>
  <c r="O1907" i="86" s="1"/>
  <c r="AG1971" i="82"/>
  <c r="L1971" i="86"/>
  <c r="O1971" i="86" s="1"/>
  <c r="AG1876" i="82"/>
  <c r="L1876" i="86"/>
  <c r="O1876" i="86" s="1"/>
  <c r="AG1940" i="82"/>
  <c r="L1940" i="86"/>
  <c r="O1940" i="86" s="1"/>
  <c r="AG1845" i="82"/>
  <c r="L1845" i="86"/>
  <c r="O1845" i="86" s="1"/>
  <c r="AG1909" i="82"/>
  <c r="L1909" i="86"/>
  <c r="O1909" i="86" s="1"/>
  <c r="AG1878" i="82"/>
  <c r="L1878" i="86"/>
  <c r="O1878" i="86" s="1"/>
  <c r="AG1847" i="82"/>
  <c r="L1847" i="86"/>
  <c r="O1847" i="86" s="1"/>
  <c r="AG1911" i="82"/>
  <c r="L1911" i="86"/>
  <c r="O1911" i="86" s="1"/>
  <c r="AG1975" i="82"/>
  <c r="L1975" i="86"/>
  <c r="O1975" i="86" s="1"/>
  <c r="AG1888" i="82"/>
  <c r="L1888" i="86"/>
  <c r="O1888" i="86" s="1"/>
  <c r="AG1952" i="82"/>
  <c r="L1952" i="86"/>
  <c r="O1952" i="86" s="1"/>
  <c r="AG1865" i="82"/>
  <c r="L1865" i="86"/>
  <c r="O1865" i="86" s="1"/>
  <c r="AG1929" i="82"/>
  <c r="L1929" i="86"/>
  <c r="O1929" i="86" s="1"/>
  <c r="AG1726" i="82"/>
  <c r="L1726" i="86"/>
  <c r="O1726" i="86" s="1"/>
  <c r="AG1735" i="82"/>
  <c r="L1735" i="86"/>
  <c r="O1735" i="86" s="1"/>
  <c r="AG1723" i="82"/>
  <c r="AG1821" i="82"/>
  <c r="L1821" i="86"/>
  <c r="O1821" i="86" s="1"/>
  <c r="AG186" i="82"/>
  <c r="L186" i="86"/>
  <c r="O186" i="86" s="1"/>
  <c r="AG338" i="82"/>
  <c r="L338" i="86"/>
  <c r="O338" i="86" s="1"/>
  <c r="AG926" i="82"/>
  <c r="L926" i="86"/>
  <c r="O926" i="86" s="1"/>
  <c r="AG885" i="82"/>
  <c r="L885" i="86"/>
  <c r="O885" i="86" s="1"/>
  <c r="AG345" i="82"/>
  <c r="L345" i="86"/>
  <c r="O345" i="86" s="1"/>
  <c r="AG325" i="82"/>
  <c r="AG331" i="82"/>
  <c r="AG935" i="82"/>
  <c r="L935" i="86"/>
  <c r="O935" i="86" s="1"/>
  <c r="AG1140" i="82"/>
  <c r="L1140" i="86"/>
  <c r="O1140" i="86" s="1"/>
  <c r="AG870" i="82"/>
  <c r="L870" i="86"/>
  <c r="O870" i="86" s="1"/>
  <c r="AG1060" i="82"/>
  <c r="L1060" i="86"/>
  <c r="O1060" i="86" s="1"/>
  <c r="AG1134" i="82"/>
  <c r="AG888" i="82"/>
  <c r="L888" i="86"/>
  <c r="O888" i="86" s="1"/>
  <c r="AG1127" i="82"/>
  <c r="L1127" i="86"/>
  <c r="O1127" i="86" s="1"/>
  <c r="AG925" i="82"/>
  <c r="L925" i="86"/>
  <c r="O925" i="86" s="1"/>
  <c r="AG1284" i="82"/>
  <c r="L1284" i="86"/>
  <c r="O1284" i="86" s="1"/>
  <c r="AG1277" i="82"/>
  <c r="L1277" i="86"/>
  <c r="O1277" i="86" s="1"/>
  <c r="AG1301" i="82"/>
  <c r="L1301" i="86"/>
  <c r="O1301" i="86" s="1"/>
  <c r="AG478" i="82"/>
  <c r="L540" i="86"/>
  <c r="L532" i="86"/>
  <c r="L508" i="86"/>
  <c r="O508" i="86" s="1"/>
  <c r="L513" i="86"/>
  <c r="O513" i="86" s="1"/>
  <c r="L510" i="86"/>
  <c r="O510" i="86" s="1"/>
  <c r="L507" i="86"/>
  <c r="O507" i="86" s="1"/>
  <c r="L504" i="86"/>
  <c r="O504" i="86" s="1"/>
  <c r="L537" i="86"/>
  <c r="L534" i="86"/>
  <c r="O534" i="86" s="1"/>
  <c r="L531" i="86"/>
  <c r="O531" i="86" s="1"/>
  <c r="L528" i="86"/>
  <c r="O528" i="86" s="1"/>
  <c r="L538" i="86"/>
  <c r="L512" i="86"/>
  <c r="L530" i="86"/>
  <c r="L515" i="86"/>
  <c r="O515" i="86" s="1"/>
  <c r="L511" i="86"/>
  <c r="O511" i="86" s="1"/>
  <c r="L539" i="86"/>
  <c r="L535" i="86"/>
  <c r="L505" i="86"/>
  <c r="L533" i="86"/>
  <c r="O533" i="86" s="1"/>
  <c r="L514" i="86"/>
  <c r="O514" i="86" s="1"/>
  <c r="L541" i="86"/>
  <c r="L529" i="86"/>
  <c r="O529" i="86" s="1"/>
  <c r="L509" i="86"/>
  <c r="O509" i="86" s="1"/>
  <c r="L536" i="86"/>
  <c r="L506" i="86"/>
  <c r="O506" i="86" s="1"/>
  <c r="L478" i="86"/>
  <c r="O478" i="86" s="1"/>
  <c r="AG464" i="82"/>
  <c r="L464" i="86"/>
  <c r="O464" i="86" s="1"/>
  <c r="L459" i="86"/>
  <c r="O459" i="86" s="1"/>
  <c r="AG1081" i="82"/>
  <c r="L1081" i="86"/>
  <c r="O1081" i="86" s="1"/>
  <c r="AG476" i="82"/>
  <c r="AG840" i="82"/>
  <c r="L840" i="86"/>
  <c r="O840" i="86" s="1"/>
  <c r="AG1091" i="82"/>
  <c r="L1190" i="86"/>
  <c r="L1182" i="86"/>
  <c r="L1150" i="86"/>
  <c r="O1150" i="86" s="1"/>
  <c r="L1142" i="86"/>
  <c r="L1191" i="86"/>
  <c r="O1191" i="86" s="1"/>
  <c r="L1188" i="86"/>
  <c r="L1145" i="86"/>
  <c r="L1185" i="86"/>
  <c r="O1185" i="86" s="1"/>
  <c r="L1153" i="86"/>
  <c r="O1153" i="86" s="1"/>
  <c r="L1147" i="86"/>
  <c r="O1147" i="86" s="1"/>
  <c r="L1144" i="86"/>
  <c r="O1144" i="86" s="1"/>
  <c r="L1189" i="86"/>
  <c r="L1154" i="86"/>
  <c r="L1146" i="86"/>
  <c r="L1192" i="86"/>
  <c r="L1181" i="86"/>
  <c r="O1181" i="86" s="1"/>
  <c r="L1187" i="86"/>
  <c r="O1187" i="86" s="1"/>
  <c r="L1152" i="86"/>
  <c r="O1152" i="86" s="1"/>
  <c r="L1148" i="86"/>
  <c r="O1148" i="86" s="1"/>
  <c r="L1183" i="86"/>
  <c r="O1183" i="86" s="1"/>
  <c r="L1186" i="86"/>
  <c r="L1151" i="86"/>
  <c r="O1151" i="86" s="1"/>
  <c r="L1184" i="86"/>
  <c r="L1149" i="86"/>
  <c r="O1149" i="86" s="1"/>
  <c r="L1143" i="86"/>
  <c r="L1091" i="86"/>
  <c r="O1091" i="86" s="1"/>
  <c r="AG834" i="82"/>
  <c r="L834" i="86"/>
  <c r="O834" i="86" s="1"/>
  <c r="AG455" i="82"/>
  <c r="L455" i="86"/>
  <c r="O455" i="86" s="1"/>
  <c r="L835" i="86"/>
  <c r="O835" i="86" s="1"/>
  <c r="AG992" i="82"/>
  <c r="L992" i="86"/>
  <c r="O992" i="86" s="1"/>
  <c r="AG389" i="82"/>
  <c r="L389" i="86"/>
  <c r="O389" i="86" s="1"/>
  <c r="AG993" i="82"/>
  <c r="L993" i="86"/>
  <c r="O993" i="86" s="1"/>
  <c r="AG1898" i="82"/>
  <c r="L1898" i="86"/>
  <c r="O1898" i="86" s="1"/>
  <c r="AG1922" i="82"/>
  <c r="L1922" i="86"/>
  <c r="O1922" i="86" s="1"/>
  <c r="AG1851" i="82"/>
  <c r="L1851" i="86"/>
  <c r="O1851" i="86" s="1"/>
  <c r="AG1915" i="82"/>
  <c r="L1915" i="86"/>
  <c r="O1915" i="86" s="1"/>
  <c r="AG1979" i="82"/>
  <c r="L1979" i="86"/>
  <c r="O1979" i="86" s="1"/>
  <c r="AG1884" i="82"/>
  <c r="L1884" i="86"/>
  <c r="O1884" i="86" s="1"/>
  <c r="AG1948" i="82"/>
  <c r="L1948" i="86"/>
  <c r="O1948" i="86" s="1"/>
  <c r="AG1853" i="82"/>
  <c r="L1853" i="86"/>
  <c r="O1853" i="86" s="1"/>
  <c r="AG1917" i="82"/>
  <c r="L1917" i="86"/>
  <c r="O1917" i="86" s="1"/>
  <c r="AG1981" i="82"/>
  <c r="L1981" i="86"/>
  <c r="O1981" i="86" s="1"/>
  <c r="AG1886" i="82"/>
  <c r="L1886" i="86"/>
  <c r="O1886" i="86" s="1"/>
  <c r="AG1950" i="82"/>
  <c r="L1950" i="86"/>
  <c r="O1950" i="86" s="1"/>
  <c r="AG1855" i="82"/>
  <c r="L1855" i="86"/>
  <c r="O1855" i="86" s="1"/>
  <c r="AG1919" i="82"/>
  <c r="L1919" i="86"/>
  <c r="O1919" i="86" s="1"/>
  <c r="L1896" i="86"/>
  <c r="O1896" i="86" s="1"/>
  <c r="AG1960" i="82"/>
  <c r="L1960" i="86"/>
  <c r="O1960" i="86" s="1"/>
  <c r="AG1873" i="82"/>
  <c r="L1873" i="86"/>
  <c r="O1873" i="86" s="1"/>
  <c r="AG1937" i="82"/>
  <c r="AG1818" i="82"/>
  <c r="L1818" i="86"/>
  <c r="O1818" i="86" s="1"/>
  <c r="AG1731" i="82"/>
  <c r="L1731" i="86"/>
  <c r="O1731" i="86" s="1"/>
  <c r="AG1787" i="82"/>
  <c r="L1787" i="86"/>
  <c r="O1787" i="86" s="1"/>
  <c r="L1782" i="86"/>
  <c r="O1782" i="86" s="1"/>
  <c r="AG1816" i="82"/>
  <c r="L1816" i="86"/>
  <c r="O1816" i="86" s="1"/>
  <c r="AG188" i="82"/>
  <c r="L188" i="86"/>
  <c r="O188" i="86" s="1"/>
  <c r="L485" i="86"/>
  <c r="O485" i="86" s="1"/>
  <c r="AG929" i="82"/>
  <c r="L929" i="86"/>
  <c r="O929" i="86" s="1"/>
  <c r="AG493" i="82"/>
  <c r="L493" i="86"/>
  <c r="O493" i="86" s="1"/>
  <c r="AG438" i="82"/>
  <c r="L438" i="86"/>
  <c r="O438" i="86" s="1"/>
  <c r="AG336" i="82"/>
  <c r="L336" i="86"/>
  <c r="O336" i="86" s="1"/>
  <c r="AG337" i="82"/>
  <c r="L337" i="86"/>
  <c r="O337" i="86" s="1"/>
  <c r="AG1041" i="82"/>
  <c r="L1041" i="86"/>
  <c r="O1041" i="86" s="1"/>
  <c r="AG1050" i="82"/>
  <c r="L1050" i="86"/>
  <c r="O1050" i="86" s="1"/>
  <c r="AG335" i="82"/>
  <c r="L335" i="86"/>
  <c r="O335" i="86" s="1"/>
  <c r="AG503" i="82"/>
  <c r="L548" i="86"/>
  <c r="O548" i="86" s="1"/>
  <c r="L524" i="86"/>
  <c r="O524" i="86" s="1"/>
  <c r="L516" i="86"/>
  <c r="O516" i="86" s="1"/>
  <c r="L525" i="86"/>
  <c r="O525" i="86" s="1"/>
  <c r="L522" i="86"/>
  <c r="O522" i="86" s="1"/>
  <c r="L519" i="86"/>
  <c r="O519" i="86" s="1"/>
  <c r="L555" i="86"/>
  <c r="L552" i="86"/>
  <c r="L549" i="86"/>
  <c r="L546" i="86"/>
  <c r="O546" i="86" s="1"/>
  <c r="L543" i="86"/>
  <c r="O543" i="86" s="1"/>
  <c r="L542" i="86"/>
  <c r="O542" i="86" s="1"/>
  <c r="L523" i="86"/>
  <c r="O523" i="86" s="1"/>
  <c r="L547" i="86"/>
  <c r="O547" i="86" s="1"/>
  <c r="L527" i="86"/>
  <c r="O527" i="86" s="1"/>
  <c r="L550" i="86"/>
  <c r="O550" i="86" s="1"/>
  <c r="L554" i="86"/>
  <c r="L520" i="86"/>
  <c r="O520" i="86" s="1"/>
  <c r="L544" i="86"/>
  <c r="O544" i="86" s="1"/>
  <c r="L521" i="86"/>
  <c r="O521" i="86" s="1"/>
  <c r="L553" i="86"/>
  <c r="L551" i="86"/>
  <c r="L518" i="86"/>
  <c r="O518" i="86" s="1"/>
  <c r="L517" i="86"/>
  <c r="O517" i="86" s="1"/>
  <c r="L526" i="86"/>
  <c r="O526" i="86" s="1"/>
  <c r="L545" i="86"/>
  <c r="L503" i="86"/>
  <c r="O503" i="86" s="1"/>
  <c r="AG931" i="82"/>
  <c r="L931" i="86"/>
  <c r="O931" i="86" s="1"/>
  <c r="AG896" i="82"/>
  <c r="AG1135" i="82"/>
  <c r="L1135" i="86"/>
  <c r="O1135" i="86" s="1"/>
  <c r="AG933" i="82"/>
  <c r="L933" i="86"/>
  <c r="O933" i="86" s="1"/>
  <c r="AG1518" i="82"/>
  <c r="L1518" i="86"/>
  <c r="O1518" i="86" s="1"/>
  <c r="AG1279" i="82"/>
  <c r="L1279" i="86"/>
  <c r="O1279" i="86" s="1"/>
  <c r="AG391" i="82"/>
  <c r="L391" i="86"/>
  <c r="O391" i="86" s="1"/>
  <c r="AG301" i="82"/>
  <c r="L301" i="86"/>
  <c r="O301" i="86" s="1"/>
  <c r="AG838" i="82"/>
  <c r="L838" i="86"/>
  <c r="O838" i="86" s="1"/>
  <c r="AG809" i="82"/>
  <c r="L809" i="86"/>
  <c r="O809" i="86" s="1"/>
  <c r="AG305" i="82"/>
  <c r="L305" i="86"/>
  <c r="O305" i="86" s="1"/>
  <c r="AG839" i="82"/>
  <c r="L839" i="86"/>
  <c r="O839" i="86" s="1"/>
  <c r="AG1089" i="82"/>
  <c r="L1089" i="86"/>
  <c r="O1089" i="86" s="1"/>
  <c r="AG908" i="82"/>
  <c r="AG902" i="82"/>
  <c r="L902" i="86"/>
  <c r="O902" i="86" s="1"/>
  <c r="AG463" i="82"/>
  <c r="L463" i="86"/>
  <c r="O463" i="86" s="1"/>
  <c r="AG820" i="82"/>
  <c r="L820" i="86"/>
  <c r="O820" i="86" s="1"/>
  <c r="AG1000" i="82"/>
  <c r="L1000" i="86"/>
  <c r="O1000" i="86" s="1"/>
  <c r="AG403" i="82"/>
  <c r="L403" i="86"/>
  <c r="O403" i="86" s="1"/>
  <c r="AG813" i="82"/>
  <c r="L813" i="86"/>
  <c r="O813" i="86" s="1"/>
  <c r="AG1859" i="82"/>
  <c r="L1859" i="86"/>
  <c r="O1859" i="86" s="1"/>
  <c r="AG1923" i="82"/>
  <c r="L1923" i="86"/>
  <c r="O1923" i="86" s="1"/>
  <c r="AG1892" i="82"/>
  <c r="L1892" i="86"/>
  <c r="O1892" i="86" s="1"/>
  <c r="AG1956" i="82"/>
  <c r="L1956" i="86"/>
  <c r="O1956" i="86" s="1"/>
  <c r="AG1861" i="82"/>
  <c r="L1861" i="86"/>
  <c r="O1861" i="86" s="1"/>
  <c r="AG1925" i="82"/>
  <c r="L1925" i="86"/>
  <c r="O1925" i="86" s="1"/>
  <c r="AG1894" i="82"/>
  <c r="L1894" i="86"/>
  <c r="O1894" i="86" s="1"/>
  <c r="AG1958" i="82"/>
  <c r="L1958" i="86"/>
  <c r="O1958" i="86" s="1"/>
  <c r="AG1863" i="82"/>
  <c r="AG1927" i="82"/>
  <c r="L1927" i="86"/>
  <c r="O1927" i="86" s="1"/>
  <c r="AG1840" i="82"/>
  <c r="L1840" i="86"/>
  <c r="O1840" i="86" s="1"/>
  <c r="AG1904" i="82"/>
  <c r="L1904" i="86"/>
  <c r="O1904" i="86" s="1"/>
  <c r="AG1968" i="82"/>
  <c r="L1968" i="86"/>
  <c r="O1968" i="86" s="1"/>
  <c r="AG1881" i="82"/>
  <c r="L1881" i="86"/>
  <c r="O1881" i="86" s="1"/>
  <c r="AG1945" i="82"/>
  <c r="L1945" i="86"/>
  <c r="O1945" i="86" s="1"/>
  <c r="AG1729" i="82"/>
  <c r="L1729" i="86"/>
  <c r="O1729" i="86" s="1"/>
  <c r="AG1728" i="82"/>
  <c r="AG1819" i="82"/>
  <c r="L1819" i="86"/>
  <c r="O1819" i="86" s="1"/>
  <c r="AG1777" i="82"/>
  <c r="L1777" i="86"/>
  <c r="O1777" i="86" s="1"/>
  <c r="AG190" i="82"/>
  <c r="L190" i="86"/>
  <c r="O190" i="86" s="1"/>
  <c r="AG1121" i="82"/>
  <c r="L1121" i="86"/>
  <c r="O1121" i="86" s="1"/>
  <c r="AG1129" i="82"/>
  <c r="L1129" i="86"/>
  <c r="O1129" i="86" s="1"/>
  <c r="AG1048" i="82"/>
  <c r="L1048" i="86"/>
  <c r="O1048" i="86" s="1"/>
  <c r="AG890" i="82"/>
  <c r="L890" i="86"/>
  <c r="O890" i="86" s="1"/>
  <c r="L494" i="86"/>
  <c r="O494" i="86" s="1"/>
  <c r="AG346" i="82"/>
  <c r="L346" i="86"/>
  <c r="O346" i="86" s="1"/>
  <c r="AG348" i="82"/>
  <c r="L348" i="86"/>
  <c r="O348" i="86" s="1"/>
  <c r="AG347" i="82"/>
  <c r="L347" i="86"/>
  <c r="O347" i="86" s="1"/>
  <c r="AG434" i="82"/>
  <c r="L434" i="86"/>
  <c r="O434" i="86" s="1"/>
  <c r="AG876" i="82"/>
  <c r="AG1035" i="82"/>
  <c r="L1035" i="86"/>
  <c r="O1035" i="86" s="1"/>
  <c r="AG1125" i="82"/>
  <c r="L1125" i="86"/>
  <c r="O1125" i="86" s="1"/>
  <c r="AG1039" i="82"/>
  <c r="L1039" i="86"/>
  <c r="O1039" i="86" s="1"/>
  <c r="AG1274" i="82"/>
  <c r="L1274" i="86"/>
  <c r="O1274" i="86" s="1"/>
  <c r="AG1298" i="82"/>
  <c r="L1298" i="86"/>
  <c r="O1298" i="86" s="1"/>
  <c r="AG472" i="82"/>
  <c r="L472" i="86"/>
  <c r="O472" i="86" s="1"/>
  <c r="L458" i="86"/>
  <c r="O458" i="86" s="1"/>
  <c r="AG312" i="82"/>
  <c r="L312" i="86"/>
  <c r="O312" i="86" s="1"/>
  <c r="AG901" i="82"/>
  <c r="L901" i="86"/>
  <c r="O901" i="86" s="1"/>
  <c r="AG475" i="82"/>
  <c r="L475" i="86"/>
  <c r="O475" i="86" s="1"/>
  <c r="AG907" i="82"/>
  <c r="L907" i="86"/>
  <c r="O907" i="86" s="1"/>
  <c r="AG980" i="82"/>
  <c r="L980" i="86"/>
  <c r="O980" i="86" s="1"/>
  <c r="AG981" i="82"/>
  <c r="L981" i="86"/>
  <c r="O981" i="86" s="1"/>
  <c r="AG910" i="82"/>
  <c r="L910" i="86"/>
  <c r="O910" i="86" s="1"/>
  <c r="AG471" i="82"/>
  <c r="L471" i="86"/>
  <c r="O471" i="86" s="1"/>
  <c r="AG911" i="82"/>
  <c r="L911" i="86"/>
  <c r="O911" i="86" s="1"/>
  <c r="L1070" i="86"/>
  <c r="O1070" i="86" s="1"/>
  <c r="AG457" i="82"/>
  <c r="L457" i="86"/>
  <c r="O457" i="86" s="1"/>
  <c r="AG821" i="82"/>
  <c r="L821" i="86"/>
  <c r="O821" i="86" s="1"/>
  <c r="AG1906" i="82"/>
  <c r="L1906" i="86"/>
  <c r="O1906" i="86" s="1"/>
  <c r="AG1866" i="82"/>
  <c r="L1866" i="86"/>
  <c r="O1866" i="86" s="1"/>
  <c r="AG1867" i="82"/>
  <c r="L1867" i="86"/>
  <c r="O1867" i="86" s="1"/>
  <c r="AG1931" i="82"/>
  <c r="L1931" i="86"/>
  <c r="O1931" i="86" s="1"/>
  <c r="AG1836" i="82"/>
  <c r="L1836" i="86"/>
  <c r="O1836" i="86" s="1"/>
  <c r="AG1900" i="82"/>
  <c r="L1900" i="86"/>
  <c r="O1900" i="86" s="1"/>
  <c r="AG1964" i="82"/>
  <c r="L1964" i="86"/>
  <c r="O1964" i="86" s="1"/>
  <c r="AG1869" i="82"/>
  <c r="L1869" i="86"/>
  <c r="O1869" i="86" s="1"/>
  <c r="AG1933" i="82"/>
  <c r="L1933" i="86"/>
  <c r="O1933" i="86" s="1"/>
  <c r="AG1838" i="82"/>
  <c r="L1838" i="86"/>
  <c r="O1838" i="86" s="1"/>
  <c r="AG1966" i="82"/>
  <c r="L1966" i="86"/>
  <c r="O1966" i="86" s="1"/>
  <c r="AG1871" i="82"/>
  <c r="L1871" i="86"/>
  <c r="O1871" i="86" s="1"/>
  <c r="AG1935" i="82"/>
  <c r="L1935" i="86"/>
  <c r="O1935" i="86" s="1"/>
  <c r="AG1848" i="82"/>
  <c r="L1848" i="86"/>
  <c r="O1848" i="86" s="1"/>
  <c r="AG1912" i="82"/>
  <c r="L1912" i="86"/>
  <c r="O1912" i="86" s="1"/>
  <c r="AG1976" i="82"/>
  <c r="L1976" i="86"/>
  <c r="O1976" i="86" s="1"/>
  <c r="AG1953" i="82"/>
  <c r="L1953" i="86"/>
  <c r="O1953" i="86" s="1"/>
  <c r="AG1734" i="82"/>
  <c r="L1734" i="86"/>
  <c r="O1734" i="86" s="1"/>
  <c r="AG1736" i="82"/>
  <c r="L1736" i="86"/>
  <c r="O1736" i="86" s="1"/>
  <c r="AG1724" i="82"/>
  <c r="L1724" i="86"/>
  <c r="O1724" i="86" s="1"/>
  <c r="AG1785" i="82"/>
  <c r="L1785" i="86"/>
  <c r="O1785" i="86" s="1"/>
  <c r="AG194" i="82"/>
  <c r="L194" i="86"/>
  <c r="O194" i="86" s="1"/>
  <c r="AG329" i="82"/>
  <c r="L329" i="86"/>
  <c r="O329" i="86" s="1"/>
  <c r="AG349" i="82"/>
  <c r="L349" i="86"/>
  <c r="O349" i="86" s="1"/>
  <c r="AG1137" i="82"/>
  <c r="L1137" i="86"/>
  <c r="O1137" i="86" s="1"/>
  <c r="AG934" i="82"/>
  <c r="L934" i="86"/>
  <c r="O934" i="86" s="1"/>
  <c r="AG433" i="82"/>
  <c r="L433" i="86"/>
  <c r="O433" i="86" s="1"/>
  <c r="AG875" i="82"/>
  <c r="L875" i="86"/>
  <c r="O875" i="86" s="1"/>
  <c r="AG1057" i="82"/>
  <c r="L1057" i="86"/>
  <c r="O1057" i="86" s="1"/>
  <c r="AG884" i="82"/>
  <c r="L884" i="86"/>
  <c r="O884" i="86" s="1"/>
  <c r="AG1043" i="82"/>
  <c r="L1043" i="86"/>
  <c r="O1043" i="86" s="1"/>
  <c r="AG894" i="82"/>
  <c r="L894" i="86"/>
  <c r="O894" i="86" s="1"/>
  <c r="AG1133" i="82"/>
  <c r="L1133" i="86"/>
  <c r="O1133" i="86" s="1"/>
  <c r="AG1038" i="82"/>
  <c r="AG1047" i="82"/>
  <c r="L1047" i="86"/>
  <c r="O1047" i="86" s="1"/>
  <c r="AG1521" i="82"/>
  <c r="L1521" i="86"/>
  <c r="O1521" i="86" s="1"/>
  <c r="AG1523" i="82"/>
  <c r="L1523" i="86"/>
  <c r="O1523" i="86" s="1"/>
  <c r="AG1302" i="82"/>
  <c r="L1302" i="86"/>
  <c r="O1302" i="86" s="1"/>
  <c r="AG1295" i="82"/>
  <c r="AG822" i="82"/>
  <c r="L822" i="86"/>
  <c r="O822" i="86" s="1"/>
  <c r="AG322" i="82"/>
  <c r="L322" i="86"/>
  <c r="O322" i="86" s="1"/>
  <c r="AG302" i="82"/>
  <c r="L302" i="86"/>
  <c r="O302" i="86" s="1"/>
  <c r="AG986" i="82"/>
  <c r="L986" i="86"/>
  <c r="O986" i="86" s="1"/>
  <c r="AG405" i="82"/>
  <c r="L405" i="86"/>
  <c r="O405" i="86" s="1"/>
  <c r="AG307" i="82"/>
  <c r="L307" i="86"/>
  <c r="O307" i="86" s="1"/>
  <c r="AG979" i="82"/>
  <c r="L979" i="86"/>
  <c r="O979" i="86" s="1"/>
  <c r="AG988" i="82"/>
  <c r="L988" i="86"/>
  <c r="O988" i="86" s="1"/>
  <c r="AG989" i="82"/>
  <c r="L989" i="86"/>
  <c r="O989" i="86" s="1"/>
  <c r="AG974" i="82"/>
  <c r="L974" i="86"/>
  <c r="O974" i="86" s="1"/>
  <c r="AG1078" i="82"/>
  <c r="L1078" i="86"/>
  <c r="O1078" i="86" s="1"/>
  <c r="AG829" i="82"/>
  <c r="L829" i="86"/>
  <c r="O829" i="86" s="1"/>
  <c r="AG1079" i="82"/>
  <c r="L1079" i="86"/>
  <c r="O1079" i="86" s="1"/>
  <c r="AG1842" i="82"/>
  <c r="L1842" i="86"/>
  <c r="O1842" i="86" s="1"/>
  <c r="AG1970" i="82"/>
  <c r="L1970" i="86"/>
  <c r="O1970" i="86" s="1"/>
  <c r="AG1930" i="82"/>
  <c r="L1930" i="86"/>
  <c r="O1930" i="86" s="1"/>
  <c r="AG1875" i="82"/>
  <c r="L1875" i="86"/>
  <c r="O1875" i="86" s="1"/>
  <c r="AG1939" i="82"/>
  <c r="L1939" i="86"/>
  <c r="O1939" i="86" s="1"/>
  <c r="AG1844" i="82"/>
  <c r="L1844" i="86"/>
  <c r="O1844" i="86" s="1"/>
  <c r="AG1972" i="82"/>
  <c r="L1972" i="86"/>
  <c r="O1972" i="86" s="1"/>
  <c r="AG1877" i="82"/>
  <c r="L1877" i="86"/>
  <c r="O1877" i="86" s="1"/>
  <c r="AG1941" i="82"/>
  <c r="L1941" i="86"/>
  <c r="O1941" i="86" s="1"/>
  <c r="AG1846" i="82"/>
  <c r="L1846" i="86"/>
  <c r="O1846" i="86" s="1"/>
  <c r="AG1910" i="82"/>
  <c r="L1910" i="86"/>
  <c r="O1910" i="86" s="1"/>
  <c r="AG1974" i="82"/>
  <c r="L1974" i="86"/>
  <c r="O1974" i="86" s="1"/>
  <c r="AG1879" i="82"/>
  <c r="L1879" i="86"/>
  <c r="O1879" i="86" s="1"/>
  <c r="AG1943" i="82"/>
  <c r="L1943" i="86"/>
  <c r="O1943" i="86" s="1"/>
  <c r="AG1856" i="82"/>
  <c r="L1856" i="86"/>
  <c r="O1856" i="86" s="1"/>
  <c r="AG1920" i="82"/>
  <c r="L1920" i="86"/>
  <c r="O1920" i="86" s="1"/>
  <c r="AG1897" i="82"/>
  <c r="L1897" i="86"/>
  <c r="O1897" i="86" s="1"/>
  <c r="AG1961" i="82"/>
  <c r="L1961" i="86"/>
  <c r="O1961" i="86" s="1"/>
  <c r="AG1737" i="82"/>
  <c r="L1737" i="86"/>
  <c r="O1737" i="86" s="1"/>
  <c r="AG1722" i="82"/>
  <c r="L1722" i="86"/>
  <c r="O1722" i="86" s="1"/>
  <c r="AG1732" i="82"/>
  <c r="L1732" i="86"/>
  <c r="O1732" i="86" s="1"/>
  <c r="AG1812" i="82"/>
  <c r="L1812" i="86"/>
  <c r="O1812" i="86" s="1"/>
  <c r="AG1535" i="82"/>
  <c r="L1535" i="86"/>
  <c r="O1535" i="86" s="1"/>
  <c r="AG330" i="82"/>
  <c r="AG501" i="82"/>
  <c r="L501" i="86"/>
  <c r="O501" i="86" s="1"/>
  <c r="AG1056" i="82"/>
  <c r="L1056" i="86"/>
  <c r="O1056" i="86" s="1"/>
  <c r="AG893" i="82"/>
  <c r="L893" i="86"/>
  <c r="O893" i="86" s="1"/>
  <c r="AG480" i="82"/>
  <c r="L480" i="86"/>
  <c r="O480" i="86" s="1"/>
  <c r="AG482" i="82"/>
  <c r="L482" i="86"/>
  <c r="O482" i="86" s="1"/>
  <c r="AG448" i="82"/>
  <c r="L448" i="86"/>
  <c r="O448" i="86" s="1"/>
  <c r="AG883" i="82"/>
  <c r="AG484" i="82"/>
  <c r="L484" i="86"/>
  <c r="O484" i="86" s="1"/>
  <c r="AG892" i="82"/>
  <c r="L892" i="86"/>
  <c r="O892" i="86" s="1"/>
  <c r="AG930" i="82"/>
  <c r="L930" i="86"/>
  <c r="O930" i="86" s="1"/>
  <c r="AG1141" i="82"/>
  <c r="L1214" i="86"/>
  <c r="L1206" i="86"/>
  <c r="O1206" i="86" s="1"/>
  <c r="L1174" i="86"/>
  <c r="L1211" i="86"/>
  <c r="O1211" i="86" s="1"/>
  <c r="L1208" i="86"/>
  <c r="O1208" i="86" s="1"/>
  <c r="L1205" i="86"/>
  <c r="O1205" i="86" s="1"/>
  <c r="L1179" i="86"/>
  <c r="L1176" i="86"/>
  <c r="L1173" i="86"/>
  <c r="L1216" i="86"/>
  <c r="L1213" i="86"/>
  <c r="O1213" i="86" s="1"/>
  <c r="L1170" i="86"/>
  <c r="O1170" i="86" s="1"/>
  <c r="L1210" i="86"/>
  <c r="L1171" i="86"/>
  <c r="O1171" i="86" s="1"/>
  <c r="L1178" i="86"/>
  <c r="L1209" i="86"/>
  <c r="O1209" i="86" s="1"/>
  <c r="L1212" i="86"/>
  <c r="L1177" i="86"/>
  <c r="O1177" i="86" s="1"/>
  <c r="L1169" i="86"/>
  <c r="L1180" i="86"/>
  <c r="L1172" i="86"/>
  <c r="O1172" i="86" s="1"/>
  <c r="L1215" i="86"/>
  <c r="O1215" i="86" s="1"/>
  <c r="L1207" i="86"/>
  <c r="O1207" i="86" s="1"/>
  <c r="L1168" i="86"/>
  <c r="L1175" i="86"/>
  <c r="L1141" i="86"/>
  <c r="O1141" i="86" s="1"/>
  <c r="AG427" i="82"/>
  <c r="L427" i="86"/>
  <c r="O427" i="86" s="1"/>
  <c r="AG1046" i="82"/>
  <c r="L1046" i="86"/>
  <c r="O1046" i="86" s="1"/>
  <c r="L430" i="86"/>
  <c r="O430" i="86" s="1"/>
  <c r="AG1055" i="82"/>
  <c r="L1055" i="86"/>
  <c r="O1055" i="86" s="1"/>
  <c r="AG1464" i="82"/>
  <c r="L1497" i="86"/>
  <c r="O1497" i="86" s="1"/>
  <c r="L1488" i="86"/>
  <c r="O1488" i="86" s="1"/>
  <c r="L1483" i="86"/>
  <c r="O1483" i="86" s="1"/>
  <c r="L1474" i="86"/>
  <c r="O1474" i="86" s="1"/>
  <c r="L1465" i="86"/>
  <c r="O1465" i="86" s="1"/>
  <c r="L1456" i="86"/>
  <c r="L1451" i="86"/>
  <c r="L1442" i="86"/>
  <c r="L1433" i="86"/>
  <c r="L1424" i="86"/>
  <c r="L1419" i="86"/>
  <c r="L1410" i="86"/>
  <c r="L1492" i="86"/>
  <c r="O1492" i="86" s="1"/>
  <c r="L1487" i="86"/>
  <c r="O1487" i="86" s="1"/>
  <c r="L1478" i="86"/>
  <c r="O1478" i="86" s="1"/>
  <c r="L1469" i="86"/>
  <c r="O1469" i="86" s="1"/>
  <c r="L1460" i="86"/>
  <c r="L1455" i="86"/>
  <c r="L1446" i="86"/>
  <c r="L1437" i="86"/>
  <c r="L1428" i="86"/>
  <c r="L1423" i="86"/>
  <c r="L1414" i="86"/>
  <c r="L1405" i="86"/>
  <c r="L1401" i="86"/>
  <c r="L1397" i="86"/>
  <c r="L1393" i="86"/>
  <c r="L1389" i="86"/>
  <c r="L1385" i="86"/>
  <c r="L1381" i="86"/>
  <c r="L1377" i="86"/>
  <c r="L1373" i="86"/>
  <c r="L1369" i="86"/>
  <c r="L1365" i="86"/>
  <c r="L1361" i="86"/>
  <c r="L1357" i="86"/>
  <c r="L1353" i="86"/>
  <c r="L1496" i="86"/>
  <c r="O1496" i="86" s="1"/>
  <c r="L1491" i="86"/>
  <c r="O1491" i="86" s="1"/>
  <c r="L1482" i="86"/>
  <c r="O1482" i="86" s="1"/>
  <c r="L1473" i="86"/>
  <c r="O1473" i="86" s="1"/>
  <c r="L1464" i="86"/>
  <c r="O1464" i="86" s="1"/>
  <c r="L1459" i="86"/>
  <c r="L1450" i="86"/>
  <c r="L1441" i="86"/>
  <c r="L1432" i="86"/>
  <c r="L1427" i="86"/>
  <c r="L1418" i="86"/>
  <c r="L1500" i="86"/>
  <c r="O1500" i="86" s="1"/>
  <c r="L1479" i="86"/>
  <c r="O1479" i="86" s="1"/>
  <c r="L1471" i="86"/>
  <c r="O1471" i="86" s="1"/>
  <c r="L1463" i="86"/>
  <c r="L1457" i="86"/>
  <c r="L1449" i="86"/>
  <c r="L1402" i="86"/>
  <c r="L1388" i="86"/>
  <c r="L1379" i="86"/>
  <c r="L1370" i="86"/>
  <c r="L1356" i="86"/>
  <c r="L1499" i="86"/>
  <c r="O1499" i="86" s="1"/>
  <c r="L1493" i="86"/>
  <c r="O1493" i="86" s="1"/>
  <c r="L1485" i="86"/>
  <c r="O1485" i="86" s="1"/>
  <c r="L1477" i="86"/>
  <c r="O1477" i="86" s="1"/>
  <c r="L1434" i="86"/>
  <c r="L1426" i="86"/>
  <c r="L1420" i="86"/>
  <c r="L1412" i="86"/>
  <c r="L1406" i="86"/>
  <c r="L1392" i="86"/>
  <c r="L1383" i="86"/>
  <c r="L1374" i="86"/>
  <c r="L1360" i="86"/>
  <c r="L1351" i="86"/>
  <c r="L1475" i="86"/>
  <c r="O1475" i="86" s="1"/>
  <c r="L1467" i="86"/>
  <c r="O1467" i="86" s="1"/>
  <c r="L1461" i="86"/>
  <c r="L1453" i="86"/>
  <c r="L1445" i="86"/>
  <c r="L1409" i="86"/>
  <c r="L1404" i="86"/>
  <c r="L1395" i="86"/>
  <c r="L1386" i="86"/>
  <c r="L1372" i="86"/>
  <c r="L1363" i="86"/>
  <c r="L1354" i="86"/>
  <c r="L1495" i="86"/>
  <c r="O1495" i="86" s="1"/>
  <c r="L1489" i="86"/>
  <c r="O1489" i="86" s="1"/>
  <c r="L1481" i="86"/>
  <c r="O1481" i="86" s="1"/>
  <c r="L1438" i="86"/>
  <c r="L1430" i="86"/>
  <c r="L1422" i="86"/>
  <c r="L1416" i="86"/>
  <c r="L1399" i="86"/>
  <c r="L1390" i="86"/>
  <c r="L1376" i="86"/>
  <c r="L1367" i="86"/>
  <c r="L1358" i="86"/>
  <c r="L1486" i="86"/>
  <c r="O1486" i="86" s="1"/>
  <c r="L1472" i="86"/>
  <c r="O1472" i="86" s="1"/>
  <c r="L1443" i="86"/>
  <c r="L1429" i="86"/>
  <c r="L1413" i="86"/>
  <c r="L1384" i="86"/>
  <c r="L1375" i="86"/>
  <c r="L1366" i="86"/>
  <c r="L1470" i="86"/>
  <c r="O1470" i="86" s="1"/>
  <c r="L1454" i="86"/>
  <c r="L1440" i="86"/>
  <c r="L1411" i="86"/>
  <c r="L1364" i="86"/>
  <c r="L1355" i="86"/>
  <c r="L1498" i="86"/>
  <c r="O1498" i="86" s="1"/>
  <c r="L1484" i="86"/>
  <c r="O1484" i="86" s="1"/>
  <c r="L1468" i="86"/>
  <c r="O1468" i="86" s="1"/>
  <c r="L1439" i="86"/>
  <c r="L1425" i="86"/>
  <c r="L1400" i="86"/>
  <c r="L1391" i="86"/>
  <c r="L1382" i="86"/>
  <c r="L1466" i="86"/>
  <c r="O1466" i="86" s="1"/>
  <c r="L1452" i="86"/>
  <c r="L1436" i="86"/>
  <c r="L1408" i="86"/>
  <c r="L1380" i="86"/>
  <c r="L1371" i="86"/>
  <c r="L1362" i="86"/>
  <c r="L1494" i="86"/>
  <c r="O1494" i="86" s="1"/>
  <c r="L1480" i="86"/>
  <c r="O1480" i="86" s="1"/>
  <c r="L1435" i="86"/>
  <c r="L1421" i="86"/>
  <c r="L1407" i="86"/>
  <c r="L1398" i="86"/>
  <c r="L1352" i="86"/>
  <c r="L1462" i="86"/>
  <c r="L1448" i="86"/>
  <c r="L1396" i="86"/>
  <c r="L1387" i="86"/>
  <c r="L1378" i="86"/>
  <c r="L1490" i="86"/>
  <c r="O1490" i="86" s="1"/>
  <c r="L1476" i="86"/>
  <c r="O1476" i="86" s="1"/>
  <c r="L1447" i="86"/>
  <c r="L1431" i="86"/>
  <c r="L1417" i="86"/>
  <c r="L1368" i="86"/>
  <c r="L1359" i="86"/>
  <c r="L1458" i="86"/>
  <c r="L1444" i="86"/>
  <c r="L1415" i="86"/>
  <c r="L1403" i="86"/>
  <c r="L1394" i="86"/>
  <c r="AG1524" i="82"/>
  <c r="L1524" i="86"/>
  <c r="O1524" i="86" s="1"/>
  <c r="AG1517" i="82"/>
  <c r="L1517" i="86"/>
  <c r="O1517" i="86" s="1"/>
  <c r="AG1296" i="82"/>
  <c r="L1296" i="86"/>
  <c r="O1296" i="86" s="1"/>
  <c r="L313" i="86"/>
  <c r="O313" i="86" s="1"/>
  <c r="AG411" i="82"/>
  <c r="L411" i="86"/>
  <c r="O411" i="86" s="1"/>
  <c r="AG1080" i="82"/>
  <c r="L1080" i="86"/>
  <c r="O1080" i="86" s="1"/>
  <c r="AG315" i="82"/>
  <c r="L315" i="86"/>
  <c r="O315" i="86" s="1"/>
  <c r="AG808" i="82"/>
  <c r="L808" i="86"/>
  <c r="O808" i="86" s="1"/>
  <c r="AG996" i="82"/>
  <c r="L996" i="86"/>
  <c r="O996" i="86" s="1"/>
  <c r="AG303" i="82"/>
  <c r="AG983" i="82"/>
  <c r="AG1086" i="82"/>
  <c r="L1086" i="86"/>
  <c r="O1086" i="86" s="1"/>
  <c r="L473" i="86"/>
  <c r="O473" i="86" s="1"/>
  <c r="AG837" i="82"/>
  <c r="L837" i="86"/>
  <c r="O837" i="86" s="1"/>
  <c r="AG1087" i="82"/>
  <c r="L1087" i="86"/>
  <c r="O1087" i="86" s="1"/>
  <c r="AG1882" i="82"/>
  <c r="L1882" i="86"/>
  <c r="O1882" i="86" s="1"/>
  <c r="AG1850" i="82"/>
  <c r="L1850" i="86"/>
  <c r="O1850" i="86" s="1"/>
  <c r="AG1883" i="82"/>
  <c r="L1883" i="86"/>
  <c r="O1883" i="86" s="1"/>
  <c r="AG1947" i="82"/>
  <c r="L1947" i="86"/>
  <c r="O1947" i="86" s="1"/>
  <c r="AG1852" i="82"/>
  <c r="L1852" i="86"/>
  <c r="O1852" i="86" s="1"/>
  <c r="AG1916" i="82"/>
  <c r="L1916" i="86"/>
  <c r="O1916" i="86" s="1"/>
  <c r="AG1980" i="82"/>
  <c r="L1980" i="86"/>
  <c r="O1980" i="86" s="1"/>
  <c r="AG1885" i="82"/>
  <c r="L1885" i="86"/>
  <c r="O1885" i="86" s="1"/>
  <c r="AG1949" i="82"/>
  <c r="L1949" i="86"/>
  <c r="O1949" i="86" s="1"/>
  <c r="AG1854" i="82"/>
  <c r="L1854" i="86"/>
  <c r="O1854" i="86" s="1"/>
  <c r="AG1918" i="82"/>
  <c r="L1918" i="86"/>
  <c r="O1918" i="86" s="1"/>
  <c r="AG1982" i="82"/>
  <c r="L1988" i="86"/>
  <c r="O1988" i="86" s="1"/>
  <c r="L1992" i="86"/>
  <c r="O1992" i="86" s="1"/>
  <c r="L1989" i="86"/>
  <c r="L1986" i="86"/>
  <c r="O1986" i="86" s="1"/>
  <c r="L1983" i="86"/>
  <c r="O1983" i="86" s="1"/>
  <c r="L1994" i="86"/>
  <c r="O1994" i="86" s="1"/>
  <c r="L1991" i="86"/>
  <c r="L1985" i="86"/>
  <c r="O1985" i="86" s="1"/>
  <c r="L1993" i="86"/>
  <c r="O1993" i="86" s="1"/>
  <c r="L1984" i="86"/>
  <c r="O1984" i="86" s="1"/>
  <c r="L1987" i="86"/>
  <c r="O1987" i="86" s="1"/>
  <c r="L1990" i="86"/>
  <c r="L1982" i="86"/>
  <c r="O1982" i="86" s="1"/>
  <c r="AG1887" i="82"/>
  <c r="L1887" i="86"/>
  <c r="O1887" i="86" s="1"/>
  <c r="AG1951" i="82"/>
  <c r="L1951" i="86"/>
  <c r="O1951" i="86" s="1"/>
  <c r="AG1864" i="82"/>
  <c r="L1864" i="86"/>
  <c r="O1864" i="86" s="1"/>
  <c r="AG1928" i="82"/>
  <c r="L1928" i="86"/>
  <c r="O1928" i="86" s="1"/>
  <c r="AG1841" i="82"/>
  <c r="L1841" i="86"/>
  <c r="O1841" i="86" s="1"/>
  <c r="AG1905" i="82"/>
  <c r="L1905" i="86"/>
  <c r="O1905" i="86" s="1"/>
  <c r="AG1969" i="82"/>
  <c r="L1969" i="86"/>
  <c r="O1969" i="86" s="1"/>
  <c r="L1718" i="86"/>
  <c r="O1718" i="86" s="1"/>
  <c r="AG1730" i="82"/>
  <c r="L1730" i="86"/>
  <c r="O1730" i="86" s="1"/>
  <c r="AG1740" i="82"/>
  <c r="L1740" i="86"/>
  <c r="O1740" i="86" s="1"/>
  <c r="AG1820" i="82"/>
  <c r="L1820" i="86"/>
  <c r="O1820" i="86" s="1"/>
  <c r="AG1815" i="82"/>
  <c r="L1815" i="86"/>
  <c r="O1815" i="86" s="1"/>
  <c r="AG1530" i="82"/>
  <c r="L1530" i="86"/>
  <c r="O1530" i="86" s="1"/>
  <c r="AG200" i="82"/>
  <c r="L200" i="86"/>
  <c r="O200" i="86" s="1"/>
  <c r="AG350" i="82"/>
  <c r="L350" i="86"/>
  <c r="O350" i="86" s="1"/>
  <c r="AG452" i="82"/>
  <c r="L452" i="86"/>
  <c r="O452" i="86" s="1"/>
  <c r="AG1064" i="82"/>
  <c r="L1064" i="86"/>
  <c r="O1064" i="86" s="1"/>
  <c r="AG898" i="82"/>
  <c r="L898" i="86"/>
  <c r="O898" i="86" s="1"/>
  <c r="AG496" i="82"/>
  <c r="L496" i="86"/>
  <c r="O496" i="86" s="1"/>
  <c r="AG498" i="82"/>
  <c r="L498" i="86"/>
  <c r="O498" i="86" s="1"/>
  <c r="AG483" i="82"/>
  <c r="L483" i="86"/>
  <c r="O483" i="86" s="1"/>
  <c r="AG891" i="82"/>
  <c r="L891" i="86"/>
  <c r="O891" i="86" s="1"/>
  <c r="AG1122" i="82"/>
  <c r="L1122" i="86"/>
  <c r="O1122" i="86" s="1"/>
  <c r="AG900" i="82"/>
  <c r="L900" i="86"/>
  <c r="O900" i="86" s="1"/>
  <c r="AG1131" i="82"/>
  <c r="L1131" i="86"/>
  <c r="O1131" i="86" s="1"/>
  <c r="L1036" i="86"/>
  <c r="O1036" i="86" s="1"/>
  <c r="AG440" i="82"/>
  <c r="L440" i="86"/>
  <c r="O440" i="86" s="1"/>
  <c r="L871" i="86"/>
  <c r="O871" i="86" s="1"/>
  <c r="AG881" i="82"/>
  <c r="L881" i="86"/>
  <c r="O881" i="86" s="1"/>
  <c r="AG1063" i="82"/>
  <c r="L1063" i="86"/>
  <c r="O1063" i="86" s="1"/>
  <c r="AG1292" i="82"/>
  <c r="L1292" i="86"/>
  <c r="O1292" i="86" s="1"/>
  <c r="AG1276" i="82"/>
  <c r="L1276" i="86"/>
  <c r="O1276" i="86" s="1"/>
  <c r="AG1300" i="82"/>
  <c r="L1300" i="86"/>
  <c r="O1300" i="86" s="1"/>
  <c r="L318" i="86"/>
  <c r="O318" i="86" s="1"/>
  <c r="AG298" i="82"/>
  <c r="L298" i="86"/>
  <c r="AG825" i="82"/>
  <c r="L825" i="86"/>
  <c r="O825" i="86" s="1"/>
  <c r="AG830" i="82"/>
  <c r="L830" i="86"/>
  <c r="O830" i="86" s="1"/>
  <c r="AG461" i="82"/>
  <c r="L461" i="86"/>
  <c r="O461" i="86" s="1"/>
  <c r="AG324" i="82"/>
  <c r="L324" i="86"/>
  <c r="O324" i="86" s="1"/>
  <c r="AG1004" i="82"/>
  <c r="L1004" i="86"/>
  <c r="O1004" i="86" s="1"/>
  <c r="AG1067" i="82"/>
  <c r="L1067" i="86"/>
  <c r="O1067" i="86" s="1"/>
  <c r="AG810" i="82"/>
  <c r="L810" i="86"/>
  <c r="O810" i="86" s="1"/>
  <c r="AG311" i="82"/>
  <c r="L311" i="86"/>
  <c r="O311" i="86" s="1"/>
  <c r="AG912" i="82"/>
  <c r="L912" i="86"/>
  <c r="O912" i="86" s="1"/>
  <c r="AG1946" i="82"/>
  <c r="L1946" i="86"/>
  <c r="O1946" i="86" s="1"/>
  <c r="AG1914" i="82"/>
  <c r="L1914" i="86"/>
  <c r="O1914" i="86" s="1"/>
  <c r="AG1874" i="82"/>
  <c r="L1874" i="86"/>
  <c r="O1874" i="86" s="1"/>
  <c r="AG1891" i="82"/>
  <c r="L1891" i="86"/>
  <c r="O1891" i="86" s="1"/>
  <c r="AG1955" i="82"/>
  <c r="L1955" i="86"/>
  <c r="O1955" i="86" s="1"/>
  <c r="AG1860" i="82"/>
  <c r="L1860" i="86"/>
  <c r="O1860" i="86" s="1"/>
  <c r="AG1924" i="82"/>
  <c r="L1924" i="86"/>
  <c r="O1924" i="86" s="1"/>
  <c r="AG1893" i="82"/>
  <c r="L1893" i="86"/>
  <c r="O1893" i="86" s="1"/>
  <c r="AG1895" i="82"/>
  <c r="L1895" i="86"/>
  <c r="O1895" i="86" s="1"/>
  <c r="AG1959" i="82"/>
  <c r="L1959" i="86"/>
  <c r="O1959" i="86" s="1"/>
  <c r="AG1872" i="82"/>
  <c r="L1872" i="86"/>
  <c r="O1872" i="86" s="1"/>
  <c r="AG1936" i="82"/>
  <c r="L1936" i="86"/>
  <c r="O1936" i="86" s="1"/>
  <c r="AG1849" i="82"/>
  <c r="L1849" i="86"/>
  <c r="O1849" i="86" s="1"/>
  <c r="AG1913" i="82"/>
  <c r="L1913" i="86"/>
  <c r="O1913" i="86" s="1"/>
  <c r="AG1977" i="82"/>
  <c r="L1977" i="86"/>
  <c r="O1977" i="86" s="1"/>
  <c r="AM80" i="67"/>
  <c r="AM78" i="70"/>
  <c r="AM78" i="69"/>
  <c r="AM78" i="68"/>
  <c r="Y5" i="73"/>
  <c r="L1525" i="86" l="1"/>
  <c r="O1525" i="86" s="1"/>
  <c r="AG1908" i="82"/>
  <c r="AG497" i="82"/>
  <c r="AG819" i="82"/>
  <c r="L1957" i="86"/>
  <c r="O1957" i="86" s="1"/>
  <c r="O1991" i="86"/>
  <c r="O1180" i="86"/>
  <c r="L450" i="86"/>
  <c r="O450" i="86" s="1"/>
  <c r="L1962" i="86"/>
  <c r="O1962" i="86" s="1"/>
  <c r="L1813" i="86"/>
  <c r="O1813" i="86" s="1"/>
  <c r="M9" i="91"/>
  <c r="L836" i="86"/>
  <c r="O836" i="86" s="1"/>
  <c r="AG343" i="82"/>
  <c r="L994" i="86"/>
  <c r="O994" i="86" s="1"/>
  <c r="L1136" i="86"/>
  <c r="O1136" i="86" s="1"/>
  <c r="L1738" i="86"/>
  <c r="O1738" i="86" s="1"/>
  <c r="L1902" i="86"/>
  <c r="O1902" i="86" s="1"/>
  <c r="L490" i="86"/>
  <c r="O490" i="86" s="1"/>
  <c r="L1942" i="86"/>
  <c r="O1942" i="86" s="1"/>
  <c r="L1967" i="86"/>
  <c r="O1967" i="86" s="1"/>
  <c r="L491" i="86"/>
  <c r="O491" i="86" s="1"/>
  <c r="S15" i="93"/>
  <c r="S25" i="93"/>
  <c r="S20" i="93"/>
  <c r="L492" i="86"/>
  <c r="O492" i="86" s="1"/>
  <c r="AG308" i="82"/>
  <c r="O1214" i="86"/>
  <c r="L1783" i="86"/>
  <c r="O1783" i="86" s="1"/>
  <c r="O1192" i="86"/>
  <c r="L909" i="86"/>
  <c r="O909" i="86" s="1"/>
  <c r="L489" i="86"/>
  <c r="O489" i="86" s="1"/>
  <c r="L814" i="86"/>
  <c r="O814" i="86" s="1"/>
  <c r="AG811" i="82"/>
  <c r="L1275" i="86"/>
  <c r="O1275" i="86" s="1"/>
  <c r="AG873" i="82"/>
  <c r="O1176" i="86"/>
  <c r="L1780" i="86"/>
  <c r="O1780" i="86" s="1"/>
  <c r="L1084" i="86"/>
  <c r="O1084" i="86" s="1"/>
  <c r="O541" i="86"/>
  <c r="L495" i="86"/>
  <c r="O495" i="86" s="1"/>
  <c r="S21" i="93"/>
  <c r="S16" i="93"/>
  <c r="S26" i="93"/>
  <c r="L816" i="86"/>
  <c r="O816" i="86" s="1"/>
  <c r="AG1817" i="82"/>
  <c r="AG1297" i="82"/>
  <c r="L1120" i="86"/>
  <c r="O1120" i="86" s="1"/>
  <c r="AG202" i="82"/>
  <c r="AG1889" i="82"/>
  <c r="L456" i="86"/>
  <c r="O456" i="86" s="1"/>
  <c r="O549" i="86"/>
  <c r="L812" i="86"/>
  <c r="O812" i="86" s="1"/>
  <c r="L1779" i="86"/>
  <c r="O1779" i="86" s="1"/>
  <c r="L1776" i="86"/>
  <c r="O1776" i="86" s="1"/>
  <c r="L392" i="86"/>
  <c r="O392" i="86" s="1"/>
  <c r="L978" i="86"/>
  <c r="O978" i="86" s="1"/>
  <c r="O540" i="86"/>
  <c r="L474" i="86"/>
  <c r="O474" i="86" s="1"/>
  <c r="L903" i="86"/>
  <c r="O903" i="86" s="1"/>
  <c r="L460" i="86"/>
  <c r="O460" i="86" s="1"/>
  <c r="L465" i="86"/>
  <c r="O465" i="86" s="1"/>
  <c r="L973" i="86"/>
  <c r="O973" i="86" s="1"/>
  <c r="L1862" i="86"/>
  <c r="O1862" i="86" s="1"/>
  <c r="L1822" i="86"/>
  <c r="O1822" i="86" s="1"/>
  <c r="L1739" i="86"/>
  <c r="O1739" i="86" s="1"/>
  <c r="L1522" i="86"/>
  <c r="O1522" i="86" s="1"/>
  <c r="O553" i="86"/>
  <c r="O1186" i="86"/>
  <c r="O1154" i="86"/>
  <c r="L1073" i="86"/>
  <c r="O1073" i="86" s="1"/>
  <c r="L1725" i="86"/>
  <c r="O1725" i="86" s="1"/>
  <c r="L874" i="86"/>
  <c r="O874" i="86" s="1"/>
  <c r="U46" i="88"/>
  <c r="U121" i="88" s="1"/>
  <c r="AB46" i="69"/>
  <c r="AG304" i="82"/>
  <c r="AG1814" i="82"/>
  <c r="AG1720" i="82"/>
  <c r="O1189" i="86"/>
  <c r="AG1973" i="82"/>
  <c r="AG454" i="82"/>
  <c r="AG818" i="82"/>
  <c r="U12" i="89"/>
  <c r="U58" i="89" s="1"/>
  <c r="S76" i="69"/>
  <c r="U67" i="88"/>
  <c r="U142" i="88" s="1"/>
  <c r="E11" i="90"/>
  <c r="E9" i="90"/>
  <c r="E7" i="90"/>
  <c r="E13" i="90" s="1"/>
  <c r="U68" i="88"/>
  <c r="U143" i="88" s="1"/>
  <c r="AB22" i="69"/>
  <c r="U58" i="88"/>
  <c r="U133" i="88" s="1"/>
  <c r="X5" i="88"/>
  <c r="X80" i="88" s="1"/>
  <c r="N9" i="90" s="1"/>
  <c r="Y76" i="69"/>
  <c r="Q9" i="90"/>
  <c r="V42" i="69"/>
  <c r="V30" i="69"/>
  <c r="V26" i="69"/>
  <c r="V37" i="69"/>
  <c r="X47" i="74"/>
  <c r="Y5" i="74"/>
  <c r="AA2006" i="82"/>
  <c r="AA2002" i="82"/>
  <c r="AA1998" i="82"/>
  <c r="AA2010" i="82"/>
  <c r="AA2007" i="82"/>
  <c r="AA2009" i="82"/>
  <c r="AA2005" i="82"/>
  <c r="AA2001" i="82"/>
  <c r="AA1997" i="82"/>
  <c r="AA2008" i="82"/>
  <c r="AA2004" i="82"/>
  <c r="AA2000" i="82"/>
  <c r="AA1996" i="82"/>
  <c r="AA2003" i="82"/>
  <c r="AA1999" i="82"/>
  <c r="AA1995" i="82"/>
  <c r="U70" i="88"/>
  <c r="U145" i="88" s="1"/>
  <c r="AB70" i="69"/>
  <c r="R5" i="88"/>
  <c r="R80" i="88" s="1"/>
  <c r="R76" i="69"/>
  <c r="S81" i="69" s="1"/>
  <c r="L1072" i="86"/>
  <c r="O1072" i="86" s="1"/>
  <c r="L446" i="86"/>
  <c r="O446" i="86" s="1"/>
  <c r="L1287" i="86"/>
  <c r="O1287" i="86" s="1"/>
  <c r="O1182" i="86"/>
  <c r="L1068" i="86"/>
  <c r="O1068" i="86" s="1"/>
  <c r="L499" i="86"/>
  <c r="O499" i="86" s="1"/>
  <c r="L344" i="86"/>
  <c r="O344" i="86" s="1"/>
  <c r="AB67" i="69"/>
  <c r="AB43" i="69"/>
  <c r="U5" i="88"/>
  <c r="U80" i="88" s="1"/>
  <c r="J7" i="90"/>
  <c r="J13" i="90" s="1"/>
  <c r="V31" i="69"/>
  <c r="V29" i="69"/>
  <c r="V32" i="69"/>
  <c r="V59" i="69"/>
  <c r="AB76" i="68"/>
  <c r="U64" i="88"/>
  <c r="U139" i="88" s="1"/>
  <c r="AB64" i="69"/>
  <c r="L184" i="86"/>
  <c r="O184" i="86" s="1"/>
  <c r="O1210" i="86"/>
  <c r="L886" i="86"/>
  <c r="O886" i="86" s="1"/>
  <c r="O1143" i="86"/>
  <c r="O1190" i="86"/>
  <c r="L401" i="86"/>
  <c r="O401" i="86" s="1"/>
  <c r="U33" i="88"/>
  <c r="U108" i="88" s="1"/>
  <c r="AB33" i="69"/>
  <c r="V56" i="69"/>
  <c r="V9" i="69"/>
  <c r="V18" i="69"/>
  <c r="V11" i="69"/>
  <c r="V15" i="69"/>
  <c r="V10" i="69"/>
  <c r="V19" i="69"/>
  <c r="V17" i="69"/>
  <c r="V16" i="69"/>
  <c r="V12" i="69"/>
  <c r="V13" i="69"/>
  <c r="V14" i="69"/>
  <c r="V24" i="69"/>
  <c r="AB62" i="69"/>
  <c r="V6" i="69"/>
  <c r="V76" i="69" s="1"/>
  <c r="Q11" i="90"/>
  <c r="V7" i="69"/>
  <c r="V20" i="69"/>
  <c r="U25" i="89"/>
  <c r="U71" i="89" s="1"/>
  <c r="U50" i="88"/>
  <c r="U125" i="88" s="1"/>
  <c r="AB50" i="69"/>
  <c r="L1926" i="86"/>
  <c r="O1926" i="86" s="1"/>
  <c r="L444" i="86"/>
  <c r="O444" i="86" s="1"/>
  <c r="O1990" i="86"/>
  <c r="L982" i="86"/>
  <c r="O982" i="86" s="1"/>
  <c r="L1071" i="86"/>
  <c r="O1071" i="86" s="1"/>
  <c r="L828" i="86"/>
  <c r="O828" i="86" s="1"/>
  <c r="L299" i="86"/>
  <c r="O299" i="86" s="1"/>
  <c r="L831" i="86"/>
  <c r="O831" i="86" s="1"/>
  <c r="O512" i="86"/>
  <c r="G9" i="90"/>
  <c r="G11" i="90"/>
  <c r="G7" i="90"/>
  <c r="G13" i="90" s="1"/>
  <c r="AB28" i="69"/>
  <c r="U63" i="88"/>
  <c r="U138" i="88" s="1"/>
  <c r="AB68" i="69"/>
  <c r="AB34" i="69"/>
  <c r="U38" i="88"/>
  <c r="U113" i="88" s="1"/>
  <c r="V76" i="70"/>
  <c r="AB58" i="69"/>
  <c r="V72" i="69"/>
  <c r="V51" i="69"/>
  <c r="V8" i="69"/>
  <c r="V47" i="69"/>
  <c r="Y16" i="73"/>
  <c r="AB16" i="73" s="1"/>
  <c r="U16" i="89"/>
  <c r="U62" i="89" s="1"/>
  <c r="V41" i="69"/>
  <c r="V71" i="69"/>
  <c r="Y26" i="74"/>
  <c r="AB26" i="74" s="1"/>
  <c r="S14" i="93" s="1"/>
  <c r="U26" i="89"/>
  <c r="U72" i="89" s="1"/>
  <c r="V73" i="69"/>
  <c r="N11" i="90"/>
  <c r="Y34" i="73"/>
  <c r="AB34" i="73" s="1"/>
  <c r="U34" i="89"/>
  <c r="U80" i="89" s="1"/>
  <c r="O1989" i="86"/>
  <c r="O1174" i="86"/>
  <c r="L1001" i="86"/>
  <c r="O1001" i="86" s="1"/>
  <c r="L1090" i="86"/>
  <c r="O1090" i="86" s="1"/>
  <c r="L327" i="86"/>
  <c r="O327" i="86" s="1"/>
  <c r="L1784" i="86"/>
  <c r="O1784" i="86" s="1"/>
  <c r="L1293" i="86"/>
  <c r="O1293" i="86" s="1"/>
  <c r="L477" i="86"/>
  <c r="O477" i="86" s="1"/>
  <c r="AA1514" i="82"/>
  <c r="AA1519" i="82"/>
  <c r="AA765" i="83"/>
  <c r="AA768" i="83"/>
  <c r="AA766" i="83"/>
  <c r="AA763" i="83"/>
  <c r="L15" i="90"/>
  <c r="L14" i="90"/>
  <c r="AB5" i="69"/>
  <c r="V23" i="69"/>
  <c r="M5" i="88"/>
  <c r="M80" i="88" s="1"/>
  <c r="M76" i="69"/>
  <c r="AB52" i="69"/>
  <c r="V74" i="69"/>
  <c r="V54" i="69"/>
  <c r="V53" i="69"/>
  <c r="L904" i="86"/>
  <c r="O904" i="86" s="1"/>
  <c r="L997" i="86"/>
  <c r="O997" i="86" s="1"/>
  <c r="L316" i="86"/>
  <c r="O316" i="86" s="1"/>
  <c r="L932" i="86"/>
  <c r="O932" i="86" s="1"/>
  <c r="L1076" i="86"/>
  <c r="O1076" i="86" s="1"/>
  <c r="AG882" i="82"/>
  <c r="L1536" i="86"/>
  <c r="O1536" i="86" s="1"/>
  <c r="V36" i="69"/>
  <c r="J11" i="90"/>
  <c r="J9" i="90"/>
  <c r="V61" i="69"/>
  <c r="AA1532" i="82"/>
  <c r="AB5" i="70"/>
  <c r="AB76" i="70" s="1"/>
  <c r="V27" i="69"/>
  <c r="V25" i="69"/>
  <c r="B9" i="90"/>
  <c r="B7" i="90"/>
  <c r="B13" i="90" s="1"/>
  <c r="B11" i="90"/>
  <c r="V69" i="69"/>
  <c r="X47" i="73"/>
  <c r="M15" i="90"/>
  <c r="M14" i="90"/>
  <c r="U40" i="88"/>
  <c r="U115" i="88" s="1"/>
  <c r="U9" i="90"/>
  <c r="U11" i="90"/>
  <c r="U7" i="90"/>
  <c r="U13" i="90" s="1"/>
  <c r="V44" i="69"/>
  <c r="V60" i="69"/>
  <c r="V66" i="69"/>
  <c r="AB21" i="69"/>
  <c r="V48" i="69"/>
  <c r="AB65" i="69"/>
  <c r="V35" i="69"/>
  <c r="AB55" i="69"/>
  <c r="V45" i="69"/>
  <c r="AB57" i="69"/>
  <c r="X57" i="88"/>
  <c r="X132" i="88" s="1"/>
  <c r="N7" i="90" s="1"/>
  <c r="N13" i="90" s="1"/>
  <c r="V39" i="69"/>
  <c r="U44" i="89"/>
  <c r="U90" i="89" s="1"/>
  <c r="L1516" i="86"/>
  <c r="O1516" i="86" s="1"/>
  <c r="L1062" i="86"/>
  <c r="O1062" i="86" s="1"/>
  <c r="O1179" i="86"/>
  <c r="L975" i="86"/>
  <c r="O975" i="86" s="1"/>
  <c r="L1066" i="86"/>
  <c r="O1066" i="86" s="1"/>
  <c r="L1527" i="86"/>
  <c r="O1527" i="86" s="1"/>
  <c r="L987" i="86"/>
  <c r="O987" i="86" s="1"/>
  <c r="L1289" i="86"/>
  <c r="O1289" i="86" s="1"/>
  <c r="L1042" i="86"/>
  <c r="O1042" i="86" s="1"/>
  <c r="L990" i="86"/>
  <c r="O990" i="86" s="1"/>
  <c r="O1184" i="86"/>
  <c r="L321" i="86"/>
  <c r="O321" i="86" s="1"/>
  <c r="L431" i="86"/>
  <c r="O431" i="86" s="1"/>
  <c r="L1526" i="86"/>
  <c r="O1526" i="86" s="1"/>
  <c r="L341" i="86"/>
  <c r="O341" i="86" s="1"/>
  <c r="L1285" i="86"/>
  <c r="O1285" i="86" s="1"/>
  <c r="O1188" i="86"/>
  <c r="O538" i="86"/>
  <c r="L399" i="86"/>
  <c r="O399" i="86" s="1"/>
  <c r="L314" i="86"/>
  <c r="O314" i="86" s="1"/>
  <c r="L413" i="86"/>
  <c r="O413" i="86" s="1"/>
  <c r="L995" i="86"/>
  <c r="O995" i="86" s="1"/>
  <c r="L395" i="86"/>
  <c r="O395" i="86" s="1"/>
  <c r="O1169" i="86"/>
  <c r="L1520" i="86"/>
  <c r="O1520" i="86" s="1"/>
  <c r="L1088" i="86"/>
  <c r="O1088" i="86" s="1"/>
  <c r="O545" i="86"/>
  <c r="L470" i="86"/>
  <c r="O470" i="86" s="1"/>
  <c r="L1533" i="86"/>
  <c r="O1533" i="86" s="1"/>
  <c r="L466" i="86"/>
  <c r="O466" i="86" s="1"/>
  <c r="O1216" i="86"/>
  <c r="L192" i="86"/>
  <c r="O192" i="86" s="1"/>
  <c r="O554" i="86"/>
  <c r="O535" i="86"/>
  <c r="O532" i="86"/>
  <c r="L895" i="86"/>
  <c r="O895" i="86" s="1"/>
  <c r="L906" i="86"/>
  <c r="O906" i="86" s="1"/>
  <c r="O1173" i="86"/>
  <c r="O552" i="86"/>
  <c r="O536" i="86"/>
  <c r="L409" i="86"/>
  <c r="O409" i="86" s="1"/>
  <c r="AG991" i="82"/>
  <c r="AG1061" i="82"/>
  <c r="AG1051" i="82"/>
  <c r="L1515" i="86"/>
  <c r="O1515" i="86" s="1"/>
  <c r="L1294" i="86"/>
  <c r="O1294" i="86" s="1"/>
  <c r="O537" i="86"/>
  <c r="AG388" i="82"/>
  <c r="AG436" i="82"/>
  <c r="O1168" i="86"/>
  <c r="O530" i="86"/>
  <c r="L319" i="86"/>
  <c r="O319" i="86" s="1"/>
  <c r="L309" i="86"/>
  <c r="O309" i="86" s="1"/>
  <c r="L1058" i="86"/>
  <c r="O1058" i="86" s="1"/>
  <c r="O1145" i="86"/>
  <c r="L1002" i="86"/>
  <c r="O1002" i="86" s="1"/>
  <c r="L905" i="86"/>
  <c r="O905" i="86" s="1"/>
  <c r="L323" i="86"/>
  <c r="O323" i="86" s="1"/>
  <c r="L1040" i="86"/>
  <c r="O1040" i="86" s="1"/>
  <c r="O1146" i="86"/>
  <c r="L872" i="86"/>
  <c r="O872" i="86" s="1"/>
  <c r="L332" i="86"/>
  <c r="O332" i="86" s="1"/>
  <c r="L394" i="86"/>
  <c r="O394" i="86" s="1"/>
  <c r="L817" i="86"/>
  <c r="O817" i="86" s="1"/>
  <c r="L502" i="86"/>
  <c r="O502" i="86" s="1"/>
  <c r="L1065" i="86"/>
  <c r="O1065" i="86" s="1"/>
  <c r="O505" i="86"/>
  <c r="L407" i="86"/>
  <c r="O407" i="86" s="1"/>
  <c r="L340" i="86"/>
  <c r="O340" i="86" s="1"/>
  <c r="AG1278" i="82"/>
  <c r="L1085" i="86"/>
  <c r="O1085" i="86" s="1"/>
  <c r="L467" i="86"/>
  <c r="O467" i="86" s="1"/>
  <c r="L1077" i="86"/>
  <c r="O1077" i="86" s="1"/>
  <c r="O1142" i="86"/>
  <c r="O539" i="86"/>
  <c r="AA1219" i="82"/>
  <c r="AA1245" i="82"/>
  <c r="AA1221" i="82"/>
  <c r="AA1238" i="82"/>
  <c r="AA1232" i="82"/>
  <c r="AA1239" i="82"/>
  <c r="AA1227" i="82"/>
  <c r="AA1240" i="82"/>
  <c r="AA1229" i="82"/>
  <c r="AA1233" i="82"/>
  <c r="AA1222" i="82"/>
  <c r="AA1237" i="82"/>
  <c r="AA1218" i="82"/>
  <c r="AA1226" i="82"/>
  <c r="AA1220" i="82"/>
  <c r="AA1230" i="82"/>
  <c r="AA1242" i="82"/>
  <c r="AA1243" i="82"/>
  <c r="AA1244" i="82"/>
  <c r="AA1224" i="82"/>
  <c r="AA1228" i="82"/>
  <c r="AA1236" i="82"/>
  <c r="AA1217" i="82"/>
  <c r="AA1223" i="82"/>
  <c r="AA1231" i="82"/>
  <c r="AA1241" i="82"/>
  <c r="AA1235" i="82"/>
  <c r="AA1225" i="82"/>
  <c r="AA1234" i="82"/>
  <c r="L1123" i="86"/>
  <c r="O1123" i="86" s="1"/>
  <c r="L1529" i="86"/>
  <c r="O1529" i="86" s="1"/>
  <c r="L196" i="86"/>
  <c r="O196" i="86" s="1"/>
  <c r="AA926" i="83"/>
  <c r="AA910" i="83"/>
  <c r="AA894" i="83"/>
  <c r="AA878" i="83"/>
  <c r="AA862" i="83"/>
  <c r="AA846" i="83"/>
  <c r="AA830" i="83"/>
  <c r="AA814" i="83"/>
  <c r="AA798" i="83"/>
  <c r="AA907" i="83"/>
  <c r="AA786" i="83"/>
  <c r="AA813" i="83"/>
  <c r="AA831" i="83"/>
  <c r="AA851" i="83"/>
  <c r="AA924" i="83"/>
  <c r="AA908" i="83"/>
  <c r="AA892" i="83"/>
  <c r="AA876" i="83"/>
  <c r="AA860" i="83"/>
  <c r="AA844" i="83"/>
  <c r="AA828" i="83"/>
  <c r="AA812" i="83"/>
  <c r="AA796" i="83"/>
  <c r="AA891" i="83"/>
  <c r="AA925" i="83"/>
  <c r="AA797" i="83"/>
  <c r="AA815" i="83"/>
  <c r="AA835" i="83"/>
  <c r="AA938" i="83"/>
  <c r="AA922" i="83"/>
  <c r="AA906" i="83"/>
  <c r="AA890" i="83"/>
  <c r="AA874" i="83"/>
  <c r="AA858" i="83"/>
  <c r="AA842" i="83"/>
  <c r="AA826" i="83"/>
  <c r="AA810" i="83"/>
  <c r="AA794" i="83"/>
  <c r="AA875" i="83"/>
  <c r="AA909" i="83"/>
  <c r="AA927" i="83"/>
  <c r="AA799" i="83"/>
  <c r="AA819" i="83"/>
  <c r="AA936" i="83"/>
  <c r="AA920" i="83"/>
  <c r="AA904" i="83"/>
  <c r="AA888" i="83"/>
  <c r="AA872" i="83"/>
  <c r="AA856" i="83"/>
  <c r="AA840" i="83"/>
  <c r="AA824" i="83"/>
  <c r="AA808" i="83"/>
  <c r="AA792" i="83"/>
  <c r="AA859" i="83"/>
  <c r="AA893" i="83"/>
  <c r="AA911" i="83"/>
  <c r="AA931" i="83"/>
  <c r="AA803" i="83"/>
  <c r="AA934" i="83"/>
  <c r="AA918" i="83"/>
  <c r="AA902" i="83"/>
  <c r="AA886" i="83"/>
  <c r="AA870" i="83"/>
  <c r="AA854" i="83"/>
  <c r="AA838" i="83"/>
  <c r="AA822" i="83"/>
  <c r="AA806" i="83"/>
  <c r="AA790" i="83"/>
  <c r="AA843" i="83"/>
  <c r="AA877" i="83"/>
  <c r="AA895" i="83"/>
  <c r="AA915" i="83"/>
  <c r="AA787" i="83"/>
  <c r="AA932" i="83"/>
  <c r="AA916" i="83"/>
  <c r="AA900" i="83"/>
  <c r="AA884" i="83"/>
  <c r="AA868" i="83"/>
  <c r="AA852" i="83"/>
  <c r="AA836" i="83"/>
  <c r="AA820" i="83"/>
  <c r="AA804" i="83"/>
  <c r="AA788" i="83"/>
  <c r="AA827" i="83"/>
  <c r="AA861" i="83"/>
  <c r="AA879" i="83"/>
  <c r="AA899" i="83"/>
  <c r="AA930" i="83"/>
  <c r="AA914" i="83"/>
  <c r="AA898" i="83"/>
  <c r="AA882" i="83"/>
  <c r="AA866" i="83"/>
  <c r="AA850" i="83"/>
  <c r="AA834" i="83"/>
  <c r="AA818" i="83"/>
  <c r="AA802" i="83"/>
  <c r="AA939" i="83"/>
  <c r="AA811" i="83"/>
  <c r="AA845" i="83"/>
  <c r="AA863" i="83"/>
  <c r="AA883" i="83"/>
  <c r="AA896" i="83"/>
  <c r="AA795" i="83"/>
  <c r="AA869" i="83"/>
  <c r="AA903" i="83"/>
  <c r="AA937" i="83"/>
  <c r="AA809" i="83"/>
  <c r="AA801" i="83"/>
  <c r="AA1645" i="82"/>
  <c r="AG1645" i="82" s="1"/>
  <c r="AA1581" i="82"/>
  <c r="AG1581" i="82" s="1"/>
  <c r="AA1676" i="82"/>
  <c r="AG1676" i="82" s="1"/>
  <c r="AA1612" i="82"/>
  <c r="AG1612" i="82" s="1"/>
  <c r="AA1548" i="82"/>
  <c r="AG1548" i="82" s="1"/>
  <c r="AA1643" i="82"/>
  <c r="AG1643" i="82" s="1"/>
  <c r="AA1579" i="82"/>
  <c r="AG1579" i="82" s="1"/>
  <c r="AA1674" i="82"/>
  <c r="AG1674" i="82" s="1"/>
  <c r="AA1610" i="82"/>
  <c r="AG1610" i="82" s="1"/>
  <c r="AA1546" i="82"/>
  <c r="AG1546" i="82" s="1"/>
  <c r="AA1632" i="82"/>
  <c r="AG1632" i="82" s="1"/>
  <c r="AA1568" i="82"/>
  <c r="AG1568" i="82" s="1"/>
  <c r="AA1655" i="82"/>
  <c r="AG1655" i="82" s="1"/>
  <c r="AA1591" i="82"/>
  <c r="AG1591" i="82" s="1"/>
  <c r="AA1654" i="82"/>
  <c r="AG1654" i="82" s="1"/>
  <c r="AA1553" i="82"/>
  <c r="AG1553" i="82" s="1"/>
  <c r="AA1609" i="82"/>
  <c r="AG1609" i="82" s="1"/>
  <c r="AA1665" i="82"/>
  <c r="AG1665" i="82" s="1"/>
  <c r="AA1657" i="82"/>
  <c r="AG1657" i="82" s="1"/>
  <c r="AA880" i="83"/>
  <c r="AA829" i="83"/>
  <c r="AA887" i="83"/>
  <c r="AA921" i="83"/>
  <c r="AA793" i="83"/>
  <c r="AA913" i="83"/>
  <c r="AA1573" i="82"/>
  <c r="AG1573" i="82" s="1"/>
  <c r="AA1668" i="82"/>
  <c r="AG1668" i="82" s="1"/>
  <c r="AA1540" i="82"/>
  <c r="AG1540" i="82" s="1"/>
  <c r="AA1635" i="82"/>
  <c r="AG1635" i="82" s="1"/>
  <c r="AA1666" i="82"/>
  <c r="AG1666" i="82" s="1"/>
  <c r="AA1602" i="82"/>
  <c r="AG1602" i="82" s="1"/>
  <c r="AA1624" i="82"/>
  <c r="AG1624" i="82" s="1"/>
  <c r="AA1560" i="82"/>
  <c r="AG1560" i="82" s="1"/>
  <c r="AA1583" i="82"/>
  <c r="AG1583" i="82" s="1"/>
  <c r="AA1622" i="82"/>
  <c r="AG1622" i="82" s="1"/>
  <c r="AA1577" i="82"/>
  <c r="AG1577" i="82" s="1"/>
  <c r="AA1689" i="82"/>
  <c r="AG1689" i="82" s="1"/>
  <c r="AA873" i="83"/>
  <c r="AA1580" i="82"/>
  <c r="AG1580" i="82" s="1"/>
  <c r="AA1578" i="82"/>
  <c r="AG1578" i="82" s="1"/>
  <c r="AA1623" i="82"/>
  <c r="AG1623" i="82" s="1"/>
  <c r="AA1662" i="82"/>
  <c r="AG1662" i="82" s="1"/>
  <c r="AA853" i="83"/>
  <c r="AA1637" i="82"/>
  <c r="AG1637" i="82" s="1"/>
  <c r="AA1604" i="82"/>
  <c r="AG1604" i="82" s="1"/>
  <c r="AA1571" i="82"/>
  <c r="AG1571" i="82" s="1"/>
  <c r="AA1688" i="82"/>
  <c r="AG1688" i="82" s="1"/>
  <c r="AA1647" i="82"/>
  <c r="AG1647" i="82" s="1"/>
  <c r="AA1678" i="82"/>
  <c r="AG1678" i="82" s="1"/>
  <c r="AA1633" i="82"/>
  <c r="AG1633" i="82" s="1"/>
  <c r="AA1613" i="82"/>
  <c r="AG1613" i="82" s="1"/>
  <c r="AA1611" i="82"/>
  <c r="AG1611" i="82" s="1"/>
  <c r="AA1642" i="82"/>
  <c r="AG1642" i="82" s="1"/>
  <c r="AA1687" i="82"/>
  <c r="AG1687" i="82" s="1"/>
  <c r="AA1582" i="82"/>
  <c r="AG1582" i="82" s="1"/>
  <c r="AA1561" i="82"/>
  <c r="AG1561" i="82" s="1"/>
  <c r="AA864" i="83"/>
  <c r="AA847" i="83"/>
  <c r="AA837" i="83"/>
  <c r="AA871" i="83"/>
  <c r="AA905" i="83"/>
  <c r="AA881" i="83"/>
  <c r="AA897" i="83"/>
  <c r="AA1629" i="82"/>
  <c r="AG1629" i="82" s="1"/>
  <c r="AA1565" i="82"/>
  <c r="AG1565" i="82" s="1"/>
  <c r="AA1660" i="82"/>
  <c r="AG1660" i="82" s="1"/>
  <c r="AA1596" i="82"/>
  <c r="AG1596" i="82" s="1"/>
  <c r="AA1691" i="82"/>
  <c r="AG1691" i="82" s="1"/>
  <c r="AA1627" i="82"/>
  <c r="AG1627" i="82" s="1"/>
  <c r="AA1563" i="82"/>
  <c r="AG1563" i="82" s="1"/>
  <c r="AA1658" i="82"/>
  <c r="AG1658" i="82" s="1"/>
  <c r="AA1594" i="82"/>
  <c r="AG1594" i="82" s="1"/>
  <c r="AA1680" i="82"/>
  <c r="AG1680" i="82" s="1"/>
  <c r="AA1616" i="82"/>
  <c r="AG1616" i="82" s="1"/>
  <c r="AA1552" i="82"/>
  <c r="AG1552" i="82" s="1"/>
  <c r="AA1639" i="82"/>
  <c r="AG1639" i="82" s="1"/>
  <c r="AA1575" i="82"/>
  <c r="AG1575" i="82" s="1"/>
  <c r="AA1590" i="82"/>
  <c r="AG1590" i="82" s="1"/>
  <c r="AA1646" i="82"/>
  <c r="AG1646" i="82" s="1"/>
  <c r="AA1545" i="82"/>
  <c r="AG1545" i="82" s="1"/>
  <c r="AA1601" i="82"/>
  <c r="AG1601" i="82" s="1"/>
  <c r="AA1625" i="82"/>
  <c r="AG1625" i="82" s="1"/>
  <c r="AA832" i="83"/>
  <c r="AA805" i="83"/>
  <c r="AA839" i="83"/>
  <c r="AA849" i="83"/>
  <c r="AA1549" i="82"/>
  <c r="AG1549" i="82" s="1"/>
  <c r="AA1644" i="82"/>
  <c r="AG1644" i="82" s="1"/>
  <c r="AA1547" i="82"/>
  <c r="AG1547" i="82" s="1"/>
  <c r="AA1600" i="82"/>
  <c r="AG1600" i="82" s="1"/>
  <c r="AA1559" i="82"/>
  <c r="AG1559" i="82" s="1"/>
  <c r="AA1638" i="82"/>
  <c r="AG1638" i="82" s="1"/>
  <c r="AA848" i="83"/>
  <c r="AA867" i="83"/>
  <c r="AA821" i="83"/>
  <c r="AA855" i="83"/>
  <c r="AA889" i="83"/>
  <c r="AA865" i="83"/>
  <c r="AA1685" i="82"/>
  <c r="AG1685" i="82" s="1"/>
  <c r="AA1621" i="82"/>
  <c r="AG1621" i="82" s="1"/>
  <c r="AA1557" i="82"/>
  <c r="AG1557" i="82" s="1"/>
  <c r="AA1652" i="82"/>
  <c r="AG1652" i="82" s="1"/>
  <c r="AA1588" i="82"/>
  <c r="AG1588" i="82" s="1"/>
  <c r="AA1683" i="82"/>
  <c r="AG1683" i="82" s="1"/>
  <c r="AA1619" i="82"/>
  <c r="AG1619" i="82" s="1"/>
  <c r="AA1555" i="82"/>
  <c r="AG1555" i="82" s="1"/>
  <c r="AA1650" i="82"/>
  <c r="AG1650" i="82" s="1"/>
  <c r="AA1586" i="82"/>
  <c r="AG1586" i="82" s="1"/>
  <c r="AA1672" i="82"/>
  <c r="AG1672" i="82" s="1"/>
  <c r="AA1608" i="82"/>
  <c r="AG1608" i="82" s="1"/>
  <c r="AA1544" i="82"/>
  <c r="AG1544" i="82" s="1"/>
  <c r="AA1631" i="82"/>
  <c r="AG1631" i="82" s="1"/>
  <c r="AA1567" i="82"/>
  <c r="AG1567" i="82" s="1"/>
  <c r="AA1558" i="82"/>
  <c r="AG1558" i="82" s="1"/>
  <c r="AA1614" i="82"/>
  <c r="AG1614" i="82" s="1"/>
  <c r="AA1670" i="82"/>
  <c r="AG1670" i="82" s="1"/>
  <c r="AA1569" i="82"/>
  <c r="AG1569" i="82" s="1"/>
  <c r="AA1593" i="82"/>
  <c r="AG1593" i="82" s="1"/>
  <c r="AA933" i="83"/>
  <c r="AA1677" i="82"/>
  <c r="AG1677" i="82" s="1"/>
  <c r="AA1675" i="82"/>
  <c r="AG1675" i="82" s="1"/>
  <c r="AA1664" i="82"/>
  <c r="AG1664" i="82" s="1"/>
  <c r="AA1681" i="82"/>
  <c r="AG1681" i="82" s="1"/>
  <c r="AA816" i="83"/>
  <c r="AA917" i="83"/>
  <c r="AA789" i="83"/>
  <c r="AA823" i="83"/>
  <c r="AA857" i="83"/>
  <c r="AA833" i="83"/>
  <c r="AA1669" i="82"/>
  <c r="AG1669" i="82" s="1"/>
  <c r="AA1605" i="82"/>
  <c r="AG1605" i="82" s="1"/>
  <c r="AA1541" i="82"/>
  <c r="AG1541" i="82" s="1"/>
  <c r="AA1636" i="82"/>
  <c r="AG1636" i="82" s="1"/>
  <c r="AA1572" i="82"/>
  <c r="AG1572" i="82" s="1"/>
  <c r="AA1667" i="82"/>
  <c r="AG1667" i="82" s="1"/>
  <c r="AA1603" i="82"/>
  <c r="AG1603" i="82" s="1"/>
  <c r="AA1539" i="82"/>
  <c r="AG1539" i="82" s="1"/>
  <c r="AA1634" i="82"/>
  <c r="AG1634" i="82" s="1"/>
  <c r="AA1570" i="82"/>
  <c r="AG1570" i="82" s="1"/>
  <c r="AA1656" i="82"/>
  <c r="AG1656" i="82" s="1"/>
  <c r="AA1592" i="82"/>
  <c r="AG1592" i="82" s="1"/>
  <c r="AA1679" i="82"/>
  <c r="AG1679" i="82" s="1"/>
  <c r="AA1615" i="82"/>
  <c r="AG1615" i="82" s="1"/>
  <c r="AA1551" i="82"/>
  <c r="AG1551" i="82" s="1"/>
  <c r="AA1649" i="82"/>
  <c r="AG1649" i="82" s="1"/>
  <c r="AA1550" i="82"/>
  <c r="AG1550" i="82" s="1"/>
  <c r="AA1606" i="82"/>
  <c r="AG1606" i="82" s="1"/>
  <c r="AA1630" i="82"/>
  <c r="AG1630" i="82" s="1"/>
  <c r="AA912" i="83"/>
  <c r="AA885" i="83"/>
  <c r="AA791" i="83"/>
  <c r="AA929" i="83"/>
  <c r="AA1589" i="82"/>
  <c r="AG1589" i="82" s="1"/>
  <c r="AA1684" i="82"/>
  <c r="AG1684" i="82" s="1"/>
  <c r="AA1556" i="82"/>
  <c r="AG1556" i="82" s="1"/>
  <c r="AA1587" i="82"/>
  <c r="AG1587" i="82" s="1"/>
  <c r="AA1618" i="82"/>
  <c r="AG1618" i="82" s="1"/>
  <c r="AA1640" i="82"/>
  <c r="AG1640" i="82" s="1"/>
  <c r="AA1663" i="82"/>
  <c r="AG1663" i="82" s="1"/>
  <c r="AA1686" i="82"/>
  <c r="AG1686" i="82" s="1"/>
  <c r="AA1641" i="82"/>
  <c r="AG1641" i="82" s="1"/>
  <c r="AA1566" i="82"/>
  <c r="AG1566" i="82" s="1"/>
  <c r="AA928" i="83"/>
  <c r="AA800" i="83"/>
  <c r="AA901" i="83"/>
  <c r="AA935" i="83"/>
  <c r="AA807" i="83"/>
  <c r="AA841" i="83"/>
  <c r="AA817" i="83"/>
  <c r="AA1661" i="82"/>
  <c r="AG1661" i="82" s="1"/>
  <c r="AA1597" i="82"/>
  <c r="AG1597" i="82" s="1"/>
  <c r="AA1692" i="82"/>
  <c r="AG1692" i="82" s="1"/>
  <c r="AA1628" i="82"/>
  <c r="AG1628" i="82" s="1"/>
  <c r="AA1564" i="82"/>
  <c r="AG1564" i="82" s="1"/>
  <c r="AA1659" i="82"/>
  <c r="AG1659" i="82" s="1"/>
  <c r="AA1595" i="82"/>
  <c r="AG1595" i="82" s="1"/>
  <c r="AA1690" i="82"/>
  <c r="AG1690" i="82" s="1"/>
  <c r="AA1626" i="82"/>
  <c r="AG1626" i="82" s="1"/>
  <c r="AA1562" i="82"/>
  <c r="AG1562" i="82" s="1"/>
  <c r="AA1648" i="82"/>
  <c r="AG1648" i="82" s="1"/>
  <c r="AA1584" i="82"/>
  <c r="AG1584" i="82" s="1"/>
  <c r="AA1671" i="82"/>
  <c r="AG1671" i="82" s="1"/>
  <c r="AA1607" i="82"/>
  <c r="AG1607" i="82" s="1"/>
  <c r="AA1543" i="82"/>
  <c r="AG1543" i="82" s="1"/>
  <c r="AA1617" i="82"/>
  <c r="AG1617" i="82" s="1"/>
  <c r="AA1673" i="82"/>
  <c r="AG1673" i="82" s="1"/>
  <c r="AA1574" i="82"/>
  <c r="AG1574" i="82" s="1"/>
  <c r="AA1598" i="82"/>
  <c r="AG1598" i="82" s="1"/>
  <c r="AA923" i="83"/>
  <c r="AA919" i="83"/>
  <c r="AA825" i="83"/>
  <c r="AA1653" i="82"/>
  <c r="AG1653" i="82" s="1"/>
  <c r="AA1620" i="82"/>
  <c r="AG1620" i="82" s="1"/>
  <c r="AA1651" i="82"/>
  <c r="AG1651" i="82" s="1"/>
  <c r="AA1682" i="82"/>
  <c r="AG1682" i="82" s="1"/>
  <c r="AA1554" i="82"/>
  <c r="AG1554" i="82" s="1"/>
  <c r="AA1576" i="82"/>
  <c r="AG1576" i="82" s="1"/>
  <c r="AA1599" i="82"/>
  <c r="AG1599" i="82" s="1"/>
  <c r="AA1585" i="82"/>
  <c r="AG1585" i="82" s="1"/>
  <c r="AA1542" i="82"/>
  <c r="AG1542" i="82" s="1"/>
  <c r="L1037" i="86"/>
  <c r="O1037" i="86" s="1"/>
  <c r="L326" i="86"/>
  <c r="O326" i="86" s="1"/>
  <c r="L1290" i="86"/>
  <c r="O1290" i="86" s="1"/>
  <c r="L1138" i="86"/>
  <c r="O1138" i="86" s="1"/>
  <c r="AA222" i="82"/>
  <c r="AA236" i="82"/>
  <c r="AA228" i="82"/>
  <c r="AA224" i="82"/>
  <c r="AA226" i="82"/>
  <c r="AA234" i="82"/>
  <c r="AA220" i="82"/>
  <c r="AA230" i="82"/>
  <c r="AA216" i="82"/>
  <c r="AA218" i="82"/>
  <c r="AA1759" i="82"/>
  <c r="AA1756" i="82"/>
  <c r="AA1834" i="82"/>
  <c r="AA1830" i="82"/>
  <c r="AA1827" i="82"/>
  <c r="AA1744" i="82"/>
  <c r="AA1828" i="82"/>
  <c r="AA1745" i="82"/>
  <c r="AA1825" i="82"/>
  <c r="AA1790" i="82"/>
  <c r="AA1795" i="82"/>
  <c r="AA1826" i="82"/>
  <c r="AA1793" i="82"/>
  <c r="AA1758" i="82"/>
  <c r="AA1763" i="82"/>
  <c r="AA1762" i="82"/>
  <c r="AA1832" i="82"/>
  <c r="AA1789" i="82"/>
  <c r="AA1750" i="82"/>
  <c r="AA1743" i="82"/>
  <c r="AA1792" i="82"/>
  <c r="AA1757" i="82"/>
  <c r="AA1741" i="82"/>
  <c r="AA1754" i="82"/>
  <c r="AA1752" i="82"/>
  <c r="AA1747" i="82"/>
  <c r="AA1831" i="82"/>
  <c r="AA1788" i="82"/>
  <c r="AA1746" i="82"/>
  <c r="AA1742" i="82"/>
  <c r="AA1796" i="82"/>
  <c r="AA1824" i="82"/>
  <c r="AA1835" i="82"/>
  <c r="AA1749" i="82"/>
  <c r="AA1798" i="82"/>
  <c r="AA1797" i="82"/>
  <c r="AA1748" i="82"/>
  <c r="AA1760" i="82"/>
  <c r="AA1791" i="82"/>
  <c r="AA1829" i="82"/>
  <c r="AA1833" i="82"/>
  <c r="AA1753" i="82"/>
  <c r="AA1799" i="82"/>
  <c r="AA1761" i="82"/>
  <c r="AA1751" i="82"/>
  <c r="AA1794" i="82"/>
  <c r="AA1755" i="82"/>
  <c r="O1178" i="86"/>
  <c r="L339" i="86"/>
  <c r="O339" i="86" s="1"/>
  <c r="AG182" i="82"/>
  <c r="AA1253" i="82"/>
  <c r="AA1260" i="82"/>
  <c r="AA1251" i="82"/>
  <c r="AA1268" i="82"/>
  <c r="AA1270" i="82"/>
  <c r="AA1269" i="82"/>
  <c r="AA1262" i="82"/>
  <c r="AA1264" i="82"/>
  <c r="AA1272" i="82"/>
  <c r="AA1246" i="82"/>
  <c r="AA1248" i="82"/>
  <c r="AA1256" i="82"/>
  <c r="AA1263" i="82"/>
  <c r="AA1259" i="82"/>
  <c r="AA1247" i="82"/>
  <c r="AA1249" i="82"/>
  <c r="AA1250" i="82"/>
  <c r="AA1252" i="82"/>
  <c r="AA1273" i="82"/>
  <c r="AA1254" i="82"/>
  <c r="AA1266" i="82"/>
  <c r="AA1257" i="82"/>
  <c r="AA1258" i="82"/>
  <c r="AA1261" i="82"/>
  <c r="AA1255" i="82"/>
  <c r="AA1271" i="82"/>
  <c r="AA1265" i="82"/>
  <c r="AA1267" i="82"/>
  <c r="L1053" i="86"/>
  <c r="O1053" i="86" s="1"/>
  <c r="O551" i="86"/>
  <c r="AA706" i="83"/>
  <c r="AA690" i="83"/>
  <c r="AA674" i="83"/>
  <c r="AA695" i="83"/>
  <c r="AA679" i="83"/>
  <c r="AA1435" i="82"/>
  <c r="AG1435" i="82" s="1"/>
  <c r="AA1431" i="82"/>
  <c r="AG1431" i="82" s="1"/>
  <c r="AA1437" i="82"/>
  <c r="AG1437" i="82" s="1"/>
  <c r="AA1444" i="82"/>
  <c r="AG1444" i="82" s="1"/>
  <c r="AA704" i="83"/>
  <c r="AA688" i="83"/>
  <c r="AA709" i="83"/>
  <c r="AA693" i="83"/>
  <c r="AA677" i="83"/>
  <c r="AA1427" i="82"/>
  <c r="AG1427" i="82" s="1"/>
  <c r="AA1452" i="82"/>
  <c r="AG1452" i="82" s="1"/>
  <c r="AA1462" i="82"/>
  <c r="AG1462" i="82" s="1"/>
  <c r="AA1433" i="82"/>
  <c r="AG1433" i="82" s="1"/>
  <c r="AA702" i="83"/>
  <c r="AA686" i="83"/>
  <c r="AA707" i="83"/>
  <c r="AA691" i="83"/>
  <c r="AA675" i="83"/>
  <c r="AA1458" i="82"/>
  <c r="AG1458" i="82" s="1"/>
  <c r="AA1440" i="82"/>
  <c r="AG1440" i="82" s="1"/>
  <c r="AA1446" i="82"/>
  <c r="AG1446" i="82" s="1"/>
  <c r="AA1456" i="82"/>
  <c r="AG1456" i="82" s="1"/>
  <c r="AA700" i="83"/>
  <c r="AA684" i="83"/>
  <c r="AA705" i="83"/>
  <c r="AA689" i="83"/>
  <c r="AA1461" i="82"/>
  <c r="AG1461" i="82" s="1"/>
  <c r="AA1450" i="82"/>
  <c r="AG1450" i="82" s="1"/>
  <c r="AA1429" i="82"/>
  <c r="AG1429" i="82" s="1"/>
  <c r="AA1436" i="82"/>
  <c r="AG1436" i="82" s="1"/>
  <c r="AA1442" i="82"/>
  <c r="AG1442" i="82" s="1"/>
  <c r="AA698" i="83"/>
  <c r="AA682" i="83"/>
  <c r="AA703" i="83"/>
  <c r="AA687" i="83"/>
  <c r="AA1453" i="82"/>
  <c r="AG1453" i="82" s="1"/>
  <c r="AA1463" i="82"/>
  <c r="AG1463" i="82" s="1"/>
  <c r="AA1449" i="82"/>
  <c r="AG1449" i="82" s="1"/>
  <c r="AA1460" i="82"/>
  <c r="AG1460" i="82" s="1"/>
  <c r="AA1432" i="82"/>
  <c r="AG1432" i="82" s="1"/>
  <c r="AA696" i="83"/>
  <c r="AA680" i="83"/>
  <c r="AA701" i="83"/>
  <c r="AA685" i="83"/>
  <c r="AA1459" i="82"/>
  <c r="AG1459" i="82" s="1"/>
  <c r="AA1455" i="82"/>
  <c r="AG1455" i="82" s="1"/>
  <c r="AA1438" i="82"/>
  <c r="AG1438" i="82" s="1"/>
  <c r="AA1445" i="82"/>
  <c r="AG1445" i="82" s="1"/>
  <c r="AA1454" i="82"/>
  <c r="AG1454" i="82" s="1"/>
  <c r="AA710" i="83"/>
  <c r="AA694" i="83"/>
  <c r="AA678" i="83"/>
  <c r="AA699" i="83"/>
  <c r="AA683" i="83"/>
  <c r="AA1451" i="82"/>
  <c r="AG1451" i="82" s="1"/>
  <c r="AA1447" i="82"/>
  <c r="AG1447" i="82" s="1"/>
  <c r="AA1428" i="82"/>
  <c r="AG1428" i="82" s="1"/>
  <c r="AA1434" i="82"/>
  <c r="AG1434" i="82" s="1"/>
  <c r="AA1441" i="82"/>
  <c r="AG1441" i="82" s="1"/>
  <c r="AA708" i="83"/>
  <c r="AA1457" i="82"/>
  <c r="AG1457" i="82" s="1"/>
  <c r="AA692" i="83"/>
  <c r="AA1430" i="82"/>
  <c r="AG1430" i="82" s="1"/>
  <c r="AA676" i="83"/>
  <c r="AA681" i="83"/>
  <c r="AA697" i="83"/>
  <c r="AA1443" i="82"/>
  <c r="AG1443" i="82" s="1"/>
  <c r="AA1439" i="82"/>
  <c r="AG1439" i="82" s="1"/>
  <c r="AA1448" i="82"/>
  <c r="AG1448" i="82" s="1"/>
  <c r="AA1769" i="82"/>
  <c r="AA1774" i="82"/>
  <c r="AA1811" i="82"/>
  <c r="AA1802" i="82"/>
  <c r="AA1706" i="82"/>
  <c r="AA1695" i="82"/>
  <c r="AA1808" i="82"/>
  <c r="AA1766" i="82"/>
  <c r="AA1803" i="82"/>
  <c r="AA1716" i="82"/>
  <c r="AA1698" i="82"/>
  <c r="AA1713" i="82"/>
  <c r="AA1800" i="82"/>
  <c r="AA1805" i="82"/>
  <c r="AA1771" i="82"/>
  <c r="AA1708" i="82"/>
  <c r="AA1770" i="82"/>
  <c r="AA1710" i="82"/>
  <c r="AA1768" i="82"/>
  <c r="AA1773" i="82"/>
  <c r="AA1810" i="82"/>
  <c r="AA1700" i="82"/>
  <c r="AA1712" i="82"/>
  <c r="AA1705" i="82"/>
  <c r="AA1807" i="82"/>
  <c r="AA1765" i="82"/>
  <c r="AA1717" i="82"/>
  <c r="AA1715" i="82"/>
  <c r="AA1704" i="82"/>
  <c r="AA1702" i="82"/>
  <c r="AA1775" i="82"/>
  <c r="AA1804" i="82"/>
  <c r="AA1709" i="82"/>
  <c r="AA1707" i="82"/>
  <c r="AA1696" i="82"/>
  <c r="AA1697" i="82"/>
  <c r="AA1809" i="82"/>
  <c r="AA1767" i="82"/>
  <c r="AA1772" i="82"/>
  <c r="AA1701" i="82"/>
  <c r="AA1699" i="82"/>
  <c r="AA1711" i="82"/>
  <c r="AA1694" i="82"/>
  <c r="AA1693" i="82"/>
  <c r="AA1714" i="82"/>
  <c r="AA1703" i="82"/>
  <c r="AA1801" i="82"/>
  <c r="AA1806" i="82"/>
  <c r="AA1764" i="82"/>
  <c r="L878" i="86"/>
  <c r="O878" i="86" s="1"/>
  <c r="AA2015" i="82"/>
  <c r="AA2011" i="82"/>
  <c r="AA2022" i="82"/>
  <c r="AA2018" i="82"/>
  <c r="AA2014" i="82"/>
  <c r="AA2021" i="82"/>
  <c r="AA2013" i="82"/>
  <c r="AA2020" i="82"/>
  <c r="AA2017" i="82"/>
  <c r="AA2012" i="82"/>
  <c r="AA2016" i="82"/>
  <c r="AA2019" i="82"/>
  <c r="AA1307" i="82"/>
  <c r="AA1333" i="82"/>
  <c r="AA1330" i="82"/>
  <c r="AA1349" i="82"/>
  <c r="AA1316" i="82"/>
  <c r="AA1334" i="82"/>
  <c r="AA1343" i="82"/>
  <c r="AA1322" i="82"/>
  <c r="AA1320" i="82"/>
  <c r="AA1338" i="82"/>
  <c r="AA1305" i="82"/>
  <c r="AA1324" i="82"/>
  <c r="AA597" i="83"/>
  <c r="AA1335" i="82"/>
  <c r="AA1312" i="82"/>
  <c r="AA1309" i="82"/>
  <c r="AA1328" i="82"/>
  <c r="AA1346" i="82"/>
  <c r="AA1313" i="82"/>
  <c r="AA1347" i="82"/>
  <c r="AA1327" i="82"/>
  <c r="AA1342" i="82"/>
  <c r="AA1350" i="82"/>
  <c r="AA1317" i="82"/>
  <c r="AA1336" i="82"/>
  <c r="AA1339" i="82"/>
  <c r="AA1319" i="82"/>
  <c r="AA1332" i="82"/>
  <c r="AA1340" i="82"/>
  <c r="AA1306" i="82"/>
  <c r="AA1325" i="82"/>
  <c r="AA1331" i="82"/>
  <c r="AA1311" i="82"/>
  <c r="AA1321" i="82"/>
  <c r="AA1329" i="82"/>
  <c r="AA1348" i="82"/>
  <c r="AA1314" i="82"/>
  <c r="AA1323" i="82"/>
  <c r="AA1303" i="82"/>
  <c r="AA1310" i="82"/>
  <c r="AA1318" i="82"/>
  <c r="AA1337" i="82"/>
  <c r="AA1304" i="82"/>
  <c r="AA1326" i="82"/>
  <c r="AA1345" i="82"/>
  <c r="AA1315" i="82"/>
  <c r="AA1344" i="82"/>
  <c r="AA1341" i="82"/>
  <c r="AA1308" i="82"/>
  <c r="O1441" i="86"/>
  <c r="L351" i="86"/>
  <c r="O351" i="86" s="1"/>
  <c r="AA635" i="83"/>
  <c r="AA619" i="83"/>
  <c r="AA603" i="83"/>
  <c r="AA624" i="83"/>
  <c r="AA608" i="83"/>
  <c r="AA1371" i="82"/>
  <c r="AG1371" i="82" s="1"/>
  <c r="AA1386" i="82"/>
  <c r="AG1386" i="82" s="1"/>
  <c r="AA1384" i="82"/>
  <c r="AG1384" i="82" s="1"/>
  <c r="AA1370" i="82"/>
  <c r="AG1370" i="82" s="1"/>
  <c r="AA1377" i="82"/>
  <c r="AG1377" i="82" s="1"/>
  <c r="AA633" i="83"/>
  <c r="AA617" i="83"/>
  <c r="AA601" i="83"/>
  <c r="AA622" i="83"/>
  <c r="AA606" i="83"/>
  <c r="AA1363" i="82"/>
  <c r="AG1363" i="82" s="1"/>
  <c r="AA1376" i="82"/>
  <c r="AG1376" i="82" s="1"/>
  <c r="AA1373" i="82"/>
  <c r="AG1373" i="82" s="1"/>
  <c r="AA1360" i="82"/>
  <c r="AG1360" i="82" s="1"/>
  <c r="AA1366" i="82"/>
  <c r="AG1366" i="82" s="1"/>
  <c r="AA631" i="83"/>
  <c r="AA615" i="83"/>
  <c r="AA599" i="83"/>
  <c r="AA620" i="83"/>
  <c r="AA604" i="83"/>
  <c r="AA1355" i="82"/>
  <c r="AG1355" i="82" s="1"/>
  <c r="AA1365" i="82"/>
  <c r="AG1365" i="82" s="1"/>
  <c r="AA1362" i="82"/>
  <c r="AG1362" i="82" s="1"/>
  <c r="AA1380" i="82"/>
  <c r="AG1380" i="82" s="1"/>
  <c r="AA1356" i="82"/>
  <c r="AG1356" i="82" s="1"/>
  <c r="AA629" i="83"/>
  <c r="AA613" i="83"/>
  <c r="AA634" i="83"/>
  <c r="AA618" i="83"/>
  <c r="AA602" i="83"/>
  <c r="AA1383" i="82"/>
  <c r="AG1383" i="82" s="1"/>
  <c r="AA1354" i="82"/>
  <c r="AG1354" i="82" s="1"/>
  <c r="AA1352" i="82"/>
  <c r="AG1352" i="82" s="1"/>
  <c r="AA1369" i="82"/>
  <c r="AG1369" i="82" s="1"/>
  <c r="AA1388" i="82"/>
  <c r="AG1388" i="82" s="1"/>
  <c r="AA627" i="83"/>
  <c r="AA611" i="83"/>
  <c r="AA632" i="83"/>
  <c r="AA616" i="83"/>
  <c r="AA600" i="83"/>
  <c r="AA1375" i="82"/>
  <c r="AG1375" i="82" s="1"/>
  <c r="AA1385" i="82"/>
  <c r="AG1385" i="82" s="1"/>
  <c r="AA1382" i="82"/>
  <c r="AG1382" i="82" s="1"/>
  <c r="AA1358" i="82"/>
  <c r="AG1358" i="82" s="1"/>
  <c r="AA625" i="83"/>
  <c r="AA609" i="83"/>
  <c r="AA630" i="83"/>
  <c r="AA614" i="83"/>
  <c r="AA598" i="83"/>
  <c r="AA1367" i="82"/>
  <c r="AG1367" i="82" s="1"/>
  <c r="AA1374" i="82"/>
  <c r="AG1374" i="82" s="1"/>
  <c r="AA1372" i="82"/>
  <c r="AG1372" i="82" s="1"/>
  <c r="AA1378" i="82"/>
  <c r="AG1378" i="82" s="1"/>
  <c r="AA623" i="83"/>
  <c r="AA607" i="83"/>
  <c r="AA628" i="83"/>
  <c r="AA612" i="83"/>
  <c r="AA1387" i="82"/>
  <c r="AG1387" i="82" s="1"/>
  <c r="AA1359" i="82"/>
  <c r="AG1359" i="82" s="1"/>
  <c r="AA1364" i="82"/>
  <c r="AG1364" i="82" s="1"/>
  <c r="AA1361" i="82"/>
  <c r="AG1361" i="82" s="1"/>
  <c r="AA1368" i="82"/>
  <c r="AG1368" i="82" s="1"/>
  <c r="AA1353" i="82"/>
  <c r="AG1353" i="82" s="1"/>
  <c r="AA1381" i="82"/>
  <c r="AG1381" i="82" s="1"/>
  <c r="AA621" i="83"/>
  <c r="AA1357" i="82"/>
  <c r="AG1357" i="82" s="1"/>
  <c r="AA626" i="83"/>
  <c r="AA605" i="83"/>
  <c r="AA610" i="83"/>
  <c r="AA1351" i="82"/>
  <c r="AG1351" i="82" s="1"/>
  <c r="AA1379" i="82"/>
  <c r="AG1379" i="82" s="1"/>
  <c r="O1380" i="86"/>
  <c r="O1461" i="86"/>
  <c r="O1463" i="86"/>
  <c r="O1437" i="86"/>
  <c r="O1175" i="86"/>
  <c r="O1212" i="86"/>
  <c r="L1045" i="86"/>
  <c r="O1045" i="86" s="1"/>
  <c r="L442" i="86"/>
  <c r="O442" i="86" s="1"/>
  <c r="L1049" i="86"/>
  <c r="O1049" i="86" s="1"/>
  <c r="L1288" i="86"/>
  <c r="O1288" i="86" s="1"/>
  <c r="L1117" i="86"/>
  <c r="O1117" i="86" s="1"/>
  <c r="L1528" i="86"/>
  <c r="O1528" i="86" s="1"/>
  <c r="L1291" i="86"/>
  <c r="O1291" i="86" s="1"/>
  <c r="L889" i="86"/>
  <c r="O889" i="86" s="1"/>
  <c r="AG1054" i="82"/>
  <c r="L1283" i="86"/>
  <c r="O1283" i="86" s="1"/>
  <c r="L1059" i="86"/>
  <c r="O1059" i="86" s="1"/>
  <c r="L1534" i="86"/>
  <c r="O1534" i="86" s="1"/>
  <c r="L936" i="86"/>
  <c r="O936" i="86" s="1"/>
  <c r="L1280" i="86"/>
  <c r="O1280" i="86" s="1"/>
  <c r="L481" i="86"/>
  <c r="O481" i="86" s="1"/>
  <c r="L333" i="86"/>
  <c r="O333" i="86" s="1"/>
  <c r="L1281" i="86"/>
  <c r="O1281" i="86" s="1"/>
  <c r="O555" i="86"/>
  <c r="AP4" i="82"/>
  <c r="AQ4" i="82" s="1"/>
  <c r="O298" i="86"/>
  <c r="AC7" i="86"/>
  <c r="O182" i="86"/>
  <c r="Y47" i="73"/>
  <c r="AB5" i="73"/>
  <c r="AB47" i="73" s="1"/>
  <c r="O1443" i="86" l="1"/>
  <c r="K7" i="91"/>
  <c r="M7" i="91" s="1"/>
  <c r="M13" i="91" s="1"/>
  <c r="O1363" i="86"/>
  <c r="O1428" i="86"/>
  <c r="O1457" i="86"/>
  <c r="O1429" i="86"/>
  <c r="O1431" i="86"/>
  <c r="U66" i="88"/>
  <c r="U141" i="88" s="1"/>
  <c r="AB66" i="69"/>
  <c r="U61" i="88"/>
  <c r="U136" i="88" s="1"/>
  <c r="AB61" i="69"/>
  <c r="U23" i="88"/>
  <c r="U98" i="88" s="1"/>
  <c r="AB23" i="69"/>
  <c r="L1519" i="86"/>
  <c r="O1519" i="86" s="1"/>
  <c r="AG1519" i="82"/>
  <c r="U47" i="88"/>
  <c r="U122" i="88" s="1"/>
  <c r="AB47" i="69"/>
  <c r="U13" i="88"/>
  <c r="U88" i="88" s="1"/>
  <c r="AB13" i="69"/>
  <c r="U18" i="88"/>
  <c r="U93" i="88" s="1"/>
  <c r="AB18" i="69"/>
  <c r="L1999" i="86"/>
  <c r="O1999" i="86" s="1"/>
  <c r="AG1999" i="82"/>
  <c r="AG2005" i="82"/>
  <c r="L2005" i="86"/>
  <c r="O2005" i="86" s="1"/>
  <c r="O1450" i="86"/>
  <c r="O1453" i="86"/>
  <c r="U45" i="88"/>
  <c r="U120" i="88" s="1"/>
  <c r="AB45" i="69"/>
  <c r="U44" i="88"/>
  <c r="U119" i="88" s="1"/>
  <c r="AB44" i="69"/>
  <c r="B15" i="90"/>
  <c r="B14" i="90"/>
  <c r="U54" i="88"/>
  <c r="U129" i="88" s="1"/>
  <c r="AB54" i="69"/>
  <c r="U51" i="88"/>
  <c r="U126" i="88" s="1"/>
  <c r="AB51" i="69"/>
  <c r="U7" i="88"/>
  <c r="U82" i="88" s="1"/>
  <c r="AB7" i="69"/>
  <c r="U16" i="88"/>
  <c r="U91" i="88" s="1"/>
  <c r="AB16" i="69"/>
  <c r="U56" i="88"/>
  <c r="U131" i="88" s="1"/>
  <c r="AB56" i="69"/>
  <c r="H11" i="90"/>
  <c r="H7" i="90"/>
  <c r="H13" i="90" s="1"/>
  <c r="H9" i="90"/>
  <c r="L1996" i="86"/>
  <c r="O1996" i="86" s="1"/>
  <c r="AG1996" i="82"/>
  <c r="AG2007" i="82"/>
  <c r="L2007" i="86"/>
  <c r="O2007" i="86" s="1"/>
  <c r="U26" i="88"/>
  <c r="U101" i="88" s="1"/>
  <c r="AB26" i="69"/>
  <c r="U53" i="88"/>
  <c r="U128" i="88" s="1"/>
  <c r="AB53" i="69"/>
  <c r="AG1514" i="82"/>
  <c r="L1514" i="86"/>
  <c r="O1514" i="86" s="1"/>
  <c r="U73" i="88"/>
  <c r="U148" i="88" s="1"/>
  <c r="AB73" i="69"/>
  <c r="U8" i="88"/>
  <c r="U83" i="88" s="1"/>
  <c r="AB8" i="69"/>
  <c r="U20" i="88"/>
  <c r="U95" i="88" s="1"/>
  <c r="AB20" i="69"/>
  <c r="U12" i="88"/>
  <c r="U87" i="88" s="1"/>
  <c r="AB12" i="69"/>
  <c r="U9" i="88"/>
  <c r="U84" i="88" s="1"/>
  <c r="AB9" i="69"/>
  <c r="U25" i="88"/>
  <c r="U100" i="88" s="1"/>
  <c r="AB25" i="69"/>
  <c r="U74" i="88"/>
  <c r="U149" i="88" s="1"/>
  <c r="AB74" i="69"/>
  <c r="AA748" i="83"/>
  <c r="AA1501" i="82"/>
  <c r="AA1508" i="82"/>
  <c r="AA1509" i="82"/>
  <c r="AA1507" i="82"/>
  <c r="AA751" i="83"/>
  <c r="AA750" i="83"/>
  <c r="AA1503" i="82"/>
  <c r="AA752" i="83"/>
  <c r="AA756" i="83"/>
  <c r="AA1506" i="82"/>
  <c r="AA753" i="83"/>
  <c r="AA757" i="83"/>
  <c r="AA749" i="83"/>
  <c r="AA1502" i="82"/>
  <c r="AA1504" i="82"/>
  <c r="AA1505" i="82"/>
  <c r="AA1512" i="82"/>
  <c r="AA1513" i="82"/>
  <c r="AA1511" i="82"/>
  <c r="AA760" i="83"/>
  <c r="AA759" i="83"/>
  <c r="AA1510" i="82"/>
  <c r="AA754" i="83"/>
  <c r="AA758" i="83"/>
  <c r="AA755" i="83"/>
  <c r="U72" i="88"/>
  <c r="U147" i="88" s="1"/>
  <c r="AB72" i="69"/>
  <c r="U17" i="88"/>
  <c r="U92" i="88" s="1"/>
  <c r="AB17" i="69"/>
  <c r="U59" i="88"/>
  <c r="U134" i="88" s="1"/>
  <c r="AB59" i="69"/>
  <c r="AG2000" i="82"/>
  <c r="L2000" i="86"/>
  <c r="O2000" i="86" s="1"/>
  <c r="AG2010" i="82"/>
  <c r="L2010" i="86"/>
  <c r="O2010" i="86" s="1"/>
  <c r="U30" i="88"/>
  <c r="U105" i="88" s="1"/>
  <c r="AB30" i="69"/>
  <c r="S9" i="70"/>
  <c r="S43" i="70"/>
  <c r="S43" i="88" s="1"/>
  <c r="S118" i="88" s="1"/>
  <c r="S51" i="70"/>
  <c r="S51" i="88" s="1"/>
  <c r="S126" i="88" s="1"/>
  <c r="S39" i="70"/>
  <c r="S39" i="88" s="1"/>
  <c r="S114" i="88" s="1"/>
  <c r="S74" i="70"/>
  <c r="S74" i="88" s="1"/>
  <c r="S149" i="88" s="1"/>
  <c r="S54" i="70"/>
  <c r="S54" i="88" s="1"/>
  <c r="S129" i="88" s="1"/>
  <c r="S42" i="70"/>
  <c r="S42" i="88" s="1"/>
  <c r="S117" i="88" s="1"/>
  <c r="S68" i="70"/>
  <c r="S68" i="88" s="1"/>
  <c r="S143" i="88" s="1"/>
  <c r="S14" i="70"/>
  <c r="S26" i="70"/>
  <c r="S26" i="88" s="1"/>
  <c r="S101" i="88" s="1"/>
  <c r="S72" i="70"/>
  <c r="S72" i="88" s="1"/>
  <c r="S147" i="88" s="1"/>
  <c r="S21" i="70"/>
  <c r="S21" i="88" s="1"/>
  <c r="S96" i="88" s="1"/>
  <c r="S24" i="70"/>
  <c r="S18" i="70"/>
  <c r="S55" i="70"/>
  <c r="S55" i="88" s="1"/>
  <c r="S130" i="88" s="1"/>
  <c r="S29" i="70"/>
  <c r="S29" i="88" s="1"/>
  <c r="S104" i="88" s="1"/>
  <c r="S25" i="70"/>
  <c r="S25" i="88" s="1"/>
  <c r="S100" i="88" s="1"/>
  <c r="S69" i="70"/>
  <c r="S69" i="88" s="1"/>
  <c r="S144" i="88" s="1"/>
  <c r="S50" i="70"/>
  <c r="S50" i="88" s="1"/>
  <c r="S125" i="88" s="1"/>
  <c r="S65" i="70"/>
  <c r="S65" i="88" s="1"/>
  <c r="S140" i="88" s="1"/>
  <c r="S48" i="70"/>
  <c r="S48" i="88" s="1"/>
  <c r="S123" i="88" s="1"/>
  <c r="S22" i="70"/>
  <c r="S22" i="88" s="1"/>
  <c r="S97" i="88" s="1"/>
  <c r="S64" i="70"/>
  <c r="S64" i="88" s="1"/>
  <c r="S139" i="88" s="1"/>
  <c r="S44" i="70"/>
  <c r="S44" i="88" s="1"/>
  <c r="S119" i="88" s="1"/>
  <c r="S67" i="70"/>
  <c r="S67" i="88" s="1"/>
  <c r="S142" i="88" s="1"/>
  <c r="S45" i="70"/>
  <c r="S45" i="88" s="1"/>
  <c r="S120" i="88" s="1"/>
  <c r="S34" i="70"/>
  <c r="S34" i="88" s="1"/>
  <c r="S109" i="88" s="1"/>
  <c r="S33" i="70"/>
  <c r="S33" i="88" s="1"/>
  <c r="S108" i="88" s="1"/>
  <c r="S31" i="70"/>
  <c r="S31" i="88" s="1"/>
  <c r="S106" i="88" s="1"/>
  <c r="S10" i="70"/>
  <c r="S52" i="70"/>
  <c r="S52" i="88" s="1"/>
  <c r="S127" i="88" s="1"/>
  <c r="S58" i="70"/>
  <c r="S58" i="88" s="1"/>
  <c r="S133" i="88" s="1"/>
  <c r="S35" i="70"/>
  <c r="S35" i="88" s="1"/>
  <c r="S110" i="88" s="1"/>
  <c r="S62" i="70"/>
  <c r="S62" i="88" s="1"/>
  <c r="S137" i="88" s="1"/>
  <c r="S32" i="70"/>
  <c r="S32" i="88" s="1"/>
  <c r="S107" i="88" s="1"/>
  <c r="S53" i="70"/>
  <c r="S53" i="88" s="1"/>
  <c r="S128" i="88" s="1"/>
  <c r="S6" i="70"/>
  <c r="S6" i="88" s="1"/>
  <c r="S81" i="88" s="1"/>
  <c r="S73" i="70"/>
  <c r="S73" i="88" s="1"/>
  <c r="S148" i="88" s="1"/>
  <c r="S13" i="70"/>
  <c r="S11" i="70"/>
  <c r="S20" i="70"/>
  <c r="S20" i="88" s="1"/>
  <c r="S95" i="88" s="1"/>
  <c r="S47" i="70"/>
  <c r="S47" i="88" s="1"/>
  <c r="S122" i="88" s="1"/>
  <c r="S66" i="70"/>
  <c r="S66" i="88" s="1"/>
  <c r="S141" i="88" s="1"/>
  <c r="S7" i="70"/>
  <c r="S7" i="88" s="1"/>
  <c r="S82" i="88" s="1"/>
  <c r="S61" i="70"/>
  <c r="S61" i="88" s="1"/>
  <c r="S136" i="88" s="1"/>
  <c r="S57" i="70"/>
  <c r="S57" i="88" s="1"/>
  <c r="S132" i="88" s="1"/>
  <c r="S71" i="70"/>
  <c r="S71" i="88" s="1"/>
  <c r="S146" i="88" s="1"/>
  <c r="S70" i="70"/>
  <c r="S70" i="88" s="1"/>
  <c r="S145" i="88" s="1"/>
  <c r="S15" i="70"/>
  <c r="S27" i="70"/>
  <c r="S27" i="88" s="1"/>
  <c r="S102" i="88" s="1"/>
  <c r="S30" i="70"/>
  <c r="S30" i="88" s="1"/>
  <c r="S105" i="88" s="1"/>
  <c r="S40" i="70"/>
  <c r="S40" i="88" s="1"/>
  <c r="S115" i="88" s="1"/>
  <c r="S49" i="70"/>
  <c r="S49" i="88" s="1"/>
  <c r="S124" i="88" s="1"/>
  <c r="S59" i="70"/>
  <c r="S59" i="88" s="1"/>
  <c r="S134" i="88" s="1"/>
  <c r="S63" i="70"/>
  <c r="S63" i="88" s="1"/>
  <c r="S138" i="88" s="1"/>
  <c r="S36" i="70"/>
  <c r="S36" i="88" s="1"/>
  <c r="S111" i="88" s="1"/>
  <c r="S19" i="70"/>
  <c r="S5" i="70"/>
  <c r="S23" i="70"/>
  <c r="S23" i="88" s="1"/>
  <c r="S98" i="88" s="1"/>
  <c r="S41" i="70"/>
  <c r="S41" i="88" s="1"/>
  <c r="S116" i="88" s="1"/>
  <c r="S46" i="70"/>
  <c r="S46" i="88" s="1"/>
  <c r="S121" i="88" s="1"/>
  <c r="S8" i="70"/>
  <c r="S8" i="88" s="1"/>
  <c r="S83" i="88" s="1"/>
  <c r="S56" i="70"/>
  <c r="S56" i="88" s="1"/>
  <c r="S131" i="88" s="1"/>
  <c r="S12" i="70"/>
  <c r="S16" i="70"/>
  <c r="S60" i="70"/>
  <c r="S60" i="88" s="1"/>
  <c r="S135" i="88" s="1"/>
  <c r="S28" i="70"/>
  <c r="S28" i="88" s="1"/>
  <c r="S103" i="88" s="1"/>
  <c r="S37" i="70"/>
  <c r="S37" i="88" s="1"/>
  <c r="S112" i="88" s="1"/>
  <c r="S17" i="70"/>
  <c r="S38" i="70"/>
  <c r="S38" i="88" s="1"/>
  <c r="S113" i="88" s="1"/>
  <c r="AG2003" i="82"/>
  <c r="L2003" i="86"/>
  <c r="O2003" i="86" s="1"/>
  <c r="AG2009" i="82"/>
  <c r="L2009" i="86"/>
  <c r="O2009" i="86" s="1"/>
  <c r="U37" i="88"/>
  <c r="U112" i="88" s="1"/>
  <c r="AB37" i="69"/>
  <c r="O1462" i="86"/>
  <c r="U35" i="88"/>
  <c r="U110" i="88" s="1"/>
  <c r="AB35" i="69"/>
  <c r="U27" i="88"/>
  <c r="U102" i="88" s="1"/>
  <c r="AB27" i="69"/>
  <c r="U36" i="88"/>
  <c r="U111" i="88" s="1"/>
  <c r="AB36" i="69"/>
  <c r="U71" i="88"/>
  <c r="U146" i="88" s="1"/>
  <c r="AB71" i="69"/>
  <c r="AB6" i="69"/>
  <c r="AB76" i="69" s="1"/>
  <c r="U6" i="88"/>
  <c r="U81" i="88" s="1"/>
  <c r="U19" i="88"/>
  <c r="U94" i="88" s="1"/>
  <c r="AB19" i="69"/>
  <c r="U32" i="88"/>
  <c r="U107" i="88" s="1"/>
  <c r="AB32" i="69"/>
  <c r="AG2004" i="82"/>
  <c r="L2004" i="86"/>
  <c r="O2004" i="86" s="1"/>
  <c r="AG1998" i="82"/>
  <c r="L1998" i="86"/>
  <c r="O1998" i="86" s="1"/>
  <c r="U42" i="88"/>
  <c r="U117" i="88" s="1"/>
  <c r="AB42" i="69"/>
  <c r="E14" i="90"/>
  <c r="E15" i="90"/>
  <c r="J15" i="90"/>
  <c r="J14" i="90"/>
  <c r="U15" i="90"/>
  <c r="U14" i="90"/>
  <c r="U41" i="88"/>
  <c r="U116" i="88" s="1"/>
  <c r="AB41" i="69"/>
  <c r="U10" i="88"/>
  <c r="U85" i="88" s="1"/>
  <c r="AB10" i="69"/>
  <c r="U29" i="88"/>
  <c r="U104" i="88" s="1"/>
  <c r="AB29" i="69"/>
  <c r="AG2008" i="82"/>
  <c r="L2008" i="86"/>
  <c r="O2008" i="86" s="1"/>
  <c r="L2002" i="86"/>
  <c r="O2002" i="86" s="1"/>
  <c r="AG2002" i="82"/>
  <c r="Q14" i="90"/>
  <c r="Q15" i="90"/>
  <c r="AB60" i="69"/>
  <c r="U60" i="88"/>
  <c r="U135" i="88" s="1"/>
  <c r="U48" i="88"/>
  <c r="U123" i="88" s="1"/>
  <c r="AB48" i="69"/>
  <c r="AG1532" i="82"/>
  <c r="L1532" i="86"/>
  <c r="O1532" i="86" s="1"/>
  <c r="G15" i="90"/>
  <c r="G14" i="90"/>
  <c r="U24" i="88"/>
  <c r="U99" i="88" s="1"/>
  <c r="AB24" i="69"/>
  <c r="U15" i="88"/>
  <c r="U90" i="88" s="1"/>
  <c r="AB15" i="69"/>
  <c r="U31" i="88"/>
  <c r="U106" i="88" s="1"/>
  <c r="AB31" i="69"/>
  <c r="AG1997" i="82"/>
  <c r="L1997" i="86"/>
  <c r="O1997" i="86" s="1"/>
  <c r="AG2006" i="82"/>
  <c r="L2006" i="86"/>
  <c r="O2006" i="86" s="1"/>
  <c r="O1440" i="86"/>
  <c r="U39" i="88"/>
  <c r="U114" i="88" s="1"/>
  <c r="AB39" i="69"/>
  <c r="U69" i="88"/>
  <c r="U144" i="88" s="1"/>
  <c r="AB69" i="69"/>
  <c r="C11" i="90"/>
  <c r="C9" i="90"/>
  <c r="C7" i="90"/>
  <c r="C13" i="90" s="1"/>
  <c r="AA658" i="83"/>
  <c r="AA642" i="83"/>
  <c r="AA663" i="83"/>
  <c r="AA647" i="83"/>
  <c r="AA1411" i="82"/>
  <c r="AA1418" i="82"/>
  <c r="AA1405" i="82"/>
  <c r="AA1402" i="82"/>
  <c r="AA1400" i="82"/>
  <c r="AA672" i="83"/>
  <c r="AA656" i="83"/>
  <c r="AA640" i="83"/>
  <c r="AA661" i="83"/>
  <c r="AA645" i="83"/>
  <c r="AA1403" i="82"/>
  <c r="AA1408" i="82"/>
  <c r="AA1394" i="82"/>
  <c r="AA1392" i="82"/>
  <c r="AA1389" i="82"/>
  <c r="AA654" i="83"/>
  <c r="AA1420" i="82"/>
  <c r="AA646" i="83"/>
  <c r="AA670" i="83"/>
  <c r="AA659" i="83"/>
  <c r="AA643" i="83"/>
  <c r="AA1395" i="82"/>
  <c r="AA1397" i="82"/>
  <c r="AA1425" i="82"/>
  <c r="AA1422" i="82"/>
  <c r="AA662" i="83"/>
  <c r="AA651" i="83"/>
  <c r="AA1399" i="82"/>
  <c r="AA1424" i="82"/>
  <c r="AA668" i="83"/>
  <c r="AA652" i="83"/>
  <c r="AA673" i="83"/>
  <c r="AA657" i="83"/>
  <c r="AA641" i="83"/>
  <c r="AA1423" i="82"/>
  <c r="AA1417" i="82"/>
  <c r="AA1414" i="82"/>
  <c r="AA1412" i="82"/>
  <c r="AA1409" i="82"/>
  <c r="AA667" i="83"/>
  <c r="AA666" i="83"/>
  <c r="AA650" i="83"/>
  <c r="AA671" i="83"/>
  <c r="AA655" i="83"/>
  <c r="AA639" i="83"/>
  <c r="AA1415" i="82"/>
  <c r="AA1406" i="82"/>
  <c r="AA1404" i="82"/>
  <c r="AA1401" i="82"/>
  <c r="AA1398" i="82"/>
  <c r="AA664" i="83"/>
  <c r="AA648" i="83"/>
  <c r="AA669" i="83"/>
  <c r="AA653" i="83"/>
  <c r="AA637" i="83"/>
  <c r="AA1407" i="82"/>
  <c r="AA1396" i="82"/>
  <c r="AA1393" i="82"/>
  <c r="AA1390" i="82"/>
  <c r="AA636" i="83"/>
  <c r="AA1426" i="82"/>
  <c r="AA1421" i="82"/>
  <c r="AA660" i="83"/>
  <c r="AA644" i="83"/>
  <c r="AA665" i="83"/>
  <c r="AA649" i="83"/>
  <c r="AA1419" i="82"/>
  <c r="AA1391" i="82"/>
  <c r="AA1416" i="82"/>
  <c r="AA1413" i="82"/>
  <c r="AA1410" i="82"/>
  <c r="AA638" i="83"/>
  <c r="U14" i="88"/>
  <c r="U89" i="88" s="1"/>
  <c r="AB14" i="69"/>
  <c r="U11" i="88"/>
  <c r="U86" i="88" s="1"/>
  <c r="K11" i="90" s="1"/>
  <c r="AB11" i="69"/>
  <c r="AG1995" i="82"/>
  <c r="L1995" i="86"/>
  <c r="O1995" i="86" s="1"/>
  <c r="AG2001" i="82"/>
  <c r="L2001" i="86"/>
  <c r="O2001" i="86" s="1"/>
  <c r="Y47" i="74"/>
  <c r="AB5" i="74"/>
  <c r="N15" i="90"/>
  <c r="N14" i="90"/>
  <c r="K13" i="91"/>
  <c r="O1456" i="86"/>
  <c r="O1449" i="86"/>
  <c r="O1427" i="86"/>
  <c r="O1452" i="86"/>
  <c r="O1447" i="86"/>
  <c r="O1370" i="86"/>
  <c r="O1432" i="86"/>
  <c r="O1373" i="86"/>
  <c r="O1445" i="86"/>
  <c r="O1439" i="86"/>
  <c r="O1433" i="86"/>
  <c r="O1354" i="86"/>
  <c r="AG1344" i="82"/>
  <c r="L1344" i="86"/>
  <c r="O1344" i="86" s="1"/>
  <c r="AG1310" i="82"/>
  <c r="L1310" i="86"/>
  <c r="O1310" i="86" s="1"/>
  <c r="AG1331" i="82"/>
  <c r="L1331" i="86"/>
  <c r="O1331" i="86" s="1"/>
  <c r="L1317" i="86"/>
  <c r="O1317" i="86" s="1"/>
  <c r="AG1317" i="82"/>
  <c r="AG1309" i="82"/>
  <c r="L1309" i="86"/>
  <c r="O1309" i="86" s="1"/>
  <c r="AG1322" i="82"/>
  <c r="L1322" i="86"/>
  <c r="O1322" i="86" s="1"/>
  <c r="AG2019" i="82"/>
  <c r="L2019" i="86"/>
  <c r="O2019" i="86" s="1"/>
  <c r="O1361" i="86"/>
  <c r="L1711" i="86"/>
  <c r="O1711" i="86" s="1"/>
  <c r="AG1711" i="82"/>
  <c r="AG1707" i="82"/>
  <c r="L1707" i="86"/>
  <c r="O1707" i="86" s="1"/>
  <c r="AG1765" i="82"/>
  <c r="L1765" i="86"/>
  <c r="O1765" i="86" s="1"/>
  <c r="AG1698" i="82"/>
  <c r="L1698" i="86"/>
  <c r="O1698" i="86" s="1"/>
  <c r="AG1811" i="82"/>
  <c r="L1811" i="86"/>
  <c r="O1811" i="86" s="1"/>
  <c r="O1377" i="86"/>
  <c r="AG1267" i="82"/>
  <c r="L1267" i="86"/>
  <c r="O1267" i="86" s="1"/>
  <c r="AG1266" i="82"/>
  <c r="L1266" i="86"/>
  <c r="O1266" i="86" s="1"/>
  <c r="AG1263" i="82"/>
  <c r="L1263" i="86"/>
  <c r="O1263" i="86" s="1"/>
  <c r="AG1270" i="82"/>
  <c r="L1270" i="86"/>
  <c r="O1270" i="86" s="1"/>
  <c r="O1442" i="86"/>
  <c r="O1446" i="86"/>
  <c r="AG1753" i="82"/>
  <c r="L1753" i="86"/>
  <c r="O1753" i="86" s="1"/>
  <c r="AG1749" i="82"/>
  <c r="L1749" i="86"/>
  <c r="O1749" i="86" s="1"/>
  <c r="AG1747" i="82"/>
  <c r="L1747" i="86"/>
  <c r="O1747" i="86" s="1"/>
  <c r="AG1789" i="82"/>
  <c r="L1789" i="86"/>
  <c r="O1789" i="86" s="1"/>
  <c r="AG1790" i="82"/>
  <c r="L1790" i="86"/>
  <c r="O1790" i="86" s="1"/>
  <c r="AG1756" i="82"/>
  <c r="L1756" i="86"/>
  <c r="O1756" i="86" s="1"/>
  <c r="AG224" i="82"/>
  <c r="L224" i="86"/>
  <c r="O224" i="86" s="1"/>
  <c r="O1366" i="86"/>
  <c r="O1365" i="86"/>
  <c r="AG1225" i="82"/>
  <c r="L1225" i="86"/>
  <c r="O1225" i="86" s="1"/>
  <c r="AG1224" i="82"/>
  <c r="L1224" i="86"/>
  <c r="O1224" i="86" s="1"/>
  <c r="L1232" i="86"/>
  <c r="O1232" i="86" s="1"/>
  <c r="AG1232" i="82"/>
  <c r="O1371" i="86"/>
  <c r="L1323" i="86"/>
  <c r="O1323" i="86" s="1"/>
  <c r="AG1323" i="82"/>
  <c r="AG1306" i="82"/>
  <c r="L1306" i="86"/>
  <c r="O1306" i="86" s="1"/>
  <c r="AG1342" i="82"/>
  <c r="L1342" i="86"/>
  <c r="O1342" i="86" s="1"/>
  <c r="AG1335" i="82"/>
  <c r="L1335" i="86"/>
  <c r="O1335" i="86" s="1"/>
  <c r="AG1334" i="82"/>
  <c r="L1334" i="86"/>
  <c r="O1334" i="86" s="1"/>
  <c r="AG2012" i="82"/>
  <c r="L2012" i="86"/>
  <c r="O2012" i="86" s="1"/>
  <c r="L2022" i="86"/>
  <c r="O2022" i="86" s="1"/>
  <c r="AG2022" i="82"/>
  <c r="O1383" i="86"/>
  <c r="AG1806" i="82"/>
  <c r="L1806" i="86"/>
  <c r="O1806" i="86" s="1"/>
  <c r="AG1701" i="82"/>
  <c r="L1701" i="86"/>
  <c r="O1701" i="86" s="1"/>
  <c r="AG1804" i="82"/>
  <c r="L1804" i="86"/>
  <c r="O1804" i="86" s="1"/>
  <c r="AG1705" i="82"/>
  <c r="L1705" i="86"/>
  <c r="O1705" i="86" s="1"/>
  <c r="AG1770" i="82"/>
  <c r="L1770" i="86"/>
  <c r="O1770" i="86" s="1"/>
  <c r="AG1803" i="82"/>
  <c r="L1803" i="86"/>
  <c r="O1803" i="86" s="1"/>
  <c r="AG1769" i="82"/>
  <c r="L1769" i="86"/>
  <c r="O1769" i="86" s="1"/>
  <c r="O1374" i="86"/>
  <c r="O1356" i="86"/>
  <c r="AG1271" i="82"/>
  <c r="L1271" i="86"/>
  <c r="O1271" i="86" s="1"/>
  <c r="AG1273" i="82"/>
  <c r="L1273" i="86"/>
  <c r="O1273" i="86" s="1"/>
  <c r="AG1248" i="82"/>
  <c r="L1248" i="86"/>
  <c r="O1248" i="86" s="1"/>
  <c r="AG1251" i="82"/>
  <c r="L1251" i="86"/>
  <c r="O1251" i="86" s="1"/>
  <c r="O1388" i="86"/>
  <c r="L1755" i="86"/>
  <c r="O1755" i="86" s="1"/>
  <c r="AG1755" i="82"/>
  <c r="AG1829" i="82"/>
  <c r="L1829" i="86"/>
  <c r="O1829" i="86" s="1"/>
  <c r="AG1824" i="82"/>
  <c r="L1824" i="86"/>
  <c r="O1824" i="86" s="1"/>
  <c r="AG1754" i="82"/>
  <c r="L1754" i="86"/>
  <c r="O1754" i="86" s="1"/>
  <c r="AG1762" i="82"/>
  <c r="L1762" i="86"/>
  <c r="O1762" i="86" s="1"/>
  <c r="AG1745" i="82"/>
  <c r="L1745" i="86"/>
  <c r="O1745" i="86" s="1"/>
  <c r="AG218" i="82"/>
  <c r="L218" i="86"/>
  <c r="O218" i="86" s="1"/>
  <c r="AG236" i="82"/>
  <c r="L236" i="86"/>
  <c r="O236" i="86" s="1"/>
  <c r="O1460" i="86"/>
  <c r="O1435" i="86"/>
  <c r="O1386" i="86"/>
  <c r="AG1241" i="82"/>
  <c r="L1241" i="86"/>
  <c r="O1241" i="86" s="1"/>
  <c r="AG1243" i="82"/>
  <c r="L1243" i="86"/>
  <c r="O1243" i="86" s="1"/>
  <c r="AG1222" i="82"/>
  <c r="L1222" i="86"/>
  <c r="O1222" i="86" s="1"/>
  <c r="AG1221" i="82"/>
  <c r="L1221" i="86"/>
  <c r="O1221" i="86" s="1"/>
  <c r="L1677" i="86"/>
  <c r="O1677" i="86" s="1"/>
  <c r="L1645" i="86"/>
  <c r="O1645" i="86" s="1"/>
  <c r="L1613" i="86"/>
  <c r="O1613" i="86" s="1"/>
  <c r="L1581" i="86"/>
  <c r="O1581" i="86" s="1"/>
  <c r="L1662" i="86"/>
  <c r="O1662" i="86" s="1"/>
  <c r="L1630" i="86"/>
  <c r="O1630" i="86" s="1"/>
  <c r="L1598" i="86"/>
  <c r="O1598" i="86" s="1"/>
  <c r="L1675" i="86"/>
  <c r="O1675" i="86" s="1"/>
  <c r="L1643" i="86"/>
  <c r="O1643" i="86" s="1"/>
  <c r="L1611" i="86"/>
  <c r="O1611" i="86" s="1"/>
  <c r="L1683" i="86"/>
  <c r="O1683" i="86" s="1"/>
  <c r="L1660" i="86"/>
  <c r="O1660" i="86" s="1"/>
  <c r="L1628" i="86"/>
  <c r="O1628" i="86" s="1"/>
  <c r="L1596" i="86"/>
  <c r="O1596" i="86" s="1"/>
  <c r="L1568" i="86"/>
  <c r="O1568" i="86" s="1"/>
  <c r="L1577" i="86"/>
  <c r="O1577" i="86" s="1"/>
  <c r="L1545" i="86"/>
  <c r="O1545" i="86" s="1"/>
  <c r="L1550" i="86"/>
  <c r="O1550" i="86" s="1"/>
  <c r="L1559" i="86"/>
  <c r="O1559" i="86" s="1"/>
  <c r="L1673" i="86"/>
  <c r="O1673" i="86" s="1"/>
  <c r="L1641" i="86"/>
  <c r="O1641" i="86" s="1"/>
  <c r="L1609" i="86"/>
  <c r="O1609" i="86" s="1"/>
  <c r="L1689" i="86"/>
  <c r="O1689" i="86" s="1"/>
  <c r="L1658" i="86"/>
  <c r="O1658" i="86" s="1"/>
  <c r="L1626" i="86"/>
  <c r="O1626" i="86" s="1"/>
  <c r="L1594" i="86"/>
  <c r="O1594" i="86" s="1"/>
  <c r="L1671" i="86"/>
  <c r="O1671" i="86" s="1"/>
  <c r="L1639" i="86"/>
  <c r="O1639" i="86" s="1"/>
  <c r="L1607" i="86"/>
  <c r="O1607" i="86" s="1"/>
  <c r="L1690" i="86"/>
  <c r="O1690" i="86" s="1"/>
  <c r="L1656" i="86"/>
  <c r="O1656" i="86" s="1"/>
  <c r="L1624" i="86"/>
  <c r="O1624" i="86" s="1"/>
  <c r="L1592" i="86"/>
  <c r="O1592" i="86" s="1"/>
  <c r="L1564" i="86"/>
  <c r="O1564" i="86" s="1"/>
  <c r="L1575" i="86"/>
  <c r="O1575" i="86" s="1"/>
  <c r="L1541" i="86"/>
  <c r="O1541" i="86" s="1"/>
  <c r="L1546" i="86"/>
  <c r="O1546" i="86" s="1"/>
  <c r="L1555" i="86"/>
  <c r="O1555" i="86" s="1"/>
  <c r="L1649" i="86"/>
  <c r="O1649" i="86" s="1"/>
  <c r="L1602" i="86"/>
  <c r="O1602" i="86" s="1"/>
  <c r="L1664" i="86"/>
  <c r="O1664" i="86" s="1"/>
  <c r="L1549" i="86"/>
  <c r="O1549" i="86" s="1"/>
  <c r="L1669" i="86"/>
  <c r="O1669" i="86" s="1"/>
  <c r="L1637" i="86"/>
  <c r="O1637" i="86" s="1"/>
  <c r="L1605" i="86"/>
  <c r="O1605" i="86" s="1"/>
  <c r="L1684" i="86"/>
  <c r="O1684" i="86" s="1"/>
  <c r="L1654" i="86"/>
  <c r="O1654" i="86" s="1"/>
  <c r="L1622" i="86"/>
  <c r="O1622" i="86" s="1"/>
  <c r="L1590" i="86"/>
  <c r="O1590" i="86" s="1"/>
  <c r="L1667" i="86"/>
  <c r="O1667" i="86" s="1"/>
  <c r="L1635" i="86"/>
  <c r="O1635" i="86" s="1"/>
  <c r="L1603" i="86"/>
  <c r="O1603" i="86" s="1"/>
  <c r="L1685" i="86"/>
  <c r="O1685" i="86" s="1"/>
  <c r="L1652" i="86"/>
  <c r="O1652" i="86" s="1"/>
  <c r="L1620" i="86"/>
  <c r="O1620" i="86" s="1"/>
  <c r="L1588" i="86"/>
  <c r="O1588" i="86" s="1"/>
  <c r="L1560" i="86"/>
  <c r="O1560" i="86" s="1"/>
  <c r="L1569" i="86"/>
  <c r="O1569" i="86" s="1"/>
  <c r="L1573" i="86"/>
  <c r="O1573" i="86" s="1"/>
  <c r="L1542" i="86"/>
  <c r="O1542" i="86" s="1"/>
  <c r="L1551" i="86"/>
  <c r="O1551" i="86" s="1"/>
  <c r="L1681" i="86"/>
  <c r="O1681" i="86" s="1"/>
  <c r="L1634" i="86"/>
  <c r="O1634" i="86" s="1"/>
  <c r="L1583" i="86"/>
  <c r="O1583" i="86" s="1"/>
  <c r="L1572" i="86"/>
  <c r="O1572" i="86" s="1"/>
  <c r="AG1303" i="82"/>
  <c r="L1665" i="86"/>
  <c r="O1665" i="86" s="1"/>
  <c r="L1633" i="86"/>
  <c r="O1633" i="86" s="1"/>
  <c r="L1601" i="86"/>
  <c r="O1601" i="86" s="1"/>
  <c r="L1682" i="86"/>
  <c r="O1682" i="86" s="1"/>
  <c r="L1650" i="86"/>
  <c r="O1650" i="86" s="1"/>
  <c r="L1618" i="86"/>
  <c r="O1618" i="86" s="1"/>
  <c r="L1586" i="86"/>
  <c r="O1586" i="86" s="1"/>
  <c r="L1663" i="86"/>
  <c r="O1663" i="86" s="1"/>
  <c r="L1631" i="86"/>
  <c r="O1631" i="86" s="1"/>
  <c r="L1599" i="86"/>
  <c r="O1599" i="86" s="1"/>
  <c r="L1680" i="86"/>
  <c r="O1680" i="86" s="1"/>
  <c r="L1648" i="86"/>
  <c r="O1648" i="86" s="1"/>
  <c r="L1616" i="86"/>
  <c r="O1616" i="86" s="1"/>
  <c r="L1584" i="86"/>
  <c r="O1584" i="86" s="1"/>
  <c r="L1556" i="86"/>
  <c r="O1556" i="86" s="1"/>
  <c r="L1565" i="86"/>
  <c r="O1565" i="86" s="1"/>
  <c r="L1570" i="86"/>
  <c r="O1570" i="86" s="1"/>
  <c r="L1578" i="86"/>
  <c r="O1578" i="86" s="1"/>
  <c r="L1547" i="86"/>
  <c r="O1547" i="86" s="1"/>
  <c r="L1647" i="86"/>
  <c r="O1647" i="86" s="1"/>
  <c r="L1554" i="86"/>
  <c r="O1554" i="86" s="1"/>
  <c r="L1691" i="86"/>
  <c r="O1691" i="86" s="1"/>
  <c r="L1661" i="86"/>
  <c r="O1661" i="86" s="1"/>
  <c r="L1629" i="86"/>
  <c r="O1629" i="86" s="1"/>
  <c r="L1597" i="86"/>
  <c r="O1597" i="86" s="1"/>
  <c r="L1678" i="86"/>
  <c r="O1678" i="86" s="1"/>
  <c r="L1646" i="86"/>
  <c r="O1646" i="86" s="1"/>
  <c r="L1614" i="86"/>
  <c r="O1614" i="86" s="1"/>
  <c r="L1582" i="86"/>
  <c r="O1582" i="86" s="1"/>
  <c r="L1659" i="86"/>
  <c r="O1659" i="86" s="1"/>
  <c r="L1627" i="86"/>
  <c r="O1627" i="86" s="1"/>
  <c r="L1595" i="86"/>
  <c r="O1595" i="86" s="1"/>
  <c r="L1676" i="86"/>
  <c r="O1676" i="86" s="1"/>
  <c r="L1644" i="86"/>
  <c r="O1644" i="86" s="1"/>
  <c r="L1612" i="86"/>
  <c r="O1612" i="86" s="1"/>
  <c r="L1580" i="86"/>
  <c r="O1580" i="86" s="1"/>
  <c r="L1552" i="86"/>
  <c r="O1552" i="86" s="1"/>
  <c r="L1561" i="86"/>
  <c r="O1561" i="86" s="1"/>
  <c r="L1566" i="86"/>
  <c r="O1566" i="86" s="1"/>
  <c r="L1576" i="86"/>
  <c r="O1576" i="86" s="1"/>
  <c r="L1543" i="86"/>
  <c r="O1543" i="86" s="1"/>
  <c r="L1585" i="86"/>
  <c r="O1585" i="86" s="1"/>
  <c r="L1540" i="86"/>
  <c r="O1540" i="86" s="1"/>
  <c r="L1687" i="86"/>
  <c r="O1687" i="86" s="1"/>
  <c r="L1657" i="86"/>
  <c r="O1657" i="86" s="1"/>
  <c r="L1625" i="86"/>
  <c r="O1625" i="86" s="1"/>
  <c r="L1593" i="86"/>
  <c r="O1593" i="86" s="1"/>
  <c r="L1674" i="86"/>
  <c r="O1674" i="86" s="1"/>
  <c r="L1642" i="86"/>
  <c r="O1642" i="86" s="1"/>
  <c r="L1610" i="86"/>
  <c r="O1610" i="86" s="1"/>
  <c r="L1686" i="86"/>
  <c r="O1686" i="86" s="1"/>
  <c r="L1655" i="86"/>
  <c r="O1655" i="86" s="1"/>
  <c r="L1623" i="86"/>
  <c r="O1623" i="86" s="1"/>
  <c r="L1591" i="86"/>
  <c r="O1591" i="86" s="1"/>
  <c r="L1672" i="86"/>
  <c r="O1672" i="86" s="1"/>
  <c r="L1640" i="86"/>
  <c r="O1640" i="86" s="1"/>
  <c r="L1608" i="86"/>
  <c r="O1608" i="86" s="1"/>
  <c r="L1574" i="86"/>
  <c r="O1574" i="86" s="1"/>
  <c r="L1548" i="86"/>
  <c r="O1548" i="86" s="1"/>
  <c r="L1557" i="86"/>
  <c r="O1557" i="86" s="1"/>
  <c r="L1562" i="86"/>
  <c r="O1562" i="86" s="1"/>
  <c r="L1571" i="86"/>
  <c r="O1571" i="86" s="1"/>
  <c r="L1539" i="86"/>
  <c r="L1617" i="86"/>
  <c r="O1617" i="86" s="1"/>
  <c r="L1679" i="86"/>
  <c r="O1679" i="86" s="1"/>
  <c r="L1600" i="86"/>
  <c r="O1600" i="86" s="1"/>
  <c r="L1692" i="86"/>
  <c r="O1692" i="86" s="1"/>
  <c r="L1653" i="86"/>
  <c r="O1653" i="86" s="1"/>
  <c r="L1621" i="86"/>
  <c r="O1621" i="86" s="1"/>
  <c r="L1589" i="86"/>
  <c r="O1589" i="86" s="1"/>
  <c r="L1670" i="86"/>
  <c r="O1670" i="86" s="1"/>
  <c r="L1638" i="86"/>
  <c r="O1638" i="86" s="1"/>
  <c r="L1606" i="86"/>
  <c r="O1606" i="86" s="1"/>
  <c r="L1688" i="86"/>
  <c r="O1688" i="86" s="1"/>
  <c r="L1651" i="86"/>
  <c r="O1651" i="86" s="1"/>
  <c r="L1619" i="86"/>
  <c r="O1619" i="86" s="1"/>
  <c r="L1587" i="86"/>
  <c r="O1587" i="86" s="1"/>
  <c r="L1668" i="86"/>
  <c r="O1668" i="86" s="1"/>
  <c r="L1636" i="86"/>
  <c r="O1636" i="86" s="1"/>
  <c r="L1604" i="86"/>
  <c r="O1604" i="86" s="1"/>
  <c r="L1579" i="86"/>
  <c r="O1579" i="86" s="1"/>
  <c r="L1544" i="86"/>
  <c r="O1544" i="86" s="1"/>
  <c r="L1553" i="86"/>
  <c r="O1553" i="86" s="1"/>
  <c r="L1558" i="86"/>
  <c r="O1558" i="86" s="1"/>
  <c r="L1567" i="86"/>
  <c r="O1567" i="86" s="1"/>
  <c r="L1303" i="86"/>
  <c r="O1303" i="86" s="1"/>
  <c r="L1666" i="86"/>
  <c r="O1666" i="86" s="1"/>
  <c r="L1615" i="86"/>
  <c r="O1615" i="86" s="1"/>
  <c r="L1632" i="86"/>
  <c r="O1632" i="86" s="1"/>
  <c r="L1563" i="86"/>
  <c r="O1563" i="86" s="1"/>
  <c r="AG1312" i="82"/>
  <c r="L1312" i="86"/>
  <c r="O1312" i="86" s="1"/>
  <c r="AG2018" i="82"/>
  <c r="L2018" i="86"/>
  <c r="O2018" i="86" s="1"/>
  <c r="AG1699" i="82"/>
  <c r="L1699" i="86"/>
  <c r="O1699" i="86" s="1"/>
  <c r="L1774" i="86"/>
  <c r="O1774" i="86" s="1"/>
  <c r="AG1774" i="82"/>
  <c r="O1385" i="86"/>
  <c r="O1352" i="86"/>
  <c r="AG1345" i="82"/>
  <c r="L1345" i="86"/>
  <c r="O1345" i="86" s="1"/>
  <c r="AG1314" i="82"/>
  <c r="L1314" i="86"/>
  <c r="O1314" i="86" s="1"/>
  <c r="L1340" i="86"/>
  <c r="O1340" i="86" s="1"/>
  <c r="AG1340" i="82"/>
  <c r="AG1327" i="82"/>
  <c r="L1327" i="86"/>
  <c r="O1327" i="86" s="1"/>
  <c r="AG1316" i="82"/>
  <c r="L1316" i="86"/>
  <c r="O1316" i="86" s="1"/>
  <c r="L2017" i="86"/>
  <c r="O2017" i="86" s="1"/>
  <c r="AG2017" i="82"/>
  <c r="AG2011" i="82"/>
  <c r="L2011" i="86"/>
  <c r="AG1801" i="82"/>
  <c r="L1801" i="86"/>
  <c r="O1801" i="86" s="1"/>
  <c r="AG1772" i="82"/>
  <c r="L1772" i="86"/>
  <c r="O1772" i="86" s="1"/>
  <c r="AG1775" i="82"/>
  <c r="L1775" i="86"/>
  <c r="O1775" i="86" s="1"/>
  <c r="AG1712" i="82"/>
  <c r="L1712" i="86"/>
  <c r="O1712" i="86" s="1"/>
  <c r="AG1708" i="82"/>
  <c r="L1708" i="86"/>
  <c r="O1708" i="86" s="1"/>
  <c r="AG1766" i="82"/>
  <c r="L1766" i="86"/>
  <c r="O1766" i="86" s="1"/>
  <c r="O1376" i="86"/>
  <c r="O1454" i="86"/>
  <c r="AG1255" i="82"/>
  <c r="L1255" i="86"/>
  <c r="O1255" i="86" s="1"/>
  <c r="AG1252" i="82"/>
  <c r="L1252" i="86"/>
  <c r="O1252" i="86" s="1"/>
  <c r="AG1246" i="82"/>
  <c r="L1246" i="86"/>
  <c r="O1246" i="86" s="1"/>
  <c r="AG1260" i="82"/>
  <c r="L1260" i="86"/>
  <c r="O1260" i="86" s="1"/>
  <c r="O1434" i="86"/>
  <c r="AG1794" i="82"/>
  <c r="L1794" i="86"/>
  <c r="O1794" i="86" s="1"/>
  <c r="AG1791" i="82"/>
  <c r="L1791" i="86"/>
  <c r="O1791" i="86" s="1"/>
  <c r="AG1796" i="82"/>
  <c r="L1796" i="86"/>
  <c r="O1796" i="86" s="1"/>
  <c r="AG1741" i="82"/>
  <c r="L1741" i="86"/>
  <c r="O1741" i="86" s="1"/>
  <c r="AG1763" i="82"/>
  <c r="L1763" i="86"/>
  <c r="O1763" i="86" s="1"/>
  <c r="L1828" i="86"/>
  <c r="O1828" i="86" s="1"/>
  <c r="AG1828" i="82"/>
  <c r="L216" i="86"/>
  <c r="AG216" i="82"/>
  <c r="AG222" i="82"/>
  <c r="L222" i="86"/>
  <c r="O222" i="86" s="1"/>
  <c r="O1369" i="86"/>
  <c r="O1387" i="86"/>
  <c r="O1430" i="86"/>
  <c r="AG1231" i="82"/>
  <c r="L1231" i="86"/>
  <c r="O1231" i="86" s="1"/>
  <c r="AG1242" i="82"/>
  <c r="L1242" i="86"/>
  <c r="O1242" i="86" s="1"/>
  <c r="AG1233" i="82"/>
  <c r="L1233" i="86"/>
  <c r="O1233" i="86" s="1"/>
  <c r="AG1245" i="82"/>
  <c r="L1245" i="86"/>
  <c r="O1245" i="86" s="1"/>
  <c r="AG1315" i="82"/>
  <c r="L1315" i="86"/>
  <c r="O1315" i="86" s="1"/>
  <c r="AG1325" i="82"/>
  <c r="L1325" i="86"/>
  <c r="O1325" i="86" s="1"/>
  <c r="AG2016" i="82"/>
  <c r="L2016" i="86"/>
  <c r="O2016" i="86" s="1"/>
  <c r="AG1764" i="82"/>
  <c r="L1764" i="86"/>
  <c r="O1764" i="86" s="1"/>
  <c r="AG1807" i="82"/>
  <c r="L1807" i="86"/>
  <c r="O1807" i="86" s="1"/>
  <c r="AG1710" i="82"/>
  <c r="L1710" i="86"/>
  <c r="O1710" i="86" s="1"/>
  <c r="AG1265" i="82"/>
  <c r="L1265" i="86"/>
  <c r="O1265" i="86" s="1"/>
  <c r="AG1256" i="82"/>
  <c r="L1256" i="86"/>
  <c r="O1256" i="86" s="1"/>
  <c r="AG1835" i="82"/>
  <c r="L1835" i="86"/>
  <c r="O1835" i="86" s="1"/>
  <c r="AG1832" i="82"/>
  <c r="L1832" i="86"/>
  <c r="O1832" i="86" s="1"/>
  <c r="AG1759" i="82"/>
  <c r="L1759" i="86"/>
  <c r="O1759" i="86" s="1"/>
  <c r="AG1235" i="82"/>
  <c r="L1235" i="86"/>
  <c r="O1235" i="86" s="1"/>
  <c r="AG1244" i="82"/>
  <c r="L1244" i="86"/>
  <c r="O1244" i="86" s="1"/>
  <c r="AG1237" i="82"/>
  <c r="L1237" i="86"/>
  <c r="O1237" i="86" s="1"/>
  <c r="AG1238" i="82"/>
  <c r="L1238" i="86"/>
  <c r="O1238" i="86" s="1"/>
  <c r="O1357" i="86"/>
  <c r="O1353" i="86"/>
  <c r="AG1326" i="82"/>
  <c r="L1326" i="86"/>
  <c r="O1326" i="86" s="1"/>
  <c r="AG1348" i="82"/>
  <c r="L1348" i="86"/>
  <c r="O1348" i="86" s="1"/>
  <c r="AG1332" i="82"/>
  <c r="L1332" i="86"/>
  <c r="O1332" i="86" s="1"/>
  <c r="L1347" i="86"/>
  <c r="O1347" i="86" s="1"/>
  <c r="AG1347" i="82"/>
  <c r="AG1324" i="82"/>
  <c r="L1324" i="86"/>
  <c r="O1324" i="86" s="1"/>
  <c r="L1349" i="86"/>
  <c r="O1349" i="86" s="1"/>
  <c r="AG1349" i="82"/>
  <c r="AG2020" i="82"/>
  <c r="L2020" i="86"/>
  <c r="O2020" i="86" s="1"/>
  <c r="AG2015" i="82"/>
  <c r="L2015" i="86"/>
  <c r="O2015" i="86" s="1"/>
  <c r="O1364" i="86"/>
  <c r="AG1703" i="82"/>
  <c r="L1703" i="86"/>
  <c r="O1703" i="86" s="1"/>
  <c r="L1767" i="86"/>
  <c r="O1767" i="86" s="1"/>
  <c r="AG1767" i="82"/>
  <c r="AG1702" i="82"/>
  <c r="L1702" i="86"/>
  <c r="O1702" i="86" s="1"/>
  <c r="AG1700" i="82"/>
  <c r="L1700" i="86"/>
  <c r="O1700" i="86" s="1"/>
  <c r="L1771" i="86"/>
  <c r="O1771" i="86" s="1"/>
  <c r="AG1771" i="82"/>
  <c r="AG1808" i="82"/>
  <c r="L1808" i="86"/>
  <c r="O1808" i="86" s="1"/>
  <c r="O1384" i="86"/>
  <c r="O1444" i="86"/>
  <c r="AG1261" i="82"/>
  <c r="L1261" i="86"/>
  <c r="O1261" i="86" s="1"/>
  <c r="AG1250" i="82"/>
  <c r="L1250" i="86"/>
  <c r="O1250" i="86" s="1"/>
  <c r="AG1272" i="82"/>
  <c r="L1272" i="86"/>
  <c r="O1272" i="86" s="1"/>
  <c r="AG1253" i="82"/>
  <c r="L1253" i="86"/>
  <c r="O1253" i="86" s="1"/>
  <c r="O1360" i="86"/>
  <c r="AG1751" i="82"/>
  <c r="L1751" i="86"/>
  <c r="O1751" i="86" s="1"/>
  <c r="AG1760" i="82"/>
  <c r="L1760" i="86"/>
  <c r="O1760" i="86" s="1"/>
  <c r="AG1742" i="82"/>
  <c r="L1742" i="86"/>
  <c r="O1742" i="86" s="1"/>
  <c r="AG1757" i="82"/>
  <c r="L1757" i="86"/>
  <c r="O1757" i="86" s="1"/>
  <c r="AG1758" i="82"/>
  <c r="L1758" i="86"/>
  <c r="O1758" i="86" s="1"/>
  <c r="AG1744" i="82"/>
  <c r="L1744" i="86"/>
  <c r="O1744" i="86" s="1"/>
  <c r="AG230" i="82"/>
  <c r="L230" i="86"/>
  <c r="O230" i="86" s="1"/>
  <c r="O1379" i="86"/>
  <c r="O1359" i="86"/>
  <c r="O1436" i="86"/>
  <c r="AG1223" i="82"/>
  <c r="L1223" i="86"/>
  <c r="O1223" i="86" s="1"/>
  <c r="L1230" i="86"/>
  <c r="O1230" i="86" s="1"/>
  <c r="AG1230" i="82"/>
  <c r="AG1229" i="82"/>
  <c r="L1229" i="86"/>
  <c r="O1229" i="86" s="1"/>
  <c r="AG1219" i="82"/>
  <c r="L1219" i="86"/>
  <c r="O1219" i="86" s="1"/>
  <c r="AG1350" i="82"/>
  <c r="L1350" i="86"/>
  <c r="O1350" i="86" s="1"/>
  <c r="AG1709" i="82"/>
  <c r="L1709" i="86"/>
  <c r="O1709" i="86" s="1"/>
  <c r="L1716" i="86"/>
  <c r="O1716" i="86" s="1"/>
  <c r="AG1716" i="82"/>
  <c r="AG1254" i="82"/>
  <c r="L1254" i="86"/>
  <c r="O1254" i="86" s="1"/>
  <c r="AG1268" i="82"/>
  <c r="L1268" i="86"/>
  <c r="O1268" i="86" s="1"/>
  <c r="L1833" i="86"/>
  <c r="O1833" i="86" s="1"/>
  <c r="AG1833" i="82"/>
  <c r="AG1752" i="82"/>
  <c r="L1752" i="86"/>
  <c r="O1752" i="86" s="1"/>
  <c r="AG1825" i="82"/>
  <c r="L1825" i="86"/>
  <c r="O1825" i="86" s="1"/>
  <c r="AG228" i="82"/>
  <c r="L228" i="86"/>
  <c r="O228" i="86" s="1"/>
  <c r="O1372" i="86"/>
  <c r="AG1304" i="82"/>
  <c r="L1304" i="86"/>
  <c r="O1304" i="86" s="1"/>
  <c r="AG1329" i="82"/>
  <c r="L1329" i="86"/>
  <c r="O1329" i="86" s="1"/>
  <c r="AG1319" i="82"/>
  <c r="L1319" i="86"/>
  <c r="O1319" i="86" s="1"/>
  <c r="AG1313" i="82"/>
  <c r="L1313" i="86"/>
  <c r="O1313" i="86" s="1"/>
  <c r="L1305" i="86"/>
  <c r="O1305" i="86" s="1"/>
  <c r="AG1305" i="82"/>
  <c r="AG1330" i="82"/>
  <c r="L1330" i="86"/>
  <c r="O1330" i="86" s="1"/>
  <c r="AG2013" i="82"/>
  <c r="L2013" i="86"/>
  <c r="O2013" i="86" s="1"/>
  <c r="O1362" i="86"/>
  <c r="AG1714" i="82"/>
  <c r="L1714" i="86"/>
  <c r="O1714" i="86" s="1"/>
  <c r="AG1809" i="82"/>
  <c r="L1809" i="86"/>
  <c r="O1809" i="86" s="1"/>
  <c r="AG1704" i="82"/>
  <c r="L1704" i="86"/>
  <c r="O1704" i="86" s="1"/>
  <c r="AG1810" i="82"/>
  <c r="L1810" i="86"/>
  <c r="O1810" i="86" s="1"/>
  <c r="AG1805" i="82"/>
  <c r="L1805" i="86"/>
  <c r="O1805" i="86" s="1"/>
  <c r="L1695" i="86"/>
  <c r="O1695" i="86" s="1"/>
  <c r="AG1695" i="82"/>
  <c r="O1355" i="86"/>
  <c r="AG1258" i="82"/>
  <c r="L1258" i="86"/>
  <c r="O1258" i="86" s="1"/>
  <c r="AG1249" i="82"/>
  <c r="L1249" i="86"/>
  <c r="O1249" i="86" s="1"/>
  <c r="AG1264" i="82"/>
  <c r="L1264" i="86"/>
  <c r="O1264" i="86" s="1"/>
  <c r="O1367" i="86"/>
  <c r="AG1748" i="82"/>
  <c r="L1748" i="86"/>
  <c r="O1748" i="86" s="1"/>
  <c r="AG1746" i="82"/>
  <c r="L1746" i="86"/>
  <c r="O1746" i="86" s="1"/>
  <c r="AG1792" i="82"/>
  <c r="L1792" i="86"/>
  <c r="O1792" i="86" s="1"/>
  <c r="AG1793" i="82"/>
  <c r="L1793" i="86"/>
  <c r="O1793" i="86" s="1"/>
  <c r="AG1827" i="82"/>
  <c r="L1827" i="86"/>
  <c r="O1827" i="86" s="1"/>
  <c r="AG220" i="82"/>
  <c r="L220" i="86"/>
  <c r="O220" i="86" s="1"/>
  <c r="O1351" i="86"/>
  <c r="O1378" i="86"/>
  <c r="AG1217" i="82"/>
  <c r="L1217" i="86"/>
  <c r="AG1220" i="82"/>
  <c r="L1220" i="86"/>
  <c r="O1220" i="86" s="1"/>
  <c r="AG1240" i="82"/>
  <c r="L1240" i="86"/>
  <c r="O1240" i="86" s="1"/>
  <c r="O1459" i="86"/>
  <c r="L1343" i="86"/>
  <c r="O1343" i="86" s="1"/>
  <c r="AG1343" i="82"/>
  <c r="AG1308" i="82"/>
  <c r="L1308" i="86"/>
  <c r="O1308" i="86" s="1"/>
  <c r="AG1337" i="82"/>
  <c r="L1337" i="86"/>
  <c r="O1337" i="86" s="1"/>
  <c r="L1321" i="86"/>
  <c r="O1321" i="86" s="1"/>
  <c r="AG1321" i="82"/>
  <c r="AG1339" i="82"/>
  <c r="L1339" i="86"/>
  <c r="O1339" i="86" s="1"/>
  <c r="AG1346" i="82"/>
  <c r="L1346" i="86"/>
  <c r="O1346" i="86" s="1"/>
  <c r="AG1338" i="82"/>
  <c r="L1338" i="86"/>
  <c r="O1338" i="86" s="1"/>
  <c r="AG1333" i="82"/>
  <c r="L1333" i="86"/>
  <c r="O1333" i="86" s="1"/>
  <c r="AG2021" i="82"/>
  <c r="L2021" i="86"/>
  <c r="O2021" i="86" s="1"/>
  <c r="AG1693" i="82"/>
  <c r="L1693" i="86"/>
  <c r="AG1697" i="82"/>
  <c r="L1697" i="86"/>
  <c r="O1697" i="86" s="1"/>
  <c r="AG1715" i="82"/>
  <c r="L1715" i="86"/>
  <c r="O1715" i="86" s="1"/>
  <c r="AG1773" i="82"/>
  <c r="L1773" i="86"/>
  <c r="O1773" i="86" s="1"/>
  <c r="AG1800" i="82"/>
  <c r="L1800" i="86"/>
  <c r="O1800" i="86" s="1"/>
  <c r="AG1706" i="82"/>
  <c r="L1706" i="86"/>
  <c r="O1706" i="86" s="1"/>
  <c r="O1382" i="86"/>
  <c r="AG1257" i="82"/>
  <c r="L1257" i="86"/>
  <c r="O1257" i="86" s="1"/>
  <c r="AG1247" i="82"/>
  <c r="L1247" i="86"/>
  <c r="O1247" i="86" s="1"/>
  <c r="AG1262" i="82"/>
  <c r="L1262" i="86"/>
  <c r="O1262" i="86" s="1"/>
  <c r="O1375" i="86"/>
  <c r="AG1761" i="82"/>
  <c r="L1761" i="86"/>
  <c r="O1761" i="86" s="1"/>
  <c r="AG1797" i="82"/>
  <c r="L1797" i="86"/>
  <c r="O1797" i="86" s="1"/>
  <c r="AG1788" i="82"/>
  <c r="L1788" i="86"/>
  <c r="O1788" i="86" s="1"/>
  <c r="AG1743" i="82"/>
  <c r="L1743" i="86"/>
  <c r="O1743" i="86" s="1"/>
  <c r="AG1826" i="82"/>
  <c r="L1826" i="86"/>
  <c r="O1826" i="86" s="1"/>
  <c r="AG1830" i="82"/>
  <c r="L1830" i="86"/>
  <c r="O1830" i="86" s="1"/>
  <c r="AG234" i="82"/>
  <c r="L234" i="86"/>
  <c r="O234" i="86" s="1"/>
  <c r="O1438" i="86"/>
  <c r="O1458" i="86"/>
  <c r="AG1236" i="82"/>
  <c r="L1236" i="86"/>
  <c r="O1236" i="86" s="1"/>
  <c r="AG1226" i="82"/>
  <c r="L1226" i="86"/>
  <c r="O1226" i="86" s="1"/>
  <c r="AG1227" i="82"/>
  <c r="L1227" i="86"/>
  <c r="O1227" i="86" s="1"/>
  <c r="AG1341" i="82"/>
  <c r="L1341" i="86"/>
  <c r="O1341" i="86" s="1"/>
  <c r="L1318" i="86"/>
  <c r="O1318" i="86" s="1"/>
  <c r="AG1318" i="82"/>
  <c r="AG1311" i="82"/>
  <c r="L1311" i="86"/>
  <c r="O1311" i="86" s="1"/>
  <c r="AG1336" i="82"/>
  <c r="L1336" i="86"/>
  <c r="O1336" i="86" s="1"/>
  <c r="L1328" i="86"/>
  <c r="O1328" i="86" s="1"/>
  <c r="AG1328" i="82"/>
  <c r="AG1320" i="82"/>
  <c r="L1320" i="86"/>
  <c r="O1320" i="86" s="1"/>
  <c r="AG1307" i="82"/>
  <c r="L1307" i="86"/>
  <c r="O1307" i="86" s="1"/>
  <c r="AG2014" i="82"/>
  <c r="L2014" i="86"/>
  <c r="O2014" i="86" s="1"/>
  <c r="O1381" i="86"/>
  <c r="AG1694" i="82"/>
  <c r="L1694" i="86"/>
  <c r="O1694" i="86" s="1"/>
  <c r="AG1696" i="82"/>
  <c r="L1696" i="86"/>
  <c r="O1696" i="86" s="1"/>
  <c r="L1717" i="86"/>
  <c r="O1717" i="86" s="1"/>
  <c r="AG1717" i="82"/>
  <c r="AG1768" i="82"/>
  <c r="L1768" i="86"/>
  <c r="O1768" i="86" s="1"/>
  <c r="AG1713" i="82"/>
  <c r="L1713" i="86"/>
  <c r="O1713" i="86" s="1"/>
  <c r="AG1802" i="82"/>
  <c r="L1802" i="86"/>
  <c r="O1802" i="86" s="1"/>
  <c r="O1451" i="86"/>
  <c r="O1448" i="86"/>
  <c r="AG1259" i="82"/>
  <c r="L1259" i="86"/>
  <c r="O1259" i="86" s="1"/>
  <c r="AG1269" i="82"/>
  <c r="L1269" i="86"/>
  <c r="O1269" i="86" s="1"/>
  <c r="O1368" i="86"/>
  <c r="AG1799" i="82"/>
  <c r="L1799" i="86"/>
  <c r="O1799" i="86" s="1"/>
  <c r="AG1798" i="82"/>
  <c r="L1798" i="86"/>
  <c r="O1798" i="86" s="1"/>
  <c r="AG1831" i="82"/>
  <c r="L1831" i="86"/>
  <c r="O1831" i="86" s="1"/>
  <c r="AG1750" i="82"/>
  <c r="L1750" i="86"/>
  <c r="O1750" i="86" s="1"/>
  <c r="AG1795" i="82"/>
  <c r="L1795" i="86"/>
  <c r="O1795" i="86" s="1"/>
  <c r="AG1834" i="82"/>
  <c r="L1834" i="86"/>
  <c r="O1834" i="86" s="1"/>
  <c r="AG226" i="82"/>
  <c r="L226" i="86"/>
  <c r="O226" i="86" s="1"/>
  <c r="O1358" i="86"/>
  <c r="O1455" i="86"/>
  <c r="AG1234" i="82"/>
  <c r="L1234" i="86"/>
  <c r="O1234" i="86" s="1"/>
  <c r="AG1228" i="82"/>
  <c r="L1228" i="86"/>
  <c r="O1228" i="86" s="1"/>
  <c r="L1218" i="86"/>
  <c r="O1218" i="86" s="1"/>
  <c r="AG1218" i="82"/>
  <c r="AG1239" i="82"/>
  <c r="L1239" i="86"/>
  <c r="O1239" i="86" s="1"/>
  <c r="W7" i="86"/>
  <c r="T7" i="86"/>
  <c r="AB47" i="74" l="1"/>
  <c r="G5" i="93"/>
  <c r="Z7" i="86"/>
  <c r="AH7" i="86" s="1"/>
  <c r="AG1416" i="82"/>
  <c r="O1416" i="86"/>
  <c r="AG1426" i="82"/>
  <c r="O1426" i="86"/>
  <c r="AG1414" i="82"/>
  <c r="O1414" i="86"/>
  <c r="AG1424" i="82"/>
  <c r="O1424" i="86"/>
  <c r="AG1394" i="82"/>
  <c r="O1394" i="86"/>
  <c r="AG1400" i="82"/>
  <c r="O1400" i="86"/>
  <c r="T16" i="70"/>
  <c r="S16" i="88"/>
  <c r="S91" i="88" s="1"/>
  <c r="T19" i="70"/>
  <c r="S19" i="88"/>
  <c r="S94" i="88" s="1"/>
  <c r="T15" i="70"/>
  <c r="S15" i="88"/>
  <c r="S90" i="88" s="1"/>
  <c r="T14" i="70"/>
  <c r="S14" i="88"/>
  <c r="S89" i="88" s="1"/>
  <c r="T9" i="70"/>
  <c r="S9" i="88"/>
  <c r="S84" i="88" s="1"/>
  <c r="AG1504" i="82"/>
  <c r="L1504" i="86"/>
  <c r="O1504" i="86" s="1"/>
  <c r="AG1503" i="82"/>
  <c r="L1503" i="86"/>
  <c r="O1503" i="86" s="1"/>
  <c r="AG1391" i="82"/>
  <c r="O1391" i="86"/>
  <c r="AG1417" i="82"/>
  <c r="O1417" i="86"/>
  <c r="AG1399" i="82"/>
  <c r="O1399" i="86"/>
  <c r="AG1408" i="82"/>
  <c r="O1408" i="86"/>
  <c r="AG1402" i="82"/>
  <c r="O1402" i="86"/>
  <c r="K7" i="90"/>
  <c r="K13" i="90" s="1"/>
  <c r="T12" i="70"/>
  <c r="S12" i="88"/>
  <c r="S87" i="88" s="1"/>
  <c r="S11" i="88"/>
  <c r="S86" i="88" s="1"/>
  <c r="T11" i="70"/>
  <c r="AG1510" i="82"/>
  <c r="L1510" i="86"/>
  <c r="O1510" i="86" s="1"/>
  <c r="AG1502" i="82"/>
  <c r="L1502" i="86"/>
  <c r="O1502" i="86" s="1"/>
  <c r="H15" i="90"/>
  <c r="H14" i="90"/>
  <c r="AG1419" i="82"/>
  <c r="O1419" i="86"/>
  <c r="AG1390" i="82"/>
  <c r="O1390" i="86"/>
  <c r="AG1423" i="82"/>
  <c r="O1423" i="86"/>
  <c r="AG1403" i="82"/>
  <c r="O1403" i="86"/>
  <c r="AG1405" i="82"/>
  <c r="O1405" i="86"/>
  <c r="C15" i="90"/>
  <c r="C14" i="90"/>
  <c r="K9" i="90"/>
  <c r="S13" i="88"/>
  <c r="S88" i="88" s="1"/>
  <c r="T13" i="70"/>
  <c r="AG1393" i="82"/>
  <c r="O1393" i="86"/>
  <c r="AG1398" i="82"/>
  <c r="O1398" i="86"/>
  <c r="AG1418" i="82"/>
  <c r="O1418" i="86"/>
  <c r="T10" i="70"/>
  <c r="S10" i="88"/>
  <c r="S85" i="88" s="1"/>
  <c r="T18" i="70"/>
  <c r="S18" i="88"/>
  <c r="S93" i="88" s="1"/>
  <c r="L1507" i="86"/>
  <c r="O1507" i="86" s="1"/>
  <c r="AG1507" i="82"/>
  <c r="AG1396" i="82"/>
  <c r="O1396" i="86"/>
  <c r="AG1401" i="82"/>
  <c r="O1401" i="86"/>
  <c r="AG1422" i="82"/>
  <c r="O1422" i="86"/>
  <c r="AG1420" i="82"/>
  <c r="O1420" i="86"/>
  <c r="AG1411" i="82"/>
  <c r="O1411" i="86"/>
  <c r="T17" i="70"/>
  <c r="S17" i="88"/>
  <c r="S92" i="88" s="1"/>
  <c r="S24" i="88"/>
  <c r="S99" i="88" s="1"/>
  <c r="T24" i="70"/>
  <c r="L1511" i="86"/>
  <c r="O1511" i="86" s="1"/>
  <c r="AG1511" i="82"/>
  <c r="AG1509" i="82"/>
  <c r="L1509" i="86"/>
  <c r="O1509" i="86" s="1"/>
  <c r="AG1407" i="82"/>
  <c r="O1407" i="86"/>
  <c r="AG1404" i="82"/>
  <c r="O1404" i="86"/>
  <c r="AG1425" i="82"/>
  <c r="O1425" i="86"/>
  <c r="AG1513" i="82"/>
  <c r="L1513" i="86"/>
  <c r="O1513" i="86" s="1"/>
  <c r="AG1506" i="82"/>
  <c r="L1506" i="86"/>
  <c r="O1506" i="86" s="1"/>
  <c r="AG1508" i="82"/>
  <c r="L1508" i="86"/>
  <c r="O1508" i="86" s="1"/>
  <c r="AG1410" i="82"/>
  <c r="O1410" i="86"/>
  <c r="AG1406" i="82"/>
  <c r="O1406" i="86"/>
  <c r="AG1409" i="82"/>
  <c r="O1409" i="86"/>
  <c r="AG1397" i="82"/>
  <c r="O1397" i="86"/>
  <c r="AG1389" i="82"/>
  <c r="O1389" i="86"/>
  <c r="AG1512" i="82"/>
  <c r="L1512" i="86"/>
  <c r="O1512" i="86" s="1"/>
  <c r="AG1501" i="82"/>
  <c r="L1501" i="86"/>
  <c r="O1501" i="86" s="1"/>
  <c r="AG1413" i="82"/>
  <c r="O1413" i="86"/>
  <c r="AG1421" i="82"/>
  <c r="O1421" i="86"/>
  <c r="AG1415" i="82"/>
  <c r="O1415" i="86"/>
  <c r="AG1412" i="82"/>
  <c r="O1412" i="86"/>
  <c r="AG1395" i="82"/>
  <c r="O1395" i="86"/>
  <c r="AG1392" i="82"/>
  <c r="O1392" i="86"/>
  <c r="S5" i="88"/>
  <c r="S80" i="88" s="1"/>
  <c r="S76" i="70"/>
  <c r="AG1505" i="82"/>
  <c r="L1505" i="86"/>
  <c r="O1505" i="86" s="1"/>
  <c r="O2011" i="86"/>
  <c r="W12" i="86" s="1"/>
  <c r="T12" i="86"/>
  <c r="AP8" i="82"/>
  <c r="AQ8" i="82" s="1"/>
  <c r="AC12" i="86"/>
  <c r="O1217" i="86"/>
  <c r="T9" i="86"/>
  <c r="AP7" i="82"/>
  <c r="AQ7" i="82" s="1"/>
  <c r="AC11" i="86"/>
  <c r="AP3" i="82"/>
  <c r="AC5" i="86"/>
  <c r="T11" i="86"/>
  <c r="O1693" i="86"/>
  <c r="W11" i="86" s="1"/>
  <c r="O216" i="86"/>
  <c r="W5" i="86" s="1"/>
  <c r="T5" i="86"/>
  <c r="Z5" i="86" s="1"/>
  <c r="O1539" i="86"/>
  <c r="W10" i="86" s="1"/>
  <c r="T10" i="86"/>
  <c r="AP5" i="82" l="1"/>
  <c r="AQ5" i="82" s="1"/>
  <c r="AC9" i="86"/>
  <c r="W9" i="86"/>
  <c r="Z9" i="86" s="1"/>
  <c r="AH5" i="86"/>
  <c r="AC10" i="86"/>
  <c r="AP6" i="82"/>
  <c r="AQ6" i="82" s="1"/>
  <c r="I9" i="90"/>
  <c r="I7" i="90"/>
  <c r="I13" i="90" s="1"/>
  <c r="K15" i="90"/>
  <c r="K14" i="90"/>
  <c r="I11" i="90"/>
  <c r="Z10" i="86"/>
  <c r="Z11" i="86"/>
  <c r="AH11" i="86" s="1"/>
  <c r="Z12" i="86"/>
  <c r="AH12" i="86" s="1"/>
  <c r="AQ3" i="82"/>
  <c r="AP9" i="82"/>
  <c r="AQ9" i="82" s="1"/>
  <c r="AH9" i="86" l="1"/>
  <c r="AH10" i="86"/>
  <c r="AP10" i="82"/>
  <c r="AP11" i="82" s="1"/>
  <c r="AQ11" i="82" s="1"/>
  <c r="I15" i="90"/>
  <c r="I14" i="90"/>
  <c r="AQ10" i="82" l="1"/>
  <c r="AF1687" i="82" l="1"/>
  <c r="Z1687" i="82"/>
  <c r="AD310" i="83"/>
  <c r="Y310" i="83"/>
  <c r="M63" i="86"/>
  <c r="J63" i="86"/>
  <c r="AF1419" i="82"/>
  <c r="Z1419" i="82"/>
  <c r="M781" i="86"/>
  <c r="J781" i="86"/>
  <c r="N1987" i="86"/>
  <c r="K1987" i="86"/>
  <c r="N1583" i="86"/>
  <c r="K1583" i="86"/>
  <c r="AE636" i="83"/>
  <c r="Z636" i="83"/>
  <c r="AF877" i="82"/>
  <c r="N1762" i="86"/>
  <c r="K1762" i="86"/>
  <c r="N1553" i="86"/>
  <c r="K1553" i="86"/>
  <c r="AF1684" i="82"/>
  <c r="Z1684" i="82"/>
  <c r="N875" i="86"/>
  <c r="K875" i="86"/>
  <c r="N1956" i="86"/>
  <c r="K1956" i="86"/>
  <c r="AC89" i="88"/>
  <c r="AC14" i="88"/>
  <c r="AF14" i="69"/>
  <c r="AF1476" i="82"/>
  <c r="Z1476" i="82"/>
  <c r="AE834" i="83"/>
  <c r="Z834" i="83"/>
  <c r="N1761" i="86"/>
  <c r="K1761" i="86"/>
  <c r="M482" i="86"/>
  <c r="J482" i="86"/>
  <c r="AF536" i="82"/>
  <c r="Z536" i="82"/>
  <c r="AE552" i="82"/>
  <c r="Y552" i="82"/>
  <c r="AE538" i="82"/>
  <c r="Y538" i="82"/>
  <c r="AD483" i="83"/>
  <c r="Y483" i="83"/>
  <c r="M588" i="86"/>
  <c r="J588" i="86"/>
  <c r="N422" i="86"/>
  <c r="K422" i="86"/>
  <c r="AF131" i="88"/>
  <c r="AF56" i="88"/>
  <c r="N1944" i="86"/>
  <c r="K1944" i="86"/>
  <c r="AE870" i="83"/>
  <c r="Z870" i="83"/>
  <c r="AD420" i="83"/>
  <c r="Y420" i="83"/>
  <c r="N1951" i="86"/>
  <c r="K1951" i="86"/>
  <c r="AF525" i="82"/>
  <c r="Z525" i="82"/>
  <c r="M705" i="86"/>
  <c r="J705" i="86"/>
  <c r="AG107" i="88"/>
  <c r="AG32" i="88"/>
  <c r="AF1654" i="82"/>
  <c r="Z1654" i="82"/>
  <c r="AE906" i="83"/>
  <c r="Z906" i="83"/>
  <c r="AD29" i="83"/>
  <c r="Y29" i="83"/>
  <c r="N1957" i="86"/>
  <c r="K1957" i="86"/>
  <c r="N1828" i="86"/>
  <c r="K1828" i="86"/>
  <c r="AG23" i="70"/>
  <c r="AE23" i="70"/>
  <c r="AO23" i="70"/>
  <c r="AE265" i="83"/>
  <c r="Z265" i="83"/>
  <c r="AE753" i="83"/>
  <c r="Z753" i="83"/>
  <c r="N82" i="88"/>
  <c r="N7" i="88"/>
  <c r="M667" i="86"/>
  <c r="J667" i="86"/>
  <c r="N1422" i="86"/>
  <c r="K1422" i="86"/>
  <c r="AE528" i="82"/>
  <c r="Y528" i="82"/>
  <c r="N1870" i="86"/>
  <c r="K1870" i="86"/>
  <c r="AE804" i="83"/>
  <c r="Z804" i="83"/>
  <c r="AE726" i="83"/>
  <c r="Z726" i="83"/>
  <c r="AB91" i="88"/>
  <c r="AB16" i="88"/>
  <c r="AE846" i="83"/>
  <c r="Z846" i="83"/>
  <c r="AL3" i="82"/>
  <c r="AK3" i="82"/>
  <c r="N814" i="86"/>
  <c r="K814" i="86"/>
  <c r="AE696" i="83"/>
  <c r="Z696" i="83"/>
  <c r="AE1203" i="82"/>
  <c r="Y1203" i="82"/>
  <c r="AF1550" i="82"/>
  <c r="Z1550" i="82"/>
  <c r="N393" i="86"/>
  <c r="K393" i="86"/>
  <c r="AC131" i="88"/>
  <c r="AC56" i="88"/>
  <c r="AF56" i="69"/>
  <c r="AP56" i="69"/>
  <c r="M328" i="86"/>
  <c r="J328" i="86"/>
  <c r="AF549" i="82"/>
  <c r="Z549" i="82"/>
  <c r="AE588" i="83"/>
  <c r="Z588" i="83"/>
  <c r="AF1542" i="82"/>
  <c r="Z1542" i="82"/>
  <c r="N92" i="88"/>
  <c r="N17" i="88"/>
  <c r="AE672" i="83"/>
  <c r="Z672" i="83"/>
  <c r="AC119" i="88"/>
  <c r="AC44" i="88"/>
  <c r="AF44" i="69"/>
  <c r="AP44" i="69"/>
  <c r="AF1627" i="82"/>
  <c r="Z1627" i="82"/>
  <c r="N1879" i="86"/>
  <c r="K1879" i="86"/>
  <c r="AE519" i="83"/>
  <c r="Z519" i="83"/>
  <c r="AL46" i="70"/>
  <c r="AJ46" i="70"/>
  <c r="N83" i="88"/>
  <c r="N8" i="88"/>
  <c r="AF1663" i="82"/>
  <c r="Z1663" i="82"/>
  <c r="AD186" i="83"/>
  <c r="Y186" i="83"/>
  <c r="AE909" i="83"/>
  <c r="Z909" i="83"/>
  <c r="N1866" i="86"/>
  <c r="K1866" i="86"/>
  <c r="AM55" i="70"/>
  <c r="T55" i="70"/>
  <c r="N55" i="70"/>
  <c r="AM70" i="69"/>
  <c r="T70" i="69"/>
  <c r="N70" i="69"/>
  <c r="AE936" i="83"/>
  <c r="Z936" i="83"/>
  <c r="AE699" i="83"/>
  <c r="Z699" i="83"/>
  <c r="AF1499" i="82"/>
  <c r="Z1499" i="82"/>
  <c r="N1393" i="86"/>
  <c r="K1393" i="86"/>
  <c r="AE253" i="83"/>
  <c r="Z253" i="83"/>
  <c r="AF1360" i="82"/>
  <c r="Z1360" i="82"/>
  <c r="N1209" i="86"/>
  <c r="K1209" i="86"/>
  <c r="AE637" i="83"/>
  <c r="Z637" i="83"/>
  <c r="AL59" i="69"/>
  <c r="AJ59" i="69"/>
  <c r="AL6" i="69"/>
  <c r="AJ6" i="69"/>
  <c r="N1261" i="86"/>
  <c r="K1261" i="86"/>
  <c r="AE908" i="83"/>
  <c r="Z908" i="83"/>
  <c r="AL25" i="69"/>
  <c r="AJ25" i="69"/>
  <c r="N125" i="88"/>
  <c r="N50" i="88"/>
  <c r="N1219" i="86"/>
  <c r="K1219" i="86"/>
  <c r="AD247" i="83"/>
  <c r="Y247" i="83"/>
  <c r="N110" i="88"/>
  <c r="N35" i="88"/>
  <c r="AG149" i="88"/>
  <c r="AG74" i="88"/>
  <c r="M1109" i="86"/>
  <c r="J1109" i="86"/>
  <c r="AE886" i="83"/>
  <c r="Z886" i="83"/>
  <c r="N1795" i="86"/>
  <c r="K1795" i="86"/>
  <c r="AD582" i="83"/>
  <c r="Y582" i="83"/>
  <c r="AD217" i="83"/>
  <c r="Y217" i="83"/>
  <c r="AC113" i="88"/>
  <c r="AC38" i="88"/>
  <c r="AF38" i="69"/>
  <c r="AP38" i="69"/>
  <c r="N873" i="86"/>
  <c r="K873" i="86"/>
  <c r="AE687" i="83"/>
  <c r="Z687" i="83"/>
  <c r="AE537" i="82"/>
  <c r="Y537" i="82"/>
  <c r="AD213" i="83"/>
  <c r="Y213" i="83"/>
  <c r="N1309" i="86"/>
  <c r="K1309" i="86"/>
  <c r="N1742" i="86"/>
  <c r="K1742" i="86"/>
  <c r="AE622" i="83"/>
  <c r="Z622" i="83"/>
  <c r="N1577" i="86"/>
  <c r="K1577" i="86"/>
  <c r="AD333" i="83"/>
  <c r="Y333" i="83"/>
  <c r="N100" i="88"/>
  <c r="N25" i="88"/>
  <c r="N367" i="86"/>
  <c r="K367" i="86"/>
  <c r="AF1651" i="82"/>
  <c r="Z1651" i="82"/>
  <c r="AD337" i="83"/>
  <c r="Y337" i="83"/>
  <c r="AF120" i="88"/>
  <c r="AF45" i="88"/>
  <c r="AE560" i="83"/>
  <c r="Z560" i="83"/>
  <c r="AD150" i="83"/>
  <c r="Y150" i="83"/>
  <c r="AG115" i="88"/>
  <c r="AG40" i="88"/>
  <c r="AG89" i="88"/>
  <c r="AG14" i="88"/>
  <c r="AK14" i="69"/>
  <c r="N1403" i="86"/>
  <c r="K1403" i="86"/>
  <c r="AM73" i="70"/>
  <c r="T73" i="70"/>
  <c r="N73" i="70"/>
  <c r="N1952" i="86"/>
  <c r="K1952" i="86"/>
  <c r="AE566" i="83"/>
  <c r="Z566" i="83"/>
  <c r="AL41" i="69"/>
  <c r="AJ41" i="69"/>
  <c r="AD430" i="83"/>
  <c r="Y430" i="83"/>
  <c r="AG34" i="70"/>
  <c r="AE34" i="70"/>
  <c r="AO34" i="70"/>
  <c r="Y588" i="82"/>
  <c r="AE588" i="82"/>
  <c r="AF1649" i="82"/>
  <c r="Z1649" i="82"/>
  <c r="AD268" i="83"/>
  <c r="Y268" i="83"/>
  <c r="AF1938" i="82"/>
  <c r="M1022" i="86"/>
  <c r="J1022" i="86"/>
  <c r="Z1938" i="82"/>
  <c r="K1938" i="86"/>
  <c r="N1938" i="86"/>
  <c r="AE832" i="83"/>
  <c r="Z832" i="83"/>
  <c r="AF1648" i="82"/>
  <c r="Z1648" i="82"/>
  <c r="AF464" i="82"/>
  <c r="AG12" i="69"/>
  <c r="AL26" i="70"/>
  <c r="AJ26" i="70"/>
  <c r="AE809" i="83"/>
  <c r="Z809" i="83"/>
  <c r="N2006" i="86"/>
  <c r="K2006" i="86"/>
  <c r="N1153" i="86"/>
  <c r="K1153" i="86"/>
  <c r="N1542" i="86"/>
  <c r="K1542" i="86"/>
  <c r="N126" i="88"/>
  <c r="N51" i="88"/>
  <c r="AF548" i="82"/>
  <c r="Z548" i="82"/>
  <c r="AF1551" i="82"/>
  <c r="Z1551" i="82"/>
  <c r="M761" i="86"/>
  <c r="J761" i="86"/>
  <c r="N1524" i="86"/>
  <c r="K1524" i="86"/>
  <c r="AD33" i="83"/>
  <c r="Y33" i="83"/>
  <c r="AE795" i="83"/>
  <c r="Z795" i="83"/>
  <c r="AD472" i="83"/>
  <c r="Y472" i="83"/>
  <c r="AE550" i="83"/>
  <c r="Z550" i="83"/>
  <c r="AM6" i="69"/>
  <c r="T6" i="69"/>
  <c r="N6" i="69"/>
  <c r="AE564" i="83"/>
  <c r="Z564" i="83"/>
  <c r="Y1022" i="82"/>
  <c r="AE1022" i="82"/>
  <c r="AE496" i="82"/>
  <c r="AF1580" i="82"/>
  <c r="Z1580" i="82"/>
  <c r="AC116" i="88"/>
  <c r="AP41" i="69"/>
  <c r="AF41" i="69"/>
  <c r="AC41" i="88"/>
  <c r="AF107" i="88"/>
  <c r="AF32" i="88"/>
  <c r="AE557" i="83"/>
  <c r="Z557" i="83"/>
  <c r="AE305" i="82"/>
  <c r="AE183" i="83"/>
  <c r="Z183" i="83"/>
  <c r="AF1623" i="82"/>
  <c r="Z1623" i="82"/>
  <c r="AD423" i="83"/>
  <c r="Y423" i="83"/>
  <c r="AL69" i="70"/>
  <c r="AJ69" i="70"/>
  <c r="AB85" i="88"/>
  <c r="AB10" i="88"/>
  <c r="AF1191" i="82"/>
  <c r="Z1191" i="82"/>
  <c r="AD280" i="83"/>
  <c r="Y280" i="83"/>
  <c r="AD375" i="83"/>
  <c r="Y375" i="83"/>
  <c r="AL7" i="82"/>
  <c r="AK7" i="82"/>
  <c r="AD506" i="83"/>
  <c r="Y506" i="83"/>
  <c r="N29" i="70"/>
  <c r="T29" i="70"/>
  <c r="AM29" i="70"/>
  <c r="AE693" i="83"/>
  <c r="Z693" i="83"/>
  <c r="AF1611" i="82"/>
  <c r="Z1611" i="82"/>
  <c r="N1780" i="86"/>
  <c r="K1780" i="86"/>
  <c r="AE1196" i="82"/>
  <c r="Y1196" i="82"/>
  <c r="AM74" i="69"/>
  <c r="T74" i="69"/>
  <c r="N74" i="69"/>
  <c r="AE12" i="69"/>
  <c r="AB12" i="88"/>
  <c r="AB87" i="88"/>
  <c r="Z1219" i="82"/>
  <c r="AF1219" i="82"/>
  <c r="AF51" i="70"/>
  <c r="AP51" i="70"/>
  <c r="Z1795" i="82"/>
  <c r="AF1795" i="82"/>
  <c r="AF587" i="82"/>
  <c r="N2015" i="86"/>
  <c r="K2015" i="86"/>
  <c r="N1436" i="86"/>
  <c r="K1436" i="86"/>
  <c r="N1860" i="86"/>
  <c r="K1860" i="86"/>
  <c r="AE639" i="83"/>
  <c r="Z639" i="83"/>
  <c r="AF1733" i="82"/>
  <c r="Z1879" i="82"/>
  <c r="AF1879" i="82"/>
  <c r="M309" i="86"/>
  <c r="J309" i="86"/>
  <c r="AG64" i="70"/>
  <c r="AE64" i="70"/>
  <c r="AO64" i="70"/>
  <c r="Z1742" i="82"/>
  <c r="AF1742" i="82"/>
  <c r="AD289" i="83"/>
  <c r="Y289" i="83"/>
  <c r="M389" i="86"/>
  <c r="J389" i="86"/>
  <c r="AD449" i="83"/>
  <c r="Y449" i="83"/>
  <c r="AF1987" i="82"/>
  <c r="Z1987" i="82"/>
  <c r="AF1558" i="82"/>
  <c r="Z1558" i="82"/>
  <c r="AM38" i="69"/>
  <c r="T38" i="69"/>
  <c r="N38" i="69"/>
  <c r="AM20" i="69"/>
  <c r="T20" i="69"/>
  <c r="N20" i="69"/>
  <c r="AD366" i="83"/>
  <c r="Y366" i="83"/>
  <c r="AB95" i="88"/>
  <c r="AB20" i="88"/>
  <c r="AD151" i="83"/>
  <c r="Y151" i="83"/>
  <c r="AE918" i="83"/>
  <c r="Z918" i="83"/>
  <c r="AF87" i="88"/>
  <c r="AF12" i="88"/>
  <c r="AF538" i="82"/>
  <c r="Z538" i="82"/>
  <c r="AE949" i="83"/>
  <c r="Z949" i="83"/>
  <c r="AE489" i="83"/>
  <c r="Z489" i="83"/>
  <c r="N1652" i="86"/>
  <c r="K1652" i="86"/>
  <c r="AE241" i="83"/>
  <c r="Z241" i="83"/>
  <c r="AE16" i="70"/>
  <c r="AG16" i="70"/>
  <c r="AM16" i="70"/>
  <c r="AD81" i="83"/>
  <c r="Y81" i="83"/>
  <c r="AD22" i="83"/>
  <c r="Y22" i="83"/>
  <c r="AL29" i="70"/>
  <c r="AJ29" i="70"/>
  <c r="N1326" i="86"/>
  <c r="K1326" i="86"/>
  <c r="AE531" i="82"/>
  <c r="Y531" i="82"/>
  <c r="Y63" i="82"/>
  <c r="AE63" i="82"/>
  <c r="S12" i="86"/>
  <c r="Y12" i="86"/>
  <c r="AG12" i="86"/>
  <c r="AF148" i="88"/>
  <c r="AF73" i="88"/>
  <c r="AL40" i="70"/>
  <c r="AJ40" i="70"/>
  <c r="N1498" i="86"/>
  <c r="K1498" i="86"/>
  <c r="AP55" i="69"/>
  <c r="AF55" i="69"/>
  <c r="AC55" i="88"/>
  <c r="AC130" i="88"/>
  <c r="Z422" i="82"/>
  <c r="AF422" i="82"/>
  <c r="AD355" i="83"/>
  <c r="Y355" i="83"/>
  <c r="AM38" i="70"/>
  <c r="T38" i="70"/>
  <c r="N38" i="70"/>
  <c r="M398" i="86"/>
  <c r="J398" i="86"/>
  <c r="AE1163" i="82"/>
  <c r="Y1163" i="82"/>
  <c r="Z464" i="82"/>
  <c r="K464" i="86"/>
  <c r="N464" i="86"/>
  <c r="N142" i="88"/>
  <c r="N67" i="88"/>
  <c r="Z1951" i="82"/>
  <c r="AF1951" i="82"/>
  <c r="AK42" i="69"/>
  <c r="AK42" i="70"/>
  <c r="Z2006" i="82"/>
  <c r="AF2006" i="82"/>
  <c r="AO54" i="70"/>
  <c r="AE54" i="70"/>
  <c r="AG54" i="70"/>
  <c r="AE249" i="83"/>
  <c r="Z249" i="83"/>
  <c r="AK42" i="67"/>
  <c r="AK42" i="68"/>
  <c r="AG42" i="88"/>
  <c r="AG117" i="88"/>
  <c r="AF1385" i="82"/>
  <c r="Z1385" i="82"/>
  <c r="N95" i="88"/>
  <c r="N20" i="88"/>
  <c r="AE778" i="83"/>
  <c r="Z778" i="83"/>
  <c r="N85" i="88"/>
  <c r="N10" i="88"/>
  <c r="Z1524" i="82"/>
  <c r="AF1524" i="82"/>
  <c r="AE606" i="82"/>
  <c r="N1923" i="86"/>
  <c r="K1923" i="86"/>
  <c r="N91" i="88"/>
  <c r="N16" i="88"/>
  <c r="N821" i="86"/>
  <c r="K821" i="86"/>
  <c r="M913" i="86"/>
  <c r="J913" i="86"/>
  <c r="AL45" i="70"/>
  <c r="AJ45" i="70"/>
  <c r="Y606" i="82"/>
  <c r="J606" i="86"/>
  <c r="M606" i="86"/>
  <c r="AF1567" i="82"/>
  <c r="Z1567" i="82"/>
  <c r="AG30" i="70"/>
  <c r="AF30" i="70"/>
  <c r="AP30" i="70"/>
  <c r="Z1957" i="82"/>
  <c r="AF1957" i="82"/>
  <c r="AD453" i="83"/>
  <c r="Y453" i="83"/>
  <c r="Y496" i="82"/>
  <c r="J496" i="86"/>
  <c r="M496" i="86"/>
  <c r="AL68" i="70"/>
  <c r="AJ68" i="70"/>
  <c r="AE532" i="82"/>
  <c r="Y532" i="82"/>
  <c r="N1639" i="86"/>
  <c r="K1639" i="86"/>
  <c r="Y305" i="82"/>
  <c r="J305" i="86"/>
  <c r="M305" i="86"/>
  <c r="M1159" i="86"/>
  <c r="J1159" i="86"/>
  <c r="N836" i="86"/>
  <c r="K836" i="86"/>
  <c r="N1287" i="86"/>
  <c r="K1287" i="86"/>
  <c r="AC97" i="88"/>
  <c r="AC22" i="88"/>
  <c r="AF22" i="69"/>
  <c r="AP22" i="69"/>
  <c r="AD477" i="83"/>
  <c r="Y477" i="83"/>
  <c r="AL72" i="69"/>
  <c r="AJ72" i="69"/>
  <c r="N904" i="86"/>
  <c r="K904" i="86"/>
  <c r="AD311" i="83"/>
  <c r="Y311" i="83"/>
  <c r="AF1434" i="82"/>
  <c r="Z1434" i="82"/>
  <c r="AD452" i="83"/>
  <c r="Y452" i="83"/>
  <c r="AM27" i="69"/>
  <c r="T27" i="69"/>
  <c r="N27" i="69"/>
  <c r="M495" i="86"/>
  <c r="J495" i="86"/>
  <c r="N1744" i="86"/>
  <c r="K1744" i="86"/>
  <c r="AE792" i="83"/>
  <c r="Z792" i="83"/>
  <c r="N2007" i="86"/>
  <c r="K2007" i="86"/>
  <c r="AG66" i="69"/>
  <c r="Z873" i="82"/>
  <c r="AF873" i="82"/>
  <c r="AF537" i="82"/>
  <c r="Z537" i="82"/>
  <c r="Z1780" i="82"/>
  <c r="AF1780" i="82"/>
  <c r="AD324" i="83"/>
  <c r="Y324" i="83"/>
  <c r="AF84" i="88"/>
  <c r="AF9" i="88"/>
  <c r="Z1733" i="82"/>
  <c r="K1733" i="86"/>
  <c r="N1733" i="86"/>
  <c r="M310" i="86"/>
  <c r="J310" i="86"/>
  <c r="AP39" i="69"/>
  <c r="AF39" i="69"/>
  <c r="AC39" i="88"/>
  <c r="AC114" i="88"/>
  <c r="AE268" i="83"/>
  <c r="Z268" i="83"/>
  <c r="AP32" i="69"/>
  <c r="AF32" i="69"/>
  <c r="AC32" i="88"/>
  <c r="AC107" i="88"/>
  <c r="AF1411" i="82"/>
  <c r="Z1411" i="82"/>
  <c r="AE585" i="83"/>
  <c r="Z585" i="83"/>
  <c r="AF1692" i="82"/>
  <c r="Z1692" i="82"/>
  <c r="N1154" i="86"/>
  <c r="K1154" i="86"/>
  <c r="AM70" i="70"/>
  <c r="T70" i="70"/>
  <c r="N70" i="70"/>
  <c r="AD257" i="83"/>
  <c r="Y257" i="83"/>
  <c r="AD209" i="83"/>
  <c r="Y209" i="83"/>
  <c r="AF139" i="88"/>
  <c r="AF64" i="88"/>
  <c r="AO20" i="69"/>
  <c r="AE20" i="69"/>
  <c r="AG20" i="69"/>
  <c r="N492" i="86"/>
  <c r="K492" i="86"/>
  <c r="N1281" i="86"/>
  <c r="K1281" i="86"/>
  <c r="AD498" i="83"/>
  <c r="Y498" i="83"/>
  <c r="M1114" i="86"/>
  <c r="J1114" i="86"/>
  <c r="AK8" i="70"/>
  <c r="AK8" i="69"/>
  <c r="N1556" i="86"/>
  <c r="K1556" i="86"/>
  <c r="N13" i="88"/>
  <c r="N88" i="88"/>
  <c r="AL37" i="70"/>
  <c r="AJ37" i="70"/>
  <c r="AE512" i="83"/>
  <c r="Z512" i="83"/>
  <c r="AE563" i="83"/>
  <c r="Z563" i="83"/>
  <c r="M532" i="86"/>
  <c r="J532" i="86"/>
  <c r="AE260" i="83"/>
  <c r="Z260" i="83"/>
  <c r="AE227" i="83"/>
  <c r="Z227" i="83"/>
  <c r="AF1455" i="82"/>
  <c r="Z1455" i="82"/>
  <c r="AD246" i="83"/>
  <c r="Y246" i="83"/>
  <c r="Z1761" i="82"/>
  <c r="AF1761" i="82"/>
  <c r="AF1386" i="82"/>
  <c r="Z1386" i="82"/>
  <c r="AG133" i="88"/>
  <c r="AG58" i="88"/>
  <c r="Z1326" i="82"/>
  <c r="AF1326" i="82"/>
  <c r="M768" i="86"/>
  <c r="J768" i="86"/>
  <c r="AE733" i="83"/>
  <c r="Z733" i="83"/>
  <c r="Y389" i="82"/>
  <c r="AE389" i="82"/>
  <c r="AE16" i="69"/>
  <c r="AG16" i="69"/>
  <c r="N925" i="86"/>
  <c r="K925" i="86"/>
  <c r="M396" i="86"/>
  <c r="J396" i="86"/>
  <c r="AE737" i="83"/>
  <c r="Z737" i="83"/>
  <c r="AM13" i="70"/>
  <c r="AG13" i="70"/>
  <c r="AE13" i="70"/>
  <c r="AK58" i="70"/>
  <c r="AK58" i="67"/>
  <c r="AK58" i="68"/>
  <c r="AK58" i="69"/>
  <c r="Y398" i="82"/>
  <c r="AE398" i="82"/>
  <c r="N583" i="86"/>
  <c r="K583" i="86"/>
  <c r="AE233" i="83"/>
  <c r="Z233" i="83"/>
  <c r="AF1543" i="82"/>
  <c r="Z1543" i="82"/>
  <c r="AF1546" i="82"/>
  <c r="Z1546" i="82"/>
  <c r="AF533" i="82"/>
  <c r="Z533" i="82"/>
  <c r="M690" i="86"/>
  <c r="J690" i="86"/>
  <c r="AF1446" i="82"/>
  <c r="Z1446" i="82"/>
  <c r="N1705" i="86"/>
  <c r="K1705" i="86"/>
  <c r="AE250" i="82"/>
  <c r="AK32" i="70"/>
  <c r="AK32" i="68"/>
  <c r="AK32" i="69"/>
  <c r="Y482" i="82"/>
  <c r="AE482" i="82"/>
  <c r="N823" i="86"/>
  <c r="K823" i="86"/>
  <c r="Z1944" i="82"/>
  <c r="AF1944" i="82"/>
  <c r="AJ9" i="69"/>
  <c r="AL9" i="69"/>
  <c r="AF1477" i="82"/>
  <c r="Z1477" i="82"/>
  <c r="Z821" i="82"/>
  <c r="AF821" i="82"/>
  <c r="AD471" i="83"/>
  <c r="Y471" i="83"/>
  <c r="AD317" i="83"/>
  <c r="Y317" i="83"/>
  <c r="AD536" i="83"/>
  <c r="Y536" i="83"/>
  <c r="N1538" i="86"/>
  <c r="K1538" i="86"/>
  <c r="AE750" i="83"/>
  <c r="Z750" i="83"/>
  <c r="AE689" i="83"/>
  <c r="Z689" i="83"/>
  <c r="M308" i="86"/>
  <c r="J308" i="86"/>
  <c r="AE679" i="83"/>
  <c r="Z679" i="83"/>
  <c r="AM46" i="70"/>
  <c r="T46" i="70"/>
  <c r="N46" i="70"/>
  <c r="AF1632" i="82"/>
  <c r="Z1632" i="82"/>
  <c r="N1684" i="86"/>
  <c r="K1684" i="86"/>
  <c r="N1212" i="86"/>
  <c r="K1212" i="86"/>
  <c r="AF1071" i="82"/>
  <c r="N1437" i="86"/>
  <c r="K1437" i="86"/>
  <c r="Z836" i="82"/>
  <c r="AF836" i="82"/>
  <c r="M1166" i="86"/>
  <c r="J1166" i="86"/>
  <c r="AK44" i="69"/>
  <c r="AK44" i="70"/>
  <c r="AL58" i="70"/>
  <c r="AJ58" i="70"/>
  <c r="AF1585" i="82"/>
  <c r="Z1585" i="82"/>
  <c r="N1504" i="86"/>
  <c r="K1504" i="86"/>
  <c r="Z904" i="82"/>
  <c r="AF904" i="82"/>
  <c r="AE10" i="69"/>
  <c r="AG10" i="69"/>
  <c r="AF1915" i="82"/>
  <c r="N1497" i="86"/>
  <c r="K1497" i="86"/>
  <c r="Z1744" i="82"/>
  <c r="AF1744" i="82"/>
  <c r="AL53" i="69"/>
  <c r="AJ53" i="69"/>
  <c r="AF1415" i="82"/>
  <c r="Z1415" i="82"/>
  <c r="Z2007" i="82"/>
  <c r="AF2007" i="82"/>
  <c r="N1845" i="86"/>
  <c r="K1845" i="86"/>
  <c r="AO66" i="69"/>
  <c r="AE66" i="69"/>
  <c r="AB66" i="88"/>
  <c r="AB141" i="88"/>
  <c r="N1635" i="86"/>
  <c r="K1635" i="86"/>
  <c r="M658" i="86"/>
  <c r="J658" i="86"/>
  <c r="N132" i="88"/>
  <c r="N57" i="88"/>
  <c r="AE688" i="82"/>
  <c r="AF1617" i="82"/>
  <c r="Z1617" i="82"/>
  <c r="N140" i="88"/>
  <c r="N65" i="88"/>
  <c r="Y1109" i="82"/>
  <c r="AE1109" i="82"/>
  <c r="AD53" i="83"/>
  <c r="Y53" i="83"/>
  <c r="AF905" i="82"/>
  <c r="M1101" i="86"/>
  <c r="J1101" i="86"/>
  <c r="AE275" i="82"/>
  <c r="N1768" i="86"/>
  <c r="K1768" i="86"/>
  <c r="Z1860" i="82"/>
  <c r="AF1860" i="82"/>
  <c r="AG8" i="69"/>
  <c r="N533" i="86"/>
  <c r="K533" i="86"/>
  <c r="Z1309" i="82"/>
  <c r="AF1309" i="82"/>
  <c r="AE924" i="83"/>
  <c r="Z924" i="83"/>
  <c r="AG48" i="69"/>
  <c r="AE562" i="83"/>
  <c r="Z562" i="83"/>
  <c r="M115" i="86"/>
  <c r="J115" i="86"/>
  <c r="AD174" i="83"/>
  <c r="Y174" i="83"/>
  <c r="AE615" i="83"/>
  <c r="Z615" i="83"/>
  <c r="AL7" i="69"/>
  <c r="AJ7" i="69"/>
  <c r="M382" i="86"/>
  <c r="J382" i="86"/>
  <c r="AE202" i="83"/>
  <c r="Z202" i="83"/>
  <c r="AF1171" i="82"/>
  <c r="Z1171" i="82"/>
  <c r="AP67" i="69"/>
  <c r="AF67" i="69"/>
  <c r="AC67" i="88"/>
  <c r="AC142" i="88"/>
  <c r="N1000" i="86"/>
  <c r="K1000" i="86"/>
  <c r="AD26" i="83"/>
  <c r="Y26" i="83"/>
  <c r="M541" i="86"/>
  <c r="J541" i="86"/>
  <c r="N1714" i="86"/>
  <c r="K1714" i="86"/>
  <c r="N1717" i="86"/>
  <c r="K1717" i="86"/>
  <c r="Z925" i="82"/>
  <c r="AF925" i="82"/>
  <c r="Y396" i="82"/>
  <c r="AE396" i="82"/>
  <c r="N1282" i="86"/>
  <c r="K1282" i="86"/>
  <c r="AL7" i="70"/>
  <c r="AJ7" i="70"/>
  <c r="AB114" i="88"/>
  <c r="AB39" i="88"/>
  <c r="AD188" i="83"/>
  <c r="Y188" i="83"/>
  <c r="Y761" i="82"/>
  <c r="AE761" i="82"/>
  <c r="Y690" i="82"/>
  <c r="AE690" i="82"/>
  <c r="N1700" i="86"/>
  <c r="K1700" i="86"/>
  <c r="AF106" i="88"/>
  <c r="AF31" i="88"/>
  <c r="Z1705" i="82"/>
  <c r="AF1705" i="82"/>
  <c r="Y250" i="82"/>
  <c r="J250" i="86"/>
  <c r="M250" i="86"/>
  <c r="M853" i="86"/>
  <c r="J853" i="86"/>
  <c r="N967" i="86"/>
  <c r="K967" i="86"/>
  <c r="Z823" i="82"/>
  <c r="AF823" i="82"/>
  <c r="AD88" i="83"/>
  <c r="Y88" i="83"/>
  <c r="AE842" i="83"/>
  <c r="Z842" i="83"/>
  <c r="AD372" i="83"/>
  <c r="Y372" i="83"/>
  <c r="AE236" i="83"/>
  <c r="Z236" i="83"/>
  <c r="AF2020" i="82"/>
  <c r="Y781" i="82"/>
  <c r="AE781" i="82"/>
  <c r="AF93" i="88"/>
  <c r="AF18" i="88"/>
  <c r="AE203" i="83"/>
  <c r="Z203" i="83"/>
  <c r="N542" i="86"/>
  <c r="K542" i="86"/>
  <c r="AF73" i="70"/>
  <c r="AP73" i="70"/>
  <c r="AF145" i="88"/>
  <c r="AF70" i="88"/>
  <c r="AE225" i="83"/>
  <c r="Z225" i="83"/>
  <c r="AC141" i="88"/>
  <c r="AP66" i="69"/>
  <c r="AF66" i="69"/>
  <c r="AC66" i="88"/>
  <c r="AE862" i="83"/>
  <c r="Z862" i="83"/>
  <c r="AF140" i="88"/>
  <c r="AF65" i="88"/>
  <c r="Y705" i="82"/>
  <c r="AE705" i="82"/>
  <c r="Y308" i="82"/>
  <c r="AE308" i="82"/>
  <c r="AE799" i="83"/>
  <c r="Z799" i="83"/>
  <c r="AE1201" i="82"/>
  <c r="Y1201" i="82"/>
  <c r="N1752" i="86"/>
  <c r="K1752" i="86"/>
  <c r="AF1436" i="82"/>
  <c r="Z1436" i="82"/>
  <c r="AE555" i="83"/>
  <c r="Z555" i="83"/>
  <c r="AM62" i="70"/>
  <c r="T62" i="70"/>
  <c r="N62" i="70"/>
  <c r="Z1261" i="82"/>
  <c r="AF1261" i="82"/>
  <c r="AE866" i="83"/>
  <c r="Z866" i="83"/>
  <c r="AF1603" i="82"/>
  <c r="Z1603" i="82"/>
  <c r="AE803" i="83"/>
  <c r="Z803" i="83"/>
  <c r="AF1427" i="82"/>
  <c r="Z1427" i="82"/>
  <c r="AM43" i="69"/>
  <c r="T43" i="69"/>
  <c r="N43" i="69"/>
  <c r="AK44" i="67"/>
  <c r="AK44" i="68"/>
  <c r="AG44" i="88"/>
  <c r="AG119" i="88"/>
  <c r="Z2020" i="82"/>
  <c r="K2020" i="86"/>
  <c r="N2020" i="86"/>
  <c r="AD49" i="83"/>
  <c r="Y49" i="83"/>
  <c r="N1274" i="86"/>
  <c r="K1274" i="86"/>
  <c r="AE1199" i="82"/>
  <c r="Y1199" i="82"/>
  <c r="Z1504" i="82"/>
  <c r="AF1504" i="82"/>
  <c r="Y1114" i="82"/>
  <c r="AE1114" i="82"/>
  <c r="Z1915" i="82"/>
  <c r="K1915" i="86"/>
  <c r="N1915" i="86"/>
  <c r="AK74" i="69"/>
  <c r="AK74" i="67"/>
  <c r="AK74" i="68"/>
  <c r="AK74" i="70"/>
  <c r="Z1281" i="82"/>
  <c r="AF1281" i="82"/>
  <c r="N146" i="88"/>
  <c r="N71" i="88"/>
  <c r="Y495" i="82"/>
  <c r="AE495" i="82"/>
  <c r="AG129" i="88"/>
  <c r="AG54" i="88"/>
  <c r="AE642" i="83"/>
  <c r="Z642" i="83"/>
  <c r="N2005" i="86"/>
  <c r="K2005" i="86"/>
  <c r="AE762" i="83"/>
  <c r="Z762" i="83"/>
  <c r="AM66" i="69"/>
  <c r="T66" i="69"/>
  <c r="N66" i="69"/>
  <c r="AF102" i="88"/>
  <c r="AF27" i="88"/>
  <c r="Y658" i="82"/>
  <c r="AE658" i="82"/>
  <c r="AD343" i="83"/>
  <c r="Y343" i="83"/>
  <c r="AD432" i="83"/>
  <c r="Y432" i="83"/>
  <c r="AG142" i="88"/>
  <c r="AG67" i="88"/>
  <c r="Z905" i="82"/>
  <c r="K905" i="86"/>
  <c r="N905" i="86"/>
  <c r="AL39" i="69"/>
  <c r="AJ39" i="69"/>
  <c r="AF1974" i="82"/>
  <c r="AF1394" i="82"/>
  <c r="Z1394" i="82"/>
  <c r="Y275" i="82"/>
  <c r="J275" i="86"/>
  <c r="M275" i="86"/>
  <c r="AB134" i="88"/>
  <c r="AB59" i="88"/>
  <c r="AF1462" i="82"/>
  <c r="Z1462" i="82"/>
  <c r="Z1768" i="82"/>
  <c r="AF1768" i="82"/>
  <c r="N1123" i="86"/>
  <c r="K1123" i="86"/>
  <c r="M1167" i="86"/>
  <c r="J1167" i="86"/>
  <c r="AE735" i="83"/>
  <c r="Z735" i="83"/>
  <c r="Y309" i="82"/>
  <c r="AE309" i="82"/>
  <c r="AF1677" i="82"/>
  <c r="Z1677" i="82"/>
  <c r="AF1420" i="82"/>
  <c r="Z1420" i="82"/>
  <c r="AO48" i="69"/>
  <c r="AE48" i="69"/>
  <c r="AB48" i="88"/>
  <c r="AB123" i="88"/>
  <c r="Y115" i="82"/>
  <c r="AE115" i="82"/>
  <c r="AD129" i="83"/>
  <c r="Y129" i="83"/>
  <c r="AD338" i="83"/>
  <c r="Y338" i="83"/>
  <c r="AK40" i="70"/>
  <c r="AK40" i="67"/>
  <c r="AK40" i="68"/>
  <c r="AK40" i="69"/>
  <c r="AG87" i="88"/>
  <c r="AG12" i="88"/>
  <c r="AK12" i="69"/>
  <c r="N1461" i="86"/>
  <c r="K1461" i="86"/>
  <c r="AD293" i="83"/>
  <c r="Y293" i="83"/>
  <c r="AF128" i="88"/>
  <c r="AF53" i="88"/>
  <c r="AD7" i="83"/>
  <c r="Y7" i="83"/>
  <c r="AV2" i="82"/>
  <c r="AF1961" i="82"/>
  <c r="AL45" i="68"/>
  <c r="AD459" i="83"/>
  <c r="Y459" i="83"/>
  <c r="AD140" i="83"/>
  <c r="Y140" i="83"/>
  <c r="AE800" i="83"/>
  <c r="Z800" i="83"/>
  <c r="AE712" i="83"/>
  <c r="Z712" i="83"/>
  <c r="AL21" i="70"/>
  <c r="AJ21" i="70"/>
  <c r="AE740" i="82"/>
  <c r="Z1752" i="82"/>
  <c r="AF1752" i="82"/>
  <c r="AF9" i="69"/>
  <c r="AC9" i="88"/>
  <c r="AC84" i="88"/>
  <c r="AE567" i="83"/>
  <c r="Z567" i="83"/>
  <c r="Z1282" i="82"/>
  <c r="AF1282" i="82"/>
  <c r="Z1956" i="82"/>
  <c r="AF1956" i="82"/>
  <c r="Y768" i="82"/>
  <c r="AE768" i="82"/>
  <c r="N1472" i="86"/>
  <c r="K1472" i="86"/>
  <c r="Y740" i="82"/>
  <c r="J740" i="86"/>
  <c r="M740" i="86"/>
  <c r="AO39" i="69"/>
  <c r="AE39" i="69"/>
  <c r="AG39" i="69"/>
  <c r="AE745" i="83"/>
  <c r="Z745" i="83"/>
  <c r="AL44" i="69"/>
  <c r="AJ44" i="69"/>
  <c r="Z583" i="82"/>
  <c r="AF583" i="82"/>
  <c r="N1819" i="86"/>
  <c r="K1819" i="86"/>
  <c r="AD125" i="83"/>
  <c r="Y125" i="83"/>
  <c r="Z1700" i="82"/>
  <c r="AF1700" i="82"/>
  <c r="AB128" i="88"/>
  <c r="AB53" i="88"/>
  <c r="AO22" i="70"/>
  <c r="AE22" i="70"/>
  <c r="AG22" i="70"/>
  <c r="Z1819" i="82"/>
  <c r="AF1819" i="82"/>
  <c r="Y853" i="82"/>
  <c r="AE853" i="82"/>
  <c r="Z967" i="82"/>
  <c r="AF967" i="82"/>
  <c r="M164" i="86"/>
  <c r="J164" i="86"/>
  <c r="Z877" i="82"/>
  <c r="K877" i="86"/>
  <c r="N877" i="86"/>
  <c r="AE934" i="83"/>
  <c r="Z934" i="83"/>
  <c r="Y688" i="82"/>
  <c r="J688" i="86"/>
  <c r="M688" i="86"/>
  <c r="AD50" i="83"/>
  <c r="Y50" i="83"/>
  <c r="AE743" i="83"/>
  <c r="Z743" i="83"/>
  <c r="AO53" i="69"/>
  <c r="AE53" i="69"/>
  <c r="AG53" i="69"/>
  <c r="AE220" i="83"/>
  <c r="Z220" i="83"/>
  <c r="AP48" i="69"/>
  <c r="AF48" i="69"/>
  <c r="AC48" i="88"/>
  <c r="AC123" i="88"/>
  <c r="N127" i="88"/>
  <c r="N52" i="88"/>
  <c r="Y164" i="82"/>
  <c r="AE164" i="82"/>
  <c r="AJ18" i="69"/>
  <c r="AL18" i="69"/>
  <c r="M1204" i="86"/>
  <c r="J1204" i="86"/>
  <c r="N138" i="88"/>
  <c r="N63" i="88"/>
  <c r="Z1762" i="82"/>
  <c r="AF1762" i="82"/>
  <c r="AD139" i="83"/>
  <c r="Y139" i="83"/>
  <c r="AL30" i="69"/>
  <c r="AJ30" i="69"/>
  <c r="Z875" i="82"/>
  <c r="AF875" i="82"/>
  <c r="Z1923" i="82"/>
  <c r="AF1923" i="82"/>
  <c r="Z1538" i="82"/>
  <c r="AF1538" i="82"/>
  <c r="AD135" i="83"/>
  <c r="Y135" i="83"/>
  <c r="AF46" i="70"/>
  <c r="AP46" i="70"/>
  <c r="AE361" i="82"/>
  <c r="AE661" i="83"/>
  <c r="Z661" i="83"/>
  <c r="AF1184" i="82"/>
  <c r="Z1184" i="82"/>
  <c r="Z1845" i="82"/>
  <c r="AF1845" i="82"/>
  <c r="AF85" i="88"/>
  <c r="AF10" i="88"/>
  <c r="AE527" i="82"/>
  <c r="Y527" i="82"/>
  <c r="AM52" i="70"/>
  <c r="T52" i="70"/>
  <c r="N52" i="70"/>
  <c r="Y1101" i="82"/>
  <c r="AE1101" i="82"/>
  <c r="Z1870" i="82"/>
  <c r="AF1870" i="82"/>
  <c r="AD116" i="83"/>
  <c r="Y116" i="83"/>
  <c r="AE669" i="83"/>
  <c r="Z669" i="83"/>
  <c r="AE893" i="83"/>
  <c r="Z893" i="83"/>
  <c r="AF1869" i="82"/>
  <c r="Z1274" i="82"/>
  <c r="AF1274" i="82"/>
  <c r="AM25" i="69"/>
  <c r="T25" i="69"/>
  <c r="N25" i="69"/>
  <c r="AG108" i="88"/>
  <c r="AG33" i="88"/>
  <c r="AF930" i="82"/>
  <c r="AL46" i="69"/>
  <c r="AJ46" i="69"/>
  <c r="Z367" i="82"/>
  <c r="AF367" i="82"/>
  <c r="AE688" i="83"/>
  <c r="Z688" i="83"/>
  <c r="AL73" i="70"/>
  <c r="AJ73" i="70"/>
  <c r="AD298" i="83"/>
  <c r="Y298" i="83"/>
  <c r="AF1190" i="82"/>
  <c r="Z1190" i="82"/>
  <c r="AK54" i="70"/>
  <c r="AK54" i="67"/>
  <c r="AK54" i="68"/>
  <c r="AK54" i="69"/>
  <c r="Z2005" i="82"/>
  <c r="AF2005" i="82"/>
  <c r="AE608" i="83"/>
  <c r="Z608" i="83"/>
  <c r="AM12" i="70"/>
  <c r="AG12" i="70"/>
  <c r="AE12" i="70"/>
  <c r="AL8" i="70"/>
  <c r="AJ8" i="70"/>
  <c r="AE388" i="82"/>
  <c r="AF1610" i="82"/>
  <c r="Z1610" i="82"/>
  <c r="AF1459" i="82"/>
  <c r="Z1459" i="82"/>
  <c r="AG45" i="70"/>
  <c r="AE45" i="70"/>
  <c r="AO45" i="70"/>
  <c r="Z1974" i="82"/>
  <c r="K1974" i="86"/>
  <c r="N1974" i="86"/>
  <c r="AL28" i="70"/>
  <c r="AJ28" i="70"/>
  <c r="AO59" i="69"/>
  <c r="AE59" i="69"/>
  <c r="AG59" i="69"/>
  <c r="Z2015" i="82"/>
  <c r="AF2015" i="82"/>
  <c r="AD17" i="83"/>
  <c r="Y17" i="83"/>
  <c r="AD364" i="83"/>
  <c r="Y364" i="83"/>
  <c r="AF1728" i="82"/>
  <c r="AE383" i="82"/>
  <c r="Z1123" i="82"/>
  <c r="AF1123" i="82"/>
  <c r="AE184" i="83"/>
  <c r="Z184" i="83"/>
  <c r="AE230" i="83"/>
  <c r="Z230" i="83"/>
  <c r="N1378" i="86"/>
  <c r="K1378" i="86"/>
  <c r="N1859" i="86"/>
  <c r="K1859" i="86"/>
  <c r="AF1874" i="82"/>
  <c r="AE525" i="82"/>
  <c r="Y525" i="82"/>
  <c r="AF520" i="82"/>
  <c r="Z520" i="82"/>
  <c r="Y382" i="82"/>
  <c r="AE382" i="82"/>
  <c r="M21" i="86"/>
  <c r="J21" i="86"/>
  <c r="AE951" i="83"/>
  <c r="Z951" i="83"/>
  <c r="N1894" i="86"/>
  <c r="K1894" i="86"/>
  <c r="N895" i="86"/>
  <c r="K895" i="86"/>
  <c r="Z598" i="83"/>
  <c r="AE598" i="83"/>
  <c r="AJ8" i="83"/>
  <c r="Y913" i="82"/>
  <c r="AE913" i="82"/>
  <c r="Z1828" i="82"/>
  <c r="AF1828" i="82"/>
  <c r="Y361" i="82"/>
  <c r="J361" i="86"/>
  <c r="M361" i="86"/>
  <c r="AD226" i="83"/>
  <c r="Y226" i="83"/>
  <c r="AE770" i="83"/>
  <c r="Z770" i="83"/>
  <c r="Y667" i="82"/>
  <c r="AE667" i="82"/>
  <c r="AE775" i="83"/>
  <c r="Z775" i="83"/>
  <c r="N1479" i="86"/>
  <c r="K1479" i="86"/>
  <c r="N1579" i="86"/>
  <c r="K1579" i="86"/>
  <c r="AK46" i="70"/>
  <c r="AK46" i="69"/>
  <c r="N1570" i="86"/>
  <c r="K1570" i="86"/>
  <c r="AE761" i="83"/>
  <c r="Z761" i="83"/>
  <c r="AD75" i="83"/>
  <c r="Y75" i="83"/>
  <c r="N1360" i="86"/>
  <c r="K1360" i="86"/>
  <c r="AP37" i="69"/>
  <c r="AF37" i="69"/>
  <c r="AC37" i="88"/>
  <c r="AC112" i="88"/>
  <c r="AF109" i="88"/>
  <c r="AF34" i="88"/>
  <c r="AJ10" i="69"/>
  <c r="AL10" i="69"/>
  <c r="Z814" i="82"/>
  <c r="AF814" i="82"/>
  <c r="AD547" i="83"/>
  <c r="Y547" i="83"/>
  <c r="Z1287" i="82"/>
  <c r="AF1287" i="82"/>
  <c r="Z1869" i="82"/>
  <c r="K1869" i="86"/>
  <c r="N1869" i="86"/>
  <c r="AE848" i="83"/>
  <c r="Z848" i="83"/>
  <c r="AD73" i="83"/>
  <c r="Y73" i="83"/>
  <c r="Z393" i="82"/>
  <c r="AF393" i="82"/>
  <c r="AK33" i="70"/>
  <c r="AK33" i="68"/>
  <c r="AK33" i="69"/>
  <c r="Z930" i="82"/>
  <c r="K930" i="86"/>
  <c r="N930" i="86"/>
  <c r="AF1491" i="82"/>
  <c r="Z1491" i="82"/>
  <c r="Y328" i="82"/>
  <c r="AE328" i="82"/>
  <c r="AD393" i="83"/>
  <c r="Y393" i="83"/>
  <c r="Z587" i="82"/>
  <c r="K587" i="86"/>
  <c r="N587" i="86"/>
  <c r="AE872" i="83"/>
  <c r="Z872" i="83"/>
  <c r="AF124" i="88"/>
  <c r="AF49" i="88"/>
  <c r="AL20" i="70"/>
  <c r="AJ20" i="70"/>
  <c r="AF15" i="69"/>
  <c r="AC15" i="88"/>
  <c r="AC90" i="88"/>
  <c r="Y388" i="82"/>
  <c r="J388" i="86"/>
  <c r="M388" i="86"/>
  <c r="AF122" i="88"/>
  <c r="AF47" i="88"/>
  <c r="N47" i="69"/>
  <c r="T47" i="69"/>
  <c r="AM47" i="69"/>
  <c r="AD410" i="83"/>
  <c r="Y410" i="83"/>
  <c r="AD392" i="83"/>
  <c r="Y392" i="83"/>
  <c r="AK67" i="69"/>
  <c r="AK67" i="67"/>
  <c r="AK67" i="68"/>
  <c r="AK67" i="70"/>
  <c r="AE722" i="83"/>
  <c r="Z722" i="83"/>
  <c r="AK46" i="67"/>
  <c r="AK46" i="68"/>
  <c r="AG46" i="88"/>
  <c r="AG121" i="88"/>
  <c r="AE603" i="83"/>
  <c r="Z603" i="83"/>
  <c r="Y310" i="82"/>
  <c r="AE310" i="82"/>
  <c r="AE520" i="82"/>
  <c r="Y520" i="82"/>
  <c r="Z1728" i="82"/>
  <c r="K1728" i="86"/>
  <c r="N1728" i="86"/>
  <c r="Y383" i="82"/>
  <c r="J383" i="86"/>
  <c r="M383" i="86"/>
  <c r="N1691" i="86"/>
  <c r="K1691" i="86"/>
  <c r="Z1866" i="82"/>
  <c r="AF1866" i="82"/>
  <c r="AE864" i="83"/>
  <c r="Z864" i="83"/>
  <c r="AE935" i="83"/>
  <c r="Z935" i="83"/>
  <c r="AF1581" i="82"/>
  <c r="Z1581" i="82"/>
  <c r="Z1859" i="82"/>
  <c r="AF1859" i="82"/>
  <c r="N6" i="70"/>
  <c r="T6" i="70"/>
  <c r="AM6" i="70"/>
  <c r="Z1874" i="82"/>
  <c r="K1874" i="86"/>
  <c r="N1874" i="86"/>
  <c r="N1630" i="86"/>
  <c r="K1630" i="86"/>
  <c r="AD314" i="83"/>
  <c r="Y314" i="83"/>
  <c r="AU2" i="82"/>
  <c r="AU9" i="82"/>
  <c r="AV9" i="82"/>
  <c r="AD222" i="83"/>
  <c r="Y222" i="83"/>
  <c r="Z492" i="82"/>
  <c r="AF492" i="82"/>
  <c r="AE697" i="83"/>
  <c r="Z697" i="83"/>
  <c r="N1670" i="86"/>
  <c r="K1670" i="86"/>
  <c r="AF1784" i="82"/>
  <c r="N1892" i="86"/>
  <c r="K1892" i="86"/>
  <c r="AE620" i="83"/>
  <c r="Z620" i="83"/>
  <c r="N1456" i="86"/>
  <c r="K1456" i="86"/>
  <c r="AB112" i="88"/>
  <c r="AB37" i="88"/>
  <c r="AE728" i="82"/>
  <c r="Y21" i="82"/>
  <c r="AE21" i="82"/>
  <c r="AE675" i="83"/>
  <c r="Z675" i="83"/>
  <c r="AF350" i="82"/>
  <c r="AE576" i="82"/>
  <c r="AF1469" i="82"/>
  <c r="Z1469" i="82"/>
  <c r="AD508" i="83"/>
  <c r="Y508" i="83"/>
  <c r="AM71" i="70"/>
  <c r="T71" i="70"/>
  <c r="N71" i="70"/>
  <c r="AD106" i="83"/>
  <c r="Y106" i="83"/>
  <c r="AE810" i="83"/>
  <c r="Z810" i="83"/>
  <c r="AF1177" i="82"/>
  <c r="Z1177" i="82"/>
  <c r="N1806" i="86"/>
  <c r="K1806" i="86"/>
  <c r="AF1778" i="82"/>
  <c r="N832" i="86"/>
  <c r="K832" i="86"/>
  <c r="AD421" i="83"/>
  <c r="Y421" i="83"/>
  <c r="AG61" i="70"/>
  <c r="AE61" i="70"/>
  <c r="AO61" i="70"/>
  <c r="AL64" i="70"/>
  <c r="AJ64" i="70"/>
  <c r="M185" i="86"/>
  <c r="J185" i="86"/>
  <c r="AL9" i="82"/>
  <c r="AK9" i="82"/>
  <c r="AC88" i="88"/>
  <c r="AC13" i="88"/>
  <c r="AF13" i="69"/>
  <c r="N1065" i="86"/>
  <c r="K1065" i="86"/>
  <c r="AE652" i="82"/>
  <c r="AE534" i="82"/>
  <c r="Y534" i="82"/>
  <c r="AC117" i="88"/>
  <c r="AC42" i="88"/>
  <c r="AF42" i="69"/>
  <c r="AP42" i="69"/>
  <c r="AG31" i="70"/>
  <c r="AF31" i="70"/>
  <c r="AP31" i="70"/>
  <c r="AF34" i="70"/>
  <c r="AP34" i="70"/>
  <c r="AC94" i="88"/>
  <c r="AC19" i="88"/>
  <c r="AF19" i="69"/>
  <c r="AD445" i="83"/>
  <c r="Y445" i="83"/>
  <c r="AF1613" i="82"/>
  <c r="Z1613" i="82"/>
  <c r="AF1179" i="82"/>
  <c r="Z1179" i="82"/>
  <c r="N2010" i="86"/>
  <c r="K2010" i="86"/>
  <c r="AD103" i="83"/>
  <c r="Y103" i="83"/>
  <c r="N1417" i="86"/>
  <c r="K1417" i="86"/>
  <c r="AD539" i="83"/>
  <c r="Y539" i="83"/>
  <c r="N1329" i="86"/>
  <c r="K1329" i="86"/>
  <c r="N1229" i="86"/>
  <c r="K1229" i="86"/>
  <c r="AE476" i="82"/>
  <c r="AL29" i="69"/>
  <c r="AJ29" i="69"/>
  <c r="AD304" i="83"/>
  <c r="Y304" i="83"/>
  <c r="AF1222" i="82"/>
  <c r="N81" i="88"/>
  <c r="N6" i="88"/>
  <c r="AD264" i="83"/>
  <c r="Y264" i="83"/>
  <c r="AF2000" i="82"/>
  <c r="AF232" i="82"/>
  <c r="AF134" i="88"/>
  <c r="AF59" i="88"/>
  <c r="AF1988" i="82"/>
  <c r="Z1988" i="82"/>
  <c r="AL50" i="70"/>
  <c r="AJ50" i="70"/>
  <c r="AL46" i="68"/>
  <c r="AF1675" i="82"/>
  <c r="Z1675" i="82"/>
  <c r="AF1375" i="82"/>
  <c r="Z1375" i="82"/>
  <c r="AF1170" i="82"/>
  <c r="Z1170" i="82"/>
  <c r="AE650" i="83"/>
  <c r="Z650" i="83"/>
  <c r="AE142" i="82"/>
  <c r="AE947" i="83"/>
  <c r="Z947" i="83"/>
  <c r="AE841" i="83"/>
  <c r="Z841" i="83"/>
  <c r="M959" i="86"/>
  <c r="J959" i="86"/>
  <c r="AF1416" i="82"/>
  <c r="Z1416" i="82"/>
  <c r="AF1168" i="82"/>
  <c r="Z1168" i="82"/>
  <c r="AE798" i="83"/>
  <c r="Z798" i="83"/>
  <c r="N1569" i="86"/>
  <c r="K1569" i="86"/>
  <c r="AG11" i="86"/>
  <c r="Y11" i="86"/>
  <c r="S11" i="86"/>
  <c r="AE836" i="83"/>
  <c r="Z836" i="83"/>
  <c r="AE497" i="83"/>
  <c r="Z497" i="83"/>
  <c r="N478" i="86"/>
  <c r="K478" i="86"/>
  <c r="AE816" i="83"/>
  <c r="Z816" i="83"/>
  <c r="AL32" i="70"/>
  <c r="AJ32" i="70"/>
  <c r="N436" i="86"/>
  <c r="K436" i="86"/>
  <c r="N89" i="88"/>
  <c r="N14" i="88"/>
  <c r="AE817" i="83"/>
  <c r="Z817" i="83"/>
  <c r="AF1672" i="82"/>
  <c r="Z1672" i="82"/>
  <c r="AE208" i="83"/>
  <c r="Z208" i="83"/>
  <c r="M1108" i="86"/>
  <c r="J1108" i="86"/>
  <c r="Z1961" i="82"/>
  <c r="K1961" i="86"/>
  <c r="N1961" i="86"/>
  <c r="AD84" i="83"/>
  <c r="Y84" i="83"/>
  <c r="AP51" i="69"/>
  <c r="AF51" i="69"/>
  <c r="AC51" i="88"/>
  <c r="AC126" i="88"/>
  <c r="AD378" i="83"/>
  <c r="Y378" i="83"/>
  <c r="Y728" i="82"/>
  <c r="J728" i="86"/>
  <c r="M728" i="86"/>
  <c r="Z1778" i="82"/>
  <c r="K1778" i="86"/>
  <c r="N1778" i="86"/>
  <c r="AD259" i="83"/>
  <c r="Y259" i="83"/>
  <c r="AF1541" i="82"/>
  <c r="Z1541" i="82"/>
  <c r="Z350" i="82"/>
  <c r="K350" i="86"/>
  <c r="N350" i="86"/>
  <c r="Z832" i="82"/>
  <c r="AF832" i="82"/>
  <c r="AD124" i="83"/>
  <c r="Y124" i="83"/>
  <c r="N1764" i="86"/>
  <c r="K1764" i="86"/>
  <c r="AF507" i="82"/>
  <c r="Z507" i="82"/>
  <c r="Z1894" i="82"/>
  <c r="AF1894" i="82"/>
  <c r="AE198" i="83"/>
  <c r="Z198" i="83"/>
  <c r="Z1065" i="82"/>
  <c r="AF1065" i="82"/>
  <c r="AE666" i="82"/>
  <c r="Z1764" i="82"/>
  <c r="AF1764" i="82"/>
  <c r="AF1119" i="82"/>
  <c r="AF1081" i="82"/>
  <c r="AE512" i="82"/>
  <c r="Y512" i="82"/>
  <c r="AM14" i="70"/>
  <c r="AG14" i="70"/>
  <c r="AE14" i="70"/>
  <c r="AE263" i="83"/>
  <c r="Z263" i="83"/>
  <c r="AE929" i="83"/>
  <c r="Z929" i="83"/>
  <c r="AG43" i="69"/>
  <c r="L87" i="67"/>
  <c r="AF149" i="88"/>
  <c r="AF74" i="88"/>
  <c r="AE727" i="83"/>
  <c r="Z727" i="83"/>
  <c r="AF1465" i="82"/>
  <c r="Z1465" i="82"/>
  <c r="AF37" i="70"/>
  <c r="AP37" i="70"/>
  <c r="AE669" i="82"/>
  <c r="N57" i="69"/>
  <c r="T57" i="69"/>
  <c r="AM57" i="69"/>
  <c r="M1099" i="86"/>
  <c r="J1099" i="86"/>
  <c r="AD76" i="83"/>
  <c r="Y76" i="83"/>
  <c r="AE915" i="83"/>
  <c r="Z915" i="83"/>
  <c r="AD342" i="83"/>
  <c r="Y342" i="83"/>
  <c r="Y476" i="82"/>
  <c r="J476" i="86"/>
  <c r="M476" i="86"/>
  <c r="N1794" i="86"/>
  <c r="K1794" i="86"/>
  <c r="AL8" i="69"/>
  <c r="AJ8" i="69"/>
  <c r="AE847" i="83"/>
  <c r="Z847" i="83"/>
  <c r="N1459" i="86"/>
  <c r="K1459" i="86"/>
  <c r="N1554" i="86"/>
  <c r="K1554" i="86"/>
  <c r="N1347" i="86"/>
  <c r="K1347" i="86"/>
  <c r="AF1591" i="82"/>
  <c r="Z1591" i="82"/>
  <c r="N1613" i="86"/>
  <c r="K1613" i="86"/>
  <c r="Z2000" i="82"/>
  <c r="K2000" i="86"/>
  <c r="N2000" i="86"/>
  <c r="AD287" i="83"/>
  <c r="Y287" i="83"/>
  <c r="AF1368" i="82"/>
  <c r="Z1368" i="82"/>
  <c r="AF1573" i="82"/>
  <c r="Z1573" i="82"/>
  <c r="AJ46" i="68"/>
  <c r="AF46" i="88"/>
  <c r="AF121" i="88"/>
  <c r="AF1906" i="82"/>
  <c r="AF1553" i="82"/>
  <c r="Z1553" i="82"/>
  <c r="AF1771" i="82"/>
  <c r="N34" i="70"/>
  <c r="T34" i="70"/>
  <c r="AM34" i="70"/>
  <c r="Y142" i="82"/>
  <c r="J142" i="86"/>
  <c r="M142" i="86"/>
  <c r="AM53" i="69"/>
  <c r="T53" i="69"/>
  <c r="N53" i="69"/>
  <c r="AD56" i="83"/>
  <c r="Y56" i="83"/>
  <c r="AD72" i="83"/>
  <c r="Y72" i="83"/>
  <c r="AL63" i="69"/>
  <c r="AJ63" i="69"/>
  <c r="AE682" i="83"/>
  <c r="Z682" i="83"/>
  <c r="N1480" i="86"/>
  <c r="K1480" i="86"/>
  <c r="M198" i="86"/>
  <c r="J198" i="86"/>
  <c r="N1598" i="86"/>
  <c r="K1598" i="86"/>
  <c r="AD4" i="83"/>
  <c r="Y4" i="83"/>
  <c r="N1122" i="86"/>
  <c r="K1122" i="86"/>
  <c r="AB93" i="88"/>
  <c r="AB18" i="88"/>
  <c r="AB90" i="88"/>
  <c r="AB15" i="88"/>
  <c r="AM37" i="70"/>
  <c r="T37" i="70"/>
  <c r="N37" i="70"/>
  <c r="AA4" i="86"/>
  <c r="N56" i="86"/>
  <c r="K56" i="86"/>
  <c r="Y666" i="82"/>
  <c r="J666" i="86"/>
  <c r="M666" i="86"/>
  <c r="Z1119" i="82"/>
  <c r="K1119" i="86"/>
  <c r="N1119" i="86"/>
  <c r="AE14" i="82"/>
  <c r="AK2" i="82"/>
  <c r="AL2" i="82"/>
  <c r="AE888" i="83"/>
  <c r="Z888" i="83"/>
  <c r="N1205" i="86"/>
  <c r="K1205" i="86"/>
  <c r="AD479" i="83"/>
  <c r="Y479" i="83"/>
  <c r="AO43" i="69"/>
  <c r="AE43" i="69"/>
  <c r="AB43" i="88"/>
  <c r="AB118" i="88"/>
  <c r="N147" i="88"/>
  <c r="N72" i="88"/>
  <c r="AF1407" i="82"/>
  <c r="Z1407" i="82"/>
  <c r="AE776" i="83"/>
  <c r="Z776" i="83"/>
  <c r="AF1561" i="82"/>
  <c r="Z1561" i="82"/>
  <c r="AB94" i="88"/>
  <c r="AB19" i="88"/>
  <c r="AF493" i="82"/>
  <c r="AD235" i="83"/>
  <c r="Y235" i="83"/>
  <c r="AG88" i="88"/>
  <c r="AG13" i="88"/>
  <c r="AK13" i="69"/>
  <c r="Y669" i="82"/>
  <c r="J669" i="86"/>
  <c r="M669" i="86"/>
  <c r="AF1146" i="82"/>
  <c r="Z1146" i="82"/>
  <c r="Y1099" i="82"/>
  <c r="AE1099" i="82"/>
  <c r="AE231" i="83"/>
  <c r="Z231" i="83"/>
  <c r="M381" i="86"/>
  <c r="J381" i="86"/>
  <c r="AD221" i="83"/>
  <c r="Y221" i="83"/>
  <c r="N1076" i="86"/>
  <c r="K1076" i="86"/>
  <c r="AF1144" i="82"/>
  <c r="Z1144" i="82"/>
  <c r="N1444" i="86"/>
  <c r="K1444" i="86"/>
  <c r="N1772" i="86"/>
  <c r="K1772" i="86"/>
  <c r="AC103" i="88"/>
  <c r="AC28" i="88"/>
  <c r="AF28" i="69"/>
  <c r="AP28" i="69"/>
  <c r="N1672" i="86"/>
  <c r="K1672" i="86"/>
  <c r="AD347" i="83"/>
  <c r="Y347" i="83"/>
  <c r="Z1347" i="82"/>
  <c r="AF1347" i="82"/>
  <c r="AD402" i="83"/>
  <c r="Y402" i="83"/>
  <c r="N1477" i="86"/>
  <c r="K1477" i="86"/>
  <c r="N1175" i="86"/>
  <c r="K1175" i="86"/>
  <c r="AD426" i="83"/>
  <c r="Y426" i="83"/>
  <c r="AF34" i="82"/>
  <c r="AD155" i="83"/>
  <c r="Y155" i="83"/>
  <c r="N1989" i="86"/>
  <c r="K1989" i="86"/>
  <c r="AE591" i="83"/>
  <c r="Z591" i="83"/>
  <c r="N897" i="86"/>
  <c r="K897" i="86"/>
  <c r="AD361" i="83"/>
  <c r="Y361" i="83"/>
  <c r="Z1906" i="82"/>
  <c r="K1906" i="86"/>
  <c r="N1906" i="86"/>
  <c r="AD334" i="83"/>
  <c r="Y334" i="83"/>
  <c r="Z1771" i="82"/>
  <c r="K1771" i="86"/>
  <c r="N1771" i="86"/>
  <c r="AF839" i="82"/>
  <c r="N1659" i="86"/>
  <c r="K1659" i="86"/>
  <c r="AD456" i="83"/>
  <c r="Y456" i="83"/>
  <c r="AE522" i="82"/>
  <c r="Y522" i="82"/>
  <c r="AL42" i="69"/>
  <c r="AJ42" i="69"/>
  <c r="AG113" i="88"/>
  <c r="AG38" i="88"/>
  <c r="AF1466" i="82"/>
  <c r="Z1466" i="82"/>
  <c r="AD190" i="83"/>
  <c r="Y190" i="83"/>
  <c r="AD237" i="83"/>
  <c r="Y237" i="83"/>
  <c r="AE822" i="83"/>
  <c r="Z822" i="83"/>
  <c r="AE768" i="83"/>
  <c r="Z768" i="83"/>
  <c r="AG139" i="88"/>
  <c r="AG64" i="88"/>
  <c r="AF135" i="88"/>
  <c r="AF60" i="88"/>
  <c r="AP47" i="69"/>
  <c r="AF47" i="69"/>
  <c r="AC47" i="88"/>
  <c r="AC122" i="88"/>
  <c r="N321" i="86"/>
  <c r="K321" i="86"/>
  <c r="AE681" i="83"/>
  <c r="Z681" i="83"/>
  <c r="AD331" i="83"/>
  <c r="Y331" i="83"/>
  <c r="N1907" i="86"/>
  <c r="K1907" i="86"/>
  <c r="N1137" i="86"/>
  <c r="K1137" i="86"/>
  <c r="AL17" i="69"/>
  <c r="AE945" i="83"/>
  <c r="Z945" i="83"/>
  <c r="N1704" i="86"/>
  <c r="K1704" i="86"/>
  <c r="AE527" i="83"/>
  <c r="Z527" i="83"/>
  <c r="AF1492" i="82"/>
  <c r="Z1492" i="82"/>
  <c r="AE831" i="83"/>
  <c r="Z831" i="83"/>
  <c r="AE714" i="83"/>
  <c r="Z714" i="83"/>
  <c r="Z1794" i="82"/>
  <c r="AF1794" i="82"/>
  <c r="AD468" i="83"/>
  <c r="Y468" i="83"/>
  <c r="AD236" i="83"/>
  <c r="Y236" i="83"/>
  <c r="AD505" i="83"/>
  <c r="Y505" i="83"/>
  <c r="M225" i="86"/>
  <c r="J225" i="86"/>
  <c r="AF56" i="70"/>
  <c r="AP56" i="70"/>
  <c r="AE221" i="83"/>
  <c r="Z221" i="83"/>
  <c r="AO37" i="69"/>
  <c r="AE37" i="69"/>
  <c r="AG37" i="69"/>
  <c r="AD145" i="83"/>
  <c r="Y145" i="83"/>
  <c r="AF1400" i="82"/>
  <c r="Z1400" i="82"/>
  <c r="Z1952" i="82"/>
  <c r="AF1952" i="82"/>
  <c r="Z56" i="82"/>
  <c r="AF56" i="82"/>
  <c r="AF1983" i="82"/>
  <c r="Z1983" i="82"/>
  <c r="N999" i="86"/>
  <c r="K999" i="86"/>
  <c r="AF1636" i="82"/>
  <c r="Z1636" i="82"/>
  <c r="AP46" i="69"/>
  <c r="AF46" i="69"/>
  <c r="AC46" i="88"/>
  <c r="AC121" i="88"/>
  <c r="N1382" i="86"/>
  <c r="K1382" i="86"/>
  <c r="Z999" i="82"/>
  <c r="AF999" i="82"/>
  <c r="AF506" i="82"/>
  <c r="Z506" i="82"/>
  <c r="N1471" i="86"/>
  <c r="K1471" i="86"/>
  <c r="N20" i="70"/>
  <c r="T20" i="70"/>
  <c r="AM20" i="70"/>
  <c r="Z1714" i="82"/>
  <c r="AF1714" i="82"/>
  <c r="AF1593" i="82"/>
  <c r="Z1593" i="82"/>
  <c r="Z493" i="82"/>
  <c r="K493" i="86"/>
  <c r="N493" i="86"/>
  <c r="AO68" i="70"/>
  <c r="AE68" i="70"/>
  <c r="AG68" i="70"/>
  <c r="N63" i="70"/>
  <c r="T63" i="70"/>
  <c r="AM63" i="70"/>
  <c r="AF1493" i="82"/>
  <c r="Z1493" i="82"/>
  <c r="N128" i="88"/>
  <c r="N53" i="88"/>
  <c r="AE559" i="83"/>
  <c r="Z559" i="83"/>
  <c r="AD173" i="83"/>
  <c r="Y173" i="83"/>
  <c r="AE603" i="82"/>
  <c r="AF1690" i="82"/>
  <c r="Z1690" i="82"/>
  <c r="AM49" i="70"/>
  <c r="T49" i="70"/>
  <c r="N49" i="70"/>
  <c r="AE766" i="83"/>
  <c r="Z766" i="83"/>
  <c r="AE912" i="83"/>
  <c r="Z912" i="83"/>
  <c r="AF1496" i="82"/>
  <c r="Z1496" i="82"/>
  <c r="AE523" i="82"/>
  <c r="Y523" i="82"/>
  <c r="N517" i="86"/>
  <c r="K517" i="86"/>
  <c r="Z1229" i="82"/>
  <c r="AF1229" i="82"/>
  <c r="N24" i="88"/>
  <c r="N99" i="88"/>
  <c r="N12" i="88"/>
  <c r="N87" i="88"/>
  <c r="AL55" i="69"/>
  <c r="AJ55" i="69"/>
  <c r="AF1609" i="82"/>
  <c r="Z1609" i="82"/>
  <c r="AF1180" i="82"/>
  <c r="Z1180" i="82"/>
  <c r="N102" i="88"/>
  <c r="N27" i="88"/>
  <c r="AF541" i="82"/>
  <c r="Z541" i="82"/>
  <c r="AE243" i="83"/>
  <c r="Z243" i="83"/>
  <c r="AL47" i="70"/>
  <c r="AJ47" i="70"/>
  <c r="AE226" i="82"/>
  <c r="Z34" i="82"/>
  <c r="K34" i="86"/>
  <c r="N34" i="86"/>
  <c r="AF137" i="88"/>
  <c r="AF62" i="88"/>
  <c r="AL56" i="69"/>
  <c r="AJ56" i="69"/>
  <c r="AF815" i="82"/>
  <c r="AE204" i="83"/>
  <c r="Z204" i="83"/>
  <c r="AE256" i="82"/>
  <c r="N26" i="88"/>
  <c r="N101" i="88"/>
  <c r="Z815" i="82"/>
  <c r="K815" i="86"/>
  <c r="N815" i="86"/>
  <c r="AD328" i="83"/>
  <c r="Y328" i="83"/>
  <c r="Z839" i="82"/>
  <c r="K839" i="86"/>
  <c r="N839" i="86"/>
  <c r="AF557" i="82"/>
  <c r="AF224" i="82"/>
  <c r="AM58" i="70"/>
  <c r="T58" i="70"/>
  <c r="N58" i="70"/>
  <c r="AE793" i="83"/>
  <c r="Z793" i="83"/>
  <c r="AK64" i="70"/>
  <c r="AK64" i="67"/>
  <c r="AK64" i="68"/>
  <c r="AK64" i="69"/>
  <c r="AF1766" i="82"/>
  <c r="AF963" i="82"/>
  <c r="AF49" i="70"/>
  <c r="AP49" i="70"/>
  <c r="N1484" i="86"/>
  <c r="K1484" i="86"/>
  <c r="AF1829" i="82"/>
  <c r="AD465" i="83"/>
  <c r="Y465" i="83"/>
  <c r="AD367" i="83"/>
  <c r="Y367" i="83"/>
  <c r="AF115" i="88"/>
  <c r="AF40" i="88"/>
  <c r="AE833" i="83"/>
  <c r="Z833" i="83"/>
  <c r="AL60" i="69"/>
  <c r="AJ60" i="69"/>
  <c r="N572" i="86"/>
  <c r="K572" i="86"/>
  <c r="AF513" i="82"/>
  <c r="Z513" i="82"/>
  <c r="Y603" i="82"/>
  <c r="J603" i="86"/>
  <c r="M603" i="86"/>
  <c r="AF980" i="82"/>
  <c r="AE625" i="83"/>
  <c r="Z625" i="83"/>
  <c r="N324" i="86"/>
  <c r="K324" i="86"/>
  <c r="AF1943" i="82"/>
  <c r="AL76" i="68"/>
  <c r="AL5" i="68"/>
  <c r="AF70" i="70"/>
  <c r="AP70" i="70"/>
  <c r="AE747" i="82"/>
  <c r="AF1980" i="82"/>
  <c r="AD301" i="83"/>
  <c r="Y301" i="83"/>
  <c r="AF1619" i="82"/>
  <c r="Z1619" i="82"/>
  <c r="AE889" i="83"/>
  <c r="Z889" i="83"/>
  <c r="AD152" i="83"/>
  <c r="Y152" i="83"/>
  <c r="AD437" i="83"/>
  <c r="Y437" i="83"/>
  <c r="Y226" i="82"/>
  <c r="J226" i="86"/>
  <c r="M226" i="86"/>
  <c r="N1990" i="86"/>
  <c r="K1990" i="86"/>
  <c r="AF58" i="70"/>
  <c r="AP58" i="70"/>
  <c r="AD415" i="83"/>
  <c r="Y415" i="83"/>
  <c r="AD210" i="83"/>
  <c r="Y210" i="83"/>
  <c r="N505" i="86"/>
  <c r="K505" i="86"/>
  <c r="AD277" i="83"/>
  <c r="Y277" i="83"/>
  <c r="AD149" i="83"/>
  <c r="Y149" i="83"/>
  <c r="AE858" i="83"/>
  <c r="Z858" i="83"/>
  <c r="AF1635" i="82"/>
  <c r="Z1635" i="82"/>
  <c r="AE754" i="82"/>
  <c r="AF1447" i="82"/>
  <c r="Z1447" i="82"/>
  <c r="N115" i="88"/>
  <c r="N40" i="88"/>
  <c r="Z557" i="82"/>
  <c r="K557" i="86"/>
  <c r="N557" i="86"/>
  <c r="Z224" i="82"/>
  <c r="K224" i="86"/>
  <c r="N224" i="86"/>
  <c r="N947" i="86"/>
  <c r="K947" i="86"/>
  <c r="AE513" i="83"/>
  <c r="Z513" i="83"/>
  <c r="AE590" i="83"/>
  <c r="Z590" i="83"/>
  <c r="N112" i="88"/>
  <c r="N37" i="88"/>
  <c r="Z1766" i="82"/>
  <c r="K1766" i="86"/>
  <c r="N1766" i="86"/>
  <c r="Z963" i="82"/>
  <c r="K963" i="86"/>
  <c r="N963" i="86"/>
  <c r="N1897" i="86"/>
  <c r="K1897" i="86"/>
  <c r="L88" i="67"/>
  <c r="AF1647" i="82"/>
  <c r="Z1647" i="82"/>
  <c r="AG69" i="70"/>
  <c r="AE69" i="70"/>
  <c r="AO69" i="70"/>
  <c r="AC146" i="88"/>
  <c r="AC71" i="88"/>
  <c r="AF71" i="69"/>
  <c r="AP71" i="69"/>
  <c r="AF1601" i="82"/>
  <c r="Z1601" i="82"/>
  <c r="N1896" i="86"/>
  <c r="K1896" i="86"/>
  <c r="AL52" i="70"/>
  <c r="AJ52" i="70"/>
  <c r="N1641" i="86"/>
  <c r="K1641" i="86"/>
  <c r="AD212" i="83"/>
  <c r="Y212" i="83"/>
  <c r="M859" i="86"/>
  <c r="J859" i="86"/>
  <c r="Z1784" i="82"/>
  <c r="K1784" i="86"/>
  <c r="N1784" i="86"/>
  <c r="AD16" i="83"/>
  <c r="Y16" i="83"/>
  <c r="AJ45" i="68"/>
  <c r="AJ45" i="69"/>
  <c r="AL45" i="69"/>
  <c r="AG99" i="88"/>
  <c r="AG24" i="88"/>
  <c r="AK24" i="69"/>
  <c r="AD211" i="83"/>
  <c r="Y211" i="83"/>
  <c r="AF1881" i="82"/>
  <c r="AE830" i="83"/>
  <c r="Z830" i="83"/>
  <c r="AO27" i="70"/>
  <c r="AE27" i="70"/>
  <c r="AG27" i="70"/>
  <c r="AO26" i="70"/>
  <c r="AE26" i="70"/>
  <c r="AG26" i="70"/>
  <c r="AO8" i="69"/>
  <c r="AE8" i="69"/>
  <c r="AB8" i="88"/>
  <c r="AB83" i="88"/>
  <c r="M713" i="86"/>
  <c r="J713" i="86"/>
  <c r="AF1207" i="82"/>
  <c r="Z1207" i="82"/>
  <c r="AF420" i="82"/>
  <c r="Y381" i="82"/>
  <c r="AE381" i="82"/>
  <c r="N26" i="70"/>
  <c r="T26" i="70"/>
  <c r="AM26" i="70"/>
  <c r="N60" i="69"/>
  <c r="T60" i="69"/>
  <c r="AM60" i="69"/>
  <c r="AD302" i="83"/>
  <c r="Y302" i="83"/>
  <c r="N1233" i="86"/>
  <c r="K1233" i="86"/>
  <c r="AF67" i="70"/>
  <c r="AP67" i="70"/>
  <c r="AK8" i="67"/>
  <c r="AK8" i="68"/>
  <c r="AG8" i="88"/>
  <c r="AG83" i="88"/>
  <c r="AE719" i="83"/>
  <c r="Z719" i="83"/>
  <c r="N131" i="88"/>
  <c r="N56" i="88"/>
  <c r="AD322" i="83"/>
  <c r="Y322" i="83"/>
  <c r="Z1071" i="82"/>
  <c r="K1071" i="86"/>
  <c r="N1071" i="86"/>
  <c r="N26" i="69"/>
  <c r="T26" i="69"/>
  <c r="AM26" i="69"/>
  <c r="AF1439" i="82"/>
  <c r="Z1439" i="82"/>
  <c r="X13" i="90"/>
  <c r="X7" i="90"/>
  <c r="S13" i="90"/>
  <c r="S7" i="90"/>
  <c r="AD123" i="83"/>
  <c r="Y123" i="83"/>
  <c r="AD25" i="83"/>
  <c r="Y25" i="83"/>
  <c r="AD424" i="83"/>
  <c r="Y424" i="83"/>
  <c r="N1627" i="86"/>
  <c r="K1627" i="86"/>
  <c r="AE611" i="83"/>
  <c r="Z611" i="83"/>
  <c r="Z1717" i="82"/>
  <c r="AF1717" i="82"/>
  <c r="Z980" i="82"/>
  <c r="K980" i="86"/>
  <c r="N980" i="86"/>
  <c r="Z324" i="82"/>
  <c r="AF324" i="82"/>
  <c r="N812" i="86"/>
  <c r="K812" i="86"/>
  <c r="N1180" i="86"/>
  <c r="K1180" i="86"/>
  <c r="AE814" i="83"/>
  <c r="Z814" i="83"/>
  <c r="AE695" i="83"/>
  <c r="Z695" i="83"/>
  <c r="AE892" i="83"/>
  <c r="Z892" i="83"/>
  <c r="Y747" i="82"/>
  <c r="J747" i="86"/>
  <c r="M747" i="86"/>
  <c r="AD41" i="83"/>
  <c r="Y41" i="83"/>
  <c r="Z1980" i="82"/>
  <c r="K1980" i="86"/>
  <c r="N1980" i="86"/>
  <c r="N1450" i="86"/>
  <c r="K1450" i="86"/>
  <c r="AF1185" i="82"/>
  <c r="Z1185" i="82"/>
  <c r="N1640" i="86"/>
  <c r="K1640" i="86"/>
  <c r="AE493" i="83"/>
  <c r="Z493" i="83"/>
  <c r="AF25" i="70"/>
  <c r="AP25" i="70"/>
  <c r="AE609" i="83"/>
  <c r="Z609" i="83"/>
  <c r="AF76" i="69"/>
  <c r="AE769" i="83"/>
  <c r="Z769" i="83"/>
  <c r="N40" i="69"/>
  <c r="T40" i="69"/>
  <c r="AM40" i="69"/>
  <c r="Z1076" i="82"/>
  <c r="AF1076" i="82"/>
  <c r="AF1605" i="82"/>
  <c r="Z1605" i="82"/>
  <c r="AD5" i="83"/>
  <c r="Y5" i="83"/>
  <c r="AD444" i="83"/>
  <c r="Y444" i="83"/>
  <c r="Z1892" i="82"/>
  <c r="AF1892" i="82"/>
  <c r="AF1628" i="82"/>
  <c r="Z1628" i="82"/>
  <c r="AD161" i="83"/>
  <c r="Y161" i="83"/>
  <c r="AE19" i="69"/>
  <c r="AG19" i="69"/>
  <c r="Y754" i="82"/>
  <c r="J754" i="86"/>
  <c r="M754" i="86"/>
  <c r="AG21" i="69"/>
  <c r="AF943" i="82"/>
  <c r="AF976" i="82"/>
  <c r="AF939" i="82"/>
  <c r="AF1589" i="82"/>
  <c r="Z1589" i="82"/>
  <c r="AE589" i="83"/>
  <c r="Z589" i="83"/>
  <c r="AE645" i="83"/>
  <c r="Z645" i="83"/>
  <c r="AF1622" i="82"/>
  <c r="Z1622" i="82"/>
  <c r="AF1342" i="82"/>
  <c r="N441" i="86"/>
  <c r="K441" i="86"/>
  <c r="AF1557" i="82"/>
  <c r="Z1557" i="82"/>
  <c r="AF534" i="82"/>
  <c r="Z534" i="82"/>
  <c r="AF1445" i="82"/>
  <c r="Z1445" i="82"/>
  <c r="N1499" i="86"/>
  <c r="K1499" i="86"/>
  <c r="Y225" i="82"/>
  <c r="AE225" i="82"/>
  <c r="M546" i="86"/>
  <c r="J546" i="86"/>
  <c r="AE196" i="83"/>
  <c r="Z196" i="83"/>
  <c r="Y859" i="82"/>
  <c r="AE859" i="82"/>
  <c r="N1978" i="86"/>
  <c r="K1978" i="86"/>
  <c r="Y1108" i="82"/>
  <c r="AE1108" i="82"/>
  <c r="AD260" i="83"/>
  <c r="Y260" i="83"/>
  <c r="Z1881" i="82"/>
  <c r="K1881" i="86"/>
  <c r="N1881" i="86"/>
  <c r="AF44" i="70"/>
  <c r="AP44" i="70"/>
  <c r="N1490" i="86"/>
  <c r="K1490" i="86"/>
  <c r="N108" i="88"/>
  <c r="N33" i="88"/>
  <c r="AF313" i="82"/>
  <c r="AF1652" i="82"/>
  <c r="Z1652" i="82"/>
  <c r="N1429" i="86"/>
  <c r="K1429" i="86"/>
  <c r="AE1159" i="82"/>
  <c r="Y1159" i="82"/>
  <c r="AF1456" i="82"/>
  <c r="Z1456" i="82"/>
  <c r="Y713" i="82"/>
  <c r="AE713" i="82"/>
  <c r="AF1659" i="82"/>
  <c r="Z1659" i="82"/>
  <c r="AL28" i="69"/>
  <c r="AJ28" i="69"/>
  <c r="AE735" i="82"/>
  <c r="Z420" i="82"/>
  <c r="K420" i="86"/>
  <c r="N420" i="86"/>
  <c r="N339" i="86"/>
  <c r="K339" i="86"/>
  <c r="AF1508" i="82"/>
  <c r="AB149" i="88"/>
  <c r="AB74" i="88"/>
  <c r="AF1641" i="82"/>
  <c r="Z1641" i="82"/>
  <c r="AF1776" i="82"/>
  <c r="Z1233" i="82"/>
  <c r="AF1233" i="82"/>
  <c r="AD320" i="83"/>
  <c r="Y320" i="83"/>
  <c r="AF523" i="82"/>
  <c r="Z523" i="82"/>
  <c r="D7" i="90"/>
  <c r="D13" i="90"/>
  <c r="N1394" i="86"/>
  <c r="K1394" i="86"/>
  <c r="N122" i="88"/>
  <c r="N47" i="88"/>
  <c r="AE17" i="82"/>
  <c r="AD189" i="83"/>
  <c r="Y189" i="83"/>
  <c r="AC109" i="88"/>
  <c r="AP34" i="69"/>
  <c r="AF34" i="69"/>
  <c r="AC34" i="88"/>
  <c r="Z895" i="82"/>
  <c r="AF895" i="82"/>
  <c r="AE680" i="83"/>
  <c r="Z680" i="83"/>
  <c r="Z812" i="82"/>
  <c r="AF812" i="82"/>
  <c r="AK56" i="69"/>
  <c r="AK56" i="70"/>
  <c r="AF1734" i="82"/>
  <c r="AF820" i="82"/>
  <c r="AG38" i="69"/>
  <c r="AF1732" i="82"/>
  <c r="AE652" i="83"/>
  <c r="Z652" i="83"/>
  <c r="AF972" i="82"/>
  <c r="Z1734" i="82"/>
  <c r="K1734" i="86"/>
  <c r="N1734" i="86"/>
  <c r="AF27" i="70"/>
  <c r="AP27" i="70"/>
  <c r="AM48" i="69"/>
  <c r="T48" i="69"/>
  <c r="N48" i="69"/>
  <c r="M564" i="86"/>
  <c r="J564" i="86"/>
  <c r="AE475" i="82"/>
  <c r="M118" i="86"/>
  <c r="J118" i="86"/>
  <c r="AE898" i="83"/>
  <c r="Z898" i="83"/>
  <c r="AF1485" i="82"/>
  <c r="Z1485" i="82"/>
  <c r="AF1514" i="82"/>
  <c r="N1143" i="86"/>
  <c r="K1143" i="86"/>
  <c r="AF61" i="70"/>
  <c r="AP61" i="70"/>
  <c r="AK71" i="70"/>
  <c r="AK71" i="69"/>
  <c r="AD407" i="83"/>
  <c r="Y407" i="83"/>
  <c r="AF1796" i="82"/>
  <c r="N1038" i="86"/>
  <c r="K1038" i="86"/>
  <c r="AE797" i="82"/>
  <c r="AF1902" i="82"/>
  <c r="AF1132" i="82"/>
  <c r="AF539" i="82"/>
  <c r="Z539" i="82"/>
  <c r="AF1782" i="82"/>
  <c r="AP25" i="69"/>
  <c r="AF25" i="69"/>
  <c r="AC25" i="88"/>
  <c r="AC100" i="88"/>
  <c r="M1015" i="86"/>
  <c r="J1015" i="86"/>
  <c r="AD36" i="83"/>
  <c r="Y36" i="83"/>
  <c r="AO21" i="69"/>
  <c r="AE21" i="69"/>
  <c r="AB21" i="88"/>
  <c r="AB96" i="88"/>
  <c r="Z943" i="82"/>
  <c r="K943" i="86"/>
  <c r="N943" i="86"/>
  <c r="Z976" i="82"/>
  <c r="K976" i="86"/>
  <c r="N976" i="86"/>
  <c r="AD240" i="83"/>
  <c r="Y240" i="83"/>
  <c r="Z939" i="82"/>
  <c r="K939" i="86"/>
  <c r="N939" i="86"/>
  <c r="AF1877" i="82"/>
  <c r="AB121" i="88"/>
  <c r="AB46" i="88"/>
  <c r="Y475" i="82"/>
  <c r="J475" i="86"/>
  <c r="M475" i="86"/>
  <c r="AD254" i="83"/>
  <c r="Y254" i="83"/>
  <c r="AF1929" i="82"/>
  <c r="AD499" i="83"/>
  <c r="Y499" i="83"/>
  <c r="AE807" i="83"/>
  <c r="Z807" i="83"/>
  <c r="AD65" i="83"/>
  <c r="Y65" i="83"/>
  <c r="AF118" i="88"/>
  <c r="AF43" i="88"/>
  <c r="AF1359" i="82"/>
  <c r="Z1359" i="82"/>
  <c r="AM68" i="70"/>
  <c r="T68" i="70"/>
  <c r="N68" i="70"/>
  <c r="AD109" i="83"/>
  <c r="Y109" i="83"/>
  <c r="M756" i="86"/>
  <c r="J756" i="86"/>
  <c r="AD309" i="83"/>
  <c r="Y309" i="83"/>
  <c r="AL27" i="70"/>
  <c r="AJ27" i="70"/>
  <c r="AG94" i="88"/>
  <c r="AG19" i="88"/>
  <c r="AK19" i="69"/>
  <c r="N1788" i="86"/>
  <c r="K1788" i="86"/>
  <c r="AE931" i="83"/>
  <c r="Z931" i="83"/>
  <c r="N123" i="88"/>
  <c r="N48" i="88"/>
  <c r="AE655" i="83"/>
  <c r="Z655" i="83"/>
  <c r="AE673" i="83"/>
  <c r="Z673" i="83"/>
  <c r="AF545" i="82"/>
  <c r="Z545" i="82"/>
  <c r="Z1978" i="82"/>
  <c r="AF1978" i="82"/>
  <c r="AJ12" i="69"/>
  <c r="AL12" i="69"/>
  <c r="AD435" i="83"/>
  <c r="Y435" i="83"/>
  <c r="Y576" i="82"/>
  <c r="J576" i="86"/>
  <c r="M576" i="86"/>
  <c r="AF1668" i="82"/>
  <c r="Z1668" i="82"/>
  <c r="AL35" i="70"/>
  <c r="AJ35" i="70"/>
  <c r="AD276" i="83"/>
  <c r="Y276" i="83"/>
  <c r="Z313" i="82"/>
  <c r="K313" i="86"/>
  <c r="N313" i="86"/>
  <c r="AE596" i="83"/>
  <c r="Z596" i="83"/>
  <c r="Z1000" i="82"/>
  <c r="AF1000" i="82"/>
  <c r="AE487" i="83"/>
  <c r="Z487" i="83"/>
  <c r="Y185" i="82"/>
  <c r="AE185" i="82"/>
  <c r="Z1806" i="82"/>
  <c r="AF1806" i="82"/>
  <c r="Y652" i="82"/>
  <c r="J652" i="86"/>
  <c r="M652" i="86"/>
  <c r="Z1081" i="82"/>
  <c r="K1081" i="86"/>
  <c r="N1081" i="86"/>
  <c r="Y735" i="82"/>
  <c r="J735" i="86"/>
  <c r="M735" i="86"/>
  <c r="AG63" i="69"/>
  <c r="AE1160" i="82"/>
  <c r="Y1160" i="82"/>
  <c r="N148" i="88"/>
  <c r="N73" i="88"/>
  <c r="Z339" i="82"/>
  <c r="AF339" i="82"/>
  <c r="AF1371" i="82"/>
  <c r="Z1371" i="82"/>
  <c r="Z1508" i="82"/>
  <c r="K1508" i="86"/>
  <c r="N1508" i="86"/>
  <c r="AO74" i="69"/>
  <c r="AE74" i="69"/>
  <c r="AG74" i="69"/>
  <c r="N1632" i="86"/>
  <c r="K1632" i="86"/>
  <c r="Z1776" i="82"/>
  <c r="K1776" i="86"/>
  <c r="N1776" i="86"/>
  <c r="AE665" i="83"/>
  <c r="Z665" i="83"/>
  <c r="AF517" i="82"/>
  <c r="Z517" i="82"/>
  <c r="Z1772" i="82"/>
  <c r="AF1772" i="82"/>
  <c r="Z2010" i="82"/>
  <c r="AF2010" i="82"/>
  <c r="Y17" i="82"/>
  <c r="J17" i="86"/>
  <c r="M17" i="86"/>
  <c r="Y1015" i="82"/>
  <c r="AE1015" i="82"/>
  <c r="Z232" i="82"/>
  <c r="K232" i="86"/>
  <c r="N232" i="86"/>
  <c r="Z1943" i="82"/>
  <c r="K1943" i="86"/>
  <c r="N1943" i="86"/>
  <c r="AL30" i="70"/>
  <c r="AJ30" i="70"/>
  <c r="Z1222" i="82"/>
  <c r="K1222" i="86"/>
  <c r="N1222" i="86"/>
  <c r="AF547" i="82"/>
  <c r="Z547" i="82"/>
  <c r="Z1329" i="82"/>
  <c r="AF1329" i="82"/>
  <c r="N1465" i="86"/>
  <c r="K1465" i="86"/>
  <c r="AK56" i="67"/>
  <c r="AK56" i="68"/>
  <c r="AG56" i="88"/>
  <c r="AG131" i="88"/>
  <c r="AE802" i="83"/>
  <c r="Z802" i="83"/>
  <c r="N1475" i="86"/>
  <c r="K1475" i="86"/>
  <c r="AE190" i="83"/>
  <c r="Z190" i="83"/>
  <c r="Z820" i="82"/>
  <c r="K820" i="86"/>
  <c r="N820" i="86"/>
  <c r="AO38" i="69"/>
  <c r="AE38" i="69"/>
  <c r="AB38" i="88"/>
  <c r="AB113" i="88"/>
  <c r="Z1732" i="82"/>
  <c r="K1732" i="86"/>
  <c r="N1732" i="86"/>
  <c r="Z897" i="82"/>
  <c r="AF897" i="82"/>
  <c r="Z972" i="82"/>
  <c r="K972" i="86"/>
  <c r="N972" i="86"/>
  <c r="AE504" i="82"/>
  <c r="Y504" i="82"/>
  <c r="AG64" i="69"/>
  <c r="M1155" i="86"/>
  <c r="J1155" i="86"/>
  <c r="AD583" i="83"/>
  <c r="Y583" i="83"/>
  <c r="AE759" i="83"/>
  <c r="Z759" i="83"/>
  <c r="AO63" i="69"/>
  <c r="AE63" i="69"/>
  <c r="AB63" i="88"/>
  <c r="AB138" i="88"/>
  <c r="AE708" i="83"/>
  <c r="Z708" i="83"/>
  <c r="Y564" i="82"/>
  <c r="AE564" i="82"/>
  <c r="Y118" i="82"/>
  <c r="AE118" i="82"/>
  <c r="Z1514" i="82"/>
  <c r="K1514" i="86"/>
  <c r="N1514" i="86"/>
  <c r="Y256" i="82"/>
  <c r="J256" i="86"/>
  <c r="M256" i="86"/>
  <c r="AF1584" i="82"/>
  <c r="Z1584" i="82"/>
  <c r="AK71" i="67"/>
  <c r="AK71" i="68"/>
  <c r="AG71" i="88"/>
  <c r="AG146" i="88"/>
  <c r="Z1132" i="82"/>
  <c r="K1132" i="86"/>
  <c r="N1132" i="86"/>
  <c r="Z1796" i="82"/>
  <c r="K1796" i="86"/>
  <c r="N1796" i="86"/>
  <c r="Z1038" i="82"/>
  <c r="AF1038" i="82"/>
  <c r="AO43" i="70"/>
  <c r="AE43" i="70"/>
  <c r="AG43" i="70"/>
  <c r="Y797" i="82"/>
  <c r="J797" i="86"/>
  <c r="M797" i="86"/>
  <c r="Z1902" i="82"/>
  <c r="K1902" i="86"/>
  <c r="N1902" i="86"/>
  <c r="AE691" i="83"/>
  <c r="Z691" i="83"/>
  <c r="Z1782" i="82"/>
  <c r="K1782" i="86"/>
  <c r="N1782" i="86"/>
  <c r="AF1559" i="82"/>
  <c r="Z1559" i="82"/>
  <c r="Y959" i="82"/>
  <c r="AE959" i="82"/>
  <c r="AO64" i="69"/>
  <c r="AE64" i="69"/>
  <c r="AB64" i="88"/>
  <c r="AB139" i="88"/>
  <c r="AD292" i="83"/>
  <c r="Y292" i="83"/>
  <c r="AE914" i="83"/>
  <c r="Z914" i="83"/>
  <c r="AD346" i="83"/>
  <c r="Y346" i="83"/>
  <c r="Z1929" i="82"/>
  <c r="K1929" i="86"/>
  <c r="N1929" i="86"/>
  <c r="AF98" i="88"/>
  <c r="AF23" i="88"/>
  <c r="N1865" i="86"/>
  <c r="K1865" i="86"/>
  <c r="AF819" i="82"/>
  <c r="AE200" i="83"/>
  <c r="Z200" i="83"/>
  <c r="AL26" i="68"/>
  <c r="AE651" i="83"/>
  <c r="Z651" i="83"/>
  <c r="AM71" i="69"/>
  <c r="T71" i="69"/>
  <c r="N71" i="69"/>
  <c r="AE317" i="82"/>
  <c r="AB92" i="88"/>
  <c r="AB17" i="88"/>
  <c r="AG66" i="70"/>
  <c r="AE66" i="70"/>
  <c r="AO66" i="70"/>
  <c r="AD362" i="83"/>
  <c r="Y362" i="83"/>
  <c r="Z1877" i="82"/>
  <c r="K1877" i="86"/>
  <c r="N1877" i="86"/>
  <c r="N118" i="88"/>
  <c r="N43" i="88"/>
  <c r="AO46" i="69"/>
  <c r="AE46" i="69"/>
  <c r="AG46" i="69"/>
  <c r="AD90" i="83"/>
  <c r="Y90" i="83"/>
  <c r="Z1907" i="82"/>
  <c r="AF1907" i="82"/>
  <c r="M394" i="86"/>
  <c r="J394" i="86"/>
  <c r="AJ17" i="69"/>
  <c r="AF17" i="88"/>
  <c r="AF92" i="88"/>
  <c r="AB89" i="88"/>
  <c r="AB14" i="88"/>
  <c r="AF1429" i="82"/>
  <c r="Z1429" i="82"/>
  <c r="AE854" i="83"/>
  <c r="Z854" i="83"/>
  <c r="N1941" i="86"/>
  <c r="K1941" i="86"/>
  <c r="AF1206" i="82"/>
  <c r="Z1206" i="82"/>
  <c r="M524" i="86"/>
  <c r="J524" i="86"/>
  <c r="AF1763" i="82"/>
  <c r="N496" i="86"/>
  <c r="K496" i="86"/>
  <c r="AM54" i="70"/>
  <c r="T54" i="70"/>
  <c r="N54" i="70"/>
  <c r="AF1867" i="82"/>
  <c r="AG31" i="69"/>
  <c r="AF1783" i="82"/>
  <c r="AD6" i="83"/>
  <c r="Y6" i="83"/>
  <c r="N134" i="88"/>
  <c r="N59" i="88"/>
  <c r="AF830" i="82"/>
  <c r="AF1640" i="82"/>
  <c r="Z1640" i="82"/>
  <c r="AE491" i="83"/>
  <c r="Z491" i="83"/>
  <c r="AM58" i="69"/>
  <c r="T58" i="69"/>
  <c r="N58" i="69"/>
  <c r="M216" i="86"/>
  <c r="J216" i="86"/>
  <c r="AE657" i="83"/>
  <c r="Z657" i="83"/>
  <c r="AG35" i="70"/>
  <c r="AE35" i="70"/>
  <c r="AO35" i="70"/>
  <c r="AK66" i="70"/>
  <c r="AK66" i="69"/>
  <c r="AE873" i="83"/>
  <c r="Z873" i="83"/>
  <c r="AM43" i="70"/>
  <c r="T43" i="70"/>
  <c r="N43" i="70"/>
  <c r="AF1424" i="82"/>
  <c r="Z1424" i="82"/>
  <c r="AG91" i="88"/>
  <c r="AG16" i="88"/>
  <c r="AK16" i="69"/>
  <c r="AB82" i="88"/>
  <c r="AB7" i="88"/>
  <c r="N98" i="88"/>
  <c r="N23" i="88"/>
  <c r="AD112" i="83"/>
  <c r="Y112" i="83"/>
  <c r="M950" i="86"/>
  <c r="J950" i="86"/>
  <c r="AL76" i="69"/>
  <c r="AE346" i="82"/>
  <c r="N1628" i="86"/>
  <c r="K1628" i="86"/>
  <c r="AK20" i="70"/>
  <c r="AK20" i="69"/>
  <c r="AF892" i="82"/>
  <c r="AD52" i="83"/>
  <c r="Y52" i="83"/>
  <c r="N1272" i="86"/>
  <c r="K1272" i="86"/>
  <c r="N573" i="86"/>
  <c r="K573" i="86"/>
  <c r="AL34" i="70"/>
  <c r="AJ34" i="70"/>
  <c r="AE916" i="83"/>
  <c r="Z916" i="83"/>
  <c r="AE928" i="83"/>
  <c r="Z928" i="83"/>
  <c r="AM18" i="70"/>
  <c r="AG18" i="70"/>
  <c r="AE18" i="70"/>
  <c r="AE194" i="83"/>
  <c r="Z194" i="83"/>
  <c r="AD181" i="83"/>
  <c r="Y181" i="83"/>
  <c r="N124" i="88"/>
  <c r="N49" i="88"/>
  <c r="AF1474" i="82"/>
  <c r="Z1474" i="82"/>
  <c r="AG138" i="88"/>
  <c r="AG63" i="88"/>
  <c r="N1492" i="86"/>
  <c r="K1492" i="86"/>
  <c r="AF1275" i="82"/>
  <c r="AD171" i="83"/>
  <c r="Y171" i="83"/>
  <c r="M731" i="86"/>
  <c r="J731" i="86"/>
  <c r="AF1388" i="82"/>
  <c r="Z1388" i="82"/>
  <c r="AE704" i="83"/>
  <c r="Z704" i="83"/>
  <c r="N1451" i="86"/>
  <c r="K1451" i="86"/>
  <c r="N1792" i="86"/>
  <c r="K1792" i="86"/>
  <c r="M67" i="86"/>
  <c r="J67" i="86"/>
  <c r="M146" i="86"/>
  <c r="J146" i="86"/>
  <c r="AE496" i="83"/>
  <c r="Z496" i="83"/>
  <c r="AF1688" i="82"/>
  <c r="Z1688" i="82"/>
  <c r="AF417" i="82"/>
  <c r="AD192" i="83"/>
  <c r="Y192" i="83"/>
  <c r="AF1532" i="82"/>
  <c r="AD339" i="83"/>
  <c r="Y339" i="83"/>
  <c r="AM36" i="70"/>
  <c r="T36" i="70"/>
  <c r="N36" i="70"/>
  <c r="Z1867" i="82"/>
  <c r="K1867" i="86"/>
  <c r="N1867" i="86"/>
  <c r="AP31" i="69"/>
  <c r="AF31" i="69"/>
  <c r="AC31" i="88"/>
  <c r="AC106" i="88"/>
  <c r="AK38" i="70"/>
  <c r="AK38" i="68"/>
  <c r="AK38" i="69"/>
  <c r="Z1783" i="82"/>
  <c r="K1783" i="86"/>
  <c r="N1783" i="86"/>
  <c r="AE524" i="82"/>
  <c r="Y524" i="82"/>
  <c r="N1174" i="86"/>
  <c r="K1174" i="86"/>
  <c r="AF1973" i="82"/>
  <c r="AE777" i="82"/>
  <c r="AF1586" i="82"/>
  <c r="Z1586" i="82"/>
  <c r="AE186" i="83"/>
  <c r="Z186" i="83"/>
  <c r="AF28" i="70"/>
  <c r="AP28" i="70"/>
  <c r="N937" i="86"/>
  <c r="K937" i="86"/>
  <c r="AE757" i="83"/>
  <c r="Z757" i="83"/>
  <c r="AF42" i="70"/>
  <c r="AP42" i="70"/>
  <c r="AD67" i="83"/>
  <c r="Y67" i="83"/>
  <c r="Z830" i="82"/>
  <c r="K830" i="86"/>
  <c r="N830" i="86"/>
  <c r="AF1810" i="82"/>
  <c r="N137" i="88"/>
  <c r="N62" i="88"/>
  <c r="N1400" i="86"/>
  <c r="K1400" i="86"/>
  <c r="AL67" i="69"/>
  <c r="AJ67" i="69"/>
  <c r="AM50" i="69"/>
  <c r="T50" i="69"/>
  <c r="N50" i="69"/>
  <c r="AE612" i="83"/>
  <c r="Z612" i="83"/>
  <c r="AD540" i="83"/>
  <c r="Y540" i="83"/>
  <c r="N1573" i="86"/>
  <c r="K1573" i="86"/>
  <c r="N1372" i="86"/>
  <c r="K1372" i="86"/>
  <c r="AD43" i="83"/>
  <c r="Y43" i="83"/>
  <c r="AE239" i="83"/>
  <c r="Z239" i="83"/>
  <c r="AE79" i="82"/>
  <c r="AE844" i="83"/>
  <c r="Z844" i="83"/>
  <c r="AV10" i="82"/>
  <c r="AD373" i="83"/>
  <c r="Y373" i="83"/>
  <c r="AE329" i="82"/>
  <c r="AO41" i="70"/>
  <c r="AE41" i="70"/>
  <c r="AG41" i="70"/>
  <c r="AF32" i="70"/>
  <c r="AP32" i="70"/>
  <c r="AD44" i="83"/>
  <c r="Y44" i="83"/>
  <c r="AE550" i="82"/>
  <c r="Y550" i="82"/>
  <c r="AK20" i="68"/>
  <c r="AG20" i="88"/>
  <c r="AG95" i="88"/>
  <c r="AD316" i="83"/>
  <c r="Y316" i="83"/>
  <c r="Z892" i="82"/>
  <c r="K892" i="86"/>
  <c r="N892" i="86"/>
  <c r="AP21" i="69"/>
  <c r="AF21" i="69"/>
  <c r="AC21" i="88"/>
  <c r="AC96" i="88"/>
  <c r="AD238" i="83"/>
  <c r="Y238" i="83"/>
  <c r="AF528" i="82"/>
  <c r="Z528" i="82"/>
  <c r="AE595" i="83"/>
  <c r="Z595" i="83"/>
  <c r="N30" i="70"/>
  <c r="T30" i="70"/>
  <c r="AM30" i="70"/>
  <c r="AF1143" i="82"/>
  <c r="Z1143" i="82"/>
  <c r="N46" i="69"/>
  <c r="T46" i="69"/>
  <c r="AM46" i="69"/>
  <c r="AF1442" i="82"/>
  <c r="Z1442" i="82"/>
  <c r="AD305" i="83"/>
  <c r="Y305" i="83"/>
  <c r="AE857" i="83"/>
  <c r="Z857" i="83"/>
  <c r="Z1275" i="82"/>
  <c r="K1275" i="86"/>
  <c r="N1275" i="86"/>
  <c r="AK63" i="69"/>
  <c r="AK63" i="67"/>
  <c r="AK63" i="68"/>
  <c r="AK63" i="70"/>
  <c r="AD255" i="83"/>
  <c r="Y255" i="83"/>
  <c r="AB103" i="88"/>
  <c r="AB28" i="88"/>
  <c r="AE900" i="83"/>
  <c r="Z900" i="83"/>
  <c r="AF1205" i="82"/>
  <c r="Z1205" i="82"/>
  <c r="M315" i="86"/>
  <c r="J315" i="86"/>
  <c r="AF1269" i="82"/>
  <c r="N513" i="86"/>
  <c r="K513" i="86"/>
  <c r="N1133" i="86"/>
  <c r="K1133" i="86"/>
  <c r="N1999" i="86"/>
  <c r="K1999" i="86"/>
  <c r="N1664" i="86"/>
  <c r="K1664" i="86"/>
  <c r="M338" i="86"/>
  <c r="J338" i="86"/>
  <c r="M472" i="86"/>
  <c r="J472" i="86"/>
  <c r="AP8" i="69"/>
  <c r="AF8" i="69"/>
  <c r="AC8" i="88"/>
  <c r="AC83" i="88"/>
  <c r="N1679" i="86"/>
  <c r="K1679" i="86"/>
  <c r="Z1829" i="82"/>
  <c r="K1829" i="86"/>
  <c r="N1829" i="86"/>
  <c r="Y198" i="82"/>
  <c r="AE198" i="82"/>
  <c r="N1546" i="86"/>
  <c r="K1546" i="86"/>
  <c r="N1379" i="86"/>
  <c r="K1379" i="86"/>
  <c r="N116" i="88"/>
  <c r="N41" i="88"/>
  <c r="AE1156" i="82"/>
  <c r="Y1156" i="82"/>
  <c r="AF1409" i="82"/>
  <c r="Z1409" i="82"/>
  <c r="AE216" i="83"/>
  <c r="Z216" i="83"/>
  <c r="AD581" i="83"/>
  <c r="Y581" i="83"/>
  <c r="Z441" i="82"/>
  <c r="AF441" i="82"/>
  <c r="AE529" i="83"/>
  <c r="Z529" i="83"/>
  <c r="N65" i="69"/>
  <c r="T65" i="69"/>
  <c r="AM65" i="69"/>
  <c r="AF1364" i="82"/>
  <c r="Z1364" i="82"/>
  <c r="Y777" i="82"/>
  <c r="J777" i="86"/>
  <c r="M777" i="86"/>
  <c r="AE716" i="83"/>
  <c r="Z716" i="83"/>
  <c r="Z1973" i="82"/>
  <c r="K1973" i="86"/>
  <c r="N1973" i="86"/>
  <c r="N810" i="86"/>
  <c r="K810" i="86"/>
  <c r="Z1896" i="82"/>
  <c r="AF1896" i="82"/>
  <c r="Z947" i="82"/>
  <c r="AF947" i="82"/>
  <c r="Z1810" i="82"/>
  <c r="K1810" i="86"/>
  <c r="N1810" i="86"/>
  <c r="Z1704" i="82"/>
  <c r="AF1704" i="82"/>
  <c r="AD57" i="83"/>
  <c r="Y57" i="83"/>
  <c r="AD436" i="83"/>
  <c r="Y436" i="83"/>
  <c r="N44" i="69"/>
  <c r="T44" i="69"/>
  <c r="AM44" i="69"/>
  <c r="AB148" i="88"/>
  <c r="AB73" i="88"/>
  <c r="AE15" i="69"/>
  <c r="AG15" i="69"/>
  <c r="AC125" i="88"/>
  <c r="AC50" i="88"/>
  <c r="AF50" i="69"/>
  <c r="AP50" i="69"/>
  <c r="AE604" i="83"/>
  <c r="Z604" i="83"/>
  <c r="AE756" i="83"/>
  <c r="Z756" i="83"/>
  <c r="AV11" i="82"/>
  <c r="N1688" i="86"/>
  <c r="K1688" i="86"/>
  <c r="N1337" i="86"/>
  <c r="K1337" i="86"/>
  <c r="N1918" i="86"/>
  <c r="K1918" i="86"/>
  <c r="M609" i="86"/>
  <c r="J609" i="86"/>
  <c r="AE17" i="69"/>
  <c r="AG17" i="69"/>
  <c r="M461" i="86"/>
  <c r="J461" i="86"/>
  <c r="AD475" i="83"/>
  <c r="Y475" i="83"/>
  <c r="AB120" i="88"/>
  <c r="AB45" i="88"/>
  <c r="AD158" i="83"/>
  <c r="Y158" i="83"/>
  <c r="M555" i="86"/>
  <c r="J555" i="86"/>
  <c r="AE676" i="83"/>
  <c r="Z676" i="83"/>
  <c r="AG137" i="88"/>
  <c r="AG62" i="88"/>
  <c r="AD96" i="83"/>
  <c r="Y96" i="83"/>
  <c r="AD141" i="83"/>
  <c r="Y141" i="83"/>
  <c r="M14" i="86"/>
  <c r="U4" i="86"/>
  <c r="AI4" i="86"/>
  <c r="AF136" i="88"/>
  <c r="AF61" i="88"/>
  <c r="N1774" i="86"/>
  <c r="K1774" i="86"/>
  <c r="M404" i="86"/>
  <c r="J404" i="86"/>
  <c r="N62" i="69"/>
  <c r="T62" i="69"/>
  <c r="AM62" i="69"/>
  <c r="AF1431" i="82"/>
  <c r="Z1431" i="82"/>
  <c r="AF1300" i="82"/>
  <c r="N23" i="69"/>
  <c r="T23" i="69"/>
  <c r="AM23" i="69"/>
  <c r="AE884" i="83"/>
  <c r="Z884" i="83"/>
  <c r="AD214" i="83"/>
  <c r="Y214" i="83"/>
  <c r="N1922" i="86"/>
  <c r="K1922" i="86"/>
  <c r="AE228" i="83"/>
  <c r="Z228" i="83"/>
  <c r="AE556" i="83"/>
  <c r="Z556" i="83"/>
  <c r="Y315" i="82"/>
  <c r="AE315" i="82"/>
  <c r="AD169" i="83"/>
  <c r="Y169" i="83"/>
  <c r="Z1269" i="82"/>
  <c r="K1269" i="86"/>
  <c r="N1269" i="86"/>
  <c r="AE839" i="83"/>
  <c r="Z839" i="83"/>
  <c r="AE850" i="83"/>
  <c r="Z850" i="83"/>
  <c r="AJ7" i="83"/>
  <c r="AE818" i="83"/>
  <c r="Z818" i="83"/>
  <c r="N1351" i="86"/>
  <c r="K1351" i="86"/>
  <c r="AD469" i="83"/>
  <c r="Y469" i="83"/>
  <c r="AD500" i="83"/>
  <c r="Y500" i="83"/>
  <c r="AE907" i="83"/>
  <c r="Z907" i="83"/>
  <c r="N1645" i="86"/>
  <c r="K1645" i="86"/>
  <c r="AE600" i="83"/>
  <c r="Z600" i="83"/>
  <c r="AE223" i="83"/>
  <c r="Z223" i="83"/>
  <c r="N1293" i="86"/>
  <c r="K1293" i="86"/>
  <c r="Z1300" i="82"/>
  <c r="K1300" i="86"/>
  <c r="N1300" i="86"/>
  <c r="AB126" i="88"/>
  <c r="AB51" i="88"/>
  <c r="Y404" i="82"/>
  <c r="AE404" i="82"/>
  <c r="AD261" i="83"/>
  <c r="Y261" i="83"/>
  <c r="AF1595" i="82"/>
  <c r="Z1595" i="82"/>
  <c r="AE494" i="83"/>
  <c r="Z494" i="83"/>
  <c r="AL76" i="70"/>
  <c r="AL5" i="70"/>
  <c r="AE539" i="82"/>
  <c r="Y539" i="82"/>
  <c r="AG90" i="88"/>
  <c r="AG15" i="88"/>
  <c r="AK15" i="69"/>
  <c r="AE245" i="83"/>
  <c r="Z245" i="83"/>
  <c r="AF1662" i="82"/>
  <c r="Z1662" i="82"/>
  <c r="AE779" i="83"/>
  <c r="Z779" i="83"/>
  <c r="AF1612" i="82"/>
  <c r="Z1612" i="82"/>
  <c r="Z321" i="82"/>
  <c r="AF321" i="82"/>
  <c r="AF1350" i="82"/>
  <c r="AD30" i="83"/>
  <c r="Y30" i="83"/>
  <c r="Z1897" i="82"/>
  <c r="AF1897" i="82"/>
  <c r="Z1342" i="82"/>
  <c r="K1342" i="86"/>
  <c r="N1342" i="86"/>
  <c r="Z819" i="82"/>
  <c r="K819" i="86"/>
  <c r="N819" i="86"/>
  <c r="AF1676" i="82"/>
  <c r="Z1676" i="82"/>
  <c r="AF1486" i="82"/>
  <c r="Z1486" i="82"/>
  <c r="M80" i="86"/>
  <c r="J80" i="86"/>
  <c r="Y394" i="82"/>
  <c r="AE394" i="82"/>
  <c r="AD473" i="83"/>
  <c r="Y473" i="83"/>
  <c r="AE877" i="83"/>
  <c r="Z877" i="83"/>
  <c r="AJ26" i="69"/>
  <c r="AL26" i="69"/>
  <c r="AB146" i="88"/>
  <c r="AB71" i="88"/>
  <c r="AM67" i="70"/>
  <c r="T67" i="70"/>
  <c r="N67" i="70"/>
  <c r="AD245" i="83"/>
  <c r="Y245" i="83"/>
  <c r="AF1653" i="82"/>
  <c r="Z1653" i="82"/>
  <c r="N1686" i="86"/>
  <c r="K1686" i="86"/>
  <c r="AE671" i="82"/>
  <c r="AM19" i="70"/>
  <c r="AG19" i="70"/>
  <c r="AE19" i="70"/>
  <c r="AM10" i="70"/>
  <c r="AG10" i="70"/>
  <c r="AE10" i="70"/>
  <c r="AE448" i="82"/>
  <c r="AE18" i="69"/>
  <c r="AG18" i="69"/>
  <c r="AJ26" i="68"/>
  <c r="AF26" i="88"/>
  <c r="AF101" i="88"/>
  <c r="AD232" i="83"/>
  <c r="Y232" i="83"/>
  <c r="AD37" i="83"/>
  <c r="Y37" i="83"/>
  <c r="N130" i="88"/>
  <c r="N55" i="88"/>
  <c r="AB143" i="88"/>
  <c r="AB68" i="88"/>
  <c r="AG55" i="69"/>
  <c r="AE658" i="83"/>
  <c r="Z658" i="83"/>
  <c r="AE647" i="83"/>
  <c r="Z647" i="83"/>
  <c r="AE796" i="82"/>
  <c r="AO28" i="70"/>
  <c r="AE28" i="70"/>
  <c r="AG28" i="70"/>
  <c r="AF1801" i="82"/>
  <c r="AD481" i="83"/>
  <c r="Y481" i="83"/>
  <c r="Z937" i="82"/>
  <c r="AF937" i="82"/>
  <c r="AE319" i="82"/>
  <c r="AD370" i="83"/>
  <c r="Y370" i="83"/>
  <c r="AF425" i="82"/>
  <c r="AE73" i="82"/>
  <c r="Y317" i="82"/>
  <c r="J317" i="86"/>
  <c r="M317" i="86"/>
  <c r="AK66" i="67"/>
  <c r="AK66" i="68"/>
  <c r="AG66" i="88"/>
  <c r="AG141" i="88"/>
  <c r="N52" i="86"/>
  <c r="K52" i="86"/>
  <c r="Y609" i="82"/>
  <c r="AE609" i="82"/>
  <c r="Z810" i="82"/>
  <c r="AF810" i="82"/>
  <c r="AF1634" i="82"/>
  <c r="Z1634" i="82"/>
  <c r="AE522" i="83"/>
  <c r="Z522" i="83"/>
  <c r="AD577" i="83"/>
  <c r="Y577" i="83"/>
  <c r="Z417" i="82"/>
  <c r="K417" i="86"/>
  <c r="N417" i="86"/>
  <c r="AF928" i="82"/>
  <c r="AC134" i="88"/>
  <c r="AC59" i="88"/>
  <c r="AF59" i="69"/>
  <c r="AP59" i="69"/>
  <c r="N7" i="70"/>
  <c r="T7" i="70"/>
  <c r="AM7" i="70"/>
  <c r="AE549" i="83"/>
  <c r="Z549" i="83"/>
  <c r="N1118" i="86"/>
  <c r="K1118" i="86"/>
  <c r="N1173" i="86"/>
  <c r="K1173" i="86"/>
  <c r="AF1531" i="82"/>
  <c r="AE849" i="83"/>
  <c r="Z849" i="83"/>
  <c r="AV5" i="82"/>
  <c r="AD62" i="83"/>
  <c r="Y62" i="83"/>
  <c r="N971" i="86"/>
  <c r="K971" i="86"/>
  <c r="AF1173" i="82"/>
  <c r="Z1173" i="82"/>
  <c r="AD440" i="83"/>
  <c r="Y440" i="83"/>
  <c r="AF369" i="82"/>
  <c r="AF1928" i="82"/>
  <c r="AF26" i="70"/>
  <c r="AP26" i="70"/>
  <c r="AE932" i="83"/>
  <c r="Z932" i="83"/>
  <c r="M1106" i="86"/>
  <c r="J1106" i="86"/>
  <c r="N86" i="88"/>
  <c r="N11" i="88"/>
  <c r="N1822" i="86"/>
  <c r="K1822" i="86"/>
  <c r="AD241" i="83"/>
  <c r="Y241" i="83"/>
  <c r="AD102" i="83"/>
  <c r="Y102" i="83"/>
  <c r="AD15" i="83"/>
  <c r="Y15" i="83"/>
  <c r="AJ5" i="70"/>
  <c r="AJ76" i="70"/>
  <c r="AF1669" i="82"/>
  <c r="Z1669" i="82"/>
  <c r="AF99" i="88"/>
  <c r="AF24" i="88"/>
  <c r="AE629" i="83"/>
  <c r="Z629" i="83"/>
  <c r="M557" i="86"/>
  <c r="J557" i="86"/>
  <c r="AD383" i="83"/>
  <c r="Y383" i="83"/>
  <c r="AM52" i="69"/>
  <c r="T52" i="69"/>
  <c r="N52" i="69"/>
  <c r="AE528" i="83"/>
  <c r="Z528" i="83"/>
  <c r="Z1350" i="82"/>
  <c r="K1350" i="86"/>
  <c r="N1350" i="86"/>
  <c r="AL15" i="69"/>
  <c r="N906" i="86"/>
  <c r="K906" i="86"/>
  <c r="AF1924" i="82"/>
  <c r="AF455" i="82"/>
  <c r="AF576" i="82"/>
  <c r="Y80" i="82"/>
  <c r="AE80" i="82"/>
  <c r="Z1865" i="82"/>
  <c r="AF1865" i="82"/>
  <c r="AJ15" i="69"/>
  <c r="AF15" i="88"/>
  <c r="AF90" i="88"/>
  <c r="AE14" i="69"/>
  <c r="AG14" i="69"/>
  <c r="Y756" i="82"/>
  <c r="AE756" i="82"/>
  <c r="Z1293" i="82"/>
  <c r="AF1293" i="82"/>
  <c r="AF1072" i="82"/>
  <c r="Y671" i="82"/>
  <c r="J671" i="86"/>
  <c r="M671" i="86"/>
  <c r="AE845" i="83"/>
  <c r="Z845" i="83"/>
  <c r="Y448" i="82"/>
  <c r="J448" i="86"/>
  <c r="M448" i="86"/>
  <c r="AE234" i="83"/>
  <c r="Z234" i="83"/>
  <c r="AL21" i="69"/>
  <c r="AJ21" i="69"/>
  <c r="AE922" i="83"/>
  <c r="Z922" i="83"/>
  <c r="N551" i="86"/>
  <c r="K551" i="86"/>
  <c r="AF22" i="70"/>
  <c r="AP22" i="70"/>
  <c r="AE644" i="83"/>
  <c r="Z644" i="83"/>
  <c r="Z436" i="82"/>
  <c r="AF436" i="82"/>
  <c r="AG101" i="88"/>
  <c r="AG26" i="88"/>
  <c r="N1559" i="86"/>
  <c r="K1559" i="86"/>
  <c r="AF1138" i="82"/>
  <c r="AF1457" i="82"/>
  <c r="Z1457" i="82"/>
  <c r="AF1618" i="82"/>
  <c r="Z1618" i="82"/>
  <c r="AF1148" i="82"/>
  <c r="Z1148" i="82"/>
  <c r="AL61" i="70"/>
  <c r="AJ61" i="70"/>
  <c r="AO55" i="69"/>
  <c r="AE55" i="69"/>
  <c r="AB55" i="88"/>
  <c r="AB130" i="88"/>
  <c r="AE859" i="83"/>
  <c r="Z859" i="83"/>
  <c r="AE789" i="82"/>
  <c r="Y796" i="82"/>
  <c r="J796" i="86"/>
  <c r="M796" i="86"/>
  <c r="AD409" i="83"/>
  <c r="Y409" i="83"/>
  <c r="AF889" i="82"/>
  <c r="Z1801" i="82"/>
  <c r="K1801" i="86"/>
  <c r="N1801" i="86"/>
  <c r="AO68" i="69"/>
  <c r="AE68" i="69"/>
  <c r="AG68" i="69"/>
  <c r="Y319" i="82"/>
  <c r="J319" i="86"/>
  <c r="M319" i="86"/>
  <c r="AE571" i="83"/>
  <c r="Z571" i="83"/>
  <c r="AO51" i="69"/>
  <c r="AE51" i="69"/>
  <c r="AG51" i="69"/>
  <c r="AD156" i="83"/>
  <c r="Y156" i="83"/>
  <c r="AL67" i="70"/>
  <c r="AJ67" i="70"/>
  <c r="AE244" i="83"/>
  <c r="Z244" i="83"/>
  <c r="Y73" i="82"/>
  <c r="J73" i="86"/>
  <c r="M73" i="86"/>
  <c r="AE605" i="83"/>
  <c r="Z605" i="83"/>
  <c r="AF1398" i="82"/>
  <c r="Z1398" i="82"/>
  <c r="AE741" i="83"/>
  <c r="Z741" i="83"/>
  <c r="N72" i="70"/>
  <c r="T72" i="70"/>
  <c r="AM72" i="70"/>
  <c r="AF1175" i="82"/>
  <c r="Z1175" i="82"/>
  <c r="AO45" i="69"/>
  <c r="AE45" i="69"/>
  <c r="AG45" i="69"/>
  <c r="AE629" i="82"/>
  <c r="AE789" i="83"/>
  <c r="Z789" i="83"/>
  <c r="N1591" i="86"/>
  <c r="K1591" i="86"/>
  <c r="AE510" i="83"/>
  <c r="Z510" i="83"/>
  <c r="N1593" i="86"/>
  <c r="K1593" i="86"/>
  <c r="AE517" i="83"/>
  <c r="Z517" i="83"/>
  <c r="AD299" i="83"/>
  <c r="Y299" i="83"/>
  <c r="Z928" i="82"/>
  <c r="K928" i="86"/>
  <c r="N928" i="86"/>
  <c r="AE495" i="83"/>
  <c r="Z495" i="83"/>
  <c r="AF201" i="82"/>
  <c r="Z1531" i="82"/>
  <c r="K1531" i="86"/>
  <c r="N1531" i="86"/>
  <c r="Z971" i="82"/>
  <c r="AF971" i="82"/>
  <c r="AF1880" i="82"/>
  <c r="N1965" i="86"/>
  <c r="K1965" i="86"/>
  <c r="N139" i="88"/>
  <c r="N64" i="88"/>
  <c r="Z369" i="82"/>
  <c r="K369" i="86"/>
  <c r="N369" i="86"/>
  <c r="AC92" i="88"/>
  <c r="AC17" i="88"/>
  <c r="AF17" i="69"/>
  <c r="AF1513" i="82"/>
  <c r="AE602" i="83"/>
  <c r="Z602" i="83"/>
  <c r="AD454" i="83"/>
  <c r="Y454" i="83"/>
  <c r="AF60" i="82"/>
  <c r="Z1774" i="82"/>
  <c r="AF1774" i="82"/>
  <c r="AE752" i="83"/>
  <c r="Z752" i="83"/>
  <c r="AF519" i="82"/>
  <c r="Z519" i="82"/>
  <c r="AE938" i="83"/>
  <c r="Z938" i="83"/>
  <c r="AE730" i="83"/>
  <c r="Z730" i="83"/>
  <c r="AF1989" i="82"/>
  <c r="Z1989" i="82"/>
  <c r="N1340" i="86"/>
  <c r="K1340" i="86"/>
  <c r="AD315" i="83"/>
  <c r="Y315" i="83"/>
  <c r="AK70" i="70"/>
  <c r="AK70" i="69"/>
  <c r="M104" i="86"/>
  <c r="J104" i="86"/>
  <c r="N1836" i="86"/>
  <c r="K1836" i="86"/>
  <c r="AE766" i="82"/>
  <c r="AF1182" i="82"/>
  <c r="Z1182" i="82"/>
  <c r="AG56" i="70"/>
  <c r="AE56" i="70"/>
  <c r="AO56" i="70"/>
  <c r="AF1809" i="82"/>
  <c r="M1193" i="86"/>
  <c r="J1193" i="86"/>
  <c r="AE587" i="83"/>
  <c r="Z587" i="83"/>
  <c r="N1671" i="86"/>
  <c r="K1671" i="86"/>
  <c r="N8" i="70"/>
  <c r="T8" i="70"/>
  <c r="AM8" i="70"/>
  <c r="AE262" i="83"/>
  <c r="Z262" i="83"/>
  <c r="N1560" i="86"/>
  <c r="K1560" i="86"/>
  <c r="AF1381" i="82"/>
  <c r="Z1381" i="82"/>
  <c r="Z906" i="82"/>
  <c r="AF906" i="82"/>
  <c r="Z455" i="82"/>
  <c r="K455" i="86"/>
  <c r="N455" i="86"/>
  <c r="Z576" i="82"/>
  <c r="K576" i="86"/>
  <c r="N576" i="86"/>
  <c r="AD219" i="83"/>
  <c r="Y219" i="83"/>
  <c r="N453" i="86"/>
  <c r="K453" i="86"/>
  <c r="N1927" i="86"/>
  <c r="K1927" i="86"/>
  <c r="N1401" i="86"/>
  <c r="K1401" i="86"/>
  <c r="M513" i="86"/>
  <c r="J513" i="86"/>
  <c r="Z1072" i="82"/>
  <c r="K1072" i="86"/>
  <c r="N1072" i="86"/>
  <c r="AF411" i="82"/>
  <c r="Z1941" i="82"/>
  <c r="AF1941" i="82"/>
  <c r="AF1268" i="82"/>
  <c r="M699" i="86"/>
  <c r="J699" i="86"/>
  <c r="N1730" i="86"/>
  <c r="K1730" i="86"/>
  <c r="AK30" i="70"/>
  <c r="AK30" i="69"/>
  <c r="AE514" i="83"/>
  <c r="Z514" i="83"/>
  <c r="Z496" i="82"/>
  <c r="AF496" i="82"/>
  <c r="N1876" i="86"/>
  <c r="K1876" i="86"/>
  <c r="AE690" i="83"/>
  <c r="Z690" i="83"/>
  <c r="Z1138" i="82"/>
  <c r="K1138" i="86"/>
  <c r="N1138" i="86"/>
  <c r="AF1498" i="82"/>
  <c r="Z1498" i="82"/>
  <c r="M670" i="86"/>
  <c r="J670" i="86"/>
  <c r="AF1843" i="82"/>
  <c r="N121" i="88"/>
  <c r="N46" i="88"/>
  <c r="Y789" i="82"/>
  <c r="J789" i="86"/>
  <c r="M789" i="86"/>
  <c r="AE641" i="82"/>
  <c r="Z889" i="82"/>
  <c r="K889" i="86"/>
  <c r="N889" i="86"/>
  <c r="AK76" i="70"/>
  <c r="AK5" i="70"/>
  <c r="AG70" i="69"/>
  <c r="M551" i="86"/>
  <c r="J551" i="86"/>
  <c r="AF1604" i="82"/>
  <c r="Z1604" i="82"/>
  <c r="AD502" i="83"/>
  <c r="Y502" i="83"/>
  <c r="Y1106" i="82"/>
  <c r="AE1106" i="82"/>
  <c r="AE638" i="82"/>
  <c r="AD404" i="83"/>
  <c r="Y404" i="83"/>
  <c r="AK17" i="69"/>
  <c r="AG17" i="88"/>
  <c r="AG92" i="88"/>
  <c r="AF1437" i="82"/>
  <c r="Z1437" i="82"/>
  <c r="Z52" i="82"/>
  <c r="AF52" i="82"/>
  <c r="Y629" i="82"/>
  <c r="J629" i="86"/>
  <c r="M629" i="86"/>
  <c r="AF1848" i="82"/>
  <c r="AE706" i="83"/>
  <c r="Z706" i="83"/>
  <c r="AD307" i="83"/>
  <c r="Y307" i="83"/>
  <c r="AE162" i="82"/>
  <c r="AK62" i="69"/>
  <c r="AK62" i="67"/>
  <c r="AK62" i="68"/>
  <c r="AK62" i="70"/>
  <c r="N1214" i="86"/>
  <c r="K1214" i="86"/>
  <c r="Z201" i="82"/>
  <c r="K201" i="86"/>
  <c r="N201" i="86"/>
  <c r="AE535" i="82"/>
  <c r="Y535" i="82"/>
  <c r="AF1500" i="82"/>
  <c r="Z1500" i="82"/>
  <c r="AE222" i="83"/>
  <c r="Z222" i="83"/>
  <c r="N9" i="88"/>
  <c r="N84" i="88"/>
  <c r="AE787" i="83"/>
  <c r="Z787" i="83"/>
  <c r="Z1880" i="82"/>
  <c r="K1880" i="86"/>
  <c r="N1880" i="86"/>
  <c r="AD482" i="83"/>
  <c r="Y482" i="83"/>
  <c r="Z1965" i="82"/>
  <c r="AF1965" i="82"/>
  <c r="AK35" i="69"/>
  <c r="AK35" i="70"/>
  <c r="Z1513" i="82"/>
  <c r="K1513" i="86"/>
  <c r="N1513" i="86"/>
  <c r="AL38" i="69"/>
  <c r="AJ38" i="69"/>
  <c r="N21" i="69"/>
  <c r="T21" i="69"/>
  <c r="AM21" i="69"/>
  <c r="Z60" i="82"/>
  <c r="K60" i="86"/>
  <c r="N60" i="86"/>
  <c r="AF337" i="82"/>
  <c r="N1982" i="86"/>
  <c r="K1982" i="86"/>
  <c r="Z1340" i="82"/>
  <c r="AF1340" i="82"/>
  <c r="AD176" i="83"/>
  <c r="Y176" i="83"/>
  <c r="AD91" i="83"/>
  <c r="Y91" i="83"/>
  <c r="AE698" i="83"/>
  <c r="Z698" i="83"/>
  <c r="AB99" i="88"/>
  <c r="AB24" i="88"/>
  <c r="AF7" i="82"/>
  <c r="AM27" i="70"/>
  <c r="T27" i="70"/>
  <c r="N27" i="70"/>
  <c r="N491" i="86"/>
  <c r="K491" i="86"/>
  <c r="N1039" i="86"/>
  <c r="K1039" i="86"/>
  <c r="AL34" i="69"/>
  <c r="AJ34" i="69"/>
  <c r="N25" i="70"/>
  <c r="T25" i="70"/>
  <c r="AM25" i="70"/>
  <c r="Y472" i="82"/>
  <c r="AE472" i="82"/>
  <c r="AE772" i="83"/>
  <c r="Z772" i="83"/>
  <c r="AP65" i="69"/>
  <c r="AF65" i="69"/>
  <c r="AC65" i="88"/>
  <c r="AC140" i="88"/>
  <c r="AF69" i="70"/>
  <c r="AP69" i="70"/>
  <c r="AE541" i="82"/>
  <c r="Y541" i="82"/>
  <c r="Z1532" i="82"/>
  <c r="K1532" i="86"/>
  <c r="N1532" i="86"/>
  <c r="AD282" i="83"/>
  <c r="Y282" i="83"/>
  <c r="Z1927" i="82"/>
  <c r="AF1927" i="82"/>
  <c r="Z572" i="82"/>
  <c r="AF572" i="82"/>
  <c r="Z425" i="82"/>
  <c r="K425" i="86"/>
  <c r="N425" i="86"/>
  <c r="Z1918" i="82"/>
  <c r="AF1918" i="82"/>
  <c r="Z1118" i="82"/>
  <c r="AF1118" i="82"/>
  <c r="Z1763" i="82"/>
  <c r="K1763" i="86"/>
  <c r="N1763" i="86"/>
  <c r="Z411" i="82"/>
  <c r="K411" i="86"/>
  <c r="N411" i="86"/>
  <c r="Z1137" i="82"/>
  <c r="AF1137" i="82"/>
  <c r="Z453" i="82"/>
  <c r="AF453" i="82"/>
  <c r="Z1268" i="82"/>
  <c r="K1268" i="86"/>
  <c r="N1268" i="86"/>
  <c r="Y699" i="82"/>
  <c r="AE699" i="82"/>
  <c r="AD131" i="83"/>
  <c r="Y131" i="83"/>
  <c r="AD278" i="83"/>
  <c r="Y278" i="83"/>
  <c r="AE525" i="83"/>
  <c r="Z525" i="83"/>
  <c r="AK30" i="68"/>
  <c r="AG30" i="88"/>
  <c r="AG105" i="88"/>
  <c r="AG47" i="69"/>
  <c r="AE738" i="83"/>
  <c r="Z738" i="83"/>
  <c r="Z1122" i="82"/>
  <c r="AF1122" i="82"/>
  <c r="N1984" i="86"/>
  <c r="K1984" i="86"/>
  <c r="Z1876" i="82"/>
  <c r="AF1876" i="82"/>
  <c r="AE590" i="82"/>
  <c r="Z1730" i="82"/>
  <c r="AF1730" i="82"/>
  <c r="N21" i="88"/>
  <c r="N96" i="88"/>
  <c r="AO47" i="69"/>
  <c r="AE47" i="69"/>
  <c r="AB47" i="88"/>
  <c r="AB122" i="88"/>
  <c r="AE607" i="83"/>
  <c r="Z607" i="83"/>
  <c r="AK26" i="70"/>
  <c r="AK26" i="68"/>
  <c r="AK26" i="69"/>
  <c r="Y670" i="82"/>
  <c r="AE670" i="82"/>
  <c r="Z1843" i="82"/>
  <c r="K1843" i="86"/>
  <c r="N1843" i="86"/>
  <c r="AF1451" i="82"/>
  <c r="Z1451" i="82"/>
  <c r="AD365" i="83"/>
  <c r="Y365" i="83"/>
  <c r="Y641" i="82"/>
  <c r="J641" i="86"/>
  <c r="M641" i="86"/>
  <c r="AO71" i="69"/>
  <c r="AE71" i="69"/>
  <c r="AG71" i="69"/>
  <c r="Y216" i="82"/>
  <c r="AE216" i="82"/>
  <c r="AO70" i="69"/>
  <c r="AE70" i="69"/>
  <c r="AB70" i="88"/>
  <c r="AB145" i="88"/>
  <c r="N1413" i="86"/>
  <c r="K1413" i="86"/>
  <c r="Y79" i="82"/>
  <c r="J79" i="86"/>
  <c r="M79" i="86"/>
  <c r="AE653" i="83"/>
  <c r="Z653" i="83"/>
  <c r="Y329" i="82"/>
  <c r="J329" i="86"/>
  <c r="M329" i="86"/>
  <c r="Y638" i="82"/>
  <c r="J638" i="86"/>
  <c r="M638" i="86"/>
  <c r="N1215" i="86"/>
  <c r="K1215" i="86"/>
  <c r="AE1197" i="82"/>
  <c r="Y1197" i="82"/>
  <c r="AF1426" i="82"/>
  <c r="Z1426" i="82"/>
  <c r="AD275" i="83"/>
  <c r="Y275" i="83"/>
  <c r="AU5" i="82"/>
  <c r="AU10" i="82"/>
  <c r="AU11" i="82"/>
  <c r="G48" i="5"/>
  <c r="G49" i="5"/>
  <c r="AF74" i="70"/>
  <c r="AP74" i="70"/>
  <c r="Z1337" i="82"/>
  <c r="AF1337" i="82"/>
  <c r="AE214" i="83"/>
  <c r="Z214" i="83"/>
  <c r="Y346" i="82"/>
  <c r="J346" i="86"/>
  <c r="M346" i="86"/>
  <c r="AD294" i="83"/>
  <c r="Y294" i="83"/>
  <c r="Y950" i="82"/>
  <c r="AE950" i="82"/>
  <c r="Z1848" i="82"/>
  <c r="K1848" i="86"/>
  <c r="N1848" i="86"/>
  <c r="AL31" i="69"/>
  <c r="AJ31" i="69"/>
  <c r="N1184" i="86"/>
  <c r="K1184" i="86"/>
  <c r="AO7" i="69"/>
  <c r="AE7" i="69"/>
  <c r="AG7" i="69"/>
  <c r="Y162" i="82"/>
  <c r="J162" i="86"/>
  <c r="M162" i="86"/>
  <c r="AF1154" i="82"/>
  <c r="Z1154" i="82"/>
  <c r="AD458" i="83"/>
  <c r="Y458" i="83"/>
  <c r="N1552" i="86"/>
  <c r="K1552" i="86"/>
  <c r="AD215" i="83"/>
  <c r="Y215" i="83"/>
  <c r="Z573" i="82"/>
  <c r="AF573" i="82"/>
  <c r="AJ34" i="68"/>
  <c r="AL34" i="68"/>
  <c r="Z1928" i="82"/>
  <c r="K1928" i="86"/>
  <c r="N1928" i="86"/>
  <c r="N109" i="88"/>
  <c r="N34" i="88"/>
  <c r="AK35" i="67"/>
  <c r="AK35" i="68"/>
  <c r="AG35" i="88"/>
  <c r="AG110" i="88"/>
  <c r="AD313" i="83"/>
  <c r="Y313" i="83"/>
  <c r="AO48" i="70"/>
  <c r="AE48" i="70"/>
  <c r="AG48" i="70"/>
  <c r="Y590" i="82"/>
  <c r="J590" i="86"/>
  <c r="M590" i="86"/>
  <c r="AD541" i="83"/>
  <c r="Y541" i="83"/>
  <c r="AE868" i="83"/>
  <c r="Z868" i="83"/>
  <c r="Z337" i="82"/>
  <c r="K337" i="86"/>
  <c r="N337" i="86"/>
  <c r="N21" i="70"/>
  <c r="T21" i="70"/>
  <c r="AM21" i="70"/>
  <c r="AE837" i="83"/>
  <c r="Z837" i="83"/>
  <c r="N1673" i="86"/>
  <c r="K1673" i="86"/>
  <c r="N1992" i="86"/>
  <c r="K1992" i="86"/>
  <c r="Y731" i="82"/>
  <c r="AE731" i="82"/>
  <c r="AE709" i="83"/>
  <c r="Z709" i="83"/>
  <c r="AF1707" i="82"/>
  <c r="AE268" i="82"/>
  <c r="AD40" i="83"/>
  <c r="Y40" i="83"/>
  <c r="AE710" i="82"/>
  <c r="N1656" i="86"/>
  <c r="K1656" i="86"/>
  <c r="AE558" i="83"/>
  <c r="Z558" i="83"/>
  <c r="AE777" i="83"/>
  <c r="Z777" i="83"/>
  <c r="AE81" i="82"/>
  <c r="AE1115" i="82"/>
  <c r="M600" i="86"/>
  <c r="J600" i="86"/>
  <c r="N1385" i="86"/>
  <c r="K1385" i="86"/>
  <c r="AG67" i="70"/>
  <c r="AE67" i="70"/>
  <c r="AO67" i="70"/>
  <c r="AE24" i="69"/>
  <c r="AG24" i="69"/>
  <c r="AF1552" i="82"/>
  <c r="Z1552" i="82"/>
  <c r="N1585" i="86"/>
  <c r="K1585" i="86"/>
  <c r="N1724" i="86"/>
  <c r="K1724" i="86"/>
  <c r="N1089" i="86"/>
  <c r="K1089" i="86"/>
  <c r="AF1683" i="82"/>
  <c r="Z1683" i="82"/>
  <c r="M760" i="86"/>
  <c r="J760" i="86"/>
  <c r="AD318" i="83"/>
  <c r="Y318" i="83"/>
  <c r="AF554" i="82"/>
  <c r="Z554" i="82"/>
  <c r="AF116" i="88"/>
  <c r="AF41" i="88"/>
  <c r="M568" i="86"/>
  <c r="J568" i="86"/>
  <c r="AC143" i="88"/>
  <c r="AP68" i="69"/>
  <c r="AF68" i="69"/>
  <c r="AC68" i="88"/>
  <c r="AF570" i="82"/>
  <c r="AD220" i="83"/>
  <c r="Y220" i="83"/>
  <c r="M794" i="86"/>
  <c r="J794" i="86"/>
  <c r="Y461" i="82"/>
  <c r="AE461" i="82"/>
  <c r="M865" i="86"/>
  <c r="J865" i="86"/>
  <c r="AG33" i="70"/>
  <c r="AE33" i="70"/>
  <c r="AO33" i="70"/>
  <c r="AE921" i="83"/>
  <c r="Z921" i="83"/>
  <c r="AD354" i="83"/>
  <c r="Y354" i="83"/>
  <c r="AM40" i="70"/>
  <c r="T40" i="70"/>
  <c r="N40" i="70"/>
  <c r="AL23" i="68"/>
  <c r="AD167" i="83"/>
  <c r="Y167" i="83"/>
  <c r="AF2012" i="82"/>
  <c r="AD575" i="83"/>
  <c r="Y575" i="83"/>
  <c r="N1715" i="86"/>
  <c r="K1715" i="86"/>
  <c r="AF1767" i="82"/>
  <c r="AE855" i="83"/>
  <c r="Z855" i="83"/>
  <c r="N195" i="86"/>
  <c r="K195" i="86"/>
  <c r="N1933" i="86"/>
  <c r="K1933" i="86"/>
  <c r="N1262" i="86"/>
  <c r="K1262" i="86"/>
  <c r="Y104" i="82"/>
  <c r="AE104" i="82"/>
  <c r="M952" i="86"/>
  <c r="J952" i="86"/>
  <c r="M334" i="86"/>
  <c r="J334" i="86"/>
  <c r="N1388" i="86"/>
  <c r="K1388" i="86"/>
  <c r="AF1358" i="82"/>
  <c r="Z1358" i="82"/>
  <c r="M1164" i="86"/>
  <c r="J1164" i="86"/>
  <c r="AD45" i="83"/>
  <c r="Y45" i="83"/>
  <c r="AD478" i="83"/>
  <c r="Y478" i="83"/>
  <c r="AE801" i="83"/>
  <c r="Z801" i="83"/>
  <c r="AD74" i="83"/>
  <c r="Y74" i="83"/>
  <c r="AG148" i="88"/>
  <c r="AG73" i="88"/>
  <c r="AE767" i="83"/>
  <c r="Z767" i="83"/>
  <c r="AE769" i="82"/>
  <c r="N1223" i="86"/>
  <c r="K1223" i="86"/>
  <c r="M302" i="86"/>
  <c r="J302" i="86"/>
  <c r="N1770" i="86"/>
  <c r="K1770" i="86"/>
  <c r="AG96" i="88"/>
  <c r="AG21" i="88"/>
  <c r="AG109" i="88"/>
  <c r="AG34" i="88"/>
  <c r="M143" i="86"/>
  <c r="J143" i="86"/>
  <c r="AE811" i="83"/>
  <c r="Z811" i="83"/>
  <c r="AL48" i="69"/>
  <c r="AJ48" i="69"/>
  <c r="AE925" i="83"/>
  <c r="Z925" i="83"/>
  <c r="N540" i="86"/>
  <c r="K540" i="86"/>
  <c r="AE739" i="83"/>
  <c r="Z739" i="83"/>
  <c r="AF1176" i="82"/>
  <c r="Z1176" i="82"/>
  <c r="AF1423" i="82"/>
  <c r="Z1423" i="82"/>
  <c r="AG73" i="70"/>
  <c r="AE73" i="70"/>
  <c r="AO73" i="70"/>
  <c r="AE490" i="82"/>
  <c r="N1304" i="86"/>
  <c r="K1304" i="86"/>
  <c r="AF108" i="88"/>
  <c r="AF33" i="88"/>
  <c r="AD77" i="83"/>
  <c r="Y77" i="83"/>
  <c r="M87" i="86"/>
  <c r="J87" i="86"/>
  <c r="M583" i="86"/>
  <c r="J583" i="86"/>
  <c r="AG53" i="70"/>
  <c r="AE53" i="70"/>
  <c r="AO53" i="70"/>
  <c r="M792" i="86"/>
  <c r="J792" i="86"/>
  <c r="Z1707" i="82"/>
  <c r="K1707" i="86"/>
  <c r="N1707" i="86"/>
  <c r="N11" i="86"/>
  <c r="K11" i="86"/>
  <c r="Z1822" i="82"/>
  <c r="AF1822" i="82"/>
  <c r="AO28" i="69"/>
  <c r="AE28" i="69"/>
  <c r="AG28" i="69"/>
  <c r="AJ23" i="69"/>
  <c r="AL23" i="69"/>
  <c r="Z1724" i="82"/>
  <c r="AF1724" i="82"/>
  <c r="AD121" i="83"/>
  <c r="Y121" i="83"/>
  <c r="Z1836" i="82"/>
  <c r="AF1836" i="82"/>
  <c r="Z1089" i="82"/>
  <c r="AF1089" i="82"/>
  <c r="AE261" i="83"/>
  <c r="Z261" i="83"/>
  <c r="M739" i="86"/>
  <c r="J739" i="86"/>
  <c r="N1839" i="86"/>
  <c r="K1839" i="86"/>
  <c r="AF1807" i="82"/>
  <c r="AF1077" i="82"/>
  <c r="AD185" i="83"/>
  <c r="Y185" i="83"/>
  <c r="AE871" i="83"/>
  <c r="Z871" i="83"/>
  <c r="AP60" i="69"/>
  <c r="AF60" i="69"/>
  <c r="AC60" i="88"/>
  <c r="AC135" i="88"/>
  <c r="AE887" i="83"/>
  <c r="Z887" i="83"/>
  <c r="AF39" i="70"/>
  <c r="AP39" i="70"/>
  <c r="AD256" i="83"/>
  <c r="Y256" i="83"/>
  <c r="N69" i="69"/>
  <c r="T69" i="69"/>
  <c r="AM69" i="69"/>
  <c r="AE895" i="83"/>
  <c r="Z895" i="83"/>
  <c r="AF1497" i="82"/>
  <c r="Z1497" i="82"/>
  <c r="N44" i="86"/>
  <c r="K44" i="86"/>
  <c r="AD279" i="83"/>
  <c r="Y279" i="83"/>
  <c r="N934" i="86"/>
  <c r="K934" i="86"/>
  <c r="AD416" i="83"/>
  <c r="Y416" i="83"/>
  <c r="AC82" i="88"/>
  <c r="AC7" i="88"/>
  <c r="AF7" i="69"/>
  <c r="AP7" i="69"/>
  <c r="AL33" i="69"/>
  <c r="AJ33" i="69"/>
  <c r="AF138" i="88"/>
  <c r="AF63" i="88"/>
  <c r="N1440" i="86"/>
  <c r="K1440" i="86"/>
  <c r="AJ23" i="68"/>
  <c r="AJ23" i="70"/>
  <c r="AL23" i="70"/>
  <c r="Z2012" i="82"/>
  <c r="K2012" i="86"/>
  <c r="N2012" i="86"/>
  <c r="AM22" i="70"/>
  <c r="T22" i="70"/>
  <c r="N22" i="70"/>
  <c r="Z1767" i="82"/>
  <c r="K1767" i="86"/>
  <c r="N1767" i="86"/>
  <c r="AE862" i="82"/>
  <c r="AE586" i="82"/>
  <c r="N1631" i="86"/>
  <c r="K1631" i="86"/>
  <c r="AD446" i="83"/>
  <c r="Y446" i="83"/>
  <c r="AD63" i="83"/>
  <c r="Y63" i="83"/>
  <c r="N135" i="88"/>
  <c r="N60" i="88"/>
  <c r="M678" i="86"/>
  <c r="J678" i="86"/>
  <c r="AG102" i="88"/>
  <c r="AG27" i="88"/>
  <c r="AG57" i="69"/>
  <c r="AF28" i="82"/>
  <c r="Y769" i="82"/>
  <c r="J769" i="86"/>
  <c r="M769" i="86"/>
  <c r="Z1223" i="82"/>
  <c r="AF1223" i="82"/>
  <c r="N63" i="69"/>
  <c r="T63" i="69"/>
  <c r="AM63" i="69"/>
  <c r="AG70" i="70"/>
  <c r="AE70" i="70"/>
  <c r="AO70" i="70"/>
  <c r="AE826" i="83"/>
  <c r="Z826" i="83"/>
  <c r="AE702" i="82"/>
  <c r="Y143" i="82"/>
  <c r="AE143" i="82"/>
  <c r="N143" i="88"/>
  <c r="N68" i="88"/>
  <c r="N354" i="86"/>
  <c r="K354" i="86"/>
  <c r="AL21" i="68"/>
  <c r="N1317" i="86"/>
  <c r="K1317" i="86"/>
  <c r="AE920" i="83"/>
  <c r="Z920" i="83"/>
  <c r="N1130" i="86"/>
  <c r="K1130" i="86"/>
  <c r="N886" i="86"/>
  <c r="K886" i="86"/>
  <c r="N1547" i="86"/>
  <c r="K1547" i="86"/>
  <c r="N141" i="88"/>
  <c r="N66" i="88"/>
  <c r="AD99" i="83"/>
  <c r="Y99" i="83"/>
  <c r="AE251" i="83"/>
  <c r="Z251" i="83"/>
  <c r="Y490" i="82"/>
  <c r="J490" i="86"/>
  <c r="M490" i="86"/>
  <c r="AD414" i="83"/>
  <c r="Y414" i="83"/>
  <c r="N1521" i="86"/>
  <c r="K1521" i="86"/>
  <c r="N408" i="86"/>
  <c r="K408" i="86"/>
  <c r="AD418" i="83"/>
  <c r="Y418" i="83"/>
  <c r="AD64" i="83"/>
  <c r="Y64" i="83"/>
  <c r="AE526" i="82"/>
  <c r="Y526" i="82"/>
  <c r="N59" i="70"/>
  <c r="T59" i="70"/>
  <c r="AM59" i="70"/>
  <c r="Z1077" i="82"/>
  <c r="K1077" i="86"/>
  <c r="N1077" i="86"/>
  <c r="AF1837" i="82"/>
  <c r="Z1839" i="82"/>
  <c r="AF1839" i="82"/>
  <c r="AE592" i="83"/>
  <c r="Z592" i="83"/>
  <c r="N36" i="69"/>
  <c r="T36" i="69"/>
  <c r="AM36" i="69"/>
  <c r="M1156" i="86"/>
  <c r="J1156" i="86"/>
  <c r="AF443" i="82"/>
  <c r="AE718" i="83"/>
  <c r="Z718" i="83"/>
  <c r="Z934" i="82"/>
  <c r="AF934" i="82"/>
  <c r="AF20" i="82"/>
  <c r="AE1005" i="82"/>
  <c r="AE518" i="83"/>
  <c r="Z518" i="83"/>
  <c r="AJ4" i="86"/>
  <c r="V4" i="86"/>
  <c r="N2" i="86"/>
  <c r="AF33" i="70"/>
  <c r="AP33" i="70"/>
  <c r="AF1406" i="82"/>
  <c r="Z1406" i="82"/>
  <c r="Y862" i="82"/>
  <c r="J862" i="86"/>
  <c r="M862" i="86"/>
  <c r="Y586" i="82"/>
  <c r="J586" i="86"/>
  <c r="M586" i="86"/>
  <c r="AE796" i="83"/>
  <c r="Z796" i="83"/>
  <c r="AF1453" i="82"/>
  <c r="Z1453" i="82"/>
  <c r="AD417" i="83"/>
  <c r="Y417" i="83"/>
  <c r="AM33" i="69"/>
  <c r="T33" i="69"/>
  <c r="N33" i="69"/>
  <c r="N1689" i="86"/>
  <c r="K1689" i="86"/>
  <c r="M413" i="86"/>
  <c r="J413" i="86"/>
  <c r="AE880" i="83"/>
  <c r="Z880" i="83"/>
  <c r="AD442" i="83"/>
  <c r="Y442" i="83"/>
  <c r="N1389" i="86"/>
  <c r="K1389" i="86"/>
  <c r="AF1188" i="82"/>
  <c r="Z1188" i="82"/>
  <c r="AD97" i="83"/>
  <c r="Y97" i="83"/>
  <c r="AE551" i="83"/>
  <c r="Z551" i="83"/>
  <c r="AD448" i="83"/>
  <c r="Y448" i="83"/>
  <c r="AG118" i="88"/>
  <c r="AG43" i="88"/>
  <c r="AO57" i="69"/>
  <c r="AE57" i="69"/>
  <c r="AB57" i="88"/>
  <c r="AB132" i="88"/>
  <c r="AE561" i="83"/>
  <c r="Z561" i="83"/>
  <c r="N49" i="69"/>
  <c r="T49" i="69"/>
  <c r="AM49" i="69"/>
  <c r="Z28" i="82"/>
  <c r="K28" i="86"/>
  <c r="N28" i="86"/>
  <c r="Y678" i="82"/>
  <c r="AE678" i="82"/>
  <c r="AM28" i="70"/>
  <c r="T28" i="70"/>
  <c r="N28" i="70"/>
  <c r="AE705" i="83"/>
  <c r="Z705" i="83"/>
  <c r="AC104" i="88"/>
  <c r="AC29" i="88"/>
  <c r="M139" i="86"/>
  <c r="J139" i="86"/>
  <c r="AL51" i="69"/>
  <c r="AJ51" i="69"/>
  <c r="Y702" i="82"/>
  <c r="J702" i="86"/>
  <c r="M702" i="86"/>
  <c r="AF516" i="82"/>
  <c r="Z516" i="82"/>
  <c r="AF1435" i="82"/>
  <c r="Z1435" i="82"/>
  <c r="AD387" i="83"/>
  <c r="Y387" i="83"/>
  <c r="N6" i="86"/>
  <c r="K6" i="86"/>
  <c r="N1447" i="86"/>
  <c r="K1447" i="86"/>
  <c r="N1002" i="86"/>
  <c r="K1002" i="86"/>
  <c r="S11" i="90"/>
  <c r="AF43" i="70"/>
  <c r="AP43" i="70"/>
  <c r="AL37" i="69"/>
  <c r="AJ37" i="69"/>
  <c r="M460" i="86"/>
  <c r="J460" i="86"/>
  <c r="AF1450" i="82"/>
  <c r="Z1450" i="82"/>
  <c r="M577" i="86"/>
  <c r="J577" i="86"/>
  <c r="AE767" i="82"/>
  <c r="AF1673" i="82"/>
  <c r="Z1673" i="82"/>
  <c r="N983" i="86"/>
  <c r="K983" i="86"/>
  <c r="AM28" i="69"/>
  <c r="T28" i="69"/>
  <c r="N28" i="69"/>
  <c r="AF1566" i="82"/>
  <c r="Z1566" i="82"/>
  <c r="AE242" i="83"/>
  <c r="Z242" i="83"/>
  <c r="N25" i="86"/>
  <c r="K25" i="86"/>
  <c r="AD323" i="83"/>
  <c r="Y323" i="83"/>
  <c r="N1889" i="86"/>
  <c r="K1889" i="86"/>
  <c r="N1911" i="86"/>
  <c r="K1911" i="86"/>
  <c r="Z1837" i="82"/>
  <c r="K1837" i="86"/>
  <c r="N1837" i="86"/>
  <c r="AK41" i="70"/>
  <c r="AK41" i="69"/>
  <c r="AE226" i="83"/>
  <c r="Z226" i="83"/>
  <c r="AD233" i="83"/>
  <c r="Y233" i="83"/>
  <c r="AF1192" i="82"/>
  <c r="Z1192" i="82"/>
  <c r="N1469" i="86"/>
  <c r="K1469" i="86"/>
  <c r="Y760" i="82"/>
  <c r="AE760" i="82"/>
  <c r="AE254" i="83"/>
  <c r="Z254" i="83"/>
  <c r="AL66" i="70"/>
  <c r="AJ66" i="70"/>
  <c r="AF1679" i="82"/>
  <c r="Z1679" i="82"/>
  <c r="AF1664" i="82"/>
  <c r="Z1664" i="82"/>
  <c r="Z443" i="82"/>
  <c r="K443" i="86"/>
  <c r="N443" i="86"/>
  <c r="Z1809" i="82"/>
  <c r="K1809" i="86"/>
  <c r="N1809" i="86"/>
  <c r="AE517" i="82"/>
  <c r="Y517" i="82"/>
  <c r="N65" i="70"/>
  <c r="T65" i="70"/>
  <c r="AM65" i="70"/>
  <c r="N136" i="88"/>
  <c r="N61" i="88"/>
  <c r="Z20" i="82"/>
  <c r="K20" i="86"/>
  <c r="N20" i="86"/>
  <c r="Y1005" i="82"/>
  <c r="J1005" i="86"/>
  <c r="M1005" i="86"/>
  <c r="M1102" i="86"/>
  <c r="J1102" i="86"/>
  <c r="AD401" i="83"/>
  <c r="Y401" i="83"/>
  <c r="N2009" i="86"/>
  <c r="K2009" i="86"/>
  <c r="Y338" i="82"/>
  <c r="AE338" i="82"/>
  <c r="AD356" i="83"/>
  <c r="Y356" i="83"/>
  <c r="AF1594" i="82"/>
  <c r="Z1594" i="82"/>
  <c r="AE744" i="83"/>
  <c r="Z744" i="83"/>
  <c r="AD46" i="83"/>
  <c r="Y46" i="83"/>
  <c r="M741" i="86"/>
  <c r="J741" i="86"/>
  <c r="N1298" i="86"/>
  <c r="K1298" i="86"/>
  <c r="AD107" i="83"/>
  <c r="Y107" i="83"/>
  <c r="AF2004" i="82"/>
  <c r="AM7" i="69"/>
  <c r="T7" i="69"/>
  <c r="N7" i="69"/>
  <c r="AL72" i="70"/>
  <c r="AJ72" i="70"/>
  <c r="Z1272" i="82"/>
  <c r="AF1272" i="82"/>
  <c r="AG72" i="69"/>
  <c r="M481" i="86"/>
  <c r="J481" i="86"/>
  <c r="N1404" i="86"/>
  <c r="K1404" i="86"/>
  <c r="AG122" i="88"/>
  <c r="AG47" i="88"/>
  <c r="AD285" i="83"/>
  <c r="Y285" i="83"/>
  <c r="M780" i="86"/>
  <c r="J780" i="86"/>
  <c r="AE1029" i="82"/>
  <c r="Z6" i="82"/>
  <c r="AF6" i="82"/>
  <c r="N97" i="88"/>
  <c r="N22" i="88"/>
  <c r="AE599" i="82"/>
  <c r="N977" i="86"/>
  <c r="K977" i="86"/>
  <c r="AD206" i="83"/>
  <c r="Y206" i="83"/>
  <c r="AE321" i="82"/>
  <c r="Z2009" i="82"/>
  <c r="AF2009" i="82"/>
  <c r="N1814" i="86"/>
  <c r="K1814" i="86"/>
  <c r="AF36" i="82"/>
  <c r="AE523" i="83"/>
  <c r="Z523" i="83"/>
  <c r="N1945" i="86"/>
  <c r="K1945" i="86"/>
  <c r="AF361" i="82"/>
  <c r="AF23" i="70"/>
  <c r="AP23" i="70"/>
  <c r="AE500" i="82"/>
  <c r="AD184" i="83"/>
  <c r="Y184" i="83"/>
  <c r="N1476" i="86"/>
  <c r="K1476" i="86"/>
  <c r="AE155" i="82"/>
  <c r="N1885" i="86"/>
  <c r="K1885" i="86"/>
  <c r="AL11" i="82"/>
  <c r="AK11" i="82"/>
  <c r="M956" i="86"/>
  <c r="J956" i="86"/>
  <c r="AF1395" i="82"/>
  <c r="Z1395" i="82"/>
  <c r="AF7" i="86"/>
  <c r="X7" i="86"/>
  <c r="R7" i="86"/>
  <c r="AE1165" i="82"/>
  <c r="Y1165" i="82"/>
  <c r="AD400" i="83"/>
  <c r="Y400" i="83"/>
  <c r="N1325" i="86"/>
  <c r="K1325" i="86"/>
  <c r="AL31" i="68"/>
  <c r="Z1521" i="82"/>
  <c r="AF1521" i="82"/>
  <c r="N1178" i="86"/>
  <c r="K1178" i="86"/>
  <c r="AF1587" i="82"/>
  <c r="Z1587" i="82"/>
  <c r="AF141" i="88"/>
  <c r="AF66" i="88"/>
  <c r="N1710" i="86"/>
  <c r="K1710" i="86"/>
  <c r="AF1458" i="82"/>
  <c r="Z1458" i="82"/>
  <c r="AE823" i="83"/>
  <c r="Z823" i="83"/>
  <c r="M788" i="86"/>
  <c r="J788" i="86"/>
  <c r="N1754" i="86"/>
  <c r="K1754" i="86"/>
  <c r="AO72" i="69"/>
  <c r="AE72" i="69"/>
  <c r="AB72" i="88"/>
  <c r="AB147" i="88"/>
  <c r="AE637" i="82"/>
  <c r="N1914" i="86"/>
  <c r="K1914" i="86"/>
  <c r="AE238" i="83"/>
  <c r="Z238" i="83"/>
  <c r="AL74" i="69"/>
  <c r="AJ74" i="69"/>
  <c r="M318" i="86"/>
  <c r="J318" i="86"/>
  <c r="AF1356" i="82"/>
  <c r="Z1356" i="82"/>
  <c r="Z195" i="82"/>
  <c r="AF195" i="82"/>
  <c r="AE883" i="83"/>
  <c r="Z883" i="83"/>
  <c r="AF495" i="82"/>
  <c r="N437" i="86"/>
  <c r="K437" i="86"/>
  <c r="M450" i="86"/>
  <c r="J450" i="86"/>
  <c r="AL42" i="70"/>
  <c r="AJ42" i="70"/>
  <c r="AC101" i="88"/>
  <c r="AC26" i="88"/>
  <c r="AF26" i="69"/>
  <c r="AP26" i="69"/>
  <c r="M610" i="86"/>
  <c r="J610" i="86"/>
  <c r="AC138" i="88"/>
  <c r="AC63" i="88"/>
  <c r="AF63" i="69"/>
  <c r="AP63" i="69"/>
  <c r="AE1167" i="82"/>
  <c r="Y1167" i="82"/>
  <c r="N1753" i="86"/>
  <c r="K1753" i="86"/>
  <c r="Z36" i="82"/>
  <c r="K36" i="86"/>
  <c r="N36" i="86"/>
  <c r="AM35" i="69"/>
  <c r="T35" i="69"/>
  <c r="N35" i="69"/>
  <c r="N222" i="86"/>
  <c r="K222" i="86"/>
  <c r="AF144" i="88"/>
  <c r="AF69" i="88"/>
  <c r="AL16" i="69"/>
  <c r="M1200" i="86"/>
  <c r="J1200" i="86"/>
  <c r="AD368" i="83"/>
  <c r="Y368" i="83"/>
  <c r="N2022" i="86"/>
  <c r="K2022" i="86"/>
  <c r="AL71" i="70"/>
  <c r="AJ71" i="70"/>
  <c r="AD113" i="83"/>
  <c r="Y113" i="83"/>
  <c r="N1356" i="86"/>
  <c r="K1356" i="86"/>
  <c r="Y460" i="82"/>
  <c r="AE460" i="82"/>
  <c r="AF1443" i="82"/>
  <c r="Z1443" i="82"/>
  <c r="Y268" i="82"/>
  <c r="J268" i="86"/>
  <c r="M268" i="86"/>
  <c r="Z1792" i="82"/>
  <c r="AF1792" i="82"/>
  <c r="Y81" i="82"/>
  <c r="J81" i="86"/>
  <c r="M81" i="86"/>
  <c r="Y710" i="82"/>
  <c r="J710" i="86"/>
  <c r="M710" i="86"/>
  <c r="AE551" i="82"/>
  <c r="Y551" i="82"/>
  <c r="AF52" i="70"/>
  <c r="AP52" i="70"/>
  <c r="M593" i="86"/>
  <c r="J593" i="86"/>
  <c r="AE903" i="83"/>
  <c r="Z903" i="83"/>
  <c r="Z1788" i="82"/>
  <c r="AF1788" i="82"/>
  <c r="Z1754" i="82"/>
  <c r="AF1754" i="82"/>
  <c r="Y766" i="82"/>
  <c r="J766" i="86"/>
  <c r="M766" i="86"/>
  <c r="AF1682" i="82"/>
  <c r="Z1682" i="82"/>
  <c r="AE815" i="83"/>
  <c r="Z815" i="83"/>
  <c r="Y739" i="82"/>
  <c r="AE739" i="82"/>
  <c r="Z570" i="82"/>
  <c r="K570" i="86"/>
  <c r="N570" i="86"/>
  <c r="Y1115" i="82"/>
  <c r="J1115" i="86"/>
  <c r="M1115" i="86"/>
  <c r="AD229" i="83"/>
  <c r="Y229" i="83"/>
  <c r="Y600" i="82"/>
  <c r="AE600" i="82"/>
  <c r="AF110" i="88"/>
  <c r="AF35" i="88"/>
  <c r="AK18" i="69"/>
  <c r="AG18" i="88"/>
  <c r="AG93" i="88"/>
  <c r="AE521" i="83"/>
  <c r="Z521" i="83"/>
  <c r="Z1999" i="82"/>
  <c r="AF1999" i="82"/>
  <c r="AD283" i="83"/>
  <c r="Y283" i="83"/>
  <c r="AK10" i="69"/>
  <c r="AG10" i="88"/>
  <c r="AG85" i="88"/>
  <c r="M1199" i="86"/>
  <c r="J1199" i="86"/>
  <c r="AE554" i="82"/>
  <c r="Y554" i="82"/>
  <c r="Z491" i="82"/>
  <c r="AF491" i="82"/>
  <c r="AO62" i="70"/>
  <c r="AE62" i="70"/>
  <c r="AG62" i="70"/>
  <c r="Y146" i="82"/>
  <c r="AE146" i="82"/>
  <c r="AD451" i="83"/>
  <c r="Y451" i="83"/>
  <c r="AD441" i="83"/>
  <c r="Y441" i="83"/>
  <c r="AD396" i="83"/>
  <c r="Y396" i="83"/>
  <c r="Z1039" i="82"/>
  <c r="AF1039" i="82"/>
  <c r="M1033" i="86"/>
  <c r="J1033" i="86"/>
  <c r="M468" i="86"/>
  <c r="J468" i="86"/>
  <c r="AE849" i="82"/>
  <c r="AG40" i="70"/>
  <c r="AE40" i="70"/>
  <c r="AO40" i="70"/>
  <c r="AE724" i="83"/>
  <c r="Z724" i="83"/>
  <c r="Z1325" i="82"/>
  <c r="AF1325" i="82"/>
  <c r="AF1361" i="82"/>
  <c r="Z1361" i="82"/>
  <c r="N509" i="86"/>
  <c r="K509" i="86"/>
  <c r="AD576" i="83"/>
  <c r="Y576" i="83"/>
  <c r="AJ31" i="68"/>
  <c r="AJ31" i="70"/>
  <c r="AL31" i="70"/>
  <c r="N996" i="86"/>
  <c r="K996" i="86"/>
  <c r="M430" i="86"/>
  <c r="J430" i="86"/>
  <c r="Z977" i="82"/>
  <c r="AF977" i="82"/>
  <c r="AL62" i="68"/>
  <c r="Y593" i="82"/>
  <c r="AE593" i="82"/>
  <c r="Y637" i="82"/>
  <c r="J637" i="86"/>
  <c r="M637" i="86"/>
  <c r="N1903" i="86"/>
  <c r="K1903" i="86"/>
  <c r="Z1710" i="82"/>
  <c r="AF1710" i="82"/>
  <c r="N828" i="86"/>
  <c r="K828" i="86"/>
  <c r="AG41" i="69"/>
  <c r="AD166" i="83"/>
  <c r="Y166" i="83"/>
  <c r="Z495" i="82"/>
  <c r="K495" i="86"/>
  <c r="N495" i="86"/>
  <c r="AG76" i="70"/>
  <c r="N1668" i="86"/>
  <c r="K1668" i="86"/>
  <c r="AF1555" i="82"/>
  <c r="Z1555" i="82"/>
  <c r="N1533" i="86"/>
  <c r="K1533" i="86"/>
  <c r="AL59" i="70"/>
  <c r="AJ59" i="70"/>
  <c r="AF1149" i="82"/>
  <c r="Z1149" i="82"/>
  <c r="AD413" i="83"/>
  <c r="Y413" i="83"/>
  <c r="AF53" i="70"/>
  <c r="AP53" i="70"/>
  <c r="AF127" i="88"/>
  <c r="AF52" i="88"/>
  <c r="AE1157" i="82"/>
  <c r="Y1157" i="82"/>
  <c r="N119" i="88"/>
  <c r="N44" i="88"/>
  <c r="N308" i="86"/>
  <c r="K308" i="86"/>
  <c r="Z1753" i="82"/>
  <c r="AF1753" i="82"/>
  <c r="N1916" i="86"/>
  <c r="K1916" i="86"/>
  <c r="AL8" i="82"/>
  <c r="AK8" i="82"/>
  <c r="AG25" i="69"/>
  <c r="N212" i="86"/>
  <c r="K212" i="86"/>
  <c r="N1682" i="86"/>
  <c r="K1682" i="86"/>
  <c r="AL42" i="68"/>
  <c r="AE829" i="83"/>
  <c r="Z829" i="83"/>
  <c r="AF1841" i="82"/>
  <c r="N1135" i="86"/>
  <c r="K1135" i="86"/>
  <c r="Y481" i="82"/>
  <c r="AE481" i="82"/>
  <c r="AF1181" i="82"/>
  <c r="Z1181" i="82"/>
  <c r="AL61" i="68"/>
  <c r="AK43" i="70"/>
  <c r="AK43" i="67"/>
  <c r="AK43" i="68"/>
  <c r="AK43" i="69"/>
  <c r="N1358" i="86"/>
  <c r="K1358" i="86"/>
  <c r="AL30" i="68"/>
  <c r="Y865" i="82"/>
  <c r="AE865" i="82"/>
  <c r="Y1033" i="82"/>
  <c r="AE1033" i="82"/>
  <c r="AE843" i="83"/>
  <c r="Z843" i="83"/>
  <c r="AE666" i="83"/>
  <c r="Z666" i="83"/>
  <c r="Y468" i="82"/>
  <c r="AE468" i="82"/>
  <c r="AB9" i="86"/>
  <c r="AE1162" i="82"/>
  <c r="Y1162" i="82"/>
  <c r="Y849" i="82"/>
  <c r="J849" i="86"/>
  <c r="M849" i="86"/>
  <c r="AJ62" i="69"/>
  <c r="AL62" i="69"/>
  <c r="AL60" i="68"/>
  <c r="AD142" i="83"/>
  <c r="Y142" i="83"/>
  <c r="AE670" i="83"/>
  <c r="Z670" i="83"/>
  <c r="Y413" i="82"/>
  <c r="AE413" i="82"/>
  <c r="AF1231" i="82"/>
  <c r="AE720" i="83"/>
  <c r="Z720" i="83"/>
  <c r="Z996" i="82"/>
  <c r="AF996" i="82"/>
  <c r="M502" i="86"/>
  <c r="J502" i="86"/>
  <c r="AL36" i="70"/>
  <c r="AJ36" i="70"/>
  <c r="AD105" i="83"/>
  <c r="Y105" i="83"/>
  <c r="M497" i="86"/>
  <c r="J497" i="86"/>
  <c r="N1600" i="86"/>
  <c r="K1600" i="86"/>
  <c r="AM32" i="69"/>
  <c r="T32" i="69"/>
  <c r="N32" i="69"/>
  <c r="AD332" i="83"/>
  <c r="Y332" i="83"/>
  <c r="R19" i="93"/>
  <c r="AM59" i="68"/>
  <c r="U19" i="93"/>
  <c r="AF55" i="70"/>
  <c r="AP55" i="70"/>
  <c r="M1031" i="86"/>
  <c r="J1031" i="86"/>
  <c r="AJ62" i="68"/>
  <c r="AJ62" i="70"/>
  <c r="AL62" i="70"/>
  <c r="AP40" i="69"/>
  <c r="AF40" i="69"/>
  <c r="AC40" i="88"/>
  <c r="AC115" i="88"/>
  <c r="N1919" i="86"/>
  <c r="K1919" i="86"/>
  <c r="N1474" i="86"/>
  <c r="K1474" i="86"/>
  <c r="I33" i="93"/>
  <c r="AM36" i="68"/>
  <c r="F33" i="93"/>
  <c r="AE827" i="83"/>
  <c r="Z827" i="83"/>
  <c r="N1368" i="86"/>
  <c r="K1368" i="86"/>
  <c r="AD117" i="83"/>
  <c r="Y117" i="83"/>
  <c r="AK27" i="70"/>
  <c r="AK27" i="67"/>
  <c r="AK27" i="68"/>
  <c r="AK27" i="69"/>
  <c r="M511" i="86"/>
  <c r="J511" i="86"/>
  <c r="AO41" i="69"/>
  <c r="AE41" i="69"/>
  <c r="AB41" i="88"/>
  <c r="AB116" i="88"/>
  <c r="Y741" i="82"/>
  <c r="AE741" i="82"/>
  <c r="AO73" i="69"/>
  <c r="AE73" i="69"/>
  <c r="AG73" i="69"/>
  <c r="AF1212" i="82"/>
  <c r="Z1212" i="82"/>
  <c r="Y1102" i="82"/>
  <c r="AE1102" i="82"/>
  <c r="Z437" i="82"/>
  <c r="AF437" i="82"/>
  <c r="AE677" i="83"/>
  <c r="Z677" i="83"/>
  <c r="AF986" i="82"/>
  <c r="AM61" i="70"/>
  <c r="T61" i="70"/>
  <c r="N61" i="70"/>
  <c r="N1954" i="86"/>
  <c r="K1954" i="86"/>
  <c r="AE295" i="82"/>
  <c r="AE797" i="83"/>
  <c r="Z797" i="83"/>
  <c r="AF1608" i="82"/>
  <c r="Z1608" i="82"/>
  <c r="AL55" i="70"/>
  <c r="AJ55" i="70"/>
  <c r="AF1494" i="82"/>
  <c r="Z1494" i="82"/>
  <c r="AF104" i="88"/>
  <c r="AF29" i="88"/>
  <c r="AF1562" i="82"/>
  <c r="Z1562" i="82"/>
  <c r="N1207" i="86"/>
  <c r="K1207" i="86"/>
  <c r="M1097" i="86"/>
  <c r="J1097" i="86"/>
  <c r="AM56" i="70"/>
  <c r="T56" i="70"/>
  <c r="N56" i="70"/>
  <c r="N1139" i="86"/>
  <c r="K1139" i="86"/>
  <c r="M157" i="86"/>
  <c r="J157" i="86"/>
  <c r="AF508" i="82"/>
  <c r="Z508" i="82"/>
  <c r="AF1890" i="82"/>
  <c r="N1149" i="86"/>
  <c r="K1149" i="86"/>
  <c r="N47" i="70"/>
  <c r="T47" i="70"/>
  <c r="AM47" i="70"/>
  <c r="AF397" i="82"/>
  <c r="Z11" i="82"/>
  <c r="AF11" i="82"/>
  <c r="Z1807" i="82"/>
  <c r="K1807" i="86"/>
  <c r="N1807" i="86"/>
  <c r="AK70" i="67"/>
  <c r="AK70" i="68"/>
  <c r="AG70" i="88"/>
  <c r="AG145" i="88"/>
  <c r="AJ24" i="69"/>
  <c r="AL24" i="69"/>
  <c r="AE205" i="83"/>
  <c r="Z205" i="83"/>
  <c r="AK41" i="67"/>
  <c r="AK41" i="68"/>
  <c r="AG41" i="88"/>
  <c r="AG116" i="88"/>
  <c r="Z7" i="82"/>
  <c r="K7" i="86"/>
  <c r="N7" i="86"/>
  <c r="Y557" i="82"/>
  <c r="AE557" i="82"/>
  <c r="Y568" i="82"/>
  <c r="AE568" i="82"/>
  <c r="AE15" i="70"/>
  <c r="AG15" i="70"/>
  <c r="AM15" i="70"/>
  <c r="AD509" i="83"/>
  <c r="Y509" i="83"/>
  <c r="AE919" i="83"/>
  <c r="Z919" i="83"/>
  <c r="AK9" i="69"/>
  <c r="AG9" i="88"/>
  <c r="AG84" i="88"/>
  <c r="AF1397" i="82"/>
  <c r="Z1397" i="82"/>
  <c r="Z1924" i="82"/>
  <c r="K1924" i="86"/>
  <c r="N1924" i="86"/>
  <c r="AF1592" i="82"/>
  <c r="Z1592" i="82"/>
  <c r="N37" i="69"/>
  <c r="T37" i="69"/>
  <c r="AM37" i="69"/>
  <c r="Y794" i="82"/>
  <c r="AE794" i="82"/>
  <c r="AD462" i="83"/>
  <c r="Y462" i="83"/>
  <c r="Z1922" i="82"/>
  <c r="AF1922" i="82"/>
  <c r="AJ61" i="68"/>
  <c r="AJ61" i="69"/>
  <c r="AL61" i="69"/>
  <c r="M653" i="86"/>
  <c r="J653" i="86"/>
  <c r="N1675" i="86"/>
  <c r="K1675" i="86"/>
  <c r="Z1133" i="82"/>
  <c r="AF1133" i="82"/>
  <c r="Z397" i="82"/>
  <c r="K397" i="86"/>
  <c r="N397" i="86"/>
  <c r="AJ30" i="68"/>
  <c r="AF30" i="88"/>
  <c r="AF105" i="88"/>
  <c r="AE546" i="82"/>
  <c r="Y546" i="82"/>
  <c r="AF1596" i="82"/>
  <c r="Z1596" i="82"/>
  <c r="Y653" i="82"/>
  <c r="AE653" i="82"/>
  <c r="Z1715" i="82"/>
  <c r="AF1715" i="82"/>
  <c r="Z1933" i="82"/>
  <c r="AF1933" i="82"/>
  <c r="Z1262" i="82"/>
  <c r="AF1262" i="82"/>
  <c r="AF318" i="82"/>
  <c r="AF7" i="70"/>
  <c r="AP7" i="70"/>
  <c r="AJ60" i="68"/>
  <c r="AJ60" i="70"/>
  <c r="AL60" i="70"/>
  <c r="Y952" i="82"/>
  <c r="AE952" i="82"/>
  <c r="Y334" i="82"/>
  <c r="AE334" i="82"/>
  <c r="M384" i="86"/>
  <c r="J384" i="86"/>
  <c r="AE486" i="83"/>
  <c r="Z486" i="83"/>
  <c r="Z1231" i="82"/>
  <c r="K1231" i="86"/>
  <c r="N1231" i="86"/>
  <c r="AE937" i="83"/>
  <c r="Z937" i="83"/>
  <c r="Z1914" i="82"/>
  <c r="AF1914" i="82"/>
  <c r="Y502" i="82"/>
  <c r="AE502" i="82"/>
  <c r="Z1903" i="82"/>
  <c r="AF1903" i="82"/>
  <c r="AF1686" i="82"/>
  <c r="Z1686" i="82"/>
  <c r="AF902" i="82"/>
  <c r="AE152" i="82"/>
  <c r="AF1834" i="82"/>
  <c r="AK73" i="69"/>
  <c r="AK73" i="67"/>
  <c r="AK73" i="68"/>
  <c r="AK73" i="70"/>
  <c r="M1203" i="86"/>
  <c r="J1203" i="86"/>
  <c r="Z44" i="82"/>
  <c r="AF44" i="82"/>
  <c r="AK47" i="69"/>
  <c r="AK47" i="67"/>
  <c r="AK47" i="68"/>
  <c r="AK47" i="70"/>
  <c r="AE774" i="83"/>
  <c r="Z774" i="83"/>
  <c r="Y497" i="82"/>
  <c r="AE497" i="82"/>
  <c r="Y430" i="82"/>
  <c r="AE430" i="82"/>
  <c r="Y1029" i="82"/>
  <c r="J1029" i="86"/>
  <c r="M1029" i="86"/>
  <c r="AE648" i="82"/>
  <c r="AK21" i="69"/>
  <c r="AK21" i="68"/>
  <c r="AK21" i="70"/>
  <c r="AD262" i="83"/>
  <c r="Y262" i="83"/>
  <c r="AE209" i="83"/>
  <c r="Z209" i="83"/>
  <c r="AL49" i="69"/>
  <c r="AJ49" i="69"/>
  <c r="Y302" i="82"/>
  <c r="AE302" i="82"/>
  <c r="M581" i="86"/>
  <c r="J581" i="86"/>
  <c r="N1818" i="86"/>
  <c r="K1818" i="86"/>
  <c r="Y318" i="82"/>
  <c r="AE318" i="82"/>
  <c r="Y152" i="82"/>
  <c r="J152" i="86"/>
  <c r="M152" i="86"/>
  <c r="AF1369" i="82"/>
  <c r="Z1369" i="82"/>
  <c r="AF1142" i="82"/>
  <c r="Z1142" i="82"/>
  <c r="M594" i="86"/>
  <c r="J594" i="86"/>
  <c r="N1602" i="86"/>
  <c r="K1602" i="86"/>
  <c r="AE649" i="83"/>
  <c r="Z649" i="83"/>
  <c r="AE943" i="83"/>
  <c r="Z943" i="83"/>
  <c r="AB142" i="88"/>
  <c r="AB67" i="88"/>
  <c r="AM66" i="68"/>
  <c r="Z212" i="82"/>
  <c r="AF212" i="82"/>
  <c r="U30" i="93"/>
  <c r="AM72" i="68"/>
  <c r="R30" i="93"/>
  <c r="Y1031" i="82"/>
  <c r="AE1031" i="82"/>
  <c r="AE25" i="82"/>
  <c r="AE601" i="83"/>
  <c r="Z601" i="83"/>
  <c r="N984" i="86"/>
  <c r="K984" i="86"/>
  <c r="Y788" i="82"/>
  <c r="AE788" i="82"/>
  <c r="AF45" i="70"/>
  <c r="AP45" i="70"/>
  <c r="AM64" i="70"/>
  <c r="T64" i="70"/>
  <c r="N64" i="70"/>
  <c r="AF1655" i="82"/>
  <c r="Z1655" i="82"/>
  <c r="AD501" i="83"/>
  <c r="Y501" i="83"/>
  <c r="AD455" i="83"/>
  <c r="Y455" i="83"/>
  <c r="AE632" i="83"/>
  <c r="Z632" i="83"/>
  <c r="AD154" i="83"/>
  <c r="Y154" i="83"/>
  <c r="N1263" i="86"/>
  <c r="K1263" i="86"/>
  <c r="AE885" i="83"/>
  <c r="Z885" i="83"/>
  <c r="N1614" i="86"/>
  <c r="K1614" i="86"/>
  <c r="AL66" i="68"/>
  <c r="AE697" i="82"/>
  <c r="AF1079" i="82"/>
  <c r="AF1327" i="82"/>
  <c r="AF444" i="82"/>
  <c r="N985" i="86"/>
  <c r="K985" i="86"/>
  <c r="AL51" i="70"/>
  <c r="AJ51" i="70"/>
  <c r="AE634" i="83"/>
  <c r="Z634" i="83"/>
  <c r="M343" i="86"/>
  <c r="J343" i="86"/>
  <c r="N376" i="86"/>
  <c r="K376" i="86"/>
  <c r="AF1312" i="82"/>
  <c r="AI7" i="86"/>
  <c r="U7" i="86"/>
  <c r="J298" i="86"/>
  <c r="M298" i="86"/>
  <c r="N1458" i="86"/>
  <c r="K1458" i="86"/>
  <c r="N1211" i="86"/>
  <c r="K1211" i="86"/>
  <c r="N1313" i="86"/>
  <c r="K1313" i="86"/>
  <c r="N1127" i="86"/>
  <c r="K1127" i="86"/>
  <c r="N373" i="86"/>
  <c r="K373" i="86"/>
  <c r="N479" i="86"/>
  <c r="K479" i="86"/>
  <c r="AE109" i="82"/>
  <c r="AF1674" i="82"/>
  <c r="Z1674" i="82"/>
  <c r="N1905" i="86"/>
  <c r="K1905" i="86"/>
  <c r="AD281" i="83"/>
  <c r="Y281" i="83"/>
  <c r="N1967" i="86"/>
  <c r="K1967" i="86"/>
  <c r="AE252" i="83"/>
  <c r="Z252" i="83"/>
  <c r="AF1858" i="82"/>
  <c r="AD341" i="83"/>
  <c r="Y341" i="83"/>
  <c r="AD27" i="83"/>
  <c r="Y27" i="83"/>
  <c r="N1830" i="86"/>
  <c r="K1830" i="86"/>
  <c r="M665" i="86"/>
  <c r="J665" i="86"/>
  <c r="AE679" i="82"/>
  <c r="AM55" i="69"/>
  <c r="T55" i="69"/>
  <c r="N55" i="69"/>
  <c r="N426" i="86"/>
  <c r="K426" i="86"/>
  <c r="N1276" i="86"/>
  <c r="K1276" i="86"/>
  <c r="AE939" i="83"/>
  <c r="Z939" i="83"/>
  <c r="M684" i="86"/>
  <c r="J684" i="86"/>
  <c r="N940" i="86"/>
  <c r="K940" i="86"/>
  <c r="N1934" i="86"/>
  <c r="K1934" i="86"/>
  <c r="AE805" i="83"/>
  <c r="Z805" i="83"/>
  <c r="N541" i="86"/>
  <c r="K541" i="86"/>
  <c r="AE1095" i="82"/>
  <c r="AF389" i="82"/>
  <c r="AB127" i="88"/>
  <c r="AB52" i="88"/>
  <c r="N1187" i="86"/>
  <c r="K1187" i="86"/>
  <c r="AE835" i="83"/>
  <c r="Z835" i="83"/>
  <c r="N1535" i="86"/>
  <c r="K1535" i="86"/>
  <c r="N1259" i="86"/>
  <c r="K1259" i="86"/>
  <c r="AD114" i="83"/>
  <c r="Y114" i="83"/>
  <c r="AD476" i="83"/>
  <c r="Y476" i="83"/>
  <c r="N487" i="86"/>
  <c r="K487" i="86"/>
  <c r="M179" i="86"/>
  <c r="J179" i="86"/>
  <c r="AB11" i="86"/>
  <c r="AO67" i="69"/>
  <c r="AE67" i="69"/>
  <c r="AG67" i="69"/>
  <c r="AD178" i="83"/>
  <c r="Y178" i="83"/>
  <c r="AF1743" i="82"/>
  <c r="AD82" i="83"/>
  <c r="Y82" i="83"/>
  <c r="AL43" i="70"/>
  <c r="AJ43" i="70"/>
  <c r="AG61" i="69"/>
  <c r="AJ66" i="68"/>
  <c r="AJ66" i="69"/>
  <c r="AL66" i="69"/>
  <c r="AE543" i="82"/>
  <c r="Y543" i="82"/>
  <c r="AD79" i="83"/>
  <c r="Y79" i="83"/>
  <c r="Z1079" i="82"/>
  <c r="K1079" i="86"/>
  <c r="N1079" i="86"/>
  <c r="Z1327" i="82"/>
  <c r="K1327" i="86"/>
  <c r="N1327" i="86"/>
  <c r="Z444" i="82"/>
  <c r="K444" i="86"/>
  <c r="N444" i="86"/>
  <c r="N1412" i="86"/>
  <c r="K1412" i="86"/>
  <c r="AE177" i="82"/>
  <c r="AE914" i="82"/>
  <c r="AF966" i="82"/>
  <c r="AD306" i="83"/>
  <c r="Y306" i="83"/>
  <c r="AP29" i="69"/>
  <c r="AF29" i="69"/>
  <c r="AG29" i="69"/>
  <c r="AP57" i="69"/>
  <c r="AF57" i="69"/>
  <c r="AC57" i="88"/>
  <c r="AC132" i="88"/>
  <c r="AE786" i="82"/>
  <c r="M252" i="86"/>
  <c r="J252" i="86"/>
  <c r="M724" i="86"/>
  <c r="J724" i="86"/>
  <c r="AD126" i="83"/>
  <c r="Y126" i="83"/>
  <c r="AB124" i="88"/>
  <c r="AB49" i="88"/>
  <c r="Y109" i="82"/>
  <c r="J109" i="86"/>
  <c r="M109" i="86"/>
  <c r="N968" i="86"/>
  <c r="K968" i="86"/>
  <c r="AE337" i="82"/>
  <c r="M860" i="86"/>
  <c r="J860" i="86"/>
  <c r="AD485" i="83"/>
  <c r="Y485" i="83"/>
  <c r="AP45" i="69"/>
  <c r="AF45" i="69"/>
  <c r="AC45" i="88"/>
  <c r="AC120" i="88"/>
  <c r="Z1858" i="82"/>
  <c r="K1858" i="86"/>
  <c r="N1858" i="86"/>
  <c r="M701" i="86"/>
  <c r="J701" i="86"/>
  <c r="N18" i="86"/>
  <c r="K18" i="86"/>
  <c r="M22" i="86"/>
  <c r="J22" i="86"/>
  <c r="N837" i="86"/>
  <c r="K837" i="86"/>
  <c r="Y1097" i="82"/>
  <c r="AE1097" i="82"/>
  <c r="AE910" i="83"/>
  <c r="Z910" i="83"/>
  <c r="AC118" i="88"/>
  <c r="AC43" i="88"/>
  <c r="AF43" i="69"/>
  <c r="AP43" i="69"/>
  <c r="M1009" i="86"/>
  <c r="J1009" i="86"/>
  <c r="AF327" i="82"/>
  <c r="AD394" i="83"/>
  <c r="Y394" i="83"/>
  <c r="Z1304" i="82"/>
  <c r="AF1304" i="82"/>
  <c r="AE687" i="82"/>
  <c r="N1949" i="86"/>
  <c r="K1949" i="86"/>
  <c r="Y1095" i="82"/>
  <c r="J1095" i="86"/>
  <c r="M1095" i="86"/>
  <c r="AD484" i="83"/>
  <c r="Y484" i="83"/>
  <c r="AE507" i="82"/>
  <c r="Y507" i="82"/>
  <c r="AD21" i="83"/>
  <c r="Y21" i="83"/>
  <c r="AF935" i="82"/>
  <c r="Z1127" i="82"/>
  <c r="AF1127" i="82"/>
  <c r="AE9" i="86"/>
  <c r="AE597" i="83"/>
  <c r="Z597" i="83"/>
  <c r="AO25" i="69"/>
  <c r="AE25" i="69"/>
  <c r="AB25" i="88"/>
  <c r="AB100" i="88"/>
  <c r="AJ16" i="69"/>
  <c r="AF16" i="88"/>
  <c r="AF91" i="88"/>
  <c r="Y25" i="82"/>
  <c r="J25" i="86"/>
  <c r="M25" i="86"/>
  <c r="AF1693" i="82"/>
  <c r="AU7" i="82"/>
  <c r="AV7" i="82"/>
  <c r="M349" i="86"/>
  <c r="J349" i="86"/>
  <c r="Z1743" i="82"/>
  <c r="K1743" i="86"/>
  <c r="N1743" i="86"/>
  <c r="M955" i="86"/>
  <c r="J955" i="86"/>
  <c r="AD86" i="83"/>
  <c r="Y86" i="83"/>
  <c r="N1483" i="86"/>
  <c r="K1483" i="86"/>
  <c r="AO61" i="69"/>
  <c r="AE61" i="69"/>
  <c r="AB61" i="88"/>
  <c r="AB136" i="88"/>
  <c r="AE876" i="83"/>
  <c r="Z876" i="83"/>
  <c r="AF1438" i="82"/>
  <c r="Z1438" i="82"/>
  <c r="N1932" i="86"/>
  <c r="K1932" i="86"/>
  <c r="AL47" i="68"/>
  <c r="AF29" i="82"/>
  <c r="N61" i="69"/>
  <c r="T61" i="69"/>
  <c r="AM61" i="69"/>
  <c r="AE825" i="83"/>
  <c r="Z825" i="83"/>
  <c r="Y177" i="82"/>
  <c r="J177" i="86"/>
  <c r="M177" i="86"/>
  <c r="Y914" i="82"/>
  <c r="J914" i="86"/>
  <c r="M914" i="86"/>
  <c r="AE553" i="83"/>
  <c r="Z553" i="83"/>
  <c r="AD398" i="83"/>
  <c r="Y398" i="83"/>
  <c r="AD545" i="83"/>
  <c r="Y545" i="83"/>
  <c r="Y1009" i="82"/>
  <c r="AE1009" i="82"/>
  <c r="Y786" i="82"/>
  <c r="J786" i="86"/>
  <c r="M786" i="86"/>
  <c r="AG32" i="70"/>
  <c r="AE32" i="70"/>
  <c r="AO32" i="70"/>
  <c r="AE901" i="83"/>
  <c r="Z901" i="83"/>
  <c r="N1408" i="86"/>
  <c r="K1408" i="86"/>
  <c r="AG52" i="70"/>
  <c r="AE52" i="70"/>
  <c r="AO52" i="70"/>
  <c r="AE686" i="83"/>
  <c r="Z686" i="83"/>
  <c r="M1023" i="86"/>
  <c r="J1023" i="86"/>
  <c r="AO49" i="69"/>
  <c r="AE49" i="69"/>
  <c r="AG49" i="69"/>
  <c r="AC129" i="88"/>
  <c r="AC54" i="88"/>
  <c r="AF54" i="69"/>
  <c r="AP54" i="69"/>
  <c r="N44" i="70"/>
  <c r="T44" i="70"/>
  <c r="AM44" i="70"/>
  <c r="AF542" i="82"/>
  <c r="Z542" i="82"/>
  <c r="Y337" i="82"/>
  <c r="J337" i="86"/>
  <c r="M337" i="86"/>
  <c r="N1078" i="86"/>
  <c r="K1078" i="86"/>
  <c r="AE709" i="82"/>
  <c r="AE257" i="83"/>
  <c r="Z257" i="83"/>
  <c r="N946" i="86"/>
  <c r="K946" i="86"/>
  <c r="N1851" i="86"/>
  <c r="K1851" i="86"/>
  <c r="N1651" i="86"/>
  <c r="K1651" i="86"/>
  <c r="N912" i="86"/>
  <c r="K912" i="86"/>
  <c r="M410" i="86"/>
  <c r="J410" i="86"/>
  <c r="AF1410" i="82"/>
  <c r="Z1410" i="82"/>
  <c r="N893" i="86"/>
  <c r="K893" i="86"/>
  <c r="AF1970" i="82"/>
  <c r="AG54" i="69"/>
  <c r="AF1490" i="82"/>
  <c r="Z1490" i="82"/>
  <c r="AD357" i="83"/>
  <c r="Y357" i="83"/>
  <c r="N51" i="86"/>
  <c r="K51" i="86"/>
  <c r="Z1276" i="82"/>
  <c r="AF1276" i="82"/>
  <c r="M549" i="86"/>
  <c r="J549" i="86"/>
  <c r="Y687" i="82"/>
  <c r="J687" i="86"/>
  <c r="M687" i="86"/>
  <c r="AF1785" i="82"/>
  <c r="AF1399" i="82"/>
  <c r="Z1399" i="82"/>
  <c r="AC149" i="88"/>
  <c r="AP74" i="69"/>
  <c r="AF74" i="69"/>
  <c r="AC74" i="88"/>
  <c r="AE1158" i="82"/>
  <c r="Y1158" i="82"/>
  <c r="N1835" i="86"/>
  <c r="K1835" i="86"/>
  <c r="AE1098" i="82"/>
  <c r="AE791" i="83"/>
  <c r="Z791" i="83"/>
  <c r="M607" i="86"/>
  <c r="J607" i="86"/>
  <c r="M1162" i="86"/>
  <c r="J1162" i="86"/>
  <c r="N1622" i="86"/>
  <c r="K1622" i="86"/>
  <c r="AE742" i="83"/>
  <c r="Z742" i="83"/>
  <c r="AC139" i="88"/>
  <c r="AC64" i="88"/>
  <c r="AF64" i="69"/>
  <c r="AP64" i="69"/>
  <c r="N489" i="86"/>
  <c r="K489" i="86"/>
  <c r="AE613" i="83"/>
  <c r="Z613" i="83"/>
  <c r="N1575" i="86"/>
  <c r="K1575" i="86"/>
  <c r="AF535" i="82"/>
  <c r="Z535" i="82"/>
  <c r="AD128" i="83"/>
  <c r="Y128" i="83"/>
  <c r="N22" i="69"/>
  <c r="T22" i="69"/>
  <c r="AM22" i="69"/>
  <c r="Y139" i="82"/>
  <c r="AE139" i="82"/>
  <c r="AD363" i="83"/>
  <c r="Y363" i="83"/>
  <c r="Z1919" i="82"/>
  <c r="AF1919" i="82"/>
  <c r="AD148" i="83"/>
  <c r="Y148" i="83"/>
  <c r="AD443" i="83"/>
  <c r="Y443" i="83"/>
  <c r="Y860" i="82"/>
  <c r="AE860" i="82"/>
  <c r="N42" i="69"/>
  <c r="T42" i="69"/>
  <c r="AM42" i="69"/>
  <c r="N187" i="86"/>
  <c r="K187" i="86"/>
  <c r="Z1130" i="82"/>
  <c r="AF1130" i="82"/>
  <c r="AE668" i="83"/>
  <c r="Z668" i="83"/>
  <c r="AF2016" i="82"/>
  <c r="AE505" i="82"/>
  <c r="Y505" i="82"/>
  <c r="AJ21" i="68"/>
  <c r="AF21" i="88"/>
  <c r="AF96" i="88"/>
  <c r="AG60" i="70"/>
  <c r="AE60" i="70"/>
  <c r="AO60" i="70"/>
  <c r="AE747" i="83"/>
  <c r="Z747" i="83"/>
  <c r="AF50" i="70"/>
  <c r="AP50" i="70"/>
  <c r="Z187" i="82"/>
  <c r="AF187" i="82"/>
  <c r="AD579" i="83"/>
  <c r="Y579" i="83"/>
  <c r="Z1954" i="82"/>
  <c r="AF1954" i="82"/>
  <c r="Z1945" i="82"/>
  <c r="AF1945" i="82"/>
  <c r="AF126" i="88"/>
  <c r="AF51" i="88"/>
  <c r="AF1214" i="82"/>
  <c r="Z1214" i="82"/>
  <c r="Z318" i="82"/>
  <c r="K318" i="86"/>
  <c r="N318" i="86"/>
  <c r="Y321" i="82"/>
  <c r="J321" i="86"/>
  <c r="M321" i="86"/>
  <c r="AK25" i="70"/>
  <c r="AK25" i="69"/>
  <c r="AG6" i="69"/>
  <c r="Z1814" i="82"/>
  <c r="AF1814" i="82"/>
  <c r="AE520" i="83"/>
  <c r="Z520" i="83"/>
  <c r="Y767" i="82"/>
  <c r="J767" i="86"/>
  <c r="M767" i="86"/>
  <c r="Y384" i="82"/>
  <c r="AE384" i="82"/>
  <c r="M544" i="86"/>
  <c r="J544" i="86"/>
  <c r="AF1460" i="82"/>
  <c r="Z1460" i="82"/>
  <c r="Y349" i="82"/>
  <c r="AE349" i="82"/>
  <c r="AD250" i="83"/>
  <c r="Y250" i="83"/>
  <c r="Y67" i="82"/>
  <c r="AE67" i="82"/>
  <c r="AE553" i="82"/>
  <c r="Y553" i="82"/>
  <c r="AF146" i="88"/>
  <c r="AF71" i="88"/>
  <c r="N1648" i="86"/>
  <c r="K1648" i="86"/>
  <c r="AF1760" i="82"/>
  <c r="AF1387" i="82"/>
  <c r="Z1387" i="82"/>
  <c r="AG147" i="88"/>
  <c r="AG72" i="88"/>
  <c r="AJ47" i="68"/>
  <c r="AJ47" i="69"/>
  <c r="AL47" i="69"/>
  <c r="Z29" i="82"/>
  <c r="K29" i="86"/>
  <c r="N29" i="86"/>
  <c r="AF981" i="82"/>
  <c r="AF461" i="82"/>
  <c r="AD249" i="83"/>
  <c r="Y249" i="83"/>
  <c r="AE646" i="83"/>
  <c r="Z646" i="83"/>
  <c r="AD87" i="83"/>
  <c r="Y87" i="83"/>
  <c r="AK34" i="69"/>
  <c r="AK34" i="67"/>
  <c r="AK34" i="68"/>
  <c r="AK34" i="70"/>
  <c r="Y252" i="82"/>
  <c r="AE252" i="82"/>
  <c r="M477" i="86"/>
  <c r="J477" i="86"/>
  <c r="AE902" i="83"/>
  <c r="Z902" i="83"/>
  <c r="AE874" i="83"/>
  <c r="Z874" i="83"/>
  <c r="M222" i="86"/>
  <c r="J222" i="86"/>
  <c r="N1712" i="86"/>
  <c r="K1712" i="86"/>
  <c r="AG44" i="70"/>
  <c r="AE44" i="70"/>
  <c r="AO44" i="70"/>
  <c r="AE215" i="83"/>
  <c r="Z215" i="83"/>
  <c r="Y1023" i="82"/>
  <c r="AE1023" i="82"/>
  <c r="AD297" i="83"/>
  <c r="Y297" i="83"/>
  <c r="AF1802" i="82"/>
  <c r="AG10" i="86"/>
  <c r="Y10" i="86"/>
  <c r="S10" i="86"/>
  <c r="Y709" i="82"/>
  <c r="J709" i="86"/>
  <c r="M709" i="86"/>
  <c r="N104" i="88"/>
  <c r="N29" i="88"/>
  <c r="AE869" i="83"/>
  <c r="Z869" i="83"/>
  <c r="Z968" i="82"/>
  <c r="AF968" i="82"/>
  <c r="Y955" i="82"/>
  <c r="AE955" i="82"/>
  <c r="N449" i="86"/>
  <c r="K449" i="86"/>
  <c r="Z893" i="82"/>
  <c r="AF893" i="82"/>
  <c r="Z1970" i="82"/>
  <c r="K1970" i="86"/>
  <c r="N1970" i="86"/>
  <c r="AD3" i="83"/>
  <c r="Y3" i="83"/>
  <c r="AO54" i="69"/>
  <c r="AE54" i="69"/>
  <c r="AB54" i="88"/>
  <c r="AB129" i="88"/>
  <c r="N338" i="86"/>
  <c r="K338" i="86"/>
  <c r="N229" i="86"/>
  <c r="K229" i="86"/>
  <c r="N1046" i="86"/>
  <c r="K1046" i="86"/>
  <c r="AE459" i="82"/>
  <c r="Z1785" i="82"/>
  <c r="K1785" i="86"/>
  <c r="N1785" i="86"/>
  <c r="N1369" i="86"/>
  <c r="K1369" i="86"/>
  <c r="AL13" i="69"/>
  <c r="AG27" i="69"/>
  <c r="M159" i="86"/>
  <c r="J159" i="86"/>
  <c r="AE192" i="83"/>
  <c r="Z192" i="83"/>
  <c r="AF808" i="82"/>
  <c r="AC124" i="88"/>
  <c r="AC49" i="88"/>
  <c r="AF49" i="69"/>
  <c r="AP49" i="69"/>
  <c r="M324" i="86"/>
  <c r="J324" i="86"/>
  <c r="N230" i="86"/>
  <c r="K230" i="86"/>
  <c r="AD208" i="83"/>
  <c r="Y208" i="83"/>
  <c r="AC85" i="88"/>
  <c r="AC10" i="88"/>
  <c r="AF10" i="69"/>
  <c r="Z1002" i="82"/>
  <c r="AF1002" i="82"/>
  <c r="AP35" i="69"/>
  <c r="AF35" i="69"/>
  <c r="AC35" i="88"/>
  <c r="AC110" i="88"/>
  <c r="Z986" i="82"/>
  <c r="K986" i="86"/>
  <c r="N986" i="86"/>
  <c r="Y599" i="82"/>
  <c r="J599" i="86"/>
  <c r="M599" i="86"/>
  <c r="Z354" i="82"/>
  <c r="AF354" i="82"/>
  <c r="S14" i="90"/>
  <c r="AF5" i="69"/>
  <c r="AC5" i="88"/>
  <c r="AC80" i="88"/>
  <c r="S9" i="90"/>
  <c r="S15" i="90"/>
  <c r="AD175" i="83"/>
  <c r="Y175" i="83"/>
  <c r="Y610" i="82"/>
  <c r="AE610" i="82"/>
  <c r="AE820" i="83"/>
  <c r="Z820" i="83"/>
  <c r="N1576" i="86"/>
  <c r="K1576" i="86"/>
  <c r="AE875" i="83"/>
  <c r="Z875" i="83"/>
  <c r="AK25" i="68"/>
  <c r="AG25" i="88"/>
  <c r="AG100" i="88"/>
  <c r="AO6" i="69"/>
  <c r="AE6" i="69"/>
  <c r="AB6" i="88"/>
  <c r="AB81" i="88"/>
  <c r="AL58" i="69"/>
  <c r="AJ58" i="69"/>
  <c r="T67" i="68"/>
  <c r="AM67" i="68"/>
  <c r="AF446" i="82"/>
  <c r="AJ29" i="68"/>
  <c r="AL29" i="68"/>
  <c r="Z983" i="82"/>
  <c r="AF983" i="82"/>
  <c r="AD377" i="83"/>
  <c r="Y377" i="83"/>
  <c r="AL48" i="70"/>
  <c r="AJ48" i="70"/>
  <c r="N1687" i="86"/>
  <c r="K1687" i="86"/>
  <c r="Z1802" i="82"/>
  <c r="K1802" i="86"/>
  <c r="N1802" i="86"/>
  <c r="AF1484" i="82"/>
  <c r="Z1484" i="82"/>
  <c r="Y697" i="82"/>
  <c r="J697" i="86"/>
  <c r="M697" i="86"/>
  <c r="N1983" i="86"/>
  <c r="K1983" i="86"/>
  <c r="Z984" i="82"/>
  <c r="AF984" i="82"/>
  <c r="Z1760" i="82"/>
  <c r="K1760" i="86"/>
  <c r="N1760" i="86"/>
  <c r="Z1139" i="82"/>
  <c r="AF1139" i="82"/>
  <c r="AF1994" i="82"/>
  <c r="Z1994" i="82"/>
  <c r="AE707" i="83"/>
  <c r="Z707" i="83"/>
  <c r="AE917" i="83"/>
  <c r="Z917" i="83"/>
  <c r="AD480" i="83"/>
  <c r="Y480" i="83"/>
  <c r="Z981" i="82"/>
  <c r="K981" i="86"/>
  <c r="N981" i="86"/>
  <c r="N1642" i="86"/>
  <c r="K1642" i="86"/>
  <c r="AF1666" i="82"/>
  <c r="Z1666" i="82"/>
  <c r="AF529" i="82"/>
  <c r="Z529" i="82"/>
  <c r="Y477" i="82"/>
  <c r="AE477" i="82"/>
  <c r="Z1078" i="82"/>
  <c r="AF1078" i="82"/>
  <c r="AE256" i="83"/>
  <c r="Z256" i="83"/>
  <c r="N1900" i="86"/>
  <c r="K1900" i="86"/>
  <c r="M234" i="86"/>
  <c r="J234" i="86"/>
  <c r="M465" i="86"/>
  <c r="J465" i="86"/>
  <c r="M522" i="86"/>
  <c r="J522" i="86"/>
  <c r="AK10" i="82"/>
  <c r="AL10" i="82"/>
  <c r="AD412" i="83"/>
  <c r="Y412" i="83"/>
  <c r="Y465" i="82"/>
  <c r="AE465" i="82"/>
  <c r="N1655" i="86"/>
  <c r="K1655" i="86"/>
  <c r="N531" i="86"/>
  <c r="K531" i="86"/>
  <c r="Y956" i="82"/>
  <c r="AE956" i="82"/>
  <c r="N1058" i="86"/>
  <c r="K1058" i="86"/>
  <c r="AD300" i="83"/>
  <c r="Y300" i="83"/>
  <c r="AF1991" i="82"/>
  <c r="Z1991" i="82"/>
  <c r="AF1599" i="82"/>
  <c r="Z1599" i="82"/>
  <c r="M1112" i="86"/>
  <c r="J1112" i="86"/>
  <c r="Y583" i="82"/>
  <c r="AE583" i="82"/>
  <c r="Z1889" i="82"/>
  <c r="AF1889" i="82"/>
  <c r="AF1217" i="82"/>
  <c r="AK5" i="82"/>
  <c r="AL5" i="82"/>
  <c r="N1243" i="86"/>
  <c r="K1243" i="86"/>
  <c r="AD535" i="83"/>
  <c r="Y535" i="83"/>
  <c r="AD252" i="83"/>
  <c r="Y252" i="83"/>
  <c r="Y459" i="82"/>
  <c r="J459" i="86"/>
  <c r="M459" i="86"/>
  <c r="Z1911" i="82"/>
  <c r="AF1911" i="82"/>
  <c r="AF1454" i="82"/>
  <c r="Z1454" i="82"/>
  <c r="Z1243" i="82"/>
  <c r="AF1243" i="82"/>
  <c r="AF204" i="82"/>
  <c r="Y701" i="82"/>
  <c r="AE701" i="82"/>
  <c r="AE740" i="83"/>
  <c r="Z740" i="83"/>
  <c r="AJ13" i="69"/>
  <c r="AF13" i="88"/>
  <c r="AF88" i="88"/>
  <c r="AF1667" i="82"/>
  <c r="Z1667" i="82"/>
  <c r="AO27" i="69"/>
  <c r="AE27" i="69"/>
  <c r="AB27" i="88"/>
  <c r="AB102" i="88"/>
  <c r="AF1671" i="82"/>
  <c r="Z1671" i="82"/>
  <c r="N1713" i="86"/>
  <c r="K1713" i="86"/>
  <c r="N1324" i="86"/>
  <c r="K1324" i="86"/>
  <c r="AG37" i="70"/>
  <c r="AE37" i="70"/>
  <c r="AO37" i="70"/>
  <c r="AF1172" i="82"/>
  <c r="Z1172" i="82"/>
  <c r="M706" i="86"/>
  <c r="J706" i="86"/>
  <c r="AG49" i="70"/>
  <c r="AE49" i="70"/>
  <c r="AO49" i="70"/>
  <c r="N1225" i="86"/>
  <c r="K1225" i="86"/>
  <c r="AF1418" i="82"/>
  <c r="Z1418" i="82"/>
  <c r="AL55" i="68"/>
  <c r="N1826" i="86"/>
  <c r="K1826" i="86"/>
  <c r="AF974" i="82"/>
  <c r="AM51" i="68"/>
  <c r="AB12" i="86"/>
  <c r="Z1932" i="82"/>
  <c r="AF1932" i="82"/>
  <c r="AD253" i="83"/>
  <c r="Y253" i="83"/>
  <c r="AF1711" i="82"/>
  <c r="AF1117" i="82"/>
  <c r="AF878" i="82"/>
  <c r="Y234" i="82"/>
  <c r="AE234" i="82"/>
  <c r="Z2004" i="82"/>
  <c r="K2004" i="86"/>
  <c r="N2004" i="86"/>
  <c r="Z902" i="82"/>
  <c r="K902" i="86"/>
  <c r="N902" i="86"/>
  <c r="N534" i="86"/>
  <c r="K534" i="86"/>
  <c r="Y155" i="82"/>
  <c r="J155" i="86"/>
  <c r="M155" i="86"/>
  <c r="Z449" i="82"/>
  <c r="AF449" i="82"/>
  <c r="N1680" i="86"/>
  <c r="K1680" i="86"/>
  <c r="AF1070" i="82"/>
  <c r="AF1042" i="82"/>
  <c r="AE663" i="83"/>
  <c r="Z663" i="83"/>
  <c r="AE232" i="83"/>
  <c r="Z232" i="83"/>
  <c r="M798" i="86"/>
  <c r="J798" i="86"/>
  <c r="AF1323" i="82"/>
  <c r="N1681" i="86"/>
  <c r="K1681" i="86"/>
  <c r="AD179" i="83"/>
  <c r="Y179" i="83"/>
  <c r="M197" i="86"/>
  <c r="J197" i="86"/>
  <c r="AE519" i="82"/>
  <c r="Y519" i="82"/>
  <c r="Z2022" i="82"/>
  <c r="AF2022" i="82"/>
  <c r="Y157" i="82"/>
  <c r="AE157" i="82"/>
  <c r="Y87" i="82"/>
  <c r="AE87" i="82"/>
  <c r="AE232" i="82"/>
  <c r="AE701" i="83"/>
  <c r="Z701" i="83"/>
  <c r="AJ42" i="68"/>
  <c r="AF42" i="88"/>
  <c r="AF117" i="88"/>
  <c r="N1975" i="86"/>
  <c r="K1975" i="86"/>
  <c r="Z1070" i="82"/>
  <c r="K1070" i="86"/>
  <c r="N1070" i="86"/>
  <c r="AF1392" i="82"/>
  <c r="Z1392" i="82"/>
  <c r="Z1890" i="82"/>
  <c r="K1890" i="86"/>
  <c r="N1890" i="86"/>
  <c r="U24" i="93"/>
  <c r="AM63" i="68"/>
  <c r="R24" i="93"/>
  <c r="AD388" i="83"/>
  <c r="Y388" i="83"/>
  <c r="AL41" i="68"/>
  <c r="AE781" i="83"/>
  <c r="Z781" i="83"/>
  <c r="Z1851" i="82"/>
  <c r="AF1851" i="82"/>
  <c r="AE313" i="82"/>
  <c r="AF1773" i="82"/>
  <c r="M804" i="86"/>
  <c r="J804" i="86"/>
  <c r="AE717" i="83"/>
  <c r="Z717" i="83"/>
  <c r="Z1841" i="82"/>
  <c r="K1841" i="86"/>
  <c r="N1841" i="86"/>
  <c r="N51" i="70"/>
  <c r="T51" i="70"/>
  <c r="AM51" i="70"/>
  <c r="Z1135" i="82"/>
  <c r="AF1135" i="82"/>
  <c r="AE631" i="83"/>
  <c r="Z631" i="83"/>
  <c r="Z461" i="82"/>
  <c r="K461" i="86"/>
  <c r="N461" i="86"/>
  <c r="Y410" i="82"/>
  <c r="AE410" i="82"/>
  <c r="Y679" i="82"/>
  <c r="J679" i="86"/>
  <c r="M679" i="86"/>
  <c r="N569" i="86"/>
  <c r="K569" i="86"/>
  <c r="Z966" i="82"/>
  <c r="K966" i="86"/>
  <c r="N966" i="86"/>
  <c r="Z327" i="82"/>
  <c r="K327" i="86"/>
  <c r="N327" i="86"/>
  <c r="AD115" i="83"/>
  <c r="Y115" i="83"/>
  <c r="M772" i="86"/>
  <c r="J772" i="86"/>
  <c r="N1258" i="86"/>
  <c r="K1258" i="86"/>
  <c r="AF498" i="82"/>
  <c r="Z479" i="82"/>
  <c r="AF479" i="82"/>
  <c r="M591" i="86"/>
  <c r="J591" i="86"/>
  <c r="N1493" i="86"/>
  <c r="K1493" i="86"/>
  <c r="AE863" i="83"/>
  <c r="Z863" i="83"/>
  <c r="M507" i="86"/>
  <c r="J507" i="86"/>
  <c r="N54" i="69"/>
  <c r="T54" i="69"/>
  <c r="AM54" i="69"/>
  <c r="Y648" i="82"/>
  <c r="J648" i="86"/>
  <c r="M648" i="86"/>
  <c r="AF1986" i="82"/>
  <c r="Z1986" i="82"/>
  <c r="Z2016" i="82"/>
  <c r="K2016" i="86"/>
  <c r="N2016" i="86"/>
  <c r="AF1075" i="82"/>
  <c r="AF559" i="82"/>
  <c r="Y313" i="82"/>
  <c r="J313" i="86"/>
  <c r="M313" i="86"/>
  <c r="AK72" i="69"/>
  <c r="AK72" i="67"/>
  <c r="AK72" i="68"/>
  <c r="AK72" i="70"/>
  <c r="Z1885" i="82"/>
  <c r="AF1885" i="82"/>
  <c r="AD326" i="83"/>
  <c r="Y326" i="83"/>
  <c r="Y581" i="82"/>
  <c r="AE581" i="82"/>
  <c r="AE896" i="83"/>
  <c r="Z896" i="83"/>
  <c r="Z1770" i="82"/>
  <c r="AF1770" i="82"/>
  <c r="N1468" i="86"/>
  <c r="K1468" i="86"/>
  <c r="AJ59" i="68"/>
  <c r="AL59" i="68"/>
  <c r="Z1298" i="82"/>
  <c r="AF1298" i="82"/>
  <c r="Z1317" i="82"/>
  <c r="AF1317" i="82"/>
  <c r="Y780" i="82"/>
  <c r="AE780" i="82"/>
  <c r="Z1818" i="82"/>
  <c r="AF1818" i="82"/>
  <c r="Z1533" i="82"/>
  <c r="AF1533" i="82"/>
  <c r="Z446" i="82"/>
  <c r="K446" i="86"/>
  <c r="N446" i="86"/>
  <c r="Z886" i="82"/>
  <c r="AF886" i="82"/>
  <c r="Y295" i="82"/>
  <c r="J295" i="86"/>
  <c r="M295" i="86"/>
  <c r="Z361" i="82"/>
  <c r="K361" i="86"/>
  <c r="N361" i="86"/>
  <c r="Z1312" i="82"/>
  <c r="K1312" i="86"/>
  <c r="N1312" i="86"/>
  <c r="AF1571" i="82"/>
  <c r="Z1571" i="82"/>
  <c r="Y450" i="82"/>
  <c r="AE450" i="82"/>
  <c r="Z308" i="82"/>
  <c r="AF308" i="82"/>
  <c r="Y577" i="82"/>
  <c r="AE577" i="82"/>
  <c r="N31" i="69"/>
  <c r="T31" i="69"/>
  <c r="AM31" i="69"/>
  <c r="Y500" i="82"/>
  <c r="J500" i="86"/>
  <c r="M500" i="86"/>
  <c r="Z1916" i="82"/>
  <c r="AF1916" i="82"/>
  <c r="Z1834" i="82"/>
  <c r="K1834" i="86"/>
  <c r="N1834" i="86"/>
  <c r="T66" i="68"/>
  <c r="AP66" i="70"/>
  <c r="AF66" i="70"/>
  <c r="AD353" i="83"/>
  <c r="Y353" i="83"/>
  <c r="N1185" i="86"/>
  <c r="K1185" i="86"/>
  <c r="Z222" i="82"/>
  <c r="AF222" i="82"/>
  <c r="Y594" i="82"/>
  <c r="AE594" i="82"/>
  <c r="AE694" i="83"/>
  <c r="Z694" i="83"/>
  <c r="M550" i="86"/>
  <c r="J550" i="86"/>
  <c r="Z1058" i="82"/>
  <c r="AF1058" i="82"/>
  <c r="AE199" i="83"/>
  <c r="Z199" i="83"/>
  <c r="Z1263" i="82"/>
  <c r="AF1263" i="82"/>
  <c r="Z1711" i="82"/>
  <c r="K1711" i="86"/>
  <c r="N1711" i="86"/>
  <c r="AD144" i="83"/>
  <c r="Y144" i="83"/>
  <c r="AL70" i="70"/>
  <c r="AJ70" i="70"/>
  <c r="AO58" i="70"/>
  <c r="AE58" i="70"/>
  <c r="AG58" i="70"/>
  <c r="AD429" i="83"/>
  <c r="Y429" i="83"/>
  <c r="Z1117" i="82"/>
  <c r="K1117" i="86"/>
  <c r="N1117" i="86"/>
  <c r="Z878" i="82"/>
  <c r="K878" i="86"/>
  <c r="N878" i="86"/>
  <c r="AE659" i="83"/>
  <c r="Z659" i="83"/>
  <c r="Z985" i="82"/>
  <c r="AF985" i="82"/>
  <c r="AJ51" i="68"/>
  <c r="AL51" i="68"/>
  <c r="Y22" i="82"/>
  <c r="AE22" i="82"/>
  <c r="Y343" i="82"/>
  <c r="AE343" i="82"/>
  <c r="Z376" i="82"/>
  <c r="AF376" i="82"/>
  <c r="N1500" i="86"/>
  <c r="K1500" i="86"/>
  <c r="N1988" i="86"/>
  <c r="K1988" i="86"/>
  <c r="Z1042" i="82"/>
  <c r="K1042" i="86"/>
  <c r="N1042" i="86"/>
  <c r="Z389" i="82"/>
  <c r="K389" i="86"/>
  <c r="N389" i="86"/>
  <c r="Y798" i="82"/>
  <c r="AE798" i="82"/>
  <c r="AE890" i="83"/>
  <c r="Z890" i="83"/>
  <c r="N200" i="86"/>
  <c r="K200" i="86"/>
  <c r="Y197" i="82"/>
  <c r="AE197" i="82"/>
  <c r="Z229" i="82"/>
  <c r="AF229" i="82"/>
  <c r="AE248" i="83"/>
  <c r="Z248" i="83"/>
  <c r="AD359" i="83"/>
  <c r="Y359" i="83"/>
  <c r="Z828" i="82"/>
  <c r="AF828" i="82"/>
  <c r="AF501" i="82"/>
  <c r="AF1570" i="82"/>
  <c r="Z1570" i="82"/>
  <c r="Y232" i="82"/>
  <c r="J232" i="86"/>
  <c r="M232" i="86"/>
  <c r="Z1975" i="82"/>
  <c r="AF1975" i="82"/>
  <c r="Z946" i="82"/>
  <c r="AF946" i="82"/>
  <c r="Z501" i="82"/>
  <c r="K501" i="86"/>
  <c r="N501" i="86"/>
  <c r="N1397" i="86"/>
  <c r="K1397" i="86"/>
  <c r="AE511" i="83"/>
  <c r="Z511" i="83"/>
  <c r="Z1905" i="82"/>
  <c r="AF1905" i="82"/>
  <c r="Z1967" i="82"/>
  <c r="AF1967" i="82"/>
  <c r="AF1151" i="82"/>
  <c r="Z1151" i="82"/>
  <c r="AJ41" i="68"/>
  <c r="AJ41" i="70"/>
  <c r="AL41" i="70"/>
  <c r="Z408" i="82"/>
  <c r="AF408" i="82"/>
  <c r="R23" i="93"/>
  <c r="AM62" i="68"/>
  <c r="U23" i="93"/>
  <c r="Z1830" i="82"/>
  <c r="AF1830" i="82"/>
  <c r="Z1773" i="82"/>
  <c r="K1773" i="86"/>
  <c r="N1773" i="86"/>
  <c r="Y804" i="82"/>
  <c r="AE804" i="82"/>
  <c r="N1701" i="86"/>
  <c r="K1701" i="86"/>
  <c r="Y665" i="82"/>
  <c r="AE665" i="82"/>
  <c r="Z1075" i="82"/>
  <c r="K1075" i="86"/>
  <c r="N1075" i="86"/>
  <c r="Z837" i="82"/>
  <c r="AF837" i="82"/>
  <c r="Z1701" i="82"/>
  <c r="AF1701" i="82"/>
  <c r="AD159" i="83"/>
  <c r="Y159" i="83"/>
  <c r="AL68" i="69"/>
  <c r="AJ68" i="69"/>
  <c r="Z426" i="82"/>
  <c r="AF426" i="82"/>
  <c r="Y684" i="82"/>
  <c r="AE684" i="82"/>
  <c r="Z940" i="82"/>
  <c r="AF940" i="82"/>
  <c r="Z1934" i="82"/>
  <c r="AF1934" i="82"/>
  <c r="Z338" i="82"/>
  <c r="AF338" i="82"/>
  <c r="Z1046" i="82"/>
  <c r="AF1046" i="82"/>
  <c r="AE853" i="83"/>
  <c r="Z853" i="83"/>
  <c r="Y772" i="82"/>
  <c r="AE772" i="82"/>
  <c r="AE594" i="83"/>
  <c r="Z594" i="83"/>
  <c r="Z498" i="82"/>
  <c r="K498" i="86"/>
  <c r="N498" i="86"/>
  <c r="N1947" i="86"/>
  <c r="K1947" i="86"/>
  <c r="AD470" i="83"/>
  <c r="Y470" i="83"/>
  <c r="N1227" i="86"/>
  <c r="K1227" i="86"/>
  <c r="AF1990" i="82"/>
  <c r="Z1990" i="82"/>
  <c r="AD147" i="83"/>
  <c r="Y147" i="83"/>
  <c r="AL49" i="68"/>
  <c r="AF1658" i="82"/>
  <c r="Z1658" i="82"/>
  <c r="AJ2" i="83"/>
  <c r="Y182" i="83"/>
  <c r="AD182" i="83"/>
  <c r="AD7" i="86"/>
  <c r="Y159" i="82"/>
  <c r="AE159" i="82"/>
  <c r="AD187" i="83"/>
  <c r="Y187" i="83"/>
  <c r="N1125" i="86"/>
  <c r="K1125" i="86"/>
  <c r="N423" i="86"/>
  <c r="K423" i="86"/>
  <c r="AF502" i="82"/>
  <c r="AE542" i="82"/>
  <c r="Y542" i="82"/>
  <c r="AF100" i="88"/>
  <c r="AF25" i="88"/>
  <c r="N1544" i="86"/>
  <c r="K1544" i="86"/>
  <c r="Z1324" i="82"/>
  <c r="AF1324" i="82"/>
  <c r="N1550" i="86"/>
  <c r="K1550" i="86"/>
  <c r="AD271" i="83"/>
  <c r="Y271" i="83"/>
  <c r="AE848" i="82"/>
  <c r="AF1838" i="82"/>
  <c r="N1716" i="86"/>
  <c r="K1716" i="86"/>
  <c r="N932" i="86"/>
  <c r="K932" i="86"/>
  <c r="AD290" i="83"/>
  <c r="Y290" i="83"/>
  <c r="AF1321" i="82"/>
  <c r="AE828" i="83"/>
  <c r="Z828" i="83"/>
  <c r="M644" i="86"/>
  <c r="J644" i="86"/>
  <c r="N103" i="88"/>
  <c r="N28" i="88"/>
  <c r="N1037" i="86"/>
  <c r="K1037" i="86"/>
  <c r="AE536" i="82"/>
  <c r="Y536" i="82"/>
  <c r="N214" i="86"/>
  <c r="K214" i="86"/>
  <c r="N1085" i="86"/>
  <c r="K1085" i="86"/>
  <c r="AF1661" i="82"/>
  <c r="Z1661" i="82"/>
  <c r="AF577" i="82"/>
  <c r="AE878" i="83"/>
  <c r="Z878" i="83"/>
  <c r="AE626" i="83"/>
  <c r="Z626" i="83"/>
  <c r="AB88" i="88"/>
  <c r="AB13" i="88"/>
  <c r="AF1444" i="82"/>
  <c r="Z1444" i="82"/>
  <c r="AF1126" i="82"/>
  <c r="AF1833" i="82"/>
  <c r="N1685" i="86"/>
  <c r="K1685" i="86"/>
  <c r="AF1150" i="82"/>
  <c r="Z1150" i="82"/>
  <c r="AB98" i="88"/>
  <c r="AB23" i="88"/>
  <c r="AD345" i="83"/>
  <c r="Y345" i="83"/>
  <c r="N59" i="86"/>
  <c r="K59" i="86"/>
  <c r="Z1712" i="82"/>
  <c r="AF1712" i="82"/>
  <c r="N1562" i="86"/>
  <c r="K1562" i="86"/>
  <c r="AL32" i="68"/>
  <c r="AF123" i="88"/>
  <c r="AF48" i="88"/>
  <c r="AC81" i="88"/>
  <c r="AC6" i="88"/>
  <c r="AF6" i="69"/>
  <c r="AP6" i="69"/>
  <c r="AF1737" i="82"/>
  <c r="AK55" i="70"/>
  <c r="AK55" i="69"/>
  <c r="AF1644" i="82"/>
  <c r="Z1644" i="82"/>
  <c r="AK23" i="69"/>
  <c r="AK23" i="70"/>
  <c r="N1343" i="86"/>
  <c r="K1343" i="86"/>
  <c r="M176" i="86"/>
  <c r="J176" i="86"/>
  <c r="N1348" i="86"/>
  <c r="K1348" i="86"/>
  <c r="AL73" i="69"/>
  <c r="AJ73" i="69"/>
  <c r="AE683" i="82"/>
  <c r="AG29" i="70"/>
  <c r="AP29" i="70"/>
  <c r="AF29" i="70"/>
  <c r="AE732" i="83"/>
  <c r="Z732" i="83"/>
  <c r="AD467" i="83"/>
  <c r="Y467" i="83"/>
  <c r="AF1432" i="82"/>
  <c r="Z1432" i="82"/>
  <c r="N1863" i="86"/>
  <c r="K1863" i="86"/>
  <c r="M674" i="86"/>
  <c r="J674" i="86"/>
  <c r="AG51" i="70"/>
  <c r="T51" i="68"/>
  <c r="AO51" i="70"/>
  <c r="AE51" i="70"/>
  <c r="AG47" i="70"/>
  <c r="AE47" i="70"/>
  <c r="AO47" i="70"/>
  <c r="M582" i="86"/>
  <c r="J582" i="86"/>
  <c r="AD460" i="83"/>
  <c r="Y460" i="83"/>
  <c r="AE734" i="83"/>
  <c r="Z734" i="83"/>
  <c r="N1423" i="86"/>
  <c r="K1423" i="86"/>
  <c r="N1251" i="86"/>
  <c r="K1251" i="86"/>
  <c r="AB111" i="88"/>
  <c r="AB36" i="88"/>
  <c r="AD450" i="83"/>
  <c r="Y450" i="83"/>
  <c r="M62" i="86"/>
  <c r="J62" i="86"/>
  <c r="AE258" i="82"/>
  <c r="AF374" i="82"/>
  <c r="N549" i="86"/>
  <c r="K549" i="86"/>
  <c r="N233" i="86"/>
  <c r="K233" i="86"/>
  <c r="AD390" i="83"/>
  <c r="Y390" i="83"/>
  <c r="AE511" i="82"/>
  <c r="Y511" i="82"/>
  <c r="N1319" i="86"/>
  <c r="K1319" i="86"/>
  <c r="AF334" i="82"/>
  <c r="Y848" i="82"/>
  <c r="J848" i="86"/>
  <c r="M848" i="86"/>
  <c r="Z1838" i="82"/>
  <c r="K1838" i="86"/>
  <c r="N1838" i="86"/>
  <c r="AD439" i="83"/>
  <c r="Y439" i="83"/>
  <c r="Z1321" i="82"/>
  <c r="K1321" i="86"/>
  <c r="N1321" i="86"/>
  <c r="AF1297" i="82"/>
  <c r="AE636" i="82"/>
  <c r="Z932" i="82"/>
  <c r="AF932" i="82"/>
  <c r="AE672" i="82"/>
  <c r="AF1575" i="82"/>
  <c r="Z1575" i="82"/>
  <c r="AF431" i="82"/>
  <c r="AF1926" i="82"/>
  <c r="N1812" i="86"/>
  <c r="K1812" i="86"/>
  <c r="N1619" i="86"/>
  <c r="K1619" i="86"/>
  <c r="Z577" i="82"/>
  <c r="K577" i="86"/>
  <c r="N577" i="86"/>
  <c r="AE856" i="83"/>
  <c r="Z856" i="83"/>
  <c r="Y644" i="82"/>
  <c r="AE644" i="82"/>
  <c r="M149" i="86"/>
  <c r="J149" i="86"/>
  <c r="AE13" i="69"/>
  <c r="AG13" i="69"/>
  <c r="AD120" i="83"/>
  <c r="Y120" i="83"/>
  <c r="AE623" i="83"/>
  <c r="Z623" i="83"/>
  <c r="AG39" i="70"/>
  <c r="AE39" i="70"/>
  <c r="AO39" i="70"/>
  <c r="N1066" i="86"/>
  <c r="K1066" i="86"/>
  <c r="M778" i="86"/>
  <c r="J778" i="86"/>
  <c r="M431" i="86"/>
  <c r="J431" i="86"/>
  <c r="N887" i="86"/>
  <c r="K887" i="86"/>
  <c r="N938" i="86"/>
  <c r="K938" i="86"/>
  <c r="AE774" i="82"/>
  <c r="AE731" i="83"/>
  <c r="Z731" i="83"/>
  <c r="N1416" i="86"/>
  <c r="K1416" i="86"/>
  <c r="AJ32" i="68"/>
  <c r="AJ32" i="69"/>
  <c r="AL32" i="69"/>
  <c r="N1120" i="86"/>
  <c r="K1120" i="86"/>
  <c r="Z431" i="82"/>
  <c r="K431" i="86"/>
  <c r="N431" i="86"/>
  <c r="AD111" i="83"/>
  <c r="Y111" i="83"/>
  <c r="AF969" i="82"/>
  <c r="AE193" i="83"/>
  <c r="Z193" i="83"/>
  <c r="AL67" i="68"/>
  <c r="Z1737" i="82"/>
  <c r="K1737" i="86"/>
  <c r="N1737" i="86"/>
  <c r="AK55" i="67"/>
  <c r="AK55" i="68"/>
  <c r="AG55" i="88"/>
  <c r="AG130" i="88"/>
  <c r="AE16" i="82"/>
  <c r="M530" i="86"/>
  <c r="J530" i="86"/>
  <c r="AK23" i="67"/>
  <c r="AK23" i="68"/>
  <c r="AG23" i="88"/>
  <c r="AG98" i="88"/>
  <c r="AJ7" i="86"/>
  <c r="V7" i="86"/>
  <c r="N298" i="86"/>
  <c r="M403" i="86"/>
  <c r="J403" i="86"/>
  <c r="Y683" i="82"/>
  <c r="J683" i="86"/>
  <c r="M683" i="86"/>
  <c r="N1589" i="86"/>
  <c r="K1589" i="86"/>
  <c r="AF63" i="70"/>
  <c r="AP63" i="70"/>
  <c r="AF1362" i="82"/>
  <c r="Z1362" i="82"/>
  <c r="AF388" i="82"/>
  <c r="M512" i="86"/>
  <c r="J512" i="86"/>
  <c r="M866" i="86"/>
  <c r="J866" i="86"/>
  <c r="M787" i="86"/>
  <c r="J787" i="86"/>
  <c r="N26" i="86"/>
  <c r="K26" i="86"/>
  <c r="AE746" i="83"/>
  <c r="Z746" i="83"/>
  <c r="N1242" i="86"/>
  <c r="K1242" i="86"/>
  <c r="AF521" i="82"/>
  <c r="Z521" i="82"/>
  <c r="AE790" i="83"/>
  <c r="Z790" i="83"/>
  <c r="AE599" i="83"/>
  <c r="Z599" i="83"/>
  <c r="AE627" i="83"/>
  <c r="Z627" i="83"/>
  <c r="N1528" i="86"/>
  <c r="K1528" i="86"/>
  <c r="AE1202" i="82"/>
  <c r="Y1202" i="82"/>
  <c r="Y62" i="82"/>
  <c r="AE62" i="82"/>
  <c r="M141" i="86"/>
  <c r="J141" i="86"/>
  <c r="AF41" i="70"/>
  <c r="AP41" i="70"/>
  <c r="AG143" i="88"/>
  <c r="AG68" i="88"/>
  <c r="M442" i="86"/>
  <c r="J442" i="86"/>
  <c r="Y222" i="82"/>
  <c r="AE222" i="82"/>
  <c r="N38" i="88"/>
  <c r="N113" i="88"/>
  <c r="AF1643" i="82"/>
  <c r="Z1643" i="82"/>
  <c r="AO52" i="69"/>
  <c r="AE52" i="69"/>
  <c r="AG52" i="69"/>
  <c r="M785" i="86"/>
  <c r="J785" i="86"/>
  <c r="Y591" i="82"/>
  <c r="AE591" i="82"/>
  <c r="AF552" i="82"/>
  <c r="Z552" i="82"/>
  <c r="Z334" i="82"/>
  <c r="K334" i="86"/>
  <c r="N334" i="86"/>
  <c r="AE126" i="82"/>
  <c r="M602" i="86"/>
  <c r="J602" i="86"/>
  <c r="AD382" i="83"/>
  <c r="Y382" i="83"/>
  <c r="AF511" i="82"/>
  <c r="Z511" i="82"/>
  <c r="M526" i="86"/>
  <c r="J526" i="86"/>
  <c r="Z1297" i="82"/>
  <c r="K1297" i="86"/>
  <c r="N1297" i="86"/>
  <c r="Y636" i="82"/>
  <c r="J636" i="86"/>
  <c r="M636" i="86"/>
  <c r="Y672" i="82"/>
  <c r="J672" i="86"/>
  <c r="M672" i="86"/>
  <c r="AF1440" i="82"/>
  <c r="Z1440" i="82"/>
  <c r="AF59" i="70"/>
  <c r="AP59" i="70"/>
  <c r="AE224" i="83"/>
  <c r="Z224" i="83"/>
  <c r="AD180" i="83"/>
  <c r="Y180" i="83"/>
  <c r="AF472" i="82"/>
  <c r="N399" i="86"/>
  <c r="K399" i="86"/>
  <c r="M15" i="86"/>
  <c r="J15" i="86"/>
  <c r="N1264" i="86"/>
  <c r="K1264" i="86"/>
  <c r="AG128" i="88"/>
  <c r="AG53" i="88"/>
  <c r="Z1066" i="82"/>
  <c r="AF1066" i="82"/>
  <c r="M751" i="86"/>
  <c r="J751" i="86"/>
  <c r="Y778" i="82"/>
  <c r="AE778" i="82"/>
  <c r="N1969" i="86"/>
  <c r="K1969" i="86"/>
  <c r="AF1318" i="82"/>
  <c r="AD38" i="83"/>
  <c r="Y38" i="83"/>
  <c r="AD136" i="83"/>
  <c r="Y136" i="83"/>
  <c r="AF1606" i="82"/>
  <c r="Z1606" i="82"/>
  <c r="AF1487" i="82"/>
  <c r="Z1487" i="82"/>
  <c r="AV4" i="82"/>
  <c r="AU4" i="82"/>
  <c r="N1294" i="86"/>
  <c r="K1294" i="86"/>
  <c r="AF1893" i="82"/>
  <c r="AE285" i="82"/>
  <c r="AE547" i="82"/>
  <c r="Y547" i="82"/>
  <c r="Z1120" i="82"/>
  <c r="AF1120" i="82"/>
  <c r="N891" i="86"/>
  <c r="K891" i="86"/>
  <c r="N189" i="86"/>
  <c r="K189" i="86"/>
  <c r="AJ67" i="68"/>
  <c r="AF67" i="88"/>
  <c r="AF142" i="88"/>
  <c r="Y16" i="82"/>
  <c r="J16" i="86"/>
  <c r="M16" i="86"/>
  <c r="N237" i="86"/>
  <c r="K237" i="86"/>
  <c r="N70" i="88"/>
  <c r="N145" i="88"/>
  <c r="AD18" i="83"/>
  <c r="Y18" i="83"/>
  <c r="AE882" i="83"/>
  <c r="Z882" i="83"/>
  <c r="N992" i="86"/>
  <c r="K992" i="86"/>
  <c r="AD399" i="83"/>
  <c r="Y399" i="83"/>
  <c r="M408" i="86"/>
  <c r="J408" i="86"/>
  <c r="Z1318" i="82"/>
  <c r="K1318" i="86"/>
  <c r="N1318" i="86"/>
  <c r="Z388" i="82"/>
  <c r="K388" i="86"/>
  <c r="N388" i="86"/>
  <c r="M673" i="86"/>
  <c r="J673" i="86"/>
  <c r="AL50" i="69"/>
  <c r="AJ50" i="69"/>
  <c r="AF1273" i="82"/>
  <c r="AF1539" i="82"/>
  <c r="Z1539" i="82"/>
  <c r="AF465" i="82"/>
  <c r="AE923" i="83"/>
  <c r="Z923" i="83"/>
  <c r="AF987" i="82"/>
  <c r="AF1370" i="82"/>
  <c r="Z1370" i="82"/>
  <c r="N203" i="86"/>
  <c r="K203" i="86"/>
  <c r="N14" i="86"/>
  <c r="K14" i="86"/>
  <c r="AD351" i="83"/>
  <c r="Y351" i="83"/>
  <c r="M1157" i="86"/>
  <c r="J1157" i="86"/>
  <c r="AE259" i="83"/>
  <c r="Z259" i="83"/>
  <c r="AK76" i="69"/>
  <c r="Y126" i="82"/>
  <c r="J126" i="86"/>
  <c r="M126" i="86"/>
  <c r="M260" i="86"/>
  <c r="J260" i="86"/>
  <c r="Y785" i="82"/>
  <c r="AE785" i="82"/>
  <c r="AE684" i="83"/>
  <c r="Z684" i="83"/>
  <c r="AF550" i="82"/>
  <c r="Z550" i="82"/>
  <c r="Z912" i="82"/>
  <c r="AF912" i="82"/>
  <c r="AE516" i="82"/>
  <c r="Y516" i="82"/>
  <c r="N1398" i="86"/>
  <c r="K1398" i="86"/>
  <c r="AF1183" i="82"/>
  <c r="Z1183" i="82"/>
  <c r="AE131" i="82"/>
  <c r="N1249" i="86"/>
  <c r="K1249" i="86"/>
  <c r="N1051" i="86"/>
  <c r="K1051" i="86"/>
  <c r="AD12" i="83"/>
  <c r="Y12" i="83"/>
  <c r="AD330" i="83"/>
  <c r="Y330" i="83"/>
  <c r="Z992" i="82"/>
  <c r="AF992" i="82"/>
  <c r="AF483" i="82"/>
  <c r="N1953" i="86"/>
  <c r="K1953" i="86"/>
  <c r="Z472" i="82"/>
  <c r="K472" i="86"/>
  <c r="N472" i="86"/>
  <c r="Y15" i="82"/>
  <c r="AE15" i="82"/>
  <c r="M1093" i="86"/>
  <c r="J1093" i="86"/>
  <c r="N1690" i="86"/>
  <c r="K1690" i="86"/>
  <c r="N1599" i="86"/>
  <c r="K1599" i="86"/>
  <c r="Z1969" i="82"/>
  <c r="AF1969" i="82"/>
  <c r="M51" i="86"/>
  <c r="J51" i="86"/>
  <c r="M858" i="86"/>
  <c r="J858" i="86"/>
  <c r="Z26" i="82"/>
  <c r="AF26" i="82"/>
  <c r="AF1084" i="82"/>
  <c r="AG124" i="88"/>
  <c r="AG49" i="88"/>
  <c r="AE220" i="82"/>
  <c r="Z25" i="82"/>
  <c r="AF25" i="82"/>
  <c r="AG42" i="69"/>
  <c r="Z1893" i="82"/>
  <c r="K1893" i="86"/>
  <c r="N1893" i="86"/>
  <c r="Y285" i="82"/>
  <c r="J285" i="86"/>
  <c r="M285" i="86"/>
  <c r="AD350" i="83"/>
  <c r="Y350" i="83"/>
  <c r="AE760" i="83"/>
  <c r="Z760" i="83"/>
  <c r="AG72" i="70"/>
  <c r="AE72" i="70"/>
  <c r="AO72" i="70"/>
  <c r="AF38" i="70"/>
  <c r="AP38" i="70"/>
  <c r="N555" i="86"/>
  <c r="K555" i="86"/>
  <c r="AE492" i="83"/>
  <c r="Z492" i="83"/>
  <c r="AE406" i="82"/>
  <c r="N1968" i="86"/>
  <c r="K1968" i="86"/>
  <c r="AE630" i="83"/>
  <c r="Z630" i="83"/>
  <c r="N1316" i="86"/>
  <c r="K1316" i="86"/>
  <c r="AF1478" i="82"/>
  <c r="Z1478" i="82"/>
  <c r="M916" i="86"/>
  <c r="J916" i="86"/>
  <c r="N885" i="86"/>
  <c r="K885" i="86"/>
  <c r="AD162" i="83"/>
  <c r="Y162" i="83"/>
  <c r="AL40" i="68"/>
  <c r="M647" i="86"/>
  <c r="J647" i="86"/>
  <c r="AD51" i="83"/>
  <c r="Y51" i="83"/>
  <c r="AF1657" i="82"/>
  <c r="Z1657" i="82"/>
  <c r="AF217" i="82"/>
  <c r="AF1554" i="82"/>
  <c r="Z1554" i="82"/>
  <c r="N40" i="86"/>
  <c r="K40" i="86"/>
  <c r="N1310" i="86"/>
  <c r="K1310" i="86"/>
  <c r="N1481" i="86"/>
  <c r="K1481" i="86"/>
  <c r="M654" i="86"/>
  <c r="J654" i="86"/>
  <c r="AD9" i="83"/>
  <c r="Y9" i="83"/>
  <c r="Z465" i="82"/>
  <c r="K465" i="86"/>
  <c r="N465" i="86"/>
  <c r="AE479" i="82"/>
  <c r="N545" i="86"/>
  <c r="K545" i="86"/>
  <c r="M492" i="86"/>
  <c r="J492" i="86"/>
  <c r="N1432" i="86"/>
  <c r="K1432" i="86"/>
  <c r="N1644" i="86"/>
  <c r="K1644" i="86"/>
  <c r="M643" i="86"/>
  <c r="J643" i="86"/>
  <c r="N1523" i="86"/>
  <c r="K1523" i="86"/>
  <c r="AE749" i="83"/>
  <c r="Z749" i="83"/>
  <c r="N1574" i="86"/>
  <c r="K1574" i="86"/>
  <c r="AE189" i="83"/>
  <c r="Z189" i="83"/>
  <c r="Z1323" i="82"/>
  <c r="K1323" i="86"/>
  <c r="N1323" i="86"/>
  <c r="AG58" i="69"/>
  <c r="N546" i="86"/>
  <c r="K546" i="86"/>
  <c r="AD447" i="83"/>
  <c r="Y447" i="83"/>
  <c r="Y1112" i="82"/>
  <c r="AE1112" i="82"/>
  <c r="AF1519" i="82"/>
  <c r="Z1519" i="82"/>
  <c r="K1519" i="86"/>
  <c r="N1519" i="86"/>
  <c r="AF1332" i="82"/>
  <c r="AE133" i="82"/>
  <c r="AF524" i="82"/>
  <c r="Z524" i="82"/>
  <c r="Y724" i="82"/>
  <c r="AE724" i="82"/>
  <c r="Z1713" i="82"/>
  <c r="AF1713" i="82"/>
  <c r="Y1098" i="82"/>
  <c r="J1098" i="86"/>
  <c r="M1098" i="86"/>
  <c r="F49" i="5"/>
  <c r="AM76" i="70"/>
  <c r="F48" i="5"/>
  <c r="F52" i="5"/>
  <c r="AD273" i="83"/>
  <c r="Y273" i="83"/>
  <c r="Z1332" i="82"/>
  <c r="K1332" i="86"/>
  <c r="N1332" i="86"/>
  <c r="N564" i="86"/>
  <c r="K564" i="86"/>
  <c r="AM74" i="70"/>
  <c r="T74" i="70"/>
  <c r="N74" i="70"/>
  <c r="N519" i="86"/>
  <c r="K519" i="86"/>
  <c r="N22" i="86"/>
  <c r="K22" i="86"/>
  <c r="Z18" i="82"/>
  <c r="AF18" i="82"/>
  <c r="AF835" i="82"/>
  <c r="R18" i="93"/>
  <c r="AM58" i="68"/>
  <c r="U18" i="93"/>
  <c r="AF1153" i="82"/>
  <c r="Z1153" i="82"/>
  <c r="M540" i="86"/>
  <c r="J540" i="86"/>
  <c r="Z200" i="82"/>
  <c r="AF200" i="82"/>
  <c r="Y602" i="82"/>
  <c r="AE602" i="82"/>
  <c r="AD92" i="83"/>
  <c r="Y92" i="83"/>
  <c r="AF1574" i="82"/>
  <c r="Z1574" i="82"/>
  <c r="Z1835" i="82"/>
  <c r="AF1835" i="82"/>
  <c r="AE544" i="82"/>
  <c r="Y544" i="82"/>
  <c r="AL39" i="68"/>
  <c r="AE498" i="82"/>
  <c r="Z1249" i="82"/>
  <c r="AF1249" i="82"/>
  <c r="N93" i="88"/>
  <c r="N18" i="88"/>
  <c r="M1201" i="86"/>
  <c r="J1201" i="86"/>
  <c r="Z483" i="82"/>
  <c r="K483" i="86"/>
  <c r="N483" i="86"/>
  <c r="Z1953" i="82"/>
  <c r="AF1953" i="82"/>
  <c r="AF1378" i="82"/>
  <c r="Z1378" i="82"/>
  <c r="AE850" i="82"/>
  <c r="N568" i="86"/>
  <c r="K568" i="86"/>
  <c r="N1633" i="86"/>
  <c r="K1633" i="86"/>
  <c r="Z214" i="82"/>
  <c r="AF214" i="82"/>
  <c r="Y51" i="82"/>
  <c r="AE51" i="82"/>
  <c r="N1832" i="86"/>
  <c r="K1832" i="86"/>
  <c r="AE1096" i="82"/>
  <c r="Y858" i="82"/>
  <c r="AE858" i="82"/>
  <c r="N1594" i="86"/>
  <c r="K1594" i="86"/>
  <c r="N1047" i="86"/>
  <c r="K1047" i="86"/>
  <c r="Z1084" i="82"/>
  <c r="K1084" i="86"/>
  <c r="N1084" i="86"/>
  <c r="Y220" i="82"/>
  <c r="J220" i="86"/>
  <c r="M220" i="86"/>
  <c r="AO42" i="69"/>
  <c r="AE42" i="69"/>
  <c r="AB42" i="88"/>
  <c r="AB117" i="88"/>
  <c r="Y403" i="82"/>
  <c r="AE403" i="82"/>
  <c r="M489" i="86"/>
  <c r="J489" i="86"/>
  <c r="AK53" i="70"/>
  <c r="AK53" i="67"/>
  <c r="AK53" i="68"/>
  <c r="AK53" i="69"/>
  <c r="Z1316" i="82"/>
  <c r="AF1316" i="82"/>
  <c r="AL54" i="70"/>
  <c r="AJ54" i="70"/>
  <c r="AF1245" i="82"/>
  <c r="AE530" i="83"/>
  <c r="Z530" i="83"/>
  <c r="AF1473" i="82"/>
  <c r="Z1473" i="82"/>
  <c r="Y406" i="82"/>
  <c r="J406" i="86"/>
  <c r="M406" i="86"/>
  <c r="AC93" i="88"/>
  <c r="AC18" i="88"/>
  <c r="AF18" i="69"/>
  <c r="AF113" i="88"/>
  <c r="AF38" i="88"/>
  <c r="AE803" i="82"/>
  <c r="Z1037" i="82"/>
  <c r="AF1037" i="82"/>
  <c r="AE1100" i="82"/>
  <c r="AE635" i="83"/>
  <c r="Z635" i="83"/>
  <c r="M659" i="86"/>
  <c r="J659" i="86"/>
  <c r="AJ40" i="68"/>
  <c r="AJ40" i="69"/>
  <c r="AL40" i="69"/>
  <c r="AF1257" i="82"/>
  <c r="AF357" i="82"/>
  <c r="Z217" i="82"/>
  <c r="K217" i="86"/>
  <c r="N217" i="86"/>
  <c r="M642" i="86"/>
  <c r="J642" i="86"/>
  <c r="M763" i="86"/>
  <c r="J763" i="86"/>
  <c r="M707" i="86"/>
  <c r="J707" i="86"/>
  <c r="N1697" i="86"/>
  <c r="K1697" i="86"/>
  <c r="Y647" i="82"/>
  <c r="AE647" i="82"/>
  <c r="N1386" i="86"/>
  <c r="K1386" i="86"/>
  <c r="M112" i="86"/>
  <c r="J112" i="86"/>
  <c r="M467" i="86"/>
  <c r="J467" i="86"/>
  <c r="AF933" i="82"/>
  <c r="Y787" i="82"/>
  <c r="AE787" i="82"/>
  <c r="M558" i="86"/>
  <c r="J558" i="86"/>
  <c r="AF463" i="82"/>
  <c r="M923" i="86"/>
  <c r="J923" i="86"/>
  <c r="M738" i="86"/>
  <c r="J738" i="86"/>
  <c r="AM50" i="70"/>
  <c r="T50" i="70"/>
  <c r="N50" i="70"/>
  <c r="Z237" i="82"/>
  <c r="AF237" i="82"/>
  <c r="AF1452" i="82"/>
  <c r="Z1452" i="82"/>
  <c r="Z1968" i="82"/>
  <c r="AF1968" i="82"/>
  <c r="AO58" i="69"/>
  <c r="AE58" i="69"/>
  <c r="AB58" i="88"/>
  <c r="AB133" i="88"/>
  <c r="AE662" i="83"/>
  <c r="Z662" i="83"/>
  <c r="Z1313" i="82"/>
  <c r="AF1313" i="82"/>
  <c r="Z373" i="82"/>
  <c r="AF373" i="82"/>
  <c r="R8" i="93"/>
  <c r="AM48" i="68"/>
  <c r="U8" i="93"/>
  <c r="AD308" i="83"/>
  <c r="Y308" i="83"/>
  <c r="AF1363" i="82"/>
  <c r="Z1363" i="82"/>
  <c r="AE723" i="83"/>
  <c r="Z723" i="83"/>
  <c r="Y133" i="82"/>
  <c r="J133" i="86"/>
  <c r="M133" i="86"/>
  <c r="Z51" i="82"/>
  <c r="AF51" i="82"/>
  <c r="Z1947" i="82"/>
  <c r="AF1947" i="82"/>
  <c r="AE930" i="83"/>
  <c r="Z930" i="83"/>
  <c r="N1172" i="86"/>
  <c r="K1172" i="86"/>
  <c r="Z1227" i="82"/>
  <c r="AF1227" i="82"/>
  <c r="N1344" i="86"/>
  <c r="K1344" i="86"/>
  <c r="Z564" i="82"/>
  <c r="AF564" i="82"/>
  <c r="Z374" i="82"/>
  <c r="K374" i="86"/>
  <c r="N374" i="86"/>
  <c r="Z1051" i="82"/>
  <c r="AF1051" i="82"/>
  <c r="Z835" i="82"/>
  <c r="K835" i="86"/>
  <c r="N835" i="86"/>
  <c r="N901" i="86"/>
  <c r="K901" i="86"/>
  <c r="Z1264" i="82"/>
  <c r="AF1264" i="82"/>
  <c r="AD286" i="83"/>
  <c r="Y286" i="83"/>
  <c r="AE702" i="83"/>
  <c r="Z702" i="83"/>
  <c r="Y324" i="82"/>
  <c r="AE324" i="82"/>
  <c r="Z901" i="82"/>
  <c r="AF901" i="82"/>
  <c r="Y260" i="82"/>
  <c r="AE260" i="82"/>
  <c r="N90" i="67"/>
  <c r="AJ39" i="70"/>
  <c r="AL39" i="70"/>
  <c r="AF12" i="82"/>
  <c r="Z12" i="82"/>
  <c r="K12" i="86"/>
  <c r="N12" i="86"/>
  <c r="AK5" i="69"/>
  <c r="Y431" i="82"/>
  <c r="AE431" i="82"/>
  <c r="AE1200" i="82"/>
  <c r="Y1200" i="82"/>
  <c r="Z230" i="82"/>
  <c r="AF230" i="82"/>
  <c r="AF62" i="70"/>
  <c r="AP62" i="70"/>
  <c r="Y850" i="82"/>
  <c r="J850" i="86"/>
  <c r="M850" i="86"/>
  <c r="N1888" i="86"/>
  <c r="K1888" i="86"/>
  <c r="AE526" i="83"/>
  <c r="Z526" i="83"/>
  <c r="AF1267" i="82"/>
  <c r="Z1826" i="82"/>
  <c r="AF1826" i="82"/>
  <c r="Z1833" i="82"/>
  <c r="K1833" i="86"/>
  <c r="N1833" i="86"/>
  <c r="N1735" i="86"/>
  <c r="K1735" i="86"/>
  <c r="Z1832" i="82"/>
  <c r="AF1832" i="82"/>
  <c r="AF551" i="82"/>
  <c r="Z551" i="82"/>
  <c r="N1719" i="86"/>
  <c r="K1719" i="86"/>
  <c r="Z1259" i="82"/>
  <c r="AF1259" i="82"/>
  <c r="AD466" i="83"/>
  <c r="Y466" i="83"/>
  <c r="Y149" i="82"/>
  <c r="AE149" i="82"/>
  <c r="Y489" i="82"/>
  <c r="AE489" i="82"/>
  <c r="Z1267" i="82"/>
  <c r="K1267" i="86"/>
  <c r="N1267" i="86"/>
  <c r="Z887" i="82"/>
  <c r="AF887" i="82"/>
  <c r="AF196" i="82"/>
  <c r="Z1245" i="82"/>
  <c r="K1245" i="86"/>
  <c r="N1245" i="86"/>
  <c r="Z59" i="82"/>
  <c r="AF59" i="82"/>
  <c r="AF1479" i="82"/>
  <c r="Z1479" i="82"/>
  <c r="AP70" i="69"/>
  <c r="AF70" i="69"/>
  <c r="AC70" i="88"/>
  <c r="AC145" i="88"/>
  <c r="Z1319" i="82"/>
  <c r="AF1319" i="82"/>
  <c r="Y803" i="82"/>
  <c r="J803" i="86"/>
  <c r="M803" i="86"/>
  <c r="Z891" i="82"/>
  <c r="AF891" i="82"/>
  <c r="Y1100" i="82"/>
  <c r="J1100" i="86"/>
  <c r="M1100" i="86"/>
  <c r="Y659" i="82"/>
  <c r="AE659" i="82"/>
  <c r="Z1257" i="82"/>
  <c r="K1257" i="86"/>
  <c r="N1257" i="86"/>
  <c r="Z357" i="82"/>
  <c r="K357" i="86"/>
  <c r="N357" i="86"/>
  <c r="Z1812" i="82"/>
  <c r="AF1812" i="82"/>
  <c r="Y642" i="82"/>
  <c r="AE642" i="82"/>
  <c r="AL65" i="69"/>
  <c r="AJ65" i="69"/>
  <c r="AO6" i="70"/>
  <c r="AE6" i="70"/>
  <c r="AG6" i="70"/>
  <c r="Z1697" i="82"/>
  <c r="AF1697" i="82"/>
  <c r="Z987" i="82"/>
  <c r="K987" i="86"/>
  <c r="N987" i="86"/>
  <c r="M449" i="86"/>
  <c r="J449" i="86"/>
  <c r="AD411" i="83"/>
  <c r="Y411" i="83"/>
  <c r="AF103" i="88"/>
  <c r="AF28" i="88"/>
  <c r="Z933" i="82"/>
  <c r="K933" i="86"/>
  <c r="N933" i="86"/>
  <c r="Y866" i="82"/>
  <c r="AE866" i="82"/>
  <c r="AB109" i="88"/>
  <c r="AB34" i="88"/>
  <c r="N840" i="86"/>
  <c r="K840" i="86"/>
  <c r="AD157" i="83"/>
  <c r="Y157" i="83"/>
  <c r="AE264" i="83"/>
  <c r="Z264" i="83"/>
  <c r="N1220" i="86"/>
  <c r="K1220" i="86"/>
  <c r="N1736" i="86"/>
  <c r="K1736" i="86"/>
  <c r="Z1949" i="82"/>
  <c r="AF1949" i="82"/>
  <c r="Z569" i="82"/>
  <c r="AF569" i="82"/>
  <c r="AF1372" i="82"/>
  <c r="Z1372" i="82"/>
  <c r="Z204" i="82"/>
  <c r="K204" i="86"/>
  <c r="N204" i="86"/>
  <c r="Z559" i="82"/>
  <c r="K559" i="86"/>
  <c r="N559" i="86"/>
  <c r="AJ76" i="69"/>
  <c r="AL5" i="69"/>
  <c r="AJ5" i="69"/>
  <c r="AD35" i="83"/>
  <c r="Y35" i="83"/>
  <c r="AD327" i="83"/>
  <c r="Y327" i="83"/>
  <c r="Z1900" i="82"/>
  <c r="AF1900" i="82"/>
  <c r="Z1125" i="82"/>
  <c r="AF1125" i="82"/>
  <c r="AE101" i="82"/>
  <c r="Z423" i="82"/>
  <c r="AF423" i="82"/>
  <c r="AE125" i="82"/>
  <c r="AF1901" i="82"/>
  <c r="N59" i="69"/>
  <c r="T59" i="69"/>
  <c r="AM59" i="69"/>
  <c r="Z1716" i="82"/>
  <c r="AF1716" i="82"/>
  <c r="Y792" i="82"/>
  <c r="AE792" i="82"/>
  <c r="AE861" i="83"/>
  <c r="Z861" i="83"/>
  <c r="AF1995" i="82"/>
  <c r="AU8" i="82"/>
  <c r="AV8" i="82"/>
  <c r="AF1471" i="82"/>
  <c r="Z1471" i="82"/>
  <c r="Y607" i="82"/>
  <c r="AE607" i="82"/>
  <c r="N114" i="88"/>
  <c r="N39" i="88"/>
  <c r="Z1888" i="82"/>
  <c r="AF1888" i="82"/>
  <c r="AJ55" i="68"/>
  <c r="AF55" i="88"/>
  <c r="AF130" i="88"/>
  <c r="Z808" i="82"/>
  <c r="K808" i="86"/>
  <c r="N808" i="86"/>
  <c r="Z189" i="82"/>
  <c r="AF189" i="82"/>
  <c r="Y1096" i="82"/>
  <c r="J1096" i="86"/>
  <c r="M1096" i="86"/>
  <c r="Z1085" i="82"/>
  <c r="AF1085" i="82"/>
  <c r="AD78" i="83"/>
  <c r="Y78" i="83"/>
  <c r="AJ39" i="68"/>
  <c r="AF39" i="88"/>
  <c r="AF114" i="88"/>
  <c r="Z1294" i="82"/>
  <c r="AF1294" i="82"/>
  <c r="N1392" i="86"/>
  <c r="K1392" i="86"/>
  <c r="Z502" i="82"/>
  <c r="K502" i="86"/>
  <c r="N502" i="86"/>
  <c r="AJ49" i="68"/>
  <c r="AJ49" i="70"/>
  <c r="AL49" i="70"/>
  <c r="Z935" i="82"/>
  <c r="K935" i="86"/>
  <c r="N935" i="86"/>
  <c r="Z1926" i="82"/>
  <c r="K1926" i="86"/>
  <c r="N1926" i="86"/>
  <c r="Z1126" i="82"/>
  <c r="K1126" i="86"/>
  <c r="N1126" i="86"/>
  <c r="AF584" i="82"/>
  <c r="Z1535" i="82"/>
  <c r="AF1535" i="82"/>
  <c r="N433" i="86"/>
  <c r="K433" i="86"/>
  <c r="N1420" i="86"/>
  <c r="K1420" i="86"/>
  <c r="AO23" i="69"/>
  <c r="AE23" i="69"/>
  <c r="AG23" i="69"/>
  <c r="AE593" i="83"/>
  <c r="Z593" i="83"/>
  <c r="Z399" i="82"/>
  <c r="AF399" i="82"/>
  <c r="N34" i="69"/>
  <c r="T34" i="69"/>
  <c r="AM34" i="69"/>
  <c r="Y1093" i="82"/>
  <c r="AE1093" i="82"/>
  <c r="AD580" i="83"/>
  <c r="Y580" i="83"/>
  <c r="Y498" i="82"/>
  <c r="J498" i="86"/>
  <c r="M498" i="86"/>
  <c r="Z568" i="82"/>
  <c r="AF568" i="82"/>
  <c r="AJ48" i="68"/>
  <c r="AL48" i="68"/>
  <c r="Y751" i="82"/>
  <c r="AE751" i="82"/>
  <c r="Z584" i="82"/>
  <c r="K584" i="86"/>
  <c r="N584" i="86"/>
  <c r="Z1735" i="82"/>
  <c r="AF1735" i="82"/>
  <c r="Z433" i="82"/>
  <c r="AF433" i="82"/>
  <c r="Z1719" i="82"/>
  <c r="AF1719" i="82"/>
  <c r="Z938" i="82"/>
  <c r="AF938" i="82"/>
  <c r="AK49" i="70"/>
  <c r="AK49" i="67"/>
  <c r="AK49" i="68"/>
  <c r="AK49" i="69"/>
  <c r="Y774" i="82"/>
  <c r="J774" i="86"/>
  <c r="M774" i="86"/>
  <c r="Z1258" i="82"/>
  <c r="AF1258" i="82"/>
  <c r="Y176" i="82"/>
  <c r="AE176" i="82"/>
  <c r="Z1348" i="82"/>
  <c r="AF1348" i="82"/>
  <c r="AF1152" i="82"/>
  <c r="Z1152" i="82"/>
  <c r="AJ73" i="68"/>
  <c r="AL73" i="68"/>
  <c r="Z974" i="82"/>
  <c r="K974" i="86"/>
  <c r="N974" i="86"/>
  <c r="Z969" i="82"/>
  <c r="K969" i="86"/>
  <c r="N969" i="86"/>
  <c r="AD291" i="83"/>
  <c r="Y291" i="83"/>
  <c r="AB86" i="88"/>
  <c r="AB11" i="88"/>
  <c r="Z1273" i="82"/>
  <c r="K1273" i="86"/>
  <c r="N1273" i="86"/>
  <c r="N1463" i="86"/>
  <c r="K1463" i="86"/>
  <c r="Z1863" i="82"/>
  <c r="AF1863" i="82"/>
  <c r="Z1901" i="82"/>
  <c r="K1901" i="86"/>
  <c r="N1901" i="86"/>
  <c r="Y674" i="82"/>
  <c r="AE674" i="82"/>
  <c r="AF53" i="82"/>
  <c r="AD119" i="83"/>
  <c r="Y119" i="83"/>
  <c r="M628" i="86"/>
  <c r="J628" i="86"/>
  <c r="AD143" i="83"/>
  <c r="Y143" i="83"/>
  <c r="Y112" i="82"/>
  <c r="AE112" i="82"/>
  <c r="M97" i="86"/>
  <c r="J97" i="86"/>
  <c r="AF527" i="82"/>
  <c r="Z527" i="82"/>
  <c r="N1334" i="86"/>
  <c r="K1334" i="86"/>
  <c r="AF1755" i="82"/>
  <c r="N1218" i="86"/>
  <c r="K1218" i="86"/>
  <c r="AF1346" i="82"/>
  <c r="N1887" i="86"/>
  <c r="K1887" i="86"/>
  <c r="AF83" i="88"/>
  <c r="AF8" i="88"/>
  <c r="AE641" i="83"/>
  <c r="Z641" i="83"/>
  <c r="Y258" i="82"/>
  <c r="J258" i="86"/>
  <c r="M258" i="86"/>
  <c r="AD134" i="83"/>
  <c r="Y134" i="83"/>
  <c r="Z1344" i="82"/>
  <c r="AF1344" i="82"/>
  <c r="N1618" i="86"/>
  <c r="K1618" i="86"/>
  <c r="AE11" i="69"/>
  <c r="AG11" i="69"/>
  <c r="AE674" i="83"/>
  <c r="Z674" i="83"/>
  <c r="AE533" i="82"/>
  <c r="Y533" i="82"/>
  <c r="N1748" i="86"/>
  <c r="K1748" i="86"/>
  <c r="AD352" i="83"/>
  <c r="Y352" i="83"/>
  <c r="AE628" i="83"/>
  <c r="Z628" i="83"/>
  <c r="AF1572" i="82"/>
  <c r="Z1572" i="82"/>
  <c r="Z489" i="82"/>
  <c r="AF489" i="82"/>
  <c r="N1759" i="86"/>
  <c r="K1759" i="86"/>
  <c r="N1731" i="86"/>
  <c r="K1731" i="86"/>
  <c r="Y706" i="82"/>
  <c r="AE706" i="82"/>
  <c r="N94" i="88"/>
  <c r="N19" i="88"/>
  <c r="N1395" i="86"/>
  <c r="K1395" i="86"/>
  <c r="AE656" i="83"/>
  <c r="Z656" i="83"/>
  <c r="M663" i="86"/>
  <c r="J663" i="86"/>
  <c r="AD325" i="83"/>
  <c r="Y325" i="83"/>
  <c r="AF1365" i="82"/>
  <c r="Z1365" i="82"/>
  <c r="Y763" i="82"/>
  <c r="AE763" i="82"/>
  <c r="M539" i="86"/>
  <c r="J539" i="86"/>
  <c r="AF825" i="82"/>
  <c r="AE899" i="83"/>
  <c r="Z899" i="83"/>
  <c r="N988" i="86"/>
  <c r="K988" i="86"/>
  <c r="AE1012" i="82"/>
  <c r="AC127" i="88"/>
  <c r="AC52" i="88"/>
  <c r="AF52" i="69"/>
  <c r="AP52" i="69"/>
  <c r="W13" i="90"/>
  <c r="W7" i="90"/>
  <c r="N1359" i="86"/>
  <c r="K1359" i="86"/>
  <c r="N1883" i="86"/>
  <c r="K1883" i="86"/>
  <c r="AE881" i="83"/>
  <c r="Z881" i="83"/>
  <c r="N1722" i="86"/>
  <c r="K1722" i="86"/>
  <c r="AC98" i="88"/>
  <c r="AC23" i="88"/>
  <c r="AF23" i="69"/>
  <c r="AP23" i="69"/>
  <c r="N870" i="86"/>
  <c r="K870" i="86"/>
  <c r="AF995" i="82"/>
  <c r="AB110" i="88"/>
  <c r="AB35" i="88"/>
  <c r="M1010" i="86"/>
  <c r="J1010" i="86"/>
  <c r="AD230" i="83"/>
  <c r="Y230" i="83"/>
  <c r="AF1481" i="82"/>
  <c r="Z1481" i="82"/>
  <c r="N1912" i="86"/>
  <c r="K1912" i="86"/>
  <c r="AL50" i="68"/>
  <c r="N1419" i="86"/>
  <c r="K1419" i="86"/>
  <c r="M147" i="86"/>
  <c r="J147" i="86"/>
  <c r="AF1417" i="82"/>
  <c r="Z1417" i="82"/>
  <c r="AM64" i="69"/>
  <c r="T64" i="69"/>
  <c r="N64" i="69"/>
  <c r="N1847" i="86"/>
  <c r="K1847" i="86"/>
  <c r="N1374" i="86"/>
  <c r="K1374" i="86"/>
  <c r="N307" i="86"/>
  <c r="K307" i="86"/>
  <c r="AD288" i="83"/>
  <c r="Y288" i="83"/>
  <c r="AE490" i="83"/>
  <c r="Z490" i="83"/>
  <c r="AD14" i="83"/>
  <c r="Y14" i="83"/>
  <c r="N1955" i="86"/>
  <c r="K1955" i="86"/>
  <c r="AE685" i="83"/>
  <c r="Z685" i="83"/>
  <c r="AE1198" i="82"/>
  <c r="Y1198" i="82"/>
  <c r="AF111" i="88"/>
  <c r="AF36" i="88"/>
  <c r="N1629" i="86"/>
  <c r="K1629" i="86"/>
  <c r="M715" i="86"/>
  <c r="J715" i="86"/>
  <c r="M722" i="86"/>
  <c r="J722" i="86"/>
  <c r="AG135" i="88"/>
  <c r="AG60" i="88"/>
  <c r="Y707" i="82"/>
  <c r="AE707" i="82"/>
  <c r="M190" i="86"/>
  <c r="J190" i="86"/>
  <c r="N10" i="86"/>
  <c r="K10" i="86"/>
  <c r="AE1113" i="82"/>
  <c r="AF71" i="70"/>
  <c r="AP71" i="70"/>
  <c r="N1864" i="86"/>
  <c r="K1864" i="86"/>
  <c r="AL25" i="70"/>
  <c r="AJ25" i="70"/>
  <c r="AD573" i="83"/>
  <c r="Y573" i="83"/>
  <c r="AF1972" i="82"/>
  <c r="AF1414" i="82"/>
  <c r="Z1414" i="82"/>
  <c r="AE353" i="82"/>
  <c r="AE250" i="83"/>
  <c r="Z250" i="83"/>
  <c r="N1286" i="86"/>
  <c r="K1286" i="86"/>
  <c r="N1643" i="86"/>
  <c r="K1643" i="86"/>
  <c r="Z995" i="82"/>
  <c r="K995" i="86"/>
  <c r="N995" i="86"/>
  <c r="Y467" i="82"/>
  <c r="AE467" i="82"/>
  <c r="AE1161" i="82"/>
  <c r="Y1161" i="82"/>
  <c r="M691" i="86"/>
  <c r="J691" i="86"/>
  <c r="M91" i="86"/>
  <c r="J91" i="86"/>
  <c r="N1041" i="86"/>
  <c r="K1041" i="86"/>
  <c r="AJ50" i="68"/>
  <c r="AF50" i="88"/>
  <c r="AF125" i="88"/>
  <c r="N47" i="86"/>
  <c r="K47" i="86"/>
  <c r="AB115" i="88"/>
  <c r="AB40" i="88"/>
  <c r="AG81" i="88"/>
  <c r="AG6" i="88"/>
  <c r="AD225" i="83"/>
  <c r="Y225" i="83"/>
  <c r="AB84" i="88"/>
  <c r="AB9" i="88"/>
  <c r="M452" i="86"/>
  <c r="J452" i="86"/>
  <c r="AE483" i="82"/>
  <c r="N1695" i="86"/>
  <c r="K1695" i="86"/>
  <c r="AM66" i="70"/>
  <c r="T66" i="70"/>
  <c r="AJ66" i="67"/>
  <c r="N66" i="67"/>
  <c r="N66" i="68"/>
  <c r="N66" i="70"/>
  <c r="N1621" i="86"/>
  <c r="K1621" i="86"/>
  <c r="Z1251" i="82"/>
  <c r="AF1251" i="82"/>
  <c r="Y479" i="82"/>
  <c r="J479" i="86"/>
  <c r="M479" i="86"/>
  <c r="Y179" i="82"/>
  <c r="AE179" i="82"/>
  <c r="N1248" i="86"/>
  <c r="K1248" i="86"/>
  <c r="Y673" i="82"/>
  <c r="AE673" i="82"/>
  <c r="Z463" i="82"/>
  <c r="K463" i="86"/>
  <c r="N463" i="86"/>
  <c r="Z1225" i="82"/>
  <c r="AF1225" i="82"/>
  <c r="AD335" i="83"/>
  <c r="Y335" i="83"/>
  <c r="AD170" i="83"/>
  <c r="Y170" i="83"/>
  <c r="Y492" i="82"/>
  <c r="AE492" i="82"/>
  <c r="Z53" i="82"/>
  <c r="K53" i="86"/>
  <c r="N53" i="86"/>
  <c r="M428" i="86"/>
  <c r="J428" i="86"/>
  <c r="AF831" i="82"/>
  <c r="N1665" i="86"/>
  <c r="K1665" i="86"/>
  <c r="N1260" i="86"/>
  <c r="K1260" i="86"/>
  <c r="Y131" i="82"/>
  <c r="J131" i="86"/>
  <c r="M131" i="86"/>
  <c r="Z196" i="82"/>
  <c r="K196" i="86"/>
  <c r="N196" i="86"/>
  <c r="Y738" i="82"/>
  <c r="AE738" i="82"/>
  <c r="AF1811" i="82"/>
  <c r="N1696" i="86"/>
  <c r="K1696" i="86"/>
  <c r="M455" i="86"/>
  <c r="J455" i="86"/>
  <c r="N1750" i="86"/>
  <c r="K1750" i="86"/>
  <c r="Y715" i="82"/>
  <c r="AE715" i="82"/>
  <c r="M244" i="86"/>
  <c r="J244" i="86"/>
  <c r="AF1187" i="82"/>
  <c r="Z1187" i="82"/>
  <c r="AE200" i="82"/>
  <c r="N2003" i="86"/>
  <c r="K2003" i="86"/>
  <c r="N1044" i="86"/>
  <c r="K1044" i="86"/>
  <c r="AF1209" i="82"/>
  <c r="Z1209" i="82"/>
  <c r="N989" i="86"/>
  <c r="K989" i="86"/>
  <c r="M806" i="86"/>
  <c r="J806" i="86"/>
  <c r="AF1993" i="82"/>
  <c r="Z1993" i="82"/>
  <c r="AE127" i="82"/>
  <c r="AF531" i="82"/>
  <c r="Z531" i="82"/>
  <c r="M363" i="86"/>
  <c r="J363" i="86"/>
  <c r="AE693" i="82"/>
  <c r="AF1208" i="82"/>
  <c r="Z1208" i="82"/>
  <c r="Z1972" i="82"/>
  <c r="K1972" i="86"/>
  <c r="N1972" i="86"/>
  <c r="AF1899" i="82"/>
  <c r="AD24" i="83"/>
  <c r="Y24" i="83"/>
  <c r="Y452" i="82"/>
  <c r="AE452" i="82"/>
  <c r="AE135" i="82"/>
  <c r="N561" i="86"/>
  <c r="K561" i="86"/>
  <c r="AD248" i="83"/>
  <c r="Y248" i="83"/>
  <c r="AF226" i="82"/>
  <c r="AF86" i="88"/>
  <c r="AF11" i="88"/>
  <c r="M514" i="86"/>
  <c r="J514" i="86"/>
  <c r="AG46" i="70"/>
  <c r="AO46" i="70"/>
  <c r="AE46" i="70"/>
  <c r="AF1328" i="82"/>
  <c r="AF1211" i="82"/>
  <c r="Z1211" i="82"/>
  <c r="AE441" i="82"/>
  <c r="M915" i="86"/>
  <c r="J915" i="86"/>
  <c r="M124" i="86"/>
  <c r="J124" i="86"/>
  <c r="AF1625" i="82"/>
  <c r="Z1625" i="82"/>
  <c r="N1086" i="86"/>
  <c r="K1086" i="86"/>
  <c r="AC95" i="88"/>
  <c r="AC20" i="88"/>
  <c r="AF20" i="69"/>
  <c r="AP20" i="69"/>
  <c r="N1541" i="86"/>
  <c r="K1541" i="86"/>
  <c r="N1636" i="86"/>
  <c r="K1636" i="86"/>
  <c r="AD422" i="83"/>
  <c r="Y422" i="83"/>
  <c r="M646" i="86"/>
  <c r="J646" i="86"/>
  <c r="Z1248" i="82"/>
  <c r="AF1248" i="82"/>
  <c r="AF1186" i="82"/>
  <c r="Z1186" i="82"/>
  <c r="AF81" i="68"/>
  <c r="AE81" i="68"/>
  <c r="AE515" i="83"/>
  <c r="Z515" i="83"/>
  <c r="AF1330" i="82"/>
  <c r="Z1310" i="82"/>
  <c r="AF1310" i="82"/>
  <c r="Y449" i="82"/>
  <c r="AE449" i="82"/>
  <c r="N1779" i="86"/>
  <c r="K1779" i="86"/>
  <c r="AF1895" i="82"/>
  <c r="N552" i="86"/>
  <c r="K552" i="86"/>
  <c r="AE719" i="82"/>
  <c r="N544" i="86"/>
  <c r="K544" i="86"/>
  <c r="AE951" i="82"/>
  <c r="AE548" i="83"/>
  <c r="Z548" i="83"/>
  <c r="Z14" i="82"/>
  <c r="AF14" i="82"/>
  <c r="M395" i="86"/>
  <c r="J395" i="86"/>
  <c r="N1169" i="86"/>
  <c r="K1169" i="86"/>
  <c r="AE563" i="82"/>
  <c r="AE445" i="82"/>
  <c r="Z1895" i="82"/>
  <c r="K1895" i="86"/>
  <c r="N1895" i="86"/>
  <c r="AE759" i="82"/>
  <c r="M958" i="86"/>
  <c r="J958" i="86"/>
  <c r="Z1811" i="82"/>
  <c r="K1811" i="86"/>
  <c r="N1811" i="86"/>
  <c r="AD538" i="83"/>
  <c r="Y538" i="83"/>
  <c r="N1647" i="86"/>
  <c r="K1647" i="86"/>
  <c r="M1020" i="86"/>
  <c r="J1020" i="86"/>
  <c r="Z1748" i="82"/>
  <c r="AF1748" i="82"/>
  <c r="M661" i="86"/>
  <c r="J661" i="86"/>
  <c r="M399" i="86"/>
  <c r="J399" i="86"/>
  <c r="N1462" i="86"/>
  <c r="K1462" i="86"/>
  <c r="V14" i="90"/>
  <c r="V9" i="90"/>
  <c r="V15" i="90"/>
  <c r="Z233" i="82"/>
  <c r="AF233" i="82"/>
  <c r="AE1092" i="82"/>
  <c r="AF571" i="82"/>
  <c r="AE580" i="82"/>
  <c r="Y127" i="82"/>
  <c r="J127" i="86"/>
  <c r="M127" i="86"/>
  <c r="Z885" i="82"/>
  <c r="AF885" i="82"/>
  <c r="AF499" i="82"/>
  <c r="Y693" i="82"/>
  <c r="J693" i="86"/>
  <c r="M693" i="86"/>
  <c r="AF1518" i="82"/>
  <c r="AE524" i="83"/>
  <c r="Z524" i="83"/>
  <c r="Z1899" i="82"/>
  <c r="K1899" i="86"/>
  <c r="N1899" i="86"/>
  <c r="AF1507" i="82"/>
  <c r="N530" i="86"/>
  <c r="K530" i="86"/>
  <c r="N213" i="86"/>
  <c r="K213" i="86"/>
  <c r="AF1140" i="82"/>
  <c r="Y135" i="82"/>
  <c r="J135" i="86"/>
  <c r="M135" i="86"/>
  <c r="AE488" i="83"/>
  <c r="Z488" i="83"/>
  <c r="Z226" i="82"/>
  <c r="K226" i="86"/>
  <c r="N226" i="86"/>
  <c r="N480" i="86"/>
  <c r="K480" i="86"/>
  <c r="AB107" i="88"/>
  <c r="AB32" i="88"/>
  <c r="AD431" i="83"/>
  <c r="Y431" i="83"/>
  <c r="AD405" i="83"/>
  <c r="Y405" i="83"/>
  <c r="N1341" i="86"/>
  <c r="K1341" i="86"/>
  <c r="AF1483" i="82"/>
  <c r="Z1483" i="82"/>
  <c r="AE745" i="82"/>
  <c r="N341" i="86"/>
  <c r="K341" i="86"/>
  <c r="Y441" i="82"/>
  <c r="J441" i="86"/>
  <c r="M441" i="86"/>
  <c r="N833" i="86"/>
  <c r="K833" i="86"/>
  <c r="AD419" i="83"/>
  <c r="Y419" i="83"/>
  <c r="L93" i="67"/>
  <c r="AD85" i="83"/>
  <c r="Y85" i="83"/>
  <c r="M140" i="86"/>
  <c r="J140" i="86"/>
  <c r="AD34" i="83"/>
  <c r="Y34" i="83"/>
  <c r="N1188" i="86"/>
  <c r="K1188" i="86"/>
  <c r="AJ28" i="68"/>
  <c r="AL28" i="68"/>
  <c r="Y97" i="82"/>
  <c r="AE97" i="82"/>
  <c r="AF1169" i="82"/>
  <c r="Z1169" i="82"/>
  <c r="Z203" i="82"/>
  <c r="AF203" i="82"/>
  <c r="D49" i="5"/>
  <c r="AM76" i="68"/>
  <c r="D48" i="5"/>
  <c r="D52" i="5"/>
  <c r="Z1330" i="82"/>
  <c r="K1330" i="86"/>
  <c r="N1330" i="86"/>
  <c r="Y428" i="82"/>
  <c r="AE428" i="82"/>
  <c r="L92" i="67"/>
  <c r="Z831" i="82"/>
  <c r="K831" i="86"/>
  <c r="N831" i="86"/>
  <c r="Y719" i="82"/>
  <c r="J719" i="86"/>
  <c r="M719" i="86"/>
  <c r="Z1334" i="82"/>
  <c r="AF1334" i="82"/>
  <c r="AE710" i="83"/>
  <c r="Z710" i="83"/>
  <c r="Y951" i="82"/>
  <c r="J951" i="86"/>
  <c r="M951" i="86"/>
  <c r="AF1670" i="82"/>
  <c r="Z1670" i="82"/>
  <c r="Z2003" i="82"/>
  <c r="AF2003" i="82"/>
  <c r="Y395" i="82"/>
  <c r="AE395" i="82"/>
  <c r="Y190" i="82"/>
  <c r="AE190" i="82"/>
  <c r="Z1218" i="82"/>
  <c r="AF1218" i="82"/>
  <c r="AF1433" i="82"/>
  <c r="Z1433" i="82"/>
  <c r="AD60" i="83"/>
  <c r="Y60" i="83"/>
  <c r="AE754" i="83"/>
  <c r="Z754" i="83"/>
  <c r="Z1523" i="82"/>
  <c r="AF1523" i="82"/>
  <c r="Z1887" i="82"/>
  <c r="AF1887" i="82"/>
  <c r="Y1020" i="82"/>
  <c r="AE1020" i="82"/>
  <c r="AJ8" i="68"/>
  <c r="AL8" i="68"/>
  <c r="Y923" i="82"/>
  <c r="AE923" i="82"/>
  <c r="N1170" i="86"/>
  <c r="K1170" i="86"/>
  <c r="M123" i="86"/>
  <c r="J123" i="86"/>
  <c r="Z1220" i="82"/>
  <c r="AF1220" i="82"/>
  <c r="Z571" i="82"/>
  <c r="K571" i="86"/>
  <c r="N571" i="86"/>
  <c r="Y806" i="82"/>
  <c r="AE806" i="82"/>
  <c r="N1936" i="86"/>
  <c r="K1936" i="86"/>
  <c r="Z499" i="82"/>
  <c r="K499" i="86"/>
  <c r="N499" i="86"/>
  <c r="N1789" i="86"/>
  <c r="K1789" i="86"/>
  <c r="Z1518" i="82"/>
  <c r="K1518" i="86"/>
  <c r="N1518" i="86"/>
  <c r="Z1507" i="82"/>
  <c r="K1507" i="86"/>
  <c r="N1507" i="86"/>
  <c r="Y582" i="82"/>
  <c r="AE582" i="82"/>
  <c r="AF1992" i="82"/>
  <c r="Z1992" i="82"/>
  <c r="Z989" i="82"/>
  <c r="AF989" i="82"/>
  <c r="N1674" i="86"/>
  <c r="K1674" i="86"/>
  <c r="AF429" i="82"/>
  <c r="M1027" i="86"/>
  <c r="J1027" i="86"/>
  <c r="N1189" i="86"/>
  <c r="K1189" i="86"/>
  <c r="Y745" i="82"/>
  <c r="J745" i="86"/>
  <c r="M745" i="86"/>
  <c r="Y661" i="82"/>
  <c r="AE661" i="82"/>
  <c r="AF1708" i="82"/>
  <c r="Z1912" i="82"/>
  <c r="AF1912" i="82"/>
  <c r="AG134" i="88"/>
  <c r="AG59" i="88"/>
  <c r="AE241" i="82"/>
  <c r="N215" i="86"/>
  <c r="K215" i="86"/>
  <c r="AE838" i="83"/>
  <c r="Z838" i="83"/>
  <c r="AF486" i="82"/>
  <c r="N149" i="88"/>
  <c r="N74" i="88"/>
  <c r="N1520" i="86"/>
  <c r="K1520" i="86"/>
  <c r="N1505" i="86"/>
  <c r="K1505" i="86"/>
  <c r="M154" i="86"/>
  <c r="J154" i="86"/>
  <c r="N17" i="86"/>
  <c r="K17" i="86"/>
  <c r="N1152" i="86"/>
  <c r="K1152" i="86"/>
  <c r="AF1480" i="82"/>
  <c r="Z1480" i="82"/>
  <c r="Y242" i="83"/>
  <c r="AD242" i="83"/>
  <c r="AJ5" i="83"/>
  <c r="N434" i="86"/>
  <c r="K434" i="86"/>
  <c r="AD104" i="83"/>
  <c r="Y104" i="83"/>
  <c r="AE560" i="82"/>
  <c r="AE700" i="82"/>
  <c r="AF514" i="82"/>
  <c r="Z514" i="82"/>
  <c r="AF1448" i="82"/>
  <c r="Z1448" i="82"/>
  <c r="AE510" i="82"/>
  <c r="Y510" i="82"/>
  <c r="AF1831" i="82"/>
  <c r="Y363" i="82"/>
  <c r="AE363" i="82"/>
  <c r="N1206" i="86"/>
  <c r="K1206" i="86"/>
  <c r="AD207" i="83"/>
  <c r="Y207" i="83"/>
  <c r="AF1003" i="82"/>
  <c r="Y123" i="82"/>
  <c r="AE123" i="82"/>
  <c r="AF485" i="82"/>
  <c r="AE292" i="82"/>
  <c r="N1596" i="86"/>
  <c r="K1596" i="86"/>
  <c r="AM30" i="69"/>
  <c r="T30" i="69"/>
  <c r="N30" i="69"/>
  <c r="AF1393" i="82"/>
  <c r="Z1393" i="82"/>
  <c r="AE762" i="82"/>
  <c r="N1617" i="86"/>
  <c r="K1617" i="86"/>
  <c r="AF1691" i="82"/>
  <c r="Z1691" i="82"/>
  <c r="AD94" i="83"/>
  <c r="Y94" i="83"/>
  <c r="AF347" i="82"/>
  <c r="AE771" i="82"/>
  <c r="N538" i="86"/>
  <c r="K538" i="86"/>
  <c r="AF553" i="82"/>
  <c r="Z553" i="82"/>
  <c r="N1937" i="86"/>
  <c r="K1937" i="86"/>
  <c r="Z1047" i="82"/>
  <c r="AF1047" i="82"/>
  <c r="AF1723" i="82"/>
  <c r="N53" i="70"/>
  <c r="T53" i="70"/>
  <c r="AM53" i="70"/>
  <c r="N1486" i="86"/>
  <c r="K1486" i="86"/>
  <c r="Y101" i="82"/>
  <c r="J101" i="86"/>
  <c r="M101" i="86"/>
  <c r="M137" i="86"/>
  <c r="J137" i="86"/>
  <c r="AF132" i="88"/>
  <c r="AF57" i="88"/>
  <c r="Z840" i="82"/>
  <c r="AF840" i="82"/>
  <c r="Z1755" i="82"/>
  <c r="K1755" i="86"/>
  <c r="N1755" i="86"/>
  <c r="Z1779" i="82"/>
  <c r="AF1779" i="82"/>
  <c r="AE1195" i="82"/>
  <c r="Y1195" i="82"/>
  <c r="Z1750" i="82"/>
  <c r="AF1750" i="82"/>
  <c r="N1425" i="86"/>
  <c r="K1425" i="86"/>
  <c r="AF362" i="82"/>
  <c r="Z1346" i="82"/>
  <c r="K1346" i="86"/>
  <c r="N1346" i="86"/>
  <c r="Y125" i="82"/>
  <c r="J125" i="86"/>
  <c r="M125" i="86"/>
  <c r="AE1013" i="82"/>
  <c r="Y408" i="82"/>
  <c r="AE408" i="82"/>
  <c r="AD457" i="83"/>
  <c r="Y457" i="83"/>
  <c r="N941" i="86"/>
  <c r="K941" i="86"/>
  <c r="Y958" i="82"/>
  <c r="AE958" i="82"/>
  <c r="Y759" i="82"/>
  <c r="J759" i="86"/>
  <c r="M759" i="86"/>
  <c r="Z1736" i="82"/>
  <c r="AF1736" i="82"/>
  <c r="N208" i="86"/>
  <c r="K208" i="86"/>
  <c r="AK68" i="69"/>
  <c r="AK68" i="67"/>
  <c r="AK68" i="68"/>
  <c r="AK68" i="70"/>
  <c r="AF1646" i="82"/>
  <c r="Z1646" i="82"/>
  <c r="V13" i="90"/>
  <c r="V7" i="90"/>
  <c r="AE729" i="83"/>
  <c r="Z729" i="83"/>
  <c r="N52" i="67"/>
  <c r="N52" i="68"/>
  <c r="T52" i="68"/>
  <c r="AM52" i="68"/>
  <c r="AE605" i="82"/>
  <c r="N1537" i="86"/>
  <c r="K1537" i="86"/>
  <c r="AE532" i="83"/>
  <c r="Z532" i="83"/>
  <c r="AM69" i="70"/>
  <c r="N69" i="70"/>
  <c r="T69" i="70"/>
  <c r="Y700" i="82"/>
  <c r="J700" i="86"/>
  <c r="M700" i="86"/>
  <c r="N1445" i="86"/>
  <c r="K1445" i="86"/>
  <c r="Z1831" i="82"/>
  <c r="K1831" i="86"/>
  <c r="N1831" i="86"/>
  <c r="N401" i="86"/>
  <c r="K401" i="86"/>
  <c r="Z1864" i="82"/>
  <c r="AF1864" i="82"/>
  <c r="AF40" i="70"/>
  <c r="AP40" i="70"/>
  <c r="AE24" i="82"/>
  <c r="Z1003" i="82"/>
  <c r="K1003" i="86"/>
  <c r="N1003" i="86"/>
  <c r="AF1320" i="82"/>
  <c r="AF1913" i="82"/>
  <c r="Z485" i="82"/>
  <c r="K485" i="86"/>
  <c r="N485" i="86"/>
  <c r="AF65" i="70"/>
  <c r="AP65" i="70"/>
  <c r="AE897" i="83"/>
  <c r="Z897" i="83"/>
  <c r="N111" i="88"/>
  <c r="N36" i="88"/>
  <c r="AF1598" i="82"/>
  <c r="Z1598" i="82"/>
  <c r="Y663" i="82"/>
  <c r="AE663" i="82"/>
  <c r="AV3" i="82"/>
  <c r="AU3" i="82"/>
  <c r="N1522" i="86"/>
  <c r="K1522" i="86"/>
  <c r="N9" i="86"/>
  <c r="K9" i="86"/>
  <c r="AF191" i="82"/>
  <c r="N504" i="86"/>
  <c r="K504" i="86"/>
  <c r="AF1307" i="82"/>
  <c r="M311" i="86"/>
  <c r="J311" i="86"/>
  <c r="M136" i="86"/>
  <c r="J136" i="86"/>
  <c r="AF1631" i="82"/>
  <c r="Z1631" i="82"/>
  <c r="AE267" i="83"/>
  <c r="Z267" i="83"/>
  <c r="N1657" i="86"/>
  <c r="K1657" i="86"/>
  <c r="N340" i="86"/>
  <c r="K340" i="86"/>
  <c r="AE944" i="83"/>
  <c r="Z944" i="83"/>
  <c r="AF95" i="88"/>
  <c r="AF20" i="88"/>
  <c r="AO34" i="69"/>
  <c r="AE34" i="69"/>
  <c r="AG34" i="69"/>
  <c r="AD391" i="83"/>
  <c r="Y391" i="83"/>
  <c r="AO36" i="69"/>
  <c r="AE36" i="69"/>
  <c r="AG36" i="69"/>
  <c r="Z1528" i="82"/>
  <c r="AF1528" i="82"/>
  <c r="AE678" i="83"/>
  <c r="Z678" i="83"/>
  <c r="Y558" i="82"/>
  <c r="AE558" i="82"/>
  <c r="Y563" i="82"/>
  <c r="J563" i="86"/>
  <c r="M563" i="86"/>
  <c r="Z1723" i="82"/>
  <c r="K1723" i="86"/>
  <c r="N1723" i="86"/>
  <c r="Y628" i="82"/>
  <c r="AE628" i="82"/>
  <c r="AO8" i="70"/>
  <c r="AE8" i="70"/>
  <c r="AG8" i="70"/>
  <c r="Z1242" i="82"/>
  <c r="AF1242" i="82"/>
  <c r="N1421" i="86"/>
  <c r="K1421" i="86"/>
  <c r="Y916" i="82"/>
  <c r="AE916" i="82"/>
  <c r="Y137" i="82"/>
  <c r="AE137" i="82"/>
  <c r="N1361" i="86"/>
  <c r="K1361" i="86"/>
  <c r="AF1428" i="82"/>
  <c r="Z1428" i="82"/>
  <c r="AE246" i="83"/>
  <c r="Z246" i="83"/>
  <c r="Y399" i="82"/>
  <c r="AE399" i="82"/>
  <c r="Z362" i="82"/>
  <c r="K362" i="86"/>
  <c r="N362" i="86"/>
  <c r="Z1759" i="82"/>
  <c r="AF1759" i="82"/>
  <c r="Z1731" i="82"/>
  <c r="AF1731" i="82"/>
  <c r="Y1013" i="82"/>
  <c r="J1013" i="86"/>
  <c r="M1013" i="86"/>
  <c r="Y1092" i="82"/>
  <c r="J1092" i="86"/>
  <c r="M1092" i="86"/>
  <c r="M401" i="86"/>
  <c r="J401" i="86"/>
  <c r="AF1650" i="82"/>
  <c r="Z1650" i="82"/>
  <c r="N1387" i="86"/>
  <c r="K1387" i="86"/>
  <c r="Z941" i="82"/>
  <c r="AF941" i="82"/>
  <c r="S9" i="86"/>
  <c r="Y9" i="86"/>
  <c r="AG9" i="86"/>
  <c r="AF1597" i="82"/>
  <c r="Z1597" i="82"/>
  <c r="Z486" i="82"/>
  <c r="K486" i="86"/>
  <c r="N486" i="86"/>
  <c r="Z208" i="82"/>
  <c r="AF208" i="82"/>
  <c r="AE941" i="83"/>
  <c r="Z941" i="83"/>
  <c r="Y643" i="82"/>
  <c r="AE643" i="82"/>
  <c r="AF1401" i="82"/>
  <c r="Z1401" i="82"/>
  <c r="AE548" i="82"/>
  <c r="Y548" i="82"/>
  <c r="Y401" i="82"/>
  <c r="AE401" i="82"/>
  <c r="Z988" i="82"/>
  <c r="AF988" i="82"/>
  <c r="N69" i="88"/>
  <c r="N144" i="88"/>
  <c r="Z22" i="82"/>
  <c r="AF22" i="82"/>
  <c r="Y605" i="82"/>
  <c r="J605" i="86"/>
  <c r="M605" i="86"/>
  <c r="AF440" i="82"/>
  <c r="M342" i="86"/>
  <c r="J342" i="86"/>
  <c r="AE765" i="83"/>
  <c r="Z765" i="83"/>
  <c r="Z1722" i="82"/>
  <c r="AF1722" i="82"/>
  <c r="AD89" i="83"/>
  <c r="Y89" i="83"/>
  <c r="AF1549" i="82"/>
  <c r="Z1549" i="82"/>
  <c r="Z870" i="82"/>
  <c r="AF870" i="82"/>
  <c r="AO35" i="69"/>
  <c r="AE35" i="69"/>
  <c r="AG35" i="69"/>
  <c r="Y1010" i="82"/>
  <c r="AE1010" i="82"/>
  <c r="AE289" i="82"/>
  <c r="N558" i="86"/>
  <c r="K558" i="86"/>
  <c r="AE812" i="83"/>
  <c r="Z812" i="83"/>
  <c r="M276" i="86"/>
  <c r="J276" i="86"/>
  <c r="D15" i="90"/>
  <c r="D14" i="90"/>
  <c r="N494" i="86"/>
  <c r="K494" i="86"/>
  <c r="M651" i="86"/>
  <c r="J651" i="86"/>
  <c r="AE813" i="83"/>
  <c r="Z813" i="83"/>
  <c r="Z1041" i="82"/>
  <c r="AF1041" i="82"/>
  <c r="Z1847" i="82"/>
  <c r="AF1847" i="82"/>
  <c r="Z9" i="82"/>
  <c r="AF9" i="82"/>
  <c r="N872" i="86"/>
  <c r="K872" i="86"/>
  <c r="N205" i="86"/>
  <c r="K205" i="86"/>
  <c r="Z1307" i="82"/>
  <c r="K1307" i="86"/>
  <c r="N1307" i="86"/>
  <c r="AE640" i="83"/>
  <c r="Z640" i="83"/>
  <c r="N1302" i="86"/>
  <c r="K1302" i="86"/>
  <c r="AM35" i="70"/>
  <c r="T35" i="70"/>
  <c r="N35" i="70"/>
  <c r="AG140" i="88"/>
  <c r="AG65" i="88"/>
  <c r="AL72" i="68"/>
  <c r="M852" i="86"/>
  <c r="J852" i="86"/>
  <c r="AE913" i="83"/>
  <c r="Z913" i="83"/>
  <c r="N827" i="86"/>
  <c r="K827" i="86"/>
  <c r="M856" i="86"/>
  <c r="J856" i="86"/>
  <c r="N1909" i="86"/>
  <c r="K1909" i="86"/>
  <c r="AF385" i="82"/>
  <c r="AF566" i="82"/>
  <c r="AE807" i="82"/>
  <c r="Z47" i="82"/>
  <c r="AF47" i="82"/>
  <c r="AD191" i="83"/>
  <c r="Y191" i="83"/>
  <c r="M114" i="86"/>
  <c r="J114" i="86"/>
  <c r="N19" i="86"/>
  <c r="K19" i="86"/>
  <c r="AB125" i="88"/>
  <c r="AB50" i="88"/>
  <c r="N1052" i="86"/>
  <c r="K1052" i="86"/>
  <c r="AE715" i="83"/>
  <c r="Z715" i="83"/>
  <c r="AB137" i="88"/>
  <c r="AB62" i="88"/>
  <c r="AD397" i="83"/>
  <c r="Y397" i="83"/>
  <c r="N359" i="86"/>
  <c r="K359" i="86"/>
  <c r="M93" i="86"/>
  <c r="J93" i="86"/>
  <c r="AF1645" i="82"/>
  <c r="Z1645" i="82"/>
  <c r="AF1470" i="82"/>
  <c r="Z1470" i="82"/>
  <c r="N1265" i="86"/>
  <c r="K1265" i="86"/>
  <c r="Z872" i="82"/>
  <c r="AF872" i="82"/>
  <c r="AE847" i="82"/>
  <c r="AD98" i="83"/>
  <c r="Y98" i="83"/>
  <c r="AE165" i="82"/>
  <c r="M229" i="86"/>
  <c r="J229" i="86"/>
  <c r="M356" i="86"/>
  <c r="J356" i="86"/>
  <c r="AD433" i="83"/>
  <c r="Y433" i="83"/>
  <c r="AE501" i="82"/>
  <c r="M56" i="86"/>
  <c r="J56" i="86"/>
  <c r="AJ72" i="68"/>
  <c r="AF72" i="88"/>
  <c r="AF147" i="88"/>
  <c r="AF1405" i="82"/>
  <c r="Z1405" i="82"/>
  <c r="N961" i="86"/>
  <c r="K961" i="86"/>
  <c r="M732" i="86"/>
  <c r="J732" i="86"/>
  <c r="AF1374" i="82"/>
  <c r="Z1374" i="82"/>
  <c r="N1035" i="86"/>
  <c r="K1035" i="86"/>
  <c r="AE765" i="82"/>
  <c r="M89" i="86"/>
  <c r="J89" i="86"/>
  <c r="N1727" i="86"/>
  <c r="K1727" i="86"/>
  <c r="N518" i="86"/>
  <c r="K518" i="86"/>
  <c r="AG44" i="69"/>
  <c r="N931" i="86"/>
  <c r="K931" i="86"/>
  <c r="AF1577" i="82"/>
  <c r="Z1577" i="82"/>
  <c r="N881" i="86"/>
  <c r="K881" i="86"/>
  <c r="AE191" i="82"/>
  <c r="AF1377" i="82"/>
  <c r="Z1377" i="82"/>
  <c r="M579" i="86"/>
  <c r="J579" i="86"/>
  <c r="N1637" i="86"/>
  <c r="K1637" i="86"/>
  <c r="N351" i="86"/>
  <c r="K351" i="86"/>
  <c r="AE716" i="82"/>
  <c r="AE617" i="82"/>
  <c r="N1846" i="86"/>
  <c r="K1846" i="86"/>
  <c r="AE247" i="83"/>
  <c r="Z247" i="83"/>
  <c r="AK60" i="70"/>
  <c r="AK60" i="67"/>
  <c r="AK60" i="68"/>
  <c r="AK60" i="69"/>
  <c r="Y141" i="82"/>
  <c r="AE141" i="82"/>
  <c r="Z1696" i="82"/>
  <c r="AF1696" i="82"/>
  <c r="Z1044" i="82"/>
  <c r="AF1044" i="82"/>
  <c r="Y289" i="82"/>
  <c r="J289" i="86"/>
  <c r="M289" i="86"/>
  <c r="Y1113" i="82"/>
  <c r="J1113" i="86"/>
  <c r="M1113" i="86"/>
  <c r="Z1343" i="82"/>
  <c r="AF1343" i="82"/>
  <c r="Y580" i="82"/>
  <c r="J580" i="86"/>
  <c r="M580" i="86"/>
  <c r="N1548" i="86"/>
  <c r="K1548" i="86"/>
  <c r="Z1537" i="82"/>
  <c r="AF1537" i="82"/>
  <c r="Z1936" i="82"/>
  <c r="AF1936" i="82"/>
  <c r="Z1883" i="82"/>
  <c r="AF1883" i="82"/>
  <c r="Z1789" i="82"/>
  <c r="AF1789" i="82"/>
  <c r="AE518" i="82"/>
  <c r="Y518" i="82"/>
  <c r="Y353" i="82"/>
  <c r="J353" i="86"/>
  <c r="M353" i="86"/>
  <c r="AE633" i="83"/>
  <c r="Z633" i="83"/>
  <c r="Z401" i="82"/>
  <c r="AF401" i="82"/>
  <c r="Z40" i="82"/>
  <c r="AF40" i="82"/>
  <c r="AO65" i="70"/>
  <c r="AE65" i="70"/>
  <c r="AG65" i="70"/>
  <c r="Z1140" i="82"/>
  <c r="K1140" i="86"/>
  <c r="N1140" i="86"/>
  <c r="N1457" i="86"/>
  <c r="K1457" i="86"/>
  <c r="N1402" i="86"/>
  <c r="K1402" i="86"/>
  <c r="Z561" i="82"/>
  <c r="AF561" i="82"/>
  <c r="Z1320" i="82"/>
  <c r="K1320" i="86"/>
  <c r="N1320" i="86"/>
  <c r="M650" i="86"/>
  <c r="J650" i="86"/>
  <c r="AJ11" i="69"/>
  <c r="AL11" i="69"/>
  <c r="Z558" i="82"/>
  <c r="AF558" i="82"/>
  <c r="AD83" i="83"/>
  <c r="Y83" i="83"/>
  <c r="AD434" i="83"/>
  <c r="Y434" i="83"/>
  <c r="Z429" i="82"/>
  <c r="K429" i="86"/>
  <c r="N429" i="86"/>
  <c r="Z1341" i="82"/>
  <c r="AF1341" i="82"/>
  <c r="AV6" i="82"/>
  <c r="AU6" i="82"/>
  <c r="AD386" i="83"/>
  <c r="Y386" i="83"/>
  <c r="N356" i="86"/>
  <c r="K356" i="86"/>
  <c r="AF343" i="82"/>
  <c r="AF896" i="82"/>
  <c r="Y560" i="82"/>
  <c r="J560" i="86"/>
  <c r="M560" i="86"/>
  <c r="Y91" i="82"/>
  <c r="AE91" i="82"/>
  <c r="AE921" i="82"/>
  <c r="Y276" i="82"/>
  <c r="AE276" i="82"/>
  <c r="AF1578" i="82"/>
  <c r="Z1578" i="82"/>
  <c r="N1551" i="86"/>
  <c r="K1551" i="86"/>
  <c r="AF1614" i="82"/>
  <c r="Z1614" i="82"/>
  <c r="Y241" i="82"/>
  <c r="J241" i="86"/>
  <c r="M241" i="86"/>
  <c r="T34" i="93"/>
  <c r="AM38" i="68"/>
  <c r="Q34" i="93"/>
  <c r="N1146" i="86"/>
  <c r="K1146" i="86"/>
  <c r="AE621" i="83"/>
  <c r="Z621" i="83"/>
  <c r="N1610" i="86"/>
  <c r="K1610" i="86"/>
  <c r="Z1265" i="82"/>
  <c r="AF1265" i="82"/>
  <c r="N68" i="69"/>
  <c r="T68" i="69"/>
  <c r="AM68" i="69"/>
  <c r="Y847" i="82"/>
  <c r="J847" i="86"/>
  <c r="M847" i="86"/>
  <c r="N1290" i="86"/>
  <c r="K1290" i="86"/>
  <c r="AD384" i="83"/>
  <c r="Y384" i="83"/>
  <c r="AL52" i="68"/>
  <c r="N54" i="88"/>
  <c r="N129" i="88"/>
  <c r="N183" i="86"/>
  <c r="K183" i="86"/>
  <c r="Y501" i="82"/>
  <c r="J501" i="86"/>
  <c r="M501" i="86"/>
  <c r="AF1495" i="82"/>
  <c r="Z1495" i="82"/>
  <c r="N1145" i="86"/>
  <c r="K1145" i="86"/>
  <c r="AF211" i="82"/>
  <c r="AF1289" i="82"/>
  <c r="M919" i="86"/>
  <c r="J919" i="86"/>
  <c r="Z1695" i="82"/>
  <c r="AF1695" i="82"/>
  <c r="M169" i="86"/>
  <c r="J169" i="86"/>
  <c r="AF1638" i="82"/>
  <c r="Z1638" i="82"/>
  <c r="N1288" i="86"/>
  <c r="K1288" i="86"/>
  <c r="M689" i="86"/>
  <c r="J689" i="86"/>
  <c r="AE725" i="82"/>
  <c r="AO44" i="69"/>
  <c r="AE44" i="69"/>
  <c r="AB44" i="88"/>
  <c r="AB119" i="88"/>
  <c r="AF589" i="82"/>
  <c r="N1678" i="86"/>
  <c r="K1678" i="86"/>
  <c r="N220" i="86"/>
  <c r="K220" i="86"/>
  <c r="N316" i="86"/>
  <c r="K316" i="86"/>
  <c r="N484" i="86"/>
  <c r="K484" i="86"/>
  <c r="AF1703" i="82"/>
  <c r="AG123" i="88"/>
  <c r="AG48" i="88"/>
  <c r="AE187" i="83"/>
  <c r="Z187" i="83"/>
  <c r="M247" i="86"/>
  <c r="J247" i="86"/>
  <c r="AB135" i="88"/>
  <c r="AB60" i="88"/>
  <c r="Z356" i="82"/>
  <c r="AF356" i="82"/>
  <c r="N816" i="86"/>
  <c r="K816" i="86"/>
  <c r="AF24" i="69"/>
  <c r="AC24" i="88"/>
  <c r="AC99" i="88"/>
  <c r="AD463" i="83"/>
  <c r="Y463" i="83"/>
  <c r="Z896" i="82"/>
  <c r="K896" i="86"/>
  <c r="N896" i="86"/>
  <c r="Z1328" i="82"/>
  <c r="K1328" i="86"/>
  <c r="N1328" i="86"/>
  <c r="Y921" i="82"/>
  <c r="J921" i="86"/>
  <c r="M921" i="86"/>
  <c r="AO40" i="69"/>
  <c r="AE40" i="69"/>
  <c r="AG40" i="69"/>
  <c r="M69" i="86"/>
  <c r="J69" i="86"/>
  <c r="Z341" i="82"/>
  <c r="AF341" i="82"/>
  <c r="X15" i="90"/>
  <c r="D9" i="90"/>
  <c r="X9" i="90"/>
  <c r="X14" i="90"/>
  <c r="Y1027" i="82"/>
  <c r="AE1027" i="82"/>
  <c r="N1448" i="86"/>
  <c r="K1448" i="86"/>
  <c r="Z215" i="82"/>
  <c r="AF215" i="82"/>
  <c r="AE824" i="83"/>
  <c r="Z824" i="83"/>
  <c r="N1616" i="86"/>
  <c r="K1616" i="86"/>
  <c r="T35" i="93"/>
  <c r="T39" i="68"/>
  <c r="AM39" i="68"/>
  <c r="Q35" i="93"/>
  <c r="Z307" i="82"/>
  <c r="AF307" i="82"/>
  <c r="Y165" i="82"/>
  <c r="J165" i="86"/>
  <c r="M165" i="86"/>
  <c r="N580" i="86"/>
  <c r="K580" i="86"/>
  <c r="AJ52" i="68"/>
  <c r="AJ52" i="69"/>
  <c r="AL52" i="69"/>
  <c r="Y765" i="82"/>
  <c r="J765" i="86"/>
  <c r="M765" i="86"/>
  <c r="N1709" i="86"/>
  <c r="K1709" i="86"/>
  <c r="N1036" i="86"/>
  <c r="K1036" i="86"/>
  <c r="N936" i="86"/>
  <c r="K936" i="86"/>
  <c r="AK65" i="70"/>
  <c r="AK65" i="67"/>
  <c r="AK65" i="68"/>
  <c r="AK65" i="69"/>
  <c r="M1163" i="86"/>
  <c r="J1163" i="86"/>
  <c r="N39" i="70"/>
  <c r="T39" i="70"/>
  <c r="AM39" i="70"/>
  <c r="Y689" i="82"/>
  <c r="AE689" i="82"/>
  <c r="Z589" i="82"/>
  <c r="K589" i="86"/>
  <c r="N589" i="86"/>
  <c r="AE240" i="83"/>
  <c r="Z240" i="83"/>
  <c r="AK6" i="69"/>
  <c r="AK6" i="68"/>
  <c r="AK6" i="70"/>
  <c r="AL7" i="68"/>
  <c r="AF1917" i="82"/>
  <c r="N466" i="86"/>
  <c r="K466" i="86"/>
  <c r="AE183" i="82"/>
  <c r="AF882" i="82"/>
  <c r="N1603" i="86"/>
  <c r="K1603" i="86"/>
  <c r="AF344" i="82"/>
  <c r="N469" i="86"/>
  <c r="K469" i="86"/>
  <c r="N45" i="86"/>
  <c r="K45" i="86"/>
  <c r="AF54" i="82"/>
  <c r="AD66" i="83"/>
  <c r="Y66" i="83"/>
  <c r="AD193" i="83"/>
  <c r="Y193" i="83"/>
  <c r="AE700" i="83"/>
  <c r="Z700" i="83"/>
  <c r="M696" i="86"/>
  <c r="J696" i="86"/>
  <c r="N1840" i="86"/>
  <c r="K1840" i="86"/>
  <c r="M290" i="86"/>
  <c r="J290" i="86"/>
  <c r="AD118" i="83"/>
  <c r="Y118" i="83"/>
  <c r="AF94" i="88"/>
  <c r="AF19" i="88"/>
  <c r="M537" i="86"/>
  <c r="J537" i="86"/>
  <c r="AF375" i="82"/>
  <c r="N218" i="86"/>
  <c r="K218" i="86"/>
  <c r="AD574" i="83"/>
  <c r="Y574" i="83"/>
  <c r="AE508" i="82"/>
  <c r="Y508" i="82"/>
  <c r="N1131" i="86"/>
  <c r="K1131" i="86"/>
  <c r="AD227" i="83"/>
  <c r="Y227" i="83"/>
  <c r="M1026" i="86"/>
  <c r="J1026" i="86"/>
  <c r="M440" i="86"/>
  <c r="J440" i="86"/>
  <c r="AF1352" i="82"/>
  <c r="Z1352" i="82"/>
  <c r="Y136" i="82"/>
  <c r="AE136" i="82"/>
  <c r="Y483" i="82"/>
  <c r="J483" i="86"/>
  <c r="M483" i="86"/>
  <c r="Z1520" i="82"/>
  <c r="AF1520" i="82"/>
  <c r="N1856" i="86"/>
  <c r="K1856" i="86"/>
  <c r="AC111" i="88"/>
  <c r="AP36" i="69"/>
  <c r="AF36" i="69"/>
  <c r="AC36" i="88"/>
  <c r="AF430" i="82"/>
  <c r="I27" i="93"/>
  <c r="F27" i="93"/>
  <c r="F28" i="93"/>
  <c r="N28" i="67"/>
  <c r="N28" i="68"/>
  <c r="T28" i="68"/>
  <c r="AM28" i="68"/>
  <c r="I28" i="93"/>
  <c r="AD348" i="83"/>
  <c r="Y348" i="83"/>
  <c r="AD266" i="83"/>
  <c r="Y266" i="83"/>
  <c r="N1428" i="86"/>
  <c r="K1428" i="86"/>
  <c r="N475" i="86"/>
  <c r="K475" i="86"/>
  <c r="AE212" i="83"/>
  <c r="Z212" i="83"/>
  <c r="AG136" i="88"/>
  <c r="AG61" i="88"/>
  <c r="Y722" i="82"/>
  <c r="AE722" i="82"/>
  <c r="AF1074" i="82"/>
  <c r="M150" i="86"/>
  <c r="J150" i="86"/>
  <c r="AF129" i="88"/>
  <c r="AF54" i="88"/>
  <c r="N416" i="86"/>
  <c r="K416" i="86"/>
  <c r="AF532" i="82"/>
  <c r="Z532" i="82"/>
  <c r="M949" i="86"/>
  <c r="J949" i="86"/>
  <c r="AF5" i="70"/>
  <c r="Z494" i="82"/>
  <c r="AF494" i="82"/>
  <c r="AE844" i="82"/>
  <c r="AE612" i="82"/>
  <c r="AF1547" i="82"/>
  <c r="Z1547" i="82"/>
  <c r="N1910" i="86"/>
  <c r="K1910" i="86"/>
  <c r="M75" i="86"/>
  <c r="J75" i="86"/>
  <c r="AF398" i="82"/>
  <c r="M307" i="86"/>
  <c r="J307" i="86"/>
  <c r="N1439" i="86"/>
  <c r="K1439" i="86"/>
  <c r="AE638" i="83"/>
  <c r="Z638" i="83"/>
  <c r="N1406" i="86"/>
  <c r="K1406" i="86"/>
  <c r="M742" i="86"/>
  <c r="J742" i="86"/>
  <c r="Z1290" i="82"/>
  <c r="AF1290" i="82"/>
  <c r="AK59" i="70"/>
  <c r="AK59" i="67"/>
  <c r="AK59" i="68"/>
  <c r="AK59" i="69"/>
  <c r="Z1260" i="82"/>
  <c r="AF1260" i="82"/>
  <c r="AD408" i="83"/>
  <c r="Y408" i="83"/>
  <c r="N1151" i="86"/>
  <c r="K1151" i="86"/>
  <c r="Y200" i="82"/>
  <c r="J200" i="86"/>
  <c r="M200" i="86"/>
  <c r="Z825" i="82"/>
  <c r="K825" i="86"/>
  <c r="N825" i="86"/>
  <c r="AE785" i="83"/>
  <c r="Z785" i="83"/>
  <c r="Y442" i="82"/>
  <c r="AE442" i="82"/>
  <c r="M277" i="86"/>
  <c r="J277" i="86"/>
  <c r="Z10" i="82"/>
  <c r="AF10" i="82"/>
  <c r="AF5" i="88"/>
  <c r="AF80" i="88"/>
  <c r="V11" i="90"/>
  <c r="AD137" i="83"/>
  <c r="Y137" i="83"/>
  <c r="Y1012" i="82"/>
  <c r="J1012" i="86"/>
  <c r="M1012" i="86"/>
  <c r="Z434" i="82"/>
  <c r="AF434" i="82"/>
  <c r="Z487" i="82"/>
  <c r="AF487" i="82"/>
  <c r="Z205" i="82"/>
  <c r="AF205" i="82"/>
  <c r="Z440" i="82"/>
  <c r="K440" i="86"/>
  <c r="N440" i="86"/>
  <c r="AO76" i="69"/>
  <c r="AO78" i="69"/>
  <c r="AE9" i="69"/>
  <c r="AG9" i="69"/>
  <c r="AJ25" i="68"/>
  <c r="AL25" i="68"/>
  <c r="Y342" i="82"/>
  <c r="AE342" i="82"/>
  <c r="AD295" i="83"/>
  <c r="Y295" i="83"/>
  <c r="AF1380" i="82"/>
  <c r="Z1380" i="82"/>
  <c r="Z1286" i="82"/>
  <c r="AF1286" i="82"/>
  <c r="Y691" i="82"/>
  <c r="AE691" i="82"/>
  <c r="Z213" i="82"/>
  <c r="AF213" i="82"/>
  <c r="Z343" i="82"/>
  <c r="K343" i="86"/>
  <c r="N343" i="86"/>
  <c r="Y24" i="82"/>
  <c r="J24" i="86"/>
  <c r="M24" i="86"/>
  <c r="AE201" i="83"/>
  <c r="Z201" i="83"/>
  <c r="Y147" i="82"/>
  <c r="AE147" i="82"/>
  <c r="Z1913" i="82"/>
  <c r="K1913" i="86"/>
  <c r="N1913" i="86"/>
  <c r="AO32" i="69"/>
  <c r="AE32" i="69"/>
  <c r="AG32" i="69"/>
  <c r="Z580" i="82"/>
  <c r="AF580" i="82"/>
  <c r="Y292" i="82"/>
  <c r="J292" i="86"/>
  <c r="M292" i="86"/>
  <c r="Y762" i="82"/>
  <c r="J762" i="86"/>
  <c r="M762" i="86"/>
  <c r="AD133" i="83"/>
  <c r="Y133" i="83"/>
  <c r="Y277" i="82"/>
  <c r="AE277" i="82"/>
  <c r="Z1522" i="82"/>
  <c r="AF1522" i="82"/>
  <c r="AF1898" i="82"/>
  <c r="AF18" i="70"/>
  <c r="AF15" i="70"/>
  <c r="AF13" i="70"/>
  <c r="AF17" i="70"/>
  <c r="AF9" i="70"/>
  <c r="AF19" i="70"/>
  <c r="AF14" i="70"/>
  <c r="AF11" i="70"/>
  <c r="AF24" i="70"/>
  <c r="AF12" i="70"/>
  <c r="AF10" i="70"/>
  <c r="AP5" i="70"/>
  <c r="AP76" i="70"/>
  <c r="AP78" i="70"/>
  <c r="AF16" i="70"/>
  <c r="R10" i="93"/>
  <c r="AJ49" i="67"/>
  <c r="N49" i="67"/>
  <c r="N49" i="68"/>
  <c r="T49" i="68"/>
  <c r="AM49" i="68"/>
  <c r="U10" i="93"/>
  <c r="N42" i="70"/>
  <c r="T42" i="70"/>
  <c r="AM42" i="70"/>
  <c r="Z1708" i="82"/>
  <c r="K1708" i="86"/>
  <c r="N1708" i="86"/>
  <c r="Y650" i="82"/>
  <c r="AE650" i="82"/>
  <c r="AE182" i="82"/>
  <c r="AA5" i="86"/>
  <c r="AE786" i="83"/>
  <c r="Z786" i="83"/>
  <c r="M120" i="86"/>
  <c r="J120" i="86"/>
  <c r="M1008" i="86"/>
  <c r="J1008" i="86"/>
  <c r="Z833" i="82"/>
  <c r="AF833" i="82"/>
  <c r="N41" i="69"/>
  <c r="T41" i="69"/>
  <c r="AM41" i="69"/>
  <c r="Y915" i="82"/>
  <c r="AE915" i="82"/>
  <c r="AD54" i="83"/>
  <c r="Y54" i="83"/>
  <c r="Y124" i="82"/>
  <c r="AE124" i="82"/>
  <c r="N45" i="69"/>
  <c r="T45" i="69"/>
  <c r="AM45" i="69"/>
  <c r="Z191" i="82"/>
  <c r="K191" i="86"/>
  <c r="N191" i="86"/>
  <c r="Z347" i="82"/>
  <c r="K347" i="86"/>
  <c r="N347" i="86"/>
  <c r="Y445" i="82"/>
  <c r="J445" i="86"/>
  <c r="M445" i="86"/>
  <c r="Y771" i="82"/>
  <c r="J771" i="86"/>
  <c r="M771" i="86"/>
  <c r="Z1086" i="82"/>
  <c r="AF1086" i="82"/>
  <c r="Y311" i="82"/>
  <c r="AE311" i="82"/>
  <c r="Z1693" i="82"/>
  <c r="K1693" i="86"/>
  <c r="N1693" i="86"/>
  <c r="V11" i="86"/>
  <c r="AJ11" i="86"/>
  <c r="Y716" i="82"/>
  <c r="J716" i="86"/>
  <c r="M716" i="86"/>
  <c r="Z385" i="82"/>
  <c r="K385" i="86"/>
  <c r="N385" i="86"/>
  <c r="Z430" i="82"/>
  <c r="K430" i="86"/>
  <c r="N430" i="86"/>
  <c r="Z1505" i="82"/>
  <c r="AF1505" i="82"/>
  <c r="M632" i="86"/>
  <c r="J632" i="86"/>
  <c r="N330" i="86"/>
  <c r="K330" i="86"/>
  <c r="N1141" i="86"/>
  <c r="K1141" i="86"/>
  <c r="M656" i="86"/>
  <c r="J656" i="86"/>
  <c r="AD321" i="83"/>
  <c r="Y321" i="83"/>
  <c r="AG33" i="69"/>
  <c r="N1470" i="86"/>
  <c r="K1470" i="86"/>
  <c r="Z1074" i="82"/>
  <c r="K1074" i="86"/>
  <c r="N1074" i="86"/>
  <c r="N1963" i="86"/>
  <c r="K1963" i="86"/>
  <c r="N516" i="86"/>
  <c r="K516" i="86"/>
  <c r="M791" i="86"/>
  <c r="J791" i="86"/>
  <c r="AF355" i="82"/>
  <c r="N1182" i="86"/>
  <c r="K1182" i="86"/>
  <c r="N335" i="86"/>
  <c r="K335" i="86"/>
  <c r="AL64" i="69"/>
  <c r="AJ64" i="69"/>
  <c r="AE606" i="83"/>
  <c r="Z606" i="83"/>
  <c r="Y612" i="82"/>
  <c r="J612" i="86"/>
  <c r="M612" i="86"/>
  <c r="M233" i="86"/>
  <c r="J233" i="86"/>
  <c r="Z17" i="82"/>
  <c r="AF17" i="82"/>
  <c r="M274" i="86"/>
  <c r="J274" i="86"/>
  <c r="Z1937" i="82"/>
  <c r="AF1937" i="82"/>
  <c r="N1441" i="86"/>
  <c r="K1441" i="86"/>
  <c r="AF578" i="82"/>
  <c r="AF1642" i="82"/>
  <c r="Z1642" i="82"/>
  <c r="N1396" i="86"/>
  <c r="K1396" i="86"/>
  <c r="M362" i="86"/>
  <c r="J362" i="86"/>
  <c r="AD71" i="83"/>
  <c r="Y71" i="83"/>
  <c r="AD389" i="83"/>
  <c r="Y389" i="83"/>
  <c r="AF1600" i="82"/>
  <c r="Z1600" i="82"/>
  <c r="N1581" i="86"/>
  <c r="K1581" i="86"/>
  <c r="N13" i="86"/>
  <c r="K13" i="86"/>
  <c r="Z480" i="82"/>
  <c r="AF480" i="82"/>
  <c r="Z211" i="82"/>
  <c r="K211" i="86"/>
  <c r="N211" i="86"/>
  <c r="AO33" i="69"/>
  <c r="AE33" i="69"/>
  <c r="AB33" i="88"/>
  <c r="AB108" i="88"/>
  <c r="AL57" i="68"/>
  <c r="Y919" i="82"/>
  <c r="AE919" i="82"/>
  <c r="N106" i="88"/>
  <c r="N31" i="88"/>
  <c r="Y229" i="82"/>
  <c r="AE229" i="82"/>
  <c r="AE618" i="83"/>
  <c r="Z618" i="83"/>
  <c r="Z1856" i="82"/>
  <c r="AF1856" i="82"/>
  <c r="AE186" i="82"/>
  <c r="M519" i="86"/>
  <c r="J519" i="86"/>
  <c r="AE624" i="83"/>
  <c r="Z624" i="83"/>
  <c r="Z1709" i="82"/>
  <c r="AF1709" i="82"/>
  <c r="AJ57" i="69"/>
  <c r="AL57" i="69"/>
  <c r="M378" i="86"/>
  <c r="J378" i="86"/>
  <c r="AE819" i="83"/>
  <c r="Z819" i="83"/>
  <c r="Y122" i="83"/>
  <c r="AD122" i="83"/>
  <c r="AD5" i="86"/>
  <c r="AD32" i="83"/>
  <c r="Y32" i="83"/>
  <c r="AF1588" i="82"/>
  <c r="Z1588" i="82"/>
  <c r="AD153" i="83"/>
  <c r="Y153" i="83"/>
  <c r="AE617" i="83"/>
  <c r="Z617" i="83"/>
  <c r="AE942" i="83"/>
  <c r="Z942" i="83"/>
  <c r="Y120" i="82"/>
  <c r="AE120" i="82"/>
  <c r="N76" i="70"/>
  <c r="Z1995" i="82"/>
  <c r="K1995" i="86"/>
  <c r="N1995" i="86"/>
  <c r="V12" i="86"/>
  <c r="AJ12" i="86"/>
  <c r="Y807" i="82"/>
  <c r="J807" i="86"/>
  <c r="M807" i="86"/>
  <c r="AL22" i="69"/>
  <c r="AJ22" i="69"/>
  <c r="Z1898" i="82"/>
  <c r="K1898" i="86"/>
  <c r="N1898" i="86"/>
  <c r="Y844" i="82"/>
  <c r="J844" i="86"/>
  <c r="M844" i="86"/>
  <c r="AK50" i="69"/>
  <c r="AK50" i="70"/>
  <c r="Y69" i="82"/>
  <c r="AE69" i="82"/>
  <c r="AE117" i="82"/>
  <c r="Y191" i="82"/>
  <c r="J191" i="86"/>
  <c r="M191" i="86"/>
  <c r="N883" i="86"/>
  <c r="K883" i="86"/>
  <c r="AJ7" i="68"/>
  <c r="AF7" i="88"/>
  <c r="AF82" i="88"/>
  <c r="N1424" i="86"/>
  <c r="K1424" i="86"/>
  <c r="Z466" i="82"/>
  <c r="AF466" i="82"/>
  <c r="N1536" i="86"/>
  <c r="K1536" i="86"/>
  <c r="AF403" i="82"/>
  <c r="AM48" i="70"/>
  <c r="T48" i="70"/>
  <c r="N48" i="70"/>
  <c r="AL69" i="68"/>
  <c r="N975" i="86"/>
  <c r="K975" i="86"/>
  <c r="N1609" i="86"/>
  <c r="K1609" i="86"/>
  <c r="AD11" i="83"/>
  <c r="Y11" i="83"/>
  <c r="AF1678" i="82"/>
  <c r="Z1678" i="82"/>
  <c r="Y183" i="82"/>
  <c r="J183" i="86"/>
  <c r="M183" i="86"/>
  <c r="M392" i="86"/>
  <c r="J392" i="86"/>
  <c r="M84" i="86"/>
  <c r="J84" i="86"/>
  <c r="AF509" i="82"/>
  <c r="Z509" i="82"/>
  <c r="N1842" i="86"/>
  <c r="K1842" i="86"/>
  <c r="Z882" i="82"/>
  <c r="K882" i="86"/>
  <c r="N882" i="86"/>
  <c r="M387" i="86"/>
  <c r="J387" i="86"/>
  <c r="N1663" i="86"/>
  <c r="K1663" i="86"/>
  <c r="R13" i="90"/>
  <c r="R7" i="90"/>
  <c r="M924" i="86"/>
  <c r="J924" i="86"/>
  <c r="AJ10" i="86"/>
  <c r="V10" i="86"/>
  <c r="K1501" i="86"/>
  <c r="N1501" i="86"/>
  <c r="AF2014" i="82"/>
  <c r="N1357" i="86"/>
  <c r="K1357" i="86"/>
  <c r="AF1616" i="82"/>
  <c r="Z1616" i="82"/>
  <c r="N1335" i="86"/>
  <c r="K1335" i="86"/>
  <c r="N1121" i="86"/>
  <c r="K1121" i="86"/>
  <c r="N378" i="86"/>
  <c r="K378" i="86"/>
  <c r="N539" i="86"/>
  <c r="K539" i="86"/>
  <c r="AF869" i="82"/>
  <c r="N1254" i="86"/>
  <c r="K1254" i="86"/>
  <c r="AF518" i="82"/>
  <c r="Z518" i="82"/>
  <c r="AG103" i="88"/>
  <c r="AG28" i="88"/>
  <c r="AE72" i="82"/>
  <c r="N1192" i="86"/>
  <c r="K1192" i="86"/>
  <c r="M573" i="86"/>
  <c r="J573" i="86"/>
  <c r="T76" i="68"/>
  <c r="AJ57" i="68"/>
  <c r="AJ57" i="70"/>
  <c r="AL57" i="70"/>
  <c r="N1449" i="86"/>
  <c r="K1449" i="86"/>
  <c r="Z1035" i="82"/>
  <c r="AF1035" i="82"/>
  <c r="Y356" i="82"/>
  <c r="AE356" i="82"/>
  <c r="Y186" i="82"/>
  <c r="J186" i="86"/>
  <c r="M186" i="86"/>
  <c r="Y1008" i="82"/>
  <c r="AE1008" i="82"/>
  <c r="Z827" i="82"/>
  <c r="AF827" i="82"/>
  <c r="Z936" i="82"/>
  <c r="AF936" i="82"/>
  <c r="Y169" i="82"/>
  <c r="AE169" i="82"/>
  <c r="Z416" i="82"/>
  <c r="AF416" i="82"/>
  <c r="Z1909" i="82"/>
  <c r="AF1909" i="82"/>
  <c r="Z355" i="82"/>
  <c r="K355" i="86"/>
  <c r="N355" i="86"/>
  <c r="Z1727" i="82"/>
  <c r="AF1727" i="82"/>
  <c r="AE723" i="82"/>
  <c r="M509" i="86"/>
  <c r="J509" i="86"/>
  <c r="N460" i="86"/>
  <c r="K460" i="86"/>
  <c r="N51" i="67"/>
  <c r="N51" i="68"/>
  <c r="N51" i="69"/>
  <c r="T51" i="69"/>
  <c r="AM51" i="69"/>
  <c r="T76" i="70"/>
  <c r="N5" i="70"/>
  <c r="T5" i="70"/>
  <c r="AM5" i="70"/>
  <c r="Y949" i="82"/>
  <c r="AE949" i="82"/>
  <c r="N1181" i="86"/>
  <c r="K1181" i="86"/>
  <c r="AD224" i="83"/>
  <c r="Y224" i="83"/>
  <c r="R17" i="93"/>
  <c r="AM57" i="68"/>
  <c r="U17" i="93"/>
  <c r="Z931" i="82"/>
  <c r="AF931" i="82"/>
  <c r="N1367" i="86"/>
  <c r="K1367" i="86"/>
  <c r="AF1565" i="82"/>
  <c r="Z1565" i="82"/>
  <c r="N32" i="88"/>
  <c r="N107" i="88"/>
  <c r="AK50" i="67"/>
  <c r="AK50" i="68"/>
  <c r="AG50" i="88"/>
  <c r="AG125" i="88"/>
  <c r="Z1840" i="82"/>
  <c r="AF1840" i="82"/>
  <c r="Y117" i="82"/>
  <c r="J117" i="86"/>
  <c r="M117" i="86"/>
  <c r="K2" i="86"/>
  <c r="S4" i="86"/>
  <c r="Y4" i="86"/>
  <c r="AG4" i="86"/>
  <c r="N585" i="86"/>
  <c r="K585" i="86"/>
  <c r="N323" i="86"/>
  <c r="K323" i="86"/>
  <c r="AG71" i="70"/>
  <c r="AE71" i="70"/>
  <c r="AO71" i="70"/>
  <c r="M436" i="86"/>
  <c r="J436" i="86"/>
  <c r="Y723" i="82"/>
  <c r="J723" i="86"/>
  <c r="M723" i="86"/>
  <c r="AE210" i="83"/>
  <c r="Z210" i="83"/>
  <c r="M224" i="86"/>
  <c r="J224" i="86"/>
  <c r="AE613" i="82"/>
  <c r="N1607" i="86"/>
  <c r="K1607" i="86"/>
  <c r="Z403" i="82"/>
  <c r="K403" i="86"/>
  <c r="N403" i="86"/>
  <c r="AP8" i="70"/>
  <c r="AF8" i="70"/>
  <c r="AD263" i="83"/>
  <c r="Y263" i="83"/>
  <c r="N879" i="86"/>
  <c r="K879" i="86"/>
  <c r="N978" i="86"/>
  <c r="K978" i="86"/>
  <c r="AJ69" i="68"/>
  <c r="AJ69" i="69"/>
  <c r="AL69" i="69"/>
  <c r="M1165" i="86"/>
  <c r="J1165" i="86"/>
  <c r="M168" i="86"/>
  <c r="J168" i="86"/>
  <c r="AD244" i="83"/>
  <c r="Y244" i="83"/>
  <c r="AD349" i="83"/>
  <c r="Y349" i="83"/>
  <c r="M350" i="86"/>
  <c r="J350" i="86"/>
  <c r="AL54" i="69"/>
  <c r="AJ54" i="69"/>
  <c r="AB101" i="88"/>
  <c r="AB26" i="88"/>
  <c r="AG59" i="70"/>
  <c r="AJ59" i="67"/>
  <c r="N59" i="67"/>
  <c r="N59" i="68"/>
  <c r="T59" i="68"/>
  <c r="AO59" i="70"/>
  <c r="AE59" i="70"/>
  <c r="N1478" i="86"/>
  <c r="K1478" i="86"/>
  <c r="Y75" i="82"/>
  <c r="AE75" i="82"/>
  <c r="AF1813" i="82"/>
  <c r="AC148" i="88"/>
  <c r="AP73" i="69"/>
  <c r="AF73" i="69"/>
  <c r="AC73" i="88"/>
  <c r="L94" i="67"/>
  <c r="AG30" i="69"/>
  <c r="AL6" i="70"/>
  <c r="AJ6" i="70"/>
  <c r="AE721" i="83"/>
  <c r="Z721" i="83"/>
  <c r="Z330" i="82"/>
  <c r="AF330" i="82"/>
  <c r="N1571" i="86"/>
  <c r="K1571" i="86"/>
  <c r="AL71" i="69"/>
  <c r="AJ71" i="69"/>
  <c r="AF1966" i="82"/>
  <c r="AD507" i="83"/>
  <c r="Y507" i="83"/>
  <c r="N1765" i="86"/>
  <c r="K1765" i="86"/>
  <c r="N1908" i="86"/>
  <c r="K1908" i="86"/>
  <c r="N133" i="88"/>
  <c r="N58" i="88"/>
  <c r="M608" i="86"/>
  <c r="J608" i="86"/>
  <c r="AF556" i="82"/>
  <c r="N1333" i="86"/>
  <c r="K1333" i="86"/>
  <c r="N206" i="86"/>
  <c r="K206" i="86"/>
  <c r="N1977" i="86"/>
  <c r="K1977" i="86"/>
  <c r="M451" i="86"/>
  <c r="J451" i="86"/>
  <c r="AE393" i="82"/>
  <c r="AE619" i="82"/>
  <c r="Y378" i="82"/>
  <c r="AE378" i="82"/>
  <c r="Y613" i="82"/>
  <c r="J613" i="86"/>
  <c r="M613" i="86"/>
  <c r="AF458" i="82"/>
  <c r="R15" i="90"/>
  <c r="R9" i="90"/>
  <c r="R14" i="90"/>
  <c r="AG120" i="88"/>
  <c r="AG45" i="88"/>
  <c r="N381" i="86"/>
  <c r="K381" i="86"/>
  <c r="Z1536" i="82"/>
  <c r="AF1536" i="82"/>
  <c r="M770" i="86"/>
  <c r="J770" i="86"/>
  <c r="AJ19" i="69"/>
  <c r="AL19" i="69"/>
  <c r="N512" i="86"/>
  <c r="K512" i="86"/>
  <c r="M122" i="86"/>
  <c r="J122" i="86"/>
  <c r="AL68" i="68"/>
  <c r="AE911" i="83"/>
  <c r="Z911" i="83"/>
  <c r="AM73" i="69"/>
  <c r="N73" i="69"/>
  <c r="T73" i="69"/>
  <c r="AE170" i="82"/>
  <c r="AF349" i="82"/>
  <c r="M288" i="86"/>
  <c r="J288" i="86"/>
  <c r="AF1311" i="82"/>
  <c r="M339" i="86"/>
  <c r="J339" i="86"/>
  <c r="N894" i="86"/>
  <c r="K894" i="86"/>
  <c r="AE686" i="82"/>
  <c r="AE904" i="83"/>
  <c r="Z904" i="83"/>
  <c r="AG22" i="69"/>
  <c r="W11" i="90"/>
  <c r="M571" i="86"/>
  <c r="J571" i="86"/>
  <c r="N1176" i="86"/>
  <c r="K1176" i="86"/>
  <c r="AE59" i="82"/>
  <c r="AM50" i="68"/>
  <c r="Z1955" i="82"/>
  <c r="AF1955" i="82"/>
  <c r="AD296" i="83"/>
  <c r="Y296" i="83"/>
  <c r="AL36" i="68"/>
  <c r="AM17" i="70"/>
  <c r="AG17" i="70"/>
  <c r="AE17" i="70"/>
  <c r="AL35" i="69"/>
  <c r="AJ35" i="69"/>
  <c r="AE860" i="83"/>
  <c r="Z860" i="83"/>
  <c r="N188" i="86"/>
  <c r="K188" i="86"/>
  <c r="AE598" i="82"/>
  <c r="AE664" i="82"/>
  <c r="Z475" i="82"/>
  <c r="AF475" i="82"/>
  <c r="Y579" i="82"/>
  <c r="AE579" i="82"/>
  <c r="AF911" i="82"/>
  <c r="N1177" i="86"/>
  <c r="K1177" i="86"/>
  <c r="Y455" i="82"/>
  <c r="AE455" i="82"/>
  <c r="AE103" i="82"/>
  <c r="N1634" i="86"/>
  <c r="K1634" i="86"/>
  <c r="Z1289" i="82"/>
  <c r="K1289" i="86"/>
  <c r="N1289" i="86"/>
  <c r="N562" i="86"/>
  <c r="K562" i="86"/>
  <c r="AE648" i="83"/>
  <c r="Z648" i="83"/>
  <c r="Y654" i="82"/>
  <c r="AE654" i="82"/>
  <c r="N1338" i="86"/>
  <c r="K1338" i="86"/>
  <c r="AF331" i="82"/>
  <c r="N1213" i="86"/>
  <c r="K1213" i="86"/>
  <c r="Y150" i="82"/>
  <c r="AE150" i="82"/>
  <c r="N1791" i="86"/>
  <c r="K1791" i="86"/>
  <c r="Y224" i="82"/>
  <c r="AE224" i="82"/>
  <c r="AF1747" i="82"/>
  <c r="M597" i="86"/>
  <c r="J597" i="86"/>
  <c r="Y632" i="82"/>
  <c r="AE632" i="82"/>
  <c r="AF1280" i="82"/>
  <c r="Y856" i="82"/>
  <c r="AE856" i="82"/>
  <c r="AE675" i="82"/>
  <c r="AF1284" i="82"/>
  <c r="M1018" i="86"/>
  <c r="J1018" i="86"/>
  <c r="AD216" i="83"/>
  <c r="Y216" i="83"/>
  <c r="N56" i="69"/>
  <c r="T56" i="69"/>
  <c r="AM56" i="69"/>
  <c r="AM31" i="70"/>
  <c r="T31" i="70"/>
  <c r="N31" i="70"/>
  <c r="Y725" i="82"/>
  <c r="J725" i="86"/>
  <c r="M725" i="86"/>
  <c r="Z566" i="82"/>
  <c r="K566" i="86"/>
  <c r="N566" i="86"/>
  <c r="N1638" i="86"/>
  <c r="K1638" i="86"/>
  <c r="Y154" i="82"/>
  <c r="AE154" i="82"/>
  <c r="Z460" i="82"/>
  <c r="AF460" i="82"/>
  <c r="N521" i="86"/>
  <c r="K521" i="86"/>
  <c r="Z1288" i="82"/>
  <c r="AF1288" i="82"/>
  <c r="AF1237" i="82"/>
  <c r="AE345" i="82"/>
  <c r="AF1283" i="82"/>
  <c r="Z335" i="82"/>
  <c r="AF335" i="82"/>
  <c r="AE926" i="83"/>
  <c r="Z926" i="83"/>
  <c r="AB5" i="88"/>
  <c r="AB80" i="88"/>
  <c r="R11" i="90"/>
  <c r="Y770" i="82"/>
  <c r="AE770" i="82"/>
  <c r="N1653" i="86"/>
  <c r="K1653" i="86"/>
  <c r="AE158" i="82"/>
  <c r="N1303" i="86"/>
  <c r="K1303" i="86"/>
  <c r="Y619" i="82"/>
  <c r="J619" i="86"/>
  <c r="M619" i="86"/>
  <c r="AF309" i="82"/>
  <c r="N1625" i="86"/>
  <c r="K1625" i="86"/>
  <c r="AE278" i="82"/>
  <c r="Z911" i="82"/>
  <c r="K911" i="86"/>
  <c r="N911" i="86"/>
  <c r="AE185" i="83"/>
  <c r="Z185" i="83"/>
  <c r="AF586" i="82"/>
  <c r="Y392" i="82"/>
  <c r="AE392" i="82"/>
  <c r="AF235" i="82"/>
  <c r="N1660" i="86"/>
  <c r="K1660" i="86"/>
  <c r="M332" i="86"/>
  <c r="J332" i="86"/>
  <c r="N503" i="86"/>
  <c r="K503" i="86"/>
  <c r="AF1090" i="82"/>
  <c r="AL27" i="68"/>
  <c r="N39" i="86"/>
  <c r="K39" i="86"/>
  <c r="AF476" i="82"/>
  <c r="Z978" i="82"/>
  <c r="AF978" i="82"/>
  <c r="N1442" i="86"/>
  <c r="K1442" i="86"/>
  <c r="AE764" i="82"/>
  <c r="AD544" i="83"/>
  <c r="Y544" i="83"/>
  <c r="AF133" i="88"/>
  <c r="AF58" i="88"/>
  <c r="Y170" i="82"/>
  <c r="J170" i="86"/>
  <c r="M170" i="86"/>
  <c r="AF1422" i="82"/>
  <c r="Z1422" i="82"/>
  <c r="N304" i="86"/>
  <c r="K304" i="86"/>
  <c r="AC108" i="88"/>
  <c r="AP33" i="69"/>
  <c r="AF33" i="69"/>
  <c r="AC33" i="88"/>
  <c r="AE927" i="83"/>
  <c r="Z927" i="83"/>
  <c r="AF43" i="82"/>
  <c r="M357" i="86"/>
  <c r="J357" i="86"/>
  <c r="AF1322" i="82"/>
  <c r="N903" i="86"/>
  <c r="K903" i="86"/>
  <c r="N1946" i="86"/>
  <c r="K1946" i="86"/>
  <c r="Y732" i="82"/>
  <c r="AE732" i="82"/>
  <c r="AF467" i="82"/>
  <c r="AD269" i="83"/>
  <c r="Y269" i="83"/>
  <c r="AG50" i="70"/>
  <c r="AO50" i="70"/>
  <c r="AE50" i="70"/>
  <c r="N1979" i="86"/>
  <c r="K1979" i="86"/>
  <c r="AE1164" i="82"/>
  <c r="Y1164" i="82"/>
  <c r="AG144" i="88"/>
  <c r="AG69" i="88"/>
  <c r="N1512" i="86"/>
  <c r="K1512" i="86"/>
  <c r="AF36" i="70"/>
  <c r="AP36" i="70"/>
  <c r="N926" i="86"/>
  <c r="K926" i="86"/>
  <c r="AD48" i="83"/>
  <c r="Y48" i="83"/>
  <c r="N1781" i="86"/>
  <c r="K1781" i="86"/>
  <c r="M587" i="86"/>
  <c r="J587" i="86"/>
  <c r="AF1001" i="82"/>
  <c r="U15" i="93"/>
  <c r="U20" i="93"/>
  <c r="R25" i="93"/>
  <c r="R15" i="93"/>
  <c r="U25" i="93"/>
  <c r="AM65" i="68"/>
  <c r="R20" i="93"/>
  <c r="F23" i="93"/>
  <c r="F22" i="93"/>
  <c r="I22" i="93"/>
  <c r="T23" i="68"/>
  <c r="AM23" i="68"/>
  <c r="I23" i="93"/>
  <c r="AD39" i="83"/>
  <c r="Y39" i="83"/>
  <c r="Y852" i="82"/>
  <c r="AE852" i="82"/>
  <c r="N1584" i="86"/>
  <c r="K1584" i="86"/>
  <c r="Z1036" i="82"/>
  <c r="AF1036" i="82"/>
  <c r="M432" i="86"/>
  <c r="J432" i="86"/>
  <c r="Y103" i="82"/>
  <c r="J103" i="86"/>
  <c r="M103" i="86"/>
  <c r="M287" i="86"/>
  <c r="J287" i="86"/>
  <c r="AJ3" i="83"/>
  <c r="Y2" i="83"/>
  <c r="AD2" i="83"/>
  <c r="AD4" i="86"/>
  <c r="Z562" i="82"/>
  <c r="AF562" i="82"/>
  <c r="N2021" i="86"/>
  <c r="K2021" i="86"/>
  <c r="AF301" i="82"/>
  <c r="Z331" i="82"/>
  <c r="K331" i="86"/>
  <c r="N331" i="86"/>
  <c r="Z183" i="82"/>
  <c r="AF183" i="82"/>
  <c r="Z1747" i="82"/>
  <c r="K1747" i="86"/>
  <c r="N1747" i="86"/>
  <c r="Y56" i="82"/>
  <c r="AE56" i="82"/>
  <c r="Z1280" i="82"/>
  <c r="K1280" i="86"/>
  <c r="N1280" i="86"/>
  <c r="Y675" i="82"/>
  <c r="J675" i="86"/>
  <c r="M675" i="86"/>
  <c r="AF1389" i="82"/>
  <c r="Z1389" i="82"/>
  <c r="AE206" i="83"/>
  <c r="Z206" i="83"/>
  <c r="Z1284" i="82"/>
  <c r="K1284" i="86"/>
  <c r="N1284" i="86"/>
  <c r="Y1018" i="82"/>
  <c r="AE1018" i="82"/>
  <c r="AE491" i="82"/>
  <c r="AF1525" i="82"/>
  <c r="N2001" i="86"/>
  <c r="K2001" i="86"/>
  <c r="M842" i="86"/>
  <c r="J842" i="86"/>
  <c r="AE376" i="82"/>
  <c r="M223" i="86"/>
  <c r="J223" i="86"/>
  <c r="AF1355" i="82"/>
  <c r="Z1355" i="82"/>
  <c r="F34" i="93"/>
  <c r="N37" i="67"/>
  <c r="N37" i="68"/>
  <c r="T37" i="68"/>
  <c r="AM37" i="68"/>
  <c r="I34" i="93"/>
  <c r="AE565" i="83"/>
  <c r="Z565" i="83"/>
  <c r="AL44" i="70"/>
  <c r="AJ44" i="70"/>
  <c r="Y244" i="82"/>
  <c r="AE244" i="82"/>
  <c r="AE184" i="82"/>
  <c r="AF1315" i="82"/>
  <c r="AF1884" i="82"/>
  <c r="Z1237" i="82"/>
  <c r="K1237" i="86"/>
  <c r="N1237" i="86"/>
  <c r="Y345" i="82"/>
  <c r="J345" i="86"/>
  <c r="M345" i="86"/>
  <c r="Z1283" i="82"/>
  <c r="K1283" i="86"/>
  <c r="N1283" i="86"/>
  <c r="N48" i="67"/>
  <c r="N48" i="68"/>
  <c r="T48" i="68"/>
  <c r="AP48" i="70"/>
  <c r="AF48" i="70"/>
  <c r="M245" i="86"/>
  <c r="J245" i="86"/>
  <c r="AF1741" i="82"/>
  <c r="Y597" i="82"/>
  <c r="AE597" i="82"/>
  <c r="AF1449" i="82"/>
  <c r="Z1449" i="82"/>
  <c r="Z309" i="82"/>
  <c r="K309" i="86"/>
  <c r="N309" i="86"/>
  <c r="Y278" i="82"/>
  <c r="J278" i="86"/>
  <c r="M278" i="86"/>
  <c r="Y290" i="82"/>
  <c r="AE290" i="82"/>
  <c r="Z235" i="82"/>
  <c r="K235" i="86"/>
  <c r="N235" i="86"/>
  <c r="Y924" i="82"/>
  <c r="AE924" i="82"/>
  <c r="N1144" i="86"/>
  <c r="K1144" i="86"/>
  <c r="AM32" i="70"/>
  <c r="N32" i="70"/>
  <c r="T32" i="70"/>
  <c r="Z1338" i="82"/>
  <c r="AF1338" i="82"/>
  <c r="Z1090" i="82"/>
  <c r="K1090" i="86"/>
  <c r="N1090" i="86"/>
  <c r="Z220" i="82"/>
  <c r="AF220" i="82"/>
  <c r="AJ27" i="68"/>
  <c r="AJ27" i="69"/>
  <c r="AL27" i="69"/>
  <c r="Z39" i="82"/>
  <c r="AF39" i="82"/>
  <c r="Z13" i="82"/>
  <c r="AF13" i="82"/>
  <c r="AG5" i="86"/>
  <c r="Y5" i="86"/>
  <c r="S5" i="86"/>
  <c r="AE327" i="82"/>
  <c r="N1336" i="86"/>
  <c r="K1336" i="86"/>
  <c r="Y332" i="82"/>
  <c r="AE332" i="82"/>
  <c r="AE773" i="82"/>
  <c r="N1646" i="86"/>
  <c r="K1646" i="86"/>
  <c r="AF306" i="82"/>
  <c r="N1062" i="86"/>
  <c r="K1062" i="86"/>
  <c r="AE187" i="82"/>
  <c r="AE601" i="82"/>
  <c r="Z43" i="82"/>
  <c r="K43" i="86"/>
  <c r="N43" i="86"/>
  <c r="N1976" i="86"/>
  <c r="K1976" i="86"/>
  <c r="M918" i="86"/>
  <c r="J918" i="86"/>
  <c r="AE172" i="82"/>
  <c r="M635" i="86"/>
  <c r="J635" i="86"/>
  <c r="AG36" i="70"/>
  <c r="AE36" i="70"/>
  <c r="N36" i="67"/>
  <c r="N36" i="68"/>
  <c r="T36" i="68"/>
  <c r="AO36" i="70"/>
  <c r="AF1256" i="82"/>
  <c r="AF1502" i="82"/>
  <c r="M805" i="86"/>
  <c r="J805" i="86"/>
  <c r="M776" i="86"/>
  <c r="J776" i="86"/>
  <c r="AF1681" i="82"/>
  <c r="Z1681" i="82"/>
  <c r="AD406" i="83"/>
  <c r="Y406" i="83"/>
  <c r="N1252" i="86"/>
  <c r="K1252" i="86"/>
  <c r="M755" i="86"/>
  <c r="J755" i="86"/>
  <c r="AK61" i="70"/>
  <c r="AK61" i="67"/>
  <c r="AK61" i="68"/>
  <c r="AK61" i="69"/>
  <c r="Y287" i="82"/>
  <c r="AE287" i="82"/>
  <c r="Z2021" i="82"/>
  <c r="AF2021" i="82"/>
  <c r="Z301" i="82"/>
  <c r="K301" i="86"/>
  <c r="N301" i="86"/>
  <c r="AJ23" i="67"/>
  <c r="N23" i="67"/>
  <c r="N23" i="68"/>
  <c r="N23" i="70"/>
  <c r="T23" i="70"/>
  <c r="AM23" i="70"/>
  <c r="Z1963" i="82"/>
  <c r="AF1963" i="82"/>
  <c r="U22" i="93"/>
  <c r="AM61" i="68"/>
  <c r="R22" i="93"/>
  <c r="Z340" i="82"/>
  <c r="AF340" i="82"/>
  <c r="AJ54" i="68"/>
  <c r="AL54" i="68"/>
  <c r="Y432" i="82"/>
  <c r="AE432" i="82"/>
  <c r="AF1637" i="82"/>
  <c r="Z1637" i="82"/>
  <c r="Y791" i="82"/>
  <c r="AE791" i="82"/>
  <c r="Y89" i="82"/>
  <c r="AE89" i="82"/>
  <c r="Y140" i="82"/>
  <c r="AE140" i="82"/>
  <c r="AD578" i="83"/>
  <c r="Y578" i="83"/>
  <c r="Y491" i="82"/>
  <c r="J491" i="86"/>
  <c r="M491" i="86"/>
  <c r="Z1525" i="82"/>
  <c r="K1525" i="86"/>
  <c r="N1525" i="86"/>
  <c r="Z2001" i="82"/>
  <c r="AF2001" i="82"/>
  <c r="Y842" i="82"/>
  <c r="AE842" i="82"/>
  <c r="Y376" i="82"/>
  <c r="J376" i="86"/>
  <c r="M376" i="86"/>
  <c r="AE711" i="83"/>
  <c r="Z711" i="83"/>
  <c r="AJ64" i="68"/>
  <c r="AL64" i="68"/>
  <c r="AF1563" i="82"/>
  <c r="Z1563" i="82"/>
  <c r="Y184" i="82"/>
  <c r="J184" i="86"/>
  <c r="M184" i="86"/>
  <c r="AD267" i="83"/>
  <c r="Y267" i="83"/>
  <c r="Z1315" i="82"/>
  <c r="K1315" i="86"/>
  <c r="N1315" i="86"/>
  <c r="Z1884" i="82"/>
  <c r="K1884" i="86"/>
  <c r="N1884" i="86"/>
  <c r="Y223" i="82"/>
  <c r="AE223" i="82"/>
  <c r="Z881" i="82"/>
  <c r="AF881" i="82"/>
  <c r="Y696" i="82"/>
  <c r="AE696" i="82"/>
  <c r="AF1373" i="82"/>
  <c r="Z1373" i="82"/>
  <c r="AD270" i="83"/>
  <c r="Y270" i="83"/>
  <c r="Y350" i="82"/>
  <c r="AE350" i="82"/>
  <c r="AD379" i="83"/>
  <c r="Y379" i="83"/>
  <c r="AG5" i="69"/>
  <c r="AO5" i="69"/>
  <c r="AE5" i="69"/>
  <c r="AE76" i="69"/>
  <c r="M535" i="86"/>
  <c r="J535" i="86"/>
  <c r="AE106" i="82"/>
  <c r="Z1910" i="82"/>
  <c r="AF1910" i="82"/>
  <c r="Z1741" i="82"/>
  <c r="K1741" i="86"/>
  <c r="N1741" i="86"/>
  <c r="M553" i="86"/>
  <c r="J553" i="86"/>
  <c r="AF1548" i="82"/>
  <c r="Z1548" i="82"/>
  <c r="AF333" i="82"/>
  <c r="N1240" i="86"/>
  <c r="K1240" i="86"/>
  <c r="Z398" i="82"/>
  <c r="K398" i="86"/>
  <c r="N398" i="86"/>
  <c r="N506" i="86"/>
  <c r="K506" i="86"/>
  <c r="M545" i="86"/>
  <c r="J545" i="86"/>
  <c r="AF1904" i="82"/>
  <c r="AF1213" i="82"/>
  <c r="Z1213" i="82"/>
  <c r="N1224" i="86"/>
  <c r="K1224" i="86"/>
  <c r="Z467" i="82"/>
  <c r="K467" i="86"/>
  <c r="N467" i="86"/>
  <c r="Z1311" i="82"/>
  <c r="K1311" i="86"/>
  <c r="N1311" i="86"/>
  <c r="M802" i="86"/>
  <c r="J802" i="86"/>
  <c r="Y274" i="82"/>
  <c r="AE274" i="82"/>
  <c r="N1128" i="86"/>
  <c r="K1128" i="86"/>
  <c r="Z1240" i="82"/>
  <c r="AF1240" i="82"/>
  <c r="Z375" i="82"/>
  <c r="K375" i="86"/>
  <c r="N375" i="86"/>
  <c r="AE286" i="82"/>
  <c r="Z1052" i="82"/>
  <c r="AF1052" i="82"/>
  <c r="M543" i="86"/>
  <c r="J543" i="86"/>
  <c r="N1786" i="86"/>
  <c r="K1786" i="86"/>
  <c r="Z349" i="82"/>
  <c r="K349" i="86"/>
  <c r="N349" i="86"/>
  <c r="AE531" i="83"/>
  <c r="Z531" i="83"/>
  <c r="AF1482" i="82"/>
  <c r="Z1482" i="82"/>
  <c r="AF1345" i="82"/>
  <c r="AM8" i="69"/>
  <c r="N8" i="69"/>
  <c r="T8" i="69"/>
  <c r="AE188" i="83"/>
  <c r="Z188" i="83"/>
  <c r="Y601" i="82"/>
  <c r="J601" i="86"/>
  <c r="M601" i="86"/>
  <c r="AE259" i="82"/>
  <c r="AC147" i="88"/>
  <c r="AC72" i="88"/>
  <c r="AF72" i="69"/>
  <c r="AP72" i="69"/>
  <c r="Z585" i="82"/>
  <c r="AF585" i="82"/>
  <c r="AF965" i="82"/>
  <c r="AG127" i="88"/>
  <c r="AG52" i="88"/>
  <c r="AF565" i="82"/>
  <c r="AE213" i="83"/>
  <c r="Z213" i="83"/>
  <c r="N1777" i="86"/>
  <c r="K1777" i="86"/>
  <c r="AD223" i="83"/>
  <c r="Y223" i="83"/>
  <c r="AE211" i="83"/>
  <c r="Z211" i="83"/>
  <c r="Y233" i="82"/>
  <c r="AE233" i="82"/>
  <c r="AE654" i="83"/>
  <c r="Z654" i="83"/>
  <c r="AF838" i="82"/>
  <c r="AF383" i="82"/>
  <c r="N1820" i="86"/>
  <c r="K1820" i="86"/>
  <c r="N1377" i="86"/>
  <c r="K1377" i="86"/>
  <c r="AG63" i="70"/>
  <c r="N63" i="67"/>
  <c r="N63" i="68"/>
  <c r="T63" i="68"/>
  <c r="AO63" i="70"/>
  <c r="AE63" i="70"/>
  <c r="M960" i="86"/>
  <c r="J960" i="86"/>
  <c r="AG76" i="69"/>
  <c r="Y245" i="82"/>
  <c r="AE245" i="82"/>
  <c r="AJ50" i="67"/>
  <c r="N50" i="67"/>
  <c r="N50" i="68"/>
  <c r="T50" i="68"/>
  <c r="AO50" i="69"/>
  <c r="AE50" i="69"/>
  <c r="AG50" i="69"/>
  <c r="AE255" i="83"/>
  <c r="Z255" i="83"/>
  <c r="Z476" i="82"/>
  <c r="K476" i="86"/>
  <c r="N476" i="86"/>
  <c r="Z879" i="82"/>
  <c r="AF879" i="82"/>
  <c r="N1540" i="86"/>
  <c r="K1540" i="86"/>
  <c r="AF1421" i="82"/>
  <c r="Z1421" i="82"/>
  <c r="AE1194" i="82"/>
  <c r="Y1194" i="82"/>
  <c r="Y122" i="82"/>
  <c r="AE122" i="82"/>
  <c r="M523" i="86"/>
  <c r="J523" i="86"/>
  <c r="Z1813" i="82"/>
  <c r="K1813" i="86"/>
  <c r="N1813" i="86"/>
  <c r="Z1703" i="82"/>
  <c r="K1703" i="86"/>
  <c r="N1703" i="86"/>
  <c r="AK76" i="68"/>
  <c r="AK81" i="68"/>
  <c r="AK11" i="69"/>
  <c r="AG11" i="88"/>
  <c r="AG86" i="88"/>
  <c r="AJ58" i="68"/>
  <c r="AL58" i="68"/>
  <c r="AD42" i="83"/>
  <c r="Y42" i="83"/>
  <c r="Z306" i="82"/>
  <c r="K306" i="86"/>
  <c r="N306" i="86"/>
  <c r="E52" i="5"/>
  <c r="E48" i="5"/>
  <c r="E49" i="5"/>
  <c r="Z1336" i="82"/>
  <c r="AF1336" i="82"/>
  <c r="Y288" i="82"/>
  <c r="AE288" i="82"/>
  <c r="AE728" i="83"/>
  <c r="Z728" i="83"/>
  <c r="AJ71" i="68"/>
  <c r="AL71" i="68"/>
  <c r="Y259" i="82"/>
  <c r="J259" i="86"/>
  <c r="M259" i="86"/>
  <c r="Y286" i="82"/>
  <c r="J286" i="86"/>
  <c r="M286" i="86"/>
  <c r="Z565" i="82"/>
  <c r="K565" i="86"/>
  <c r="N565" i="86"/>
  <c r="Y656" i="82"/>
  <c r="AE656" i="82"/>
  <c r="Y918" i="82"/>
  <c r="AE918" i="82"/>
  <c r="AO55" i="70"/>
  <c r="AE55" i="70"/>
  <c r="AG55" i="70"/>
  <c r="Y686" i="82"/>
  <c r="J686" i="86"/>
  <c r="M686" i="86"/>
  <c r="AF1590" i="82"/>
  <c r="Z1590" i="82"/>
  <c r="N394" i="86"/>
  <c r="K394" i="86"/>
  <c r="AF1230" i="82"/>
  <c r="Y172" i="82"/>
  <c r="J172" i="86"/>
  <c r="M172" i="86"/>
  <c r="Z344" i="82"/>
  <c r="K344" i="86"/>
  <c r="N344" i="86"/>
  <c r="AE227" i="82"/>
  <c r="Z578" i="82"/>
  <c r="K578" i="86"/>
  <c r="N578" i="86"/>
  <c r="Z1765" i="82"/>
  <c r="AF1765" i="82"/>
  <c r="AE191" i="83"/>
  <c r="Z191" i="83"/>
  <c r="N30" i="88"/>
  <c r="N105" i="88"/>
  <c r="Y247" i="82"/>
  <c r="AE247" i="82"/>
  <c r="Y571" i="82"/>
  <c r="AE571" i="82"/>
  <c r="Z816" i="82"/>
  <c r="AF816" i="82"/>
  <c r="AF1639" i="82"/>
  <c r="Z1639" i="82"/>
  <c r="AF1215" i="82"/>
  <c r="Z1215" i="82"/>
  <c r="M251" i="86"/>
  <c r="J251" i="86"/>
  <c r="AF12" i="69"/>
  <c r="AC12" i="88"/>
  <c r="AC87" i="88"/>
  <c r="Y59" i="82"/>
  <c r="J59" i="86"/>
  <c r="M59" i="86"/>
  <c r="AE572" i="83"/>
  <c r="Z572" i="83"/>
  <c r="N1491" i="86"/>
  <c r="K1491" i="86"/>
  <c r="M676" i="86"/>
  <c r="J676" i="86"/>
  <c r="Z556" i="82"/>
  <c r="K556" i="86"/>
  <c r="N556" i="86"/>
  <c r="Z1230" i="82"/>
  <c r="K1230" i="86"/>
  <c r="N1230" i="86"/>
  <c r="Z1131" i="82"/>
  <c r="AF1131" i="82"/>
  <c r="Y776" i="82"/>
  <c r="AE776" i="82"/>
  <c r="AF1383" i="82"/>
  <c r="Z1383" i="82"/>
  <c r="Z869" i="82"/>
  <c r="K869" i="86"/>
  <c r="N869" i="86"/>
  <c r="AJ35" i="68"/>
  <c r="AL35" i="68"/>
  <c r="Y676" i="82"/>
  <c r="AE676" i="82"/>
  <c r="Z484" i="82"/>
  <c r="AF484" i="82"/>
  <c r="AF1607" i="82"/>
  <c r="Z1607" i="82"/>
  <c r="AF345" i="82"/>
  <c r="M634" i="86"/>
  <c r="J634" i="86"/>
  <c r="AE575" i="82"/>
  <c r="Y646" i="82"/>
  <c r="AE646" i="82"/>
  <c r="AF1630" i="82"/>
  <c r="Z1630" i="82"/>
  <c r="Y451" i="82"/>
  <c r="AE451" i="82"/>
  <c r="AD132" i="83"/>
  <c r="Y132" i="83"/>
  <c r="Y634" i="82"/>
  <c r="AE634" i="82"/>
  <c r="AF1930" i="82"/>
  <c r="AG20" i="70"/>
  <c r="AE20" i="70"/>
  <c r="AO20" i="70"/>
  <c r="Y84" i="82"/>
  <c r="AE84" i="82"/>
  <c r="AF1503" i="82"/>
  <c r="M790" i="86"/>
  <c r="J790" i="86"/>
  <c r="Y960" i="82"/>
  <c r="AE960" i="82"/>
  <c r="AE879" i="83"/>
  <c r="Z879" i="83"/>
  <c r="AE105" i="82"/>
  <c r="M296" i="86"/>
  <c r="J296" i="86"/>
  <c r="AL63" i="68"/>
  <c r="N1878" i="86"/>
  <c r="K1878" i="86"/>
  <c r="N1376" i="86"/>
  <c r="K1376" i="86"/>
  <c r="M325" i="86"/>
  <c r="J325" i="86"/>
  <c r="N890" i="86"/>
  <c r="K890" i="86"/>
  <c r="M76" i="86"/>
  <c r="J76" i="86"/>
  <c r="N236" i="86"/>
  <c r="K236" i="86"/>
  <c r="N454" i="86"/>
  <c r="K454" i="86"/>
  <c r="Z304" i="82"/>
  <c r="AF304" i="82"/>
  <c r="N508" i="86"/>
  <c r="K508" i="86"/>
  <c r="AK45" i="70"/>
  <c r="AK45" i="67"/>
  <c r="AK45" i="68"/>
  <c r="AK45" i="69"/>
  <c r="Z316" i="82"/>
  <c r="AF316" i="82"/>
  <c r="M217" i="86"/>
  <c r="J217" i="86"/>
  <c r="AJ68" i="68"/>
  <c r="AF68" i="88"/>
  <c r="AF143" i="88"/>
  <c r="Z1842" i="82"/>
  <c r="AF1842" i="82"/>
  <c r="N1578" i="86"/>
  <c r="K1578" i="86"/>
  <c r="Y187" i="82"/>
  <c r="J187" i="86"/>
  <c r="M187" i="86"/>
  <c r="AE894" i="83"/>
  <c r="Z894" i="83"/>
  <c r="AE620" i="82"/>
  <c r="Z19" i="82"/>
  <c r="AF19" i="82"/>
  <c r="AK48" i="69"/>
  <c r="AJ48" i="67"/>
  <c r="AK48" i="67"/>
  <c r="AK48" i="68"/>
  <c r="AK48" i="70"/>
  <c r="Y114" i="82"/>
  <c r="AE114" i="82"/>
  <c r="AP68" i="70"/>
  <c r="AF68" i="70"/>
  <c r="Z1062" i="82"/>
  <c r="AF1062" i="82"/>
  <c r="Z218" i="82"/>
  <c r="AF218" i="82"/>
  <c r="Z458" i="82"/>
  <c r="K458" i="86"/>
  <c r="N458" i="86"/>
  <c r="AE763" i="83"/>
  <c r="Z763" i="83"/>
  <c r="Y436" i="82"/>
  <c r="AE436" i="82"/>
  <c r="Z1917" i="82"/>
  <c r="K1917" i="86"/>
  <c r="N1917" i="86"/>
  <c r="N1958" i="86"/>
  <c r="K1958" i="86"/>
  <c r="Y764" i="82"/>
  <c r="J764" i="86"/>
  <c r="M764" i="86"/>
  <c r="Y357" i="82"/>
  <c r="AE357" i="82"/>
  <c r="Z1976" i="82"/>
  <c r="AF1976" i="82"/>
  <c r="N1567" i="86"/>
  <c r="K1567" i="86"/>
  <c r="Z894" i="82"/>
  <c r="AF894" i="82"/>
  <c r="AM5" i="69"/>
  <c r="T5" i="69"/>
  <c r="N5" i="69"/>
  <c r="T76" i="69"/>
  <c r="Z2014" i="82"/>
  <c r="K2014" i="86"/>
  <c r="N2014" i="86"/>
  <c r="AF1351" i="82"/>
  <c r="Z1351" i="82"/>
  <c r="AF510" i="82"/>
  <c r="Z510" i="82"/>
  <c r="Y664" i="82"/>
  <c r="J664" i="86"/>
  <c r="M664" i="86"/>
  <c r="Z323" i="82"/>
  <c r="AF323" i="82"/>
  <c r="Y307" i="82"/>
  <c r="AE307" i="82"/>
  <c r="AO22" i="69"/>
  <c r="AE22" i="69"/>
  <c r="AB22" i="88"/>
  <c r="AB97" i="88"/>
  <c r="Z1958" i="82"/>
  <c r="AF1958" i="82"/>
  <c r="Z359" i="82"/>
  <c r="AF359" i="82"/>
  <c r="Z1908" i="82"/>
  <c r="AF1908" i="82"/>
  <c r="Y635" i="82"/>
  <c r="AE635" i="82"/>
  <c r="Z469" i="82"/>
  <c r="AF469" i="82"/>
  <c r="Z1777" i="82"/>
  <c r="AF1777" i="82"/>
  <c r="Z1121" i="82"/>
  <c r="AF1121" i="82"/>
  <c r="Z883" i="82"/>
  <c r="AF883" i="82"/>
  <c r="Z1333" i="82"/>
  <c r="AF1333" i="82"/>
  <c r="Y227" i="82"/>
  <c r="J227" i="86"/>
  <c r="M227" i="86"/>
  <c r="Z1256" i="82"/>
  <c r="K1256" i="86"/>
  <c r="N1256" i="86"/>
  <c r="N567" i="86"/>
  <c r="K567" i="86"/>
  <c r="Y72" i="82"/>
  <c r="J72" i="86"/>
  <c r="M72" i="86"/>
  <c r="AE533" i="83"/>
  <c r="Z533" i="83"/>
  <c r="M262" i="86"/>
  <c r="J262" i="86"/>
  <c r="AO60" i="69"/>
  <c r="AE60" i="69"/>
  <c r="AG60" i="69"/>
  <c r="Y327" i="82"/>
  <c r="J327" i="86"/>
  <c r="M327" i="86"/>
  <c r="Z378" i="82"/>
  <c r="AF378" i="82"/>
  <c r="M54" i="86"/>
  <c r="J54" i="86"/>
  <c r="AJ36" i="68"/>
  <c r="AJ36" i="69"/>
  <c r="AL36" i="69"/>
  <c r="Z838" i="82"/>
  <c r="K838" i="86"/>
  <c r="N838" i="86"/>
  <c r="Z45" i="82"/>
  <c r="AF45" i="82"/>
  <c r="Z1820" i="82"/>
  <c r="AF1820" i="82"/>
  <c r="Z1512" i="82"/>
  <c r="AF1512" i="82"/>
  <c r="AD93" i="83"/>
  <c r="Y93" i="83"/>
  <c r="N511" i="86"/>
  <c r="K511" i="86"/>
  <c r="N822" i="86"/>
  <c r="K822" i="86"/>
  <c r="N1446" i="86"/>
  <c r="K1446" i="86"/>
  <c r="AE24" i="70"/>
  <c r="AG24" i="70"/>
  <c r="AM24" i="70"/>
  <c r="M743" i="86"/>
  <c r="J743" i="86"/>
  <c r="N962" i="86"/>
  <c r="K962" i="86"/>
  <c r="AK28" i="70"/>
  <c r="AJ28" i="67"/>
  <c r="AK28" i="67"/>
  <c r="AK28" i="68"/>
  <c r="AK28" i="69"/>
  <c r="N929" i="86"/>
  <c r="K929" i="86"/>
  <c r="N1939" i="86"/>
  <c r="K1939" i="86"/>
  <c r="Y105" i="82"/>
  <c r="J105" i="86"/>
  <c r="M105" i="86"/>
  <c r="N1667" i="86"/>
  <c r="K1667" i="86"/>
  <c r="AE771" i="83"/>
  <c r="Z771" i="83"/>
  <c r="AE464" i="82"/>
  <c r="AE764" i="83"/>
  <c r="Z764" i="83"/>
  <c r="Y393" i="82"/>
  <c r="J393" i="86"/>
  <c r="M393" i="86"/>
  <c r="M306" i="86"/>
  <c r="J306" i="86"/>
  <c r="N90" i="88"/>
  <c r="N15" i="88"/>
  <c r="AE218" i="83"/>
  <c r="Z218" i="83"/>
  <c r="AF1238" i="82"/>
  <c r="M264" i="86"/>
  <c r="J264" i="86"/>
  <c r="M272" i="86"/>
  <c r="J272" i="86"/>
  <c r="N1331" i="86"/>
  <c r="K1331" i="86"/>
  <c r="AF813" i="82"/>
  <c r="AE584" i="82"/>
  <c r="M703" i="86"/>
  <c r="J703" i="86"/>
  <c r="AB10" i="86"/>
  <c r="AM64" i="68"/>
  <c r="N591" i="86"/>
  <c r="K591" i="86"/>
  <c r="M708" i="86"/>
  <c r="J708" i="86"/>
  <c r="M128" i="86"/>
  <c r="J128" i="86"/>
  <c r="Z1966" i="82"/>
  <c r="K1966" i="86"/>
  <c r="N1966" i="86"/>
  <c r="AE570" i="83"/>
  <c r="Z570" i="83"/>
  <c r="Z333" i="82"/>
  <c r="K333" i="86"/>
  <c r="N333" i="86"/>
  <c r="AE950" i="83"/>
  <c r="Z950" i="83"/>
  <c r="AE861" i="82"/>
  <c r="AE400" i="82"/>
  <c r="Z1322" i="82"/>
  <c r="K1322" i="86"/>
  <c r="N1322" i="86"/>
  <c r="Y158" i="82"/>
  <c r="J158" i="86"/>
  <c r="M158" i="86"/>
  <c r="AD19" i="83"/>
  <c r="Y19" i="83"/>
  <c r="M1024" i="86"/>
  <c r="J1024" i="86"/>
  <c r="M744" i="86"/>
  <c r="J744" i="86"/>
  <c r="AO62" i="69"/>
  <c r="AE62" i="69"/>
  <c r="AG62" i="69"/>
  <c r="AF1339" i="82"/>
  <c r="W14" i="90"/>
  <c r="AK5" i="68"/>
  <c r="AG5" i="88"/>
  <c r="AG80" i="88"/>
  <c r="W9" i="90"/>
  <c r="W15" i="90"/>
  <c r="AE488" i="82"/>
  <c r="Y106" i="82"/>
  <c r="J106" i="86"/>
  <c r="M106" i="86"/>
  <c r="AE253" i="82"/>
  <c r="M480" i="86"/>
  <c r="J480" i="86"/>
  <c r="AE840" i="83"/>
  <c r="Z840" i="83"/>
  <c r="AF546" i="82"/>
  <c r="Z546" i="82"/>
  <c r="AC91" i="88"/>
  <c r="AC16" i="88"/>
  <c r="AF16" i="69"/>
  <c r="Z1979" i="82"/>
  <c r="AF1979" i="82"/>
  <c r="AF223" i="82"/>
  <c r="Z965" i="82"/>
  <c r="K965" i="86"/>
  <c r="N965" i="86"/>
  <c r="AE568" i="83"/>
  <c r="Z568" i="83"/>
  <c r="N1179" i="86"/>
  <c r="K1179" i="86"/>
  <c r="AC86" i="88"/>
  <c r="AC11" i="88"/>
  <c r="AP5" i="69"/>
  <c r="AP76" i="69"/>
  <c r="AP78" i="69"/>
  <c r="AF11" i="69"/>
  <c r="AF1463" i="82"/>
  <c r="Z1463" i="82"/>
  <c r="AF1787" i="82"/>
  <c r="AF1279" i="82"/>
  <c r="AF1984" i="82"/>
  <c r="Z1984" i="82"/>
  <c r="AE352" i="82"/>
  <c r="Y651" i="82"/>
  <c r="AE651" i="82"/>
  <c r="AF372" i="82"/>
  <c r="AF366" i="82"/>
  <c r="Z586" i="82"/>
  <c r="K586" i="86"/>
  <c r="N586" i="86"/>
  <c r="Y217" i="82"/>
  <c r="AE217" i="82"/>
  <c r="N462" i="86"/>
  <c r="K462" i="86"/>
  <c r="M604" i="86"/>
  <c r="J604" i="86"/>
  <c r="M649" i="86"/>
  <c r="J649" i="86"/>
  <c r="N2019" i="86"/>
  <c r="K2019" i="86"/>
  <c r="N1415" i="86"/>
  <c r="K1415" i="86"/>
  <c r="M20" i="86"/>
  <c r="J20" i="86"/>
  <c r="N451" i="86"/>
  <c r="K451" i="86"/>
  <c r="N387" i="86"/>
  <c r="K387" i="86"/>
  <c r="N1494" i="86"/>
  <c r="K1494" i="86"/>
  <c r="AF1886" i="82"/>
  <c r="M88" i="86"/>
  <c r="J88" i="86"/>
  <c r="N2017" i="86"/>
  <c r="K2017" i="86"/>
  <c r="AF21" i="70"/>
  <c r="AP21" i="70"/>
  <c r="N402" i="86"/>
  <c r="K402" i="86"/>
  <c r="AD234" i="83"/>
  <c r="Y234" i="83"/>
  <c r="N524" i="86"/>
  <c r="K524" i="86"/>
  <c r="Y362" i="82"/>
  <c r="AE362" i="82"/>
  <c r="AG111" i="88"/>
  <c r="AG36" i="88"/>
  <c r="N1527" i="86"/>
  <c r="K1527" i="86"/>
  <c r="AL53" i="68"/>
  <c r="AF1467" i="82"/>
  <c r="Z1467" i="82"/>
  <c r="AE229" i="83"/>
  <c r="Z229" i="83"/>
  <c r="AD371" i="83"/>
  <c r="Y371" i="83"/>
  <c r="M199" i="86"/>
  <c r="J199" i="86"/>
  <c r="AF1296" i="82"/>
  <c r="AG5" i="70"/>
  <c r="AE5" i="70"/>
  <c r="AE76" i="70"/>
  <c r="N1427" i="86"/>
  <c r="K1427" i="86"/>
  <c r="M411" i="86"/>
  <c r="J411" i="86"/>
  <c r="Y128" i="82"/>
  <c r="AE128" i="82"/>
  <c r="L86" i="67"/>
  <c r="AF315" i="82"/>
  <c r="AF1699" i="82"/>
  <c r="Y861" i="82"/>
  <c r="J861" i="86"/>
  <c r="M861" i="86"/>
  <c r="M82" i="86"/>
  <c r="J82" i="86"/>
  <c r="AE746" i="82"/>
  <c r="AE671" i="83"/>
  <c r="Z671" i="83"/>
  <c r="Y251" i="82"/>
  <c r="AE251" i="82"/>
  <c r="Y1024" i="82"/>
  <c r="AE1024" i="82"/>
  <c r="Y744" i="82"/>
  <c r="AE744" i="82"/>
  <c r="Z567" i="82"/>
  <c r="AF567" i="82"/>
  <c r="AF543" i="82"/>
  <c r="Z543" i="82"/>
  <c r="Z1339" i="82"/>
  <c r="K1339" i="86"/>
  <c r="N1339" i="86"/>
  <c r="N1590" i="86"/>
  <c r="K1590" i="86"/>
  <c r="AF481" i="82"/>
  <c r="N1683" i="86"/>
  <c r="K1683" i="86"/>
  <c r="Y488" i="82"/>
  <c r="J488" i="86"/>
  <c r="M488" i="86"/>
  <c r="Y253" i="82"/>
  <c r="J253" i="86"/>
  <c r="M253" i="86"/>
  <c r="AD358" i="83"/>
  <c r="Y358" i="83"/>
  <c r="Y480" i="82"/>
  <c r="AE480" i="82"/>
  <c r="Y262" i="82"/>
  <c r="AE262" i="82"/>
  <c r="M294" i="86"/>
  <c r="J294" i="86"/>
  <c r="Y802" i="82"/>
  <c r="AE802" i="82"/>
  <c r="N76" i="69"/>
  <c r="Z822" i="82"/>
  <c r="AF822" i="82"/>
  <c r="AD344" i="83"/>
  <c r="Y344" i="83"/>
  <c r="N1595" i="86"/>
  <c r="K1595" i="86"/>
  <c r="AE254" i="82"/>
  <c r="Z1787" i="82"/>
  <c r="K1787" i="86"/>
  <c r="N1787" i="86"/>
  <c r="Z1279" i="82"/>
  <c r="K1279" i="86"/>
  <c r="N1279" i="86"/>
  <c r="N1658" i="86"/>
  <c r="K1658" i="86"/>
  <c r="AE173" i="82"/>
  <c r="N1482" i="86"/>
  <c r="K1482" i="86"/>
  <c r="Y352" i="82"/>
  <c r="J352" i="86"/>
  <c r="M352" i="86"/>
  <c r="Z372" i="82"/>
  <c r="K372" i="86"/>
  <c r="N372" i="86"/>
  <c r="Z366" i="82"/>
  <c r="K366" i="86"/>
  <c r="N366" i="86"/>
  <c r="N1597" i="86"/>
  <c r="K1597" i="86"/>
  <c r="AD403" i="83"/>
  <c r="Y403" i="83"/>
  <c r="Z975" i="82"/>
  <c r="AF975" i="82"/>
  <c r="Z1254" i="82"/>
  <c r="AF1254" i="82"/>
  <c r="N1226" i="86"/>
  <c r="K1226" i="86"/>
  <c r="Z462" i="82"/>
  <c r="AF462" i="82"/>
  <c r="N1726" i="86"/>
  <c r="K1726" i="86"/>
  <c r="N1438" i="86"/>
  <c r="K1438" i="86"/>
  <c r="Y649" i="82"/>
  <c r="AE649" i="82"/>
  <c r="AF811" i="82"/>
  <c r="M50" i="86"/>
  <c r="J50" i="86"/>
  <c r="Y20" i="82"/>
  <c r="AE20" i="82"/>
  <c r="AE239" i="82"/>
  <c r="M348" i="86"/>
  <c r="J348" i="86"/>
  <c r="Z1886" i="82"/>
  <c r="K1886" i="86"/>
  <c r="N1886" i="86"/>
  <c r="Z2019" i="82"/>
  <c r="AF2019" i="82"/>
  <c r="N1729" i="86"/>
  <c r="K1729" i="86"/>
  <c r="M757" i="86"/>
  <c r="J757" i="86"/>
  <c r="Z351" i="82"/>
  <c r="AF351" i="82"/>
  <c r="AL74" i="70"/>
  <c r="AJ74" i="70"/>
  <c r="N1545" i="86"/>
  <c r="K1545" i="86"/>
  <c r="N1775" i="86"/>
  <c r="K1775" i="86"/>
  <c r="AF1540" i="82"/>
  <c r="Z1540" i="82"/>
  <c r="AF445" i="82"/>
  <c r="M552" i="86"/>
  <c r="J552" i="86"/>
  <c r="M627" i="86"/>
  <c r="J627" i="86"/>
  <c r="AE113" i="82"/>
  <c r="AE529" i="82"/>
  <c r="Y529" i="82"/>
  <c r="Y168" i="82"/>
  <c r="AE168" i="82"/>
  <c r="Z1128" i="82"/>
  <c r="AF1128" i="82"/>
  <c r="AD69" i="83"/>
  <c r="Y69" i="83"/>
  <c r="Y620" i="82"/>
  <c r="J620" i="86"/>
  <c r="M620" i="86"/>
  <c r="N537" i="86"/>
  <c r="K537" i="86"/>
  <c r="AO26" i="69"/>
  <c r="AE26" i="69"/>
  <c r="AG26" i="69"/>
  <c r="Z1904" i="82"/>
  <c r="K1904" i="86"/>
  <c r="N1904" i="86"/>
  <c r="Z1224" i="82"/>
  <c r="AF1224" i="82"/>
  <c r="AD95" i="83"/>
  <c r="Y95" i="83"/>
  <c r="Y773" i="82"/>
  <c r="J773" i="86"/>
  <c r="M773" i="86"/>
  <c r="Z381" i="82"/>
  <c r="AF381" i="82"/>
  <c r="AF505" i="82"/>
  <c r="Z505" i="82"/>
  <c r="AD537" i="83"/>
  <c r="Y537" i="83"/>
  <c r="Z394" i="82"/>
  <c r="AF394" i="82"/>
  <c r="AP30" i="69"/>
  <c r="AF30" i="69"/>
  <c r="AC30" i="88"/>
  <c r="AC105" i="88"/>
  <c r="Z1345" i="82"/>
  <c r="K1345" i="86"/>
  <c r="N1345" i="86"/>
  <c r="AE81" i="69"/>
  <c r="AM76" i="69"/>
  <c r="AF81" i="69"/>
  <c r="N1366" i="86"/>
  <c r="K1366" i="86"/>
  <c r="Z1791" i="82"/>
  <c r="AF1791" i="82"/>
  <c r="Y400" i="82"/>
  <c r="J400" i="86"/>
  <c r="M400" i="86"/>
  <c r="Y617" i="82"/>
  <c r="J617" i="86"/>
  <c r="M617" i="86"/>
  <c r="Y387" i="82"/>
  <c r="AE387" i="82"/>
  <c r="Y339" i="82"/>
  <c r="AE339" i="82"/>
  <c r="Z1296" i="82"/>
  <c r="K1296" i="86"/>
  <c r="N1296" i="86"/>
  <c r="Z961" i="82"/>
  <c r="AF961" i="82"/>
  <c r="AD319" i="83"/>
  <c r="Y319" i="83"/>
  <c r="Y411" i="82"/>
  <c r="AE411" i="82"/>
  <c r="N228" i="86"/>
  <c r="K228" i="86"/>
  <c r="Z315" i="82"/>
  <c r="K315" i="86"/>
  <c r="N315" i="86"/>
  <c r="N1624" i="86"/>
  <c r="K1624" i="86"/>
  <c r="N1586" i="86"/>
  <c r="K1586" i="86"/>
  <c r="Z1699" i="82"/>
  <c r="K1699" i="86"/>
  <c r="N1699" i="86"/>
  <c r="Y82" i="82"/>
  <c r="AE82" i="82"/>
  <c r="Y746" i="82"/>
  <c r="J746" i="86"/>
  <c r="M746" i="86"/>
  <c r="AP53" i="69"/>
  <c r="AF53" i="69"/>
  <c r="AC53" i="88"/>
  <c r="AC128" i="88"/>
  <c r="N520" i="86"/>
  <c r="K520" i="86"/>
  <c r="AK52" i="69"/>
  <c r="AJ52" i="67"/>
  <c r="AK52" i="67"/>
  <c r="AK52" i="68"/>
  <c r="AK52" i="70"/>
  <c r="Z1946" i="82"/>
  <c r="AF1946" i="82"/>
  <c r="Z223" i="82"/>
  <c r="K223" i="86"/>
  <c r="N223" i="86"/>
  <c r="Z1335" i="82"/>
  <c r="AF1335" i="82"/>
  <c r="Z481" i="82"/>
  <c r="K481" i="86"/>
  <c r="N481" i="86"/>
  <c r="Y608" i="82"/>
  <c r="AE608" i="82"/>
  <c r="AF1620" i="82"/>
  <c r="Z1620" i="82"/>
  <c r="Z903" i="82"/>
  <c r="AF903" i="82"/>
  <c r="AE667" i="83"/>
  <c r="Z667" i="83"/>
  <c r="Y294" i="82"/>
  <c r="AE294" i="82"/>
  <c r="Z1502" i="82"/>
  <c r="K1502" i="86"/>
  <c r="N1502" i="86"/>
  <c r="AE555" i="82"/>
  <c r="Y555" i="82"/>
  <c r="M1202" i="86"/>
  <c r="J1202" i="86"/>
  <c r="Y805" i="82"/>
  <c r="AE805" i="82"/>
  <c r="Y254" i="82"/>
  <c r="J254" i="86"/>
  <c r="M254" i="86"/>
  <c r="Z1977" i="82"/>
  <c r="AF1977" i="82"/>
  <c r="AF1739" i="82"/>
  <c r="Y173" i="82"/>
  <c r="J173" i="86"/>
  <c r="M173" i="86"/>
  <c r="AD303" i="83"/>
  <c r="Y303" i="83"/>
  <c r="M52" i="86"/>
  <c r="J52" i="86"/>
  <c r="Z228" i="82"/>
  <c r="AF228" i="82"/>
  <c r="AE946" i="83"/>
  <c r="Z946" i="83"/>
  <c r="Z383" i="82"/>
  <c r="K383" i="86"/>
  <c r="N383" i="86"/>
  <c r="AE1155" i="82"/>
  <c r="Y1155" i="82"/>
  <c r="AK69" i="69"/>
  <c r="AK69" i="67"/>
  <c r="AK69" i="68"/>
  <c r="AK69" i="70"/>
  <c r="Z206" i="82"/>
  <c r="AF206" i="82"/>
  <c r="Z1252" i="82"/>
  <c r="AF1252" i="82"/>
  <c r="Z1739" i="82"/>
  <c r="K1739" i="86"/>
  <c r="N1739" i="86"/>
  <c r="AE680" i="82"/>
  <c r="M748" i="86"/>
  <c r="J748" i="86"/>
  <c r="M795" i="86"/>
  <c r="J795" i="86"/>
  <c r="N817" i="86"/>
  <c r="K817" i="86"/>
  <c r="N1055" i="86"/>
  <c r="K1055" i="86"/>
  <c r="N1208" i="86"/>
  <c r="K1208" i="86"/>
  <c r="N1362" i="86"/>
  <c r="K1362" i="86"/>
  <c r="Y348" i="82"/>
  <c r="AE348" i="82"/>
  <c r="AF1403" i="82"/>
  <c r="Z1403" i="82"/>
  <c r="AF1308" i="82"/>
  <c r="M163" i="86"/>
  <c r="J163" i="86"/>
  <c r="AF305" i="82"/>
  <c r="M323" i="86"/>
  <c r="J323" i="86"/>
  <c r="N1868" i="86"/>
  <c r="K1868" i="86"/>
  <c r="M868" i="86"/>
  <c r="J868" i="86"/>
  <c r="Y93" i="82"/>
  <c r="AE93" i="82"/>
  <c r="AE271" i="82"/>
  <c r="N358" i="86"/>
  <c r="K358" i="86"/>
  <c r="N186" i="86"/>
  <c r="K186" i="86"/>
  <c r="N225" i="86"/>
  <c r="K225" i="86"/>
  <c r="N413" i="86"/>
  <c r="K413" i="86"/>
  <c r="AE530" i="82"/>
  <c r="Y530" i="82"/>
  <c r="N1563" i="86"/>
  <c r="K1563" i="86"/>
  <c r="AD376" i="83"/>
  <c r="Y376" i="83"/>
  <c r="AE1204" i="82"/>
  <c r="Y1204" i="82"/>
  <c r="Y680" i="82"/>
  <c r="J680" i="86"/>
  <c r="M680" i="86"/>
  <c r="Y748" i="82"/>
  <c r="AE748" i="82"/>
  <c r="Y795" i="82"/>
  <c r="AE795" i="82"/>
  <c r="Z817" i="82"/>
  <c r="AF817" i="82"/>
  <c r="Z345" i="82"/>
  <c r="K345" i="86"/>
  <c r="N345" i="86"/>
  <c r="Y575" i="82"/>
  <c r="J575" i="86"/>
  <c r="M575" i="86"/>
  <c r="Y306" i="82"/>
  <c r="AE306" i="82"/>
  <c r="N1150" i="86"/>
  <c r="K1150" i="86"/>
  <c r="Z1930" i="82"/>
  <c r="K1930" i="86"/>
  <c r="N1930" i="86"/>
  <c r="N535" i="86"/>
  <c r="K535" i="86"/>
  <c r="AF575" i="82"/>
  <c r="AF512" i="82"/>
  <c r="Z512" i="82"/>
  <c r="Y604" i="82"/>
  <c r="AE604" i="82"/>
  <c r="Z1308" i="82"/>
  <c r="K1308" i="86"/>
  <c r="N1308" i="86"/>
  <c r="M443" i="86"/>
  <c r="J443" i="86"/>
  <c r="AD108" i="83"/>
  <c r="Y108" i="83"/>
  <c r="Z1055" i="82"/>
  <c r="AF1055" i="82"/>
  <c r="M920" i="86"/>
  <c r="J920" i="86"/>
  <c r="AE631" i="82"/>
  <c r="M569" i="86"/>
  <c r="J569" i="86"/>
  <c r="AE314" i="82"/>
  <c r="N1244" i="86"/>
  <c r="K1244" i="86"/>
  <c r="AE333" i="82"/>
  <c r="AE779" i="82"/>
  <c r="M782" i="86"/>
  <c r="J782" i="86"/>
  <c r="Z387" i="82"/>
  <c r="AF387" i="82"/>
  <c r="Z929" i="82"/>
  <c r="AF929" i="82"/>
  <c r="Y631" i="82"/>
  <c r="J631" i="86"/>
  <c r="M631" i="86"/>
  <c r="Z2017" i="82"/>
  <c r="AF2017" i="82"/>
  <c r="N1183" i="86"/>
  <c r="K1183" i="86"/>
  <c r="N1654" i="86"/>
  <c r="K1654" i="86"/>
  <c r="Z451" i="82"/>
  <c r="AF451" i="82"/>
  <c r="Y757" i="82"/>
  <c r="AE757" i="82"/>
  <c r="N998" i="86"/>
  <c r="K998" i="86"/>
  <c r="Z1846" i="82"/>
  <c r="AF1846" i="82"/>
  <c r="Z1868" i="82"/>
  <c r="AF1868" i="82"/>
  <c r="Y790" i="82"/>
  <c r="AE790" i="82"/>
  <c r="AJ74" i="68"/>
  <c r="AL74" i="68"/>
  <c r="Y271" i="82"/>
  <c r="J271" i="86"/>
  <c r="M271" i="86"/>
  <c r="Y88" i="82"/>
  <c r="AE88" i="82"/>
  <c r="N1352" i="86"/>
  <c r="K1352" i="86"/>
  <c r="Y742" i="82"/>
  <c r="AE742" i="82"/>
  <c r="AL56" i="70"/>
  <c r="AJ56" i="70"/>
  <c r="AE437" i="82"/>
  <c r="AF371" i="82"/>
  <c r="N1808" i="86"/>
  <c r="K1808" i="86"/>
  <c r="N1054" i="86"/>
  <c r="K1054" i="86"/>
  <c r="M1103" i="86"/>
  <c r="J1103" i="86"/>
  <c r="AE485" i="82"/>
  <c r="AE851" i="82"/>
  <c r="M624" i="86"/>
  <c r="J624" i="86"/>
  <c r="N219" i="86"/>
  <c r="K219" i="86"/>
  <c r="E19" i="93"/>
  <c r="AM19" i="69"/>
  <c r="N19" i="69"/>
  <c r="T19" i="69"/>
  <c r="Z1527" i="82"/>
  <c r="AF1527" i="82"/>
  <c r="M1014" i="86"/>
  <c r="J1014" i="86"/>
  <c r="M242" i="86"/>
  <c r="J242" i="86"/>
  <c r="AF60" i="70"/>
  <c r="AP60" i="70"/>
  <c r="AD164" i="83"/>
  <c r="Y164" i="83"/>
  <c r="AF1544" i="82"/>
  <c r="Z1544" i="82"/>
  <c r="M1160" i="86"/>
  <c r="J1160" i="86"/>
  <c r="AF199" i="82"/>
  <c r="N1365" i="86"/>
  <c r="K1365" i="86"/>
  <c r="N1948" i="86"/>
  <c r="K1948" i="86"/>
  <c r="AE668" i="82"/>
  <c r="N2002" i="86"/>
  <c r="K2002" i="86"/>
  <c r="AF72" i="70"/>
  <c r="T72" i="68"/>
  <c r="AP72" i="70"/>
  <c r="Z890" i="82"/>
  <c r="AF890" i="82"/>
  <c r="N377" i="86"/>
  <c r="K377" i="86"/>
  <c r="N1004" i="86"/>
  <c r="K1004" i="86"/>
  <c r="Y627" i="82"/>
  <c r="AE627" i="82"/>
  <c r="AE266" i="83"/>
  <c r="Z266" i="83"/>
  <c r="Y76" i="82"/>
  <c r="AE76" i="82"/>
  <c r="N1793" i="86"/>
  <c r="K1793" i="86"/>
  <c r="AE794" i="83"/>
  <c r="Z794" i="83"/>
  <c r="N1805" i="86"/>
  <c r="K1805" i="86"/>
  <c r="N1050" i="86"/>
  <c r="K1050" i="86"/>
  <c r="N1059" i="86"/>
  <c r="K1059" i="86"/>
  <c r="M439" i="86"/>
  <c r="J439" i="86"/>
  <c r="N1349" i="86"/>
  <c r="K1349" i="86"/>
  <c r="AE238" i="82"/>
  <c r="Z591" i="82"/>
  <c r="AF591" i="82"/>
  <c r="M611" i="86"/>
  <c r="J611" i="86"/>
  <c r="M694" i="86"/>
  <c r="J694" i="86"/>
  <c r="N1241" i="86"/>
  <c r="K1241" i="86"/>
  <c r="M625" i="86"/>
  <c r="J625" i="86"/>
  <c r="N899" i="86"/>
  <c r="K899" i="86"/>
  <c r="N818" i="86"/>
  <c r="K818" i="86"/>
  <c r="Y708" i="82"/>
  <c r="AE708" i="82"/>
  <c r="AG106" i="88"/>
  <c r="AG31" i="88"/>
  <c r="AF81" i="88"/>
  <c r="AF6" i="88"/>
  <c r="M1007" i="86"/>
  <c r="J1007" i="86"/>
  <c r="N1718" i="86"/>
  <c r="K1718" i="86"/>
  <c r="N48" i="86"/>
  <c r="K48" i="86"/>
  <c r="N1291" i="86"/>
  <c r="K1291" i="86"/>
  <c r="N1496" i="86"/>
  <c r="K1496" i="86"/>
  <c r="Z962" i="82"/>
  <c r="AF962" i="82"/>
  <c r="Y587" i="82"/>
  <c r="AE587" i="82"/>
  <c r="N300" i="86"/>
  <c r="K300" i="86"/>
  <c r="N1827" i="86"/>
  <c r="K1827" i="86"/>
  <c r="M188" i="86"/>
  <c r="J188" i="86"/>
  <c r="Z926" i="82"/>
  <c r="AF926" i="82"/>
  <c r="Y314" i="82"/>
  <c r="J314" i="86"/>
  <c r="M314" i="86"/>
  <c r="Z1238" i="82"/>
  <c r="K1238" i="86"/>
  <c r="N1238" i="86"/>
  <c r="AF16" i="82"/>
  <c r="Y743" i="82"/>
  <c r="AE743" i="82"/>
  <c r="AF1402" i="82"/>
  <c r="Z1402" i="82"/>
  <c r="N554" i="86"/>
  <c r="K554" i="86"/>
  <c r="AE248" i="82"/>
  <c r="AF1511" i="82"/>
  <c r="AE677" i="82"/>
  <c r="Z371" i="82"/>
  <c r="K371" i="86"/>
  <c r="N371" i="86"/>
  <c r="AJ53" i="68"/>
  <c r="AJ53" i="70"/>
  <c r="AL53" i="70"/>
  <c r="AF1823" i="82"/>
  <c r="AE933" i="83"/>
  <c r="Z933" i="83"/>
  <c r="Z1501" i="82"/>
  <c r="AF1501" i="82"/>
  <c r="AK6" i="82"/>
  <c r="AL6" i="82"/>
  <c r="Y485" i="82"/>
  <c r="J485" i="86"/>
  <c r="M485" i="86"/>
  <c r="N1568" i="86"/>
  <c r="K1568" i="86"/>
  <c r="Y755" i="82"/>
  <c r="AE755" i="82"/>
  <c r="Y598" i="82"/>
  <c r="J598" i="86"/>
  <c r="M598" i="86"/>
  <c r="N346" i="86"/>
  <c r="K346" i="86"/>
  <c r="Y333" i="82"/>
  <c r="J333" i="86"/>
  <c r="M333" i="86"/>
  <c r="N1134" i="86"/>
  <c r="K1134" i="86"/>
  <c r="Z199" i="82"/>
  <c r="K199" i="86"/>
  <c r="N199" i="86"/>
  <c r="AJ64" i="67"/>
  <c r="N64" i="67"/>
  <c r="N64" i="68"/>
  <c r="T64" i="68"/>
  <c r="AP64" i="70"/>
  <c r="AF64" i="70"/>
  <c r="N452" i="86"/>
  <c r="K452" i="86"/>
  <c r="AE521" i="82"/>
  <c r="Y521" i="82"/>
  <c r="AE565" i="82"/>
  <c r="N1383" i="86"/>
  <c r="K1383" i="86"/>
  <c r="Y584" i="82"/>
  <c r="J584" i="86"/>
  <c r="M584" i="86"/>
  <c r="M466" i="86"/>
  <c r="J466" i="86"/>
  <c r="AF1985" i="82"/>
  <c r="Z1985" i="82"/>
  <c r="N1390" i="86"/>
  <c r="K1390" i="86"/>
  <c r="AF1964" i="82"/>
  <c r="Y113" i="82"/>
  <c r="J113" i="86"/>
  <c r="M113" i="86"/>
  <c r="Y779" i="82"/>
  <c r="J779" i="86"/>
  <c r="M779" i="86"/>
  <c r="M261" i="86"/>
  <c r="J261" i="86"/>
  <c r="Z811" i="82"/>
  <c r="K811" i="86"/>
  <c r="N811" i="86"/>
  <c r="Z1059" i="82"/>
  <c r="AF1059" i="82"/>
  <c r="AF1871" i="82"/>
  <c r="N382" i="86"/>
  <c r="K382" i="86"/>
  <c r="Z813" i="82"/>
  <c r="K813" i="86"/>
  <c r="N813" i="86"/>
  <c r="M299" i="86"/>
  <c r="J299" i="86"/>
  <c r="N948" i="86"/>
  <c r="K948" i="86"/>
  <c r="N1049" i="86"/>
  <c r="K1049" i="86"/>
  <c r="N1852" i="86"/>
  <c r="K1852" i="86"/>
  <c r="AF319" i="82"/>
  <c r="N1940" i="86"/>
  <c r="K1940" i="86"/>
  <c r="AF1087" i="82"/>
  <c r="N317" i="86"/>
  <c r="K317" i="86"/>
  <c r="AD381" i="83"/>
  <c r="Y381" i="83"/>
  <c r="Y163" i="82"/>
  <c r="AE163" i="82"/>
  <c r="Y50" i="82"/>
  <c r="AE50" i="82"/>
  <c r="Z1729" i="82"/>
  <c r="AF1729" i="82"/>
  <c r="N1572" i="86"/>
  <c r="K1572" i="86"/>
  <c r="Z305" i="82"/>
  <c r="K305" i="86"/>
  <c r="N305" i="86"/>
  <c r="Y239" i="82"/>
  <c r="J239" i="86"/>
  <c r="M239" i="86"/>
  <c r="Y323" i="82"/>
  <c r="AE323" i="82"/>
  <c r="Z1786" i="82"/>
  <c r="AF1786" i="82"/>
  <c r="Z1001" i="82"/>
  <c r="K1001" i="86"/>
  <c r="N1001" i="86"/>
  <c r="Z16" i="82"/>
  <c r="K16" i="86"/>
  <c r="N16" i="86"/>
  <c r="Z402" i="82"/>
  <c r="AF402" i="82"/>
  <c r="AE614" i="83"/>
  <c r="Z614" i="83"/>
  <c r="Z186" i="82"/>
  <c r="AF186" i="82"/>
  <c r="Y440" i="82"/>
  <c r="AE440" i="82"/>
  <c r="AF530" i="82"/>
  <c r="Z530" i="82"/>
  <c r="Z1775" i="82"/>
  <c r="AF1775" i="82"/>
  <c r="Z1878" i="82"/>
  <c r="AF1878" i="82"/>
  <c r="Z300" i="82"/>
  <c r="AF300" i="82"/>
  <c r="Z445" i="82"/>
  <c r="K445" i="86"/>
  <c r="N445" i="86"/>
  <c r="Y573" i="82"/>
  <c r="AE573" i="82"/>
  <c r="Z413" i="82"/>
  <c r="AF413" i="82"/>
  <c r="Y272" i="82"/>
  <c r="AE272" i="82"/>
  <c r="Y248" i="82"/>
  <c r="J248" i="86"/>
  <c r="M248" i="86"/>
  <c r="Z1511" i="82"/>
  <c r="K1511" i="86"/>
  <c r="N1511" i="86"/>
  <c r="Y677" i="82"/>
  <c r="J677" i="86"/>
  <c r="M677" i="86"/>
  <c r="Z1827" i="82"/>
  <c r="AF1827" i="82"/>
  <c r="AE201" i="82"/>
  <c r="AF1568" i="82"/>
  <c r="Z1568" i="82"/>
  <c r="Z346" i="82"/>
  <c r="AF346" i="82"/>
  <c r="M517" i="86"/>
  <c r="J517" i="86"/>
  <c r="Z1054" i="82"/>
  <c r="AF1054" i="82"/>
  <c r="AE202" i="82"/>
  <c r="AF1798" i="82"/>
  <c r="AF1725" i="82"/>
  <c r="AF231" i="82"/>
  <c r="N1676" i="86"/>
  <c r="K1676" i="86"/>
  <c r="AF522" i="82"/>
  <c r="Z522" i="82"/>
  <c r="AE230" i="82"/>
  <c r="AD542" i="83"/>
  <c r="Y542" i="83"/>
  <c r="AO42" i="70"/>
  <c r="AE42" i="70"/>
  <c r="AG42" i="70"/>
  <c r="N1509" i="86"/>
  <c r="K1509" i="86"/>
  <c r="Z1134" i="82"/>
  <c r="AF1134" i="82"/>
  <c r="Z452" i="82"/>
  <c r="AF452" i="82"/>
  <c r="N964" i="86"/>
  <c r="K964" i="86"/>
  <c r="Y565" i="82"/>
  <c r="J565" i="86"/>
  <c r="M565" i="86"/>
  <c r="Z188" i="82"/>
  <c r="AF188" i="82"/>
  <c r="N336" i="86"/>
  <c r="K336" i="86"/>
  <c r="AD127" i="83"/>
  <c r="Y127" i="83"/>
  <c r="AF1250" i="82"/>
  <c r="N380" i="86"/>
  <c r="K380" i="86"/>
  <c r="AE821" i="83"/>
  <c r="Z821" i="83"/>
  <c r="M218" i="86"/>
  <c r="J218" i="86"/>
  <c r="AE758" i="83"/>
  <c r="Z758" i="83"/>
  <c r="AE545" i="82"/>
  <c r="Y545" i="82"/>
  <c r="Z1964" i="82"/>
  <c r="K1964" i="86"/>
  <c r="N1964" i="86"/>
  <c r="AL38" i="68"/>
  <c r="AE280" i="82"/>
  <c r="AF471" i="82"/>
  <c r="Z1871" i="82"/>
  <c r="K1871" i="86"/>
  <c r="N1871" i="86"/>
  <c r="N1443" i="86"/>
  <c r="K1443" i="86"/>
  <c r="Z948" i="82"/>
  <c r="AF948" i="82"/>
  <c r="N1626" i="86"/>
  <c r="K1626" i="86"/>
  <c r="M499" i="86"/>
  <c r="J499" i="86"/>
  <c r="N1769" i="86"/>
  <c r="K1769" i="86"/>
  <c r="AE90" i="82"/>
  <c r="N1043" i="86"/>
  <c r="K1043" i="86"/>
  <c r="AE660" i="83"/>
  <c r="Z660" i="83"/>
  <c r="AG112" i="88"/>
  <c r="AG37" i="88"/>
  <c r="M354" i="86"/>
  <c r="J354" i="86"/>
  <c r="AF1216" i="82"/>
  <c r="Z1216" i="82"/>
  <c r="AF57" i="70"/>
  <c r="AP57" i="70"/>
  <c r="Y201" i="82"/>
  <c r="J201" i="86"/>
  <c r="M201" i="86"/>
  <c r="AE96" i="82"/>
  <c r="M469" i="86"/>
  <c r="J469" i="86"/>
  <c r="Y202" i="82"/>
  <c r="J202" i="86"/>
  <c r="M202" i="86"/>
  <c r="AF1950" i="82"/>
  <c r="Z1725" i="82"/>
  <c r="K1725" i="86"/>
  <c r="N1725" i="86"/>
  <c r="Z231" i="82"/>
  <c r="K231" i="86"/>
  <c r="N231" i="86"/>
  <c r="AF1998" i="82"/>
  <c r="Z1331" i="82"/>
  <c r="AF1331" i="82"/>
  <c r="AD146" i="83"/>
  <c r="Y146" i="83"/>
  <c r="AD8" i="83"/>
  <c r="Y8" i="83"/>
  <c r="Y230" i="82"/>
  <c r="J230" i="86"/>
  <c r="M230" i="86"/>
  <c r="AE623" i="82"/>
  <c r="N39" i="68"/>
  <c r="N39" i="69"/>
  <c r="T39" i="69"/>
  <c r="AM39" i="69"/>
  <c r="AD258" i="83"/>
  <c r="Y258" i="83"/>
  <c r="N1623" i="86"/>
  <c r="K1623" i="86"/>
  <c r="AE953" i="82"/>
  <c r="AE514" i="82"/>
  <c r="Y514" i="82"/>
  <c r="Z964" i="82"/>
  <c r="AF964" i="82"/>
  <c r="AF76" i="70"/>
  <c r="M102" i="86"/>
  <c r="J102" i="86"/>
  <c r="N1758" i="86"/>
  <c r="K1758" i="86"/>
  <c r="N1464" i="86"/>
  <c r="K1464" i="86"/>
  <c r="N1991" i="86"/>
  <c r="K1991" i="86"/>
  <c r="Z336" i="82"/>
  <c r="AF336" i="82"/>
  <c r="Z1250" i="82"/>
  <c r="K1250" i="86"/>
  <c r="N1250" i="86"/>
  <c r="Z380" i="82"/>
  <c r="AF380" i="82"/>
  <c r="N2008" i="86"/>
  <c r="K2008" i="86"/>
  <c r="AF1472" i="82"/>
  <c r="Z1472" i="82"/>
  <c r="Y218" i="82"/>
  <c r="AE218" i="82"/>
  <c r="Z1726" i="82"/>
  <c r="AF1726" i="82"/>
  <c r="AE391" i="82"/>
  <c r="AJ38" i="68"/>
  <c r="AJ38" i="70"/>
  <c r="AL38" i="70"/>
  <c r="AF1615" i="82"/>
  <c r="Z1615" i="82"/>
  <c r="N536" i="86"/>
  <c r="K536" i="86"/>
  <c r="Y280" i="82"/>
  <c r="J280" i="86"/>
  <c r="M280" i="86"/>
  <c r="Z471" i="82"/>
  <c r="K471" i="86"/>
  <c r="N471" i="86"/>
  <c r="AE493" i="82"/>
  <c r="Z1781" i="82"/>
  <c r="AF1781" i="82"/>
  <c r="AF1694" i="82"/>
  <c r="AD243" i="83"/>
  <c r="Y243" i="83"/>
  <c r="M145" i="86"/>
  <c r="J145" i="86"/>
  <c r="N332" i="86"/>
  <c r="K332" i="86"/>
  <c r="M843" i="86"/>
  <c r="J843" i="86"/>
  <c r="N396" i="86"/>
  <c r="K396" i="86"/>
  <c r="M407" i="86"/>
  <c r="J407" i="86"/>
  <c r="AF5" i="86"/>
  <c r="X5" i="86"/>
  <c r="R5" i="86"/>
  <c r="AF1382" i="82"/>
  <c r="Z1382" i="82"/>
  <c r="N348" i="86"/>
  <c r="K348" i="86"/>
  <c r="AL43" i="68"/>
  <c r="AF1145" i="82"/>
  <c r="Z1145" i="82"/>
  <c r="Z54" i="82"/>
  <c r="K54" i="86"/>
  <c r="N54" i="86"/>
  <c r="AE751" i="83"/>
  <c r="Z751" i="83"/>
  <c r="AF1680" i="82"/>
  <c r="Z1680" i="82"/>
  <c r="Z1939" i="82"/>
  <c r="AF1939" i="82"/>
  <c r="Y443" i="82"/>
  <c r="AE443" i="82"/>
  <c r="AF1872" i="82"/>
  <c r="AD584" i="83"/>
  <c r="Y584" i="83"/>
  <c r="Z575" i="82"/>
  <c r="K575" i="86"/>
  <c r="N575" i="86"/>
  <c r="Y920" i="82"/>
  <c r="AE920" i="82"/>
  <c r="Z1503" i="82"/>
  <c r="K1503" i="86"/>
  <c r="N1503" i="86"/>
  <c r="Y868" i="82"/>
  <c r="AE868" i="82"/>
  <c r="Y464" i="82"/>
  <c r="J464" i="86"/>
  <c r="M464" i="86"/>
  <c r="Y1026" i="82"/>
  <c r="AE1026" i="82"/>
  <c r="AD231" i="83"/>
  <c r="Y231" i="83"/>
  <c r="Z358" i="82"/>
  <c r="AF358" i="82"/>
  <c r="Y851" i="82"/>
  <c r="J851" i="86"/>
  <c r="M851" i="86"/>
  <c r="Z1872" i="82"/>
  <c r="K1872" i="86"/>
  <c r="N1872" i="86"/>
  <c r="Y296" i="82"/>
  <c r="AE296" i="82"/>
  <c r="N1800" i="86"/>
  <c r="K1800" i="86"/>
  <c r="AE905" i="83"/>
  <c r="Z905" i="83"/>
  <c r="Z1800" i="82"/>
  <c r="AF1800" i="82"/>
  <c r="AE269" i="82"/>
  <c r="N1088" i="86"/>
  <c r="K1088" i="86"/>
  <c r="M655" i="86"/>
  <c r="J655" i="86"/>
  <c r="Y569" i="82"/>
  <c r="AE569" i="82"/>
  <c r="AK36" i="70"/>
  <c r="AJ36" i="67"/>
  <c r="AK36" i="67"/>
  <c r="AK36" i="68"/>
  <c r="AK36" i="69"/>
  <c r="Z1823" i="82"/>
  <c r="K1823" i="86"/>
  <c r="N1823" i="86"/>
  <c r="Y264" i="82"/>
  <c r="AE264" i="82"/>
  <c r="Y668" i="82"/>
  <c r="J668" i="86"/>
  <c r="M668" i="86"/>
  <c r="N1604" i="86"/>
  <c r="K1604" i="86"/>
  <c r="AJ5" i="86"/>
  <c r="V5" i="86"/>
  <c r="K182" i="86"/>
  <c r="N182" i="86"/>
  <c r="N1986" i="86"/>
  <c r="K1986" i="86"/>
  <c r="Y269" i="82"/>
  <c r="J269" i="86"/>
  <c r="M269" i="86"/>
  <c r="Z1244" i="82"/>
  <c r="AF1244" i="82"/>
  <c r="N944" i="86"/>
  <c r="K944" i="86"/>
  <c r="N1453" i="86"/>
  <c r="K1453" i="86"/>
  <c r="Y188" i="82"/>
  <c r="AE188" i="82"/>
  <c r="AE219" i="82"/>
  <c r="AE453" i="82"/>
  <c r="Y96" i="82"/>
  <c r="J96" i="86"/>
  <c r="M96" i="86"/>
  <c r="Y469" i="82"/>
  <c r="AE469" i="82"/>
  <c r="AF1295" i="82"/>
  <c r="Z1950" i="82"/>
  <c r="K1950" i="86"/>
  <c r="N1950" i="86"/>
  <c r="AF15" i="82"/>
  <c r="Z1998" i="82"/>
  <c r="K1998" i="86"/>
  <c r="N1998" i="86"/>
  <c r="AE561" i="82"/>
  <c r="N1649" i="86"/>
  <c r="K1649" i="86"/>
  <c r="AF1685" i="82"/>
  <c r="Z1685" i="82"/>
  <c r="Y623" i="82"/>
  <c r="J623" i="86"/>
  <c r="M623" i="86"/>
  <c r="AF1959" i="82"/>
  <c r="AE662" i="82"/>
  <c r="N58" i="86"/>
  <c r="K58" i="86"/>
  <c r="Y953" i="82"/>
  <c r="J953" i="86"/>
  <c r="M953" i="86"/>
  <c r="AE228" i="82"/>
  <c r="AF1815" i="82"/>
  <c r="Z1758" i="82"/>
  <c r="AF1758" i="82"/>
  <c r="AD20" i="83"/>
  <c r="Y20" i="83"/>
  <c r="Z2008" i="82"/>
  <c r="AF2008" i="82"/>
  <c r="Y391" i="82"/>
  <c r="J391" i="86"/>
  <c r="M391" i="86"/>
  <c r="Z1793" i="82"/>
  <c r="AF1793" i="82"/>
  <c r="AF1510" i="82"/>
  <c r="Y493" i="82"/>
  <c r="J493" i="86"/>
  <c r="M493" i="86"/>
  <c r="Z1694" i="82"/>
  <c r="K1694" i="86"/>
  <c r="N1694" i="86"/>
  <c r="N1677" i="86"/>
  <c r="K1677" i="86"/>
  <c r="AI5" i="86"/>
  <c r="U5" i="86"/>
  <c r="Y182" i="82"/>
  <c r="J182" i="86"/>
  <c r="M182" i="86"/>
  <c r="M1006" i="86"/>
  <c r="J1006" i="86"/>
  <c r="AF89" i="88"/>
  <c r="AF14" i="88"/>
  <c r="M303" i="86"/>
  <c r="J303" i="86"/>
  <c r="AF31" i="82"/>
  <c r="N1816" i="86"/>
  <c r="K1816" i="86"/>
  <c r="N1082" i="86"/>
  <c r="K1082" i="86"/>
  <c r="M548" i="86"/>
  <c r="J548" i="86"/>
  <c r="AD239" i="83"/>
  <c r="Y239" i="83"/>
  <c r="N227" i="86"/>
  <c r="K227" i="86"/>
  <c r="AD427" i="83"/>
  <c r="Y427" i="83"/>
  <c r="AE1111" i="82"/>
  <c r="Z944" i="82"/>
  <c r="AF944" i="82"/>
  <c r="Z1088" i="82"/>
  <c r="AF1088" i="82"/>
  <c r="Y655" i="82"/>
  <c r="AE655" i="82"/>
  <c r="Y219" i="82"/>
  <c r="J219" i="86"/>
  <c r="M219" i="86"/>
  <c r="Y453" i="82"/>
  <c r="J453" i="86"/>
  <c r="M453" i="86"/>
  <c r="AD70" i="83"/>
  <c r="Y70" i="83"/>
  <c r="N588" i="86"/>
  <c r="K588" i="86"/>
  <c r="AE867" i="82"/>
  <c r="Z1295" i="82"/>
  <c r="K1295" i="86"/>
  <c r="N1295" i="86"/>
  <c r="Y261" i="82"/>
  <c r="AE261" i="82"/>
  <c r="Z15" i="82"/>
  <c r="K15" i="86"/>
  <c r="N15" i="86"/>
  <c r="AE643" i="83"/>
  <c r="Z643" i="83"/>
  <c r="AF1314" i="82"/>
  <c r="Y561" i="82"/>
  <c r="J561" i="86"/>
  <c r="M561" i="86"/>
  <c r="AD251" i="83"/>
  <c r="Y251" i="83"/>
  <c r="AE258" i="83"/>
  <c r="Z258" i="83"/>
  <c r="N1661" i="86"/>
  <c r="K1661" i="86"/>
  <c r="Y867" i="82"/>
  <c r="J867" i="86"/>
  <c r="M867" i="86"/>
  <c r="AK57" i="69"/>
  <c r="AK57" i="70"/>
  <c r="Z1959" i="82"/>
  <c r="K1959" i="86"/>
  <c r="N1959" i="86"/>
  <c r="Y662" i="82"/>
  <c r="J662" i="86"/>
  <c r="M662" i="86"/>
  <c r="Z58" i="82"/>
  <c r="AF58" i="82"/>
  <c r="AF1633" i="82"/>
  <c r="Z1633" i="82"/>
  <c r="N432" i="86"/>
  <c r="K432" i="86"/>
  <c r="Y228" i="82"/>
  <c r="J228" i="86"/>
  <c r="M228" i="86"/>
  <c r="AF1430" i="82"/>
  <c r="Z1430" i="82"/>
  <c r="AF590" i="82"/>
  <c r="Z1815" i="82"/>
  <c r="K1815" i="86"/>
  <c r="N1815" i="86"/>
  <c r="Y466" i="82"/>
  <c r="AE466" i="82"/>
  <c r="M330" i="86"/>
  <c r="J330" i="86"/>
  <c r="Y1111" i="82"/>
  <c r="J1111" i="86"/>
  <c r="M1111" i="86"/>
  <c r="AF1354" i="82"/>
  <c r="Z1354" i="82"/>
  <c r="AE713" i="83"/>
  <c r="Z713" i="83"/>
  <c r="Z1226" i="82"/>
  <c r="AF1226" i="82"/>
  <c r="AE851" i="83"/>
  <c r="Z851" i="83"/>
  <c r="AP20" i="70"/>
  <c r="AF20" i="70"/>
  <c r="Z1510" i="82"/>
  <c r="K1510" i="86"/>
  <c r="N1510" i="86"/>
  <c r="AD10" i="83"/>
  <c r="Y10" i="83"/>
  <c r="AF1441" i="82"/>
  <c r="Z1441" i="82"/>
  <c r="AF428" i="82"/>
  <c r="AF1461" i="82"/>
  <c r="Z1461" i="82"/>
  <c r="M284" i="86"/>
  <c r="J284" i="86"/>
  <c r="M1116" i="86"/>
  <c r="J1116" i="86"/>
  <c r="M682" i="86"/>
  <c r="J682" i="86"/>
  <c r="AE948" i="83"/>
  <c r="Z948" i="83"/>
  <c r="N1371" i="86"/>
  <c r="K1371" i="86"/>
  <c r="N33" i="86"/>
  <c r="K33" i="86"/>
  <c r="M559" i="86"/>
  <c r="J559" i="86"/>
  <c r="M355" i="86"/>
  <c r="J355" i="86"/>
  <c r="N450" i="86"/>
  <c r="K450" i="86"/>
  <c r="M359" i="86"/>
  <c r="J359" i="86"/>
  <c r="AJ63" i="67"/>
  <c r="AJ63" i="68"/>
  <c r="AJ63" i="70"/>
  <c r="AL63" i="70"/>
  <c r="AJ56" i="68"/>
  <c r="AL56" i="68"/>
  <c r="Y437" i="82"/>
  <c r="J437" i="86"/>
  <c r="M437" i="86"/>
  <c r="Z998" i="82"/>
  <c r="AF998" i="82"/>
  <c r="Z1808" i="82"/>
  <c r="AF1808" i="82"/>
  <c r="Z225" i="82"/>
  <c r="AF225" i="82"/>
  <c r="Z588" i="82"/>
  <c r="AF588" i="82"/>
  <c r="N57" i="70"/>
  <c r="T57" i="70"/>
  <c r="AM57" i="70"/>
  <c r="Y1103" i="82"/>
  <c r="AE1103" i="82"/>
  <c r="Y624" i="82"/>
  <c r="AE624" i="82"/>
  <c r="Z219" i="82"/>
  <c r="AF219" i="82"/>
  <c r="Y1014" i="82"/>
  <c r="AE1014" i="82"/>
  <c r="T60" i="68"/>
  <c r="AM60" i="68"/>
  <c r="Z1509" i="82"/>
  <c r="AF1509" i="82"/>
  <c r="Z1798" i="82"/>
  <c r="K1798" i="86"/>
  <c r="N1798" i="86"/>
  <c r="Z1948" i="82"/>
  <c r="AF1948" i="82"/>
  <c r="Z2002" i="82"/>
  <c r="AF2002" i="82"/>
  <c r="Y325" i="82"/>
  <c r="AE325" i="82"/>
  <c r="Z1314" i="82"/>
  <c r="K1314" i="86"/>
  <c r="N1314" i="86"/>
  <c r="Y54" i="82"/>
  <c r="AE54" i="82"/>
  <c r="Z377" i="82"/>
  <c r="AF377" i="82"/>
  <c r="Z1004" i="82"/>
  <c r="AF1004" i="82"/>
  <c r="M95" i="86"/>
  <c r="J95" i="86"/>
  <c r="AK57" i="67"/>
  <c r="AK57" i="68"/>
  <c r="AG57" i="88"/>
  <c r="AG132" i="88"/>
  <c r="AD59" i="83"/>
  <c r="Y59" i="83"/>
  <c r="Z1302" i="82"/>
  <c r="AF1302" i="82"/>
  <c r="Z432" i="82"/>
  <c r="AF432" i="82"/>
  <c r="Y95" i="82"/>
  <c r="AE95" i="82"/>
  <c r="Z1805" i="82"/>
  <c r="AF1805" i="82"/>
  <c r="Z590" i="82"/>
  <c r="K590" i="86"/>
  <c r="N590" i="86"/>
  <c r="Y102" i="82"/>
  <c r="AE102" i="82"/>
  <c r="Z1050" i="82"/>
  <c r="AF1050" i="82"/>
  <c r="Y1006" i="82"/>
  <c r="AE1006" i="82"/>
  <c r="N1605" i="86"/>
  <c r="K1605" i="86"/>
  <c r="AF1931" i="82"/>
  <c r="Y439" i="82"/>
  <c r="AE439" i="82"/>
  <c r="Z1349" i="82"/>
  <c r="AF1349" i="82"/>
  <c r="Y52" i="82"/>
  <c r="AE52" i="82"/>
  <c r="AE664" i="83"/>
  <c r="Z664" i="83"/>
  <c r="Y611" i="82"/>
  <c r="AE611" i="82"/>
  <c r="Y694" i="82"/>
  <c r="AE694" i="82"/>
  <c r="Z1241" i="82"/>
  <c r="AF1241" i="82"/>
  <c r="Y625" i="82"/>
  <c r="AE625" i="82"/>
  <c r="Z899" i="82"/>
  <c r="AF899" i="82"/>
  <c r="Z818" i="82"/>
  <c r="AF818" i="82"/>
  <c r="Z428" i="82"/>
  <c r="K428" i="86"/>
  <c r="N428" i="86"/>
  <c r="Y330" i="82"/>
  <c r="AE330" i="82"/>
  <c r="Z1931" i="82"/>
  <c r="K1931" i="86"/>
  <c r="N1931" i="86"/>
  <c r="N1564" i="86"/>
  <c r="K1564" i="86"/>
  <c r="N314" i="86"/>
  <c r="K314" i="86"/>
  <c r="AJ6" i="68"/>
  <c r="AL6" i="68"/>
  <c r="AE554" i="83"/>
  <c r="Z554" i="83"/>
  <c r="M246" i="86"/>
  <c r="J246" i="86"/>
  <c r="M578" i="86"/>
  <c r="J578" i="86"/>
  <c r="M121" i="86"/>
  <c r="J121" i="86"/>
  <c r="N386" i="86"/>
  <c r="K386" i="86"/>
  <c r="AF1189" i="82"/>
  <c r="Z1189" i="82"/>
  <c r="N1662" i="86"/>
  <c r="K1662" i="86"/>
  <c r="N884" i="86"/>
  <c r="K884" i="86"/>
  <c r="Z382" i="82"/>
  <c r="AF382" i="82"/>
  <c r="AE857" i="82"/>
  <c r="Z314" i="82"/>
  <c r="AF314" i="82"/>
  <c r="N1853" i="86"/>
  <c r="K1853" i="86"/>
  <c r="N1384" i="86"/>
  <c r="K1384" i="86"/>
  <c r="Z31" i="82"/>
  <c r="K31" i="86"/>
  <c r="N31" i="86"/>
  <c r="N1253" i="86"/>
  <c r="K1253" i="86"/>
  <c r="AF1357" i="82"/>
  <c r="Z1357" i="82"/>
  <c r="Z236" i="82"/>
  <c r="AF236" i="82"/>
  <c r="M793" i="86"/>
  <c r="J793" i="86"/>
  <c r="N1452" i="86"/>
  <c r="K1452" i="86"/>
  <c r="Z1853" i="82"/>
  <c r="AF1853" i="82"/>
  <c r="Z1049" i="82"/>
  <c r="AF1049" i="82"/>
  <c r="AK31" i="69"/>
  <c r="AK31" i="68"/>
  <c r="AK31" i="70"/>
  <c r="N1285" i="86"/>
  <c r="K1285" i="86"/>
  <c r="Z48" i="82"/>
  <c r="AF48" i="82"/>
  <c r="AD110" i="83"/>
  <c r="Y110" i="83"/>
  <c r="Z1087" i="82"/>
  <c r="K1087" i="86"/>
  <c r="N1087" i="86"/>
  <c r="AK37" i="69"/>
  <c r="AK37" i="67"/>
  <c r="AK37" i="68"/>
  <c r="AK37" i="70"/>
  <c r="M1107" i="86"/>
  <c r="J1107" i="86"/>
  <c r="Z1291" i="82"/>
  <c r="AF1291" i="82"/>
  <c r="M1196" i="86"/>
  <c r="J1196" i="86"/>
  <c r="M698" i="86"/>
  <c r="J698" i="86"/>
  <c r="AF1234" i="82"/>
  <c r="AF1489" i="82"/>
  <c r="Z1489" i="82"/>
  <c r="Y303" i="82"/>
  <c r="AE303" i="82"/>
  <c r="Y703" i="82"/>
  <c r="AE703" i="82"/>
  <c r="Y407" i="82"/>
  <c r="AE407" i="82"/>
  <c r="M801" i="86"/>
  <c r="J801" i="86"/>
  <c r="M456" i="86"/>
  <c r="J456" i="86"/>
  <c r="N1920" i="86"/>
  <c r="K1920" i="86"/>
  <c r="Y90" i="82"/>
  <c r="J90" i="86"/>
  <c r="M90" i="86"/>
  <c r="M733" i="86"/>
  <c r="J733" i="86"/>
  <c r="AE219" i="83"/>
  <c r="Z219" i="83"/>
  <c r="AJ43" i="68"/>
  <c r="AJ43" i="69"/>
  <c r="AL43" i="69"/>
  <c r="N410" i="86"/>
  <c r="K410" i="86"/>
  <c r="Z1285" i="82"/>
  <c r="AF1285" i="82"/>
  <c r="N1526" i="86"/>
  <c r="K1526" i="86"/>
  <c r="N2013" i="86"/>
  <c r="K2013" i="86"/>
  <c r="AE736" i="83"/>
  <c r="Z736" i="83"/>
  <c r="AE566" i="82"/>
  <c r="AD543" i="83"/>
  <c r="Y543" i="83"/>
  <c r="Y238" i="82"/>
  <c r="J238" i="86"/>
  <c r="M238" i="86"/>
  <c r="Y843" i="82"/>
  <c r="AE843" i="82"/>
  <c r="Z348" i="82"/>
  <c r="AF348" i="82"/>
  <c r="Z396" i="82"/>
  <c r="AF396" i="82"/>
  <c r="M487" i="86"/>
  <c r="J487" i="86"/>
  <c r="AD177" i="83"/>
  <c r="Y177" i="83"/>
  <c r="AF581" i="82"/>
  <c r="AE240" i="82"/>
  <c r="AE854" i="82"/>
  <c r="M515" i="86"/>
  <c r="J515" i="86"/>
  <c r="Y857" i="82"/>
  <c r="J857" i="86"/>
  <c r="M857" i="86"/>
  <c r="AE64" i="82"/>
  <c r="AF412" i="82"/>
  <c r="Y682" i="82"/>
  <c r="AE682" i="82"/>
  <c r="AO7" i="70"/>
  <c r="AE7" i="70"/>
  <c r="AG7" i="70"/>
  <c r="N1557" i="86"/>
  <c r="K1557" i="86"/>
  <c r="Z454" i="82"/>
  <c r="AF454" i="82"/>
  <c r="M618" i="86"/>
  <c r="J618" i="86"/>
  <c r="AE516" i="83"/>
  <c r="Z516" i="83"/>
  <c r="Y355" i="82"/>
  <c r="AE355" i="82"/>
  <c r="M554" i="86"/>
  <c r="J554" i="86"/>
  <c r="N395" i="86"/>
  <c r="K395" i="86"/>
  <c r="N1935" i="86"/>
  <c r="K1935" i="86"/>
  <c r="Y456" i="82"/>
  <c r="AE456" i="82"/>
  <c r="N302" i="86"/>
  <c r="K302" i="86"/>
  <c r="N329" i="86"/>
  <c r="K329" i="86"/>
  <c r="AF1564" i="82"/>
  <c r="Z1564" i="82"/>
  <c r="N973" i="86"/>
  <c r="K973" i="86"/>
  <c r="Z319" i="82"/>
  <c r="K319" i="86"/>
  <c r="N319" i="86"/>
  <c r="Y487" i="82"/>
  <c r="AE487" i="82"/>
  <c r="M180" i="86"/>
  <c r="J180" i="86"/>
  <c r="AE540" i="82"/>
  <c r="Y540" i="82"/>
  <c r="M412" i="86"/>
  <c r="J412" i="86"/>
  <c r="Z33" i="82"/>
  <c r="AF33" i="82"/>
  <c r="Z581" i="82"/>
  <c r="K581" i="86"/>
  <c r="N581" i="86"/>
  <c r="N1411" i="86"/>
  <c r="K1411" i="86"/>
  <c r="Y240" i="82"/>
  <c r="J240" i="86"/>
  <c r="M240" i="86"/>
  <c r="Y854" i="82"/>
  <c r="J854" i="86"/>
  <c r="M854" i="86"/>
  <c r="Y64" i="82"/>
  <c r="J64" i="86"/>
  <c r="M64" i="86"/>
  <c r="Z412" i="82"/>
  <c r="K412" i="86"/>
  <c r="N412" i="86"/>
  <c r="AB140" i="88"/>
  <c r="AB65" i="88"/>
  <c r="AD168" i="83"/>
  <c r="Y168" i="83"/>
  <c r="Y242" i="82"/>
  <c r="AE242" i="82"/>
  <c r="Z1082" i="82"/>
  <c r="AF1082" i="82"/>
  <c r="N42" i="88"/>
  <c r="N117" i="88"/>
  <c r="AE111" i="82"/>
  <c r="N406" i="86"/>
  <c r="K406" i="86"/>
  <c r="Y180" i="82"/>
  <c r="AE180" i="82"/>
  <c r="N1746" i="86"/>
  <c r="K1746" i="86"/>
  <c r="AF1656" i="82"/>
  <c r="Z1656" i="82"/>
  <c r="AE616" i="82"/>
  <c r="N1080" i="86"/>
  <c r="K1080" i="86"/>
  <c r="N1669" i="86"/>
  <c r="K1669" i="86"/>
  <c r="N1246" i="86"/>
  <c r="K1246" i="86"/>
  <c r="N392" i="86"/>
  <c r="K392" i="86"/>
  <c r="N1850" i="86"/>
  <c r="K1850" i="86"/>
  <c r="AE692" i="83"/>
  <c r="Z692" i="83"/>
  <c r="N1278" i="86"/>
  <c r="K1278" i="86"/>
  <c r="AE494" i="82"/>
  <c r="N65" i="67"/>
  <c r="N65" i="68"/>
  <c r="T65" i="68"/>
  <c r="AO65" i="69"/>
  <c r="AE65" i="69"/>
  <c r="AG65" i="69"/>
  <c r="N1821" i="86"/>
  <c r="K1821" i="86"/>
  <c r="N547" i="86"/>
  <c r="K547" i="86"/>
  <c r="Y246" i="82"/>
  <c r="AE246" i="82"/>
  <c r="Y578" i="82"/>
  <c r="AE578" i="82"/>
  <c r="Y111" i="82"/>
  <c r="J111" i="86"/>
  <c r="M111" i="86"/>
  <c r="M341" i="86"/>
  <c r="J341" i="86"/>
  <c r="N1981" i="86"/>
  <c r="K1981" i="86"/>
  <c r="N311" i="86"/>
  <c r="K311" i="86"/>
  <c r="AF1147" i="82"/>
  <c r="Z1147" i="82"/>
  <c r="AC102" i="88"/>
  <c r="AP27" i="69"/>
  <c r="AF27" i="69"/>
  <c r="AC27" i="88"/>
  <c r="N1057" i="86"/>
  <c r="K1057" i="86"/>
  <c r="Z1920" i="82"/>
  <c r="AF1920" i="82"/>
  <c r="AF209" i="82"/>
  <c r="AE402" i="82"/>
  <c r="N898" i="86"/>
  <c r="K898" i="86"/>
  <c r="N532" i="86"/>
  <c r="K532" i="86"/>
  <c r="AF1745" i="82"/>
  <c r="Y145" i="82"/>
  <c r="AE145" i="82"/>
  <c r="Z182" i="83"/>
  <c r="AE182" i="83"/>
  <c r="AE7" i="86"/>
  <c r="N1582" i="86"/>
  <c r="K1582" i="86"/>
  <c r="M681" i="86"/>
  <c r="J681" i="86"/>
  <c r="AE473" i="82"/>
  <c r="M414" i="86"/>
  <c r="J414" i="86"/>
  <c r="N482" i="86"/>
  <c r="K482" i="86"/>
  <c r="M572" i="86"/>
  <c r="J572" i="86"/>
  <c r="N1353" i="86"/>
  <c r="K1353" i="86"/>
  <c r="Y341" i="82"/>
  <c r="AE341" i="82"/>
  <c r="AF579" i="82"/>
  <c r="N5" i="88"/>
  <c r="N80" i="88"/>
  <c r="D11" i="90"/>
  <c r="X11" i="90"/>
  <c r="N1433" i="86"/>
  <c r="K1433" i="86"/>
  <c r="Z1821" i="82"/>
  <c r="AF1821" i="82"/>
  <c r="M1197" i="86"/>
  <c r="J1197" i="86"/>
  <c r="Z406" i="82"/>
  <c r="AF406" i="82"/>
  <c r="M61" i="86"/>
  <c r="J61" i="86"/>
  <c r="AF1488" i="82"/>
  <c r="Z1488" i="82"/>
  <c r="N507" i="86"/>
  <c r="K507" i="86"/>
  <c r="AE730" i="82"/>
  <c r="N473" i="86"/>
  <c r="K473" i="86"/>
  <c r="Z1745" i="82"/>
  <c r="K1745" i="86"/>
  <c r="N1745" i="86"/>
  <c r="Y299" i="82"/>
  <c r="AE299" i="82"/>
  <c r="AF1053" i="82"/>
  <c r="Y616" i="82"/>
  <c r="J616" i="86"/>
  <c r="M616" i="86"/>
  <c r="Y559" i="82"/>
  <c r="AE559" i="82"/>
  <c r="Y473" i="82"/>
  <c r="J473" i="86"/>
  <c r="M473" i="86"/>
  <c r="Y572" i="82"/>
  <c r="AE572" i="82"/>
  <c r="AF1306" i="82"/>
  <c r="Z579" i="82"/>
  <c r="K579" i="86"/>
  <c r="N579" i="86"/>
  <c r="N1993" i="86"/>
  <c r="K1993" i="86"/>
  <c r="AE552" i="83"/>
  <c r="Z552" i="83"/>
  <c r="Z1852" i="82"/>
  <c r="AF1852" i="82"/>
  <c r="AE515" i="82"/>
  <c r="Y515" i="82"/>
  <c r="Z1053" i="82"/>
  <c r="K1053" i="86"/>
  <c r="N1053" i="86"/>
  <c r="AD395" i="83"/>
  <c r="Y395" i="83"/>
  <c r="AP35" i="70"/>
  <c r="AF35" i="70"/>
  <c r="M521" i="86"/>
  <c r="J521" i="86"/>
  <c r="AF1797" i="82"/>
  <c r="Y414" i="82"/>
  <c r="AE414" i="82"/>
  <c r="Y698" i="82"/>
  <c r="AE698" i="82"/>
  <c r="AF61" i="82"/>
  <c r="Z1306" i="82"/>
  <c r="K1306" i="86"/>
  <c r="N1306" i="86"/>
  <c r="AF497" i="82"/>
  <c r="AF1582" i="82"/>
  <c r="Z1582" i="82"/>
  <c r="AF490" i="82"/>
  <c r="N1529" i="86"/>
  <c r="K1529" i="86"/>
  <c r="M100" i="86"/>
  <c r="J100" i="86"/>
  <c r="AF216" i="82"/>
  <c r="AF1621" i="82"/>
  <c r="Z1621" i="82"/>
  <c r="Z748" i="83"/>
  <c r="AE748" i="83"/>
  <c r="AE10" i="86"/>
  <c r="N1454" i="86"/>
  <c r="K1454" i="86"/>
  <c r="Y782" i="82"/>
  <c r="AE782" i="82"/>
  <c r="Y359" i="82"/>
  <c r="AE359" i="82"/>
  <c r="Z2013" i="82"/>
  <c r="AF2013" i="82"/>
  <c r="Z1850" i="82"/>
  <c r="AF1850" i="82"/>
  <c r="N1292" i="86"/>
  <c r="K1292" i="86"/>
  <c r="AF1556" i="82"/>
  <c r="Z1556" i="82"/>
  <c r="AF1367" i="82"/>
  <c r="Z1367" i="82"/>
  <c r="N474" i="86"/>
  <c r="K474" i="86"/>
  <c r="N525" i="86"/>
  <c r="K525" i="86"/>
  <c r="Y199" i="82"/>
  <c r="AE199" i="82"/>
  <c r="Z1278" i="82"/>
  <c r="AF1278" i="82"/>
  <c r="Y412" i="82"/>
  <c r="AE412" i="82"/>
  <c r="M316" i="86"/>
  <c r="J316" i="86"/>
  <c r="AF1721" i="82"/>
  <c r="AJ5" i="68"/>
  <c r="AJ76" i="68"/>
  <c r="AJ81" i="68"/>
  <c r="AJ14" i="69"/>
  <c r="AL14" i="69"/>
  <c r="N1565" i="86"/>
  <c r="K1565" i="86"/>
  <c r="AC133" i="88"/>
  <c r="AC58" i="88"/>
  <c r="AJ58" i="67"/>
  <c r="N58" i="67"/>
  <c r="N58" i="68"/>
  <c r="T58" i="68"/>
  <c r="AP58" i="69"/>
  <c r="AF58" i="69"/>
  <c r="AD138" i="83"/>
  <c r="Y138" i="83"/>
  <c r="M542" i="86"/>
  <c r="J542" i="86"/>
  <c r="N1882" i="86"/>
  <c r="K1882" i="86"/>
  <c r="AF1862" i="82"/>
  <c r="N390" i="86"/>
  <c r="K390" i="86"/>
  <c r="N37" i="86"/>
  <c r="K37" i="86"/>
  <c r="M562" i="86"/>
  <c r="J562" i="86"/>
  <c r="N360" i="86"/>
  <c r="K360" i="86"/>
  <c r="N1749" i="86"/>
  <c r="K1749" i="86"/>
  <c r="N409" i="86"/>
  <c r="K409" i="86"/>
  <c r="AP69" i="69"/>
  <c r="AF69" i="69"/>
  <c r="AC69" i="88"/>
  <c r="AC144" i="88"/>
  <c r="AD438" i="83"/>
  <c r="Y438" i="83"/>
  <c r="Z209" i="82"/>
  <c r="K209" i="86"/>
  <c r="N209" i="86"/>
  <c r="AF2018" i="82"/>
  <c r="Y494" i="82"/>
  <c r="J494" i="86"/>
  <c r="M494" i="86"/>
  <c r="AF871" i="82"/>
  <c r="N42" i="86"/>
  <c r="K42" i="86"/>
  <c r="AE753" i="82"/>
  <c r="Z973" i="82"/>
  <c r="AF973" i="82"/>
  <c r="Y402" i="82"/>
  <c r="J402" i="86"/>
  <c r="M402" i="86"/>
  <c r="AE463" i="82"/>
  <c r="AE236" i="82"/>
  <c r="Y730" i="82"/>
  <c r="J730" i="86"/>
  <c r="M730" i="86"/>
  <c r="Z227" i="82"/>
  <c r="AF227" i="82"/>
  <c r="M203" i="86"/>
  <c r="J203" i="86"/>
  <c r="Y793" i="82"/>
  <c r="AE793" i="82"/>
  <c r="N404" i="86"/>
  <c r="K404" i="86"/>
  <c r="AF1583" i="82"/>
  <c r="Z1583" i="82"/>
  <c r="N1692" i="86"/>
  <c r="K1692" i="86"/>
  <c r="AE66" i="82"/>
  <c r="N1405" i="86"/>
  <c r="K1405" i="86"/>
  <c r="Z490" i="82"/>
  <c r="K490" i="86"/>
  <c r="N490" i="86"/>
  <c r="N1060" i="86"/>
  <c r="K1060" i="86"/>
  <c r="M166" i="86"/>
  <c r="J166" i="86"/>
  <c r="AF1413" i="82"/>
  <c r="Z1413" i="82"/>
  <c r="AF1824" i="82"/>
  <c r="AD55" i="83"/>
  <c r="Y55" i="83"/>
  <c r="Z216" i="82"/>
  <c r="K216" i="86"/>
  <c r="N216" i="86"/>
  <c r="AF993" i="82"/>
  <c r="M360" i="86"/>
  <c r="J360" i="86"/>
  <c r="M864" i="86"/>
  <c r="J864" i="86"/>
  <c r="M58" i="86"/>
  <c r="J58" i="86"/>
  <c r="AD58" i="83"/>
  <c r="Y58" i="83"/>
  <c r="AE788" i="83"/>
  <c r="Z788" i="83"/>
  <c r="N826" i="86"/>
  <c r="K826" i="86"/>
  <c r="AE784" i="83"/>
  <c r="Z784" i="83"/>
  <c r="AE596" i="82"/>
  <c r="M589" i="86"/>
  <c r="J589" i="86"/>
  <c r="AF1516" i="82"/>
  <c r="Z311" i="82"/>
  <c r="AF311" i="82"/>
  <c r="AL37" i="68"/>
  <c r="Z2018" i="82"/>
  <c r="K2018" i="86"/>
  <c r="N2018" i="86"/>
  <c r="Z871" i="82"/>
  <c r="K871" i="86"/>
  <c r="N871" i="86"/>
  <c r="AF442" i="82"/>
  <c r="Z395" i="82"/>
  <c r="AF395" i="82"/>
  <c r="Y753" i="82"/>
  <c r="J753" i="86"/>
  <c r="M753" i="86"/>
  <c r="AF540" i="82"/>
  <c r="Z540" i="82"/>
  <c r="N57" i="86"/>
  <c r="K57" i="86"/>
  <c r="Y463" i="82"/>
  <c r="J463" i="86"/>
  <c r="M463" i="86"/>
  <c r="N1615" i="86"/>
  <c r="K1615" i="86"/>
  <c r="Y236" i="82"/>
  <c r="J236" i="86"/>
  <c r="M236" i="86"/>
  <c r="M377" i="86"/>
  <c r="J377" i="86"/>
  <c r="M134" i="86"/>
  <c r="J134" i="86"/>
  <c r="N1875" i="86"/>
  <c r="K1875" i="86"/>
  <c r="AE1034" i="82"/>
  <c r="M57" i="86"/>
  <c r="J57" i="86"/>
  <c r="Z404" i="82"/>
  <c r="AF404" i="82"/>
  <c r="AD464" i="83"/>
  <c r="Y464" i="83"/>
  <c r="AE171" i="82"/>
  <c r="M297" i="86"/>
  <c r="J297" i="86"/>
  <c r="M74" i="86"/>
  <c r="J74" i="86"/>
  <c r="AF202" i="82"/>
  <c r="AF363" i="82"/>
  <c r="AF1624" i="82"/>
  <c r="Z1624" i="82"/>
  <c r="AD61" i="83"/>
  <c r="Y61" i="83"/>
  <c r="AF1817" i="82"/>
  <c r="AF1689" i="82"/>
  <c r="Z1689" i="82"/>
  <c r="AF193" i="82"/>
  <c r="AE755" i="83"/>
  <c r="Z755" i="83"/>
  <c r="AE78" i="82"/>
  <c r="M538" i="86"/>
  <c r="J538" i="86"/>
  <c r="N1666" i="86"/>
  <c r="K1666" i="86"/>
  <c r="N1069" i="86"/>
  <c r="K1069" i="86"/>
  <c r="AE380" i="82"/>
  <c r="AE458" i="82"/>
  <c r="Y596" i="82"/>
  <c r="J596" i="86"/>
  <c r="M596" i="86"/>
  <c r="AE711" i="82"/>
  <c r="N548" i="86"/>
  <c r="K548" i="86"/>
  <c r="Y681" i="82"/>
  <c r="AE681" i="82"/>
  <c r="N46" i="86"/>
  <c r="K46" i="86"/>
  <c r="N1854" i="86"/>
  <c r="K1854" i="86"/>
  <c r="Y134" i="82"/>
  <c r="AE134" i="82"/>
  <c r="Z482" i="82"/>
  <c r="AF482" i="82"/>
  <c r="AD546" i="83"/>
  <c r="Y546" i="83"/>
  <c r="AF1468" i="82"/>
  <c r="Z1468" i="82"/>
  <c r="Z329" i="82"/>
  <c r="AF329" i="82"/>
  <c r="AF1379" i="82"/>
  <c r="Z1379" i="82"/>
  <c r="Z1516" i="82"/>
  <c r="K1516" i="86"/>
  <c r="N1516" i="86"/>
  <c r="AJ37" i="67"/>
  <c r="AJ37" i="68"/>
  <c r="AF37" i="88"/>
  <c r="AF112" i="88"/>
  <c r="AF1277" i="82"/>
  <c r="Z442" i="82"/>
  <c r="K442" i="86"/>
  <c r="N442" i="86"/>
  <c r="AJ61" i="67"/>
  <c r="N61" i="67"/>
  <c r="N61" i="68"/>
  <c r="T61" i="68"/>
  <c r="AP61" i="69"/>
  <c r="AF61" i="69"/>
  <c r="AC61" i="88"/>
  <c r="AC136" i="88"/>
  <c r="Y203" i="82"/>
  <c r="AE203" i="82"/>
  <c r="Z884" i="82"/>
  <c r="AF884" i="82"/>
  <c r="AF1376" i="82"/>
  <c r="Z1376" i="82"/>
  <c r="Z57" i="82"/>
  <c r="AF57" i="82"/>
  <c r="AF1178" i="82"/>
  <c r="Z1178" i="82"/>
  <c r="AE347" i="82"/>
  <c r="AE379" i="82"/>
  <c r="Z392" i="82"/>
  <c r="AF392" i="82"/>
  <c r="Y1034" i="82"/>
  <c r="J1034" i="86"/>
  <c r="M1034" i="86"/>
  <c r="Y166" i="82"/>
  <c r="AE166" i="82"/>
  <c r="Z202" i="82"/>
  <c r="K202" i="86"/>
  <c r="N202" i="86"/>
  <c r="M405" i="86"/>
  <c r="J405" i="86"/>
  <c r="AF1412" i="82"/>
  <c r="Z1412" i="82"/>
  <c r="Z363" i="82"/>
  <c r="K363" i="86"/>
  <c r="N363" i="86"/>
  <c r="AE273" i="82"/>
  <c r="AF1068" i="82"/>
  <c r="AM60" i="70"/>
  <c r="T60" i="70"/>
  <c r="AJ60" i="67"/>
  <c r="N60" i="67"/>
  <c r="N60" i="68"/>
  <c r="N60" i="70"/>
  <c r="AF4" i="86"/>
  <c r="Y14" i="82"/>
  <c r="J14" i="86"/>
  <c r="R4" i="86"/>
  <c r="X4" i="86"/>
  <c r="Z1817" i="82"/>
  <c r="K1817" i="86"/>
  <c r="N1817" i="86"/>
  <c r="N1606" i="86"/>
  <c r="K1606" i="86"/>
  <c r="AF54" i="70"/>
  <c r="AP54" i="70"/>
  <c r="N488" i="86"/>
  <c r="K488" i="86"/>
  <c r="M336" i="86"/>
  <c r="J336" i="86"/>
  <c r="Y78" i="82"/>
  <c r="J78" i="86"/>
  <c r="M78" i="86"/>
  <c r="AE68" i="82"/>
  <c r="Y380" i="82"/>
  <c r="J380" i="86"/>
  <c r="M380" i="86"/>
  <c r="M454" i="86"/>
  <c r="J454" i="86"/>
  <c r="AM33" i="70"/>
  <c r="N33" i="70"/>
  <c r="T33" i="70"/>
  <c r="M633" i="86"/>
  <c r="J633" i="86"/>
  <c r="AF364" i="82"/>
  <c r="Z61" i="82"/>
  <c r="K61" i="86"/>
  <c r="N61" i="86"/>
  <c r="Z386" i="82"/>
  <c r="AF386" i="82"/>
  <c r="AD340" i="83"/>
  <c r="Y340" i="83"/>
  <c r="N1611" i="86"/>
  <c r="K1611" i="86"/>
  <c r="M320" i="86"/>
  <c r="J320" i="86"/>
  <c r="Z1981" i="82"/>
  <c r="AF1981" i="82"/>
  <c r="Y618" i="82"/>
  <c r="AE618" i="82"/>
  <c r="AF515" i="82"/>
  <c r="Z515" i="82"/>
  <c r="AE725" i="83"/>
  <c r="Z725" i="83"/>
  <c r="Z497" i="82"/>
  <c r="K497" i="86"/>
  <c r="N497" i="86"/>
  <c r="Z1080" i="82"/>
  <c r="AF1080" i="82"/>
  <c r="Z450" i="82"/>
  <c r="AF450" i="82"/>
  <c r="Z46" i="82"/>
  <c r="AF46" i="82"/>
  <c r="Z1854" i="82"/>
  <c r="AF1854" i="82"/>
  <c r="Z1940" i="82"/>
  <c r="AF1940" i="82"/>
  <c r="Z410" i="82"/>
  <c r="AF410" i="82"/>
  <c r="Y320" i="82"/>
  <c r="AE320" i="82"/>
  <c r="Z1746" i="82"/>
  <c r="AF1746" i="82"/>
  <c r="AE174" i="82"/>
  <c r="AF1891" i="82"/>
  <c r="AE513" i="82"/>
  <c r="Y513" i="82"/>
  <c r="AF910" i="82"/>
  <c r="Y733" i="82"/>
  <c r="AE733" i="82"/>
  <c r="Z1277" i="82"/>
  <c r="K1277" i="86"/>
  <c r="N1277" i="86"/>
  <c r="M433" i="86"/>
  <c r="J433" i="86"/>
  <c r="Z42" i="82"/>
  <c r="AF42" i="82"/>
  <c r="AD385" i="83"/>
  <c r="Y385" i="83"/>
  <c r="N1580" i="86"/>
  <c r="K1580" i="86"/>
  <c r="N1706" i="86"/>
  <c r="K1706" i="86"/>
  <c r="AE783" i="82"/>
  <c r="Y347" i="82"/>
  <c r="J347" i="86"/>
  <c r="M347" i="86"/>
  <c r="Y379" i="82"/>
  <c r="J379" i="86"/>
  <c r="M379" i="86"/>
  <c r="N1561" i="86"/>
  <c r="K1561" i="86"/>
  <c r="AF1396" i="82"/>
  <c r="Z1396" i="82"/>
  <c r="N1488" i="86"/>
  <c r="K1488" i="86"/>
  <c r="AE86" i="82"/>
  <c r="AE138" i="82"/>
  <c r="AF1124" i="82"/>
  <c r="Z1068" i="82"/>
  <c r="K1068" i="86"/>
  <c r="N1068" i="86"/>
  <c r="AE780" i="83"/>
  <c r="Z780" i="83"/>
  <c r="N322" i="86"/>
  <c r="K322" i="86"/>
  <c r="N1168" i="86"/>
  <c r="K1168" i="86"/>
  <c r="AE446" i="82"/>
  <c r="AE726" i="82"/>
  <c r="N1370" i="86"/>
  <c r="K1370" i="86"/>
  <c r="M358" i="86"/>
  <c r="J358" i="86"/>
  <c r="M503" i="86"/>
  <c r="J503" i="86"/>
  <c r="N310" i="86"/>
  <c r="K310" i="86"/>
  <c r="M265" i="86"/>
  <c r="J265" i="86"/>
  <c r="M148" i="86"/>
  <c r="J148" i="86"/>
  <c r="Y121" i="82"/>
  <c r="AE121" i="82"/>
  <c r="M283" i="86"/>
  <c r="J283" i="86"/>
  <c r="N120" i="88"/>
  <c r="N45" i="88"/>
  <c r="Y174" i="82"/>
  <c r="J174" i="86"/>
  <c r="M174" i="86"/>
  <c r="Z1891" i="82"/>
  <c r="K1891" i="86"/>
  <c r="N1891" i="86"/>
  <c r="Y1107" i="82"/>
  <c r="AE1107" i="82"/>
  <c r="Z910" i="82"/>
  <c r="K910" i="86"/>
  <c r="N910" i="86"/>
  <c r="Y499" i="82"/>
  <c r="AE499" i="82"/>
  <c r="AE326" i="82"/>
  <c r="Y433" i="82"/>
  <c r="AE433" i="82"/>
  <c r="AE291" i="82"/>
  <c r="AK22" i="69"/>
  <c r="AK22" i="70"/>
  <c r="Z1935" i="82"/>
  <c r="AF1935" i="82"/>
  <c r="Z1706" i="82"/>
  <c r="AF1706" i="82"/>
  <c r="AE640" i="82"/>
  <c r="AF809" i="82"/>
  <c r="N1495" i="86"/>
  <c r="K1495" i="86"/>
  <c r="Y783" i="82"/>
  <c r="J783" i="86"/>
  <c r="M783" i="86"/>
  <c r="AE70" i="82"/>
  <c r="AF1506" i="82"/>
  <c r="M281" i="86"/>
  <c r="J281" i="86"/>
  <c r="M712" i="86"/>
  <c r="J712" i="86"/>
  <c r="Y86" i="82"/>
  <c r="J86" i="86"/>
  <c r="M86" i="86"/>
  <c r="Y138" i="82"/>
  <c r="J138" i="86"/>
  <c r="M138" i="86"/>
  <c r="N990" i="86"/>
  <c r="K990" i="86"/>
  <c r="AE509" i="82"/>
  <c r="Y509" i="82"/>
  <c r="AE750" i="82"/>
  <c r="Z1124" i="82"/>
  <c r="K1124" i="86"/>
  <c r="N1124" i="86"/>
  <c r="AF1232" i="82"/>
  <c r="AF1391" i="82"/>
  <c r="Z1391" i="82"/>
  <c r="AK39" i="70"/>
  <c r="AK39" i="69"/>
  <c r="AF407" i="82"/>
  <c r="Z1253" i="82"/>
  <c r="AF1253" i="82"/>
  <c r="N982" i="86"/>
  <c r="K982" i="86"/>
  <c r="N1435" i="86"/>
  <c r="K1435" i="86"/>
  <c r="M71" i="86"/>
  <c r="J71" i="86"/>
  <c r="M53" i="86"/>
  <c r="J53" i="86"/>
  <c r="N1997" i="86"/>
  <c r="K1997" i="86"/>
  <c r="AF1270" i="82"/>
  <c r="N368" i="86"/>
  <c r="K368" i="86"/>
  <c r="N1466" i="86"/>
  <c r="K1466" i="86"/>
  <c r="AE447" i="82"/>
  <c r="Z317" i="82"/>
  <c r="AF317" i="82"/>
  <c r="Z1797" i="82"/>
  <c r="K1797" i="86"/>
  <c r="N1797" i="86"/>
  <c r="M504" i="86"/>
  <c r="J504" i="86"/>
  <c r="N529" i="86"/>
  <c r="K529" i="86"/>
  <c r="Y801" i="82"/>
  <c r="AE801" i="82"/>
  <c r="Z1234" i="82"/>
  <c r="K1234" i="86"/>
  <c r="N1234" i="86"/>
  <c r="N1148" i="86"/>
  <c r="K1148" i="86"/>
  <c r="Z1270" i="82"/>
  <c r="K1270" i="86"/>
  <c r="N1270" i="86"/>
  <c r="Z1526" i="82"/>
  <c r="AF1526" i="82"/>
  <c r="Z1246" i="82"/>
  <c r="AF1246" i="82"/>
  <c r="Y326" i="82"/>
  <c r="J326" i="86"/>
  <c r="M326" i="86"/>
  <c r="Y447" i="82"/>
  <c r="J447" i="86"/>
  <c r="M447" i="86"/>
  <c r="Y377" i="82"/>
  <c r="AE377" i="82"/>
  <c r="Y291" i="82"/>
  <c r="J291" i="86"/>
  <c r="M291" i="86"/>
  <c r="AK22" i="67"/>
  <c r="AK22" i="68"/>
  <c r="AG22" i="88"/>
  <c r="AG97" i="88"/>
  <c r="Y640" i="82"/>
  <c r="J640" i="86"/>
  <c r="M640" i="86"/>
  <c r="Z809" i="82"/>
  <c r="K809" i="86"/>
  <c r="N809" i="86"/>
  <c r="M525" i="86"/>
  <c r="J525" i="86"/>
  <c r="M331" i="86"/>
  <c r="J331" i="86"/>
  <c r="M1161" i="86"/>
  <c r="J1161" i="86"/>
  <c r="AE237" i="83"/>
  <c r="Z237" i="83"/>
  <c r="AD101" i="83"/>
  <c r="Y101" i="83"/>
  <c r="Y281" i="82"/>
  <c r="AE281" i="82"/>
  <c r="Z1292" i="82"/>
  <c r="AF1292" i="82"/>
  <c r="AF1569" i="82"/>
  <c r="Z1569" i="82"/>
  <c r="AE783" i="83"/>
  <c r="Z783" i="83"/>
  <c r="AE865" i="83"/>
  <c r="Z865" i="83"/>
  <c r="Y750" i="82"/>
  <c r="J750" i="86"/>
  <c r="M750" i="86"/>
  <c r="AL65" i="68"/>
  <c r="Y331" i="82"/>
  <c r="AE331" i="82"/>
  <c r="N1430" i="86"/>
  <c r="K1430" i="86"/>
  <c r="N1147" i="86"/>
  <c r="K1147" i="86"/>
  <c r="AF435" i="82"/>
  <c r="AF391" i="82"/>
  <c r="AF418" i="82"/>
  <c r="AF1560" i="82"/>
  <c r="Z1560" i="82"/>
  <c r="Y316" i="82"/>
  <c r="AE316" i="82"/>
  <c r="Z407" i="82"/>
  <c r="K407" i="86"/>
  <c r="N407" i="86"/>
  <c r="AF997" i="82"/>
  <c r="N207" i="86"/>
  <c r="K207" i="86"/>
  <c r="M736" i="86"/>
  <c r="J736" i="86"/>
  <c r="Z1882" i="82"/>
  <c r="AF1882" i="82"/>
  <c r="N1530" i="86"/>
  <c r="K1530" i="86"/>
  <c r="Z390" i="82"/>
  <c r="AF390" i="82"/>
  <c r="Z1718" i="82"/>
  <c r="AF1718" i="82"/>
  <c r="N1555" i="86"/>
  <c r="K1555" i="86"/>
  <c r="M237" i="86"/>
  <c r="J237" i="86"/>
  <c r="M94" i="86"/>
  <c r="J94" i="86"/>
  <c r="M193" i="86"/>
  <c r="J193" i="86"/>
  <c r="N1489" i="86"/>
  <c r="K1489" i="86"/>
  <c r="Y171" i="82"/>
  <c r="J171" i="86"/>
  <c r="M171" i="86"/>
  <c r="M536" i="86"/>
  <c r="J536" i="86"/>
  <c r="Y66" i="82"/>
  <c r="J66" i="86"/>
  <c r="M66" i="86"/>
  <c r="AE1193" i="82"/>
  <c r="Y1193" i="82"/>
  <c r="Z1232" i="82"/>
  <c r="K1232" i="86"/>
  <c r="N1232" i="86"/>
  <c r="Y273" i="82"/>
  <c r="J273" i="86"/>
  <c r="M273" i="86"/>
  <c r="Y100" i="82"/>
  <c r="AE100" i="82"/>
  <c r="AE569" i="83"/>
  <c r="Z569" i="83"/>
  <c r="Z1506" i="82"/>
  <c r="K1506" i="86"/>
  <c r="N1506" i="86"/>
  <c r="Z322" i="82"/>
  <c r="AF322" i="82"/>
  <c r="N1354" i="86"/>
  <c r="K1354" i="86"/>
  <c r="Y57" i="82"/>
  <c r="AE57" i="82"/>
  <c r="AK39" i="68"/>
  <c r="AG39" i="88"/>
  <c r="AG114" i="88"/>
  <c r="Z488" i="82"/>
  <c r="AF488" i="82"/>
  <c r="Z1721" i="82"/>
  <c r="K1721" i="86"/>
  <c r="N1721" i="86"/>
  <c r="Z332" i="82"/>
  <c r="AF332" i="82"/>
  <c r="Z993" i="82"/>
  <c r="K993" i="86"/>
  <c r="N993" i="86"/>
  <c r="M531" i="86"/>
  <c r="J531" i="86"/>
  <c r="AF384" i="82"/>
  <c r="Z207" i="82"/>
  <c r="AF207" i="82"/>
  <c r="AE340" i="82"/>
  <c r="Y736" i="82"/>
  <c r="AE736" i="82"/>
  <c r="AJ72" i="67"/>
  <c r="N72" i="67"/>
  <c r="N72" i="68"/>
  <c r="N72" i="69"/>
  <c r="T72" i="69"/>
  <c r="AM72" i="69"/>
  <c r="Z1530" i="82"/>
  <c r="AF1530" i="82"/>
  <c r="Z1069" i="82"/>
  <c r="AF1069" i="82"/>
  <c r="Y284" i="82"/>
  <c r="AE284" i="82"/>
  <c r="AE773" i="83"/>
  <c r="Z773" i="83"/>
  <c r="Y53" i="82"/>
  <c r="AE53" i="82"/>
  <c r="Y354" i="82"/>
  <c r="AE354" i="82"/>
  <c r="Y458" i="82"/>
  <c r="J458" i="86"/>
  <c r="M458" i="86"/>
  <c r="Y566" i="82"/>
  <c r="J566" i="86"/>
  <c r="M566" i="86"/>
  <c r="Y562" i="82"/>
  <c r="AE562" i="82"/>
  <c r="M270" i="86"/>
  <c r="J270" i="86"/>
  <c r="Y633" i="82"/>
  <c r="AE633" i="82"/>
  <c r="AL22" i="70"/>
  <c r="AJ22" i="70"/>
  <c r="M65" i="86"/>
  <c r="J65" i="86"/>
  <c r="N30" i="86"/>
  <c r="K30" i="86"/>
  <c r="M116" i="86"/>
  <c r="J116" i="86"/>
  <c r="M846" i="86"/>
  <c r="J846" i="86"/>
  <c r="M98" i="86"/>
  <c r="J98" i="86"/>
  <c r="M189" i="86"/>
  <c r="J189" i="86"/>
  <c r="M718" i="86"/>
  <c r="J718" i="86"/>
  <c r="N1129" i="86"/>
  <c r="K1129" i="86"/>
  <c r="N1301" i="86"/>
  <c r="K1301" i="86"/>
  <c r="N514" i="86"/>
  <c r="K514" i="86"/>
  <c r="N1587" i="86"/>
  <c r="K1587" i="86"/>
  <c r="AE1025" i="82"/>
  <c r="AD336" i="83"/>
  <c r="Y336" i="83"/>
  <c r="AD380" i="83"/>
  <c r="Y380" i="83"/>
  <c r="AE800" i="82"/>
  <c r="N1266" i="86"/>
  <c r="K1266" i="86"/>
  <c r="AE610" i="83"/>
  <c r="Z610" i="83"/>
  <c r="Z391" i="82"/>
  <c r="K391" i="86"/>
  <c r="N391" i="86"/>
  <c r="M685" i="86"/>
  <c r="J685" i="86"/>
  <c r="Z1824" i="82"/>
  <c r="K1824" i="86"/>
  <c r="N1824" i="86"/>
  <c r="Z193" i="82"/>
  <c r="K193" i="86"/>
  <c r="N193" i="86"/>
  <c r="N35" i="86"/>
  <c r="K35" i="86"/>
  <c r="Y446" i="82"/>
  <c r="J446" i="86"/>
  <c r="M446" i="86"/>
  <c r="U14" i="93"/>
  <c r="AJ55" i="67"/>
  <c r="N55" i="67"/>
  <c r="N55" i="68"/>
  <c r="T55" i="68"/>
  <c r="AM55" i="68"/>
  <c r="R14" i="93"/>
  <c r="Z997" i="82"/>
  <c r="K997" i="86"/>
  <c r="N997" i="86"/>
  <c r="Z1816" i="82"/>
  <c r="AF1816" i="82"/>
  <c r="AD265" i="83"/>
  <c r="Y265" i="83"/>
  <c r="M547" i="86"/>
  <c r="J547" i="86"/>
  <c r="M462" i="86"/>
  <c r="J462" i="86"/>
  <c r="AP6" i="70"/>
  <c r="AF6" i="70"/>
  <c r="N299" i="86"/>
  <c r="K299" i="86"/>
  <c r="AE249" i="82"/>
  <c r="M529" i="86"/>
  <c r="J529" i="86"/>
  <c r="Z1862" i="82"/>
  <c r="K1862" i="86"/>
  <c r="N1862" i="86"/>
  <c r="Z384" i="82"/>
  <c r="K384" i="86"/>
  <c r="N384" i="86"/>
  <c r="AF50" i="82"/>
  <c r="Y68" i="82"/>
  <c r="J68" i="86"/>
  <c r="M68" i="86"/>
  <c r="AE11" i="70"/>
  <c r="AG11" i="70"/>
  <c r="AM11" i="70"/>
  <c r="AE782" i="83"/>
  <c r="Z782" i="83"/>
  <c r="AF1804" i="82"/>
  <c r="AF1404" i="82"/>
  <c r="Z1404" i="82"/>
  <c r="N1142" i="86"/>
  <c r="K1142" i="86"/>
  <c r="AF8" i="82"/>
  <c r="Z473" i="82"/>
  <c r="AF473" i="82"/>
  <c r="N1067" i="86"/>
  <c r="K1067" i="86"/>
  <c r="AF439" i="82"/>
  <c r="Y1025" i="82"/>
  <c r="J1025" i="86"/>
  <c r="M1025" i="86"/>
  <c r="N23" i="86"/>
  <c r="K23" i="86"/>
  <c r="M55" i="86"/>
  <c r="J55" i="86"/>
  <c r="AL44" i="68"/>
  <c r="AE922" i="82"/>
  <c r="M92" i="86"/>
  <c r="J92" i="86"/>
  <c r="M1105" i="86"/>
  <c r="J1105" i="86"/>
  <c r="M161" i="86"/>
  <c r="J161" i="86"/>
  <c r="AF1425" i="82"/>
  <c r="Z1425" i="82"/>
  <c r="Y358" i="82"/>
  <c r="AE358" i="82"/>
  <c r="M516" i="86"/>
  <c r="J516" i="86"/>
  <c r="Y685" i="82"/>
  <c r="AE685" i="82"/>
  <c r="Z310" i="82"/>
  <c r="AF310" i="82"/>
  <c r="Y249" i="82"/>
  <c r="J249" i="86"/>
  <c r="M249" i="86"/>
  <c r="Y265" i="82"/>
  <c r="AE265" i="82"/>
  <c r="Y148" i="82"/>
  <c r="AE148" i="82"/>
  <c r="Z50" i="82"/>
  <c r="K50" i="86"/>
  <c r="N50" i="86"/>
  <c r="N353" i="86"/>
  <c r="K353" i="86"/>
  <c r="AF1971" i="82"/>
  <c r="AF303" i="82"/>
  <c r="Z1804" i="82"/>
  <c r="K1804" i="86"/>
  <c r="N1804" i="86"/>
  <c r="AE470" i="82"/>
  <c r="AD369" i="83"/>
  <c r="Y369" i="83"/>
  <c r="Z8" i="82"/>
  <c r="K8" i="86"/>
  <c r="N8" i="86"/>
  <c r="AF192" i="82"/>
  <c r="N942" i="86"/>
  <c r="K942" i="86"/>
  <c r="AE231" i="82"/>
  <c r="M863" i="86"/>
  <c r="J863" i="86"/>
  <c r="AL33" i="68"/>
  <c r="AC137" i="88"/>
  <c r="AC62" i="88"/>
  <c r="AF62" i="69"/>
  <c r="AJ62" i="67"/>
  <c r="N62" i="67"/>
  <c r="N62" i="68"/>
  <c r="T62" i="68"/>
  <c r="AP62" i="69"/>
  <c r="AE720" i="82"/>
  <c r="N1414" i="86"/>
  <c r="K1414" i="86"/>
  <c r="AE845" i="82"/>
  <c r="AE304" i="82"/>
  <c r="N1091" i="86"/>
  <c r="K1091" i="86"/>
  <c r="AE749" i="82"/>
  <c r="N415" i="86"/>
  <c r="K415" i="86"/>
  <c r="M397" i="86"/>
  <c r="J397" i="86"/>
  <c r="Y218" i="83"/>
  <c r="AD218" i="83"/>
  <c r="AJ6" i="83"/>
  <c r="Y462" i="82"/>
  <c r="AE462" i="82"/>
  <c r="Z303" i="82"/>
  <c r="K303" i="86"/>
  <c r="N303" i="86"/>
  <c r="Z1769" i="82"/>
  <c r="AF1769" i="82"/>
  <c r="AD284" i="83"/>
  <c r="Y284" i="83"/>
  <c r="Y470" i="82"/>
  <c r="J470" i="86"/>
  <c r="M470" i="86"/>
  <c r="N829" i="86"/>
  <c r="K829" i="86"/>
  <c r="AF1228" i="82"/>
  <c r="N1364" i="86"/>
  <c r="K1364" i="86"/>
  <c r="AD100" i="83"/>
  <c r="Y100" i="83"/>
  <c r="M108" i="86"/>
  <c r="J108" i="86"/>
  <c r="AJ33" i="68"/>
  <c r="AJ33" i="70"/>
  <c r="AL33" i="70"/>
  <c r="Y720" i="82"/>
  <c r="J720" i="86"/>
  <c r="M720" i="86"/>
  <c r="AF1235" i="82"/>
  <c r="Y845" i="82"/>
  <c r="J845" i="86"/>
  <c r="M845" i="86"/>
  <c r="N41" i="86"/>
  <c r="K41" i="86"/>
  <c r="Y65" i="82"/>
  <c r="AE65" i="82"/>
  <c r="AE841" i="82"/>
  <c r="AF185" i="82"/>
  <c r="AE729" i="82"/>
  <c r="AF370" i="82"/>
  <c r="N510" i="86"/>
  <c r="K510" i="86"/>
  <c r="AM45" i="70"/>
  <c r="T45" i="70"/>
  <c r="N45" i="70"/>
  <c r="M85" i="86"/>
  <c r="J85" i="86"/>
  <c r="N1925" i="86"/>
  <c r="K1925" i="86"/>
  <c r="AD329" i="83"/>
  <c r="Y329" i="83"/>
  <c r="N41" i="70"/>
  <c r="T41" i="70"/>
  <c r="AM41" i="70"/>
  <c r="AJ65" i="67"/>
  <c r="AJ65" i="68"/>
  <c r="AJ65" i="70"/>
  <c r="AL65" i="70"/>
  <c r="AD130" i="83"/>
  <c r="Y130" i="83"/>
  <c r="N1588" i="86"/>
  <c r="K1588" i="86"/>
  <c r="Z1060" i="82"/>
  <c r="AF1060" i="82"/>
  <c r="Z474" i="82"/>
  <c r="AF474" i="82"/>
  <c r="Y340" i="82"/>
  <c r="J340" i="86"/>
  <c r="M340" i="86"/>
  <c r="Z435" i="82"/>
  <c r="K435" i="86"/>
  <c r="N435" i="86"/>
  <c r="Z1875" i="82"/>
  <c r="AF1875" i="82"/>
  <c r="Y712" i="82"/>
  <c r="AE712" i="82"/>
  <c r="Z418" i="82"/>
  <c r="K418" i="86"/>
  <c r="N418" i="86"/>
  <c r="Z898" i="82"/>
  <c r="AF898" i="82"/>
  <c r="Z990" i="82"/>
  <c r="AF990" i="82"/>
  <c r="Z829" i="82"/>
  <c r="AF829" i="82"/>
  <c r="Y405" i="82"/>
  <c r="AE405" i="82"/>
  <c r="Y336" i="82"/>
  <c r="AE336" i="82"/>
  <c r="AF1390" i="82"/>
  <c r="Z1390" i="82"/>
  <c r="Y726" i="82"/>
  <c r="J726" i="86"/>
  <c r="M726" i="86"/>
  <c r="Y360" i="82"/>
  <c r="AE360" i="82"/>
  <c r="Z982" i="82"/>
  <c r="AF982" i="82"/>
  <c r="Y1007" i="82"/>
  <c r="AE1007" i="82"/>
  <c r="Z353" i="82"/>
  <c r="AF353" i="82"/>
  <c r="Y58" i="82"/>
  <c r="AE58" i="82"/>
  <c r="Z1971" i="82"/>
  <c r="K1971" i="86"/>
  <c r="N1971" i="86"/>
  <c r="Z826" i="82"/>
  <c r="AF826" i="82"/>
  <c r="Y71" i="82"/>
  <c r="AE71" i="82"/>
  <c r="Y70" i="82"/>
  <c r="J70" i="86"/>
  <c r="M70" i="86"/>
  <c r="Y864" i="82"/>
  <c r="AE864" i="82"/>
  <c r="Z37" i="82"/>
  <c r="AF37" i="82"/>
  <c r="AD80" i="83"/>
  <c r="Y80" i="83"/>
  <c r="Z1997" i="82"/>
  <c r="AF1997" i="82"/>
  <c r="Z299" i="82"/>
  <c r="AF299" i="82"/>
  <c r="Y454" i="82"/>
  <c r="AE454" i="82"/>
  <c r="Y237" i="82"/>
  <c r="AE237" i="82"/>
  <c r="Y589" i="82"/>
  <c r="AE589" i="82"/>
  <c r="Y283" i="82"/>
  <c r="AE283" i="82"/>
  <c r="N194" i="86"/>
  <c r="K194" i="86"/>
  <c r="AE585" i="82"/>
  <c r="Y304" i="82"/>
  <c r="J304" i="86"/>
  <c r="M304" i="86"/>
  <c r="N1861" i="86"/>
  <c r="K1861" i="86"/>
  <c r="AG56" i="69"/>
  <c r="Z1235" i="82"/>
  <c r="K1235" i="86"/>
  <c r="N1235" i="86"/>
  <c r="AF1408" i="82"/>
  <c r="AJ45" i="67"/>
  <c r="N45" i="67"/>
  <c r="N45" i="68"/>
  <c r="T45" i="68"/>
  <c r="AM45" i="68"/>
  <c r="Z1408" i="82"/>
  <c r="AE737" i="82"/>
  <c r="Y841" i="82"/>
  <c r="J841" i="86"/>
  <c r="M841" i="86"/>
  <c r="M1017" i="86"/>
  <c r="J1017" i="86"/>
  <c r="AE195" i="82"/>
  <c r="AF504" i="82"/>
  <c r="Z504" i="82"/>
  <c r="AE1030" i="82"/>
  <c r="N1171" i="86"/>
  <c r="K1171" i="86"/>
  <c r="H35" i="93"/>
  <c r="E35" i="93"/>
  <c r="N470" i="86"/>
  <c r="K470" i="86"/>
  <c r="N1191" i="86"/>
  <c r="K1191" i="86"/>
  <c r="R33" i="93"/>
  <c r="U33" i="93"/>
  <c r="M110" i="86"/>
  <c r="J110" i="86"/>
  <c r="Y74" i="82"/>
  <c r="AE74" i="82"/>
  <c r="M714" i="86"/>
  <c r="J714" i="86"/>
  <c r="Y193" i="82"/>
  <c r="AE193" i="82"/>
  <c r="Z368" i="82"/>
  <c r="AF368" i="82"/>
  <c r="N1409" i="86"/>
  <c r="K1409" i="86"/>
  <c r="N874" i="86"/>
  <c r="K874" i="86"/>
  <c r="M657" i="86"/>
  <c r="J657" i="86"/>
  <c r="Y270" i="82"/>
  <c r="AE270" i="82"/>
  <c r="Z194" i="82"/>
  <c r="AF194" i="82"/>
  <c r="Y585" i="82"/>
  <c r="J585" i="86"/>
  <c r="M585" i="86"/>
  <c r="Z1228" i="82"/>
  <c r="K1228" i="86"/>
  <c r="N1228" i="86"/>
  <c r="N1849" i="86"/>
  <c r="K1849" i="86"/>
  <c r="AE806" i="83"/>
  <c r="Z806" i="83"/>
  <c r="E13" i="93"/>
  <c r="AD68" i="83"/>
  <c r="Y68" i="83"/>
  <c r="Z364" i="82"/>
  <c r="K364" i="86"/>
  <c r="N364" i="86"/>
  <c r="Z470" i="82"/>
  <c r="AF470" i="82"/>
  <c r="Y116" i="82"/>
  <c r="AE116" i="82"/>
  <c r="N2011" i="86"/>
  <c r="K2011" i="86"/>
  <c r="N927" i="86"/>
  <c r="K927" i="86"/>
  <c r="Z35" i="82"/>
  <c r="AF35" i="82"/>
  <c r="N1612" i="86"/>
  <c r="K1612" i="86"/>
  <c r="AE385" i="82"/>
  <c r="N5" i="86"/>
  <c r="K5" i="86"/>
  <c r="Y729" i="82"/>
  <c r="J729" i="86"/>
  <c r="M729" i="86"/>
  <c r="Y1017" i="82"/>
  <c r="AE1017" i="82"/>
  <c r="Z415" i="82"/>
  <c r="AF415" i="82"/>
  <c r="Z1043" i="82"/>
  <c r="AF1043" i="82"/>
  <c r="Y714" i="82"/>
  <c r="AE714" i="82"/>
  <c r="AE312" i="82"/>
  <c r="AJ44" i="68"/>
  <c r="AF44" i="88"/>
  <c r="AF119" i="88"/>
  <c r="U5" i="93"/>
  <c r="R5" i="93"/>
  <c r="AD228" i="83"/>
  <c r="Y228" i="83"/>
  <c r="AF1751" i="82"/>
  <c r="N527" i="86"/>
  <c r="K527" i="86"/>
  <c r="N522" i="86"/>
  <c r="K522" i="86"/>
  <c r="E12" i="93"/>
  <c r="N907" i="86"/>
  <c r="K907" i="86"/>
  <c r="AD374" i="83"/>
  <c r="Y374" i="83"/>
  <c r="M734" i="86"/>
  <c r="J734" i="86"/>
  <c r="AD504" i="83"/>
  <c r="Y504" i="83"/>
  <c r="AE257" i="82"/>
  <c r="N1236" i="86"/>
  <c r="K1236" i="86"/>
  <c r="AE221" i="82"/>
  <c r="Y749" i="82"/>
  <c r="J749" i="86"/>
  <c r="M749" i="86"/>
  <c r="M775" i="86"/>
  <c r="J775" i="86"/>
  <c r="AE282" i="82"/>
  <c r="AE556" i="82"/>
  <c r="Y195" i="82"/>
  <c r="J195" i="86"/>
  <c r="M195" i="86"/>
  <c r="AF526" i="82"/>
  <c r="Z526" i="82"/>
  <c r="E36" i="93"/>
  <c r="H36" i="93"/>
  <c r="M160" i="86"/>
  <c r="J160" i="86"/>
  <c r="N1543" i="86"/>
  <c r="K1543" i="86"/>
  <c r="N1803" i="86"/>
  <c r="K1803" i="86"/>
  <c r="N1720" i="86"/>
  <c r="K1720" i="86"/>
  <c r="M263" i="86"/>
  <c r="J263" i="86"/>
  <c r="M301" i="86"/>
  <c r="J301" i="86"/>
  <c r="AE891" i="83"/>
  <c r="Z891" i="83"/>
  <c r="AM29" i="69"/>
  <c r="T29" i="69"/>
  <c r="N29" i="69"/>
  <c r="N352" i="86"/>
  <c r="K352" i="86"/>
  <c r="AF1353" i="82"/>
  <c r="Z1353" i="82"/>
  <c r="M255" i="86"/>
  <c r="J255" i="86"/>
  <c r="N38" i="68"/>
  <c r="T38" i="68"/>
  <c r="AO38" i="70"/>
  <c r="AE38" i="70"/>
  <c r="AG38" i="70"/>
  <c r="AG104" i="88"/>
  <c r="AG29" i="88"/>
  <c r="AE619" i="83"/>
  <c r="Z619" i="83"/>
  <c r="AM67" i="69"/>
  <c r="T67" i="69"/>
  <c r="AJ67" i="67"/>
  <c r="N67" i="67"/>
  <c r="N67" i="68"/>
  <c r="N67" i="69"/>
  <c r="AD425" i="83"/>
  <c r="Y425" i="83"/>
  <c r="AE917" i="82"/>
  <c r="AD274" i="83"/>
  <c r="Y274" i="83"/>
  <c r="AF1210" i="82"/>
  <c r="Z1210" i="82"/>
  <c r="R12" i="93"/>
  <c r="U12" i="93"/>
  <c r="Z185" i="82"/>
  <c r="K185" i="86"/>
  <c r="N185" i="86"/>
  <c r="Y231" i="82"/>
  <c r="J231" i="86"/>
  <c r="M231" i="86"/>
  <c r="N1549" i="86"/>
  <c r="K1549" i="86"/>
  <c r="N438" i="86"/>
  <c r="K438" i="86"/>
  <c r="N970" i="86"/>
  <c r="K970" i="86"/>
  <c r="AG69" i="69"/>
  <c r="Y282" i="82"/>
  <c r="J282" i="86"/>
  <c r="M282" i="86"/>
  <c r="Y556" i="82"/>
  <c r="J556" i="86"/>
  <c r="M556" i="86"/>
  <c r="M758" i="86"/>
  <c r="J758" i="86"/>
  <c r="AE484" i="82"/>
  <c r="AE269" i="83"/>
  <c r="Z269" i="83"/>
  <c r="N190" i="86"/>
  <c r="K190" i="86"/>
  <c r="R29" i="93"/>
  <c r="U29" i="93"/>
  <c r="N456" i="86"/>
  <c r="K456" i="86"/>
  <c r="M474" i="86"/>
  <c r="J474" i="86"/>
  <c r="E18" i="93"/>
  <c r="AF563" i="82"/>
  <c r="N1921" i="86"/>
  <c r="K1921" i="86"/>
  <c r="N1473" i="86"/>
  <c r="K1473" i="86"/>
  <c r="AF1756" i="82"/>
  <c r="Z1529" i="82"/>
  <c r="AF1529" i="82"/>
  <c r="M77" i="86"/>
  <c r="J77" i="86"/>
  <c r="AE621" i="82"/>
  <c r="Z302" i="82"/>
  <c r="AF302" i="82"/>
  <c r="Y758" i="82"/>
  <c r="AE758" i="82"/>
  <c r="Y484" i="82"/>
  <c r="J484" i="86"/>
  <c r="M484" i="86"/>
  <c r="AF1073" i="82"/>
  <c r="AF1174" i="82"/>
  <c r="Z1174" i="82"/>
  <c r="N1650" i="86"/>
  <c r="K1650" i="86"/>
  <c r="Z5" i="82"/>
  <c r="AF5" i="82"/>
  <c r="M954" i="86"/>
  <c r="J954" i="86"/>
  <c r="AF421" i="82"/>
  <c r="N197" i="86"/>
  <c r="K197" i="86"/>
  <c r="AE867" i="83"/>
  <c r="Z867" i="83"/>
  <c r="AD272" i="83"/>
  <c r="Y272" i="83"/>
  <c r="Y263" i="82"/>
  <c r="AE263" i="82"/>
  <c r="AK29" i="69"/>
  <c r="AK78" i="67"/>
  <c r="AK83" i="67"/>
  <c r="AK29" i="68"/>
  <c r="AK29" i="70"/>
  <c r="AF365" i="82"/>
  <c r="M626" i="86"/>
  <c r="J626" i="86"/>
  <c r="Y31" i="83"/>
  <c r="AD31" i="83"/>
  <c r="Z563" i="82"/>
  <c r="K563" i="86"/>
  <c r="N563" i="86"/>
  <c r="N1738" i="86"/>
  <c r="K1738" i="86"/>
  <c r="Y110" i="82"/>
  <c r="AE110" i="82"/>
  <c r="N1391" i="86"/>
  <c r="K1391" i="86"/>
  <c r="E11" i="93"/>
  <c r="Y800" i="82"/>
  <c r="J800" i="86"/>
  <c r="M800" i="86"/>
  <c r="Y711" i="82"/>
  <c r="J711" i="86"/>
  <c r="M711" i="86"/>
  <c r="N1460" i="86"/>
  <c r="K1460" i="86"/>
  <c r="Z192" i="82"/>
  <c r="K192" i="86"/>
  <c r="N192" i="86"/>
  <c r="Y385" i="82"/>
  <c r="J385" i="86"/>
  <c r="M385" i="86"/>
  <c r="Y737" i="82"/>
  <c r="J737" i="86"/>
  <c r="M737" i="86"/>
  <c r="Y954" i="82"/>
  <c r="AE954" i="82"/>
  <c r="N888" i="86"/>
  <c r="K888" i="86"/>
  <c r="Z1756" i="82"/>
  <c r="K1756" i="86"/>
  <c r="N1756" i="86"/>
  <c r="M505" i="86"/>
  <c r="J505" i="86"/>
  <c r="M471" i="86"/>
  <c r="J471" i="86"/>
  <c r="N1375" i="86"/>
  <c r="K1375" i="86"/>
  <c r="Z439" i="82"/>
  <c r="K439" i="86"/>
  <c r="N439" i="86"/>
  <c r="Y94" i="82"/>
  <c r="AE94" i="82"/>
  <c r="Y718" i="82"/>
  <c r="AE718" i="82"/>
  <c r="Z23" i="82"/>
  <c r="AF23" i="82"/>
  <c r="Y312" i="82"/>
  <c r="J312" i="86"/>
  <c r="M312" i="86"/>
  <c r="Z30" i="82"/>
  <c r="AF30" i="82"/>
  <c r="Z41" i="82"/>
  <c r="AF41" i="82"/>
  <c r="AF1576" i="82"/>
  <c r="Z1576" i="82"/>
  <c r="Y471" i="82"/>
  <c r="AE471" i="82"/>
  <c r="Y108" i="82"/>
  <c r="AE108" i="82"/>
  <c r="M119" i="86"/>
  <c r="J119" i="86"/>
  <c r="Y621" i="82"/>
  <c r="J621" i="86"/>
  <c r="M621" i="86"/>
  <c r="N1299" i="86"/>
  <c r="K1299" i="86"/>
  <c r="Z1073" i="82"/>
  <c r="K1073" i="86"/>
  <c r="N1073" i="86"/>
  <c r="R32" i="93"/>
  <c r="U32" i="93"/>
  <c r="AF320" i="82"/>
  <c r="AE194" i="82"/>
  <c r="AE293" i="82"/>
  <c r="AF555" i="82"/>
  <c r="Z555" i="82"/>
  <c r="Z421" i="82"/>
  <c r="K421" i="86"/>
  <c r="N421" i="86"/>
  <c r="AF342" i="82"/>
  <c r="M1028" i="86"/>
  <c r="J1028" i="86"/>
  <c r="AF1515" i="82"/>
  <c r="Z438" i="82"/>
  <c r="AF438" i="82"/>
  <c r="AE390" i="82"/>
  <c r="Y98" i="82"/>
  <c r="AE98" i="82"/>
  <c r="AL70" i="68"/>
  <c r="Y61" i="82"/>
  <c r="AE61" i="82"/>
  <c r="N1381" i="86"/>
  <c r="K1381" i="86"/>
  <c r="Z365" i="82"/>
  <c r="K365" i="86"/>
  <c r="N365" i="86"/>
  <c r="AF1545" i="82"/>
  <c r="Z1545" i="82"/>
  <c r="AF1629" i="82"/>
  <c r="Z1629" i="82"/>
  <c r="AE1094" i="82"/>
  <c r="N414" i="86"/>
  <c r="K414" i="86"/>
  <c r="M721" i="86"/>
  <c r="J721" i="86"/>
  <c r="Z940" i="83"/>
  <c r="AE940" i="83"/>
  <c r="AE11" i="86"/>
  <c r="AD312" i="83"/>
  <c r="Y312" i="83"/>
  <c r="AF1040" i="82"/>
  <c r="N1255" i="86"/>
  <c r="K1255" i="86"/>
  <c r="Y55" i="82"/>
  <c r="AE55" i="82"/>
  <c r="AF1740" i="82"/>
  <c r="AF1698" i="82"/>
  <c r="Y1030" i="82"/>
  <c r="J1030" i="86"/>
  <c r="M1030" i="86"/>
  <c r="Y293" i="82"/>
  <c r="J293" i="86"/>
  <c r="M293" i="86"/>
  <c r="Y657" i="82"/>
  <c r="AE657" i="82"/>
  <c r="Z342" i="82"/>
  <c r="K342" i="86"/>
  <c r="N342" i="86"/>
  <c r="Z1515" i="82"/>
  <c r="K1515" i="86"/>
  <c r="N1515" i="86"/>
  <c r="AF47" i="70"/>
  <c r="AP47" i="70"/>
  <c r="Y390" i="82"/>
  <c r="J390" i="86"/>
  <c r="M390" i="86"/>
  <c r="AF1626" i="82"/>
  <c r="Z1626" i="82"/>
  <c r="AE616" i="83"/>
  <c r="Z616" i="83"/>
  <c r="Z1740" i="82"/>
  <c r="K1740" i="86"/>
  <c r="N1740" i="86"/>
  <c r="AJ70" i="68"/>
  <c r="AJ70" i="69"/>
  <c r="AL70" i="69"/>
  <c r="M1198" i="86"/>
  <c r="J1198" i="86"/>
  <c r="M645" i="86"/>
  <c r="J645" i="86"/>
  <c r="Y161" i="82"/>
  <c r="AE161" i="82"/>
  <c r="M614" i="86"/>
  <c r="J614" i="86"/>
  <c r="N1620" i="86"/>
  <c r="K1620" i="86"/>
  <c r="Y1094" i="82"/>
  <c r="J1094" i="86"/>
  <c r="M1094" i="86"/>
  <c r="M167" i="86"/>
  <c r="J167" i="86"/>
  <c r="AF3" i="82"/>
  <c r="E22" i="93"/>
  <c r="H22" i="93"/>
  <c r="E20" i="93"/>
  <c r="H20" i="93"/>
  <c r="N1190" i="86"/>
  <c r="K1190" i="86"/>
  <c r="AF1602" i="82"/>
  <c r="Z1602" i="82"/>
  <c r="M438" i="86"/>
  <c r="J438" i="86"/>
  <c r="AE322" i="82"/>
  <c r="AB7" i="86"/>
  <c r="AF298" i="82"/>
  <c r="Y77" i="82"/>
  <c r="AE77" i="82"/>
  <c r="Z970" i="82"/>
  <c r="AF970" i="82"/>
  <c r="Y775" i="82"/>
  <c r="AE775" i="82"/>
  <c r="AE386" i="82"/>
  <c r="Z370" i="82"/>
  <c r="K370" i="86"/>
  <c r="N370" i="86"/>
  <c r="Z1040" i="82"/>
  <c r="K1040" i="86"/>
  <c r="N1040" i="86"/>
  <c r="Z1299" i="82"/>
  <c r="AF1299" i="82"/>
  <c r="Z1698" i="82"/>
  <c r="K1698" i="86"/>
  <c r="N1698" i="86"/>
  <c r="Z320" i="82"/>
  <c r="K320" i="86"/>
  <c r="N320" i="86"/>
  <c r="Y160" i="82"/>
  <c r="AE160" i="82"/>
  <c r="N400" i="86"/>
  <c r="K400" i="86"/>
  <c r="Z1803" i="82"/>
  <c r="AF1803" i="82"/>
  <c r="N1434" i="86"/>
  <c r="K1434" i="86"/>
  <c r="Z1129" i="82"/>
  <c r="AF1129" i="82"/>
  <c r="Z1236" i="82"/>
  <c r="AF1236" i="82"/>
  <c r="Y922" i="82"/>
  <c r="J922" i="86"/>
  <c r="M922" i="86"/>
  <c r="AO69" i="69"/>
  <c r="AE69" i="69"/>
  <c r="AB69" i="88"/>
  <c r="AB144" i="88"/>
  <c r="Y386" i="82"/>
  <c r="J386" i="86"/>
  <c r="M386" i="86"/>
  <c r="N1136" i="86"/>
  <c r="K1136" i="86"/>
  <c r="E9" i="93"/>
  <c r="N824" i="86"/>
  <c r="K824" i="86"/>
  <c r="Z1849" i="82"/>
  <c r="AF1849" i="82"/>
  <c r="Y194" i="82"/>
  <c r="J194" i="86"/>
  <c r="M194" i="86"/>
  <c r="N550" i="86"/>
  <c r="K550" i="86"/>
  <c r="AF1091" i="82"/>
  <c r="Y301" i="82"/>
  <c r="AE301" i="82"/>
  <c r="N1592" i="86"/>
  <c r="K1592" i="86"/>
  <c r="AE534" i="83"/>
  <c r="Z534" i="83"/>
  <c r="AE595" i="82"/>
  <c r="AE727" i="82"/>
  <c r="N234" i="86"/>
  <c r="K234" i="86"/>
  <c r="N500" i="86"/>
  <c r="K500" i="86"/>
  <c r="U13" i="93"/>
  <c r="R13" i="93"/>
  <c r="Y645" i="82"/>
  <c r="AE645" i="82"/>
  <c r="AE23" i="82"/>
  <c r="AE549" i="82"/>
  <c r="Y549" i="82"/>
  <c r="N424" i="86"/>
  <c r="K424" i="86"/>
  <c r="AF1825" i="82"/>
  <c r="AE178" i="82"/>
  <c r="AE434" i="82"/>
  <c r="AE235" i="82"/>
  <c r="AF1061" i="82"/>
  <c r="AE1166" i="82"/>
  <c r="Y1166" i="82"/>
  <c r="N198" i="86"/>
  <c r="K198" i="86"/>
  <c r="AF1962" i="82"/>
  <c r="N1467" i="86"/>
  <c r="K1467" i="86"/>
  <c r="M752" i="86"/>
  <c r="J752" i="86"/>
  <c r="AF38" i="82"/>
  <c r="N1844" i="86"/>
  <c r="K1844" i="86"/>
  <c r="I36" i="93"/>
  <c r="F36" i="93"/>
  <c r="F35" i="93"/>
  <c r="I35" i="93"/>
  <c r="Z1925" i="82"/>
  <c r="AF1925" i="82"/>
  <c r="AF1660" i="82"/>
  <c r="Z1660" i="82"/>
  <c r="AF1996" i="82"/>
  <c r="AG25" i="70"/>
  <c r="AE25" i="70"/>
  <c r="AO25" i="70"/>
  <c r="Z400" i="82"/>
  <c r="AF400" i="82"/>
  <c r="AE267" i="82"/>
  <c r="Z1091" i="82"/>
  <c r="K1186" i="86"/>
  <c r="N1186" i="86"/>
  <c r="AE409" i="82"/>
  <c r="Y595" i="82"/>
  <c r="J595" i="86"/>
  <c r="M595" i="86"/>
  <c r="Y727" i="82"/>
  <c r="J727" i="86"/>
  <c r="M727" i="86"/>
  <c r="N1355" i="86"/>
  <c r="K1355" i="86"/>
  <c r="N405" i="86"/>
  <c r="K405" i="86"/>
  <c r="M1104" i="86"/>
  <c r="J1104" i="86"/>
  <c r="U9" i="93"/>
  <c r="R9" i="93"/>
  <c r="Z1475" i="82"/>
  <c r="AF1475" i="82"/>
  <c r="M957" i="86"/>
  <c r="J957" i="86"/>
  <c r="Y23" i="82"/>
  <c r="J23" i="86"/>
  <c r="M23" i="86"/>
  <c r="AD360" i="83"/>
  <c r="Y360" i="83"/>
  <c r="AE574" i="82"/>
  <c r="E15" i="93"/>
  <c r="Z1825" i="82"/>
  <c r="K1825" i="86"/>
  <c r="N1825" i="86"/>
  <c r="M567" i="86"/>
  <c r="J567" i="86"/>
  <c r="Y178" i="82"/>
  <c r="J178" i="86"/>
  <c r="M178" i="86"/>
  <c r="Y235" i="82"/>
  <c r="J235" i="86"/>
  <c r="M235" i="86"/>
  <c r="Z1061" i="82"/>
  <c r="K1061" i="86"/>
  <c r="N1061" i="86"/>
  <c r="AE570" i="82"/>
  <c r="AK7" i="70"/>
  <c r="AK7" i="69"/>
  <c r="N1064" i="86"/>
  <c r="K1064" i="86"/>
  <c r="N994" i="86"/>
  <c r="K994" i="86"/>
  <c r="AJ73" i="67"/>
  <c r="N73" i="67"/>
  <c r="N73" i="68"/>
  <c r="T73" i="68"/>
  <c r="AM73" i="68"/>
  <c r="Z1996" i="82"/>
  <c r="K1996" i="86"/>
  <c r="N1996" i="86"/>
  <c r="N30" i="68"/>
  <c r="T30" i="68"/>
  <c r="AM30" i="68"/>
  <c r="Y567" i="82"/>
  <c r="AE567" i="82"/>
  <c r="T40" i="68"/>
  <c r="AM40" i="68"/>
  <c r="Z1301" i="82"/>
  <c r="AF1301" i="82"/>
  <c r="Z874" i="82"/>
  <c r="AF874" i="82"/>
  <c r="Z1255" i="82"/>
  <c r="AF1255" i="82"/>
  <c r="AO56" i="69"/>
  <c r="AE56" i="69"/>
  <c r="AB56" i="88"/>
  <c r="AB131" i="88"/>
  <c r="N1247" i="86"/>
  <c r="K1247" i="86"/>
  <c r="Y1028" i="82"/>
  <c r="AE1028" i="82"/>
  <c r="Z197" i="82"/>
  <c r="AF197" i="82"/>
  <c r="M1194" i="86"/>
  <c r="J1194" i="86"/>
  <c r="Y119" i="82"/>
  <c r="AE119" i="82"/>
  <c r="N1790" i="86"/>
  <c r="K1790" i="86"/>
  <c r="Z1751" i="82"/>
  <c r="K1751" i="86"/>
  <c r="N1751" i="86"/>
  <c r="AE197" i="83"/>
  <c r="Z197" i="83"/>
  <c r="AE19" i="82"/>
  <c r="M1110" i="86"/>
  <c r="J1110" i="86"/>
  <c r="AF459" i="82"/>
  <c r="AF1534" i="82"/>
  <c r="Z1720" i="82"/>
  <c r="AF1720" i="82"/>
  <c r="N1873" i="86"/>
  <c r="K1873" i="86"/>
  <c r="Y409" i="82"/>
  <c r="J409" i="86"/>
  <c r="M409" i="86"/>
  <c r="AE181" i="82"/>
  <c r="AF979" i="82"/>
  <c r="M692" i="86"/>
  <c r="J692" i="86"/>
  <c r="AF312" i="82"/>
  <c r="AJ57" i="67"/>
  <c r="N57" i="67"/>
  <c r="N57" i="68"/>
  <c r="T57" i="68"/>
  <c r="AO57" i="70"/>
  <c r="AE57" i="70"/>
  <c r="AG57" i="70"/>
  <c r="AD163" i="83"/>
  <c r="Y163" i="83"/>
  <c r="M784" i="86"/>
  <c r="J784" i="86"/>
  <c r="Z234" i="82"/>
  <c r="AF234" i="82"/>
  <c r="AF900" i="82"/>
  <c r="AF326" i="82"/>
  <c r="Y574" i="82"/>
  <c r="J574" i="86"/>
  <c r="M574" i="86"/>
  <c r="N15" i="69"/>
  <c r="T15" i="69"/>
  <c r="AM15" i="69"/>
  <c r="Y28" i="83"/>
  <c r="AD28" i="83"/>
  <c r="M60" i="86"/>
  <c r="J60" i="86"/>
  <c r="N24" i="86"/>
  <c r="K24" i="86"/>
  <c r="M527" i="86"/>
  <c r="J527" i="86"/>
  <c r="M427" i="86"/>
  <c r="J427" i="86"/>
  <c r="N991" i="86"/>
  <c r="K991" i="86"/>
  <c r="AE808" i="83"/>
  <c r="Z808" i="83"/>
  <c r="M144" i="86"/>
  <c r="J144" i="86"/>
  <c r="AF447" i="82"/>
  <c r="AF1384" i="82"/>
  <c r="Z1384" i="82"/>
  <c r="AF574" i="82"/>
  <c r="M704" i="86"/>
  <c r="J704" i="86"/>
  <c r="AL22" i="68"/>
  <c r="Z1749" i="82"/>
  <c r="AF1749" i="82"/>
  <c r="Z1790" i="82"/>
  <c r="AF1790" i="82"/>
  <c r="Z190" i="82"/>
  <c r="AF190" i="82"/>
  <c r="Z1873" i="82"/>
  <c r="AF1873" i="82"/>
  <c r="Z1057" i="82"/>
  <c r="AF1057" i="82"/>
  <c r="Y19" i="82"/>
  <c r="J19" i="86"/>
  <c r="M19" i="86"/>
  <c r="AM9" i="70"/>
  <c r="AO5" i="70"/>
  <c r="AO76" i="70"/>
  <c r="AO78" i="70"/>
  <c r="AE9" i="70"/>
  <c r="AG9" i="70"/>
  <c r="Z459" i="82"/>
  <c r="K459" i="86"/>
  <c r="N459" i="86"/>
  <c r="AJ53" i="67"/>
  <c r="N53" i="67"/>
  <c r="N53" i="68"/>
  <c r="T53" i="68"/>
  <c r="AM53" i="68"/>
  <c r="Z1534" i="82"/>
  <c r="K1534" i="86"/>
  <c r="N1534" i="86"/>
  <c r="AE852" i="83"/>
  <c r="Z852" i="83"/>
  <c r="M1021" i="86"/>
  <c r="J1021" i="86"/>
  <c r="Y957" i="82"/>
  <c r="AE957" i="82"/>
  <c r="AJ9" i="86"/>
  <c r="V9" i="86"/>
  <c r="Z1217" i="82"/>
  <c r="K1217" i="86"/>
  <c r="N1217" i="86"/>
  <c r="Y181" i="82"/>
  <c r="J181" i="86"/>
  <c r="M181" i="86"/>
  <c r="Z979" i="82"/>
  <c r="K979" i="86"/>
  <c r="N979" i="86"/>
  <c r="Z312" i="82"/>
  <c r="K312" i="86"/>
  <c r="N312" i="86"/>
  <c r="Z405" i="82"/>
  <c r="AF405" i="82"/>
  <c r="M175" i="86"/>
  <c r="J175" i="86"/>
  <c r="N1363" i="86"/>
  <c r="K1363" i="86"/>
  <c r="AF32" i="82"/>
  <c r="Z900" i="82"/>
  <c r="K900" i="86"/>
  <c r="N900" i="86"/>
  <c r="Z326" i="82"/>
  <c r="K326" i="86"/>
  <c r="N326" i="86"/>
  <c r="AE196" i="82"/>
  <c r="AF1056" i="82"/>
  <c r="N1855" i="86"/>
  <c r="K1855" i="86"/>
  <c r="Z24" i="82"/>
  <c r="AF24" i="82"/>
  <c r="N1608" i="86"/>
  <c r="K1608" i="86"/>
  <c r="N1407" i="86"/>
  <c r="K1407" i="86"/>
  <c r="AF1757" i="82"/>
  <c r="N427" i="86"/>
  <c r="K427" i="86"/>
  <c r="AF1942" i="82"/>
  <c r="AL20" i="68"/>
  <c r="AE435" i="82"/>
  <c r="Y85" i="82"/>
  <c r="AE85" i="82"/>
  <c r="Z888" i="82"/>
  <c r="AF888" i="82"/>
  <c r="N553" i="86"/>
  <c r="K553" i="86"/>
  <c r="AE1116" i="82"/>
  <c r="Z1247" i="82"/>
  <c r="AF1247" i="82"/>
  <c r="Z456" i="82"/>
  <c r="AF456" i="82"/>
  <c r="Z1861" i="82"/>
  <c r="AF1861" i="82"/>
  <c r="AF478" i="82"/>
  <c r="M518" i="86"/>
  <c r="J518" i="86"/>
  <c r="E23" i="93"/>
  <c r="H21" i="93"/>
  <c r="H23" i="93"/>
  <c r="E21" i="93"/>
  <c r="M1011" i="86"/>
  <c r="J1011" i="86"/>
  <c r="AE592" i="82"/>
  <c r="Z907" i="82"/>
  <c r="AF907" i="82"/>
  <c r="Y474" i="82"/>
  <c r="AE474" i="82"/>
  <c r="Y614" i="82"/>
  <c r="AE614" i="82"/>
  <c r="Y692" i="82"/>
  <c r="AE692" i="82"/>
  <c r="AE153" i="82"/>
  <c r="Y863" i="82"/>
  <c r="AE863" i="82"/>
  <c r="AB5" i="86"/>
  <c r="Z182" i="82"/>
  <c r="AF182" i="82"/>
  <c r="M615" i="86"/>
  <c r="J615" i="86"/>
  <c r="AE207" i="83"/>
  <c r="Z207" i="83"/>
  <c r="M457" i="86"/>
  <c r="J457" i="86"/>
  <c r="AD172" i="83"/>
  <c r="Y172" i="83"/>
  <c r="AD13" i="83"/>
  <c r="Y13" i="83"/>
  <c r="N1960" i="86"/>
  <c r="K1960" i="86"/>
  <c r="AF1239" i="82"/>
  <c r="AF503" i="82"/>
  <c r="M1032" i="86"/>
  <c r="J1032" i="86"/>
  <c r="N477" i="86"/>
  <c r="K477" i="86"/>
  <c r="Y435" i="82"/>
  <c r="J435" i="86"/>
  <c r="M435" i="86"/>
  <c r="M520" i="86"/>
  <c r="J520" i="86"/>
  <c r="M192" i="86"/>
  <c r="J192" i="86"/>
  <c r="Y438" i="82"/>
  <c r="AE438" i="82"/>
  <c r="N560" i="86"/>
  <c r="K560" i="86"/>
  <c r="Z1239" i="82"/>
  <c r="K1239" i="86"/>
  <c r="N1239" i="86"/>
  <c r="N1985" i="86"/>
  <c r="K1985" i="86"/>
  <c r="AF945" i="82"/>
  <c r="AF876" i="82"/>
  <c r="Y721" i="82"/>
  <c r="AE721" i="82"/>
  <c r="AA7" i="86"/>
  <c r="N1305" i="86"/>
  <c r="K1305" i="86"/>
  <c r="Z2" i="82"/>
  <c r="AF2" i="82"/>
  <c r="AB4" i="86"/>
  <c r="Z560" i="82"/>
  <c r="AF560" i="82"/>
  <c r="M510" i="86"/>
  <c r="J510" i="86"/>
  <c r="AF908" i="82"/>
  <c r="AE195" i="83"/>
  <c r="Z195" i="83"/>
  <c r="K515" i="86"/>
  <c r="N515" i="86"/>
  <c r="Y322" i="82"/>
  <c r="J322" i="86"/>
  <c r="M322" i="86"/>
  <c r="AK7" i="67"/>
  <c r="AK7" i="68"/>
  <c r="AG7" i="88"/>
  <c r="AG82" i="88"/>
  <c r="K526" i="86"/>
  <c r="N526" i="86"/>
  <c r="Y752" i="82"/>
  <c r="AE752" i="82"/>
  <c r="N1485" i="86"/>
  <c r="K1485" i="86"/>
  <c r="Z38" i="82"/>
  <c r="K38" i="86"/>
  <c r="N38" i="86"/>
  <c r="AJ78" i="67"/>
  <c r="AJ83" i="67"/>
  <c r="AJ20" i="68"/>
  <c r="AJ20" i="69"/>
  <c r="AL20" i="69"/>
  <c r="Z1136" i="82"/>
  <c r="AF1136" i="82"/>
  <c r="N221" i="86"/>
  <c r="K221" i="86"/>
  <c r="N4" i="86"/>
  <c r="K4" i="86"/>
  <c r="Z574" i="82"/>
  <c r="K574" i="86"/>
  <c r="N574" i="86"/>
  <c r="N1558" i="86"/>
  <c r="K1558" i="86"/>
  <c r="Z703" i="83"/>
  <c r="AE703" i="83"/>
  <c r="M99" i="86"/>
  <c r="J99" i="86"/>
  <c r="K523" i="86"/>
  <c r="N523" i="86"/>
  <c r="Y297" i="82"/>
  <c r="AE297" i="82"/>
  <c r="N1799" i="86"/>
  <c r="K1799" i="86"/>
  <c r="M129" i="86"/>
  <c r="J129" i="86"/>
  <c r="AF379" i="82"/>
  <c r="M344" i="86"/>
  <c r="J344" i="86"/>
  <c r="Y267" i="82"/>
  <c r="J267" i="86"/>
  <c r="M267" i="86"/>
  <c r="AF325" i="82"/>
  <c r="Z1266" i="82"/>
  <c r="AF1266" i="82"/>
  <c r="Y1021" i="82"/>
  <c r="AE1021" i="82"/>
  <c r="M130" i="86"/>
  <c r="J130" i="86"/>
  <c r="AF1045" i="82"/>
  <c r="AF27" i="82"/>
  <c r="AF1083" i="82"/>
  <c r="AO74" i="70"/>
  <c r="AE74" i="70"/>
  <c r="AG74" i="70"/>
  <c r="AF49" i="82"/>
  <c r="AE444" i="82"/>
  <c r="N1399" i="86"/>
  <c r="K1399" i="86"/>
  <c r="Z1738" i="82"/>
  <c r="AF1738" i="82"/>
  <c r="Z32" i="82"/>
  <c r="K32" i="86"/>
  <c r="N32" i="86"/>
  <c r="Y189" i="82"/>
  <c r="AE189" i="82"/>
  <c r="Y1011" i="82"/>
  <c r="AE1011" i="82"/>
  <c r="Z298" i="82"/>
  <c r="K298" i="86"/>
  <c r="S7" i="86"/>
  <c r="Y7" i="86"/>
  <c r="AG7" i="86"/>
  <c r="Y196" i="82"/>
  <c r="J196" i="86"/>
  <c r="M196" i="86"/>
  <c r="AD23" i="83"/>
  <c r="Y23" i="83"/>
  <c r="Z1056" i="82"/>
  <c r="K1056" i="86"/>
  <c r="N1056" i="86"/>
  <c r="Z503" i="82"/>
  <c r="K543" i="86"/>
  <c r="N543" i="86"/>
  <c r="H5" i="93"/>
  <c r="E5" i="93"/>
  <c r="E7" i="93"/>
  <c r="H7" i="93"/>
  <c r="AF1857" i="82"/>
  <c r="F5" i="93"/>
  <c r="I6" i="93"/>
  <c r="F6" i="93"/>
  <c r="I5" i="93"/>
  <c r="Z414" i="82"/>
  <c r="AF414" i="82"/>
  <c r="J1158" i="86"/>
  <c r="M1158" i="86"/>
  <c r="AF1702" i="82"/>
  <c r="Z4" i="82"/>
  <c r="AF4" i="82"/>
  <c r="Y257" i="82"/>
  <c r="J257" i="86"/>
  <c r="M257" i="86"/>
  <c r="Z1757" i="82"/>
  <c r="K1757" i="86"/>
  <c r="N1757" i="86"/>
  <c r="Y917" i="82"/>
  <c r="J917" i="86"/>
  <c r="M917" i="86"/>
  <c r="Y1116" i="82"/>
  <c r="J1195" i="86"/>
  <c r="M1195" i="86"/>
  <c r="AE855" i="82"/>
  <c r="Z1962" i="82"/>
  <c r="K1962" i="86"/>
  <c r="N1962" i="86"/>
  <c r="N29" i="68"/>
  <c r="T29" i="68"/>
  <c r="AM29" i="68"/>
  <c r="Y570" i="82"/>
  <c r="J570" i="86"/>
  <c r="M570" i="86"/>
  <c r="Y427" i="82"/>
  <c r="AE427" i="82"/>
  <c r="Y434" i="82"/>
  <c r="J434" i="86"/>
  <c r="M434" i="86"/>
  <c r="Z447" i="82"/>
  <c r="K447" i="86"/>
  <c r="N447" i="86"/>
  <c r="Z945" i="82"/>
  <c r="K945" i="86"/>
  <c r="N945" i="86"/>
  <c r="N1063" i="86"/>
  <c r="K1063" i="86"/>
  <c r="Z908" i="82"/>
  <c r="K908" i="86"/>
  <c r="N908" i="86"/>
  <c r="Z477" i="82"/>
  <c r="AF477" i="82"/>
  <c r="Z3" i="82"/>
  <c r="K3" i="86"/>
  <c r="N3" i="86"/>
  <c r="AJ46" i="67"/>
  <c r="N46" i="67"/>
  <c r="N46" i="68"/>
  <c r="T46" i="68"/>
  <c r="AM46" i="68"/>
  <c r="Z683" i="83"/>
  <c r="AE683" i="83"/>
  <c r="Y298" i="82"/>
  <c r="AE298" i="82"/>
  <c r="AK4" i="82"/>
  <c r="AL4" i="82"/>
  <c r="M660" i="86"/>
  <c r="J660" i="86"/>
  <c r="N20" i="68"/>
  <c r="T20" i="68"/>
  <c r="AM20" i="68"/>
  <c r="Y221" i="82"/>
  <c r="J221" i="86"/>
  <c r="M221" i="86"/>
  <c r="Z1942" i="82"/>
  <c r="K1942" i="86"/>
  <c r="N1942" i="86"/>
  <c r="Z876" i="82"/>
  <c r="K876" i="86"/>
  <c r="N876" i="86"/>
  <c r="N184" i="86"/>
  <c r="K184" i="86"/>
  <c r="AJ22" i="68"/>
  <c r="AF22" i="88"/>
  <c r="AF97" i="88"/>
  <c r="Z478" i="82"/>
  <c r="K528" i="86"/>
  <c r="N528" i="86"/>
  <c r="AE1016" i="82"/>
  <c r="AK51" i="69"/>
  <c r="AK51" i="70"/>
  <c r="AE235" i="83"/>
  <c r="Z235" i="83"/>
  <c r="N1539" i="86"/>
  <c r="K1539" i="86"/>
  <c r="Z1799" i="82"/>
  <c r="AF1799" i="82"/>
  <c r="Y1110" i="82"/>
  <c r="AE1110" i="82"/>
  <c r="Y129" i="82"/>
  <c r="AE129" i="82"/>
  <c r="Z379" i="82"/>
  <c r="K379" i="86"/>
  <c r="N379" i="86"/>
  <c r="M508" i="86"/>
  <c r="J508" i="86"/>
  <c r="Y344" i="82"/>
  <c r="AE344" i="82"/>
  <c r="AF880" i="82"/>
  <c r="Z325" i="82"/>
  <c r="K325" i="86"/>
  <c r="N325" i="86"/>
  <c r="R6" i="93"/>
  <c r="U6" i="93"/>
  <c r="Y255" i="82"/>
  <c r="AE255" i="82"/>
  <c r="Y130" i="82"/>
  <c r="AE130" i="82"/>
  <c r="Y1105" i="82"/>
  <c r="AE1105" i="82"/>
  <c r="Z27" i="82"/>
  <c r="K27" i="86"/>
  <c r="N27" i="86"/>
  <c r="Z1083" i="82"/>
  <c r="K1083" i="86"/>
  <c r="N1083" i="86"/>
  <c r="AE151" i="82"/>
  <c r="Z49" i="82"/>
  <c r="K49" i="86"/>
  <c r="N49" i="86"/>
  <c r="M528" i="86"/>
  <c r="J528" i="86"/>
  <c r="Y444" i="82"/>
  <c r="J444" i="86"/>
  <c r="M444" i="86"/>
  <c r="AO21" i="70"/>
  <c r="AE21" i="70"/>
  <c r="AG21" i="70"/>
  <c r="N468" i="86"/>
  <c r="K468" i="86"/>
  <c r="AE83" i="82"/>
  <c r="R28" i="93"/>
  <c r="AJ69" i="67"/>
  <c r="N69" i="67"/>
  <c r="N69" i="68"/>
  <c r="T69" i="68"/>
  <c r="AM69" i="68"/>
  <c r="U28" i="93"/>
  <c r="M429" i="86"/>
  <c r="J429" i="86"/>
  <c r="AF1579" i="82"/>
  <c r="Z1579" i="82"/>
  <c r="AD47" i="83"/>
  <c r="Y47" i="83"/>
  <c r="N210" i="86"/>
  <c r="K210" i="86"/>
  <c r="Y626" i="82"/>
  <c r="AE626" i="82"/>
  <c r="M18" i="86"/>
  <c r="J18" i="86"/>
  <c r="AF21" i="82"/>
  <c r="Y784" i="82"/>
  <c r="AE784" i="82"/>
  <c r="Z1857" i="82"/>
  <c r="K1857" i="86"/>
  <c r="N1857" i="86"/>
  <c r="Y734" i="82"/>
  <c r="AE734" i="82"/>
  <c r="M107" i="86"/>
  <c r="J107" i="86"/>
  <c r="N834" i="86"/>
  <c r="K834" i="86"/>
  <c r="T5" i="68"/>
  <c r="AM5" i="68"/>
  <c r="Y60" i="82"/>
  <c r="AE60" i="82"/>
  <c r="AD503" i="83"/>
  <c r="Y503" i="83"/>
  <c r="AJ70" i="67"/>
  <c r="N70" i="67"/>
  <c r="N70" i="68"/>
  <c r="T70" i="68"/>
  <c r="AM70" i="68"/>
  <c r="Z1702" i="82"/>
  <c r="K1702" i="86"/>
  <c r="N1702" i="86"/>
  <c r="I7" i="93"/>
  <c r="F8" i="93"/>
  <c r="F7" i="93"/>
  <c r="AJ8" i="67"/>
  <c r="N8" i="67"/>
  <c r="N8" i="68"/>
  <c r="T8" i="68"/>
  <c r="AM8" i="68"/>
  <c r="I8" i="93"/>
  <c r="AF419" i="82"/>
  <c r="Z942" i="82"/>
  <c r="AF942" i="82"/>
  <c r="Y855" i="82"/>
  <c r="J855" i="86"/>
  <c r="M855" i="86"/>
  <c r="AE132" i="82"/>
  <c r="M279" i="86"/>
  <c r="J279" i="86"/>
  <c r="AE486" i="82"/>
  <c r="AE639" i="82"/>
  <c r="AF448" i="82"/>
  <c r="AF909" i="82"/>
  <c r="AE622" i="82"/>
  <c r="AF457" i="82"/>
  <c r="AE1019" i="82"/>
  <c r="Z1063" i="82"/>
  <c r="AF1063" i="82"/>
  <c r="Z184" i="82"/>
  <c r="AF184" i="82"/>
  <c r="AE335" i="82"/>
  <c r="AE266" i="82"/>
  <c r="AF582" i="82"/>
  <c r="AF328" i="82"/>
  <c r="Y1016" i="82"/>
  <c r="J1016" i="86"/>
  <c r="M1016" i="86"/>
  <c r="R7" i="93"/>
  <c r="U7" i="93"/>
  <c r="AE717" i="82"/>
  <c r="AE300" i="82"/>
  <c r="AJ51" i="67"/>
  <c r="AK51" i="67"/>
  <c r="AK51" i="68"/>
  <c r="AG51" i="88"/>
  <c r="AG126" i="88"/>
  <c r="AF55" i="82"/>
  <c r="AE695" i="82"/>
  <c r="U27" i="93"/>
  <c r="AJ68" i="67"/>
  <c r="N68" i="67"/>
  <c r="N68" i="68"/>
  <c r="T68" i="68"/>
  <c r="AM68" i="68"/>
  <c r="R27" i="93"/>
  <c r="Y397" i="82"/>
  <c r="AE397" i="82"/>
  <c r="E16" i="93"/>
  <c r="AE243" i="82"/>
  <c r="Z880" i="82"/>
  <c r="K880" i="86"/>
  <c r="N880" i="86"/>
  <c r="Z352" i="82"/>
  <c r="AF352" i="82"/>
  <c r="AF1271" i="82"/>
  <c r="M630" i="86"/>
  <c r="J630" i="86"/>
  <c r="N17" i="69"/>
  <c r="T17" i="69"/>
  <c r="AM17" i="69"/>
  <c r="E17" i="93"/>
  <c r="Y18" i="82"/>
  <c r="AE18" i="82"/>
  <c r="N18" i="69"/>
  <c r="T18" i="69"/>
  <c r="AM18" i="69"/>
  <c r="Y151" i="82"/>
  <c r="J151" i="86"/>
  <c r="M151" i="86"/>
  <c r="U16" i="93"/>
  <c r="U26" i="93"/>
  <c r="R26" i="93"/>
  <c r="R21" i="93"/>
  <c r="R16" i="93"/>
  <c r="U21" i="93"/>
  <c r="N1517" i="86"/>
  <c r="K1517" i="86"/>
  <c r="Y83" i="82"/>
  <c r="J83" i="86"/>
  <c r="M83" i="86"/>
  <c r="N1210" i="86"/>
  <c r="K1210" i="86"/>
  <c r="AE156" i="82"/>
  <c r="AF1303" i="82"/>
  <c r="Z210" i="82"/>
  <c r="AF210" i="82"/>
  <c r="AF1221" i="82"/>
  <c r="M506" i="86"/>
  <c r="J506" i="86"/>
  <c r="K1566" i="86"/>
  <c r="N1566" i="86"/>
  <c r="AE217" i="83"/>
  <c r="Z217" i="83"/>
  <c r="Z21" i="82"/>
  <c r="K21" i="86"/>
  <c r="N21" i="86"/>
  <c r="Z1960" i="82"/>
  <c r="AF1960" i="82"/>
  <c r="AE351" i="82"/>
  <c r="Y429" i="82"/>
  <c r="AE429" i="82"/>
  <c r="M799" i="86"/>
  <c r="J799" i="86"/>
  <c r="Y107" i="82"/>
  <c r="AE107" i="82"/>
  <c r="Z834" i="82"/>
  <c r="AF834" i="82"/>
  <c r="AD461" i="83"/>
  <c r="Y461" i="83"/>
  <c r="E26" i="93"/>
  <c r="H26" i="93"/>
  <c r="H28" i="93"/>
  <c r="E28" i="93"/>
  <c r="Y846" i="82"/>
  <c r="AE846" i="82"/>
  <c r="Z360" i="82"/>
  <c r="AF360" i="82"/>
  <c r="Z419" i="82"/>
  <c r="K419" i="86"/>
  <c r="N419" i="86"/>
  <c r="AE586" i="83"/>
  <c r="Z586" i="83"/>
  <c r="N1455" i="86"/>
  <c r="K1455" i="86"/>
  <c r="AE478" i="82"/>
  <c r="Z1855" i="82"/>
  <c r="AF1855" i="82"/>
  <c r="Y132" i="82"/>
  <c r="J132" i="86"/>
  <c r="M132" i="86"/>
  <c r="AF1048" i="82"/>
  <c r="Y486" i="82"/>
  <c r="J486" i="86"/>
  <c r="M486" i="86"/>
  <c r="Y639" i="82"/>
  <c r="J639" i="86"/>
  <c r="M639" i="86"/>
  <c r="Z1921" i="82"/>
  <c r="AF1921" i="82"/>
  <c r="Z909" i="82"/>
  <c r="K909" i="86"/>
  <c r="N909" i="86"/>
  <c r="Y622" i="82"/>
  <c r="J622" i="86"/>
  <c r="M622" i="86"/>
  <c r="N1418" i="86"/>
  <c r="K1418" i="86"/>
  <c r="Y183" i="83"/>
  <c r="AD183" i="83"/>
  <c r="AD428" i="83"/>
  <c r="Y428" i="83"/>
  <c r="Z457" i="82"/>
  <c r="K457" i="86"/>
  <c r="N457" i="86"/>
  <c r="AF1141" i="82"/>
  <c r="Y1019" i="82"/>
  <c r="J1019" i="86"/>
  <c r="M1019" i="86"/>
  <c r="Y660" i="82"/>
  <c r="AE660" i="82"/>
  <c r="N1431" i="86"/>
  <c r="K1431" i="86"/>
  <c r="N1994" i="86"/>
  <c r="K1994" i="86"/>
  <c r="Y335" i="82"/>
  <c r="J335" i="86"/>
  <c r="M335" i="86"/>
  <c r="Y266" i="82"/>
  <c r="J266" i="86"/>
  <c r="M266" i="86"/>
  <c r="N31" i="68"/>
  <c r="T31" i="68"/>
  <c r="AM31" i="68"/>
  <c r="Z582" i="82"/>
  <c r="K582" i="86"/>
  <c r="N582" i="86"/>
  <c r="Z328" i="82"/>
  <c r="K328" i="86"/>
  <c r="N328" i="86"/>
  <c r="AD160" i="83"/>
  <c r="Y160" i="83"/>
  <c r="Z1045" i="82"/>
  <c r="K1045" i="86"/>
  <c r="N1045" i="86"/>
  <c r="N12" i="69"/>
  <c r="T12" i="69"/>
  <c r="AM12" i="69"/>
  <c r="Y175" i="82"/>
  <c r="AE175" i="82"/>
  <c r="N1426" i="86"/>
  <c r="K1426" i="86"/>
  <c r="Y717" i="82"/>
  <c r="J717" i="86"/>
  <c r="M717" i="86"/>
  <c r="Y300" i="82"/>
  <c r="J300" i="86"/>
  <c r="M300" i="86"/>
  <c r="Z991" i="82"/>
  <c r="AF991" i="82"/>
  <c r="N7" i="68"/>
  <c r="T7" i="68"/>
  <c r="AM7" i="68"/>
  <c r="Z55" i="82"/>
  <c r="K55" i="86"/>
  <c r="N55" i="86"/>
  <c r="Y695" i="82"/>
  <c r="J695" i="86"/>
  <c r="M695" i="86"/>
  <c r="N9" i="69"/>
  <c r="T9" i="69"/>
  <c r="AM9" i="69"/>
  <c r="Y92" i="82"/>
  <c r="AE92" i="82"/>
  <c r="Z824" i="82"/>
  <c r="AF824" i="82"/>
  <c r="Z927" i="82"/>
  <c r="AF927" i="82"/>
  <c r="N1487" i="86"/>
  <c r="K1487" i="86"/>
  <c r="Y243" i="82"/>
  <c r="J243" i="86"/>
  <c r="M243" i="86"/>
  <c r="Z500" i="82"/>
  <c r="AF500" i="82"/>
  <c r="N21" i="68"/>
  <c r="T21" i="68"/>
  <c r="AM21" i="68"/>
  <c r="Y192" i="82"/>
  <c r="AE192" i="82"/>
  <c r="AJ41" i="67"/>
  <c r="N41" i="67"/>
  <c r="N41" i="68"/>
  <c r="T41" i="68"/>
  <c r="AM41" i="68"/>
  <c r="Z1271" i="82"/>
  <c r="K1271" i="86"/>
  <c r="N1271" i="86"/>
  <c r="AF1366" i="82"/>
  <c r="Z1366" i="82"/>
  <c r="Y630" i="82"/>
  <c r="AE630" i="82"/>
  <c r="Y592" i="82"/>
  <c r="J592" i="86"/>
  <c r="M592" i="86"/>
  <c r="E8" i="93"/>
  <c r="E6" i="93"/>
  <c r="H8" i="93"/>
  <c r="N6" i="68"/>
  <c r="T6" i="68"/>
  <c r="AM6" i="68"/>
  <c r="H6" i="93"/>
  <c r="J534" i="86"/>
  <c r="M534" i="86"/>
  <c r="AF544" i="82"/>
  <c r="Z544" i="82"/>
  <c r="Z409" i="82"/>
  <c r="AF409" i="82"/>
  <c r="N1410" i="86"/>
  <c r="K1410" i="86"/>
  <c r="AJ56" i="67"/>
  <c r="N56" i="67"/>
  <c r="N56" i="68"/>
  <c r="T56" i="68"/>
  <c r="AM56" i="68"/>
  <c r="Z1665" i="82"/>
  <c r="AF1665" i="82"/>
  <c r="AJ54" i="67"/>
  <c r="N54" i="67"/>
  <c r="N54" i="68"/>
  <c r="T54" i="68"/>
  <c r="AM54" i="68"/>
  <c r="Z1517" i="82"/>
  <c r="AF1517" i="82"/>
  <c r="N1380" i="86"/>
  <c r="K1380" i="86"/>
  <c r="Y153" i="82"/>
  <c r="J153" i="86"/>
  <c r="M153" i="86"/>
  <c r="AD165" i="83"/>
  <c r="Y165" i="83"/>
  <c r="Y279" i="82"/>
  <c r="AE279" i="82"/>
  <c r="N13" i="69"/>
  <c r="T13" i="69"/>
  <c r="AM13" i="69"/>
  <c r="Y156" i="82"/>
  <c r="J156" i="86"/>
  <c r="M156" i="86"/>
  <c r="Z1303" i="82"/>
  <c r="K1601" i="86"/>
  <c r="N1601" i="86"/>
  <c r="F20" i="93"/>
  <c r="I20" i="93"/>
  <c r="I21" i="93"/>
  <c r="F21" i="93"/>
  <c r="Y1104" i="82"/>
  <c r="AE1104" i="82"/>
  <c r="AJ42" i="67"/>
  <c r="N42" i="67"/>
  <c r="N42" i="68"/>
  <c r="T42" i="68"/>
  <c r="AM42" i="68"/>
  <c r="Z1221" i="82"/>
  <c r="K1221" i="86"/>
  <c r="N1221" i="86"/>
  <c r="H27" i="93"/>
  <c r="E27" i="93"/>
  <c r="E25" i="93"/>
  <c r="H25" i="93"/>
  <c r="Z424" i="82"/>
  <c r="AF424" i="82"/>
  <c r="Y615" i="82"/>
  <c r="AE615" i="82"/>
  <c r="N1373" i="86"/>
  <c r="K1373" i="86"/>
  <c r="Z468" i="82"/>
  <c r="AF468" i="82"/>
  <c r="R31" i="93"/>
  <c r="U31" i="93"/>
  <c r="AD474" i="83"/>
  <c r="Y474" i="83"/>
  <c r="Y351" i="82"/>
  <c r="J351" i="86"/>
  <c r="M351" i="86"/>
  <c r="I25" i="93"/>
  <c r="F25" i="93"/>
  <c r="F26" i="93"/>
  <c r="I26" i="93"/>
  <c r="Y799" i="82"/>
  <c r="AE799" i="82"/>
  <c r="E14" i="93"/>
  <c r="F31" i="93"/>
  <c r="I31" i="93"/>
  <c r="Z448" i="82"/>
  <c r="K448" i="86"/>
  <c r="N448" i="86"/>
  <c r="Y506" i="82"/>
  <c r="AE506" i="82"/>
  <c r="Y457" i="82"/>
  <c r="AE457" i="82"/>
  <c r="J533" i="86"/>
  <c r="M533" i="86"/>
  <c r="N24" i="69"/>
  <c r="T24" i="69"/>
  <c r="AM24" i="69"/>
  <c r="E24" i="93"/>
  <c r="H29" i="93"/>
  <c r="E32" i="93"/>
  <c r="E29" i="93"/>
  <c r="H32" i="93"/>
  <c r="N10" i="69"/>
  <c r="T10" i="69"/>
  <c r="AM10" i="69"/>
  <c r="E10" i="93"/>
  <c r="Z198" i="82"/>
  <c r="AF198" i="82"/>
  <c r="N26" i="68"/>
  <c r="T26" i="68"/>
  <c r="AM26" i="68"/>
  <c r="Y478" i="82"/>
  <c r="J478" i="86"/>
  <c r="M478" i="86"/>
  <c r="Z1067" i="82"/>
  <c r="AF1067" i="82"/>
  <c r="Z1048" i="82"/>
  <c r="K1048" i="86"/>
  <c r="N1048" i="86"/>
  <c r="N14" i="69"/>
  <c r="T14" i="69"/>
  <c r="AM14" i="69"/>
  <c r="Y167" i="82"/>
  <c r="AE167" i="82"/>
  <c r="N11" i="69"/>
  <c r="T11" i="69"/>
  <c r="AM11" i="69"/>
  <c r="Y144" i="82"/>
  <c r="AE144" i="82"/>
  <c r="Z1982" i="82"/>
  <c r="AF1982" i="82"/>
  <c r="AJ47" i="67"/>
  <c r="N47" i="67"/>
  <c r="N47" i="68"/>
  <c r="T47" i="68"/>
  <c r="AM47" i="68"/>
  <c r="Z1464" i="82"/>
  <c r="AF1464" i="82"/>
  <c r="AJ27" i="67"/>
  <c r="N27" i="67"/>
  <c r="N27" i="68"/>
  <c r="T27" i="68"/>
  <c r="AM27" i="68"/>
  <c r="Z427" i="82"/>
  <c r="AF427" i="82"/>
  <c r="AJ74" i="67"/>
  <c r="N74" i="67"/>
  <c r="N74" i="68"/>
  <c r="T74" i="68"/>
  <c r="AM74" i="68"/>
  <c r="Z2011" i="82"/>
  <c r="AF2011" i="82"/>
  <c r="Z1064" i="82"/>
  <c r="AF1064" i="82"/>
  <c r="N33" i="68"/>
  <c r="T33" i="68"/>
  <c r="AM33" i="68"/>
  <c r="Y1032" i="82"/>
  <c r="AE1032" i="82"/>
  <c r="N5" i="68"/>
  <c r="N76" i="68"/>
  <c r="N81" i="68"/>
  <c r="N16" i="69"/>
  <c r="T16" i="69"/>
  <c r="AM16" i="69"/>
  <c r="Y99" i="82"/>
  <c r="AE99" i="82"/>
  <c r="U11" i="93"/>
  <c r="AJ44" i="67"/>
  <c r="N44" i="67"/>
  <c r="N44" i="68"/>
  <c r="T44" i="68"/>
  <c r="AM44" i="68"/>
  <c r="R11" i="93"/>
  <c r="Z1141" i="82"/>
  <c r="K1216" i="86"/>
  <c r="N1216" i="86"/>
  <c r="N87" i="67"/>
  <c r="AJ22" i="67"/>
  <c r="N22" i="67"/>
  <c r="N22" i="68"/>
  <c r="T22" i="68"/>
  <c r="AM22" i="68"/>
  <c r="Z221" i="82"/>
  <c r="AF221" i="82"/>
  <c r="H38" i="93"/>
  <c r="E38" i="93"/>
  <c r="AJ35" i="67"/>
  <c r="N35" i="67"/>
  <c r="N35" i="68"/>
  <c r="T35" i="68"/>
  <c r="AM35" i="68"/>
  <c r="Z994" i="82"/>
  <c r="AF994" i="82"/>
  <c r="N25" i="68"/>
  <c r="T25" i="68"/>
  <c r="AM25" i="68"/>
  <c r="Y503" i="82"/>
  <c r="AE503" i="82"/>
  <c r="F30" i="93"/>
  <c r="N88" i="67"/>
  <c r="AJ34" i="67"/>
  <c r="N34" i="67"/>
  <c r="N34" i="68"/>
  <c r="T34" i="68"/>
  <c r="AM34" i="68"/>
  <c r="I30" i="93"/>
  <c r="N86" i="67"/>
  <c r="AJ7" i="67"/>
  <c r="N7" i="67"/>
  <c r="N78" i="67"/>
  <c r="N83" i="67"/>
  <c r="N32" i="68"/>
  <c r="T32" i="68"/>
  <c r="AM32" i="68"/>
  <c r="Y704" i="82"/>
  <c r="AE704" i="82"/>
  <c r="AJ43" i="67"/>
  <c r="N43" i="67"/>
  <c r="N43" i="68"/>
  <c r="T43" i="68"/>
  <c r="AM43" i="68"/>
  <c r="Z1305" i="82"/>
  <c r="AF1305" i="82"/>
  <c r="AJ40" i="67"/>
  <c r="N40" i="67"/>
  <c r="N40" i="68"/>
  <c r="L91" i="67"/>
  <c r="L89" i="67"/>
  <c r="L95" i="67"/>
  <c r="N89" i="67"/>
  <c r="AJ71" i="67"/>
  <c r="N71" i="67"/>
  <c r="N71" i="68"/>
  <c r="T71" i="68"/>
  <c r="AM71" i="68"/>
  <c r="Z1844" i="82"/>
  <c r="AF1844" i="8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15D9B2C0-C8EC-42E2-A7E5-244CF04F60F5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BB782A-9B7A-4FFA-8BD6-23F7427DED9E}" name="Conexão" type="7" refreshedVersion="8" background="1" saveData="1"/>
  <connection id="2" xr16:uid="{9DA80D78-FF25-41FE-96DF-E5D1C1E625C2}" name="Conexão1" type="7" refreshedVersion="8" background="1" saveData="1"/>
  <connection id="3" xr16:uid="{A6E3C6E5-D7B6-4BBC-A49B-38A90DAF4579}" name="Conexão2" type="7" refreshedVersion="8" background="1" saveData="1"/>
</connections>
</file>

<file path=xl/sharedStrings.xml><?xml version="1.0" encoding="utf-8"?>
<sst xmlns="http://schemas.openxmlformats.org/spreadsheetml/2006/main" count="75514" uniqueCount="1702">
  <si>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</si>
  <si>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</si>
  <si>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</si>
  <si>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</si>
  <si>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</si>
  <si>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</si>
  <si>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</si>
  <si>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</si>
  <si>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</si>
  <si>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</si>
  <si>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</si>
  <si>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</si>
  <si>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</si>
  <si>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</si>
  <si>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</si>
  <si>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</si>
  <si>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</si>
  <si>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</si>
  <si>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</si>
  <si>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</si>
  <si>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</si>
  <si>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</si>
  <si>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</si>
  <si>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</si>
  <si>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</si>
  <si>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</si>
  <si>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</si>
  <si>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</si>
  <si>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</si>
  <si>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</si>
  <si>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</si>
  <si>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</si>
  <si>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</si>
  <si>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</si>
  <si>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</si>
  <si>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</si>
  <si>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</si>
  <si>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</si>
  <si>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</si>
  <si>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A3</t>
  </si>
  <si>
    <t>Azul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</si>
  <si>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</si>
  <si>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</si>
  <si>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</si>
  <si>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</si>
  <si>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</si>
  <si>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</si>
  <si>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</si>
  <si>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</si>
  <si>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</si>
  <si>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Iluminação pública – B4b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</si>
  <si>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</si>
  <si>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</si>
  <si>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</si>
  <si>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</si>
  <si>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</si>
  <si>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</si>
  <si>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</si>
  <si>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</si>
  <si>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A2</t>
  </si>
  <si>
    <t>LIVRE</t>
  </si>
  <si>
    <t>APE</t>
  </si>
  <si>
    <t>LIVRE APE</t>
  </si>
  <si>
    <t>Fonte incentivada</t>
  </si>
  <si>
    <t>Geração</t>
  </si>
  <si>
    <t>PCH ANNA MARIA</t>
  </si>
  <si>
    <t>GERAÇÃO</t>
  </si>
  <si>
    <t>UHE BARRA DO BRAUNA</t>
  </si>
  <si>
    <t xml:space="preserve">EMS </t>
  </si>
  <si>
    <t>PCH JOAO CAMILO PENA</t>
  </si>
  <si>
    <t>PCH CORONEL DOMICIANO</t>
  </si>
  <si>
    <t>GLORIA</t>
  </si>
  <si>
    <t>PCH TULIO CORDEIRO DE MELO</t>
  </si>
  <si>
    <t>PCH GUARY</t>
  </si>
  <si>
    <t>ITUERE</t>
  </si>
  <si>
    <t>UTE JUIZ DE FORA</t>
  </si>
  <si>
    <t>MATIPO</t>
  </si>
  <si>
    <t>MIGUEL PEREIRA</t>
  </si>
  <si>
    <t>PCH NEBLINA</t>
  </si>
  <si>
    <t>ROÇA GRANDE</t>
  </si>
  <si>
    <t>PCH SINCERIDADE</t>
  </si>
  <si>
    <t>Distribuição</t>
  </si>
  <si>
    <t>Cemig-D</t>
  </si>
  <si>
    <t>DISTRIBUIÇÃO</t>
  </si>
  <si>
    <t>PCH ERVÁLIA</t>
  </si>
  <si>
    <t>BENJAMIM</t>
  </si>
  <si>
    <t>PCH IVAN BOTELHO III (TRIUNFO)</t>
  </si>
  <si>
    <t>PCH IVAN BOTELHO I (PONTE)</t>
  </si>
  <si>
    <t>NOVA MAURICIO</t>
  </si>
  <si>
    <t>PCH IVAN BOTELHO II (PALESTINA)</t>
  </si>
  <si>
    <t>SANTA CECILIA</t>
  </si>
  <si>
    <t>ORMEO</t>
  </si>
  <si>
    <t>PCH ZE TUNIN</t>
  </si>
  <si>
    <t>MIRADOURO</t>
  </si>
  <si>
    <t>LIMEIRA</t>
  </si>
  <si>
    <t>PIRAPANEMA</t>
  </si>
  <si>
    <t>SANTA BÁRBARA</t>
  </si>
  <si>
    <t>CGH Ingá</t>
  </si>
  <si>
    <t>SIMONÉSIA</t>
  </si>
  <si>
    <t>CGH ANTÔNIO PRADO</t>
  </si>
  <si>
    <t>CGH INGÁ MIRIM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</si>
  <si>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</si>
  <si>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</si>
  <si>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</si>
  <si>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</si>
  <si>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</si>
  <si>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</si>
  <si>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</si>
  <si>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</si>
  <si>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</si>
  <si>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</si>
  <si>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</si>
  <si>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</si>
  <si>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</si>
  <si>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</si>
  <si>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</si>
  <si>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</si>
  <si>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</si>
  <si>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</si>
  <si>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</si>
  <si>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</si>
  <si>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</si>
  <si>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</si>
  <si>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</si>
  <si>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NOVO GERADOR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</si>
  <si>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</si>
  <si>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</si>
  <si>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</si>
  <si>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</si>
  <si>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</si>
  <si>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</si>
  <si>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</si>
  <si>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</si>
  <si>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</si>
  <si>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CHAVE TUSD</t>
  </si>
  <si>
    <t>44348A2AzulNão se aplicaNão se aplicaAPENão se aplicaNão se aplica</t>
  </si>
  <si>
    <t>44378A2AzulNão se aplicaNão se aplicaAPENão se aplicaNão se aplica</t>
  </si>
  <si>
    <t>44409A2AzulNão se aplicaNão se aplicaAPENão se aplicaNão se aplica</t>
  </si>
  <si>
    <t>44440A2AzulNão se aplicaNão se aplicaAPENão se aplicaNão se aplica</t>
  </si>
  <si>
    <t>44470A2AzulNão se aplicaNão se aplicaAPENão se aplicaNão se aplica</t>
  </si>
  <si>
    <t>44501A2AzulNão se aplicaNão se aplicaAPENão se aplicaNão se aplica</t>
  </si>
  <si>
    <t>44531A2AzulNão se aplicaNão se aplicaAPENão se aplicaNão se aplica</t>
  </si>
  <si>
    <t>44562A2AzulNão se aplicaNão se aplicaAPENão se aplicaNão se aplica</t>
  </si>
  <si>
    <t>44593A2AzulNão se aplicaNão se aplicaAPENão se aplicaNão se aplica</t>
  </si>
  <si>
    <t>44621A2AzulNão se aplicaNão se aplicaAPENão se aplicaNão se aplica</t>
  </si>
  <si>
    <t>44652A2AzulNão se aplicaNão se aplicaAPENão se aplicaNão se aplica</t>
  </si>
  <si>
    <t>44682A2AzulNão se aplicaNão se aplicaAPENão se aplicaNão se aplica</t>
  </si>
  <si>
    <t>44348A2AzulNão se aplicaNão se aplicaNão se aplicaNão se aplicaFora ponta</t>
  </si>
  <si>
    <t>44378A2AzulNão se aplicaNão se aplicaNão se aplicaNão se aplicaFora ponta</t>
  </si>
  <si>
    <t>44409A2AzulNão se aplicaNão se aplicaNão se aplicaNão se aplicaFora ponta</t>
  </si>
  <si>
    <t>44440A2AzulNão se aplicaNão se aplicaNão se aplicaNão se aplicaFora ponta</t>
  </si>
  <si>
    <t>44470A2AzulNão se aplicaNão se aplicaNão se aplicaNão se aplicaFora ponta</t>
  </si>
  <si>
    <t>44501A2AzulNão se aplicaNão se aplicaNão se aplicaNão se aplicaFora ponta</t>
  </si>
  <si>
    <t>44531A2AzulNão se aplicaNão se aplicaNão se aplicaNão se aplicaFora ponta</t>
  </si>
  <si>
    <t>44562A2AzulNão se aplicaNão se aplicaNão se aplicaNão se aplicaFora ponta</t>
  </si>
  <si>
    <t>44593A2AzulNão se aplicaNão se aplicaNão se aplicaNão se aplicaFora ponta</t>
  </si>
  <si>
    <t>44621A2AzulNão se aplicaNão se aplicaNão se aplicaNão se aplicaFora ponta</t>
  </si>
  <si>
    <t>44652A2AzulNão se aplicaNão se aplicaNão se aplicaNão se aplicaFora ponta</t>
  </si>
  <si>
    <t>44682A2AzulNão se aplicaNão se aplicaNão se aplicaNão se aplicaFora ponta</t>
  </si>
  <si>
    <t>44348A2AzulNão se aplicaNão se aplicaNão se aplicaNão se aplicaNão se aplica</t>
  </si>
  <si>
    <t>44378A2AzulNão se aplicaNão se aplicaNão se aplicaNão se aplicaNão se aplica</t>
  </si>
  <si>
    <t>44409A2AzulNão se aplicaNão se aplicaNão se aplicaNão se aplicaNão se aplica</t>
  </si>
  <si>
    <t>44440A2AzulNão se aplicaNão se aplicaNão se aplicaNão se aplicaNão se aplica</t>
  </si>
  <si>
    <t>44470A2AzulNão se aplicaNão se aplicaNão se aplicaNão se aplicaNão se aplica</t>
  </si>
  <si>
    <t>44501A2AzulNão se aplicaNão se aplicaNão se aplicaNão se aplicaNão se aplica</t>
  </si>
  <si>
    <t>44531A2AzulNão se aplicaNão se aplicaNão se aplicaNão se aplicaNão se aplica</t>
  </si>
  <si>
    <t>44562A2AzulNão se aplicaNão se aplicaNão se aplicaNão se aplicaNão se aplica</t>
  </si>
  <si>
    <t>44593A2AzulNão se aplicaNão se aplicaNão se aplicaNão se aplicaNão se aplica</t>
  </si>
  <si>
    <t>44621A2AzulNão se aplicaNão se aplicaNão se aplicaNão se aplicaNão se aplica</t>
  </si>
  <si>
    <t>44652A2AzulNão se aplicaNão se aplicaNão se aplicaNão se aplicaNão se aplica</t>
  </si>
  <si>
    <t>44682A2AzulNão se aplicaNão se aplicaNão se aplicaNão se aplicaNão se aplica</t>
  </si>
  <si>
    <t>44348A2AzulNão se aplicaNão se aplicaNão se aplicaNão se aplicaPonta</t>
  </si>
  <si>
    <t>44378A2AzulNão se aplicaNão se aplicaNão se aplicaNão se aplicaPonta</t>
  </si>
  <si>
    <t>44409A2AzulNão se aplicaNão se aplicaNão se aplicaNão se aplicaPonta</t>
  </si>
  <si>
    <t>44440A2AzulNão se aplicaNão se aplicaNão se aplicaNão se aplicaPonta</t>
  </si>
  <si>
    <t>44470A2AzulNão se aplicaNão se aplicaNão se aplicaNão se aplicaPonta</t>
  </si>
  <si>
    <t>44501A2AzulNão se aplicaNão se aplicaNão se aplicaNão se aplicaPonta</t>
  </si>
  <si>
    <t>44531A2AzulNão se aplicaNão se aplicaNão se aplicaNão se aplicaPonta</t>
  </si>
  <si>
    <t>44562A2AzulNão se aplicaNão se aplicaNão se aplicaNão se aplicaPonta</t>
  </si>
  <si>
    <t>44593A2AzulNão se aplicaNão se aplicaNão se aplicaNão se aplicaPonta</t>
  </si>
  <si>
    <t>44621A2AzulNão se aplicaNão se aplicaNão se aplicaNão se aplicaPonta</t>
  </si>
  <si>
    <t>44652A2AzulNão se aplicaNão se aplicaNão se aplicaNão se aplicaPonta</t>
  </si>
  <si>
    <t>44682A2AzulNão se aplicaNão se aplicaNão se aplicaNão se aplicaPonta</t>
  </si>
  <si>
    <t>44348A2GeraçãoNão se aplicaNão se aplicaNão se aplicaPCH ANNA MARIANão se aplica</t>
  </si>
  <si>
    <t>44348A2GeraçãoNão se aplicaNão se aplicaNão se aplicaUHE BARRA DO BRAUNANão se aplica</t>
  </si>
  <si>
    <t>44348A2GeraçãoNão se aplicaNão se aplicaNão se aplicaPCH JOAO CAMILO PENANão se aplica</t>
  </si>
  <si>
    <t>44348A2GeraçãoNão se aplicaNão se aplicaNão se aplicaPCH TULIO CORDEIRO DE MELONão se aplica</t>
  </si>
  <si>
    <t>44348A2GeraçãoNão se aplicaNão se aplicaNão se aplicaPCH GUARYNão se aplica</t>
  </si>
  <si>
    <t>44348A2GeraçãoNão se aplicaNão se aplicaNão se aplicaUTE JUIZ DE FORANão se aplica</t>
  </si>
  <si>
    <t>44348A2GeraçãoNão se aplicaNão se aplicaNão se aplicaPCH IVAN BOTELHO III (TRIUNFO)Não se aplica</t>
  </si>
  <si>
    <t>44348A2GeraçãoNão se aplicaNão se aplicaNão se aplicaPCH IVAN BOTELHO I (PONTE)Não se aplica</t>
  </si>
  <si>
    <t>44348A2GeraçãoNão se aplicaNão se aplicaNão se aplicaPCH IVAN BOTELHO II (PALESTINA)Não se aplica</t>
  </si>
  <si>
    <t>44348A2GeraçãoNão se aplicaNão se aplicaNão se aplicaPCH ZE TUNINNão se aplica</t>
  </si>
  <si>
    <t>44378A2GeraçãoNão se aplicaNão se aplicaNão se aplicaPCH ANNA MARIANão se aplica</t>
  </si>
  <si>
    <t>44378A2GeraçãoNão se aplicaNão se aplicaNão se aplicaUHE BARRA DO BRAUNANão se aplica</t>
  </si>
  <si>
    <t>44378A2GeraçãoNão se aplicaNão se aplicaNão se aplicaPCH JOAO CAMILO PENANão se aplica</t>
  </si>
  <si>
    <t>44378A2GeraçãoNão se aplicaNão se aplicaNão se aplicaPCH TULIO CORDEIRO DE MELONão se aplica</t>
  </si>
  <si>
    <t>44378A2GeraçãoNão se aplicaNão se aplicaNão se aplicaPCH GUARYNão se aplica</t>
  </si>
  <si>
    <t>44378A2GeraçãoNão se aplicaNão se aplicaNão se aplicaUTE JUIZ DE FORANão se aplica</t>
  </si>
  <si>
    <t>44378A2GeraçãoNão se aplicaNão se aplicaNão se aplicaPCH IVAN BOTELHO III (TRIUNFO)Não se aplica</t>
  </si>
  <si>
    <t>44378A2GeraçãoNão se aplicaNão se aplicaNão se aplicaPCH IVAN BOTELHO I (PONTE)Não se aplica</t>
  </si>
  <si>
    <t>44378A2GeraçãoNão se aplicaNão se aplicaNão se aplicaPCH IVAN BOTELHO II (PALESTINA)Não se aplica</t>
  </si>
  <si>
    <t>44378A2GeraçãoNão se aplicaNão se aplicaNão se aplicaPCH ZE TUNINNão se aplica</t>
  </si>
  <si>
    <t>44409A2GeraçãoNão se aplicaNão se aplicaNão se aplicaPCH ANNA MARIANão se aplica</t>
  </si>
  <si>
    <t>44409A2GeraçãoNão se aplicaNão se aplicaNão se aplicaUHE BARRA DO BRAUNANão se aplica</t>
  </si>
  <si>
    <t>44409A2GeraçãoNão se aplicaNão se aplicaNão se aplicaPCH JOAO CAMILO PENANão se aplica</t>
  </si>
  <si>
    <t>44409A2GeraçãoNão se aplicaNão se aplicaNão se aplicaPCH TULIO CORDEIRO DE MELONão se aplica</t>
  </si>
  <si>
    <t>44409A2GeraçãoNão se aplicaNão se aplicaNão se aplicaPCH GUARYNão se aplica</t>
  </si>
  <si>
    <t>44409A2GeraçãoNão se aplicaNão se aplicaNão se aplicaUTE JUIZ DE FORANão se aplica</t>
  </si>
  <si>
    <t>44409A2GeraçãoNão se aplicaNão se aplicaNão se aplicaPCH IVAN BOTELHO III (TRIUNFO)Não se aplica</t>
  </si>
  <si>
    <t>44409A2GeraçãoNão se aplicaNão se aplicaNão se aplicaPCH IVAN BOTELHO I (PONTE)Não se aplica</t>
  </si>
  <si>
    <t>44409A2GeraçãoNão se aplicaNão se aplicaNão se aplicaPCH IVAN BOTELHO II (PALESTINA)Não se aplica</t>
  </si>
  <si>
    <t>44409A2GeraçãoNão se aplicaNão se aplicaNão se aplicaPCH ZE TUNINNão se aplica</t>
  </si>
  <si>
    <t>44440A2GeraçãoNão se aplicaNão se aplicaNão se aplicaPCH ANNA MARIANão se aplica</t>
  </si>
  <si>
    <t>44440A2GeraçãoNão se aplicaNão se aplicaNão se aplicaUHE BARRA DO BRAUNANão se aplica</t>
  </si>
  <si>
    <t>44440A2GeraçãoNão se aplicaNão se aplicaNão se aplicaPCH JOAO CAMILO PENANão se aplica</t>
  </si>
  <si>
    <t>44440A2GeraçãoNão se aplicaNão se aplicaNão se aplicaPCH TULIO CORDEIRO DE MELONão se aplica</t>
  </si>
  <si>
    <t>44440A2GeraçãoNão se aplicaNão se aplicaNão se aplicaPCH GUARYNão se aplica</t>
  </si>
  <si>
    <t>44440A2GeraçãoNão se aplicaNão se aplicaNão se aplicaUTE JUIZ DE FORANão se aplica</t>
  </si>
  <si>
    <t>44440A2GeraçãoNão se aplicaNão se aplicaNão se aplicaPCH IVAN BOTELHO III (TRIUNFO)Não se aplica</t>
  </si>
  <si>
    <t>44440A2GeraçãoNão se aplicaNão se aplicaNão se aplicaPCH IVAN BOTELHO I (PONTE)Não se aplica</t>
  </si>
  <si>
    <t>44440A2GeraçãoNão se aplicaNão se aplicaNão se aplicaPCH IVAN BOTELHO II (PALESTINA)Não se aplica</t>
  </si>
  <si>
    <t>44440A2GeraçãoNão se aplicaNão se aplicaNão se aplicaPCH ZE TUNINNão se aplica</t>
  </si>
  <si>
    <t>44470A2GeraçãoNão se aplicaNão se aplicaNão se aplicaPCH ANNA MARIANão se aplica</t>
  </si>
  <si>
    <t>44470A2GeraçãoNão se aplicaNão se aplicaNão se aplicaUHE BARRA DO BRAUNANão se aplica</t>
  </si>
  <si>
    <t>44470A2GeraçãoNão se aplicaNão se aplicaNão se aplicaPCH JOAO CAMILO PENANão se aplica</t>
  </si>
  <si>
    <t>44470A2GeraçãoNão se aplicaNão se aplicaNão se aplicaPCH TULIO CORDEIRO DE MELONão se aplica</t>
  </si>
  <si>
    <t>44470A2GeraçãoNão se aplicaNão se aplicaNão se aplicaPCH GUARYNão se aplica</t>
  </si>
  <si>
    <t>44470A2GeraçãoNão se aplicaNão se aplicaNão se aplicaUTE JUIZ DE FORANão se aplica</t>
  </si>
  <si>
    <t>44470A2GeraçãoNão se aplicaNão se aplicaNão se aplicaPCH IVAN BOTELHO III (TRIUNFO)Não se aplica</t>
  </si>
  <si>
    <t>44470A2GeraçãoNão se aplicaNão se aplicaNão se aplicaPCH IVAN BOTELHO I (PONTE)Não se aplica</t>
  </si>
  <si>
    <t>44470A2GeraçãoNão se aplicaNão se aplicaNão se aplicaPCH IVAN BOTELHO II (PALESTINA)Não se aplica</t>
  </si>
  <si>
    <t>44470A2GeraçãoNão se aplicaNão se aplicaNão se aplicaPCH ZE TUNINNão se aplica</t>
  </si>
  <si>
    <t>44501A2GeraçãoNão se aplicaNão se aplicaNão se aplicaPCH ANNA MARIANão se aplica</t>
  </si>
  <si>
    <t>44501A2GeraçãoNão se aplicaNão se aplicaNão se aplicaUHE BARRA DO BRAUNANão se aplica</t>
  </si>
  <si>
    <t>44501A2GeraçãoNão se aplicaNão se aplicaNão se aplicaPCH JOAO CAMILO PENANão se aplica</t>
  </si>
  <si>
    <t>44501A2GeraçãoNão se aplicaNão se aplicaNão se aplicaPCH TULIO CORDEIRO DE MELONão se aplica</t>
  </si>
  <si>
    <t>44501A2GeraçãoNão se aplicaNão se aplicaNão se aplicaPCH GUARYNão se aplica</t>
  </si>
  <si>
    <t>44501A2GeraçãoNão se aplicaNão se aplicaNão se aplicaUTE JUIZ DE FORANão se aplica</t>
  </si>
  <si>
    <t>44501A2GeraçãoNão se aplicaNão se aplicaNão se aplicaPCH IVAN BOTELHO III (TRIUNFO)Não se aplica</t>
  </si>
  <si>
    <t>44501A2GeraçãoNão se aplicaNão se aplicaNão se aplicaPCH IVAN BOTELHO I (PONTE)Não se aplica</t>
  </si>
  <si>
    <t>44501A2GeraçãoNão se aplicaNão se aplicaNão se aplicaPCH IVAN BOTELHO II (PALESTINA)Não se aplica</t>
  </si>
  <si>
    <t>44501A2GeraçãoNão se aplicaNão se aplicaNão se aplicaPCH ZE TUNINNão se aplica</t>
  </si>
  <si>
    <t>44531A2GeraçãoNão se aplicaNão se aplicaNão se aplicaPCH ANNA MARIANão se aplica</t>
  </si>
  <si>
    <t>44531A2GeraçãoNão se aplicaNão se aplicaNão se aplicaUHE BARRA DO BRAUNANão se aplica</t>
  </si>
  <si>
    <t>44531A2GeraçãoNão se aplicaNão se aplicaNão se aplicaPCH JOAO CAMILO PENANão se aplica</t>
  </si>
  <si>
    <t>44531A2GeraçãoNão se aplicaNão se aplicaNão se aplicaPCH TULIO CORDEIRO DE MELONão se aplica</t>
  </si>
  <si>
    <t>44531A2GeraçãoNão se aplicaNão se aplicaNão se aplicaPCH GUARYNão se aplica</t>
  </si>
  <si>
    <t>44531A2GeraçãoNão se aplicaNão se aplicaNão se aplicaUTE JUIZ DE FORANão se aplica</t>
  </si>
  <si>
    <t>44531A2GeraçãoNão se aplicaNão se aplicaNão se aplicaPCH IVAN BOTELHO III (TRIUNFO)Não se aplica</t>
  </si>
  <si>
    <t>44531A2GeraçãoNão se aplicaNão se aplicaNão se aplicaPCH IVAN BOTELHO I (PONTE)Não se aplica</t>
  </si>
  <si>
    <t>44531A2GeraçãoNão se aplicaNão se aplicaNão se aplicaPCH IVAN BOTELHO II (PALESTINA)Não se aplica</t>
  </si>
  <si>
    <t>44531A2GeraçãoNão se aplicaNão se aplicaNão se aplicaPCH ZE TUNINNão se aplica</t>
  </si>
  <si>
    <t>44562A2GeraçãoNão se aplicaNão se aplicaNão se aplicaPCH ANNA MARIANão se aplica</t>
  </si>
  <si>
    <t>44562A2GeraçãoNão se aplicaNão se aplicaNão se aplicaUHE BARRA DO BRAUNANão se aplica</t>
  </si>
  <si>
    <t>44562A2GeraçãoNão se aplicaNão se aplicaNão se aplicaPCH JOAO CAMILO PENANão se aplica</t>
  </si>
  <si>
    <t>44562A2GeraçãoNão se aplicaNão se aplicaNão se aplicaPCH TULIO CORDEIRO DE MELONão se aplica</t>
  </si>
  <si>
    <t>44562A2GeraçãoNão se aplicaNão se aplicaNão se aplicaPCH GUARYNão se aplica</t>
  </si>
  <si>
    <t>44562A2GeraçãoNão se aplicaNão se aplicaNão se aplicaUTE JUIZ DE FORANão se aplica</t>
  </si>
  <si>
    <t>44562A2GeraçãoNão se aplicaNão se aplicaNão se aplicaPCH IVAN BOTELHO III (TRIUNFO)Não se aplica</t>
  </si>
  <si>
    <t>44562A2GeraçãoNão se aplicaNão se aplicaNão se aplicaPCH IVAN BOTELHO I (PONTE)Não se aplica</t>
  </si>
  <si>
    <t>44562A2GeraçãoNão se aplicaNão se aplicaNão se aplicaPCH IVAN BOTELHO II (PALESTINA)Não se aplica</t>
  </si>
  <si>
    <t>44562A2GeraçãoNão se aplicaNão se aplicaNão se aplicaPCH ZE TUNINNão se aplica</t>
  </si>
  <si>
    <t>44593A2GeraçãoNão se aplicaNão se aplicaNão se aplicaPCH ANNA MARIANão se aplica</t>
  </si>
  <si>
    <t>44593A2GeraçãoNão se aplicaNão se aplicaNão se aplicaUHE BARRA DO BRAUNANão se aplica</t>
  </si>
  <si>
    <t>44593A2GeraçãoNão se aplicaNão se aplicaNão se aplicaPCH JOAO CAMILO PENANão se aplica</t>
  </si>
  <si>
    <t>44593A2GeraçãoNão se aplicaNão se aplicaNão se aplicaPCH TULIO CORDEIRO DE MELONão se aplica</t>
  </si>
  <si>
    <t>44593A2GeraçãoNão se aplicaNão se aplicaNão se aplicaPCH GUARYNão se aplica</t>
  </si>
  <si>
    <t>44593A2GeraçãoNão se aplicaNão se aplicaNão se aplicaUTE JUIZ DE FORANão se aplica</t>
  </si>
  <si>
    <t>44593A2GeraçãoNão se aplicaNão se aplicaNão se aplicaPCH IVAN BOTELHO III (TRIUNFO)Não se aplica</t>
  </si>
  <si>
    <t>44593A2GeraçãoNão se aplicaNão se aplicaNão se aplicaPCH IVAN BOTELHO I (PONTE)Não se aplica</t>
  </si>
  <si>
    <t>44593A2GeraçãoNão se aplicaNão se aplicaNão se aplicaPCH IVAN BOTELHO II (PALESTINA)Não se aplica</t>
  </si>
  <si>
    <t>44593A2GeraçãoNão se aplicaNão se aplicaNão se aplicaPCH ZE TUNINNão se aplica</t>
  </si>
  <si>
    <t>44621A2GeraçãoNão se aplicaNão se aplicaNão se aplicaPCH ANNA MARIANão se aplica</t>
  </si>
  <si>
    <t>44621A2GeraçãoNão se aplicaNão se aplicaNão se aplicaUHE BARRA DO BRAUNANão se aplica</t>
  </si>
  <si>
    <t>44621A2GeraçãoNão se aplicaNão se aplicaNão se aplicaPCH JOAO CAMILO PENANão se aplica</t>
  </si>
  <si>
    <t>44621A2GeraçãoNão se aplicaNão se aplicaNão se aplicaPCH TULIO CORDEIRO DE MELONão se aplica</t>
  </si>
  <si>
    <t>44621A2GeraçãoNão se aplicaNão se aplicaNão se aplicaPCH GUARYNão se aplica</t>
  </si>
  <si>
    <t>44621A2GeraçãoNão se aplicaNão se aplicaNão se aplicaUTE JUIZ DE FORANão se aplica</t>
  </si>
  <si>
    <t>44621A2GeraçãoNão se aplicaNão se aplicaNão se aplicaPCH IVAN BOTELHO III (TRIUNFO)Não se aplica</t>
  </si>
  <si>
    <t>44621A2GeraçãoNão se aplicaNão se aplicaNão se aplicaPCH IVAN BOTELHO I (PONTE)Não se aplica</t>
  </si>
  <si>
    <t>44621A2GeraçãoNão se aplicaNão se aplicaNão se aplicaPCH IVAN BOTELHO II (PALESTINA)Não se aplica</t>
  </si>
  <si>
    <t>44621A2GeraçãoNão se aplicaNão se aplicaNão se aplicaPCH ZE TUNINNão se aplica</t>
  </si>
  <si>
    <t>44652A2GeraçãoNão se aplicaNão se aplicaNão se aplicaPCH ANNA MARIANão se aplica</t>
  </si>
  <si>
    <t>44652A2GeraçãoNão se aplicaNão se aplicaNão se aplicaUHE BARRA DO BRAUNANão se aplica</t>
  </si>
  <si>
    <t>44652A2GeraçãoNão se aplicaNão se aplicaNão se aplicaPCH JOAO CAMILO PENANão se aplica</t>
  </si>
  <si>
    <t>44652A2GeraçãoNão se aplicaNão se aplicaNão se aplicaPCH TULIO CORDEIRO DE MELONão se aplica</t>
  </si>
  <si>
    <t>44652A2GeraçãoNão se aplicaNão se aplicaNão se aplicaPCH GUARYNão se aplica</t>
  </si>
  <si>
    <t>44652A2GeraçãoNão se aplicaNão se aplicaNão se aplicaUTE JUIZ DE FORANão se aplica</t>
  </si>
  <si>
    <t>44652A2GeraçãoNão se aplicaNão se aplicaNão se aplicaPCH IVAN BOTELHO III (TRIUNFO)Não se aplica</t>
  </si>
  <si>
    <t>44652A2GeraçãoNão se aplicaNão se aplicaNão se aplicaPCH IVAN BOTELHO I (PONTE)Não se aplica</t>
  </si>
  <si>
    <t>44652A2GeraçãoNão se aplicaNão se aplicaNão se aplicaPCH IVAN BOTELHO II (PALESTINA)Não se aplica</t>
  </si>
  <si>
    <t>44652A2GeraçãoNão se aplicaNão se aplicaNão se aplicaPCH ZE TUNINNão se aplica</t>
  </si>
  <si>
    <t>44682A2GeraçãoNão se aplicaNão se aplicaNão se aplicaPCH ANNA MARIANão se aplica</t>
  </si>
  <si>
    <t>44682A2GeraçãoNão se aplicaNão se aplicaNão se aplicaUHE BARRA DO BRAUNANão se aplica</t>
  </si>
  <si>
    <t>44682A2GeraçãoNão se aplicaNão se aplicaNão se aplicaPCH JOAO CAMILO PENANão se aplica</t>
  </si>
  <si>
    <t>44682A2GeraçãoNão se aplicaNão se aplicaNão se aplicaPCH TULIO CORDEIRO DE MELONão se aplica</t>
  </si>
  <si>
    <t>44682A2GeraçãoNão se aplicaNão se aplicaNão se aplicaPCH GUARYNão se aplica</t>
  </si>
  <si>
    <t>44682A2GeraçãoNão se aplicaNão se aplicaNão se aplicaUTE JUIZ DE FORANão se aplica</t>
  </si>
  <si>
    <t>44682A2GeraçãoNão se aplicaNão se aplicaNão se aplicaPCH IVAN BOTELHO III (TRIUNFO)Não se aplica</t>
  </si>
  <si>
    <t>44682A2GeraçãoNão se aplicaNão se aplicaNão se aplicaPCH IVAN BOTELHO I (PONTE)Não se aplica</t>
  </si>
  <si>
    <t>44682A2GeraçãoNão se aplicaNão se aplicaNão se aplicaPCH IVAN BOTELHO II (PALESTINA)Não se aplica</t>
  </si>
  <si>
    <t>44682A2GeraçãoNão se aplicaNão se aplicaNão se aplicaPCH ZE TUNINNão se aplica</t>
  </si>
  <si>
    <t>44348A3AzulNão se aplicaNão se aplicaNão se aplicaNão se aplicaFora ponta</t>
  </si>
  <si>
    <t>44378A3AzulNão se aplicaNão se aplicaNão se aplicaNão se aplicaFora ponta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</si>
  <si>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</si>
  <si>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</si>
  <si>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</si>
  <si>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44501A3AzulNão se aplicaNão se aplicaNão se aplicaNão se aplicaFora ponta</t>
  </si>
  <si>
    <t>44531A3AzulNão se aplicaNão se aplicaNão se aplicaNão se aplicaFora ponta</t>
  </si>
  <si>
    <t>44562A3AzulNão se aplicaNão se aplicaNão se aplicaNão se aplicaFora ponta</t>
  </si>
  <si>
    <t>44593A3AzulNão se aplicaNão se aplicaNão se aplicaNão se aplicaFora ponta</t>
  </si>
  <si>
    <t>44621A3AzulNão se aplicaNão se aplicaNão se aplicaNão se aplicaFora ponta</t>
  </si>
  <si>
    <t>44652A3AzulNão se aplicaNão se aplicaNão se aplicaNão se aplicaFora ponta</t>
  </si>
  <si>
    <t>44682A3AzulNão se aplicaNão se aplicaNão se aplicaNão se aplicaFora ponta</t>
  </si>
  <si>
    <t>44348A3AzulNão se aplicaNão se aplicaNão se aplicaNão se aplicaNão se aplica</t>
  </si>
  <si>
    <t>44378A3AzulNão se aplicaNão se aplicaNão se aplicaNão se aplicaNão se aplica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</si>
  <si>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</si>
  <si>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</si>
  <si>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</si>
  <si>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44501A3AzulNão se aplicaNão se aplicaNão se aplicaNão se aplicaNão se aplica</t>
  </si>
  <si>
    <t>44531A3AzulNão se aplicaNão se aplicaNão se aplicaNão se aplicaNão se aplica</t>
  </si>
  <si>
    <t>44562A3AzulNão se aplicaNão se aplicaNão se aplicaNão se aplicaNão se aplica</t>
  </si>
  <si>
    <t>44593A3AzulNão se aplicaNão se aplicaNão se aplicaNão se aplicaNão se aplica</t>
  </si>
  <si>
    <t>44621A3AzulNão se aplicaNão se aplicaNão se aplicaNão se aplicaNão se aplica</t>
  </si>
  <si>
    <t>44652A3AzulNão se aplicaNão se aplicaNão se aplicaNão se aplicaNão se aplica</t>
  </si>
  <si>
    <t>44682A3AzulNão se aplicaNão se aplicaNão se aplicaNão se aplicaNão se aplica</t>
  </si>
  <si>
    <t>44348A3AzulNão se aplicaNão se aplicaNão se aplicaNão se aplicaPonta</t>
  </si>
  <si>
    <t>44378A3AzulNão se aplicaNão se aplicaNão se aplicaNão se aplicaPonta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</si>
  <si>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</si>
  <si>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</si>
  <si>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</si>
  <si>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44501A3AzulNão se aplicaNão se aplicaNão se aplicaNão se aplicaPonta</t>
  </si>
  <si>
    <t>44531A3AzulNão se aplicaNão se aplicaNão se aplicaNão se aplicaPonta</t>
  </si>
  <si>
    <t>44562A3AzulNão se aplicaNão se aplicaNão se aplicaNão se aplicaPonta</t>
  </si>
  <si>
    <t>44593A3AzulNão se aplicaNão se aplicaNão se aplicaNão se aplicaPonta</t>
  </si>
  <si>
    <t>44621A3AzulNão se aplicaNão se aplicaNão se aplicaNão se aplicaPonta</t>
  </si>
  <si>
    <t>44652A3AzulNão se aplicaNão se aplicaNão se aplicaNão se aplicaPonta</t>
  </si>
  <si>
    <t>44682A3AzulNão se aplicaNão se aplicaNão se aplicaNão se aplicaPonta</t>
  </si>
  <si>
    <t>44348A3GeraçãoNão se aplicaNão se aplicaNão se aplicaNão se aplicaNão se aplica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</si>
  <si>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</si>
  <si>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</si>
  <si>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</si>
  <si>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</si>
  <si>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</si>
  <si>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</si>
  <si>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</si>
  <si>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</si>
  <si>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</si>
  <si>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</si>
  <si>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44682A3GeraçãoNão se aplicaNão se aplicaNão se aplicaNão se aplicaNão se aplica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</si>
  <si>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</si>
  <si>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</si>
  <si>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</si>
  <si>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</si>
  <si>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</si>
  <si>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</si>
  <si>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</si>
  <si>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</si>
  <si>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</si>
  <si>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</si>
  <si>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</si>
  <si>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</si>
  <si>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</si>
  <si>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</si>
  <si>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</si>
  <si>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</si>
  <si>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</si>
  <si>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</si>
  <si>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</si>
  <si>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</si>
  <si>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</si>
  <si>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</si>
  <si>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</si>
  <si>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</si>
  <si>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44348A4AzulNão se aplicaNão se aplicaNão se aplicaNão se aplicaNão se aplica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</si>
  <si>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</si>
  <si>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</si>
  <si>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</si>
  <si>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</si>
  <si>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</si>
  <si>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</si>
  <si>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</si>
  <si>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</si>
  <si>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</si>
  <si>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</si>
  <si>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</si>
  <si>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44348A4DistribuiçãoNão se aplicaNão se aplicaNão se aplicaCemig-DFora ponta</t>
  </si>
  <si>
    <t>44378A4DistribuiçãoNão se aplicaNão se aplicaNão se aplicaCemig-DFora ponta</t>
  </si>
  <si>
    <t>44409A4DistribuiçãoNão se aplicaNão se aplicaNão se aplicaCemig-DFora ponta</t>
  </si>
  <si>
    <t>44440A4DistribuiçãoNão se aplicaNão se aplicaNão se aplicaCemig-DFora ponta</t>
  </si>
  <si>
    <t>44470A4DistribuiçãoNão se aplicaNão se aplicaNão se aplicaCemig-DFora ponta</t>
  </si>
  <si>
    <t>44501A4DistribuiçãoNão se aplicaNão se aplicaNão se aplicaCemig-DFora ponta</t>
  </si>
  <si>
    <t>44531A4DistribuiçãoNão se aplicaNão se aplicaNão se aplicaCemig-DFora ponta</t>
  </si>
  <si>
    <t>44562A4DistribuiçãoNão se aplicaNão se aplicaNão se aplicaCemig-DFora ponta</t>
  </si>
  <si>
    <t>44593A4DistribuiçãoNão se aplicaNão se aplicaNão se aplicaCemig-DFora ponta</t>
  </si>
  <si>
    <t>44621A4DistribuiçãoNão se aplicaNão se aplicaNão se aplicaCemig-DFora ponta</t>
  </si>
  <si>
    <t>44652A4DistribuiçãoNão se aplicaNão se aplicaNão se aplicaCemig-DFora ponta</t>
  </si>
  <si>
    <t>44682A4DistribuiçãoNão se aplicaNão se aplicaNão se aplicaCemig-DFora ponta</t>
  </si>
  <si>
    <t>44348A4DistribuiçãoNão se aplicaNão se aplicaNão se aplicaCemig-DNão se aplica</t>
  </si>
  <si>
    <t>44378A4DistribuiçãoNão se aplicaNão se aplicaNão se aplicaCemig-DNão se aplica</t>
  </si>
  <si>
    <t>44409A4DistribuiçãoNão se aplicaNão se aplicaNão se aplicaCemig-DNão se aplica</t>
  </si>
  <si>
    <t>44440A4DistribuiçãoNão se aplicaNão se aplicaNão se aplicaCemig-DNão se aplica</t>
  </si>
  <si>
    <t>44470A4DistribuiçãoNão se aplicaNão se aplicaNão se aplicaCemig-DNão se aplica</t>
  </si>
  <si>
    <t>44501A4DistribuiçãoNão se aplicaNão se aplicaNão se aplicaCemig-DNão se aplica</t>
  </si>
  <si>
    <t>44531A4DistribuiçãoNão se aplicaNão se aplicaNão se aplicaCemig-DNão se aplica</t>
  </si>
  <si>
    <t>44562A4DistribuiçãoNão se aplicaNão se aplicaNão se aplicaCemig-DNão se aplica</t>
  </si>
  <si>
    <t>44593A4DistribuiçãoNão se aplicaNão se aplicaNão se aplicaCemig-DNão se aplica</t>
  </si>
  <si>
    <t>44621A4DistribuiçãoNão se aplicaNão se aplicaNão se aplicaCemig-DNão se aplica</t>
  </si>
  <si>
    <t>44652A4DistribuiçãoNão se aplicaNão se aplicaNão se aplicaCemig-DNão se aplica</t>
  </si>
  <si>
    <t>44682A4DistribuiçãoNão se aplicaNão se aplicaNão se aplicaCemig-DNão se aplica</t>
  </si>
  <si>
    <t>44348A4DistribuiçãoNão se aplicaNão se aplicaNão se aplicaCemig-DPonta</t>
  </si>
  <si>
    <t>44378A4DistribuiçãoNão se aplicaNão se aplicaNão se aplicaCemig-DPonta</t>
  </si>
  <si>
    <t>44409A4DistribuiçãoNão se aplicaNão se aplicaNão se aplicaCemig-DPonta</t>
  </si>
  <si>
    <t>44440A4DistribuiçãoNão se aplicaNão se aplicaNão se aplicaCemig-DPonta</t>
  </si>
  <si>
    <t>44470A4DistribuiçãoNão se aplicaNão se aplicaNão se aplicaCemig-DPonta</t>
  </si>
  <si>
    <t>44501A4DistribuiçãoNão se aplicaNão se aplicaNão se aplicaCemig-DPonta</t>
  </si>
  <si>
    <t>44531A4DistribuiçãoNão se aplicaNão se aplicaNão se aplicaCemig-DPonta</t>
  </si>
  <si>
    <t>44562A4DistribuiçãoNão se aplicaNão se aplicaNão se aplicaCemig-DPonta</t>
  </si>
  <si>
    <t>44593A4DistribuiçãoNão se aplicaNão se aplicaNão se aplicaCemig-DPonta</t>
  </si>
  <si>
    <t>44621A4DistribuiçãoNão se aplicaNão se aplicaNão se aplicaCemig-DPonta</t>
  </si>
  <si>
    <t>44652A4DistribuiçãoNão se aplicaNão se aplicaNão se aplicaCemig-DPonta</t>
  </si>
  <si>
    <t>44682A4DistribuiçãoNão se aplicaNão se aplicaNão se aplicaCemig-DPonta</t>
  </si>
  <si>
    <t>44348A4GeraçãoNão se aplicaNão se aplicaNão se aplicaNão se aplicaNão se aplica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</si>
  <si>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</si>
  <si>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</si>
  <si>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</si>
  <si>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</si>
  <si>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</si>
  <si>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</si>
  <si>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</si>
  <si>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</si>
  <si>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</si>
  <si>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</si>
  <si>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</si>
  <si>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</si>
  <si>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</si>
  <si>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</si>
  <si>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</si>
  <si>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</si>
  <si>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</si>
  <si>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</si>
  <si>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</si>
  <si>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</si>
  <si>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</si>
  <si>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</si>
  <si>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</si>
  <si>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</si>
  <si>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</si>
  <si>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</si>
  <si>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</si>
  <si>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</si>
  <si>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</si>
  <si>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</si>
  <si>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</si>
  <si>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</si>
  <si>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</si>
  <si>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</si>
  <si>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</si>
  <si>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</si>
  <si>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</si>
  <si>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</si>
  <si>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</si>
  <si>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</si>
  <si>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</si>
  <si>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</si>
  <si>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</si>
  <si>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</si>
  <si>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</si>
  <si>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</si>
  <si>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</si>
  <si>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</si>
  <si>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</si>
  <si>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</si>
  <si>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</si>
  <si>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</si>
  <si>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</si>
  <si>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</si>
  <si>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</si>
  <si>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</si>
  <si>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</si>
  <si>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</si>
  <si>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</si>
  <si>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</si>
  <si>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</si>
  <si>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</si>
  <si>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</si>
  <si>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</si>
  <si>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</si>
  <si>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</si>
  <si>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</si>
  <si>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</si>
  <si>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</si>
  <si>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</si>
  <si>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</si>
  <si>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</si>
  <si>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</si>
  <si>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</si>
  <si>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</si>
  <si>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</si>
  <si>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</si>
  <si>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</si>
  <si>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</si>
  <si>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</si>
  <si>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</si>
  <si>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</si>
  <si>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</si>
  <si>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</si>
  <si>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</si>
  <si>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</si>
  <si>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</si>
  <si>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</si>
  <si>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</si>
  <si>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</si>
  <si>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</si>
  <si>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</si>
  <si>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</si>
  <si>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</si>
  <si>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</si>
  <si>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</si>
  <si>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</si>
  <si>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</si>
  <si>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</si>
  <si>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</si>
  <si>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</si>
  <si>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</si>
  <si>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</si>
  <si>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</si>
  <si>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</si>
  <si>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</si>
  <si>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</si>
  <si>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</si>
  <si>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</si>
  <si>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</si>
  <si>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</si>
  <si>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</si>
  <si>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</si>
  <si>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</si>
  <si>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</si>
  <si>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</si>
  <si>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</si>
  <si>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</si>
  <si>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</si>
  <si>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</si>
  <si>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</si>
  <si>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</si>
  <si>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</si>
  <si>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</si>
  <si>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</si>
  <si>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</si>
  <si>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</si>
  <si>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</si>
  <si>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</si>
  <si>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</si>
  <si>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</si>
  <si>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</si>
  <si>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</si>
  <si>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</si>
  <si>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</si>
  <si>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</si>
  <si>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</si>
  <si>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</si>
  <si>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</si>
  <si>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</si>
  <si>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</si>
  <si>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</si>
  <si>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</si>
  <si>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</si>
  <si>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</si>
  <si>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</si>
  <si>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44440B2BrancaRuralNão se aplicaNão se aplicaNão se aplicaFora ponta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</si>
  <si>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</si>
  <si>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</si>
  <si>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</si>
  <si>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</si>
  <si>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</si>
  <si>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</si>
  <si>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</si>
  <si>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44682B2BrancaRuralNão se aplicaNão se aplicaNão se aplicaFora ponta</t>
  </si>
  <si>
    <t>44348B2BrancaRuralNão se aplicaNão se aplicaNão se aplicaIntermediário</t>
  </si>
  <si>
    <t>44378B2BrancaRuralNão se aplicaNão se aplicaNão se aplicaIntermediário</t>
  </si>
  <si>
    <t>44409B2BrancaRuralNão se aplicaNão se aplicaNão se aplicaIntermediário</t>
  </si>
  <si>
    <t>44440B2BrancaRuralNão se aplicaNão se aplicaNão se aplicaIntermediário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</si>
  <si>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</si>
  <si>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</si>
  <si>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</si>
  <si>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</si>
  <si>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</si>
  <si>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</si>
  <si>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</si>
  <si>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44682B2BrancaRuralNão se aplicaNão se aplicaNão se aplicaIntermediário</t>
  </si>
  <si>
    <t>44378B2BrancaRuralNão se aplicaNão se aplicaNão se aplicaPonta</t>
  </si>
  <si>
    <t>44409B2BrancaRuralNão se aplicaNão se aplicaNão se aplicaPonta</t>
  </si>
  <si>
    <t>44440B2BrancaRuralNão se aplicaNão se aplicaNão se aplicaPonta</t>
  </si>
  <si>
    <t>44470B2BrancaRuralNão se aplicaNão se aplicaNão se aplicaPonta</t>
  </si>
  <si>
    <t>44501B2BrancaRuralNão se aplicaNão se aplicaNão se aplicaPonta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</si>
  <si>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</si>
  <si>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</si>
  <si>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</si>
  <si>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</si>
  <si>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</si>
  <si>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44682B2BrancaRuralNão se aplicaNão se aplicaNão se aplicaPonta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</si>
  <si>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</si>
  <si>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</si>
  <si>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</si>
  <si>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</si>
  <si>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</si>
  <si>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</si>
  <si>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</si>
  <si>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</si>
  <si>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</si>
  <si>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</si>
  <si>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</si>
  <si>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</si>
  <si>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</si>
  <si>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</si>
  <si>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</si>
  <si>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</si>
  <si>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</si>
  <si>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</si>
  <si>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</si>
  <si>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</si>
  <si>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</si>
  <si>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</si>
  <si>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</si>
  <si>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</si>
  <si>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</si>
  <si>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</si>
  <si>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</si>
  <si>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</si>
  <si>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</si>
  <si>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</si>
  <si>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</si>
  <si>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</si>
  <si>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</si>
  <si>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</si>
  <si>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</si>
  <si>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</si>
  <si>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</si>
  <si>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</si>
  <si>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</si>
  <si>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</si>
  <si>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</si>
  <si>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</si>
  <si>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</si>
  <si>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</si>
  <si>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</si>
  <si>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</si>
  <si>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</si>
  <si>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</si>
  <si>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</si>
  <si>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</si>
  <si>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</si>
  <si>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</si>
  <si>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</si>
  <si>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</si>
  <si>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</si>
  <si>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</si>
  <si>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</si>
  <si>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</si>
  <si>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</si>
  <si>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</si>
  <si>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</si>
  <si>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</si>
  <si>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</si>
  <si>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</si>
  <si>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</si>
  <si>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</si>
  <si>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</si>
  <si>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</si>
  <si>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</si>
  <si>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</si>
  <si>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</si>
  <si>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</si>
  <si>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44348B4ConvencionalIluminação públicaIluminação pública – B4bNão se aplicaNão se aplicaNão se aplica</t>
  </si>
  <si>
    <t>44378B4ConvencionalIluminação públicaIluminação pública – B4bNão se aplicaNão se aplicaNão se aplica</t>
  </si>
  <si>
    <t>44409B4ConvencionalIluminação públicaIluminação pública – B4bNão se aplicaNão se aplicaNão se aplica</t>
  </si>
  <si>
    <t>44440B4ConvencionalIluminação públicaIluminação pública – B4bNão se aplicaNão se aplicaNão se aplica</t>
  </si>
  <si>
    <t>44470B4ConvencionalIluminação públicaIluminação pública – B4bNão se aplicaNão se aplicaNão se aplica</t>
  </si>
  <si>
    <t>44501B4ConvencionalIluminação públicaIluminação pública – B4bNão se aplicaNão se aplicaNão se aplica</t>
  </si>
  <si>
    <t>44531B4ConvencionalIluminação públicaIluminação pública – B4bNão se aplicaNão se aplicaNão se aplica</t>
  </si>
  <si>
    <t>44562B4ConvencionalIluminação públicaIluminação pública – B4bNão se aplicaNão se aplicaNão se aplica</t>
  </si>
  <si>
    <t>44593B4ConvencionalIluminação públicaIluminação pública – B4bNão se aplicaNão se aplicaNão se aplica</t>
  </si>
  <si>
    <t>44621B4ConvencionalIluminação públicaIluminação pública – B4bNão se aplicaNão se aplicaNão se aplica</t>
  </si>
  <si>
    <t>44652B4ConvencionalIluminação públicaIluminação pública – B4bNão se aplicaNão se aplicaNão se aplica</t>
  </si>
  <si>
    <t>44682B4ConvencionalIluminação públicaIluminação pública – B4bNão se aplicaNão se aplicaNão se aplica</t>
  </si>
  <si>
    <t>CHAVE TE</t>
  </si>
  <si>
    <t>44348A3Energia horáriaNão se aplicaNão se aplicaNão se aplicaNão se aplicaFora ponta</t>
  </si>
  <si>
    <t>44378A3Energia horáriaNão se aplicaNão se aplicaNão se aplicaNão se aplicaFora ponta</t>
  </si>
  <si>
    <t>44409A3Energia horáriaNão se aplicaNão se aplicaNão se aplicaNão se aplicaFora ponta</t>
  </si>
  <si>
    <t>44440A3Energia horáriaNão se aplicaNão se aplicaNão se aplicaNão se aplicaFora ponta</t>
  </si>
  <si>
    <t>44470A3Energia horáriaNão se aplicaNão se aplicaNão se aplicaNão se aplicaFora ponta</t>
  </si>
  <si>
    <t>44501A3Energia horáriaNão se aplicaNão se aplicaNão se aplicaNão se aplicaFora ponta</t>
  </si>
  <si>
    <t>44531A3Energia horáriaNão se aplicaNão se aplicaNão se aplicaNão se aplicaFora ponta</t>
  </si>
  <si>
    <t>44562A3Energia horáriaNão se aplicaNão se aplicaNão se aplicaNão se aplicaFora ponta</t>
  </si>
  <si>
    <t>44652A3Energia horáriaNão se aplicaNão se aplicaNão se aplicaNão se aplicaFora ponta</t>
  </si>
  <si>
    <t>44682A3Energia horáriaNão se aplicaNão se aplicaNão se aplicaNão se aplicaFora ponta</t>
  </si>
  <si>
    <t>44348A3Energia horáriaNão se aplicaNão se aplicaNão se aplicaNão se aplicaPonta</t>
  </si>
  <si>
    <t>44378A3Energia horáriaNão se aplicaNão se aplicaNão se aplicaNão se aplicaPonta</t>
  </si>
  <si>
    <t>44409A3Energia horáriaNão se aplicaNão se aplicaNão se aplicaNão se aplicaPonta</t>
  </si>
  <si>
    <t>44440A3Energia horáriaNão se aplicaNão se aplicaNão se aplicaNão se aplicaPonta</t>
  </si>
  <si>
    <t>44470A3Energia horáriaNão se aplicaNão se aplicaNão se aplicaNão se aplicaPonta</t>
  </si>
  <si>
    <t>44501A3Energia horáriaNão se aplicaNão se aplicaNão se aplicaNão se aplicaPonta</t>
  </si>
  <si>
    <t>44531A3Energia horáriaNão se aplicaNão se aplicaNão se aplicaNão se aplicaPonta</t>
  </si>
  <si>
    <t>44562A3Energia horáriaNão se aplicaNão se aplicaNão se aplicaNão se aplicaPonta</t>
  </si>
  <si>
    <t>44652A3Energia horáriaNão se aplicaNão se aplicaNão se aplicaNão se aplicaPonta</t>
  </si>
  <si>
    <t>44682A3Energia horáriaNão se aplicaNão se aplicaNão se aplicaNão se aplicaPonta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</si>
  <si>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</si>
  <si>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</si>
  <si>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</si>
  <si>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</si>
  <si>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</si>
  <si>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</si>
  <si>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</si>
  <si>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</si>
  <si>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</si>
  <si>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</si>
  <si>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</si>
  <si>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</si>
  <si>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</si>
  <si>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</si>
  <si>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</si>
  <si>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</si>
  <si>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</si>
  <si>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</si>
  <si>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</si>
  <si>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</si>
  <si>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</si>
  <si>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</si>
  <si>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</si>
  <si>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</si>
  <si>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</si>
  <si>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</si>
  <si>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</si>
  <si>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</si>
  <si>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</si>
  <si>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</si>
  <si>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</si>
  <si>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</si>
  <si>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</si>
  <si>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</si>
  <si>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</si>
  <si>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</si>
  <si>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</si>
  <si>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</si>
  <si>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</si>
  <si>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</si>
  <si>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</si>
  <si>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</si>
  <si>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</si>
  <si>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</si>
  <si>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</si>
  <si>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</si>
  <si>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</si>
  <si>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</si>
  <si>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</si>
  <si>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</si>
  <si>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</si>
  <si>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</si>
  <si>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</si>
  <si>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</si>
  <si>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</si>
  <si>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</si>
  <si>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</si>
  <si>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</si>
  <si>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</si>
  <si>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</si>
  <si>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</si>
  <si>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</si>
  <si>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</si>
  <si>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</si>
  <si>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</si>
  <si>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</si>
  <si>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</si>
  <si>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</si>
  <si>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</si>
  <si>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</si>
  <si>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</si>
  <si>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</si>
  <si>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</si>
  <si>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</si>
  <si>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</si>
  <si>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</si>
  <si>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</si>
  <si>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</si>
  <si>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</si>
  <si>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</si>
  <si>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</si>
  <si>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</si>
  <si>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</si>
  <si>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</si>
  <si>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</si>
  <si>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</si>
  <si>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</si>
  <si>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</si>
  <si>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</si>
  <si>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</si>
  <si>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</si>
  <si>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</si>
  <si>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</si>
  <si>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</si>
  <si>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</si>
  <si>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</si>
  <si>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</si>
  <si>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</si>
  <si>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</si>
  <si>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</si>
  <si>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</si>
  <si>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</si>
  <si>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</si>
  <si>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</si>
  <si>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</si>
  <si>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</si>
  <si>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</si>
  <si>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</si>
  <si>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</si>
  <si>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</si>
  <si>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</si>
  <si>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</si>
  <si>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</si>
  <si>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</si>
  <si>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</si>
  <si>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</si>
  <si>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</si>
  <si>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</si>
  <si>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</si>
  <si>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</si>
  <si>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</si>
  <si>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</si>
  <si>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</si>
  <si>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</si>
  <si>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</si>
  <si>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</si>
  <si>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</si>
  <si>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44440B2Energia horáriaRuralNão se aplicaNão se aplicaNão se aplicaFora ponta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</si>
  <si>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</si>
  <si>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</si>
  <si>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</si>
  <si>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</si>
  <si>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</si>
  <si>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</si>
  <si>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</si>
  <si>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44682B2Energia horáriaRuralNão se aplicaNão se aplicaNão se aplicaFora ponta</t>
  </si>
  <si>
    <t>44348B2Energia horáriaRuralNão se aplicaNão se aplicaNão se aplicaIntermediário</t>
  </si>
  <si>
    <t>44378B2Energia horáriaRuralNão se aplicaNão se aplicaNão se aplicaIntermediário</t>
  </si>
  <si>
    <t>44409B2Energia horáriaRuralNão se aplicaNão se aplicaNão se aplicaIntermediário</t>
  </si>
  <si>
    <t>44440B2Energia horáriaRuralNão se aplicaNão se aplicaNão se aplicaIntermediário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</si>
  <si>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</si>
  <si>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</si>
  <si>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</si>
  <si>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</si>
  <si>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</si>
  <si>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</si>
  <si>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</si>
  <si>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44682B2Energia horáriaRuralNão se aplicaNão se aplicaNão se aplicaIntermediário</t>
  </si>
  <si>
    <t>44378B2Energia horáriaRuralNão se aplicaNão se aplicaNão se aplicaPonta</t>
  </si>
  <si>
    <t>44409B2Energia horáriaRuralNão se aplicaNão se aplicaNão se aplicaPonta</t>
  </si>
  <si>
    <t>44440B2Energia horáriaRuralNão se aplicaNão se aplicaNão se aplicaPonta</t>
  </si>
  <si>
    <t>44470B2Energia horáriaRuralNão se aplicaNão se aplicaNão se aplicaPonta</t>
  </si>
  <si>
    <t>44501B2Energia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</si>
  <si>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</si>
  <si>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</si>
  <si>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</si>
  <si>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</si>
  <si>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</si>
  <si>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44682B2Energia horáriaRuralNão se aplicaNão se aplicaNão se aplicaPonta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</si>
  <si>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</si>
  <si>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</si>
  <si>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</si>
  <si>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</si>
  <si>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</si>
  <si>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</si>
  <si>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</si>
  <si>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</si>
  <si>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</si>
  <si>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</si>
  <si>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</si>
  <si>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</si>
  <si>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</si>
  <si>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</si>
  <si>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</si>
  <si>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</si>
  <si>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</si>
  <si>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</si>
  <si>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</si>
  <si>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</si>
  <si>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</si>
  <si>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</si>
  <si>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</si>
  <si>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</si>
  <si>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</si>
  <si>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</si>
  <si>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</si>
  <si>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</si>
  <si>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</si>
  <si>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</si>
  <si>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</si>
  <si>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</si>
  <si>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</si>
  <si>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</si>
  <si>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</si>
  <si>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</si>
  <si>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</si>
  <si>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</si>
  <si>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</si>
  <si>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</si>
  <si>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</si>
  <si>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</si>
  <si>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</si>
  <si>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</si>
  <si>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</si>
  <si>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</si>
  <si>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</si>
  <si>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</si>
  <si>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</si>
  <si>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</si>
  <si>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</si>
  <si>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</si>
  <si>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</si>
  <si>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</si>
  <si>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</si>
  <si>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</si>
  <si>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</si>
  <si>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</si>
  <si>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</si>
  <si>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</si>
  <si>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</si>
  <si>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</si>
  <si>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</si>
  <si>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</si>
  <si>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</si>
  <si>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</si>
  <si>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</si>
  <si>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</si>
  <si>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</si>
  <si>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</si>
  <si>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</si>
  <si>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</si>
  <si>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44348B4Energia convencionalIluminação públicaIluminação pública – B4bNão se aplicaNão se aplicaNão se aplica</t>
  </si>
  <si>
    <t>44378B4Energia convencionalIluminação públicaIluminação pública – B4bNão se aplicaNão se aplicaNão se aplica</t>
  </si>
  <si>
    <t>44409B4Energia convencionalIluminação públicaIluminação pública – B4bNão se aplicaNão se aplicaNão se aplica</t>
  </si>
  <si>
    <t>44440B4Energia convencionalIluminação públicaIluminação pública – B4bNão se aplicaNão se aplicaNão se aplica</t>
  </si>
  <si>
    <t>44470B4Energia convencionalIluminação públicaIluminação pública – B4bNão se aplicaNão se aplicaNão se aplica</t>
  </si>
  <si>
    <t>44501B4Energia convencionalIluminação públicaIluminação pública – B4bNão se aplicaNão se aplicaNão se aplica</t>
  </si>
  <si>
    <t>44531B4Energia convencionalIluminação públicaIluminação pública – B4bNão se aplicaNão se aplicaNão se aplica</t>
  </si>
  <si>
    <t>44562B4Energia convencionalIluminação públicaIluminação pública – B4bNão se aplicaNão se aplicaNão se aplica</t>
  </si>
  <si>
    <t>44593B4Energia convencionalIluminação públicaIluminação pública – B4bNão se aplicaNão se aplicaNão se aplica</t>
  </si>
  <si>
    <t>44621B4Energia convencionalIluminação públicaIluminação pública – B4bNão se aplicaNão se aplicaNão se aplica</t>
  </si>
  <si>
    <t>44652B4Energia convencionalIluminação públicaIluminação pública – B4bNão se aplicaNão se aplicaNão se aplica</t>
  </si>
  <si>
    <t>44682B4Energia convencionalIluminação públicaIluminação pública – B4bNão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</si>
  <si>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</si>
  <si>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</si>
  <si>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</si>
  <si>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</si>
  <si>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</si>
  <si>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</si>
  <si>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</si>
  <si>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</si>
  <si>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</si>
  <si>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</si>
  <si>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</si>
  <si>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</si>
  <si>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</si>
  <si>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</si>
  <si>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</si>
  <si>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</si>
  <si>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</si>
  <si>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</si>
  <si>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</si>
  <si>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</si>
  <si>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</si>
  <si>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</si>
  <si>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</si>
  <si>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</si>
  <si>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</si>
  <si>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</si>
  <si>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</si>
  <si>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</si>
  <si>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</si>
  <si>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</si>
  <si>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</si>
  <si>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</si>
  <si>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</si>
  <si>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</si>
  <si>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</si>
  <si>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</si>
  <si>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</si>
  <si>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</si>
  <si>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</si>
  <si>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</si>
  <si>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</si>
  <si>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</si>
  <si>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</si>
  <si>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</si>
  <si>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</si>
  <si>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</si>
  <si>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</si>
  <si>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</si>
  <si>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</si>
  <si>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</si>
  <si>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</si>
  <si>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</si>
  <si>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</si>
  <si>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</si>
  <si>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</si>
  <si>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</si>
  <si>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</si>
  <si>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</si>
  <si>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</si>
  <si>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</si>
  <si>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</si>
  <si>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</si>
  <si>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</si>
  <si>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</si>
  <si>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</si>
  <si>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</si>
  <si>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</si>
  <si>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</si>
  <si>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</si>
  <si>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</si>
  <si>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</si>
  <si>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</si>
  <si>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</si>
  <si>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</si>
  <si>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</si>
  <si>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</si>
  <si>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</si>
  <si>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</si>
  <si>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</si>
  <si>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</si>
  <si>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</si>
  <si>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</si>
  <si>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</si>
  <si>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</si>
  <si>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</si>
  <si>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</si>
  <si>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</si>
  <si>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</si>
  <si>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</si>
  <si>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</si>
  <si>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</si>
  <si>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</si>
  <si>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</si>
  <si>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</si>
  <si>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</si>
  <si>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</si>
  <si>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</si>
  <si>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</si>
  <si>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</si>
  <si>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</si>
  <si>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</si>
  <si>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</si>
  <si>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</si>
  <si>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</si>
  <si>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</si>
  <si>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</si>
  <si>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</si>
  <si>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</si>
  <si>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</si>
  <si>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</si>
  <si>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</si>
  <si>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</si>
  <si>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</si>
  <si>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A3a</t>
  </si>
  <si>
    <t>AS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</si>
  <si>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</si>
  <si>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</si>
  <si>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</si>
  <si>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</si>
  <si>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</si>
  <si>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</si>
  <si>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</si>
  <si>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</si>
  <si>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</si>
  <si>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Energia suprimento concessionária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</si>
  <si>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</si>
  <si>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</si>
  <si>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</si>
  <si>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</si>
  <si>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</si>
  <si>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</si>
  <si>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</si>
  <si>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</si>
  <si>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</si>
  <si>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</si>
  <si>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</si>
  <si>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</si>
  <si>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</si>
  <si>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</si>
  <si>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</si>
  <si>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</si>
  <si>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</si>
  <si>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</si>
  <si>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</si>
  <si>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</si>
  <si>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</si>
  <si>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</si>
  <si>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</si>
  <si>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</si>
  <si>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</si>
  <si>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</si>
  <si>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</si>
  <si>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</si>
  <si>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</si>
  <si>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</si>
  <si>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</si>
  <si>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</si>
  <si>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</si>
  <si>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</si>
  <si>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</si>
  <si>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</si>
  <si>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</si>
  <si>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GERAÇÃO FONTE INCENTIVADA</t>
  </si>
  <si>
    <t>SUBSIDIO CARGA FONTE INCENTIVADA</t>
  </si>
  <si>
    <t>SUBSIDIO RURAL</t>
  </si>
  <si>
    <t>SUBSIDIO ÁGUA, ESGOTO E SANEAMENTO</t>
  </si>
  <si>
    <t>SUBSIDIO BAIXA RENDA</t>
  </si>
  <si>
    <t>SUBSIDIO IRRIGANTE/AQUICULTOR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</si>
  <si>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</si>
  <si>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</si>
  <si>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</si>
  <si>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</si>
  <si>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</si>
  <si>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</si>
  <si>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</si>
  <si>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</si>
  <si>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</si>
  <si>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</si>
  <si>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</si>
  <si>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</si>
  <si>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2021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</si>
  <si>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</si>
  <si>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</si>
  <si>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</si>
  <si>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</si>
  <si>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</si>
  <si>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</si>
  <si>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</si>
  <si>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</si>
  <si>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</si>
  <si>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</si>
  <si>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</si>
  <si>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</si>
  <si>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</si>
  <si>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1RuralNão se aplicaPlanilha CUSTOB2</t>
  </si>
  <si>
    <t>Azul1RuralNão se aplicaPlanilha CustoA4</t>
  </si>
  <si>
    <t>Planilha Custo</t>
  </si>
  <si>
    <t>Verde1RuralNão se aplicaPlanilha CustoA4</t>
  </si>
  <si>
    <t>Convencional1RuralNão se aplicaPlanilha CustoA4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</si>
  <si>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</si>
  <si>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</si>
  <si>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</si>
  <si>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</si>
  <si>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</si>
  <si>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</si>
  <si>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</si>
  <si>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</si>
  <si>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</si>
  <si>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</si>
  <si>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</si>
  <si>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</si>
  <si>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</si>
  <si>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</si>
  <si>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</si>
  <si>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</si>
  <si>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</si>
  <si>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</si>
  <si>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</si>
  <si>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</si>
  <si>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</si>
  <si>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</si>
  <si>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</si>
  <si>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</si>
  <si>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</si>
  <si>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</si>
  <si>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</si>
  <si>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</si>
  <si>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</si>
  <si>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</si>
  <si>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</si>
  <si>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</si>
  <si>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</si>
  <si>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</si>
  <si>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</si>
  <si>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</si>
  <si>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</si>
  <si>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</si>
  <si>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</si>
  <si>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</si>
  <si>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</si>
  <si>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</si>
  <si>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</si>
  <si>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</si>
  <si>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</si>
  <si>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</si>
  <si>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</si>
  <si>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</si>
  <si>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</si>
  <si>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</si>
  <si>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</si>
  <si>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</si>
  <si>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</si>
  <si>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</si>
  <si>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</si>
  <si>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</si>
  <si>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</si>
  <si>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</si>
  <si>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</si>
  <si>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</si>
  <si>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</si>
  <si>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</si>
  <si>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</si>
  <si>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</si>
  <si>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</si>
  <si>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</si>
  <si>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</si>
  <si>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</si>
  <si>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</si>
  <si>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</si>
  <si>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A2Azul</t>
  </si>
  <si>
    <t>A2AzulNão se aplica</t>
  </si>
  <si>
    <t>A2AzulNão se aplicaNão se aplica</t>
  </si>
  <si>
    <t>A2AzulNão se aplicaNão se aplicaNão se aplica</t>
  </si>
  <si>
    <t>A2AzulNão se aplicaNão se aplicaNão se aplicaNão se aplica</t>
  </si>
  <si>
    <t>A2AzulNão se aplicaNão se aplicaNão se aplicaNão se aplicaDP</t>
  </si>
  <si>
    <t>A2AzulNão se aplicaNão se aplicaNão se aplicaNão se aplicaDFP</t>
  </si>
  <si>
    <t>A2AzulNão se aplicaNão se aplicaNão se aplicaNão se aplicaE</t>
  </si>
  <si>
    <t>A2AzulNão se aplicaNão se aplicaAPE</t>
  </si>
  <si>
    <t>A2AzulNão se aplicaNão se aplicaAPENão se aplica</t>
  </si>
  <si>
    <t>A2AzulNão se aplicaNão se aplicaAPENão se aplicaE</t>
  </si>
  <si>
    <t>A2Geração</t>
  </si>
  <si>
    <t>A2GeraçãoNão se aplica</t>
  </si>
  <si>
    <t>A2GeraçãoNão se aplicaNão se aplica</t>
  </si>
  <si>
    <t>A2GeraçãoNão se aplicaNão se aplicaNão se aplica</t>
  </si>
  <si>
    <t>A2GeraçãoNão se aplicaNão se aplicaNão se aplicaPCH ANNA MARIA</t>
  </si>
  <si>
    <t>A2GeraçãoNão se aplicaNão se aplicaNão se aplicaPCH ANNA MARIAD</t>
  </si>
  <si>
    <t>A2GeraçãoNão se aplicaNão se aplicaNão se aplicaUHE BARRA DO BRAUNA</t>
  </si>
  <si>
    <t>A2GeraçãoNão se aplicaNão se aplicaNão se aplicaUHE BARRA DO BRAUNAD</t>
  </si>
  <si>
    <t>A2GeraçãoNão se aplicaNão se aplicaNão se aplicaPCH JOAO CAMILO PENA</t>
  </si>
  <si>
    <t>A2GeraçãoNão se aplicaNão se aplicaNão se aplicaPCH JOAO CAMILO PENAD</t>
  </si>
  <si>
    <t>A2GeraçãoNão se aplicaNão se aplicaNão se aplicaPCH TULIO CORDEIRO DE MELO</t>
  </si>
  <si>
    <t>A2GeraçãoNão se aplicaNão se aplicaNão se aplicaPCH TULIO CORDEIRO DE MELOD</t>
  </si>
  <si>
    <t>A2GeraçãoNão se aplicaNão se aplicaNão se aplicaPCH GUARY</t>
  </si>
  <si>
    <t>A2GeraçãoNão se aplicaNão se aplicaNão se aplicaPCH GUARYD</t>
  </si>
  <si>
    <t>A2GeraçãoNão se aplicaNão se aplicaNão se aplicaUTE JUIZ DE FORA</t>
  </si>
  <si>
    <t>A2GeraçãoNão se aplicaNão se aplicaNão se aplicaUTE JUIZ DE FORAD</t>
  </si>
  <si>
    <t>A2GeraçãoNão se aplicaNão se aplicaNão se aplicaPCH IVAN BOTELHO III (TRIUNFO)</t>
  </si>
  <si>
    <t>A2GeraçãoNão se aplicaNão se aplicaNão se aplicaPCH IVAN BOTELHO III (TRIUNFO)D</t>
  </si>
  <si>
    <t>A2GeraçãoNão se aplicaNão se aplicaNão se aplicaPCH IVAN BOTELHO I (PONTE)</t>
  </si>
  <si>
    <t>A2GeraçãoNão se aplicaNão se aplicaNão se aplicaPCH IVAN BOTELHO I (PONTE)D</t>
  </si>
  <si>
    <t>A2GeraçãoNão se aplicaNão se aplicaNão se aplicaPCH IVAN BOTELHO II (PALESTINA)</t>
  </si>
  <si>
    <t>A2GeraçãoNão se aplicaNão se aplicaNão se aplicaPCH IVAN BOTELHO II (PALESTINA)D</t>
  </si>
  <si>
    <t>A2GeraçãoNão se aplicaNão se aplicaNão se aplicaPCH ZE TUNIN</t>
  </si>
  <si>
    <t>A2GeraçãoNão se aplicaNão se aplicaNão se aplicaPCH ZE TUNIND</t>
  </si>
  <si>
    <t>A2GeraçãoNão se aplicaNão se aplicaNão se aplicaNOVO GERADOR</t>
  </si>
  <si>
    <t>A2GeraçãoNão se aplicaNão se aplicaNão se aplicaNOVO GERADORD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</si>
  <si>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</si>
  <si>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</si>
  <si>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</si>
  <si>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</si>
  <si>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</si>
  <si>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</si>
  <si>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</si>
  <si>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</si>
  <si>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</si>
  <si>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</si>
  <si>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</si>
  <si>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</si>
  <si>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</si>
  <si>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</si>
  <si>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</si>
  <si>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</si>
  <si>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</si>
  <si>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</si>
  <si>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</si>
  <si>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</si>
  <si>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</si>
  <si>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</si>
  <si>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</si>
  <si>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</si>
  <si>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</si>
  <si>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</si>
  <si>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</si>
  <si>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</si>
  <si>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</si>
  <si>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</si>
  <si>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</si>
  <si>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</si>
  <si>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aplicaCemig-D</t>
  </si>
  <si>
    <t>A4DistribuiçãoNão se aplicaNão se aplicaNão se aplicaCemig-DDP</t>
  </si>
  <si>
    <t>A4DistribuiçãoNão se aplicaNão se aplicaNão se aplicaCemig-DDFP</t>
  </si>
  <si>
    <t>A4DistribuiçãoNão se aplicaNão se aplicaNão se aplicaCemig-DE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</si>
  <si>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</si>
  <si>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</si>
  <si>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</si>
  <si>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</si>
  <si>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</si>
  <si>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</si>
  <si>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</si>
  <si>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</si>
  <si>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</si>
  <si>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</si>
  <si>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</si>
  <si>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</si>
  <si>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</si>
  <si>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</si>
  <si>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</si>
  <si>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</si>
  <si>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</si>
  <si>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</si>
  <si>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</si>
  <si>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</si>
  <si>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</si>
  <si>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</si>
  <si>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</si>
  <si>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</si>
  <si>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</si>
  <si>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</si>
  <si>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</si>
  <si>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</si>
  <si>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</si>
  <si>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</si>
  <si>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</si>
  <si>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</si>
  <si>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</si>
  <si>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</si>
  <si>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</si>
  <si>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</si>
  <si>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</si>
  <si>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</si>
  <si>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</si>
  <si>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</si>
  <si>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</si>
  <si>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</si>
  <si>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</si>
  <si>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</si>
  <si>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</si>
  <si>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</si>
  <si>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</si>
  <si>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</si>
  <si>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</si>
  <si>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</si>
  <si>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</si>
  <si>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</si>
  <si>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</si>
  <si>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</si>
  <si>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</si>
  <si>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</si>
  <si>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</si>
  <si>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</si>
  <si>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</si>
  <si>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</si>
  <si>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</si>
  <si>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</si>
  <si>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</si>
  <si>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</si>
  <si>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</si>
  <si>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</si>
  <si>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</si>
  <si>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</si>
  <si>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</si>
  <si>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</si>
  <si>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</si>
  <si>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</si>
  <si>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</si>
  <si>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</si>
  <si>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</si>
  <si>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</si>
  <si>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</si>
  <si>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</si>
  <si>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</si>
  <si>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</si>
  <si>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</si>
  <si>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</si>
  <si>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</si>
  <si>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</si>
  <si>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</si>
  <si>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</si>
  <si>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</si>
  <si>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</si>
  <si>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</si>
  <si>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</si>
  <si>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</si>
  <si>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</si>
  <si>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</si>
  <si>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</si>
  <si>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</si>
  <si>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</si>
  <si>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</si>
  <si>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</si>
  <si>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</si>
  <si>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</si>
  <si>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</si>
  <si>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</si>
  <si>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</si>
  <si>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</si>
  <si>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</si>
  <si>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</si>
  <si>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</si>
  <si>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</si>
  <si>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</si>
  <si>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</si>
  <si>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</si>
  <si>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</si>
  <si>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</si>
  <si>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</si>
  <si>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</si>
  <si>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</si>
  <si>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</si>
  <si>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</si>
  <si>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</si>
  <si>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</si>
  <si>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</si>
  <si>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</si>
  <si>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</si>
  <si>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</si>
  <si>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</si>
  <si>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</si>
  <si>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</si>
  <si>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</si>
  <si>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</si>
  <si>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</si>
  <si>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</si>
  <si>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</si>
  <si>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</si>
  <si>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</si>
  <si>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</si>
  <si>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</si>
  <si>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</si>
  <si>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</si>
  <si>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</si>
  <si>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</si>
  <si>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</si>
  <si>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</si>
  <si>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</si>
  <si>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</si>
  <si>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</si>
  <si>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</si>
  <si>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</si>
  <si>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</si>
  <si>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</si>
  <si>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</si>
  <si>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</si>
  <si>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</si>
  <si>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</si>
  <si>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</si>
  <si>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</si>
  <si>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</si>
  <si>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</si>
  <si>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</si>
  <si>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</si>
  <si>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A2Energia horária</t>
  </si>
  <si>
    <t>A2Energia horáriaNão se aplica</t>
  </si>
  <si>
    <t>A2Energia horáriaNão se aplicaNão se aplica</t>
  </si>
  <si>
    <t>A2Energia horáriaNão se aplicaNão se aplicaNão se aplica</t>
  </si>
  <si>
    <t>A2Energia horáriaNão se aplicaNão se aplicaNão se aplicaNão se aplica</t>
  </si>
  <si>
    <t>A2Energia horáriaNão se aplicaNão se aplicaNão se aplicaNão se aplicaEP</t>
  </si>
  <si>
    <t>A2Energia horáriaNão se aplicaNão se aplicaNão se aplicaNão se aplicaEFP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</si>
  <si>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</si>
  <si>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</si>
  <si>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</si>
  <si>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</si>
  <si>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</si>
  <si>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</si>
  <si>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</si>
  <si>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</si>
  <si>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</si>
  <si>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</si>
  <si>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</si>
  <si>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</si>
  <si>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</si>
  <si>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</si>
  <si>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</si>
  <si>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</si>
  <si>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</si>
  <si>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</si>
  <si>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</si>
  <si>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</si>
  <si>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</si>
  <si>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</si>
  <si>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</si>
  <si>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</si>
  <si>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</si>
  <si>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</si>
  <si>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</si>
  <si>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</si>
  <si>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</si>
  <si>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</si>
  <si>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</si>
  <si>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</si>
  <si>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</si>
  <si>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</si>
  <si>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</si>
  <si>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</si>
  <si>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</si>
  <si>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</si>
  <si>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</si>
  <si>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</si>
  <si>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</si>
  <si>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</si>
  <si>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</si>
  <si>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</si>
  <si>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</si>
  <si>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</si>
  <si>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</si>
  <si>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</si>
  <si>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</si>
  <si>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</si>
  <si>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</si>
  <si>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</si>
  <si>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</si>
  <si>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</si>
  <si>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</si>
  <si>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</si>
  <si>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</si>
  <si>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</si>
  <si>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</si>
  <si>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</si>
  <si>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</si>
  <si>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</si>
  <si>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</si>
  <si>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</si>
  <si>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</si>
  <si>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</si>
  <si>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</si>
  <si>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</si>
  <si>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</si>
  <si>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</si>
  <si>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</si>
  <si>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</si>
  <si>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</si>
  <si>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</si>
  <si>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</si>
  <si>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</si>
  <si>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</si>
  <si>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</si>
  <si>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</si>
  <si>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</si>
  <si>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</si>
  <si>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</si>
  <si>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</si>
  <si>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</si>
  <si>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</si>
  <si>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</si>
  <si>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</si>
  <si>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</si>
  <si>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</si>
  <si>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</si>
  <si>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</si>
  <si>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</si>
  <si>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</si>
  <si>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</si>
  <si>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</si>
  <si>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</si>
  <si>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</si>
  <si>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</si>
  <si>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</si>
  <si>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</si>
  <si>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</si>
  <si>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</si>
  <si>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</si>
  <si>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</si>
  <si>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</si>
  <si>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</si>
  <si>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</si>
  <si>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</si>
  <si>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</si>
  <si>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</si>
  <si>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</si>
  <si>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</si>
  <si>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</si>
  <si>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</si>
  <si>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</si>
  <si>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</si>
  <si>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</si>
  <si>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</si>
  <si>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</si>
  <si>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</si>
  <si>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</si>
  <si>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</si>
  <si>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</si>
  <si>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</si>
  <si>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</si>
  <si>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</si>
  <si>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</si>
  <si>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</si>
  <si>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</si>
  <si>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</si>
  <si>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</si>
  <si>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</si>
  <si>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</si>
  <si>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</si>
  <si>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</si>
  <si>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</si>
  <si>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</si>
  <si>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</si>
  <si>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</si>
  <si>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</si>
  <si>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</si>
  <si>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</si>
  <si>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</si>
  <si>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</si>
  <si>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</si>
  <si>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</si>
  <si>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</si>
  <si>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</si>
  <si>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</si>
  <si>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</si>
  <si>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</si>
  <si>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</si>
  <si>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</si>
  <si>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</si>
  <si>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</si>
  <si>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CDE ELET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</si>
  <si>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</si>
  <si>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</si>
  <si>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</si>
  <si>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</si>
  <si>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</si>
  <si>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</si>
  <si>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</si>
  <si>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</si>
  <si>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</si>
  <si>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</si>
  <si>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2.884, DE 22 DE JUNHO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</si>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</sst>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9"/>
      <color indexed="81"/>
      <name val="Segoe UI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0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4" fontId="3" fillId="0" borderId="0" xfId="0" applyNumberFormat="1" applyFont="1"/>
    <xf numFmtId="0" fontId="3" fillId="0" borderId="8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/>
    <xf numFmtId="0" fontId="4" fillId="0" borderId="14" xfId="0" applyFont="1" applyBorder="1"/>
    <xf numFmtId="40" fontId="1" fillId="2" borderId="0" xfId="0" applyNumberFormat="1" applyFont="1" applyFill="1" applyAlignment="1">
      <alignment horizontal="center" vertical="center"/>
    </xf>
    <xf numFmtId="40" fontId="6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167" fontId="3" fillId="0" borderId="0" xfId="0" applyNumberFormat="1" applyFont="1"/>
    <xf numFmtId="164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0" fontId="3" fillId="0" borderId="0" xfId="0" applyNumberFormat="1" applyFont="1"/>
    <xf numFmtId="2" fontId="8" fillId="3" borderId="16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7" xfId="0" applyFont="1" applyFill="1" applyBorder="1" applyAlignment="1">
      <alignment horizontal="center" vertical="center"/>
    </xf>
    <xf numFmtId="40" fontId="8" fillId="3" borderId="16" xfId="0" applyNumberFormat="1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5" fillId="0" borderId="12" xfId="0" applyNumberFormat="1" applyFont="1" applyBorder="1" applyAlignment="1">
      <alignment horizontal="center" vertical="center"/>
    </xf>
    <xf numFmtId="40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4" fontId="11" fillId="6" borderId="19" xfId="0" applyNumberFormat="1" applyFont="1" applyFill="1" applyBorder="1"/>
    <xf numFmtId="4" fontId="11" fillId="6" borderId="13" xfId="0" applyNumberFormat="1" applyFont="1" applyFill="1" applyBorder="1"/>
    <xf numFmtId="4" fontId="11" fillId="6" borderId="20" xfId="0" applyNumberFormat="1" applyFont="1" applyFill="1" applyBorder="1"/>
    <xf numFmtId="4" fontId="11" fillId="6" borderId="3" xfId="0" applyNumberFormat="1" applyFont="1" applyFill="1" applyBorder="1"/>
    <xf numFmtId="4" fontId="11" fillId="6" borderId="14" xfId="0" applyNumberFormat="1" applyFont="1" applyFill="1" applyBorder="1"/>
    <xf numFmtId="4" fontId="11" fillId="6" borderId="2" xfId="0" applyNumberFormat="1" applyFont="1" applyFill="1" applyBorder="1"/>
    <xf numFmtId="4" fontId="11" fillId="6" borderId="21" xfId="0" applyNumberFormat="1" applyFont="1" applyFill="1" applyBorder="1"/>
    <xf numFmtId="4" fontId="11" fillId="6" borderId="11" xfId="0" applyNumberFormat="1" applyFont="1" applyFill="1" applyBorder="1"/>
    <xf numFmtId="4" fontId="11" fillId="6" borderId="18" xfId="0" applyNumberFormat="1" applyFont="1" applyFill="1" applyBorder="1"/>
    <xf numFmtId="4" fontId="11" fillId="6" borderId="14" xfId="0" applyNumberFormat="1" applyFont="1" applyFill="1" applyBorder="1" applyAlignment="1">
      <alignment horizontal="center"/>
    </xf>
    <xf numFmtId="4" fontId="11" fillId="6" borderId="2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20" xfId="0" applyNumberFormat="1" applyFont="1" applyFill="1" applyBorder="1" applyAlignment="1">
      <alignment horizontal="center"/>
    </xf>
    <xf numFmtId="4" fontId="11" fillId="6" borderId="20" xfId="0" applyNumberFormat="1" applyFont="1" applyFill="1" applyBorder="1" applyAlignment="1">
      <alignment horizontal="center"/>
    </xf>
    <xf numFmtId="4" fontId="11" fillId="6" borderId="13" xfId="0" applyNumberFormat="1" applyFont="1" applyFill="1" applyBorder="1" applyAlignment="1">
      <alignment horizontal="center"/>
    </xf>
  </cellXfs>
  <cellStyles count="1">
    <cellStyle name="Normal" xfId="0" builtinId="0"/>
  </cellStyles>
  <dxfs count="1607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-2.0445170273454438E-2</c:v>
                </c:pt>
                <c:pt idx="1">
                  <c:v>6.2057545560924028E-4</c:v>
                </c:pt>
                <c:pt idx="2">
                  <c:v>1.6054124407880606E-3</c:v>
                </c:pt>
                <c:pt idx="3">
                  <c:v>-2.4965281795136656E-7</c:v>
                </c:pt>
                <c:pt idx="4">
                  <c:v>0</c:v>
                </c:pt>
                <c:pt idx="5">
                  <c:v>0.13895841605678511</c:v>
                </c:pt>
                <c:pt idx="6">
                  <c:v>2.3291364334457224E-2</c:v>
                </c:pt>
                <c:pt idx="7">
                  <c:v>0</c:v>
                </c:pt>
                <c:pt idx="8">
                  <c:v>1.1491583764688727E-2</c:v>
                </c:pt>
                <c:pt idx="9">
                  <c:v>-4.2346004846407507E-5</c:v>
                </c:pt>
                <c:pt idx="10">
                  <c:v>0</c:v>
                </c:pt>
                <c:pt idx="11">
                  <c:v>0</c:v>
                </c:pt>
                <c:pt idx="12">
                  <c:v>3.1990918644968176E-2</c:v>
                </c:pt>
                <c:pt idx="13">
                  <c:v>0</c:v>
                </c:pt>
                <c:pt idx="14">
                  <c:v>-1.0723528403739995E-4</c:v>
                </c:pt>
                <c:pt idx="15">
                  <c:v>6.7426911908964104E-2</c:v>
                </c:pt>
                <c:pt idx="16">
                  <c:v>1.7548243960382391E-4</c:v>
                </c:pt>
                <c:pt idx="17">
                  <c:v>0</c:v>
                </c:pt>
                <c:pt idx="18">
                  <c:v>8.7728138479099913E-3</c:v>
                </c:pt>
                <c:pt idx="19">
                  <c:v>-7.0071434885273274E-5</c:v>
                </c:pt>
                <c:pt idx="20">
                  <c:v>9.5988700638310922E-5</c:v>
                </c:pt>
                <c:pt idx="21">
                  <c:v>5.341090884177448E-3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C-4E89-807B-F00ACBB0F2BE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-9.8132717128292628E-3</c:v>
                </c:pt>
                <c:pt idx="1">
                  <c:v>2.5328836672134304E-3</c:v>
                </c:pt>
                <c:pt idx="2">
                  <c:v>3.3053315655609925E-3</c:v>
                </c:pt>
                <c:pt idx="3">
                  <c:v>-1.1858729831050669E-6</c:v>
                </c:pt>
                <c:pt idx="4">
                  <c:v>0</c:v>
                </c:pt>
                <c:pt idx="5">
                  <c:v>5.6415732619200444E-2</c:v>
                </c:pt>
                <c:pt idx="6">
                  <c:v>1.5000703278013464E-2</c:v>
                </c:pt>
                <c:pt idx="7">
                  <c:v>0</c:v>
                </c:pt>
                <c:pt idx="8">
                  <c:v>7.5252918301039907E-3</c:v>
                </c:pt>
                <c:pt idx="9">
                  <c:v>-1.7089049688792178E-2</c:v>
                </c:pt>
                <c:pt idx="10">
                  <c:v>0</c:v>
                </c:pt>
                <c:pt idx="11">
                  <c:v>0</c:v>
                </c:pt>
                <c:pt idx="12">
                  <c:v>1.8521203867876528E-2</c:v>
                </c:pt>
                <c:pt idx="13">
                  <c:v>0</c:v>
                </c:pt>
                <c:pt idx="14">
                  <c:v>-3.1301797867936279E-3</c:v>
                </c:pt>
                <c:pt idx="15">
                  <c:v>5.7752919557797919E-2</c:v>
                </c:pt>
                <c:pt idx="16">
                  <c:v>1.635632626415338E-4</c:v>
                </c:pt>
                <c:pt idx="17">
                  <c:v>0</c:v>
                </c:pt>
                <c:pt idx="18">
                  <c:v>1.3711209908572044E-3</c:v>
                </c:pt>
                <c:pt idx="19">
                  <c:v>-1.7927503894323632E-5</c:v>
                </c:pt>
                <c:pt idx="20">
                  <c:v>-2.7339589200489866E-4</c:v>
                </c:pt>
                <c:pt idx="21">
                  <c:v>4.5067043328004175E-4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C-4E89-807B-F00ACBB0F2BE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-9.8132717128292628E-3</c:v>
                </c:pt>
                <c:pt idx="1">
                  <c:v>2.5328836672134304E-3</c:v>
                </c:pt>
                <c:pt idx="2">
                  <c:v>3.3053315655609925E-3</c:v>
                </c:pt>
                <c:pt idx="3">
                  <c:v>-1.1858729831050669E-6</c:v>
                </c:pt>
                <c:pt idx="4">
                  <c:v>0</c:v>
                </c:pt>
                <c:pt idx="5">
                  <c:v>5.6415732619200444E-2</c:v>
                </c:pt>
                <c:pt idx="6">
                  <c:v>1.5000703278013464E-2</c:v>
                </c:pt>
                <c:pt idx="7">
                  <c:v>0</c:v>
                </c:pt>
                <c:pt idx="8">
                  <c:v>7.5252918301039907E-3</c:v>
                </c:pt>
                <c:pt idx="9">
                  <c:v>-1.7089049688792178E-2</c:v>
                </c:pt>
                <c:pt idx="10">
                  <c:v>0</c:v>
                </c:pt>
                <c:pt idx="11">
                  <c:v>0</c:v>
                </c:pt>
                <c:pt idx="12">
                  <c:v>1.8521203867876528E-2</c:v>
                </c:pt>
                <c:pt idx="13">
                  <c:v>0</c:v>
                </c:pt>
                <c:pt idx="14">
                  <c:v>-3.1301797867936279E-3</c:v>
                </c:pt>
                <c:pt idx="15">
                  <c:v>5.7752919557797919E-2</c:v>
                </c:pt>
                <c:pt idx="16">
                  <c:v>1.635632626415338E-4</c:v>
                </c:pt>
                <c:pt idx="17">
                  <c:v>0</c:v>
                </c:pt>
                <c:pt idx="18">
                  <c:v>1.3711209908572044E-3</c:v>
                </c:pt>
                <c:pt idx="19">
                  <c:v>-1.7927503894323632E-5</c:v>
                </c:pt>
                <c:pt idx="20">
                  <c:v>-2.7339589200489866E-4</c:v>
                </c:pt>
                <c:pt idx="21">
                  <c:v>4.5067043328004175E-4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C-4E89-807B-F00ACBB0F2BE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BDAC-4E89-807B-F00ACBB0F2BE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BDAC-4E89-807B-F00ACBB0F2BE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BDAC-4E89-807B-F00ACBB0F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5859440"/>
        <c:axId val="1455857360"/>
      </c:radarChart>
      <c:catAx>
        <c:axId val="145585944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55857360"/>
        <c:crosses val="autoZero"/>
        <c:auto val="1"/>
        <c:lblAlgn val="ctr"/>
        <c:lblOffset val="100"/>
        <c:noMultiLvlLbl val="0"/>
      </c:catAx>
      <c:valAx>
        <c:axId val="1455857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585944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General</c:formatCode>
                <c:ptCount val="11"/>
                <c:pt idx="0">
                  <c:v>3.3426357444663984E-4</c:v>
                </c:pt>
                <c:pt idx="1">
                  <c:v>-2.9897422424179719E-2</c:v>
                </c:pt>
                <c:pt idx="2">
                  <c:v>0</c:v>
                </c:pt>
                <c:pt idx="3">
                  <c:v>5.2359669015336618E-2</c:v>
                </c:pt>
                <c:pt idx="4">
                  <c:v>-5.4812647540702107E-2</c:v>
                </c:pt>
                <c:pt idx="5">
                  <c:v>6.1435673524220386E-2</c:v>
                </c:pt>
                <c:pt idx="6">
                  <c:v>6.7193296150358829E-3</c:v>
                </c:pt>
                <c:pt idx="7">
                  <c:v>-2.5060699816110295E-3</c:v>
                </c:pt>
                <c:pt idx="8">
                  <c:v>0</c:v>
                </c:pt>
                <c:pt idx="9">
                  <c:v>2.4683135560801112E-4</c:v>
                </c:pt>
                <c:pt idx="10">
                  <c:v>-5.9848507573212668E-4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8-40AA-85F7-AC05E196A118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8-40AA-85F7-AC05E196A118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8-40AA-85F7-AC05E196A118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B888-40AA-85F7-AC05E196A118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B888-40AA-85F7-AC05E196A118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B888-40AA-85F7-AC05E196A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253360"/>
        <c:axId val="959256272"/>
      </c:radarChart>
      <c:catAx>
        <c:axId val="9592533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959256272"/>
        <c:crosses val="autoZero"/>
        <c:auto val="1"/>
        <c:lblAlgn val="ctr"/>
        <c:lblOffset val="100"/>
        <c:noMultiLvlLbl val="0"/>
      </c:catAx>
      <c:valAx>
        <c:axId val="959256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925336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457201</xdr:colOff>
      <xdr:row>16</xdr:row>
      <xdr:rowOff>0</xdr:rowOff>
    </xdr:from>
    <xdr:to>
      <xdr:col>12</xdr:col>
      <xdr:colOff>457201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0C3E9C-1603-5D21-8D6C-597147CEC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581026</xdr:colOff>
      <xdr:row>16</xdr:row>
      <xdr:rowOff>0</xdr:rowOff>
    </xdr:from>
    <xdr:to>
      <xdr:col>12</xdr:col>
      <xdr:colOff>514351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19EE307-4F09-6028-BCB5-5074C087F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27.467661921299" createdVersion="5" refreshedVersion="8" minRefreshableVersion="3" recordCount="2021" xr:uid="{3694BC9B-35A2-4D0C-B6E3-863BCF9B4199}">
  <cacheSource type="worksheet">
    <worksheetSource name="Efeito"/>
  </cacheSource>
  <cacheFields count="36">
    <cacheField name="TipoMercado" numFmtId="0">
      <sharedItems/>
    </cacheField>
    <cacheField name="Subgrupo" numFmtId="0">
      <sharedItems count="7">
        <s v="A2"/>
        <s v="A3"/>
        <s v="A4"/>
        <s v="B1"/>
        <s v="B2"/>
        <s v="B3"/>
        <s v="B4"/>
      </sharedItems>
    </cacheField>
    <cacheField name="Modalidade" numFmtId="0">
      <sharedItems count="6">
        <s v="Azul"/>
        <s v="Geração"/>
        <s v="Distribuição"/>
        <s v="Verde"/>
        <s v="Branca"/>
        <s v="Convencional"/>
      </sharedItems>
    </cacheField>
    <cacheField name="Classe" numFmtId="0">
      <sharedItems count="9">
        <s v="Industrial"/>
        <s v="Não se aplica"/>
        <s v="Comercial"/>
        <s v="Poder público"/>
        <s v="Rural"/>
        <s v="Serviço público"/>
        <s v="Consumo próprio"/>
        <s v="Residencial"/>
        <s v="Iluminação pública"/>
      </sharedItems>
    </cacheField>
    <cacheField name="Subclasse" numFmtId="0">
      <sharedItems count="11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  <s v="Iluminação pública – B4a"/>
        <s v="Iluminação pública – B4b"/>
      </sharedItems>
    </cacheField>
    <cacheField name="Detalhe" numFmtId="0">
      <sharedItems count="5">
        <s v="APE"/>
        <s v="Não se aplica"/>
        <s v="Fonte incentivada"/>
        <s v="IRRIG./AQUIC."/>
        <s v="IRRIG./AQUIC. PR"/>
      </sharedItems>
    </cacheField>
    <cacheField name="Agente" numFmtId="0">
      <sharedItems count="34">
        <s v="Não se aplica"/>
        <s v="PCH ANNA MARIA"/>
        <s v="UHE BARRA DO BRAUNA"/>
        <s v="PCH JOAO CAMILO PENA"/>
        <s v="PCH TULIO CORDEIRO DE MELO"/>
        <s v="PCH GUARY"/>
        <s v="UTE JUIZ DE FORA"/>
        <s v="PCH IVAN BOTELHO III (TRIUNFO)"/>
        <s v="PCH IVAN BOTELHO I (PONTE)"/>
        <s v="PCH IVAN BOTELHO II (PALESTINA)"/>
        <s v="PCH ZE TUNIN"/>
        <s v="GLORIA"/>
        <s v="PCH ERVÁLIA"/>
        <s v="BENJAMIM"/>
        <s v="NOVA MAURICIO"/>
        <s v="ORMEO"/>
        <s v="Cemig-D"/>
        <s v="EMS "/>
        <s v="PCH CORONEL DOMICIANO"/>
        <s v="ITUERE"/>
        <s v="MATIPO"/>
        <s v="MIGUEL PEREIRA"/>
        <s v="PCH NEBLINA"/>
        <s v="ROÇA GRANDE"/>
        <s v="PCH SINCERIDADE"/>
        <s v="SANTA CECILIA"/>
        <s v="MIRADOURO"/>
        <s v="LIMEIRA"/>
        <s v="PIRAPANEMA"/>
        <s v="SANTA BÁRBARA"/>
        <s v="CGH Ingá"/>
        <s v="SIMONÉSIA"/>
        <s v="CGH ANTÔNIO PRADO"/>
        <s v="CGH INGÁ MIRIM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06-01T00:00:00" maxDate="2022-05-02T00:00:00" count="12"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</sharedItems>
    </cacheField>
    <cacheField name="D" numFmtId="40">
      <sharedItems containsSemiMixedTypes="0" containsString="0" containsNumber="1" containsInteger="1" minValue="-1557" maxValue="51418"/>
    </cacheField>
    <cacheField name="Daj" numFmtId="40">
      <sharedItems containsSemiMixedTypes="0" containsString="0" containsNumber="1" minValue="-1557" maxValue="44057"/>
    </cacheField>
    <cacheField name="TUSD_E" numFmtId="40">
      <sharedItems containsSemiMixedTypes="0" containsString="0" containsNumber="1" minValue="-517.96299999999997" maxValue="38289.932999999997"/>
    </cacheField>
    <cacheField name="TUSD_Eaj" numFmtId="40">
      <sharedItems containsSemiMixedTypes="0" containsString="0" containsNumber="1" minValue="-517.96299999999997" maxValue="38289.932999999997"/>
    </cacheField>
    <cacheField name="TE_E" numFmtId="40">
      <sharedItems containsSemiMixedTypes="0" containsString="0" containsNumber="1" minValue="-163.23699999999999" maxValue="38289.932999999997"/>
    </cacheField>
    <cacheField name="TE_Eaj" numFmtId="40">
      <sharedItems containsSemiMixedTypes="0" containsString="0" containsNumber="1" minValue="-163.23699999999999" maxValue="38289.932999999997"/>
    </cacheField>
    <cacheField name="UC" numFmtId="40">
      <sharedItems containsSemiMixedTypes="0" containsString="0" containsNumber="1" containsInteger="1" minValue="-110" maxValue="269596"/>
    </cacheField>
    <cacheField name="OPÇÃO" numFmtId="0">
      <sharedItems count="5">
        <s v="LIVRE APE"/>
        <s v="LIVRE"/>
        <s v="GERAÇÃO"/>
        <s v="CATIVO"/>
        <s v="DISTRIBUIÇÃO"/>
      </sharedItems>
    </cacheField>
    <cacheField name="CóD. AUX." numFmtId="0">
      <sharedItems containsSemiMixedTypes="0" containsString="0" containsNumber="1" containsInteger="1" minValue="0" maxValue="31677"/>
    </cacheField>
    <cacheField name="CóD. AUX. TUSD R$/kW" numFmtId="40">
      <sharedItems containsSemiMixedTypes="0" containsString="0" containsNumber="1" containsInteger="1" minValue="0" maxValue="29"/>
    </cacheField>
    <cacheField name="CóD. AUX. TUSD R$/MWh" numFmtId="40">
      <sharedItems containsSemiMixedTypes="0" containsString="0" containsNumber="1" containsInteger="1" minValue="0" maxValue="72"/>
    </cacheField>
    <cacheField name="CóD. AUX. TE R$/MWh" numFmtId="40">
      <sharedItems containsSemiMixedTypes="0" containsString="0" containsNumber="1" containsInteger="1" minValue="0" maxValue="115"/>
    </cacheField>
    <cacheField name="TUSD (R$/kW)" numFmtId="40">
      <sharedItems containsSemiMixedTypes="0" containsString="0" containsNumber="1" minValue="0" maxValue="65.599999999999994"/>
    </cacheField>
    <cacheField name="TUSD (R$/MWh)" numFmtId="40">
      <sharedItems containsSemiMixedTypes="0" containsString="0" containsNumber="1" minValue="0" maxValue="1682.12"/>
    </cacheField>
    <cacheField name="TE (R$/MWh)" numFmtId="40">
      <sharedItems containsSemiMixedTypes="0" containsString="0" containsNumber="1" minValue="0" maxValue="496.15"/>
    </cacheField>
    <cacheField name="TUSD (R$/kW) NOVA" numFmtId="40">
      <sharedItems containsString="0" containsBlank="1" containsNumber="1" minValue="4.1263435550319665" maxValue="75.407822945580492"/>
    </cacheField>
    <cacheField name="TUSD (R$/MWh) NOVA" numFmtId="40">
      <sharedItems containsString="0" containsBlank="1" containsNumber="1" minValue="11.289719669652413" maxValue="1969.6669835803759"/>
    </cacheField>
    <cacheField name="TE (R$/MWh) NOVA" numFmtId="40">
      <sharedItems containsString="0" containsBlank="1" containsNumber="1" minValue="114.59929873477012" maxValue="506.4861368306324"/>
    </cacheField>
    <cacheField name="RA0 ou RV - TUSD (kW)" numFmtId="40">
      <sharedItems containsSemiMixedTypes="0" containsString="0" containsNumber="1" minValue="-39719.07" maxValue="881804.17"/>
    </cacheField>
    <cacheField name="RA0 ou RV - TUSD (MWh)" numFmtId="40">
      <sharedItems containsSemiMixedTypes="0" containsString="0" containsNumber="1" minValue="-55905.407760000002" maxValue="13113536.253839999"/>
    </cacheField>
    <cacheField name="RA0 ou RV - TE (MWh)" numFmtId="40">
      <sharedItems containsSemiMixedTypes="0" containsString="0" containsNumber="1" minValue="-53291.983390000001" maxValue="12500514.426510001"/>
    </cacheField>
    <cacheField name="RA1 ou RRD - TUSD (kW)" numFmtId="40">
      <sharedItems containsSemiMixedTypes="0" containsString="0" containsNumber="1" minValue="-46403.68640429504" maxValue="1030209.5234022265"/>
    </cacheField>
    <cacheField name="RA1 ou RRD - TUSD (MWh)" numFmtId="40">
      <sharedItems containsSemiMixedTypes="0" containsString="0" containsNumber="1" minValue="-71241.419050336059" maxValue="16710850.862624843"/>
    </cacheField>
    <cacheField name="RA1 ou RRD - TE (MWh)" numFmtId="40">
      <sharedItems containsSemiMixedTypes="0" containsString="0" containsNumber="1" minValue="-53448.130650193343" maxValue="12537141.344003808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27.46808460648" createdVersion="5" refreshedVersion="8" minRefreshableVersion="3" recordCount="950" xr:uid="{A58188BC-1256-4DC6-A7FB-0265F0789109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6">
        <s v="A2"/>
        <s v="A3"/>
        <s v="A4"/>
        <s v="B1"/>
        <s v="B2"/>
        <s v="B3"/>
      </sharedItems>
    </cacheField>
    <cacheField name="Modalidade" numFmtId="0">
      <sharedItems count="5">
        <s v="Geração"/>
        <s v="Azul"/>
        <s v="Verde"/>
        <s v="Convencional"/>
        <s v="Branca"/>
      </sharedItems>
    </cacheField>
    <cacheField name="Classe" numFmtId="0">
      <sharedItems count="5">
        <s v="Não se aplica"/>
        <s v="Industrial"/>
        <s v="Rural"/>
        <s v="Serviço público"/>
        <s v="Residencial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Aquicultur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33">
        <s v="PCH ANNA MARIA"/>
        <s v="UHE BARRA DO BRAUNA"/>
        <s v="PCH JOAO CAMILO PENA"/>
        <s v="PCH TULIO CORDEIRO DE MELO"/>
        <s v="PCH GUARY"/>
        <s v="UTE JUIZ DE FORA"/>
        <s v="PCH IVAN BOTELHO III (TRIUNFO)"/>
        <s v="PCH IVAN BOTELHO I (PONTE)"/>
        <s v="PCH IVAN BOTELHO II (PALESTINA)"/>
        <s v="PCH ZE TUNIN"/>
        <s v="GLORIA"/>
        <s v="PCH ERVÁLIA"/>
        <s v="BENJAMIM"/>
        <s v="NOVA MAURICIO"/>
        <s v="ORMEO"/>
        <s v="Não se aplica"/>
        <s v="EMS "/>
        <s v="PCH CORONEL DOMICIANO"/>
        <s v="ITUERE"/>
        <s v="MATIPO"/>
        <s v="MIGUEL PEREIRA"/>
        <s v="PCH NEBLINA"/>
        <s v="ROÇA GRANDE"/>
        <s v="PCH SINCERIDADE"/>
        <s v="SANTA CECILIA"/>
        <s v="MIRADOURO"/>
        <s v="LIMEIRA"/>
        <s v="PIRAPANEMA"/>
        <s v="SANTA BÁRBARA"/>
        <s v="CGH Ingá"/>
        <s v="SIMONÉSIA"/>
        <s v="CGH ANTÔNIO PRADO"/>
        <s v="CGH INGÁ MIRIM"/>
      </sharedItems>
    </cacheField>
    <cacheField name="Posto" numFmtId="0">
      <sharedItems count="4">
        <s v="Não se aplica"/>
        <s v="Fora ponta"/>
        <s v="Ponta"/>
        <s v="Intermediário"/>
      </sharedItems>
    </cacheField>
    <cacheField name="AnoMes" numFmtId="14">
      <sharedItems containsSemiMixedTypes="0" containsNonDate="0" containsDate="1" containsString="0" minDate="2021-06-01T00:00:00" maxDate="2022-05-02T00:00:00" count="12"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</sharedItems>
    </cacheField>
    <cacheField name="D" numFmtId="40">
      <sharedItems containsSemiMixedTypes="0" containsString="0" containsNumber="1" containsInteger="1" minValue="0" maxValue="51418"/>
    </cacheField>
    <cacheField name="Daj" numFmtId="40">
      <sharedItems containsSemiMixedTypes="0" containsString="0" containsNumber="1" minValue="0" maxValue="44057"/>
    </cacheField>
    <cacheField name="TUSD_E" numFmtId="40">
      <sharedItems containsSemiMixedTypes="0" containsString="0" containsNumber="1" minValue="-113.19199999999999" maxValue="32508.238000000001"/>
    </cacheField>
    <cacheField name="TUSD_Eaj" numFmtId="40">
      <sharedItems containsSemiMixedTypes="0" containsString="0" containsNumber="1" minValue="-113.19199999999999" maxValue="32508.238000000001"/>
    </cacheField>
    <cacheField name="TE_E" numFmtId="40">
      <sharedItems containsSemiMixedTypes="0" containsString="0" containsNumber="1" minValue="-113.19199999999999" maxValue="32508.238000000001"/>
    </cacheField>
    <cacheField name="TE_Eaj" numFmtId="40">
      <sharedItems containsSemiMixedTypes="0" containsString="0" containsNumber="1" minValue="-113.19199999999999" maxValue="32508.238000000001"/>
    </cacheField>
    <cacheField name="UC" numFmtId="40">
      <sharedItems containsSemiMixedTypes="0" containsString="0" containsNumber="1" containsInteger="1" minValue="-30" maxValue="269381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31677"/>
    </cacheField>
    <cacheField name="CóD. AUX. TUSD R$/kW" numFmtId="0">
      <sharedItems containsSemiMixedTypes="0" containsString="0" containsNumber="1" containsInteger="1" minValue="0" maxValue="29"/>
    </cacheField>
    <cacheField name="CóD. AUX. TUSD R$/MWh" numFmtId="0">
      <sharedItems containsSemiMixedTypes="0" containsString="0" containsNumber="1" containsInteger="1" minValue="0" maxValue="69"/>
    </cacheField>
    <cacheField name="CóD. AUX. TE R$/MWh" numFmtId="0">
      <sharedItems containsSemiMixedTypes="0" containsString="0" containsNumber="1" containsInteger="1" minValue="0" maxValue="112"/>
    </cacheField>
    <cacheField name="TUSD (R$/kW)" numFmtId="40">
      <sharedItems containsSemiMixedTypes="0" containsString="0" containsNumber="1" minValue="0" maxValue="65.599999999999994"/>
    </cacheField>
    <cacheField name="TUSD (R$/MWh)" numFmtId="40">
      <sharedItems containsSemiMixedTypes="0" containsString="0" containsNumber="1" minValue="0" maxValue="1682.12"/>
    </cacheField>
    <cacheField name="TE (R$/MWh)" numFmtId="40">
      <sharedItems containsSemiMixedTypes="0" containsString="0" containsNumber="1" minValue="0" maxValue="496.15"/>
    </cacheField>
    <cacheField name="TUSD (R$/kW) NOVA" numFmtId="40">
      <sharedItems containsString="0" containsBlank="1" containsNumber="1" minValue="4.1263435550319665" maxValue="75.407822945580492"/>
    </cacheField>
    <cacheField name="TUSD (R$/MWh) NOVA" numFmtId="40">
      <sharedItems containsString="0" containsBlank="1" containsNumber="1" minValue="108.16638549134309" maxValue="1969.6669835803759"/>
    </cacheField>
    <cacheField name="TE (R$/MWh) NOVA" numFmtId="40">
      <sharedItems containsString="0" containsBlank="1" containsNumber="1" minValue="114.59929873477012" maxValue="506.4861368306324"/>
    </cacheField>
    <cacheField name="SUBSIDIO kW - TV" numFmtId="40">
      <sharedItems containsSemiMixedTypes="0" containsString="0" containsNumber="1" minValue="0" maxValue="706662.53103207611"/>
    </cacheField>
    <cacheField name="SUBSIDIO MWh - TV" numFmtId="40">
      <sharedItems containsSemiMixedTypes="0" containsString="0" containsNumber="1" minValue="-9087.0537600000025" maxValue="1366779.7972000001"/>
    </cacheField>
    <cacheField name="SUBSIDIO kW - TN" numFmtId="40">
      <sharedItems containsSemiMixedTypes="0" containsString="0" containsNumber="1" minValue="0" maxValue="825592.00111376902"/>
    </cacheField>
    <cacheField name="SUBSIDIO MWh - TN" numFmtId="40">
      <sharedItems containsSemiMixedTypes="0" containsString="0" containsNumber="1" minValue="-5187.7427947226415" maxValue="1459963.0142278683"/>
    </cacheField>
    <cacheField name="TIPO" numFmtId="0">
      <sharedItems containsBlank="1" count="7">
        <s v="SUBSIDIO GERAÇÃO FONTE INCENTIVADA"/>
        <s v="SUBSIDIO CARGA FONTE INCENTIVADA"/>
        <s v="SUBSIDIO RURAL"/>
        <s v="SUBSIDIO ÁGUA, ESGOTO E SANEAMENTO"/>
        <m/>
        <s v="SUBSIDIO BAIXA RENDA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1">
  <r>
    <s v="Refaturamento - Regular"/>
    <x v="0"/>
    <x v="0"/>
    <x v="0"/>
    <x v="0"/>
    <x v="0"/>
    <x v="0"/>
    <x v="0"/>
    <x v="0"/>
    <n v="0"/>
    <n v="0"/>
    <n v="368.01799999999997"/>
    <n v="368.01799999999997"/>
    <n v="0"/>
    <n v="0"/>
    <n v="0"/>
    <x v="0"/>
    <n v="0"/>
    <n v="0"/>
    <n v="4"/>
    <n v="0"/>
    <n v="0"/>
    <n v="10.68"/>
    <n v="0"/>
    <m/>
    <n v="11.289719669652413"/>
    <m/>
    <n v="0"/>
    <n v="3930.4322399999996"/>
    <n v="0"/>
    <n v="0"/>
    <n v="4154.8200533861418"/>
    <n v="0"/>
  </r>
  <r>
    <s v="Refaturamento - Regular"/>
    <x v="0"/>
    <x v="0"/>
    <x v="0"/>
    <x v="0"/>
    <x v="0"/>
    <x v="0"/>
    <x v="0"/>
    <x v="1"/>
    <n v="0"/>
    <n v="0"/>
    <n v="435.58100000000002"/>
    <n v="435.58100000000002"/>
    <n v="0"/>
    <n v="0"/>
    <n v="0"/>
    <x v="0"/>
    <n v="0"/>
    <n v="0"/>
    <n v="4"/>
    <n v="0"/>
    <n v="0"/>
    <n v="10.68"/>
    <n v="0"/>
    <m/>
    <n v="11.289719669652413"/>
    <m/>
    <n v="0"/>
    <n v="4652.0050799999999"/>
    <n v="0"/>
    <n v="0"/>
    <n v="4917.5873834268677"/>
    <n v="0"/>
  </r>
  <r>
    <s v="Refaturamento - Regular"/>
    <x v="0"/>
    <x v="0"/>
    <x v="0"/>
    <x v="0"/>
    <x v="0"/>
    <x v="0"/>
    <x v="0"/>
    <x v="2"/>
    <n v="0"/>
    <n v="0"/>
    <n v="362.59100000000001"/>
    <n v="362.59100000000001"/>
    <n v="0"/>
    <n v="0"/>
    <n v="0"/>
    <x v="0"/>
    <n v="0"/>
    <n v="0"/>
    <n v="4"/>
    <n v="0"/>
    <n v="0"/>
    <n v="10.68"/>
    <n v="0"/>
    <m/>
    <n v="11.289719669652413"/>
    <m/>
    <n v="0"/>
    <n v="3872.4718800000001"/>
    <n v="0"/>
    <n v="0"/>
    <n v="4093.5507447389382"/>
    <n v="0"/>
  </r>
  <r>
    <s v="Refaturamento - Regular"/>
    <x v="0"/>
    <x v="0"/>
    <x v="0"/>
    <x v="0"/>
    <x v="0"/>
    <x v="0"/>
    <x v="0"/>
    <x v="3"/>
    <n v="0"/>
    <n v="0"/>
    <n v="415.55700000000002"/>
    <n v="415.55700000000002"/>
    <n v="0"/>
    <n v="0"/>
    <n v="0"/>
    <x v="0"/>
    <n v="0"/>
    <n v="0"/>
    <n v="4"/>
    <n v="0"/>
    <n v="0"/>
    <n v="10.68"/>
    <n v="0"/>
    <m/>
    <n v="11.289719669652413"/>
    <m/>
    <n v="0"/>
    <n v="4438.14876"/>
    <n v="0"/>
    <n v="0"/>
    <n v="4691.5220367617485"/>
    <n v="0"/>
  </r>
  <r>
    <s v="Refaturamento - Regular"/>
    <x v="0"/>
    <x v="0"/>
    <x v="0"/>
    <x v="0"/>
    <x v="0"/>
    <x v="0"/>
    <x v="0"/>
    <x v="4"/>
    <n v="0"/>
    <n v="0"/>
    <n v="296.41399999999999"/>
    <n v="296.41399999999999"/>
    <n v="0"/>
    <n v="0"/>
    <n v="0"/>
    <x v="0"/>
    <n v="0"/>
    <n v="0"/>
    <n v="4"/>
    <n v="0"/>
    <n v="0"/>
    <n v="10.68"/>
    <n v="0"/>
    <m/>
    <n v="11.289719669652413"/>
    <m/>
    <n v="0"/>
    <n v="3165.7015199999996"/>
    <n v="0"/>
    <n v="0"/>
    <n v="3346.4309661603502"/>
    <n v="0"/>
  </r>
  <r>
    <s v="Refaturamento - Regular"/>
    <x v="0"/>
    <x v="0"/>
    <x v="0"/>
    <x v="0"/>
    <x v="0"/>
    <x v="0"/>
    <x v="0"/>
    <x v="5"/>
    <n v="0"/>
    <n v="0"/>
    <n v="345.83499999999998"/>
    <n v="345.83499999999998"/>
    <n v="0"/>
    <n v="0"/>
    <n v="0"/>
    <x v="0"/>
    <n v="0"/>
    <n v="0"/>
    <n v="4"/>
    <n v="0"/>
    <n v="0"/>
    <n v="10.68"/>
    <n v="0"/>
    <m/>
    <n v="11.289719669652413"/>
    <m/>
    <n v="0"/>
    <n v="3693.5177999999996"/>
    <n v="0"/>
    <n v="0"/>
    <n v="3904.3802019542422"/>
    <n v="0"/>
  </r>
  <r>
    <s v="Refaturamento - Regular"/>
    <x v="0"/>
    <x v="0"/>
    <x v="0"/>
    <x v="0"/>
    <x v="0"/>
    <x v="0"/>
    <x v="0"/>
    <x v="6"/>
    <n v="0"/>
    <n v="0"/>
    <n v="358.99900000000002"/>
    <n v="358.99900000000002"/>
    <n v="0"/>
    <n v="0"/>
    <n v="0"/>
    <x v="0"/>
    <n v="0"/>
    <n v="0"/>
    <n v="4"/>
    <n v="0"/>
    <n v="0"/>
    <n v="10.68"/>
    <n v="0"/>
    <m/>
    <n v="11.289719669652413"/>
    <m/>
    <n v="0"/>
    <n v="3834.10932"/>
    <n v="0"/>
    <n v="0"/>
    <n v="4052.9980716855471"/>
    <n v="0"/>
  </r>
  <r>
    <s v="Refaturamento - Regular"/>
    <x v="0"/>
    <x v="0"/>
    <x v="0"/>
    <x v="0"/>
    <x v="0"/>
    <x v="0"/>
    <x v="0"/>
    <x v="7"/>
    <n v="0"/>
    <n v="0"/>
    <n v="349.25900000000001"/>
    <n v="349.25900000000001"/>
    <n v="0"/>
    <n v="0"/>
    <n v="0"/>
    <x v="0"/>
    <n v="0"/>
    <n v="0"/>
    <n v="4"/>
    <n v="0"/>
    <n v="0"/>
    <n v="10.68"/>
    <n v="0"/>
    <m/>
    <n v="11.289719669652413"/>
    <m/>
    <n v="0"/>
    <n v="3730.0861199999999"/>
    <n v="0"/>
    <n v="0"/>
    <n v="3943.0362021031324"/>
    <n v="0"/>
  </r>
  <r>
    <s v="Refaturamento - Regular"/>
    <x v="0"/>
    <x v="0"/>
    <x v="0"/>
    <x v="0"/>
    <x v="0"/>
    <x v="0"/>
    <x v="0"/>
    <x v="8"/>
    <n v="0"/>
    <n v="0"/>
    <n v="435.19299999999998"/>
    <n v="435.19299999999998"/>
    <n v="0"/>
    <n v="0"/>
    <n v="0"/>
    <x v="0"/>
    <n v="0"/>
    <n v="0"/>
    <n v="4"/>
    <n v="0"/>
    <n v="0"/>
    <n v="10.68"/>
    <n v="0"/>
    <m/>
    <n v="11.289719669652413"/>
    <m/>
    <n v="0"/>
    <n v="4647.8612399999993"/>
    <n v="0"/>
    <n v="0"/>
    <n v="4913.2069721950429"/>
    <n v="0"/>
  </r>
  <r>
    <s v="Refaturamento - Regular"/>
    <x v="0"/>
    <x v="0"/>
    <x v="0"/>
    <x v="0"/>
    <x v="0"/>
    <x v="0"/>
    <x v="0"/>
    <x v="9"/>
    <n v="0"/>
    <n v="0"/>
    <n v="517.96299999999997"/>
    <n v="517.96299999999997"/>
    <n v="0"/>
    <n v="0"/>
    <n v="0"/>
    <x v="0"/>
    <n v="0"/>
    <n v="0"/>
    <n v="4"/>
    <n v="0"/>
    <n v="0"/>
    <n v="10.68"/>
    <n v="0"/>
    <m/>
    <n v="11.289719669652413"/>
    <m/>
    <n v="0"/>
    <n v="5531.8448399999997"/>
    <n v="0"/>
    <n v="0"/>
    <n v="5847.6570692521727"/>
    <n v="0"/>
  </r>
  <r>
    <s v="Refaturamento - Regular"/>
    <x v="0"/>
    <x v="0"/>
    <x v="0"/>
    <x v="0"/>
    <x v="0"/>
    <x v="0"/>
    <x v="0"/>
    <x v="10"/>
    <n v="0"/>
    <n v="0"/>
    <n v="390.41"/>
    <n v="390.41"/>
    <n v="0"/>
    <n v="0"/>
    <n v="0"/>
    <x v="0"/>
    <n v="0"/>
    <n v="0"/>
    <n v="4"/>
    <n v="0"/>
    <n v="0"/>
    <n v="10.68"/>
    <n v="0"/>
    <m/>
    <n v="11.289719669652413"/>
    <m/>
    <n v="0"/>
    <n v="4169.5788000000002"/>
    <n v="0"/>
    <n v="0"/>
    <n v="4407.6194562289993"/>
    <n v="0"/>
  </r>
  <r>
    <s v="PROJETADO"/>
    <x v="0"/>
    <x v="0"/>
    <x v="0"/>
    <x v="0"/>
    <x v="0"/>
    <x v="0"/>
    <x v="0"/>
    <x v="11"/>
    <n v="0"/>
    <n v="0"/>
    <n v="390.41"/>
    <n v="390.41"/>
    <n v="0"/>
    <n v="0"/>
    <n v="0"/>
    <x v="0"/>
    <n v="0"/>
    <n v="0"/>
    <n v="4"/>
    <n v="0"/>
    <n v="0"/>
    <n v="10.68"/>
    <n v="0"/>
    <m/>
    <n v="11.289719669652413"/>
    <m/>
    <n v="0"/>
    <n v="4169.5788000000002"/>
    <n v="0"/>
    <n v="0"/>
    <n v="4407.6194562289993"/>
    <n v="0"/>
  </r>
  <r>
    <s v="Regular"/>
    <x v="0"/>
    <x v="0"/>
    <x v="0"/>
    <x v="0"/>
    <x v="1"/>
    <x v="0"/>
    <x v="1"/>
    <x v="0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1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2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3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4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5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6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7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8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9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1"/>
    <x v="10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PROJETADO"/>
    <x v="0"/>
    <x v="0"/>
    <x v="0"/>
    <x v="0"/>
    <x v="1"/>
    <x v="0"/>
    <x v="1"/>
    <x v="11"/>
    <n v="12600"/>
    <n v="12600"/>
    <n v="0"/>
    <n v="0"/>
    <n v="0"/>
    <n v="0"/>
    <n v="0"/>
    <x v="1"/>
    <n v="0"/>
    <n v="2"/>
    <n v="0"/>
    <n v="0"/>
    <n v="6.86"/>
    <n v="0"/>
    <n v="0"/>
    <n v="8.1047349450416419"/>
    <n v="97.147922318418239"/>
    <m/>
    <n v="86436"/>
    <n v="0"/>
    <n v="0"/>
    <n v="102119.66030752468"/>
    <n v="0"/>
    <n v="0"/>
  </r>
  <r>
    <s v="Regular"/>
    <x v="0"/>
    <x v="0"/>
    <x v="0"/>
    <x v="0"/>
    <x v="1"/>
    <x v="0"/>
    <x v="0"/>
    <x v="0"/>
    <n v="0"/>
    <n v="0"/>
    <n v="2945.0729999999999"/>
    <n v="2945.0729999999999"/>
    <n v="0"/>
    <n v="0"/>
    <n v="2"/>
    <x v="1"/>
    <n v="0"/>
    <n v="0"/>
    <n v="3"/>
    <n v="0"/>
    <n v="0"/>
    <n v="62.94"/>
    <n v="0"/>
    <m/>
    <n v="97.147922318418239"/>
    <m/>
    <n v="0"/>
    <n v="185362.89461999998"/>
    <n v="0"/>
    <n v="0"/>
    <n v="286107.72302607092"/>
    <n v="0"/>
  </r>
  <r>
    <s v="Refaturamento - Regular"/>
    <x v="0"/>
    <x v="0"/>
    <x v="0"/>
    <x v="0"/>
    <x v="1"/>
    <x v="0"/>
    <x v="0"/>
    <x v="0"/>
    <n v="0"/>
    <n v="0"/>
    <n v="-368.01799999999997"/>
    <n v="-368.01799999999997"/>
    <n v="0"/>
    <n v="0"/>
    <n v="0"/>
    <x v="1"/>
    <n v="0"/>
    <n v="0"/>
    <n v="3"/>
    <n v="0"/>
    <n v="0"/>
    <n v="62.94"/>
    <n v="0"/>
    <m/>
    <n v="97.147922318418239"/>
    <m/>
    <n v="0"/>
    <n v="-23163.052919999998"/>
    <n v="0"/>
    <n v="0"/>
    <n v="-35752.184075779638"/>
    <n v="0"/>
  </r>
  <r>
    <s v="Regular"/>
    <x v="0"/>
    <x v="0"/>
    <x v="0"/>
    <x v="0"/>
    <x v="1"/>
    <x v="0"/>
    <x v="0"/>
    <x v="1"/>
    <n v="0"/>
    <n v="0"/>
    <n v="2919.2620000000002"/>
    <n v="2919.2620000000002"/>
    <n v="0"/>
    <n v="0"/>
    <n v="2"/>
    <x v="1"/>
    <n v="0"/>
    <n v="0"/>
    <n v="3"/>
    <n v="0"/>
    <n v="0"/>
    <n v="62.94"/>
    <n v="0"/>
    <m/>
    <n v="97.147922318418239"/>
    <m/>
    <n v="0"/>
    <n v="183738.35028000001"/>
    <n v="0"/>
    <n v="0"/>
    <n v="283600.23800311028"/>
    <n v="0"/>
  </r>
  <r>
    <s v="Refaturamento - Regular"/>
    <x v="0"/>
    <x v="0"/>
    <x v="0"/>
    <x v="0"/>
    <x v="1"/>
    <x v="0"/>
    <x v="0"/>
    <x v="1"/>
    <n v="0"/>
    <n v="0"/>
    <n v="-435.58100000000002"/>
    <n v="-435.58100000000002"/>
    <n v="0"/>
    <n v="0"/>
    <n v="0"/>
    <x v="1"/>
    <n v="0"/>
    <n v="0"/>
    <n v="3"/>
    <n v="0"/>
    <n v="0"/>
    <n v="62.94"/>
    <n v="0"/>
    <m/>
    <n v="97.147922318418239"/>
    <m/>
    <n v="0"/>
    <n v="-27415.468140000001"/>
    <n v="0"/>
    <n v="0"/>
    <n v="-42315.789151378936"/>
    <n v="0"/>
  </r>
  <r>
    <s v="Regular"/>
    <x v="0"/>
    <x v="0"/>
    <x v="0"/>
    <x v="0"/>
    <x v="1"/>
    <x v="0"/>
    <x v="0"/>
    <x v="2"/>
    <n v="0"/>
    <n v="0"/>
    <n v="2976.7310000000002"/>
    <n v="2976.7310000000002"/>
    <n v="0"/>
    <n v="0"/>
    <n v="2"/>
    <x v="1"/>
    <n v="0"/>
    <n v="0"/>
    <n v="3"/>
    <n v="0"/>
    <n v="0"/>
    <n v="62.94"/>
    <n v="0"/>
    <m/>
    <n v="97.147922318418239"/>
    <m/>
    <n v="0"/>
    <n v="187355.44914000001"/>
    <n v="0"/>
    <n v="0"/>
    <n v="289183.23195082747"/>
    <n v="0"/>
  </r>
  <r>
    <s v="Refaturamento - Regular"/>
    <x v="0"/>
    <x v="0"/>
    <x v="0"/>
    <x v="0"/>
    <x v="1"/>
    <x v="0"/>
    <x v="0"/>
    <x v="2"/>
    <n v="0"/>
    <n v="0"/>
    <n v="-362.59100000000001"/>
    <n v="-362.59100000000001"/>
    <n v="0"/>
    <n v="0"/>
    <n v="0"/>
    <x v="1"/>
    <n v="0"/>
    <n v="0"/>
    <n v="3"/>
    <n v="0"/>
    <n v="0"/>
    <n v="62.94"/>
    <n v="0"/>
    <m/>
    <n v="97.147922318418239"/>
    <m/>
    <n v="0"/>
    <n v="-22821.47754"/>
    <n v="0"/>
    <n v="0"/>
    <n v="-35224.962301357591"/>
    <n v="0"/>
  </r>
  <r>
    <s v="Regular"/>
    <x v="0"/>
    <x v="0"/>
    <x v="0"/>
    <x v="0"/>
    <x v="1"/>
    <x v="0"/>
    <x v="0"/>
    <x v="3"/>
    <n v="0"/>
    <n v="0"/>
    <n v="2786.4090000000001"/>
    <n v="2786.4090000000001"/>
    <n v="0"/>
    <n v="0"/>
    <n v="2"/>
    <x v="1"/>
    <n v="0"/>
    <n v="0"/>
    <n v="3"/>
    <n v="0"/>
    <n v="0"/>
    <n v="62.94"/>
    <n v="0"/>
    <m/>
    <n v="97.147922318418239"/>
    <m/>
    <n v="0"/>
    <n v="175376.58246000001"/>
    <n v="0"/>
    <n v="0"/>
    <n v="270693.84507934144"/>
    <n v="0"/>
  </r>
  <r>
    <s v="Refaturamento - Regular"/>
    <x v="0"/>
    <x v="0"/>
    <x v="0"/>
    <x v="0"/>
    <x v="1"/>
    <x v="0"/>
    <x v="0"/>
    <x v="3"/>
    <n v="0"/>
    <n v="0"/>
    <n v="-415.55700000000002"/>
    <n v="-415.55700000000002"/>
    <n v="0"/>
    <n v="0"/>
    <n v="0"/>
    <x v="1"/>
    <n v="0"/>
    <n v="0"/>
    <n v="3"/>
    <n v="0"/>
    <n v="0"/>
    <n v="62.94"/>
    <n v="0"/>
    <m/>
    <n v="97.147922318418239"/>
    <m/>
    <n v="0"/>
    <n v="-26155.157579999999"/>
    <n v="0"/>
    <n v="0"/>
    <n v="-40370.499154874931"/>
    <n v="0"/>
  </r>
  <r>
    <s v="Regular"/>
    <x v="0"/>
    <x v="0"/>
    <x v="0"/>
    <x v="0"/>
    <x v="1"/>
    <x v="0"/>
    <x v="0"/>
    <x v="4"/>
    <n v="0"/>
    <n v="0"/>
    <n v="2562.3009999999999"/>
    <n v="2562.3009999999999"/>
    <n v="0"/>
    <n v="0"/>
    <n v="2"/>
    <x v="1"/>
    <n v="0"/>
    <n v="0"/>
    <n v="3"/>
    <n v="0"/>
    <n v="0"/>
    <n v="62.94"/>
    <n v="0"/>
    <m/>
    <n v="97.147922318418239"/>
    <m/>
    <n v="0"/>
    <n v="161271.22493999999"/>
    <n v="0"/>
    <n v="0"/>
    <n v="248922.21850440538"/>
    <n v="0"/>
  </r>
  <r>
    <s v="Refaturamento - Regular"/>
    <x v="0"/>
    <x v="0"/>
    <x v="0"/>
    <x v="0"/>
    <x v="1"/>
    <x v="0"/>
    <x v="0"/>
    <x v="4"/>
    <n v="0"/>
    <n v="0"/>
    <n v="-296.41399999999999"/>
    <n v="-296.41399999999999"/>
    <n v="0"/>
    <n v="0"/>
    <n v="0"/>
    <x v="1"/>
    <n v="0"/>
    <n v="0"/>
    <n v="3"/>
    <n v="0"/>
    <n v="0"/>
    <n v="62.94"/>
    <n v="0"/>
    <m/>
    <n v="97.147922318418239"/>
    <m/>
    <n v="0"/>
    <n v="-18656.297159999998"/>
    <n v="0"/>
    <n v="0"/>
    <n v="-28796.004246091623"/>
    <n v="0"/>
  </r>
  <r>
    <s v="Regular"/>
    <x v="0"/>
    <x v="0"/>
    <x v="0"/>
    <x v="0"/>
    <x v="1"/>
    <x v="0"/>
    <x v="0"/>
    <x v="5"/>
    <n v="0"/>
    <n v="0"/>
    <n v="2968.915"/>
    <n v="2968.915"/>
    <n v="0"/>
    <n v="0"/>
    <n v="2"/>
    <x v="1"/>
    <n v="0"/>
    <n v="0"/>
    <n v="3"/>
    <n v="0"/>
    <n v="0"/>
    <n v="62.94"/>
    <n v="0"/>
    <m/>
    <n v="97.147922318418239"/>
    <m/>
    <n v="0"/>
    <n v="186863.51009999998"/>
    <n v="0"/>
    <n v="0"/>
    <n v="288423.9237899867"/>
    <n v="0"/>
  </r>
  <r>
    <s v="Refaturamento - Regular"/>
    <x v="0"/>
    <x v="0"/>
    <x v="0"/>
    <x v="0"/>
    <x v="1"/>
    <x v="0"/>
    <x v="0"/>
    <x v="5"/>
    <n v="0"/>
    <n v="0"/>
    <n v="-345.83499999999998"/>
    <n v="-345.83499999999998"/>
    <n v="0"/>
    <n v="0"/>
    <n v="0"/>
    <x v="1"/>
    <n v="0"/>
    <n v="0"/>
    <n v="3"/>
    <n v="0"/>
    <n v="0"/>
    <n v="62.94"/>
    <n v="0"/>
    <m/>
    <n v="97.147922318418239"/>
    <m/>
    <n v="0"/>
    <n v="-21766.854899999998"/>
    <n v="0"/>
    <n v="0"/>
    <n v="-33597.15171499017"/>
    <n v="0"/>
  </r>
  <r>
    <s v="Regular"/>
    <x v="0"/>
    <x v="0"/>
    <x v="0"/>
    <x v="0"/>
    <x v="1"/>
    <x v="0"/>
    <x v="0"/>
    <x v="6"/>
    <n v="0"/>
    <n v="0"/>
    <n v="3127.1439999999998"/>
    <n v="3127.1439999999998"/>
    <n v="0"/>
    <n v="0"/>
    <n v="2"/>
    <x v="1"/>
    <n v="0"/>
    <n v="0"/>
    <n v="3"/>
    <n v="0"/>
    <n v="0"/>
    <n v="62.94"/>
    <n v="0"/>
    <m/>
    <n v="97.147922318418239"/>
    <m/>
    <n v="0"/>
    <n v="196822.44335999998"/>
    <n v="0"/>
    <n v="0"/>
    <n v="303795.54239050765"/>
    <n v="0"/>
  </r>
  <r>
    <s v="Refaturamento - Regular"/>
    <x v="0"/>
    <x v="0"/>
    <x v="0"/>
    <x v="0"/>
    <x v="1"/>
    <x v="0"/>
    <x v="0"/>
    <x v="6"/>
    <n v="0"/>
    <n v="0"/>
    <n v="-358.99900000000002"/>
    <n v="-358.99900000000002"/>
    <n v="0"/>
    <n v="0"/>
    <n v="0"/>
    <x v="1"/>
    <n v="0"/>
    <n v="0"/>
    <n v="3"/>
    <n v="0"/>
    <n v="0"/>
    <n v="62.94"/>
    <n v="0"/>
    <m/>
    <n v="97.147922318418239"/>
    <m/>
    <n v="0"/>
    <n v="-22595.397059999999"/>
    <n v="0"/>
    <n v="0"/>
    <n v="-34876.006964389831"/>
    <n v="0"/>
  </r>
  <r>
    <s v="Regular"/>
    <x v="0"/>
    <x v="0"/>
    <x v="0"/>
    <x v="0"/>
    <x v="1"/>
    <x v="0"/>
    <x v="0"/>
    <x v="7"/>
    <n v="0"/>
    <n v="0"/>
    <n v="3105.6559999999999"/>
    <n v="3105.6559999999999"/>
    <n v="0"/>
    <n v="0"/>
    <n v="2"/>
    <x v="1"/>
    <n v="0"/>
    <n v="0"/>
    <n v="3"/>
    <n v="0"/>
    <n v="0"/>
    <n v="62.94"/>
    <n v="0"/>
    <m/>
    <n v="97.147922318418239"/>
    <m/>
    <n v="0"/>
    <n v="195469.98864"/>
    <n v="0"/>
    <n v="0"/>
    <n v="301708.02783572953"/>
    <n v="0"/>
  </r>
  <r>
    <s v="Refaturamento - Regular"/>
    <x v="0"/>
    <x v="0"/>
    <x v="0"/>
    <x v="0"/>
    <x v="1"/>
    <x v="0"/>
    <x v="0"/>
    <x v="7"/>
    <n v="0"/>
    <n v="0"/>
    <n v="-349.25900000000001"/>
    <n v="-349.25900000000001"/>
    <n v="0"/>
    <n v="0"/>
    <n v="0"/>
    <x v="1"/>
    <n v="0"/>
    <n v="0"/>
    <n v="3"/>
    <n v="0"/>
    <n v="0"/>
    <n v="62.94"/>
    <n v="0"/>
    <m/>
    <n v="97.147922318418239"/>
    <m/>
    <n v="0"/>
    <n v="-21982.36146"/>
    <n v="0"/>
    <n v="0"/>
    <n v="-33929.786201008435"/>
    <n v="0"/>
  </r>
  <r>
    <s v="Regular"/>
    <x v="0"/>
    <x v="0"/>
    <x v="0"/>
    <x v="0"/>
    <x v="1"/>
    <x v="0"/>
    <x v="0"/>
    <x v="8"/>
    <n v="0"/>
    <n v="0"/>
    <n v="2879.8380000000002"/>
    <n v="2879.8380000000002"/>
    <n v="0"/>
    <n v="0"/>
    <n v="2"/>
    <x v="1"/>
    <n v="0"/>
    <n v="0"/>
    <n v="3"/>
    <n v="0"/>
    <n v="0"/>
    <n v="62.94"/>
    <n v="0"/>
    <m/>
    <n v="97.147922318418239"/>
    <m/>
    <n v="0"/>
    <n v="181257.00372000001"/>
    <n v="0"/>
    <n v="0"/>
    <n v="279770.27831362898"/>
    <n v="0"/>
  </r>
  <r>
    <s v="Refaturamento - Regular"/>
    <x v="0"/>
    <x v="0"/>
    <x v="0"/>
    <x v="0"/>
    <x v="1"/>
    <x v="0"/>
    <x v="0"/>
    <x v="8"/>
    <n v="0"/>
    <n v="0"/>
    <n v="-435.19299999999998"/>
    <n v="-435.19299999999998"/>
    <n v="0"/>
    <n v="0"/>
    <n v="0"/>
    <x v="1"/>
    <n v="0"/>
    <n v="0"/>
    <n v="3"/>
    <n v="0"/>
    <n v="0"/>
    <n v="62.94"/>
    <n v="0"/>
    <m/>
    <n v="97.147922318418239"/>
    <m/>
    <n v="0"/>
    <n v="-27391.047419999999"/>
    <n v="0"/>
    <n v="0"/>
    <n v="-42278.09575751939"/>
    <n v="0"/>
  </r>
  <r>
    <s v="Regular"/>
    <x v="0"/>
    <x v="0"/>
    <x v="0"/>
    <x v="0"/>
    <x v="1"/>
    <x v="0"/>
    <x v="0"/>
    <x v="9"/>
    <n v="0"/>
    <n v="0"/>
    <n v="2679.2"/>
    <n v="2679.2"/>
    <n v="0"/>
    <n v="0"/>
    <n v="2"/>
    <x v="1"/>
    <n v="0"/>
    <n v="0"/>
    <n v="3"/>
    <n v="0"/>
    <n v="0"/>
    <n v="62.94"/>
    <n v="0"/>
    <m/>
    <n v="97.147922318418239"/>
    <m/>
    <n v="0"/>
    <n v="168628.84799999997"/>
    <n v="0"/>
    <n v="0"/>
    <n v="260278.71347550614"/>
    <n v="0"/>
  </r>
  <r>
    <s v="Refaturamento - Regular"/>
    <x v="0"/>
    <x v="0"/>
    <x v="0"/>
    <x v="0"/>
    <x v="1"/>
    <x v="0"/>
    <x v="0"/>
    <x v="9"/>
    <n v="0"/>
    <n v="0"/>
    <n v="-517.96299999999997"/>
    <n v="-517.96299999999997"/>
    <n v="0"/>
    <n v="0"/>
    <n v="0"/>
    <x v="1"/>
    <n v="0"/>
    <n v="0"/>
    <n v="3"/>
    <n v="0"/>
    <n v="0"/>
    <n v="62.94"/>
    <n v="0"/>
    <m/>
    <n v="97.147922318418239"/>
    <m/>
    <n v="0"/>
    <n v="-32600.591219999998"/>
    <n v="0"/>
    <n v="0"/>
    <n v="-50319.029287814861"/>
    <n v="0"/>
  </r>
  <r>
    <s v="Regular"/>
    <x v="0"/>
    <x v="0"/>
    <x v="0"/>
    <x v="0"/>
    <x v="1"/>
    <x v="0"/>
    <x v="0"/>
    <x v="10"/>
    <n v="0"/>
    <n v="0"/>
    <n v="2958.3780000000002"/>
    <n v="2958.3780000000002"/>
    <n v="0"/>
    <n v="0"/>
    <n v="2"/>
    <x v="1"/>
    <n v="0"/>
    <n v="0"/>
    <n v="3"/>
    <n v="0"/>
    <n v="0"/>
    <n v="62.94"/>
    <n v="0"/>
    <m/>
    <n v="97.147922318418239"/>
    <m/>
    <n v="0"/>
    <n v="186200.31132000001"/>
    <n v="0"/>
    <n v="0"/>
    <n v="287400.27613251755"/>
    <n v="0"/>
  </r>
  <r>
    <s v="Refaturamento - Regular"/>
    <x v="0"/>
    <x v="0"/>
    <x v="0"/>
    <x v="0"/>
    <x v="1"/>
    <x v="0"/>
    <x v="0"/>
    <x v="10"/>
    <n v="0"/>
    <n v="0"/>
    <n v="-390.41"/>
    <n v="-390.41"/>
    <n v="0"/>
    <n v="0"/>
    <n v="0"/>
    <x v="1"/>
    <n v="0"/>
    <n v="0"/>
    <n v="3"/>
    <n v="0"/>
    <n v="0"/>
    <n v="62.94"/>
    <n v="0"/>
    <m/>
    <n v="97.147922318418239"/>
    <m/>
    <n v="0"/>
    <n v="-24572.4054"/>
    <n v="0"/>
    <n v="0"/>
    <n v="-37927.520352333668"/>
    <n v="0"/>
  </r>
  <r>
    <s v="PROJETADO"/>
    <x v="0"/>
    <x v="0"/>
    <x v="0"/>
    <x v="0"/>
    <x v="1"/>
    <x v="0"/>
    <x v="0"/>
    <x v="11"/>
    <n v="0"/>
    <n v="0"/>
    <n v="2958.3780000000002"/>
    <n v="2958.3780000000002"/>
    <n v="0"/>
    <n v="0"/>
    <n v="2"/>
    <x v="1"/>
    <n v="0"/>
    <n v="0"/>
    <n v="3"/>
    <n v="0"/>
    <n v="0"/>
    <n v="62.94"/>
    <n v="0"/>
    <m/>
    <n v="97.147922318418239"/>
    <m/>
    <n v="0"/>
    <n v="186200.31132000001"/>
    <n v="0"/>
    <n v="0"/>
    <n v="287400.27613251755"/>
    <n v="0"/>
  </r>
  <r>
    <s v="PROJETADO"/>
    <x v="0"/>
    <x v="0"/>
    <x v="0"/>
    <x v="0"/>
    <x v="1"/>
    <x v="0"/>
    <x v="0"/>
    <x v="11"/>
    <n v="0"/>
    <n v="0"/>
    <n v="-390.41"/>
    <n v="-390.41"/>
    <n v="0"/>
    <n v="0"/>
    <n v="0"/>
    <x v="1"/>
    <n v="0"/>
    <n v="0"/>
    <n v="3"/>
    <n v="0"/>
    <n v="0"/>
    <n v="62.94"/>
    <n v="0"/>
    <m/>
    <n v="97.147922318418239"/>
    <m/>
    <n v="0"/>
    <n v="-24572.4054"/>
    <n v="0"/>
    <n v="0"/>
    <n v="-37927.520352333668"/>
    <n v="0"/>
  </r>
  <r>
    <s v="Regular"/>
    <x v="0"/>
    <x v="0"/>
    <x v="0"/>
    <x v="0"/>
    <x v="1"/>
    <x v="0"/>
    <x v="2"/>
    <x v="0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1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2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3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4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5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6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7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8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9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0"/>
    <x v="0"/>
    <x v="0"/>
    <x v="1"/>
    <x v="0"/>
    <x v="2"/>
    <x v="10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PROJETADO"/>
    <x v="0"/>
    <x v="0"/>
    <x v="0"/>
    <x v="0"/>
    <x v="1"/>
    <x v="0"/>
    <x v="2"/>
    <x v="11"/>
    <n v="8600"/>
    <n v="8600"/>
    <n v="0"/>
    <n v="0"/>
    <n v="0"/>
    <n v="0"/>
    <n v="0"/>
    <x v="1"/>
    <n v="0"/>
    <n v="1"/>
    <n v="0"/>
    <n v="0"/>
    <n v="16.07"/>
    <n v="0"/>
    <n v="0"/>
    <n v="19.744356357903676"/>
    <n v="97.147922318418239"/>
    <m/>
    <n v="138202"/>
    <n v="0"/>
    <n v="0"/>
    <n v="169801.46467797161"/>
    <n v="0"/>
    <n v="0"/>
  </r>
  <r>
    <s v="Regular"/>
    <x v="0"/>
    <x v="1"/>
    <x v="1"/>
    <x v="0"/>
    <x v="1"/>
    <x v="1"/>
    <x v="0"/>
    <x v="0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0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0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0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0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0"/>
    <n v="42635"/>
    <n v="42635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7438.49999999997"/>
    <n v="0"/>
    <n v="0"/>
    <n v="228174.82353320881"/>
    <n v="0"/>
    <n v="0"/>
  </r>
  <r>
    <s v="Regular"/>
    <x v="0"/>
    <x v="1"/>
    <x v="1"/>
    <x v="0"/>
    <x v="1"/>
    <x v="7"/>
    <x v="0"/>
    <x v="0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0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0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0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1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1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1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1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1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1"/>
    <n v="43360"/>
    <n v="4336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21135.99999999997"/>
    <n v="0"/>
    <n v="0"/>
    <n v="232054.89265626678"/>
    <n v="0"/>
    <n v="0"/>
  </r>
  <r>
    <s v="Regular"/>
    <x v="0"/>
    <x v="1"/>
    <x v="1"/>
    <x v="0"/>
    <x v="1"/>
    <x v="7"/>
    <x v="0"/>
    <x v="1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1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1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1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2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2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2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2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2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2"/>
    <n v="43721"/>
    <n v="43721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22977.09999999998"/>
    <n v="0"/>
    <n v="0"/>
    <n v="233986.89948857564"/>
    <n v="0"/>
    <n v="0"/>
  </r>
  <r>
    <s v="Regular"/>
    <x v="0"/>
    <x v="1"/>
    <x v="1"/>
    <x v="0"/>
    <x v="1"/>
    <x v="7"/>
    <x v="0"/>
    <x v="2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2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2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2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3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3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3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3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3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3"/>
    <n v="44057"/>
    <n v="44057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24690.69999999998"/>
    <n v="0"/>
    <n v="0"/>
    <n v="235785.1108338825"/>
    <n v="0"/>
    <n v="0"/>
  </r>
  <r>
    <s v="Regular"/>
    <x v="0"/>
    <x v="1"/>
    <x v="1"/>
    <x v="0"/>
    <x v="1"/>
    <x v="7"/>
    <x v="0"/>
    <x v="3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3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3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3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4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4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4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4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4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4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4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4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4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4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5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5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5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5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5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5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5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5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5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5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6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6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6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6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6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6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6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6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6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6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7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7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7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7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7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7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7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7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7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7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8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8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8"/>
    <n v="22004"/>
    <n v="22004"/>
    <n v="0"/>
    <n v="0"/>
    <n v="0"/>
    <n v="0"/>
    <n v="0"/>
    <x v="2"/>
    <n v="473"/>
    <n v="7"/>
    <n v="0"/>
    <n v="0"/>
    <n v="5.69"/>
    <n v="0"/>
    <n v="0"/>
    <n v="5.9725875575970218"/>
    <m/>
    <m/>
    <n v="125202.76000000001"/>
    <n v="0"/>
    <n v="0"/>
    <n v="131420.81661736488"/>
    <n v="0"/>
    <n v="0"/>
  </r>
  <r>
    <s v="Regular"/>
    <x v="0"/>
    <x v="1"/>
    <x v="1"/>
    <x v="0"/>
    <x v="1"/>
    <x v="4"/>
    <x v="0"/>
    <x v="8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8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8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8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8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8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8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9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9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9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9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9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9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9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9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9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9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0"/>
    <x v="1"/>
    <x v="1"/>
    <x v="0"/>
    <x v="1"/>
    <x v="1"/>
    <x v="0"/>
    <x v="10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Regular"/>
    <x v="0"/>
    <x v="1"/>
    <x v="1"/>
    <x v="0"/>
    <x v="1"/>
    <x v="2"/>
    <x v="0"/>
    <x v="10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Regular"/>
    <x v="0"/>
    <x v="1"/>
    <x v="1"/>
    <x v="0"/>
    <x v="1"/>
    <x v="3"/>
    <x v="0"/>
    <x v="10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Regular"/>
    <x v="0"/>
    <x v="1"/>
    <x v="1"/>
    <x v="0"/>
    <x v="1"/>
    <x v="4"/>
    <x v="0"/>
    <x v="10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Regular"/>
    <x v="0"/>
    <x v="1"/>
    <x v="1"/>
    <x v="0"/>
    <x v="1"/>
    <x v="5"/>
    <x v="0"/>
    <x v="10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Regular"/>
    <x v="0"/>
    <x v="1"/>
    <x v="1"/>
    <x v="0"/>
    <x v="1"/>
    <x v="6"/>
    <x v="0"/>
    <x v="10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Regular"/>
    <x v="0"/>
    <x v="1"/>
    <x v="1"/>
    <x v="0"/>
    <x v="1"/>
    <x v="7"/>
    <x v="0"/>
    <x v="10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Regular"/>
    <x v="0"/>
    <x v="1"/>
    <x v="1"/>
    <x v="0"/>
    <x v="1"/>
    <x v="8"/>
    <x v="0"/>
    <x v="10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Regular"/>
    <x v="0"/>
    <x v="1"/>
    <x v="1"/>
    <x v="0"/>
    <x v="1"/>
    <x v="9"/>
    <x v="0"/>
    <x v="10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Regular"/>
    <x v="0"/>
    <x v="1"/>
    <x v="1"/>
    <x v="0"/>
    <x v="1"/>
    <x v="10"/>
    <x v="0"/>
    <x v="10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PROJETADO"/>
    <x v="0"/>
    <x v="1"/>
    <x v="1"/>
    <x v="0"/>
    <x v="1"/>
    <x v="1"/>
    <x v="0"/>
    <x v="11"/>
    <n v="1640"/>
    <n v="820"/>
    <n v="0"/>
    <n v="0"/>
    <n v="0"/>
    <n v="0"/>
    <n v="0"/>
    <x v="2"/>
    <n v="104"/>
    <n v="5"/>
    <n v="0"/>
    <n v="0"/>
    <n v="5.0999999999999996"/>
    <n v="0"/>
    <n v="0"/>
    <n v="5.3518194800799535"/>
    <m/>
    <m/>
    <n v="4182"/>
    <n v="0"/>
    <n v="0"/>
    <n v="4388.491973665562"/>
    <n v="0"/>
    <n v="0"/>
  </r>
  <r>
    <s v="PROJETADO"/>
    <x v="0"/>
    <x v="1"/>
    <x v="1"/>
    <x v="0"/>
    <x v="1"/>
    <x v="2"/>
    <x v="0"/>
    <x v="11"/>
    <n v="39500"/>
    <n v="24307.692490000001"/>
    <n v="0"/>
    <n v="0"/>
    <n v="0"/>
    <n v="0"/>
    <n v="0"/>
    <x v="2"/>
    <n v="215"/>
    <n v="6"/>
    <n v="0"/>
    <n v="0"/>
    <n v="3.94"/>
    <n v="0"/>
    <n v="0"/>
    <n v="4.1263435550319665"/>
    <m/>
    <m/>
    <n v="95772.308410600002"/>
    <n v="0"/>
    <n v="0"/>
    <n v="100301.89024381044"/>
    <n v="0"/>
    <n v="0"/>
  </r>
  <r>
    <s v="PROJETADO"/>
    <x v="0"/>
    <x v="1"/>
    <x v="1"/>
    <x v="0"/>
    <x v="1"/>
    <x v="3"/>
    <x v="0"/>
    <x v="11"/>
    <n v="22000"/>
    <n v="22000"/>
    <n v="0"/>
    <n v="0"/>
    <n v="0"/>
    <n v="0"/>
    <n v="0"/>
    <x v="2"/>
    <n v="473"/>
    <n v="7"/>
    <n v="0"/>
    <n v="0"/>
    <n v="5.69"/>
    <n v="0"/>
    <n v="0"/>
    <n v="5.9725875575970218"/>
    <m/>
    <m/>
    <n v="125180.00000000001"/>
    <n v="0"/>
    <n v="0"/>
    <n v="131396.92626713449"/>
    <n v="0"/>
    <n v="0"/>
  </r>
  <r>
    <s v="PROJETADO"/>
    <x v="0"/>
    <x v="1"/>
    <x v="1"/>
    <x v="0"/>
    <x v="1"/>
    <x v="4"/>
    <x v="0"/>
    <x v="11"/>
    <n v="16500"/>
    <n v="0"/>
    <n v="0"/>
    <n v="0"/>
    <n v="0"/>
    <n v="0"/>
    <n v="0"/>
    <x v="2"/>
    <n v="1047"/>
    <n v="8"/>
    <n v="0"/>
    <n v="0"/>
    <n v="5.41"/>
    <n v="0"/>
    <n v="0"/>
    <n v="5.6770468963496468"/>
    <m/>
    <m/>
    <n v="0"/>
    <n v="0"/>
    <n v="0"/>
    <n v="0"/>
    <n v="0"/>
    <n v="0"/>
  </r>
  <r>
    <s v="PROJETADO"/>
    <x v="0"/>
    <x v="1"/>
    <x v="1"/>
    <x v="0"/>
    <x v="1"/>
    <x v="5"/>
    <x v="0"/>
    <x v="11"/>
    <n v="5320"/>
    <n v="2660"/>
    <n v="0"/>
    <n v="0"/>
    <n v="0"/>
    <n v="0"/>
    <n v="0"/>
    <x v="2"/>
    <n v="1078"/>
    <n v="9"/>
    <n v="0"/>
    <n v="0"/>
    <n v="5.0999999999999996"/>
    <n v="0"/>
    <n v="0"/>
    <n v="5.3518194800799535"/>
    <m/>
    <m/>
    <n v="13565.999999999998"/>
    <n v="0"/>
    <n v="0"/>
    <n v="14235.839817012677"/>
    <n v="0"/>
    <n v="0"/>
  </r>
  <r>
    <s v="PROJETADO"/>
    <x v="0"/>
    <x v="1"/>
    <x v="1"/>
    <x v="0"/>
    <x v="1"/>
    <x v="6"/>
    <x v="0"/>
    <x v="11"/>
    <n v="42500"/>
    <n v="42500"/>
    <n v="0"/>
    <n v="0"/>
    <n v="0"/>
    <n v="0"/>
    <n v="0"/>
    <x v="2"/>
    <n v="1276"/>
    <n v="10"/>
    <n v="0"/>
    <n v="0"/>
    <n v="5.0999999999999996"/>
    <n v="0"/>
    <n v="0"/>
    <n v="5.3518194800799535"/>
    <m/>
    <m/>
    <n v="216749.99999999997"/>
    <n v="0"/>
    <n v="0"/>
    <n v="227452.32790339802"/>
    <n v="0"/>
    <n v="0"/>
  </r>
  <r>
    <s v="PROJETADO"/>
    <x v="0"/>
    <x v="1"/>
    <x v="1"/>
    <x v="0"/>
    <x v="1"/>
    <x v="7"/>
    <x v="0"/>
    <x v="11"/>
    <n v="24400"/>
    <n v="12200"/>
    <n v="0"/>
    <n v="0"/>
    <n v="0"/>
    <n v="0"/>
    <n v="0"/>
    <x v="2"/>
    <n v="27532"/>
    <n v="11"/>
    <n v="0"/>
    <n v="0"/>
    <n v="4.63"/>
    <n v="0"/>
    <n v="0"/>
    <n v="4.8520321276355665"/>
    <m/>
    <m/>
    <n v="56486"/>
    <n v="0"/>
    <n v="0"/>
    <n v="59194.79195715391"/>
    <n v="0"/>
    <n v="0"/>
  </r>
  <r>
    <s v="PROJETADO"/>
    <x v="0"/>
    <x v="1"/>
    <x v="1"/>
    <x v="0"/>
    <x v="1"/>
    <x v="8"/>
    <x v="0"/>
    <x v="11"/>
    <n v="25000"/>
    <n v="0"/>
    <n v="0"/>
    <n v="0"/>
    <n v="0"/>
    <n v="0"/>
    <n v="0"/>
    <x v="2"/>
    <n v="27534"/>
    <n v="12"/>
    <n v="0"/>
    <n v="0"/>
    <n v="5.58"/>
    <n v="0"/>
    <n v="0"/>
    <n v="5.8629912082928266"/>
    <m/>
    <m/>
    <n v="0"/>
    <n v="0"/>
    <n v="0"/>
    <n v="0"/>
    <n v="0"/>
    <n v="0"/>
  </r>
  <r>
    <s v="PROJETADO"/>
    <x v="0"/>
    <x v="1"/>
    <x v="1"/>
    <x v="0"/>
    <x v="1"/>
    <x v="9"/>
    <x v="0"/>
    <x v="11"/>
    <n v="12600"/>
    <n v="0"/>
    <n v="0"/>
    <n v="0"/>
    <n v="0"/>
    <n v="0"/>
    <n v="0"/>
    <x v="2"/>
    <n v="27727"/>
    <n v="13"/>
    <n v="0"/>
    <n v="0"/>
    <n v="5.37"/>
    <n v="0"/>
    <n v="0"/>
    <n v="5.6347568020490248"/>
    <m/>
    <m/>
    <n v="0"/>
    <n v="0"/>
    <n v="0"/>
    <n v="0"/>
    <n v="0"/>
    <n v="0"/>
  </r>
  <r>
    <s v="PROJETADO"/>
    <x v="0"/>
    <x v="1"/>
    <x v="1"/>
    <x v="0"/>
    <x v="1"/>
    <x v="10"/>
    <x v="0"/>
    <x v="11"/>
    <n v="8100"/>
    <n v="4050"/>
    <n v="0"/>
    <n v="0"/>
    <n v="0"/>
    <n v="0"/>
    <n v="0"/>
    <x v="2"/>
    <n v="30597"/>
    <n v="14"/>
    <n v="0"/>
    <n v="0"/>
    <n v="5.04"/>
    <n v="0"/>
    <n v="0"/>
    <n v="5.2832968914996057"/>
    <m/>
    <m/>
    <n v="20412"/>
    <n v="0"/>
    <n v="0"/>
    <n v="21397.352410573403"/>
    <n v="0"/>
    <n v="0"/>
  </r>
  <r>
    <s v="Regular"/>
    <x v="1"/>
    <x v="0"/>
    <x v="0"/>
    <x v="0"/>
    <x v="1"/>
    <x v="0"/>
    <x v="1"/>
    <x v="0"/>
    <n v="350"/>
    <n v="350"/>
    <n v="56"/>
    <n v="56"/>
    <n v="56"/>
    <n v="56"/>
    <n v="0"/>
    <x v="3"/>
    <n v="0"/>
    <n v="17"/>
    <n v="18"/>
    <n v="76"/>
    <n v="9.33"/>
    <n v="65.78"/>
    <n v="311.04000000000002"/>
    <n v="11.677313297733747"/>
    <n v="101.13882615556905"/>
    <n v="311.14842517571947"/>
    <n v="3265.5"/>
    <n v="3683.6800000000003"/>
    <n v="17418.240000000002"/>
    <n v="4087.0596542068115"/>
    <n v="5663.7742647118666"/>
    <n v="17424.311809840292"/>
  </r>
  <r>
    <s v="Regular"/>
    <x v="1"/>
    <x v="0"/>
    <x v="0"/>
    <x v="0"/>
    <x v="1"/>
    <x v="0"/>
    <x v="1"/>
    <x v="0"/>
    <n v="13224"/>
    <n v="13224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3379.92"/>
    <n v="0"/>
    <n v="0"/>
    <n v="154420.79104923108"/>
    <n v="0"/>
    <n v="0"/>
  </r>
  <r>
    <s v="Regular"/>
    <x v="1"/>
    <x v="0"/>
    <x v="0"/>
    <x v="0"/>
    <x v="1"/>
    <x v="0"/>
    <x v="1"/>
    <x v="1"/>
    <n v="350"/>
    <n v="350"/>
    <n v="49"/>
    <n v="49"/>
    <n v="49"/>
    <n v="49"/>
    <n v="0"/>
    <x v="3"/>
    <n v="0"/>
    <n v="17"/>
    <n v="18"/>
    <n v="76"/>
    <n v="9.33"/>
    <n v="65.78"/>
    <n v="311.04000000000002"/>
    <n v="11.677313297733747"/>
    <n v="101.13882615556905"/>
    <n v="311.14842517571947"/>
    <n v="3265.5"/>
    <n v="3223.2200000000003"/>
    <n v="15240.960000000001"/>
    <n v="4087.0596542068115"/>
    <n v="4955.8024816228835"/>
    <n v="15246.272833610254"/>
  </r>
  <r>
    <s v="Regular"/>
    <x v="1"/>
    <x v="0"/>
    <x v="0"/>
    <x v="0"/>
    <x v="1"/>
    <x v="0"/>
    <x v="1"/>
    <x v="1"/>
    <n v="13256"/>
    <n v="13256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3678.48"/>
    <n v="0"/>
    <n v="0"/>
    <n v="154794.46507475854"/>
    <n v="0"/>
    <n v="0"/>
  </r>
  <r>
    <s v="Regular"/>
    <x v="1"/>
    <x v="0"/>
    <x v="0"/>
    <x v="0"/>
    <x v="1"/>
    <x v="0"/>
    <x v="1"/>
    <x v="2"/>
    <n v="350"/>
    <n v="350"/>
    <n v="42"/>
    <n v="42"/>
    <n v="42"/>
    <n v="42"/>
    <n v="0"/>
    <x v="3"/>
    <n v="0"/>
    <n v="17"/>
    <n v="18"/>
    <n v="76"/>
    <n v="9.33"/>
    <n v="65.78"/>
    <n v="311.04000000000002"/>
    <n v="11.677313297733747"/>
    <n v="101.13882615556905"/>
    <n v="311.14842517571947"/>
    <n v="3265.5"/>
    <n v="2762.76"/>
    <n v="13063.68"/>
    <n v="4087.0596542068115"/>
    <n v="4247.8306985339004"/>
    <n v="13068.233857380217"/>
  </r>
  <r>
    <s v="Regular"/>
    <x v="1"/>
    <x v="0"/>
    <x v="0"/>
    <x v="0"/>
    <x v="1"/>
    <x v="0"/>
    <x v="1"/>
    <x v="2"/>
    <n v="13327"/>
    <n v="13327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4340.91"/>
    <n v="0"/>
    <n v="0"/>
    <n v="155623.55431889763"/>
    <n v="0"/>
    <n v="0"/>
  </r>
  <r>
    <s v="Regular"/>
    <x v="1"/>
    <x v="0"/>
    <x v="0"/>
    <x v="0"/>
    <x v="1"/>
    <x v="0"/>
    <x v="1"/>
    <x v="3"/>
    <n v="2170"/>
    <n v="2170"/>
    <n v="308"/>
    <n v="308"/>
    <n v="308"/>
    <n v="308"/>
    <n v="0"/>
    <x v="3"/>
    <n v="0"/>
    <n v="17"/>
    <n v="18"/>
    <n v="76"/>
    <n v="9.33"/>
    <n v="65.78"/>
    <n v="311.04000000000002"/>
    <n v="11.677313297733747"/>
    <n v="101.13882615556905"/>
    <n v="311.14842517571947"/>
    <n v="20246.099999999999"/>
    <n v="20260.240000000002"/>
    <n v="95800.320000000007"/>
    <n v="25339.769856082232"/>
    <n v="31150.758455915267"/>
    <n v="95833.714954121591"/>
  </r>
  <r>
    <s v="Regular"/>
    <x v="1"/>
    <x v="0"/>
    <x v="0"/>
    <x v="0"/>
    <x v="1"/>
    <x v="0"/>
    <x v="1"/>
    <x v="3"/>
    <n v="13438"/>
    <n v="13438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5376.54000000001"/>
    <n v="0"/>
    <n v="0"/>
    <n v="156919.7360949461"/>
    <n v="0"/>
    <n v="0"/>
  </r>
  <r>
    <s v="Regular"/>
    <x v="1"/>
    <x v="0"/>
    <x v="0"/>
    <x v="0"/>
    <x v="1"/>
    <x v="0"/>
    <x v="1"/>
    <x v="4"/>
    <n v="2030"/>
    <n v="2030"/>
    <n v="788.44899999999996"/>
    <n v="788.44899999999996"/>
    <n v="788.44899999999996"/>
    <n v="788.44899999999996"/>
    <n v="0"/>
    <x v="3"/>
    <n v="0"/>
    <n v="17"/>
    <n v="18"/>
    <n v="76"/>
    <n v="9.33"/>
    <n v="65.78"/>
    <n v="311.04000000000002"/>
    <n v="11.677313297733747"/>
    <n v="101.13882615556905"/>
    <n v="311.14842517571947"/>
    <n v="18939.900000000001"/>
    <n v="51864.175219999997"/>
    <n v="245239.17696000001"/>
    <n v="23704.945994399506"/>
    <n v="79742.806343532255"/>
    <n v="245324.66468137084"/>
  </r>
  <r>
    <s v="Regular"/>
    <x v="1"/>
    <x v="0"/>
    <x v="0"/>
    <x v="0"/>
    <x v="1"/>
    <x v="0"/>
    <x v="1"/>
    <x v="4"/>
    <n v="13420"/>
    <n v="13420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5208.6"/>
    <n v="0"/>
    <n v="0"/>
    <n v="156709.54445558687"/>
    <n v="0"/>
    <n v="0"/>
  </r>
  <r>
    <s v="Regular"/>
    <x v="1"/>
    <x v="0"/>
    <x v="0"/>
    <x v="0"/>
    <x v="1"/>
    <x v="0"/>
    <x v="1"/>
    <x v="5"/>
    <n v="350"/>
    <n v="350"/>
    <n v="84"/>
    <n v="84"/>
    <n v="84"/>
    <n v="84"/>
    <n v="0"/>
    <x v="3"/>
    <n v="0"/>
    <n v="17"/>
    <n v="18"/>
    <n v="76"/>
    <n v="9.33"/>
    <n v="65.78"/>
    <n v="311.04000000000002"/>
    <n v="11.677313297733747"/>
    <n v="101.13882615556905"/>
    <n v="311.14842517571947"/>
    <n v="3265.5"/>
    <n v="5525.52"/>
    <n v="26127.360000000001"/>
    <n v="4087.0596542068115"/>
    <n v="8495.6613970678009"/>
    <n v="26136.467714760434"/>
  </r>
  <r>
    <s v="Regular"/>
    <x v="1"/>
    <x v="0"/>
    <x v="0"/>
    <x v="0"/>
    <x v="1"/>
    <x v="0"/>
    <x v="1"/>
    <x v="5"/>
    <n v="13689"/>
    <n v="13689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7718.37"/>
    <n v="0"/>
    <n v="0"/>
    <n v="159850.74173267727"/>
    <n v="0"/>
    <n v="0"/>
  </r>
  <r>
    <s v="Regular"/>
    <x v="1"/>
    <x v="0"/>
    <x v="0"/>
    <x v="0"/>
    <x v="1"/>
    <x v="0"/>
    <x v="1"/>
    <x v="6"/>
    <n v="2380"/>
    <n v="2380"/>
    <n v="189"/>
    <n v="189"/>
    <n v="189"/>
    <n v="189"/>
    <n v="0"/>
    <x v="3"/>
    <n v="0"/>
    <n v="17"/>
    <n v="18"/>
    <n v="76"/>
    <n v="9.33"/>
    <n v="65.78"/>
    <n v="311.04000000000002"/>
    <n v="11.677313297733747"/>
    <n v="101.13882615556905"/>
    <n v="311.14842517571947"/>
    <n v="22205.4"/>
    <n v="12432.42"/>
    <n v="58786.560000000005"/>
    <n v="27792.005648606319"/>
    <n v="19115.238143402552"/>
    <n v="58807.052358210982"/>
  </r>
  <r>
    <s v="Regular"/>
    <x v="1"/>
    <x v="0"/>
    <x v="0"/>
    <x v="0"/>
    <x v="1"/>
    <x v="0"/>
    <x v="1"/>
    <x v="6"/>
    <n v="13515"/>
    <n v="13515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6094.95"/>
    <n v="0"/>
    <n v="0"/>
    <n v="157818.8892188716"/>
    <n v="0"/>
    <n v="0"/>
  </r>
  <r>
    <s v="Regular"/>
    <x v="1"/>
    <x v="0"/>
    <x v="0"/>
    <x v="0"/>
    <x v="1"/>
    <x v="0"/>
    <x v="1"/>
    <x v="7"/>
    <n v="3000"/>
    <n v="3000"/>
    <n v="245.89699999999999"/>
    <n v="245.89699999999999"/>
    <n v="245.89699999999999"/>
    <n v="245.89699999999999"/>
    <n v="0"/>
    <x v="3"/>
    <n v="0"/>
    <n v="17"/>
    <n v="18"/>
    <n v="76"/>
    <n v="9.33"/>
    <n v="65.78"/>
    <n v="311.04000000000002"/>
    <n v="11.677313297733747"/>
    <n v="101.13882615556905"/>
    <n v="311.14842517571947"/>
    <n v="27990"/>
    <n v="16175.104659999999"/>
    <n v="76483.802880000003"/>
    <n v="35031.939893201241"/>
    <n v="24869.733935175962"/>
    <n v="76510.464305433881"/>
  </r>
  <r>
    <s v="Regular"/>
    <x v="1"/>
    <x v="0"/>
    <x v="0"/>
    <x v="0"/>
    <x v="1"/>
    <x v="0"/>
    <x v="1"/>
    <x v="7"/>
    <n v="13490"/>
    <n v="13490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25861.7"/>
    <n v="0"/>
    <n v="0"/>
    <n v="157526.95638642824"/>
    <n v="0"/>
    <n v="0"/>
  </r>
  <r>
    <s v="Regular"/>
    <x v="1"/>
    <x v="0"/>
    <x v="0"/>
    <x v="0"/>
    <x v="1"/>
    <x v="0"/>
    <x v="1"/>
    <x v="8"/>
    <n v="16283"/>
    <n v="16283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51920.39000000001"/>
    <n v="0"/>
    <n v="0"/>
    <n v="190141.6924269986"/>
    <n v="0"/>
    <n v="0"/>
  </r>
  <r>
    <s v="Regular"/>
    <x v="1"/>
    <x v="0"/>
    <x v="0"/>
    <x v="0"/>
    <x v="1"/>
    <x v="0"/>
    <x v="1"/>
    <x v="9"/>
    <n v="16438"/>
    <n v="16438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53366.54"/>
    <n v="0"/>
    <n v="0"/>
    <n v="191951.67598814733"/>
    <n v="0"/>
    <n v="0"/>
  </r>
  <r>
    <s v="Refaturamento - Regular"/>
    <x v="1"/>
    <x v="0"/>
    <x v="0"/>
    <x v="0"/>
    <x v="1"/>
    <x v="0"/>
    <x v="1"/>
    <x v="10"/>
    <n v="-391"/>
    <n v="-391"/>
    <n v="0"/>
    <n v="0"/>
    <n v="0"/>
    <n v="0"/>
    <n v="0"/>
    <x v="3"/>
    <n v="0"/>
    <n v="17"/>
    <n v="0"/>
    <n v="0"/>
    <n v="9.33"/>
    <n v="0"/>
    <n v="0"/>
    <n v="11.677313297733747"/>
    <n v="101.13882615556905"/>
    <n v="311.14842517571947"/>
    <n v="-3648.03"/>
    <n v="0"/>
    <n v="0"/>
    <n v="-4565.8294994138951"/>
    <n v="0"/>
    <n v="0"/>
  </r>
  <r>
    <s v="Regular"/>
    <x v="1"/>
    <x v="0"/>
    <x v="0"/>
    <x v="0"/>
    <x v="1"/>
    <x v="0"/>
    <x v="1"/>
    <x v="10"/>
    <n v="16594"/>
    <n v="16594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54822.01999999999"/>
    <n v="0"/>
    <n v="0"/>
    <n v="193773.3368625938"/>
    <n v="0"/>
    <n v="0"/>
  </r>
  <r>
    <s v="PROJETADO"/>
    <x v="1"/>
    <x v="0"/>
    <x v="0"/>
    <x v="0"/>
    <x v="1"/>
    <x v="0"/>
    <x v="1"/>
    <x v="11"/>
    <n v="-391"/>
    <n v="-391"/>
    <n v="0"/>
    <n v="0"/>
    <n v="0"/>
    <n v="0"/>
    <n v="0"/>
    <x v="3"/>
    <n v="0"/>
    <n v="17"/>
    <n v="0"/>
    <n v="0"/>
    <n v="9.33"/>
    <n v="0"/>
    <n v="0"/>
    <n v="11.677313297733747"/>
    <n v="101.13882615556905"/>
    <n v="311.14842517571947"/>
    <n v="-3648.03"/>
    <n v="0"/>
    <n v="0"/>
    <n v="-4565.8294994138951"/>
    <n v="0"/>
    <n v="0"/>
  </r>
  <r>
    <s v="PROJETADO"/>
    <x v="1"/>
    <x v="0"/>
    <x v="0"/>
    <x v="0"/>
    <x v="1"/>
    <x v="0"/>
    <x v="1"/>
    <x v="11"/>
    <n v="16594"/>
    <n v="16594"/>
    <n v="0"/>
    <n v="0"/>
    <n v="0"/>
    <n v="0"/>
    <n v="0"/>
    <x v="1"/>
    <n v="0"/>
    <n v="17"/>
    <n v="0"/>
    <n v="0"/>
    <n v="9.33"/>
    <n v="0"/>
    <n v="0"/>
    <n v="11.677313297733747"/>
    <n v="101.13882615556905"/>
    <m/>
    <n v="154822.01999999999"/>
    <n v="0"/>
    <n v="0"/>
    <n v="193773.3368625938"/>
    <n v="0"/>
    <n v="0"/>
  </r>
  <r>
    <s v="Regular"/>
    <x v="1"/>
    <x v="0"/>
    <x v="0"/>
    <x v="0"/>
    <x v="1"/>
    <x v="0"/>
    <x v="0"/>
    <x v="0"/>
    <n v="0"/>
    <n v="0"/>
    <n v="7944.7790000000005"/>
    <n v="7944.7790000000005"/>
    <n v="0"/>
    <n v="0"/>
    <n v="2"/>
    <x v="1"/>
    <n v="0"/>
    <n v="0"/>
    <n v="18"/>
    <n v="0"/>
    <n v="0"/>
    <n v="65.78"/>
    <n v="0"/>
    <m/>
    <n v="101.13882615556905"/>
    <m/>
    <n v="0"/>
    <n v="522607.56262000004"/>
    <n v="0"/>
    <n v="0"/>
    <n v="803525.62212541571"/>
    <n v="0"/>
  </r>
  <r>
    <s v="Regular"/>
    <x v="1"/>
    <x v="0"/>
    <x v="0"/>
    <x v="0"/>
    <x v="1"/>
    <x v="0"/>
    <x v="0"/>
    <x v="1"/>
    <n v="0"/>
    <n v="0"/>
    <n v="7563.1220000000003"/>
    <n v="7563.1220000000003"/>
    <n v="0"/>
    <n v="0"/>
    <n v="2"/>
    <x v="1"/>
    <n v="0"/>
    <n v="0"/>
    <n v="18"/>
    <n v="0"/>
    <n v="0"/>
    <n v="65.78"/>
    <n v="0"/>
    <m/>
    <n v="101.13882615556905"/>
    <m/>
    <n v="0"/>
    <n v="497502.16516000003"/>
    <n v="0"/>
    <n v="0"/>
    <n v="764925.28115135978"/>
    <n v="0"/>
  </r>
  <r>
    <s v="Regular"/>
    <x v="1"/>
    <x v="0"/>
    <x v="0"/>
    <x v="0"/>
    <x v="1"/>
    <x v="0"/>
    <x v="0"/>
    <x v="2"/>
    <n v="0"/>
    <n v="0"/>
    <n v="8221.7540000000008"/>
    <n v="8221.7540000000008"/>
    <n v="0"/>
    <n v="0"/>
    <n v="2"/>
    <x v="1"/>
    <n v="0"/>
    <n v="0"/>
    <n v="18"/>
    <n v="0"/>
    <n v="0"/>
    <n v="65.78"/>
    <n v="0"/>
    <m/>
    <n v="101.13882615556905"/>
    <m/>
    <n v="0"/>
    <n v="540826.9781200001"/>
    <n v="0"/>
    <n v="0"/>
    <n v="831538.54849985451"/>
    <n v="0"/>
  </r>
  <r>
    <s v="Regular"/>
    <x v="1"/>
    <x v="0"/>
    <x v="0"/>
    <x v="0"/>
    <x v="1"/>
    <x v="0"/>
    <x v="0"/>
    <x v="3"/>
    <n v="0"/>
    <n v="0"/>
    <n v="8311.0030000000006"/>
    <n v="8311.0030000000006"/>
    <n v="0"/>
    <n v="0"/>
    <n v="2"/>
    <x v="1"/>
    <n v="0"/>
    <n v="0"/>
    <n v="18"/>
    <n v="0"/>
    <n v="0"/>
    <n v="65.78"/>
    <n v="0"/>
    <m/>
    <n v="101.13882615556905"/>
    <m/>
    <n v="0"/>
    <n v="546697.77734000003"/>
    <n v="0"/>
    <n v="0"/>
    <n v="840565.08759541286"/>
    <n v="0"/>
  </r>
  <r>
    <s v="Regular"/>
    <x v="1"/>
    <x v="0"/>
    <x v="0"/>
    <x v="0"/>
    <x v="1"/>
    <x v="0"/>
    <x v="0"/>
    <x v="4"/>
    <n v="0"/>
    <n v="0"/>
    <n v="7705.9750000000004"/>
    <n v="7705.9750000000004"/>
    <n v="0"/>
    <n v="0"/>
    <n v="2"/>
    <x v="1"/>
    <n v="0"/>
    <n v="0"/>
    <n v="18"/>
    <n v="0"/>
    <n v="0"/>
    <n v="65.78"/>
    <n v="0"/>
    <m/>
    <n v="101.13882615556905"/>
    <m/>
    <n v="0"/>
    <n v="506899.03550000006"/>
    <n v="0"/>
    <n v="0"/>
    <n v="779373.26588416123"/>
    <n v="0"/>
  </r>
  <r>
    <s v="Regular"/>
    <x v="1"/>
    <x v="0"/>
    <x v="0"/>
    <x v="0"/>
    <x v="1"/>
    <x v="0"/>
    <x v="0"/>
    <x v="5"/>
    <n v="0"/>
    <n v="0"/>
    <n v="8310.8539999999994"/>
    <n v="8310.8539999999994"/>
    <n v="0"/>
    <n v="0"/>
    <n v="2"/>
    <x v="1"/>
    <n v="0"/>
    <n v="0"/>
    <n v="18"/>
    <n v="0"/>
    <n v="0"/>
    <n v="65.78"/>
    <n v="0"/>
    <m/>
    <n v="101.13882615556905"/>
    <m/>
    <n v="0"/>
    <n v="546687.97612000001"/>
    <n v="0"/>
    <n v="0"/>
    <n v="840550.01791031554"/>
    <n v="0"/>
  </r>
  <r>
    <s v="Regular"/>
    <x v="1"/>
    <x v="0"/>
    <x v="0"/>
    <x v="0"/>
    <x v="1"/>
    <x v="0"/>
    <x v="0"/>
    <x v="6"/>
    <n v="0"/>
    <n v="0"/>
    <n v="8055.2250000000004"/>
    <n v="8055.2250000000004"/>
    <n v="0"/>
    <n v="0"/>
    <n v="2"/>
    <x v="1"/>
    <n v="0"/>
    <n v="0"/>
    <n v="18"/>
    <n v="0"/>
    <n v="0"/>
    <n v="65.78"/>
    <n v="0"/>
    <m/>
    <n v="101.13882615556905"/>
    <m/>
    <n v="0"/>
    <n v="529872.70050000004"/>
    <n v="0"/>
    <n v="0"/>
    <n v="814696.00091899373"/>
    <n v="0"/>
  </r>
  <r>
    <s v="Regular"/>
    <x v="1"/>
    <x v="0"/>
    <x v="0"/>
    <x v="0"/>
    <x v="1"/>
    <x v="0"/>
    <x v="0"/>
    <x v="7"/>
    <n v="0"/>
    <n v="0"/>
    <n v="7635.7719999999999"/>
    <n v="7635.7719999999999"/>
    <n v="0"/>
    <n v="0"/>
    <n v="2"/>
    <x v="1"/>
    <n v="0"/>
    <n v="0"/>
    <n v="18"/>
    <n v="0"/>
    <n v="0"/>
    <n v="65.78"/>
    <n v="0"/>
    <m/>
    <n v="101.13882615556905"/>
    <m/>
    <n v="0"/>
    <n v="502281.08215999999"/>
    <n v="0"/>
    <n v="0"/>
    <n v="772273.01687156176"/>
    <n v="0"/>
  </r>
  <r>
    <s v="Regular"/>
    <x v="1"/>
    <x v="0"/>
    <x v="0"/>
    <x v="0"/>
    <x v="1"/>
    <x v="0"/>
    <x v="0"/>
    <x v="8"/>
    <n v="0"/>
    <n v="0"/>
    <n v="7919.174"/>
    <n v="7919.174"/>
    <n v="0"/>
    <n v="0"/>
    <n v="3"/>
    <x v="1"/>
    <n v="0"/>
    <n v="0"/>
    <n v="18"/>
    <n v="0"/>
    <n v="0"/>
    <n v="65.78"/>
    <n v="0"/>
    <m/>
    <n v="101.13882615556905"/>
    <m/>
    <n v="0"/>
    <n v="520923.26572000002"/>
    <n v="0"/>
    <n v="0"/>
    <n v="800935.96248170233"/>
    <n v="0"/>
  </r>
  <r>
    <s v="Regular"/>
    <x v="1"/>
    <x v="0"/>
    <x v="0"/>
    <x v="0"/>
    <x v="1"/>
    <x v="0"/>
    <x v="0"/>
    <x v="9"/>
    <n v="0"/>
    <n v="0"/>
    <n v="8320.5540000000001"/>
    <n v="8320.5540000000001"/>
    <n v="0"/>
    <n v="0"/>
    <n v="3"/>
    <x v="1"/>
    <n v="0"/>
    <n v="0"/>
    <n v="18"/>
    <n v="0"/>
    <n v="0"/>
    <n v="65.78"/>
    <n v="0"/>
    <m/>
    <n v="101.13882615556905"/>
    <m/>
    <n v="0"/>
    <n v="547326.04212"/>
    <n v="0"/>
    <n v="0"/>
    <n v="841531.06452402472"/>
    <n v="0"/>
  </r>
  <r>
    <s v="Regular"/>
    <x v="1"/>
    <x v="0"/>
    <x v="0"/>
    <x v="0"/>
    <x v="1"/>
    <x v="0"/>
    <x v="0"/>
    <x v="10"/>
    <n v="0"/>
    <n v="0"/>
    <n v="8974.5650000000005"/>
    <n v="8974.5650000000005"/>
    <n v="0"/>
    <n v="0"/>
    <n v="3"/>
    <x v="1"/>
    <n v="0"/>
    <n v="0"/>
    <n v="18"/>
    <n v="0"/>
    <n v="0"/>
    <n v="65.78"/>
    <n v="0"/>
    <m/>
    <n v="101.13882615556905"/>
    <m/>
    <n v="0"/>
    <n v="590346.8857000001"/>
    <n v="0"/>
    <n v="0"/>
    <n v="907676.96935685456"/>
    <n v="0"/>
  </r>
  <r>
    <s v="PROJETADO"/>
    <x v="1"/>
    <x v="0"/>
    <x v="0"/>
    <x v="0"/>
    <x v="1"/>
    <x v="0"/>
    <x v="0"/>
    <x v="11"/>
    <n v="0"/>
    <n v="0"/>
    <n v="8974.5650000000005"/>
    <n v="8974.5650000000005"/>
    <n v="0"/>
    <n v="0"/>
    <n v="3"/>
    <x v="1"/>
    <n v="0"/>
    <n v="0"/>
    <n v="18"/>
    <n v="0"/>
    <n v="0"/>
    <n v="65.78"/>
    <n v="0"/>
    <m/>
    <n v="101.13882615556905"/>
    <m/>
    <n v="0"/>
    <n v="590346.8857000001"/>
    <n v="0"/>
    <n v="0"/>
    <n v="907676.96935685456"/>
    <n v="0"/>
  </r>
  <r>
    <s v="Regular"/>
    <x v="1"/>
    <x v="0"/>
    <x v="0"/>
    <x v="0"/>
    <x v="1"/>
    <x v="0"/>
    <x v="2"/>
    <x v="0"/>
    <n v="350"/>
    <n v="350"/>
    <n v="7"/>
    <n v="7"/>
    <n v="7"/>
    <n v="7"/>
    <n v="0"/>
    <x v="3"/>
    <n v="0"/>
    <n v="16"/>
    <n v="18"/>
    <n v="75"/>
    <n v="23.91"/>
    <n v="65.78"/>
    <n v="496.15"/>
    <n v="28.541575585553517"/>
    <n v="101.13882615556905"/>
    <n v="506.4861368306324"/>
    <n v="8368.5"/>
    <n v="460.46000000000004"/>
    <n v="3473.0499999999997"/>
    <n v="9989.5514549437303"/>
    <n v="707.97178308898333"/>
    <n v="3545.4029578144268"/>
  </r>
  <r>
    <s v="Regular"/>
    <x v="1"/>
    <x v="0"/>
    <x v="0"/>
    <x v="0"/>
    <x v="1"/>
    <x v="0"/>
    <x v="2"/>
    <x v="0"/>
    <n v="13200"/>
    <n v="13200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5612"/>
    <n v="0"/>
    <n v="0"/>
    <n v="376748.79772930645"/>
    <n v="0"/>
    <n v="0"/>
  </r>
  <r>
    <s v="Regular"/>
    <x v="1"/>
    <x v="0"/>
    <x v="0"/>
    <x v="0"/>
    <x v="1"/>
    <x v="0"/>
    <x v="2"/>
    <x v="1"/>
    <n v="350"/>
    <n v="350"/>
    <n v="7"/>
    <n v="7"/>
    <n v="7"/>
    <n v="7"/>
    <n v="0"/>
    <x v="3"/>
    <n v="0"/>
    <n v="16"/>
    <n v="18"/>
    <n v="75"/>
    <n v="23.91"/>
    <n v="65.78"/>
    <n v="496.15"/>
    <n v="28.541575585553517"/>
    <n v="101.13882615556905"/>
    <n v="506.4861368306324"/>
    <n v="8368.5"/>
    <n v="460.46000000000004"/>
    <n v="3473.0499999999997"/>
    <n v="9989.5514549437303"/>
    <n v="707.97178308898333"/>
    <n v="3545.4029578144268"/>
  </r>
  <r>
    <s v="Regular"/>
    <x v="1"/>
    <x v="0"/>
    <x v="0"/>
    <x v="0"/>
    <x v="1"/>
    <x v="0"/>
    <x v="2"/>
    <x v="1"/>
    <n v="13243"/>
    <n v="13243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6640.13"/>
    <n v="0"/>
    <n v="0"/>
    <n v="377976.08547948522"/>
    <n v="0"/>
    <n v="0"/>
  </r>
  <r>
    <s v="Regular"/>
    <x v="1"/>
    <x v="0"/>
    <x v="0"/>
    <x v="0"/>
    <x v="1"/>
    <x v="0"/>
    <x v="2"/>
    <x v="2"/>
    <n v="350"/>
    <n v="350"/>
    <n v="7"/>
    <n v="7"/>
    <n v="7"/>
    <n v="7"/>
    <n v="0"/>
    <x v="3"/>
    <n v="0"/>
    <n v="16"/>
    <n v="18"/>
    <n v="75"/>
    <n v="23.91"/>
    <n v="65.78"/>
    <n v="496.15"/>
    <n v="28.541575585553517"/>
    <n v="101.13882615556905"/>
    <n v="506.4861368306324"/>
    <n v="8368.5"/>
    <n v="460.46000000000004"/>
    <n v="3473.0499999999997"/>
    <n v="9989.5514549437303"/>
    <n v="707.97178308898333"/>
    <n v="3545.4029578144268"/>
  </r>
  <r>
    <s v="Regular"/>
    <x v="1"/>
    <x v="0"/>
    <x v="0"/>
    <x v="0"/>
    <x v="1"/>
    <x v="0"/>
    <x v="2"/>
    <x v="2"/>
    <n v="13244"/>
    <n v="13244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6664.03999999998"/>
    <n v="0"/>
    <n v="0"/>
    <n v="378004.62705507077"/>
    <n v="0"/>
    <n v="0"/>
  </r>
  <r>
    <s v="Regular"/>
    <x v="1"/>
    <x v="0"/>
    <x v="0"/>
    <x v="0"/>
    <x v="1"/>
    <x v="0"/>
    <x v="2"/>
    <x v="3"/>
    <n v="2100"/>
    <n v="2100"/>
    <n v="35"/>
    <n v="35"/>
    <n v="35"/>
    <n v="35"/>
    <n v="0"/>
    <x v="3"/>
    <n v="0"/>
    <n v="16"/>
    <n v="18"/>
    <n v="75"/>
    <n v="23.91"/>
    <n v="65.78"/>
    <n v="496.15"/>
    <n v="28.541575585553517"/>
    <n v="101.13882615556905"/>
    <n v="506.4861368306324"/>
    <n v="50211"/>
    <n v="2302.3000000000002"/>
    <n v="17365.25"/>
    <n v="59937.308729662385"/>
    <n v="3539.8589154449169"/>
    <n v="17727.014789072135"/>
  </r>
  <r>
    <s v="Regular"/>
    <x v="1"/>
    <x v="0"/>
    <x v="0"/>
    <x v="0"/>
    <x v="1"/>
    <x v="0"/>
    <x v="2"/>
    <x v="3"/>
    <n v="13374"/>
    <n v="13374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9772.34000000003"/>
    <n v="0"/>
    <n v="0"/>
    <n v="381715.03188119276"/>
    <n v="0"/>
    <n v="0"/>
  </r>
  <r>
    <s v="Regular"/>
    <x v="1"/>
    <x v="0"/>
    <x v="0"/>
    <x v="0"/>
    <x v="1"/>
    <x v="0"/>
    <x v="2"/>
    <x v="4"/>
    <n v="1890"/>
    <n v="1890"/>
    <n v="39.298999999999999"/>
    <n v="39.298999999999999"/>
    <n v="39.298999999999999"/>
    <n v="39.298999999999999"/>
    <n v="0"/>
    <x v="3"/>
    <n v="0"/>
    <n v="16"/>
    <n v="18"/>
    <n v="75"/>
    <n v="23.91"/>
    <n v="65.78"/>
    <n v="496.15"/>
    <n v="28.541575585553517"/>
    <n v="101.13882615556905"/>
    <n v="506.4861368306324"/>
    <n v="45189.9"/>
    <n v="2585.0882200000001"/>
    <n v="19498.198849999997"/>
    <n v="53943.577856696145"/>
    <n v="3974.6547290877079"/>
    <n v="19904.398691307022"/>
  </r>
  <r>
    <s v="Regular"/>
    <x v="1"/>
    <x v="0"/>
    <x v="0"/>
    <x v="0"/>
    <x v="1"/>
    <x v="0"/>
    <x v="2"/>
    <x v="4"/>
    <n v="13340"/>
    <n v="13340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8959.40000000002"/>
    <n v="0"/>
    <n v="0"/>
    <n v="380744.61831128394"/>
    <n v="0"/>
    <n v="0"/>
  </r>
  <r>
    <s v="Regular"/>
    <x v="1"/>
    <x v="0"/>
    <x v="0"/>
    <x v="0"/>
    <x v="1"/>
    <x v="0"/>
    <x v="2"/>
    <x v="5"/>
    <n v="280"/>
    <n v="280"/>
    <n v="7"/>
    <n v="7"/>
    <n v="7"/>
    <n v="7"/>
    <n v="0"/>
    <x v="3"/>
    <n v="0"/>
    <n v="16"/>
    <n v="18"/>
    <n v="75"/>
    <n v="23.91"/>
    <n v="65.78"/>
    <n v="496.15"/>
    <n v="28.541575585553517"/>
    <n v="101.13882615556905"/>
    <n v="506.4861368306324"/>
    <n v="6694.8"/>
    <n v="460.46000000000004"/>
    <n v="3473.0499999999997"/>
    <n v="7991.6411639549842"/>
    <n v="707.97178308898333"/>
    <n v="3545.4029578144268"/>
  </r>
  <r>
    <s v="Regular"/>
    <x v="1"/>
    <x v="0"/>
    <x v="0"/>
    <x v="0"/>
    <x v="1"/>
    <x v="0"/>
    <x v="2"/>
    <x v="5"/>
    <n v="13344"/>
    <n v="13344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9055.03999999998"/>
    <n v="0"/>
    <n v="0"/>
    <n v="380858.78461362614"/>
    <n v="0"/>
    <n v="0"/>
  </r>
  <r>
    <s v="Regular"/>
    <x v="1"/>
    <x v="0"/>
    <x v="0"/>
    <x v="0"/>
    <x v="1"/>
    <x v="0"/>
    <x v="2"/>
    <x v="6"/>
    <n v="2310"/>
    <n v="2310"/>
    <n v="21"/>
    <n v="21"/>
    <n v="21"/>
    <n v="21"/>
    <n v="0"/>
    <x v="3"/>
    <n v="0"/>
    <n v="16"/>
    <n v="18"/>
    <n v="75"/>
    <n v="23.91"/>
    <n v="65.78"/>
    <n v="496.15"/>
    <n v="28.541575585553517"/>
    <n v="101.13882615556905"/>
    <n v="506.4861368306324"/>
    <n v="55232.1"/>
    <n v="1381.38"/>
    <n v="10419.15"/>
    <n v="65931.039602628618"/>
    <n v="2123.9153492669502"/>
    <n v="10636.20887344328"/>
  </r>
  <r>
    <s v="Regular"/>
    <x v="1"/>
    <x v="0"/>
    <x v="0"/>
    <x v="0"/>
    <x v="1"/>
    <x v="0"/>
    <x v="2"/>
    <x v="6"/>
    <n v="13379"/>
    <n v="13379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9891.89"/>
    <n v="0"/>
    <n v="0"/>
    <n v="381857.73975912051"/>
    <n v="0"/>
    <n v="0"/>
  </r>
  <r>
    <s v="Regular"/>
    <x v="1"/>
    <x v="0"/>
    <x v="0"/>
    <x v="0"/>
    <x v="1"/>
    <x v="0"/>
    <x v="2"/>
    <x v="7"/>
    <n v="3000"/>
    <n v="3000"/>
    <n v="51.475000000000001"/>
    <n v="51.475000000000001"/>
    <n v="51.475000000000001"/>
    <n v="51.475000000000001"/>
    <n v="0"/>
    <x v="3"/>
    <n v="0"/>
    <n v="16"/>
    <n v="18"/>
    <n v="75"/>
    <n v="23.91"/>
    <n v="65.78"/>
    <n v="496.15"/>
    <n v="28.541575585553517"/>
    <n v="101.13882615556905"/>
    <n v="506.4861368306324"/>
    <n v="71730"/>
    <n v="3386.0255000000002"/>
    <n v="25539.321250000001"/>
    <n v="85624.726756660544"/>
    <n v="5206.1210763579165"/>
    <n v="26071.373893356802"/>
  </r>
  <r>
    <s v="Regular"/>
    <x v="1"/>
    <x v="0"/>
    <x v="0"/>
    <x v="0"/>
    <x v="1"/>
    <x v="0"/>
    <x v="2"/>
    <x v="7"/>
    <n v="13293"/>
    <n v="13293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17835.63"/>
    <n v="0"/>
    <n v="0"/>
    <n v="379403.1642587629"/>
    <n v="0"/>
    <n v="0"/>
  </r>
  <r>
    <s v="Regular"/>
    <x v="1"/>
    <x v="0"/>
    <x v="0"/>
    <x v="0"/>
    <x v="1"/>
    <x v="0"/>
    <x v="2"/>
    <x v="8"/>
    <n v="16000"/>
    <n v="16000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82560"/>
    <n v="0"/>
    <n v="0"/>
    <n v="456665.20936885627"/>
    <n v="0"/>
    <n v="0"/>
  </r>
  <r>
    <s v="Regular"/>
    <x v="1"/>
    <x v="0"/>
    <x v="0"/>
    <x v="0"/>
    <x v="1"/>
    <x v="0"/>
    <x v="2"/>
    <x v="9"/>
    <n v="16088"/>
    <n v="16088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84664.08"/>
    <n v="0"/>
    <n v="0"/>
    <n v="459176.86802038498"/>
    <n v="0"/>
    <n v="0"/>
  </r>
  <r>
    <s v="Refaturamento - Regular"/>
    <x v="1"/>
    <x v="0"/>
    <x v="0"/>
    <x v="0"/>
    <x v="1"/>
    <x v="0"/>
    <x v="2"/>
    <x v="10"/>
    <n v="-596"/>
    <n v="-596"/>
    <n v="0"/>
    <n v="0"/>
    <n v="0"/>
    <n v="0"/>
    <n v="0"/>
    <x v="3"/>
    <n v="0"/>
    <n v="16"/>
    <n v="0"/>
    <n v="0"/>
    <n v="23.91"/>
    <n v="0"/>
    <n v="0"/>
    <n v="28.541575585553517"/>
    <n v="101.13882615556905"/>
    <n v="506.4861368306324"/>
    <n v="-14250.36"/>
    <n v="0"/>
    <n v="0"/>
    <n v="-17010.779048989894"/>
    <n v="0"/>
    <n v="0"/>
  </r>
  <r>
    <s v="Regular"/>
    <x v="1"/>
    <x v="0"/>
    <x v="0"/>
    <x v="0"/>
    <x v="1"/>
    <x v="0"/>
    <x v="2"/>
    <x v="10"/>
    <n v="16258"/>
    <n v="16258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88728.78"/>
    <n v="0"/>
    <n v="0"/>
    <n v="464028.93586992909"/>
    <n v="0"/>
    <n v="0"/>
  </r>
  <r>
    <s v="PROJETADO"/>
    <x v="1"/>
    <x v="0"/>
    <x v="0"/>
    <x v="0"/>
    <x v="1"/>
    <x v="0"/>
    <x v="2"/>
    <x v="11"/>
    <n v="-596"/>
    <n v="-596"/>
    <n v="0"/>
    <n v="0"/>
    <n v="0"/>
    <n v="0"/>
    <n v="0"/>
    <x v="3"/>
    <n v="0"/>
    <n v="16"/>
    <n v="0"/>
    <n v="0"/>
    <n v="23.91"/>
    <n v="0"/>
    <n v="0"/>
    <n v="28.541575585553517"/>
    <n v="101.13882615556905"/>
    <n v="506.4861368306324"/>
    <n v="-14250.36"/>
    <n v="0"/>
    <n v="0"/>
    <n v="-17010.779048989894"/>
    <n v="0"/>
    <n v="0"/>
  </r>
  <r>
    <s v="PROJETADO"/>
    <x v="1"/>
    <x v="0"/>
    <x v="0"/>
    <x v="0"/>
    <x v="1"/>
    <x v="0"/>
    <x v="2"/>
    <x v="11"/>
    <n v="16258"/>
    <n v="16258"/>
    <n v="0"/>
    <n v="0"/>
    <n v="0"/>
    <n v="0"/>
    <n v="0"/>
    <x v="1"/>
    <n v="0"/>
    <n v="16"/>
    <n v="0"/>
    <n v="0"/>
    <n v="23.91"/>
    <n v="0"/>
    <n v="0"/>
    <n v="28.541575585553517"/>
    <n v="101.13882615556905"/>
    <m/>
    <n v="388728.78"/>
    <n v="0"/>
    <n v="0"/>
    <n v="464028.93586992909"/>
    <n v="0"/>
    <n v="0"/>
  </r>
  <r>
    <s v="Regular"/>
    <x v="1"/>
    <x v="1"/>
    <x v="1"/>
    <x v="0"/>
    <x v="1"/>
    <x v="11"/>
    <x v="0"/>
    <x v="0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0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0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0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0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1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1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1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1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1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2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2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2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2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2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3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3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3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3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3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4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4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4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4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4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5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5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5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5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5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6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6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6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6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6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7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7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7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7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7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8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8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8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8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8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9"/>
    <n v="13720"/>
    <n v="6860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2931.20000000001"/>
    <n v="0"/>
    <n v="0"/>
    <n v="144251.92493664689"/>
    <n v="0"/>
    <n v="0"/>
  </r>
  <r>
    <s v="Regular"/>
    <x v="1"/>
    <x v="1"/>
    <x v="1"/>
    <x v="0"/>
    <x v="1"/>
    <x v="12"/>
    <x v="0"/>
    <x v="9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9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9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9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1"/>
    <x v="0"/>
    <x v="10"/>
    <n v="13759"/>
    <n v="6879.5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3280.64000000001"/>
    <n v="0"/>
    <n v="0"/>
    <n v="144661.97049586914"/>
    <n v="0"/>
    <n v="0"/>
  </r>
  <r>
    <s v="Regular"/>
    <x v="1"/>
    <x v="1"/>
    <x v="1"/>
    <x v="0"/>
    <x v="1"/>
    <x v="12"/>
    <x v="0"/>
    <x v="10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Regular"/>
    <x v="1"/>
    <x v="1"/>
    <x v="1"/>
    <x v="0"/>
    <x v="1"/>
    <x v="13"/>
    <x v="0"/>
    <x v="10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1"/>
    <x v="1"/>
    <x v="1"/>
    <x v="0"/>
    <x v="1"/>
    <x v="14"/>
    <x v="0"/>
    <x v="10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Regular"/>
    <x v="1"/>
    <x v="1"/>
    <x v="1"/>
    <x v="0"/>
    <x v="1"/>
    <x v="15"/>
    <x v="0"/>
    <x v="10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PROJETADO"/>
    <x v="1"/>
    <x v="1"/>
    <x v="1"/>
    <x v="0"/>
    <x v="1"/>
    <x v="11"/>
    <x v="0"/>
    <x v="11"/>
    <n v="13759"/>
    <n v="6879.5"/>
    <n v="0"/>
    <n v="0"/>
    <n v="0"/>
    <n v="0"/>
    <n v="0"/>
    <x v="2"/>
    <n v="1034"/>
    <n v="20"/>
    <n v="0"/>
    <n v="0"/>
    <n v="17.920000000000002"/>
    <n v="0"/>
    <n v="0"/>
    <n v="21.027977396012666"/>
    <m/>
    <m/>
    <n v="123280.64000000001"/>
    <n v="0"/>
    <n v="0"/>
    <n v="144661.97049586914"/>
    <n v="0"/>
    <n v="0"/>
  </r>
  <r>
    <s v="PROJETADO"/>
    <x v="1"/>
    <x v="1"/>
    <x v="1"/>
    <x v="0"/>
    <x v="1"/>
    <x v="12"/>
    <x v="0"/>
    <x v="11"/>
    <n v="6970"/>
    <n v="6970"/>
    <n v="0"/>
    <n v="0"/>
    <n v="0"/>
    <n v="0"/>
    <n v="0"/>
    <x v="2"/>
    <n v="27034"/>
    <n v="20"/>
    <n v="0"/>
    <n v="0"/>
    <n v="17.920000000000002"/>
    <n v="0"/>
    <n v="0"/>
    <n v="21.027977396012666"/>
    <m/>
    <m/>
    <n v="124902.40000000001"/>
    <n v="0"/>
    <n v="0"/>
    <n v="146565.0024502083"/>
    <n v="0"/>
    <n v="0"/>
  </r>
  <r>
    <s v="PROJETADO"/>
    <x v="1"/>
    <x v="1"/>
    <x v="1"/>
    <x v="0"/>
    <x v="1"/>
    <x v="13"/>
    <x v="0"/>
    <x v="11"/>
    <n v="9600"/>
    <n v="0"/>
    <n v="0"/>
    <n v="0"/>
    <n v="0"/>
    <n v="0"/>
    <n v="0"/>
    <x v="2"/>
    <n v="27207"/>
    <n v="20"/>
    <n v="0"/>
    <n v="0"/>
    <n v="17.920000000000002"/>
    <n v="0"/>
    <n v="0"/>
    <n v="21.027977396012666"/>
    <m/>
    <m/>
    <n v="0"/>
    <n v="0"/>
    <n v="0"/>
    <n v="0"/>
    <n v="0"/>
    <n v="0"/>
  </r>
  <r>
    <s v="PROJETADO"/>
    <x v="1"/>
    <x v="1"/>
    <x v="1"/>
    <x v="0"/>
    <x v="1"/>
    <x v="14"/>
    <x v="0"/>
    <x v="11"/>
    <n v="19500"/>
    <n v="9750"/>
    <n v="0"/>
    <n v="0"/>
    <n v="0"/>
    <n v="0"/>
    <n v="0"/>
    <x v="2"/>
    <n v="27722"/>
    <n v="20"/>
    <n v="0"/>
    <n v="0"/>
    <n v="17.920000000000002"/>
    <n v="0"/>
    <n v="0"/>
    <n v="21.027977396012666"/>
    <m/>
    <m/>
    <n v="174720.00000000003"/>
    <n v="0"/>
    <n v="0"/>
    <n v="205022.77961112349"/>
    <n v="0"/>
    <n v="0"/>
  </r>
  <r>
    <s v="PROJETADO"/>
    <x v="1"/>
    <x v="1"/>
    <x v="1"/>
    <x v="0"/>
    <x v="1"/>
    <x v="15"/>
    <x v="0"/>
    <x v="11"/>
    <n v="22400"/>
    <n v="0"/>
    <n v="0"/>
    <n v="0"/>
    <n v="0"/>
    <n v="0"/>
    <n v="0"/>
    <x v="2"/>
    <n v="27958"/>
    <n v="20"/>
    <n v="0"/>
    <n v="0"/>
    <n v="17.920000000000002"/>
    <n v="0"/>
    <n v="0"/>
    <n v="21.027977396012666"/>
    <m/>
    <m/>
    <n v="0"/>
    <n v="0"/>
    <n v="0"/>
    <n v="0"/>
    <n v="0"/>
    <n v="0"/>
  </r>
  <r>
    <s v="Regular"/>
    <x v="2"/>
    <x v="0"/>
    <x v="2"/>
    <x v="0"/>
    <x v="1"/>
    <x v="0"/>
    <x v="1"/>
    <x v="0"/>
    <n v="1316"/>
    <n v="1316"/>
    <n v="352.03800000000001"/>
    <n v="352.03800000000001"/>
    <n v="352.03800000000001"/>
    <n v="352.038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33571.160000000003"/>
    <n v="31211.68908"/>
    <n v="109497.89952000001"/>
    <n v="39221.099106006601"/>
    <n v="48320.581998324815"/>
    <n v="109536.06930200993"/>
  </r>
  <r>
    <s v="Sistema de Compensação"/>
    <x v="2"/>
    <x v="0"/>
    <x v="2"/>
    <x v="0"/>
    <x v="1"/>
    <x v="0"/>
    <x v="1"/>
    <x v="0"/>
    <n v="56"/>
    <n v="56"/>
    <n v="13.109"/>
    <n v="13.109"/>
    <n v="13.109"/>
    <n v="13.109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162.2439400000001"/>
    <n v="4077.4233600000002"/>
    <n v="1668.9829406811318"/>
    <n v="1799.3356098376878"/>
    <n v="4078.8447056285063"/>
  </r>
  <r>
    <s v="Regular"/>
    <x v="2"/>
    <x v="0"/>
    <x v="2"/>
    <x v="0"/>
    <x v="1"/>
    <x v="0"/>
    <x v="1"/>
    <x v="1"/>
    <n v="1544"/>
    <n v="1544"/>
    <n v="429.923"/>
    <n v="429.923"/>
    <n v="429.923"/>
    <n v="429.923"/>
    <n v="0"/>
    <x v="3"/>
    <n v="0"/>
    <n v="22"/>
    <n v="23"/>
    <n v="79"/>
    <n v="25.51"/>
    <n v="88.66"/>
    <n v="311.04000000000002"/>
    <n v="29.803266797877356"/>
    <n v="137.25956288333876"/>
    <n v="311.14842517571947"/>
    <n v="39387.440000000002"/>
    <n v="38116.973180000001"/>
    <n v="133723.24992"/>
    <n v="46016.243935922641"/>
    <n v="59011.043053493653"/>
    <n v="133769.86439682083"/>
  </r>
  <r>
    <s v="Sistema de Compensação"/>
    <x v="2"/>
    <x v="0"/>
    <x v="2"/>
    <x v="0"/>
    <x v="1"/>
    <x v="0"/>
    <x v="1"/>
    <x v="1"/>
    <n v="56"/>
    <n v="56"/>
    <n v="0.23200000000000001"/>
    <n v="0.23200000000000001"/>
    <n v="0.23200000000000001"/>
    <n v="0.232000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20.569120000000002"/>
    <n v="72.161280000000005"/>
    <n v="1668.9829406811318"/>
    <n v="31.844218588934595"/>
    <n v="72.186434640766919"/>
  </r>
  <r>
    <s v="Regular"/>
    <x v="2"/>
    <x v="0"/>
    <x v="2"/>
    <x v="0"/>
    <x v="1"/>
    <x v="0"/>
    <x v="1"/>
    <x v="2"/>
    <n v="1218"/>
    <n v="1218"/>
    <n v="312.78500000000003"/>
    <n v="312.78500000000003"/>
    <n v="312.78500000000003"/>
    <n v="312.785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31071.18"/>
    <n v="27731.518100000001"/>
    <n v="97288.646400000012"/>
    <n v="36300.378959814618"/>
    <n v="42932.732376465116"/>
    <n v="97322.560168587428"/>
  </r>
  <r>
    <s v="Refaturamento - Regular"/>
    <x v="2"/>
    <x v="0"/>
    <x v="2"/>
    <x v="0"/>
    <x v="1"/>
    <x v="0"/>
    <x v="1"/>
    <x v="2"/>
    <n v="-100"/>
    <n v="-100"/>
    <n v="-43.606000000000002"/>
    <n v="-43.606000000000002"/>
    <n v="-43.606000000000002"/>
    <n v="-43.60600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-2551"/>
    <n v="-3866.1079599999998"/>
    <n v="-13563.210240000002"/>
    <n v="-2980.3266797877354"/>
    <n v="-5985.3404990908703"/>
    <n v="-13567.938228212424"/>
  </r>
  <r>
    <s v="Sistema de Compensação"/>
    <x v="2"/>
    <x v="0"/>
    <x v="2"/>
    <x v="0"/>
    <x v="1"/>
    <x v="0"/>
    <x v="1"/>
    <x v="2"/>
    <n v="56"/>
    <n v="56"/>
    <n v="11.07"/>
    <n v="11.07"/>
    <n v="11.07"/>
    <n v="11.07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981.46619999999996"/>
    <n v="3443.2128000000002"/>
    <n v="1668.9829406811318"/>
    <n v="1519.4633611185602"/>
    <n v="3444.4130666952146"/>
  </r>
  <r>
    <s v="Regular"/>
    <x v="2"/>
    <x v="0"/>
    <x v="2"/>
    <x v="0"/>
    <x v="1"/>
    <x v="0"/>
    <x v="1"/>
    <x v="3"/>
    <n v="1146"/>
    <n v="1146"/>
    <n v="328.71199999999999"/>
    <n v="328.71199999999999"/>
    <n v="328.71199999999999"/>
    <n v="328.711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29234.460000000003"/>
    <n v="29143.605919999998"/>
    <n v="102242.58048"/>
    <n v="34154.543750367448"/>
    <n v="45118.86543450805"/>
    <n v="102278.2211363611"/>
  </r>
  <r>
    <s v="Sistema de Compensação"/>
    <x v="2"/>
    <x v="0"/>
    <x v="2"/>
    <x v="0"/>
    <x v="1"/>
    <x v="0"/>
    <x v="1"/>
    <x v="3"/>
    <n v="56"/>
    <n v="56"/>
    <n v="12.340999999999999"/>
    <n v="12.340999999999999"/>
    <n v="12.340999999999999"/>
    <n v="12.3409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094.1530599999999"/>
    <n v="3838.5446400000001"/>
    <n v="1668.9829406811318"/>
    <n v="1693.9202655432834"/>
    <n v="3839.8827150935535"/>
  </r>
  <r>
    <s v="Regular"/>
    <x v="2"/>
    <x v="0"/>
    <x v="2"/>
    <x v="0"/>
    <x v="1"/>
    <x v="0"/>
    <x v="1"/>
    <x v="4"/>
    <n v="1056"/>
    <n v="1056"/>
    <n v="303.88"/>
    <n v="303.88"/>
    <n v="303.88"/>
    <n v="303.88"/>
    <n v="0"/>
    <x v="3"/>
    <n v="0"/>
    <n v="22"/>
    <n v="23"/>
    <n v="79"/>
    <n v="25.51"/>
    <n v="88.66"/>
    <n v="311.04000000000002"/>
    <n v="29.803266797877356"/>
    <n v="137.25956288333876"/>
    <n v="311.14842517571947"/>
    <n v="26938.560000000001"/>
    <n v="26942.000799999998"/>
    <n v="94518.835200000001"/>
    <n v="31472.249738558487"/>
    <n v="41710.435968988982"/>
    <n v="94551.783442397631"/>
  </r>
  <r>
    <s v="Refaturamento - Regular"/>
    <x v="2"/>
    <x v="0"/>
    <x v="2"/>
    <x v="0"/>
    <x v="1"/>
    <x v="0"/>
    <x v="1"/>
    <x v="4"/>
    <n v="-140"/>
    <n v="-140"/>
    <n v="-47.887999999999998"/>
    <n v="-47.887999999999998"/>
    <n v="-47.887999999999998"/>
    <n v="-47.887999999999998"/>
    <n v="0"/>
    <x v="3"/>
    <n v="0"/>
    <n v="22"/>
    <n v="23"/>
    <n v="79"/>
    <n v="25.51"/>
    <n v="88.66"/>
    <n v="311.04000000000002"/>
    <n v="29.803266797877356"/>
    <n v="137.25956288333876"/>
    <n v="311.14842517571947"/>
    <n v="-3571.4"/>
    <n v="-4245.7500799999998"/>
    <n v="-14895.08352"/>
    <n v="-4172.4573517028302"/>
    <n v="-6573.0859473573264"/>
    <n v="-14900.275784814854"/>
  </r>
  <r>
    <s v="Sistema de Compensação"/>
    <x v="2"/>
    <x v="0"/>
    <x v="2"/>
    <x v="0"/>
    <x v="1"/>
    <x v="0"/>
    <x v="1"/>
    <x v="4"/>
    <n v="56"/>
    <n v="56"/>
    <n v="14.022"/>
    <n v="14.022"/>
    <n v="14.022"/>
    <n v="14.022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243.1905199999999"/>
    <n v="4361.4028800000006"/>
    <n v="1668.9829406811318"/>
    <n v="1924.6535907501761"/>
    <n v="4362.9232178139382"/>
  </r>
  <r>
    <s v="Regular"/>
    <x v="2"/>
    <x v="0"/>
    <x v="2"/>
    <x v="0"/>
    <x v="1"/>
    <x v="0"/>
    <x v="1"/>
    <x v="5"/>
    <n v="972"/>
    <n v="972"/>
    <n v="263.04500000000002"/>
    <n v="263.04500000000002"/>
    <n v="263.04500000000002"/>
    <n v="263.0450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24795.72"/>
    <n v="23321.5697"/>
    <n v="81817.516800000012"/>
    <n v="28968.77532753679"/>
    <n v="36105.441718647846"/>
    <n v="81846.037500347127"/>
  </r>
  <r>
    <s v="Sistema de Compensação"/>
    <x v="2"/>
    <x v="0"/>
    <x v="2"/>
    <x v="0"/>
    <x v="1"/>
    <x v="0"/>
    <x v="1"/>
    <x v="5"/>
    <n v="56"/>
    <n v="56"/>
    <n v="14.35"/>
    <n v="14.35"/>
    <n v="14.35"/>
    <n v="14.35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272.271"/>
    <n v="4463.424"/>
    <n v="1668.9829406811318"/>
    <n v="1969.6747273759111"/>
    <n v="4464.9799012715739"/>
  </r>
  <r>
    <s v="Regular"/>
    <x v="2"/>
    <x v="0"/>
    <x v="2"/>
    <x v="0"/>
    <x v="1"/>
    <x v="0"/>
    <x v="1"/>
    <x v="6"/>
    <n v="1255"/>
    <n v="1255"/>
    <n v="357.95600000000002"/>
    <n v="357.95600000000002"/>
    <n v="357.95600000000002"/>
    <n v="357.9560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32015.050000000003"/>
    <n v="31736.378960000002"/>
    <n v="111338.63424000001"/>
    <n v="37403.099831336083"/>
    <n v="49132.884091468411"/>
    <n v="111377.44568219985"/>
  </r>
  <r>
    <s v="Sistema de Compensação"/>
    <x v="2"/>
    <x v="0"/>
    <x v="2"/>
    <x v="0"/>
    <x v="1"/>
    <x v="0"/>
    <x v="1"/>
    <x v="6"/>
    <n v="56"/>
    <n v="56"/>
    <n v="14.145"/>
    <n v="14.145"/>
    <n v="14.145"/>
    <n v="14.145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254.0956999999999"/>
    <n v="4399.6608000000006"/>
    <n v="1668.9829406811318"/>
    <n v="1941.5365169848267"/>
    <n v="4401.1944741105517"/>
  </r>
  <r>
    <s v="Regular"/>
    <x v="2"/>
    <x v="0"/>
    <x v="2"/>
    <x v="0"/>
    <x v="1"/>
    <x v="0"/>
    <x v="1"/>
    <x v="7"/>
    <n v="898"/>
    <n v="898"/>
    <n v="279.779"/>
    <n v="279.779"/>
    <n v="279.779"/>
    <n v="279.779"/>
    <n v="0"/>
    <x v="3"/>
    <n v="0"/>
    <n v="22"/>
    <n v="23"/>
    <n v="79"/>
    <n v="25.51"/>
    <n v="88.66"/>
    <n v="311.04000000000002"/>
    <n v="29.803266797877356"/>
    <n v="137.25956288333876"/>
    <n v="311.14842517571947"/>
    <n v="22907.980000000003"/>
    <n v="24805.206139999998"/>
    <n v="87022.460160000002"/>
    <n v="26763.333584493867"/>
    <n v="38402.343243937634"/>
    <n v="87052.79524723762"/>
  </r>
  <r>
    <s v="Sistema de Compensação"/>
    <x v="2"/>
    <x v="0"/>
    <x v="2"/>
    <x v="0"/>
    <x v="1"/>
    <x v="0"/>
    <x v="1"/>
    <x v="7"/>
    <n v="56"/>
    <n v="56"/>
    <n v="15.397"/>
    <n v="15.397"/>
    <n v="15.397"/>
    <n v="15.397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365.0980199999999"/>
    <n v="4789.0828800000008"/>
    <n v="1668.9829406811318"/>
    <n v="2113.3854897147671"/>
    <n v="4790.7523024305528"/>
  </r>
  <r>
    <s v="Regular"/>
    <x v="2"/>
    <x v="0"/>
    <x v="2"/>
    <x v="0"/>
    <x v="1"/>
    <x v="0"/>
    <x v="1"/>
    <x v="8"/>
    <n v="878"/>
    <n v="878"/>
    <n v="250.20599999999999"/>
    <n v="250.20599999999999"/>
    <n v="250.20599999999999"/>
    <n v="250.205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22397.780000000002"/>
    <n v="22183.263959999997"/>
    <n v="77824.074240000002"/>
    <n v="26167.268248536318"/>
    <n v="34343.166190788659"/>
    <n v="77851.202869516055"/>
  </r>
  <r>
    <s v="Sistema de Compensação"/>
    <x v="2"/>
    <x v="0"/>
    <x v="2"/>
    <x v="0"/>
    <x v="1"/>
    <x v="0"/>
    <x v="1"/>
    <x v="8"/>
    <n v="56"/>
    <n v="56"/>
    <n v="15.739000000000001"/>
    <n v="15.739000000000001"/>
    <n v="15.739000000000001"/>
    <n v="15.7390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395.41974"/>
    <n v="4895.4585600000009"/>
    <n v="1668.9829406811318"/>
    <n v="2160.3282602208687"/>
    <n v="4897.1650638406491"/>
  </r>
  <r>
    <s v="Regular"/>
    <x v="2"/>
    <x v="0"/>
    <x v="2"/>
    <x v="0"/>
    <x v="1"/>
    <x v="0"/>
    <x v="1"/>
    <x v="9"/>
    <n v="897"/>
    <n v="897"/>
    <n v="274.92399999999998"/>
    <n v="274.92399999999998"/>
    <n v="274.92399999999998"/>
    <n v="274.92399999999998"/>
    <n v="0"/>
    <x v="3"/>
    <n v="0"/>
    <n v="22"/>
    <n v="23"/>
    <n v="79"/>
    <n v="25.51"/>
    <n v="88.66"/>
    <n v="311.04000000000002"/>
    <n v="29.803266797877356"/>
    <n v="137.25956288333876"/>
    <n v="311.14842517571947"/>
    <n v="22882.47"/>
    <n v="24374.761839999996"/>
    <n v="85512.360960000005"/>
    <n v="26733.53031769599"/>
    <n v="37735.948066139019"/>
    <n v="85542.169643009489"/>
  </r>
  <r>
    <s v="Refaturamento - Regular"/>
    <x v="2"/>
    <x v="0"/>
    <x v="2"/>
    <x v="0"/>
    <x v="1"/>
    <x v="0"/>
    <x v="1"/>
    <x v="9"/>
    <n v="5"/>
    <n v="5"/>
    <n v="-0.504"/>
    <n v="-0.504"/>
    <n v="-0.504"/>
    <n v="-0.504"/>
    <n v="0"/>
    <x v="3"/>
    <n v="0"/>
    <n v="22"/>
    <n v="23"/>
    <n v="79"/>
    <n v="25.51"/>
    <n v="88.66"/>
    <n v="311.04000000000002"/>
    <n v="29.803266797877356"/>
    <n v="137.25956288333876"/>
    <n v="311.14842517571947"/>
    <n v="127.55000000000001"/>
    <n v="-44.684640000000002"/>
    <n v="-156.76416"/>
    <n v="149.01633398938679"/>
    <n v="-69.17881969320274"/>
    <n v="-156.81880628856263"/>
  </r>
  <r>
    <s v="Sistema de Compensação"/>
    <x v="2"/>
    <x v="0"/>
    <x v="2"/>
    <x v="0"/>
    <x v="1"/>
    <x v="0"/>
    <x v="1"/>
    <x v="9"/>
    <n v="56"/>
    <n v="56"/>
    <n v="14.423"/>
    <n v="14.423"/>
    <n v="14.423"/>
    <n v="14.423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278.7431799999999"/>
    <n v="4486.1299200000003"/>
    <n v="1668.9829406811318"/>
    <n v="1979.694675466395"/>
    <n v="4487.6937363094021"/>
  </r>
  <r>
    <s v="Regular"/>
    <x v="2"/>
    <x v="0"/>
    <x v="2"/>
    <x v="0"/>
    <x v="1"/>
    <x v="0"/>
    <x v="1"/>
    <x v="10"/>
    <n v="1269"/>
    <n v="1269"/>
    <n v="392.98599999999999"/>
    <n v="392.98599999999999"/>
    <n v="392.98599999999999"/>
    <n v="392.985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2372.190000000002"/>
    <n v="34842.138759999994"/>
    <n v="122234.36544000001"/>
    <n v="37820.345566506367"/>
    <n v="53941.086579271767"/>
    <n v="122276.97501610529"/>
  </r>
  <r>
    <s v="Sistema de Compensação"/>
    <x v="2"/>
    <x v="0"/>
    <x v="2"/>
    <x v="0"/>
    <x v="1"/>
    <x v="0"/>
    <x v="1"/>
    <x v="10"/>
    <n v="56"/>
    <n v="56"/>
    <n v="16.341999999999999"/>
    <n v="16.341999999999999"/>
    <n v="16.341999999999999"/>
    <n v="16.3419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448.8817199999999"/>
    <n v="5083.0156799999995"/>
    <n v="1668.9829406811318"/>
    <n v="2243.0957766395218"/>
    <n v="5084.7875642216068"/>
  </r>
  <r>
    <s v="PROJETADO"/>
    <x v="2"/>
    <x v="0"/>
    <x v="2"/>
    <x v="0"/>
    <x v="1"/>
    <x v="0"/>
    <x v="1"/>
    <x v="11"/>
    <n v="1269"/>
    <n v="1269"/>
    <n v="392.98599999999999"/>
    <n v="392.98599999999999"/>
    <n v="392.98599999999999"/>
    <n v="392.985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2372.190000000002"/>
    <n v="34842.138759999994"/>
    <n v="122234.36544000001"/>
    <n v="37820.345566506367"/>
    <n v="53941.086579271767"/>
    <n v="122276.97501610529"/>
  </r>
  <r>
    <s v="PROJETADO"/>
    <x v="2"/>
    <x v="0"/>
    <x v="2"/>
    <x v="0"/>
    <x v="1"/>
    <x v="0"/>
    <x v="1"/>
    <x v="11"/>
    <n v="56"/>
    <n v="56"/>
    <n v="16.341999999999999"/>
    <n v="16.341999999999999"/>
    <n v="16.341999999999999"/>
    <n v="16.3419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1428.5600000000002"/>
    <n v="1448.8817199999999"/>
    <n v="5083.0156799999995"/>
    <n v="1668.9829406811318"/>
    <n v="2243.0957766395218"/>
    <n v="5084.7875642216068"/>
  </r>
  <r>
    <s v="Regular"/>
    <x v="2"/>
    <x v="0"/>
    <x v="2"/>
    <x v="0"/>
    <x v="1"/>
    <x v="0"/>
    <x v="2"/>
    <x v="0"/>
    <n v="1093"/>
    <n v="1093"/>
    <n v="41.820999999999998"/>
    <n v="41.820999999999998"/>
    <n v="41.820999999999998"/>
    <n v="41.820999999999998"/>
    <n v="0"/>
    <x v="3"/>
    <n v="0"/>
    <n v="21"/>
    <n v="23"/>
    <n v="78"/>
    <n v="65.599999999999994"/>
    <n v="88.66"/>
    <n v="496.15"/>
    <n v="75.407822945580492"/>
    <n v="137.25956288333876"/>
    <n v="506.4861368306324"/>
    <n v="71700.799999999988"/>
    <n v="3707.8498599999998"/>
    <n v="20749.489149999998"/>
    <n v="82420.750479519484"/>
    <n v="5740.33217934411"/>
    <n v="21181.756728393877"/>
  </r>
  <r>
    <s v="Sistema de Compensação"/>
    <x v="2"/>
    <x v="0"/>
    <x v="2"/>
    <x v="0"/>
    <x v="1"/>
    <x v="0"/>
    <x v="2"/>
    <x v="0"/>
    <n v="48"/>
    <n v="48"/>
    <n v="1.5580000000000001"/>
    <n v="1.5580000000000001"/>
    <n v="1.5580000000000001"/>
    <n v="1.55800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38.13228000000001"/>
    <n v="773.00170000000003"/>
    <n v="3619.5755013878634"/>
    <n v="213.85039897224181"/>
    <n v="789.10540118212532"/>
  </r>
  <r>
    <s v="Regular"/>
    <x v="2"/>
    <x v="0"/>
    <x v="2"/>
    <x v="0"/>
    <x v="1"/>
    <x v="0"/>
    <x v="2"/>
    <x v="1"/>
    <n v="1170"/>
    <n v="1170"/>
    <n v="42.487000000000002"/>
    <n v="42.487000000000002"/>
    <n v="42.487000000000002"/>
    <n v="42.4870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76752"/>
    <n v="3766.8974200000002"/>
    <n v="21079.925050000002"/>
    <n v="88227.152846329176"/>
    <n v="5831.7470482244144"/>
    <n v="21519.076495523081"/>
  </r>
  <r>
    <s v="Sistema de Compensação"/>
    <x v="2"/>
    <x v="0"/>
    <x v="2"/>
    <x v="0"/>
    <x v="1"/>
    <x v="0"/>
    <x v="2"/>
    <x v="1"/>
    <n v="48"/>
    <n v="48"/>
    <n v="1.0229999999999999"/>
    <n v="1.0229999999999999"/>
    <n v="1.0229999999999999"/>
    <n v="1.0229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90.699179999999984"/>
    <n v="507.56144999999992"/>
    <n v="3619.5755013878634"/>
    <n v="140.41653282965555"/>
    <n v="518.13531797773692"/>
  </r>
  <r>
    <s v="Regular"/>
    <x v="2"/>
    <x v="0"/>
    <x v="2"/>
    <x v="0"/>
    <x v="1"/>
    <x v="0"/>
    <x v="2"/>
    <x v="2"/>
    <n v="1008"/>
    <n v="1008"/>
    <n v="39.235999999999997"/>
    <n v="39.235999999999997"/>
    <n v="39.235999999999997"/>
    <n v="39.235999999999997"/>
    <n v="0"/>
    <x v="3"/>
    <n v="0"/>
    <n v="21"/>
    <n v="23"/>
    <n v="78"/>
    <n v="65.599999999999994"/>
    <n v="88.66"/>
    <n v="496.15"/>
    <n v="75.407822945580492"/>
    <n v="137.25956288333876"/>
    <n v="506.4861368306324"/>
    <n v="66124.799999999988"/>
    <n v="3478.6637599999995"/>
    <n v="19466.941399999996"/>
    <n v="76011.08552914513"/>
    <n v="5385.5162092906794"/>
    <n v="19872.490064686692"/>
  </r>
  <r>
    <s v="Refaturamento - Regular"/>
    <x v="2"/>
    <x v="0"/>
    <x v="2"/>
    <x v="0"/>
    <x v="1"/>
    <x v="0"/>
    <x v="2"/>
    <x v="2"/>
    <n v="-98"/>
    <n v="-98"/>
    <n v="-4.17"/>
    <n v="-4.17"/>
    <n v="-4.17"/>
    <n v="-4.17"/>
    <n v="0"/>
    <x v="3"/>
    <n v="0"/>
    <n v="21"/>
    <n v="23"/>
    <n v="78"/>
    <n v="65.599999999999994"/>
    <n v="88.66"/>
    <n v="496.15"/>
    <n v="75.407822945580492"/>
    <n v="137.25956288333876"/>
    <n v="506.4861368306324"/>
    <n v="-6428.7999999999993"/>
    <n v="-369.7122"/>
    <n v="-2068.9454999999998"/>
    <n v="-7389.9666486668884"/>
    <n v="-572.37237722352256"/>
    <n v="-2112.0471905837371"/>
  </r>
  <r>
    <s v="Sistema de Compensação"/>
    <x v="2"/>
    <x v="0"/>
    <x v="2"/>
    <x v="0"/>
    <x v="1"/>
    <x v="0"/>
    <x v="2"/>
    <x v="2"/>
    <n v="48"/>
    <n v="48"/>
    <n v="1.23"/>
    <n v="1.23"/>
    <n v="1.23"/>
    <n v="1.23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09.0518"/>
    <n v="610.2645"/>
    <n v="3619.5755013878634"/>
    <n v="168.82926234650668"/>
    <n v="622.97794830167788"/>
  </r>
  <r>
    <s v="Regular"/>
    <x v="2"/>
    <x v="0"/>
    <x v="2"/>
    <x v="0"/>
    <x v="1"/>
    <x v="0"/>
    <x v="2"/>
    <x v="3"/>
    <n v="976"/>
    <n v="976"/>
    <n v="40.942999999999998"/>
    <n v="40.942999999999998"/>
    <n v="40.942999999999998"/>
    <n v="40.942999999999998"/>
    <n v="0"/>
    <x v="3"/>
    <n v="0"/>
    <n v="21"/>
    <n v="23"/>
    <n v="78"/>
    <n v="65.599999999999994"/>
    <n v="88.66"/>
    <n v="496.15"/>
    <n v="75.407822945580492"/>
    <n v="137.25956288333876"/>
    <n v="506.4861368306324"/>
    <n v="64025.599999999991"/>
    <n v="3630.0063799999998"/>
    <n v="20313.869449999998"/>
    <n v="73598.035194886557"/>
    <n v="5619.8182831325385"/>
    <n v="20737.06190025658"/>
  </r>
  <r>
    <s v="Sistema de Compensação"/>
    <x v="2"/>
    <x v="0"/>
    <x v="2"/>
    <x v="0"/>
    <x v="1"/>
    <x v="0"/>
    <x v="2"/>
    <x v="3"/>
    <n v="48"/>
    <n v="48"/>
    <n v="1.476"/>
    <n v="1.476"/>
    <n v="1.476"/>
    <n v="1.476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30.86215999999999"/>
    <n v="732.31739999999991"/>
    <n v="3619.5755013878634"/>
    <n v="202.59511481580802"/>
    <n v="747.57353796201346"/>
  </r>
  <r>
    <s v="Regular"/>
    <x v="2"/>
    <x v="0"/>
    <x v="2"/>
    <x v="0"/>
    <x v="1"/>
    <x v="0"/>
    <x v="2"/>
    <x v="4"/>
    <n v="880"/>
    <n v="880"/>
    <n v="33.295999999999999"/>
    <n v="33.295999999999999"/>
    <n v="33.295999999999999"/>
    <n v="33.295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57727.999999999993"/>
    <n v="2952.0233599999997"/>
    <n v="16519.810399999998"/>
    <n v="66358.88419211084"/>
    <n v="4570.1944057636474"/>
    <n v="16863.962411912737"/>
  </r>
  <r>
    <s v="Refaturamento - Regular"/>
    <x v="2"/>
    <x v="0"/>
    <x v="2"/>
    <x v="0"/>
    <x v="1"/>
    <x v="0"/>
    <x v="2"/>
    <x v="4"/>
    <n v="-116"/>
    <n v="-116"/>
    <n v="-5.4530000000000003"/>
    <n v="-5.4530000000000003"/>
    <n v="-5.4530000000000003"/>
    <n v="-5.4530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-7609.5999999999995"/>
    <n v="-483.46298000000002"/>
    <n v="-2705.5059500000002"/>
    <n v="-8747.3074616873364"/>
    <n v="-748.47639640284626"/>
    <n v="-2761.8689041374387"/>
  </r>
  <r>
    <s v="Sistema de Compensação"/>
    <x v="2"/>
    <x v="0"/>
    <x v="2"/>
    <x v="0"/>
    <x v="1"/>
    <x v="0"/>
    <x v="2"/>
    <x v="4"/>
    <n v="48"/>
    <n v="48"/>
    <n v="1.722"/>
    <n v="1.722"/>
    <n v="1.722"/>
    <n v="1.722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52.67251999999999"/>
    <n v="854.37029999999993"/>
    <n v="3619.5755013878634"/>
    <n v="236.36096728510935"/>
    <n v="872.16912762234904"/>
  </r>
  <r>
    <s v="Regular"/>
    <x v="2"/>
    <x v="0"/>
    <x v="2"/>
    <x v="0"/>
    <x v="1"/>
    <x v="0"/>
    <x v="2"/>
    <x v="5"/>
    <n v="784"/>
    <n v="784"/>
    <n v="30.318999999999999"/>
    <n v="30.318999999999999"/>
    <n v="30.318999999999999"/>
    <n v="30.318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51430.399999999994"/>
    <n v="2688.0825399999999"/>
    <n v="15042.771849999999"/>
    <n v="59119.733189335107"/>
    <n v="4161.5726870599474"/>
    <n v="15356.153182567943"/>
  </r>
  <r>
    <s v="Sistema de Compensação"/>
    <x v="2"/>
    <x v="0"/>
    <x v="2"/>
    <x v="0"/>
    <x v="1"/>
    <x v="0"/>
    <x v="2"/>
    <x v="5"/>
    <n v="48"/>
    <n v="48"/>
    <n v="1.353"/>
    <n v="1.353"/>
    <n v="1.353"/>
    <n v="1.353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19.95697999999999"/>
    <n v="671.29094999999995"/>
    <n v="3619.5755013878634"/>
    <n v="185.71218858115733"/>
    <n v="685.27574313184562"/>
  </r>
  <r>
    <s v="Regular"/>
    <x v="2"/>
    <x v="0"/>
    <x v="2"/>
    <x v="0"/>
    <x v="1"/>
    <x v="0"/>
    <x v="2"/>
    <x v="6"/>
    <n v="1080"/>
    <n v="1080"/>
    <n v="43.070999999999998"/>
    <n v="43.070999999999998"/>
    <n v="43.070999999999998"/>
    <n v="43.070999999999998"/>
    <n v="0"/>
    <x v="3"/>
    <n v="0"/>
    <n v="21"/>
    <n v="23"/>
    <n v="78"/>
    <n v="65.599999999999994"/>
    <n v="88.66"/>
    <n v="496.15"/>
    <n v="75.407822945580492"/>
    <n v="137.25956288333876"/>
    <n v="506.4861368306324"/>
    <n v="70848"/>
    <n v="3818.6748599999996"/>
    <n v="21369.676649999998"/>
    <n v="81440.448781226936"/>
    <n v="5911.906632948283"/>
    <n v="21814.864399432168"/>
  </r>
  <r>
    <s v="Sistema de Compensação"/>
    <x v="2"/>
    <x v="0"/>
    <x v="2"/>
    <x v="0"/>
    <x v="1"/>
    <x v="0"/>
    <x v="2"/>
    <x v="6"/>
    <n v="48"/>
    <n v="48"/>
    <n v="1.4350000000000001"/>
    <n v="1.4350000000000001"/>
    <n v="1.4350000000000001"/>
    <n v="1.43500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27.22709999999999"/>
    <n v="711.97524999999996"/>
    <n v="3619.5755013878634"/>
    <n v="196.96747273759112"/>
    <n v="726.80760635195747"/>
  </r>
  <r>
    <s v="Regular"/>
    <x v="2"/>
    <x v="0"/>
    <x v="2"/>
    <x v="0"/>
    <x v="1"/>
    <x v="0"/>
    <x v="2"/>
    <x v="7"/>
    <n v="765"/>
    <n v="765"/>
    <n v="33.460999999999999"/>
    <n v="33.460999999999999"/>
    <n v="33.460999999999999"/>
    <n v="33.460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50183.999999999993"/>
    <n v="2966.6522599999998"/>
    <n v="16601.675149999999"/>
    <n v="57686.984553369075"/>
    <n v="4592.8422336393978"/>
    <n v="16947.532624489791"/>
  </r>
  <r>
    <s v="Sistema de Compensação"/>
    <x v="2"/>
    <x v="0"/>
    <x v="2"/>
    <x v="0"/>
    <x v="1"/>
    <x v="0"/>
    <x v="2"/>
    <x v="7"/>
    <n v="48"/>
    <n v="48"/>
    <n v="1.804"/>
    <n v="1.804"/>
    <n v="1.804"/>
    <n v="1.804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59.94264000000001"/>
    <n v="895.05459999999994"/>
    <n v="3619.5755013878634"/>
    <n v="247.61625144154314"/>
    <n v="913.7009908424609"/>
  </r>
  <r>
    <s v="Regular"/>
    <x v="2"/>
    <x v="0"/>
    <x v="2"/>
    <x v="0"/>
    <x v="1"/>
    <x v="0"/>
    <x v="2"/>
    <x v="8"/>
    <n v="746"/>
    <n v="746"/>
    <n v="30.151"/>
    <n v="30.151"/>
    <n v="30.151"/>
    <n v="30.151"/>
    <n v="0"/>
    <x v="3"/>
    <n v="0"/>
    <n v="21"/>
    <n v="23"/>
    <n v="78"/>
    <n v="65.599999999999994"/>
    <n v="88.66"/>
    <n v="496.15"/>
    <n v="75.407822945580492"/>
    <n v="137.25956288333876"/>
    <n v="506.4861368306324"/>
    <n v="48937.599999999999"/>
    <n v="2673.1876600000001"/>
    <n v="14959.41865"/>
    <n v="56254.23591740305"/>
    <n v="4138.513080495547"/>
    <n v="15271.063511580398"/>
  </r>
  <r>
    <s v="Sistema de Compensação"/>
    <x v="2"/>
    <x v="0"/>
    <x v="2"/>
    <x v="0"/>
    <x v="1"/>
    <x v="0"/>
    <x v="2"/>
    <x v="8"/>
    <n v="48"/>
    <n v="48"/>
    <n v="1.698"/>
    <n v="1.698"/>
    <n v="1.698"/>
    <n v="1.698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50.54468"/>
    <n v="842.46269999999993"/>
    <n v="3619.5755013878634"/>
    <n v="233.06673777590922"/>
    <n v="860.01346033841378"/>
  </r>
  <r>
    <s v="Regular"/>
    <x v="2"/>
    <x v="0"/>
    <x v="2"/>
    <x v="0"/>
    <x v="1"/>
    <x v="0"/>
    <x v="2"/>
    <x v="9"/>
    <n v="762"/>
    <n v="762"/>
    <n v="33.936999999999998"/>
    <n v="33.936999999999998"/>
    <n v="33.936999999999998"/>
    <n v="33.936999999999998"/>
    <n v="0"/>
    <x v="3"/>
    <n v="0"/>
    <n v="21"/>
    <n v="23"/>
    <n v="78"/>
    <n v="65.599999999999994"/>
    <n v="88.66"/>
    <n v="496.15"/>
    <n v="75.407822945580492"/>
    <n v="137.25956288333876"/>
    <n v="506.4861368306324"/>
    <n v="49987.199999999997"/>
    <n v="3008.8544199999997"/>
    <n v="16837.842549999998"/>
    <n v="57460.761084532336"/>
    <n v="4658.1777855718674"/>
    <n v="17188.62002562117"/>
  </r>
  <r>
    <s v="Refaturamento - Regular"/>
    <x v="2"/>
    <x v="0"/>
    <x v="2"/>
    <x v="0"/>
    <x v="1"/>
    <x v="0"/>
    <x v="2"/>
    <x v="9"/>
    <n v="2"/>
    <n v="2"/>
    <n v="-0.17499999999999999"/>
    <n v="-0.17499999999999999"/>
    <n v="-0.17499999999999999"/>
    <n v="-0.17499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131.19999999999999"/>
    <n v="-15.515499999999998"/>
    <n v="-86.826249999999987"/>
    <n v="150.81564589116098"/>
    <n v="-24.020423504584283"/>
    <n v="-88.635073945360659"/>
  </r>
  <r>
    <s v="Sistema de Compensação"/>
    <x v="2"/>
    <x v="0"/>
    <x v="2"/>
    <x v="0"/>
    <x v="1"/>
    <x v="0"/>
    <x v="2"/>
    <x v="9"/>
    <n v="48"/>
    <n v="48"/>
    <n v="1.554"/>
    <n v="1.554"/>
    <n v="1.554"/>
    <n v="1.554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37.77763999999999"/>
    <n v="771.01710000000003"/>
    <n v="3619.5755013878634"/>
    <n v="213.30136072070843"/>
    <n v="787.0794566348028"/>
  </r>
  <r>
    <s v="Regular"/>
    <x v="2"/>
    <x v="0"/>
    <x v="2"/>
    <x v="0"/>
    <x v="1"/>
    <x v="0"/>
    <x v="2"/>
    <x v="10"/>
    <n v="1030"/>
    <n v="1030"/>
    <n v="43.087000000000003"/>
    <n v="43.087000000000003"/>
    <n v="43.087000000000003"/>
    <n v="43.087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67568"/>
    <n v="3820.0934200000002"/>
    <n v="21377.61505"/>
    <n v="77670.057633947901"/>
    <n v="5914.1027859544174"/>
    <n v="21822.96817762146"/>
  </r>
  <r>
    <s v="Sistema de Compensação"/>
    <x v="2"/>
    <x v="0"/>
    <x v="2"/>
    <x v="0"/>
    <x v="1"/>
    <x v="0"/>
    <x v="2"/>
    <x v="10"/>
    <n v="48"/>
    <n v="48"/>
    <n v="1.835"/>
    <n v="1.835"/>
    <n v="1.835"/>
    <n v="1.835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62.69109999999998"/>
    <n v="910.43525"/>
    <n v="3619.5755013878634"/>
    <n v="251.87129789092663"/>
    <n v="929.40206108421046"/>
  </r>
  <r>
    <s v="PROJETADO"/>
    <x v="2"/>
    <x v="0"/>
    <x v="2"/>
    <x v="0"/>
    <x v="1"/>
    <x v="0"/>
    <x v="2"/>
    <x v="11"/>
    <n v="1030"/>
    <n v="1030"/>
    <n v="43.087000000000003"/>
    <n v="43.087000000000003"/>
    <n v="43.087000000000003"/>
    <n v="43.087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67568"/>
    <n v="3820.0934200000002"/>
    <n v="21377.61505"/>
    <n v="77670.057633947901"/>
    <n v="5914.1027859544174"/>
    <n v="21822.96817762146"/>
  </r>
  <r>
    <s v="PROJETADO"/>
    <x v="2"/>
    <x v="0"/>
    <x v="2"/>
    <x v="0"/>
    <x v="1"/>
    <x v="0"/>
    <x v="2"/>
    <x v="11"/>
    <n v="48"/>
    <n v="48"/>
    <n v="1.835"/>
    <n v="1.835"/>
    <n v="1.835"/>
    <n v="1.835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162.69109999999998"/>
    <n v="910.43525"/>
    <n v="3619.5755013878634"/>
    <n v="251.87129789092663"/>
    <n v="929.40206108421046"/>
  </r>
  <r>
    <s v="Regular"/>
    <x v="2"/>
    <x v="0"/>
    <x v="0"/>
    <x v="0"/>
    <x v="2"/>
    <x v="0"/>
    <x v="1"/>
    <x v="0"/>
    <n v="17603"/>
    <n v="13280.13394541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338776.21694740909"/>
    <n v="0"/>
    <n v="0"/>
    <n v="395791.37508660188"/>
    <n v="0"/>
    <n v="0"/>
  </r>
  <r>
    <s v="Regular"/>
    <x v="2"/>
    <x v="0"/>
    <x v="0"/>
    <x v="0"/>
    <x v="2"/>
    <x v="0"/>
    <x v="1"/>
    <x v="1"/>
    <n v="17628"/>
    <n v="12203.516247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311311.69946097001"/>
    <n v="0"/>
    <n v="0"/>
    <n v="363704.65058157197"/>
    <n v="0"/>
    <n v="0"/>
  </r>
  <r>
    <s v="Regular"/>
    <x v="2"/>
    <x v="0"/>
    <x v="0"/>
    <x v="0"/>
    <x v="2"/>
    <x v="0"/>
    <x v="1"/>
    <x v="2"/>
    <n v="12595"/>
    <n v="5669.6795540000003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44633.52542254003"/>
    <n v="0"/>
    <n v="0"/>
    <n v="168974.97240633229"/>
    <n v="0"/>
    <n v="0"/>
  </r>
  <r>
    <s v="Regular"/>
    <x v="2"/>
    <x v="0"/>
    <x v="0"/>
    <x v="0"/>
    <x v="2"/>
    <x v="0"/>
    <x v="1"/>
    <x v="3"/>
    <n v="13569"/>
    <n v="6160.3053751199996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7149.3901193112"/>
    <n v="0"/>
    <n v="0"/>
    <n v="183597.2246510993"/>
    <n v="0"/>
    <n v="0"/>
  </r>
  <r>
    <s v="Regular"/>
    <x v="2"/>
    <x v="0"/>
    <x v="0"/>
    <x v="0"/>
    <x v="2"/>
    <x v="0"/>
    <x v="1"/>
    <x v="4"/>
    <n v="13596"/>
    <n v="6266.9120962799998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9868.92757610281"/>
    <n v="0"/>
    <n v="0"/>
    <n v="186774.4532042777"/>
    <n v="0"/>
    <n v="0"/>
  </r>
  <r>
    <s v="Regular"/>
    <x v="2"/>
    <x v="0"/>
    <x v="0"/>
    <x v="0"/>
    <x v="2"/>
    <x v="0"/>
    <x v="1"/>
    <x v="5"/>
    <n v="13629"/>
    <n v="6256.2838268699998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9597.80042345371"/>
    <n v="0"/>
    <n v="0"/>
    <n v="186457.69605545176"/>
    <n v="0"/>
    <n v="0"/>
  </r>
  <r>
    <s v="Regular"/>
    <x v="2"/>
    <x v="0"/>
    <x v="0"/>
    <x v="0"/>
    <x v="2"/>
    <x v="0"/>
    <x v="1"/>
    <x v="6"/>
    <n v="13627"/>
    <n v="6244.4569204999998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9296.096041955"/>
    <n v="0"/>
    <n v="0"/>
    <n v="186105.21560951314"/>
    <n v="0"/>
    <n v="0"/>
  </r>
  <r>
    <s v="Regular"/>
    <x v="2"/>
    <x v="0"/>
    <x v="0"/>
    <x v="0"/>
    <x v="2"/>
    <x v="0"/>
    <x v="1"/>
    <x v="7"/>
    <n v="13958"/>
    <n v="6426.2320736600004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63933.18019906661"/>
    <n v="0"/>
    <n v="0"/>
    <n v="191522.70899636563"/>
    <n v="0"/>
    <n v="0"/>
  </r>
  <r>
    <s v="Regular"/>
    <x v="2"/>
    <x v="0"/>
    <x v="0"/>
    <x v="0"/>
    <x v="2"/>
    <x v="0"/>
    <x v="1"/>
    <x v="8"/>
    <n v="13082"/>
    <n v="5997.7436551800001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3002.44064364181"/>
    <n v="0"/>
    <n v="0"/>
    <n v="178752.35434060567"/>
    <n v="0"/>
    <n v="0"/>
  </r>
  <r>
    <s v="Regular"/>
    <x v="2"/>
    <x v="0"/>
    <x v="0"/>
    <x v="0"/>
    <x v="2"/>
    <x v="0"/>
    <x v="1"/>
    <x v="9"/>
    <n v="13062"/>
    <n v="5945.0991570599999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1659.4794966006"/>
    <n v="0"/>
    <n v="0"/>
    <n v="177183.37631769496"/>
    <n v="0"/>
    <n v="0"/>
  </r>
  <r>
    <s v="Regular"/>
    <x v="2"/>
    <x v="0"/>
    <x v="0"/>
    <x v="0"/>
    <x v="2"/>
    <x v="0"/>
    <x v="1"/>
    <x v="10"/>
    <n v="13066"/>
    <n v="5928.49876614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1236.0035242314"/>
    <n v="0"/>
    <n v="0"/>
    <n v="176688.63043815712"/>
    <n v="0"/>
    <n v="0"/>
  </r>
  <r>
    <s v="PROJETADO"/>
    <x v="2"/>
    <x v="0"/>
    <x v="0"/>
    <x v="0"/>
    <x v="2"/>
    <x v="0"/>
    <x v="1"/>
    <x v="11"/>
    <n v="13066"/>
    <n v="5928.49876614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51236.0035242314"/>
    <n v="0"/>
    <n v="0"/>
    <n v="176688.63043815712"/>
    <n v="0"/>
    <n v="0"/>
  </r>
  <r>
    <s v="Regular"/>
    <x v="2"/>
    <x v="0"/>
    <x v="0"/>
    <x v="0"/>
    <x v="2"/>
    <x v="0"/>
    <x v="0"/>
    <x v="0"/>
    <n v="0"/>
    <n v="0"/>
    <n v="6518.7150000000001"/>
    <n v="6518.7150000000001"/>
    <n v="0"/>
    <n v="0"/>
    <n v="17"/>
    <x v="1"/>
    <n v="0"/>
    <n v="0"/>
    <n v="23"/>
    <n v="0"/>
    <n v="0"/>
    <n v="88.66"/>
    <n v="0"/>
    <m/>
    <n v="137.25956288333876"/>
    <m/>
    <n v="0"/>
    <n v="577949.27189999993"/>
    <n v="0"/>
    <n v="0"/>
    <n v="894755.9714610636"/>
    <n v="0"/>
  </r>
  <r>
    <s v="Regular"/>
    <x v="2"/>
    <x v="0"/>
    <x v="0"/>
    <x v="0"/>
    <x v="2"/>
    <x v="0"/>
    <x v="0"/>
    <x v="1"/>
    <n v="0"/>
    <n v="0"/>
    <n v="6026.5969999999998"/>
    <n v="6026.5969999999998"/>
    <n v="0"/>
    <n v="0"/>
    <n v="17"/>
    <x v="1"/>
    <n v="0"/>
    <n v="0"/>
    <n v="23"/>
    <n v="0"/>
    <n v="0"/>
    <n v="88.66"/>
    <n v="0"/>
    <m/>
    <n v="137.25956288333876"/>
    <m/>
    <n v="0"/>
    <n v="534318.09002"/>
    <n v="0"/>
    <n v="0"/>
    <n v="827208.0698940407"/>
    <n v="0"/>
  </r>
  <r>
    <s v="Regular"/>
    <x v="2"/>
    <x v="0"/>
    <x v="0"/>
    <x v="0"/>
    <x v="2"/>
    <x v="0"/>
    <x v="0"/>
    <x v="2"/>
    <n v="0"/>
    <n v="0"/>
    <n v="4247.6530000000002"/>
    <n v="4247.6530000000002"/>
    <n v="0"/>
    <n v="0"/>
    <n v="18"/>
    <x v="1"/>
    <n v="0"/>
    <n v="0"/>
    <n v="23"/>
    <n v="0"/>
    <n v="0"/>
    <n v="88.66"/>
    <n v="0"/>
    <m/>
    <n v="137.25956288333876"/>
    <m/>
    <n v="0"/>
    <n v="376596.91498"/>
    <n v="0"/>
    <n v="0"/>
    <n v="583030.99406010262"/>
    <n v="0"/>
  </r>
  <r>
    <s v="Regular"/>
    <x v="2"/>
    <x v="0"/>
    <x v="0"/>
    <x v="0"/>
    <x v="2"/>
    <x v="0"/>
    <x v="0"/>
    <x v="3"/>
    <n v="0"/>
    <n v="0"/>
    <n v="4578.7550000000001"/>
    <n v="4578.7550000000001"/>
    <n v="0"/>
    <n v="0"/>
    <n v="22"/>
    <x v="1"/>
    <n v="0"/>
    <n v="0"/>
    <n v="23"/>
    <n v="0"/>
    <n v="0"/>
    <n v="88.66"/>
    <n v="0"/>
    <m/>
    <n v="137.25956288333876"/>
    <m/>
    <n v="0"/>
    <n v="405952.41830000002"/>
    <n v="0"/>
    <n v="0"/>
    <n v="628477.9098499018"/>
    <n v="0"/>
  </r>
  <r>
    <s v="Regular"/>
    <x v="2"/>
    <x v="0"/>
    <x v="0"/>
    <x v="0"/>
    <x v="2"/>
    <x v="0"/>
    <x v="0"/>
    <x v="4"/>
    <n v="0"/>
    <n v="0"/>
    <n v="4108.3670000000002"/>
    <n v="4108.3670000000002"/>
    <n v="0"/>
    <n v="0"/>
    <n v="22"/>
    <x v="1"/>
    <n v="0"/>
    <n v="0"/>
    <n v="23"/>
    <n v="0"/>
    <n v="0"/>
    <n v="88.66"/>
    <n v="0"/>
    <m/>
    <n v="137.25956288333876"/>
    <m/>
    <n v="0"/>
    <n v="364247.81822000002"/>
    <n v="0"/>
    <n v="0"/>
    <n v="563912.65858433384"/>
    <n v="0"/>
  </r>
  <r>
    <s v="Regular"/>
    <x v="2"/>
    <x v="0"/>
    <x v="0"/>
    <x v="0"/>
    <x v="2"/>
    <x v="0"/>
    <x v="0"/>
    <x v="5"/>
    <n v="0"/>
    <n v="0"/>
    <n v="4393.1260000000002"/>
    <n v="4393.1260000000002"/>
    <n v="0"/>
    <n v="0"/>
    <n v="22"/>
    <x v="1"/>
    <n v="0"/>
    <n v="0"/>
    <n v="23"/>
    <n v="0"/>
    <n v="0"/>
    <n v="88.66"/>
    <n v="0"/>
    <m/>
    <n v="137.25956288333876"/>
    <m/>
    <n v="0"/>
    <n v="389494.55116000003"/>
    <n v="0"/>
    <n v="0"/>
    <n v="602998.55445143045"/>
    <n v="0"/>
  </r>
  <r>
    <s v="Regular"/>
    <x v="2"/>
    <x v="0"/>
    <x v="0"/>
    <x v="0"/>
    <x v="2"/>
    <x v="0"/>
    <x v="0"/>
    <x v="6"/>
    <n v="0"/>
    <n v="0"/>
    <n v="4351.4920000000002"/>
    <n v="4351.4920000000002"/>
    <n v="0"/>
    <n v="0"/>
    <n v="22"/>
    <x v="1"/>
    <n v="0"/>
    <n v="0"/>
    <n v="23"/>
    <n v="0"/>
    <n v="0"/>
    <n v="88.66"/>
    <n v="0"/>
    <m/>
    <n v="137.25956288333876"/>
    <m/>
    <n v="0"/>
    <n v="385803.28071999998"/>
    <n v="0"/>
    <n v="0"/>
    <n v="597283.8898103456"/>
    <n v="0"/>
  </r>
  <r>
    <s v="Regular"/>
    <x v="2"/>
    <x v="0"/>
    <x v="0"/>
    <x v="0"/>
    <x v="2"/>
    <x v="0"/>
    <x v="0"/>
    <x v="7"/>
    <n v="0"/>
    <n v="0"/>
    <n v="4381.7139999999999"/>
    <n v="4381.7139999999999"/>
    <n v="0"/>
    <n v="0"/>
    <n v="23"/>
    <x v="1"/>
    <n v="0"/>
    <n v="0"/>
    <n v="23"/>
    <n v="0"/>
    <n v="0"/>
    <n v="88.66"/>
    <n v="0"/>
    <m/>
    <n v="137.25956288333876"/>
    <m/>
    <n v="0"/>
    <n v="388482.76324"/>
    <n v="0"/>
    <n v="0"/>
    <n v="601432.14831980586"/>
    <n v="0"/>
  </r>
  <r>
    <s v="Regular"/>
    <x v="2"/>
    <x v="0"/>
    <x v="0"/>
    <x v="0"/>
    <x v="2"/>
    <x v="0"/>
    <x v="0"/>
    <x v="8"/>
    <n v="0"/>
    <n v="0"/>
    <n v="4082.529"/>
    <n v="4082.529"/>
    <n v="0"/>
    <n v="0"/>
    <n v="22"/>
    <x v="1"/>
    <n v="0"/>
    <n v="0"/>
    <n v="23"/>
    <n v="0"/>
    <n v="0"/>
    <n v="88.66"/>
    <n v="0"/>
    <m/>
    <n v="137.25956288333876"/>
    <m/>
    <n v="0"/>
    <n v="361957.02113999997"/>
    <n v="0"/>
    <n v="0"/>
    <n v="560366.14599855407"/>
    <n v="0"/>
  </r>
  <r>
    <s v="Regular"/>
    <x v="2"/>
    <x v="0"/>
    <x v="0"/>
    <x v="0"/>
    <x v="2"/>
    <x v="0"/>
    <x v="0"/>
    <x v="9"/>
    <n v="0"/>
    <n v="0"/>
    <n v="3441.7910000000002"/>
    <n v="3441.7910000000002"/>
    <n v="0"/>
    <n v="0"/>
    <n v="22"/>
    <x v="1"/>
    <n v="0"/>
    <n v="0"/>
    <n v="23"/>
    <n v="0"/>
    <n v="0"/>
    <n v="88.66"/>
    <n v="0"/>
    <m/>
    <n v="137.25956288333876"/>
    <m/>
    <n v="0"/>
    <n v="305149.19005999999"/>
    <n v="0"/>
    <n v="0"/>
    <n v="472418.72819580941"/>
    <n v="0"/>
  </r>
  <r>
    <s v="Regular"/>
    <x v="2"/>
    <x v="0"/>
    <x v="0"/>
    <x v="0"/>
    <x v="2"/>
    <x v="0"/>
    <x v="0"/>
    <x v="10"/>
    <n v="0"/>
    <n v="0"/>
    <n v="3776.21"/>
    <n v="3776.21"/>
    <n v="0"/>
    <n v="0"/>
    <n v="22"/>
    <x v="1"/>
    <n v="0"/>
    <n v="0"/>
    <n v="23"/>
    <n v="0"/>
    <n v="0"/>
    <n v="88.66"/>
    <n v="0"/>
    <m/>
    <n v="137.25956288333876"/>
    <m/>
    <n v="0"/>
    <n v="334798.77859999996"/>
    <n v="0"/>
    <n v="0"/>
    <n v="518320.93395569269"/>
    <n v="0"/>
  </r>
  <r>
    <s v="PROJETADO"/>
    <x v="2"/>
    <x v="0"/>
    <x v="0"/>
    <x v="0"/>
    <x v="2"/>
    <x v="0"/>
    <x v="0"/>
    <x v="11"/>
    <n v="0"/>
    <n v="0"/>
    <n v="3776.21"/>
    <n v="3776.21"/>
    <n v="0"/>
    <n v="0"/>
    <n v="22"/>
    <x v="1"/>
    <n v="0"/>
    <n v="0"/>
    <n v="23"/>
    <n v="0"/>
    <n v="0"/>
    <n v="88.66"/>
    <n v="0"/>
    <m/>
    <n v="137.25956288333876"/>
    <m/>
    <n v="0"/>
    <n v="334798.77859999996"/>
    <n v="0"/>
    <n v="0"/>
    <n v="518320.93395569269"/>
    <n v="0"/>
  </r>
  <r>
    <s v="Regular"/>
    <x v="2"/>
    <x v="0"/>
    <x v="0"/>
    <x v="0"/>
    <x v="2"/>
    <x v="0"/>
    <x v="2"/>
    <x v="0"/>
    <n v="15564"/>
    <n v="12065.4867264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791495.92925183999"/>
    <n v="0"/>
    <n v="0"/>
    <n v="909832.08681662276"/>
    <n v="0"/>
    <n v="0"/>
  </r>
  <r>
    <s v="Regular"/>
    <x v="2"/>
    <x v="0"/>
    <x v="0"/>
    <x v="0"/>
    <x v="2"/>
    <x v="0"/>
    <x v="2"/>
    <x v="1"/>
    <n v="15573"/>
    <n v="10961.54893545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719077.61016551999"/>
    <n v="0"/>
    <n v="0"/>
    <n v="826586.54133372998"/>
    <n v="0"/>
    <n v="0"/>
  </r>
  <r>
    <s v="Regular"/>
    <x v="2"/>
    <x v="0"/>
    <x v="0"/>
    <x v="0"/>
    <x v="2"/>
    <x v="0"/>
    <x v="2"/>
    <x v="2"/>
    <n v="9884"/>
    <n v="4311.5132799200001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282835.271162752"/>
    <n v="0"/>
    <n v="0"/>
    <n v="325121.8300397264"/>
    <n v="0"/>
    <n v="0"/>
  </r>
  <r>
    <s v="Regular"/>
    <x v="2"/>
    <x v="0"/>
    <x v="0"/>
    <x v="0"/>
    <x v="2"/>
    <x v="0"/>
    <x v="2"/>
    <x v="3"/>
    <n v="10458"/>
    <n v="4597.34642136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01585.92524121597"/>
    <n v="0"/>
    <n v="0"/>
    <n v="346675.88496141299"/>
    <n v="0"/>
    <n v="0"/>
  </r>
  <r>
    <s v="Regular"/>
    <x v="2"/>
    <x v="0"/>
    <x v="0"/>
    <x v="0"/>
    <x v="2"/>
    <x v="0"/>
    <x v="2"/>
    <x v="4"/>
    <n v="10721"/>
    <n v="4798.28304088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14767.36748172797"/>
    <n v="0"/>
    <n v="0"/>
    <n v="361828.07798946061"/>
    <n v="0"/>
    <n v="0"/>
  </r>
  <r>
    <s v="Regular"/>
    <x v="2"/>
    <x v="0"/>
    <x v="0"/>
    <x v="0"/>
    <x v="2"/>
    <x v="0"/>
    <x v="2"/>
    <x v="5"/>
    <n v="10820"/>
    <n v="4835.0066978000004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17176.43937568"/>
    <n v="0"/>
    <n v="0"/>
    <n v="364597.32900839823"/>
    <n v="0"/>
    <n v="0"/>
  </r>
  <r>
    <s v="Regular"/>
    <x v="2"/>
    <x v="0"/>
    <x v="0"/>
    <x v="0"/>
    <x v="2"/>
    <x v="0"/>
    <x v="2"/>
    <x v="6"/>
    <n v="10902"/>
    <n v="4865.8107295199998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19197.18385651195"/>
    <n v="0"/>
    <n v="0"/>
    <n v="366920.19397834997"/>
    <n v="0"/>
    <n v="0"/>
  </r>
  <r>
    <s v="Regular"/>
    <x v="2"/>
    <x v="0"/>
    <x v="0"/>
    <x v="0"/>
    <x v="2"/>
    <x v="0"/>
    <x v="2"/>
    <x v="7"/>
    <n v="11175"/>
    <n v="5019.2626485000001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29263.62974159996"/>
    <n v="0"/>
    <n v="0"/>
    <n v="378491.66911545343"/>
    <n v="0"/>
    <n v="0"/>
  </r>
  <r>
    <s v="Regular"/>
    <x v="2"/>
    <x v="0"/>
    <x v="0"/>
    <x v="0"/>
    <x v="2"/>
    <x v="0"/>
    <x v="2"/>
    <x v="8"/>
    <n v="10471"/>
    <n v="4674.6753342000002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06658.70192352001"/>
    <n v="0"/>
    <n v="0"/>
    <n v="352507.08992942591"/>
    <n v="0"/>
    <n v="0"/>
  </r>
  <r>
    <s v="Regular"/>
    <x v="2"/>
    <x v="0"/>
    <x v="0"/>
    <x v="0"/>
    <x v="2"/>
    <x v="0"/>
    <x v="2"/>
    <x v="9"/>
    <n v="10488"/>
    <n v="4650.2599514399999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05057.05281446397"/>
    <n v="0"/>
    <n v="0"/>
    <n v="350665.97906911123"/>
    <n v="0"/>
    <n v="0"/>
  </r>
  <r>
    <s v="Regular"/>
    <x v="2"/>
    <x v="0"/>
    <x v="0"/>
    <x v="0"/>
    <x v="2"/>
    <x v="0"/>
    <x v="2"/>
    <x v="10"/>
    <n v="10467"/>
    <n v="4623.80729832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03321.75876979198"/>
    <n v="0"/>
    <n v="0"/>
    <n v="348671.24208619742"/>
    <n v="0"/>
    <n v="0"/>
  </r>
  <r>
    <s v="PROJETADO"/>
    <x v="2"/>
    <x v="0"/>
    <x v="0"/>
    <x v="0"/>
    <x v="2"/>
    <x v="0"/>
    <x v="2"/>
    <x v="11"/>
    <n v="10467"/>
    <n v="4623.80729832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303321.75876979198"/>
    <n v="0"/>
    <n v="0"/>
    <n v="348671.24208619742"/>
    <n v="0"/>
    <n v="0"/>
  </r>
  <r>
    <s v="Regular"/>
    <x v="2"/>
    <x v="0"/>
    <x v="0"/>
    <x v="0"/>
    <x v="1"/>
    <x v="0"/>
    <x v="1"/>
    <x v="0"/>
    <n v="998"/>
    <n v="998"/>
    <n v="149.62"/>
    <n v="149.62"/>
    <n v="149.62"/>
    <n v="149.62"/>
    <n v="0"/>
    <x v="3"/>
    <n v="0"/>
    <n v="22"/>
    <n v="23"/>
    <n v="79"/>
    <n v="25.51"/>
    <n v="88.66"/>
    <n v="311.04000000000002"/>
    <n v="29.803266797877356"/>
    <n v="137.25956288333876"/>
    <n v="311.14842517571947"/>
    <n v="25458.980000000003"/>
    <n v="13265.3092"/>
    <n v="46537.804800000005"/>
    <n v="29743.6602642816"/>
    <n v="20536.775798605147"/>
    <n v="46554.027374791149"/>
  </r>
  <r>
    <s v="Sistema de Compensação"/>
    <x v="2"/>
    <x v="0"/>
    <x v="0"/>
    <x v="0"/>
    <x v="1"/>
    <x v="0"/>
    <x v="1"/>
    <x v="0"/>
    <n v="110"/>
    <n v="110"/>
    <n v="42.968000000000004"/>
    <n v="42.968000000000004"/>
    <n v="42.968000000000004"/>
    <n v="42.968000000000004"/>
    <n v="0"/>
    <x v="3"/>
    <n v="0"/>
    <n v="22"/>
    <n v="23"/>
    <n v="79"/>
    <n v="25.51"/>
    <n v="88.66"/>
    <n v="311.04000000000002"/>
    <n v="29.803266797877356"/>
    <n v="137.25956288333876"/>
    <n v="311.14842517571947"/>
    <n v="2806.1000000000004"/>
    <n v="3809.54288"/>
    <n v="13364.766720000001"/>
    <n v="3278.359347766509"/>
    <n v="5897.7688979713002"/>
    <n v="13369.425532950316"/>
  </r>
  <r>
    <s v="Regular"/>
    <x v="2"/>
    <x v="0"/>
    <x v="0"/>
    <x v="0"/>
    <x v="1"/>
    <x v="0"/>
    <x v="1"/>
    <x v="0"/>
    <n v="4000"/>
    <n v="4000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02040"/>
    <n v="0"/>
    <n v="0"/>
    <n v="119213.06719150943"/>
    <n v="0"/>
    <n v="0"/>
  </r>
  <r>
    <s v="Regular"/>
    <x v="2"/>
    <x v="0"/>
    <x v="0"/>
    <x v="0"/>
    <x v="1"/>
    <x v="0"/>
    <x v="1"/>
    <x v="1"/>
    <n v="115"/>
    <n v="115"/>
    <n v="35.67"/>
    <n v="35.67"/>
    <n v="35.67"/>
    <n v="35.67"/>
    <n v="0"/>
    <x v="3"/>
    <n v="0"/>
    <n v="22"/>
    <n v="23"/>
    <n v="79"/>
    <n v="25.51"/>
    <n v="88.66"/>
    <n v="311.04000000000002"/>
    <n v="29.803266797877356"/>
    <n v="137.25956288333876"/>
    <n v="311.14842517571947"/>
    <n v="2933.65"/>
    <n v="3162.5021999999999"/>
    <n v="11094.796800000002"/>
    <n v="3427.375681755896"/>
    <n v="4896.0486080486935"/>
    <n v="11098.664326017913"/>
  </r>
  <r>
    <s v="Sistema de Compensação"/>
    <x v="2"/>
    <x v="0"/>
    <x v="0"/>
    <x v="0"/>
    <x v="1"/>
    <x v="0"/>
    <x v="1"/>
    <x v="1"/>
    <n v="116"/>
    <n v="116"/>
    <n v="49.651000000000003"/>
    <n v="49.651000000000003"/>
    <n v="49.651000000000003"/>
    <n v="49.6510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2959.1600000000003"/>
    <n v="4402.0576600000004"/>
    <n v="15443.447040000003"/>
    <n v="3457.1789485537734"/>
    <n v="6815.0745567206532"/>
    <n v="15448.830458399649"/>
  </r>
  <r>
    <s v="Regular"/>
    <x v="2"/>
    <x v="0"/>
    <x v="0"/>
    <x v="0"/>
    <x v="1"/>
    <x v="0"/>
    <x v="1"/>
    <x v="1"/>
    <n v="4000"/>
    <n v="4000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102040"/>
    <n v="0"/>
    <n v="0"/>
    <n v="119213.06719150943"/>
    <n v="0"/>
    <n v="0"/>
  </r>
  <r>
    <s v="Regular"/>
    <x v="2"/>
    <x v="0"/>
    <x v="0"/>
    <x v="0"/>
    <x v="1"/>
    <x v="0"/>
    <x v="1"/>
    <x v="2"/>
    <n v="115"/>
    <n v="115"/>
    <n v="39.893000000000001"/>
    <n v="39.893000000000001"/>
    <n v="39.893000000000001"/>
    <n v="39.8930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2933.65"/>
    <n v="3536.91338"/>
    <n v="12408.318720000001"/>
    <n v="3427.375681755896"/>
    <n v="5475.6957421050329"/>
    <n v="12412.644125534976"/>
  </r>
  <r>
    <s v="Sistema de Compensação"/>
    <x v="2"/>
    <x v="0"/>
    <x v="0"/>
    <x v="0"/>
    <x v="1"/>
    <x v="0"/>
    <x v="1"/>
    <x v="2"/>
    <n v="113"/>
    <n v="113"/>
    <n v="48.134"/>
    <n v="48.134"/>
    <n v="48.134"/>
    <n v="48.134"/>
    <n v="0"/>
    <x v="3"/>
    <n v="0"/>
    <n v="22"/>
    <n v="23"/>
    <n v="79"/>
    <n v="25.51"/>
    <n v="88.66"/>
    <n v="311.04000000000002"/>
    <n v="29.803266797877356"/>
    <n v="137.25956288333876"/>
    <n v="311.14842517571947"/>
    <n v="2882.63"/>
    <n v="4267.5604400000002"/>
    <n v="14971.599360000002"/>
    <n v="3367.7691481601414"/>
    <n v="6606.8517998266279"/>
    <n v="14976.818297408081"/>
  </r>
  <r>
    <s v="Regular"/>
    <x v="2"/>
    <x v="0"/>
    <x v="0"/>
    <x v="0"/>
    <x v="1"/>
    <x v="0"/>
    <x v="1"/>
    <x v="2"/>
    <n v="9980"/>
    <n v="9980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4589.80000000002"/>
    <n v="0"/>
    <n v="0"/>
    <n v="297436.60264281603"/>
    <n v="0"/>
    <n v="0"/>
  </r>
  <r>
    <s v="Sistema de Compensação"/>
    <x v="2"/>
    <x v="0"/>
    <x v="0"/>
    <x v="0"/>
    <x v="1"/>
    <x v="0"/>
    <x v="1"/>
    <x v="3"/>
    <n v="215"/>
    <n v="215"/>
    <n v="67.403000000000006"/>
    <n v="67.403000000000006"/>
    <n v="67.403000000000006"/>
    <n v="67.403000000000006"/>
    <n v="0"/>
    <x v="3"/>
    <n v="0"/>
    <n v="22"/>
    <n v="23"/>
    <n v="79"/>
    <n v="25.51"/>
    <n v="88.66"/>
    <n v="311.04000000000002"/>
    <n v="29.803266797877356"/>
    <n v="137.25956288333876"/>
    <n v="311.14842517571947"/>
    <n v="5484.6500000000005"/>
    <n v="5975.9499800000003"/>
    <n v="20965.029120000003"/>
    <n v="6407.7023615436319"/>
    <n v="9251.7063170256824"/>
    <n v="20972.33730211902"/>
  </r>
  <r>
    <s v="Regular"/>
    <x v="2"/>
    <x v="0"/>
    <x v="0"/>
    <x v="0"/>
    <x v="1"/>
    <x v="0"/>
    <x v="1"/>
    <x v="3"/>
    <n v="10040"/>
    <n v="10040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6120.40000000002"/>
    <n v="0"/>
    <n v="0"/>
    <n v="299224.79865068867"/>
    <n v="0"/>
    <n v="0"/>
  </r>
  <r>
    <s v="Sistema de Compensação"/>
    <x v="2"/>
    <x v="0"/>
    <x v="0"/>
    <x v="0"/>
    <x v="1"/>
    <x v="0"/>
    <x v="1"/>
    <x v="4"/>
    <n v="217"/>
    <n v="217"/>
    <n v="65.813999999999993"/>
    <n v="65.813999999999993"/>
    <n v="65.813999999999993"/>
    <n v="65.813999999999993"/>
    <n v="0"/>
    <x v="3"/>
    <n v="0"/>
    <n v="22"/>
    <n v="23"/>
    <n v="79"/>
    <n v="25.51"/>
    <n v="88.66"/>
    <n v="311.04000000000002"/>
    <n v="29.803266797877356"/>
    <n v="137.25956288333876"/>
    <n v="311.14842517571947"/>
    <n v="5535.67"/>
    <n v="5835.0692399999989"/>
    <n v="20470.78656"/>
    <n v="6467.3088951393865"/>
    <n v="9033.600871604056"/>
    <n v="20477.922454514799"/>
  </r>
  <r>
    <s v="Regular"/>
    <x v="2"/>
    <x v="0"/>
    <x v="0"/>
    <x v="0"/>
    <x v="1"/>
    <x v="0"/>
    <x v="1"/>
    <x v="4"/>
    <n v="10053"/>
    <n v="10053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6452.03000000003"/>
    <n v="0"/>
    <n v="0"/>
    <n v="299612.24111906107"/>
    <n v="0"/>
    <n v="0"/>
  </r>
  <r>
    <s v="Sistema de Compensação"/>
    <x v="2"/>
    <x v="0"/>
    <x v="0"/>
    <x v="0"/>
    <x v="1"/>
    <x v="0"/>
    <x v="1"/>
    <x v="5"/>
    <n v="215"/>
    <n v="215"/>
    <n v="68.509"/>
    <n v="68.509"/>
    <n v="68.509"/>
    <n v="68.509"/>
    <n v="0"/>
    <x v="3"/>
    <n v="0"/>
    <n v="22"/>
    <n v="23"/>
    <n v="79"/>
    <n v="25.51"/>
    <n v="88.66"/>
    <n v="311.04000000000002"/>
    <n v="29.803266797877356"/>
    <n v="137.25956288333876"/>
    <n v="311.14842517571947"/>
    <n v="5484.6500000000005"/>
    <n v="6074.0079399999995"/>
    <n v="21309.039360000002"/>
    <n v="6407.7023615436319"/>
    <n v="9403.5153935746548"/>
    <n v="21316.467460363365"/>
  </r>
  <r>
    <s v="Regular"/>
    <x v="2"/>
    <x v="0"/>
    <x v="0"/>
    <x v="0"/>
    <x v="1"/>
    <x v="0"/>
    <x v="1"/>
    <x v="5"/>
    <n v="10023"/>
    <n v="10023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5686.73"/>
    <n v="0"/>
    <n v="0"/>
    <n v="298718.14311512472"/>
    <n v="0"/>
    <n v="0"/>
  </r>
  <r>
    <s v="Sistema de Compensação"/>
    <x v="2"/>
    <x v="0"/>
    <x v="0"/>
    <x v="0"/>
    <x v="1"/>
    <x v="0"/>
    <x v="1"/>
    <x v="6"/>
    <n v="215"/>
    <n v="215"/>
    <n v="66.444999999999993"/>
    <n v="66.444999999999993"/>
    <n v="66.444999999999993"/>
    <n v="66.444999999999993"/>
    <n v="0"/>
    <x v="3"/>
    <n v="0"/>
    <n v="22"/>
    <n v="23"/>
    <n v="79"/>
    <n v="25.51"/>
    <n v="88.66"/>
    <n v="311.04000000000002"/>
    <n v="29.803266797877356"/>
    <n v="137.25956288333876"/>
    <n v="311.14842517571947"/>
    <n v="5484.6500000000005"/>
    <n v="5891.0136999999995"/>
    <n v="20667.052799999998"/>
    <n v="6407.7023615436319"/>
    <n v="9120.2116557834433"/>
    <n v="20674.257110800678"/>
  </r>
  <r>
    <s v="Regular"/>
    <x v="2"/>
    <x v="0"/>
    <x v="0"/>
    <x v="0"/>
    <x v="1"/>
    <x v="0"/>
    <x v="1"/>
    <x v="6"/>
    <n v="10035"/>
    <n v="10035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5992.85"/>
    <n v="0"/>
    <n v="0"/>
    <n v="299075.78231669927"/>
    <n v="0"/>
    <n v="0"/>
  </r>
  <r>
    <s v="Sistema de Compensação"/>
    <x v="2"/>
    <x v="0"/>
    <x v="0"/>
    <x v="0"/>
    <x v="1"/>
    <x v="0"/>
    <x v="1"/>
    <x v="7"/>
    <n v="215"/>
    <n v="215"/>
    <n v="69.826999999999998"/>
    <n v="69.826999999999998"/>
    <n v="69.826999999999998"/>
    <n v="69.826999999999998"/>
    <n v="0"/>
    <x v="3"/>
    <n v="0"/>
    <n v="22"/>
    <n v="23"/>
    <n v="79"/>
    <n v="25.51"/>
    <n v="88.66"/>
    <n v="311.04000000000002"/>
    <n v="29.803266797877356"/>
    <n v="137.25956288333876"/>
    <n v="311.14842517571947"/>
    <n v="5484.6500000000005"/>
    <n v="6190.8618199999992"/>
    <n v="21718.99008"/>
    <n v="6407.7023615436319"/>
    <n v="9584.4234974548945"/>
    <n v="21726.561084744964"/>
  </r>
  <r>
    <s v="Regular"/>
    <x v="2"/>
    <x v="0"/>
    <x v="0"/>
    <x v="0"/>
    <x v="1"/>
    <x v="0"/>
    <x v="1"/>
    <x v="7"/>
    <n v="10099"/>
    <n v="10099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7625.49000000002"/>
    <n v="0"/>
    <n v="0"/>
    <n v="300983.19139176339"/>
    <n v="0"/>
    <n v="0"/>
  </r>
  <r>
    <s v="Sistema de Compensação"/>
    <x v="2"/>
    <x v="0"/>
    <x v="0"/>
    <x v="0"/>
    <x v="1"/>
    <x v="0"/>
    <x v="1"/>
    <x v="8"/>
    <n v="219"/>
    <n v="219"/>
    <n v="62.564999999999998"/>
    <n v="62.564999999999998"/>
    <n v="62.564999999999998"/>
    <n v="62.564999999999998"/>
    <n v="0"/>
    <x v="3"/>
    <n v="0"/>
    <n v="22"/>
    <n v="23"/>
    <n v="79"/>
    <n v="25.51"/>
    <n v="88.66"/>
    <n v="311.04000000000002"/>
    <n v="29.803266797877356"/>
    <n v="137.25956288333876"/>
    <n v="311.14842517571947"/>
    <n v="5586.6900000000005"/>
    <n v="5547.0128999999997"/>
    <n v="19460.2176"/>
    <n v="6526.9154287351412"/>
    <n v="8587.6445517960892"/>
    <n v="19467.001221118888"/>
  </r>
  <r>
    <s v="Regular"/>
    <x v="2"/>
    <x v="0"/>
    <x v="0"/>
    <x v="0"/>
    <x v="1"/>
    <x v="0"/>
    <x v="1"/>
    <x v="8"/>
    <n v="10134"/>
    <n v="10134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8518.34000000003"/>
    <n v="0"/>
    <n v="0"/>
    <n v="302026.30572968913"/>
    <n v="0"/>
    <n v="0"/>
  </r>
  <r>
    <s v="Sistema de Compensação"/>
    <x v="2"/>
    <x v="0"/>
    <x v="0"/>
    <x v="0"/>
    <x v="1"/>
    <x v="0"/>
    <x v="1"/>
    <x v="9"/>
    <n v="222"/>
    <n v="222"/>
    <n v="92.025000000000006"/>
    <n v="92.025000000000006"/>
    <n v="92.025000000000006"/>
    <n v="92.025000000000006"/>
    <n v="0"/>
    <x v="3"/>
    <n v="0"/>
    <n v="22"/>
    <n v="23"/>
    <n v="79"/>
    <n v="25.51"/>
    <n v="88.66"/>
    <n v="311.04000000000002"/>
    <n v="29.803266797877356"/>
    <n v="137.25956288333876"/>
    <n v="311.14842517571947"/>
    <n v="5663.22"/>
    <n v="8158.9364999999998"/>
    <n v="28623.456000000002"/>
    <n v="6616.3252291287727"/>
    <n v="12631.31127433925"/>
    <n v="28633.433826795586"/>
  </r>
  <r>
    <s v="Regular"/>
    <x v="2"/>
    <x v="0"/>
    <x v="0"/>
    <x v="0"/>
    <x v="1"/>
    <x v="0"/>
    <x v="1"/>
    <x v="9"/>
    <n v="10363"/>
    <n v="10363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64360.13"/>
    <n v="0"/>
    <n v="0"/>
    <n v="308851.25382640306"/>
    <n v="0"/>
    <n v="0"/>
  </r>
  <r>
    <s v="Sistema de Compensação"/>
    <x v="2"/>
    <x v="0"/>
    <x v="0"/>
    <x v="0"/>
    <x v="1"/>
    <x v="0"/>
    <x v="1"/>
    <x v="10"/>
    <n v="225"/>
    <n v="225"/>
    <n v="62.643000000000001"/>
    <n v="62.643000000000001"/>
    <n v="62.643000000000001"/>
    <n v="62.6430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5739.75"/>
    <n v="5553.9283800000003"/>
    <n v="19484.478720000003"/>
    <n v="6705.7350295224051"/>
    <n v="8598.3507977009904"/>
    <n v="19491.270798282596"/>
  </r>
  <r>
    <s v="Regular"/>
    <x v="2"/>
    <x v="0"/>
    <x v="0"/>
    <x v="0"/>
    <x v="1"/>
    <x v="0"/>
    <x v="1"/>
    <x v="10"/>
    <n v="10182"/>
    <n v="10182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9742.82"/>
    <n v="0"/>
    <n v="0"/>
    <n v="303456.86253598722"/>
    <n v="0"/>
    <n v="0"/>
  </r>
  <r>
    <s v="PROJETADO"/>
    <x v="2"/>
    <x v="0"/>
    <x v="0"/>
    <x v="0"/>
    <x v="1"/>
    <x v="0"/>
    <x v="1"/>
    <x v="11"/>
    <n v="225"/>
    <n v="225"/>
    <n v="62.643000000000001"/>
    <n v="62.643000000000001"/>
    <n v="62.643000000000001"/>
    <n v="62.6430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5739.75"/>
    <n v="5553.9283800000003"/>
    <n v="19484.478720000003"/>
    <n v="6705.7350295224051"/>
    <n v="8598.3507977009904"/>
    <n v="19491.270798282596"/>
  </r>
  <r>
    <s v="PROJETADO"/>
    <x v="2"/>
    <x v="0"/>
    <x v="0"/>
    <x v="0"/>
    <x v="1"/>
    <x v="0"/>
    <x v="1"/>
    <x v="11"/>
    <n v="10182"/>
    <n v="10182"/>
    <n v="0"/>
    <n v="0"/>
    <n v="0"/>
    <n v="0"/>
    <n v="0"/>
    <x v="1"/>
    <n v="0"/>
    <n v="22"/>
    <n v="0"/>
    <n v="0"/>
    <n v="25.51"/>
    <n v="0"/>
    <n v="0"/>
    <n v="29.803266797877356"/>
    <n v="137.25956288333876"/>
    <m/>
    <n v="259742.82"/>
    <n v="0"/>
    <n v="0"/>
    <n v="303456.86253598722"/>
    <n v="0"/>
    <n v="0"/>
  </r>
  <r>
    <s v="Regular"/>
    <x v="2"/>
    <x v="0"/>
    <x v="0"/>
    <x v="0"/>
    <x v="1"/>
    <x v="0"/>
    <x v="0"/>
    <x v="0"/>
    <n v="0"/>
    <n v="0"/>
    <n v="2631.6010000000001"/>
    <n v="2631.6010000000001"/>
    <n v="0"/>
    <n v="0"/>
    <n v="1"/>
    <x v="1"/>
    <n v="0"/>
    <n v="0"/>
    <n v="23"/>
    <n v="0"/>
    <n v="0"/>
    <n v="88.66"/>
    <n v="0"/>
    <m/>
    <n v="137.25956288333876"/>
    <m/>
    <n v="0"/>
    <n v="233317.74466"/>
    <n v="0"/>
    <n v="0"/>
    <n v="361212.40294335718"/>
    <n v="0"/>
  </r>
  <r>
    <s v="Regular"/>
    <x v="2"/>
    <x v="0"/>
    <x v="0"/>
    <x v="0"/>
    <x v="1"/>
    <x v="0"/>
    <x v="0"/>
    <x v="1"/>
    <n v="0"/>
    <n v="0"/>
    <n v="2554.1709999999998"/>
    <n v="2554.1709999999998"/>
    <n v="0"/>
    <n v="0"/>
    <n v="1"/>
    <x v="1"/>
    <n v="0"/>
    <n v="0"/>
    <n v="23"/>
    <n v="0"/>
    <n v="0"/>
    <n v="88.66"/>
    <n v="0"/>
    <m/>
    <n v="137.25956288333876"/>
    <m/>
    <n v="0"/>
    <n v="226452.80085999999"/>
    <n v="0"/>
    <n v="0"/>
    <n v="350584.39498930023"/>
    <n v="0"/>
  </r>
  <r>
    <s v="Regular"/>
    <x v="2"/>
    <x v="0"/>
    <x v="0"/>
    <x v="0"/>
    <x v="1"/>
    <x v="0"/>
    <x v="0"/>
    <x v="2"/>
    <n v="0"/>
    <n v="0"/>
    <n v="4964.0550000000003"/>
    <n v="4964.0550000000003"/>
    <n v="0"/>
    <n v="0"/>
    <n v="2"/>
    <x v="1"/>
    <n v="0"/>
    <n v="0"/>
    <n v="23"/>
    <n v="0"/>
    <n v="0"/>
    <n v="88.66"/>
    <n v="0"/>
    <m/>
    <n v="137.25956288333876"/>
    <m/>
    <n v="0"/>
    <n v="440113.11629999999"/>
    <n v="0"/>
    <n v="0"/>
    <n v="681364.01942885225"/>
    <n v="0"/>
  </r>
  <r>
    <s v="Regular"/>
    <x v="2"/>
    <x v="0"/>
    <x v="0"/>
    <x v="0"/>
    <x v="1"/>
    <x v="0"/>
    <x v="0"/>
    <x v="3"/>
    <n v="0"/>
    <n v="0"/>
    <n v="5222.1989999999996"/>
    <n v="5222.1989999999996"/>
    <n v="0"/>
    <n v="0"/>
    <n v="2"/>
    <x v="1"/>
    <n v="0"/>
    <n v="0"/>
    <n v="23"/>
    <n v="0"/>
    <n v="0"/>
    <n v="88.66"/>
    <n v="0"/>
    <m/>
    <n v="137.25956288333876"/>
    <m/>
    <n v="0"/>
    <n v="463000.16333999997"/>
    <n v="0"/>
    <n v="0"/>
    <n v="716796.7520298087"/>
    <n v="0"/>
  </r>
  <r>
    <s v="Regular"/>
    <x v="2"/>
    <x v="0"/>
    <x v="0"/>
    <x v="0"/>
    <x v="1"/>
    <x v="0"/>
    <x v="0"/>
    <x v="4"/>
    <n v="0"/>
    <n v="0"/>
    <n v="5117.5439999999999"/>
    <n v="5117.5439999999999"/>
    <n v="0"/>
    <n v="0"/>
    <n v="2"/>
    <x v="1"/>
    <n v="0"/>
    <n v="0"/>
    <n v="23"/>
    <n v="0"/>
    <n v="0"/>
    <n v="88.66"/>
    <n v="0"/>
    <m/>
    <n v="137.25956288333876"/>
    <m/>
    <n v="0"/>
    <n v="453721.45103999996"/>
    <n v="0"/>
    <n v="0"/>
    <n v="702431.85247625294"/>
    <n v="0"/>
  </r>
  <r>
    <s v="Regular"/>
    <x v="2"/>
    <x v="0"/>
    <x v="0"/>
    <x v="0"/>
    <x v="1"/>
    <x v="0"/>
    <x v="0"/>
    <x v="5"/>
    <n v="0"/>
    <n v="0"/>
    <n v="5419.8969999999999"/>
    <n v="5419.8969999999999"/>
    <n v="0"/>
    <n v="0"/>
    <n v="2"/>
    <x v="1"/>
    <n v="0"/>
    <n v="0"/>
    <n v="23"/>
    <n v="0"/>
    <n v="0"/>
    <n v="88.66"/>
    <n v="0"/>
    <m/>
    <n v="137.25956288333876"/>
    <m/>
    <n v="0"/>
    <n v="480528.06801999995"/>
    <n v="0"/>
    <n v="0"/>
    <n v="743932.69309271907"/>
    <n v="0"/>
  </r>
  <r>
    <s v="Regular"/>
    <x v="2"/>
    <x v="0"/>
    <x v="0"/>
    <x v="0"/>
    <x v="1"/>
    <x v="0"/>
    <x v="0"/>
    <x v="6"/>
    <n v="0"/>
    <n v="0"/>
    <n v="5545.7979999999998"/>
    <n v="5545.7979999999998"/>
    <n v="0"/>
    <n v="0"/>
    <n v="2"/>
    <x v="1"/>
    <n v="0"/>
    <n v="0"/>
    <n v="23"/>
    <n v="0"/>
    <n v="0"/>
    <n v="88.66"/>
    <n v="0"/>
    <m/>
    <n v="137.25956288333876"/>
    <m/>
    <n v="0"/>
    <n v="491690.45067999995"/>
    <n v="0"/>
    <n v="0"/>
    <n v="761213.80931929429"/>
    <n v="0"/>
  </r>
  <r>
    <s v="Regular"/>
    <x v="2"/>
    <x v="0"/>
    <x v="0"/>
    <x v="0"/>
    <x v="1"/>
    <x v="0"/>
    <x v="0"/>
    <x v="7"/>
    <n v="0"/>
    <n v="0"/>
    <n v="4888.43"/>
    <n v="4888.43"/>
    <n v="0"/>
    <n v="0"/>
    <n v="2"/>
    <x v="1"/>
    <n v="0"/>
    <n v="0"/>
    <n v="23"/>
    <n v="0"/>
    <n v="0"/>
    <n v="88.66"/>
    <n v="0"/>
    <m/>
    <n v="137.25956288333876"/>
    <m/>
    <n v="0"/>
    <n v="433408.20380000002"/>
    <n v="0"/>
    <n v="0"/>
    <n v="670983.76498579967"/>
    <n v="0"/>
  </r>
  <r>
    <s v="Regular"/>
    <x v="2"/>
    <x v="0"/>
    <x v="0"/>
    <x v="0"/>
    <x v="1"/>
    <x v="0"/>
    <x v="0"/>
    <x v="8"/>
    <n v="0"/>
    <n v="0"/>
    <n v="4796.317"/>
    <n v="4796.317"/>
    <n v="0"/>
    <n v="0"/>
    <n v="2"/>
    <x v="1"/>
    <n v="0"/>
    <n v="0"/>
    <n v="23"/>
    <n v="0"/>
    <n v="0"/>
    <n v="88.66"/>
    <n v="0"/>
    <m/>
    <n v="137.25956288333876"/>
    <m/>
    <n v="0"/>
    <n v="425241.46522000001"/>
    <n v="0"/>
    <n v="0"/>
    <n v="658340.37486992672"/>
    <n v="0"/>
  </r>
  <r>
    <s v="Regular"/>
    <x v="2"/>
    <x v="0"/>
    <x v="0"/>
    <x v="0"/>
    <x v="1"/>
    <x v="0"/>
    <x v="0"/>
    <x v="9"/>
    <n v="0"/>
    <n v="0"/>
    <n v="4949.9409999999998"/>
    <n v="4949.9409999999998"/>
    <n v="0"/>
    <n v="0"/>
    <n v="2"/>
    <x v="1"/>
    <n v="0"/>
    <n v="0"/>
    <n v="23"/>
    <n v="0"/>
    <n v="0"/>
    <n v="88.66"/>
    <n v="0"/>
    <m/>
    <n v="137.25956288333876"/>
    <m/>
    <n v="0"/>
    <n v="438861.76905999996"/>
    <n v="0"/>
    <n v="0"/>
    <n v="679426.73795831669"/>
    <n v="0"/>
  </r>
  <r>
    <s v="Regular"/>
    <x v="2"/>
    <x v="0"/>
    <x v="0"/>
    <x v="0"/>
    <x v="1"/>
    <x v="0"/>
    <x v="0"/>
    <x v="10"/>
    <n v="0"/>
    <n v="0"/>
    <n v="5785.7730000000001"/>
    <n v="5785.7730000000001"/>
    <n v="0"/>
    <n v="0"/>
    <n v="2"/>
    <x v="1"/>
    <n v="0"/>
    <n v="0"/>
    <n v="23"/>
    <n v="0"/>
    <n v="0"/>
    <n v="88.66"/>
    <n v="0"/>
    <m/>
    <n v="137.25956288333876"/>
    <m/>
    <n v="0"/>
    <n v="512966.63417999999"/>
    <n v="0"/>
    <n v="0"/>
    <n v="794152.67292222357"/>
    <n v="0"/>
  </r>
  <r>
    <s v="PROJETADO"/>
    <x v="2"/>
    <x v="0"/>
    <x v="0"/>
    <x v="0"/>
    <x v="1"/>
    <x v="0"/>
    <x v="0"/>
    <x v="11"/>
    <n v="0"/>
    <n v="0"/>
    <n v="5785.7730000000001"/>
    <n v="5785.7730000000001"/>
    <n v="0"/>
    <n v="0"/>
    <n v="2"/>
    <x v="1"/>
    <n v="0"/>
    <n v="0"/>
    <n v="23"/>
    <n v="0"/>
    <n v="0"/>
    <n v="88.66"/>
    <n v="0"/>
    <m/>
    <n v="137.25956288333876"/>
    <m/>
    <n v="0"/>
    <n v="512966.63417999999"/>
    <n v="0"/>
    <n v="0"/>
    <n v="794152.67292222357"/>
    <n v="0"/>
  </r>
  <r>
    <s v="Regular"/>
    <x v="2"/>
    <x v="0"/>
    <x v="0"/>
    <x v="0"/>
    <x v="1"/>
    <x v="0"/>
    <x v="2"/>
    <x v="0"/>
    <n v="185"/>
    <n v="185"/>
    <n v="5.09"/>
    <n v="5.09"/>
    <n v="5.09"/>
    <n v="5.09"/>
    <n v="0"/>
    <x v="3"/>
    <n v="0"/>
    <n v="21"/>
    <n v="23"/>
    <n v="78"/>
    <n v="65.599999999999994"/>
    <n v="88.66"/>
    <n v="496.15"/>
    <n v="75.407822945580492"/>
    <n v="137.25956288333876"/>
    <n v="506.4861368306324"/>
    <n v="12135.999999999998"/>
    <n v="451.27939999999995"/>
    <n v="2525.4034999999999"/>
    <n v="13950.447244932391"/>
    <n v="698.65117507619425"/>
    <n v="2578.014436467919"/>
  </r>
  <r>
    <s v="Sistema de Compensação"/>
    <x v="2"/>
    <x v="0"/>
    <x v="0"/>
    <x v="0"/>
    <x v="1"/>
    <x v="0"/>
    <x v="2"/>
    <x v="0"/>
    <n v="110"/>
    <n v="110"/>
    <n v="4.92"/>
    <n v="4.92"/>
    <n v="4.92"/>
    <n v="4.92"/>
    <n v="0"/>
    <x v="3"/>
    <n v="0"/>
    <n v="21"/>
    <n v="23"/>
    <n v="78"/>
    <n v="65.599999999999994"/>
    <n v="88.66"/>
    <n v="496.15"/>
    <n v="75.407822945580492"/>
    <n v="137.25956288333876"/>
    <n v="506.4861368306324"/>
    <n v="7215.9999999999991"/>
    <n v="436.2072"/>
    <n v="2441.058"/>
    <n v="8294.860524013855"/>
    <n v="675.31704938602672"/>
    <n v="2491.9117932067115"/>
  </r>
  <r>
    <s v="Regular"/>
    <x v="2"/>
    <x v="0"/>
    <x v="0"/>
    <x v="0"/>
    <x v="1"/>
    <x v="0"/>
    <x v="2"/>
    <x v="0"/>
    <n v="4000"/>
    <n v="4000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262400"/>
    <n v="0"/>
    <n v="0"/>
    <n v="301631.29178232199"/>
    <n v="0"/>
    <n v="0"/>
  </r>
  <r>
    <s v="Regular"/>
    <x v="2"/>
    <x v="0"/>
    <x v="0"/>
    <x v="0"/>
    <x v="1"/>
    <x v="0"/>
    <x v="2"/>
    <x v="1"/>
    <n v="115"/>
    <n v="115"/>
    <n v="4.2640000000000002"/>
    <n v="4.2640000000000002"/>
    <n v="4.2640000000000002"/>
    <n v="4.26400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7543.9999999999991"/>
    <n v="378.04624000000001"/>
    <n v="2115.5835999999999"/>
    <n v="8671.8996387417574"/>
    <n v="585.27477613455653"/>
    <n v="2159.6568874458167"/>
  </r>
  <r>
    <s v="Sistema de Compensação"/>
    <x v="2"/>
    <x v="0"/>
    <x v="0"/>
    <x v="0"/>
    <x v="1"/>
    <x v="0"/>
    <x v="2"/>
    <x v="1"/>
    <n v="106"/>
    <n v="106"/>
    <n v="5.6580000000000004"/>
    <n v="5.6580000000000004"/>
    <n v="5.6580000000000004"/>
    <n v="5.6580000000000004"/>
    <n v="0"/>
    <x v="3"/>
    <n v="0"/>
    <n v="21"/>
    <n v="23"/>
    <n v="78"/>
    <n v="65.599999999999994"/>
    <n v="88.66"/>
    <n v="496.15"/>
    <n v="75.407822945580492"/>
    <n v="137.25956288333876"/>
    <n v="506.4861368306324"/>
    <n v="6953.5999999999995"/>
    <n v="501.63828000000001"/>
    <n v="2807.2166999999999"/>
    <n v="7993.2292322315325"/>
    <n v="776.61460679393076"/>
    <n v="2865.6985621877184"/>
  </r>
  <r>
    <s v="Regular"/>
    <x v="2"/>
    <x v="0"/>
    <x v="0"/>
    <x v="0"/>
    <x v="1"/>
    <x v="0"/>
    <x v="2"/>
    <x v="1"/>
    <n v="4000"/>
    <n v="4000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262400"/>
    <n v="0"/>
    <n v="0"/>
    <n v="301631.29178232199"/>
    <n v="0"/>
    <n v="0"/>
  </r>
  <r>
    <s v="Regular"/>
    <x v="2"/>
    <x v="0"/>
    <x v="0"/>
    <x v="0"/>
    <x v="1"/>
    <x v="0"/>
    <x v="2"/>
    <x v="2"/>
    <n v="115"/>
    <n v="115"/>
    <n v="4.0590000000000002"/>
    <n v="4.0590000000000002"/>
    <n v="4.0590000000000002"/>
    <n v="4.05900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7543.9999999999991"/>
    <n v="359.87094000000002"/>
    <n v="2013.87285"/>
    <n v="8671.8996387417574"/>
    <n v="557.13656574347203"/>
    <n v="2055.827229395537"/>
  </r>
  <r>
    <s v="Sistema de Compensação"/>
    <x v="2"/>
    <x v="0"/>
    <x v="0"/>
    <x v="0"/>
    <x v="1"/>
    <x v="0"/>
    <x v="2"/>
    <x v="2"/>
    <n v="106"/>
    <n v="106"/>
    <n v="5.7809999999999997"/>
    <n v="5.7809999999999997"/>
    <n v="5.7809999999999997"/>
    <n v="5.7809999999999997"/>
    <n v="0"/>
    <x v="3"/>
    <n v="0"/>
    <n v="21"/>
    <n v="23"/>
    <n v="78"/>
    <n v="65.599999999999994"/>
    <n v="88.66"/>
    <n v="496.15"/>
    <n v="75.407822945580492"/>
    <n v="137.25956288333876"/>
    <n v="506.4861368306324"/>
    <n v="6953.5999999999995"/>
    <n v="512.54345999999998"/>
    <n v="2868.2431499999998"/>
    <n v="7993.2292322315325"/>
    <n v="793.4975330285813"/>
    <n v="2927.9963570178857"/>
  </r>
  <r>
    <s v="Regular"/>
    <x v="2"/>
    <x v="0"/>
    <x v="0"/>
    <x v="0"/>
    <x v="1"/>
    <x v="0"/>
    <x v="2"/>
    <x v="2"/>
    <n v="9850"/>
    <n v="9850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46160"/>
    <n v="0"/>
    <n v="0"/>
    <n v="742767.05601396784"/>
    <n v="0"/>
    <n v="0"/>
  </r>
  <r>
    <s v="Sistema de Compensação"/>
    <x v="2"/>
    <x v="0"/>
    <x v="0"/>
    <x v="0"/>
    <x v="1"/>
    <x v="0"/>
    <x v="2"/>
    <x v="3"/>
    <n v="215"/>
    <n v="215"/>
    <n v="8.5690000000000008"/>
    <n v="8.5690000000000008"/>
    <n v="8.5690000000000008"/>
    <n v="8.5690000000000008"/>
    <n v="0"/>
    <x v="3"/>
    <n v="0"/>
    <n v="21"/>
    <n v="23"/>
    <n v="78"/>
    <n v="65.599999999999994"/>
    <n v="88.66"/>
    <n v="496.15"/>
    <n v="75.407822945580492"/>
    <n v="137.25956288333876"/>
    <n v="506.4861368306324"/>
    <n v="14103.999999999998"/>
    <n v="759.72754000000009"/>
    <n v="4251.5093500000003"/>
    <n v="16212.681933299806"/>
    <n v="1176.17719434733"/>
    <n v="4340.0797065016895"/>
  </r>
  <r>
    <s v="Regular"/>
    <x v="2"/>
    <x v="0"/>
    <x v="0"/>
    <x v="0"/>
    <x v="1"/>
    <x v="0"/>
    <x v="2"/>
    <x v="3"/>
    <n v="9866"/>
    <n v="9866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47209.6"/>
    <n v="0"/>
    <n v="0"/>
    <n v="743973.58118109708"/>
    <n v="0"/>
    <n v="0"/>
  </r>
  <r>
    <s v="Sistema de Compensação"/>
    <x v="2"/>
    <x v="0"/>
    <x v="0"/>
    <x v="0"/>
    <x v="1"/>
    <x v="0"/>
    <x v="2"/>
    <x v="4"/>
    <n v="215"/>
    <n v="215"/>
    <n v="7.7080000000000002"/>
    <n v="7.7080000000000002"/>
    <n v="7.7080000000000002"/>
    <n v="7.70800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14103.999999999998"/>
    <n v="683.39127999999994"/>
    <n v="3824.3242"/>
    <n v="16212.681933299806"/>
    <n v="1057.9967107047751"/>
    <n v="3903.9951426905145"/>
  </r>
  <r>
    <s v="Regular"/>
    <x v="2"/>
    <x v="0"/>
    <x v="0"/>
    <x v="0"/>
    <x v="1"/>
    <x v="0"/>
    <x v="2"/>
    <x v="4"/>
    <n v="9918"/>
    <n v="9918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50620.79999999993"/>
    <n v="0"/>
    <n v="0"/>
    <n v="747894.78797426727"/>
    <n v="0"/>
    <n v="0"/>
  </r>
  <r>
    <s v="Sistema de Compensação"/>
    <x v="2"/>
    <x v="0"/>
    <x v="0"/>
    <x v="0"/>
    <x v="1"/>
    <x v="0"/>
    <x v="2"/>
    <x v="5"/>
    <n v="215"/>
    <n v="215"/>
    <n v="8.3230000000000004"/>
    <n v="8.3230000000000004"/>
    <n v="8.3230000000000004"/>
    <n v="8.3230000000000004"/>
    <n v="0"/>
    <x v="3"/>
    <n v="0"/>
    <n v="21"/>
    <n v="23"/>
    <n v="78"/>
    <n v="65.599999999999994"/>
    <n v="88.66"/>
    <n v="496.15"/>
    <n v="75.407822945580492"/>
    <n v="137.25956288333876"/>
    <n v="506.4861368306324"/>
    <n v="14103.999999999998"/>
    <n v="737.91718000000003"/>
    <n v="4129.4564499999997"/>
    <n v="16212.681933299806"/>
    <n v="1142.4113418780285"/>
    <n v="4215.4841168413541"/>
  </r>
  <r>
    <s v="Regular"/>
    <x v="2"/>
    <x v="0"/>
    <x v="0"/>
    <x v="0"/>
    <x v="1"/>
    <x v="0"/>
    <x v="2"/>
    <x v="5"/>
    <n v="9850"/>
    <n v="9850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46160"/>
    <n v="0"/>
    <n v="0"/>
    <n v="742767.05601396784"/>
    <n v="0"/>
    <n v="0"/>
  </r>
  <r>
    <s v="Sistema de Compensação"/>
    <x v="2"/>
    <x v="0"/>
    <x v="0"/>
    <x v="0"/>
    <x v="1"/>
    <x v="0"/>
    <x v="2"/>
    <x v="6"/>
    <n v="215"/>
    <n v="215"/>
    <n v="7.9130000000000003"/>
    <n v="7.9130000000000003"/>
    <n v="7.9130000000000003"/>
    <n v="7.9130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14103.999999999998"/>
    <n v="701.56658000000004"/>
    <n v="3926.0349499999998"/>
    <n v="16212.681933299806"/>
    <n v="1086.1349210958597"/>
    <n v="4007.8248007407942"/>
  </r>
  <r>
    <s v="Regular"/>
    <x v="2"/>
    <x v="0"/>
    <x v="0"/>
    <x v="0"/>
    <x v="1"/>
    <x v="0"/>
    <x v="2"/>
    <x v="6"/>
    <n v="9850"/>
    <n v="9850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46160"/>
    <n v="0"/>
    <n v="0"/>
    <n v="742767.05601396784"/>
    <n v="0"/>
    <n v="0"/>
  </r>
  <r>
    <s v="Sistema de Compensação"/>
    <x v="2"/>
    <x v="0"/>
    <x v="0"/>
    <x v="0"/>
    <x v="1"/>
    <x v="0"/>
    <x v="2"/>
    <x v="7"/>
    <n v="215"/>
    <n v="215"/>
    <n v="9.3339999999999996"/>
    <n v="9.3339999999999996"/>
    <n v="9.3339999999999996"/>
    <n v="9.3339999999999996"/>
    <n v="0"/>
    <x v="3"/>
    <n v="0"/>
    <n v="21"/>
    <n v="23"/>
    <n v="78"/>
    <n v="65.599999999999994"/>
    <n v="88.66"/>
    <n v="496.15"/>
    <n v="75.407822945580492"/>
    <n v="137.25956288333876"/>
    <n v="506.4861368306324"/>
    <n v="14103.999999999998"/>
    <n v="827.55243999999993"/>
    <n v="4631.0640999999996"/>
    <n v="16212.681933299806"/>
    <n v="1281.1807599530839"/>
    <n v="4727.5416011771231"/>
  </r>
  <r>
    <s v="Regular"/>
    <x v="2"/>
    <x v="0"/>
    <x v="0"/>
    <x v="0"/>
    <x v="1"/>
    <x v="0"/>
    <x v="2"/>
    <x v="7"/>
    <n v="9891"/>
    <n v="9891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48849.6"/>
    <n v="0"/>
    <n v="0"/>
    <n v="745858.77675473667"/>
    <n v="0"/>
    <n v="0"/>
  </r>
  <r>
    <s v="Sistema de Compensação"/>
    <x v="2"/>
    <x v="0"/>
    <x v="0"/>
    <x v="0"/>
    <x v="1"/>
    <x v="0"/>
    <x v="2"/>
    <x v="8"/>
    <n v="215"/>
    <n v="215"/>
    <n v="7.8120000000000003"/>
    <n v="7.8120000000000003"/>
    <n v="7.8120000000000003"/>
    <n v="7.8120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14103.999999999998"/>
    <n v="692.61192000000005"/>
    <n v="3875.9238"/>
    <n v="16212.681933299806"/>
    <n v="1072.2717052446424"/>
    <n v="3956.6697009209006"/>
  </r>
  <r>
    <s v="Regular"/>
    <x v="2"/>
    <x v="0"/>
    <x v="0"/>
    <x v="0"/>
    <x v="1"/>
    <x v="0"/>
    <x v="2"/>
    <x v="8"/>
    <n v="9969"/>
    <n v="9969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53966.39999999991"/>
    <n v="0"/>
    <n v="0"/>
    <n v="751740.58694449195"/>
    <n v="0"/>
    <n v="0"/>
  </r>
  <r>
    <s v="Sistema de Compensação"/>
    <x v="2"/>
    <x v="0"/>
    <x v="0"/>
    <x v="0"/>
    <x v="1"/>
    <x v="0"/>
    <x v="2"/>
    <x v="9"/>
    <n v="216"/>
    <n v="216"/>
    <n v="10.337999999999999"/>
    <n v="10.337999999999999"/>
    <n v="10.337999999999999"/>
    <n v="10.337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14169.599999999999"/>
    <n v="916.56707999999992"/>
    <n v="5129.198699999999"/>
    <n v="16288.089756245387"/>
    <n v="1418.989361087956"/>
    <n v="5236.0536825550771"/>
  </r>
  <r>
    <s v="Regular"/>
    <x v="2"/>
    <x v="0"/>
    <x v="0"/>
    <x v="0"/>
    <x v="1"/>
    <x v="0"/>
    <x v="2"/>
    <x v="9"/>
    <n v="10230"/>
    <n v="10230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71088"/>
    <n v="0"/>
    <n v="0"/>
    <n v="771422.0287332884"/>
    <n v="0"/>
    <n v="0"/>
  </r>
  <r>
    <s v="Sistema de Compensação"/>
    <x v="2"/>
    <x v="0"/>
    <x v="0"/>
    <x v="0"/>
    <x v="1"/>
    <x v="0"/>
    <x v="2"/>
    <x v="10"/>
    <n v="220"/>
    <n v="220"/>
    <n v="8.6180000000000003"/>
    <n v="8.6180000000000003"/>
    <n v="8.6180000000000003"/>
    <n v="8.6180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14431.999999999998"/>
    <n v="764.07187999999996"/>
    <n v="4275.8207000000002"/>
    <n v="16589.72104802771"/>
    <n v="1182.9029129286134"/>
    <n v="4364.8975272063899"/>
  </r>
  <r>
    <s v="Regular"/>
    <x v="2"/>
    <x v="0"/>
    <x v="0"/>
    <x v="0"/>
    <x v="1"/>
    <x v="0"/>
    <x v="2"/>
    <x v="10"/>
    <n v="10022"/>
    <n v="10022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57443.19999999995"/>
    <n v="0"/>
    <n v="0"/>
    <n v="755737.20156060765"/>
    <n v="0"/>
    <n v="0"/>
  </r>
  <r>
    <s v="PROJETADO"/>
    <x v="2"/>
    <x v="0"/>
    <x v="0"/>
    <x v="0"/>
    <x v="1"/>
    <x v="0"/>
    <x v="2"/>
    <x v="11"/>
    <n v="220"/>
    <n v="220"/>
    <n v="8.6180000000000003"/>
    <n v="8.6180000000000003"/>
    <n v="8.6180000000000003"/>
    <n v="8.6180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14431.999999999998"/>
    <n v="764.07187999999996"/>
    <n v="4275.8207000000002"/>
    <n v="16589.72104802771"/>
    <n v="1182.9029129286134"/>
    <n v="4364.8975272063899"/>
  </r>
  <r>
    <s v="PROJETADO"/>
    <x v="2"/>
    <x v="0"/>
    <x v="0"/>
    <x v="0"/>
    <x v="1"/>
    <x v="0"/>
    <x v="2"/>
    <x v="11"/>
    <n v="10022"/>
    <n v="10022"/>
    <n v="0"/>
    <n v="0"/>
    <n v="0"/>
    <n v="0"/>
    <n v="0"/>
    <x v="1"/>
    <n v="0"/>
    <n v="21"/>
    <n v="0"/>
    <n v="0"/>
    <n v="65.599999999999994"/>
    <n v="0"/>
    <n v="0"/>
    <n v="75.407822945580492"/>
    <n v="137.25956288333876"/>
    <m/>
    <n v="657443.19999999995"/>
    <n v="0"/>
    <n v="0"/>
    <n v="755737.20156060765"/>
    <n v="0"/>
    <n v="0"/>
  </r>
  <r>
    <s v="Regular"/>
    <x v="2"/>
    <x v="0"/>
    <x v="3"/>
    <x v="0"/>
    <x v="1"/>
    <x v="0"/>
    <x v="1"/>
    <x v="0"/>
    <n v="229"/>
    <n v="229"/>
    <n v="36.975000000000001"/>
    <n v="36.975000000000001"/>
    <n v="36.975000000000001"/>
    <n v="36.9750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278.2035000000001"/>
    <n v="11500.704000000002"/>
    <n v="6824.9480967139143"/>
    <n v="5075.1723376114505"/>
    <n v="11504.713020872228"/>
  </r>
  <r>
    <s v="Sistema de Compensação"/>
    <x v="2"/>
    <x v="0"/>
    <x v="3"/>
    <x v="0"/>
    <x v="1"/>
    <x v="0"/>
    <x v="1"/>
    <x v="0"/>
    <n v="290"/>
    <n v="290"/>
    <n v="74.34"/>
    <n v="74.34"/>
    <n v="74.34"/>
    <n v="74.34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6590.9844000000003"/>
    <n v="23122.713600000003"/>
    <n v="8642.9473713844327"/>
    <n v="10203.875904747403"/>
    <n v="23130.773927562987"/>
  </r>
  <r>
    <s v="Sistema de Compensação"/>
    <x v="2"/>
    <x v="0"/>
    <x v="3"/>
    <x v="0"/>
    <x v="1"/>
    <x v="0"/>
    <x v="1"/>
    <x v="0"/>
    <n v="0"/>
    <n v="0"/>
    <n v="-13.5"/>
    <n v="-13.5"/>
    <n v="-13.5"/>
    <n v="-13.5"/>
    <n v="0"/>
    <x v="3"/>
    <n v="0"/>
    <n v="0"/>
    <n v="23"/>
    <n v="79"/>
    <n v="0"/>
    <n v="88.66"/>
    <n v="311.04000000000002"/>
    <n v="29.803266797877356"/>
    <n v="137.25956288333876"/>
    <n v="311.14842517571947"/>
    <n v="0"/>
    <n v="-1196.9099999999999"/>
    <n v="-4199.04"/>
    <n v="0"/>
    <n v="-1853.0040989250733"/>
    <n v="-4200.5037398722125"/>
  </r>
  <r>
    <s v="Regular"/>
    <x v="2"/>
    <x v="0"/>
    <x v="3"/>
    <x v="0"/>
    <x v="1"/>
    <x v="0"/>
    <x v="1"/>
    <x v="1"/>
    <n v="229"/>
    <n v="229"/>
    <n v="36.781999999999996"/>
    <n v="36.781999999999996"/>
    <n v="36.781999999999996"/>
    <n v="36.781999999999996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261.0921199999993"/>
    <n v="11440.673279999999"/>
    <n v="6824.9480967139143"/>
    <n v="5048.6812419749658"/>
    <n v="11444.661374813313"/>
  </r>
  <r>
    <s v="Sistema de Compensação"/>
    <x v="2"/>
    <x v="0"/>
    <x v="3"/>
    <x v="0"/>
    <x v="1"/>
    <x v="0"/>
    <x v="1"/>
    <x v="1"/>
    <n v="290"/>
    <n v="290"/>
    <n v="74.34"/>
    <n v="74.34"/>
    <n v="74.34"/>
    <n v="74.34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6590.9844000000003"/>
    <n v="23122.713600000003"/>
    <n v="8642.9473713844327"/>
    <n v="10203.875904747403"/>
    <n v="23130.773927562987"/>
  </r>
  <r>
    <s v="Regular"/>
    <x v="2"/>
    <x v="0"/>
    <x v="3"/>
    <x v="0"/>
    <x v="1"/>
    <x v="0"/>
    <x v="1"/>
    <x v="2"/>
    <n v="229"/>
    <n v="229"/>
    <n v="38.847999999999999"/>
    <n v="38.847999999999999"/>
    <n v="38.847999999999999"/>
    <n v="38.8479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444.2636799999996"/>
    <n v="12083.281920000001"/>
    <n v="6824.9480967139143"/>
    <n v="5332.2594988919436"/>
    <n v="12087.49402122635"/>
  </r>
  <r>
    <s v="Sistema de Compensação"/>
    <x v="2"/>
    <x v="0"/>
    <x v="3"/>
    <x v="0"/>
    <x v="1"/>
    <x v="0"/>
    <x v="1"/>
    <x v="2"/>
    <n v="290"/>
    <n v="290"/>
    <n v="79.92"/>
    <n v="79.92"/>
    <n v="79.92"/>
    <n v="79.92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7085.7071999999998"/>
    <n v="24858.316800000001"/>
    <n v="8642.9473713844327"/>
    <n v="10969.784265636434"/>
    <n v="24866.982140043499"/>
  </r>
  <r>
    <s v="Regular"/>
    <x v="2"/>
    <x v="0"/>
    <x v="3"/>
    <x v="0"/>
    <x v="1"/>
    <x v="0"/>
    <x v="1"/>
    <x v="3"/>
    <n v="229"/>
    <n v="229"/>
    <n v="41.85"/>
    <n v="41.85"/>
    <n v="41.85"/>
    <n v="41.85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710.4209999999998"/>
    <n v="13017.024000000001"/>
    <n v="6824.9480967139143"/>
    <n v="5744.3127066677271"/>
    <n v="13021.561593603859"/>
  </r>
  <r>
    <s v="Sistema de Compensação"/>
    <x v="2"/>
    <x v="0"/>
    <x v="3"/>
    <x v="0"/>
    <x v="1"/>
    <x v="0"/>
    <x v="1"/>
    <x v="3"/>
    <n v="290"/>
    <n v="290"/>
    <n v="91.44"/>
    <n v="91.44"/>
    <n v="91.44"/>
    <n v="91.44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8107.0703999999996"/>
    <n v="28441.497600000002"/>
    <n v="8642.9473713844327"/>
    <n v="12551.014430052495"/>
    <n v="28451.411998067786"/>
  </r>
  <r>
    <s v="Regular"/>
    <x v="2"/>
    <x v="0"/>
    <x v="3"/>
    <x v="0"/>
    <x v="1"/>
    <x v="0"/>
    <x v="1"/>
    <x v="4"/>
    <n v="229"/>
    <n v="229"/>
    <n v="39.979999999999997"/>
    <n v="39.979999999999997"/>
    <n v="39.979999999999997"/>
    <n v="39.979999999999997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544.6267999999995"/>
    <n v="12435.379199999999"/>
    <n v="6824.9480967139143"/>
    <n v="5487.637324075883"/>
    <n v="12439.714038525264"/>
  </r>
  <r>
    <s v="Sistema de Compensação"/>
    <x v="2"/>
    <x v="0"/>
    <x v="3"/>
    <x v="0"/>
    <x v="1"/>
    <x v="0"/>
    <x v="1"/>
    <x v="4"/>
    <n v="290"/>
    <n v="290"/>
    <n v="97.56"/>
    <n v="97.56"/>
    <n v="97.56"/>
    <n v="97.56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8649.6695999999993"/>
    <n v="30345.062400000003"/>
    <n v="8642.9473713844327"/>
    <n v="13391.04295489853"/>
    <n v="30355.640360143192"/>
  </r>
  <r>
    <s v="Regular"/>
    <x v="2"/>
    <x v="0"/>
    <x v="3"/>
    <x v="0"/>
    <x v="1"/>
    <x v="0"/>
    <x v="1"/>
    <x v="5"/>
    <n v="229"/>
    <n v="229"/>
    <n v="39.335999999999999"/>
    <n v="39.335999999999999"/>
    <n v="39.335999999999999"/>
    <n v="39.3359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487.5297599999999"/>
    <n v="12235.069440000001"/>
    <n v="6824.9480967139143"/>
    <n v="5399.2421655790131"/>
    <n v="12239.334452712101"/>
  </r>
  <r>
    <s v="Sistema de Compensação"/>
    <x v="2"/>
    <x v="0"/>
    <x v="3"/>
    <x v="0"/>
    <x v="1"/>
    <x v="0"/>
    <x v="1"/>
    <x v="5"/>
    <n v="290"/>
    <n v="290"/>
    <n v="95.4"/>
    <n v="95.4"/>
    <n v="95.4"/>
    <n v="95.4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8458.1640000000007"/>
    <n v="29673.216000000004"/>
    <n v="8642.9473713844327"/>
    <n v="13094.562299070518"/>
    <n v="29683.559761763638"/>
  </r>
  <r>
    <s v="Regular"/>
    <x v="2"/>
    <x v="0"/>
    <x v="3"/>
    <x v="0"/>
    <x v="1"/>
    <x v="0"/>
    <x v="1"/>
    <x v="6"/>
    <n v="229"/>
    <n v="229"/>
    <n v="47.404000000000003"/>
    <n v="47.404000000000003"/>
    <n v="47.404000000000003"/>
    <n v="47.4040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4202.8386399999999"/>
    <n v="14744.540160000002"/>
    <n v="6824.9480967139143"/>
    <n v="6506.6523189217914"/>
    <n v="14749.679947029806"/>
  </r>
  <r>
    <s v="Sistema de Compensação"/>
    <x v="2"/>
    <x v="0"/>
    <x v="3"/>
    <x v="0"/>
    <x v="1"/>
    <x v="0"/>
    <x v="1"/>
    <x v="6"/>
    <n v="290"/>
    <n v="290"/>
    <n v="104.04"/>
    <n v="104.04"/>
    <n v="104.04"/>
    <n v="104.04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9224.1864000000005"/>
    <n v="32360.601600000005"/>
    <n v="8642.9473713844327"/>
    <n v="14280.484922382566"/>
    <n v="32371.882155281855"/>
  </r>
  <r>
    <s v="Regular"/>
    <x v="2"/>
    <x v="0"/>
    <x v="3"/>
    <x v="0"/>
    <x v="1"/>
    <x v="0"/>
    <x v="1"/>
    <x v="7"/>
    <n v="229"/>
    <n v="229"/>
    <n v="45.441000000000003"/>
    <n v="45.441000000000003"/>
    <n v="45.441000000000003"/>
    <n v="45.4410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4028.7990600000003"/>
    <n v="14133.968640000001"/>
    <n v="6824.9480967139143"/>
    <n v="6237.2117969817973"/>
    <n v="14138.895588409869"/>
  </r>
  <r>
    <s v="Sistema de Compensação"/>
    <x v="2"/>
    <x v="0"/>
    <x v="3"/>
    <x v="0"/>
    <x v="1"/>
    <x v="0"/>
    <x v="1"/>
    <x v="7"/>
    <n v="290"/>
    <n v="290"/>
    <n v="113.774"/>
    <n v="113.774"/>
    <n v="113.774"/>
    <n v="113.774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10087.20284"/>
    <n v="35388.26496"/>
    <n v="8642.9473713844327"/>
    <n v="15616.569507488985"/>
    <n v="35400.600925942308"/>
  </r>
  <r>
    <s v="Regular"/>
    <x v="2"/>
    <x v="0"/>
    <x v="3"/>
    <x v="0"/>
    <x v="1"/>
    <x v="0"/>
    <x v="1"/>
    <x v="8"/>
    <n v="229"/>
    <n v="229"/>
    <n v="41.381999999999998"/>
    <n v="41.381999999999998"/>
    <n v="41.381999999999998"/>
    <n v="41.381999999999998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3668.9281199999996"/>
    <n v="12871.457280000001"/>
    <n v="6824.9480967139143"/>
    <n v="5680.0752312383247"/>
    <n v="12875.944130621623"/>
  </r>
  <r>
    <s v="Sistema de Compensação"/>
    <x v="2"/>
    <x v="0"/>
    <x v="3"/>
    <x v="0"/>
    <x v="1"/>
    <x v="0"/>
    <x v="1"/>
    <x v="8"/>
    <n v="290"/>
    <n v="290"/>
    <n v="99.95"/>
    <n v="99.95"/>
    <n v="99.95"/>
    <n v="99.95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8861.5669999999991"/>
    <n v="31088.448000000004"/>
    <n v="8642.9473713844327"/>
    <n v="13719.09331018971"/>
    <n v="31099.28509631316"/>
  </r>
  <r>
    <s v="Regular"/>
    <x v="2"/>
    <x v="0"/>
    <x v="3"/>
    <x v="0"/>
    <x v="1"/>
    <x v="0"/>
    <x v="1"/>
    <x v="9"/>
    <n v="229"/>
    <n v="229"/>
    <n v="47.046999999999997"/>
    <n v="47.046999999999997"/>
    <n v="47.046999999999997"/>
    <n v="47.046999999999997"/>
    <n v="0"/>
    <x v="3"/>
    <n v="0"/>
    <n v="22"/>
    <n v="23"/>
    <n v="79"/>
    <n v="25.51"/>
    <n v="88.66"/>
    <n v="311.04000000000002"/>
    <n v="29.803266797877356"/>
    <n v="137.25956288333876"/>
    <n v="311.14842517571947"/>
    <n v="5841.79"/>
    <n v="4171.1870199999994"/>
    <n v="14633.498879999999"/>
    <n v="6824.9480967139143"/>
    <n v="6457.6506549724381"/>
    <n v="14638.599959242072"/>
  </r>
  <r>
    <s v="Sistema de Compensação"/>
    <x v="2"/>
    <x v="0"/>
    <x v="3"/>
    <x v="0"/>
    <x v="1"/>
    <x v="0"/>
    <x v="1"/>
    <x v="9"/>
    <n v="290"/>
    <n v="290"/>
    <n v="122.509"/>
    <n v="122.509"/>
    <n v="122.509"/>
    <n v="122.509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10861.647939999999"/>
    <n v="38105.199360000006"/>
    <n v="8642.9473713844327"/>
    <n v="16815.531789274948"/>
    <n v="38118.482419852218"/>
  </r>
  <r>
    <s v="Regular"/>
    <x v="2"/>
    <x v="0"/>
    <x v="3"/>
    <x v="0"/>
    <x v="1"/>
    <x v="0"/>
    <x v="1"/>
    <x v="10"/>
    <n v="256"/>
    <n v="256"/>
    <n v="50.764000000000003"/>
    <n v="50.764000000000003"/>
    <n v="50.764000000000003"/>
    <n v="50.7640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6530.56"/>
    <n v="4500.7362400000002"/>
    <n v="15789.634560000002"/>
    <n v="7629.6363002566031"/>
    <n v="6967.8444502098091"/>
    <n v="15795.138655620223"/>
  </r>
  <r>
    <s v="Sistema de Compensação"/>
    <x v="2"/>
    <x v="0"/>
    <x v="3"/>
    <x v="0"/>
    <x v="1"/>
    <x v="0"/>
    <x v="1"/>
    <x v="10"/>
    <n v="290"/>
    <n v="290"/>
    <n v="103.602"/>
    <n v="103.602"/>
    <n v="103.602"/>
    <n v="103.602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9185.3533200000002"/>
    <n v="32224.366080000003"/>
    <n v="8642.9473713844327"/>
    <n v="14220.365233839662"/>
    <n v="32235.59914505489"/>
  </r>
  <r>
    <s v="PROJETADO"/>
    <x v="2"/>
    <x v="0"/>
    <x v="3"/>
    <x v="0"/>
    <x v="1"/>
    <x v="0"/>
    <x v="1"/>
    <x v="11"/>
    <n v="256"/>
    <n v="256"/>
    <n v="50.764000000000003"/>
    <n v="50.764000000000003"/>
    <n v="50.764000000000003"/>
    <n v="50.7640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6530.56"/>
    <n v="4500.7362400000002"/>
    <n v="15789.634560000002"/>
    <n v="7629.6363002566031"/>
    <n v="6967.8444502098091"/>
    <n v="15795.138655620223"/>
  </r>
  <r>
    <s v="PROJETADO"/>
    <x v="2"/>
    <x v="0"/>
    <x v="3"/>
    <x v="0"/>
    <x v="1"/>
    <x v="0"/>
    <x v="1"/>
    <x v="11"/>
    <n v="290"/>
    <n v="290"/>
    <n v="103.602"/>
    <n v="103.602"/>
    <n v="103.602"/>
    <n v="103.602"/>
    <n v="0"/>
    <x v="3"/>
    <n v="0"/>
    <n v="22"/>
    <n v="23"/>
    <n v="79"/>
    <n v="25.51"/>
    <n v="88.66"/>
    <n v="311.04000000000002"/>
    <n v="29.803266797877356"/>
    <n v="137.25956288333876"/>
    <n v="311.14842517571947"/>
    <n v="7397.9000000000005"/>
    <n v="9185.3533200000002"/>
    <n v="32224.366080000003"/>
    <n v="8642.9473713844327"/>
    <n v="14220.365233839662"/>
    <n v="32235.59914505489"/>
  </r>
  <r>
    <s v="Regular"/>
    <x v="2"/>
    <x v="0"/>
    <x v="3"/>
    <x v="0"/>
    <x v="1"/>
    <x v="0"/>
    <x v="2"/>
    <x v="0"/>
    <n v="184"/>
    <n v="184"/>
    <n v="5.08"/>
    <n v="5.08"/>
    <n v="5.08"/>
    <n v="5.08"/>
    <n v="0"/>
    <x v="3"/>
    <n v="0"/>
    <n v="21"/>
    <n v="23"/>
    <n v="78"/>
    <n v="65.599999999999994"/>
    <n v="88.66"/>
    <n v="496.15"/>
    <n v="75.407822945580492"/>
    <n v="137.25956288333876"/>
    <n v="506.4861368306324"/>
    <n v="12070.4"/>
    <n v="450.39279999999997"/>
    <n v="2520.442"/>
    <n v="13875.03942198681"/>
    <n v="697.27857944736093"/>
    <n v="2572.9495750996125"/>
  </r>
  <r>
    <s v="Sistema de Compensação"/>
    <x v="2"/>
    <x v="0"/>
    <x v="3"/>
    <x v="0"/>
    <x v="1"/>
    <x v="0"/>
    <x v="2"/>
    <x v="0"/>
    <n v="290"/>
    <n v="290"/>
    <n v="12.96"/>
    <n v="12.96"/>
    <n v="12.96"/>
    <n v="12.96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49.0336"/>
    <n v="6430.1040000000003"/>
    <n v="21868.268654218344"/>
    <n v="1778.8839349680704"/>
    <n v="6564.0603333249965"/>
  </r>
  <r>
    <s v="Sistema de Compensação"/>
    <x v="2"/>
    <x v="0"/>
    <x v="3"/>
    <x v="0"/>
    <x v="1"/>
    <x v="0"/>
    <x v="2"/>
    <x v="0"/>
    <n v="0"/>
    <n v="0"/>
    <n v="-0.54"/>
    <n v="-0.54"/>
    <n v="-0.54"/>
    <n v="-0.54"/>
    <n v="0"/>
    <x v="3"/>
    <n v="0"/>
    <n v="0"/>
    <n v="23"/>
    <n v="78"/>
    <n v="0"/>
    <n v="88.66"/>
    <n v="496.15"/>
    <n v="75.407822945580492"/>
    <n v="137.25956288333876"/>
    <n v="506.4861368306324"/>
    <n v="0"/>
    <n v="-47.876400000000004"/>
    <n v="-267.92099999999999"/>
    <n v="0"/>
    <n v="-74.12016395700293"/>
    <n v="-273.5025138885415"/>
  </r>
  <r>
    <s v="Regular"/>
    <x v="2"/>
    <x v="0"/>
    <x v="3"/>
    <x v="0"/>
    <x v="1"/>
    <x v="0"/>
    <x v="2"/>
    <x v="1"/>
    <n v="190"/>
    <n v="190"/>
    <n v="5.3929999999999998"/>
    <n v="5.3929999999999998"/>
    <n v="5.3929999999999998"/>
    <n v="5.3929999999999998"/>
    <n v="0"/>
    <x v="3"/>
    <n v="0"/>
    <n v="21"/>
    <n v="23"/>
    <n v="78"/>
    <n v="65.599999999999994"/>
    <n v="88.66"/>
    <n v="496.15"/>
    <n v="75.407822945580492"/>
    <n v="137.25956288333876"/>
    <n v="506.4861368306324"/>
    <n v="12463.999999999998"/>
    <n v="478.14337999999998"/>
    <n v="2675.73695"/>
    <n v="14327.486359660294"/>
    <n v="740.24082262984587"/>
    <n v="2731.4797359276004"/>
  </r>
  <r>
    <s v="Sistema de Compensação"/>
    <x v="2"/>
    <x v="0"/>
    <x v="3"/>
    <x v="0"/>
    <x v="1"/>
    <x v="0"/>
    <x v="2"/>
    <x v="1"/>
    <n v="290"/>
    <n v="290"/>
    <n v="13.86"/>
    <n v="13.86"/>
    <n v="13.86"/>
    <n v="13.86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228.8275999999998"/>
    <n v="6876.6389999999992"/>
    <n v="21868.268654218344"/>
    <n v="1902.417541563075"/>
    <n v="7019.8978564725649"/>
  </r>
  <r>
    <s v="Regular"/>
    <x v="2"/>
    <x v="0"/>
    <x v="3"/>
    <x v="0"/>
    <x v="1"/>
    <x v="0"/>
    <x v="2"/>
    <x v="2"/>
    <n v="199"/>
    <n v="199"/>
    <n v="5.4470000000000001"/>
    <n v="5.4470000000000001"/>
    <n v="5.4470000000000001"/>
    <n v="5.44700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13054.4"/>
    <n v="482.93101999999999"/>
    <n v="2702.5290500000001"/>
    <n v="15006.156766170518"/>
    <n v="747.6528390255462"/>
    <n v="2758.8299873164547"/>
  </r>
  <r>
    <s v="Sistema de Compensação"/>
    <x v="2"/>
    <x v="0"/>
    <x v="3"/>
    <x v="0"/>
    <x v="1"/>
    <x v="0"/>
    <x v="2"/>
    <x v="2"/>
    <n v="290"/>
    <n v="290"/>
    <n v="13.86"/>
    <n v="13.86"/>
    <n v="13.86"/>
    <n v="13.86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228.8275999999998"/>
    <n v="6876.6389999999992"/>
    <n v="21868.268654218344"/>
    <n v="1902.417541563075"/>
    <n v="7019.8978564725649"/>
  </r>
  <r>
    <s v="Regular"/>
    <x v="2"/>
    <x v="0"/>
    <x v="3"/>
    <x v="0"/>
    <x v="1"/>
    <x v="0"/>
    <x v="2"/>
    <x v="3"/>
    <n v="192"/>
    <n v="192"/>
    <n v="5.3630000000000004"/>
    <n v="5.3630000000000004"/>
    <n v="5.3630000000000004"/>
    <n v="5.3630000000000004"/>
    <n v="0"/>
    <x v="3"/>
    <n v="0"/>
    <n v="21"/>
    <n v="23"/>
    <n v="78"/>
    <n v="65.599999999999994"/>
    <n v="88.66"/>
    <n v="496.15"/>
    <n v="75.407822945580492"/>
    <n v="137.25956288333876"/>
    <n v="506.4861368306324"/>
    <n v="12595.199999999999"/>
    <n v="475.48358000000002"/>
    <n v="2660.8524500000003"/>
    <n v="14478.302005551453"/>
    <n v="736.12303574334578"/>
    <n v="2716.2851518226817"/>
  </r>
  <r>
    <s v="Sistema de Compensação"/>
    <x v="2"/>
    <x v="0"/>
    <x v="3"/>
    <x v="0"/>
    <x v="1"/>
    <x v="0"/>
    <x v="2"/>
    <x v="3"/>
    <n v="290"/>
    <n v="290"/>
    <n v="13.14"/>
    <n v="13.14"/>
    <n v="13.14"/>
    <n v="13.14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64.9924000000001"/>
    <n v="6519.4110000000001"/>
    <n v="21868.268654218344"/>
    <n v="1803.5906562870714"/>
    <n v="6655.2278379545105"/>
  </r>
  <r>
    <s v="Regular"/>
    <x v="2"/>
    <x v="0"/>
    <x v="3"/>
    <x v="0"/>
    <x v="1"/>
    <x v="0"/>
    <x v="2"/>
    <x v="4"/>
    <n v="187"/>
    <n v="187"/>
    <n v="4.8689999999999998"/>
    <n v="4.8689999999999998"/>
    <n v="4.8689999999999998"/>
    <n v="4.8689999999999998"/>
    <n v="0"/>
    <x v="3"/>
    <n v="0"/>
    <n v="21"/>
    <n v="23"/>
    <n v="78"/>
    <n v="65.599999999999994"/>
    <n v="88.66"/>
    <n v="496.15"/>
    <n v="75.407822945580492"/>
    <n v="137.25956288333876"/>
    <n v="506.4861368306324"/>
    <n v="12267.199999999999"/>
    <n v="431.68553999999995"/>
    <n v="2415.7543499999997"/>
    <n v="14101.262890823551"/>
    <n v="668.31681167897636"/>
    <n v="2466.0810002283492"/>
  </r>
  <r>
    <s v="Sistema de Compensação"/>
    <x v="2"/>
    <x v="0"/>
    <x v="3"/>
    <x v="0"/>
    <x v="1"/>
    <x v="0"/>
    <x v="2"/>
    <x v="4"/>
    <n v="290"/>
    <n v="290"/>
    <n v="13.5"/>
    <n v="13.5"/>
    <n v="13.5"/>
    <n v="13.5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96.9099999999999"/>
    <n v="6698.0249999999996"/>
    <n v="21868.268654218344"/>
    <n v="1853.0040989250733"/>
    <n v="6837.5628472135377"/>
  </r>
  <r>
    <s v="Regular"/>
    <x v="2"/>
    <x v="0"/>
    <x v="3"/>
    <x v="0"/>
    <x v="1"/>
    <x v="0"/>
    <x v="2"/>
    <x v="5"/>
    <n v="193"/>
    <n v="193"/>
    <n v="4.9379999999999997"/>
    <n v="4.9379999999999997"/>
    <n v="4.9379999999999997"/>
    <n v="4.9379999999999997"/>
    <n v="0"/>
    <x v="3"/>
    <n v="0"/>
    <n v="21"/>
    <n v="23"/>
    <n v="78"/>
    <n v="65.599999999999994"/>
    <n v="88.66"/>
    <n v="496.15"/>
    <n v="75.407822945580492"/>
    <n v="137.25956288333876"/>
    <n v="506.4861368306324"/>
    <n v="12660.8"/>
    <n v="437.80307999999997"/>
    <n v="2449.9886999999999"/>
    <n v="14553.709828497034"/>
    <n v="677.7877215179268"/>
    <n v="2501.0285436696627"/>
  </r>
  <r>
    <s v="Sistema de Compensação"/>
    <x v="2"/>
    <x v="0"/>
    <x v="3"/>
    <x v="0"/>
    <x v="1"/>
    <x v="0"/>
    <x v="2"/>
    <x v="5"/>
    <n v="290"/>
    <n v="290"/>
    <n v="13.32"/>
    <n v="13.32"/>
    <n v="13.32"/>
    <n v="13.32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80.9512"/>
    <n v="6608.7179999999998"/>
    <n v="21868.268654218344"/>
    <n v="1828.2973776060724"/>
    <n v="6746.3953425840236"/>
  </r>
  <r>
    <s v="Regular"/>
    <x v="2"/>
    <x v="0"/>
    <x v="3"/>
    <x v="0"/>
    <x v="1"/>
    <x v="0"/>
    <x v="2"/>
    <x v="6"/>
    <n v="191"/>
    <n v="191"/>
    <n v="6.3630000000000004"/>
    <n v="6.3630000000000004"/>
    <n v="6.3630000000000004"/>
    <n v="6.3630000000000004"/>
    <n v="0"/>
    <x v="3"/>
    <n v="0"/>
    <n v="21"/>
    <n v="23"/>
    <n v="78"/>
    <n v="65.599999999999994"/>
    <n v="88.66"/>
    <n v="496.15"/>
    <n v="75.407822945580492"/>
    <n v="137.25956288333876"/>
    <n v="506.4861368306324"/>
    <n v="12529.599999999999"/>
    <n v="564.14358000000004"/>
    <n v="3157.00245"/>
    <n v="14402.894182605874"/>
    <n v="873.38259862668463"/>
    <n v="3222.7712886533141"/>
  </r>
  <r>
    <s v="Sistema de Compensação"/>
    <x v="2"/>
    <x v="0"/>
    <x v="3"/>
    <x v="0"/>
    <x v="1"/>
    <x v="0"/>
    <x v="2"/>
    <x v="6"/>
    <n v="290"/>
    <n v="290"/>
    <n v="15.12"/>
    <n v="15.12"/>
    <n v="15.12"/>
    <n v="15.12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340.5391999999999"/>
    <n v="7501.7879999999996"/>
    <n v="21868.268654218344"/>
    <n v="2075.3645907960818"/>
    <n v="7658.0703888791613"/>
  </r>
  <r>
    <s v="Regular"/>
    <x v="2"/>
    <x v="0"/>
    <x v="3"/>
    <x v="0"/>
    <x v="1"/>
    <x v="0"/>
    <x v="2"/>
    <x v="7"/>
    <n v="188"/>
    <n v="188"/>
    <n v="5.4550000000000001"/>
    <n v="5.4550000000000001"/>
    <n v="5.4550000000000001"/>
    <n v="5.45500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12332.8"/>
    <n v="483.64029999999997"/>
    <n v="2706.4982500000001"/>
    <n v="14176.670713769132"/>
    <n v="748.75091552861295"/>
    <n v="2762.8818764110997"/>
  </r>
  <r>
    <s v="Sistema de Compensação"/>
    <x v="2"/>
    <x v="0"/>
    <x v="3"/>
    <x v="0"/>
    <x v="1"/>
    <x v="0"/>
    <x v="2"/>
    <x v="7"/>
    <n v="290"/>
    <n v="290"/>
    <n v="14.131"/>
    <n v="14.131"/>
    <n v="14.131"/>
    <n v="14.131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252.85446"/>
    <n v="7011.0956500000002"/>
    <n v="21868.268654218344"/>
    <n v="1939.61488310446"/>
    <n v="7157.1555995536664"/>
  </r>
  <r>
    <s v="Regular"/>
    <x v="2"/>
    <x v="0"/>
    <x v="3"/>
    <x v="0"/>
    <x v="1"/>
    <x v="0"/>
    <x v="2"/>
    <x v="8"/>
    <n v="185"/>
    <n v="185"/>
    <n v="5.0919999999999996"/>
    <n v="5.0919999999999996"/>
    <n v="5.0919999999999996"/>
    <n v="5.0919999999999996"/>
    <n v="0"/>
    <x v="3"/>
    <n v="0"/>
    <n v="21"/>
    <n v="23"/>
    <n v="78"/>
    <n v="65.599999999999994"/>
    <n v="88.66"/>
    <n v="496.15"/>
    <n v="75.407822945580492"/>
    <n v="137.25956288333876"/>
    <n v="506.4861368306324"/>
    <n v="12135.999999999998"/>
    <n v="451.45671999999996"/>
    <n v="2526.3957999999998"/>
    <n v="13950.447244932391"/>
    <n v="698.92569420196094"/>
    <n v="2579.0274087415801"/>
  </r>
  <r>
    <s v="Sistema de Compensação"/>
    <x v="2"/>
    <x v="0"/>
    <x v="3"/>
    <x v="0"/>
    <x v="1"/>
    <x v="0"/>
    <x v="2"/>
    <x v="8"/>
    <n v="290"/>
    <n v="290"/>
    <n v="13.39"/>
    <n v="13.39"/>
    <n v="13.39"/>
    <n v="13.39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87.1574000000001"/>
    <n v="6643.4485000000004"/>
    <n v="21868.268654218344"/>
    <n v="1837.9055470079061"/>
    <n v="6781.849372162168"/>
  </r>
  <r>
    <s v="Regular"/>
    <x v="2"/>
    <x v="0"/>
    <x v="3"/>
    <x v="0"/>
    <x v="1"/>
    <x v="0"/>
    <x v="2"/>
    <x v="9"/>
    <n v="193"/>
    <n v="193"/>
    <n v="5.7880000000000003"/>
    <n v="5.7880000000000003"/>
    <n v="5.7880000000000003"/>
    <n v="5.78800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12660.8"/>
    <n v="513.16408000000001"/>
    <n v="2871.7161999999998"/>
    <n v="14553.709828497034"/>
    <n v="794.45834996876476"/>
    <n v="2931.5417599757006"/>
  </r>
  <r>
    <s v="Sistema de Compensação"/>
    <x v="2"/>
    <x v="0"/>
    <x v="3"/>
    <x v="0"/>
    <x v="1"/>
    <x v="0"/>
    <x v="2"/>
    <x v="9"/>
    <n v="290"/>
    <n v="290"/>
    <n v="15.686"/>
    <n v="15.686"/>
    <n v="15.686"/>
    <n v="15.686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390.7207599999999"/>
    <n v="7782.6088999999993"/>
    <n v="21868.268654218344"/>
    <n v="2153.0535033880519"/>
    <n v="7944.7415423252996"/>
  </r>
  <r>
    <s v="Regular"/>
    <x v="2"/>
    <x v="0"/>
    <x v="3"/>
    <x v="0"/>
    <x v="1"/>
    <x v="0"/>
    <x v="2"/>
    <x v="10"/>
    <n v="196"/>
    <n v="196"/>
    <n v="6.157"/>
    <n v="6.157"/>
    <n v="6.157"/>
    <n v="6.157"/>
    <n v="0"/>
    <x v="3"/>
    <n v="0"/>
    <n v="21"/>
    <n v="23"/>
    <n v="78"/>
    <n v="65.599999999999994"/>
    <n v="88.66"/>
    <n v="496.15"/>
    <n v="75.407822945580492"/>
    <n v="137.25956288333876"/>
    <n v="506.4861368306324"/>
    <n v="12857.599999999999"/>
    <n v="545.87961999999993"/>
    <n v="3054.7955499999998"/>
    <n v="14779.933297333777"/>
    <n v="845.10712867271673"/>
    <n v="3118.4351444662038"/>
  </r>
  <r>
    <s v="Sistema de Compensação"/>
    <x v="2"/>
    <x v="0"/>
    <x v="3"/>
    <x v="0"/>
    <x v="1"/>
    <x v="0"/>
    <x v="2"/>
    <x v="10"/>
    <n v="290"/>
    <n v="290"/>
    <n v="12.62"/>
    <n v="12.62"/>
    <n v="12.62"/>
    <n v="12.62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18.8891999999998"/>
    <n v="6261.4129999999996"/>
    <n v="21868.268654218344"/>
    <n v="1732.2156835877349"/>
    <n v="6391.8550468025805"/>
  </r>
  <r>
    <s v="PROJETADO"/>
    <x v="2"/>
    <x v="0"/>
    <x v="3"/>
    <x v="0"/>
    <x v="1"/>
    <x v="0"/>
    <x v="2"/>
    <x v="11"/>
    <n v="196"/>
    <n v="196"/>
    <n v="6.157"/>
    <n v="6.157"/>
    <n v="6.157"/>
    <n v="6.157"/>
    <n v="0"/>
    <x v="3"/>
    <n v="0"/>
    <n v="21"/>
    <n v="23"/>
    <n v="78"/>
    <n v="65.599999999999994"/>
    <n v="88.66"/>
    <n v="496.15"/>
    <n v="75.407822945580492"/>
    <n v="137.25956288333876"/>
    <n v="506.4861368306324"/>
    <n v="12857.599999999999"/>
    <n v="545.87961999999993"/>
    <n v="3054.7955499999998"/>
    <n v="14779.933297333777"/>
    <n v="845.10712867271673"/>
    <n v="3118.4351444662038"/>
  </r>
  <r>
    <s v="PROJETADO"/>
    <x v="2"/>
    <x v="0"/>
    <x v="3"/>
    <x v="0"/>
    <x v="1"/>
    <x v="0"/>
    <x v="2"/>
    <x v="11"/>
    <n v="290"/>
    <n v="290"/>
    <n v="12.62"/>
    <n v="12.62"/>
    <n v="12.62"/>
    <n v="12.62"/>
    <n v="0"/>
    <x v="3"/>
    <n v="0"/>
    <n v="21"/>
    <n v="23"/>
    <n v="78"/>
    <n v="65.599999999999994"/>
    <n v="88.66"/>
    <n v="496.15"/>
    <n v="75.407822945580492"/>
    <n v="137.25956288333876"/>
    <n v="506.4861368306324"/>
    <n v="19024"/>
    <n v="1118.8891999999998"/>
    <n v="6261.4129999999996"/>
    <n v="21868.268654218344"/>
    <n v="1732.2156835877349"/>
    <n v="6391.8550468025805"/>
  </r>
  <r>
    <s v="Regular"/>
    <x v="2"/>
    <x v="0"/>
    <x v="4"/>
    <x v="0"/>
    <x v="1"/>
    <x v="0"/>
    <x v="1"/>
    <x v="0"/>
    <n v="105"/>
    <n v="100.8"/>
    <n v="28.38"/>
    <n v="27.244800000000001"/>
    <n v="28.38"/>
    <n v="27.24480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2571.4079999999999"/>
    <n v="2415.523968"/>
    <n v="8474.2225920000019"/>
    <n v="3004.1692932260376"/>
    <n v="3739.6093388439881"/>
    <n v="8477.1766142274428"/>
  </r>
  <r>
    <s v="Regular"/>
    <x v="2"/>
    <x v="0"/>
    <x v="4"/>
    <x v="0"/>
    <x v="1"/>
    <x v="0"/>
    <x v="1"/>
    <x v="1"/>
    <n v="115"/>
    <n v="110.4"/>
    <n v="35.97"/>
    <n v="34.531199999999998"/>
    <n v="35.97"/>
    <n v="34.531199999999998"/>
    <n v="0"/>
    <x v="3"/>
    <n v="0"/>
    <n v="22"/>
    <n v="23"/>
    <n v="79"/>
    <n v="25.51"/>
    <n v="88.66"/>
    <n v="311.04000000000002"/>
    <n v="29.803266797877356"/>
    <n v="137.25956288333876"/>
    <n v="311.14842517571947"/>
    <n v="2816.3040000000005"/>
    <n v="3061.5361919999996"/>
    <n v="10740.584448"/>
    <n v="3290.2806544856603"/>
    <n v="4739.7374178371474"/>
    <n v="10744.328499427804"/>
  </r>
  <r>
    <s v="Regular"/>
    <x v="2"/>
    <x v="0"/>
    <x v="4"/>
    <x v="0"/>
    <x v="1"/>
    <x v="0"/>
    <x v="1"/>
    <x v="2"/>
    <n v="119"/>
    <n v="114.24"/>
    <n v="34.65"/>
    <n v="33.264000000000003"/>
    <n v="34.65"/>
    <n v="33.264000000000003"/>
    <n v="0"/>
    <x v="3"/>
    <n v="0"/>
    <n v="22"/>
    <n v="23"/>
    <n v="79"/>
    <n v="25.51"/>
    <n v="88.66"/>
    <n v="311.04000000000002"/>
    <n v="29.803266797877356"/>
    <n v="137.25956288333876"/>
    <n v="311.14842517571947"/>
    <n v="2914.2624000000001"/>
    <n v="2949.18624"/>
    <n v="10346.434560000002"/>
    <n v="3404.725198989509"/>
    <n v="4565.8020997513813"/>
    <n v="10350.041215045134"/>
  </r>
  <r>
    <s v="Regular"/>
    <x v="2"/>
    <x v="0"/>
    <x v="4"/>
    <x v="0"/>
    <x v="1"/>
    <x v="0"/>
    <x v="1"/>
    <x v="3"/>
    <n v="124"/>
    <n v="119.04"/>
    <n v="31.79"/>
    <n v="30.5184"/>
    <n v="31.79"/>
    <n v="30.5184"/>
    <n v="0"/>
    <x v="3"/>
    <n v="0"/>
    <n v="22"/>
    <n v="23"/>
    <n v="79"/>
    <n v="25.51"/>
    <n v="88.66"/>
    <n v="311.04000000000002"/>
    <n v="29.803266797877356"/>
    <n v="137.25956288333876"/>
    <n v="311.14842517571947"/>
    <n v="3036.7104000000004"/>
    <n v="2705.761344"/>
    <n v="9492.4431359999999"/>
    <n v="3547.7808796193208"/>
    <n v="4188.9422438988859"/>
    <n v="9495.7520988826764"/>
  </r>
  <r>
    <s v="Regular"/>
    <x v="2"/>
    <x v="0"/>
    <x v="4"/>
    <x v="0"/>
    <x v="1"/>
    <x v="0"/>
    <x v="1"/>
    <x v="4"/>
    <n v="133"/>
    <n v="127.68"/>
    <n v="31.35"/>
    <n v="30.096"/>
    <n v="31.35"/>
    <n v="30.096"/>
    <n v="0"/>
    <x v="3"/>
    <n v="0"/>
    <n v="22"/>
    <n v="23"/>
    <n v="79"/>
    <n v="25.51"/>
    <n v="88.66"/>
    <n v="311.04000000000002"/>
    <n v="29.803266797877356"/>
    <n v="137.25956288333876"/>
    <n v="311.14842517571947"/>
    <n v="3257.1168000000002"/>
    <n v="2668.3113599999997"/>
    <n v="9361.0598399999999"/>
    <n v="3805.2811047529808"/>
    <n v="4130.9638045369629"/>
    <n v="9364.3230040884537"/>
  </r>
  <r>
    <s v="Regular"/>
    <x v="2"/>
    <x v="0"/>
    <x v="4"/>
    <x v="0"/>
    <x v="1"/>
    <x v="0"/>
    <x v="1"/>
    <x v="5"/>
    <n v="13"/>
    <n v="12.48"/>
    <n v="31.02"/>
    <n v="29.779199999999999"/>
    <n v="31.02"/>
    <n v="29.7791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18.3648"/>
    <n v="2640.223872"/>
    <n v="9262.5223679999999"/>
    <n v="371.94476963750941"/>
    <n v="4087.4799750155216"/>
    <n v="9265.7511829927844"/>
  </r>
  <r>
    <s v="Regular"/>
    <x v="2"/>
    <x v="0"/>
    <x v="4"/>
    <x v="0"/>
    <x v="1"/>
    <x v="0"/>
    <x v="1"/>
    <x v="6"/>
    <n v="13"/>
    <n v="12.48"/>
    <n v="30.69"/>
    <n v="29.462399999999999"/>
    <n v="30.69"/>
    <n v="29.4623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18.3648"/>
    <n v="2612.1363839999999"/>
    <n v="9163.9848959999999"/>
    <n v="371.94476963750941"/>
    <n v="4043.9961454940799"/>
    <n v="9167.1793618971169"/>
  </r>
  <r>
    <s v="Regular"/>
    <x v="2"/>
    <x v="0"/>
    <x v="4"/>
    <x v="0"/>
    <x v="1"/>
    <x v="0"/>
    <x v="1"/>
    <x v="7"/>
    <n v="13"/>
    <n v="12.48"/>
    <n v="30.672000000000001"/>
    <n v="29.445119999999999"/>
    <n v="30.672000000000001"/>
    <n v="29.44511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18.3648"/>
    <n v="2610.6043391999997"/>
    <n v="9158.6101247999995"/>
    <n v="371.94476963750941"/>
    <n v="4041.6243002474557"/>
    <n v="9161.8027171100803"/>
  </r>
  <r>
    <s v="Regular"/>
    <x v="2"/>
    <x v="0"/>
    <x v="4"/>
    <x v="0"/>
    <x v="1"/>
    <x v="0"/>
    <x v="1"/>
    <x v="8"/>
    <n v="13"/>
    <n v="12.48"/>
    <n v="31.605"/>
    <n v="30.340800000000002"/>
    <n v="31.605"/>
    <n v="30.34080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318.3648"/>
    <n v="2690.015328"/>
    <n v="9437.2024320000019"/>
    <n v="371.94476963750941"/>
    <n v="4164.5649455308048"/>
    <n v="9440.4921385714697"/>
  </r>
  <r>
    <s v="Regular"/>
    <x v="2"/>
    <x v="0"/>
    <x v="4"/>
    <x v="0"/>
    <x v="1"/>
    <x v="0"/>
    <x v="1"/>
    <x v="9"/>
    <n v="116"/>
    <n v="111.36"/>
    <n v="36.561"/>
    <n v="35.098559999999999"/>
    <n v="36.561"/>
    <n v="35.09855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2840.7936"/>
    <n v="3111.8383295999997"/>
    <n v="10917.0561024"/>
    <n v="3318.8917906116221"/>
    <n v="4817.6130034346379"/>
    <n v="10920.861669935501"/>
  </r>
  <r>
    <s v="Regular"/>
    <x v="2"/>
    <x v="0"/>
    <x v="4"/>
    <x v="0"/>
    <x v="1"/>
    <x v="0"/>
    <x v="1"/>
    <x v="10"/>
    <n v="125"/>
    <n v="120"/>
    <n v="31.76"/>
    <n v="30.489599999999999"/>
    <n v="31.76"/>
    <n v="30.4895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061.2000000000003"/>
    <n v="2703.2079359999998"/>
    <n v="9483.485184000001"/>
    <n v="3576.3920157452826"/>
    <n v="4184.9891684878457"/>
    <n v="9486.7910242376165"/>
  </r>
  <r>
    <s v="PROJETADO"/>
    <x v="2"/>
    <x v="0"/>
    <x v="4"/>
    <x v="0"/>
    <x v="1"/>
    <x v="0"/>
    <x v="1"/>
    <x v="11"/>
    <n v="125"/>
    <n v="120"/>
    <n v="31.76"/>
    <n v="30.489599999999999"/>
    <n v="31.76"/>
    <n v="30.489599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3061.2000000000003"/>
    <n v="2703.2079359999998"/>
    <n v="9483.485184000001"/>
    <n v="3576.3920157452826"/>
    <n v="4184.9891684878457"/>
    <n v="9486.7910242376165"/>
  </r>
  <r>
    <s v="Regular"/>
    <x v="2"/>
    <x v="0"/>
    <x v="4"/>
    <x v="0"/>
    <x v="1"/>
    <x v="0"/>
    <x v="2"/>
    <x v="0"/>
    <n v="52"/>
    <n v="49.92"/>
    <n v="2.97"/>
    <n v="2.8512"/>
    <n v="2.97"/>
    <n v="2.8512"/>
    <n v="0"/>
    <x v="3"/>
    <n v="0"/>
    <n v="21"/>
    <n v="23"/>
    <n v="78"/>
    <n v="65.599999999999994"/>
    <n v="88.66"/>
    <n v="496.15"/>
    <n v="75.407822945580492"/>
    <n v="137.25956288333876"/>
    <n v="506.4861368306324"/>
    <n v="3274.752"/>
    <n v="252.78739199999998"/>
    <n v="1414.6228799999999"/>
    <n v="3764.3585214433783"/>
    <n v="391.35446569297545"/>
    <n v="1444.0932733314992"/>
  </r>
  <r>
    <s v="Regular"/>
    <x v="2"/>
    <x v="0"/>
    <x v="4"/>
    <x v="0"/>
    <x v="1"/>
    <x v="0"/>
    <x v="2"/>
    <x v="1"/>
    <n v="55"/>
    <n v="52.8"/>
    <n v="2.42"/>
    <n v="2.3231999999999999"/>
    <n v="2.42"/>
    <n v="2.3231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3463.6799999999994"/>
    <n v="205.97491199999999"/>
    <n v="1152.6556799999998"/>
    <n v="3981.5330515266496"/>
    <n v="318.88141649057258"/>
    <n v="1176.6685930849251"/>
  </r>
  <r>
    <s v="Regular"/>
    <x v="2"/>
    <x v="0"/>
    <x v="4"/>
    <x v="0"/>
    <x v="1"/>
    <x v="0"/>
    <x v="2"/>
    <x v="2"/>
    <n v="55"/>
    <n v="52.8"/>
    <n v="2.42"/>
    <n v="2.3231999999999999"/>
    <n v="2.42"/>
    <n v="2.32319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3463.6799999999994"/>
    <n v="205.97491199999999"/>
    <n v="1152.6556799999998"/>
    <n v="3981.5330515266496"/>
    <n v="318.88141649057258"/>
    <n v="1176.6685930849251"/>
  </r>
  <r>
    <s v="Regular"/>
    <x v="2"/>
    <x v="0"/>
    <x v="4"/>
    <x v="0"/>
    <x v="1"/>
    <x v="0"/>
    <x v="2"/>
    <x v="3"/>
    <n v="55"/>
    <n v="52.8"/>
    <n v="2.09"/>
    <n v="2.0064000000000002"/>
    <n v="2.09"/>
    <n v="2.00640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3463.6799999999994"/>
    <n v="177.88742400000001"/>
    <n v="995.47536000000002"/>
    <n v="3981.5330515266496"/>
    <n v="275.39758696913088"/>
    <n v="1016.2137849369809"/>
  </r>
  <r>
    <s v="Regular"/>
    <x v="2"/>
    <x v="0"/>
    <x v="4"/>
    <x v="0"/>
    <x v="1"/>
    <x v="0"/>
    <x v="2"/>
    <x v="4"/>
    <n v="60"/>
    <n v="57.6"/>
    <n v="1.98"/>
    <n v="1.9008"/>
    <n v="1.98"/>
    <n v="1.9008"/>
    <n v="0"/>
    <x v="3"/>
    <n v="0"/>
    <n v="21"/>
    <n v="23"/>
    <n v="78"/>
    <n v="65.599999999999994"/>
    <n v="88.66"/>
    <n v="496.15"/>
    <n v="75.407822945580492"/>
    <n v="137.25956288333876"/>
    <n v="506.4861368306324"/>
    <n v="3778.56"/>
    <n v="168.52492799999999"/>
    <n v="943.08191999999997"/>
    <n v="4343.4906016654368"/>
    <n v="260.90297712865032"/>
    <n v="962.72884888766612"/>
  </r>
  <r>
    <s v="Regular"/>
    <x v="2"/>
    <x v="0"/>
    <x v="4"/>
    <x v="0"/>
    <x v="1"/>
    <x v="0"/>
    <x v="2"/>
    <x v="5"/>
    <n v="6"/>
    <n v="5.76"/>
    <n v="1.98"/>
    <n v="1.9008"/>
    <n v="1.98"/>
    <n v="1.9008"/>
    <n v="0"/>
    <x v="3"/>
    <n v="0"/>
    <n v="21"/>
    <n v="23"/>
    <n v="78"/>
    <n v="65.599999999999994"/>
    <n v="88.66"/>
    <n v="496.15"/>
    <n v="75.407822945580492"/>
    <n v="137.25956288333876"/>
    <n v="506.4861368306324"/>
    <n v="377.85599999999994"/>
    <n v="168.52492799999999"/>
    <n v="943.08191999999997"/>
    <n v="434.34906016654361"/>
    <n v="260.90297712865032"/>
    <n v="962.72884888766612"/>
  </r>
  <r>
    <s v="Regular"/>
    <x v="2"/>
    <x v="0"/>
    <x v="4"/>
    <x v="0"/>
    <x v="1"/>
    <x v="0"/>
    <x v="2"/>
    <x v="6"/>
    <n v="6"/>
    <n v="5.76"/>
    <n v="1.98"/>
    <n v="1.9008"/>
    <n v="1.98"/>
    <n v="1.9008"/>
    <n v="0"/>
    <x v="3"/>
    <n v="0"/>
    <n v="21"/>
    <n v="23"/>
    <n v="78"/>
    <n v="65.599999999999994"/>
    <n v="88.66"/>
    <n v="496.15"/>
    <n v="75.407822945580492"/>
    <n v="137.25956288333876"/>
    <n v="506.4861368306324"/>
    <n v="377.85599999999994"/>
    <n v="168.52492799999999"/>
    <n v="943.08191999999997"/>
    <n v="434.34906016654361"/>
    <n v="260.90297712865032"/>
    <n v="962.72884888766612"/>
  </r>
  <r>
    <s v="Regular"/>
    <x v="2"/>
    <x v="0"/>
    <x v="4"/>
    <x v="0"/>
    <x v="1"/>
    <x v="0"/>
    <x v="2"/>
    <x v="7"/>
    <n v="6"/>
    <n v="5.76"/>
    <n v="2.016"/>
    <n v="1.93536"/>
    <n v="2.016"/>
    <n v="1.93536"/>
    <n v="0"/>
    <x v="3"/>
    <n v="0"/>
    <n v="21"/>
    <n v="23"/>
    <n v="78"/>
    <n v="65.599999999999994"/>
    <n v="88.66"/>
    <n v="496.15"/>
    <n v="75.407822945580492"/>
    <n v="137.25956288333876"/>
    <n v="506.4861368306324"/>
    <n v="377.85599999999994"/>
    <n v="171.58901759999998"/>
    <n v="960.22886399999993"/>
    <n v="434.34906016654361"/>
    <n v="265.64666762189847"/>
    <n v="980.23300977653275"/>
  </r>
  <r>
    <s v="Regular"/>
    <x v="2"/>
    <x v="0"/>
    <x v="4"/>
    <x v="0"/>
    <x v="1"/>
    <x v="0"/>
    <x v="2"/>
    <x v="8"/>
    <n v="6"/>
    <n v="5.76"/>
    <n v="2.1019999999999999"/>
    <n v="2.0179200000000002"/>
    <n v="2.1019999999999999"/>
    <n v="2.01792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377.85599999999994"/>
    <n v="178.90878720000001"/>
    <n v="1001.191008"/>
    <n v="434.34906016654361"/>
    <n v="276.97881713354695"/>
    <n v="1022.0485052332698"/>
  </r>
  <r>
    <s v="Regular"/>
    <x v="2"/>
    <x v="0"/>
    <x v="4"/>
    <x v="0"/>
    <x v="1"/>
    <x v="0"/>
    <x v="2"/>
    <x v="9"/>
    <n v="50"/>
    <n v="48"/>
    <n v="2.7410000000000001"/>
    <n v="2.6313599999999999"/>
    <n v="2.7410000000000001"/>
    <n v="2.631359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3148.7999999999997"/>
    <n v="233.29637759999997"/>
    <n v="1305.549264"/>
    <n v="3619.5755013878634"/>
    <n v="361.17932338870224"/>
    <n v="1332.7473610106529"/>
  </r>
  <r>
    <s v="Regular"/>
    <x v="2"/>
    <x v="0"/>
    <x v="4"/>
    <x v="0"/>
    <x v="1"/>
    <x v="0"/>
    <x v="2"/>
    <x v="10"/>
    <n v="48"/>
    <n v="46.08"/>
    <n v="2.1459999999999999"/>
    <n v="2.0601600000000002"/>
    <n v="2.1459999999999999"/>
    <n v="2.06016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3022.8479999999995"/>
    <n v="182.65378560000002"/>
    <n v="1022.1483840000001"/>
    <n v="3474.7924813323489"/>
    <n v="282.77666106973919"/>
    <n v="1043.4424796529959"/>
  </r>
  <r>
    <s v="PROJETADO"/>
    <x v="2"/>
    <x v="0"/>
    <x v="4"/>
    <x v="0"/>
    <x v="1"/>
    <x v="0"/>
    <x v="2"/>
    <x v="11"/>
    <n v="48"/>
    <n v="46.08"/>
    <n v="2.1459999999999999"/>
    <n v="2.0601600000000002"/>
    <n v="2.1459999999999999"/>
    <n v="2.0601600000000002"/>
    <n v="0"/>
    <x v="3"/>
    <n v="0"/>
    <n v="21"/>
    <n v="23"/>
    <n v="78"/>
    <n v="65.599999999999994"/>
    <n v="88.66"/>
    <n v="496.15"/>
    <n v="75.407822945580492"/>
    <n v="137.25956288333876"/>
    <n v="506.4861368306324"/>
    <n v="3022.8479999999995"/>
    <n v="182.65378560000002"/>
    <n v="1022.1483840000001"/>
    <n v="3474.7924813323489"/>
    <n v="282.77666106973919"/>
    <n v="1043.4424796529959"/>
  </r>
  <r>
    <s v="Regular"/>
    <x v="2"/>
    <x v="0"/>
    <x v="5"/>
    <x v="1"/>
    <x v="1"/>
    <x v="0"/>
    <x v="1"/>
    <x v="0"/>
    <n v="560"/>
    <n v="476"/>
    <n v="218.70099999999999"/>
    <n v="205.57893999999999"/>
    <n v="218.70099999999999"/>
    <n v="205.57893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12142.76"/>
    <n v="18226.628820399997"/>
    <n v="63943.273497599999"/>
    <n v="14186.354995789621"/>
    <n v="28217.675442420124"/>
    <n v="63965.563430293718"/>
  </r>
  <r>
    <s v="Refaturamento - Regular"/>
    <x v="2"/>
    <x v="0"/>
    <x v="5"/>
    <x v="1"/>
    <x v="1"/>
    <x v="0"/>
    <x v="1"/>
    <x v="0"/>
    <n v="36"/>
    <n v="30.599999999999998"/>
    <n v="-2.16"/>
    <n v="-2.0304000000000002"/>
    <n v="-2.16"/>
    <n v="-2.030400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780.60599999999999"/>
    <n v="-180.015264"/>
    <n v="-631.53561600000012"/>
    <n v="911.97996401504702"/>
    <n v="-278.69181647833102"/>
    <n v="-631.75576247678089"/>
  </r>
  <r>
    <s v="Regular"/>
    <x v="2"/>
    <x v="0"/>
    <x v="5"/>
    <x v="1"/>
    <x v="1"/>
    <x v="0"/>
    <x v="1"/>
    <x v="1"/>
    <n v="577"/>
    <n v="490.45"/>
    <n v="214.874"/>
    <n v="201.98156"/>
    <n v="214.874"/>
    <n v="201.98156"/>
    <n v="0"/>
    <x v="3"/>
    <n v="0"/>
    <n v="22"/>
    <n v="23"/>
    <n v="79"/>
    <n v="25.51"/>
    <n v="88.66"/>
    <n v="311.04000000000002"/>
    <n v="29.803266797877356"/>
    <n v="137.25956288333876"/>
    <n v="311.14842517571947"/>
    <n v="12511.379500000001"/>
    <n v="17907.685109599999"/>
    <n v="62824.344422400005"/>
    <n v="14617.01220101895"/>
    <n v="27723.900636094862"/>
    <n v="62846.24430853509"/>
  </r>
  <r>
    <s v="Refaturamento - Regular"/>
    <x v="2"/>
    <x v="0"/>
    <x v="5"/>
    <x v="1"/>
    <x v="1"/>
    <x v="0"/>
    <x v="1"/>
    <x v="1"/>
    <n v="15"/>
    <n v="12.75"/>
    <n v="-6.3780000000000001"/>
    <n v="-5.9953200000000004"/>
    <n v="-6.3780000000000001"/>
    <n v="-5.9953200000000004"/>
    <n v="0"/>
    <x v="3"/>
    <n v="0"/>
    <n v="22"/>
    <n v="23"/>
    <n v="79"/>
    <n v="25.51"/>
    <n v="88.66"/>
    <n v="311.04000000000002"/>
    <n v="29.803266797877356"/>
    <n v="137.25956288333876"/>
    <n v="311.14842517571947"/>
    <n v="325.2525"/>
    <n v="-531.54507120000005"/>
    <n v="-1864.7843328000004"/>
    <n v="379.99165167293631"/>
    <n v="-822.91500254573862"/>
    <n v="-1865.4343764244945"/>
  </r>
  <r>
    <s v="Regular"/>
    <x v="2"/>
    <x v="0"/>
    <x v="5"/>
    <x v="1"/>
    <x v="1"/>
    <x v="0"/>
    <x v="1"/>
    <x v="2"/>
    <n v="572"/>
    <n v="486.2"/>
    <n v="219.011"/>
    <n v="205.87034"/>
    <n v="219.011"/>
    <n v="205.87034"/>
    <n v="0"/>
    <x v="3"/>
    <n v="0"/>
    <n v="22"/>
    <n v="23"/>
    <n v="79"/>
    <n v="25.51"/>
    <n v="88.66"/>
    <n v="311.04000000000002"/>
    <n v="29.803266797877356"/>
    <n v="137.25956288333876"/>
    <n v="311.14842517571947"/>
    <n v="12402.962000000001"/>
    <n v="18252.464344399999"/>
    <n v="64033.910553600006"/>
    <n v="14490.348317127969"/>
    <n v="28257.67287904433"/>
    <n v="64056.232081389928"/>
  </r>
  <r>
    <s v="Regular"/>
    <x v="2"/>
    <x v="0"/>
    <x v="5"/>
    <x v="1"/>
    <x v="1"/>
    <x v="0"/>
    <x v="1"/>
    <x v="3"/>
    <n v="578"/>
    <n v="491.3"/>
    <n v="220.649"/>
    <n v="207.41005999999999"/>
    <n v="220.649"/>
    <n v="207.41005999999999"/>
    <n v="0"/>
    <x v="3"/>
    <n v="0"/>
    <n v="22"/>
    <n v="23"/>
    <n v="79"/>
    <n v="25.51"/>
    <n v="88.66"/>
    <n v="311.04000000000002"/>
    <n v="29.803266797877356"/>
    <n v="137.25956288333876"/>
    <n v="311.14842517571947"/>
    <n v="12533.063000000002"/>
    <n v="18388.975919599998"/>
    <n v="64512.825062399999"/>
    <n v="14642.344977797145"/>
    <n v="28469.014173207062"/>
    <n v="64535.313534601482"/>
  </r>
  <r>
    <s v="Regular"/>
    <x v="2"/>
    <x v="0"/>
    <x v="5"/>
    <x v="1"/>
    <x v="1"/>
    <x v="0"/>
    <x v="1"/>
    <x v="4"/>
    <n v="278"/>
    <n v="236.29999999999998"/>
    <n v="114.20699999999999"/>
    <n v="107.35458"/>
    <n v="114.20699999999999"/>
    <n v="107.35458"/>
    <n v="0"/>
    <x v="3"/>
    <n v="0"/>
    <n v="22"/>
    <n v="23"/>
    <n v="79"/>
    <n v="25.51"/>
    <n v="88.66"/>
    <n v="311.04000000000002"/>
    <n v="29.803266797877356"/>
    <n v="137.25956288333876"/>
    <n v="311.14842517571947"/>
    <n v="6028.0129999999999"/>
    <n v="9518.0570627999987"/>
    <n v="33391.568563200002"/>
    <n v="7042.5119443384183"/>
    <n v="14735.442724324421"/>
    <n v="33403.20850240079"/>
  </r>
  <r>
    <s v="Regular"/>
    <x v="2"/>
    <x v="0"/>
    <x v="5"/>
    <x v="1"/>
    <x v="1"/>
    <x v="0"/>
    <x v="1"/>
    <x v="5"/>
    <n v="256"/>
    <n v="217.6"/>
    <n v="91.694999999999993"/>
    <n v="86.193299999999994"/>
    <n v="91.694999999999993"/>
    <n v="86.193299999999994"/>
    <n v="0"/>
    <x v="3"/>
    <n v="0"/>
    <n v="22"/>
    <n v="23"/>
    <n v="79"/>
    <n v="25.51"/>
    <n v="88.66"/>
    <n v="311.04000000000002"/>
    <n v="29.803266797877356"/>
    <n v="137.25956288333876"/>
    <n v="311.14842517571947"/>
    <n v="5550.9760000000006"/>
    <n v="7641.8979779999991"/>
    <n v="26809.564031999998"/>
    <n v="6485.1908552181121"/>
    <n v="11830.854681472481"/>
    <n v="26818.909555698337"/>
  </r>
  <r>
    <s v="Regular"/>
    <x v="2"/>
    <x v="0"/>
    <x v="5"/>
    <x v="1"/>
    <x v="1"/>
    <x v="0"/>
    <x v="1"/>
    <x v="6"/>
    <n v="257"/>
    <n v="218.45"/>
    <n v="96.444000000000003"/>
    <n v="90.657359999999997"/>
    <n v="96.444000000000003"/>
    <n v="90.657359999999997"/>
    <n v="0"/>
    <x v="3"/>
    <n v="0"/>
    <n v="22"/>
    <n v="23"/>
    <n v="79"/>
    <n v="25.51"/>
    <n v="88.66"/>
    <n v="311.04000000000002"/>
    <n v="29.803266797877356"/>
    <n v="137.25956288333876"/>
    <n v="311.14842517571947"/>
    <n v="5572.6594999999998"/>
    <n v="8037.6815375999995"/>
    <n v="28198.0652544"/>
    <n v="6510.5236319963078"/>
    <n v="12443.589605757479"/>
    <n v="28207.894794588261"/>
  </r>
  <r>
    <s v="Regular"/>
    <x v="2"/>
    <x v="0"/>
    <x v="5"/>
    <x v="1"/>
    <x v="1"/>
    <x v="0"/>
    <x v="1"/>
    <x v="7"/>
    <n v="257"/>
    <n v="218.45"/>
    <n v="99.897000000000006"/>
    <n v="93.903180000000006"/>
    <n v="99.897000000000006"/>
    <n v="93.903180000000006"/>
    <n v="0"/>
    <x v="3"/>
    <n v="0"/>
    <n v="22"/>
    <n v="23"/>
    <n v="79"/>
    <n v="25.51"/>
    <n v="88.66"/>
    <n v="311.04000000000002"/>
    <n v="29.803266797877356"/>
    <n v="137.25956288333876"/>
    <n v="311.14842517571947"/>
    <n v="5572.6594999999998"/>
    <n v="8325.4559387999998"/>
    <n v="29207.645107200005"/>
    <n v="6510.5236319963078"/>
    <n v="12889.10944015548"/>
    <n v="29217.82657599212"/>
  </r>
  <r>
    <s v="Regular"/>
    <x v="2"/>
    <x v="0"/>
    <x v="5"/>
    <x v="1"/>
    <x v="1"/>
    <x v="0"/>
    <x v="1"/>
    <x v="8"/>
    <n v="265"/>
    <n v="225.25"/>
    <n v="95.162000000000006"/>
    <n v="89.452280000000002"/>
    <n v="95.162000000000006"/>
    <n v="89.45228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5746.1275000000005"/>
    <n v="7930.8391448000002"/>
    <n v="27823.237171200002"/>
    <n v="6713.1858462218743"/>
    <n v="12278.180851718027"/>
    <n v="27832.936050377506"/>
  </r>
  <r>
    <s v="Regular"/>
    <x v="2"/>
    <x v="0"/>
    <x v="5"/>
    <x v="1"/>
    <x v="1"/>
    <x v="0"/>
    <x v="1"/>
    <x v="9"/>
    <n v="260"/>
    <n v="221"/>
    <n v="97.099000000000004"/>
    <n v="91.273060000000001"/>
    <n v="97.099000000000004"/>
    <n v="91.273060000000001"/>
    <n v="0"/>
    <x v="3"/>
    <n v="0"/>
    <n v="22"/>
    <n v="23"/>
    <n v="79"/>
    <n v="25.51"/>
    <n v="88.66"/>
    <n v="311.04000000000002"/>
    <n v="29.803266797877356"/>
    <n v="137.25956288333876"/>
    <n v="311.14842517571947"/>
    <n v="5637.71"/>
    <n v="8092.2694996"/>
    <n v="28389.572582400004"/>
    <n v="6586.5219623308958"/>
    <n v="12528.100318624753"/>
    <n v="28399.468879968954"/>
  </r>
  <r>
    <s v="Regular"/>
    <x v="2"/>
    <x v="0"/>
    <x v="5"/>
    <x v="1"/>
    <x v="1"/>
    <x v="0"/>
    <x v="1"/>
    <x v="10"/>
    <n v="258"/>
    <n v="219.29999999999998"/>
    <n v="101.884"/>
    <n v="95.770960000000002"/>
    <n v="101.884"/>
    <n v="95.77096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5594.3429999999998"/>
    <n v="8491.0533135999995"/>
    <n v="29788.599398400002"/>
    <n v="6535.8564087745035"/>
    <n v="13145.480106517722"/>
    <n v="29798.983381566824"/>
  </r>
  <r>
    <s v="PROJETADO"/>
    <x v="2"/>
    <x v="0"/>
    <x v="5"/>
    <x v="1"/>
    <x v="1"/>
    <x v="0"/>
    <x v="1"/>
    <x v="11"/>
    <n v="258"/>
    <n v="219.29999999999998"/>
    <n v="101.884"/>
    <n v="95.770960000000002"/>
    <n v="101.884"/>
    <n v="95.770960000000002"/>
    <n v="0"/>
    <x v="3"/>
    <n v="0"/>
    <n v="22"/>
    <n v="23"/>
    <n v="79"/>
    <n v="25.51"/>
    <n v="88.66"/>
    <n v="311.04000000000002"/>
    <n v="29.803266797877356"/>
    <n v="137.25956288333876"/>
    <n v="311.14842517571947"/>
    <n v="5594.3429999999998"/>
    <n v="8491.0533135999995"/>
    <n v="29788.599398400002"/>
    <n v="6535.8564087745035"/>
    <n v="13145.480106517722"/>
    <n v="29798.983381566824"/>
  </r>
  <r>
    <s v="Regular"/>
    <x v="2"/>
    <x v="0"/>
    <x v="5"/>
    <x v="1"/>
    <x v="1"/>
    <x v="0"/>
    <x v="2"/>
    <x v="0"/>
    <n v="537"/>
    <n v="456.45"/>
    <n v="23.594999999999999"/>
    <n v="22.179300000000001"/>
    <n v="23.594999999999999"/>
    <n v="22.1793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29943.119999999995"/>
    <n v="1966.4167380000001"/>
    <n v="11004.259695000001"/>
    <n v="34419.900783510217"/>
    <n v="3044.3210230584355"/>
    <n v="11233.507974607646"/>
  </r>
  <r>
    <s v="Refaturamento - Regular"/>
    <x v="2"/>
    <x v="0"/>
    <x v="5"/>
    <x v="1"/>
    <x v="1"/>
    <x v="0"/>
    <x v="2"/>
    <x v="0"/>
    <n v="32"/>
    <n v="27.2"/>
    <n v="0"/>
    <n v="0"/>
    <n v="0"/>
    <n v="0"/>
    <n v="0"/>
    <x v="3"/>
    <n v="0"/>
    <n v="21"/>
    <n v="0"/>
    <n v="0"/>
    <n v="65.599999999999994"/>
    <n v="0"/>
    <n v="0"/>
    <n v="75.407822945580492"/>
    <n v="137.25956288333876"/>
    <n v="506.4861368306324"/>
    <n v="1784.3199999999997"/>
    <n v="0"/>
    <n v="0"/>
    <n v="2051.0927841197895"/>
    <n v="0"/>
    <n v="0"/>
  </r>
  <r>
    <s v="Regular"/>
    <x v="2"/>
    <x v="0"/>
    <x v="5"/>
    <x v="1"/>
    <x v="1"/>
    <x v="0"/>
    <x v="2"/>
    <x v="1"/>
    <n v="550"/>
    <n v="467.5"/>
    <n v="23.18"/>
    <n v="21.789200000000001"/>
    <n v="23.18"/>
    <n v="21.7892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30667.999999999996"/>
    <n v="1931.8304720000001"/>
    <n v="10810.711579999999"/>
    <n v="35253.15722705888"/>
    <n v="2990.7760675776449"/>
    <n v="11035.927732630016"/>
  </r>
  <r>
    <s v="Refaturamento - Regular"/>
    <x v="2"/>
    <x v="0"/>
    <x v="5"/>
    <x v="1"/>
    <x v="1"/>
    <x v="0"/>
    <x v="2"/>
    <x v="1"/>
    <n v="14"/>
    <n v="11.9"/>
    <n v="-0.438"/>
    <n v="-0.41171999999999997"/>
    <n v="-0.438"/>
    <n v="-0.41171999999999997"/>
    <n v="0"/>
    <x v="3"/>
    <n v="0"/>
    <n v="21"/>
    <n v="23"/>
    <n v="78"/>
    <n v="65.599999999999994"/>
    <n v="88.66"/>
    <n v="496.15"/>
    <n v="75.407822945580492"/>
    <n v="137.25956288333876"/>
    <n v="506.4861368306324"/>
    <n v="780.64"/>
    <n v="-36.503095199999997"/>
    <n v="-204.27487799999997"/>
    <n v="897.35309305240787"/>
    <n v="-56.512507230328232"/>
    <n v="-208.53047225590797"/>
  </r>
  <r>
    <s v="Regular"/>
    <x v="2"/>
    <x v="0"/>
    <x v="5"/>
    <x v="1"/>
    <x v="1"/>
    <x v="0"/>
    <x v="2"/>
    <x v="2"/>
    <n v="546"/>
    <n v="464.09999999999997"/>
    <n v="22.675999999999998"/>
    <n v="21.315439999999999"/>
    <n v="22.675999999999998"/>
    <n v="21.31543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30444.959999999995"/>
    <n v="1889.8269103999999"/>
    <n v="10575.655556"/>
    <n v="34996.770629043902"/>
    <n v="2925.7479770660343"/>
    <n v="10795.974860445134"/>
  </r>
  <r>
    <s v="Regular"/>
    <x v="2"/>
    <x v="0"/>
    <x v="5"/>
    <x v="1"/>
    <x v="1"/>
    <x v="0"/>
    <x v="2"/>
    <x v="3"/>
    <n v="545"/>
    <n v="463.25"/>
    <n v="22.198"/>
    <n v="20.866119999999999"/>
    <n v="22.198"/>
    <n v="20.866119999999999"/>
    <n v="0"/>
    <x v="3"/>
    <n v="0"/>
    <n v="21"/>
    <n v="23"/>
    <n v="78"/>
    <n v="65.599999999999994"/>
    <n v="88.66"/>
    <n v="496.15"/>
    <n v="75.407822945580492"/>
    <n v="137.25956288333876"/>
    <n v="506.4861368306324"/>
    <n v="30389.199999999997"/>
    <n v="1849.9901991999998"/>
    <n v="10352.725437999999"/>
    <n v="34932.673979540166"/>
    <n v="2864.0745102712922"/>
    <n v="10568.400509444395"/>
  </r>
  <r>
    <s v="Regular"/>
    <x v="2"/>
    <x v="0"/>
    <x v="5"/>
    <x v="1"/>
    <x v="1"/>
    <x v="0"/>
    <x v="2"/>
    <x v="4"/>
    <n v="254"/>
    <n v="215.9"/>
    <n v="8.6609999999999996"/>
    <n v="8.1413399999999996"/>
    <n v="8.6609999999999996"/>
    <n v="8.1413399999999996"/>
    <n v="0"/>
    <x v="3"/>
    <n v="0"/>
    <n v="21"/>
    <n v="23"/>
    <n v="78"/>
    <n v="65.599999999999994"/>
    <n v="88.66"/>
    <n v="496.15"/>
    <n v="75.407822945580492"/>
    <n v="137.25956288333876"/>
    <n v="506.4861368306324"/>
    <n v="14163.039999999999"/>
    <n v="721.81120439999995"/>
    <n v="4039.3258409999994"/>
    <n v="16280.548973950828"/>
    <n v="1117.4767696846411"/>
    <n v="4123.4758452247006"/>
  </r>
  <r>
    <s v="Regular"/>
    <x v="2"/>
    <x v="0"/>
    <x v="5"/>
    <x v="1"/>
    <x v="1"/>
    <x v="0"/>
    <x v="2"/>
    <x v="5"/>
    <n v="224"/>
    <n v="190.4"/>
    <n v="7.1050000000000004"/>
    <n v="6.6787000000000001"/>
    <n v="7.1050000000000004"/>
    <n v="6.67870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12490.24"/>
    <n v="592.13354200000003"/>
    <n v="3313.637005"/>
    <n v="14357.649488838526"/>
    <n v="916.71544262895463"/>
    <n v="3382.6689620507445"/>
  </r>
  <r>
    <s v="Regular"/>
    <x v="2"/>
    <x v="0"/>
    <x v="5"/>
    <x v="1"/>
    <x v="1"/>
    <x v="0"/>
    <x v="2"/>
    <x v="6"/>
    <n v="225"/>
    <n v="191.25"/>
    <n v="8.4120000000000008"/>
    <n v="7.9072800000000001"/>
    <n v="8.4120000000000008"/>
    <n v="7.9072800000000001"/>
    <n v="0"/>
    <x v="3"/>
    <n v="0"/>
    <n v="21"/>
    <n v="23"/>
    <n v="78"/>
    <n v="65.599999999999994"/>
    <n v="88.66"/>
    <n v="496.15"/>
    <n v="75.407822945580492"/>
    <n v="137.25956288333876"/>
    <n v="506.4861368306324"/>
    <n v="12545.999999999998"/>
    <n v="701.05944479999994"/>
    <n v="3923.1969719999997"/>
    <n v="14421.746138342269"/>
    <n v="1085.349796396167"/>
    <n v="4004.927700038123"/>
  </r>
  <r>
    <s v="Regular"/>
    <x v="2"/>
    <x v="0"/>
    <x v="5"/>
    <x v="1"/>
    <x v="1"/>
    <x v="0"/>
    <x v="2"/>
    <x v="7"/>
    <n v="231"/>
    <n v="196.35"/>
    <n v="8.6790000000000003"/>
    <n v="8.1582600000000003"/>
    <n v="8.6790000000000003"/>
    <n v="8.1582600000000003"/>
    <n v="0"/>
    <x v="3"/>
    <n v="0"/>
    <n v="21"/>
    <n v="23"/>
    <n v="78"/>
    <n v="65.599999999999994"/>
    <n v="88.66"/>
    <n v="496.15"/>
    <n v="75.407822945580492"/>
    <n v="137.25956288333876"/>
    <n v="506.4861368306324"/>
    <n v="12880.559999999998"/>
    <n v="723.31133160000002"/>
    <n v="4047.720699"/>
    <n v="14806.326035364729"/>
    <n v="1119.7992014886272"/>
    <n v="4132.0455906598754"/>
  </r>
  <r>
    <s v="Regular"/>
    <x v="2"/>
    <x v="0"/>
    <x v="5"/>
    <x v="1"/>
    <x v="1"/>
    <x v="0"/>
    <x v="2"/>
    <x v="8"/>
    <n v="236"/>
    <n v="200.6"/>
    <n v="9.5060000000000002"/>
    <n v="8.9356399999999994"/>
    <n v="9.5060000000000002"/>
    <n v="8.9356399999999994"/>
    <n v="0"/>
    <x v="3"/>
    <n v="0"/>
    <n v="21"/>
    <n v="23"/>
    <n v="78"/>
    <n v="65.599999999999994"/>
    <n v="88.66"/>
    <n v="496.15"/>
    <n v="75.407822945580492"/>
    <n v="137.25956288333876"/>
    <n v="506.4861368306324"/>
    <n v="13159.359999999999"/>
    <n v="792.23384239999996"/>
    <n v="4433.4177859999991"/>
    <n v="15126.809282883447"/>
    <n v="1226.502040482877"/>
    <n v="4525.7777837092717"/>
  </r>
  <r>
    <s v="Regular"/>
    <x v="2"/>
    <x v="0"/>
    <x v="5"/>
    <x v="1"/>
    <x v="1"/>
    <x v="0"/>
    <x v="2"/>
    <x v="9"/>
    <n v="235"/>
    <n v="199.75"/>
    <n v="10.074"/>
    <n v="9.4695599999999995"/>
    <n v="10.074"/>
    <n v="9.4695599999999995"/>
    <n v="0"/>
    <x v="3"/>
    <n v="0"/>
    <n v="21"/>
    <n v="23"/>
    <n v="78"/>
    <n v="65.599999999999994"/>
    <n v="88.66"/>
    <n v="496.15"/>
    <n v="75.407822945580492"/>
    <n v="137.25956288333876"/>
    <n v="506.4861368306324"/>
    <n v="13103.599999999999"/>
    <n v="839.57118959999991"/>
    <n v="4698.3221939999994"/>
    <n v="15062.712633379702"/>
    <n v="1299.7876662975493"/>
    <n v="4796.2008618858836"/>
  </r>
  <r>
    <s v="Regular"/>
    <x v="2"/>
    <x v="0"/>
    <x v="5"/>
    <x v="1"/>
    <x v="1"/>
    <x v="0"/>
    <x v="2"/>
    <x v="10"/>
    <n v="229"/>
    <n v="194.65"/>
    <n v="11.121"/>
    <n v="10.45374"/>
    <n v="11.121"/>
    <n v="10.45374"/>
    <n v="0"/>
    <x v="3"/>
    <n v="0"/>
    <n v="21"/>
    <n v="23"/>
    <n v="78"/>
    <n v="65.599999999999994"/>
    <n v="88.66"/>
    <n v="496.15"/>
    <n v="75.407822945580492"/>
    <n v="137.25956288333876"/>
    <n v="506.4861368306324"/>
    <n v="12769.039999999999"/>
    <n v="926.82858839999994"/>
    <n v="5186.6231009999992"/>
    <n v="14678.132736357244"/>
    <n v="1434.8757828960736"/>
    <n v="5294.6743880318554"/>
  </r>
  <r>
    <s v="PROJETADO"/>
    <x v="2"/>
    <x v="0"/>
    <x v="5"/>
    <x v="1"/>
    <x v="1"/>
    <x v="0"/>
    <x v="2"/>
    <x v="11"/>
    <n v="229"/>
    <n v="194.65"/>
    <n v="11.121"/>
    <n v="10.45374"/>
    <n v="11.121"/>
    <n v="10.45374"/>
    <n v="0"/>
    <x v="3"/>
    <n v="0"/>
    <n v="21"/>
    <n v="23"/>
    <n v="78"/>
    <n v="65.599999999999994"/>
    <n v="88.66"/>
    <n v="496.15"/>
    <n v="75.407822945580492"/>
    <n v="137.25956288333876"/>
    <n v="506.4861368306324"/>
    <n v="12769.039999999999"/>
    <n v="926.82858839999994"/>
    <n v="5186.6231009999992"/>
    <n v="14678.132736357244"/>
    <n v="1434.8757828960736"/>
    <n v="5294.6743880318554"/>
  </r>
  <r>
    <s v="Regular"/>
    <x v="2"/>
    <x v="2"/>
    <x v="1"/>
    <x v="0"/>
    <x v="1"/>
    <x v="16"/>
    <x v="1"/>
    <x v="0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1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2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3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4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5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6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7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8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9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1"/>
    <x v="10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PROJETADO"/>
    <x v="2"/>
    <x v="2"/>
    <x v="1"/>
    <x v="0"/>
    <x v="1"/>
    <x v="16"/>
    <x v="1"/>
    <x v="11"/>
    <n v="3500"/>
    <n v="3500"/>
    <n v="0"/>
    <n v="0"/>
    <n v="0"/>
    <n v="0"/>
    <n v="0"/>
    <x v="4"/>
    <n v="4950"/>
    <n v="26"/>
    <n v="0"/>
    <n v="0"/>
    <n v="12.99"/>
    <n v="0"/>
    <n v="0"/>
    <n v="15.731413873893612"/>
    <n v="20.675207958924908"/>
    <m/>
    <n v="45465"/>
    <n v="0"/>
    <n v="0"/>
    <n v="55059.948558627642"/>
    <n v="0"/>
    <n v="0"/>
  </r>
  <r>
    <s v="Regular"/>
    <x v="2"/>
    <x v="2"/>
    <x v="1"/>
    <x v="0"/>
    <x v="1"/>
    <x v="16"/>
    <x v="0"/>
    <x v="0"/>
    <n v="0"/>
    <n v="0"/>
    <n v="823.99800000000005"/>
    <n v="823.99800000000005"/>
    <n v="0"/>
    <n v="0"/>
    <n v="0"/>
    <x v="4"/>
    <n v="4950"/>
    <n v="0"/>
    <n v="27"/>
    <n v="0"/>
    <n v="0"/>
    <n v="19.28"/>
    <n v="0"/>
    <n v="39.494470360941079"/>
    <n v="20.675207958924908"/>
    <m/>
    <n v="0"/>
    <n v="15886.681440000002"/>
    <n v="0"/>
    <n v="0"/>
    <n v="17036.330007738208"/>
    <n v="0"/>
  </r>
  <r>
    <s v="Regular"/>
    <x v="2"/>
    <x v="2"/>
    <x v="1"/>
    <x v="0"/>
    <x v="1"/>
    <x v="16"/>
    <x v="0"/>
    <x v="1"/>
    <n v="0"/>
    <n v="0"/>
    <n v="766.38300000000004"/>
    <n v="766.38300000000004"/>
    <n v="0"/>
    <n v="0"/>
    <n v="0"/>
    <x v="4"/>
    <n v="4950"/>
    <n v="0"/>
    <n v="27"/>
    <n v="0"/>
    <n v="0"/>
    <n v="19.28"/>
    <n v="0"/>
    <n v="39.494470360941079"/>
    <n v="20.675207958924908"/>
    <m/>
    <n v="0"/>
    <n v="14775.864240000001"/>
    <n v="0"/>
    <n v="0"/>
    <n v="15845.127901184749"/>
    <n v="0"/>
  </r>
  <r>
    <s v="Regular"/>
    <x v="2"/>
    <x v="2"/>
    <x v="1"/>
    <x v="0"/>
    <x v="1"/>
    <x v="16"/>
    <x v="0"/>
    <x v="2"/>
    <n v="0"/>
    <n v="0"/>
    <n v="760.92100000000005"/>
    <n v="760.92100000000005"/>
    <n v="0"/>
    <n v="0"/>
    <n v="0"/>
    <x v="4"/>
    <n v="4950"/>
    <n v="0"/>
    <n v="27"/>
    <n v="0"/>
    <n v="0"/>
    <n v="19.28"/>
    <n v="0"/>
    <n v="39.494470360941079"/>
    <n v="20.675207958924908"/>
    <m/>
    <n v="0"/>
    <n v="14670.556880000002"/>
    <n v="0"/>
    <n v="0"/>
    <n v="15732.1999153131"/>
    <n v="0"/>
  </r>
  <r>
    <s v="Regular"/>
    <x v="2"/>
    <x v="2"/>
    <x v="1"/>
    <x v="0"/>
    <x v="1"/>
    <x v="16"/>
    <x v="0"/>
    <x v="3"/>
    <n v="0"/>
    <n v="0"/>
    <n v="794.83"/>
    <n v="794.83"/>
    <n v="0"/>
    <n v="0"/>
    <n v="0"/>
    <x v="4"/>
    <n v="4950"/>
    <n v="0"/>
    <n v="27"/>
    <n v="0"/>
    <n v="0"/>
    <n v="19.28"/>
    <n v="0"/>
    <n v="39.494470360941079"/>
    <n v="20.675207958924908"/>
    <m/>
    <n v="0"/>
    <n v="15324.322400000001"/>
    <n v="0"/>
    <n v="0"/>
    <n v="16433.275541992287"/>
    <n v="0"/>
  </r>
  <r>
    <s v="Regular"/>
    <x v="2"/>
    <x v="2"/>
    <x v="1"/>
    <x v="0"/>
    <x v="1"/>
    <x v="16"/>
    <x v="0"/>
    <x v="4"/>
    <n v="0"/>
    <n v="0"/>
    <n v="855.04399999999998"/>
    <n v="855.04399999999998"/>
    <n v="0"/>
    <n v="0"/>
    <n v="0"/>
    <x v="4"/>
    <n v="4950"/>
    <n v="0"/>
    <n v="27"/>
    <n v="0"/>
    <n v="0"/>
    <n v="19.28"/>
    <n v="0"/>
    <n v="39.494470360941079"/>
    <n v="20.675207958924908"/>
    <m/>
    <n v="0"/>
    <n v="16485.248320000002"/>
    <n v="0"/>
    <n v="0"/>
    <n v="17678.212514030987"/>
    <n v="0"/>
  </r>
  <r>
    <s v="Regular"/>
    <x v="2"/>
    <x v="2"/>
    <x v="1"/>
    <x v="0"/>
    <x v="1"/>
    <x v="16"/>
    <x v="0"/>
    <x v="5"/>
    <n v="0"/>
    <n v="0"/>
    <n v="827.68399999999997"/>
    <n v="827.68399999999997"/>
    <n v="0"/>
    <n v="0"/>
    <n v="0"/>
    <x v="4"/>
    <n v="4950"/>
    <n v="0"/>
    <n v="27"/>
    <n v="0"/>
    <n v="0"/>
    <n v="19.28"/>
    <n v="0"/>
    <n v="39.494470360941079"/>
    <n v="20.675207958924908"/>
    <m/>
    <n v="0"/>
    <n v="15957.747520000001"/>
    <n v="0"/>
    <n v="0"/>
    <n v="17112.538824274801"/>
    <n v="0"/>
  </r>
  <r>
    <s v="Regular"/>
    <x v="2"/>
    <x v="2"/>
    <x v="1"/>
    <x v="0"/>
    <x v="1"/>
    <x v="16"/>
    <x v="0"/>
    <x v="6"/>
    <n v="0"/>
    <n v="0"/>
    <n v="811.846"/>
    <n v="811.846"/>
    <n v="0"/>
    <n v="0"/>
    <n v="0"/>
    <x v="4"/>
    <n v="4950"/>
    <n v="0"/>
    <n v="27"/>
    <n v="0"/>
    <n v="0"/>
    <n v="19.28"/>
    <n v="0"/>
    <n v="39.494470360941079"/>
    <n v="20.675207958924908"/>
    <m/>
    <n v="0"/>
    <n v="15652.390880000001"/>
    <n v="0"/>
    <n v="0"/>
    <n v="16785.084880621351"/>
    <n v="0"/>
  </r>
  <r>
    <s v="Regular"/>
    <x v="2"/>
    <x v="2"/>
    <x v="1"/>
    <x v="0"/>
    <x v="1"/>
    <x v="16"/>
    <x v="0"/>
    <x v="7"/>
    <n v="0"/>
    <n v="0"/>
    <n v="898.20899999999995"/>
    <n v="898.20899999999995"/>
    <n v="0"/>
    <n v="0"/>
    <n v="0"/>
    <x v="4"/>
    <n v="4950"/>
    <n v="0"/>
    <n v="27"/>
    <n v="0"/>
    <n v="0"/>
    <n v="19.28"/>
    <n v="0"/>
    <n v="39.494470360941079"/>
    <n v="20.675207958924908"/>
    <m/>
    <n v="0"/>
    <n v="17317.469519999999"/>
    <n v="0"/>
    <n v="0"/>
    <n v="18570.657865577981"/>
    <n v="0"/>
  </r>
  <r>
    <s v="Regular"/>
    <x v="2"/>
    <x v="2"/>
    <x v="1"/>
    <x v="0"/>
    <x v="1"/>
    <x v="16"/>
    <x v="0"/>
    <x v="8"/>
    <n v="0"/>
    <n v="0"/>
    <n v="934.46799999999996"/>
    <n v="934.46799999999996"/>
    <n v="0"/>
    <n v="0"/>
    <n v="0"/>
    <x v="4"/>
    <n v="4950"/>
    <n v="0"/>
    <n v="27"/>
    <n v="0"/>
    <n v="0"/>
    <n v="19.28"/>
    <n v="0"/>
    <n v="39.494470360941079"/>
    <n v="20.675207958924908"/>
    <m/>
    <n v="0"/>
    <n v="18016.54304"/>
    <n v="0"/>
    <n v="0"/>
    <n v="19320.320230960639"/>
    <n v="0"/>
  </r>
  <r>
    <s v="Regular"/>
    <x v="2"/>
    <x v="2"/>
    <x v="1"/>
    <x v="0"/>
    <x v="1"/>
    <x v="16"/>
    <x v="0"/>
    <x v="9"/>
    <n v="0"/>
    <n v="0"/>
    <n v="832.11099999999999"/>
    <n v="832.11099999999999"/>
    <n v="0"/>
    <n v="0"/>
    <n v="0"/>
    <x v="4"/>
    <n v="4950"/>
    <n v="0"/>
    <n v="27"/>
    <n v="0"/>
    <n v="0"/>
    <n v="19.28"/>
    <n v="0"/>
    <n v="39.494470360941079"/>
    <n v="20.675207958924908"/>
    <m/>
    <n v="0"/>
    <n v="16043.10008"/>
    <n v="0"/>
    <n v="0"/>
    <n v="17204.067969908963"/>
    <n v="0"/>
  </r>
  <r>
    <s v="Regular"/>
    <x v="2"/>
    <x v="2"/>
    <x v="1"/>
    <x v="0"/>
    <x v="1"/>
    <x v="16"/>
    <x v="0"/>
    <x v="10"/>
    <n v="0"/>
    <n v="0"/>
    <n v="991.36300000000006"/>
    <n v="991.36300000000006"/>
    <n v="0"/>
    <n v="0"/>
    <n v="0"/>
    <x v="4"/>
    <n v="4950"/>
    <n v="0"/>
    <n v="27"/>
    <n v="0"/>
    <n v="0"/>
    <n v="19.28"/>
    <n v="0"/>
    <n v="39.494470360941079"/>
    <n v="20.675207958924908"/>
    <m/>
    <n v="0"/>
    <n v="19113.478640000001"/>
    <n v="0"/>
    <n v="0"/>
    <n v="20496.636187783675"/>
    <n v="0"/>
  </r>
  <r>
    <s v="PROJETADO"/>
    <x v="2"/>
    <x v="2"/>
    <x v="1"/>
    <x v="0"/>
    <x v="1"/>
    <x v="16"/>
    <x v="0"/>
    <x v="11"/>
    <n v="0"/>
    <n v="0"/>
    <n v="991.36300000000006"/>
    <n v="991.36300000000006"/>
    <n v="0"/>
    <n v="0"/>
    <n v="0"/>
    <x v="4"/>
    <n v="4950"/>
    <n v="0"/>
    <n v="27"/>
    <n v="0"/>
    <n v="0"/>
    <n v="19.28"/>
    <n v="0"/>
    <n v="39.494470360941079"/>
    <n v="20.675207958924908"/>
    <m/>
    <n v="0"/>
    <n v="19113.478640000001"/>
    <n v="0"/>
    <n v="0"/>
    <n v="20496.636187783675"/>
    <n v="0"/>
  </r>
  <r>
    <s v="Regular"/>
    <x v="2"/>
    <x v="2"/>
    <x v="1"/>
    <x v="0"/>
    <x v="1"/>
    <x v="16"/>
    <x v="2"/>
    <x v="0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1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2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3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4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5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6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7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8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9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2"/>
    <x v="1"/>
    <x v="0"/>
    <x v="1"/>
    <x v="16"/>
    <x v="2"/>
    <x v="10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PROJETADO"/>
    <x v="2"/>
    <x v="2"/>
    <x v="1"/>
    <x v="0"/>
    <x v="1"/>
    <x v="16"/>
    <x v="2"/>
    <x v="11"/>
    <n v="3500"/>
    <n v="3500"/>
    <n v="0"/>
    <n v="0"/>
    <n v="0"/>
    <n v="0"/>
    <n v="0"/>
    <x v="4"/>
    <n v="4950"/>
    <n v="25"/>
    <n v="0"/>
    <n v="0"/>
    <n v="27.87"/>
    <n v="0"/>
    <n v="0"/>
    <n v="33.004245120899263"/>
    <n v="20.675207958924908"/>
    <m/>
    <n v="97545"/>
    <n v="0"/>
    <n v="0"/>
    <n v="115514.85792314741"/>
    <n v="0"/>
    <n v="0"/>
  </r>
  <r>
    <s v="Regular"/>
    <x v="2"/>
    <x v="1"/>
    <x v="1"/>
    <x v="0"/>
    <x v="1"/>
    <x v="17"/>
    <x v="0"/>
    <x v="0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0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0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0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0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0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0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0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0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0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0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0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0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0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0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0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0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0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1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1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1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1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1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1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1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1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1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1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1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1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1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1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1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1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1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1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2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2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2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2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2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2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2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2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2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2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2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2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2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2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2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2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2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2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3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3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3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3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3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3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3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3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3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3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3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3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3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3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3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3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3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3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4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4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4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4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4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4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4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4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4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4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4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4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4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4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4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4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4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4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5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5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5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5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5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5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5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5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5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5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5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5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5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5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5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5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5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5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6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6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6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6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6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6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6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6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6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6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6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6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6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6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6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6"/>
    <n v="3011"/>
    <n v="1505.5"/>
    <n v="0"/>
    <n v="0"/>
    <n v="0"/>
    <n v="0"/>
    <n v="0"/>
    <x v="2"/>
    <n v="31334"/>
    <n v="28"/>
    <n v="0"/>
    <n v="0"/>
    <n v="15.24"/>
    <n v="0"/>
    <n v="0"/>
    <n v="17.13811868924876"/>
    <m/>
    <m/>
    <n v="22943.82"/>
    <n v="0"/>
    <n v="0"/>
    <n v="25801.437686664009"/>
    <n v="0"/>
    <n v="0"/>
  </r>
  <r>
    <s v="Regular"/>
    <x v="2"/>
    <x v="1"/>
    <x v="1"/>
    <x v="0"/>
    <x v="1"/>
    <x v="32"/>
    <x v="0"/>
    <x v="6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6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7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7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7"/>
    <n v="3859"/>
    <n v="1929.5"/>
    <n v="0"/>
    <n v="0"/>
    <n v="0"/>
    <n v="0"/>
    <n v="0"/>
    <x v="2"/>
    <n v="1192"/>
    <n v="28"/>
    <n v="0"/>
    <n v="0"/>
    <n v="15.24"/>
    <n v="0"/>
    <n v="0"/>
    <n v="17.13811868924876"/>
    <m/>
    <m/>
    <n v="29405.58"/>
    <n v="0"/>
    <n v="0"/>
    <n v="33068.000010905482"/>
    <n v="0"/>
    <n v="0"/>
  </r>
  <r>
    <s v="Regular"/>
    <x v="2"/>
    <x v="1"/>
    <x v="1"/>
    <x v="0"/>
    <x v="1"/>
    <x v="20"/>
    <x v="0"/>
    <x v="7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7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7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7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7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7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7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7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7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7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7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7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7"/>
    <n v="3025"/>
    <n v="1512.5"/>
    <n v="0"/>
    <n v="0"/>
    <n v="0"/>
    <n v="0"/>
    <n v="0"/>
    <x v="2"/>
    <n v="31334"/>
    <n v="28"/>
    <n v="0"/>
    <n v="0"/>
    <n v="15.24"/>
    <n v="0"/>
    <n v="0"/>
    <n v="17.13811868924876"/>
    <m/>
    <m/>
    <n v="23050.5"/>
    <n v="0"/>
    <n v="0"/>
    <n v="25921.404517488751"/>
    <n v="0"/>
    <n v="0"/>
  </r>
  <r>
    <s v="Regular"/>
    <x v="2"/>
    <x v="1"/>
    <x v="1"/>
    <x v="0"/>
    <x v="1"/>
    <x v="32"/>
    <x v="0"/>
    <x v="7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7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8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8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8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8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8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8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8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8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8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8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8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8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8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8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8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8"/>
    <n v="3032"/>
    <n v="1516"/>
    <n v="0"/>
    <n v="0"/>
    <n v="0"/>
    <n v="0"/>
    <n v="0"/>
    <x v="2"/>
    <n v="31334"/>
    <n v="28"/>
    <n v="0"/>
    <n v="0"/>
    <n v="15.24"/>
    <n v="0"/>
    <n v="0"/>
    <n v="17.13811868924876"/>
    <m/>
    <m/>
    <n v="23103.84"/>
    <n v="0"/>
    <n v="0"/>
    <n v="25981.387932901122"/>
    <n v="0"/>
    <n v="0"/>
  </r>
  <r>
    <s v="Regular"/>
    <x v="2"/>
    <x v="1"/>
    <x v="1"/>
    <x v="0"/>
    <x v="1"/>
    <x v="32"/>
    <x v="0"/>
    <x v="8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8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9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9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9"/>
    <n v="3832"/>
    <n v="1916"/>
    <n v="0"/>
    <n v="0"/>
    <n v="0"/>
    <n v="0"/>
    <n v="0"/>
    <x v="2"/>
    <n v="1192"/>
    <n v="28"/>
    <n v="0"/>
    <n v="0"/>
    <n v="15.24"/>
    <n v="0"/>
    <n v="0"/>
    <n v="17.13811868924876"/>
    <m/>
    <m/>
    <n v="29199.84"/>
    <n v="0"/>
    <n v="0"/>
    <n v="32836.635408600625"/>
    <n v="0"/>
    <n v="0"/>
  </r>
  <r>
    <s v="Regular"/>
    <x v="2"/>
    <x v="1"/>
    <x v="1"/>
    <x v="0"/>
    <x v="1"/>
    <x v="20"/>
    <x v="0"/>
    <x v="9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9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9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9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9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9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9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9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9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9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9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9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9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9"/>
    <n v="1208"/>
    <n v="604"/>
    <n v="0"/>
    <n v="0"/>
    <n v="0"/>
    <n v="0"/>
    <n v="0"/>
    <x v="2"/>
    <n v="31618"/>
    <n v="28"/>
    <n v="0"/>
    <n v="0"/>
    <n v="15.24"/>
    <n v="0"/>
    <n v="0"/>
    <n v="17.13811868924876"/>
    <m/>
    <m/>
    <n v="9204.9600000000009"/>
    <n v="0"/>
    <n v="0"/>
    <n v="10351.423688306251"/>
    <n v="0"/>
    <n v="0"/>
  </r>
  <r>
    <s v="Regular"/>
    <x v="2"/>
    <x v="1"/>
    <x v="1"/>
    <x v="0"/>
    <x v="1"/>
    <x v="33"/>
    <x v="0"/>
    <x v="9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17"/>
    <x v="0"/>
    <x v="10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Regular"/>
    <x v="2"/>
    <x v="1"/>
    <x v="1"/>
    <x v="0"/>
    <x v="1"/>
    <x v="18"/>
    <x v="0"/>
    <x v="10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Regular"/>
    <x v="2"/>
    <x v="1"/>
    <x v="1"/>
    <x v="0"/>
    <x v="1"/>
    <x v="19"/>
    <x v="0"/>
    <x v="10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Regular"/>
    <x v="2"/>
    <x v="1"/>
    <x v="1"/>
    <x v="0"/>
    <x v="1"/>
    <x v="20"/>
    <x v="0"/>
    <x v="10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Regular"/>
    <x v="2"/>
    <x v="1"/>
    <x v="1"/>
    <x v="0"/>
    <x v="1"/>
    <x v="21"/>
    <x v="0"/>
    <x v="10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Regular"/>
    <x v="2"/>
    <x v="1"/>
    <x v="1"/>
    <x v="0"/>
    <x v="1"/>
    <x v="22"/>
    <x v="0"/>
    <x v="10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Regular"/>
    <x v="2"/>
    <x v="1"/>
    <x v="1"/>
    <x v="0"/>
    <x v="1"/>
    <x v="23"/>
    <x v="0"/>
    <x v="10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Regular"/>
    <x v="2"/>
    <x v="1"/>
    <x v="1"/>
    <x v="0"/>
    <x v="1"/>
    <x v="24"/>
    <x v="0"/>
    <x v="10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Regular"/>
    <x v="2"/>
    <x v="1"/>
    <x v="1"/>
    <x v="0"/>
    <x v="1"/>
    <x v="14"/>
    <x v="0"/>
    <x v="10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Regular"/>
    <x v="2"/>
    <x v="1"/>
    <x v="1"/>
    <x v="0"/>
    <x v="1"/>
    <x v="25"/>
    <x v="0"/>
    <x v="10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Regular"/>
    <x v="2"/>
    <x v="1"/>
    <x v="1"/>
    <x v="0"/>
    <x v="1"/>
    <x v="26"/>
    <x v="0"/>
    <x v="10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Regular"/>
    <x v="2"/>
    <x v="1"/>
    <x v="1"/>
    <x v="0"/>
    <x v="1"/>
    <x v="27"/>
    <x v="0"/>
    <x v="10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8"/>
    <x v="0"/>
    <x v="10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29"/>
    <x v="0"/>
    <x v="10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Regular"/>
    <x v="2"/>
    <x v="1"/>
    <x v="1"/>
    <x v="0"/>
    <x v="1"/>
    <x v="30"/>
    <x v="0"/>
    <x v="10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1"/>
    <x v="0"/>
    <x v="10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Regular"/>
    <x v="2"/>
    <x v="1"/>
    <x v="1"/>
    <x v="0"/>
    <x v="1"/>
    <x v="32"/>
    <x v="0"/>
    <x v="10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1"/>
    <x v="1"/>
    <x v="0"/>
    <x v="1"/>
    <x v="33"/>
    <x v="0"/>
    <x v="10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PROJETADO"/>
    <x v="2"/>
    <x v="1"/>
    <x v="1"/>
    <x v="0"/>
    <x v="1"/>
    <x v="17"/>
    <x v="0"/>
    <x v="11"/>
    <n v="302"/>
    <n v="302"/>
    <n v="0"/>
    <n v="0"/>
    <n v="0"/>
    <n v="0"/>
    <n v="0"/>
    <x v="2"/>
    <n v="404"/>
    <n v="28"/>
    <n v="0"/>
    <n v="0"/>
    <n v="15.24"/>
    <n v="0"/>
    <n v="0"/>
    <n v="17.13811868924876"/>
    <m/>
    <m/>
    <n v="4602.4800000000005"/>
    <n v="0"/>
    <n v="0"/>
    <n v="5175.7118441531256"/>
    <n v="0"/>
    <n v="0"/>
  </r>
  <r>
    <s v="PROJETADO"/>
    <x v="2"/>
    <x v="1"/>
    <x v="1"/>
    <x v="0"/>
    <x v="1"/>
    <x v="18"/>
    <x v="0"/>
    <x v="11"/>
    <n v="5040"/>
    <n v="5040"/>
    <n v="0"/>
    <n v="0"/>
    <n v="0"/>
    <n v="0"/>
    <n v="0"/>
    <x v="2"/>
    <n v="838"/>
    <n v="28"/>
    <n v="0"/>
    <n v="0"/>
    <n v="15.24"/>
    <n v="0"/>
    <n v="0"/>
    <n v="17.13811868924876"/>
    <m/>
    <m/>
    <n v="76809.600000000006"/>
    <n v="0"/>
    <n v="0"/>
    <n v="86376.118193813745"/>
    <n v="0"/>
    <n v="0"/>
  </r>
  <r>
    <s v="PROJETADO"/>
    <x v="2"/>
    <x v="1"/>
    <x v="1"/>
    <x v="0"/>
    <x v="1"/>
    <x v="19"/>
    <x v="0"/>
    <x v="11"/>
    <n v="3800"/>
    <n v="1900"/>
    <n v="0"/>
    <n v="0"/>
    <n v="0"/>
    <n v="0"/>
    <n v="0"/>
    <x v="2"/>
    <n v="1192"/>
    <n v="28"/>
    <n v="0"/>
    <n v="0"/>
    <n v="15.24"/>
    <n v="0"/>
    <n v="0"/>
    <n v="17.13811868924876"/>
    <m/>
    <m/>
    <n v="28956"/>
    <n v="0"/>
    <n v="0"/>
    <n v="32562.425509572644"/>
    <n v="0"/>
    <n v="0"/>
  </r>
  <r>
    <s v="PROJETADO"/>
    <x v="2"/>
    <x v="1"/>
    <x v="1"/>
    <x v="0"/>
    <x v="1"/>
    <x v="20"/>
    <x v="0"/>
    <x v="11"/>
    <n v="480"/>
    <n v="480"/>
    <n v="0"/>
    <n v="0"/>
    <n v="0"/>
    <n v="0"/>
    <n v="0"/>
    <x v="2"/>
    <n v="1438"/>
    <n v="28"/>
    <n v="0"/>
    <n v="0"/>
    <n v="15.24"/>
    <n v="0"/>
    <n v="0"/>
    <n v="17.13811868924876"/>
    <m/>
    <m/>
    <n v="7315.2"/>
    <n v="0"/>
    <n v="0"/>
    <n v="8226.2969708394048"/>
    <n v="0"/>
    <n v="0"/>
  </r>
  <r>
    <s v="PROJETADO"/>
    <x v="2"/>
    <x v="1"/>
    <x v="1"/>
    <x v="0"/>
    <x v="1"/>
    <x v="21"/>
    <x v="0"/>
    <x v="11"/>
    <n v="736"/>
    <n v="736"/>
    <n v="0"/>
    <n v="0"/>
    <n v="0"/>
    <n v="0"/>
    <n v="0"/>
    <x v="2"/>
    <n v="1462"/>
    <n v="28"/>
    <n v="0"/>
    <n v="0"/>
    <n v="15.24"/>
    <n v="0"/>
    <n v="0"/>
    <n v="17.13811868924876"/>
    <m/>
    <m/>
    <n v="11216.64"/>
    <n v="0"/>
    <n v="0"/>
    <n v="12613.655355287086"/>
    <n v="0"/>
    <n v="0"/>
  </r>
  <r>
    <s v="PROJETADO"/>
    <x v="2"/>
    <x v="1"/>
    <x v="1"/>
    <x v="0"/>
    <x v="1"/>
    <x v="22"/>
    <x v="0"/>
    <x v="11"/>
    <n v="6460"/>
    <n v="6460"/>
    <n v="0"/>
    <n v="0"/>
    <n v="0"/>
    <n v="0"/>
    <n v="0"/>
    <x v="2"/>
    <n v="1533"/>
    <n v="28"/>
    <n v="0"/>
    <n v="0"/>
    <n v="15.24"/>
    <n v="0"/>
    <n v="0"/>
    <n v="17.13811868924876"/>
    <m/>
    <m/>
    <n v="98450.4"/>
    <n v="0"/>
    <n v="0"/>
    <n v="110712.24673254699"/>
    <n v="0"/>
    <n v="0"/>
  </r>
  <r>
    <s v="PROJETADO"/>
    <x v="2"/>
    <x v="1"/>
    <x v="1"/>
    <x v="0"/>
    <x v="1"/>
    <x v="23"/>
    <x v="0"/>
    <x v="11"/>
    <n v="770"/>
    <n v="770"/>
    <n v="0"/>
    <n v="0"/>
    <n v="0"/>
    <n v="0"/>
    <n v="0"/>
    <x v="2"/>
    <n v="2535"/>
    <n v="28"/>
    <n v="0"/>
    <n v="0"/>
    <n v="15.24"/>
    <n v="0"/>
    <n v="0"/>
    <n v="17.13811868924876"/>
    <m/>
    <m/>
    <n v="11734.8"/>
    <n v="0"/>
    <n v="0"/>
    <n v="13196.351390721546"/>
    <n v="0"/>
    <n v="0"/>
  </r>
  <r>
    <s v="PROJETADO"/>
    <x v="2"/>
    <x v="1"/>
    <x v="1"/>
    <x v="0"/>
    <x v="1"/>
    <x v="24"/>
    <x v="0"/>
    <x v="11"/>
    <n v="1416"/>
    <n v="1416"/>
    <n v="0"/>
    <n v="0"/>
    <n v="0"/>
    <n v="0"/>
    <n v="0"/>
    <x v="2"/>
    <n v="2751"/>
    <n v="28"/>
    <n v="0"/>
    <n v="0"/>
    <n v="15.24"/>
    <n v="0"/>
    <n v="0"/>
    <n v="17.13811868924876"/>
    <m/>
    <m/>
    <n v="21579.84"/>
    <n v="0"/>
    <n v="0"/>
    <n v="24267.576063976245"/>
    <n v="0"/>
    <n v="0"/>
  </r>
  <r>
    <s v="PROJETADO"/>
    <x v="2"/>
    <x v="1"/>
    <x v="1"/>
    <x v="0"/>
    <x v="1"/>
    <x v="14"/>
    <x v="0"/>
    <x v="11"/>
    <n v="9500"/>
    <n v="4750"/>
    <n v="0"/>
    <n v="0"/>
    <n v="0"/>
    <n v="0"/>
    <n v="0"/>
    <x v="2"/>
    <n v="27722"/>
    <n v="28"/>
    <n v="0"/>
    <n v="0"/>
    <n v="15.24"/>
    <n v="0"/>
    <n v="0"/>
    <n v="17.13811868924876"/>
    <m/>
    <m/>
    <n v="72390"/>
    <n v="0"/>
    <n v="0"/>
    <n v="81406.063773931615"/>
    <n v="0"/>
    <n v="0"/>
  </r>
  <r>
    <s v="PROJETADO"/>
    <x v="2"/>
    <x v="1"/>
    <x v="1"/>
    <x v="0"/>
    <x v="1"/>
    <x v="25"/>
    <x v="0"/>
    <x v="11"/>
    <n v="420"/>
    <n v="420"/>
    <n v="0"/>
    <n v="0"/>
    <n v="0"/>
    <n v="0"/>
    <n v="0"/>
    <x v="2"/>
    <n v="27928"/>
    <n v="28"/>
    <n v="0"/>
    <n v="0"/>
    <n v="15.24"/>
    <n v="0"/>
    <n v="0"/>
    <n v="17.13811868924876"/>
    <m/>
    <m/>
    <n v="6400.8"/>
    <n v="0"/>
    <n v="0"/>
    <n v="7198.0098494844788"/>
    <n v="0"/>
    <n v="0"/>
  </r>
  <r>
    <s v="PROJETADO"/>
    <x v="2"/>
    <x v="1"/>
    <x v="1"/>
    <x v="0"/>
    <x v="1"/>
    <x v="26"/>
    <x v="0"/>
    <x v="11"/>
    <n v="1300"/>
    <n v="650"/>
    <n v="0"/>
    <n v="0"/>
    <n v="0"/>
    <n v="0"/>
    <n v="0"/>
    <x v="2"/>
    <n v="30847"/>
    <n v="28"/>
    <n v="0"/>
    <n v="0"/>
    <n v="15.24"/>
    <n v="0"/>
    <n v="0"/>
    <n v="17.13811868924876"/>
    <m/>
    <m/>
    <n v="9906"/>
    <n v="0"/>
    <n v="0"/>
    <n v="11139.777148011693"/>
    <n v="0"/>
    <n v="0"/>
  </r>
  <r>
    <s v="PROJETADO"/>
    <x v="2"/>
    <x v="1"/>
    <x v="1"/>
    <x v="0"/>
    <x v="1"/>
    <x v="27"/>
    <x v="0"/>
    <x v="11"/>
    <n v="1180"/>
    <n v="590"/>
    <n v="0"/>
    <n v="0"/>
    <n v="0"/>
    <n v="0"/>
    <n v="0"/>
    <x v="2"/>
    <n v="30866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PROJETADO"/>
    <x v="2"/>
    <x v="1"/>
    <x v="1"/>
    <x v="0"/>
    <x v="1"/>
    <x v="28"/>
    <x v="0"/>
    <x v="11"/>
    <n v="1180"/>
    <n v="590"/>
    <n v="0"/>
    <n v="0"/>
    <n v="0"/>
    <n v="0"/>
    <n v="0"/>
    <x v="2"/>
    <n v="31051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PROJETADO"/>
    <x v="2"/>
    <x v="1"/>
    <x v="1"/>
    <x v="0"/>
    <x v="1"/>
    <x v="29"/>
    <x v="0"/>
    <x v="11"/>
    <n v="1000"/>
    <n v="500"/>
    <n v="0"/>
    <n v="0"/>
    <n v="0"/>
    <n v="0"/>
    <n v="0"/>
    <x v="2"/>
    <n v="31277"/>
    <n v="28"/>
    <n v="0"/>
    <n v="0"/>
    <n v="15.24"/>
    <n v="0"/>
    <n v="0"/>
    <n v="17.13811868924876"/>
    <m/>
    <m/>
    <n v="7620"/>
    <n v="0"/>
    <n v="0"/>
    <n v="8569.0593446243802"/>
    <n v="0"/>
    <n v="0"/>
  </r>
  <r>
    <s v="PROJETADO"/>
    <x v="2"/>
    <x v="1"/>
    <x v="1"/>
    <x v="0"/>
    <x v="1"/>
    <x v="30"/>
    <x v="0"/>
    <x v="11"/>
    <n v="1180"/>
    <n v="590"/>
    <n v="0"/>
    <n v="0"/>
    <n v="0"/>
    <n v="0"/>
    <n v="0"/>
    <x v="2"/>
    <n v="313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PROJETADO"/>
    <x v="2"/>
    <x v="1"/>
    <x v="1"/>
    <x v="0"/>
    <x v="1"/>
    <x v="31"/>
    <x v="0"/>
    <x v="11"/>
    <n v="3000"/>
    <n v="1500"/>
    <n v="0"/>
    <n v="0"/>
    <n v="0"/>
    <n v="0"/>
    <n v="0"/>
    <x v="2"/>
    <n v="31334"/>
    <n v="28"/>
    <n v="0"/>
    <n v="0"/>
    <n v="15.24"/>
    <n v="0"/>
    <n v="0"/>
    <n v="17.13811868924876"/>
    <m/>
    <m/>
    <n v="22860"/>
    <n v="0"/>
    <n v="0"/>
    <n v="25707.178033873141"/>
    <n v="0"/>
    <n v="0"/>
  </r>
  <r>
    <s v="PROJETADO"/>
    <x v="2"/>
    <x v="1"/>
    <x v="1"/>
    <x v="0"/>
    <x v="1"/>
    <x v="32"/>
    <x v="0"/>
    <x v="11"/>
    <n v="1180"/>
    <n v="590"/>
    <n v="0"/>
    <n v="0"/>
    <n v="0"/>
    <n v="0"/>
    <n v="0"/>
    <x v="2"/>
    <n v="31618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PROJETADO"/>
    <x v="2"/>
    <x v="1"/>
    <x v="1"/>
    <x v="0"/>
    <x v="1"/>
    <x v="33"/>
    <x v="0"/>
    <x v="11"/>
    <n v="1180"/>
    <n v="590"/>
    <n v="0"/>
    <n v="0"/>
    <n v="0"/>
    <n v="0"/>
    <n v="0"/>
    <x v="2"/>
    <n v="31677"/>
    <n v="28"/>
    <n v="0"/>
    <n v="0"/>
    <n v="15.24"/>
    <n v="0"/>
    <n v="0"/>
    <n v="17.13811868924876"/>
    <m/>
    <m/>
    <n v="8991.6"/>
    <n v="0"/>
    <n v="0"/>
    <n v="10111.490026656767"/>
    <n v="0"/>
    <n v="0"/>
  </r>
  <r>
    <s v="Regular"/>
    <x v="2"/>
    <x v="3"/>
    <x v="2"/>
    <x v="0"/>
    <x v="1"/>
    <x v="0"/>
    <x v="1"/>
    <x v="0"/>
    <n v="0"/>
    <n v="0"/>
    <n v="2545.0259999999998"/>
    <n v="2545.0259999999998"/>
    <n v="2545.0259999999998"/>
    <n v="2545.0259999999998"/>
    <n v="0"/>
    <x v="3"/>
    <n v="0"/>
    <n v="0"/>
    <n v="31"/>
    <n v="79"/>
    <n v="0"/>
    <n v="88.66"/>
    <n v="311.04000000000002"/>
    <m/>
    <n v="137.25956288333876"/>
    <n v="311.14842517571947"/>
    <n v="0"/>
    <n v="225642.00515999997"/>
    <n v="791604.88704000006"/>
    <n v="0"/>
    <n v="349329.15628673206"/>
    <n v="791880.83193126053"/>
  </r>
  <r>
    <s v="Refaturamento - Regular"/>
    <x v="2"/>
    <x v="3"/>
    <x v="2"/>
    <x v="0"/>
    <x v="1"/>
    <x v="0"/>
    <x v="1"/>
    <x v="0"/>
    <n v="0"/>
    <n v="0"/>
    <n v="-26.4"/>
    <n v="-26.4"/>
    <n v="-26.4"/>
    <n v="-26.4"/>
    <n v="0"/>
    <x v="3"/>
    <n v="0"/>
    <n v="0"/>
    <n v="31"/>
    <n v="79"/>
    <n v="0"/>
    <n v="88.66"/>
    <n v="311.04000000000002"/>
    <m/>
    <n v="137.25956288333876"/>
    <n v="311.14842517571947"/>
    <n v="0"/>
    <n v="-2340.6239999999998"/>
    <n v="-8211.4560000000001"/>
    <n v="0"/>
    <n v="-3623.6524601201431"/>
    <n v="-8214.3184246389937"/>
  </r>
  <r>
    <s v="Sistema de Compensação"/>
    <x v="2"/>
    <x v="3"/>
    <x v="2"/>
    <x v="0"/>
    <x v="1"/>
    <x v="0"/>
    <x v="1"/>
    <x v="0"/>
    <n v="0"/>
    <n v="0"/>
    <n v="148.38999999999999"/>
    <n v="148.38999999999999"/>
    <n v="148.38999999999999"/>
    <n v="148.38999999999999"/>
    <n v="0"/>
    <x v="3"/>
    <n v="0"/>
    <n v="0"/>
    <n v="31"/>
    <n v="79"/>
    <n v="0"/>
    <n v="88.66"/>
    <n v="311.04000000000002"/>
    <m/>
    <n v="137.25956288333876"/>
    <n v="311.14842517571947"/>
    <n v="0"/>
    <n v="13156.257399999999"/>
    <n v="46155.225599999998"/>
    <n v="0"/>
    <n v="20367.946536258638"/>
    <n v="46171.31481182501"/>
  </r>
  <r>
    <s v="Sistema de Compensação"/>
    <x v="2"/>
    <x v="3"/>
    <x v="2"/>
    <x v="0"/>
    <x v="1"/>
    <x v="0"/>
    <x v="1"/>
    <x v="0"/>
    <n v="0"/>
    <n v="0"/>
    <n v="15.856999999999999"/>
    <n v="15.856999999999999"/>
    <n v="15.856999999999999"/>
    <n v="15.856999999999999"/>
    <n v="0"/>
    <x v="3"/>
    <n v="0"/>
    <n v="0"/>
    <n v="31"/>
    <n v="79"/>
    <n v="0"/>
    <n v="88.66"/>
    <n v="311.04000000000002"/>
    <m/>
    <n v="137.25956288333876"/>
    <n v="311.14842517571947"/>
    <n v="0"/>
    <n v="1405.8816199999999"/>
    <n v="4932.1612800000003"/>
    <n v="0"/>
    <n v="2176.5248886411027"/>
    <n v="4933.8805780113835"/>
  </r>
  <r>
    <s v="Regular"/>
    <x v="2"/>
    <x v="3"/>
    <x v="2"/>
    <x v="0"/>
    <x v="1"/>
    <x v="0"/>
    <x v="1"/>
    <x v="1"/>
    <n v="0"/>
    <n v="0"/>
    <n v="2309.2550000000001"/>
    <n v="2309.2550000000001"/>
    <n v="2309.2550000000001"/>
    <n v="2309.2550000000001"/>
    <n v="0"/>
    <x v="3"/>
    <n v="0"/>
    <n v="0"/>
    <n v="31"/>
    <n v="79"/>
    <n v="0"/>
    <n v="88.66"/>
    <n v="311.04000000000002"/>
    <m/>
    <n v="137.25956288333876"/>
    <n v="311.14842517571947"/>
    <n v="0"/>
    <n v="204738.54829999999"/>
    <n v="718270.67520000006"/>
    <n v="0"/>
    <n v="316967.33188616444"/>
    <n v="718521.05657915608"/>
  </r>
  <r>
    <s v="Refaturamento - Regular"/>
    <x v="2"/>
    <x v="3"/>
    <x v="2"/>
    <x v="0"/>
    <x v="1"/>
    <x v="0"/>
    <x v="1"/>
    <x v="1"/>
    <n v="0"/>
    <n v="0"/>
    <n v="1.08"/>
    <n v="1.08"/>
    <n v="1.08"/>
    <n v="1.08"/>
    <n v="0"/>
    <x v="3"/>
    <n v="0"/>
    <n v="0"/>
    <n v="31"/>
    <n v="79"/>
    <n v="0"/>
    <n v="88.66"/>
    <n v="311.04000000000002"/>
    <m/>
    <n v="137.25956288333876"/>
    <n v="311.14842517571947"/>
    <n v="0"/>
    <n v="95.752800000000008"/>
    <n v="335.92320000000007"/>
    <n v="0"/>
    <n v="148.24032791400586"/>
    <n v="336.04029918977704"/>
  </r>
  <r>
    <s v="Sistema de Compensação"/>
    <x v="2"/>
    <x v="3"/>
    <x v="2"/>
    <x v="0"/>
    <x v="1"/>
    <x v="0"/>
    <x v="1"/>
    <x v="1"/>
    <n v="0"/>
    <n v="0"/>
    <n v="211.88800000000001"/>
    <n v="211.88800000000001"/>
    <n v="211.88800000000001"/>
    <n v="211.88800000000001"/>
    <n v="0"/>
    <x v="3"/>
    <n v="0"/>
    <n v="0"/>
    <n v="31"/>
    <n v="79"/>
    <n v="0"/>
    <n v="88.66"/>
    <n v="311.04000000000002"/>
    <m/>
    <n v="137.25956288333876"/>
    <n v="311.14842517571947"/>
    <n v="0"/>
    <n v="18785.99008"/>
    <n v="65905.643520000012"/>
    <n v="0"/>
    <n v="29083.654260224885"/>
    <n v="65928.617513632853"/>
  </r>
  <r>
    <s v="Regular"/>
    <x v="2"/>
    <x v="3"/>
    <x v="2"/>
    <x v="0"/>
    <x v="1"/>
    <x v="0"/>
    <x v="1"/>
    <x v="2"/>
    <n v="0"/>
    <n v="0"/>
    <n v="2631.7710000000002"/>
    <n v="2631.7710000000002"/>
    <n v="2631.7710000000002"/>
    <n v="2631.7710000000002"/>
    <n v="0"/>
    <x v="3"/>
    <n v="0"/>
    <n v="0"/>
    <n v="31"/>
    <n v="79"/>
    <n v="0"/>
    <n v="88.66"/>
    <n v="311.04000000000002"/>
    <m/>
    <n v="137.25956288333876"/>
    <n v="311.14842517571947"/>
    <n v="0"/>
    <n v="233332.81686000002"/>
    <n v="818586.05184000009"/>
    <n v="0"/>
    <n v="361235.73706904735"/>
    <n v="818871.4020731285"/>
  </r>
  <r>
    <s v="Refaturamento - Regular"/>
    <x v="2"/>
    <x v="3"/>
    <x v="2"/>
    <x v="0"/>
    <x v="1"/>
    <x v="0"/>
    <x v="1"/>
    <x v="2"/>
    <n v="0"/>
    <n v="0"/>
    <n v="-9.9"/>
    <n v="-9.9"/>
    <n v="-9.9"/>
    <n v="-9.9"/>
    <n v="0"/>
    <x v="3"/>
    <n v="0"/>
    <n v="0"/>
    <n v="31"/>
    <n v="79"/>
    <n v="0"/>
    <n v="88.66"/>
    <n v="311.04000000000002"/>
    <m/>
    <n v="137.25956288333876"/>
    <n v="311.14842517571947"/>
    <n v="0"/>
    <n v="-877.73400000000004"/>
    <n v="-3079.2960000000003"/>
    <n v="0"/>
    <n v="-1358.8696725450538"/>
    <n v="-3080.3694092396227"/>
  </r>
  <r>
    <s v="Sistema de Compensação"/>
    <x v="2"/>
    <x v="3"/>
    <x v="2"/>
    <x v="0"/>
    <x v="1"/>
    <x v="0"/>
    <x v="1"/>
    <x v="2"/>
    <n v="0"/>
    <n v="0"/>
    <n v="205.245"/>
    <n v="205.245"/>
    <n v="205.245"/>
    <n v="205.245"/>
    <n v="0"/>
    <x v="3"/>
    <n v="0"/>
    <n v="0"/>
    <n v="31"/>
    <n v="79"/>
    <n v="0"/>
    <n v="88.66"/>
    <n v="311.04000000000002"/>
    <m/>
    <n v="137.25956288333876"/>
    <n v="311.14842517571947"/>
    <n v="0"/>
    <n v="18197.021700000001"/>
    <n v="63839.404800000004"/>
    <n v="0"/>
    <n v="28171.838983990863"/>
    <n v="63861.658525190542"/>
  </r>
  <r>
    <s v="Regular"/>
    <x v="2"/>
    <x v="3"/>
    <x v="2"/>
    <x v="0"/>
    <x v="1"/>
    <x v="0"/>
    <x v="1"/>
    <x v="3"/>
    <n v="0"/>
    <n v="0"/>
    <n v="2762.9679999999998"/>
    <n v="2762.9679999999998"/>
    <n v="2762.9679999999998"/>
    <n v="2762.9679999999998"/>
    <n v="0"/>
    <x v="3"/>
    <n v="0"/>
    <n v="0"/>
    <n v="31"/>
    <n v="79"/>
    <n v="0"/>
    <n v="88.66"/>
    <n v="311.04000000000002"/>
    <m/>
    <n v="137.25956288333876"/>
    <n v="311.14842517571947"/>
    <n v="0"/>
    <n v="244964.74287999998"/>
    <n v="859393.56672"/>
    <n v="0"/>
    <n v="379243.77994065272"/>
    <n v="859693.14201090718"/>
  </r>
  <r>
    <s v="Sistema de Compensação"/>
    <x v="2"/>
    <x v="3"/>
    <x v="2"/>
    <x v="0"/>
    <x v="1"/>
    <x v="0"/>
    <x v="1"/>
    <x v="3"/>
    <n v="0"/>
    <n v="0"/>
    <n v="253.541"/>
    <n v="253.541"/>
    <n v="253.541"/>
    <n v="253.541"/>
    <n v="0"/>
    <x v="3"/>
    <n v="0"/>
    <n v="0"/>
    <n v="31"/>
    <n v="79"/>
    <n v="0"/>
    <n v="88.66"/>
    <n v="311.04000000000002"/>
    <m/>
    <n v="137.25956288333876"/>
    <n v="311.14842517571947"/>
    <n v="0"/>
    <n v="22478.945059999998"/>
    <n v="78861.392640000005"/>
    <n v="0"/>
    <n v="34800.926833004589"/>
    <n v="78888.882867477092"/>
  </r>
  <r>
    <s v="Regular"/>
    <x v="2"/>
    <x v="3"/>
    <x v="2"/>
    <x v="0"/>
    <x v="1"/>
    <x v="0"/>
    <x v="1"/>
    <x v="4"/>
    <n v="0"/>
    <n v="0"/>
    <n v="2824.0230000000001"/>
    <n v="2824.0230000000001"/>
    <n v="2824.0230000000001"/>
    <n v="2824.0230000000001"/>
    <n v="0"/>
    <x v="3"/>
    <n v="0"/>
    <n v="0"/>
    <n v="31"/>
    <n v="79"/>
    <n v="0"/>
    <n v="88.66"/>
    <n v="311.04000000000002"/>
    <m/>
    <n v="137.25956288333876"/>
    <n v="311.14842517571947"/>
    <n v="0"/>
    <n v="250377.87917999999"/>
    <n v="878384.11392000015"/>
    <n v="0"/>
    <n v="387624.16255249496"/>
    <n v="878690.30911001086"/>
  </r>
  <r>
    <s v="Refaturamento - Regular"/>
    <x v="2"/>
    <x v="3"/>
    <x v="2"/>
    <x v="0"/>
    <x v="1"/>
    <x v="0"/>
    <x v="1"/>
    <x v="4"/>
    <n v="0"/>
    <n v="0"/>
    <n v="47.887999999999998"/>
    <n v="47.887999999999998"/>
    <n v="47.887999999999998"/>
    <n v="47.887999999999998"/>
    <n v="0"/>
    <x v="3"/>
    <n v="0"/>
    <n v="0"/>
    <n v="31"/>
    <n v="79"/>
    <n v="0"/>
    <n v="88.66"/>
    <n v="311.04000000000002"/>
    <m/>
    <n v="137.25956288333876"/>
    <n v="311.14842517571947"/>
    <n v="0"/>
    <n v="4245.7500799999998"/>
    <n v="14895.08352"/>
    <n v="0"/>
    <n v="6573.0859473573264"/>
    <n v="14900.275784814854"/>
  </r>
  <r>
    <s v="Sistema de Compensação"/>
    <x v="2"/>
    <x v="3"/>
    <x v="2"/>
    <x v="0"/>
    <x v="1"/>
    <x v="0"/>
    <x v="1"/>
    <x v="4"/>
    <n v="0"/>
    <n v="0"/>
    <n v="206.09200000000001"/>
    <n v="206.09200000000001"/>
    <n v="206.09200000000001"/>
    <n v="206.09200000000001"/>
    <n v="0"/>
    <x v="3"/>
    <n v="0"/>
    <n v="0"/>
    <n v="31"/>
    <n v="79"/>
    <n v="0"/>
    <n v="88.66"/>
    <n v="311.04000000000002"/>
    <m/>
    <n v="137.25956288333876"/>
    <n v="311.14842517571947"/>
    <n v="0"/>
    <n v="18272.116720000002"/>
    <n v="64102.855680000008"/>
    <n v="0"/>
    <n v="28288.097833753054"/>
    <n v="64125.201241314382"/>
  </r>
  <r>
    <s v="Regular"/>
    <x v="2"/>
    <x v="3"/>
    <x v="2"/>
    <x v="0"/>
    <x v="1"/>
    <x v="0"/>
    <x v="1"/>
    <x v="5"/>
    <n v="0"/>
    <n v="0"/>
    <n v="2775.433"/>
    <n v="2775.433"/>
    <n v="2775.433"/>
    <n v="2775.433"/>
    <n v="0"/>
    <x v="3"/>
    <n v="0"/>
    <n v="0"/>
    <n v="31"/>
    <n v="79"/>
    <n v="0"/>
    <n v="88.66"/>
    <n v="311.04000000000002"/>
    <m/>
    <n v="137.25956288333876"/>
    <n v="311.14842517571947"/>
    <n v="0"/>
    <n v="246069.88978"/>
    <n v="863270.68032000004"/>
    <n v="0"/>
    <n v="380954.72039199353"/>
    <n v="863571.60713072261"/>
  </r>
  <r>
    <s v="Sistema de Compensação"/>
    <x v="2"/>
    <x v="3"/>
    <x v="2"/>
    <x v="0"/>
    <x v="1"/>
    <x v="0"/>
    <x v="1"/>
    <x v="5"/>
    <n v="0"/>
    <n v="0"/>
    <n v="234.851"/>
    <n v="234.851"/>
    <n v="234.851"/>
    <n v="234.851"/>
    <n v="0"/>
    <x v="3"/>
    <n v="0"/>
    <n v="0"/>
    <n v="31"/>
    <n v="79"/>
    <n v="0"/>
    <n v="88.66"/>
    <n v="311.04000000000002"/>
    <m/>
    <n v="137.25956288333876"/>
    <n v="311.14842517571947"/>
    <n v="0"/>
    <n v="20821.889660000001"/>
    <n v="73048.055040000007"/>
    <n v="0"/>
    <n v="32235.545602714992"/>
    <n v="73073.518800942897"/>
  </r>
  <r>
    <s v="Regular"/>
    <x v="2"/>
    <x v="3"/>
    <x v="2"/>
    <x v="0"/>
    <x v="1"/>
    <x v="0"/>
    <x v="1"/>
    <x v="6"/>
    <n v="0"/>
    <n v="0"/>
    <n v="2776.625"/>
    <n v="2776.625"/>
    <n v="2776.625"/>
    <n v="2776.625"/>
    <n v="0"/>
    <x v="3"/>
    <n v="0"/>
    <n v="0"/>
    <n v="31"/>
    <n v="79"/>
    <n v="0"/>
    <n v="88.66"/>
    <n v="311.04000000000002"/>
    <m/>
    <n v="137.25956288333876"/>
    <n v="311.14842517571947"/>
    <n v="0"/>
    <n v="246175.57249999998"/>
    <n v="863641.44000000006"/>
    <n v="0"/>
    <n v="381118.33379095048"/>
    <n v="863942.49605353212"/>
  </r>
  <r>
    <s v="Refaturamento - Regular"/>
    <x v="2"/>
    <x v="3"/>
    <x v="2"/>
    <x v="0"/>
    <x v="1"/>
    <x v="0"/>
    <x v="1"/>
    <x v="6"/>
    <n v="0"/>
    <n v="0"/>
    <n v="4.08"/>
    <n v="4.08"/>
    <n v="4.08"/>
    <n v="4.08"/>
    <n v="0"/>
    <x v="3"/>
    <n v="0"/>
    <n v="0"/>
    <n v="31"/>
    <n v="79"/>
    <n v="0"/>
    <n v="88.66"/>
    <n v="311.04000000000002"/>
    <m/>
    <n v="137.25956288333876"/>
    <n v="311.14842517571947"/>
    <n v="0"/>
    <n v="361.7328"/>
    <n v="1269.0432000000001"/>
    <n v="0"/>
    <n v="560.01901656402219"/>
    <n v="1269.4855747169354"/>
  </r>
  <r>
    <s v="Sistema de Compensação"/>
    <x v="2"/>
    <x v="3"/>
    <x v="2"/>
    <x v="0"/>
    <x v="1"/>
    <x v="0"/>
    <x v="1"/>
    <x v="6"/>
    <n v="0"/>
    <n v="0"/>
    <n v="287.18200000000002"/>
    <n v="287.18200000000002"/>
    <n v="287.18200000000002"/>
    <n v="287.18200000000002"/>
    <n v="0"/>
    <x v="3"/>
    <n v="0"/>
    <n v="0"/>
    <n v="31"/>
    <n v="79"/>
    <n v="0"/>
    <n v="88.66"/>
    <n v="311.04000000000002"/>
    <m/>
    <n v="137.25956288333876"/>
    <n v="311.14842517571947"/>
    <n v="0"/>
    <n v="25461.556120000001"/>
    <n v="89325.089280000015"/>
    <n v="0"/>
    <n v="39418.475787962991"/>
    <n v="89356.227038813478"/>
  </r>
  <r>
    <s v="Regular"/>
    <x v="2"/>
    <x v="3"/>
    <x v="2"/>
    <x v="0"/>
    <x v="1"/>
    <x v="0"/>
    <x v="1"/>
    <x v="7"/>
    <n v="0"/>
    <n v="0"/>
    <n v="2774.9029999999998"/>
    <n v="2774.9029999999998"/>
    <n v="2774.9029999999998"/>
    <n v="2774.9029999999998"/>
    <n v="0"/>
    <x v="3"/>
    <n v="0"/>
    <n v="0"/>
    <n v="31"/>
    <n v="79"/>
    <n v="0"/>
    <n v="88.66"/>
    <n v="311.04000000000002"/>
    <m/>
    <n v="137.25956288333876"/>
    <n v="311.14842517571947"/>
    <n v="0"/>
    <n v="246022.89997999996"/>
    <n v="863105.82912000001"/>
    <n v="0"/>
    <n v="380881.97282366536"/>
    <n v="863406.69846537942"/>
  </r>
  <r>
    <s v="Sistema de Compensação"/>
    <x v="2"/>
    <x v="3"/>
    <x v="2"/>
    <x v="0"/>
    <x v="1"/>
    <x v="0"/>
    <x v="1"/>
    <x v="7"/>
    <n v="0"/>
    <n v="0"/>
    <n v="216.43299999999999"/>
    <n v="216.43299999999999"/>
    <n v="216.43299999999999"/>
    <n v="216.43299999999999"/>
    <n v="0"/>
    <x v="3"/>
    <n v="0"/>
    <n v="0"/>
    <n v="31"/>
    <n v="79"/>
    <n v="0"/>
    <n v="88.66"/>
    <n v="311.04000000000002"/>
    <m/>
    <n v="137.25956288333876"/>
    <n v="311.14842517571947"/>
    <n v="0"/>
    <n v="19188.949779999999"/>
    <n v="67319.320319999999"/>
    <n v="0"/>
    <n v="29707.498973529655"/>
    <n v="67342.787106056494"/>
  </r>
  <r>
    <s v="Regular"/>
    <x v="2"/>
    <x v="3"/>
    <x v="2"/>
    <x v="0"/>
    <x v="1"/>
    <x v="0"/>
    <x v="1"/>
    <x v="8"/>
    <n v="0"/>
    <n v="0"/>
    <n v="2552.3000000000002"/>
    <n v="2552.3000000000002"/>
    <n v="2552.3000000000002"/>
    <n v="2552.3000000000002"/>
    <n v="0"/>
    <x v="3"/>
    <n v="0"/>
    <n v="0"/>
    <n v="31"/>
    <n v="79"/>
    <n v="0"/>
    <n v="88.66"/>
    <n v="311.04000000000002"/>
    <m/>
    <n v="137.25956288333876"/>
    <n v="311.14842517571947"/>
    <n v="0"/>
    <n v="226286.91800000001"/>
    <n v="793867.39200000011"/>
    <n v="0"/>
    <n v="350327.58234714554"/>
    <n v="794144.1255759889"/>
  </r>
  <r>
    <s v="Sistema de Compensação"/>
    <x v="2"/>
    <x v="3"/>
    <x v="2"/>
    <x v="0"/>
    <x v="1"/>
    <x v="0"/>
    <x v="1"/>
    <x v="8"/>
    <n v="0"/>
    <n v="0"/>
    <n v="222.78299999999999"/>
    <n v="222.78299999999999"/>
    <n v="222.78299999999999"/>
    <n v="222.78299999999999"/>
    <n v="0"/>
    <x v="3"/>
    <n v="0"/>
    <n v="0"/>
    <n v="31"/>
    <n v="79"/>
    <n v="0"/>
    <n v="88.66"/>
    <n v="311.04000000000002"/>
    <m/>
    <n v="137.25956288333876"/>
    <n v="311.14842517571947"/>
    <n v="0"/>
    <n v="19751.940779999997"/>
    <n v="69294.424320000006"/>
    <n v="0"/>
    <n v="30579.097197838859"/>
    <n v="69318.579605922307"/>
  </r>
  <r>
    <s v="Regular"/>
    <x v="2"/>
    <x v="3"/>
    <x v="2"/>
    <x v="0"/>
    <x v="1"/>
    <x v="0"/>
    <x v="1"/>
    <x v="9"/>
    <n v="0"/>
    <n v="0"/>
    <n v="2524.9879999999998"/>
    <n v="2524.9879999999998"/>
    <n v="2524.9879999999998"/>
    <n v="2524.9879999999998"/>
    <n v="0"/>
    <x v="3"/>
    <n v="0"/>
    <n v="0"/>
    <n v="31"/>
    <n v="79"/>
    <n v="0"/>
    <n v="88.66"/>
    <n v="311.04000000000002"/>
    <m/>
    <n v="137.25956288333876"/>
    <n v="311.14842517571947"/>
    <n v="0"/>
    <n v="223865.43607999998"/>
    <n v="785372.26751999999"/>
    <n v="0"/>
    <n v="346578.74916567572"/>
    <n v="785646.03978758946"/>
  </r>
  <r>
    <s v="Refaturamento - Regular"/>
    <x v="2"/>
    <x v="3"/>
    <x v="2"/>
    <x v="0"/>
    <x v="1"/>
    <x v="0"/>
    <x v="1"/>
    <x v="9"/>
    <n v="0"/>
    <n v="0"/>
    <n v="-36.244"/>
    <n v="-36.244"/>
    <n v="-36.244"/>
    <n v="-36.244"/>
    <n v="0"/>
    <x v="3"/>
    <n v="0"/>
    <n v="0"/>
    <n v="31"/>
    <n v="79"/>
    <n v="0"/>
    <n v="88.66"/>
    <n v="311.04000000000002"/>
    <m/>
    <n v="137.25956288333876"/>
    <n v="311.14842517571947"/>
    <n v="0"/>
    <n v="-3213.3930399999999"/>
    <n v="-11273.333760000001"/>
    <n v="0"/>
    <n v="-4974.8355971437304"/>
    <n v="-11277.263522068777"/>
  </r>
  <r>
    <s v="Sistema de Compensação"/>
    <x v="2"/>
    <x v="3"/>
    <x v="2"/>
    <x v="0"/>
    <x v="1"/>
    <x v="0"/>
    <x v="1"/>
    <x v="9"/>
    <n v="0"/>
    <n v="0"/>
    <n v="308.76100000000002"/>
    <n v="308.76100000000002"/>
    <n v="308.76100000000002"/>
    <n v="308.76100000000002"/>
    <n v="0"/>
    <x v="3"/>
    <n v="0"/>
    <n v="0"/>
    <n v="31"/>
    <n v="79"/>
    <n v="0"/>
    <n v="88.66"/>
    <n v="311.04000000000002"/>
    <m/>
    <n v="137.25956288333876"/>
    <n v="311.14842517571947"/>
    <n v="0"/>
    <n v="27374.750260000001"/>
    <n v="96037.021440000011"/>
    <n v="0"/>
    <n v="42380.399895422561"/>
    <n v="96070.498905680332"/>
  </r>
  <r>
    <s v="Regular"/>
    <x v="2"/>
    <x v="3"/>
    <x v="2"/>
    <x v="0"/>
    <x v="1"/>
    <x v="0"/>
    <x v="1"/>
    <x v="10"/>
    <n v="0"/>
    <n v="0"/>
    <n v="2412.4229999999998"/>
    <n v="2412.4229999999998"/>
    <n v="2412.4229999999998"/>
    <n v="2412.4229999999998"/>
    <n v="0"/>
    <x v="3"/>
    <n v="0"/>
    <n v="0"/>
    <n v="31"/>
    <n v="79"/>
    <n v="0"/>
    <n v="88.66"/>
    <n v="311.04000000000002"/>
    <m/>
    <n v="137.25956288333876"/>
    <n v="311.14842517571947"/>
    <n v="0"/>
    <n v="213885.42317999998"/>
    <n v="750360.04992000002"/>
    <n v="0"/>
    <n v="331128.1264697127"/>
    <n v="750621.61730768462"/>
  </r>
  <r>
    <s v="Refaturamento - Regular"/>
    <x v="2"/>
    <x v="3"/>
    <x v="2"/>
    <x v="0"/>
    <x v="1"/>
    <x v="0"/>
    <x v="1"/>
    <x v="10"/>
    <n v="0"/>
    <n v="0"/>
    <n v="11.64"/>
    <n v="11.64"/>
    <n v="11.64"/>
    <n v="11.64"/>
    <n v="0"/>
    <x v="3"/>
    <n v="0"/>
    <n v="0"/>
    <n v="31"/>
    <n v="79"/>
    <n v="0"/>
    <n v="88.66"/>
    <n v="311.04000000000002"/>
    <m/>
    <n v="137.25956288333876"/>
    <n v="311.14842517571947"/>
    <n v="0"/>
    <n v="1032.0024000000001"/>
    <n v="3620.5056000000004"/>
    <n v="0"/>
    <n v="1597.7013119620633"/>
    <n v="3621.767669045375"/>
  </r>
  <r>
    <s v="Sistema de Compensação"/>
    <x v="2"/>
    <x v="3"/>
    <x v="2"/>
    <x v="0"/>
    <x v="1"/>
    <x v="0"/>
    <x v="1"/>
    <x v="10"/>
    <n v="0"/>
    <n v="0"/>
    <n v="269.11500000000001"/>
    <n v="269.11500000000001"/>
    <n v="269.11500000000001"/>
    <n v="269.11500000000001"/>
    <n v="0"/>
    <x v="3"/>
    <n v="0"/>
    <n v="0"/>
    <n v="31"/>
    <n v="79"/>
    <n v="0"/>
    <n v="88.66"/>
    <n v="311.04000000000002"/>
    <m/>
    <n v="137.25956288333876"/>
    <n v="311.14842517571947"/>
    <n v="0"/>
    <n v="23859.7359"/>
    <n v="83705.529600000009"/>
    <n v="0"/>
    <n v="36938.60726534971"/>
    <n v="83734.708441163748"/>
  </r>
  <r>
    <s v="PROJETADO"/>
    <x v="2"/>
    <x v="3"/>
    <x v="2"/>
    <x v="0"/>
    <x v="1"/>
    <x v="0"/>
    <x v="1"/>
    <x v="11"/>
    <n v="0"/>
    <n v="0"/>
    <n v="2412.4229999999998"/>
    <n v="2412.4229999999998"/>
    <n v="2412.4229999999998"/>
    <n v="2412.4229999999998"/>
    <n v="0"/>
    <x v="3"/>
    <n v="0"/>
    <n v="0"/>
    <n v="31"/>
    <n v="79"/>
    <n v="0"/>
    <n v="88.66"/>
    <n v="311.04000000000002"/>
    <m/>
    <n v="137.25956288333876"/>
    <n v="311.14842517571947"/>
    <n v="0"/>
    <n v="213885.42317999998"/>
    <n v="750360.04992000002"/>
    <n v="0"/>
    <n v="331128.1264697127"/>
    <n v="750621.61730768462"/>
  </r>
  <r>
    <s v="PROJETADO"/>
    <x v="2"/>
    <x v="3"/>
    <x v="2"/>
    <x v="0"/>
    <x v="1"/>
    <x v="0"/>
    <x v="1"/>
    <x v="11"/>
    <n v="0"/>
    <n v="0"/>
    <n v="11.64"/>
    <n v="11.64"/>
    <n v="11.64"/>
    <n v="11.64"/>
    <n v="0"/>
    <x v="3"/>
    <n v="0"/>
    <n v="0"/>
    <n v="31"/>
    <n v="79"/>
    <n v="0"/>
    <n v="88.66"/>
    <n v="311.04000000000002"/>
    <m/>
    <n v="137.25956288333876"/>
    <n v="311.14842517571947"/>
    <n v="0"/>
    <n v="1032.0024000000001"/>
    <n v="3620.5056000000004"/>
    <n v="0"/>
    <n v="1597.7013119620633"/>
    <n v="3621.767669045375"/>
  </r>
  <r>
    <s v="PROJETADO"/>
    <x v="2"/>
    <x v="3"/>
    <x v="2"/>
    <x v="0"/>
    <x v="1"/>
    <x v="0"/>
    <x v="1"/>
    <x v="11"/>
    <n v="0"/>
    <n v="0"/>
    <n v="269.11500000000001"/>
    <n v="269.11500000000001"/>
    <n v="269.11500000000001"/>
    <n v="269.11500000000001"/>
    <n v="0"/>
    <x v="3"/>
    <n v="0"/>
    <n v="0"/>
    <n v="31"/>
    <n v="79"/>
    <n v="0"/>
    <n v="88.66"/>
    <n v="311.04000000000002"/>
    <m/>
    <n v="137.25956288333876"/>
    <n v="311.14842517571947"/>
    <n v="0"/>
    <n v="23859.7359"/>
    <n v="83705.529600000009"/>
    <n v="0"/>
    <n v="36938.60726534971"/>
    <n v="83734.708441163748"/>
  </r>
  <r>
    <s v="Regular"/>
    <x v="2"/>
    <x v="3"/>
    <x v="2"/>
    <x v="0"/>
    <x v="1"/>
    <x v="0"/>
    <x v="0"/>
    <x v="0"/>
    <n v="12342"/>
    <n v="12342"/>
    <n v="0"/>
    <n v="0"/>
    <n v="0"/>
    <n v="0"/>
    <n v="113"/>
    <x v="3"/>
    <n v="0"/>
    <n v="29"/>
    <n v="0"/>
    <n v="0"/>
    <n v="25.51"/>
    <n v="0"/>
    <n v="0"/>
    <n v="29.803266797877356"/>
    <m/>
    <m/>
    <n v="314844.42000000004"/>
    <n v="0"/>
    <n v="0"/>
    <n v="367831.91881940234"/>
    <n v="0"/>
    <n v="0"/>
  </r>
  <r>
    <s v="Sistema de Compensação"/>
    <x v="2"/>
    <x v="3"/>
    <x v="2"/>
    <x v="0"/>
    <x v="1"/>
    <x v="0"/>
    <x v="0"/>
    <x v="0"/>
    <n v="2331"/>
    <n v="2331"/>
    <n v="0"/>
    <n v="0"/>
    <n v="0"/>
    <n v="0"/>
    <n v="15"/>
    <x v="3"/>
    <n v="0"/>
    <n v="29"/>
    <n v="0"/>
    <n v="0"/>
    <n v="25.51"/>
    <n v="0"/>
    <n v="0"/>
    <n v="29.803266797877356"/>
    <m/>
    <m/>
    <n v="59463.810000000005"/>
    <n v="0"/>
    <n v="0"/>
    <n v="69471.414905852114"/>
    <n v="0"/>
    <n v="0"/>
  </r>
  <r>
    <s v="Sistema de Compensação"/>
    <x v="2"/>
    <x v="3"/>
    <x v="2"/>
    <x v="0"/>
    <x v="1"/>
    <x v="0"/>
    <x v="0"/>
    <x v="0"/>
    <n v="76"/>
    <n v="76"/>
    <n v="0"/>
    <n v="0"/>
    <n v="0"/>
    <n v="0"/>
    <n v="0"/>
    <x v="3"/>
    <n v="0"/>
    <n v="29"/>
    <n v="0"/>
    <n v="0"/>
    <n v="25.51"/>
    <n v="0"/>
    <n v="0"/>
    <n v="29.803266797877356"/>
    <m/>
    <m/>
    <n v="1938.7600000000002"/>
    <n v="0"/>
    <n v="0"/>
    <n v="2265.048276638679"/>
    <n v="0"/>
    <n v="0"/>
  </r>
  <r>
    <s v="Regular"/>
    <x v="2"/>
    <x v="3"/>
    <x v="2"/>
    <x v="0"/>
    <x v="1"/>
    <x v="0"/>
    <x v="0"/>
    <x v="1"/>
    <n v="12049"/>
    <n v="12049"/>
    <n v="0"/>
    <n v="0"/>
    <n v="0"/>
    <n v="0"/>
    <n v="110"/>
    <x v="3"/>
    <n v="0"/>
    <n v="29"/>
    <n v="0"/>
    <n v="0"/>
    <n v="25.51"/>
    <n v="0"/>
    <n v="0"/>
    <n v="29.803266797877356"/>
    <m/>
    <m/>
    <n v="307369.99"/>
    <n v="0"/>
    <n v="0"/>
    <n v="359099.56164762424"/>
    <n v="0"/>
    <n v="0"/>
  </r>
  <r>
    <s v="Sistema de Compensação"/>
    <x v="2"/>
    <x v="3"/>
    <x v="2"/>
    <x v="0"/>
    <x v="1"/>
    <x v="0"/>
    <x v="0"/>
    <x v="1"/>
    <n v="2603"/>
    <n v="2603"/>
    <n v="0"/>
    <n v="0"/>
    <n v="0"/>
    <n v="0"/>
    <n v="18"/>
    <x v="3"/>
    <n v="0"/>
    <n v="29"/>
    <n v="0"/>
    <n v="0"/>
    <n v="25.51"/>
    <n v="0"/>
    <n v="0"/>
    <n v="29.803266797877356"/>
    <m/>
    <m/>
    <n v="66402.53"/>
    <n v="0"/>
    <n v="0"/>
    <n v="77577.903474874751"/>
    <n v="0"/>
    <n v="0"/>
  </r>
  <r>
    <s v="Regular"/>
    <x v="2"/>
    <x v="3"/>
    <x v="2"/>
    <x v="0"/>
    <x v="1"/>
    <x v="0"/>
    <x v="0"/>
    <x v="2"/>
    <n v="12014"/>
    <n v="12014"/>
    <n v="0"/>
    <n v="0"/>
    <n v="0"/>
    <n v="0"/>
    <n v="111"/>
    <x v="3"/>
    <n v="0"/>
    <n v="29"/>
    <n v="0"/>
    <n v="0"/>
    <n v="25.51"/>
    <n v="0"/>
    <n v="0"/>
    <n v="29.803266797877356"/>
    <m/>
    <m/>
    <n v="306477.14"/>
    <n v="0"/>
    <n v="0"/>
    <n v="358056.44730969856"/>
    <n v="0"/>
    <n v="0"/>
  </r>
  <r>
    <s v="Refaturamento - Regular"/>
    <x v="2"/>
    <x v="3"/>
    <x v="2"/>
    <x v="0"/>
    <x v="1"/>
    <x v="0"/>
    <x v="0"/>
    <x v="2"/>
    <n v="3"/>
    <n v="3"/>
    <n v="0"/>
    <n v="0"/>
    <n v="0"/>
    <n v="0"/>
    <n v="0"/>
    <x v="3"/>
    <n v="0"/>
    <n v="29"/>
    <n v="0"/>
    <n v="0"/>
    <n v="25.51"/>
    <n v="0"/>
    <n v="0"/>
    <n v="29.803266797877356"/>
    <m/>
    <m/>
    <n v="76.53"/>
    <n v="0"/>
    <n v="0"/>
    <n v="89.409800393632068"/>
    <n v="0"/>
    <n v="0"/>
  </r>
  <r>
    <s v="Sistema de Compensação"/>
    <x v="2"/>
    <x v="3"/>
    <x v="2"/>
    <x v="0"/>
    <x v="1"/>
    <x v="0"/>
    <x v="0"/>
    <x v="2"/>
    <n v="2669"/>
    <n v="2669"/>
    <n v="0"/>
    <n v="0"/>
    <n v="0"/>
    <n v="0"/>
    <n v="19"/>
    <x v="3"/>
    <n v="0"/>
    <n v="29"/>
    <n v="0"/>
    <n v="0"/>
    <n v="25.51"/>
    <n v="0"/>
    <n v="0"/>
    <n v="29.803266797877356"/>
    <m/>
    <m/>
    <n v="68086.19"/>
    <n v="0"/>
    <n v="0"/>
    <n v="79544.919083534667"/>
    <n v="0"/>
    <n v="0"/>
  </r>
  <r>
    <s v="Regular"/>
    <x v="2"/>
    <x v="3"/>
    <x v="2"/>
    <x v="0"/>
    <x v="1"/>
    <x v="0"/>
    <x v="0"/>
    <x v="3"/>
    <n v="12191"/>
    <n v="12191"/>
    <n v="0"/>
    <n v="0"/>
    <n v="0"/>
    <n v="0"/>
    <n v="107"/>
    <x v="3"/>
    <n v="0"/>
    <n v="29"/>
    <n v="0"/>
    <n v="0"/>
    <n v="25.51"/>
    <n v="0"/>
    <n v="0"/>
    <n v="29.803266797877356"/>
    <m/>
    <m/>
    <n v="310992.41000000003"/>
    <n v="0"/>
    <n v="0"/>
    <n v="363331.62553292286"/>
    <n v="0"/>
    <n v="0"/>
  </r>
  <r>
    <s v="Sistema de Compensação"/>
    <x v="2"/>
    <x v="3"/>
    <x v="2"/>
    <x v="0"/>
    <x v="1"/>
    <x v="0"/>
    <x v="0"/>
    <x v="3"/>
    <n v="2969"/>
    <n v="2969"/>
    <n v="0"/>
    <n v="0"/>
    <n v="0"/>
    <n v="0"/>
    <n v="21"/>
    <x v="3"/>
    <n v="0"/>
    <n v="29"/>
    <n v="0"/>
    <n v="0"/>
    <n v="25.51"/>
    <n v="0"/>
    <n v="0"/>
    <n v="29.803266797877356"/>
    <m/>
    <m/>
    <n v="75739.19"/>
    <n v="0"/>
    <n v="0"/>
    <n v="88485.89912289787"/>
    <n v="0"/>
    <n v="0"/>
  </r>
  <r>
    <s v="Regular"/>
    <x v="2"/>
    <x v="3"/>
    <x v="2"/>
    <x v="0"/>
    <x v="1"/>
    <x v="0"/>
    <x v="0"/>
    <x v="4"/>
    <n v="12052"/>
    <n v="12052"/>
    <n v="0"/>
    <n v="0"/>
    <n v="0"/>
    <n v="0"/>
    <n v="107"/>
    <x v="3"/>
    <n v="0"/>
    <n v="29"/>
    <n v="0"/>
    <n v="0"/>
    <n v="25.51"/>
    <n v="0"/>
    <n v="0"/>
    <n v="29.803266797877356"/>
    <m/>
    <m/>
    <n v="307446.52"/>
    <n v="0"/>
    <n v="0"/>
    <n v="359188.97144801787"/>
    <n v="0"/>
    <n v="0"/>
  </r>
  <r>
    <s v="Refaturamento - Regular"/>
    <x v="2"/>
    <x v="3"/>
    <x v="2"/>
    <x v="0"/>
    <x v="1"/>
    <x v="0"/>
    <x v="0"/>
    <x v="4"/>
    <n v="140"/>
    <n v="140"/>
    <n v="0"/>
    <n v="0"/>
    <n v="0"/>
    <n v="0"/>
    <n v="2"/>
    <x v="3"/>
    <n v="0"/>
    <n v="29"/>
    <n v="0"/>
    <n v="0"/>
    <n v="25.51"/>
    <n v="0"/>
    <n v="0"/>
    <n v="29.803266797877356"/>
    <m/>
    <m/>
    <n v="3571.4"/>
    <n v="0"/>
    <n v="0"/>
    <n v="4172.4573517028302"/>
    <n v="0"/>
    <n v="0"/>
  </r>
  <r>
    <s v="Sistema de Compensação"/>
    <x v="2"/>
    <x v="3"/>
    <x v="2"/>
    <x v="0"/>
    <x v="1"/>
    <x v="0"/>
    <x v="0"/>
    <x v="4"/>
    <n v="3018"/>
    <n v="3018"/>
    <n v="0"/>
    <n v="0"/>
    <n v="0"/>
    <n v="0"/>
    <n v="21"/>
    <x v="3"/>
    <n v="0"/>
    <n v="29"/>
    <n v="0"/>
    <n v="0"/>
    <n v="25.51"/>
    <n v="0"/>
    <n v="0"/>
    <n v="29.803266797877356"/>
    <m/>
    <m/>
    <n v="76989.180000000008"/>
    <n v="0"/>
    <n v="0"/>
    <n v="89946.259195993858"/>
    <n v="0"/>
    <n v="0"/>
  </r>
  <r>
    <s v="Regular"/>
    <x v="2"/>
    <x v="3"/>
    <x v="2"/>
    <x v="0"/>
    <x v="1"/>
    <x v="0"/>
    <x v="0"/>
    <x v="5"/>
    <n v="12080"/>
    <n v="12080"/>
    <n v="0"/>
    <n v="0"/>
    <n v="0"/>
    <n v="0"/>
    <n v="107"/>
    <x v="3"/>
    <n v="0"/>
    <n v="29"/>
    <n v="0"/>
    <n v="0"/>
    <n v="25.51"/>
    <n v="0"/>
    <n v="0"/>
    <n v="29.803266797877356"/>
    <m/>
    <m/>
    <n v="308160.80000000005"/>
    <n v="0"/>
    <n v="0"/>
    <n v="360023.46291835845"/>
    <n v="0"/>
    <n v="0"/>
  </r>
  <r>
    <s v="Sistema de Compensação"/>
    <x v="2"/>
    <x v="3"/>
    <x v="2"/>
    <x v="0"/>
    <x v="1"/>
    <x v="0"/>
    <x v="0"/>
    <x v="5"/>
    <n v="3048"/>
    <n v="3048"/>
    <n v="0"/>
    <n v="0"/>
    <n v="0"/>
    <n v="0"/>
    <n v="23"/>
    <x v="3"/>
    <n v="0"/>
    <n v="29"/>
    <n v="0"/>
    <n v="0"/>
    <n v="25.51"/>
    <n v="0"/>
    <n v="0"/>
    <n v="29.803266797877356"/>
    <m/>
    <m/>
    <n v="77754.48000000001"/>
    <n v="0"/>
    <n v="0"/>
    <n v="90840.357199930178"/>
    <n v="0"/>
    <n v="0"/>
  </r>
  <r>
    <s v="Regular"/>
    <x v="2"/>
    <x v="3"/>
    <x v="2"/>
    <x v="0"/>
    <x v="1"/>
    <x v="0"/>
    <x v="0"/>
    <x v="6"/>
    <n v="12018"/>
    <n v="12018"/>
    <n v="0"/>
    <n v="0"/>
    <n v="0"/>
    <n v="0"/>
    <n v="105"/>
    <x v="3"/>
    <n v="0"/>
    <n v="29"/>
    <n v="0"/>
    <n v="0"/>
    <n v="25.51"/>
    <n v="0"/>
    <n v="0"/>
    <n v="29.803266797877356"/>
    <m/>
    <m/>
    <n v="306579.18"/>
    <n v="0"/>
    <n v="0"/>
    <n v="358175.66037689004"/>
    <n v="0"/>
    <n v="0"/>
  </r>
  <r>
    <s v="Sistema de Compensação"/>
    <x v="2"/>
    <x v="3"/>
    <x v="2"/>
    <x v="0"/>
    <x v="1"/>
    <x v="0"/>
    <x v="0"/>
    <x v="6"/>
    <n v="3344"/>
    <n v="3344"/>
    <n v="0"/>
    <n v="0"/>
    <n v="0"/>
    <n v="0"/>
    <n v="25"/>
    <x v="3"/>
    <n v="0"/>
    <n v="29"/>
    <n v="0"/>
    <n v="0"/>
    <n v="25.51"/>
    <n v="0"/>
    <n v="0"/>
    <n v="29.803266797877356"/>
    <m/>
    <m/>
    <n v="85305.44"/>
    <n v="0"/>
    <n v="0"/>
    <n v="99662.124172101874"/>
    <n v="0"/>
    <n v="0"/>
  </r>
  <r>
    <s v="Regular"/>
    <x v="2"/>
    <x v="3"/>
    <x v="2"/>
    <x v="0"/>
    <x v="1"/>
    <x v="0"/>
    <x v="0"/>
    <x v="7"/>
    <n v="11491"/>
    <n v="11491"/>
    <n v="0"/>
    <n v="0"/>
    <n v="0"/>
    <n v="0"/>
    <n v="108"/>
    <x v="3"/>
    <n v="0"/>
    <n v="29"/>
    <n v="0"/>
    <n v="0"/>
    <n v="25.51"/>
    <n v="0"/>
    <n v="0"/>
    <n v="29.803266797877356"/>
    <m/>
    <m/>
    <n v="293135.41000000003"/>
    <n v="0"/>
    <n v="0"/>
    <n v="342469.33877440868"/>
    <n v="0"/>
    <n v="0"/>
  </r>
  <r>
    <s v="Sistema de Compensação"/>
    <x v="2"/>
    <x v="3"/>
    <x v="2"/>
    <x v="0"/>
    <x v="1"/>
    <x v="0"/>
    <x v="0"/>
    <x v="7"/>
    <n v="3355"/>
    <n v="3355"/>
    <n v="0"/>
    <n v="0"/>
    <n v="0"/>
    <n v="0"/>
    <n v="25"/>
    <x v="3"/>
    <n v="0"/>
    <n v="29"/>
    <n v="0"/>
    <n v="0"/>
    <n v="25.51"/>
    <n v="0"/>
    <n v="0"/>
    <n v="29.803266797877356"/>
    <m/>
    <m/>
    <n v="85586.05"/>
    <n v="0"/>
    <n v="0"/>
    <n v="99989.960106878527"/>
    <n v="0"/>
    <n v="0"/>
  </r>
  <r>
    <s v="Regular"/>
    <x v="2"/>
    <x v="3"/>
    <x v="2"/>
    <x v="0"/>
    <x v="1"/>
    <x v="0"/>
    <x v="0"/>
    <x v="8"/>
    <n v="11599"/>
    <n v="11599"/>
    <n v="0"/>
    <n v="0"/>
    <n v="0"/>
    <n v="0"/>
    <n v="105"/>
    <x v="3"/>
    <n v="0"/>
    <n v="29"/>
    <n v="0"/>
    <n v="0"/>
    <n v="25.51"/>
    <n v="0"/>
    <n v="0"/>
    <n v="29.803266797877356"/>
    <m/>
    <m/>
    <n v="295890.49"/>
    <n v="0"/>
    <n v="0"/>
    <n v="345688.09158857947"/>
    <n v="0"/>
    <n v="0"/>
  </r>
  <r>
    <s v="Sistema de Compensação"/>
    <x v="2"/>
    <x v="3"/>
    <x v="2"/>
    <x v="0"/>
    <x v="1"/>
    <x v="0"/>
    <x v="0"/>
    <x v="8"/>
    <n v="3418"/>
    <n v="3418"/>
    <n v="0"/>
    <n v="0"/>
    <n v="0"/>
    <n v="0"/>
    <n v="26"/>
    <x v="3"/>
    <n v="0"/>
    <n v="29"/>
    <n v="0"/>
    <n v="0"/>
    <n v="25.51"/>
    <n v="0"/>
    <n v="0"/>
    <n v="29.803266797877356"/>
    <m/>
    <m/>
    <n v="87193.180000000008"/>
    <n v="0"/>
    <n v="0"/>
    <n v="101867.56591514481"/>
    <n v="0"/>
    <n v="0"/>
  </r>
  <r>
    <s v="Regular"/>
    <x v="2"/>
    <x v="3"/>
    <x v="2"/>
    <x v="0"/>
    <x v="1"/>
    <x v="0"/>
    <x v="0"/>
    <x v="9"/>
    <n v="10912"/>
    <n v="10912"/>
    <n v="0"/>
    <n v="0"/>
    <n v="0"/>
    <n v="0"/>
    <n v="102"/>
    <x v="3"/>
    <n v="0"/>
    <n v="29"/>
    <n v="0"/>
    <n v="0"/>
    <n v="25.51"/>
    <n v="0"/>
    <n v="0"/>
    <n v="29.803266797877356"/>
    <m/>
    <m/>
    <n v="278365.12"/>
    <n v="0"/>
    <n v="0"/>
    <n v="325213.24729843769"/>
    <n v="0"/>
    <n v="0"/>
  </r>
  <r>
    <s v="Refaturamento - Regular"/>
    <x v="2"/>
    <x v="3"/>
    <x v="2"/>
    <x v="0"/>
    <x v="1"/>
    <x v="0"/>
    <x v="0"/>
    <x v="9"/>
    <n v="-436"/>
    <n v="-436"/>
    <n v="0"/>
    <n v="0"/>
    <n v="0"/>
    <n v="0"/>
    <n v="-1"/>
    <x v="3"/>
    <n v="0"/>
    <n v="29"/>
    <n v="0"/>
    <n v="0"/>
    <n v="25.51"/>
    <n v="0"/>
    <n v="0"/>
    <n v="29.803266797877356"/>
    <m/>
    <m/>
    <n v="-11122.36"/>
    <n v="0"/>
    <n v="0"/>
    <n v="-12994.224323874527"/>
    <n v="0"/>
    <n v="0"/>
  </r>
  <r>
    <s v="Sistema de Compensação"/>
    <x v="2"/>
    <x v="3"/>
    <x v="2"/>
    <x v="0"/>
    <x v="1"/>
    <x v="0"/>
    <x v="0"/>
    <x v="9"/>
    <n v="3559"/>
    <n v="3559"/>
    <n v="0"/>
    <n v="0"/>
    <n v="0"/>
    <n v="0"/>
    <n v="27"/>
    <x v="3"/>
    <n v="0"/>
    <n v="29"/>
    <n v="0"/>
    <n v="0"/>
    <n v="25.51"/>
    <n v="0"/>
    <n v="0"/>
    <n v="29.803266797877356"/>
    <m/>
    <m/>
    <n v="90790.090000000011"/>
    <n v="0"/>
    <n v="0"/>
    <n v="106069.82653364551"/>
    <n v="0"/>
    <n v="0"/>
  </r>
  <r>
    <s v="Regular"/>
    <x v="2"/>
    <x v="3"/>
    <x v="2"/>
    <x v="0"/>
    <x v="1"/>
    <x v="0"/>
    <x v="0"/>
    <x v="10"/>
    <n v="10478"/>
    <n v="10478"/>
    <n v="0"/>
    <n v="0"/>
    <n v="0"/>
    <n v="0"/>
    <n v="103"/>
    <x v="3"/>
    <n v="0"/>
    <n v="29"/>
    <n v="0"/>
    <n v="0"/>
    <n v="25.51"/>
    <n v="0"/>
    <n v="0"/>
    <n v="29.803266797877356"/>
    <m/>
    <m/>
    <n v="267293.78000000003"/>
    <n v="0"/>
    <n v="0"/>
    <n v="312278.62950815895"/>
    <n v="0"/>
    <n v="0"/>
  </r>
  <r>
    <s v="Sistema de Compensação"/>
    <x v="2"/>
    <x v="3"/>
    <x v="2"/>
    <x v="0"/>
    <x v="1"/>
    <x v="0"/>
    <x v="0"/>
    <x v="10"/>
    <n v="3446"/>
    <n v="3446"/>
    <n v="0"/>
    <n v="0"/>
    <n v="0"/>
    <n v="0"/>
    <n v="26"/>
    <x v="3"/>
    <n v="0"/>
    <n v="29"/>
    <n v="0"/>
    <n v="0"/>
    <n v="25.51"/>
    <n v="0"/>
    <n v="0"/>
    <n v="29.803266797877356"/>
    <m/>
    <m/>
    <n v="87907.46"/>
    <n v="0"/>
    <n v="0"/>
    <n v="102702.05738548537"/>
    <n v="0"/>
    <n v="0"/>
  </r>
  <r>
    <s v="PROJETADO"/>
    <x v="2"/>
    <x v="3"/>
    <x v="2"/>
    <x v="0"/>
    <x v="1"/>
    <x v="0"/>
    <x v="0"/>
    <x v="11"/>
    <n v="10478"/>
    <n v="10478"/>
    <n v="0"/>
    <n v="0"/>
    <n v="0"/>
    <n v="0"/>
    <n v="103"/>
    <x v="3"/>
    <n v="0"/>
    <n v="29"/>
    <n v="0"/>
    <n v="0"/>
    <n v="25.51"/>
    <n v="0"/>
    <n v="0"/>
    <n v="29.803266797877356"/>
    <m/>
    <m/>
    <n v="267293.78000000003"/>
    <n v="0"/>
    <n v="0"/>
    <n v="312278.62950815895"/>
    <n v="0"/>
    <n v="0"/>
  </r>
  <r>
    <s v="PROJETADO"/>
    <x v="2"/>
    <x v="3"/>
    <x v="2"/>
    <x v="0"/>
    <x v="1"/>
    <x v="0"/>
    <x v="0"/>
    <x v="11"/>
    <n v="3446"/>
    <n v="3446"/>
    <n v="0"/>
    <n v="0"/>
    <n v="0"/>
    <n v="0"/>
    <n v="26"/>
    <x v="3"/>
    <n v="0"/>
    <n v="29"/>
    <n v="0"/>
    <n v="0"/>
    <n v="25.51"/>
    <n v="0"/>
    <n v="0"/>
    <n v="29.803266797877356"/>
    <m/>
    <m/>
    <n v="87907.46"/>
    <n v="0"/>
    <n v="0"/>
    <n v="102702.05738548537"/>
    <n v="0"/>
    <n v="0"/>
  </r>
  <r>
    <s v="Regular"/>
    <x v="2"/>
    <x v="3"/>
    <x v="2"/>
    <x v="0"/>
    <x v="1"/>
    <x v="0"/>
    <x v="2"/>
    <x v="0"/>
    <n v="0"/>
    <n v="0"/>
    <n v="153.61699999999999"/>
    <n v="153.61699999999999"/>
    <n v="153.61699999999999"/>
    <n v="153.61699999999999"/>
    <n v="0"/>
    <x v="3"/>
    <n v="0"/>
    <n v="0"/>
    <n v="30"/>
    <n v="78"/>
    <n v="0"/>
    <n v="1682.12"/>
    <n v="496.15"/>
    <m/>
    <n v="1969.6669835803759"/>
    <n v="506.4861368306324"/>
    <n v="0"/>
    <n v="258402.22803999996"/>
    <n v="76217.07454999999"/>
    <n v="0"/>
    <n v="302574.33301666658"/>
    <n v="77804.880881511257"/>
  </r>
  <r>
    <s v="Refaturamento - Regular"/>
    <x v="2"/>
    <x v="3"/>
    <x v="2"/>
    <x v="0"/>
    <x v="1"/>
    <x v="0"/>
    <x v="2"/>
    <x v="0"/>
    <n v="0"/>
    <n v="0"/>
    <n v="-1.2"/>
    <n v="-1.2"/>
    <n v="-1.2"/>
    <n v="-1.2"/>
    <n v="0"/>
    <x v="3"/>
    <n v="0"/>
    <n v="0"/>
    <n v="30"/>
    <n v="78"/>
    <n v="0"/>
    <n v="1682.12"/>
    <n v="496.15"/>
    <m/>
    <n v="1969.6669835803759"/>
    <n v="506.4861368306324"/>
    <n v="0"/>
    <n v="-2018.5439999999999"/>
    <n v="-595.38"/>
    <n v="0"/>
    <n v="-2363.600380296451"/>
    <n v="-607.78336419675884"/>
  </r>
  <r>
    <s v="Sistema de Compensação"/>
    <x v="2"/>
    <x v="3"/>
    <x v="2"/>
    <x v="0"/>
    <x v="1"/>
    <x v="0"/>
    <x v="2"/>
    <x v="0"/>
    <n v="0"/>
    <n v="0"/>
    <n v="14.44"/>
    <n v="14.44"/>
    <n v="14.44"/>
    <n v="14.44"/>
    <n v="0"/>
    <x v="3"/>
    <n v="0"/>
    <n v="0"/>
    <n v="30"/>
    <n v="78"/>
    <n v="0"/>
    <n v="1682.12"/>
    <n v="496.15"/>
    <m/>
    <n v="1969.6669835803759"/>
    <n v="506.4861368306324"/>
    <n v="0"/>
    <n v="24289.812799999996"/>
    <n v="7164.405999999999"/>
    <n v="0"/>
    <n v="28441.991242900629"/>
    <n v="7313.6598158343313"/>
  </r>
  <r>
    <s v="Sistema de Compensação"/>
    <x v="2"/>
    <x v="3"/>
    <x v="2"/>
    <x v="0"/>
    <x v="1"/>
    <x v="0"/>
    <x v="2"/>
    <x v="0"/>
    <n v="0"/>
    <n v="0"/>
    <n v="1.38"/>
    <n v="1.38"/>
    <n v="1.38"/>
    <n v="1.38"/>
    <n v="0"/>
    <x v="3"/>
    <n v="0"/>
    <n v="0"/>
    <n v="30"/>
    <n v="78"/>
    <n v="0"/>
    <n v="1682.12"/>
    <n v="496.15"/>
    <m/>
    <n v="1969.6669835803759"/>
    <n v="506.4861368306324"/>
    <n v="0"/>
    <n v="2321.3255999999997"/>
    <n v="684.6869999999999"/>
    <n v="0"/>
    <n v="2718.1404373409187"/>
    <n v="698.95086882627265"/>
  </r>
  <r>
    <s v="Regular"/>
    <x v="2"/>
    <x v="3"/>
    <x v="2"/>
    <x v="0"/>
    <x v="1"/>
    <x v="0"/>
    <x v="2"/>
    <x v="1"/>
    <n v="0"/>
    <n v="0"/>
    <n v="136.13900000000001"/>
    <n v="136.13900000000001"/>
    <n v="136.13900000000001"/>
    <n v="136.13900000000001"/>
    <n v="0"/>
    <x v="3"/>
    <n v="0"/>
    <n v="0"/>
    <n v="30"/>
    <n v="78"/>
    <n v="0"/>
    <n v="1682.12"/>
    <n v="496.15"/>
    <m/>
    <n v="1969.6669835803759"/>
    <n v="506.4861368306324"/>
    <n v="0"/>
    <n v="229002.13467999999"/>
    <n v="67545.364849999998"/>
    <n v="0"/>
    <n v="268148.49347764882"/>
    <n v="68952.516181985469"/>
  </r>
  <r>
    <s v="Refaturamento - Regular"/>
    <x v="2"/>
    <x v="3"/>
    <x v="2"/>
    <x v="0"/>
    <x v="1"/>
    <x v="0"/>
    <x v="2"/>
    <x v="1"/>
    <n v="0"/>
    <n v="0"/>
    <n v="0.36"/>
    <n v="0.36"/>
    <n v="0.36"/>
    <n v="0.36"/>
    <n v="0"/>
    <x v="3"/>
    <n v="0"/>
    <n v="0"/>
    <n v="30"/>
    <n v="78"/>
    <n v="0"/>
    <n v="1682.12"/>
    <n v="496.15"/>
    <m/>
    <n v="1969.6669835803759"/>
    <n v="506.4861368306324"/>
    <n v="0"/>
    <n v="605.56319999999994"/>
    <n v="178.61399999999998"/>
    <n v="0"/>
    <n v="709.08011408893526"/>
    <n v="182.33500925902766"/>
  </r>
  <r>
    <s v="Sistema de Compensação"/>
    <x v="2"/>
    <x v="3"/>
    <x v="2"/>
    <x v="0"/>
    <x v="1"/>
    <x v="0"/>
    <x v="2"/>
    <x v="1"/>
    <n v="0"/>
    <n v="0"/>
    <n v="21.082000000000001"/>
    <n v="21.082000000000001"/>
    <n v="21.082000000000001"/>
    <n v="21.082000000000001"/>
    <n v="0"/>
    <x v="3"/>
    <n v="0"/>
    <n v="0"/>
    <n v="30"/>
    <n v="78"/>
    <n v="0"/>
    <n v="1682.12"/>
    <n v="496.15"/>
    <m/>
    <n v="1969.6669835803759"/>
    <n v="506.4861368306324"/>
    <n v="0"/>
    <n v="35462.453840000002"/>
    <n v="10459.8343"/>
    <n v="0"/>
    <n v="41524.519347841488"/>
    <n v="10677.740736663392"/>
  </r>
  <r>
    <s v="Regular"/>
    <x v="2"/>
    <x v="3"/>
    <x v="2"/>
    <x v="0"/>
    <x v="1"/>
    <x v="0"/>
    <x v="2"/>
    <x v="2"/>
    <n v="0"/>
    <n v="0"/>
    <n v="171.22900000000001"/>
    <n v="171.22900000000001"/>
    <n v="171.22900000000001"/>
    <n v="171.22900000000001"/>
    <n v="0"/>
    <x v="3"/>
    <n v="0"/>
    <n v="0"/>
    <n v="30"/>
    <n v="78"/>
    <n v="0"/>
    <n v="1682.12"/>
    <n v="496.15"/>
    <m/>
    <n v="1969.6669835803759"/>
    <n v="506.4861368306324"/>
    <n v="0"/>
    <n v="288027.72548000002"/>
    <n v="84955.268349999998"/>
    <n v="0"/>
    <n v="337264.10793148424"/>
    <n v="86725.11472337236"/>
  </r>
  <r>
    <s v="Sistema de Compensação"/>
    <x v="2"/>
    <x v="3"/>
    <x v="2"/>
    <x v="0"/>
    <x v="1"/>
    <x v="0"/>
    <x v="2"/>
    <x v="2"/>
    <n v="0"/>
    <n v="0"/>
    <n v="19.434000000000001"/>
    <n v="19.434000000000001"/>
    <n v="19.434000000000001"/>
    <n v="19.434000000000001"/>
    <n v="0"/>
    <x v="3"/>
    <n v="0"/>
    <n v="0"/>
    <n v="30"/>
    <n v="78"/>
    <n v="0"/>
    <n v="1682.12"/>
    <n v="496.15"/>
    <m/>
    <n v="1969.6669835803759"/>
    <n v="506.4861368306324"/>
    <n v="0"/>
    <n v="32690.320080000001"/>
    <n v="9642.1790999999994"/>
    <n v="0"/>
    <n v="38278.50815890103"/>
    <n v="9843.0515831665107"/>
  </r>
  <r>
    <s v="Regular"/>
    <x v="2"/>
    <x v="3"/>
    <x v="2"/>
    <x v="0"/>
    <x v="1"/>
    <x v="0"/>
    <x v="2"/>
    <x v="3"/>
    <n v="0"/>
    <n v="0"/>
    <n v="188.268"/>
    <n v="188.268"/>
    <n v="188.268"/>
    <n v="188.268"/>
    <n v="0"/>
    <x v="3"/>
    <n v="0"/>
    <n v="0"/>
    <n v="30"/>
    <n v="78"/>
    <n v="0"/>
    <n v="1682.12"/>
    <n v="496.15"/>
    <m/>
    <n v="1969.6669835803759"/>
    <n v="506.4861368306324"/>
    <n v="0"/>
    <n v="316689.36815999995"/>
    <n v="93409.1682"/>
    <n v="0"/>
    <n v="370825.26366471022"/>
    <n v="95355.132008829503"/>
  </r>
  <r>
    <s v="Sistema de Compensação"/>
    <x v="2"/>
    <x v="3"/>
    <x v="2"/>
    <x v="0"/>
    <x v="1"/>
    <x v="0"/>
    <x v="2"/>
    <x v="3"/>
    <n v="0"/>
    <n v="0"/>
    <n v="25.936"/>
    <n v="25.936"/>
    <n v="25.936"/>
    <n v="25.936"/>
    <n v="0"/>
    <x v="3"/>
    <n v="0"/>
    <n v="0"/>
    <n v="30"/>
    <n v="78"/>
    <n v="0"/>
    <n v="1682.12"/>
    <n v="496.15"/>
    <m/>
    <n v="1969.6669835803759"/>
    <n v="506.4861368306324"/>
    <n v="0"/>
    <n v="43627.464319999999"/>
    <n v="12868.1464"/>
    <n v="0"/>
    <n v="51085.282886140631"/>
    <n v="13136.224444839281"/>
  </r>
  <r>
    <s v="Regular"/>
    <x v="2"/>
    <x v="3"/>
    <x v="2"/>
    <x v="0"/>
    <x v="1"/>
    <x v="0"/>
    <x v="2"/>
    <x v="4"/>
    <n v="0"/>
    <n v="0"/>
    <n v="165.982"/>
    <n v="165.982"/>
    <n v="165.982"/>
    <n v="165.982"/>
    <n v="0"/>
    <x v="3"/>
    <n v="0"/>
    <n v="0"/>
    <n v="30"/>
    <n v="78"/>
    <n v="0"/>
    <n v="1682.12"/>
    <n v="496.15"/>
    <m/>
    <n v="1969.6669835803759"/>
    <n v="506.4861368306324"/>
    <n v="0"/>
    <n v="279201.64184"/>
    <n v="82351.969299999997"/>
    <n v="0"/>
    <n v="326929.26526863797"/>
    <n v="84067.581963422024"/>
  </r>
  <r>
    <s v="Refaturamento - Regular"/>
    <x v="2"/>
    <x v="3"/>
    <x v="2"/>
    <x v="0"/>
    <x v="1"/>
    <x v="0"/>
    <x v="2"/>
    <x v="4"/>
    <n v="0"/>
    <n v="0"/>
    <n v="5.4530000000000003"/>
    <n v="5.4530000000000003"/>
    <n v="5.4530000000000003"/>
    <n v="5.4530000000000003"/>
    <n v="0"/>
    <x v="3"/>
    <n v="0"/>
    <n v="0"/>
    <n v="30"/>
    <n v="78"/>
    <n v="0"/>
    <n v="1682.12"/>
    <n v="496.15"/>
    <m/>
    <n v="1969.6669835803759"/>
    <n v="506.4861368306324"/>
    <n v="0"/>
    <n v="9172.6003600000004"/>
    <n v="2705.5059500000002"/>
    <n v="0"/>
    <n v="10740.594061463791"/>
    <n v="2761.8689041374387"/>
  </r>
  <r>
    <s v="Sistema de Compensação"/>
    <x v="2"/>
    <x v="3"/>
    <x v="2"/>
    <x v="0"/>
    <x v="1"/>
    <x v="0"/>
    <x v="2"/>
    <x v="4"/>
    <n v="0"/>
    <n v="0"/>
    <n v="17.966000000000001"/>
    <n v="17.966000000000001"/>
    <n v="17.966000000000001"/>
    <n v="17.966000000000001"/>
    <n v="0"/>
    <x v="3"/>
    <n v="0"/>
    <n v="0"/>
    <n v="30"/>
    <n v="78"/>
    <n v="0"/>
    <n v="1682.12"/>
    <n v="496.15"/>
    <m/>
    <n v="1969.6669835803759"/>
    <n v="506.4861368306324"/>
    <n v="0"/>
    <n v="30220.967919999999"/>
    <n v="8913.8309000000008"/>
    <n v="0"/>
    <n v="35387.037027005033"/>
    <n v="9099.529934299142"/>
  </r>
  <r>
    <s v="Regular"/>
    <x v="2"/>
    <x v="3"/>
    <x v="2"/>
    <x v="0"/>
    <x v="1"/>
    <x v="0"/>
    <x v="2"/>
    <x v="5"/>
    <n v="0"/>
    <n v="0"/>
    <n v="178.50800000000001"/>
    <n v="178.50800000000001"/>
    <n v="178.50800000000001"/>
    <n v="178.50800000000001"/>
    <n v="0"/>
    <x v="3"/>
    <n v="0"/>
    <n v="0"/>
    <n v="30"/>
    <n v="78"/>
    <n v="0"/>
    <n v="1682.12"/>
    <n v="496.15"/>
    <m/>
    <n v="1969.6669835803759"/>
    <n v="506.4861368306324"/>
    <n v="0"/>
    <n v="300271.87696000002"/>
    <n v="88566.744200000001"/>
    <n v="0"/>
    <n v="351601.31390496576"/>
    <n v="90411.827313362533"/>
  </r>
  <r>
    <s v="Sistema de Compensação"/>
    <x v="2"/>
    <x v="3"/>
    <x v="2"/>
    <x v="0"/>
    <x v="1"/>
    <x v="0"/>
    <x v="2"/>
    <x v="5"/>
    <n v="0"/>
    <n v="0"/>
    <n v="19.062999999999999"/>
    <n v="19.062999999999999"/>
    <n v="19.062999999999999"/>
    <n v="19.062999999999999"/>
    <n v="0"/>
    <x v="3"/>
    <n v="0"/>
    <n v="0"/>
    <n v="30"/>
    <n v="78"/>
    <n v="0"/>
    <n v="1682.12"/>
    <n v="496.15"/>
    <m/>
    <n v="1969.6669835803759"/>
    <n v="506.4861368306324"/>
    <n v="0"/>
    <n v="32066.253559999997"/>
    <n v="9458.1074499999995"/>
    <n v="0"/>
    <n v="37547.7617079927"/>
    <n v="9655.1452264023446"/>
  </r>
  <r>
    <s v="Regular"/>
    <x v="2"/>
    <x v="3"/>
    <x v="2"/>
    <x v="0"/>
    <x v="1"/>
    <x v="0"/>
    <x v="2"/>
    <x v="6"/>
    <n v="0"/>
    <n v="0"/>
    <n v="181.67500000000001"/>
    <n v="181.67500000000001"/>
    <n v="181.67500000000001"/>
    <n v="181.67500000000001"/>
    <n v="0"/>
    <x v="3"/>
    <n v="0"/>
    <n v="0"/>
    <n v="30"/>
    <n v="78"/>
    <n v="0"/>
    <n v="1682.12"/>
    <n v="496.15"/>
    <m/>
    <n v="1969.6669835803759"/>
    <n v="506.4861368306324"/>
    <n v="0"/>
    <n v="305599.15100000001"/>
    <n v="90138.051250000004"/>
    <n v="0"/>
    <n v="357839.24924196483"/>
    <n v="92015.868908705146"/>
  </r>
  <r>
    <s v="Refaturamento - Regular"/>
    <x v="2"/>
    <x v="3"/>
    <x v="2"/>
    <x v="0"/>
    <x v="1"/>
    <x v="0"/>
    <x v="2"/>
    <x v="6"/>
    <n v="0"/>
    <n v="0"/>
    <n v="1.92"/>
    <n v="1.92"/>
    <n v="1.92"/>
    <n v="1.92"/>
    <n v="0"/>
    <x v="3"/>
    <n v="0"/>
    <n v="0"/>
    <n v="30"/>
    <n v="78"/>
    <n v="0"/>
    <n v="1682.12"/>
    <n v="496.15"/>
    <m/>
    <n v="1969.6669835803759"/>
    <n v="506.4861368306324"/>
    <n v="0"/>
    <n v="3229.6703999999995"/>
    <n v="952.60799999999995"/>
    <n v="0"/>
    <n v="3781.7606084743215"/>
    <n v="972.45338271481421"/>
  </r>
  <r>
    <s v="Sistema de Compensação"/>
    <x v="2"/>
    <x v="3"/>
    <x v="2"/>
    <x v="0"/>
    <x v="1"/>
    <x v="0"/>
    <x v="2"/>
    <x v="6"/>
    <n v="0"/>
    <n v="0"/>
    <n v="27.459"/>
    <n v="27.459"/>
    <n v="27.459"/>
    <n v="27.459"/>
    <n v="0"/>
    <x v="3"/>
    <n v="0"/>
    <n v="0"/>
    <n v="30"/>
    <n v="78"/>
    <n v="0"/>
    <n v="1682.12"/>
    <n v="496.15"/>
    <m/>
    <n v="1969.6669835803759"/>
    <n v="506.4861368306324"/>
    <n v="0"/>
    <n v="46189.333079999997"/>
    <n v="13623.78285"/>
    <n v="0"/>
    <n v="54085.08570213354"/>
    <n v="13907.602831232334"/>
  </r>
  <r>
    <s v="Regular"/>
    <x v="2"/>
    <x v="3"/>
    <x v="2"/>
    <x v="0"/>
    <x v="1"/>
    <x v="0"/>
    <x v="2"/>
    <x v="7"/>
    <n v="0"/>
    <n v="0"/>
    <n v="176.92400000000001"/>
    <n v="176.92400000000001"/>
    <n v="176.92400000000001"/>
    <n v="176.92400000000001"/>
    <n v="0"/>
    <x v="3"/>
    <n v="0"/>
    <n v="0"/>
    <n v="30"/>
    <n v="78"/>
    <n v="0"/>
    <n v="1682.12"/>
    <n v="496.15"/>
    <m/>
    <n v="1969.6669835803759"/>
    <n v="506.4861368306324"/>
    <n v="0"/>
    <n v="297607.39887999999"/>
    <n v="87780.842600000004"/>
    <n v="0"/>
    <n v="348481.36140297446"/>
    <n v="89609.553272622812"/>
  </r>
  <r>
    <s v="Sistema de Compensação"/>
    <x v="2"/>
    <x v="3"/>
    <x v="2"/>
    <x v="0"/>
    <x v="1"/>
    <x v="0"/>
    <x v="2"/>
    <x v="7"/>
    <n v="0"/>
    <n v="0"/>
    <n v="22.359000000000002"/>
    <n v="22.359000000000002"/>
    <n v="22.359000000000002"/>
    <n v="22.359000000000002"/>
    <n v="0"/>
    <x v="3"/>
    <n v="0"/>
    <n v="0"/>
    <n v="30"/>
    <n v="78"/>
    <n v="0"/>
    <n v="1682.12"/>
    <n v="496.15"/>
    <m/>
    <n v="1969.6669835803759"/>
    <n v="506.4861368306324"/>
    <n v="0"/>
    <n v="37610.521079999999"/>
    <n v="11093.41785"/>
    <n v="0"/>
    <n v="44039.784085873631"/>
    <n v="11324.52353339611"/>
  </r>
  <r>
    <s v="Regular"/>
    <x v="2"/>
    <x v="3"/>
    <x v="2"/>
    <x v="0"/>
    <x v="1"/>
    <x v="0"/>
    <x v="2"/>
    <x v="8"/>
    <n v="0"/>
    <n v="0"/>
    <n v="163.41800000000001"/>
    <n v="163.41800000000001"/>
    <n v="163.41800000000001"/>
    <n v="163.41800000000001"/>
    <n v="0"/>
    <x v="3"/>
    <n v="0"/>
    <n v="0"/>
    <n v="30"/>
    <n v="78"/>
    <n v="0"/>
    <n v="1682.12"/>
    <n v="496.15"/>
    <m/>
    <n v="1969.6669835803759"/>
    <n v="506.4861368306324"/>
    <n v="0"/>
    <n v="274888.68615999998"/>
    <n v="81079.840700000001"/>
    <n v="0"/>
    <n v="321879.03912273789"/>
    <n v="82768.951508588289"/>
  </r>
  <r>
    <s v="Sistema de Compensação"/>
    <x v="2"/>
    <x v="3"/>
    <x v="2"/>
    <x v="0"/>
    <x v="1"/>
    <x v="0"/>
    <x v="2"/>
    <x v="8"/>
    <n v="0"/>
    <n v="0"/>
    <n v="23.030999999999999"/>
    <n v="23.030999999999999"/>
    <n v="23.030999999999999"/>
    <n v="23.030999999999999"/>
    <n v="0"/>
    <x v="3"/>
    <n v="0"/>
    <n v="0"/>
    <n v="30"/>
    <n v="78"/>
    <n v="0"/>
    <n v="1682.12"/>
    <n v="496.15"/>
    <m/>
    <n v="1969.6669835803759"/>
    <n v="506.4861368306324"/>
    <n v="0"/>
    <n v="38740.905719999995"/>
    <n v="11426.830649999998"/>
    <n v="0"/>
    <n v="45363.400298839639"/>
    <n v="11664.882217346294"/>
  </r>
  <r>
    <s v="Regular"/>
    <x v="2"/>
    <x v="3"/>
    <x v="2"/>
    <x v="0"/>
    <x v="1"/>
    <x v="0"/>
    <x v="2"/>
    <x v="9"/>
    <n v="0"/>
    <n v="0"/>
    <n v="159.893"/>
    <n v="159.893"/>
    <n v="159.893"/>
    <n v="159.893"/>
    <n v="0"/>
    <x v="3"/>
    <n v="0"/>
    <n v="0"/>
    <n v="30"/>
    <n v="78"/>
    <n v="0"/>
    <n v="1682.12"/>
    <n v="496.15"/>
    <m/>
    <n v="1969.6669835803759"/>
    <n v="506.4861368306324"/>
    <n v="0"/>
    <n v="268959.21315999998"/>
    <n v="79330.911949999994"/>
    <n v="0"/>
    <n v="314935.96300561703"/>
    <n v="80983.58787626031"/>
  </r>
  <r>
    <s v="Refaturamento - Regular"/>
    <x v="2"/>
    <x v="3"/>
    <x v="2"/>
    <x v="0"/>
    <x v="1"/>
    <x v="0"/>
    <x v="2"/>
    <x v="9"/>
    <n v="0"/>
    <n v="0"/>
    <n v="-3.9020000000000001"/>
    <n v="-3.9020000000000001"/>
    <n v="-3.9020000000000001"/>
    <n v="-3.9020000000000001"/>
    <n v="0"/>
    <x v="3"/>
    <n v="0"/>
    <n v="0"/>
    <n v="30"/>
    <n v="78"/>
    <n v="0"/>
    <n v="1682.12"/>
    <n v="496.15"/>
    <m/>
    <n v="1969.6669835803759"/>
    <n v="506.4861368306324"/>
    <n v="0"/>
    <n v="-6563.6322399999999"/>
    <n v="-1935.9773"/>
    <n v="0"/>
    <n v="-7685.640569930627"/>
    <n v="-1976.3089059131278"/>
  </r>
  <r>
    <s v="Sistema de Compensação"/>
    <x v="2"/>
    <x v="3"/>
    <x v="2"/>
    <x v="0"/>
    <x v="1"/>
    <x v="0"/>
    <x v="2"/>
    <x v="9"/>
    <n v="0"/>
    <n v="0"/>
    <n v="27.92"/>
    <n v="27.92"/>
    <n v="27.92"/>
    <n v="27.92"/>
    <n v="0"/>
    <x v="3"/>
    <n v="0"/>
    <n v="0"/>
    <n v="30"/>
    <n v="78"/>
    <n v="0"/>
    <n v="1682.12"/>
    <n v="496.15"/>
    <m/>
    <n v="1969.6669835803759"/>
    <n v="506.4861368306324"/>
    <n v="0"/>
    <n v="46964.790399999998"/>
    <n v="13852.508"/>
    <n v="0"/>
    <n v="54993.1021815641"/>
    <n v="14141.092940311257"/>
  </r>
  <r>
    <s v="Regular"/>
    <x v="2"/>
    <x v="3"/>
    <x v="2"/>
    <x v="0"/>
    <x v="1"/>
    <x v="0"/>
    <x v="2"/>
    <x v="10"/>
    <n v="0"/>
    <n v="0"/>
    <n v="152.511"/>
    <n v="152.511"/>
    <n v="152.511"/>
    <n v="152.511"/>
    <n v="0"/>
    <x v="3"/>
    <n v="0"/>
    <n v="0"/>
    <n v="30"/>
    <n v="78"/>
    <n v="0"/>
    <n v="1682.12"/>
    <n v="496.15"/>
    <m/>
    <n v="1969.6669835803759"/>
    <n v="506.4861368306324"/>
    <n v="0"/>
    <n v="256541.80331999998"/>
    <n v="75668.332649999997"/>
    <n v="0"/>
    <n v="300395.88133282668"/>
    <n v="77244.707214176582"/>
  </r>
  <r>
    <s v="Refaturamento - Regular"/>
    <x v="2"/>
    <x v="3"/>
    <x v="2"/>
    <x v="0"/>
    <x v="1"/>
    <x v="0"/>
    <x v="2"/>
    <x v="10"/>
    <n v="0"/>
    <n v="0"/>
    <n v="-1.6839999999999999"/>
    <n v="-1.6839999999999999"/>
    <n v="-1.6839999999999999"/>
    <n v="-1.6839999999999999"/>
    <n v="0"/>
    <x v="3"/>
    <n v="0"/>
    <n v="0"/>
    <n v="30"/>
    <n v="78"/>
    <n v="0"/>
    <n v="1682.12"/>
    <n v="496.15"/>
    <m/>
    <n v="1969.6669835803759"/>
    <n v="506.4861368306324"/>
    <n v="0"/>
    <n v="-2832.6900799999999"/>
    <n v="-835.51659999999993"/>
    <n v="0"/>
    <n v="-3316.9192003493531"/>
    <n v="-852.92265442278494"/>
  </r>
  <r>
    <s v="Sistema de Compensação"/>
    <x v="2"/>
    <x v="3"/>
    <x v="2"/>
    <x v="0"/>
    <x v="1"/>
    <x v="0"/>
    <x v="2"/>
    <x v="10"/>
    <n v="0"/>
    <n v="0"/>
    <n v="23.071999999999999"/>
    <n v="23.071999999999999"/>
    <n v="23.071999999999999"/>
    <n v="23.071999999999999"/>
    <n v="0"/>
    <x v="3"/>
    <n v="0"/>
    <n v="0"/>
    <n v="30"/>
    <n v="78"/>
    <n v="0"/>
    <n v="1682.12"/>
    <n v="496.15"/>
    <m/>
    <n v="1969.6669835803759"/>
    <n v="506.4861368306324"/>
    <n v="0"/>
    <n v="38809.872639999994"/>
    <n v="11447.172799999998"/>
    <n v="0"/>
    <n v="45444.156645166433"/>
    <n v="11685.64814895635"/>
  </r>
  <r>
    <s v="PROJETADO"/>
    <x v="2"/>
    <x v="3"/>
    <x v="2"/>
    <x v="0"/>
    <x v="1"/>
    <x v="0"/>
    <x v="2"/>
    <x v="11"/>
    <n v="0"/>
    <n v="0"/>
    <n v="152.511"/>
    <n v="152.511"/>
    <n v="152.511"/>
    <n v="152.511"/>
    <n v="0"/>
    <x v="3"/>
    <n v="0"/>
    <n v="0"/>
    <n v="30"/>
    <n v="78"/>
    <n v="0"/>
    <n v="1682.12"/>
    <n v="496.15"/>
    <m/>
    <n v="1969.6669835803759"/>
    <n v="506.4861368306324"/>
    <n v="0"/>
    <n v="256541.80331999998"/>
    <n v="75668.332649999997"/>
    <n v="0"/>
    <n v="300395.88133282668"/>
    <n v="77244.707214176582"/>
  </r>
  <r>
    <s v="PROJETADO"/>
    <x v="2"/>
    <x v="3"/>
    <x v="2"/>
    <x v="0"/>
    <x v="1"/>
    <x v="0"/>
    <x v="2"/>
    <x v="11"/>
    <n v="0"/>
    <n v="0"/>
    <n v="-1.6839999999999999"/>
    <n v="-1.6839999999999999"/>
    <n v="-1.6839999999999999"/>
    <n v="-1.6839999999999999"/>
    <n v="0"/>
    <x v="3"/>
    <n v="0"/>
    <n v="0"/>
    <n v="30"/>
    <n v="78"/>
    <n v="0"/>
    <n v="1682.12"/>
    <n v="496.15"/>
    <m/>
    <n v="1969.6669835803759"/>
    <n v="506.4861368306324"/>
    <n v="0"/>
    <n v="-2832.6900799999999"/>
    <n v="-835.51659999999993"/>
    <n v="0"/>
    <n v="-3316.9192003493531"/>
    <n v="-852.92265442278494"/>
  </r>
  <r>
    <s v="PROJETADO"/>
    <x v="2"/>
    <x v="3"/>
    <x v="2"/>
    <x v="0"/>
    <x v="1"/>
    <x v="0"/>
    <x v="2"/>
    <x v="11"/>
    <n v="0"/>
    <n v="0"/>
    <n v="23.071999999999999"/>
    <n v="23.071999999999999"/>
    <n v="23.071999999999999"/>
    <n v="23.071999999999999"/>
    <n v="0"/>
    <x v="3"/>
    <n v="0"/>
    <n v="0"/>
    <n v="30"/>
    <n v="78"/>
    <n v="0"/>
    <n v="1682.12"/>
    <n v="496.15"/>
    <m/>
    <n v="1969.6669835803759"/>
    <n v="506.4861368306324"/>
    <n v="0"/>
    <n v="38809.872639999994"/>
    <n v="11447.172799999998"/>
    <n v="0"/>
    <n v="45444.156645166433"/>
    <n v="11685.64814895635"/>
  </r>
  <r>
    <s v="Regular"/>
    <x v="2"/>
    <x v="3"/>
    <x v="6"/>
    <x v="0"/>
    <x v="1"/>
    <x v="0"/>
    <x v="1"/>
    <x v="0"/>
    <n v="0"/>
    <n v="0"/>
    <n v="34.799999999999997"/>
    <n v="34.799999999999997"/>
    <n v="34.799999999999997"/>
    <n v="34.799999999999997"/>
    <n v="0"/>
    <x v="3"/>
    <n v="0"/>
    <n v="0"/>
    <n v="31"/>
    <n v="79"/>
    <n v="0"/>
    <n v="88.66"/>
    <n v="311.04000000000002"/>
    <m/>
    <n v="137.25956288333876"/>
    <n v="311.14842517571947"/>
    <n v="0"/>
    <n v="3085.3679999999995"/>
    <n v="10824.191999999999"/>
    <n v="0"/>
    <n v="4776.6327883401882"/>
    <n v="10827.965196115036"/>
  </r>
  <r>
    <s v="Regular"/>
    <x v="2"/>
    <x v="3"/>
    <x v="6"/>
    <x v="0"/>
    <x v="1"/>
    <x v="0"/>
    <x v="1"/>
    <x v="1"/>
    <n v="0"/>
    <n v="0"/>
    <n v="33.6"/>
    <n v="33.6"/>
    <n v="33.6"/>
    <n v="33.6"/>
    <n v="0"/>
    <x v="3"/>
    <n v="0"/>
    <n v="0"/>
    <n v="31"/>
    <n v="79"/>
    <n v="0"/>
    <n v="88.66"/>
    <n v="311.04000000000002"/>
    <m/>
    <n v="137.25956288333876"/>
    <n v="311.14842517571947"/>
    <n v="0"/>
    <n v="2978.9760000000001"/>
    <n v="10450.944000000001"/>
    <n v="0"/>
    <n v="4611.9213128801821"/>
    <n v="10454.587085904175"/>
  </r>
  <r>
    <s v="Regular"/>
    <x v="2"/>
    <x v="3"/>
    <x v="6"/>
    <x v="0"/>
    <x v="1"/>
    <x v="0"/>
    <x v="1"/>
    <x v="2"/>
    <n v="0"/>
    <n v="0"/>
    <n v="38.4"/>
    <n v="38.4"/>
    <n v="38.4"/>
    <n v="38.4"/>
    <n v="0"/>
    <x v="3"/>
    <n v="0"/>
    <n v="0"/>
    <n v="31"/>
    <n v="79"/>
    <n v="0"/>
    <n v="88.66"/>
    <n v="311.04000000000002"/>
    <m/>
    <n v="137.25956288333876"/>
    <n v="311.14842517571947"/>
    <n v="0"/>
    <n v="3404.5439999999999"/>
    <n v="11943.936"/>
    <n v="0"/>
    <n v="5270.7672147202084"/>
    <n v="11948.099526747626"/>
  </r>
  <r>
    <s v="Regular"/>
    <x v="2"/>
    <x v="3"/>
    <x v="6"/>
    <x v="0"/>
    <x v="1"/>
    <x v="0"/>
    <x v="1"/>
    <x v="3"/>
    <n v="0"/>
    <n v="0"/>
    <n v="51.6"/>
    <n v="51.6"/>
    <n v="51.6"/>
    <n v="51.6"/>
    <n v="0"/>
    <x v="3"/>
    <n v="0"/>
    <n v="0"/>
    <n v="31"/>
    <n v="79"/>
    <n v="0"/>
    <n v="88.66"/>
    <n v="311.04000000000002"/>
    <m/>
    <n v="137.25956288333876"/>
    <n v="311.14842517571947"/>
    <n v="0"/>
    <n v="4574.8559999999998"/>
    <n v="16049.664000000001"/>
    <n v="0"/>
    <n v="7082.5934447802802"/>
    <n v="16055.258739067125"/>
  </r>
  <r>
    <s v="Regular"/>
    <x v="2"/>
    <x v="3"/>
    <x v="6"/>
    <x v="0"/>
    <x v="1"/>
    <x v="0"/>
    <x v="1"/>
    <x v="4"/>
    <n v="0"/>
    <n v="0"/>
    <n v="44.4"/>
    <n v="44.4"/>
    <n v="44.4"/>
    <n v="44.4"/>
    <n v="0"/>
    <x v="3"/>
    <n v="0"/>
    <n v="0"/>
    <n v="31"/>
    <n v="79"/>
    <n v="0"/>
    <n v="88.66"/>
    <n v="311.04000000000002"/>
    <m/>
    <n v="137.25956288333876"/>
    <n v="311.14842517571947"/>
    <n v="0"/>
    <n v="3936.5039999999999"/>
    <n v="13810.176000000001"/>
    <n v="0"/>
    <n v="6094.3245920202407"/>
    <n v="13814.990077801944"/>
  </r>
  <r>
    <s v="Regular"/>
    <x v="2"/>
    <x v="3"/>
    <x v="6"/>
    <x v="0"/>
    <x v="1"/>
    <x v="0"/>
    <x v="1"/>
    <x v="5"/>
    <n v="0"/>
    <n v="0"/>
    <n v="44.4"/>
    <n v="44.4"/>
    <n v="44.4"/>
    <n v="44.4"/>
    <n v="0"/>
    <x v="3"/>
    <n v="0"/>
    <n v="0"/>
    <n v="31"/>
    <n v="79"/>
    <n v="0"/>
    <n v="88.66"/>
    <n v="311.04000000000002"/>
    <m/>
    <n v="137.25956288333876"/>
    <n v="311.14842517571947"/>
    <n v="0"/>
    <n v="3936.5039999999999"/>
    <n v="13810.176000000001"/>
    <n v="0"/>
    <n v="6094.3245920202407"/>
    <n v="13814.990077801944"/>
  </r>
  <r>
    <s v="Regular"/>
    <x v="2"/>
    <x v="3"/>
    <x v="6"/>
    <x v="0"/>
    <x v="1"/>
    <x v="0"/>
    <x v="1"/>
    <x v="6"/>
    <n v="0"/>
    <n v="0"/>
    <n v="50.4"/>
    <n v="50.4"/>
    <n v="50.4"/>
    <n v="50.4"/>
    <n v="0"/>
    <x v="3"/>
    <n v="0"/>
    <n v="0"/>
    <n v="31"/>
    <n v="79"/>
    <n v="0"/>
    <n v="88.66"/>
    <n v="311.04000000000002"/>
    <m/>
    <n v="137.25956288333876"/>
    <n v="311.14842517571947"/>
    <n v="0"/>
    <n v="4468.4639999999999"/>
    <n v="15676.416000000001"/>
    <n v="0"/>
    <n v="6917.8819693202731"/>
    <n v="15681.880628856261"/>
  </r>
  <r>
    <s v="Regular"/>
    <x v="2"/>
    <x v="3"/>
    <x v="6"/>
    <x v="0"/>
    <x v="1"/>
    <x v="0"/>
    <x v="1"/>
    <x v="7"/>
    <n v="0"/>
    <n v="0"/>
    <n v="51.832999999999998"/>
    <n v="51.832999999999998"/>
    <n v="51.832999999999998"/>
    <n v="51.832999999999998"/>
    <n v="0"/>
    <x v="3"/>
    <n v="0"/>
    <n v="0"/>
    <n v="31"/>
    <n v="79"/>
    <n v="0"/>
    <n v="88.66"/>
    <n v="311.04000000000002"/>
    <m/>
    <n v="137.25956288333876"/>
    <n v="311.14842517571947"/>
    <n v="0"/>
    <n v="4595.5137799999993"/>
    <n v="16122.136320000001"/>
    <n v="0"/>
    <n v="7114.5749229320973"/>
    <n v="16127.756322133067"/>
  </r>
  <r>
    <s v="Regular"/>
    <x v="2"/>
    <x v="3"/>
    <x v="6"/>
    <x v="0"/>
    <x v="1"/>
    <x v="0"/>
    <x v="1"/>
    <x v="8"/>
    <n v="0"/>
    <n v="0"/>
    <n v="48.14"/>
    <n v="48.14"/>
    <n v="48.14"/>
    <n v="48.14"/>
    <n v="0"/>
    <x v="3"/>
    <n v="0"/>
    <n v="0"/>
    <n v="31"/>
    <n v="79"/>
    <n v="0"/>
    <n v="88.66"/>
    <n v="311.04000000000002"/>
    <m/>
    <n v="137.25956288333876"/>
    <n v="311.14842517571947"/>
    <n v="0"/>
    <n v="4268.0923999999995"/>
    <n v="14973.465600000001"/>
    <n v="0"/>
    <n v="6607.6753572039279"/>
    <n v="14978.685187959136"/>
  </r>
  <r>
    <s v="Regular"/>
    <x v="2"/>
    <x v="3"/>
    <x v="6"/>
    <x v="0"/>
    <x v="1"/>
    <x v="0"/>
    <x v="1"/>
    <x v="9"/>
    <n v="0"/>
    <n v="0"/>
    <n v="60.338000000000001"/>
    <n v="60.338000000000001"/>
    <n v="60.338000000000001"/>
    <n v="60.338000000000001"/>
    <n v="0"/>
    <x v="3"/>
    <n v="0"/>
    <n v="0"/>
    <n v="31"/>
    <n v="79"/>
    <n v="0"/>
    <n v="88.66"/>
    <n v="311.04000000000002"/>
    <m/>
    <n v="137.25956288333876"/>
    <n v="311.14842517571947"/>
    <n v="0"/>
    <n v="5349.5670799999998"/>
    <n v="18767.53152"/>
    <n v="0"/>
    <n v="8281.9675052548937"/>
    <n v="18774.07367825256"/>
  </r>
  <r>
    <s v="Sistema de Compensação"/>
    <x v="2"/>
    <x v="3"/>
    <x v="6"/>
    <x v="0"/>
    <x v="1"/>
    <x v="0"/>
    <x v="1"/>
    <x v="10"/>
    <n v="0"/>
    <n v="0"/>
    <n v="48.17"/>
    <n v="48.17"/>
    <n v="48.17"/>
    <n v="48.17"/>
    <n v="0"/>
    <x v="3"/>
    <n v="0"/>
    <n v="0"/>
    <n v="31"/>
    <n v="79"/>
    <n v="0"/>
    <n v="88.66"/>
    <n v="311.04000000000002"/>
    <m/>
    <n v="137.25956288333876"/>
    <n v="311.14842517571947"/>
    <n v="0"/>
    <n v="4270.7521999999999"/>
    <n v="14982.796800000002"/>
    <n v="0"/>
    <n v="6611.7931440904285"/>
    <n v="14988.019640714407"/>
  </r>
  <r>
    <s v="PROJETADO"/>
    <x v="2"/>
    <x v="3"/>
    <x v="6"/>
    <x v="0"/>
    <x v="1"/>
    <x v="0"/>
    <x v="1"/>
    <x v="11"/>
    <n v="0"/>
    <n v="0"/>
    <n v="48.17"/>
    <n v="48.17"/>
    <n v="48.17"/>
    <n v="48.17"/>
    <n v="0"/>
    <x v="3"/>
    <n v="0"/>
    <n v="0"/>
    <n v="31"/>
    <n v="79"/>
    <n v="0"/>
    <n v="88.66"/>
    <n v="311.04000000000002"/>
    <m/>
    <n v="137.25956288333876"/>
    <n v="311.14842517571947"/>
    <n v="0"/>
    <n v="4270.7521999999999"/>
    <n v="14982.796800000002"/>
    <n v="0"/>
    <n v="6611.7931440904285"/>
    <n v="14988.019640714407"/>
  </r>
  <r>
    <s v="Regular"/>
    <x v="2"/>
    <x v="3"/>
    <x v="6"/>
    <x v="0"/>
    <x v="1"/>
    <x v="0"/>
    <x v="0"/>
    <x v="0"/>
    <n v="160"/>
    <n v="160"/>
    <n v="0"/>
    <n v="0"/>
    <n v="0"/>
    <n v="0"/>
    <n v="1"/>
    <x v="3"/>
    <n v="0"/>
    <n v="29"/>
    <n v="0"/>
    <n v="0"/>
    <n v="25.51"/>
    <n v="0"/>
    <n v="0"/>
    <n v="29.803266797877356"/>
    <m/>
    <m/>
    <n v="4081.6000000000004"/>
    <n v="0"/>
    <n v="0"/>
    <n v="4768.5226876603774"/>
    <n v="0"/>
    <n v="0"/>
  </r>
  <r>
    <s v="Regular"/>
    <x v="2"/>
    <x v="3"/>
    <x v="6"/>
    <x v="0"/>
    <x v="1"/>
    <x v="0"/>
    <x v="0"/>
    <x v="1"/>
    <n v="160"/>
    <n v="160"/>
    <n v="0"/>
    <n v="0"/>
    <n v="0"/>
    <n v="0"/>
    <n v="1"/>
    <x v="3"/>
    <n v="0"/>
    <n v="29"/>
    <n v="0"/>
    <n v="0"/>
    <n v="25.51"/>
    <n v="0"/>
    <n v="0"/>
    <n v="29.803266797877356"/>
    <m/>
    <m/>
    <n v="4081.6000000000004"/>
    <n v="0"/>
    <n v="0"/>
    <n v="4768.5226876603774"/>
    <n v="0"/>
    <n v="0"/>
  </r>
  <r>
    <s v="Regular"/>
    <x v="2"/>
    <x v="3"/>
    <x v="6"/>
    <x v="0"/>
    <x v="1"/>
    <x v="0"/>
    <x v="0"/>
    <x v="2"/>
    <n v="160"/>
    <n v="160"/>
    <n v="0"/>
    <n v="0"/>
    <n v="0"/>
    <n v="0"/>
    <n v="1"/>
    <x v="3"/>
    <n v="0"/>
    <n v="29"/>
    <n v="0"/>
    <n v="0"/>
    <n v="25.51"/>
    <n v="0"/>
    <n v="0"/>
    <n v="29.803266797877356"/>
    <m/>
    <m/>
    <n v="4081.6000000000004"/>
    <n v="0"/>
    <n v="0"/>
    <n v="4768.5226876603774"/>
    <n v="0"/>
    <n v="0"/>
  </r>
  <r>
    <s v="Regular"/>
    <x v="2"/>
    <x v="3"/>
    <x v="6"/>
    <x v="0"/>
    <x v="1"/>
    <x v="0"/>
    <x v="0"/>
    <x v="3"/>
    <n v="264"/>
    <n v="264"/>
    <n v="0"/>
    <n v="0"/>
    <n v="0"/>
    <n v="0"/>
    <n v="1"/>
    <x v="3"/>
    <n v="0"/>
    <n v="29"/>
    <n v="0"/>
    <n v="0"/>
    <n v="25.51"/>
    <n v="0"/>
    <n v="0"/>
    <n v="29.803266797877356"/>
    <m/>
    <m/>
    <n v="6734.64"/>
    <n v="0"/>
    <n v="0"/>
    <n v="7868.0624346396216"/>
    <n v="0"/>
    <n v="0"/>
  </r>
  <r>
    <s v="Regular"/>
    <x v="2"/>
    <x v="3"/>
    <x v="6"/>
    <x v="0"/>
    <x v="1"/>
    <x v="0"/>
    <x v="0"/>
    <x v="4"/>
    <n v="204"/>
    <n v="204"/>
    <n v="0"/>
    <n v="0"/>
    <n v="0"/>
    <n v="0"/>
    <n v="1"/>
    <x v="3"/>
    <n v="0"/>
    <n v="29"/>
    <n v="0"/>
    <n v="0"/>
    <n v="25.51"/>
    <n v="0"/>
    <n v="0"/>
    <n v="29.803266797877356"/>
    <m/>
    <m/>
    <n v="5204.04"/>
    <n v="0"/>
    <n v="0"/>
    <n v="6079.866426766981"/>
    <n v="0"/>
    <n v="0"/>
  </r>
  <r>
    <s v="Regular"/>
    <x v="2"/>
    <x v="3"/>
    <x v="6"/>
    <x v="0"/>
    <x v="1"/>
    <x v="0"/>
    <x v="0"/>
    <x v="5"/>
    <n v="240"/>
    <n v="240"/>
    <n v="0"/>
    <n v="0"/>
    <n v="0"/>
    <n v="0"/>
    <n v="1"/>
    <x v="3"/>
    <n v="0"/>
    <n v="29"/>
    <n v="0"/>
    <n v="0"/>
    <n v="25.51"/>
    <n v="0"/>
    <n v="0"/>
    <n v="29.803266797877356"/>
    <m/>
    <m/>
    <n v="6122.4000000000005"/>
    <n v="0"/>
    <n v="0"/>
    <n v="7152.7840314905652"/>
    <n v="0"/>
    <n v="0"/>
  </r>
  <r>
    <s v="Regular"/>
    <x v="2"/>
    <x v="3"/>
    <x v="6"/>
    <x v="0"/>
    <x v="1"/>
    <x v="0"/>
    <x v="0"/>
    <x v="6"/>
    <n v="276"/>
    <n v="276"/>
    <n v="0"/>
    <n v="0"/>
    <n v="0"/>
    <n v="0"/>
    <n v="1"/>
    <x v="3"/>
    <n v="0"/>
    <n v="29"/>
    <n v="0"/>
    <n v="0"/>
    <n v="25.51"/>
    <n v="0"/>
    <n v="0"/>
    <n v="29.803266797877356"/>
    <m/>
    <m/>
    <n v="7040.76"/>
    <n v="0"/>
    <n v="0"/>
    <n v="8225.7016362141494"/>
    <n v="0"/>
    <n v="0"/>
  </r>
  <r>
    <s v="Regular"/>
    <x v="2"/>
    <x v="3"/>
    <x v="6"/>
    <x v="0"/>
    <x v="1"/>
    <x v="0"/>
    <x v="0"/>
    <x v="7"/>
    <n v="208"/>
    <n v="208"/>
    <n v="0"/>
    <n v="0"/>
    <n v="0"/>
    <n v="0"/>
    <n v="1"/>
    <x v="3"/>
    <n v="0"/>
    <n v="29"/>
    <n v="0"/>
    <n v="0"/>
    <n v="25.51"/>
    <n v="0"/>
    <n v="0"/>
    <n v="29.803266797877356"/>
    <m/>
    <m/>
    <n v="5306.08"/>
    <n v="0"/>
    <n v="0"/>
    <n v="6199.0794939584903"/>
    <n v="0"/>
    <n v="0"/>
  </r>
  <r>
    <s v="Regular"/>
    <x v="2"/>
    <x v="3"/>
    <x v="6"/>
    <x v="0"/>
    <x v="1"/>
    <x v="0"/>
    <x v="0"/>
    <x v="8"/>
    <n v="218"/>
    <n v="218"/>
    <n v="0"/>
    <n v="0"/>
    <n v="0"/>
    <n v="0"/>
    <n v="1"/>
    <x v="3"/>
    <n v="0"/>
    <n v="29"/>
    <n v="0"/>
    <n v="0"/>
    <n v="25.51"/>
    <n v="0"/>
    <n v="0"/>
    <n v="29.803266797877356"/>
    <m/>
    <m/>
    <n v="5561.18"/>
    <n v="0"/>
    <n v="0"/>
    <n v="6497.1121619372634"/>
    <n v="0"/>
    <n v="0"/>
  </r>
  <r>
    <s v="Regular"/>
    <x v="2"/>
    <x v="3"/>
    <x v="6"/>
    <x v="0"/>
    <x v="1"/>
    <x v="0"/>
    <x v="0"/>
    <x v="9"/>
    <n v="241"/>
    <n v="241"/>
    <n v="0"/>
    <n v="0"/>
    <n v="0"/>
    <n v="0"/>
    <n v="1"/>
    <x v="3"/>
    <n v="0"/>
    <n v="29"/>
    <n v="0"/>
    <n v="0"/>
    <n v="25.51"/>
    <n v="0"/>
    <n v="0"/>
    <n v="29.803266797877356"/>
    <m/>
    <m/>
    <n v="6147.9100000000008"/>
    <n v="0"/>
    <n v="0"/>
    <n v="7182.587298288443"/>
    <n v="0"/>
    <n v="0"/>
  </r>
  <r>
    <s v="Sistema de Compensação"/>
    <x v="2"/>
    <x v="3"/>
    <x v="6"/>
    <x v="0"/>
    <x v="1"/>
    <x v="0"/>
    <x v="0"/>
    <x v="10"/>
    <n v="205"/>
    <n v="205"/>
    <n v="0"/>
    <n v="0"/>
    <n v="0"/>
    <n v="0"/>
    <n v="1"/>
    <x v="3"/>
    <n v="0"/>
    <n v="29"/>
    <n v="0"/>
    <n v="0"/>
    <n v="25.51"/>
    <n v="0"/>
    <n v="0"/>
    <n v="29.803266797877356"/>
    <m/>
    <m/>
    <n v="5229.55"/>
    <n v="0"/>
    <n v="0"/>
    <n v="6109.6696935648579"/>
    <n v="0"/>
    <n v="0"/>
  </r>
  <r>
    <s v="PROJETADO"/>
    <x v="2"/>
    <x v="3"/>
    <x v="6"/>
    <x v="0"/>
    <x v="1"/>
    <x v="0"/>
    <x v="0"/>
    <x v="11"/>
    <n v="205"/>
    <n v="205"/>
    <n v="0"/>
    <n v="0"/>
    <n v="0"/>
    <n v="0"/>
    <n v="1"/>
    <x v="3"/>
    <n v="0"/>
    <n v="29"/>
    <n v="0"/>
    <n v="0"/>
    <n v="25.51"/>
    <n v="0"/>
    <n v="0"/>
    <n v="29.803266797877356"/>
    <m/>
    <m/>
    <n v="5229.55"/>
    <n v="0"/>
    <n v="0"/>
    <n v="6109.6696935648579"/>
    <n v="0"/>
    <n v="0"/>
  </r>
  <r>
    <s v="Regular"/>
    <x v="2"/>
    <x v="3"/>
    <x v="6"/>
    <x v="0"/>
    <x v="1"/>
    <x v="0"/>
    <x v="2"/>
    <x v="0"/>
    <n v="0"/>
    <n v="0"/>
    <n v="3.6"/>
    <n v="3.6"/>
    <n v="3.6"/>
    <n v="3.6"/>
    <n v="0"/>
    <x v="3"/>
    <n v="0"/>
    <n v="0"/>
    <n v="30"/>
    <n v="78"/>
    <n v="0"/>
    <n v="1682.12"/>
    <n v="496.15"/>
    <m/>
    <n v="1969.6669835803759"/>
    <n v="506.4861368306324"/>
    <n v="0"/>
    <n v="6055.6319999999996"/>
    <n v="1786.1399999999999"/>
    <n v="0"/>
    <n v="7090.8011408893535"/>
    <n v="1823.3500925902767"/>
  </r>
  <r>
    <s v="Regular"/>
    <x v="2"/>
    <x v="3"/>
    <x v="6"/>
    <x v="0"/>
    <x v="1"/>
    <x v="0"/>
    <x v="2"/>
    <x v="1"/>
    <n v="0"/>
    <n v="0"/>
    <n v="3.6"/>
    <n v="3.6"/>
    <n v="3.6"/>
    <n v="3.6"/>
    <n v="0"/>
    <x v="3"/>
    <n v="0"/>
    <n v="0"/>
    <n v="30"/>
    <n v="78"/>
    <n v="0"/>
    <n v="1682.12"/>
    <n v="496.15"/>
    <m/>
    <n v="1969.6669835803759"/>
    <n v="506.4861368306324"/>
    <n v="0"/>
    <n v="6055.6319999999996"/>
    <n v="1786.1399999999999"/>
    <n v="0"/>
    <n v="7090.8011408893535"/>
    <n v="1823.3500925902767"/>
  </r>
  <r>
    <s v="Regular"/>
    <x v="2"/>
    <x v="3"/>
    <x v="6"/>
    <x v="0"/>
    <x v="1"/>
    <x v="0"/>
    <x v="2"/>
    <x v="2"/>
    <n v="0"/>
    <n v="0"/>
    <n v="3.6"/>
    <n v="3.6"/>
    <n v="3.6"/>
    <n v="3.6"/>
    <n v="0"/>
    <x v="3"/>
    <n v="0"/>
    <n v="0"/>
    <n v="30"/>
    <n v="78"/>
    <n v="0"/>
    <n v="1682.12"/>
    <n v="496.15"/>
    <m/>
    <n v="1969.6669835803759"/>
    <n v="506.4861368306324"/>
    <n v="0"/>
    <n v="6055.6319999999996"/>
    <n v="1786.1399999999999"/>
    <n v="0"/>
    <n v="7090.8011408893535"/>
    <n v="1823.3500925902767"/>
  </r>
  <r>
    <s v="Regular"/>
    <x v="2"/>
    <x v="3"/>
    <x v="6"/>
    <x v="0"/>
    <x v="1"/>
    <x v="0"/>
    <x v="2"/>
    <x v="3"/>
    <n v="0"/>
    <n v="0"/>
    <n v="4.8"/>
    <n v="4.8"/>
    <n v="4.8"/>
    <n v="4.8"/>
    <n v="0"/>
    <x v="3"/>
    <n v="0"/>
    <n v="0"/>
    <n v="30"/>
    <n v="78"/>
    <n v="0"/>
    <n v="1682.12"/>
    <n v="496.15"/>
    <m/>
    <n v="1969.6669835803759"/>
    <n v="506.4861368306324"/>
    <n v="0"/>
    <n v="8074.1759999999995"/>
    <n v="2381.52"/>
    <n v="0"/>
    <n v="9454.4015211858041"/>
    <n v="2431.1334567870354"/>
  </r>
  <r>
    <s v="Regular"/>
    <x v="2"/>
    <x v="3"/>
    <x v="6"/>
    <x v="0"/>
    <x v="1"/>
    <x v="0"/>
    <x v="2"/>
    <x v="4"/>
    <n v="0"/>
    <n v="0"/>
    <n v="3.6"/>
    <n v="3.6"/>
    <n v="3.6"/>
    <n v="3.6"/>
    <n v="0"/>
    <x v="3"/>
    <n v="0"/>
    <n v="0"/>
    <n v="30"/>
    <n v="78"/>
    <n v="0"/>
    <n v="1682.12"/>
    <n v="496.15"/>
    <m/>
    <n v="1969.6669835803759"/>
    <n v="506.4861368306324"/>
    <n v="0"/>
    <n v="6055.6319999999996"/>
    <n v="1786.1399999999999"/>
    <n v="0"/>
    <n v="7090.8011408893535"/>
    <n v="1823.3500925902767"/>
  </r>
  <r>
    <s v="Regular"/>
    <x v="2"/>
    <x v="3"/>
    <x v="6"/>
    <x v="0"/>
    <x v="1"/>
    <x v="0"/>
    <x v="2"/>
    <x v="5"/>
    <n v="0"/>
    <n v="0"/>
    <n v="3.6"/>
    <n v="3.6"/>
    <n v="3.6"/>
    <n v="3.6"/>
    <n v="0"/>
    <x v="3"/>
    <n v="0"/>
    <n v="0"/>
    <n v="30"/>
    <n v="78"/>
    <n v="0"/>
    <n v="1682.12"/>
    <n v="496.15"/>
    <m/>
    <n v="1969.6669835803759"/>
    <n v="506.4861368306324"/>
    <n v="0"/>
    <n v="6055.6319999999996"/>
    <n v="1786.1399999999999"/>
    <n v="0"/>
    <n v="7090.8011408893535"/>
    <n v="1823.3500925902767"/>
  </r>
  <r>
    <s v="Regular"/>
    <x v="2"/>
    <x v="3"/>
    <x v="6"/>
    <x v="0"/>
    <x v="1"/>
    <x v="0"/>
    <x v="2"/>
    <x v="6"/>
    <n v="0"/>
    <n v="0"/>
    <n v="3.6"/>
    <n v="3.6"/>
    <n v="3.6"/>
    <n v="3.6"/>
    <n v="0"/>
    <x v="3"/>
    <n v="0"/>
    <n v="0"/>
    <n v="30"/>
    <n v="78"/>
    <n v="0"/>
    <n v="1682.12"/>
    <n v="496.15"/>
    <m/>
    <n v="1969.6669835803759"/>
    <n v="506.4861368306324"/>
    <n v="0"/>
    <n v="6055.6319999999996"/>
    <n v="1786.1399999999999"/>
    <n v="0"/>
    <n v="7090.8011408893535"/>
    <n v="1823.3500925902767"/>
  </r>
  <r>
    <s v="Regular"/>
    <x v="2"/>
    <x v="3"/>
    <x v="6"/>
    <x v="0"/>
    <x v="1"/>
    <x v="0"/>
    <x v="2"/>
    <x v="7"/>
    <n v="0"/>
    <n v="0"/>
    <n v="4.4610000000000003"/>
    <n v="4.4610000000000003"/>
    <n v="4.4610000000000003"/>
    <n v="4.4610000000000003"/>
    <n v="0"/>
    <x v="3"/>
    <n v="0"/>
    <n v="0"/>
    <n v="30"/>
    <n v="78"/>
    <n v="0"/>
    <n v="1682.12"/>
    <n v="496.15"/>
    <m/>
    <n v="1969.6669835803759"/>
    <n v="506.4861368306324"/>
    <n v="0"/>
    <n v="7503.93732"/>
    <n v="2213.3251500000001"/>
    <n v="0"/>
    <n v="8786.6844137520584"/>
    <n v="2259.4346564014513"/>
  </r>
  <r>
    <s v="Regular"/>
    <x v="2"/>
    <x v="3"/>
    <x v="6"/>
    <x v="0"/>
    <x v="1"/>
    <x v="0"/>
    <x v="2"/>
    <x v="8"/>
    <n v="0"/>
    <n v="0"/>
    <n v="3.8260000000000001"/>
    <n v="3.8260000000000001"/>
    <n v="3.8260000000000001"/>
    <n v="3.8260000000000001"/>
    <n v="0"/>
    <x v="3"/>
    <n v="0"/>
    <n v="0"/>
    <n v="30"/>
    <n v="78"/>
    <n v="0"/>
    <n v="1682.12"/>
    <n v="496.15"/>
    <m/>
    <n v="1969.6669835803759"/>
    <n v="506.4861368306324"/>
    <n v="0"/>
    <n v="6435.7911199999999"/>
    <n v="1898.2699"/>
    <n v="0"/>
    <n v="7535.9458791785182"/>
    <n v="1937.8159595139996"/>
  </r>
  <r>
    <s v="Regular"/>
    <x v="2"/>
    <x v="3"/>
    <x v="6"/>
    <x v="0"/>
    <x v="1"/>
    <x v="0"/>
    <x v="2"/>
    <x v="9"/>
    <n v="0"/>
    <n v="0"/>
    <n v="4.8369999999999997"/>
    <n v="4.8369999999999997"/>
    <n v="4.8369999999999997"/>
    <n v="4.8369999999999997"/>
    <n v="0"/>
    <x v="3"/>
    <n v="0"/>
    <n v="0"/>
    <n v="30"/>
    <n v="78"/>
    <n v="0"/>
    <n v="1682.12"/>
    <n v="496.15"/>
    <m/>
    <n v="1969.6669835803759"/>
    <n v="506.4861368306324"/>
    <n v="0"/>
    <n v="8136.4144399999986"/>
    <n v="2399.8775499999997"/>
    <n v="0"/>
    <n v="9527.2791995782773"/>
    <n v="2449.8734438497686"/>
  </r>
  <r>
    <s v="Sistema de Compensação"/>
    <x v="2"/>
    <x v="3"/>
    <x v="6"/>
    <x v="0"/>
    <x v="1"/>
    <x v="0"/>
    <x v="2"/>
    <x v="10"/>
    <n v="0"/>
    <n v="0"/>
    <n v="3.4319999999999999"/>
    <n v="3.4319999999999999"/>
    <n v="3.4319999999999999"/>
    <n v="3.4319999999999999"/>
    <n v="0"/>
    <x v="3"/>
    <n v="0"/>
    <n v="0"/>
    <n v="30"/>
    <n v="78"/>
    <n v="0"/>
    <n v="1682.12"/>
    <n v="496.15"/>
    <m/>
    <n v="1969.6669835803759"/>
    <n v="506.4861368306324"/>
    <n v="0"/>
    <n v="5773.0358399999996"/>
    <n v="1702.7867999999999"/>
    <n v="0"/>
    <n v="6759.8970876478497"/>
    <n v="1738.2604216027303"/>
  </r>
  <r>
    <s v="PROJETADO"/>
    <x v="2"/>
    <x v="3"/>
    <x v="6"/>
    <x v="0"/>
    <x v="1"/>
    <x v="0"/>
    <x v="2"/>
    <x v="11"/>
    <n v="0"/>
    <n v="0"/>
    <n v="3.4319999999999999"/>
    <n v="3.4319999999999999"/>
    <n v="3.4319999999999999"/>
    <n v="3.4319999999999999"/>
    <n v="0"/>
    <x v="3"/>
    <n v="0"/>
    <n v="0"/>
    <n v="30"/>
    <n v="78"/>
    <n v="0"/>
    <n v="1682.12"/>
    <n v="496.15"/>
    <m/>
    <n v="1969.6669835803759"/>
    <n v="506.4861368306324"/>
    <n v="0"/>
    <n v="5773.0358399999996"/>
    <n v="1702.7867999999999"/>
    <n v="0"/>
    <n v="6759.8970876478497"/>
    <n v="1738.2604216027303"/>
  </r>
  <r>
    <s v="Regular"/>
    <x v="2"/>
    <x v="3"/>
    <x v="0"/>
    <x v="0"/>
    <x v="2"/>
    <x v="0"/>
    <x v="1"/>
    <x v="0"/>
    <n v="0"/>
    <n v="0"/>
    <n v="8131.9930000000004"/>
    <n v="8131.9930000000004"/>
    <n v="0"/>
    <n v="0"/>
    <n v="0"/>
    <x v="1"/>
    <n v="0"/>
    <n v="0"/>
    <n v="31"/>
    <n v="0"/>
    <n v="0"/>
    <n v="88.66"/>
    <n v="0"/>
    <m/>
    <n v="137.25956288333876"/>
    <m/>
    <n v="0"/>
    <n v="720982.49938000005"/>
    <n v="0"/>
    <n v="0"/>
    <n v="1116193.8045503707"/>
    <n v="0"/>
  </r>
  <r>
    <s v="Regular"/>
    <x v="2"/>
    <x v="3"/>
    <x v="0"/>
    <x v="0"/>
    <x v="2"/>
    <x v="0"/>
    <x v="1"/>
    <x v="1"/>
    <n v="0"/>
    <n v="0"/>
    <n v="8315.268"/>
    <n v="8315.268"/>
    <n v="0"/>
    <n v="0"/>
    <n v="0"/>
    <x v="1"/>
    <n v="0"/>
    <n v="0"/>
    <n v="31"/>
    <n v="0"/>
    <n v="0"/>
    <n v="88.66"/>
    <n v="0"/>
    <m/>
    <n v="137.25956288333876"/>
    <m/>
    <n v="0"/>
    <n v="737231.66087999998"/>
    <n v="0"/>
    <n v="0"/>
    <n v="1141350.0509378146"/>
    <n v="0"/>
  </r>
  <r>
    <s v="Regular"/>
    <x v="2"/>
    <x v="3"/>
    <x v="0"/>
    <x v="0"/>
    <x v="2"/>
    <x v="0"/>
    <x v="1"/>
    <x v="2"/>
    <n v="0"/>
    <n v="0"/>
    <n v="9395.1239999999998"/>
    <n v="9395.1239999999998"/>
    <n v="0"/>
    <n v="0"/>
    <n v="0"/>
    <x v="1"/>
    <n v="0"/>
    <n v="0"/>
    <n v="31"/>
    <n v="0"/>
    <n v="0"/>
    <n v="88.66"/>
    <n v="0"/>
    <m/>
    <n v="137.25956288333876"/>
    <m/>
    <n v="0"/>
    <n v="832971.69383999996"/>
    <n v="0"/>
    <n v="0"/>
    <n v="1289570.6134747651"/>
    <n v="0"/>
  </r>
  <r>
    <s v="Regular"/>
    <x v="2"/>
    <x v="3"/>
    <x v="0"/>
    <x v="0"/>
    <x v="2"/>
    <x v="0"/>
    <x v="1"/>
    <x v="3"/>
    <n v="0"/>
    <n v="0"/>
    <n v="9668.259"/>
    <n v="9668.259"/>
    <n v="0"/>
    <n v="0"/>
    <n v="0"/>
    <x v="1"/>
    <n v="0"/>
    <n v="0"/>
    <n v="31"/>
    <n v="0"/>
    <n v="0"/>
    <n v="88.66"/>
    <n v="0"/>
    <m/>
    <n v="137.25956288333876"/>
    <m/>
    <n v="0"/>
    <n v="857187.84294"/>
    <n v="0"/>
    <n v="0"/>
    <n v="1327061.0041829059"/>
    <n v="0"/>
  </r>
  <r>
    <s v="Regular"/>
    <x v="2"/>
    <x v="3"/>
    <x v="0"/>
    <x v="0"/>
    <x v="2"/>
    <x v="0"/>
    <x v="1"/>
    <x v="4"/>
    <n v="0"/>
    <n v="0"/>
    <n v="9934.5319999999992"/>
    <n v="9934.5319999999992"/>
    <n v="0"/>
    <n v="0"/>
    <n v="0"/>
    <x v="1"/>
    <n v="0"/>
    <n v="0"/>
    <n v="31"/>
    <n v="0"/>
    <n v="0"/>
    <n v="88.66"/>
    <n v="0"/>
    <m/>
    <n v="137.25956288333876"/>
    <m/>
    <n v="0"/>
    <n v="880795.60711999994"/>
    <n v="0"/>
    <n v="0"/>
    <n v="1363609.519770541"/>
    <n v="0"/>
  </r>
  <r>
    <s v="Regular"/>
    <x v="2"/>
    <x v="3"/>
    <x v="0"/>
    <x v="0"/>
    <x v="2"/>
    <x v="0"/>
    <x v="1"/>
    <x v="5"/>
    <n v="0"/>
    <n v="0"/>
    <n v="10098.861999999999"/>
    <n v="10098.861999999999"/>
    <n v="0"/>
    <n v="0"/>
    <n v="0"/>
    <x v="1"/>
    <n v="0"/>
    <n v="0"/>
    <n v="31"/>
    <n v="0"/>
    <n v="0"/>
    <n v="88.66"/>
    <n v="0"/>
    <m/>
    <n v="137.25956288333876"/>
    <m/>
    <n v="0"/>
    <n v="895365.10491999984"/>
    <n v="0"/>
    <n v="0"/>
    <n v="1386165.3837391601"/>
    <n v="0"/>
  </r>
  <r>
    <s v="Regular"/>
    <x v="2"/>
    <x v="3"/>
    <x v="0"/>
    <x v="0"/>
    <x v="2"/>
    <x v="0"/>
    <x v="1"/>
    <x v="6"/>
    <n v="0"/>
    <n v="0"/>
    <n v="9983.5329999999994"/>
    <n v="9983.5329999999994"/>
    <n v="0"/>
    <n v="0"/>
    <n v="0"/>
    <x v="1"/>
    <n v="0"/>
    <n v="0"/>
    <n v="31"/>
    <n v="0"/>
    <n v="0"/>
    <n v="88.66"/>
    <n v="0"/>
    <m/>
    <n v="137.25956288333876"/>
    <m/>
    <n v="0"/>
    <n v="885140.03577999992"/>
    <n v="0"/>
    <n v="0"/>
    <n v="1370335.3756113877"/>
    <n v="0"/>
  </r>
  <r>
    <s v="Regular"/>
    <x v="2"/>
    <x v="3"/>
    <x v="0"/>
    <x v="0"/>
    <x v="2"/>
    <x v="0"/>
    <x v="1"/>
    <x v="7"/>
    <n v="0"/>
    <n v="0"/>
    <n v="8848.39"/>
    <n v="8848.39"/>
    <n v="0"/>
    <n v="0"/>
    <n v="0"/>
    <x v="1"/>
    <n v="0"/>
    <n v="0"/>
    <n v="31"/>
    <n v="0"/>
    <n v="0"/>
    <n v="88.66"/>
    <n v="0"/>
    <m/>
    <n v="137.25956288333876"/>
    <m/>
    <n v="0"/>
    <n v="784498.25739999989"/>
    <n v="0"/>
    <n v="0"/>
    <n v="1214526.1436213057"/>
    <n v="0"/>
  </r>
  <r>
    <s v="Regular"/>
    <x v="2"/>
    <x v="3"/>
    <x v="0"/>
    <x v="0"/>
    <x v="2"/>
    <x v="0"/>
    <x v="1"/>
    <x v="8"/>
    <n v="0"/>
    <n v="0"/>
    <n v="10698.968999999999"/>
    <n v="10698.968999999999"/>
    <n v="0"/>
    <n v="0"/>
    <n v="0"/>
    <x v="1"/>
    <n v="0"/>
    <n v="0"/>
    <n v="31"/>
    <n v="0"/>
    <n v="0"/>
    <n v="88.66"/>
    <n v="0"/>
    <m/>
    <n v="137.25956288333876"/>
    <m/>
    <n v="0"/>
    <n v="948570.59153999994"/>
    <n v="0"/>
    <n v="0"/>
    <n v="1468535.8082423918"/>
    <n v="0"/>
  </r>
  <r>
    <s v="Regular"/>
    <x v="2"/>
    <x v="3"/>
    <x v="0"/>
    <x v="0"/>
    <x v="2"/>
    <x v="0"/>
    <x v="1"/>
    <x v="9"/>
    <n v="0"/>
    <n v="0"/>
    <n v="10571.866"/>
    <n v="10571.866"/>
    <n v="0"/>
    <n v="0"/>
    <n v="0"/>
    <x v="1"/>
    <n v="0"/>
    <n v="0"/>
    <n v="31"/>
    <n v="0"/>
    <n v="0"/>
    <n v="88.66"/>
    <n v="0"/>
    <m/>
    <n v="137.25956288333876"/>
    <m/>
    <n v="0"/>
    <n v="937301.63955999992"/>
    <n v="0"/>
    <n v="0"/>
    <n v="1451089.7060212309"/>
    <n v="0"/>
  </r>
  <r>
    <s v="Regular"/>
    <x v="2"/>
    <x v="3"/>
    <x v="0"/>
    <x v="0"/>
    <x v="2"/>
    <x v="0"/>
    <x v="1"/>
    <x v="10"/>
    <n v="0"/>
    <n v="0"/>
    <n v="12207.191999999999"/>
    <n v="12207.191999999999"/>
    <n v="0"/>
    <n v="0"/>
    <n v="0"/>
    <x v="1"/>
    <n v="0"/>
    <n v="0"/>
    <n v="31"/>
    <n v="0"/>
    <n v="0"/>
    <n v="88.66"/>
    <n v="0"/>
    <m/>
    <n v="137.25956288333876"/>
    <m/>
    <n v="0"/>
    <n v="1082289.6427199999"/>
    <n v="0"/>
    <n v="0"/>
    <n v="1675553.8379529896"/>
    <n v="0"/>
  </r>
  <r>
    <s v="PROJETADO"/>
    <x v="2"/>
    <x v="3"/>
    <x v="0"/>
    <x v="0"/>
    <x v="2"/>
    <x v="0"/>
    <x v="1"/>
    <x v="11"/>
    <n v="0"/>
    <n v="0"/>
    <n v="12207.191999999999"/>
    <n v="12207.191999999999"/>
    <n v="0"/>
    <n v="0"/>
    <n v="0"/>
    <x v="1"/>
    <n v="0"/>
    <n v="0"/>
    <n v="31"/>
    <n v="0"/>
    <n v="0"/>
    <n v="88.66"/>
    <n v="0"/>
    <m/>
    <n v="137.25956288333876"/>
    <m/>
    <n v="0"/>
    <n v="1082289.6427199999"/>
    <n v="0"/>
    <n v="0"/>
    <n v="1675553.8379529896"/>
    <n v="0"/>
  </r>
  <r>
    <s v="Regular"/>
    <x v="2"/>
    <x v="3"/>
    <x v="0"/>
    <x v="0"/>
    <x v="2"/>
    <x v="0"/>
    <x v="0"/>
    <x v="0"/>
    <n v="41181"/>
    <n v="19220.616505860002"/>
    <n v="0"/>
    <n v="0"/>
    <n v="0"/>
    <n v="0"/>
    <n v="57"/>
    <x v="1"/>
    <n v="0"/>
    <n v="29"/>
    <n v="0"/>
    <n v="0"/>
    <n v="25.51"/>
    <n v="0"/>
    <n v="0"/>
    <n v="29.803266797877356"/>
    <m/>
    <m/>
    <n v="490317.9270644887"/>
    <n v="0"/>
    <n v="0"/>
    <n v="572837.16174383089"/>
    <n v="0"/>
    <n v="0"/>
  </r>
  <r>
    <s v="Regular"/>
    <x v="2"/>
    <x v="3"/>
    <x v="0"/>
    <x v="0"/>
    <x v="2"/>
    <x v="0"/>
    <x v="0"/>
    <x v="1"/>
    <n v="41170"/>
    <n v="16880.3500743"/>
    <n v="0"/>
    <n v="0"/>
    <n v="0"/>
    <n v="0"/>
    <n v="58"/>
    <x v="1"/>
    <n v="0"/>
    <n v="29"/>
    <n v="0"/>
    <n v="0"/>
    <n v="25.51"/>
    <n v="0"/>
    <n v="0"/>
    <n v="29.803266797877356"/>
    <m/>
    <m/>
    <n v="430617.73039539304"/>
    <n v="0"/>
    <n v="0"/>
    <n v="503089.57690593175"/>
    <n v="0"/>
    <n v="0"/>
  </r>
  <r>
    <s v="Regular"/>
    <x v="2"/>
    <x v="3"/>
    <x v="0"/>
    <x v="0"/>
    <x v="2"/>
    <x v="0"/>
    <x v="0"/>
    <x v="2"/>
    <n v="42740"/>
    <n v="19377.588992600002"/>
    <n v="0"/>
    <n v="0"/>
    <n v="0"/>
    <n v="0"/>
    <n v="59"/>
    <x v="1"/>
    <n v="0"/>
    <n v="29"/>
    <n v="0"/>
    <n v="0"/>
    <n v="25.51"/>
    <n v="0"/>
    <n v="0"/>
    <n v="29.803266797877356"/>
    <m/>
    <m/>
    <n v="494322.29520122608"/>
    <n v="0"/>
    <n v="0"/>
    <n v="577515.45464606932"/>
    <n v="0"/>
    <n v="0"/>
  </r>
  <r>
    <s v="Regular"/>
    <x v="2"/>
    <x v="3"/>
    <x v="0"/>
    <x v="0"/>
    <x v="2"/>
    <x v="0"/>
    <x v="0"/>
    <x v="3"/>
    <n v="43623"/>
    <n v="19310.943266459999"/>
    <n v="0"/>
    <n v="0"/>
    <n v="0"/>
    <n v="0"/>
    <n v="58"/>
    <x v="1"/>
    <n v="0"/>
    <n v="29"/>
    <n v="0"/>
    <n v="0"/>
    <n v="25.51"/>
    <n v="0"/>
    <n v="0"/>
    <n v="29.803266797877356"/>
    <m/>
    <m/>
    <n v="492622.16272739461"/>
    <n v="0"/>
    <n v="0"/>
    <n v="575529.19428898057"/>
    <n v="0"/>
    <n v="0"/>
  </r>
  <r>
    <s v="Regular"/>
    <x v="2"/>
    <x v="3"/>
    <x v="0"/>
    <x v="0"/>
    <x v="2"/>
    <x v="0"/>
    <x v="0"/>
    <x v="4"/>
    <n v="44541"/>
    <n v="20529.41636214"/>
    <n v="0"/>
    <n v="0"/>
    <n v="0"/>
    <n v="0"/>
    <n v="60"/>
    <x v="1"/>
    <n v="0"/>
    <n v="29"/>
    <n v="0"/>
    <n v="0"/>
    <n v="25.51"/>
    <n v="0"/>
    <n v="0"/>
    <n v="29.803266797877356"/>
    <m/>
    <m/>
    <n v="523705.41139819141"/>
    <n v="0"/>
    <n v="0"/>
    <n v="611843.67304556724"/>
    <n v="0"/>
    <n v="0"/>
  </r>
  <r>
    <s v="Regular"/>
    <x v="2"/>
    <x v="3"/>
    <x v="0"/>
    <x v="0"/>
    <x v="2"/>
    <x v="0"/>
    <x v="0"/>
    <x v="5"/>
    <n v="45888"/>
    <n v="20296.62812736"/>
    <n v="0"/>
    <n v="0"/>
    <n v="0"/>
    <n v="0"/>
    <n v="63"/>
    <x v="1"/>
    <n v="0"/>
    <n v="29"/>
    <n v="0"/>
    <n v="0"/>
    <n v="25.51"/>
    <n v="0"/>
    <n v="0"/>
    <n v="29.803266797877356"/>
    <m/>
    <m/>
    <n v="517766.98352895363"/>
    <n v="0"/>
    <n v="0"/>
    <n v="604905.82317701192"/>
    <n v="0"/>
    <n v="0"/>
  </r>
  <r>
    <s v="Regular"/>
    <x v="2"/>
    <x v="3"/>
    <x v="0"/>
    <x v="0"/>
    <x v="2"/>
    <x v="0"/>
    <x v="0"/>
    <x v="6"/>
    <n v="46627"/>
    <n v="20866.83863138"/>
    <n v="0"/>
    <n v="0"/>
    <n v="0"/>
    <n v="0"/>
    <n v="66"/>
    <x v="1"/>
    <n v="0"/>
    <n v="29"/>
    <n v="0"/>
    <n v="0"/>
    <n v="25.51"/>
    <n v="0"/>
    <n v="0"/>
    <n v="29.803266797877356"/>
    <m/>
    <m/>
    <n v="532313.05348650389"/>
    <n v="0"/>
    <n v="0"/>
    <n v="621899.95895927213"/>
    <n v="0"/>
    <n v="0"/>
  </r>
  <r>
    <s v="Regular"/>
    <x v="2"/>
    <x v="3"/>
    <x v="0"/>
    <x v="0"/>
    <x v="2"/>
    <x v="0"/>
    <x v="0"/>
    <x v="7"/>
    <n v="46548"/>
    <n v="20991.48297804"/>
    <n v="0"/>
    <n v="0"/>
    <n v="0"/>
    <n v="0"/>
    <n v="66"/>
    <x v="1"/>
    <n v="0"/>
    <n v="29"/>
    <n v="0"/>
    <n v="0"/>
    <n v="25.51"/>
    <n v="0"/>
    <n v="0"/>
    <n v="29.803266797877356"/>
    <m/>
    <m/>
    <n v="535492.73076980037"/>
    <n v="0"/>
    <n v="0"/>
    <n v="625614.76767762715"/>
    <n v="0"/>
    <n v="0"/>
  </r>
  <r>
    <s v="Regular"/>
    <x v="2"/>
    <x v="3"/>
    <x v="0"/>
    <x v="0"/>
    <x v="2"/>
    <x v="0"/>
    <x v="0"/>
    <x v="8"/>
    <n v="49961"/>
    <n v="22546.725825720001"/>
    <n v="0"/>
    <n v="0"/>
    <n v="0"/>
    <n v="0"/>
    <n v="71"/>
    <x v="1"/>
    <n v="0"/>
    <n v="29"/>
    <n v="0"/>
    <n v="0"/>
    <n v="25.51"/>
    <n v="0"/>
    <n v="0"/>
    <n v="29.803266797877356"/>
    <m/>
    <m/>
    <n v="575166.97581411724"/>
    <n v="0"/>
    <n v="0"/>
    <n v="671966.08520252479"/>
    <n v="0"/>
    <n v="0"/>
  </r>
  <r>
    <s v="Regular"/>
    <x v="2"/>
    <x v="3"/>
    <x v="0"/>
    <x v="0"/>
    <x v="2"/>
    <x v="0"/>
    <x v="0"/>
    <x v="9"/>
    <n v="50562"/>
    <n v="22860.607172399999"/>
    <n v="0"/>
    <n v="0"/>
    <n v="0"/>
    <n v="0"/>
    <n v="72"/>
    <x v="1"/>
    <n v="0"/>
    <n v="29"/>
    <n v="0"/>
    <n v="0"/>
    <n v="25.51"/>
    <n v="0"/>
    <n v="0"/>
    <n v="29.803266797877356"/>
    <m/>
    <m/>
    <n v="583174.08896792401"/>
    <n v="0"/>
    <n v="0"/>
    <n v="681320.77472050581"/>
    <n v="0"/>
    <n v="0"/>
  </r>
  <r>
    <s v="Regular"/>
    <x v="2"/>
    <x v="3"/>
    <x v="0"/>
    <x v="0"/>
    <x v="2"/>
    <x v="0"/>
    <x v="0"/>
    <x v="10"/>
    <n v="51418"/>
    <n v="24840.067164979999"/>
    <n v="0"/>
    <n v="0"/>
    <n v="0"/>
    <n v="0"/>
    <n v="73"/>
    <x v="1"/>
    <n v="0"/>
    <n v="29"/>
    <n v="0"/>
    <n v="0"/>
    <n v="25.51"/>
    <n v="0"/>
    <n v="0"/>
    <n v="29.803266797877356"/>
    <m/>
    <m/>
    <n v="633670.1133786398"/>
    <n v="0"/>
    <n v="0"/>
    <n v="740315.14899509191"/>
    <n v="0"/>
    <n v="0"/>
  </r>
  <r>
    <s v="PROJETADO"/>
    <x v="2"/>
    <x v="3"/>
    <x v="0"/>
    <x v="0"/>
    <x v="2"/>
    <x v="0"/>
    <x v="0"/>
    <x v="11"/>
    <n v="51418"/>
    <n v="24840.067164979999"/>
    <n v="0"/>
    <n v="0"/>
    <n v="0"/>
    <n v="0"/>
    <n v="73"/>
    <x v="1"/>
    <n v="0"/>
    <n v="29"/>
    <n v="0"/>
    <n v="0"/>
    <n v="25.51"/>
    <n v="0"/>
    <n v="0"/>
    <n v="29.803266797877356"/>
    <m/>
    <m/>
    <n v="633670.1133786398"/>
    <n v="0"/>
    <n v="0"/>
    <n v="740315.14899509191"/>
    <n v="0"/>
    <n v="0"/>
  </r>
  <r>
    <s v="Regular"/>
    <x v="2"/>
    <x v="3"/>
    <x v="0"/>
    <x v="0"/>
    <x v="2"/>
    <x v="0"/>
    <x v="2"/>
    <x v="0"/>
    <n v="0"/>
    <n v="0"/>
    <n v="521.98800000000006"/>
    <n v="284.31180946607998"/>
    <n v="0"/>
    <n v="0"/>
    <n v="0"/>
    <x v="1"/>
    <n v="0"/>
    <n v="0"/>
    <n v="30"/>
    <n v="0"/>
    <n v="0"/>
    <n v="1682.12"/>
    <n v="0"/>
    <m/>
    <n v="1969.6669835803759"/>
    <m/>
    <n v="0"/>
    <n v="478246.58093908243"/>
    <n v="0"/>
    <n v="0"/>
    <n v="559999.58414733235"/>
    <n v="0"/>
  </r>
  <r>
    <s v="Regular"/>
    <x v="2"/>
    <x v="3"/>
    <x v="0"/>
    <x v="0"/>
    <x v="2"/>
    <x v="0"/>
    <x v="2"/>
    <x v="1"/>
    <n v="0"/>
    <n v="0"/>
    <n v="529.19000000000005"/>
    <n v="234.49005826320001"/>
    <n v="0"/>
    <n v="0"/>
    <n v="0"/>
    <x v="1"/>
    <n v="0"/>
    <n v="0"/>
    <n v="30"/>
    <n v="0"/>
    <n v="0"/>
    <n v="1682.12"/>
    <n v="0"/>
    <m/>
    <n v="1969.6669835803759"/>
    <m/>
    <n v="0"/>
    <n v="394440.416805694"/>
    <n v="0"/>
    <n v="0"/>
    <n v="461867.32573886379"/>
    <n v="0"/>
  </r>
  <r>
    <s v="Regular"/>
    <x v="2"/>
    <x v="3"/>
    <x v="0"/>
    <x v="0"/>
    <x v="2"/>
    <x v="0"/>
    <x v="2"/>
    <x v="2"/>
    <n v="0"/>
    <n v="0"/>
    <n v="595.07899999999995"/>
    <n v="282.61363926015002"/>
    <n v="0"/>
    <n v="0"/>
    <n v="0"/>
    <x v="1"/>
    <n v="0"/>
    <n v="0"/>
    <n v="30"/>
    <n v="0"/>
    <n v="0"/>
    <n v="1682.12"/>
    <n v="0"/>
    <m/>
    <n v="1969.6669835803759"/>
    <m/>
    <n v="0"/>
    <n v="475390.05487228354"/>
    <n v="0"/>
    <n v="0"/>
    <n v="556654.75436021225"/>
    <n v="0"/>
  </r>
  <r>
    <s v="Regular"/>
    <x v="2"/>
    <x v="3"/>
    <x v="0"/>
    <x v="0"/>
    <x v="2"/>
    <x v="0"/>
    <x v="2"/>
    <x v="3"/>
    <n v="0"/>
    <n v="0"/>
    <n v="635.16800000000001"/>
    <n v="290.33099271264001"/>
    <n v="0"/>
    <n v="0"/>
    <n v="0"/>
    <x v="1"/>
    <n v="0"/>
    <n v="0"/>
    <n v="30"/>
    <n v="0"/>
    <n v="0"/>
    <n v="1682.12"/>
    <n v="0"/>
    <m/>
    <n v="1969.6669835803759"/>
    <m/>
    <n v="0"/>
    <n v="488371.56946178596"/>
    <n v="0"/>
    <n v="0"/>
    <n v="571855.37065620173"/>
    <n v="0"/>
  </r>
  <r>
    <s v="Regular"/>
    <x v="2"/>
    <x v="3"/>
    <x v="0"/>
    <x v="0"/>
    <x v="2"/>
    <x v="0"/>
    <x v="2"/>
    <x v="4"/>
    <n v="0"/>
    <n v="0"/>
    <n v="633.26"/>
    <n v="311.25540839320001"/>
    <n v="0"/>
    <n v="0"/>
    <n v="0"/>
    <x v="1"/>
    <n v="0"/>
    <n v="0"/>
    <n v="30"/>
    <n v="0"/>
    <n v="0"/>
    <n v="1682.12"/>
    <n v="0"/>
    <m/>
    <n v="1969.6669835803759"/>
    <m/>
    <n v="0"/>
    <n v="523568.94756636955"/>
    <n v="0"/>
    <n v="0"/>
    <n v="613069.50137291232"/>
    <n v="0"/>
  </r>
  <r>
    <s v="Regular"/>
    <x v="2"/>
    <x v="3"/>
    <x v="0"/>
    <x v="0"/>
    <x v="2"/>
    <x v="0"/>
    <x v="2"/>
    <x v="5"/>
    <n v="0"/>
    <n v="0"/>
    <n v="603.77200000000005"/>
    <n v="272.93737863183998"/>
    <n v="0"/>
    <n v="0"/>
    <n v="0"/>
    <x v="1"/>
    <n v="0"/>
    <n v="0"/>
    <n v="30"/>
    <n v="0"/>
    <n v="0"/>
    <n v="1682.12"/>
    <n v="0"/>
    <m/>
    <n v="1969.6669835803759"/>
    <m/>
    <n v="0"/>
    <n v="459113.42334419064"/>
    <n v="0"/>
    <n v="0"/>
    <n v="537595.7432761112"/>
    <n v="0"/>
  </r>
  <r>
    <s v="Regular"/>
    <x v="2"/>
    <x v="3"/>
    <x v="0"/>
    <x v="0"/>
    <x v="2"/>
    <x v="0"/>
    <x v="2"/>
    <x v="6"/>
    <n v="0"/>
    <n v="0"/>
    <n v="581.6"/>
    <n v="262.41905412"/>
    <n v="0"/>
    <n v="0"/>
    <n v="0"/>
    <x v="1"/>
    <n v="0"/>
    <n v="0"/>
    <n v="30"/>
    <n v="0"/>
    <n v="0"/>
    <n v="1682.12"/>
    <n v="0"/>
    <m/>
    <n v="1969.6669835803759"/>
    <m/>
    <n v="0"/>
    <n v="441420.33931633434"/>
    <n v="0"/>
    <n v="0"/>
    <n v="516878.14676255581"/>
    <n v="0"/>
  </r>
  <r>
    <s v="Regular"/>
    <x v="2"/>
    <x v="3"/>
    <x v="0"/>
    <x v="0"/>
    <x v="2"/>
    <x v="0"/>
    <x v="2"/>
    <x v="7"/>
    <n v="0"/>
    <n v="0"/>
    <n v="594.10199999999998"/>
    <n v="282.09268796196"/>
    <n v="0"/>
    <n v="0"/>
    <n v="0"/>
    <x v="1"/>
    <n v="0"/>
    <n v="0"/>
    <n v="30"/>
    <n v="0"/>
    <n v="0"/>
    <n v="1682.12"/>
    <n v="0"/>
    <m/>
    <n v="1969.6669835803759"/>
    <m/>
    <n v="0"/>
    <n v="474513.75227457209"/>
    <n v="0"/>
    <n v="0"/>
    <n v="555628.65378811397"/>
    <n v="0"/>
  </r>
  <r>
    <s v="Regular"/>
    <x v="2"/>
    <x v="3"/>
    <x v="0"/>
    <x v="0"/>
    <x v="2"/>
    <x v="0"/>
    <x v="2"/>
    <x v="8"/>
    <n v="0"/>
    <n v="0"/>
    <n v="684.048"/>
    <n v="332.65037396783998"/>
    <n v="0"/>
    <n v="0"/>
    <n v="0"/>
    <x v="1"/>
    <n v="0"/>
    <n v="0"/>
    <n v="30"/>
    <n v="0"/>
    <n v="0"/>
    <n v="1682.12"/>
    <n v="0"/>
    <m/>
    <n v="1969.6669835803759"/>
    <m/>
    <n v="0"/>
    <n v="559557.84705878294"/>
    <n v="0"/>
    <n v="0"/>
    <n v="655210.45868011937"/>
    <n v="0"/>
  </r>
  <r>
    <s v="Regular"/>
    <x v="2"/>
    <x v="3"/>
    <x v="0"/>
    <x v="0"/>
    <x v="2"/>
    <x v="0"/>
    <x v="2"/>
    <x v="9"/>
    <n v="0"/>
    <n v="0"/>
    <n v="699.726"/>
    <n v="344.76040208472"/>
    <n v="0"/>
    <n v="0"/>
    <n v="0"/>
    <x v="1"/>
    <n v="0"/>
    <n v="0"/>
    <n v="30"/>
    <n v="0"/>
    <n v="0"/>
    <n v="1682.12"/>
    <n v="0"/>
    <m/>
    <n v="1969.6669835803759"/>
    <m/>
    <n v="0"/>
    <n v="579928.36755474913"/>
    <n v="0"/>
    <n v="0"/>
    <n v="679063.18123216799"/>
    <n v="0"/>
  </r>
  <r>
    <s v="Regular"/>
    <x v="2"/>
    <x v="3"/>
    <x v="0"/>
    <x v="0"/>
    <x v="2"/>
    <x v="0"/>
    <x v="2"/>
    <x v="10"/>
    <n v="0"/>
    <n v="0"/>
    <n v="821.54499999999996"/>
    <n v="414.78320875095"/>
    <n v="0"/>
    <n v="0"/>
    <n v="0"/>
    <x v="1"/>
    <n v="0"/>
    <n v="0"/>
    <n v="30"/>
    <n v="0"/>
    <n v="0"/>
    <n v="1682.12"/>
    <n v="0"/>
    <m/>
    <n v="1969.6669835803759"/>
    <m/>
    <n v="0"/>
    <n v="697715.13110414799"/>
    <n v="0"/>
    <n v="0"/>
    <n v="816984.79162027303"/>
    <n v="0"/>
  </r>
  <r>
    <s v="PROJETADO"/>
    <x v="2"/>
    <x v="3"/>
    <x v="0"/>
    <x v="0"/>
    <x v="2"/>
    <x v="0"/>
    <x v="2"/>
    <x v="11"/>
    <n v="0"/>
    <n v="0"/>
    <n v="821.54499999999996"/>
    <n v="414.78320875095"/>
    <n v="0"/>
    <n v="0"/>
    <n v="0"/>
    <x v="1"/>
    <n v="0"/>
    <n v="0"/>
    <n v="30"/>
    <n v="0"/>
    <n v="0"/>
    <n v="1682.12"/>
    <n v="0"/>
    <m/>
    <n v="1969.6669835803759"/>
    <m/>
    <n v="0"/>
    <n v="697715.13110414799"/>
    <n v="0"/>
    <n v="0"/>
    <n v="816984.79162027303"/>
    <n v="0"/>
  </r>
  <r>
    <s v="Regular"/>
    <x v="2"/>
    <x v="3"/>
    <x v="0"/>
    <x v="0"/>
    <x v="1"/>
    <x v="0"/>
    <x v="1"/>
    <x v="0"/>
    <n v="0"/>
    <n v="0"/>
    <n v="5339.1469999999999"/>
    <n v="5339.1469999999999"/>
    <n v="5339.1469999999999"/>
    <n v="5339.1469999999999"/>
    <n v="0"/>
    <x v="3"/>
    <n v="0"/>
    <n v="0"/>
    <n v="31"/>
    <n v="79"/>
    <n v="0"/>
    <n v="88.66"/>
    <n v="311.04000000000002"/>
    <m/>
    <n v="137.25956288333876"/>
    <n v="311.14842517571947"/>
    <n v="0"/>
    <n v="473368.77301999996"/>
    <n v="1660688.2828800001"/>
    <n v="0"/>
    <n v="732848.98338988947"/>
    <n v="1661267.180831667"/>
  </r>
  <r>
    <s v="Refaturamento - Regular"/>
    <x v="2"/>
    <x v="3"/>
    <x v="0"/>
    <x v="0"/>
    <x v="1"/>
    <x v="0"/>
    <x v="1"/>
    <x v="0"/>
    <n v="0"/>
    <n v="0"/>
    <n v="-14.879"/>
    <n v="-14.879"/>
    <n v="-14.879"/>
    <n v="-14.879"/>
    <n v="0"/>
    <x v="3"/>
    <n v="0"/>
    <n v="0"/>
    <n v="31"/>
    <n v="79"/>
    <n v="0"/>
    <n v="88.66"/>
    <n v="311.04000000000002"/>
    <m/>
    <n v="137.25956288333876"/>
    <n v="311.14842517571947"/>
    <n v="0"/>
    <n v="-1319.1721399999999"/>
    <n v="-4627.9641600000004"/>
    <n v="0"/>
    <n v="-2042.2850361411975"/>
    <n v="-4629.5774181895295"/>
  </r>
  <r>
    <s v="Sistema de Compensação"/>
    <x v="2"/>
    <x v="3"/>
    <x v="0"/>
    <x v="0"/>
    <x v="1"/>
    <x v="0"/>
    <x v="1"/>
    <x v="0"/>
    <n v="0"/>
    <n v="0"/>
    <n v="224.738"/>
    <n v="224.738"/>
    <n v="224.738"/>
    <n v="224.738"/>
    <n v="0"/>
    <x v="3"/>
    <n v="0"/>
    <n v="0"/>
    <n v="31"/>
    <n v="79"/>
    <n v="0"/>
    <n v="88.66"/>
    <n v="311.04000000000002"/>
    <m/>
    <n v="137.25956288333876"/>
    <n v="311.14842517571947"/>
    <n v="0"/>
    <n v="19925.271079999999"/>
    <n v="69902.507519999999"/>
    <n v="0"/>
    <n v="30847.439643275786"/>
    <n v="69926.874777140838"/>
  </r>
  <r>
    <s v="Regular"/>
    <x v="2"/>
    <x v="3"/>
    <x v="0"/>
    <x v="0"/>
    <x v="1"/>
    <x v="0"/>
    <x v="1"/>
    <x v="1"/>
    <n v="0"/>
    <n v="0"/>
    <n v="5372.21"/>
    <n v="5372.21"/>
    <n v="5372.21"/>
    <n v="5372.21"/>
    <n v="0"/>
    <x v="3"/>
    <n v="0"/>
    <n v="0"/>
    <n v="31"/>
    <n v="79"/>
    <n v="0"/>
    <n v="88.66"/>
    <n v="311.04000000000002"/>
    <m/>
    <n v="137.25956288333876"/>
    <n v="311.14842517571947"/>
    <n v="0"/>
    <n v="476300.13860000001"/>
    <n v="1670972.1984000001"/>
    <n v="0"/>
    <n v="737387.19631750137"/>
    <n v="1671554.6812132518"/>
  </r>
  <r>
    <s v="Refaturamento - Regular"/>
    <x v="2"/>
    <x v="3"/>
    <x v="0"/>
    <x v="0"/>
    <x v="1"/>
    <x v="0"/>
    <x v="1"/>
    <x v="1"/>
    <n v="0"/>
    <n v="0"/>
    <n v="1.351"/>
    <n v="1.351"/>
    <n v="1.351"/>
    <n v="1.351"/>
    <n v="0"/>
    <x v="3"/>
    <n v="0"/>
    <n v="0"/>
    <n v="31"/>
    <n v="79"/>
    <n v="0"/>
    <n v="88.66"/>
    <n v="311.04000000000002"/>
    <m/>
    <n v="137.25956288333876"/>
    <n v="311.14842517571947"/>
    <n v="0"/>
    <n v="119.77965999999999"/>
    <n v="420.21504000000004"/>
    <n v="0"/>
    <n v="185.43766945539065"/>
    <n v="420.36152241239699"/>
  </r>
  <r>
    <s v="Sistema de Compensação"/>
    <x v="2"/>
    <x v="3"/>
    <x v="0"/>
    <x v="0"/>
    <x v="1"/>
    <x v="0"/>
    <x v="1"/>
    <x v="1"/>
    <n v="0"/>
    <n v="0"/>
    <n v="321.89100000000002"/>
    <n v="321.89100000000002"/>
    <n v="321.89100000000002"/>
    <n v="321.89100000000002"/>
    <n v="0"/>
    <x v="3"/>
    <n v="0"/>
    <n v="0"/>
    <n v="31"/>
    <n v="79"/>
    <n v="0"/>
    <n v="88.66"/>
    <n v="311.04000000000002"/>
    <m/>
    <n v="137.25956288333876"/>
    <n v="311.14842517571947"/>
    <n v="0"/>
    <n v="28538.856060000002"/>
    <n v="100120.97664000001"/>
    <n v="0"/>
    <n v="44182.617956080801"/>
    <n v="100155.87772823752"/>
  </r>
  <r>
    <s v="Regular"/>
    <x v="2"/>
    <x v="3"/>
    <x v="0"/>
    <x v="0"/>
    <x v="1"/>
    <x v="0"/>
    <x v="1"/>
    <x v="2"/>
    <n v="0"/>
    <n v="0"/>
    <n v="5235.54"/>
    <n v="5235.54"/>
    <n v="5235.54"/>
    <n v="5235.54"/>
    <n v="0"/>
    <x v="3"/>
    <n v="0"/>
    <n v="0"/>
    <n v="31"/>
    <n v="79"/>
    <n v="0"/>
    <n v="88.66"/>
    <n v="311.04000000000002"/>
    <m/>
    <n v="137.25956288333876"/>
    <n v="311.14842517571947"/>
    <n v="0"/>
    <n v="464182.97639999999"/>
    <n v="1628462.3616000002"/>
    <n v="0"/>
    <n v="718627.93185823539"/>
    <n v="1629030.0259444863"/>
  </r>
  <r>
    <s v="Refaturamento - Regular"/>
    <x v="2"/>
    <x v="3"/>
    <x v="0"/>
    <x v="0"/>
    <x v="1"/>
    <x v="0"/>
    <x v="1"/>
    <x v="2"/>
    <n v="0"/>
    <n v="0"/>
    <n v="-38.170999999999999"/>
    <n v="-38.170999999999999"/>
    <n v="-38.170999999999999"/>
    <n v="-38.170999999999999"/>
    <n v="0"/>
    <x v="3"/>
    <n v="0"/>
    <n v="0"/>
    <n v="31"/>
    <n v="79"/>
    <n v="0"/>
    <n v="88.66"/>
    <n v="311.04000000000002"/>
    <m/>
    <n v="137.25956288333876"/>
    <n v="311.14842517571947"/>
    <n v="0"/>
    <n v="-3384.2408599999999"/>
    <n v="-11872.707840000001"/>
    <n v="0"/>
    <n v="-5239.334774819924"/>
    <n v="-11876.846537382387"/>
  </r>
  <r>
    <s v="Sistema de Compensação"/>
    <x v="2"/>
    <x v="3"/>
    <x v="0"/>
    <x v="0"/>
    <x v="1"/>
    <x v="0"/>
    <x v="1"/>
    <x v="2"/>
    <n v="0"/>
    <n v="0"/>
    <n v="280.16800000000001"/>
    <n v="280.16800000000001"/>
    <n v="280.16800000000001"/>
    <n v="280.16800000000001"/>
    <n v="0"/>
    <x v="3"/>
    <n v="0"/>
    <n v="0"/>
    <n v="31"/>
    <n v="79"/>
    <n v="0"/>
    <n v="88.66"/>
    <n v="311.04000000000002"/>
    <m/>
    <n v="137.25956288333876"/>
    <n v="311.14842517571947"/>
    <n v="0"/>
    <n v="24839.694879999999"/>
    <n v="87143.454720000009"/>
    <n v="0"/>
    <n v="38455.737213899258"/>
    <n v="87173.831984630975"/>
  </r>
  <r>
    <s v="Regular"/>
    <x v="2"/>
    <x v="3"/>
    <x v="0"/>
    <x v="0"/>
    <x v="1"/>
    <x v="0"/>
    <x v="1"/>
    <x v="3"/>
    <n v="0"/>
    <n v="0"/>
    <n v="5235.0050000000001"/>
    <n v="5235.0050000000001"/>
    <n v="5235.0050000000001"/>
    <n v="5235.0050000000001"/>
    <n v="0"/>
    <x v="3"/>
    <n v="0"/>
    <n v="0"/>
    <n v="31"/>
    <n v="79"/>
    <n v="0"/>
    <n v="88.66"/>
    <n v="311.04000000000002"/>
    <m/>
    <n v="137.25956288333876"/>
    <n v="311.14842517571947"/>
    <n v="0"/>
    <n v="464135.54330000002"/>
    <n v="1628295.9552000002"/>
    <n v="0"/>
    <n v="718554.49799209286"/>
    <n v="1628863.5615370173"/>
  </r>
  <r>
    <s v="Sistema de Compensação"/>
    <x v="2"/>
    <x v="3"/>
    <x v="0"/>
    <x v="0"/>
    <x v="1"/>
    <x v="0"/>
    <x v="1"/>
    <x v="3"/>
    <n v="0"/>
    <n v="0"/>
    <n v="290.33600000000001"/>
    <n v="290.33600000000001"/>
    <n v="290.33600000000001"/>
    <n v="290.33600000000001"/>
    <n v="0"/>
    <x v="3"/>
    <n v="0"/>
    <n v="0"/>
    <n v="31"/>
    <n v="79"/>
    <n v="0"/>
    <n v="88.66"/>
    <n v="311.04000000000002"/>
    <m/>
    <n v="137.25956288333876"/>
    <n v="311.14842517571947"/>
    <n v="0"/>
    <n v="25741.189760000001"/>
    <n v="90306.109440000015"/>
    <n v="0"/>
    <n v="39851.392449297047"/>
    <n v="90337.589171817686"/>
  </r>
  <r>
    <s v="Regular"/>
    <x v="2"/>
    <x v="3"/>
    <x v="0"/>
    <x v="0"/>
    <x v="1"/>
    <x v="0"/>
    <x v="1"/>
    <x v="4"/>
    <n v="0"/>
    <n v="0"/>
    <n v="5054.7309999999998"/>
    <n v="5054.7309999999998"/>
    <n v="5054.7309999999998"/>
    <n v="5054.7309999999998"/>
    <n v="0"/>
    <x v="3"/>
    <n v="0"/>
    <n v="0"/>
    <n v="31"/>
    <n v="79"/>
    <n v="0"/>
    <n v="88.66"/>
    <n v="311.04000000000002"/>
    <m/>
    <n v="137.25956288333876"/>
    <n v="311.14842517571947"/>
    <n v="0"/>
    <n v="448152.45045999996"/>
    <n v="1572223.53024"/>
    <n v="0"/>
    <n v="693810.16755286173"/>
    <n v="1572771.5903368895"/>
  </r>
  <r>
    <s v="Sistema de Compensação"/>
    <x v="2"/>
    <x v="3"/>
    <x v="0"/>
    <x v="0"/>
    <x v="1"/>
    <x v="0"/>
    <x v="1"/>
    <x v="4"/>
    <n v="0"/>
    <n v="0"/>
    <n v="281.50299999999999"/>
    <n v="281.50299999999999"/>
    <n v="281.50299999999999"/>
    <n v="281.50299999999999"/>
    <n v="0"/>
    <x v="3"/>
    <n v="0"/>
    <n v="0"/>
    <n v="31"/>
    <n v="79"/>
    <n v="0"/>
    <n v="88.66"/>
    <n v="311.04000000000002"/>
    <m/>
    <n v="137.25956288333876"/>
    <n v="311.14842517571947"/>
    <n v="0"/>
    <n v="24958.055979999997"/>
    <n v="87558.693119999996"/>
    <n v="0"/>
    <n v="38638.978730348506"/>
    <n v="87589.215132240555"/>
  </r>
  <r>
    <s v="Regular"/>
    <x v="2"/>
    <x v="3"/>
    <x v="0"/>
    <x v="0"/>
    <x v="1"/>
    <x v="0"/>
    <x v="1"/>
    <x v="5"/>
    <n v="0"/>
    <n v="0"/>
    <n v="4938.0870000000004"/>
    <n v="4938.0870000000004"/>
    <n v="4938.0870000000004"/>
    <n v="4938.0870000000004"/>
    <n v="0"/>
    <x v="3"/>
    <n v="0"/>
    <n v="0"/>
    <n v="31"/>
    <n v="79"/>
    <n v="0"/>
    <n v="88.66"/>
    <n v="311.04000000000002"/>
    <m/>
    <n v="137.25956288333876"/>
    <n v="311.14842517571947"/>
    <n v="0"/>
    <n v="437810.79342"/>
    <n v="1535942.5804800002"/>
    <n v="0"/>
    <n v="677799.66309989768"/>
    <n v="1536477.9934306932"/>
  </r>
  <r>
    <s v="Sistema de Compensação"/>
    <x v="2"/>
    <x v="3"/>
    <x v="0"/>
    <x v="0"/>
    <x v="1"/>
    <x v="0"/>
    <x v="1"/>
    <x v="5"/>
    <n v="0"/>
    <n v="0"/>
    <n v="289.91399999999999"/>
    <n v="289.91399999999999"/>
    <n v="289.91399999999999"/>
    <n v="289.91399999999999"/>
    <n v="0"/>
    <x v="3"/>
    <n v="0"/>
    <n v="0"/>
    <n v="31"/>
    <n v="79"/>
    <n v="0"/>
    <n v="88.66"/>
    <n v="311.04000000000002"/>
    <m/>
    <n v="137.25956288333876"/>
    <n v="311.14842517571947"/>
    <n v="0"/>
    <n v="25703.775239999999"/>
    <n v="90174.850560000006"/>
    <n v="0"/>
    <n v="39793.468913760269"/>
    <n v="90206.284536393534"/>
  </r>
  <r>
    <s v="Regular"/>
    <x v="2"/>
    <x v="3"/>
    <x v="0"/>
    <x v="0"/>
    <x v="1"/>
    <x v="0"/>
    <x v="1"/>
    <x v="6"/>
    <n v="0"/>
    <n v="0"/>
    <n v="4622.7139999999999"/>
    <n v="4622.7139999999999"/>
    <n v="4622.7139999999999"/>
    <n v="4622.7139999999999"/>
    <n v="0"/>
    <x v="3"/>
    <n v="0"/>
    <n v="0"/>
    <n v="31"/>
    <n v="79"/>
    <n v="0"/>
    <n v="88.66"/>
    <n v="311.04000000000002"/>
    <m/>
    <n v="137.25956288333876"/>
    <n v="311.14842517571947"/>
    <n v="0"/>
    <n v="409849.82324"/>
    <n v="1437848.9625600001"/>
    <n v="0"/>
    <n v="634511.70297469047"/>
    <n v="1438350.1811377509"/>
  </r>
  <r>
    <s v="Refaturamento - Regular"/>
    <x v="2"/>
    <x v="3"/>
    <x v="0"/>
    <x v="0"/>
    <x v="1"/>
    <x v="0"/>
    <x v="1"/>
    <x v="6"/>
    <n v="0"/>
    <n v="0"/>
    <n v="-15.18"/>
    <n v="-15.18"/>
    <n v="-15.18"/>
    <n v="-15.18"/>
    <n v="0"/>
    <x v="3"/>
    <n v="0"/>
    <n v="0"/>
    <n v="31"/>
    <n v="79"/>
    <n v="0"/>
    <n v="88.66"/>
    <n v="311.04000000000002"/>
    <m/>
    <n v="137.25956288333876"/>
    <n v="311.14842517571947"/>
    <n v="0"/>
    <n v="-1345.8588"/>
    <n v="-4721.5871999999999"/>
    <n v="0"/>
    <n v="-2083.6001645690822"/>
    <n v="-4723.2330941674218"/>
  </r>
  <r>
    <s v="Sistema de Compensação"/>
    <x v="2"/>
    <x v="3"/>
    <x v="0"/>
    <x v="0"/>
    <x v="1"/>
    <x v="0"/>
    <x v="1"/>
    <x v="6"/>
    <n v="0"/>
    <n v="0"/>
    <n v="276.041"/>
    <n v="276.041"/>
    <n v="276.041"/>
    <n v="276.041"/>
    <n v="0"/>
    <x v="3"/>
    <n v="0"/>
    <n v="0"/>
    <n v="31"/>
    <n v="79"/>
    <n v="0"/>
    <n v="88.66"/>
    <n v="311.04000000000002"/>
    <m/>
    <n v="137.25956288333876"/>
    <n v="311.14842517571947"/>
    <n v="0"/>
    <n v="24473.79506"/>
    <n v="85859.79264"/>
    <n v="0"/>
    <n v="37889.266997879713"/>
    <n v="85889.722433930772"/>
  </r>
  <r>
    <s v="Regular"/>
    <x v="2"/>
    <x v="3"/>
    <x v="0"/>
    <x v="0"/>
    <x v="1"/>
    <x v="0"/>
    <x v="1"/>
    <x v="7"/>
    <n v="0"/>
    <n v="0"/>
    <n v="4516.6760000000004"/>
    <n v="4516.6760000000004"/>
    <n v="4516.6760000000004"/>
    <n v="4516.6760000000004"/>
    <n v="0"/>
    <x v="3"/>
    <n v="0"/>
    <n v="0"/>
    <n v="31"/>
    <n v="79"/>
    <n v="0"/>
    <n v="88.66"/>
    <n v="311.04000000000002"/>
    <m/>
    <n v="137.25956288333876"/>
    <n v="311.14842517571947"/>
    <n v="0"/>
    <n v="400448.49416"/>
    <n v="1404866.9030400002"/>
    <n v="0"/>
    <n v="619956.97344566707"/>
    <n v="1405356.6244289679"/>
  </r>
  <r>
    <s v="Sistema de Compensação"/>
    <x v="2"/>
    <x v="3"/>
    <x v="0"/>
    <x v="0"/>
    <x v="1"/>
    <x v="0"/>
    <x v="1"/>
    <x v="7"/>
    <n v="0"/>
    <n v="0"/>
    <n v="259.95299999999997"/>
    <n v="259.95299999999997"/>
    <n v="259.95299999999997"/>
    <n v="259.95299999999997"/>
    <n v="0"/>
    <x v="3"/>
    <n v="0"/>
    <n v="0"/>
    <n v="31"/>
    <n v="79"/>
    <n v="0"/>
    <n v="88.66"/>
    <n v="311.04000000000002"/>
    <m/>
    <n v="137.25956288333876"/>
    <n v="311.14842517571947"/>
    <n v="0"/>
    <n v="23047.432979999998"/>
    <n v="80855.78112"/>
    <n v="0"/>
    <n v="35681.035150212556"/>
    <n v="80883.9665697038"/>
  </r>
  <r>
    <s v="Regular"/>
    <x v="2"/>
    <x v="3"/>
    <x v="0"/>
    <x v="0"/>
    <x v="1"/>
    <x v="0"/>
    <x v="1"/>
    <x v="8"/>
    <n v="0"/>
    <n v="0"/>
    <n v="4008.799"/>
    <n v="4008.799"/>
    <n v="4008.799"/>
    <n v="4008.799"/>
    <n v="0"/>
    <x v="3"/>
    <n v="0"/>
    <n v="0"/>
    <n v="31"/>
    <n v="79"/>
    <n v="0"/>
    <n v="88.66"/>
    <n v="311.04000000000002"/>
    <m/>
    <n v="137.25956288333876"/>
    <n v="311.14842517571947"/>
    <n v="0"/>
    <n v="355420.11933999998"/>
    <n v="1246896.8409600002"/>
    <n v="0"/>
    <n v="550245.99842716556"/>
    <n v="1247331.4956959991"/>
  </r>
  <r>
    <s v="Refaturamento - Regular"/>
    <x v="2"/>
    <x v="3"/>
    <x v="0"/>
    <x v="0"/>
    <x v="1"/>
    <x v="0"/>
    <x v="1"/>
    <x v="8"/>
    <n v="0"/>
    <n v="0"/>
    <n v="2.0659999999999998"/>
    <n v="2.0659999999999998"/>
    <n v="2.0659999999999998"/>
    <n v="2.0659999999999998"/>
    <n v="0"/>
    <x v="3"/>
    <n v="0"/>
    <n v="0"/>
    <n v="31"/>
    <n v="79"/>
    <n v="0"/>
    <n v="88.66"/>
    <n v="311.04000000000002"/>
    <m/>
    <n v="137.25956288333876"/>
    <n v="311.14842517571947"/>
    <n v="0"/>
    <n v="183.17155999999997"/>
    <n v="642.60864000000004"/>
    <n v="0"/>
    <n v="283.57825691697786"/>
    <n v="642.8326464130364"/>
  </r>
  <r>
    <s v="Sistema de Compensação"/>
    <x v="2"/>
    <x v="3"/>
    <x v="0"/>
    <x v="0"/>
    <x v="1"/>
    <x v="0"/>
    <x v="1"/>
    <x v="8"/>
    <n v="0"/>
    <n v="0"/>
    <n v="344.95600000000002"/>
    <n v="344.95600000000002"/>
    <n v="344.95600000000002"/>
    <n v="344.95600000000002"/>
    <n v="0"/>
    <x v="3"/>
    <n v="0"/>
    <n v="0"/>
    <n v="31"/>
    <n v="79"/>
    <n v="0"/>
    <n v="88.66"/>
    <n v="311.04000000000002"/>
    <m/>
    <n v="137.25956288333876"/>
    <n v="311.14842517571947"/>
    <n v="0"/>
    <n v="30583.79896"/>
    <n v="107295.11424000001"/>
    <n v="0"/>
    <n v="47348.50977398501"/>
    <n v="107332.51615491549"/>
  </r>
  <r>
    <s v="Regular"/>
    <x v="2"/>
    <x v="3"/>
    <x v="0"/>
    <x v="0"/>
    <x v="1"/>
    <x v="0"/>
    <x v="1"/>
    <x v="9"/>
    <n v="0"/>
    <n v="0"/>
    <n v="4132.9440000000004"/>
    <n v="4132.9440000000004"/>
    <n v="4132.9440000000004"/>
    <n v="4132.9440000000004"/>
    <n v="0"/>
    <x v="3"/>
    <n v="0"/>
    <n v="0"/>
    <n v="31"/>
    <n v="79"/>
    <n v="0"/>
    <n v="88.66"/>
    <n v="311.04000000000002"/>
    <m/>
    <n v="137.25956288333876"/>
    <n v="311.14842517571947"/>
    <n v="0"/>
    <n v="366426.81504000002"/>
    <n v="1285510.9017600003"/>
    <n v="0"/>
    <n v="567286.08686131763"/>
    <n v="1285959.0169394389"/>
  </r>
  <r>
    <s v="Sistema de Compensação"/>
    <x v="2"/>
    <x v="3"/>
    <x v="0"/>
    <x v="0"/>
    <x v="1"/>
    <x v="0"/>
    <x v="1"/>
    <x v="9"/>
    <n v="0"/>
    <n v="0"/>
    <n v="209.024"/>
    <n v="209.024"/>
    <n v="209.024"/>
    <n v="209.024"/>
    <n v="0"/>
    <x v="3"/>
    <n v="0"/>
    <n v="0"/>
    <n v="31"/>
    <n v="79"/>
    <n v="0"/>
    <n v="88.66"/>
    <n v="311.04000000000002"/>
    <m/>
    <n v="137.25956288333876"/>
    <n v="311.14842517571947"/>
    <n v="0"/>
    <n v="18532.06784"/>
    <n v="65014.824960000005"/>
    <n v="0"/>
    <n v="28690.542872127"/>
    <n v="65037.488423929586"/>
  </r>
  <r>
    <s v="Sistema de Compensação"/>
    <x v="2"/>
    <x v="3"/>
    <x v="0"/>
    <x v="0"/>
    <x v="1"/>
    <x v="0"/>
    <x v="1"/>
    <x v="9"/>
    <n v="0"/>
    <n v="0"/>
    <n v="-6.0369999999999999"/>
    <n v="-6.0369999999999999"/>
    <n v="-6.0369999999999999"/>
    <n v="-6.0369999999999999"/>
    <n v="0"/>
    <x v="3"/>
    <n v="0"/>
    <n v="0"/>
    <n v="31"/>
    <n v="79"/>
    <n v="0"/>
    <n v="88.66"/>
    <n v="311.04000000000002"/>
    <m/>
    <n v="137.25956288333876"/>
    <n v="311.14842517571947"/>
    <n v="0"/>
    <n v="-535.24041999999997"/>
    <n v="-1877.7484800000002"/>
    <n v="0"/>
    <n v="-828.63598112671605"/>
    <n v="-1878.4030427858183"/>
  </r>
  <r>
    <s v="Regular"/>
    <x v="2"/>
    <x v="3"/>
    <x v="0"/>
    <x v="0"/>
    <x v="1"/>
    <x v="0"/>
    <x v="1"/>
    <x v="10"/>
    <n v="0"/>
    <n v="0"/>
    <n v="4005.3629999999998"/>
    <n v="4005.3629999999998"/>
    <n v="4005.3629999999998"/>
    <n v="4005.3629999999998"/>
    <n v="0"/>
    <x v="3"/>
    <n v="0"/>
    <n v="0"/>
    <n v="31"/>
    <n v="79"/>
    <n v="0"/>
    <n v="88.66"/>
    <n v="311.04000000000002"/>
    <m/>
    <n v="137.25956288333876"/>
    <n v="311.14842517571947"/>
    <n v="0"/>
    <n v="355115.48358"/>
    <n v="1245828.1075200001"/>
    <n v="0"/>
    <n v="549774.37456909835"/>
    <n v="1246262.3897070952"/>
  </r>
  <r>
    <s v="Refaturamento - Regular"/>
    <x v="2"/>
    <x v="3"/>
    <x v="0"/>
    <x v="0"/>
    <x v="1"/>
    <x v="0"/>
    <x v="1"/>
    <x v="10"/>
    <n v="0"/>
    <n v="0"/>
    <n v="3.5950000000000002"/>
    <n v="3.5950000000000002"/>
    <n v="3.5950000000000002"/>
    <n v="3.5950000000000002"/>
    <n v="0"/>
    <x v="3"/>
    <n v="0"/>
    <n v="0"/>
    <n v="31"/>
    <n v="79"/>
    <n v="0"/>
    <n v="88.66"/>
    <n v="311.04000000000002"/>
    <m/>
    <n v="137.25956288333876"/>
    <n v="311.14842517571947"/>
    <n v="0"/>
    <n v="318.73270000000002"/>
    <n v="1118.1888000000001"/>
    <n v="0"/>
    <n v="493.44812856560287"/>
    <n v="1118.5785885067116"/>
  </r>
  <r>
    <s v="Sistema de Compensação"/>
    <x v="2"/>
    <x v="3"/>
    <x v="0"/>
    <x v="0"/>
    <x v="1"/>
    <x v="0"/>
    <x v="1"/>
    <x v="10"/>
    <n v="0"/>
    <n v="0"/>
    <n v="209.95500000000001"/>
    <n v="209.95500000000001"/>
    <n v="209.95500000000001"/>
    <n v="209.95500000000001"/>
    <n v="0"/>
    <x v="3"/>
    <n v="0"/>
    <n v="0"/>
    <n v="31"/>
    <n v="79"/>
    <n v="0"/>
    <n v="88.66"/>
    <n v="311.04000000000002"/>
    <m/>
    <n v="137.25956288333876"/>
    <n v="311.14842517571947"/>
    <n v="0"/>
    <n v="18614.6103"/>
    <n v="65304.403200000008"/>
    <n v="0"/>
    <n v="28818.33152517139"/>
    <n v="65327.167607768184"/>
  </r>
  <r>
    <s v="PROJETADO"/>
    <x v="2"/>
    <x v="3"/>
    <x v="0"/>
    <x v="0"/>
    <x v="1"/>
    <x v="0"/>
    <x v="1"/>
    <x v="11"/>
    <n v="0"/>
    <n v="0"/>
    <n v="4005.3629999999998"/>
    <n v="4005.3629999999998"/>
    <n v="4005.3629999999998"/>
    <n v="4005.3629999999998"/>
    <n v="0"/>
    <x v="3"/>
    <n v="0"/>
    <n v="0"/>
    <n v="31"/>
    <n v="79"/>
    <n v="0"/>
    <n v="88.66"/>
    <n v="311.04000000000002"/>
    <m/>
    <n v="137.25956288333876"/>
    <n v="311.14842517571947"/>
    <n v="0"/>
    <n v="355115.48358"/>
    <n v="1245828.1075200001"/>
    <n v="0"/>
    <n v="549774.37456909835"/>
    <n v="1246262.3897070952"/>
  </r>
  <r>
    <s v="PROJETADO"/>
    <x v="2"/>
    <x v="3"/>
    <x v="0"/>
    <x v="0"/>
    <x v="1"/>
    <x v="0"/>
    <x v="1"/>
    <x v="11"/>
    <n v="0"/>
    <n v="0"/>
    <n v="3.5950000000000002"/>
    <n v="3.5950000000000002"/>
    <n v="3.5950000000000002"/>
    <n v="3.5950000000000002"/>
    <n v="0"/>
    <x v="3"/>
    <n v="0"/>
    <n v="0"/>
    <n v="31"/>
    <n v="79"/>
    <n v="0"/>
    <n v="88.66"/>
    <n v="311.04000000000002"/>
    <m/>
    <n v="137.25956288333876"/>
    <n v="311.14842517571947"/>
    <n v="0"/>
    <n v="318.73270000000002"/>
    <n v="1118.1888000000001"/>
    <n v="0"/>
    <n v="493.44812856560287"/>
    <n v="1118.5785885067116"/>
  </r>
  <r>
    <s v="PROJETADO"/>
    <x v="2"/>
    <x v="3"/>
    <x v="0"/>
    <x v="0"/>
    <x v="1"/>
    <x v="0"/>
    <x v="1"/>
    <x v="11"/>
    <n v="0"/>
    <n v="0"/>
    <n v="209.95500000000001"/>
    <n v="209.95500000000001"/>
    <n v="209.95500000000001"/>
    <n v="209.95500000000001"/>
    <n v="0"/>
    <x v="3"/>
    <n v="0"/>
    <n v="0"/>
    <n v="31"/>
    <n v="79"/>
    <n v="0"/>
    <n v="88.66"/>
    <n v="311.04000000000002"/>
    <m/>
    <n v="137.25956288333876"/>
    <n v="311.14842517571947"/>
    <n v="0"/>
    <n v="18614.6103"/>
    <n v="65304.403200000008"/>
    <n v="0"/>
    <n v="28818.33152517139"/>
    <n v="65327.167607768184"/>
  </r>
  <r>
    <s v="Regular"/>
    <x v="2"/>
    <x v="3"/>
    <x v="0"/>
    <x v="0"/>
    <x v="1"/>
    <x v="0"/>
    <x v="0"/>
    <x v="0"/>
    <n v="34567"/>
    <n v="34567"/>
    <n v="0"/>
    <n v="0"/>
    <n v="0"/>
    <n v="0"/>
    <n v="192"/>
    <x v="3"/>
    <n v="0"/>
    <n v="29"/>
    <n v="0"/>
    <n v="0"/>
    <n v="25.51"/>
    <n v="0"/>
    <n v="0"/>
    <n v="29.803266797877356"/>
    <m/>
    <m/>
    <n v="881804.17"/>
    <n v="0"/>
    <n v="0"/>
    <n v="1030209.5234022265"/>
    <n v="0"/>
    <n v="0"/>
  </r>
  <r>
    <s v="Sistema de Compensação"/>
    <x v="2"/>
    <x v="3"/>
    <x v="0"/>
    <x v="0"/>
    <x v="1"/>
    <x v="0"/>
    <x v="0"/>
    <x v="0"/>
    <n v="2982"/>
    <n v="2982"/>
    <n v="0"/>
    <n v="0"/>
    <n v="0"/>
    <n v="0"/>
    <n v="10"/>
    <x v="3"/>
    <n v="0"/>
    <n v="29"/>
    <n v="0"/>
    <n v="0"/>
    <n v="25.51"/>
    <n v="0"/>
    <n v="0"/>
    <n v="29.803266797877356"/>
    <m/>
    <m/>
    <n v="76070.820000000007"/>
    <n v="0"/>
    <n v="0"/>
    <n v="88873.341591270277"/>
    <n v="0"/>
    <n v="0"/>
  </r>
  <r>
    <s v="Regular"/>
    <x v="2"/>
    <x v="3"/>
    <x v="0"/>
    <x v="0"/>
    <x v="1"/>
    <x v="0"/>
    <x v="0"/>
    <x v="1"/>
    <n v="33785"/>
    <n v="33785"/>
    <n v="0"/>
    <n v="0"/>
    <n v="0"/>
    <n v="0"/>
    <n v="188"/>
    <x v="3"/>
    <n v="0"/>
    <n v="29"/>
    <n v="0"/>
    <n v="0"/>
    <n v="25.51"/>
    <n v="0"/>
    <n v="0"/>
    <n v="29.803266797877356"/>
    <m/>
    <m/>
    <n v="861855.35000000009"/>
    <n v="0"/>
    <n v="0"/>
    <n v="1006903.3687662865"/>
    <n v="0"/>
    <n v="0"/>
  </r>
  <r>
    <s v="Refaturamento - Regular"/>
    <x v="2"/>
    <x v="3"/>
    <x v="0"/>
    <x v="0"/>
    <x v="1"/>
    <x v="0"/>
    <x v="0"/>
    <x v="1"/>
    <n v="143"/>
    <n v="143"/>
    <n v="0"/>
    <n v="0"/>
    <n v="0"/>
    <n v="0"/>
    <n v="0"/>
    <x v="3"/>
    <n v="0"/>
    <n v="29"/>
    <n v="0"/>
    <n v="0"/>
    <n v="25.51"/>
    <n v="0"/>
    <n v="0"/>
    <n v="29.803266797877356"/>
    <m/>
    <m/>
    <n v="3647.9300000000003"/>
    <n v="0"/>
    <n v="0"/>
    <n v="4261.8671520964617"/>
    <n v="0"/>
    <n v="0"/>
  </r>
  <r>
    <s v="Sistema de Compensação"/>
    <x v="2"/>
    <x v="3"/>
    <x v="0"/>
    <x v="0"/>
    <x v="1"/>
    <x v="0"/>
    <x v="0"/>
    <x v="1"/>
    <n v="5760"/>
    <n v="5760"/>
    <n v="0"/>
    <n v="0"/>
    <n v="0"/>
    <n v="0"/>
    <n v="12"/>
    <x v="3"/>
    <n v="0"/>
    <n v="29"/>
    <n v="0"/>
    <n v="0"/>
    <n v="25.51"/>
    <n v="0"/>
    <n v="0"/>
    <n v="29.803266797877356"/>
    <m/>
    <m/>
    <n v="146937.60000000001"/>
    <n v="0"/>
    <n v="0"/>
    <n v="171666.81675577356"/>
    <n v="0"/>
    <n v="0"/>
  </r>
  <r>
    <s v="Sistema de Compensação"/>
    <x v="2"/>
    <x v="3"/>
    <x v="0"/>
    <x v="0"/>
    <x v="1"/>
    <x v="0"/>
    <x v="0"/>
    <x v="1"/>
    <n v="-1557"/>
    <n v="-1557"/>
    <n v="0"/>
    <n v="0"/>
    <n v="0"/>
    <n v="0"/>
    <n v="0"/>
    <x v="3"/>
    <n v="0"/>
    <n v="29"/>
    <n v="0"/>
    <n v="0"/>
    <n v="25.51"/>
    <n v="0"/>
    <n v="0"/>
    <n v="29.803266797877356"/>
    <m/>
    <m/>
    <n v="-39719.07"/>
    <n v="0"/>
    <n v="0"/>
    <n v="-46403.68640429504"/>
    <n v="0"/>
    <n v="0"/>
  </r>
  <r>
    <s v="Regular"/>
    <x v="2"/>
    <x v="3"/>
    <x v="0"/>
    <x v="0"/>
    <x v="1"/>
    <x v="0"/>
    <x v="0"/>
    <x v="2"/>
    <n v="32965"/>
    <n v="32965"/>
    <n v="0"/>
    <n v="0"/>
    <n v="0"/>
    <n v="0"/>
    <n v="188"/>
    <x v="3"/>
    <n v="0"/>
    <n v="29"/>
    <n v="0"/>
    <n v="0"/>
    <n v="25.51"/>
    <n v="0"/>
    <n v="0"/>
    <n v="29.803266797877356"/>
    <m/>
    <m/>
    <n v="840937.15"/>
    <n v="0"/>
    <n v="0"/>
    <n v="982464.68999202701"/>
    <n v="0"/>
    <n v="0"/>
  </r>
  <r>
    <s v="Refaturamento - Regular"/>
    <x v="2"/>
    <x v="3"/>
    <x v="0"/>
    <x v="0"/>
    <x v="1"/>
    <x v="0"/>
    <x v="0"/>
    <x v="2"/>
    <n v="132"/>
    <n v="132"/>
    <n v="0"/>
    <n v="0"/>
    <n v="0"/>
    <n v="0"/>
    <n v="0"/>
    <x v="3"/>
    <n v="0"/>
    <n v="29"/>
    <n v="0"/>
    <n v="0"/>
    <n v="25.51"/>
    <n v="0"/>
    <n v="0"/>
    <n v="29.803266797877356"/>
    <m/>
    <m/>
    <n v="3367.32"/>
    <n v="0"/>
    <n v="0"/>
    <n v="3934.0312173198108"/>
    <n v="0"/>
    <n v="0"/>
  </r>
  <r>
    <s v="Sistema de Compensação"/>
    <x v="2"/>
    <x v="3"/>
    <x v="0"/>
    <x v="0"/>
    <x v="1"/>
    <x v="0"/>
    <x v="0"/>
    <x v="2"/>
    <n v="5759"/>
    <n v="5759"/>
    <n v="0"/>
    <n v="0"/>
    <n v="0"/>
    <n v="0"/>
    <n v="12"/>
    <x v="3"/>
    <n v="0"/>
    <n v="29"/>
    <n v="0"/>
    <n v="0"/>
    <n v="25.51"/>
    <n v="0"/>
    <n v="0"/>
    <n v="29.803266797877356"/>
    <m/>
    <m/>
    <n v="146912.09"/>
    <n v="0"/>
    <n v="0"/>
    <n v="171637.0134889757"/>
    <n v="0"/>
    <n v="0"/>
  </r>
  <r>
    <s v="Regular"/>
    <x v="2"/>
    <x v="3"/>
    <x v="0"/>
    <x v="0"/>
    <x v="1"/>
    <x v="0"/>
    <x v="0"/>
    <x v="3"/>
    <n v="32923"/>
    <n v="32923"/>
    <n v="0"/>
    <n v="0"/>
    <n v="0"/>
    <n v="0"/>
    <n v="188"/>
    <x v="3"/>
    <n v="0"/>
    <n v="29"/>
    <n v="0"/>
    <n v="0"/>
    <n v="25.51"/>
    <n v="0"/>
    <n v="0"/>
    <n v="29.803266797877356"/>
    <m/>
    <m/>
    <n v="839865.7300000001"/>
    <n v="0"/>
    <n v="0"/>
    <n v="981212.95278651617"/>
    <n v="0"/>
    <n v="0"/>
  </r>
  <r>
    <s v="Sistema de Compensação"/>
    <x v="2"/>
    <x v="3"/>
    <x v="0"/>
    <x v="0"/>
    <x v="1"/>
    <x v="0"/>
    <x v="0"/>
    <x v="3"/>
    <n v="5902"/>
    <n v="5902"/>
    <n v="0"/>
    <n v="0"/>
    <n v="0"/>
    <n v="0"/>
    <n v="13"/>
    <x v="3"/>
    <n v="0"/>
    <n v="29"/>
    <n v="0"/>
    <n v="0"/>
    <n v="25.51"/>
    <n v="0"/>
    <n v="0"/>
    <n v="29.803266797877356"/>
    <m/>
    <m/>
    <n v="150560.02000000002"/>
    <n v="0"/>
    <n v="0"/>
    <n v="175898.88064107214"/>
    <n v="0"/>
    <n v="0"/>
  </r>
  <r>
    <s v="Regular"/>
    <x v="2"/>
    <x v="3"/>
    <x v="0"/>
    <x v="0"/>
    <x v="1"/>
    <x v="0"/>
    <x v="0"/>
    <x v="4"/>
    <n v="31821"/>
    <n v="31821"/>
    <n v="0"/>
    <n v="0"/>
    <n v="0"/>
    <n v="0"/>
    <n v="186"/>
    <x v="3"/>
    <n v="0"/>
    <n v="29"/>
    <n v="0"/>
    <n v="0"/>
    <n v="25.51"/>
    <n v="0"/>
    <n v="0"/>
    <n v="29.803266797877356"/>
    <m/>
    <m/>
    <n v="811753.71000000008"/>
    <n v="0"/>
    <n v="0"/>
    <n v="948369.75277525536"/>
    <n v="0"/>
    <n v="0"/>
  </r>
  <r>
    <s v="Sistema de Compensação"/>
    <x v="2"/>
    <x v="3"/>
    <x v="0"/>
    <x v="0"/>
    <x v="1"/>
    <x v="0"/>
    <x v="0"/>
    <x v="4"/>
    <n v="5971"/>
    <n v="5971"/>
    <n v="0"/>
    <n v="0"/>
    <n v="0"/>
    <n v="0"/>
    <n v="14"/>
    <x v="3"/>
    <n v="0"/>
    <n v="29"/>
    <n v="0"/>
    <n v="0"/>
    <n v="25.51"/>
    <n v="0"/>
    <n v="0"/>
    <n v="29.803266797877356"/>
    <m/>
    <m/>
    <n v="152320.21000000002"/>
    <n v="0"/>
    <n v="0"/>
    <n v="177955.30605012568"/>
    <n v="0"/>
    <n v="0"/>
  </r>
  <r>
    <s v="Regular"/>
    <x v="2"/>
    <x v="3"/>
    <x v="0"/>
    <x v="0"/>
    <x v="1"/>
    <x v="0"/>
    <x v="0"/>
    <x v="5"/>
    <n v="31246"/>
    <n v="31246"/>
    <n v="0"/>
    <n v="0"/>
    <n v="0"/>
    <n v="0"/>
    <n v="182"/>
    <x v="3"/>
    <n v="0"/>
    <n v="29"/>
    <n v="0"/>
    <n v="0"/>
    <n v="25.51"/>
    <n v="0"/>
    <n v="0"/>
    <n v="29.803266797877356"/>
    <m/>
    <m/>
    <n v="797085.46000000008"/>
    <n v="0"/>
    <n v="0"/>
    <n v="931232.87436647585"/>
    <n v="0"/>
    <n v="0"/>
  </r>
  <r>
    <s v="Refaturamento - Regular"/>
    <x v="2"/>
    <x v="3"/>
    <x v="0"/>
    <x v="0"/>
    <x v="1"/>
    <x v="0"/>
    <x v="0"/>
    <x v="5"/>
    <n v="-85"/>
    <n v="-85"/>
    <n v="0"/>
    <n v="0"/>
    <n v="0"/>
    <n v="0"/>
    <n v="0"/>
    <x v="3"/>
    <n v="0"/>
    <n v="29"/>
    <n v="0"/>
    <n v="0"/>
    <n v="25.51"/>
    <n v="0"/>
    <n v="0"/>
    <n v="29.803266797877356"/>
    <m/>
    <m/>
    <n v="-2168.35"/>
    <n v="0"/>
    <n v="0"/>
    <n v="-2533.2776778195753"/>
    <n v="0"/>
    <n v="0"/>
  </r>
  <r>
    <s v="Sistema de Compensação"/>
    <x v="2"/>
    <x v="3"/>
    <x v="0"/>
    <x v="0"/>
    <x v="1"/>
    <x v="0"/>
    <x v="0"/>
    <x v="5"/>
    <n v="6262"/>
    <n v="6262"/>
    <n v="0"/>
    <n v="0"/>
    <n v="0"/>
    <n v="0"/>
    <n v="16"/>
    <x v="3"/>
    <n v="0"/>
    <n v="29"/>
    <n v="0"/>
    <n v="0"/>
    <n v="25.51"/>
    <n v="0"/>
    <n v="0"/>
    <n v="29.803266797877356"/>
    <m/>
    <m/>
    <n v="159743.62"/>
    <n v="0"/>
    <n v="0"/>
    <n v="186628.05668830802"/>
    <n v="0"/>
    <n v="0"/>
  </r>
  <r>
    <s v="Regular"/>
    <x v="2"/>
    <x v="3"/>
    <x v="0"/>
    <x v="0"/>
    <x v="1"/>
    <x v="0"/>
    <x v="0"/>
    <x v="6"/>
    <n v="31182"/>
    <n v="31182"/>
    <n v="0"/>
    <n v="0"/>
    <n v="0"/>
    <n v="0"/>
    <n v="180"/>
    <x v="3"/>
    <n v="0"/>
    <n v="29"/>
    <n v="0"/>
    <n v="0"/>
    <n v="25.51"/>
    <n v="0"/>
    <n v="0"/>
    <n v="29.803266797877356"/>
    <m/>
    <m/>
    <n v="795452.82000000007"/>
    <n v="0"/>
    <n v="0"/>
    <n v="929325.46529141173"/>
    <n v="0"/>
    <n v="0"/>
  </r>
  <r>
    <s v="Sistema de Compensação"/>
    <x v="2"/>
    <x v="3"/>
    <x v="0"/>
    <x v="0"/>
    <x v="1"/>
    <x v="0"/>
    <x v="0"/>
    <x v="6"/>
    <n v="6329"/>
    <n v="6329"/>
    <n v="0"/>
    <n v="0"/>
    <n v="0"/>
    <n v="0"/>
    <n v="18"/>
    <x v="3"/>
    <n v="0"/>
    <n v="29"/>
    <n v="0"/>
    <n v="0"/>
    <n v="25.51"/>
    <n v="0"/>
    <n v="0"/>
    <n v="29.803266797877356"/>
    <m/>
    <m/>
    <n v="161452.79"/>
    <n v="0"/>
    <n v="0"/>
    <n v="188624.87556376579"/>
    <n v="0"/>
    <n v="0"/>
  </r>
  <r>
    <s v="Regular"/>
    <x v="2"/>
    <x v="3"/>
    <x v="0"/>
    <x v="0"/>
    <x v="1"/>
    <x v="0"/>
    <x v="0"/>
    <x v="7"/>
    <n v="30886"/>
    <n v="30886"/>
    <n v="0"/>
    <n v="0"/>
    <n v="0"/>
    <n v="0"/>
    <n v="179"/>
    <x v="3"/>
    <n v="0"/>
    <n v="29"/>
    <n v="0"/>
    <n v="0"/>
    <n v="25.51"/>
    <n v="0"/>
    <n v="0"/>
    <n v="29.803266797877356"/>
    <m/>
    <m/>
    <n v="787901.8600000001"/>
    <n v="0"/>
    <n v="0"/>
    <n v="920503.69831924001"/>
    <n v="0"/>
    <n v="0"/>
  </r>
  <r>
    <s v="Sistema de Compensação"/>
    <x v="2"/>
    <x v="3"/>
    <x v="0"/>
    <x v="0"/>
    <x v="1"/>
    <x v="0"/>
    <x v="0"/>
    <x v="7"/>
    <n v="8860"/>
    <n v="8860"/>
    <n v="0"/>
    <n v="0"/>
    <n v="0"/>
    <n v="0"/>
    <n v="20"/>
    <x v="3"/>
    <n v="0"/>
    <n v="29"/>
    <n v="0"/>
    <n v="0"/>
    <n v="25.51"/>
    <n v="0"/>
    <n v="0"/>
    <n v="29.803266797877356"/>
    <m/>
    <m/>
    <n v="226018.6"/>
    <n v="0"/>
    <n v="0"/>
    <n v="264056.94382919336"/>
    <n v="0"/>
    <n v="0"/>
  </r>
  <r>
    <s v="Regular"/>
    <x v="2"/>
    <x v="3"/>
    <x v="0"/>
    <x v="0"/>
    <x v="1"/>
    <x v="0"/>
    <x v="0"/>
    <x v="8"/>
    <n v="29685"/>
    <n v="29685"/>
    <n v="0"/>
    <n v="0"/>
    <n v="0"/>
    <n v="0"/>
    <n v="177"/>
    <x v="3"/>
    <n v="0"/>
    <n v="29"/>
    <n v="0"/>
    <n v="0"/>
    <n v="25.51"/>
    <n v="0"/>
    <n v="0"/>
    <n v="29.803266797877356"/>
    <m/>
    <m/>
    <n v="757264.35000000009"/>
    <n v="0"/>
    <n v="0"/>
    <n v="884709.97489498928"/>
    <n v="0"/>
    <n v="0"/>
  </r>
  <r>
    <s v="Sistema de Compensação"/>
    <x v="2"/>
    <x v="3"/>
    <x v="0"/>
    <x v="0"/>
    <x v="1"/>
    <x v="0"/>
    <x v="0"/>
    <x v="8"/>
    <n v="9316"/>
    <n v="9316"/>
    <n v="0"/>
    <n v="0"/>
    <n v="0"/>
    <n v="0"/>
    <n v="21"/>
    <x v="3"/>
    <n v="0"/>
    <n v="29"/>
    <n v="0"/>
    <n v="0"/>
    <n v="25.51"/>
    <n v="0"/>
    <n v="0"/>
    <n v="29.803266797877356"/>
    <m/>
    <m/>
    <n v="237651.16"/>
    <n v="0"/>
    <n v="0"/>
    <n v="277647.23348902544"/>
    <n v="0"/>
    <n v="0"/>
  </r>
  <r>
    <s v="Regular"/>
    <x v="2"/>
    <x v="3"/>
    <x v="0"/>
    <x v="0"/>
    <x v="1"/>
    <x v="0"/>
    <x v="0"/>
    <x v="9"/>
    <n v="29244"/>
    <n v="29244"/>
    <n v="0"/>
    <n v="0"/>
    <n v="0"/>
    <n v="0"/>
    <n v="176"/>
    <x v="3"/>
    <n v="0"/>
    <n v="29"/>
    <n v="0"/>
    <n v="0"/>
    <n v="25.51"/>
    <n v="0"/>
    <n v="0"/>
    <n v="29.803266797877356"/>
    <m/>
    <m/>
    <n v="746014.44000000006"/>
    <n v="0"/>
    <n v="0"/>
    <n v="871566.73423712538"/>
    <n v="0"/>
    <n v="0"/>
  </r>
  <r>
    <s v="Sistema de Compensação"/>
    <x v="2"/>
    <x v="3"/>
    <x v="0"/>
    <x v="0"/>
    <x v="1"/>
    <x v="0"/>
    <x v="0"/>
    <x v="9"/>
    <n v="9155"/>
    <n v="9155"/>
    <n v="0"/>
    <n v="0"/>
    <n v="0"/>
    <n v="0"/>
    <n v="21"/>
    <x v="3"/>
    <n v="0"/>
    <n v="29"/>
    <n v="0"/>
    <n v="0"/>
    <n v="25.51"/>
    <n v="0"/>
    <n v="0"/>
    <n v="29.803266797877356"/>
    <m/>
    <m/>
    <n v="233544.05000000002"/>
    <n v="0"/>
    <n v="0"/>
    <n v="272848.90753456717"/>
    <n v="0"/>
    <n v="0"/>
  </r>
  <r>
    <s v="Regular"/>
    <x v="2"/>
    <x v="3"/>
    <x v="0"/>
    <x v="0"/>
    <x v="1"/>
    <x v="0"/>
    <x v="0"/>
    <x v="10"/>
    <n v="29095"/>
    <n v="29095"/>
    <n v="0"/>
    <n v="0"/>
    <n v="0"/>
    <n v="0"/>
    <n v="176"/>
    <x v="3"/>
    <n v="0"/>
    <n v="29"/>
    <n v="0"/>
    <n v="0"/>
    <n v="25.51"/>
    <n v="0"/>
    <n v="0"/>
    <n v="29.803266797877356"/>
    <m/>
    <m/>
    <n v="742213.45000000007"/>
    <n v="0"/>
    <n v="0"/>
    <n v="867126.04748424166"/>
    <n v="0"/>
    <n v="0"/>
  </r>
  <r>
    <s v="Refaturamento - Regular"/>
    <x v="2"/>
    <x v="3"/>
    <x v="0"/>
    <x v="0"/>
    <x v="1"/>
    <x v="0"/>
    <x v="0"/>
    <x v="10"/>
    <n v="1"/>
    <n v="1"/>
    <n v="0"/>
    <n v="0"/>
    <n v="0"/>
    <n v="0"/>
    <n v="0"/>
    <x v="3"/>
    <n v="0"/>
    <n v="29"/>
    <n v="0"/>
    <n v="0"/>
    <n v="25.51"/>
    <n v="0"/>
    <n v="0"/>
    <n v="29.803266797877356"/>
    <m/>
    <m/>
    <n v="25.51"/>
    <n v="0"/>
    <n v="0"/>
    <n v="29.803266797877356"/>
    <n v="0"/>
    <n v="0"/>
  </r>
  <r>
    <s v="Sistema de Compensação"/>
    <x v="2"/>
    <x v="3"/>
    <x v="0"/>
    <x v="0"/>
    <x v="1"/>
    <x v="0"/>
    <x v="0"/>
    <x v="10"/>
    <n v="11395"/>
    <n v="11395"/>
    <n v="0"/>
    <n v="0"/>
    <n v="0"/>
    <n v="0"/>
    <n v="21"/>
    <x v="3"/>
    <n v="0"/>
    <n v="29"/>
    <n v="0"/>
    <n v="0"/>
    <n v="25.51"/>
    <n v="0"/>
    <n v="0"/>
    <n v="29.803266797877356"/>
    <m/>
    <m/>
    <n v="290686.45"/>
    <n v="0"/>
    <n v="0"/>
    <n v="339608.22516181244"/>
    <n v="0"/>
    <n v="0"/>
  </r>
  <r>
    <s v="PROJETADO"/>
    <x v="2"/>
    <x v="3"/>
    <x v="0"/>
    <x v="0"/>
    <x v="1"/>
    <x v="0"/>
    <x v="0"/>
    <x v="11"/>
    <n v="29095"/>
    <n v="29095"/>
    <n v="0"/>
    <n v="0"/>
    <n v="0"/>
    <n v="0"/>
    <n v="176"/>
    <x v="3"/>
    <n v="0"/>
    <n v="29"/>
    <n v="0"/>
    <n v="0"/>
    <n v="25.51"/>
    <n v="0"/>
    <n v="0"/>
    <n v="29.803266797877356"/>
    <m/>
    <m/>
    <n v="742213.45000000007"/>
    <n v="0"/>
    <n v="0"/>
    <n v="867126.04748424166"/>
    <n v="0"/>
    <n v="0"/>
  </r>
  <r>
    <s v="PROJETADO"/>
    <x v="2"/>
    <x v="3"/>
    <x v="0"/>
    <x v="0"/>
    <x v="1"/>
    <x v="0"/>
    <x v="0"/>
    <x v="11"/>
    <n v="1"/>
    <n v="1"/>
    <n v="0"/>
    <n v="0"/>
    <n v="0"/>
    <n v="0"/>
    <n v="0"/>
    <x v="3"/>
    <n v="0"/>
    <n v="29"/>
    <n v="0"/>
    <n v="0"/>
    <n v="25.51"/>
    <n v="0"/>
    <n v="0"/>
    <n v="29.803266797877356"/>
    <m/>
    <m/>
    <n v="25.51"/>
    <n v="0"/>
    <n v="0"/>
    <n v="29.803266797877356"/>
    <n v="0"/>
    <n v="0"/>
  </r>
  <r>
    <s v="PROJETADO"/>
    <x v="2"/>
    <x v="3"/>
    <x v="0"/>
    <x v="0"/>
    <x v="1"/>
    <x v="0"/>
    <x v="0"/>
    <x v="11"/>
    <n v="11395"/>
    <n v="11395"/>
    <n v="0"/>
    <n v="0"/>
    <n v="0"/>
    <n v="0"/>
    <n v="21"/>
    <x v="3"/>
    <n v="0"/>
    <n v="29"/>
    <n v="0"/>
    <n v="0"/>
    <n v="25.51"/>
    <n v="0"/>
    <n v="0"/>
    <n v="29.803266797877356"/>
    <m/>
    <m/>
    <n v="290686.45"/>
    <n v="0"/>
    <n v="0"/>
    <n v="339608.22516181244"/>
    <n v="0"/>
    <n v="0"/>
  </r>
  <r>
    <s v="Regular"/>
    <x v="2"/>
    <x v="3"/>
    <x v="0"/>
    <x v="0"/>
    <x v="1"/>
    <x v="0"/>
    <x v="2"/>
    <x v="0"/>
    <n v="0"/>
    <n v="0"/>
    <n v="148.22200000000001"/>
    <n v="148.22200000000001"/>
    <n v="148.22200000000001"/>
    <n v="148.22200000000001"/>
    <n v="0"/>
    <x v="3"/>
    <n v="0"/>
    <n v="0"/>
    <n v="30"/>
    <n v="78"/>
    <n v="0"/>
    <n v="1682.12"/>
    <n v="496.15"/>
    <m/>
    <n v="1969.6669835803759"/>
    <n v="506.4861368306324"/>
    <n v="0"/>
    <n v="249327.19063999999"/>
    <n v="73540.345300000001"/>
    <n v="0"/>
    <n v="291947.9796402505"/>
    <n v="75072.388173309999"/>
  </r>
  <r>
    <s v="Refaturamento - Regular"/>
    <x v="2"/>
    <x v="3"/>
    <x v="0"/>
    <x v="0"/>
    <x v="1"/>
    <x v="0"/>
    <x v="2"/>
    <x v="0"/>
    <n v="0"/>
    <n v="0"/>
    <n v="-1.73"/>
    <n v="-1.73"/>
    <n v="-1.73"/>
    <n v="-1.73"/>
    <n v="0"/>
    <x v="3"/>
    <n v="0"/>
    <n v="0"/>
    <n v="30"/>
    <n v="78"/>
    <n v="0"/>
    <n v="1682.12"/>
    <n v="496.15"/>
    <m/>
    <n v="1969.6669835803759"/>
    <n v="506.4861368306324"/>
    <n v="0"/>
    <n v="-2910.0675999999999"/>
    <n v="-858.33949999999993"/>
    <n v="0"/>
    <n v="-3407.5238815940502"/>
    <n v="-876.22101671699409"/>
  </r>
  <r>
    <s v="Sistema de Compensação"/>
    <x v="2"/>
    <x v="3"/>
    <x v="0"/>
    <x v="0"/>
    <x v="1"/>
    <x v="0"/>
    <x v="2"/>
    <x v="0"/>
    <n v="0"/>
    <n v="0"/>
    <n v="11.97"/>
    <n v="11.97"/>
    <n v="11.97"/>
    <n v="11.97"/>
    <n v="0"/>
    <x v="3"/>
    <n v="0"/>
    <n v="0"/>
    <n v="30"/>
    <n v="78"/>
    <n v="0"/>
    <n v="1682.12"/>
    <n v="496.15"/>
    <m/>
    <n v="1969.6669835803759"/>
    <n v="506.4861368306324"/>
    <n v="0"/>
    <n v="20134.9764"/>
    <n v="5938.9155000000001"/>
    <n v="0"/>
    <n v="23576.913793457101"/>
    <n v="6062.6390578626706"/>
  </r>
  <r>
    <s v="Regular"/>
    <x v="2"/>
    <x v="3"/>
    <x v="0"/>
    <x v="0"/>
    <x v="1"/>
    <x v="0"/>
    <x v="2"/>
    <x v="1"/>
    <n v="0"/>
    <n v="0"/>
    <n v="150.67400000000001"/>
    <n v="150.67400000000001"/>
    <n v="150.67400000000001"/>
    <n v="150.67400000000001"/>
    <n v="0"/>
    <x v="3"/>
    <n v="0"/>
    <n v="0"/>
    <n v="30"/>
    <n v="78"/>
    <n v="0"/>
    <n v="1682.12"/>
    <n v="496.15"/>
    <m/>
    <n v="1969.6669835803759"/>
    <n v="506.4861368306324"/>
    <n v="0"/>
    <n v="253451.74888"/>
    <n v="74756.905100000004"/>
    <n v="0"/>
    <n v="296777.60308398958"/>
    <n v="76314.292180818709"/>
  </r>
  <r>
    <s v="Refaturamento - Regular"/>
    <x v="2"/>
    <x v="3"/>
    <x v="0"/>
    <x v="0"/>
    <x v="1"/>
    <x v="0"/>
    <x v="2"/>
    <x v="1"/>
    <n v="0"/>
    <n v="0"/>
    <n v="-1.468"/>
    <n v="-1.468"/>
    <n v="-1.468"/>
    <n v="-1.468"/>
    <n v="0"/>
    <x v="3"/>
    <n v="0"/>
    <n v="0"/>
    <n v="30"/>
    <n v="78"/>
    <n v="0"/>
    <n v="1682.12"/>
    <n v="496.15"/>
    <m/>
    <n v="1969.6669835803759"/>
    <n v="506.4861368306324"/>
    <n v="0"/>
    <n v="-2469.3521599999999"/>
    <n v="-728.34819999999991"/>
    <n v="0"/>
    <n v="-2891.4711318959917"/>
    <n v="-743.5216488673683"/>
  </r>
  <r>
    <s v="Sistema de Compensação"/>
    <x v="2"/>
    <x v="3"/>
    <x v="0"/>
    <x v="0"/>
    <x v="1"/>
    <x v="0"/>
    <x v="2"/>
    <x v="1"/>
    <n v="0"/>
    <n v="0"/>
    <n v="18.704999999999998"/>
    <n v="18.704999999999998"/>
    <n v="18.704999999999998"/>
    <n v="18.704999999999998"/>
    <n v="0"/>
    <x v="3"/>
    <n v="0"/>
    <n v="0"/>
    <n v="30"/>
    <n v="78"/>
    <n v="0"/>
    <n v="1682.12"/>
    <n v="496.15"/>
    <m/>
    <n v="1969.6669835803759"/>
    <n v="506.4861368306324"/>
    <n v="0"/>
    <n v="31464.054599999996"/>
    <n v="9280.485749999998"/>
    <n v="0"/>
    <n v="36842.620927870928"/>
    <n v="9473.8231894169785"/>
  </r>
  <r>
    <s v="Regular"/>
    <x v="2"/>
    <x v="3"/>
    <x v="0"/>
    <x v="0"/>
    <x v="1"/>
    <x v="0"/>
    <x v="2"/>
    <x v="2"/>
    <n v="0"/>
    <n v="0"/>
    <n v="158.90199999999999"/>
    <n v="158.90199999999999"/>
    <n v="158.90199999999999"/>
    <n v="158.90199999999999"/>
    <n v="0"/>
    <x v="3"/>
    <n v="0"/>
    <n v="0"/>
    <n v="30"/>
    <n v="78"/>
    <n v="0"/>
    <n v="1682.12"/>
    <n v="496.15"/>
    <m/>
    <n v="1969.6669835803759"/>
    <n v="506.4861368306324"/>
    <n v="0"/>
    <n v="267292.23223999998"/>
    <n v="78839.227299999984"/>
    <n v="0"/>
    <n v="312984.02302488888"/>
    <n v="80481.66011466115"/>
  </r>
  <r>
    <s v="Refaturamento - Regular"/>
    <x v="2"/>
    <x v="3"/>
    <x v="0"/>
    <x v="0"/>
    <x v="1"/>
    <x v="0"/>
    <x v="2"/>
    <x v="2"/>
    <n v="0"/>
    <n v="0"/>
    <n v="-1.462"/>
    <n v="-1.462"/>
    <n v="-1.462"/>
    <n v="-1.462"/>
    <n v="0"/>
    <x v="3"/>
    <n v="0"/>
    <n v="0"/>
    <n v="30"/>
    <n v="78"/>
    <n v="0"/>
    <n v="1682.12"/>
    <n v="496.15"/>
    <m/>
    <n v="1969.6669835803759"/>
    <n v="506.4861368306324"/>
    <n v="0"/>
    <n v="-2459.2594399999998"/>
    <n v="-725.37129999999991"/>
    <n v="0"/>
    <n v="-2879.6531299945095"/>
    <n v="-740.48273204638451"/>
  </r>
  <r>
    <s v="Sistema de Compensação"/>
    <x v="2"/>
    <x v="3"/>
    <x v="0"/>
    <x v="0"/>
    <x v="1"/>
    <x v="0"/>
    <x v="2"/>
    <x v="2"/>
    <n v="0"/>
    <n v="0"/>
    <n v="16.384"/>
    <n v="16.384"/>
    <n v="16.384"/>
    <n v="16.384"/>
    <n v="0"/>
    <x v="3"/>
    <n v="0"/>
    <n v="0"/>
    <n v="30"/>
    <n v="78"/>
    <n v="0"/>
    <n v="1682.12"/>
    <n v="496.15"/>
    <m/>
    <n v="1969.6669835803759"/>
    <n v="506.4861368306324"/>
    <n v="0"/>
    <n v="27559.854079999997"/>
    <n v="8128.9215999999997"/>
    <n v="0"/>
    <n v="32271.02385898088"/>
    <n v="8298.2688658330808"/>
  </r>
  <r>
    <s v="Regular"/>
    <x v="2"/>
    <x v="3"/>
    <x v="0"/>
    <x v="0"/>
    <x v="1"/>
    <x v="0"/>
    <x v="2"/>
    <x v="3"/>
    <n v="0"/>
    <n v="0"/>
    <n v="173.30500000000001"/>
    <n v="173.30500000000001"/>
    <n v="173.30500000000001"/>
    <n v="173.30500000000001"/>
    <n v="0"/>
    <x v="3"/>
    <n v="0"/>
    <n v="0"/>
    <n v="30"/>
    <n v="78"/>
    <n v="0"/>
    <n v="1682.12"/>
    <n v="496.15"/>
    <m/>
    <n v="1969.6669835803759"/>
    <n v="506.4861368306324"/>
    <n v="0"/>
    <n v="291519.80660000001"/>
    <n v="85985.275750000001"/>
    <n v="0"/>
    <n v="341353.13658939704"/>
    <n v="87776.579943432749"/>
  </r>
  <r>
    <s v="Sistema de Compensação"/>
    <x v="2"/>
    <x v="3"/>
    <x v="0"/>
    <x v="0"/>
    <x v="1"/>
    <x v="0"/>
    <x v="2"/>
    <x v="3"/>
    <n v="0"/>
    <n v="0"/>
    <n v="18.305"/>
    <n v="18.305"/>
    <n v="18.305"/>
    <n v="18.305"/>
    <n v="0"/>
    <x v="3"/>
    <n v="0"/>
    <n v="0"/>
    <n v="30"/>
    <n v="78"/>
    <n v="0"/>
    <n v="1682.12"/>
    <n v="496.15"/>
    <m/>
    <n v="1969.6669835803759"/>
    <n v="506.4861368306324"/>
    <n v="0"/>
    <n v="30791.206599999998"/>
    <n v="9082.0257499999989"/>
    <n v="0"/>
    <n v="36054.754134438779"/>
    <n v="9271.2287346847261"/>
  </r>
  <r>
    <s v="Regular"/>
    <x v="2"/>
    <x v="3"/>
    <x v="0"/>
    <x v="0"/>
    <x v="1"/>
    <x v="0"/>
    <x v="2"/>
    <x v="4"/>
    <n v="0"/>
    <n v="0"/>
    <n v="165.173"/>
    <n v="165.173"/>
    <n v="165.173"/>
    <n v="165.173"/>
    <n v="0"/>
    <x v="3"/>
    <n v="0"/>
    <n v="0"/>
    <n v="30"/>
    <n v="78"/>
    <n v="0"/>
    <n v="1682.12"/>
    <n v="496.15"/>
    <m/>
    <n v="1969.6669835803759"/>
    <n v="506.4861368306324"/>
    <n v="0"/>
    <n v="277840.80676000001"/>
    <n v="81950.58395"/>
    <n v="0"/>
    <n v="325335.80467892141"/>
    <n v="83657.834678726053"/>
  </r>
  <r>
    <s v="Sistema de Compensação"/>
    <x v="2"/>
    <x v="3"/>
    <x v="0"/>
    <x v="0"/>
    <x v="1"/>
    <x v="0"/>
    <x v="2"/>
    <x v="4"/>
    <n v="0"/>
    <n v="0"/>
    <n v="12.903"/>
    <n v="12.903"/>
    <n v="12.903"/>
    <n v="12.903"/>
    <n v="0"/>
    <x v="3"/>
    <n v="0"/>
    <n v="0"/>
    <n v="30"/>
    <n v="78"/>
    <n v="0"/>
    <n v="1682.12"/>
    <n v="496.15"/>
    <m/>
    <n v="1969.6669835803759"/>
    <n v="506.4861368306324"/>
    <n v="0"/>
    <n v="21704.394359999998"/>
    <n v="6401.8234499999999"/>
    <n v="0"/>
    <n v="25414.613089137591"/>
    <n v="6535.1906235256502"/>
  </r>
  <r>
    <s v="Regular"/>
    <x v="2"/>
    <x v="3"/>
    <x v="0"/>
    <x v="0"/>
    <x v="1"/>
    <x v="0"/>
    <x v="2"/>
    <x v="5"/>
    <n v="0"/>
    <n v="0"/>
    <n v="161.58500000000001"/>
    <n v="161.58500000000001"/>
    <n v="161.58500000000001"/>
    <n v="161.58500000000001"/>
    <n v="0"/>
    <x v="3"/>
    <n v="0"/>
    <n v="0"/>
    <n v="30"/>
    <n v="78"/>
    <n v="0"/>
    <n v="1682.12"/>
    <n v="496.15"/>
    <m/>
    <n v="1969.6669835803759"/>
    <n v="506.4861368306324"/>
    <n v="0"/>
    <n v="271805.3602"/>
    <n v="80170.397750000004"/>
    <n v="0"/>
    <n v="318268.63954183506"/>
    <n v="81840.562419777736"/>
  </r>
  <r>
    <s v="Sistema de Compensação"/>
    <x v="2"/>
    <x v="3"/>
    <x v="0"/>
    <x v="0"/>
    <x v="1"/>
    <x v="0"/>
    <x v="2"/>
    <x v="5"/>
    <n v="0"/>
    <n v="0"/>
    <n v="13.750999999999999"/>
    <n v="13.750999999999999"/>
    <n v="13.750999999999999"/>
    <n v="13.750999999999999"/>
    <n v="0"/>
    <x v="3"/>
    <n v="0"/>
    <n v="0"/>
    <n v="30"/>
    <n v="78"/>
    <n v="0"/>
    <n v="1682.12"/>
    <n v="496.15"/>
    <m/>
    <n v="1969.6669835803759"/>
    <n v="506.4861368306324"/>
    <n v="0"/>
    <n v="23130.832119999999"/>
    <n v="6822.558649999999"/>
    <n v="0"/>
    <n v="27084.89069121375"/>
    <n v="6964.6908675580262"/>
  </r>
  <r>
    <s v="Regular"/>
    <x v="2"/>
    <x v="3"/>
    <x v="0"/>
    <x v="0"/>
    <x v="1"/>
    <x v="0"/>
    <x v="2"/>
    <x v="6"/>
    <n v="0"/>
    <n v="0"/>
    <n v="157.63900000000001"/>
    <n v="157.63900000000001"/>
    <n v="157.63900000000001"/>
    <n v="157.63900000000001"/>
    <n v="0"/>
    <x v="3"/>
    <n v="0"/>
    <n v="0"/>
    <n v="30"/>
    <n v="78"/>
    <n v="0"/>
    <n v="1682.12"/>
    <n v="496.15"/>
    <m/>
    <n v="1969.6669835803759"/>
    <n v="506.4861368306324"/>
    <n v="0"/>
    <n v="265167.71467999998"/>
    <n v="78212.589850000004"/>
    <n v="0"/>
    <n v="310496.33362462692"/>
    <n v="79841.968123844068"/>
  </r>
  <r>
    <s v="Refaturamento - Regular"/>
    <x v="2"/>
    <x v="3"/>
    <x v="0"/>
    <x v="0"/>
    <x v="1"/>
    <x v="0"/>
    <x v="2"/>
    <x v="6"/>
    <n v="0"/>
    <n v="0"/>
    <n v="-0.66"/>
    <n v="-0.66"/>
    <n v="-0.66"/>
    <n v="-0.66"/>
    <n v="0"/>
    <x v="3"/>
    <n v="0"/>
    <n v="0"/>
    <n v="30"/>
    <n v="78"/>
    <n v="0"/>
    <n v="1682.12"/>
    <n v="496.15"/>
    <m/>
    <n v="1969.6669835803759"/>
    <n v="506.4861368306324"/>
    <n v="0"/>
    <n v="-1110.1992"/>
    <n v="-327.459"/>
    <n v="0"/>
    <n v="-1299.9802091630481"/>
    <n v="-334.2808503082174"/>
  </r>
  <r>
    <s v="Sistema de Compensação"/>
    <x v="2"/>
    <x v="3"/>
    <x v="0"/>
    <x v="0"/>
    <x v="1"/>
    <x v="0"/>
    <x v="2"/>
    <x v="6"/>
    <n v="0"/>
    <n v="0"/>
    <n v="14.978999999999999"/>
    <n v="14.978999999999999"/>
    <n v="14.978999999999999"/>
    <n v="14.978999999999999"/>
    <n v="0"/>
    <x v="3"/>
    <n v="0"/>
    <n v="0"/>
    <n v="30"/>
    <n v="78"/>
    <n v="0"/>
    <n v="1682.12"/>
    <n v="496.15"/>
    <m/>
    <n v="1969.6669835803759"/>
    <n v="506.4861368306324"/>
    <n v="0"/>
    <n v="25196.475479999997"/>
    <n v="7431.8308499999994"/>
    <n v="0"/>
    <n v="29503.641747050449"/>
    <n v="7586.6558435860425"/>
  </r>
  <r>
    <s v="Regular"/>
    <x v="2"/>
    <x v="3"/>
    <x v="0"/>
    <x v="0"/>
    <x v="1"/>
    <x v="0"/>
    <x v="2"/>
    <x v="7"/>
    <n v="0"/>
    <n v="0"/>
    <n v="177.64699999999999"/>
    <n v="177.64699999999999"/>
    <n v="177.64699999999999"/>
    <n v="177.64699999999999"/>
    <n v="0"/>
    <x v="3"/>
    <n v="0"/>
    <n v="0"/>
    <n v="30"/>
    <n v="78"/>
    <n v="0"/>
    <n v="1682.12"/>
    <n v="496.15"/>
    <m/>
    <n v="1969.6669835803759"/>
    <n v="506.4861368306324"/>
    <n v="0"/>
    <n v="298823.57163999998"/>
    <n v="88139.559049999996"/>
    <n v="0"/>
    <n v="349905.430632103"/>
    <n v="89975.742749551355"/>
  </r>
  <r>
    <s v="Sistema de Compensação"/>
    <x v="2"/>
    <x v="3"/>
    <x v="0"/>
    <x v="0"/>
    <x v="1"/>
    <x v="0"/>
    <x v="2"/>
    <x v="7"/>
    <n v="0"/>
    <n v="0"/>
    <n v="17.033000000000001"/>
    <n v="17.033000000000001"/>
    <n v="17.033000000000001"/>
    <n v="17.033000000000001"/>
    <n v="0"/>
    <x v="3"/>
    <n v="0"/>
    <n v="0"/>
    <n v="30"/>
    <n v="78"/>
    <n v="0"/>
    <n v="1682.12"/>
    <n v="496.15"/>
    <m/>
    <n v="1969.6669835803759"/>
    <n v="506.4861368306324"/>
    <n v="0"/>
    <n v="28651.54996"/>
    <n v="8450.9229500000001"/>
    <n v="0"/>
    <n v="33549.337731324544"/>
    <n v="8626.9783686361625"/>
  </r>
  <r>
    <s v="Regular"/>
    <x v="2"/>
    <x v="3"/>
    <x v="0"/>
    <x v="0"/>
    <x v="1"/>
    <x v="0"/>
    <x v="2"/>
    <x v="8"/>
    <n v="0"/>
    <n v="0"/>
    <n v="121.672"/>
    <n v="121.672"/>
    <n v="121.672"/>
    <n v="121.672"/>
    <n v="0"/>
    <x v="3"/>
    <n v="0"/>
    <n v="0"/>
    <n v="30"/>
    <n v="78"/>
    <n v="0"/>
    <n v="1682.12"/>
    <n v="496.15"/>
    <m/>
    <n v="1969.6669835803759"/>
    <n v="506.4861368306324"/>
    <n v="0"/>
    <n v="204666.90463999999"/>
    <n v="60367.562799999992"/>
    <n v="0"/>
    <n v="239653.3212261915"/>
    <n v="61625.181240456703"/>
  </r>
  <r>
    <s v="Refaturamento - Regular"/>
    <x v="2"/>
    <x v="3"/>
    <x v="0"/>
    <x v="0"/>
    <x v="1"/>
    <x v="0"/>
    <x v="2"/>
    <x v="8"/>
    <n v="0"/>
    <n v="0"/>
    <n v="-3.53"/>
    <n v="-3.53"/>
    <n v="-3.53"/>
    <n v="-3.53"/>
    <n v="0"/>
    <x v="3"/>
    <n v="0"/>
    <n v="0"/>
    <n v="30"/>
    <n v="78"/>
    <n v="0"/>
    <n v="1682.12"/>
    <n v="496.15"/>
    <m/>
    <n v="1969.6669835803759"/>
    <n v="506.4861368306324"/>
    <n v="0"/>
    <n v="-5937.8835999999992"/>
    <n v="-1751.4094999999998"/>
    <n v="0"/>
    <n v="-6952.9244520387265"/>
    <n v="-1787.8960630121323"/>
  </r>
  <r>
    <s v="Sistema de Compensação"/>
    <x v="2"/>
    <x v="3"/>
    <x v="0"/>
    <x v="0"/>
    <x v="1"/>
    <x v="0"/>
    <x v="2"/>
    <x v="8"/>
    <n v="0"/>
    <n v="0"/>
    <n v="13.725"/>
    <n v="13.725"/>
    <n v="13.725"/>
    <n v="13.725"/>
    <n v="0"/>
    <x v="3"/>
    <n v="0"/>
    <n v="0"/>
    <n v="30"/>
    <n v="78"/>
    <n v="0"/>
    <n v="1682.12"/>
    <n v="496.15"/>
    <m/>
    <n v="1969.6669835803759"/>
    <n v="506.4861368306324"/>
    <n v="0"/>
    <n v="23087.096999999998"/>
    <n v="6809.6587499999996"/>
    <n v="0"/>
    <n v="27033.679349640657"/>
    <n v="6951.52222800043"/>
  </r>
  <r>
    <s v="Regular"/>
    <x v="2"/>
    <x v="3"/>
    <x v="0"/>
    <x v="0"/>
    <x v="1"/>
    <x v="0"/>
    <x v="2"/>
    <x v="9"/>
    <n v="0"/>
    <n v="0"/>
    <n v="117.474"/>
    <n v="117.474"/>
    <n v="117.474"/>
    <n v="117.474"/>
    <n v="0"/>
    <x v="3"/>
    <n v="0"/>
    <n v="0"/>
    <n v="30"/>
    <n v="78"/>
    <n v="0"/>
    <n v="1682.12"/>
    <n v="496.15"/>
    <m/>
    <n v="1969.6669835803759"/>
    <n v="506.4861368306324"/>
    <n v="0"/>
    <n v="197605.36487999998"/>
    <n v="58284.725099999996"/>
    <n v="0"/>
    <n v="231384.65922912108"/>
    <n v="59498.952438041713"/>
  </r>
  <r>
    <s v="Sistema de Compensação"/>
    <x v="2"/>
    <x v="3"/>
    <x v="0"/>
    <x v="0"/>
    <x v="1"/>
    <x v="0"/>
    <x v="2"/>
    <x v="9"/>
    <n v="0"/>
    <n v="0"/>
    <n v="9.4659999999999993"/>
    <n v="9.4659999999999993"/>
    <n v="9.4659999999999993"/>
    <n v="9.4659999999999993"/>
    <n v="0"/>
    <x v="3"/>
    <n v="0"/>
    <n v="0"/>
    <n v="30"/>
    <n v="78"/>
    <n v="0"/>
    <n v="1682.12"/>
    <n v="496.15"/>
    <m/>
    <n v="1969.6669835803759"/>
    <n v="506.4861368306324"/>
    <n v="0"/>
    <n v="15922.947919999999"/>
    <n v="4696.5558999999994"/>
    <n v="0"/>
    <n v="18644.867666571838"/>
    <n v="4794.3977712387659"/>
  </r>
  <r>
    <s v="Sistema de Compensação"/>
    <x v="2"/>
    <x v="3"/>
    <x v="0"/>
    <x v="0"/>
    <x v="1"/>
    <x v="0"/>
    <x v="2"/>
    <x v="9"/>
    <n v="0"/>
    <n v="0"/>
    <n v="0.187"/>
    <n v="0.187"/>
    <n v="0.187"/>
    <n v="0.187"/>
    <n v="0"/>
    <x v="3"/>
    <n v="0"/>
    <n v="0"/>
    <n v="30"/>
    <n v="78"/>
    <n v="0"/>
    <n v="1682.12"/>
    <n v="496.15"/>
    <m/>
    <n v="1969.6669835803759"/>
    <n v="506.4861368306324"/>
    <n v="0"/>
    <n v="314.55643999999995"/>
    <n v="92.780049999999989"/>
    <n v="0"/>
    <n v="368.32772592953029"/>
    <n v="94.71290758732826"/>
  </r>
  <r>
    <s v="Regular"/>
    <x v="2"/>
    <x v="3"/>
    <x v="0"/>
    <x v="0"/>
    <x v="1"/>
    <x v="0"/>
    <x v="2"/>
    <x v="10"/>
    <n v="0"/>
    <n v="0"/>
    <n v="113.342"/>
    <n v="113.342"/>
    <n v="113.342"/>
    <n v="113.342"/>
    <n v="0"/>
    <x v="3"/>
    <n v="0"/>
    <n v="0"/>
    <n v="30"/>
    <n v="78"/>
    <n v="0"/>
    <n v="1682.12"/>
    <n v="496.15"/>
    <m/>
    <n v="1969.6669835803759"/>
    <n v="506.4861368306324"/>
    <n v="0"/>
    <n v="190654.84503999999"/>
    <n v="56234.633299999994"/>
    <n v="0"/>
    <n v="223245.99525296697"/>
    <n v="57406.151720657537"/>
  </r>
  <r>
    <s v="Refaturamento - Regular"/>
    <x v="2"/>
    <x v="3"/>
    <x v="0"/>
    <x v="0"/>
    <x v="1"/>
    <x v="0"/>
    <x v="2"/>
    <x v="10"/>
    <n v="0"/>
    <n v="0"/>
    <n v="2.1480000000000001"/>
    <n v="2.1480000000000001"/>
    <n v="2.1480000000000001"/>
    <n v="2.1480000000000001"/>
    <n v="0"/>
    <x v="3"/>
    <n v="0"/>
    <n v="0"/>
    <n v="30"/>
    <n v="78"/>
    <n v="0"/>
    <n v="1682.12"/>
    <n v="496.15"/>
    <m/>
    <n v="1969.6669835803759"/>
    <n v="506.4861368306324"/>
    <n v="0"/>
    <n v="3613.1937600000001"/>
    <n v="1065.7302"/>
    <n v="0"/>
    <n v="4230.8446807306482"/>
    <n v="1087.9322219121984"/>
  </r>
  <r>
    <s v="Sistema de Compensação"/>
    <x v="2"/>
    <x v="3"/>
    <x v="0"/>
    <x v="0"/>
    <x v="1"/>
    <x v="0"/>
    <x v="2"/>
    <x v="10"/>
    <n v="0"/>
    <n v="0"/>
    <n v="6.9279999999999999"/>
    <n v="6.9279999999999999"/>
    <n v="6.9279999999999999"/>
    <n v="6.9279999999999999"/>
    <n v="0"/>
    <x v="3"/>
    <n v="0"/>
    <n v="0"/>
    <n v="30"/>
    <n v="78"/>
    <n v="0"/>
    <n v="1682.12"/>
    <n v="496.15"/>
    <m/>
    <n v="1969.6669835803759"/>
    <n v="506.4861368306324"/>
    <n v="0"/>
    <n v="11653.727359999999"/>
    <n v="3437.3271999999997"/>
    <n v="0"/>
    <n v="13645.852862244845"/>
    <n v="3508.9359559626214"/>
  </r>
  <r>
    <s v="PROJETADO"/>
    <x v="2"/>
    <x v="3"/>
    <x v="0"/>
    <x v="0"/>
    <x v="1"/>
    <x v="0"/>
    <x v="2"/>
    <x v="11"/>
    <n v="0"/>
    <n v="0"/>
    <n v="113.342"/>
    <n v="113.342"/>
    <n v="113.342"/>
    <n v="113.342"/>
    <n v="0"/>
    <x v="3"/>
    <n v="0"/>
    <n v="0"/>
    <n v="30"/>
    <n v="78"/>
    <n v="0"/>
    <n v="1682.12"/>
    <n v="496.15"/>
    <m/>
    <n v="1969.6669835803759"/>
    <n v="506.4861368306324"/>
    <n v="0"/>
    <n v="190654.84503999999"/>
    <n v="56234.633299999994"/>
    <n v="0"/>
    <n v="223245.99525296697"/>
    <n v="57406.151720657537"/>
  </r>
  <r>
    <s v="PROJETADO"/>
    <x v="2"/>
    <x v="3"/>
    <x v="0"/>
    <x v="0"/>
    <x v="1"/>
    <x v="0"/>
    <x v="2"/>
    <x v="11"/>
    <n v="0"/>
    <n v="0"/>
    <n v="2.1480000000000001"/>
    <n v="2.1480000000000001"/>
    <n v="2.1480000000000001"/>
    <n v="2.1480000000000001"/>
    <n v="0"/>
    <x v="3"/>
    <n v="0"/>
    <n v="0"/>
    <n v="30"/>
    <n v="78"/>
    <n v="0"/>
    <n v="1682.12"/>
    <n v="496.15"/>
    <m/>
    <n v="1969.6669835803759"/>
    <n v="506.4861368306324"/>
    <n v="0"/>
    <n v="3613.1937600000001"/>
    <n v="1065.7302"/>
    <n v="0"/>
    <n v="4230.8446807306482"/>
    <n v="1087.9322219121984"/>
  </r>
  <r>
    <s v="PROJETADO"/>
    <x v="2"/>
    <x v="3"/>
    <x v="0"/>
    <x v="0"/>
    <x v="1"/>
    <x v="0"/>
    <x v="2"/>
    <x v="11"/>
    <n v="0"/>
    <n v="0"/>
    <n v="6.9279999999999999"/>
    <n v="6.9279999999999999"/>
    <n v="6.9279999999999999"/>
    <n v="6.9279999999999999"/>
    <n v="0"/>
    <x v="3"/>
    <n v="0"/>
    <n v="0"/>
    <n v="30"/>
    <n v="78"/>
    <n v="0"/>
    <n v="1682.12"/>
    <n v="496.15"/>
    <m/>
    <n v="1969.6669835803759"/>
    <n v="506.4861368306324"/>
    <n v="0"/>
    <n v="11653.727359999999"/>
    <n v="3437.3271999999997"/>
    <n v="0"/>
    <n v="13645.852862244845"/>
    <n v="3508.9359559626214"/>
  </r>
  <r>
    <s v="Regular"/>
    <x v="2"/>
    <x v="3"/>
    <x v="3"/>
    <x v="0"/>
    <x v="1"/>
    <x v="0"/>
    <x v="1"/>
    <x v="0"/>
    <n v="0"/>
    <n v="0"/>
    <n v="187.01599999999999"/>
    <n v="187.01599999999999"/>
    <n v="187.01599999999999"/>
    <n v="187.01599999999999"/>
    <n v="0"/>
    <x v="3"/>
    <n v="0"/>
    <n v="0"/>
    <n v="31"/>
    <n v="79"/>
    <n v="0"/>
    <n v="88.66"/>
    <n v="311.04000000000002"/>
    <m/>
    <n v="137.25956288333876"/>
    <n v="311.14842517571947"/>
    <n v="0"/>
    <n v="16580.83856"/>
    <n v="58169.456640000004"/>
    <n v="0"/>
    <n v="25669.734412190479"/>
    <n v="58189.733882662353"/>
  </r>
  <r>
    <s v="Sistema de Compensação"/>
    <x v="2"/>
    <x v="3"/>
    <x v="3"/>
    <x v="0"/>
    <x v="1"/>
    <x v="0"/>
    <x v="1"/>
    <x v="0"/>
    <n v="0"/>
    <n v="0"/>
    <n v="12.58"/>
    <n v="12.58"/>
    <n v="12.58"/>
    <n v="12.58"/>
    <n v="0"/>
    <x v="3"/>
    <n v="0"/>
    <n v="0"/>
    <n v="31"/>
    <n v="79"/>
    <n v="0"/>
    <n v="88.66"/>
    <n v="311.04000000000002"/>
    <m/>
    <n v="137.25956288333876"/>
    <n v="311.14842517571947"/>
    <n v="0"/>
    <n v="1115.3427999999999"/>
    <n v="3912.8832000000002"/>
    <n v="0"/>
    <n v="1726.7253010724016"/>
    <n v="3914.2471887105507"/>
  </r>
  <r>
    <s v="Regular"/>
    <x v="2"/>
    <x v="3"/>
    <x v="3"/>
    <x v="0"/>
    <x v="1"/>
    <x v="0"/>
    <x v="1"/>
    <x v="1"/>
    <n v="0"/>
    <n v="0"/>
    <n v="158.22499999999999"/>
    <n v="158.22499999999999"/>
    <n v="158.22499999999999"/>
    <n v="158.22499999999999"/>
    <n v="0"/>
    <x v="3"/>
    <n v="0"/>
    <n v="0"/>
    <n v="31"/>
    <n v="79"/>
    <n v="0"/>
    <n v="88.66"/>
    <n v="311.04000000000002"/>
    <m/>
    <n v="137.25956288333876"/>
    <n v="311.14842517571947"/>
    <n v="0"/>
    <n v="14028.228499999999"/>
    <n v="49214.304000000004"/>
    <n v="0"/>
    <n v="21717.894337216276"/>
    <n v="49231.459573428212"/>
  </r>
  <r>
    <s v="Sistema de Compensação"/>
    <x v="2"/>
    <x v="3"/>
    <x v="3"/>
    <x v="0"/>
    <x v="1"/>
    <x v="0"/>
    <x v="1"/>
    <x v="1"/>
    <n v="0"/>
    <n v="0"/>
    <n v="9.4220000000000006"/>
    <n v="9.4220000000000006"/>
    <n v="9.4220000000000006"/>
    <n v="9.4220000000000006"/>
    <n v="0"/>
    <x v="3"/>
    <n v="0"/>
    <n v="0"/>
    <n v="31"/>
    <n v="79"/>
    <n v="0"/>
    <n v="88.66"/>
    <n v="311.04000000000002"/>
    <m/>
    <n v="137.25956288333876"/>
    <n v="311.14842517571947"/>
    <n v="0"/>
    <n v="835.35451999999998"/>
    <n v="2930.6188800000004"/>
    <n v="0"/>
    <n v="1293.2596014868179"/>
    <n v="2931.6404620056292"/>
  </r>
  <r>
    <s v="Regular"/>
    <x v="2"/>
    <x v="3"/>
    <x v="3"/>
    <x v="0"/>
    <x v="1"/>
    <x v="0"/>
    <x v="1"/>
    <x v="2"/>
    <n v="0"/>
    <n v="0"/>
    <n v="164.51300000000001"/>
    <n v="164.51300000000001"/>
    <n v="164.51300000000001"/>
    <n v="164.51300000000001"/>
    <n v="0"/>
    <x v="3"/>
    <n v="0"/>
    <n v="0"/>
    <n v="31"/>
    <n v="79"/>
    <n v="0"/>
    <n v="88.66"/>
    <n v="311.04000000000002"/>
    <m/>
    <n v="137.25956288333876"/>
    <n v="311.14842517571947"/>
    <n v="0"/>
    <n v="14585.72258"/>
    <n v="51170.123520000008"/>
    <n v="0"/>
    <n v="22580.982468626709"/>
    <n v="51187.960870933137"/>
  </r>
  <r>
    <s v="Sistema de Compensação"/>
    <x v="2"/>
    <x v="3"/>
    <x v="3"/>
    <x v="0"/>
    <x v="1"/>
    <x v="0"/>
    <x v="1"/>
    <x v="2"/>
    <n v="0"/>
    <n v="0"/>
    <n v="7.5289999999999999"/>
    <n v="7.5289999999999999"/>
    <n v="7.5289999999999999"/>
    <n v="7.5289999999999999"/>
    <n v="0"/>
    <x v="3"/>
    <n v="0"/>
    <n v="0"/>
    <n v="31"/>
    <n v="79"/>
    <n v="0"/>
    <n v="88.66"/>
    <n v="311.04000000000002"/>
    <m/>
    <n v="137.25956288333876"/>
    <n v="311.14842517571947"/>
    <n v="0"/>
    <n v="667.52113999999995"/>
    <n v="2341.8201600000002"/>
    <n v="0"/>
    <n v="1033.4272489486575"/>
    <n v="2342.636493147992"/>
  </r>
  <r>
    <s v="Regular"/>
    <x v="2"/>
    <x v="3"/>
    <x v="3"/>
    <x v="0"/>
    <x v="1"/>
    <x v="0"/>
    <x v="1"/>
    <x v="3"/>
    <n v="0"/>
    <n v="0"/>
    <n v="174.09299999999999"/>
    <n v="174.09299999999999"/>
    <n v="174.09299999999999"/>
    <n v="174.09299999999999"/>
    <n v="0"/>
    <x v="3"/>
    <n v="0"/>
    <n v="0"/>
    <n v="31"/>
    <n v="79"/>
    <n v="0"/>
    <n v="88.66"/>
    <n v="311.04000000000002"/>
    <m/>
    <n v="137.25956288333876"/>
    <n v="311.14842517571947"/>
    <n v="0"/>
    <n v="15435.085379999999"/>
    <n v="54149.886720000002"/>
    <n v="0"/>
    <n v="23895.929081049093"/>
    <n v="54168.762784116523"/>
  </r>
  <r>
    <s v="Sistema de Compensação"/>
    <x v="2"/>
    <x v="3"/>
    <x v="3"/>
    <x v="0"/>
    <x v="1"/>
    <x v="0"/>
    <x v="1"/>
    <x v="3"/>
    <n v="0"/>
    <n v="0"/>
    <n v="5.3230000000000004"/>
    <n v="5.3230000000000004"/>
    <n v="5.3230000000000004"/>
    <n v="5.3230000000000004"/>
    <n v="0"/>
    <x v="3"/>
    <n v="0"/>
    <n v="0"/>
    <n v="31"/>
    <n v="79"/>
    <n v="0"/>
    <n v="88.66"/>
    <n v="311.04000000000002"/>
    <m/>
    <n v="137.25956288333876"/>
    <n v="311.14842517571947"/>
    <n v="0"/>
    <n v="471.93718000000001"/>
    <n v="1655.6659200000001"/>
    <n v="0"/>
    <n v="730.63265322801226"/>
    <n v="1656.2430672103549"/>
  </r>
  <r>
    <s v="Regular"/>
    <x v="2"/>
    <x v="3"/>
    <x v="3"/>
    <x v="0"/>
    <x v="1"/>
    <x v="0"/>
    <x v="1"/>
    <x v="4"/>
    <n v="0"/>
    <n v="0"/>
    <n v="201.80699999999999"/>
    <n v="201.80699999999999"/>
    <n v="201.80699999999999"/>
    <n v="201.80699999999999"/>
    <n v="0"/>
    <x v="3"/>
    <n v="0"/>
    <n v="0"/>
    <n v="31"/>
    <n v="79"/>
    <n v="0"/>
    <n v="88.66"/>
    <n v="311.04000000000002"/>
    <m/>
    <n v="137.25956288333876"/>
    <n v="311.14842517571947"/>
    <n v="0"/>
    <n v="17892.208619999998"/>
    <n v="62770.049279999999"/>
    <n v="0"/>
    <n v="27699.940606797943"/>
    <n v="62791.930239436413"/>
  </r>
  <r>
    <s v="Sistema de Compensação"/>
    <x v="2"/>
    <x v="3"/>
    <x v="3"/>
    <x v="0"/>
    <x v="1"/>
    <x v="0"/>
    <x v="1"/>
    <x v="4"/>
    <n v="0"/>
    <n v="0"/>
    <n v="4.9870000000000001"/>
    <n v="4.9870000000000001"/>
    <n v="4.9870000000000001"/>
    <n v="4.9870000000000001"/>
    <n v="0"/>
    <x v="3"/>
    <n v="0"/>
    <n v="0"/>
    <n v="31"/>
    <n v="79"/>
    <n v="0"/>
    <n v="88.66"/>
    <n v="311.04000000000002"/>
    <m/>
    <n v="137.25956288333876"/>
    <n v="311.14842517571947"/>
    <n v="0"/>
    <n v="442.14742000000001"/>
    <n v="1551.1564800000001"/>
    <n v="0"/>
    <n v="684.51344009921036"/>
    <n v="1551.6971963513131"/>
  </r>
  <r>
    <s v="Regular"/>
    <x v="2"/>
    <x v="3"/>
    <x v="3"/>
    <x v="0"/>
    <x v="1"/>
    <x v="0"/>
    <x v="1"/>
    <x v="5"/>
    <n v="0"/>
    <n v="0"/>
    <n v="193.036"/>
    <n v="193.036"/>
    <n v="193.036"/>
    <n v="193.036"/>
    <n v="0"/>
    <x v="3"/>
    <n v="0"/>
    <n v="0"/>
    <n v="31"/>
    <n v="79"/>
    <n v="0"/>
    <n v="88.66"/>
    <n v="311.04000000000002"/>
    <m/>
    <n v="137.25956288333876"/>
    <n v="311.14842517571947"/>
    <n v="0"/>
    <n v="17114.571759999999"/>
    <n v="60041.917440000005"/>
    <n v="0"/>
    <n v="26496.03698074818"/>
    <n v="60062.847402220184"/>
  </r>
  <r>
    <s v="Sistema de Compensação"/>
    <x v="2"/>
    <x v="3"/>
    <x v="3"/>
    <x v="0"/>
    <x v="1"/>
    <x v="0"/>
    <x v="1"/>
    <x v="5"/>
    <n v="0"/>
    <n v="0"/>
    <n v="8.5860000000000003"/>
    <n v="8.5860000000000003"/>
    <n v="8.5860000000000003"/>
    <n v="8.5860000000000003"/>
    <n v="0"/>
    <x v="3"/>
    <n v="0"/>
    <n v="0"/>
    <n v="31"/>
    <n v="79"/>
    <n v="0"/>
    <n v="88.66"/>
    <n v="311.04000000000002"/>
    <m/>
    <n v="137.25956288333876"/>
    <n v="311.14842517571947"/>
    <n v="0"/>
    <n v="761.23476000000005"/>
    <n v="2670.5894400000002"/>
    <n v="0"/>
    <n v="1178.5106069163467"/>
    <n v="2671.5203785587273"/>
  </r>
  <r>
    <s v="Regular"/>
    <x v="2"/>
    <x v="3"/>
    <x v="3"/>
    <x v="0"/>
    <x v="1"/>
    <x v="0"/>
    <x v="1"/>
    <x v="6"/>
    <n v="0"/>
    <n v="0"/>
    <n v="219.78299999999999"/>
    <n v="219.78299999999999"/>
    <n v="219.78299999999999"/>
    <n v="219.78299999999999"/>
    <n v="0"/>
    <x v="3"/>
    <n v="0"/>
    <n v="0"/>
    <n v="31"/>
    <n v="79"/>
    <n v="0"/>
    <n v="88.66"/>
    <n v="311.04000000000002"/>
    <m/>
    <n v="137.25956288333876"/>
    <n v="311.14842517571947"/>
    <n v="0"/>
    <n v="19485.960779999998"/>
    <n v="68361.304319999996"/>
    <n v="0"/>
    <n v="30167.318509188841"/>
    <n v="68385.134330395143"/>
  </r>
  <r>
    <s v="Sistema de Compensação"/>
    <x v="2"/>
    <x v="3"/>
    <x v="3"/>
    <x v="0"/>
    <x v="1"/>
    <x v="0"/>
    <x v="1"/>
    <x v="6"/>
    <n v="0"/>
    <n v="0"/>
    <n v="6.83"/>
    <n v="6.83"/>
    <n v="6.83"/>
    <n v="6.83"/>
    <n v="0"/>
    <x v="3"/>
    <n v="0"/>
    <n v="0"/>
    <n v="31"/>
    <n v="79"/>
    <n v="0"/>
    <n v="88.66"/>
    <n v="311.04000000000002"/>
    <m/>
    <n v="137.25956288333876"/>
    <n v="311.14842517571947"/>
    <n v="0"/>
    <n v="605.54779999999994"/>
    <n v="2124.4032000000002"/>
    <n v="0"/>
    <n v="937.4828144932037"/>
    <n v="2125.1437439501642"/>
  </r>
  <r>
    <s v="Regular"/>
    <x v="2"/>
    <x v="3"/>
    <x v="3"/>
    <x v="0"/>
    <x v="1"/>
    <x v="0"/>
    <x v="1"/>
    <x v="7"/>
    <n v="0"/>
    <n v="0"/>
    <n v="227.084"/>
    <n v="227.084"/>
    <n v="227.084"/>
    <n v="227.084"/>
    <n v="0"/>
    <x v="3"/>
    <n v="0"/>
    <n v="0"/>
    <n v="31"/>
    <n v="79"/>
    <n v="0"/>
    <n v="88.66"/>
    <n v="311.04000000000002"/>
    <m/>
    <n v="137.25956288333876"/>
    <n v="311.14842517571947"/>
    <n v="0"/>
    <n v="20133.26744"/>
    <n v="70632.20736"/>
    <n v="0"/>
    <n v="31169.4505778001"/>
    <n v="70656.828982603081"/>
  </r>
  <r>
    <s v="Sistema de Compensação"/>
    <x v="2"/>
    <x v="3"/>
    <x v="3"/>
    <x v="0"/>
    <x v="1"/>
    <x v="0"/>
    <x v="1"/>
    <x v="7"/>
    <n v="0"/>
    <n v="0"/>
    <n v="6.3840000000000003"/>
    <n v="6.3840000000000003"/>
    <n v="6.3840000000000003"/>
    <n v="6.3840000000000003"/>
    <n v="0"/>
    <x v="3"/>
    <n v="0"/>
    <n v="0"/>
    <n v="31"/>
    <n v="79"/>
    <n v="0"/>
    <n v="88.66"/>
    <n v="311.04000000000002"/>
    <m/>
    <n v="137.25956288333876"/>
    <n v="311.14842517571947"/>
    <n v="0"/>
    <n v="566.00544000000002"/>
    <n v="1985.6793600000003"/>
    <n v="0"/>
    <n v="876.26504944723467"/>
    <n v="1986.3715463217932"/>
  </r>
  <r>
    <s v="Regular"/>
    <x v="2"/>
    <x v="3"/>
    <x v="3"/>
    <x v="0"/>
    <x v="1"/>
    <x v="0"/>
    <x v="1"/>
    <x v="8"/>
    <n v="0"/>
    <n v="0"/>
    <n v="233.30799999999999"/>
    <n v="233.30799999999999"/>
    <n v="233.30799999999999"/>
    <n v="233.30799999999999"/>
    <n v="0"/>
    <x v="3"/>
    <n v="0"/>
    <n v="0"/>
    <n v="31"/>
    <n v="79"/>
    <n v="0"/>
    <n v="88.66"/>
    <n v="311.04000000000002"/>
    <m/>
    <n v="137.25956288333876"/>
    <n v="311.14842517571947"/>
    <n v="0"/>
    <n v="20685.08728"/>
    <n v="72568.120320000002"/>
    <n v="0"/>
    <n v="32023.754097186"/>
    <n v="72593.416780896761"/>
  </r>
  <r>
    <s v="Sistema de Compensação"/>
    <x v="2"/>
    <x v="3"/>
    <x v="3"/>
    <x v="0"/>
    <x v="1"/>
    <x v="0"/>
    <x v="1"/>
    <x v="8"/>
    <n v="0"/>
    <n v="0"/>
    <n v="12.997999999999999"/>
    <n v="12.997999999999999"/>
    <n v="12.997999999999999"/>
    <n v="12.997999999999999"/>
    <n v="0"/>
    <x v="3"/>
    <n v="0"/>
    <n v="0"/>
    <n v="31"/>
    <n v="79"/>
    <n v="0"/>
    <n v="88.66"/>
    <n v="311.04000000000002"/>
    <m/>
    <n v="137.25956288333876"/>
    <n v="311.14842517571947"/>
    <n v="0"/>
    <n v="1152.4026799999999"/>
    <n v="4042.8979199999999"/>
    <n v="0"/>
    <n v="1784.0997983576372"/>
    <n v="4044.3072304340012"/>
  </r>
  <r>
    <s v="Regular"/>
    <x v="2"/>
    <x v="3"/>
    <x v="3"/>
    <x v="0"/>
    <x v="1"/>
    <x v="0"/>
    <x v="1"/>
    <x v="9"/>
    <n v="0"/>
    <n v="0"/>
    <n v="300.39699999999999"/>
    <n v="300.39699999999999"/>
    <n v="300.39699999999999"/>
    <n v="300.39699999999999"/>
    <n v="0"/>
    <x v="3"/>
    <n v="0"/>
    <n v="0"/>
    <n v="31"/>
    <n v="79"/>
    <n v="0"/>
    <n v="88.66"/>
    <n v="311.04000000000002"/>
    <m/>
    <n v="137.25956288333876"/>
    <n v="311.14842517571947"/>
    <n v="0"/>
    <n v="26633.19802"/>
    <n v="93435.48288000001"/>
    <n v="0"/>
    <n v="41232.360911466312"/>
    <n v="93468.053477510592"/>
  </r>
  <r>
    <s v="Refaturamento - Regular"/>
    <x v="2"/>
    <x v="3"/>
    <x v="3"/>
    <x v="0"/>
    <x v="1"/>
    <x v="0"/>
    <x v="1"/>
    <x v="9"/>
    <n v="0"/>
    <n v="0"/>
    <n v="36.244"/>
    <n v="36.244"/>
    <n v="36.244"/>
    <n v="36.244"/>
    <n v="0"/>
    <x v="3"/>
    <n v="0"/>
    <n v="0"/>
    <n v="31"/>
    <n v="79"/>
    <n v="0"/>
    <n v="88.66"/>
    <n v="311.04000000000002"/>
    <m/>
    <n v="137.25956288333876"/>
    <n v="311.14842517571947"/>
    <n v="0"/>
    <n v="3213.3930399999999"/>
    <n v="11273.333760000001"/>
    <n v="0"/>
    <n v="4974.8355971437304"/>
    <n v="11277.263522068777"/>
  </r>
  <r>
    <s v="Sistema de Compensação"/>
    <x v="2"/>
    <x v="3"/>
    <x v="3"/>
    <x v="0"/>
    <x v="1"/>
    <x v="0"/>
    <x v="1"/>
    <x v="9"/>
    <n v="0"/>
    <n v="0"/>
    <n v="10.294"/>
    <n v="10.294"/>
    <n v="10.294"/>
    <n v="10.294"/>
    <n v="0"/>
    <x v="3"/>
    <n v="0"/>
    <n v="0"/>
    <n v="31"/>
    <n v="79"/>
    <n v="0"/>
    <n v="88.66"/>
    <n v="311.04000000000002"/>
    <m/>
    <n v="137.25956288333876"/>
    <n v="311.14842517571947"/>
    <n v="0"/>
    <n v="912.66603999999995"/>
    <n v="3201.8457600000002"/>
    <n v="0"/>
    <n v="1412.9499403210893"/>
    <n v="3202.9618887588563"/>
  </r>
  <r>
    <s v="Regular"/>
    <x v="2"/>
    <x v="3"/>
    <x v="3"/>
    <x v="0"/>
    <x v="1"/>
    <x v="0"/>
    <x v="1"/>
    <x v="10"/>
    <n v="0"/>
    <n v="0"/>
    <n v="337.90699999999998"/>
    <n v="337.90699999999998"/>
    <n v="337.90699999999998"/>
    <n v="337.90699999999998"/>
    <n v="0"/>
    <x v="3"/>
    <n v="0"/>
    <n v="0"/>
    <n v="31"/>
    <n v="79"/>
    <n v="0"/>
    <n v="88.66"/>
    <n v="311.04000000000002"/>
    <m/>
    <n v="137.25956288333876"/>
    <n v="311.14842517571947"/>
    <n v="0"/>
    <n v="29958.834619999998"/>
    <n v="105102.59328"/>
    <n v="0"/>
    <n v="46380.967115220345"/>
    <n v="105139.23090585183"/>
  </r>
  <r>
    <s v="Sistema de Compensação"/>
    <x v="2"/>
    <x v="3"/>
    <x v="3"/>
    <x v="0"/>
    <x v="1"/>
    <x v="0"/>
    <x v="1"/>
    <x v="10"/>
    <n v="0"/>
    <n v="0"/>
    <n v="15.243"/>
    <n v="15.243"/>
    <n v="15.243"/>
    <n v="15.243"/>
    <n v="0"/>
    <x v="3"/>
    <n v="0"/>
    <n v="0"/>
    <n v="31"/>
    <n v="79"/>
    <n v="0"/>
    <n v="88.66"/>
    <n v="311.04000000000002"/>
    <m/>
    <n v="137.25956288333876"/>
    <n v="311.14842517571947"/>
    <n v="0"/>
    <n v="1351.4443799999999"/>
    <n v="4741.1827200000007"/>
    <n v="0"/>
    <n v="2092.247517030733"/>
    <n v="4742.8354449534918"/>
  </r>
  <r>
    <s v="PROJETADO"/>
    <x v="2"/>
    <x v="3"/>
    <x v="3"/>
    <x v="0"/>
    <x v="1"/>
    <x v="0"/>
    <x v="1"/>
    <x v="11"/>
    <n v="0"/>
    <n v="0"/>
    <n v="337.90699999999998"/>
    <n v="337.90699999999998"/>
    <n v="337.90699999999998"/>
    <n v="337.90699999999998"/>
    <n v="0"/>
    <x v="3"/>
    <n v="0"/>
    <n v="0"/>
    <n v="31"/>
    <n v="79"/>
    <n v="0"/>
    <n v="88.66"/>
    <n v="311.04000000000002"/>
    <m/>
    <n v="137.25956288333876"/>
    <n v="311.14842517571947"/>
    <n v="0"/>
    <n v="29958.834619999998"/>
    <n v="105102.59328"/>
    <n v="0"/>
    <n v="46380.967115220345"/>
    <n v="105139.23090585183"/>
  </r>
  <r>
    <s v="PROJETADO"/>
    <x v="2"/>
    <x v="3"/>
    <x v="3"/>
    <x v="0"/>
    <x v="1"/>
    <x v="0"/>
    <x v="1"/>
    <x v="11"/>
    <n v="0"/>
    <n v="0"/>
    <n v="15.243"/>
    <n v="15.243"/>
    <n v="15.243"/>
    <n v="15.243"/>
    <n v="0"/>
    <x v="3"/>
    <n v="0"/>
    <n v="0"/>
    <n v="31"/>
    <n v="79"/>
    <n v="0"/>
    <n v="88.66"/>
    <n v="311.04000000000002"/>
    <m/>
    <n v="137.25956288333876"/>
    <n v="311.14842517571947"/>
    <n v="0"/>
    <n v="1351.4443799999999"/>
    <n v="4741.1827200000007"/>
    <n v="0"/>
    <n v="2092.247517030733"/>
    <n v="4742.8354449534918"/>
  </r>
  <r>
    <s v="Regular"/>
    <x v="2"/>
    <x v="3"/>
    <x v="3"/>
    <x v="0"/>
    <x v="1"/>
    <x v="0"/>
    <x v="0"/>
    <x v="0"/>
    <n v="2364"/>
    <n v="2364"/>
    <n v="0"/>
    <n v="0"/>
    <n v="0"/>
    <n v="0"/>
    <n v="31"/>
    <x v="3"/>
    <n v="0"/>
    <n v="29"/>
    <n v="0"/>
    <n v="0"/>
    <n v="25.51"/>
    <n v="0"/>
    <n v="0"/>
    <n v="29.803266797877356"/>
    <m/>
    <m/>
    <n v="60305.640000000007"/>
    <n v="0"/>
    <n v="0"/>
    <n v="70454.922710182072"/>
    <n v="0"/>
    <n v="0"/>
  </r>
  <r>
    <s v="Sistema de Compensação"/>
    <x v="2"/>
    <x v="3"/>
    <x v="3"/>
    <x v="0"/>
    <x v="1"/>
    <x v="0"/>
    <x v="0"/>
    <x v="0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1"/>
    <n v="2127"/>
    <n v="2127"/>
    <n v="0"/>
    <n v="0"/>
    <n v="0"/>
    <n v="0"/>
    <n v="30"/>
    <x v="3"/>
    <n v="0"/>
    <n v="29"/>
    <n v="0"/>
    <n v="0"/>
    <n v="25.51"/>
    <n v="0"/>
    <n v="0"/>
    <n v="29.803266797877356"/>
    <m/>
    <m/>
    <n v="54259.770000000004"/>
    <n v="0"/>
    <n v="0"/>
    <n v="63391.548479085133"/>
    <n v="0"/>
    <n v="0"/>
  </r>
  <r>
    <s v="Sistema de Compensação"/>
    <x v="2"/>
    <x v="3"/>
    <x v="3"/>
    <x v="0"/>
    <x v="1"/>
    <x v="0"/>
    <x v="0"/>
    <x v="1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2"/>
    <n v="2127"/>
    <n v="2127"/>
    <n v="0"/>
    <n v="0"/>
    <n v="0"/>
    <n v="0"/>
    <n v="30"/>
    <x v="3"/>
    <n v="0"/>
    <n v="29"/>
    <n v="0"/>
    <n v="0"/>
    <n v="25.51"/>
    <n v="0"/>
    <n v="0"/>
    <n v="29.803266797877356"/>
    <m/>
    <m/>
    <n v="54259.770000000004"/>
    <n v="0"/>
    <n v="0"/>
    <n v="63391.548479085133"/>
    <n v="0"/>
    <n v="0"/>
  </r>
  <r>
    <s v="Sistema de Compensação"/>
    <x v="2"/>
    <x v="3"/>
    <x v="3"/>
    <x v="0"/>
    <x v="1"/>
    <x v="0"/>
    <x v="0"/>
    <x v="2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3"/>
    <n v="2125"/>
    <n v="2125"/>
    <n v="0"/>
    <n v="0"/>
    <n v="0"/>
    <n v="0"/>
    <n v="29"/>
    <x v="3"/>
    <n v="0"/>
    <n v="29"/>
    <n v="0"/>
    <n v="0"/>
    <n v="25.51"/>
    <n v="0"/>
    <n v="0"/>
    <n v="29.803266797877356"/>
    <m/>
    <m/>
    <n v="54208.75"/>
    <n v="0"/>
    <n v="0"/>
    <n v="63331.94194548938"/>
    <n v="0"/>
    <n v="0"/>
  </r>
  <r>
    <s v="Sistema de Compensação"/>
    <x v="2"/>
    <x v="3"/>
    <x v="3"/>
    <x v="0"/>
    <x v="1"/>
    <x v="0"/>
    <x v="0"/>
    <x v="3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4"/>
    <n v="2128"/>
    <n v="2128"/>
    <n v="0"/>
    <n v="0"/>
    <n v="0"/>
    <n v="0"/>
    <n v="29"/>
    <x v="3"/>
    <n v="0"/>
    <n v="29"/>
    <n v="0"/>
    <n v="0"/>
    <n v="25.51"/>
    <n v="0"/>
    <n v="0"/>
    <n v="29.803266797877356"/>
    <m/>
    <m/>
    <n v="54285.280000000006"/>
    <n v="0"/>
    <n v="0"/>
    <n v="63421.35174588301"/>
    <n v="0"/>
    <n v="0"/>
  </r>
  <r>
    <s v="Sistema de Compensação"/>
    <x v="2"/>
    <x v="3"/>
    <x v="3"/>
    <x v="0"/>
    <x v="1"/>
    <x v="0"/>
    <x v="0"/>
    <x v="4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5"/>
    <n v="2094"/>
    <n v="2094"/>
    <n v="0"/>
    <n v="0"/>
    <n v="0"/>
    <n v="0"/>
    <n v="30"/>
    <x v="3"/>
    <n v="0"/>
    <n v="29"/>
    <n v="0"/>
    <n v="0"/>
    <n v="25.51"/>
    <n v="0"/>
    <n v="0"/>
    <n v="29.803266797877356"/>
    <m/>
    <m/>
    <n v="53417.94"/>
    <n v="0"/>
    <n v="0"/>
    <n v="62408.040674755182"/>
    <n v="0"/>
    <n v="0"/>
  </r>
  <r>
    <s v="Sistema de Compensação"/>
    <x v="2"/>
    <x v="3"/>
    <x v="3"/>
    <x v="0"/>
    <x v="1"/>
    <x v="0"/>
    <x v="0"/>
    <x v="5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6"/>
    <n v="2083"/>
    <n v="2083"/>
    <n v="0"/>
    <n v="0"/>
    <n v="0"/>
    <n v="0"/>
    <n v="30"/>
    <x v="3"/>
    <n v="0"/>
    <n v="29"/>
    <n v="0"/>
    <n v="0"/>
    <n v="25.51"/>
    <n v="0"/>
    <n v="0"/>
    <n v="29.803266797877356"/>
    <m/>
    <m/>
    <n v="53137.33"/>
    <n v="0"/>
    <n v="0"/>
    <n v="62080.20473997853"/>
    <n v="0"/>
    <n v="0"/>
  </r>
  <r>
    <s v="Sistema de Compensação"/>
    <x v="2"/>
    <x v="3"/>
    <x v="3"/>
    <x v="0"/>
    <x v="1"/>
    <x v="0"/>
    <x v="0"/>
    <x v="6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7"/>
    <n v="2068"/>
    <n v="2068"/>
    <n v="0"/>
    <n v="0"/>
    <n v="0"/>
    <n v="0"/>
    <n v="30"/>
    <x v="3"/>
    <n v="0"/>
    <n v="29"/>
    <n v="0"/>
    <n v="0"/>
    <n v="25.51"/>
    <n v="0"/>
    <n v="0"/>
    <n v="29.803266797877356"/>
    <m/>
    <m/>
    <n v="52754.68"/>
    <n v="0"/>
    <n v="0"/>
    <n v="61633.15573801037"/>
    <n v="0"/>
    <n v="0"/>
  </r>
  <r>
    <s v="Sistema de Compensação"/>
    <x v="2"/>
    <x v="3"/>
    <x v="3"/>
    <x v="0"/>
    <x v="1"/>
    <x v="0"/>
    <x v="0"/>
    <x v="7"/>
    <n v="277"/>
    <n v="277"/>
    <n v="0"/>
    <n v="0"/>
    <n v="0"/>
    <n v="0"/>
    <n v="4"/>
    <x v="3"/>
    <n v="0"/>
    <n v="29"/>
    <n v="0"/>
    <n v="0"/>
    <n v="25.51"/>
    <n v="0"/>
    <n v="0"/>
    <n v="29.803266797877356"/>
    <m/>
    <m/>
    <n v="7066.27"/>
    <n v="0"/>
    <n v="0"/>
    <n v="8255.5049030120281"/>
    <n v="0"/>
    <n v="0"/>
  </r>
  <r>
    <s v="Regular"/>
    <x v="2"/>
    <x v="3"/>
    <x v="3"/>
    <x v="0"/>
    <x v="1"/>
    <x v="0"/>
    <x v="0"/>
    <x v="8"/>
    <n v="2118"/>
    <n v="2118"/>
    <n v="0"/>
    <n v="0"/>
    <n v="0"/>
    <n v="0"/>
    <n v="30"/>
    <x v="3"/>
    <n v="0"/>
    <n v="29"/>
    <n v="0"/>
    <n v="0"/>
    <n v="25.51"/>
    <n v="0"/>
    <n v="0"/>
    <n v="29.803266797877356"/>
    <m/>
    <m/>
    <n v="54030.18"/>
    <n v="0"/>
    <n v="0"/>
    <n v="63123.319077904242"/>
    <n v="0"/>
    <n v="0"/>
  </r>
  <r>
    <s v="Sistema de Compensação"/>
    <x v="2"/>
    <x v="3"/>
    <x v="3"/>
    <x v="0"/>
    <x v="1"/>
    <x v="0"/>
    <x v="0"/>
    <x v="8"/>
    <n v="407"/>
    <n v="407"/>
    <n v="0"/>
    <n v="0"/>
    <n v="0"/>
    <n v="0"/>
    <n v="4"/>
    <x v="3"/>
    <n v="0"/>
    <n v="29"/>
    <n v="0"/>
    <n v="0"/>
    <n v="25.51"/>
    <n v="0"/>
    <n v="0"/>
    <n v="29.803266797877356"/>
    <m/>
    <m/>
    <n v="10382.570000000002"/>
    <n v="0"/>
    <n v="0"/>
    <n v="12129.929586736083"/>
    <n v="0"/>
    <n v="0"/>
  </r>
  <r>
    <s v="Regular"/>
    <x v="2"/>
    <x v="3"/>
    <x v="3"/>
    <x v="0"/>
    <x v="1"/>
    <x v="0"/>
    <x v="0"/>
    <x v="9"/>
    <n v="2309"/>
    <n v="2309"/>
    <n v="0"/>
    <n v="0"/>
    <n v="0"/>
    <n v="0"/>
    <n v="31"/>
    <x v="3"/>
    <n v="0"/>
    <n v="29"/>
    <n v="0"/>
    <n v="0"/>
    <n v="25.51"/>
    <n v="0"/>
    <n v="0"/>
    <n v="29.803266797877356"/>
    <m/>
    <m/>
    <n v="58902.590000000004"/>
    <n v="0"/>
    <n v="0"/>
    <n v="68815.743036298809"/>
    <n v="0"/>
    <n v="0"/>
  </r>
  <r>
    <s v="Refaturamento - Regular"/>
    <x v="2"/>
    <x v="3"/>
    <x v="3"/>
    <x v="0"/>
    <x v="1"/>
    <x v="0"/>
    <x v="0"/>
    <x v="9"/>
    <n v="220"/>
    <n v="220"/>
    <n v="0"/>
    <n v="0"/>
    <n v="0"/>
    <n v="0"/>
    <n v="1"/>
    <x v="3"/>
    <n v="0"/>
    <n v="29"/>
    <n v="0"/>
    <n v="0"/>
    <n v="25.51"/>
    <n v="0"/>
    <n v="0"/>
    <n v="29.803266797877356"/>
    <m/>
    <m/>
    <n v="5612.2000000000007"/>
    <n v="0"/>
    <n v="0"/>
    <n v="6556.718695533018"/>
    <n v="0"/>
    <n v="0"/>
  </r>
  <r>
    <s v="Sistema de Compensação"/>
    <x v="2"/>
    <x v="3"/>
    <x v="3"/>
    <x v="0"/>
    <x v="1"/>
    <x v="0"/>
    <x v="0"/>
    <x v="9"/>
    <n v="407"/>
    <n v="407"/>
    <n v="0"/>
    <n v="0"/>
    <n v="0"/>
    <n v="0"/>
    <n v="4"/>
    <x v="3"/>
    <n v="0"/>
    <n v="29"/>
    <n v="0"/>
    <n v="0"/>
    <n v="25.51"/>
    <n v="0"/>
    <n v="0"/>
    <n v="29.803266797877356"/>
    <m/>
    <m/>
    <n v="10382.570000000002"/>
    <n v="0"/>
    <n v="0"/>
    <n v="12129.929586736083"/>
    <n v="0"/>
    <n v="0"/>
  </r>
  <r>
    <s v="Regular"/>
    <x v="2"/>
    <x v="3"/>
    <x v="3"/>
    <x v="0"/>
    <x v="1"/>
    <x v="0"/>
    <x v="0"/>
    <x v="10"/>
    <n v="2371"/>
    <n v="2371"/>
    <n v="0"/>
    <n v="0"/>
    <n v="0"/>
    <n v="0"/>
    <n v="31"/>
    <x v="3"/>
    <n v="0"/>
    <n v="29"/>
    <n v="0"/>
    <n v="0"/>
    <n v="25.51"/>
    <n v="0"/>
    <n v="0"/>
    <n v="29.803266797877356"/>
    <m/>
    <m/>
    <n v="60484.210000000006"/>
    <n v="0"/>
    <n v="0"/>
    <n v="70663.545577767218"/>
    <n v="0"/>
    <n v="0"/>
  </r>
  <r>
    <s v="Sistema de Compensação"/>
    <x v="2"/>
    <x v="3"/>
    <x v="3"/>
    <x v="0"/>
    <x v="1"/>
    <x v="0"/>
    <x v="0"/>
    <x v="10"/>
    <n v="407"/>
    <n v="407"/>
    <n v="0"/>
    <n v="0"/>
    <n v="0"/>
    <n v="0"/>
    <n v="4"/>
    <x v="3"/>
    <n v="0"/>
    <n v="29"/>
    <n v="0"/>
    <n v="0"/>
    <n v="25.51"/>
    <n v="0"/>
    <n v="0"/>
    <n v="29.803266797877356"/>
    <m/>
    <m/>
    <n v="10382.570000000002"/>
    <n v="0"/>
    <n v="0"/>
    <n v="12129.929586736083"/>
    <n v="0"/>
    <n v="0"/>
  </r>
  <r>
    <s v="PROJETADO"/>
    <x v="2"/>
    <x v="3"/>
    <x v="3"/>
    <x v="0"/>
    <x v="1"/>
    <x v="0"/>
    <x v="0"/>
    <x v="11"/>
    <n v="2371"/>
    <n v="2371"/>
    <n v="0"/>
    <n v="0"/>
    <n v="0"/>
    <n v="0"/>
    <n v="31"/>
    <x v="3"/>
    <n v="0"/>
    <n v="29"/>
    <n v="0"/>
    <n v="0"/>
    <n v="25.51"/>
    <n v="0"/>
    <n v="0"/>
    <n v="29.803266797877356"/>
    <m/>
    <m/>
    <n v="60484.210000000006"/>
    <n v="0"/>
    <n v="0"/>
    <n v="70663.545577767218"/>
    <n v="0"/>
    <n v="0"/>
  </r>
  <r>
    <s v="PROJETADO"/>
    <x v="2"/>
    <x v="3"/>
    <x v="3"/>
    <x v="0"/>
    <x v="1"/>
    <x v="0"/>
    <x v="0"/>
    <x v="11"/>
    <n v="407"/>
    <n v="407"/>
    <n v="0"/>
    <n v="0"/>
    <n v="0"/>
    <n v="0"/>
    <n v="4"/>
    <x v="3"/>
    <n v="0"/>
    <n v="29"/>
    <n v="0"/>
    <n v="0"/>
    <n v="25.51"/>
    <n v="0"/>
    <n v="0"/>
    <n v="29.803266797877356"/>
    <m/>
    <m/>
    <n v="10382.570000000002"/>
    <n v="0"/>
    <n v="0"/>
    <n v="12129.929586736083"/>
    <n v="0"/>
    <n v="0"/>
  </r>
  <r>
    <s v="Regular"/>
    <x v="2"/>
    <x v="3"/>
    <x v="3"/>
    <x v="0"/>
    <x v="1"/>
    <x v="0"/>
    <x v="2"/>
    <x v="0"/>
    <n v="0"/>
    <n v="0"/>
    <n v="19.97"/>
    <n v="19.97"/>
    <n v="19.97"/>
    <n v="19.97"/>
    <n v="0"/>
    <x v="3"/>
    <n v="0"/>
    <n v="0"/>
    <n v="30"/>
    <n v="78"/>
    <n v="0"/>
    <n v="1682.12"/>
    <n v="496.15"/>
    <m/>
    <n v="1969.6669835803759"/>
    <n v="506.4861368306324"/>
    <n v="0"/>
    <n v="33591.936399999999"/>
    <n v="9908.1154999999999"/>
    <n v="0"/>
    <n v="39334.249662100105"/>
    <n v="10114.528152507728"/>
  </r>
  <r>
    <s v="Sistema de Compensação"/>
    <x v="2"/>
    <x v="3"/>
    <x v="3"/>
    <x v="0"/>
    <x v="1"/>
    <x v="0"/>
    <x v="2"/>
    <x v="0"/>
    <n v="0"/>
    <n v="0"/>
    <n v="1.909"/>
    <n v="1.909"/>
    <n v="1.909"/>
    <n v="1.909"/>
    <n v="0"/>
    <x v="3"/>
    <n v="0"/>
    <n v="0"/>
    <n v="30"/>
    <n v="78"/>
    <n v="0"/>
    <n v="1682.12"/>
    <n v="496.15"/>
    <m/>
    <n v="1969.6669835803759"/>
    <n v="506.4861368306324"/>
    <n v="0"/>
    <n v="3211.1670799999997"/>
    <n v="947.15035"/>
    <n v="0"/>
    <n v="3760.0942716549375"/>
    <n v="966.88203520967727"/>
  </r>
  <r>
    <s v="Regular"/>
    <x v="2"/>
    <x v="3"/>
    <x v="3"/>
    <x v="0"/>
    <x v="1"/>
    <x v="0"/>
    <x v="2"/>
    <x v="1"/>
    <n v="0"/>
    <n v="0"/>
    <n v="18.664000000000001"/>
    <n v="18.664000000000001"/>
    <n v="18.664000000000001"/>
    <n v="18.664000000000001"/>
    <n v="0"/>
    <x v="3"/>
    <n v="0"/>
    <n v="0"/>
    <n v="30"/>
    <n v="78"/>
    <n v="0"/>
    <n v="1682.12"/>
    <n v="496.15"/>
    <m/>
    <n v="1969.6669835803759"/>
    <n v="506.4861368306324"/>
    <n v="0"/>
    <n v="31395.087680000001"/>
    <n v="9260.1435999999994"/>
    <n v="0"/>
    <n v="36761.864581544141"/>
    <n v="9453.0572578069241"/>
  </r>
  <r>
    <s v="Sistema de Compensação"/>
    <x v="2"/>
    <x v="3"/>
    <x v="3"/>
    <x v="0"/>
    <x v="1"/>
    <x v="0"/>
    <x v="2"/>
    <x v="1"/>
    <n v="0"/>
    <n v="0"/>
    <n v="1.7350000000000001"/>
    <n v="1.7350000000000001"/>
    <n v="1.7350000000000001"/>
    <n v="1.7350000000000001"/>
    <n v="0"/>
    <x v="3"/>
    <n v="0"/>
    <n v="0"/>
    <n v="30"/>
    <n v="78"/>
    <n v="0"/>
    <n v="1682.12"/>
    <n v="496.15"/>
    <m/>
    <n v="1969.6669835803759"/>
    <n v="506.4861368306324"/>
    <n v="0"/>
    <n v="2918.4782"/>
    <n v="860.82024999999999"/>
    <n v="0"/>
    <n v="3417.3722165119525"/>
    <n v="878.75344740114724"/>
  </r>
  <r>
    <s v="Regular"/>
    <x v="2"/>
    <x v="3"/>
    <x v="3"/>
    <x v="0"/>
    <x v="1"/>
    <x v="0"/>
    <x v="2"/>
    <x v="2"/>
    <n v="0"/>
    <n v="0"/>
    <n v="19.614999999999998"/>
    <n v="19.614999999999998"/>
    <n v="19.614999999999998"/>
    <n v="19.614999999999998"/>
    <n v="0"/>
    <x v="3"/>
    <n v="0"/>
    <n v="0"/>
    <n v="30"/>
    <n v="78"/>
    <n v="0"/>
    <n v="1682.12"/>
    <n v="496.15"/>
    <m/>
    <n v="1969.6669835803759"/>
    <n v="506.4861368306324"/>
    <n v="0"/>
    <n v="32994.783799999997"/>
    <n v="9731.9822499999991"/>
    <n v="0"/>
    <n v="38635.017882929067"/>
    <n v="9934.7255739328539"/>
  </r>
  <r>
    <s v="Sistema de Compensação"/>
    <x v="2"/>
    <x v="3"/>
    <x v="3"/>
    <x v="0"/>
    <x v="1"/>
    <x v="0"/>
    <x v="2"/>
    <x v="2"/>
    <n v="0"/>
    <n v="0"/>
    <n v="1.6220000000000001"/>
    <n v="1.6220000000000001"/>
    <n v="1.6220000000000001"/>
    <n v="1.6220000000000001"/>
    <n v="0"/>
    <x v="3"/>
    <n v="0"/>
    <n v="0"/>
    <n v="30"/>
    <n v="78"/>
    <n v="0"/>
    <n v="1682.12"/>
    <n v="496.15"/>
    <m/>
    <n v="1969.6669835803759"/>
    <n v="506.4861368306324"/>
    <n v="0"/>
    <n v="2728.3986399999999"/>
    <n v="804.75530000000003"/>
    <n v="0"/>
    <n v="3194.7998473673701"/>
    <n v="821.52051393928582"/>
  </r>
  <r>
    <s v="Regular"/>
    <x v="2"/>
    <x v="3"/>
    <x v="3"/>
    <x v="0"/>
    <x v="1"/>
    <x v="0"/>
    <x v="2"/>
    <x v="3"/>
    <n v="0"/>
    <n v="0"/>
    <n v="18.852"/>
    <n v="18.852"/>
    <n v="18.852"/>
    <n v="18.852"/>
    <n v="0"/>
    <x v="3"/>
    <n v="0"/>
    <n v="0"/>
    <n v="30"/>
    <n v="78"/>
    <n v="0"/>
    <n v="1682.12"/>
    <n v="496.15"/>
    <m/>
    <n v="1969.6669835803759"/>
    <n v="506.4861368306324"/>
    <n v="0"/>
    <n v="31711.326239999999"/>
    <n v="9353.4197999999997"/>
    <n v="0"/>
    <n v="37132.161974457245"/>
    <n v="9548.2766515310814"/>
  </r>
  <r>
    <s v="Sistema de Compensação"/>
    <x v="2"/>
    <x v="3"/>
    <x v="3"/>
    <x v="0"/>
    <x v="1"/>
    <x v="0"/>
    <x v="2"/>
    <x v="3"/>
    <n v="0"/>
    <n v="0"/>
    <n v="1.7450000000000001"/>
    <n v="1.7450000000000001"/>
    <n v="1.7450000000000001"/>
    <n v="1.7450000000000001"/>
    <n v="0"/>
    <x v="3"/>
    <n v="0"/>
    <n v="0"/>
    <n v="30"/>
    <n v="78"/>
    <n v="0"/>
    <n v="1682.12"/>
    <n v="496.15"/>
    <m/>
    <n v="1969.6669835803759"/>
    <n v="506.4861368306324"/>
    <n v="0"/>
    <n v="2935.2993999999999"/>
    <n v="865.78174999999999"/>
    <n v="0"/>
    <n v="3437.0688863477562"/>
    <n v="883.81830876945355"/>
  </r>
  <r>
    <s v="Regular"/>
    <x v="2"/>
    <x v="3"/>
    <x v="3"/>
    <x v="0"/>
    <x v="1"/>
    <x v="0"/>
    <x v="2"/>
    <x v="4"/>
    <n v="0"/>
    <n v="0"/>
    <n v="18.603999999999999"/>
    <n v="18.603999999999999"/>
    <n v="18.603999999999999"/>
    <n v="18.603999999999999"/>
    <n v="0"/>
    <x v="3"/>
    <n v="0"/>
    <n v="0"/>
    <n v="30"/>
    <n v="78"/>
    <n v="0"/>
    <n v="1682.12"/>
    <n v="496.15"/>
    <m/>
    <n v="1969.6669835803759"/>
    <n v="506.4861368306324"/>
    <n v="0"/>
    <n v="31294.160479999995"/>
    <n v="9230.3745999999992"/>
    <n v="0"/>
    <n v="36643.684562529314"/>
    <n v="9422.668089597084"/>
  </r>
  <r>
    <s v="Sistema de Compensação"/>
    <x v="2"/>
    <x v="3"/>
    <x v="3"/>
    <x v="0"/>
    <x v="1"/>
    <x v="0"/>
    <x v="2"/>
    <x v="4"/>
    <n v="0"/>
    <n v="0"/>
    <n v="2.0529999999999999"/>
    <n v="2.0529999999999999"/>
    <n v="2.0529999999999999"/>
    <n v="2.0529999999999999"/>
    <n v="0"/>
    <x v="3"/>
    <n v="0"/>
    <n v="0"/>
    <n v="30"/>
    <n v="78"/>
    <n v="0"/>
    <n v="1682.12"/>
    <n v="496.15"/>
    <m/>
    <n v="1969.6669835803759"/>
    <n v="506.4861368306324"/>
    <n v="0"/>
    <n v="3453.3923599999998"/>
    <n v="1018.5959499999999"/>
    <n v="0"/>
    <n v="4043.7263172905118"/>
    <n v="1039.8160389132884"/>
  </r>
  <r>
    <s v="Regular"/>
    <x v="2"/>
    <x v="3"/>
    <x v="3"/>
    <x v="0"/>
    <x v="1"/>
    <x v="0"/>
    <x v="2"/>
    <x v="5"/>
    <n v="0"/>
    <n v="0"/>
    <n v="16.614000000000001"/>
    <n v="16.614000000000001"/>
    <n v="16.614000000000001"/>
    <n v="16.614000000000001"/>
    <n v="0"/>
    <x v="3"/>
    <n v="0"/>
    <n v="0"/>
    <n v="30"/>
    <n v="78"/>
    <n v="0"/>
    <n v="1682.12"/>
    <n v="496.15"/>
    <m/>
    <n v="1969.6669835803759"/>
    <n v="506.4861368306324"/>
    <n v="0"/>
    <n v="27946.741679999999"/>
    <n v="8243.0360999999994"/>
    <n v="0"/>
    <n v="32724.047265204368"/>
    <n v="8414.760677304128"/>
  </r>
  <r>
    <s v="Sistema de Compensação"/>
    <x v="2"/>
    <x v="3"/>
    <x v="3"/>
    <x v="0"/>
    <x v="1"/>
    <x v="0"/>
    <x v="2"/>
    <x v="5"/>
    <n v="0"/>
    <n v="0"/>
    <n v="1.786"/>
    <n v="1.786"/>
    <n v="1.786"/>
    <n v="1.786"/>
    <n v="0"/>
    <x v="3"/>
    <n v="0"/>
    <n v="0"/>
    <n v="30"/>
    <n v="78"/>
    <n v="0"/>
    <n v="1682.12"/>
    <n v="496.15"/>
    <m/>
    <n v="1969.6669835803759"/>
    <n v="506.4861368306324"/>
    <n v="0"/>
    <n v="3004.2663199999997"/>
    <n v="886.12389999999994"/>
    <n v="0"/>
    <n v="3517.8252326745514"/>
    <n v="904.58424037950954"/>
  </r>
  <r>
    <s v="Regular"/>
    <x v="2"/>
    <x v="3"/>
    <x v="3"/>
    <x v="0"/>
    <x v="1"/>
    <x v="0"/>
    <x v="2"/>
    <x v="6"/>
    <n v="0"/>
    <n v="0"/>
    <n v="18.533000000000001"/>
    <n v="18.533000000000001"/>
    <n v="18.533000000000001"/>
    <n v="18.533000000000001"/>
    <n v="0"/>
    <x v="3"/>
    <n v="0"/>
    <n v="0"/>
    <n v="30"/>
    <n v="78"/>
    <n v="0"/>
    <n v="1682.12"/>
    <n v="496.15"/>
    <m/>
    <n v="1969.6669835803759"/>
    <n v="506.4861368306324"/>
    <n v="0"/>
    <n v="31174.729960000001"/>
    <n v="9195.1479500000005"/>
    <n v="0"/>
    <n v="36503.838206695109"/>
    <n v="9386.7075738821113"/>
  </r>
  <r>
    <s v="Sistema de Compensação"/>
    <x v="2"/>
    <x v="3"/>
    <x v="3"/>
    <x v="0"/>
    <x v="1"/>
    <x v="0"/>
    <x v="2"/>
    <x v="6"/>
    <n v="0"/>
    <n v="0"/>
    <n v="1.9650000000000001"/>
    <n v="1.9650000000000001"/>
    <n v="1.9650000000000001"/>
    <n v="1.9650000000000001"/>
    <n v="0"/>
    <x v="3"/>
    <n v="0"/>
    <n v="0"/>
    <n v="30"/>
    <n v="78"/>
    <n v="0"/>
    <n v="1682.12"/>
    <n v="496.15"/>
    <m/>
    <n v="1969.6669835803759"/>
    <n v="506.4861368306324"/>
    <n v="0"/>
    <n v="3305.3658"/>
    <n v="974.93475000000001"/>
    <n v="0"/>
    <n v="3870.3956227354388"/>
    <n v="995.24525887219272"/>
  </r>
  <r>
    <s v="Regular"/>
    <x v="2"/>
    <x v="3"/>
    <x v="3"/>
    <x v="0"/>
    <x v="1"/>
    <x v="0"/>
    <x v="2"/>
    <x v="7"/>
    <n v="0"/>
    <n v="0"/>
    <n v="19.271000000000001"/>
    <n v="19.271000000000001"/>
    <n v="19.271000000000001"/>
    <n v="19.271000000000001"/>
    <n v="0"/>
    <x v="3"/>
    <n v="0"/>
    <n v="0"/>
    <n v="30"/>
    <n v="78"/>
    <n v="0"/>
    <n v="1682.12"/>
    <n v="496.15"/>
    <m/>
    <n v="1969.6669835803759"/>
    <n v="506.4861368306324"/>
    <n v="0"/>
    <n v="32416.13452"/>
    <n v="9561.3066500000004"/>
    <n v="0"/>
    <n v="37957.452440577428"/>
    <n v="9760.4943428631177"/>
  </r>
  <r>
    <s v="Sistema de Compensação"/>
    <x v="2"/>
    <x v="3"/>
    <x v="3"/>
    <x v="0"/>
    <x v="1"/>
    <x v="0"/>
    <x v="2"/>
    <x v="7"/>
    <n v="0"/>
    <n v="0"/>
    <n v="2.3039999999999998"/>
    <n v="2.3039999999999998"/>
    <n v="2.3039999999999998"/>
    <n v="2.3039999999999998"/>
    <n v="0"/>
    <x v="3"/>
    <n v="0"/>
    <n v="0"/>
    <n v="30"/>
    <n v="78"/>
    <n v="0"/>
    <n v="1682.12"/>
    <n v="496.15"/>
    <m/>
    <n v="1969.6669835803759"/>
    <n v="506.4861368306324"/>
    <n v="0"/>
    <n v="3875.6044799999995"/>
    <n v="1143.1295999999998"/>
    <n v="0"/>
    <n v="4538.1127301691859"/>
    <n v="1166.9440592577769"/>
  </r>
  <r>
    <s v="Regular"/>
    <x v="2"/>
    <x v="3"/>
    <x v="3"/>
    <x v="0"/>
    <x v="1"/>
    <x v="0"/>
    <x v="2"/>
    <x v="8"/>
    <n v="0"/>
    <n v="0"/>
    <n v="19.042999999999999"/>
    <n v="19.042999999999999"/>
    <n v="19.042999999999999"/>
    <n v="19.042999999999999"/>
    <n v="0"/>
    <x v="3"/>
    <n v="0"/>
    <n v="0"/>
    <n v="30"/>
    <n v="78"/>
    <n v="0"/>
    <n v="1682.12"/>
    <n v="496.15"/>
    <m/>
    <n v="1969.6669835803759"/>
    <n v="506.4861368306324"/>
    <n v="0"/>
    <n v="32032.611159999997"/>
    <n v="9448.1844499999988"/>
    <n v="0"/>
    <n v="37508.368368321098"/>
    <n v="9645.0155036657325"/>
  </r>
  <r>
    <s v="Sistema de Compensação"/>
    <x v="2"/>
    <x v="3"/>
    <x v="3"/>
    <x v="0"/>
    <x v="1"/>
    <x v="0"/>
    <x v="2"/>
    <x v="8"/>
    <n v="0"/>
    <n v="0"/>
    <n v="3.4279999999999999"/>
    <n v="3.4279999999999999"/>
    <n v="3.4279999999999999"/>
    <n v="3.4279999999999999"/>
    <n v="0"/>
    <x v="3"/>
    <n v="0"/>
    <n v="0"/>
    <n v="30"/>
    <n v="78"/>
    <n v="0"/>
    <n v="1682.12"/>
    <n v="496.15"/>
    <m/>
    <n v="1969.6669835803759"/>
    <n v="506.4861368306324"/>
    <n v="0"/>
    <n v="5766.3073599999998"/>
    <n v="1700.8021999999999"/>
    <n v="0"/>
    <n v="6752.0184197135286"/>
    <n v="1736.2344770554078"/>
  </r>
  <r>
    <s v="Regular"/>
    <x v="2"/>
    <x v="3"/>
    <x v="3"/>
    <x v="0"/>
    <x v="1"/>
    <x v="0"/>
    <x v="2"/>
    <x v="9"/>
    <n v="0"/>
    <n v="0"/>
    <n v="25.324999999999999"/>
    <n v="25.324999999999999"/>
    <n v="25.324999999999999"/>
    <n v="25.324999999999999"/>
    <n v="0"/>
    <x v="3"/>
    <n v="0"/>
    <n v="0"/>
    <n v="30"/>
    <n v="78"/>
    <n v="0"/>
    <n v="1682.12"/>
    <n v="496.15"/>
    <m/>
    <n v="1969.6669835803759"/>
    <n v="506.4861368306324"/>
    <n v="0"/>
    <n v="42599.688999999998"/>
    <n v="12564.998749999999"/>
    <n v="0"/>
    <n v="49881.816359173019"/>
    <n v="12826.761415235766"/>
  </r>
  <r>
    <s v="Refaturamento - Regular"/>
    <x v="2"/>
    <x v="3"/>
    <x v="3"/>
    <x v="0"/>
    <x v="1"/>
    <x v="0"/>
    <x v="2"/>
    <x v="9"/>
    <n v="0"/>
    <n v="0"/>
    <n v="3.9020000000000001"/>
    <n v="3.9020000000000001"/>
    <n v="3.9020000000000001"/>
    <n v="3.9020000000000001"/>
    <n v="0"/>
    <x v="3"/>
    <n v="0"/>
    <n v="0"/>
    <n v="30"/>
    <n v="78"/>
    <n v="0"/>
    <n v="1682.12"/>
    <n v="496.15"/>
    <m/>
    <n v="1969.6669835803759"/>
    <n v="506.4861368306324"/>
    <n v="0"/>
    <n v="6563.6322399999999"/>
    <n v="1935.9773"/>
    <n v="0"/>
    <n v="7685.640569930627"/>
    <n v="1976.3089059131278"/>
  </r>
  <r>
    <s v="Sistema de Compensação"/>
    <x v="2"/>
    <x v="3"/>
    <x v="3"/>
    <x v="0"/>
    <x v="1"/>
    <x v="0"/>
    <x v="2"/>
    <x v="9"/>
    <n v="0"/>
    <n v="0"/>
    <n v="2.6030000000000002"/>
    <n v="2.6030000000000002"/>
    <n v="2.6030000000000002"/>
    <n v="2.6030000000000002"/>
    <n v="0"/>
    <x v="3"/>
    <n v="0"/>
    <n v="0"/>
    <n v="30"/>
    <n v="78"/>
    <n v="0"/>
    <n v="1682.12"/>
    <n v="496.15"/>
    <m/>
    <n v="1969.6669835803759"/>
    <n v="506.4861368306324"/>
    <n v="0"/>
    <n v="4378.55836"/>
    <n v="1291.4784500000001"/>
    <n v="0"/>
    <n v="5127.0431582597193"/>
    <n v="1318.3834141701363"/>
  </r>
  <r>
    <s v="Regular"/>
    <x v="2"/>
    <x v="3"/>
    <x v="3"/>
    <x v="0"/>
    <x v="1"/>
    <x v="0"/>
    <x v="2"/>
    <x v="10"/>
    <n v="0"/>
    <n v="0"/>
    <n v="27.417999999999999"/>
    <n v="27.417999999999999"/>
    <n v="27.417999999999999"/>
    <n v="27.417999999999999"/>
    <n v="0"/>
    <x v="3"/>
    <n v="0"/>
    <n v="0"/>
    <n v="30"/>
    <n v="78"/>
    <n v="0"/>
    <n v="1682.12"/>
    <n v="496.15"/>
    <m/>
    <n v="1969.6669835803759"/>
    <n v="506.4861368306324"/>
    <n v="0"/>
    <n v="46120.366159999998"/>
    <n v="13603.440699999999"/>
    <n v="0"/>
    <n v="54004.329355806745"/>
    <n v="13886.836899622278"/>
  </r>
  <r>
    <s v="Sistema de Compensação"/>
    <x v="2"/>
    <x v="3"/>
    <x v="3"/>
    <x v="0"/>
    <x v="1"/>
    <x v="0"/>
    <x v="2"/>
    <x v="10"/>
    <n v="0"/>
    <n v="0"/>
    <n v="3.7389999999999999"/>
    <n v="3.7389999999999999"/>
    <n v="3.7389999999999999"/>
    <n v="3.7389999999999999"/>
    <n v="0"/>
    <x v="3"/>
    <n v="0"/>
    <n v="0"/>
    <n v="30"/>
    <n v="78"/>
    <n v="0"/>
    <n v="1682.12"/>
    <n v="496.15"/>
    <m/>
    <n v="1969.6669835803759"/>
    <n v="506.4861368306324"/>
    <n v="0"/>
    <n v="6289.4466799999991"/>
    <n v="1855.1048499999999"/>
    <n v="0"/>
    <n v="7364.5848516070255"/>
    <n v="1893.7516656097346"/>
  </r>
  <r>
    <s v="PROJETADO"/>
    <x v="2"/>
    <x v="3"/>
    <x v="3"/>
    <x v="0"/>
    <x v="1"/>
    <x v="0"/>
    <x v="2"/>
    <x v="11"/>
    <n v="0"/>
    <n v="0"/>
    <n v="27.417999999999999"/>
    <n v="27.417999999999999"/>
    <n v="27.417999999999999"/>
    <n v="27.417999999999999"/>
    <n v="0"/>
    <x v="3"/>
    <n v="0"/>
    <n v="0"/>
    <n v="30"/>
    <n v="78"/>
    <n v="0"/>
    <n v="1682.12"/>
    <n v="496.15"/>
    <m/>
    <n v="1969.6669835803759"/>
    <n v="506.4861368306324"/>
    <n v="0"/>
    <n v="46120.366159999998"/>
    <n v="13603.440699999999"/>
    <n v="0"/>
    <n v="54004.329355806745"/>
    <n v="13886.836899622278"/>
  </r>
  <r>
    <s v="PROJETADO"/>
    <x v="2"/>
    <x v="3"/>
    <x v="3"/>
    <x v="0"/>
    <x v="1"/>
    <x v="0"/>
    <x v="2"/>
    <x v="11"/>
    <n v="0"/>
    <n v="0"/>
    <n v="3.7389999999999999"/>
    <n v="3.7389999999999999"/>
    <n v="3.7389999999999999"/>
    <n v="3.7389999999999999"/>
    <n v="0"/>
    <x v="3"/>
    <n v="0"/>
    <n v="0"/>
    <n v="30"/>
    <n v="78"/>
    <n v="0"/>
    <n v="1682.12"/>
    <n v="496.15"/>
    <m/>
    <n v="1969.6669835803759"/>
    <n v="506.4861368306324"/>
    <n v="0"/>
    <n v="6289.4466799999991"/>
    <n v="1855.1048499999999"/>
    <n v="0"/>
    <n v="7364.5848516070255"/>
    <n v="1893.7516656097346"/>
  </r>
  <r>
    <s v="Regular"/>
    <x v="2"/>
    <x v="3"/>
    <x v="4"/>
    <x v="0"/>
    <x v="1"/>
    <x v="0"/>
    <x v="1"/>
    <x v="0"/>
    <n v="0"/>
    <n v="0"/>
    <n v="212.03899999999999"/>
    <n v="203.55744000000001"/>
    <n v="212.03899999999999"/>
    <n v="203.55744000000001"/>
    <n v="0"/>
    <x v="3"/>
    <n v="0"/>
    <n v="0"/>
    <n v="31"/>
    <n v="79"/>
    <n v="0"/>
    <n v="88.66"/>
    <n v="311.04000000000002"/>
    <m/>
    <n v="137.25956288333876"/>
    <n v="311.14842517571947"/>
    <n v="0"/>
    <n v="18047.4026304"/>
    <n v="63314.506137600009"/>
    <n v="0"/>
    <n v="27940.205236051457"/>
    <n v="63336.576888801006"/>
  </r>
  <r>
    <s v="Refaturamento - Regular"/>
    <x v="2"/>
    <x v="3"/>
    <x v="4"/>
    <x v="0"/>
    <x v="1"/>
    <x v="0"/>
    <x v="1"/>
    <x v="0"/>
    <n v="0"/>
    <n v="0"/>
    <n v="6.12"/>
    <n v="5.8752000000000004"/>
    <n v="6.12"/>
    <n v="5.8752000000000004"/>
    <n v="0"/>
    <x v="3"/>
    <n v="0"/>
    <n v="0"/>
    <n v="31"/>
    <n v="79"/>
    <n v="0"/>
    <n v="88.66"/>
    <n v="311.04000000000002"/>
    <m/>
    <n v="137.25956288333876"/>
    <n v="311.14842517571947"/>
    <n v="0"/>
    <n v="520.89523199999996"/>
    <n v="1827.4222080000002"/>
    <n v="0"/>
    <n v="806.42738385219195"/>
    <n v="1828.0592275923871"/>
  </r>
  <r>
    <s v="Regular"/>
    <x v="2"/>
    <x v="3"/>
    <x v="4"/>
    <x v="0"/>
    <x v="1"/>
    <x v="0"/>
    <x v="1"/>
    <x v="1"/>
    <n v="0"/>
    <n v="0"/>
    <n v="233.19399999999999"/>
    <n v="223.86624"/>
    <n v="233.19399999999999"/>
    <n v="223.86624"/>
    <n v="0"/>
    <x v="3"/>
    <n v="0"/>
    <n v="0"/>
    <n v="31"/>
    <n v="79"/>
    <n v="0"/>
    <n v="88.66"/>
    <n v="311.04000000000002"/>
    <m/>
    <n v="137.25956288333876"/>
    <n v="311.14842517571947"/>
    <n v="0"/>
    <n v="19847.980838399999"/>
    <n v="69631.355289600004"/>
    <n v="0"/>
    <n v="30727.782246736606"/>
    <n v="69655.628026009654"/>
  </r>
  <r>
    <s v="Regular"/>
    <x v="2"/>
    <x v="3"/>
    <x v="4"/>
    <x v="0"/>
    <x v="1"/>
    <x v="0"/>
    <x v="1"/>
    <x v="2"/>
    <n v="0"/>
    <n v="0"/>
    <n v="216.571"/>
    <n v="207.90816000000001"/>
    <n v="216.571"/>
    <n v="207.90816000000001"/>
    <n v="0"/>
    <x v="3"/>
    <n v="0"/>
    <n v="0"/>
    <n v="31"/>
    <n v="79"/>
    <n v="0"/>
    <n v="88.66"/>
    <n v="311.04000000000002"/>
    <m/>
    <n v="137.25956288333876"/>
    <n v="311.14842517571947"/>
    <n v="0"/>
    <n v="18433.137465600001"/>
    <n v="64667.754086400004"/>
    <n v="0"/>
    <n v="28537.383161479258"/>
    <n v="64690.296565181518"/>
  </r>
  <r>
    <s v="Regular"/>
    <x v="2"/>
    <x v="3"/>
    <x v="4"/>
    <x v="0"/>
    <x v="1"/>
    <x v="0"/>
    <x v="1"/>
    <x v="3"/>
    <n v="0"/>
    <n v="0"/>
    <n v="222.245"/>
    <n v="213.3552"/>
    <n v="222.245"/>
    <n v="213.3552"/>
    <n v="0"/>
    <x v="3"/>
    <n v="0"/>
    <n v="0"/>
    <n v="31"/>
    <n v="79"/>
    <n v="0"/>
    <n v="88.66"/>
    <n v="311.04000000000002"/>
    <m/>
    <n v="137.25956288333876"/>
    <n v="311.14842517571947"/>
    <n v="0"/>
    <n v="18916.072032"/>
    <n v="66362.001407999996"/>
    <n v="0"/>
    <n v="29285.041490887317"/>
    <n v="66385.134483050657"/>
  </r>
  <r>
    <s v="Regular"/>
    <x v="2"/>
    <x v="3"/>
    <x v="4"/>
    <x v="0"/>
    <x v="1"/>
    <x v="0"/>
    <x v="1"/>
    <x v="4"/>
    <n v="0"/>
    <n v="0"/>
    <n v="233.876"/>
    <n v="224.52096"/>
    <n v="233.876"/>
    <n v="224.52096"/>
    <n v="0"/>
    <x v="3"/>
    <n v="0"/>
    <n v="0"/>
    <n v="31"/>
    <n v="79"/>
    <n v="0"/>
    <n v="88.66"/>
    <n v="311.04000000000002"/>
    <m/>
    <n v="137.25956288333876"/>
    <n v="311.14842517571947"/>
    <n v="0"/>
    <n v="19906.0283136"/>
    <n v="69834.999398400003"/>
    <n v="0"/>
    <n v="30817.648827747587"/>
    <n v="69859.3431229407"/>
  </r>
  <r>
    <s v="Regular"/>
    <x v="2"/>
    <x v="3"/>
    <x v="4"/>
    <x v="0"/>
    <x v="1"/>
    <x v="0"/>
    <x v="1"/>
    <x v="5"/>
    <n v="0"/>
    <n v="0"/>
    <n v="222.655"/>
    <n v="213.74879999999999"/>
    <n v="222.655"/>
    <n v="213.74879999999999"/>
    <n v="0"/>
    <x v="3"/>
    <n v="0"/>
    <n v="0"/>
    <n v="31"/>
    <n v="79"/>
    <n v="0"/>
    <n v="88.66"/>
    <n v="311.04000000000002"/>
    <m/>
    <n v="137.25956288333876"/>
    <n v="311.14842517571947"/>
    <n v="0"/>
    <n v="18950.968607999999"/>
    <n v="66484.426751999999"/>
    <n v="0"/>
    <n v="29339.066854838198"/>
    <n v="66507.602503199829"/>
  </r>
  <r>
    <s v="Regular"/>
    <x v="2"/>
    <x v="3"/>
    <x v="4"/>
    <x v="0"/>
    <x v="1"/>
    <x v="0"/>
    <x v="1"/>
    <x v="6"/>
    <n v="0"/>
    <n v="0"/>
    <n v="244.85599999999999"/>
    <n v="235.06175999999999"/>
    <n v="244.85599999999999"/>
    <n v="235.06175999999999"/>
    <n v="0"/>
    <x v="3"/>
    <n v="0"/>
    <n v="0"/>
    <n v="31"/>
    <n v="79"/>
    <n v="0"/>
    <n v="88.66"/>
    <n v="311.04000000000002"/>
    <m/>
    <n v="137.25956288333876"/>
    <n v="311.14842517571947"/>
    <n v="0"/>
    <n v="20840.575641599997"/>
    <n v="73113.609830400004"/>
    <n v="0"/>
    <n v="32264.474428188281"/>
    <n v="73139.096443032919"/>
  </r>
  <r>
    <s v="Regular"/>
    <x v="2"/>
    <x v="3"/>
    <x v="4"/>
    <x v="0"/>
    <x v="1"/>
    <x v="0"/>
    <x v="1"/>
    <x v="7"/>
    <n v="0"/>
    <n v="0"/>
    <n v="210.94300000000001"/>
    <n v="202.50528"/>
    <n v="210.94300000000001"/>
    <n v="202.50528"/>
    <n v="0"/>
    <x v="3"/>
    <n v="0"/>
    <n v="0"/>
    <n v="31"/>
    <n v="79"/>
    <n v="0"/>
    <n v="88.66"/>
    <n v="311.04000000000002"/>
    <m/>
    <n v="137.25956288333876"/>
    <n v="311.14842517571947"/>
    <n v="0"/>
    <n v="17954.118124799999"/>
    <n v="62987.242291200004"/>
    <n v="0"/>
    <n v="27795.786214368123"/>
    <n v="63009.198961768117"/>
  </r>
  <r>
    <s v="Regular"/>
    <x v="2"/>
    <x v="3"/>
    <x v="4"/>
    <x v="0"/>
    <x v="1"/>
    <x v="0"/>
    <x v="1"/>
    <x v="8"/>
    <n v="0"/>
    <n v="0"/>
    <n v="190.81700000000001"/>
    <n v="183.18432000000001"/>
    <n v="190.81700000000001"/>
    <n v="183.18432000000001"/>
    <n v="0"/>
    <x v="3"/>
    <n v="0"/>
    <n v="0"/>
    <n v="31"/>
    <n v="79"/>
    <n v="0"/>
    <n v="88.66"/>
    <n v="311.04000000000002"/>
    <m/>
    <n v="137.25956288333876"/>
    <n v="311.14842517571947"/>
    <n v="0"/>
    <n v="16241.121811200001"/>
    <n v="56977.650892800011"/>
    <n v="0"/>
    <n v="25143.799690281652"/>
    <n v="56997.512684885056"/>
  </r>
  <r>
    <s v="Regular"/>
    <x v="2"/>
    <x v="3"/>
    <x v="4"/>
    <x v="0"/>
    <x v="1"/>
    <x v="0"/>
    <x v="1"/>
    <x v="9"/>
    <n v="0"/>
    <n v="0"/>
    <n v="200.46600000000001"/>
    <n v="192.44736"/>
    <n v="200.46600000000001"/>
    <n v="192.44736"/>
    <n v="0"/>
    <x v="3"/>
    <n v="0"/>
    <n v="0"/>
    <n v="31"/>
    <n v="79"/>
    <n v="0"/>
    <n v="88.66"/>
    <n v="311.04000000000002"/>
    <m/>
    <n v="137.25956288333876"/>
    <n v="311.14842517571947"/>
    <n v="0"/>
    <n v="17062.382937599999"/>
    <n v="59858.826854400002"/>
    <n v="0"/>
    <n v="26415.240511652533"/>
    <n v="59879.692993224751"/>
  </r>
  <r>
    <s v="Regular"/>
    <x v="2"/>
    <x v="3"/>
    <x v="4"/>
    <x v="0"/>
    <x v="1"/>
    <x v="0"/>
    <x v="1"/>
    <x v="10"/>
    <n v="0"/>
    <n v="0"/>
    <n v="192.44200000000001"/>
    <n v="184.74431999999999"/>
    <n v="192.44200000000001"/>
    <n v="184.74431999999999"/>
    <n v="0"/>
    <x v="3"/>
    <n v="0"/>
    <n v="0"/>
    <n v="31"/>
    <n v="79"/>
    <n v="0"/>
    <n v="88.66"/>
    <n v="311.04000000000002"/>
    <m/>
    <n v="137.25956288333876"/>
    <n v="311.14842517571947"/>
    <n v="0"/>
    <n v="16379.431411199997"/>
    <n v="57462.873292800003"/>
    <n v="0"/>
    <n v="25357.924608379657"/>
    <n v="57482.904228159168"/>
  </r>
  <r>
    <s v="PROJETADO"/>
    <x v="2"/>
    <x v="3"/>
    <x v="4"/>
    <x v="0"/>
    <x v="1"/>
    <x v="0"/>
    <x v="1"/>
    <x v="11"/>
    <n v="0"/>
    <n v="0"/>
    <n v="192.44200000000001"/>
    <n v="184.74431999999999"/>
    <n v="192.44200000000001"/>
    <n v="184.74431999999999"/>
    <n v="0"/>
    <x v="3"/>
    <n v="0"/>
    <n v="0"/>
    <n v="31"/>
    <n v="79"/>
    <n v="0"/>
    <n v="88.66"/>
    <n v="311.04000000000002"/>
    <m/>
    <n v="137.25956288333876"/>
    <n v="311.14842517571947"/>
    <n v="0"/>
    <n v="16379.431411199997"/>
    <n v="57462.873292800003"/>
    <n v="0"/>
    <n v="25357.924608379657"/>
    <n v="57482.904228159168"/>
  </r>
  <r>
    <s v="Regular"/>
    <x v="2"/>
    <x v="3"/>
    <x v="4"/>
    <x v="0"/>
    <x v="1"/>
    <x v="0"/>
    <x v="0"/>
    <x v="0"/>
    <n v="1062"/>
    <n v="1019.52"/>
    <n v="0"/>
    <n v="0"/>
    <n v="0"/>
    <n v="0"/>
    <n v="11"/>
    <x v="3"/>
    <n v="0"/>
    <n v="29"/>
    <n v="0"/>
    <n v="0"/>
    <n v="25.51"/>
    <n v="0"/>
    <n v="0"/>
    <n v="29.803266797877356"/>
    <m/>
    <m/>
    <n v="26007.9552"/>
    <n v="0"/>
    <n v="0"/>
    <n v="30385.026565771921"/>
    <n v="0"/>
    <n v="0"/>
  </r>
  <r>
    <s v="Refaturamento - Regular"/>
    <x v="2"/>
    <x v="3"/>
    <x v="4"/>
    <x v="0"/>
    <x v="1"/>
    <x v="0"/>
    <x v="0"/>
    <x v="0"/>
    <n v="349"/>
    <n v="335.04"/>
    <n v="0"/>
    <n v="0"/>
    <n v="0"/>
    <n v="0"/>
    <n v="0"/>
    <x v="3"/>
    <n v="0"/>
    <n v="29"/>
    <n v="0"/>
    <n v="0"/>
    <n v="25.51"/>
    <n v="0"/>
    <n v="0"/>
    <n v="29.803266797877356"/>
    <m/>
    <m/>
    <n v="8546.8704000000016"/>
    <n v="0"/>
    <n v="0"/>
    <n v="9985.2865079608291"/>
    <n v="0"/>
    <n v="0"/>
  </r>
  <r>
    <s v="Regular"/>
    <x v="2"/>
    <x v="3"/>
    <x v="4"/>
    <x v="0"/>
    <x v="1"/>
    <x v="0"/>
    <x v="0"/>
    <x v="1"/>
    <n v="1072"/>
    <n v="1029.1199999999999"/>
    <n v="0"/>
    <n v="0"/>
    <n v="0"/>
    <n v="0"/>
    <n v="11"/>
    <x v="3"/>
    <n v="0"/>
    <n v="29"/>
    <n v="0"/>
    <n v="0"/>
    <n v="25.51"/>
    <n v="0"/>
    <n v="0"/>
    <n v="29.803266797877356"/>
    <m/>
    <m/>
    <n v="26252.851199999997"/>
    <n v="0"/>
    <n v="0"/>
    <n v="30671.137927031541"/>
    <n v="0"/>
    <n v="0"/>
  </r>
  <r>
    <s v="Regular"/>
    <x v="2"/>
    <x v="3"/>
    <x v="4"/>
    <x v="0"/>
    <x v="1"/>
    <x v="0"/>
    <x v="0"/>
    <x v="2"/>
    <n v="959"/>
    <n v="920.64"/>
    <n v="0"/>
    <n v="0"/>
    <n v="0"/>
    <n v="0"/>
    <n v="11"/>
    <x v="3"/>
    <n v="0"/>
    <n v="29"/>
    <n v="0"/>
    <n v="0"/>
    <n v="25.51"/>
    <n v="0"/>
    <n v="0"/>
    <n v="29.803266797877356"/>
    <m/>
    <m/>
    <n v="23485.526400000002"/>
    <n v="0"/>
    <n v="0"/>
    <n v="27438.079544797809"/>
    <n v="0"/>
    <n v="0"/>
  </r>
  <r>
    <s v="Regular"/>
    <x v="2"/>
    <x v="3"/>
    <x v="4"/>
    <x v="0"/>
    <x v="1"/>
    <x v="0"/>
    <x v="0"/>
    <x v="3"/>
    <n v="925"/>
    <n v="888"/>
    <n v="0"/>
    <n v="0"/>
    <n v="0"/>
    <n v="0"/>
    <n v="11"/>
    <x v="3"/>
    <n v="0"/>
    <n v="29"/>
    <n v="0"/>
    <n v="0"/>
    <n v="25.51"/>
    <n v="0"/>
    <n v="0"/>
    <n v="29.803266797877356"/>
    <m/>
    <m/>
    <n v="22652.880000000001"/>
    <n v="0"/>
    <n v="0"/>
    <n v="26465.300916515091"/>
    <n v="0"/>
    <n v="0"/>
  </r>
  <r>
    <s v="Regular"/>
    <x v="2"/>
    <x v="3"/>
    <x v="4"/>
    <x v="0"/>
    <x v="1"/>
    <x v="0"/>
    <x v="0"/>
    <x v="4"/>
    <n v="907"/>
    <n v="870.72"/>
    <n v="0"/>
    <n v="0"/>
    <n v="0"/>
    <n v="0"/>
    <n v="11"/>
    <x v="3"/>
    <n v="0"/>
    <n v="29"/>
    <n v="0"/>
    <n v="0"/>
    <n v="25.51"/>
    <n v="0"/>
    <n v="0"/>
    <n v="29.803266797877356"/>
    <m/>
    <m/>
    <n v="22212.067200000001"/>
    <n v="0"/>
    <n v="0"/>
    <n v="25950.300466247772"/>
    <n v="0"/>
    <n v="0"/>
  </r>
  <r>
    <s v="Regular"/>
    <x v="2"/>
    <x v="3"/>
    <x v="4"/>
    <x v="0"/>
    <x v="1"/>
    <x v="0"/>
    <x v="0"/>
    <x v="5"/>
    <n v="881"/>
    <n v="845.76"/>
    <n v="0"/>
    <n v="0"/>
    <n v="0"/>
    <n v="0"/>
    <n v="11"/>
    <x v="3"/>
    <n v="0"/>
    <n v="29"/>
    <n v="0"/>
    <n v="0"/>
    <n v="25.51"/>
    <n v="0"/>
    <n v="0"/>
    <n v="29.803266797877356"/>
    <m/>
    <m/>
    <n v="21575.337600000003"/>
    <n v="0"/>
    <n v="0"/>
    <n v="25206.410926972752"/>
    <n v="0"/>
    <n v="0"/>
  </r>
  <r>
    <s v="Regular"/>
    <x v="2"/>
    <x v="3"/>
    <x v="4"/>
    <x v="0"/>
    <x v="1"/>
    <x v="0"/>
    <x v="0"/>
    <x v="6"/>
    <n v="900"/>
    <n v="864"/>
    <n v="0"/>
    <n v="0"/>
    <n v="0"/>
    <n v="0"/>
    <n v="11"/>
    <x v="3"/>
    <n v="0"/>
    <n v="29"/>
    <n v="0"/>
    <n v="0"/>
    <n v="25.51"/>
    <n v="0"/>
    <n v="0"/>
    <n v="29.803266797877356"/>
    <m/>
    <m/>
    <n v="22040.640000000003"/>
    <n v="0"/>
    <n v="0"/>
    <n v="25750.022513366035"/>
    <n v="0"/>
    <n v="0"/>
  </r>
  <r>
    <s v="Regular"/>
    <x v="2"/>
    <x v="3"/>
    <x v="4"/>
    <x v="0"/>
    <x v="1"/>
    <x v="0"/>
    <x v="0"/>
    <x v="7"/>
    <n v="774"/>
    <n v="743.04"/>
    <n v="0"/>
    <n v="0"/>
    <n v="0"/>
    <n v="0"/>
    <n v="10"/>
    <x v="3"/>
    <n v="0"/>
    <n v="29"/>
    <n v="0"/>
    <n v="0"/>
    <n v="25.51"/>
    <n v="0"/>
    <n v="0"/>
    <n v="29.803266797877356"/>
    <m/>
    <m/>
    <n v="18954.950400000002"/>
    <n v="0"/>
    <n v="0"/>
    <n v="22145.019361494789"/>
    <n v="0"/>
    <n v="0"/>
  </r>
  <r>
    <s v="Regular"/>
    <x v="2"/>
    <x v="3"/>
    <x v="4"/>
    <x v="0"/>
    <x v="1"/>
    <x v="0"/>
    <x v="0"/>
    <x v="8"/>
    <n v="836"/>
    <n v="802.56"/>
    <n v="0"/>
    <n v="0"/>
    <n v="0"/>
    <n v="0"/>
    <n v="10"/>
    <x v="3"/>
    <n v="0"/>
    <n v="29"/>
    <n v="0"/>
    <n v="0"/>
    <n v="25.51"/>
    <n v="0"/>
    <n v="0"/>
    <n v="29.803266797877356"/>
    <m/>
    <m/>
    <n v="20473.3056"/>
    <n v="0"/>
    <n v="0"/>
    <n v="23918.90980130445"/>
    <n v="0"/>
    <n v="0"/>
  </r>
  <r>
    <s v="Regular"/>
    <x v="2"/>
    <x v="3"/>
    <x v="4"/>
    <x v="0"/>
    <x v="1"/>
    <x v="0"/>
    <x v="0"/>
    <x v="9"/>
    <n v="789"/>
    <n v="757.44"/>
    <n v="0"/>
    <n v="0"/>
    <n v="0"/>
    <n v="0"/>
    <n v="10"/>
    <x v="3"/>
    <n v="0"/>
    <n v="29"/>
    <n v="0"/>
    <n v="0"/>
    <n v="25.51"/>
    <n v="0"/>
    <n v="0"/>
    <n v="29.803266797877356"/>
    <m/>
    <m/>
    <n v="19322.294400000002"/>
    <n v="0"/>
    <n v="0"/>
    <n v="22574.186403384225"/>
    <n v="0"/>
    <n v="0"/>
  </r>
  <r>
    <s v="Regular"/>
    <x v="2"/>
    <x v="3"/>
    <x v="4"/>
    <x v="0"/>
    <x v="1"/>
    <x v="0"/>
    <x v="0"/>
    <x v="10"/>
    <n v="790"/>
    <n v="758.4"/>
    <n v="0"/>
    <n v="0"/>
    <n v="0"/>
    <n v="0"/>
    <n v="10"/>
    <x v="3"/>
    <n v="0"/>
    <n v="29"/>
    <n v="0"/>
    <n v="0"/>
    <n v="25.51"/>
    <n v="0"/>
    <n v="0"/>
    <n v="29.803266797877356"/>
    <m/>
    <m/>
    <n v="19346.784"/>
    <n v="0"/>
    <n v="0"/>
    <n v="22602.797539510186"/>
    <n v="0"/>
    <n v="0"/>
  </r>
  <r>
    <s v="PROJETADO"/>
    <x v="2"/>
    <x v="3"/>
    <x v="4"/>
    <x v="0"/>
    <x v="1"/>
    <x v="0"/>
    <x v="0"/>
    <x v="11"/>
    <n v="790"/>
    <n v="758.4"/>
    <n v="0"/>
    <n v="0"/>
    <n v="0"/>
    <n v="0"/>
    <n v="10"/>
    <x v="3"/>
    <n v="0"/>
    <n v="29"/>
    <n v="0"/>
    <n v="0"/>
    <n v="25.51"/>
    <n v="0"/>
    <n v="0"/>
    <n v="29.803266797877356"/>
    <m/>
    <m/>
    <n v="19346.784"/>
    <n v="0"/>
    <n v="0"/>
    <n v="22602.797539510186"/>
    <n v="0"/>
    <n v="0"/>
  </r>
  <r>
    <s v="Regular"/>
    <x v="2"/>
    <x v="3"/>
    <x v="4"/>
    <x v="0"/>
    <x v="1"/>
    <x v="0"/>
    <x v="2"/>
    <x v="0"/>
    <n v="0"/>
    <n v="0"/>
    <n v="16.259"/>
    <n v="15.608639999999999"/>
    <n v="16.259"/>
    <n v="15.608639999999999"/>
    <n v="0"/>
    <x v="3"/>
    <n v="0"/>
    <n v="0"/>
    <n v="30"/>
    <n v="78"/>
    <n v="0"/>
    <n v="1682.12"/>
    <n v="496.15"/>
    <m/>
    <n v="1969.6669835803759"/>
    <n v="506.4861368306324"/>
    <n v="0"/>
    <n v="26255.605516799998"/>
    <n v="7744.2267359999996"/>
    <n v="0"/>
    <n v="30743.822866591996"/>
    <n v="7905.5597747800821"/>
  </r>
  <r>
    <s v="Refaturamento - Regular"/>
    <x v="2"/>
    <x v="3"/>
    <x v="4"/>
    <x v="0"/>
    <x v="1"/>
    <x v="0"/>
    <x v="2"/>
    <x v="0"/>
    <n v="0"/>
    <n v="0"/>
    <n v="1.08"/>
    <n v="1.0367999999999999"/>
    <n v="1.08"/>
    <n v="1.0367999999999999"/>
    <n v="0"/>
    <x v="3"/>
    <n v="0"/>
    <n v="0"/>
    <n v="30"/>
    <n v="78"/>
    <n v="0"/>
    <n v="1682.12"/>
    <n v="496.15"/>
    <m/>
    <n v="1969.6669835803759"/>
    <n v="506.4861368306324"/>
    <n v="0"/>
    <n v="1744.0220159999999"/>
    <n v="514.40832"/>
    <n v="0"/>
    <n v="2042.1507285761336"/>
    <n v="525.12482666599965"/>
  </r>
  <r>
    <s v="Regular"/>
    <x v="2"/>
    <x v="3"/>
    <x v="4"/>
    <x v="0"/>
    <x v="1"/>
    <x v="0"/>
    <x v="2"/>
    <x v="1"/>
    <n v="0"/>
    <n v="0"/>
    <n v="18.390999999999998"/>
    <n v="17.655360000000002"/>
    <n v="18.390999999999998"/>
    <n v="17.655360000000002"/>
    <n v="0"/>
    <x v="3"/>
    <n v="0"/>
    <n v="0"/>
    <n v="30"/>
    <n v="78"/>
    <n v="0"/>
    <n v="1682.12"/>
    <n v="496.15"/>
    <m/>
    <n v="1969.6669835803759"/>
    <n v="506.4861368306324"/>
    <n v="0"/>
    <n v="29698.4341632"/>
    <n v="8759.7068639999998"/>
    <n v="0"/>
    <n v="34775.179675225627"/>
    <n v="8942.1950807540743"/>
  </r>
  <r>
    <s v="Regular"/>
    <x v="2"/>
    <x v="3"/>
    <x v="4"/>
    <x v="0"/>
    <x v="1"/>
    <x v="0"/>
    <x v="2"/>
    <x v="2"/>
    <n v="0"/>
    <n v="0"/>
    <n v="14.849"/>
    <n v="14.255039999999999"/>
    <n v="14.849"/>
    <n v="14.255039999999999"/>
    <n v="0"/>
    <x v="3"/>
    <n v="0"/>
    <n v="0"/>
    <n v="30"/>
    <n v="78"/>
    <n v="0"/>
    <n v="1682.12"/>
    <n v="496.15"/>
    <m/>
    <n v="1969.6669835803759"/>
    <n v="506.4861368306324"/>
    <n v="0"/>
    <n v="23978.687884799998"/>
    <n v="7072.6380959999997"/>
    <n v="0"/>
    <n v="28077.681637617599"/>
    <n v="7219.9801399661374"/>
  </r>
  <r>
    <s v="Regular"/>
    <x v="2"/>
    <x v="3"/>
    <x v="4"/>
    <x v="0"/>
    <x v="1"/>
    <x v="0"/>
    <x v="2"/>
    <x v="3"/>
    <n v="0"/>
    <n v="0"/>
    <n v="14.545999999999999"/>
    <n v="13.96416"/>
    <n v="14.545999999999999"/>
    <n v="13.96416"/>
    <n v="0"/>
    <x v="3"/>
    <n v="0"/>
    <n v="0"/>
    <n v="30"/>
    <n v="78"/>
    <n v="0"/>
    <n v="1682.12"/>
    <n v="496.15"/>
    <m/>
    <n v="1969.6669835803759"/>
    <n v="506.4861368306324"/>
    <n v="0"/>
    <n v="23489.392819199998"/>
    <n v="6928.3179839999993"/>
    <n v="0"/>
    <n v="27504.744905433741"/>
    <n v="7072.6534524848439"/>
  </r>
  <r>
    <s v="Regular"/>
    <x v="2"/>
    <x v="3"/>
    <x v="4"/>
    <x v="0"/>
    <x v="1"/>
    <x v="0"/>
    <x v="2"/>
    <x v="4"/>
    <n v="0"/>
    <n v="0"/>
    <n v="15.673999999999999"/>
    <n v="15.047040000000001"/>
    <n v="15.673999999999999"/>
    <n v="15.047040000000001"/>
    <n v="0"/>
    <x v="3"/>
    <n v="0"/>
    <n v="0"/>
    <n v="30"/>
    <n v="78"/>
    <n v="0"/>
    <n v="1682.12"/>
    <n v="496.15"/>
    <m/>
    <n v="1969.6669835803759"/>
    <n v="506.4861368306324"/>
    <n v="0"/>
    <n v="25310.926924799998"/>
    <n v="7465.5888960000002"/>
    <n v="0"/>
    <n v="29637.657888613263"/>
    <n v="7621.1171603359999"/>
  </r>
  <r>
    <s v="Regular"/>
    <x v="2"/>
    <x v="3"/>
    <x v="4"/>
    <x v="0"/>
    <x v="1"/>
    <x v="0"/>
    <x v="2"/>
    <x v="5"/>
    <n v="0"/>
    <n v="0"/>
    <n v="14.475"/>
    <n v="13.896000000000001"/>
    <n v="14.475"/>
    <n v="13.896000000000001"/>
    <n v="0"/>
    <x v="3"/>
    <n v="0"/>
    <n v="0"/>
    <n v="30"/>
    <n v="78"/>
    <n v="0"/>
    <n v="1682.12"/>
    <n v="496.15"/>
    <m/>
    <n v="1969.6669835803759"/>
    <n v="506.4861368306324"/>
    <n v="0"/>
    <n v="23374.739519999999"/>
    <n v="6894.5003999999999"/>
    <n v="0"/>
    <n v="27370.492403832905"/>
    <n v="7038.131357398468"/>
  </r>
  <r>
    <s v="Regular"/>
    <x v="2"/>
    <x v="3"/>
    <x v="4"/>
    <x v="0"/>
    <x v="1"/>
    <x v="0"/>
    <x v="2"/>
    <x v="6"/>
    <n v="0"/>
    <n v="0"/>
    <n v="16.393999999999998"/>
    <n v="15.738239999999999"/>
    <n v="16.393999999999998"/>
    <n v="15.738239999999999"/>
    <n v="0"/>
    <x v="3"/>
    <n v="0"/>
    <n v="0"/>
    <n v="30"/>
    <n v="78"/>
    <n v="0"/>
    <n v="1682.12"/>
    <n v="496.15"/>
    <m/>
    <n v="1969.6669835803759"/>
    <n v="506.4861368306324"/>
    <n v="0"/>
    <n v="26473.608268799999"/>
    <n v="7808.527775999999"/>
    <n v="0"/>
    <n v="30999.091707664014"/>
    <n v="7971.2003781133317"/>
  </r>
  <r>
    <s v="Regular"/>
    <x v="2"/>
    <x v="3"/>
    <x v="4"/>
    <x v="0"/>
    <x v="1"/>
    <x v="0"/>
    <x v="2"/>
    <x v="7"/>
    <n v="0"/>
    <n v="0"/>
    <n v="11.942"/>
    <n v="11.464320000000001"/>
    <n v="11.942"/>
    <n v="11.464320000000001"/>
    <n v="0"/>
    <x v="3"/>
    <n v="0"/>
    <n v="0"/>
    <n v="30"/>
    <n v="78"/>
    <n v="0"/>
    <n v="1682.12"/>
    <n v="496.15"/>
    <m/>
    <n v="1969.6669835803759"/>
    <n v="506.4861368306324"/>
    <n v="0"/>
    <n v="19284.361958400001"/>
    <n v="5688.0223679999999"/>
    <n v="0"/>
    <n v="22580.892593200177"/>
    <n v="5806.5191481901556"/>
  </r>
  <r>
    <s v="Regular"/>
    <x v="2"/>
    <x v="3"/>
    <x v="4"/>
    <x v="0"/>
    <x v="1"/>
    <x v="0"/>
    <x v="2"/>
    <x v="8"/>
    <n v="0"/>
    <n v="0"/>
    <n v="11.489000000000001"/>
    <n v="11.029439999999999"/>
    <n v="11.489000000000001"/>
    <n v="11.029439999999999"/>
    <n v="0"/>
    <x v="3"/>
    <n v="0"/>
    <n v="0"/>
    <n v="30"/>
    <n v="78"/>
    <n v="0"/>
    <n v="1682.12"/>
    <n v="496.15"/>
    <m/>
    <n v="1969.6669835803759"/>
    <n v="506.4861368306324"/>
    <n v="0"/>
    <n v="18552.841612799999"/>
    <n v="5472.2566559999996"/>
    <n v="0"/>
    <n v="21724.32381538074"/>
    <n v="5586.2584570052495"/>
  </r>
  <r>
    <s v="Regular"/>
    <x v="2"/>
    <x v="3"/>
    <x v="4"/>
    <x v="0"/>
    <x v="1"/>
    <x v="0"/>
    <x v="2"/>
    <x v="9"/>
    <n v="0"/>
    <n v="0"/>
    <n v="11.153"/>
    <n v="10.70688"/>
    <n v="11.153"/>
    <n v="10.70688"/>
    <n v="0"/>
    <x v="3"/>
    <n v="0"/>
    <n v="0"/>
    <n v="30"/>
    <n v="78"/>
    <n v="0"/>
    <n v="1682.12"/>
    <n v="496.15"/>
    <m/>
    <n v="1969.6669835803759"/>
    <n v="506.4861368306324"/>
    <n v="0"/>
    <n v="18010.256985599997"/>
    <n v="5312.2185119999995"/>
    <n v="0"/>
    <n v="21088.988033157057"/>
    <n v="5422.8862887091618"/>
  </r>
  <r>
    <s v="Regular"/>
    <x v="2"/>
    <x v="3"/>
    <x v="4"/>
    <x v="0"/>
    <x v="1"/>
    <x v="0"/>
    <x v="2"/>
    <x v="10"/>
    <n v="0"/>
    <n v="0"/>
    <n v="10.262"/>
    <n v="9.8515200000000007"/>
    <n v="10.262"/>
    <n v="9.8515200000000007"/>
    <n v="0"/>
    <x v="3"/>
    <n v="0"/>
    <n v="0"/>
    <n v="30"/>
    <n v="78"/>
    <n v="0"/>
    <n v="1682.12"/>
    <n v="496.15"/>
    <m/>
    <n v="1969.6669835803759"/>
    <n v="506.4861368306324"/>
    <n v="0"/>
    <n v="16571.438822399999"/>
    <n v="4887.8316480000003"/>
    <n v="0"/>
    <n v="19404.213682081747"/>
    <n v="4989.6583067097117"/>
  </r>
  <r>
    <s v="PROJETADO"/>
    <x v="2"/>
    <x v="3"/>
    <x v="4"/>
    <x v="0"/>
    <x v="1"/>
    <x v="0"/>
    <x v="2"/>
    <x v="11"/>
    <n v="0"/>
    <n v="0"/>
    <n v="10.262"/>
    <n v="9.8515200000000007"/>
    <n v="10.262"/>
    <n v="9.8515200000000007"/>
    <n v="0"/>
    <x v="3"/>
    <n v="0"/>
    <n v="0"/>
    <n v="30"/>
    <n v="78"/>
    <n v="0"/>
    <n v="1682.12"/>
    <n v="496.15"/>
    <m/>
    <n v="1969.6669835803759"/>
    <n v="506.4861368306324"/>
    <n v="0"/>
    <n v="16571.438822399999"/>
    <n v="4887.8316480000003"/>
    <n v="0"/>
    <n v="19404.213682081747"/>
    <n v="4989.6583067097117"/>
  </r>
  <r>
    <s v="Regular"/>
    <x v="2"/>
    <x v="3"/>
    <x v="5"/>
    <x v="1"/>
    <x v="1"/>
    <x v="0"/>
    <x v="1"/>
    <x v="0"/>
    <n v="0"/>
    <n v="0"/>
    <n v="1663.22"/>
    <n v="1563.4268"/>
    <n v="1663.22"/>
    <n v="1563.4268"/>
    <n v="0"/>
    <x v="3"/>
    <n v="0"/>
    <n v="0"/>
    <n v="31"/>
    <n v="79"/>
    <n v="0"/>
    <n v="88.66"/>
    <n v="311.04000000000002"/>
    <m/>
    <n v="137.25956288333876"/>
    <n v="311.14842517571947"/>
    <n v="0"/>
    <n v="138613.42008799998"/>
    <n v="486288.27187200001"/>
    <n v="0"/>
    <n v="214595.27916809707"/>
    <n v="486457.78669751453"/>
  </r>
  <r>
    <s v="Regular"/>
    <x v="2"/>
    <x v="3"/>
    <x v="5"/>
    <x v="1"/>
    <x v="1"/>
    <x v="0"/>
    <x v="1"/>
    <x v="1"/>
    <n v="0"/>
    <n v="0"/>
    <n v="1732.1310000000001"/>
    <n v="1628.2031400000001"/>
    <n v="1732.1310000000001"/>
    <n v="1628.2031400000001"/>
    <n v="0"/>
    <x v="3"/>
    <n v="0"/>
    <n v="0"/>
    <n v="31"/>
    <n v="79"/>
    <n v="0"/>
    <n v="88.66"/>
    <n v="311.04000000000002"/>
    <m/>
    <n v="137.25956288333876"/>
    <n v="311.14842517571947"/>
    <n v="0"/>
    <n v="144356.49039240001"/>
    <n v="506436.30466560007"/>
    <n v="0"/>
    <n v="223486.45128167962"/>
    <n v="506612.84287716151"/>
  </r>
  <r>
    <s v="Regular"/>
    <x v="2"/>
    <x v="3"/>
    <x v="5"/>
    <x v="1"/>
    <x v="1"/>
    <x v="0"/>
    <x v="1"/>
    <x v="2"/>
    <n v="0"/>
    <n v="0"/>
    <n v="1735.712"/>
    <n v="1631.5692799999999"/>
    <n v="1735.712"/>
    <n v="1631.5692799999999"/>
    <n v="0"/>
    <x v="3"/>
    <n v="0"/>
    <n v="0"/>
    <n v="31"/>
    <n v="79"/>
    <n v="0"/>
    <n v="88.66"/>
    <n v="311.04000000000002"/>
    <m/>
    <n v="137.25956288333876"/>
    <n v="311.14842517571947"/>
    <n v="0"/>
    <n v="144654.93236479998"/>
    <n v="507483.30885120004"/>
    <n v="0"/>
    <n v="223948.48618668373"/>
    <n v="507660.21203708247"/>
  </r>
  <r>
    <s v="Regular"/>
    <x v="2"/>
    <x v="3"/>
    <x v="5"/>
    <x v="1"/>
    <x v="1"/>
    <x v="0"/>
    <x v="1"/>
    <x v="3"/>
    <n v="0"/>
    <n v="0"/>
    <n v="1740.075"/>
    <n v="1635.6704999999999"/>
    <n v="1740.075"/>
    <n v="1635.6704999999999"/>
    <n v="0"/>
    <x v="3"/>
    <n v="0"/>
    <n v="0"/>
    <n v="31"/>
    <n v="79"/>
    <n v="0"/>
    <n v="88.66"/>
    <n v="311.04000000000002"/>
    <m/>
    <n v="137.25956288333876"/>
    <n v="311.14842517571947"/>
    <n v="0"/>
    <n v="145018.54652999999"/>
    <n v="508758.95232000004"/>
    <n v="0"/>
    <n v="224511.41785117215"/>
    <n v="508936.30018138164"/>
  </r>
  <r>
    <s v="Regular"/>
    <x v="2"/>
    <x v="3"/>
    <x v="5"/>
    <x v="1"/>
    <x v="1"/>
    <x v="0"/>
    <x v="1"/>
    <x v="4"/>
    <n v="0"/>
    <n v="0"/>
    <n v="1820.239"/>
    <n v="1711.02466"/>
    <n v="1820.239"/>
    <n v="1711.02466"/>
    <n v="0"/>
    <x v="3"/>
    <n v="0"/>
    <n v="0"/>
    <n v="31"/>
    <n v="79"/>
    <n v="0"/>
    <n v="88.66"/>
    <n v="311.04000000000002"/>
    <m/>
    <n v="137.25956288333876"/>
    <n v="311.14842517571947"/>
    <n v="0"/>
    <n v="151699.4463556"/>
    <n v="532197.1102464"/>
    <n v="0"/>
    <n v="234854.49691421332"/>
    <n v="532382.62839582085"/>
  </r>
  <r>
    <s v="Regular"/>
    <x v="2"/>
    <x v="3"/>
    <x v="5"/>
    <x v="1"/>
    <x v="1"/>
    <x v="0"/>
    <x v="1"/>
    <x v="5"/>
    <n v="0"/>
    <n v="0"/>
    <n v="1795.0060000000001"/>
    <n v="1687.30564"/>
    <n v="1795.0060000000001"/>
    <n v="1687.30564"/>
    <n v="0"/>
    <x v="3"/>
    <n v="0"/>
    <n v="0"/>
    <n v="31"/>
    <n v="79"/>
    <n v="0"/>
    <n v="88.66"/>
    <n v="311.04000000000002"/>
    <m/>
    <n v="137.25956288333876"/>
    <n v="311.14842517571947"/>
    <n v="0"/>
    <n v="149596.51804239998"/>
    <n v="524819.54626560002"/>
    <n v="0"/>
    <n v="231598.83459699215"/>
    <n v="525002.49267610942"/>
  </r>
  <r>
    <s v="Regular"/>
    <x v="2"/>
    <x v="3"/>
    <x v="5"/>
    <x v="1"/>
    <x v="1"/>
    <x v="0"/>
    <x v="1"/>
    <x v="6"/>
    <n v="0"/>
    <n v="0"/>
    <n v="1827.7429999999999"/>
    <n v="1718.0784200000001"/>
    <n v="1827.7429999999999"/>
    <n v="1718.0784200000001"/>
    <n v="0"/>
    <x v="3"/>
    <n v="0"/>
    <n v="0"/>
    <n v="31"/>
    <n v="79"/>
    <n v="0"/>
    <n v="88.66"/>
    <n v="311.04000000000002"/>
    <m/>
    <n v="137.25956288333876"/>
    <n v="311.14842517571947"/>
    <n v="0"/>
    <n v="152324.83271719998"/>
    <n v="534391.11175680009"/>
    <n v="0"/>
    <n v="235822.6929284973"/>
    <n v="534577.39471138839"/>
  </r>
  <r>
    <s v="Regular"/>
    <x v="2"/>
    <x v="3"/>
    <x v="5"/>
    <x v="1"/>
    <x v="1"/>
    <x v="0"/>
    <x v="1"/>
    <x v="7"/>
    <n v="0"/>
    <n v="0"/>
    <n v="1866.038"/>
    <n v="1754.07572"/>
    <n v="1866.038"/>
    <n v="1754.07572"/>
    <n v="0"/>
    <x v="3"/>
    <n v="0"/>
    <n v="0"/>
    <n v="31"/>
    <n v="79"/>
    <n v="0"/>
    <n v="88.66"/>
    <n v="311.04000000000002"/>
    <m/>
    <n v="137.25956288333876"/>
    <n v="311.14842517571947"/>
    <n v="0"/>
    <n v="155516.35333519999"/>
    <n v="545587.71194880002"/>
    <n v="0"/>
    <n v="240763.66659147773"/>
    <n v="545777.89791696623"/>
  </r>
  <r>
    <s v="Regular"/>
    <x v="2"/>
    <x v="3"/>
    <x v="5"/>
    <x v="1"/>
    <x v="1"/>
    <x v="0"/>
    <x v="1"/>
    <x v="8"/>
    <n v="0"/>
    <n v="0"/>
    <n v="1782.2"/>
    <n v="1675.268"/>
    <n v="1782.2"/>
    <n v="1675.268"/>
    <n v="0"/>
    <x v="3"/>
    <n v="0"/>
    <n v="0"/>
    <n v="31"/>
    <n v="79"/>
    <n v="0"/>
    <n v="88.66"/>
    <n v="311.04000000000002"/>
    <m/>
    <n v="137.25956288333876"/>
    <n v="311.14842517571947"/>
    <n v="0"/>
    <n v="148529.26087999999"/>
    <n v="521075.35872000002"/>
    <n v="0"/>
    <n v="229946.55339244517"/>
    <n v="521256.99994727719"/>
  </r>
  <r>
    <s v="Regular"/>
    <x v="2"/>
    <x v="3"/>
    <x v="5"/>
    <x v="1"/>
    <x v="1"/>
    <x v="0"/>
    <x v="1"/>
    <x v="9"/>
    <n v="0"/>
    <n v="0"/>
    <n v="1955.2739999999999"/>
    <n v="1837.9575600000001"/>
    <n v="1955.2739999999999"/>
    <n v="1837.9575600000001"/>
    <n v="0"/>
    <x v="3"/>
    <n v="0"/>
    <n v="0"/>
    <n v="31"/>
    <n v="79"/>
    <n v="0"/>
    <n v="88.66"/>
    <n v="311.04000000000002"/>
    <m/>
    <n v="137.25956288333876"/>
    <n v="311.14842517571947"/>
    <n v="0"/>
    <n v="162953.3172696"/>
    <n v="571678.31946240005"/>
    <n v="0"/>
    <n v="252277.25128372788"/>
    <n v="571877.60033380799"/>
  </r>
  <r>
    <s v="Regular"/>
    <x v="2"/>
    <x v="3"/>
    <x v="5"/>
    <x v="1"/>
    <x v="1"/>
    <x v="0"/>
    <x v="1"/>
    <x v="10"/>
    <n v="0"/>
    <n v="0"/>
    <n v="1900.193"/>
    <n v="1786.1814199999999"/>
    <n v="1900.193"/>
    <n v="1786.1814199999999"/>
    <n v="0"/>
    <x v="3"/>
    <n v="0"/>
    <n v="0"/>
    <n v="31"/>
    <n v="79"/>
    <n v="0"/>
    <n v="88.66"/>
    <n v="311.04000000000002"/>
    <m/>
    <n v="137.25956288333876"/>
    <n v="311.14842517571947"/>
    <n v="0"/>
    <n v="158362.84469719999"/>
    <n v="555573.86887680006"/>
    <n v="0"/>
    <n v="245170.4809395413"/>
    <n v="555767.53591113037"/>
  </r>
  <r>
    <s v="PROJETADO"/>
    <x v="2"/>
    <x v="3"/>
    <x v="5"/>
    <x v="1"/>
    <x v="1"/>
    <x v="0"/>
    <x v="1"/>
    <x v="11"/>
    <n v="0"/>
    <n v="0"/>
    <n v="1900.193"/>
    <n v="1786.1814199999999"/>
    <n v="1900.193"/>
    <n v="1786.1814199999999"/>
    <n v="0"/>
    <x v="3"/>
    <n v="0"/>
    <n v="0"/>
    <n v="31"/>
    <n v="79"/>
    <n v="0"/>
    <n v="88.66"/>
    <n v="311.04000000000002"/>
    <m/>
    <n v="137.25956288333876"/>
    <n v="311.14842517571947"/>
    <n v="0"/>
    <n v="158362.84469719999"/>
    <n v="555573.86887680006"/>
    <n v="0"/>
    <n v="245170.4809395413"/>
    <n v="555767.53591113037"/>
  </r>
  <r>
    <s v="Regular"/>
    <x v="2"/>
    <x v="3"/>
    <x v="5"/>
    <x v="1"/>
    <x v="1"/>
    <x v="0"/>
    <x v="0"/>
    <x v="0"/>
    <n v="4021"/>
    <n v="3417.85"/>
    <n v="0"/>
    <n v="0"/>
    <n v="0"/>
    <n v="0"/>
    <n v="50"/>
    <x v="3"/>
    <n v="0"/>
    <n v="29"/>
    <n v="0"/>
    <n v="0"/>
    <n v="25.51"/>
    <n v="0"/>
    <n v="0"/>
    <n v="29.803266797877356"/>
    <m/>
    <m/>
    <n v="87189.353499999997"/>
    <n v="0"/>
    <n v="0"/>
    <n v="101863.09542512512"/>
    <n v="0"/>
    <n v="0"/>
  </r>
  <r>
    <s v="Regular"/>
    <x v="2"/>
    <x v="3"/>
    <x v="5"/>
    <x v="1"/>
    <x v="1"/>
    <x v="0"/>
    <x v="0"/>
    <x v="1"/>
    <n v="4034"/>
    <n v="3428.9"/>
    <n v="0"/>
    <n v="0"/>
    <n v="0"/>
    <n v="0"/>
    <n v="51"/>
    <x v="3"/>
    <n v="0"/>
    <n v="29"/>
    <n v="0"/>
    <n v="0"/>
    <n v="25.51"/>
    <n v="0"/>
    <n v="0"/>
    <n v="29.803266797877356"/>
    <m/>
    <m/>
    <n v="87471.239000000001"/>
    <n v="0"/>
    <n v="0"/>
    <n v="102192.42152324168"/>
    <n v="0"/>
    <n v="0"/>
  </r>
  <r>
    <s v="Regular"/>
    <x v="2"/>
    <x v="3"/>
    <x v="5"/>
    <x v="1"/>
    <x v="1"/>
    <x v="0"/>
    <x v="0"/>
    <x v="2"/>
    <n v="4039"/>
    <n v="3433.15"/>
    <n v="0"/>
    <n v="0"/>
    <n v="0"/>
    <n v="0"/>
    <n v="50"/>
    <x v="3"/>
    <n v="0"/>
    <n v="29"/>
    <n v="0"/>
    <n v="0"/>
    <n v="25.51"/>
    <n v="0"/>
    <n v="0"/>
    <n v="29.803266797877356"/>
    <m/>
    <m/>
    <n v="87579.656500000012"/>
    <n v="0"/>
    <n v="0"/>
    <n v="102319.08540713265"/>
    <n v="0"/>
    <n v="0"/>
  </r>
  <r>
    <s v="Regular"/>
    <x v="2"/>
    <x v="3"/>
    <x v="5"/>
    <x v="1"/>
    <x v="1"/>
    <x v="0"/>
    <x v="0"/>
    <x v="3"/>
    <n v="4051"/>
    <n v="3443.35"/>
    <n v="0"/>
    <n v="0"/>
    <n v="0"/>
    <n v="0"/>
    <n v="50"/>
    <x v="3"/>
    <n v="0"/>
    <n v="29"/>
    <n v="0"/>
    <n v="0"/>
    <n v="25.51"/>
    <n v="0"/>
    <n v="0"/>
    <n v="29.803266797877356"/>
    <m/>
    <m/>
    <n v="87839.858500000002"/>
    <n v="0"/>
    <n v="0"/>
    <n v="102623.07872847099"/>
    <n v="0"/>
    <n v="0"/>
  </r>
  <r>
    <s v="Regular"/>
    <x v="2"/>
    <x v="3"/>
    <x v="5"/>
    <x v="1"/>
    <x v="1"/>
    <x v="0"/>
    <x v="0"/>
    <x v="4"/>
    <n v="4378"/>
    <n v="3721.2999999999997"/>
    <n v="0"/>
    <n v="0"/>
    <n v="0"/>
    <n v="0"/>
    <n v="53"/>
    <x v="3"/>
    <n v="0"/>
    <n v="29"/>
    <n v="0"/>
    <n v="0"/>
    <n v="25.51"/>
    <n v="0"/>
    <n v="0"/>
    <n v="29.803266797877356"/>
    <m/>
    <m/>
    <n v="94930.362999999998"/>
    <n v="0"/>
    <n v="0"/>
    <n v="110906.89673494099"/>
    <n v="0"/>
    <n v="0"/>
  </r>
  <r>
    <s v="Regular"/>
    <x v="2"/>
    <x v="3"/>
    <x v="5"/>
    <x v="1"/>
    <x v="1"/>
    <x v="0"/>
    <x v="0"/>
    <x v="5"/>
    <n v="4376"/>
    <n v="3719.6"/>
    <n v="0"/>
    <n v="0"/>
    <n v="0"/>
    <n v="0"/>
    <n v="54"/>
    <x v="3"/>
    <n v="0"/>
    <n v="29"/>
    <n v="0"/>
    <n v="0"/>
    <n v="25.51"/>
    <n v="0"/>
    <n v="0"/>
    <n v="29.803266797877356"/>
    <m/>
    <m/>
    <n v="94886.995999999999"/>
    <n v="0"/>
    <n v="0"/>
    <n v="110856.23118138462"/>
    <n v="0"/>
    <n v="0"/>
  </r>
  <r>
    <s v="Regular"/>
    <x v="2"/>
    <x v="3"/>
    <x v="5"/>
    <x v="1"/>
    <x v="1"/>
    <x v="0"/>
    <x v="0"/>
    <x v="6"/>
    <n v="4415"/>
    <n v="3752.75"/>
    <n v="0"/>
    <n v="0"/>
    <n v="0"/>
    <n v="0"/>
    <n v="54"/>
    <x v="3"/>
    <n v="0"/>
    <n v="29"/>
    <n v="0"/>
    <n v="0"/>
    <n v="25.51"/>
    <n v="0"/>
    <n v="0"/>
    <n v="29.803266797877356"/>
    <m/>
    <m/>
    <n v="95732.652500000011"/>
    <n v="0"/>
    <n v="0"/>
    <n v="111844.20947573424"/>
    <n v="0"/>
    <n v="0"/>
  </r>
  <r>
    <s v="Regular"/>
    <x v="2"/>
    <x v="3"/>
    <x v="5"/>
    <x v="1"/>
    <x v="1"/>
    <x v="0"/>
    <x v="0"/>
    <x v="7"/>
    <n v="4426"/>
    <n v="3762.1"/>
    <n v="0"/>
    <n v="0"/>
    <n v="0"/>
    <n v="0"/>
    <n v="54"/>
    <x v="3"/>
    <n v="0"/>
    <n v="29"/>
    <n v="0"/>
    <n v="0"/>
    <n v="25.51"/>
    <n v="0"/>
    <n v="0"/>
    <n v="29.803266797877356"/>
    <m/>
    <m/>
    <n v="95971.171000000002"/>
    <n v="0"/>
    <n v="0"/>
    <n v="112122.8700202944"/>
    <n v="0"/>
    <n v="0"/>
  </r>
  <r>
    <s v="Regular"/>
    <x v="2"/>
    <x v="3"/>
    <x v="5"/>
    <x v="1"/>
    <x v="1"/>
    <x v="0"/>
    <x v="0"/>
    <x v="8"/>
    <n v="4417"/>
    <n v="3754.45"/>
    <n v="0"/>
    <n v="0"/>
    <n v="0"/>
    <n v="0"/>
    <n v="54"/>
    <x v="3"/>
    <n v="0"/>
    <n v="29"/>
    <n v="0"/>
    <n v="0"/>
    <n v="25.51"/>
    <n v="0"/>
    <n v="0"/>
    <n v="29.803266797877356"/>
    <m/>
    <m/>
    <n v="95776.019499999995"/>
    <n v="0"/>
    <n v="0"/>
    <n v="111894.87502929063"/>
    <n v="0"/>
    <n v="0"/>
  </r>
  <r>
    <s v="Regular"/>
    <x v="2"/>
    <x v="3"/>
    <x v="5"/>
    <x v="1"/>
    <x v="1"/>
    <x v="0"/>
    <x v="0"/>
    <x v="9"/>
    <n v="4545"/>
    <n v="3863.25"/>
    <n v="0"/>
    <n v="0"/>
    <n v="0"/>
    <n v="0"/>
    <n v="54"/>
    <x v="3"/>
    <n v="0"/>
    <n v="29"/>
    <n v="0"/>
    <n v="0"/>
    <n v="25.51"/>
    <n v="0"/>
    <n v="0"/>
    <n v="29.803266797877356"/>
    <m/>
    <m/>
    <n v="98551.507500000007"/>
    <n v="0"/>
    <n v="0"/>
    <n v="115137.4704568997"/>
    <n v="0"/>
    <n v="0"/>
  </r>
  <r>
    <s v="Regular"/>
    <x v="2"/>
    <x v="3"/>
    <x v="5"/>
    <x v="1"/>
    <x v="1"/>
    <x v="0"/>
    <x v="0"/>
    <x v="10"/>
    <n v="4566"/>
    <n v="3881.1"/>
    <n v="0"/>
    <n v="0"/>
    <n v="0"/>
    <n v="0"/>
    <n v="54"/>
    <x v="3"/>
    <n v="0"/>
    <n v="29"/>
    <n v="0"/>
    <n v="0"/>
    <n v="25.51"/>
    <n v="0"/>
    <n v="0"/>
    <n v="29.803266797877356"/>
    <m/>
    <m/>
    <n v="99006.861000000004"/>
    <n v="0"/>
    <n v="0"/>
    <n v="115669.4587692418"/>
    <n v="0"/>
    <n v="0"/>
  </r>
  <r>
    <s v="PROJETADO"/>
    <x v="2"/>
    <x v="3"/>
    <x v="5"/>
    <x v="1"/>
    <x v="1"/>
    <x v="0"/>
    <x v="0"/>
    <x v="11"/>
    <n v="4566"/>
    <n v="3881.1"/>
    <n v="0"/>
    <n v="0"/>
    <n v="0"/>
    <n v="0"/>
    <n v="54"/>
    <x v="3"/>
    <n v="0"/>
    <n v="29"/>
    <n v="0"/>
    <n v="0"/>
    <n v="25.51"/>
    <n v="0"/>
    <n v="0"/>
    <n v="29.803266797877356"/>
    <m/>
    <m/>
    <n v="99006.861000000004"/>
    <n v="0"/>
    <n v="0"/>
    <n v="115669.4587692418"/>
    <n v="0"/>
    <n v="0"/>
  </r>
  <r>
    <s v="Regular"/>
    <x v="2"/>
    <x v="3"/>
    <x v="5"/>
    <x v="1"/>
    <x v="1"/>
    <x v="0"/>
    <x v="2"/>
    <x v="0"/>
    <n v="0"/>
    <n v="0"/>
    <n v="105.333"/>
    <n v="99.013019999999997"/>
    <n v="105.333"/>
    <n v="99.013019999999997"/>
    <n v="0"/>
    <x v="3"/>
    <n v="0"/>
    <n v="0"/>
    <n v="30"/>
    <n v="78"/>
    <n v="0"/>
    <n v="1682.12"/>
    <n v="496.15"/>
    <m/>
    <n v="1969.6669835803759"/>
    <n v="506.4861368306324"/>
    <n v="0"/>
    <n v="166551.78120239999"/>
    <n v="49125.309872999998"/>
    <n v="0"/>
    <n v="195022.67643858344"/>
    <n v="50148.721995734144"/>
  </r>
  <r>
    <s v="Regular"/>
    <x v="2"/>
    <x v="3"/>
    <x v="5"/>
    <x v="1"/>
    <x v="1"/>
    <x v="0"/>
    <x v="2"/>
    <x v="1"/>
    <n v="0"/>
    <n v="0"/>
    <n v="117.941"/>
    <n v="110.86454000000001"/>
    <n v="117.941"/>
    <n v="110.86454000000001"/>
    <n v="0"/>
    <x v="3"/>
    <n v="0"/>
    <n v="0"/>
    <n v="30"/>
    <n v="78"/>
    <n v="0"/>
    <n v="1682.12"/>
    <n v="496.15"/>
    <m/>
    <n v="1969.6669835803759"/>
    <n v="506.4861368306324"/>
    <n v="0"/>
    <n v="186487.46002480001"/>
    <n v="55005.441521000001"/>
    <n v="0"/>
    <n v="218366.22408782595"/>
    <n v="56151.352576105121"/>
  </r>
  <r>
    <s v="Regular"/>
    <x v="2"/>
    <x v="3"/>
    <x v="5"/>
    <x v="1"/>
    <x v="1"/>
    <x v="0"/>
    <x v="2"/>
    <x v="2"/>
    <n v="0"/>
    <n v="0"/>
    <n v="125.121"/>
    <n v="117.61374000000001"/>
    <n v="125.121"/>
    <n v="117.61374000000001"/>
    <n v="0"/>
    <x v="3"/>
    <n v="0"/>
    <n v="0"/>
    <n v="30"/>
    <n v="78"/>
    <n v="0"/>
    <n v="1682.12"/>
    <n v="496.15"/>
    <m/>
    <n v="1969.6669835803759"/>
    <n v="506.4861368306324"/>
    <n v="0"/>
    <n v="197840.4243288"/>
    <n v="58354.057100999999"/>
    <n v="0"/>
    <n v="231659.9004934066"/>
    <n v="59569.72881080243"/>
  </r>
  <r>
    <s v="Regular"/>
    <x v="2"/>
    <x v="3"/>
    <x v="5"/>
    <x v="1"/>
    <x v="1"/>
    <x v="0"/>
    <x v="2"/>
    <x v="3"/>
    <n v="0"/>
    <n v="0"/>
    <n v="141.72900000000001"/>
    <n v="133.22525999999999"/>
    <n v="141.72900000000001"/>
    <n v="133.22525999999999"/>
    <n v="0"/>
    <x v="3"/>
    <n v="0"/>
    <n v="0"/>
    <n v="30"/>
    <n v="78"/>
    <n v="0"/>
    <n v="1682.12"/>
    <n v="496.15"/>
    <m/>
    <n v="1969.6669835803759"/>
    <n v="506.4861368306324"/>
    <n v="0"/>
    <n v="224100.87435119998"/>
    <n v="66099.712748999998"/>
    <n v="0"/>
    <n v="262409.39600091131"/>
    <n v="67476.747265656581"/>
  </r>
  <r>
    <s v="Regular"/>
    <x v="2"/>
    <x v="3"/>
    <x v="5"/>
    <x v="1"/>
    <x v="1"/>
    <x v="0"/>
    <x v="2"/>
    <x v="4"/>
    <n v="0"/>
    <n v="0"/>
    <n v="136.21299999999999"/>
    <n v="128.04022000000001"/>
    <n v="136.21299999999999"/>
    <n v="128.04022000000001"/>
    <n v="0"/>
    <x v="3"/>
    <n v="0"/>
    <n v="0"/>
    <n v="30"/>
    <n v="78"/>
    <n v="0"/>
    <n v="1682.12"/>
    <n v="496.15"/>
    <m/>
    <n v="1969.6669835803759"/>
    <n v="506.4861368306324"/>
    <n v="0"/>
    <n v="215379.01486639999"/>
    <n v="63527.155153"/>
    <n v="0"/>
    <n v="252196.59390436774"/>
    <n v="64850.596386744277"/>
  </r>
  <r>
    <s v="Regular"/>
    <x v="2"/>
    <x v="3"/>
    <x v="5"/>
    <x v="1"/>
    <x v="1"/>
    <x v="0"/>
    <x v="2"/>
    <x v="5"/>
    <n v="0"/>
    <n v="0"/>
    <n v="136.42500000000001"/>
    <n v="128.23949999999999"/>
    <n v="136.42500000000001"/>
    <n v="128.23949999999999"/>
    <n v="0"/>
    <x v="3"/>
    <n v="0"/>
    <n v="0"/>
    <n v="30"/>
    <n v="78"/>
    <n v="0"/>
    <n v="1682.12"/>
    <n v="496.15"/>
    <m/>
    <n v="1969.6669835803759"/>
    <n v="506.4861368306324"/>
    <n v="0"/>
    <n v="215714.22773999997"/>
    <n v="63626.027924999995"/>
    <n v="0"/>
    <n v="252589.10914085561"/>
    <n v="64951.528944091879"/>
  </r>
  <r>
    <s v="Regular"/>
    <x v="2"/>
    <x v="3"/>
    <x v="5"/>
    <x v="1"/>
    <x v="1"/>
    <x v="0"/>
    <x v="2"/>
    <x v="6"/>
    <n v="0"/>
    <n v="0"/>
    <n v="155.38999999999999"/>
    <n v="146.06659999999999"/>
    <n v="155.38999999999999"/>
    <n v="146.06659999999999"/>
    <n v="0"/>
    <x v="3"/>
    <n v="0"/>
    <n v="0"/>
    <n v="30"/>
    <n v="78"/>
    <n v="0"/>
    <n v="1682.12"/>
    <n v="496.15"/>
    <m/>
    <n v="1969.6669835803759"/>
    <n v="506.4861368306324"/>
    <n v="0"/>
    <n v="245701.54919199998"/>
    <n v="72470.943589999995"/>
    <n v="0"/>
    <n v="287702.5594238413"/>
    <n v="73980.707953985242"/>
  </r>
  <r>
    <s v="Regular"/>
    <x v="2"/>
    <x v="3"/>
    <x v="5"/>
    <x v="1"/>
    <x v="1"/>
    <x v="0"/>
    <x v="2"/>
    <x v="7"/>
    <n v="0"/>
    <n v="0"/>
    <n v="157.398"/>
    <n v="147.95411999999999"/>
    <n v="157.398"/>
    <n v="147.95411999999999"/>
    <n v="0"/>
    <x v="3"/>
    <n v="0"/>
    <n v="0"/>
    <n v="30"/>
    <n v="78"/>
    <n v="0"/>
    <n v="1682.12"/>
    <n v="496.15"/>
    <m/>
    <n v="1969.6669835803759"/>
    <n v="506.4861368306324"/>
    <n v="0"/>
    <n v="248876.58433439996"/>
    <n v="73407.436637999985"/>
    <n v="0"/>
    <n v="291420.34524868894"/>
    <n v="74936.710666975807"/>
  </r>
  <r>
    <s v="Regular"/>
    <x v="2"/>
    <x v="3"/>
    <x v="5"/>
    <x v="1"/>
    <x v="1"/>
    <x v="0"/>
    <x v="2"/>
    <x v="8"/>
    <n v="0"/>
    <n v="0"/>
    <n v="144.5"/>
    <n v="135.83000000000001"/>
    <n v="144.5"/>
    <n v="135.83000000000001"/>
    <n v="0"/>
    <x v="3"/>
    <n v="0"/>
    <n v="0"/>
    <n v="30"/>
    <n v="78"/>
    <n v="0"/>
    <n v="1682.12"/>
    <n v="496.15"/>
    <m/>
    <n v="1969.6669835803759"/>
    <n v="506.4861368306324"/>
    <n v="0"/>
    <n v="228482.3596"/>
    <n v="67392.054499999998"/>
    <n v="0"/>
    <n v="267539.86637972249"/>
    <n v="68796.011965704805"/>
  </r>
  <r>
    <s v="Regular"/>
    <x v="2"/>
    <x v="3"/>
    <x v="5"/>
    <x v="1"/>
    <x v="1"/>
    <x v="0"/>
    <x v="2"/>
    <x v="9"/>
    <n v="0"/>
    <n v="0"/>
    <n v="148.15700000000001"/>
    <n v="139.26758000000001"/>
    <n v="148.15700000000001"/>
    <n v="139.26758000000001"/>
    <n v="0"/>
    <x v="3"/>
    <n v="0"/>
    <n v="0"/>
    <n v="30"/>
    <n v="78"/>
    <n v="0"/>
    <n v="1682.12"/>
    <n v="496.15"/>
    <m/>
    <n v="1969.6669835803759"/>
    <n v="506.4861368306324"/>
    <n v="0"/>
    <n v="234264.78166959999"/>
    <n v="69097.609817000004"/>
    <n v="0"/>
    <n v="274310.75420913869"/>
    <n v="70537.098579951053"/>
  </r>
  <r>
    <s v="Regular"/>
    <x v="2"/>
    <x v="3"/>
    <x v="5"/>
    <x v="1"/>
    <x v="1"/>
    <x v="0"/>
    <x v="2"/>
    <x v="10"/>
    <n v="0"/>
    <n v="0"/>
    <n v="144.87200000000001"/>
    <n v="136.17967999999999"/>
    <n v="144.87200000000001"/>
    <n v="136.17967999999999"/>
    <n v="0"/>
    <x v="3"/>
    <n v="0"/>
    <n v="0"/>
    <n v="30"/>
    <n v="78"/>
    <n v="0"/>
    <n v="1682.12"/>
    <n v="496.15"/>
    <m/>
    <n v="1969.6669835803759"/>
    <n v="506.4861368306324"/>
    <n v="0"/>
    <n v="229070.56332159997"/>
    <n v="67565.548231999986"/>
    <n v="0"/>
    <n v="268228.61953054083"/>
    <n v="68973.120038031731"/>
  </r>
  <r>
    <s v="PROJETADO"/>
    <x v="2"/>
    <x v="3"/>
    <x v="5"/>
    <x v="1"/>
    <x v="1"/>
    <x v="0"/>
    <x v="2"/>
    <x v="11"/>
    <n v="0"/>
    <n v="0"/>
    <n v="144.87200000000001"/>
    <n v="136.17967999999999"/>
    <n v="144.87200000000001"/>
    <n v="136.17967999999999"/>
    <n v="0"/>
    <x v="3"/>
    <n v="0"/>
    <n v="0"/>
    <n v="30"/>
    <n v="78"/>
    <n v="0"/>
    <n v="1682.12"/>
    <n v="496.15"/>
    <m/>
    <n v="1969.6669835803759"/>
    <n v="506.4861368306324"/>
    <n v="0"/>
    <n v="229070.56332159997"/>
    <n v="67565.548231999986"/>
    <n v="0"/>
    <n v="268228.61953054083"/>
    <n v="68973.120038031731"/>
  </r>
  <r>
    <s v="Regular"/>
    <x v="3"/>
    <x v="4"/>
    <x v="7"/>
    <x v="2"/>
    <x v="1"/>
    <x v="0"/>
    <x v="1"/>
    <x v="0"/>
    <n v="0"/>
    <n v="0"/>
    <n v="8.6929999999999996"/>
    <n v="8.6929999999999996"/>
    <n v="8.6929999999999996"/>
    <n v="8.6929999999999996"/>
    <n v="0"/>
    <x v="3"/>
    <n v="0"/>
    <n v="0"/>
    <n v="40"/>
    <n v="83"/>
    <n v="0"/>
    <n v="236.99"/>
    <n v="311.04000000000002"/>
    <m/>
    <n v="314.66685855939909"/>
    <n v="311.14842517571947"/>
    <n v="0"/>
    <n v="2060.15407"/>
    <n v="2703.8707199999999"/>
    <n v="0"/>
    <n v="2735.3990014568562"/>
    <n v="2704.8132600525291"/>
  </r>
  <r>
    <s v="Sistema de Compensação"/>
    <x v="3"/>
    <x v="4"/>
    <x v="7"/>
    <x v="2"/>
    <x v="1"/>
    <x v="0"/>
    <x v="1"/>
    <x v="0"/>
    <n v="0"/>
    <n v="0"/>
    <n v="0.42499999999999999"/>
    <n v="0.42499999999999999"/>
    <n v="0.42499999999999999"/>
    <n v="0.42499999999999999"/>
    <n v="0"/>
    <x v="3"/>
    <n v="0"/>
    <n v="0"/>
    <n v="40"/>
    <n v="83"/>
    <n v="0"/>
    <n v="236.99"/>
    <n v="311.04000000000002"/>
    <m/>
    <n v="314.66685855939909"/>
    <n v="311.14842517571947"/>
    <n v="0"/>
    <n v="100.72075"/>
    <n v="132.19200000000001"/>
    <n v="0"/>
    <n v="133.7334148877446"/>
    <n v="132.23808069968078"/>
  </r>
  <r>
    <s v="Regular"/>
    <x v="3"/>
    <x v="4"/>
    <x v="7"/>
    <x v="2"/>
    <x v="1"/>
    <x v="0"/>
    <x v="1"/>
    <x v="1"/>
    <n v="0"/>
    <n v="0"/>
    <n v="8.1649999999999991"/>
    <n v="8.1649999999999991"/>
    <n v="8.1649999999999991"/>
    <n v="8.1649999999999991"/>
    <n v="0"/>
    <x v="3"/>
    <n v="0"/>
    <n v="0"/>
    <n v="40"/>
    <n v="83"/>
    <n v="0"/>
    <n v="236.99"/>
    <n v="311.04000000000002"/>
    <m/>
    <n v="314.66685855939909"/>
    <n v="311.14842517571947"/>
    <n v="0"/>
    <n v="1935.0233499999999"/>
    <n v="2539.6415999999999"/>
    <n v="0"/>
    <n v="2569.2549001374932"/>
    <n v="2540.5268915597494"/>
  </r>
  <r>
    <s v="Sistema de Compensação"/>
    <x v="3"/>
    <x v="4"/>
    <x v="7"/>
    <x v="2"/>
    <x v="1"/>
    <x v="0"/>
    <x v="1"/>
    <x v="1"/>
    <n v="0"/>
    <n v="0"/>
    <n v="0.86899999999999999"/>
    <n v="0.86899999999999999"/>
    <n v="0.86899999999999999"/>
    <n v="0.86899999999999999"/>
    <n v="0"/>
    <x v="3"/>
    <n v="0"/>
    <n v="0"/>
    <n v="40"/>
    <n v="83"/>
    <n v="0"/>
    <n v="236.99"/>
    <n v="311.04000000000002"/>
    <m/>
    <n v="314.66685855939909"/>
    <n v="311.14842517571947"/>
    <n v="0"/>
    <n v="205.94431"/>
    <n v="270.29376000000002"/>
    <n v="0"/>
    <n v="273.4455000881178"/>
    <n v="270.38798147770024"/>
  </r>
  <r>
    <s v="Sistema de Compensação"/>
    <x v="3"/>
    <x v="4"/>
    <x v="7"/>
    <x v="2"/>
    <x v="1"/>
    <x v="0"/>
    <x v="1"/>
    <x v="1"/>
    <n v="0"/>
    <n v="0"/>
    <n v="-9.4E-2"/>
    <n v="-9.4E-2"/>
    <n v="-9.4E-2"/>
    <n v="-9.4E-2"/>
    <n v="0"/>
    <x v="3"/>
    <n v="0"/>
    <n v="0"/>
    <n v="40"/>
    <n v="83"/>
    <n v="0"/>
    <n v="236.99"/>
    <n v="311.04000000000002"/>
    <m/>
    <n v="314.66685855939909"/>
    <n v="311.14842517571947"/>
    <n v="0"/>
    <n v="-22.277060000000002"/>
    <n v="-29.237760000000002"/>
    <n v="0"/>
    <n v="-29.578684704583516"/>
    <n v="-29.247951966517629"/>
  </r>
  <r>
    <s v="Regular"/>
    <x v="3"/>
    <x v="4"/>
    <x v="7"/>
    <x v="2"/>
    <x v="1"/>
    <x v="0"/>
    <x v="1"/>
    <x v="2"/>
    <n v="0"/>
    <n v="0"/>
    <n v="9.9710000000000001"/>
    <n v="9.9710000000000001"/>
    <n v="9.9710000000000001"/>
    <n v="9.9710000000000001"/>
    <n v="0"/>
    <x v="3"/>
    <n v="0"/>
    <n v="0"/>
    <n v="40"/>
    <n v="83"/>
    <n v="0"/>
    <n v="236.99"/>
    <n v="311.04000000000002"/>
    <m/>
    <n v="314.66685855939909"/>
    <n v="311.14842517571947"/>
    <n v="0"/>
    <n v="2363.02729"/>
    <n v="3101.3798400000001"/>
    <n v="0"/>
    <n v="3137.5432466957682"/>
    <n v="3102.4609474270987"/>
  </r>
  <r>
    <s v="Sistema de Compensação"/>
    <x v="3"/>
    <x v="4"/>
    <x v="7"/>
    <x v="2"/>
    <x v="1"/>
    <x v="0"/>
    <x v="1"/>
    <x v="2"/>
    <n v="0"/>
    <n v="0"/>
    <n v="0.62"/>
    <n v="0.62"/>
    <n v="0.62"/>
    <n v="0.62"/>
    <n v="0"/>
    <x v="3"/>
    <n v="0"/>
    <n v="0"/>
    <n v="40"/>
    <n v="83"/>
    <n v="0"/>
    <n v="236.99"/>
    <n v="311.04000000000002"/>
    <m/>
    <n v="314.66685855939909"/>
    <n v="311.14842517571947"/>
    <n v="0"/>
    <n v="146.93379999999999"/>
    <n v="192.84480000000002"/>
    <n v="0"/>
    <n v="195.09345230682743"/>
    <n v="192.91202360894607"/>
  </r>
  <r>
    <s v="Regular"/>
    <x v="3"/>
    <x v="4"/>
    <x v="7"/>
    <x v="2"/>
    <x v="1"/>
    <x v="0"/>
    <x v="1"/>
    <x v="3"/>
    <n v="0"/>
    <n v="0"/>
    <n v="10.641"/>
    <n v="10.641"/>
    <n v="10.641"/>
    <n v="10.641"/>
    <n v="0"/>
    <x v="3"/>
    <n v="0"/>
    <n v="0"/>
    <n v="40"/>
    <n v="83"/>
    <n v="0"/>
    <n v="236.99"/>
    <n v="311.04000000000002"/>
    <m/>
    <n v="314.66685855939909"/>
    <n v="311.14842517571947"/>
    <n v="0"/>
    <n v="2521.81059"/>
    <n v="3309.77664"/>
    <n v="0"/>
    <n v="3348.3700419305655"/>
    <n v="3310.9303922948307"/>
  </r>
  <r>
    <s v="Sistema de Compensação"/>
    <x v="3"/>
    <x v="4"/>
    <x v="7"/>
    <x v="2"/>
    <x v="1"/>
    <x v="0"/>
    <x v="1"/>
    <x v="3"/>
    <n v="0"/>
    <n v="0"/>
    <n v="0.85299999999999998"/>
    <n v="0.85299999999999998"/>
    <n v="0.85299999999999998"/>
    <n v="0.85299999999999998"/>
    <n v="0"/>
    <x v="3"/>
    <n v="0"/>
    <n v="0"/>
    <n v="40"/>
    <n v="83"/>
    <n v="0"/>
    <n v="236.99"/>
    <n v="311.04000000000002"/>
    <m/>
    <n v="314.66685855939909"/>
    <n v="311.14842517571947"/>
    <n v="0"/>
    <n v="202.15246999999999"/>
    <n v="265.31711999999999"/>
    <n v="0"/>
    <n v="268.41083035116742"/>
    <n v="265.40960667488872"/>
  </r>
  <r>
    <s v="Regular"/>
    <x v="3"/>
    <x v="4"/>
    <x v="7"/>
    <x v="2"/>
    <x v="1"/>
    <x v="0"/>
    <x v="1"/>
    <x v="4"/>
    <n v="0"/>
    <n v="0"/>
    <n v="9.1449999999999996"/>
    <n v="9.1449999999999996"/>
    <n v="9.1449999999999996"/>
    <n v="9.1449999999999996"/>
    <n v="0"/>
    <x v="3"/>
    <n v="0"/>
    <n v="0"/>
    <n v="40"/>
    <n v="83"/>
    <n v="0"/>
    <n v="236.99"/>
    <n v="311.04000000000002"/>
    <m/>
    <n v="314.66685855939909"/>
    <n v="311.14842517571947"/>
    <n v="0"/>
    <n v="2167.2735499999999"/>
    <n v="2844.4607999999998"/>
    <n v="0"/>
    <n v="2877.6284215257047"/>
    <n v="2845.4523482319546"/>
  </r>
  <r>
    <s v="Sistema de Compensação"/>
    <x v="3"/>
    <x v="4"/>
    <x v="7"/>
    <x v="2"/>
    <x v="1"/>
    <x v="0"/>
    <x v="1"/>
    <x v="4"/>
    <n v="0"/>
    <n v="0"/>
    <n v="0.27900000000000003"/>
    <n v="0.27900000000000003"/>
    <n v="0.27900000000000003"/>
    <n v="0.27900000000000003"/>
    <n v="0"/>
    <x v="3"/>
    <n v="0"/>
    <n v="0"/>
    <n v="40"/>
    <n v="83"/>
    <n v="0"/>
    <n v="236.99"/>
    <n v="311.04000000000002"/>
    <m/>
    <n v="314.66685855939909"/>
    <n v="311.14842517571947"/>
    <n v="0"/>
    <n v="66.120210000000014"/>
    <n v="86.780160000000009"/>
    <n v="0"/>
    <n v="87.792053538072352"/>
    <n v="86.810410624025735"/>
  </r>
  <r>
    <s v="Sistema de Compensação"/>
    <x v="3"/>
    <x v="4"/>
    <x v="7"/>
    <x v="2"/>
    <x v="1"/>
    <x v="0"/>
    <x v="1"/>
    <x v="4"/>
    <n v="0"/>
    <n v="0"/>
    <n v="-0.154"/>
    <n v="-0.154"/>
    <n v="-0.154"/>
    <n v="-0.154"/>
    <n v="0"/>
    <x v="3"/>
    <n v="0"/>
    <n v="0"/>
    <n v="40"/>
    <n v="83"/>
    <n v="0"/>
    <n v="236.99"/>
    <n v="311.04000000000002"/>
    <m/>
    <n v="314.66685855939909"/>
    <n v="311.14842517571947"/>
    <n v="0"/>
    <n v="-36.496459999999999"/>
    <n v="-47.90016"/>
    <n v="0"/>
    <n v="-48.458696218147459"/>
    <n v="-47.916857477060795"/>
  </r>
  <r>
    <s v="Regular"/>
    <x v="3"/>
    <x v="4"/>
    <x v="7"/>
    <x v="2"/>
    <x v="1"/>
    <x v="0"/>
    <x v="1"/>
    <x v="5"/>
    <n v="0"/>
    <n v="0"/>
    <n v="9.7889999999999997"/>
    <n v="9.7889999999999997"/>
    <n v="9.7889999999999997"/>
    <n v="9.7889999999999997"/>
    <n v="0"/>
    <x v="3"/>
    <n v="0"/>
    <n v="0"/>
    <n v="40"/>
    <n v="83"/>
    <n v="0"/>
    <n v="236.99"/>
    <n v="311.04000000000002"/>
    <m/>
    <n v="314.66685855939909"/>
    <n v="311.14842517571947"/>
    <n v="0"/>
    <n v="2319.8951099999999"/>
    <n v="3044.7705599999999"/>
    <n v="0"/>
    <n v="3080.2738784379576"/>
    <n v="3045.8319340451176"/>
  </r>
  <r>
    <s v="Sistema de Compensação"/>
    <x v="3"/>
    <x v="4"/>
    <x v="7"/>
    <x v="2"/>
    <x v="1"/>
    <x v="0"/>
    <x v="1"/>
    <x v="5"/>
    <n v="0"/>
    <n v="0"/>
    <n v="0.96399999999999997"/>
    <n v="0.96399999999999997"/>
    <n v="0.96399999999999997"/>
    <n v="0.96399999999999997"/>
    <n v="0"/>
    <x v="3"/>
    <n v="0"/>
    <n v="0"/>
    <n v="40"/>
    <n v="83"/>
    <n v="0"/>
    <n v="236.99"/>
    <n v="311.04000000000002"/>
    <m/>
    <n v="314.66685855939909"/>
    <n v="311.14842517571947"/>
    <n v="0"/>
    <n v="228.45836"/>
    <n v="299.84255999999999"/>
    <n v="0"/>
    <n v="303.33885165126071"/>
    <n v="299.94708186939357"/>
  </r>
  <r>
    <s v="Regular"/>
    <x v="3"/>
    <x v="4"/>
    <x v="7"/>
    <x v="2"/>
    <x v="1"/>
    <x v="0"/>
    <x v="1"/>
    <x v="6"/>
    <n v="0"/>
    <n v="0"/>
    <n v="9.9890000000000008"/>
    <n v="9.9890000000000008"/>
    <n v="9.9890000000000008"/>
    <n v="9.9890000000000008"/>
    <n v="0"/>
    <x v="3"/>
    <n v="0"/>
    <n v="0"/>
    <n v="40"/>
    <n v="83"/>
    <n v="0"/>
    <n v="236.99"/>
    <n v="311.04000000000002"/>
    <m/>
    <n v="314.66685855939909"/>
    <n v="311.14842517571947"/>
    <n v="0"/>
    <n v="2367.2931100000001"/>
    <n v="3106.9785600000005"/>
    <n v="0"/>
    <n v="3143.2072501498378"/>
    <n v="3108.0616190802621"/>
  </r>
  <r>
    <s v="Refaturamento - Regular"/>
    <x v="3"/>
    <x v="4"/>
    <x v="7"/>
    <x v="2"/>
    <x v="1"/>
    <x v="0"/>
    <x v="1"/>
    <x v="6"/>
    <n v="0"/>
    <n v="0"/>
    <n v="-0.69599999999999995"/>
    <n v="-0.69599999999999995"/>
    <n v="-0.69599999999999995"/>
    <n v="-0.69599999999999995"/>
    <n v="0"/>
    <x v="3"/>
    <n v="0"/>
    <n v="0"/>
    <n v="40"/>
    <n v="83"/>
    <n v="0"/>
    <n v="236.99"/>
    <n v="311.04000000000002"/>
    <m/>
    <n v="314.66685855939909"/>
    <n v="311.14842517571947"/>
    <n v="0"/>
    <n v="-164.94504000000001"/>
    <n v="-216.48383999999999"/>
    <n v="0"/>
    <n v="-219.00813355734175"/>
    <n v="-216.55930392230073"/>
  </r>
  <r>
    <s v="Sistema de Compensação"/>
    <x v="3"/>
    <x v="4"/>
    <x v="7"/>
    <x v="2"/>
    <x v="1"/>
    <x v="0"/>
    <x v="1"/>
    <x v="6"/>
    <n v="0"/>
    <n v="0"/>
    <n v="0.22"/>
    <n v="0.22"/>
    <n v="0.22"/>
    <n v="0.22"/>
    <n v="0"/>
    <x v="3"/>
    <n v="0"/>
    <n v="0"/>
    <n v="40"/>
    <n v="83"/>
    <n v="0"/>
    <n v="236.99"/>
    <n v="311.04000000000002"/>
    <m/>
    <n v="314.66685855939909"/>
    <n v="311.14842517571947"/>
    <n v="0"/>
    <n v="52.137800000000006"/>
    <n v="68.42880000000001"/>
    <n v="0"/>
    <n v="69.226708883067801"/>
    <n v="68.452653538658282"/>
  </r>
  <r>
    <s v="Sistema de Compensação"/>
    <x v="3"/>
    <x v="4"/>
    <x v="7"/>
    <x v="2"/>
    <x v="1"/>
    <x v="0"/>
    <x v="1"/>
    <x v="6"/>
    <n v="0"/>
    <n v="0"/>
    <n v="-0.23699999999999999"/>
    <n v="-0.23699999999999999"/>
    <n v="-0.23699999999999999"/>
    <n v="-0.23699999999999999"/>
    <n v="0"/>
    <x v="3"/>
    <n v="0"/>
    <n v="0"/>
    <n v="40"/>
    <n v="83"/>
    <n v="0"/>
    <n v="236.99"/>
    <n v="311.04000000000002"/>
    <m/>
    <n v="314.66685855939909"/>
    <n v="311.14842517571947"/>
    <n v="0"/>
    <n v="-56.166629999999998"/>
    <n v="-73.716480000000004"/>
    <n v="0"/>
    <n v="-74.576045478577583"/>
    <n v="-73.742176766645514"/>
  </r>
  <r>
    <s v="Regular"/>
    <x v="3"/>
    <x v="4"/>
    <x v="7"/>
    <x v="2"/>
    <x v="1"/>
    <x v="0"/>
    <x v="1"/>
    <x v="7"/>
    <n v="0"/>
    <n v="0"/>
    <n v="9.3889999999999993"/>
    <n v="9.3889999999999993"/>
    <n v="9.3889999999999993"/>
    <n v="9.3889999999999993"/>
    <n v="0"/>
    <x v="3"/>
    <n v="0"/>
    <n v="0"/>
    <n v="40"/>
    <n v="83"/>
    <n v="0"/>
    <n v="236.99"/>
    <n v="311.04000000000002"/>
    <m/>
    <n v="314.66685855939909"/>
    <n v="311.14842517571947"/>
    <n v="0"/>
    <n v="2225.0991100000001"/>
    <n v="2920.3545599999998"/>
    <n v="0"/>
    <n v="2954.407135014198"/>
    <n v="2921.37256397483"/>
  </r>
  <r>
    <s v="Sistema de Compensação"/>
    <x v="3"/>
    <x v="4"/>
    <x v="7"/>
    <x v="2"/>
    <x v="1"/>
    <x v="0"/>
    <x v="1"/>
    <x v="7"/>
    <n v="0"/>
    <n v="0"/>
    <n v="0.51800000000000002"/>
    <n v="0.51800000000000002"/>
    <n v="0.51800000000000002"/>
    <n v="0.51800000000000002"/>
    <n v="0"/>
    <x v="3"/>
    <n v="0"/>
    <n v="0"/>
    <n v="40"/>
    <n v="83"/>
    <n v="0"/>
    <n v="236.99"/>
    <n v="311.04000000000002"/>
    <m/>
    <n v="314.66685855939909"/>
    <n v="311.14842517571947"/>
    <n v="0"/>
    <n v="122.76082000000001"/>
    <n v="161.11872000000002"/>
    <n v="0"/>
    <n v="162.99743273376873"/>
    <n v="161.17488424102268"/>
  </r>
  <r>
    <s v="Regular"/>
    <x v="3"/>
    <x v="4"/>
    <x v="7"/>
    <x v="2"/>
    <x v="1"/>
    <x v="0"/>
    <x v="1"/>
    <x v="8"/>
    <n v="0"/>
    <n v="0"/>
    <n v="10.298999999999999"/>
    <n v="10.298999999999999"/>
    <n v="10.298999999999999"/>
    <n v="10.298999999999999"/>
    <n v="0"/>
    <x v="3"/>
    <n v="0"/>
    <n v="0"/>
    <n v="40"/>
    <n v="83"/>
    <n v="0"/>
    <n v="236.99"/>
    <n v="311.04000000000002"/>
    <m/>
    <n v="314.66685855939909"/>
    <n v="311.14842517571947"/>
    <n v="0"/>
    <n v="2440.76001"/>
    <n v="3203.4009599999999"/>
    <n v="0"/>
    <n v="3240.753976303251"/>
    <n v="3204.5176308847344"/>
  </r>
  <r>
    <s v="Sistema de Compensação"/>
    <x v="3"/>
    <x v="4"/>
    <x v="7"/>
    <x v="2"/>
    <x v="1"/>
    <x v="0"/>
    <x v="1"/>
    <x v="8"/>
    <n v="0"/>
    <n v="0"/>
    <n v="0.70199999999999996"/>
    <n v="0.70199999999999996"/>
    <n v="0.70199999999999996"/>
    <n v="0.70199999999999996"/>
    <n v="0"/>
    <x v="3"/>
    <n v="0"/>
    <n v="0"/>
    <n v="40"/>
    <n v="83"/>
    <n v="0"/>
    <n v="236.99"/>
    <n v="311.04000000000002"/>
    <m/>
    <n v="314.66685855939909"/>
    <n v="311.14842517571947"/>
    <n v="0"/>
    <n v="166.36697999999998"/>
    <n v="218.35007999999999"/>
    <n v="0"/>
    <n v="220.89613470869816"/>
    <n v="218.42619447335505"/>
  </r>
  <r>
    <s v="Sistema de Compensação"/>
    <x v="3"/>
    <x v="4"/>
    <x v="7"/>
    <x v="2"/>
    <x v="1"/>
    <x v="0"/>
    <x v="1"/>
    <x v="8"/>
    <n v="0"/>
    <n v="0"/>
    <n v="-0.22900000000000001"/>
    <n v="-0.22900000000000001"/>
    <n v="-0.22900000000000001"/>
    <n v="-0.22900000000000001"/>
    <n v="0"/>
    <x v="3"/>
    <n v="0"/>
    <n v="0"/>
    <n v="40"/>
    <n v="83"/>
    <n v="0"/>
    <n v="236.99"/>
    <n v="311.04000000000002"/>
    <m/>
    <n v="314.66685855939909"/>
    <n v="311.14842517571947"/>
    <n v="0"/>
    <n v="-54.270710000000001"/>
    <n v="-71.228160000000003"/>
    <n v="0"/>
    <n v="-72.058710610102395"/>
    <n v="-71.252989365239756"/>
  </r>
  <r>
    <s v="Regular"/>
    <x v="3"/>
    <x v="4"/>
    <x v="7"/>
    <x v="2"/>
    <x v="1"/>
    <x v="0"/>
    <x v="1"/>
    <x v="9"/>
    <n v="0"/>
    <n v="0"/>
    <n v="11.012"/>
    <n v="11.012"/>
    <n v="11.012"/>
    <n v="11.012"/>
    <n v="0"/>
    <x v="3"/>
    <n v="0"/>
    <n v="0"/>
    <n v="40"/>
    <n v="83"/>
    <n v="0"/>
    <n v="236.99"/>
    <n v="311.04000000000002"/>
    <m/>
    <n v="314.66685855939909"/>
    <n v="311.14842517571947"/>
    <n v="0"/>
    <n v="2609.7338800000002"/>
    <n v="3425.1724800000002"/>
    <n v="0"/>
    <n v="3465.1114464561028"/>
    <n v="3426.3664580350228"/>
  </r>
  <r>
    <s v="Sistema de Compensação"/>
    <x v="3"/>
    <x v="4"/>
    <x v="7"/>
    <x v="2"/>
    <x v="1"/>
    <x v="0"/>
    <x v="1"/>
    <x v="9"/>
    <n v="0"/>
    <n v="0"/>
    <n v="0.69399999999999995"/>
    <n v="0.69399999999999995"/>
    <n v="0.69399999999999995"/>
    <n v="0.69399999999999995"/>
    <n v="0"/>
    <x v="3"/>
    <n v="0"/>
    <n v="0"/>
    <n v="40"/>
    <n v="83"/>
    <n v="0"/>
    <n v="236.99"/>
    <n v="311.04000000000002"/>
    <m/>
    <n v="314.66685855939909"/>
    <n v="311.14842517571947"/>
    <n v="0"/>
    <n v="164.47105999999999"/>
    <n v="215.86176"/>
    <n v="0"/>
    <n v="218.37879984022294"/>
    <n v="215.9370070719493"/>
  </r>
  <r>
    <s v="Regular"/>
    <x v="3"/>
    <x v="4"/>
    <x v="7"/>
    <x v="2"/>
    <x v="1"/>
    <x v="0"/>
    <x v="1"/>
    <x v="10"/>
    <n v="0"/>
    <n v="0"/>
    <n v="8.8420000000000005"/>
    <n v="8.8420000000000005"/>
    <n v="8.8420000000000005"/>
    <n v="8.8420000000000005"/>
    <n v="0"/>
    <x v="3"/>
    <n v="0"/>
    <n v="0"/>
    <n v="40"/>
    <n v="83"/>
    <n v="0"/>
    <n v="236.99"/>
    <n v="311.04000000000002"/>
    <m/>
    <n v="314.66685855939909"/>
    <n v="311.14842517571947"/>
    <n v="0"/>
    <n v="2095.46558"/>
    <n v="2750.2156800000002"/>
    <n v="0"/>
    <n v="2782.2843633822067"/>
    <n v="2751.1743754037116"/>
  </r>
  <r>
    <s v="Sistema de Compensação"/>
    <x v="3"/>
    <x v="4"/>
    <x v="7"/>
    <x v="2"/>
    <x v="1"/>
    <x v="0"/>
    <x v="1"/>
    <x v="10"/>
    <n v="0"/>
    <n v="0"/>
    <n v="0.52200000000000002"/>
    <n v="0.52200000000000002"/>
    <n v="0.52200000000000002"/>
    <n v="0.52200000000000002"/>
    <n v="0"/>
    <x v="3"/>
    <n v="0"/>
    <n v="0"/>
    <n v="40"/>
    <n v="83"/>
    <n v="0"/>
    <n v="236.99"/>
    <n v="311.04000000000002"/>
    <m/>
    <n v="314.66685855939909"/>
    <n v="311.14842517571947"/>
    <n v="0"/>
    <n v="123.70878"/>
    <n v="162.36288000000002"/>
    <n v="0"/>
    <n v="164.25610016800633"/>
    <n v="162.41947794172557"/>
  </r>
  <r>
    <s v="PROJETADO"/>
    <x v="3"/>
    <x v="4"/>
    <x v="7"/>
    <x v="2"/>
    <x v="1"/>
    <x v="0"/>
    <x v="1"/>
    <x v="11"/>
    <n v="0"/>
    <n v="0"/>
    <n v="8.8420000000000005"/>
    <n v="8.8420000000000005"/>
    <n v="8.8420000000000005"/>
    <n v="8.8420000000000005"/>
    <n v="0"/>
    <x v="3"/>
    <n v="0"/>
    <n v="0"/>
    <n v="40"/>
    <n v="83"/>
    <n v="0"/>
    <n v="236.99"/>
    <n v="311.04000000000002"/>
    <m/>
    <n v="314.66685855939909"/>
    <n v="311.14842517571947"/>
    <n v="0"/>
    <n v="2095.46558"/>
    <n v="2750.2156800000002"/>
    <n v="0"/>
    <n v="2782.2843633822067"/>
    <n v="2751.1743754037116"/>
  </r>
  <r>
    <s v="PROJETADO"/>
    <x v="3"/>
    <x v="4"/>
    <x v="7"/>
    <x v="2"/>
    <x v="1"/>
    <x v="0"/>
    <x v="1"/>
    <x v="11"/>
    <n v="0"/>
    <n v="0"/>
    <n v="0.52200000000000002"/>
    <n v="0.52200000000000002"/>
    <n v="0.52200000000000002"/>
    <n v="0.52200000000000002"/>
    <n v="0"/>
    <x v="3"/>
    <n v="0"/>
    <n v="0"/>
    <n v="40"/>
    <n v="83"/>
    <n v="0"/>
    <n v="236.99"/>
    <n v="311.04000000000002"/>
    <m/>
    <n v="314.66685855939909"/>
    <n v="311.14842517571947"/>
    <n v="0"/>
    <n v="123.70878"/>
    <n v="162.36288000000002"/>
    <n v="0"/>
    <n v="164.25610016800633"/>
    <n v="162.41947794172557"/>
  </r>
  <r>
    <s v="Regular"/>
    <x v="3"/>
    <x v="4"/>
    <x v="7"/>
    <x v="2"/>
    <x v="1"/>
    <x v="0"/>
    <x v="3"/>
    <x v="0"/>
    <n v="0"/>
    <n v="0"/>
    <n v="0.79800000000000004"/>
    <n v="0.79800000000000004"/>
    <n v="0.79800000000000004"/>
    <n v="0.79800000000000004"/>
    <n v="0"/>
    <x v="3"/>
    <n v="0"/>
    <n v="0"/>
    <n v="39"/>
    <n v="82"/>
    <n v="0"/>
    <n v="474.91"/>
    <n v="311.04000000000002"/>
    <m/>
    <n v="589.28006191405382"/>
    <n v="311.14842517571947"/>
    <n v="0"/>
    <n v="378.97818000000007"/>
    <n v="248.20992000000004"/>
    <n v="0"/>
    <n v="470.24548940741499"/>
    <n v="248.29644329022415"/>
  </r>
  <r>
    <s v="Sistema de Compensação"/>
    <x v="3"/>
    <x v="4"/>
    <x v="7"/>
    <x v="2"/>
    <x v="1"/>
    <x v="0"/>
    <x v="3"/>
    <x v="0"/>
    <n v="0"/>
    <n v="0"/>
    <n v="0.12"/>
    <n v="0.12"/>
    <n v="0.12"/>
    <n v="0.12"/>
    <n v="0"/>
    <x v="3"/>
    <n v="0"/>
    <n v="0"/>
    <n v="39"/>
    <n v="82"/>
    <n v="0"/>
    <n v="474.91"/>
    <n v="311.04000000000002"/>
    <m/>
    <n v="589.28006191405382"/>
    <n v="311.14842517571947"/>
    <n v="0"/>
    <n v="56.989200000000004"/>
    <n v="37.324800000000003"/>
    <n v="0"/>
    <n v="70.713607429686462"/>
    <n v="37.337811021086331"/>
  </r>
  <r>
    <s v="Regular"/>
    <x v="3"/>
    <x v="4"/>
    <x v="7"/>
    <x v="2"/>
    <x v="1"/>
    <x v="0"/>
    <x v="3"/>
    <x v="1"/>
    <n v="0"/>
    <n v="0"/>
    <n v="0.79300000000000004"/>
    <n v="0.79300000000000004"/>
    <n v="0.79300000000000004"/>
    <n v="0.79300000000000004"/>
    <n v="0"/>
    <x v="3"/>
    <n v="0"/>
    <n v="0"/>
    <n v="39"/>
    <n v="82"/>
    <n v="0"/>
    <n v="474.91"/>
    <n v="311.04000000000002"/>
    <m/>
    <n v="589.28006191405382"/>
    <n v="311.14842517571947"/>
    <n v="0"/>
    <n v="376.60363000000001"/>
    <n v="246.65472000000003"/>
    <n v="0"/>
    <n v="467.29908909784467"/>
    <n v="246.74070116434555"/>
  </r>
  <r>
    <s v="Sistema de Compensação"/>
    <x v="3"/>
    <x v="4"/>
    <x v="7"/>
    <x v="2"/>
    <x v="1"/>
    <x v="0"/>
    <x v="3"/>
    <x v="1"/>
    <n v="0"/>
    <n v="0"/>
    <n v="0.154"/>
    <n v="0.154"/>
    <n v="0.154"/>
    <n v="0.154"/>
    <n v="0"/>
    <x v="3"/>
    <n v="0"/>
    <n v="0"/>
    <n v="39"/>
    <n v="82"/>
    <n v="0"/>
    <n v="474.91"/>
    <n v="311.04000000000002"/>
    <m/>
    <n v="589.28006191405382"/>
    <n v="311.14842517571947"/>
    <n v="0"/>
    <n v="73.136139999999997"/>
    <n v="47.90016"/>
    <n v="0"/>
    <n v="90.749129534764293"/>
    <n v="47.916857477060795"/>
  </r>
  <r>
    <s v="Sistema de Compensação"/>
    <x v="3"/>
    <x v="4"/>
    <x v="7"/>
    <x v="2"/>
    <x v="1"/>
    <x v="0"/>
    <x v="3"/>
    <x v="1"/>
    <n v="0"/>
    <n v="0"/>
    <n v="-5.0000000000000001E-3"/>
    <n v="-5.0000000000000001E-3"/>
    <n v="-5.0000000000000001E-3"/>
    <n v="-5.0000000000000001E-3"/>
    <n v="0"/>
    <x v="3"/>
    <n v="0"/>
    <n v="0"/>
    <n v="39"/>
    <n v="82"/>
    <n v="0"/>
    <n v="474.91"/>
    <n v="311.04000000000002"/>
    <m/>
    <n v="589.28006191405382"/>
    <n v="311.14842517571947"/>
    <n v="0"/>
    <n v="-2.3745500000000002"/>
    <n v="-1.5552000000000001"/>
    <n v="0"/>
    <n v="-2.9464003095702691"/>
    <n v="-1.5557421258785973"/>
  </r>
  <r>
    <s v="Regular"/>
    <x v="3"/>
    <x v="4"/>
    <x v="7"/>
    <x v="2"/>
    <x v="1"/>
    <x v="0"/>
    <x v="3"/>
    <x v="2"/>
    <n v="0"/>
    <n v="0"/>
    <n v="0.86499999999999999"/>
    <n v="0.86499999999999999"/>
    <n v="0.86499999999999999"/>
    <n v="0.86499999999999999"/>
    <n v="0"/>
    <x v="3"/>
    <n v="0"/>
    <n v="0"/>
    <n v="39"/>
    <n v="82"/>
    <n v="0"/>
    <n v="474.91"/>
    <n v="311.04000000000002"/>
    <m/>
    <n v="589.28006191405382"/>
    <n v="311.14842517571947"/>
    <n v="0"/>
    <n v="410.79715000000004"/>
    <n v="269.0496"/>
    <n v="0"/>
    <n v="509.72725355565655"/>
    <n v="269.14338777699732"/>
  </r>
  <r>
    <s v="Sistema de Compensação"/>
    <x v="3"/>
    <x v="4"/>
    <x v="7"/>
    <x v="2"/>
    <x v="1"/>
    <x v="0"/>
    <x v="3"/>
    <x v="2"/>
    <n v="0"/>
    <n v="0"/>
    <n v="0.107"/>
    <n v="0.107"/>
    <n v="0.107"/>
    <n v="0.107"/>
    <n v="0"/>
    <x v="3"/>
    <n v="0"/>
    <n v="0"/>
    <n v="39"/>
    <n v="82"/>
    <n v="0"/>
    <n v="474.91"/>
    <n v="311.04000000000002"/>
    <m/>
    <n v="589.28006191405382"/>
    <n v="311.14842517571947"/>
    <n v="0"/>
    <n v="50.815370000000001"/>
    <n v="33.281280000000002"/>
    <n v="0"/>
    <n v="63.052966624803759"/>
    <n v="33.292881493801985"/>
  </r>
  <r>
    <s v="Regular"/>
    <x v="3"/>
    <x v="4"/>
    <x v="7"/>
    <x v="2"/>
    <x v="1"/>
    <x v="0"/>
    <x v="3"/>
    <x v="3"/>
    <n v="0"/>
    <n v="0"/>
    <n v="0.84899999999999998"/>
    <n v="0.84899999999999998"/>
    <n v="0.84899999999999998"/>
    <n v="0.84899999999999998"/>
    <n v="0"/>
    <x v="3"/>
    <n v="0"/>
    <n v="0"/>
    <n v="39"/>
    <n v="82"/>
    <n v="0"/>
    <n v="474.91"/>
    <n v="311.04000000000002"/>
    <m/>
    <n v="589.28006191405382"/>
    <n v="311.14842517571947"/>
    <n v="0"/>
    <n v="403.19859000000002"/>
    <n v="264.07296000000002"/>
    <n v="0"/>
    <n v="500.2987725650317"/>
    <n v="264.1650129741858"/>
  </r>
  <r>
    <s v="Sistema de Compensação"/>
    <x v="3"/>
    <x v="4"/>
    <x v="7"/>
    <x v="2"/>
    <x v="1"/>
    <x v="0"/>
    <x v="3"/>
    <x v="3"/>
    <n v="0"/>
    <n v="0"/>
    <n v="0.14899999999999999"/>
    <n v="0.14899999999999999"/>
    <n v="0.14899999999999999"/>
    <n v="0.14899999999999999"/>
    <n v="0"/>
    <x v="3"/>
    <n v="0"/>
    <n v="0"/>
    <n v="39"/>
    <n v="82"/>
    <n v="0"/>
    <n v="474.91"/>
    <n v="311.04000000000002"/>
    <m/>
    <n v="589.28006191405382"/>
    <n v="311.14842517571947"/>
    <n v="0"/>
    <n v="70.761589999999998"/>
    <n v="46.34496"/>
    <n v="0"/>
    <n v="87.802729225194014"/>
    <n v="46.3611153511822"/>
  </r>
  <r>
    <s v="Regular"/>
    <x v="3"/>
    <x v="4"/>
    <x v="7"/>
    <x v="2"/>
    <x v="1"/>
    <x v="0"/>
    <x v="3"/>
    <x v="4"/>
    <n v="0"/>
    <n v="0"/>
    <n v="0.73199999999999998"/>
    <n v="0.73199999999999998"/>
    <n v="0.73199999999999998"/>
    <n v="0.73199999999999998"/>
    <n v="0"/>
    <x v="3"/>
    <n v="0"/>
    <n v="0"/>
    <n v="39"/>
    <n v="82"/>
    <n v="0"/>
    <n v="474.91"/>
    <n v="311.04000000000002"/>
    <m/>
    <n v="589.28006191405382"/>
    <n v="311.14842517571947"/>
    <n v="0"/>
    <n v="347.63412"/>
    <n v="227.68128000000002"/>
    <n v="0"/>
    <n v="431.35300532108738"/>
    <n v="227.76064722862665"/>
  </r>
  <r>
    <s v="Sistema de Compensação"/>
    <x v="3"/>
    <x v="4"/>
    <x v="7"/>
    <x v="2"/>
    <x v="1"/>
    <x v="0"/>
    <x v="3"/>
    <x v="4"/>
    <n v="0"/>
    <n v="0"/>
    <n v="6.4000000000000001E-2"/>
    <n v="6.4000000000000001E-2"/>
    <n v="6.4000000000000001E-2"/>
    <n v="6.4000000000000001E-2"/>
    <n v="0"/>
    <x v="3"/>
    <n v="0"/>
    <n v="0"/>
    <n v="39"/>
    <n v="82"/>
    <n v="0"/>
    <n v="474.91"/>
    <n v="311.04000000000002"/>
    <m/>
    <n v="589.28006191405382"/>
    <n v="311.14842517571947"/>
    <n v="0"/>
    <n v="30.394240000000003"/>
    <n v="19.906560000000002"/>
    <n v="0"/>
    <n v="37.713923962499443"/>
    <n v="19.913499211246048"/>
  </r>
  <r>
    <s v="Sistema de Compensação"/>
    <x v="3"/>
    <x v="4"/>
    <x v="7"/>
    <x v="2"/>
    <x v="1"/>
    <x v="0"/>
    <x v="3"/>
    <x v="4"/>
    <n v="0"/>
    <n v="0"/>
    <n v="-1.4E-2"/>
    <n v="-1.4E-2"/>
    <n v="-1.4E-2"/>
    <n v="-1.4E-2"/>
    <n v="0"/>
    <x v="3"/>
    <n v="0"/>
    <n v="0"/>
    <n v="39"/>
    <n v="82"/>
    <n v="0"/>
    <n v="474.91"/>
    <n v="311.04000000000002"/>
    <m/>
    <n v="589.28006191405382"/>
    <n v="311.14842517571947"/>
    <n v="0"/>
    <n v="-6.6487400000000001"/>
    <n v="-4.3545600000000002"/>
    <n v="0"/>
    <n v="-8.249920866796753"/>
    <n v="-4.3560779524600726"/>
  </r>
  <r>
    <s v="Regular"/>
    <x v="3"/>
    <x v="4"/>
    <x v="7"/>
    <x v="2"/>
    <x v="1"/>
    <x v="0"/>
    <x v="3"/>
    <x v="5"/>
    <n v="0"/>
    <n v="0"/>
    <n v="0.70899999999999996"/>
    <n v="0.70899999999999996"/>
    <n v="0.70899999999999996"/>
    <n v="0.70899999999999996"/>
    <n v="0"/>
    <x v="3"/>
    <n v="0"/>
    <n v="0"/>
    <n v="39"/>
    <n v="82"/>
    <n v="0"/>
    <n v="474.91"/>
    <n v="311.04000000000002"/>
    <m/>
    <n v="589.28006191405382"/>
    <n v="311.14842517571947"/>
    <n v="0"/>
    <n v="336.71118999999999"/>
    <n v="220.52736000000002"/>
    <n v="0"/>
    <n v="417.79956389706416"/>
    <n v="220.60423344958508"/>
  </r>
  <r>
    <s v="Sistema de Compensação"/>
    <x v="3"/>
    <x v="4"/>
    <x v="7"/>
    <x v="2"/>
    <x v="1"/>
    <x v="0"/>
    <x v="3"/>
    <x v="5"/>
    <n v="0"/>
    <n v="0"/>
    <n v="0.14000000000000001"/>
    <n v="0.14000000000000001"/>
    <n v="0.14000000000000001"/>
    <n v="0.14000000000000001"/>
    <n v="0"/>
    <x v="3"/>
    <n v="0"/>
    <n v="0"/>
    <n v="39"/>
    <n v="82"/>
    <n v="0"/>
    <n v="474.91"/>
    <n v="311.04000000000002"/>
    <m/>
    <n v="589.28006191405382"/>
    <n v="311.14842517571947"/>
    <n v="0"/>
    <n v="66.487400000000008"/>
    <n v="43.545600000000007"/>
    <n v="0"/>
    <n v="82.499208667967537"/>
    <n v="43.560779524600733"/>
  </r>
  <r>
    <s v="Regular"/>
    <x v="3"/>
    <x v="4"/>
    <x v="7"/>
    <x v="2"/>
    <x v="1"/>
    <x v="0"/>
    <x v="3"/>
    <x v="6"/>
    <n v="0"/>
    <n v="0"/>
    <n v="0.78500000000000003"/>
    <n v="0.78500000000000003"/>
    <n v="0.78500000000000003"/>
    <n v="0.78500000000000003"/>
    <n v="0"/>
    <x v="3"/>
    <n v="0"/>
    <n v="0"/>
    <n v="39"/>
    <n v="82"/>
    <n v="0"/>
    <n v="474.91"/>
    <n v="311.04000000000002"/>
    <m/>
    <n v="589.28006191405382"/>
    <n v="311.14842517571947"/>
    <n v="0"/>
    <n v="372.80435000000006"/>
    <n v="244.16640000000004"/>
    <n v="0"/>
    <n v="462.58484860253225"/>
    <n v="244.25151376293979"/>
  </r>
  <r>
    <s v="Sistema de Compensação"/>
    <x v="3"/>
    <x v="4"/>
    <x v="7"/>
    <x v="2"/>
    <x v="1"/>
    <x v="0"/>
    <x v="3"/>
    <x v="6"/>
    <n v="0"/>
    <n v="0"/>
    <n v="8.8999999999999996E-2"/>
    <n v="8.8999999999999996E-2"/>
    <n v="8.8999999999999996E-2"/>
    <n v="8.8999999999999996E-2"/>
    <n v="0"/>
    <x v="3"/>
    <n v="0"/>
    <n v="0"/>
    <n v="39"/>
    <n v="82"/>
    <n v="0"/>
    <n v="474.91"/>
    <n v="311.04000000000002"/>
    <m/>
    <n v="589.28006191405382"/>
    <n v="311.14842517571947"/>
    <n v="0"/>
    <n v="42.26699"/>
    <n v="27.682560000000002"/>
    <n v="0"/>
    <n v="52.44592551035079"/>
    <n v="27.69220984063903"/>
  </r>
  <r>
    <s v="Sistema de Compensação"/>
    <x v="3"/>
    <x v="4"/>
    <x v="7"/>
    <x v="2"/>
    <x v="1"/>
    <x v="0"/>
    <x v="3"/>
    <x v="6"/>
    <n v="0"/>
    <n v="0"/>
    <n v="-1.9E-2"/>
    <n v="-1.9E-2"/>
    <n v="-1.9E-2"/>
    <n v="-1.9E-2"/>
    <n v="0"/>
    <x v="3"/>
    <n v="0"/>
    <n v="0"/>
    <n v="39"/>
    <n v="82"/>
    <n v="0"/>
    <n v="474.91"/>
    <n v="311.04000000000002"/>
    <m/>
    <n v="589.28006191405382"/>
    <n v="311.14842517571947"/>
    <n v="0"/>
    <n v="-9.0232899999999994"/>
    <n v="-5.9097600000000003"/>
    <n v="0"/>
    <n v="-11.196321176367022"/>
    <n v="-5.9118200783386694"/>
  </r>
  <r>
    <s v="Regular"/>
    <x v="3"/>
    <x v="4"/>
    <x v="7"/>
    <x v="2"/>
    <x v="1"/>
    <x v="0"/>
    <x v="3"/>
    <x v="7"/>
    <n v="0"/>
    <n v="0"/>
    <n v="0.80900000000000005"/>
    <n v="0.80900000000000005"/>
    <n v="0.80900000000000005"/>
    <n v="0.80900000000000005"/>
    <n v="0"/>
    <x v="3"/>
    <n v="0"/>
    <n v="0"/>
    <n v="39"/>
    <n v="82"/>
    <n v="0"/>
    <n v="474.91"/>
    <n v="311.04000000000002"/>
    <m/>
    <n v="589.28006191405382"/>
    <n v="311.14842517571947"/>
    <n v="0"/>
    <n v="384.20219000000003"/>
    <n v="251.63136000000003"/>
    <n v="0"/>
    <n v="476.72757008846958"/>
    <n v="251.71907596715707"/>
  </r>
  <r>
    <s v="Sistema de Compensação"/>
    <x v="3"/>
    <x v="4"/>
    <x v="7"/>
    <x v="2"/>
    <x v="1"/>
    <x v="0"/>
    <x v="3"/>
    <x v="7"/>
    <n v="0"/>
    <n v="0"/>
    <n v="0.13200000000000001"/>
    <n v="0.13200000000000001"/>
    <n v="0.13200000000000001"/>
    <n v="0.13200000000000001"/>
    <n v="0"/>
    <x v="3"/>
    <n v="0"/>
    <n v="0"/>
    <n v="39"/>
    <n v="82"/>
    <n v="0"/>
    <n v="474.91"/>
    <n v="311.04000000000002"/>
    <m/>
    <n v="589.28006191405382"/>
    <n v="311.14842517571947"/>
    <n v="0"/>
    <n v="62.688120000000005"/>
    <n v="41.057280000000006"/>
    <n v="0"/>
    <n v="77.784968172655113"/>
    <n v="41.071592123194975"/>
  </r>
  <r>
    <s v="Regular"/>
    <x v="3"/>
    <x v="4"/>
    <x v="7"/>
    <x v="2"/>
    <x v="1"/>
    <x v="0"/>
    <x v="3"/>
    <x v="8"/>
    <n v="0"/>
    <n v="0"/>
    <n v="0.79900000000000004"/>
    <n v="0.79900000000000004"/>
    <n v="0.79900000000000004"/>
    <n v="0.79900000000000004"/>
    <n v="0"/>
    <x v="3"/>
    <n v="0"/>
    <n v="0"/>
    <n v="39"/>
    <n v="82"/>
    <n v="0"/>
    <n v="474.91"/>
    <n v="311.04000000000002"/>
    <m/>
    <n v="589.28006191405382"/>
    <n v="311.14842517571947"/>
    <n v="0"/>
    <n v="379.45309000000003"/>
    <n v="248.52096000000003"/>
    <n v="0"/>
    <n v="470.83476946932905"/>
    <n v="248.60759171539988"/>
  </r>
  <r>
    <s v="Sistema de Compensação"/>
    <x v="3"/>
    <x v="4"/>
    <x v="7"/>
    <x v="2"/>
    <x v="1"/>
    <x v="0"/>
    <x v="3"/>
    <x v="8"/>
    <n v="0"/>
    <n v="0"/>
    <n v="0.188"/>
    <n v="0.188"/>
    <n v="0.188"/>
    <n v="0.188"/>
    <n v="0"/>
    <x v="3"/>
    <n v="0"/>
    <n v="0"/>
    <n v="39"/>
    <n v="82"/>
    <n v="0"/>
    <n v="474.91"/>
    <n v="311.04000000000002"/>
    <m/>
    <n v="589.28006191405382"/>
    <n v="311.14842517571947"/>
    <n v="0"/>
    <n v="89.283079999999998"/>
    <n v="58.475520000000003"/>
    <n v="0"/>
    <n v="110.78465163984212"/>
    <n v="58.495903933035258"/>
  </r>
  <r>
    <s v="Sistema de Compensação"/>
    <x v="3"/>
    <x v="4"/>
    <x v="7"/>
    <x v="2"/>
    <x v="1"/>
    <x v="0"/>
    <x v="3"/>
    <x v="8"/>
    <n v="0"/>
    <n v="0"/>
    <n v="-1.7999999999999999E-2"/>
    <n v="-1.7999999999999999E-2"/>
    <n v="-1.7999999999999999E-2"/>
    <n v="-1.7999999999999999E-2"/>
    <n v="0"/>
    <x v="3"/>
    <n v="0"/>
    <n v="0"/>
    <n v="39"/>
    <n v="82"/>
    <n v="0"/>
    <n v="474.91"/>
    <n v="311.04000000000002"/>
    <m/>
    <n v="589.28006191405382"/>
    <n v="311.14842517571947"/>
    <n v="0"/>
    <n v="-8.5483799999999999"/>
    <n v="-5.5987200000000001"/>
    <n v="0"/>
    <n v="-10.607041114452969"/>
    <n v="-5.6006716531629497"/>
  </r>
  <r>
    <s v="Regular"/>
    <x v="3"/>
    <x v="4"/>
    <x v="7"/>
    <x v="2"/>
    <x v="1"/>
    <x v="0"/>
    <x v="3"/>
    <x v="9"/>
    <n v="0"/>
    <n v="0"/>
    <n v="0.85099999999999998"/>
    <n v="0.85099999999999998"/>
    <n v="0.85099999999999998"/>
    <n v="0.85099999999999998"/>
    <n v="0"/>
    <x v="3"/>
    <n v="0"/>
    <n v="0"/>
    <n v="39"/>
    <n v="82"/>
    <n v="0"/>
    <n v="474.91"/>
    <n v="311.04000000000002"/>
    <m/>
    <n v="589.28006191405382"/>
    <n v="311.14842517571947"/>
    <n v="0"/>
    <n v="404.14841000000001"/>
    <n v="264.69504000000001"/>
    <n v="0"/>
    <n v="501.4773326888598"/>
    <n v="264.78730982453726"/>
  </r>
  <r>
    <s v="Sistema de Compensação"/>
    <x v="3"/>
    <x v="4"/>
    <x v="7"/>
    <x v="2"/>
    <x v="1"/>
    <x v="0"/>
    <x v="3"/>
    <x v="9"/>
    <n v="0"/>
    <n v="0"/>
    <n v="0.11"/>
    <n v="0.11"/>
    <n v="0.11"/>
    <n v="0.11"/>
    <n v="0"/>
    <x v="3"/>
    <n v="0"/>
    <n v="0"/>
    <n v="39"/>
    <n v="82"/>
    <n v="0"/>
    <n v="474.91"/>
    <n v="311.04000000000002"/>
    <m/>
    <n v="589.28006191405382"/>
    <n v="311.14842517571947"/>
    <n v="0"/>
    <n v="52.240100000000005"/>
    <n v="34.214400000000005"/>
    <n v="0"/>
    <n v="64.820806810545918"/>
    <n v="34.226326769329141"/>
  </r>
  <r>
    <s v="Regular"/>
    <x v="3"/>
    <x v="4"/>
    <x v="7"/>
    <x v="2"/>
    <x v="1"/>
    <x v="0"/>
    <x v="3"/>
    <x v="10"/>
    <n v="0"/>
    <n v="0"/>
    <n v="0.70099999999999996"/>
    <n v="0.70099999999999996"/>
    <n v="0.70099999999999996"/>
    <n v="0.70099999999999996"/>
    <n v="0"/>
    <x v="3"/>
    <n v="0"/>
    <n v="0"/>
    <n v="39"/>
    <n v="82"/>
    <n v="0"/>
    <n v="474.91"/>
    <n v="311.04000000000002"/>
    <m/>
    <n v="589.28006191405382"/>
    <n v="311.14842517571947"/>
    <n v="0"/>
    <n v="332.91190999999998"/>
    <n v="218.03904"/>
    <n v="0"/>
    <n v="413.08532340175168"/>
    <n v="218.11504604817932"/>
  </r>
  <r>
    <s v="Sistema de Compensação"/>
    <x v="3"/>
    <x v="4"/>
    <x v="7"/>
    <x v="2"/>
    <x v="1"/>
    <x v="0"/>
    <x v="3"/>
    <x v="10"/>
    <n v="0"/>
    <n v="0"/>
    <n v="0.109"/>
    <n v="0.109"/>
    <n v="0.109"/>
    <n v="0.109"/>
    <n v="0"/>
    <x v="3"/>
    <n v="0"/>
    <n v="0"/>
    <n v="39"/>
    <n v="82"/>
    <n v="0"/>
    <n v="474.91"/>
    <n v="311.04000000000002"/>
    <m/>
    <n v="589.28006191405382"/>
    <n v="311.14842517571947"/>
    <n v="0"/>
    <n v="51.765190000000004"/>
    <n v="33.903359999999999"/>
    <n v="0"/>
    <n v="64.231526748631865"/>
    <n v="33.915178344153425"/>
  </r>
  <r>
    <s v="PROJETADO"/>
    <x v="3"/>
    <x v="4"/>
    <x v="7"/>
    <x v="2"/>
    <x v="1"/>
    <x v="0"/>
    <x v="3"/>
    <x v="11"/>
    <n v="0"/>
    <n v="0"/>
    <n v="0.70099999999999996"/>
    <n v="0.70099999999999996"/>
    <n v="0.70099999999999996"/>
    <n v="0.70099999999999996"/>
    <n v="0"/>
    <x v="3"/>
    <n v="0"/>
    <n v="0"/>
    <n v="39"/>
    <n v="82"/>
    <n v="0"/>
    <n v="474.91"/>
    <n v="311.04000000000002"/>
    <m/>
    <n v="589.28006191405382"/>
    <n v="311.14842517571947"/>
    <n v="0"/>
    <n v="332.91190999999998"/>
    <n v="218.03904"/>
    <n v="0"/>
    <n v="413.08532340175168"/>
    <n v="218.11504604817932"/>
  </r>
  <r>
    <s v="PROJETADO"/>
    <x v="3"/>
    <x v="4"/>
    <x v="7"/>
    <x v="2"/>
    <x v="1"/>
    <x v="0"/>
    <x v="3"/>
    <x v="11"/>
    <n v="0"/>
    <n v="0"/>
    <n v="0.109"/>
    <n v="0.109"/>
    <n v="0.109"/>
    <n v="0.109"/>
    <n v="0"/>
    <x v="3"/>
    <n v="0"/>
    <n v="0"/>
    <n v="39"/>
    <n v="82"/>
    <n v="0"/>
    <n v="474.91"/>
    <n v="311.04000000000002"/>
    <m/>
    <n v="589.28006191405382"/>
    <n v="311.14842517571947"/>
    <n v="0"/>
    <n v="51.765190000000004"/>
    <n v="33.903359999999999"/>
    <n v="0"/>
    <n v="64.231526748631865"/>
    <n v="33.915178344153425"/>
  </r>
  <r>
    <s v="Regular"/>
    <x v="3"/>
    <x v="4"/>
    <x v="7"/>
    <x v="2"/>
    <x v="1"/>
    <x v="0"/>
    <x v="2"/>
    <x v="0"/>
    <n v="0"/>
    <n v="0"/>
    <n v="1.4550000000000001"/>
    <n v="1.4550000000000001"/>
    <n v="1.4550000000000001"/>
    <n v="1.4550000000000001"/>
    <n v="0"/>
    <x v="3"/>
    <n v="0"/>
    <n v="0"/>
    <n v="38"/>
    <n v="81"/>
    <n v="0"/>
    <n v="712.84"/>
    <n v="496.15"/>
    <m/>
    <n v="863.89336629073694"/>
    <n v="506.4861368306324"/>
    <n v="0"/>
    <n v="1037.1822000000002"/>
    <n v="721.89824999999996"/>
    <n v="0"/>
    <n v="1256.9648479530224"/>
    <n v="736.93732908857021"/>
  </r>
  <r>
    <s v="Sistema de Compensação"/>
    <x v="3"/>
    <x v="4"/>
    <x v="7"/>
    <x v="2"/>
    <x v="1"/>
    <x v="0"/>
    <x v="2"/>
    <x v="0"/>
    <n v="0"/>
    <n v="0"/>
    <n v="0.20699999999999999"/>
    <n v="0.20699999999999999"/>
    <n v="0.20699999999999999"/>
    <n v="0.20699999999999999"/>
    <n v="0"/>
    <x v="3"/>
    <n v="0"/>
    <n v="0"/>
    <n v="38"/>
    <n v="81"/>
    <n v="0"/>
    <n v="712.84"/>
    <n v="496.15"/>
    <m/>
    <n v="863.89336629073694"/>
    <n v="506.4861368306324"/>
    <n v="0"/>
    <n v="147.55788000000001"/>
    <n v="102.70304999999999"/>
    <n v="0"/>
    <n v="178.82592682218254"/>
    <n v="104.84263032394091"/>
  </r>
  <r>
    <s v="Regular"/>
    <x v="3"/>
    <x v="4"/>
    <x v="7"/>
    <x v="2"/>
    <x v="1"/>
    <x v="0"/>
    <x v="2"/>
    <x v="1"/>
    <n v="0"/>
    <n v="0"/>
    <n v="1.3779999999999999"/>
    <n v="1.3779999999999999"/>
    <n v="1.3779999999999999"/>
    <n v="1.3779999999999999"/>
    <n v="0"/>
    <x v="3"/>
    <n v="0"/>
    <n v="0"/>
    <n v="38"/>
    <n v="81"/>
    <n v="0"/>
    <n v="712.84"/>
    <n v="496.15"/>
    <m/>
    <n v="863.89336629073694"/>
    <n v="506.4861368306324"/>
    <n v="0"/>
    <n v="982.29351999999994"/>
    <n v="683.6946999999999"/>
    <n v="0"/>
    <n v="1190.4450587486353"/>
    <n v="697.93789655261139"/>
  </r>
  <r>
    <s v="Sistema de Compensação"/>
    <x v="3"/>
    <x v="4"/>
    <x v="7"/>
    <x v="2"/>
    <x v="1"/>
    <x v="0"/>
    <x v="2"/>
    <x v="1"/>
    <n v="0"/>
    <n v="0"/>
    <n v="0.33500000000000002"/>
    <n v="0.33500000000000002"/>
    <n v="0.33500000000000002"/>
    <n v="0.33500000000000002"/>
    <n v="0"/>
    <x v="3"/>
    <n v="0"/>
    <n v="0"/>
    <n v="38"/>
    <n v="81"/>
    <n v="0"/>
    <n v="712.84"/>
    <n v="496.15"/>
    <m/>
    <n v="863.89336629073694"/>
    <n v="506.4861368306324"/>
    <n v="0"/>
    <n v="238.80140000000003"/>
    <n v="166.21025"/>
    <n v="0"/>
    <n v="289.40427770739689"/>
    <n v="169.67285583826185"/>
  </r>
  <r>
    <s v="Sistema de Compensação"/>
    <x v="3"/>
    <x v="4"/>
    <x v="7"/>
    <x v="2"/>
    <x v="1"/>
    <x v="0"/>
    <x v="2"/>
    <x v="1"/>
    <n v="0"/>
    <n v="0"/>
    <n v="-8.0000000000000002E-3"/>
    <n v="-8.0000000000000002E-3"/>
    <n v="-8.0000000000000002E-3"/>
    <n v="-8.0000000000000002E-3"/>
    <n v="0"/>
    <x v="3"/>
    <n v="0"/>
    <n v="0"/>
    <n v="38"/>
    <n v="81"/>
    <n v="0"/>
    <n v="712.84"/>
    <n v="496.15"/>
    <m/>
    <n v="863.89336629073694"/>
    <n v="506.4861368306324"/>
    <n v="0"/>
    <n v="-5.7027200000000002"/>
    <n v="-3.9691999999999998"/>
    <n v="0"/>
    <n v="-6.9111469303258959"/>
    <n v="-4.051889094645059"/>
  </r>
  <r>
    <s v="Regular"/>
    <x v="3"/>
    <x v="4"/>
    <x v="7"/>
    <x v="2"/>
    <x v="1"/>
    <x v="0"/>
    <x v="2"/>
    <x v="2"/>
    <n v="0"/>
    <n v="0"/>
    <n v="1.48"/>
    <n v="1.48"/>
    <n v="1.48"/>
    <n v="1.48"/>
    <n v="0"/>
    <x v="3"/>
    <n v="0"/>
    <n v="0"/>
    <n v="38"/>
    <n v="81"/>
    <n v="0"/>
    <n v="712.84"/>
    <n v="496.15"/>
    <m/>
    <n v="863.89336629073694"/>
    <n v="506.4861368306324"/>
    <n v="0"/>
    <n v="1055.0032000000001"/>
    <n v="734.30199999999991"/>
    <n v="0"/>
    <n v="1278.5621821102907"/>
    <n v="749.59948250933599"/>
  </r>
  <r>
    <s v="Sistema de Compensação"/>
    <x v="3"/>
    <x v="4"/>
    <x v="7"/>
    <x v="2"/>
    <x v="1"/>
    <x v="0"/>
    <x v="2"/>
    <x v="2"/>
    <n v="0"/>
    <n v="0"/>
    <n v="0.25"/>
    <n v="0.25"/>
    <n v="0.25"/>
    <n v="0.25"/>
    <n v="0"/>
    <x v="3"/>
    <n v="0"/>
    <n v="0"/>
    <n v="38"/>
    <n v="81"/>
    <n v="0"/>
    <n v="712.84"/>
    <n v="496.15"/>
    <m/>
    <n v="863.89336629073694"/>
    <n v="506.4861368306324"/>
    <n v="0"/>
    <n v="178.21"/>
    <n v="124.03749999999999"/>
    <n v="0"/>
    <n v="215.97334157268423"/>
    <n v="126.6215342076581"/>
  </r>
  <r>
    <s v="Regular"/>
    <x v="3"/>
    <x v="4"/>
    <x v="7"/>
    <x v="2"/>
    <x v="1"/>
    <x v="0"/>
    <x v="2"/>
    <x v="3"/>
    <n v="0"/>
    <n v="0"/>
    <n v="1.423"/>
    <n v="1.423"/>
    <n v="1.423"/>
    <n v="1.423"/>
    <n v="0"/>
    <x v="3"/>
    <n v="0"/>
    <n v="0"/>
    <n v="38"/>
    <n v="81"/>
    <n v="0"/>
    <n v="712.84"/>
    <n v="496.15"/>
    <m/>
    <n v="863.89336629073694"/>
    <n v="506.4861368306324"/>
    <n v="0"/>
    <n v="1014.3713200000001"/>
    <n v="706.02144999999996"/>
    <n v="0"/>
    <n v="1229.3202602317187"/>
    <n v="720.7297727099899"/>
  </r>
  <r>
    <s v="Sistema de Compensação"/>
    <x v="3"/>
    <x v="4"/>
    <x v="7"/>
    <x v="2"/>
    <x v="1"/>
    <x v="0"/>
    <x v="2"/>
    <x v="3"/>
    <n v="0"/>
    <n v="0"/>
    <n v="0.26500000000000001"/>
    <n v="0.26500000000000001"/>
    <n v="0.26500000000000001"/>
    <n v="0.26500000000000001"/>
    <n v="0"/>
    <x v="3"/>
    <n v="0"/>
    <n v="0"/>
    <n v="38"/>
    <n v="81"/>
    <n v="0"/>
    <n v="712.84"/>
    <n v="496.15"/>
    <m/>
    <n v="863.89336629073694"/>
    <n v="506.4861368306324"/>
    <n v="0"/>
    <n v="188.90260000000001"/>
    <n v="131.47975"/>
    <n v="0"/>
    <n v="228.93174206704529"/>
    <n v="134.21882626011759"/>
  </r>
  <r>
    <s v="Regular"/>
    <x v="3"/>
    <x v="4"/>
    <x v="7"/>
    <x v="2"/>
    <x v="1"/>
    <x v="0"/>
    <x v="2"/>
    <x v="4"/>
    <n v="0"/>
    <n v="0"/>
    <n v="1.0409999999999999"/>
    <n v="1.0409999999999999"/>
    <n v="1.0409999999999999"/>
    <n v="1.0409999999999999"/>
    <n v="0"/>
    <x v="3"/>
    <n v="0"/>
    <n v="0"/>
    <n v="38"/>
    <n v="81"/>
    <n v="0"/>
    <n v="712.84"/>
    <n v="496.15"/>
    <m/>
    <n v="863.89336629073694"/>
    <n v="506.4861368306324"/>
    <n v="0"/>
    <n v="742.06643999999994"/>
    <n v="516.49214999999992"/>
    <n v="0"/>
    <n v="899.31299430865704"/>
    <n v="527.25206844068828"/>
  </r>
  <r>
    <s v="Sistema de Compensação"/>
    <x v="3"/>
    <x v="4"/>
    <x v="7"/>
    <x v="2"/>
    <x v="1"/>
    <x v="0"/>
    <x v="2"/>
    <x v="4"/>
    <n v="0"/>
    <n v="0"/>
    <n v="7.4999999999999997E-2"/>
    <n v="7.4999999999999997E-2"/>
    <n v="7.4999999999999997E-2"/>
    <n v="7.4999999999999997E-2"/>
    <n v="0"/>
    <x v="3"/>
    <n v="0"/>
    <n v="0"/>
    <n v="38"/>
    <n v="81"/>
    <n v="0"/>
    <n v="712.84"/>
    <n v="496.15"/>
    <m/>
    <n v="863.89336629073694"/>
    <n v="506.4861368306324"/>
    <n v="0"/>
    <n v="53.463000000000001"/>
    <n v="37.21125"/>
    <n v="0"/>
    <n v="64.792002471805262"/>
    <n v="37.986460262297427"/>
  </r>
  <r>
    <s v="Sistema de Compensação"/>
    <x v="3"/>
    <x v="4"/>
    <x v="7"/>
    <x v="2"/>
    <x v="1"/>
    <x v="0"/>
    <x v="2"/>
    <x v="4"/>
    <n v="0"/>
    <n v="0"/>
    <n v="-3.3000000000000002E-2"/>
    <n v="-3.3000000000000002E-2"/>
    <n v="-3.3000000000000002E-2"/>
    <n v="-3.3000000000000002E-2"/>
    <n v="0"/>
    <x v="3"/>
    <n v="0"/>
    <n v="0"/>
    <n v="38"/>
    <n v="81"/>
    <n v="0"/>
    <n v="712.84"/>
    <n v="496.15"/>
    <m/>
    <n v="863.89336629073694"/>
    <n v="506.4861368306324"/>
    <n v="0"/>
    <n v="-23.523720000000001"/>
    <n v="-16.372949999999999"/>
    <n v="0"/>
    <n v="-28.508481087594319"/>
    <n v="-16.71404251541087"/>
  </r>
  <r>
    <s v="Regular"/>
    <x v="3"/>
    <x v="4"/>
    <x v="7"/>
    <x v="2"/>
    <x v="1"/>
    <x v="0"/>
    <x v="2"/>
    <x v="5"/>
    <n v="0"/>
    <n v="0"/>
    <n v="1.2869999999999999"/>
    <n v="1.2869999999999999"/>
    <n v="1.2869999999999999"/>
    <n v="1.2869999999999999"/>
    <n v="0"/>
    <x v="3"/>
    <n v="0"/>
    <n v="0"/>
    <n v="38"/>
    <n v="81"/>
    <n v="0"/>
    <n v="712.84"/>
    <n v="496.15"/>
    <m/>
    <n v="863.89336629073694"/>
    <n v="506.4861368306324"/>
    <n v="0"/>
    <n v="917.42507999999998"/>
    <n v="638.54504999999995"/>
    <n v="0"/>
    <n v="1111.8307624161785"/>
    <n v="651.84765810102385"/>
  </r>
  <r>
    <s v="Sistema de Compensação"/>
    <x v="3"/>
    <x v="4"/>
    <x v="7"/>
    <x v="2"/>
    <x v="1"/>
    <x v="0"/>
    <x v="2"/>
    <x v="5"/>
    <n v="0"/>
    <n v="0"/>
    <n v="0.34899999999999998"/>
    <n v="0.34899999999999998"/>
    <n v="0.34899999999999998"/>
    <n v="0.34899999999999998"/>
    <n v="0"/>
    <x v="3"/>
    <n v="0"/>
    <n v="0"/>
    <n v="38"/>
    <n v="81"/>
    <n v="0"/>
    <n v="712.84"/>
    <n v="496.15"/>
    <m/>
    <n v="863.89336629073694"/>
    <n v="506.4861368306324"/>
    <n v="0"/>
    <n v="248.78116"/>
    <n v="173.15634999999997"/>
    <n v="0"/>
    <n v="301.49878483546718"/>
    <n v="176.76366175389069"/>
  </r>
  <r>
    <s v="Regular"/>
    <x v="3"/>
    <x v="4"/>
    <x v="7"/>
    <x v="2"/>
    <x v="1"/>
    <x v="0"/>
    <x v="2"/>
    <x v="6"/>
    <n v="0"/>
    <n v="0"/>
    <n v="1.2250000000000001"/>
    <n v="1.2250000000000001"/>
    <n v="1.2250000000000001"/>
    <n v="1.2250000000000001"/>
    <n v="0"/>
    <x v="3"/>
    <n v="0"/>
    <n v="0"/>
    <n v="38"/>
    <n v="81"/>
    <n v="0"/>
    <n v="712.84"/>
    <n v="496.15"/>
    <m/>
    <n v="863.89336629073694"/>
    <n v="506.4861368306324"/>
    <n v="0"/>
    <n v="873.22900000000016"/>
    <n v="607.78375000000005"/>
    <n v="0"/>
    <n v="1058.2693737061529"/>
    <n v="620.44551761752473"/>
  </r>
  <r>
    <s v="Refaturamento - Regular"/>
    <x v="3"/>
    <x v="4"/>
    <x v="7"/>
    <x v="2"/>
    <x v="1"/>
    <x v="0"/>
    <x v="2"/>
    <x v="6"/>
    <n v="0"/>
    <n v="0"/>
    <n v="-0.159"/>
    <n v="-0.159"/>
    <n v="-0.159"/>
    <n v="-0.159"/>
    <n v="0"/>
    <x v="3"/>
    <n v="0"/>
    <n v="0"/>
    <n v="38"/>
    <n v="81"/>
    <n v="0"/>
    <n v="712.84"/>
    <n v="496.15"/>
    <m/>
    <n v="863.89336629073694"/>
    <n v="506.4861368306324"/>
    <n v="0"/>
    <n v="-113.34156"/>
    <n v="-78.88785"/>
    <n v="0"/>
    <n v="-137.35904524022718"/>
    <n v="-80.531295756070548"/>
  </r>
  <r>
    <s v="Sistema de Compensação"/>
    <x v="3"/>
    <x v="4"/>
    <x v="7"/>
    <x v="2"/>
    <x v="1"/>
    <x v="0"/>
    <x v="2"/>
    <x v="6"/>
    <n v="0"/>
    <n v="0"/>
    <n v="0.129"/>
    <n v="0.129"/>
    <n v="0.129"/>
    <n v="0.129"/>
    <n v="0"/>
    <x v="3"/>
    <n v="0"/>
    <n v="0"/>
    <n v="38"/>
    <n v="81"/>
    <n v="0"/>
    <n v="712.84"/>
    <n v="496.15"/>
    <m/>
    <n v="863.89336629073694"/>
    <n v="506.4861368306324"/>
    <n v="0"/>
    <n v="91.956360000000004"/>
    <n v="64.003349999999998"/>
    <n v="0"/>
    <n v="111.44224425150507"/>
    <n v="65.336711651151589"/>
  </r>
  <r>
    <s v="Sistema de Compensação"/>
    <x v="3"/>
    <x v="4"/>
    <x v="7"/>
    <x v="2"/>
    <x v="1"/>
    <x v="0"/>
    <x v="2"/>
    <x v="6"/>
    <n v="0"/>
    <n v="0"/>
    <n v="-2.9000000000000001E-2"/>
    <n v="-2.9000000000000001E-2"/>
    <n v="-2.9000000000000001E-2"/>
    <n v="-2.9000000000000001E-2"/>
    <n v="0"/>
    <x v="3"/>
    <n v="0"/>
    <n v="0"/>
    <n v="38"/>
    <n v="81"/>
    <n v="0"/>
    <n v="712.84"/>
    <n v="496.15"/>
    <m/>
    <n v="863.89336629073694"/>
    <n v="506.4861368306324"/>
    <n v="0"/>
    <n v="-20.672360000000001"/>
    <n v="-14.388350000000001"/>
    <n v="0"/>
    <n v="-25.052907622431373"/>
    <n v="-14.688097968088341"/>
  </r>
  <r>
    <s v="Regular"/>
    <x v="3"/>
    <x v="4"/>
    <x v="7"/>
    <x v="2"/>
    <x v="1"/>
    <x v="0"/>
    <x v="2"/>
    <x v="7"/>
    <n v="0"/>
    <n v="0"/>
    <n v="1.1299999999999999"/>
    <n v="1.1299999999999999"/>
    <n v="1.1299999999999999"/>
    <n v="1.1299999999999999"/>
    <n v="0"/>
    <x v="3"/>
    <n v="0"/>
    <n v="0"/>
    <n v="38"/>
    <n v="81"/>
    <n v="0"/>
    <n v="712.84"/>
    <n v="496.15"/>
    <m/>
    <n v="863.89336629073694"/>
    <n v="506.4861368306324"/>
    <n v="0"/>
    <n v="805.50919999999996"/>
    <n v="560.64949999999988"/>
    <n v="0"/>
    <n v="976.19950390853262"/>
    <n v="572.32933461861455"/>
  </r>
  <r>
    <s v="Sistema de Compensação"/>
    <x v="3"/>
    <x v="4"/>
    <x v="7"/>
    <x v="2"/>
    <x v="1"/>
    <x v="0"/>
    <x v="2"/>
    <x v="7"/>
    <n v="0"/>
    <n v="0"/>
    <n v="0.28299999999999997"/>
    <n v="0.28299999999999997"/>
    <n v="0.28299999999999997"/>
    <n v="0.28299999999999997"/>
    <n v="0"/>
    <x v="3"/>
    <n v="0"/>
    <n v="0"/>
    <n v="38"/>
    <n v="81"/>
    <n v="0"/>
    <n v="712.84"/>
    <n v="496.15"/>
    <m/>
    <n v="863.89336629073694"/>
    <n v="506.4861368306324"/>
    <n v="0"/>
    <n v="201.73371999999998"/>
    <n v="140.41044999999997"/>
    <n v="0"/>
    <n v="244.48182266027854"/>
    <n v="143.33557672306895"/>
  </r>
  <r>
    <s v="Regular"/>
    <x v="3"/>
    <x v="4"/>
    <x v="7"/>
    <x v="2"/>
    <x v="1"/>
    <x v="0"/>
    <x v="2"/>
    <x v="8"/>
    <n v="0"/>
    <n v="0"/>
    <n v="1.26"/>
    <n v="1.26"/>
    <n v="1.26"/>
    <n v="1.26"/>
    <n v="0"/>
    <x v="3"/>
    <n v="0"/>
    <n v="0"/>
    <n v="38"/>
    <n v="81"/>
    <n v="0"/>
    <n v="712.84"/>
    <n v="496.15"/>
    <m/>
    <n v="863.89336629073694"/>
    <n v="506.4861368306324"/>
    <n v="0"/>
    <n v="898.17840000000001"/>
    <n v="625.149"/>
    <n v="0"/>
    <n v="1088.5056415263286"/>
    <n v="638.17253240659682"/>
  </r>
  <r>
    <s v="Sistema de Compensação"/>
    <x v="3"/>
    <x v="4"/>
    <x v="7"/>
    <x v="2"/>
    <x v="1"/>
    <x v="0"/>
    <x v="2"/>
    <x v="8"/>
    <n v="0"/>
    <n v="0"/>
    <n v="0.311"/>
    <n v="0.311"/>
    <n v="0.311"/>
    <n v="0.311"/>
    <n v="0"/>
    <x v="3"/>
    <n v="0"/>
    <n v="0"/>
    <n v="38"/>
    <n v="81"/>
    <n v="0"/>
    <n v="712.84"/>
    <n v="496.15"/>
    <m/>
    <n v="863.89336629073694"/>
    <n v="506.4861368306324"/>
    <n v="0"/>
    <n v="221.69324"/>
    <n v="154.30265"/>
    <n v="0"/>
    <n v="268.6708369164192"/>
    <n v="157.51718855432668"/>
  </r>
  <r>
    <s v="Sistema de Compensação"/>
    <x v="3"/>
    <x v="4"/>
    <x v="7"/>
    <x v="2"/>
    <x v="1"/>
    <x v="0"/>
    <x v="2"/>
    <x v="8"/>
    <n v="0"/>
    <n v="0"/>
    <n v="-2.8000000000000001E-2"/>
    <n v="-2.8000000000000001E-2"/>
    <n v="-2.8000000000000001E-2"/>
    <n v="-2.8000000000000001E-2"/>
    <n v="0"/>
    <x v="3"/>
    <n v="0"/>
    <n v="0"/>
    <n v="38"/>
    <n v="81"/>
    <n v="0"/>
    <n v="712.84"/>
    <n v="496.15"/>
    <m/>
    <n v="863.89336629073694"/>
    <n v="506.4861368306324"/>
    <n v="0"/>
    <n v="-19.959520000000001"/>
    <n v="-13.892199999999999"/>
    <n v="0"/>
    <n v="-24.189014256140634"/>
    <n v="-14.181611831257708"/>
  </r>
  <r>
    <s v="Regular"/>
    <x v="3"/>
    <x v="4"/>
    <x v="7"/>
    <x v="2"/>
    <x v="1"/>
    <x v="0"/>
    <x v="2"/>
    <x v="9"/>
    <n v="0"/>
    <n v="0"/>
    <n v="1.369"/>
    <n v="1.369"/>
    <n v="1.369"/>
    <n v="1.369"/>
    <n v="0"/>
    <x v="3"/>
    <n v="0"/>
    <n v="0"/>
    <n v="38"/>
    <n v="81"/>
    <n v="0"/>
    <n v="712.84"/>
    <n v="496.15"/>
    <m/>
    <n v="863.89336629073694"/>
    <n v="506.4861368306324"/>
    <n v="0"/>
    <n v="975.87796000000003"/>
    <n v="679.22934999999995"/>
    <n v="0"/>
    <n v="1182.6700184520189"/>
    <n v="693.37952132113571"/>
  </r>
  <r>
    <s v="Sistema de Compensação"/>
    <x v="3"/>
    <x v="4"/>
    <x v="7"/>
    <x v="2"/>
    <x v="1"/>
    <x v="0"/>
    <x v="2"/>
    <x v="9"/>
    <n v="0"/>
    <n v="0"/>
    <n v="0.17799999999999999"/>
    <n v="0.17799999999999999"/>
    <n v="0.17799999999999999"/>
    <n v="0.17799999999999999"/>
    <n v="0"/>
    <x v="3"/>
    <n v="0"/>
    <n v="0"/>
    <n v="38"/>
    <n v="81"/>
    <n v="0"/>
    <n v="712.84"/>
    <n v="496.15"/>
    <m/>
    <n v="863.89336629073694"/>
    <n v="506.4861368306324"/>
    <n v="0"/>
    <n v="126.88552"/>
    <n v="88.314699999999988"/>
    <n v="0"/>
    <n v="153.77301919975116"/>
    <n v="90.154532355852567"/>
  </r>
  <r>
    <s v="Regular"/>
    <x v="3"/>
    <x v="4"/>
    <x v="7"/>
    <x v="2"/>
    <x v="1"/>
    <x v="0"/>
    <x v="2"/>
    <x v="10"/>
    <n v="0"/>
    <n v="0"/>
    <n v="0.93500000000000005"/>
    <n v="0.93500000000000005"/>
    <n v="0.93500000000000005"/>
    <n v="0.93500000000000005"/>
    <n v="0"/>
    <x v="3"/>
    <n v="0"/>
    <n v="0"/>
    <n v="38"/>
    <n v="81"/>
    <n v="0"/>
    <n v="712.84"/>
    <n v="496.15"/>
    <m/>
    <n v="863.89336629073694"/>
    <n v="506.4861368306324"/>
    <n v="0"/>
    <n v="666.50540000000012"/>
    <n v="463.90025000000003"/>
    <n v="0"/>
    <n v="807.74029748183909"/>
    <n v="473.56453793664133"/>
  </r>
  <r>
    <s v="Sistema de Compensação"/>
    <x v="3"/>
    <x v="4"/>
    <x v="7"/>
    <x v="2"/>
    <x v="1"/>
    <x v="0"/>
    <x v="2"/>
    <x v="10"/>
    <n v="0"/>
    <n v="0"/>
    <n v="0.193"/>
    <n v="0.193"/>
    <n v="0.193"/>
    <n v="0.193"/>
    <n v="0"/>
    <x v="3"/>
    <n v="0"/>
    <n v="0"/>
    <n v="38"/>
    <n v="81"/>
    <n v="0"/>
    <n v="712.84"/>
    <n v="496.15"/>
    <m/>
    <n v="863.89336629073694"/>
    <n v="506.4861368306324"/>
    <n v="0"/>
    <n v="137.57812000000001"/>
    <n v="95.756950000000003"/>
    <n v="0"/>
    <n v="166.73141969411222"/>
    <n v="97.751824408312061"/>
  </r>
  <r>
    <s v="PROJETADO"/>
    <x v="3"/>
    <x v="4"/>
    <x v="7"/>
    <x v="2"/>
    <x v="1"/>
    <x v="0"/>
    <x v="2"/>
    <x v="11"/>
    <n v="0"/>
    <n v="0"/>
    <n v="0.93500000000000005"/>
    <n v="0.93500000000000005"/>
    <n v="0.93500000000000005"/>
    <n v="0.93500000000000005"/>
    <n v="0"/>
    <x v="3"/>
    <n v="0"/>
    <n v="0"/>
    <n v="38"/>
    <n v="81"/>
    <n v="0"/>
    <n v="712.84"/>
    <n v="496.15"/>
    <m/>
    <n v="863.89336629073694"/>
    <n v="506.4861368306324"/>
    <n v="0"/>
    <n v="666.50540000000012"/>
    <n v="463.90025000000003"/>
    <n v="0"/>
    <n v="807.74029748183909"/>
    <n v="473.56453793664133"/>
  </r>
  <r>
    <s v="PROJETADO"/>
    <x v="3"/>
    <x v="4"/>
    <x v="7"/>
    <x v="2"/>
    <x v="1"/>
    <x v="0"/>
    <x v="2"/>
    <x v="11"/>
    <n v="0"/>
    <n v="0"/>
    <n v="0.193"/>
    <n v="0.193"/>
    <n v="0.193"/>
    <n v="0.193"/>
    <n v="0"/>
    <x v="3"/>
    <n v="0"/>
    <n v="0"/>
    <n v="38"/>
    <n v="81"/>
    <n v="0"/>
    <n v="712.84"/>
    <n v="496.15"/>
    <m/>
    <n v="863.89336629073694"/>
    <n v="506.4861368306324"/>
    <n v="0"/>
    <n v="137.57812000000001"/>
    <n v="95.756950000000003"/>
    <n v="0"/>
    <n v="166.73141969411222"/>
    <n v="97.751824408312061"/>
  </r>
  <r>
    <s v="Regular"/>
    <x v="3"/>
    <x v="5"/>
    <x v="7"/>
    <x v="2"/>
    <x v="1"/>
    <x v="0"/>
    <x v="0"/>
    <x v="0"/>
    <n v="0"/>
    <n v="0"/>
    <n v="32508.238000000001"/>
    <n v="32508.238000000001"/>
    <n v="32508.238000000001"/>
    <n v="32508.238000000001"/>
    <n v="269381"/>
    <x v="3"/>
    <n v="0"/>
    <n v="0"/>
    <n v="41"/>
    <n v="84"/>
    <n v="0"/>
    <n v="342.48"/>
    <n v="326.47000000000003"/>
    <m/>
    <n v="436.42935762318632"/>
    <n v="327.42656781362894"/>
    <n v="0"/>
    <n v="11133421.350240001"/>
    <n v="10612964.459860001"/>
    <n v="0"/>
    <n v="14187549.427801656"/>
    <n v="10644060.79400859"/>
  </r>
  <r>
    <s v="Refaturamento - Regular"/>
    <x v="3"/>
    <x v="5"/>
    <x v="7"/>
    <x v="2"/>
    <x v="1"/>
    <x v="0"/>
    <x v="0"/>
    <x v="0"/>
    <n v="0"/>
    <n v="0"/>
    <n v="-18.876000000000001"/>
    <n v="-18.876000000000001"/>
    <n v="-18.876000000000001"/>
    <n v="-18.876000000000001"/>
    <n v="-23"/>
    <x v="3"/>
    <n v="0"/>
    <n v="0"/>
    <n v="41"/>
    <n v="84"/>
    <n v="0"/>
    <n v="342.48"/>
    <n v="326.47000000000003"/>
    <m/>
    <n v="436.42935762318632"/>
    <n v="327.42656781362894"/>
    <n v="0"/>
    <n v="-6464.6524800000007"/>
    <n v="-6162.447720000001"/>
    <n v="0"/>
    <n v="-8238.0405544952664"/>
    <n v="-6180.5038940500599"/>
  </r>
  <r>
    <s v="Sistema de Compensação"/>
    <x v="3"/>
    <x v="5"/>
    <x v="7"/>
    <x v="2"/>
    <x v="1"/>
    <x v="0"/>
    <x v="0"/>
    <x v="0"/>
    <n v="0"/>
    <n v="0"/>
    <n v="642.15300000000002"/>
    <n v="642.15300000000002"/>
    <n v="642.15300000000002"/>
    <n v="642.15300000000002"/>
    <n v="5658"/>
    <x v="3"/>
    <n v="0"/>
    <n v="0"/>
    <n v="41"/>
    <n v="84"/>
    <n v="0"/>
    <n v="342.48"/>
    <n v="326.47000000000003"/>
    <m/>
    <n v="436.42935762318632"/>
    <n v="327.42656781362894"/>
    <n v="0"/>
    <n v="219924.55944000001"/>
    <n v="209643.68991000002"/>
    <n v="0"/>
    <n v="280254.42128580197"/>
    <n v="210257.95280122527"/>
  </r>
  <r>
    <s v="Sistema de Compensação"/>
    <x v="3"/>
    <x v="5"/>
    <x v="7"/>
    <x v="2"/>
    <x v="1"/>
    <x v="0"/>
    <x v="0"/>
    <x v="0"/>
    <n v="0"/>
    <n v="0"/>
    <n v="-1.004"/>
    <n v="-1.004"/>
    <n v="-1.004"/>
    <n v="-1.004"/>
    <n v="0"/>
    <x v="3"/>
    <n v="0"/>
    <n v="0"/>
    <n v="41"/>
    <n v="84"/>
    <n v="0"/>
    <n v="342.48"/>
    <n v="326.47000000000003"/>
    <m/>
    <n v="436.42935762318632"/>
    <n v="327.42656781362894"/>
    <n v="0"/>
    <n v="-343.84992"/>
    <n v="-327.77588000000003"/>
    <n v="0"/>
    <n v="-438.17507505367905"/>
    <n v="-328.73627408488346"/>
  </r>
  <r>
    <s v="Regular"/>
    <x v="3"/>
    <x v="5"/>
    <x v="7"/>
    <x v="2"/>
    <x v="1"/>
    <x v="0"/>
    <x v="0"/>
    <x v="1"/>
    <n v="0"/>
    <n v="0"/>
    <n v="31785.352999999999"/>
    <n v="31785.352999999999"/>
    <n v="31785.352999999999"/>
    <n v="31785.352999999999"/>
    <n v="267954"/>
    <x v="3"/>
    <n v="0"/>
    <n v="0"/>
    <n v="41"/>
    <n v="84"/>
    <n v="0"/>
    <n v="342.48"/>
    <n v="326.47000000000003"/>
    <m/>
    <n v="436.42935762318632"/>
    <n v="327.42656781362894"/>
    <n v="0"/>
    <n v="10885847.69544"/>
    <n v="10376964.193910001"/>
    <n v="0"/>
    <n v="13872061.191616219"/>
    <n v="10407369.039534634"/>
  </r>
  <r>
    <s v="Refaturamento - Regular"/>
    <x v="3"/>
    <x v="5"/>
    <x v="7"/>
    <x v="2"/>
    <x v="1"/>
    <x v="0"/>
    <x v="0"/>
    <x v="1"/>
    <n v="0"/>
    <n v="0"/>
    <n v="-30.484999999999999"/>
    <n v="-30.484999999999999"/>
    <n v="-30.484999999999999"/>
    <n v="-30.484999999999999"/>
    <n v="-29"/>
    <x v="3"/>
    <n v="0"/>
    <n v="0"/>
    <n v="41"/>
    <n v="84"/>
    <n v="0"/>
    <n v="342.48"/>
    <n v="326.47000000000003"/>
    <m/>
    <n v="436.42935762318632"/>
    <n v="327.42656781362894"/>
    <n v="0"/>
    <n v="-10440.5028"/>
    <n v="-9952.4379500000014"/>
    <n v="0"/>
    <n v="-13304.548967142835"/>
    <n v="-9981.5989197984782"/>
  </r>
  <r>
    <s v="Sistema de Compensação"/>
    <x v="3"/>
    <x v="5"/>
    <x v="7"/>
    <x v="2"/>
    <x v="1"/>
    <x v="0"/>
    <x v="0"/>
    <x v="1"/>
    <n v="0"/>
    <n v="0"/>
    <n v="654.73400000000004"/>
    <n v="654.73400000000004"/>
    <n v="654.73400000000004"/>
    <n v="654.73400000000004"/>
    <n v="6055"/>
    <x v="3"/>
    <n v="0"/>
    <n v="0"/>
    <n v="41"/>
    <n v="84"/>
    <n v="0"/>
    <n v="342.48"/>
    <n v="326.47000000000003"/>
    <m/>
    <n v="436.42935762318632"/>
    <n v="327.42656781362894"/>
    <n v="0"/>
    <n v="224233.30032000004"/>
    <n v="213751.00898000004"/>
    <n v="0"/>
    <n v="285745.13903405931"/>
    <n v="214377.30645088854"/>
  </r>
  <r>
    <s v="Sistema de Compensação"/>
    <x v="3"/>
    <x v="5"/>
    <x v="7"/>
    <x v="2"/>
    <x v="1"/>
    <x v="0"/>
    <x v="0"/>
    <x v="1"/>
    <n v="0"/>
    <n v="0"/>
    <n v="-1.9650000000000001"/>
    <n v="-1.9650000000000001"/>
    <n v="-1.9650000000000001"/>
    <n v="-1.9650000000000001"/>
    <n v="1"/>
    <x v="3"/>
    <n v="0"/>
    <n v="0"/>
    <n v="41"/>
    <n v="84"/>
    <n v="0"/>
    <n v="342.48"/>
    <n v="326.47000000000003"/>
    <m/>
    <n v="436.42935762318632"/>
    <n v="327.42656781362894"/>
    <n v="0"/>
    <n v="-672.97320000000002"/>
    <n v="-641.51355000000012"/>
    <n v="0"/>
    <n v="-857.58368772956112"/>
    <n v="-643.39320575378088"/>
  </r>
  <r>
    <s v="Regular"/>
    <x v="3"/>
    <x v="5"/>
    <x v="7"/>
    <x v="2"/>
    <x v="1"/>
    <x v="0"/>
    <x v="0"/>
    <x v="2"/>
    <n v="0"/>
    <n v="0"/>
    <n v="31834.105"/>
    <n v="31834.105"/>
    <n v="31834.105"/>
    <n v="31834.105"/>
    <n v="267357"/>
    <x v="3"/>
    <n v="0"/>
    <n v="0"/>
    <n v="41"/>
    <n v="84"/>
    <n v="0"/>
    <n v="342.48"/>
    <n v="326.47000000000003"/>
    <m/>
    <n v="436.42935762318632"/>
    <n v="327.42656781362894"/>
    <n v="0"/>
    <n v="10902544.280400001"/>
    <n v="10392880.25935"/>
    <n v="0"/>
    <n v="13893337.995659063"/>
    <n v="10423331.739568684"/>
  </r>
  <r>
    <s v="Refaturamento - Regular"/>
    <x v="3"/>
    <x v="5"/>
    <x v="7"/>
    <x v="2"/>
    <x v="1"/>
    <x v="0"/>
    <x v="0"/>
    <x v="2"/>
    <n v="0"/>
    <n v="0"/>
    <n v="-66.760999999999996"/>
    <n v="-66.760999999999996"/>
    <n v="-66.760999999999996"/>
    <n v="-66.760999999999996"/>
    <n v="-39"/>
    <x v="3"/>
    <n v="0"/>
    <n v="0"/>
    <n v="41"/>
    <n v="84"/>
    <n v="0"/>
    <n v="342.48"/>
    <n v="326.47000000000003"/>
    <m/>
    <n v="436.42935762318632"/>
    <n v="327.42656781362894"/>
    <n v="0"/>
    <n v="-22864.307280000001"/>
    <n v="-21795.463670000001"/>
    <n v="0"/>
    <n v="-29136.460344281539"/>
    <n v="-21859.325093805681"/>
  </r>
  <r>
    <s v="Sistema de Compensação"/>
    <x v="3"/>
    <x v="5"/>
    <x v="7"/>
    <x v="2"/>
    <x v="1"/>
    <x v="0"/>
    <x v="0"/>
    <x v="2"/>
    <n v="0"/>
    <n v="0"/>
    <n v="689.13199999999995"/>
    <n v="689.13199999999995"/>
    <n v="689.13199999999995"/>
    <n v="689.13199999999995"/>
    <n v="6451"/>
    <x v="3"/>
    <n v="0"/>
    <n v="0"/>
    <n v="41"/>
    <n v="84"/>
    <n v="0"/>
    <n v="342.48"/>
    <n v="326.47000000000003"/>
    <m/>
    <n v="436.42935762318632"/>
    <n v="327.42656781362894"/>
    <n v="0"/>
    <n v="236013.92736"/>
    <n v="224980.92404000001"/>
    <n v="0"/>
    <n v="300757.4360775816"/>
    <n v="225640.12553054173"/>
  </r>
  <r>
    <s v="Sistema de Compensação"/>
    <x v="3"/>
    <x v="5"/>
    <x v="7"/>
    <x v="2"/>
    <x v="1"/>
    <x v="0"/>
    <x v="0"/>
    <x v="2"/>
    <n v="0"/>
    <n v="0"/>
    <n v="-0.91300000000000003"/>
    <n v="-0.91300000000000003"/>
    <n v="-0.91300000000000003"/>
    <n v="-0.91300000000000003"/>
    <n v="0"/>
    <x v="3"/>
    <n v="0"/>
    <n v="0"/>
    <n v="41"/>
    <n v="84"/>
    <n v="0"/>
    <n v="342.48"/>
    <n v="326.47000000000003"/>
    <m/>
    <n v="436.42935762318632"/>
    <n v="327.42656781362894"/>
    <n v="0"/>
    <n v="-312.68424000000005"/>
    <n v="-298.06711000000001"/>
    <n v="0"/>
    <n v="-398.46000350996911"/>
    <n v="-298.94045641384321"/>
  </r>
  <r>
    <s v="Regular"/>
    <x v="3"/>
    <x v="5"/>
    <x v="7"/>
    <x v="2"/>
    <x v="1"/>
    <x v="0"/>
    <x v="0"/>
    <x v="3"/>
    <n v="0"/>
    <n v="0"/>
    <n v="35522.057999999997"/>
    <n v="35522.057999999997"/>
    <n v="35522.057999999997"/>
    <n v="35522.057999999997"/>
    <n v="269596"/>
    <x v="3"/>
    <n v="0"/>
    <n v="0"/>
    <n v="41"/>
    <n v="84"/>
    <n v="0"/>
    <n v="342.48"/>
    <n v="326.47000000000003"/>
    <m/>
    <n v="436.42935762318632"/>
    <n v="327.42656781362894"/>
    <n v="0"/>
    <n v="12165594.423839999"/>
    <n v="11596886.27526"/>
    <n v="0"/>
    <n v="15502868.954393566"/>
    <n v="11630865.53261666"/>
  </r>
  <r>
    <s v="Refaturamento - Regular"/>
    <x v="3"/>
    <x v="5"/>
    <x v="7"/>
    <x v="2"/>
    <x v="1"/>
    <x v="0"/>
    <x v="0"/>
    <x v="3"/>
    <n v="0"/>
    <n v="0"/>
    <n v="-8.7919999999999998"/>
    <n v="-8.7919999999999998"/>
    <n v="-8.7919999999999998"/>
    <n v="-8.7919999999999998"/>
    <n v="-11"/>
    <x v="3"/>
    <n v="0"/>
    <n v="0"/>
    <n v="41"/>
    <n v="84"/>
    <n v="0"/>
    <n v="342.48"/>
    <n v="326.47000000000003"/>
    <m/>
    <n v="436.42935762318632"/>
    <n v="327.42656781362894"/>
    <n v="0"/>
    <n v="-3011.0841599999999"/>
    <n v="-2870.3242400000004"/>
    <n v="0"/>
    <n v="-3837.0869122230542"/>
    <n v="-2878.7343842174255"/>
  </r>
  <r>
    <s v="Sistema de Compensação"/>
    <x v="3"/>
    <x v="5"/>
    <x v="7"/>
    <x v="2"/>
    <x v="1"/>
    <x v="0"/>
    <x v="0"/>
    <x v="3"/>
    <n v="0"/>
    <n v="0"/>
    <n v="750.84"/>
    <n v="750.84"/>
    <n v="750.84"/>
    <n v="750.84"/>
    <n v="6903"/>
    <x v="3"/>
    <n v="0"/>
    <n v="0"/>
    <n v="41"/>
    <n v="84"/>
    <n v="0"/>
    <n v="342.48"/>
    <n v="326.47000000000003"/>
    <m/>
    <n v="436.42935762318632"/>
    <n v="327.42656781362894"/>
    <n v="0"/>
    <n v="257147.68320000003"/>
    <n v="245126.73480000003"/>
    <n v="0"/>
    <n v="327688.61887779325"/>
    <n v="245844.96417718515"/>
  </r>
  <r>
    <s v="Sistema de Compensação"/>
    <x v="3"/>
    <x v="5"/>
    <x v="7"/>
    <x v="2"/>
    <x v="1"/>
    <x v="0"/>
    <x v="0"/>
    <x v="3"/>
    <n v="0"/>
    <n v="0"/>
    <n v="-11.977"/>
    <n v="-11.977"/>
    <n v="-11.977"/>
    <n v="-11.977"/>
    <n v="0"/>
    <x v="3"/>
    <n v="0"/>
    <n v="0"/>
    <n v="41"/>
    <n v="84"/>
    <n v="0"/>
    <n v="342.48"/>
    <n v="326.47000000000003"/>
    <m/>
    <n v="436.42935762318632"/>
    <n v="327.42656781362894"/>
    <n v="0"/>
    <n v="-4101.8829599999999"/>
    <n v="-3910.1311900000005"/>
    <n v="0"/>
    <n v="-5227.1144162529026"/>
    <n v="-3921.5880027038338"/>
  </r>
  <r>
    <s v="Regular"/>
    <x v="3"/>
    <x v="5"/>
    <x v="7"/>
    <x v="2"/>
    <x v="1"/>
    <x v="0"/>
    <x v="0"/>
    <x v="4"/>
    <n v="0"/>
    <n v="0"/>
    <n v="33917.345999999998"/>
    <n v="33917.345999999998"/>
    <n v="33917.345999999998"/>
    <n v="33917.345999999998"/>
    <n v="268131"/>
    <x v="3"/>
    <n v="0"/>
    <n v="0"/>
    <n v="41"/>
    <n v="84"/>
    <n v="0"/>
    <n v="342.48"/>
    <n v="326.47000000000003"/>
    <m/>
    <n v="436.42935762318632"/>
    <n v="327.42656781362894"/>
    <n v="0"/>
    <n v="11616012.65808"/>
    <n v="11072995.948620001"/>
    <n v="0"/>
    <n v="14802525.527063347"/>
    <n v="11105440.190127315"/>
  </r>
  <r>
    <s v="Refaturamento - Regular"/>
    <x v="3"/>
    <x v="5"/>
    <x v="7"/>
    <x v="2"/>
    <x v="1"/>
    <x v="0"/>
    <x v="0"/>
    <x v="4"/>
    <n v="0"/>
    <n v="0"/>
    <n v="-27.29"/>
    <n v="-27.29"/>
    <n v="-27.29"/>
    <n v="-27.29"/>
    <n v="-19"/>
    <x v="3"/>
    <n v="0"/>
    <n v="0"/>
    <n v="41"/>
    <n v="84"/>
    <n v="0"/>
    <n v="342.48"/>
    <n v="326.47000000000003"/>
    <m/>
    <n v="436.42935762318632"/>
    <n v="327.42656781362894"/>
    <n v="0"/>
    <n v="-9346.2792000000009"/>
    <n v="-8909.3662999999997"/>
    <n v="0"/>
    <n v="-11910.157169536755"/>
    <n v="-8935.4710356339328"/>
  </r>
  <r>
    <s v="Sistema de Compensação"/>
    <x v="3"/>
    <x v="5"/>
    <x v="7"/>
    <x v="2"/>
    <x v="1"/>
    <x v="0"/>
    <x v="0"/>
    <x v="4"/>
    <n v="0"/>
    <n v="0"/>
    <n v="817.02099999999996"/>
    <n v="817.02099999999996"/>
    <n v="817.02099999999996"/>
    <n v="817.02099999999996"/>
    <n v="7249"/>
    <x v="3"/>
    <n v="0"/>
    <n v="0"/>
    <n v="41"/>
    <n v="84"/>
    <n v="0"/>
    <n v="342.48"/>
    <n v="326.47000000000003"/>
    <m/>
    <n v="436.42935762318632"/>
    <n v="327.42656781362894"/>
    <n v="0"/>
    <n v="279813.35207999998"/>
    <n v="266732.84587000002"/>
    <n v="0"/>
    <n v="356571.9501946533"/>
    <n v="267514.38186165894"/>
  </r>
  <r>
    <s v="Sistema de Compensação"/>
    <x v="3"/>
    <x v="5"/>
    <x v="7"/>
    <x v="2"/>
    <x v="1"/>
    <x v="0"/>
    <x v="0"/>
    <x v="4"/>
    <n v="0"/>
    <n v="0"/>
    <n v="-3.5920000000000001"/>
    <n v="-3.5920000000000001"/>
    <n v="-3.5920000000000001"/>
    <n v="-3.5920000000000001"/>
    <n v="1"/>
    <x v="3"/>
    <n v="0"/>
    <n v="0"/>
    <n v="41"/>
    <n v="84"/>
    <n v="0"/>
    <n v="342.48"/>
    <n v="326.47000000000003"/>
    <m/>
    <n v="436.42935762318632"/>
    <n v="327.42656781362894"/>
    <n v="0"/>
    <n v="-1230.1881600000002"/>
    <n v="-1172.6802400000001"/>
    <n v="0"/>
    <n v="-1567.6542525824852"/>
    <n v="-1176.1162315865552"/>
  </r>
  <r>
    <s v="Regular"/>
    <x v="3"/>
    <x v="5"/>
    <x v="7"/>
    <x v="2"/>
    <x v="1"/>
    <x v="0"/>
    <x v="0"/>
    <x v="5"/>
    <n v="0"/>
    <n v="0"/>
    <n v="33626.442000000003"/>
    <n v="33626.442000000003"/>
    <n v="33626.442000000003"/>
    <n v="33626.442000000003"/>
    <n v="266917"/>
    <x v="3"/>
    <n v="0"/>
    <n v="0"/>
    <n v="41"/>
    <n v="84"/>
    <n v="0"/>
    <n v="342.48"/>
    <n v="326.47000000000003"/>
    <m/>
    <n v="436.42935762318632"/>
    <n v="327.42656781362894"/>
    <n v="0"/>
    <n v="11516383.856160002"/>
    <n v="10978024.519740002"/>
    <n v="0"/>
    <n v="14675566.481213333"/>
    <n v="11010190.491844062"/>
  </r>
  <r>
    <s v="Refaturamento - Regular"/>
    <x v="3"/>
    <x v="5"/>
    <x v="7"/>
    <x v="2"/>
    <x v="1"/>
    <x v="0"/>
    <x v="0"/>
    <x v="5"/>
    <n v="0"/>
    <n v="0"/>
    <n v="-14.246"/>
    <n v="-14.246"/>
    <n v="-14.246"/>
    <n v="-14.246"/>
    <n v="-27"/>
    <x v="3"/>
    <n v="0"/>
    <n v="0"/>
    <n v="41"/>
    <n v="84"/>
    <n v="0"/>
    <n v="342.48"/>
    <n v="326.47000000000003"/>
    <m/>
    <n v="436.42935762318632"/>
    <n v="327.42656781362894"/>
    <n v="0"/>
    <n v="-4878.9700800000001"/>
    <n v="-4650.8916200000003"/>
    <n v="0"/>
    <n v="-6217.3726286999126"/>
    <n v="-4664.5188850729583"/>
  </r>
  <r>
    <s v="Sistema de Compensação"/>
    <x v="3"/>
    <x v="5"/>
    <x v="7"/>
    <x v="2"/>
    <x v="1"/>
    <x v="0"/>
    <x v="0"/>
    <x v="5"/>
    <n v="0"/>
    <n v="0"/>
    <n v="842.05799999999999"/>
    <n v="842.05799999999999"/>
    <n v="842.05799999999999"/>
    <n v="842.05799999999999"/>
    <n v="7716"/>
    <x v="3"/>
    <n v="0"/>
    <n v="0"/>
    <n v="41"/>
    <n v="84"/>
    <n v="0"/>
    <n v="342.48"/>
    <n v="326.47000000000003"/>
    <m/>
    <n v="436.42935762318632"/>
    <n v="327.42656781362894"/>
    <n v="0"/>
    <n v="288388.02384000004"/>
    <n v="274906.67526000005"/>
    <n v="0"/>
    <n v="367498.832021465"/>
    <n v="275712.16084000876"/>
  </r>
  <r>
    <s v="Sistema de Compensação"/>
    <x v="3"/>
    <x v="5"/>
    <x v="7"/>
    <x v="2"/>
    <x v="1"/>
    <x v="0"/>
    <x v="0"/>
    <x v="5"/>
    <n v="0"/>
    <n v="0"/>
    <n v="-3.1080000000000001"/>
    <n v="-3.1080000000000001"/>
    <n v="-3.1080000000000001"/>
    <n v="-3.1080000000000001"/>
    <n v="1"/>
    <x v="3"/>
    <n v="0"/>
    <n v="0"/>
    <n v="41"/>
    <n v="84"/>
    <n v="0"/>
    <n v="342.48"/>
    <n v="326.47000000000003"/>
    <m/>
    <n v="436.42935762318632"/>
    <n v="327.42656781362894"/>
    <n v="0"/>
    <n v="-1064.4278400000001"/>
    <n v="-1014.6687600000001"/>
    <n v="0"/>
    <n v="-1356.4224434928631"/>
    <n v="-1017.6417727647588"/>
  </r>
  <r>
    <s v="Regular"/>
    <x v="3"/>
    <x v="5"/>
    <x v="7"/>
    <x v="2"/>
    <x v="1"/>
    <x v="0"/>
    <x v="0"/>
    <x v="6"/>
    <n v="0"/>
    <n v="0"/>
    <n v="36130.078999999998"/>
    <n v="36130.078999999998"/>
    <n v="36130.078999999998"/>
    <n v="36130.078999999998"/>
    <n v="265913"/>
    <x v="3"/>
    <n v="0"/>
    <n v="0"/>
    <n v="41"/>
    <n v="84"/>
    <n v="0"/>
    <n v="342.48"/>
    <n v="326.47000000000003"/>
    <m/>
    <n v="436.42935762318632"/>
    <n v="327.42656781362894"/>
    <n v="0"/>
    <n v="12373829.45592"/>
    <n v="11795386.89113"/>
    <n v="0"/>
    <n v="15768227.168844974"/>
    <n v="11829947.76180527"/>
  </r>
  <r>
    <s v="Refaturamento - Regular"/>
    <x v="3"/>
    <x v="5"/>
    <x v="7"/>
    <x v="2"/>
    <x v="1"/>
    <x v="0"/>
    <x v="0"/>
    <x v="6"/>
    <n v="0"/>
    <n v="0"/>
    <n v="-34.533999999999999"/>
    <n v="-34.533999999999999"/>
    <n v="-34.533999999999999"/>
    <n v="-34.533999999999999"/>
    <n v="-21"/>
    <x v="3"/>
    <n v="0"/>
    <n v="0"/>
    <n v="41"/>
    <n v="84"/>
    <n v="0"/>
    <n v="342.48"/>
    <n v="326.47000000000003"/>
    <m/>
    <n v="436.42935762318632"/>
    <n v="327.42656781362894"/>
    <n v="0"/>
    <n v="-11827.204320000001"/>
    <n v="-11274.314980000001"/>
    <n v="0"/>
    <n v="-15071.651436159116"/>
    <n v="-11307.349092875862"/>
  </r>
  <r>
    <s v="Sistema de Compensação"/>
    <x v="3"/>
    <x v="5"/>
    <x v="7"/>
    <x v="2"/>
    <x v="1"/>
    <x v="0"/>
    <x v="0"/>
    <x v="6"/>
    <n v="0"/>
    <n v="0"/>
    <n v="912.05399999999997"/>
    <n v="912.05399999999997"/>
    <n v="912.05399999999997"/>
    <n v="912.05399999999997"/>
    <n v="8285"/>
    <x v="3"/>
    <n v="0"/>
    <n v="0"/>
    <n v="41"/>
    <n v="84"/>
    <n v="0"/>
    <n v="342.48"/>
    <n v="326.47000000000003"/>
    <m/>
    <n v="436.42935762318632"/>
    <n v="327.42656781362894"/>
    <n v="0"/>
    <n v="312360.25391999999"/>
    <n v="297758.26938000001"/>
    <n v="0"/>
    <n v="398047.14133765758"/>
    <n v="298630.71088069153"/>
  </r>
  <r>
    <s v="Sistema de Compensação"/>
    <x v="3"/>
    <x v="5"/>
    <x v="7"/>
    <x v="2"/>
    <x v="1"/>
    <x v="0"/>
    <x v="0"/>
    <x v="6"/>
    <n v="0"/>
    <n v="0"/>
    <n v="-1.2070000000000001"/>
    <n v="-1.2070000000000001"/>
    <n v="-1.2070000000000001"/>
    <n v="-1.2070000000000001"/>
    <n v="0"/>
    <x v="3"/>
    <n v="0"/>
    <n v="0"/>
    <n v="41"/>
    <n v="84"/>
    <n v="0"/>
    <n v="342.48"/>
    <n v="326.47000000000003"/>
    <m/>
    <n v="436.42935762318632"/>
    <n v="327.42656781362894"/>
    <n v="0"/>
    <n v="-413.37336000000005"/>
    <n v="-394.04929000000004"/>
    <n v="0"/>
    <n v="-526.77023465118589"/>
    <n v="-395.20386735105012"/>
  </r>
  <r>
    <s v="Regular"/>
    <x v="3"/>
    <x v="5"/>
    <x v="7"/>
    <x v="2"/>
    <x v="1"/>
    <x v="0"/>
    <x v="0"/>
    <x v="7"/>
    <n v="0"/>
    <n v="0"/>
    <n v="35688.838000000003"/>
    <n v="35688.838000000003"/>
    <n v="35688.838000000003"/>
    <n v="35688.838000000003"/>
    <n v="265539"/>
    <x v="3"/>
    <n v="0"/>
    <n v="0"/>
    <n v="41"/>
    <n v="84"/>
    <n v="0"/>
    <n v="342.48"/>
    <n v="326.47000000000003"/>
    <m/>
    <n v="436.42935762318632"/>
    <n v="327.42656781362894"/>
    <n v="0"/>
    <n v="12222713.238240002"/>
    <n v="11651334.941860002"/>
    <n v="0"/>
    <n v="15575656.642657964"/>
    <n v="11685473.735596618"/>
  </r>
  <r>
    <s v="Refaturamento - Regular"/>
    <x v="3"/>
    <x v="5"/>
    <x v="7"/>
    <x v="2"/>
    <x v="1"/>
    <x v="0"/>
    <x v="0"/>
    <x v="7"/>
    <n v="0"/>
    <n v="0"/>
    <n v="-11.483000000000001"/>
    <n v="-11.483000000000001"/>
    <n v="-11.483000000000001"/>
    <n v="-11.483000000000001"/>
    <n v="-12"/>
    <x v="3"/>
    <n v="0"/>
    <n v="0"/>
    <n v="41"/>
    <n v="84"/>
    <n v="0"/>
    <n v="342.48"/>
    <n v="326.47000000000003"/>
    <m/>
    <n v="436.42935762318632"/>
    <n v="327.42656781362894"/>
    <n v="0"/>
    <n v="-3932.6978400000003"/>
    <n v="-3748.8550100000007"/>
    <n v="0"/>
    <n v="-5011.5183135870484"/>
    <n v="-3759.8392782039014"/>
  </r>
  <r>
    <s v="Sistema de Compensação"/>
    <x v="3"/>
    <x v="5"/>
    <x v="7"/>
    <x v="2"/>
    <x v="1"/>
    <x v="0"/>
    <x v="0"/>
    <x v="7"/>
    <n v="0"/>
    <n v="0"/>
    <n v="982.96199999999999"/>
    <n v="982.96199999999999"/>
    <n v="982.96199999999999"/>
    <n v="982.96199999999999"/>
    <n v="8861"/>
    <x v="3"/>
    <n v="0"/>
    <n v="0"/>
    <n v="41"/>
    <n v="84"/>
    <n v="0"/>
    <n v="342.48"/>
    <n v="326.47000000000003"/>
    <m/>
    <n v="436.42935762318632"/>
    <n v="327.42656781362894"/>
    <n v="0"/>
    <n v="336644.82576000004"/>
    <n v="320907.60414000001"/>
    <n v="0"/>
    <n v="428993.47422800248"/>
    <n v="321847.8739512203"/>
  </r>
  <r>
    <s v="Sistema de Compensação"/>
    <x v="3"/>
    <x v="5"/>
    <x v="7"/>
    <x v="2"/>
    <x v="1"/>
    <x v="0"/>
    <x v="0"/>
    <x v="7"/>
    <n v="0"/>
    <n v="0"/>
    <n v="-2.952"/>
    <n v="-2.952"/>
    <n v="-2.952"/>
    <n v="-2.952"/>
    <n v="-1"/>
    <x v="3"/>
    <n v="0"/>
    <n v="0"/>
    <n v="41"/>
    <n v="84"/>
    <n v="0"/>
    <n v="342.48"/>
    <n v="326.47000000000003"/>
    <m/>
    <n v="436.42935762318632"/>
    <n v="327.42656781362894"/>
    <n v="0"/>
    <n v="-1011.0009600000001"/>
    <n v="-963.73944000000006"/>
    <n v="0"/>
    <n v="-1288.3394637036461"/>
    <n v="-966.5632281858326"/>
  </r>
  <r>
    <s v="Regular"/>
    <x v="3"/>
    <x v="5"/>
    <x v="7"/>
    <x v="2"/>
    <x v="1"/>
    <x v="0"/>
    <x v="0"/>
    <x v="8"/>
    <n v="0"/>
    <n v="0"/>
    <n v="35119.839"/>
    <n v="35119.839"/>
    <n v="35119.839"/>
    <n v="35119.839"/>
    <n v="269267"/>
    <x v="3"/>
    <n v="0"/>
    <n v="0"/>
    <n v="41"/>
    <n v="84"/>
    <n v="0"/>
    <n v="342.48"/>
    <n v="326.47000000000003"/>
    <m/>
    <n v="436.42935762318632"/>
    <n v="327.42656781362894"/>
    <n v="0"/>
    <n v="12027842.460720001"/>
    <n v="11465573.838330001"/>
    <n v="0"/>
    <n v="15327328.774599725"/>
    <n v="11499168.34593723"/>
  </r>
  <r>
    <s v="Refaturamento - Regular"/>
    <x v="3"/>
    <x v="5"/>
    <x v="7"/>
    <x v="2"/>
    <x v="1"/>
    <x v="0"/>
    <x v="0"/>
    <x v="8"/>
    <n v="0"/>
    <n v="0"/>
    <n v="-21.84"/>
    <n v="-21.84"/>
    <n v="-21.84"/>
    <n v="-21.84"/>
    <n v="-40"/>
    <x v="3"/>
    <n v="0"/>
    <n v="0"/>
    <n v="41"/>
    <n v="84"/>
    <n v="0"/>
    <n v="342.48"/>
    <n v="326.47000000000003"/>
    <m/>
    <n v="436.42935762318632"/>
    <n v="327.42656781362894"/>
    <n v="0"/>
    <n v="-7479.7632000000003"/>
    <n v="-7130.104800000001"/>
    <n v="0"/>
    <n v="-9531.61717049039"/>
    <n v="-7150.9962410496555"/>
  </r>
  <r>
    <s v="Sistema de Compensação"/>
    <x v="3"/>
    <x v="5"/>
    <x v="7"/>
    <x v="2"/>
    <x v="1"/>
    <x v="0"/>
    <x v="0"/>
    <x v="8"/>
    <n v="0"/>
    <n v="0"/>
    <n v="1091.241"/>
    <n v="1091.241"/>
    <n v="1091.241"/>
    <n v="1091.241"/>
    <n v="9657"/>
    <x v="3"/>
    <n v="0"/>
    <n v="0"/>
    <n v="41"/>
    <n v="84"/>
    <n v="0"/>
    <n v="342.48"/>
    <n v="326.47000000000003"/>
    <m/>
    <n v="436.42935762318632"/>
    <n v="327.42656781362894"/>
    <n v="0"/>
    <n v="373728.21768"/>
    <n v="356257.44927000004"/>
    <n v="0"/>
    <n v="476249.60864208348"/>
    <n v="357301.29528751224"/>
  </r>
  <r>
    <s v="Sistema de Compensação"/>
    <x v="3"/>
    <x v="5"/>
    <x v="7"/>
    <x v="2"/>
    <x v="1"/>
    <x v="0"/>
    <x v="0"/>
    <x v="8"/>
    <n v="0"/>
    <n v="0"/>
    <n v="-0.72799999999999998"/>
    <n v="-0.72799999999999998"/>
    <n v="-0.72799999999999998"/>
    <n v="-0.72799999999999998"/>
    <n v="1"/>
    <x v="3"/>
    <n v="0"/>
    <n v="0"/>
    <n v="41"/>
    <n v="84"/>
    <n v="0"/>
    <n v="342.48"/>
    <n v="326.47000000000003"/>
    <m/>
    <n v="436.42935762318632"/>
    <n v="327.42656781362894"/>
    <n v="0"/>
    <n v="-249.32544000000001"/>
    <n v="-237.67016000000001"/>
    <n v="0"/>
    <n v="-317.72057234967963"/>
    <n v="-238.36654136832186"/>
  </r>
  <r>
    <s v="Regular"/>
    <x v="3"/>
    <x v="5"/>
    <x v="7"/>
    <x v="2"/>
    <x v="1"/>
    <x v="0"/>
    <x v="0"/>
    <x v="9"/>
    <n v="0"/>
    <n v="0"/>
    <n v="38289.932999999997"/>
    <n v="38289.932999999997"/>
    <n v="38289.932999999997"/>
    <n v="38289.932999999997"/>
    <n v="268101"/>
    <x v="3"/>
    <n v="0"/>
    <n v="0"/>
    <n v="41"/>
    <n v="84"/>
    <n v="0"/>
    <n v="342.48"/>
    <n v="326.47000000000003"/>
    <m/>
    <n v="436.42935762318632"/>
    <n v="327.42656781362894"/>
    <n v="0"/>
    <n v="13113536.253839999"/>
    <n v="12500514.426510001"/>
    <n v="0"/>
    <n v="16710850.862624843"/>
    <n v="12537141.344003808"/>
  </r>
  <r>
    <s v="Refaturamento - Regular"/>
    <x v="3"/>
    <x v="5"/>
    <x v="7"/>
    <x v="2"/>
    <x v="1"/>
    <x v="0"/>
    <x v="0"/>
    <x v="9"/>
    <n v="0"/>
    <n v="0"/>
    <n v="-41.625"/>
    <n v="-41.625"/>
    <n v="-41.625"/>
    <n v="-41.625"/>
    <n v="-46"/>
    <x v="3"/>
    <n v="0"/>
    <n v="0"/>
    <n v="41"/>
    <n v="84"/>
    <n v="0"/>
    <n v="342.48"/>
    <n v="326.47000000000003"/>
    <m/>
    <n v="436.42935762318632"/>
    <n v="327.42656781362894"/>
    <n v="0"/>
    <n v="-14255.730000000001"/>
    <n v="-13589.313750000001"/>
    <n v="0"/>
    <n v="-18166.37201106513"/>
    <n v="-13629.130885242304"/>
  </r>
  <r>
    <s v="Sistema de Compensação"/>
    <x v="3"/>
    <x v="5"/>
    <x v="7"/>
    <x v="2"/>
    <x v="1"/>
    <x v="0"/>
    <x v="0"/>
    <x v="9"/>
    <n v="0"/>
    <n v="0"/>
    <n v="1163.3230000000001"/>
    <n v="1163.3230000000001"/>
    <n v="1163.3230000000001"/>
    <n v="1163.3230000000001"/>
    <n v="10298"/>
    <x v="3"/>
    <n v="0"/>
    <n v="0"/>
    <n v="41"/>
    <n v="84"/>
    <n v="0"/>
    <n v="342.48"/>
    <n v="326.47000000000003"/>
    <m/>
    <n v="436.42935762318632"/>
    <n v="327.42656781362894"/>
    <n v="0"/>
    <n v="398414.86104000005"/>
    <n v="379790.05981000006"/>
    <n v="0"/>
    <n v="507708.30959827802"/>
    <n v="380902.85714865429"/>
  </r>
  <r>
    <s v="Sistema de Compensação"/>
    <x v="3"/>
    <x v="5"/>
    <x v="7"/>
    <x v="2"/>
    <x v="1"/>
    <x v="0"/>
    <x v="0"/>
    <x v="9"/>
    <n v="0"/>
    <n v="0"/>
    <n v="-2.4279999999999999"/>
    <n v="-2.4279999999999999"/>
    <n v="-2.4279999999999999"/>
    <n v="-2.4279999999999999"/>
    <n v="0"/>
    <x v="3"/>
    <n v="0"/>
    <n v="0"/>
    <n v="41"/>
    <n v="84"/>
    <n v="0"/>
    <n v="342.48"/>
    <n v="326.47000000000003"/>
    <m/>
    <n v="436.42935762318632"/>
    <n v="327.42656781362894"/>
    <n v="0"/>
    <n v="-831.54143999999997"/>
    <n v="-792.66916000000003"/>
    <n v="0"/>
    <n v="-1059.6504803090963"/>
    <n v="-794.99170665149109"/>
  </r>
  <r>
    <s v="Regular"/>
    <x v="3"/>
    <x v="5"/>
    <x v="7"/>
    <x v="2"/>
    <x v="1"/>
    <x v="0"/>
    <x v="0"/>
    <x v="10"/>
    <n v="0"/>
    <n v="0"/>
    <n v="35722.485999999997"/>
    <n v="35722.485999999997"/>
    <n v="35722.485999999997"/>
    <n v="35722.485999999997"/>
    <n v="265728"/>
    <x v="3"/>
    <n v="0"/>
    <n v="0"/>
    <n v="41"/>
    <n v="84"/>
    <n v="0"/>
    <n v="342.48"/>
    <n v="326.47000000000003"/>
    <m/>
    <n v="436.42935762318632"/>
    <n v="327.42656781362894"/>
    <n v="0"/>
    <n v="12234237.005279999"/>
    <n v="11662320.004419999"/>
    <n v="0"/>
    <n v="15590341.617683265"/>
    <n v="11696490.984750409"/>
  </r>
  <r>
    <s v="Refaturamento - Regular"/>
    <x v="3"/>
    <x v="5"/>
    <x v="7"/>
    <x v="2"/>
    <x v="1"/>
    <x v="0"/>
    <x v="0"/>
    <x v="10"/>
    <n v="0"/>
    <n v="0"/>
    <n v="-35.234000000000002"/>
    <n v="-35.234000000000002"/>
    <n v="-35.234000000000002"/>
    <n v="-35.234000000000002"/>
    <n v="-37"/>
    <x v="3"/>
    <n v="0"/>
    <n v="0"/>
    <n v="41"/>
    <n v="84"/>
    <n v="0"/>
    <n v="342.48"/>
    <n v="326.47000000000003"/>
    <m/>
    <n v="436.42935762318632"/>
    <n v="327.42656781362894"/>
    <n v="0"/>
    <n v="-12066.940320000002"/>
    <n v="-11502.843980000001"/>
    <n v="0"/>
    <n v="-15377.151986495348"/>
    <n v="-11536.547690345402"/>
  </r>
  <r>
    <s v="Sistema de Compensação"/>
    <x v="3"/>
    <x v="5"/>
    <x v="7"/>
    <x v="2"/>
    <x v="1"/>
    <x v="0"/>
    <x v="0"/>
    <x v="10"/>
    <n v="0"/>
    <n v="0"/>
    <n v="1211.3109999999999"/>
    <n v="1211.3109999999999"/>
    <n v="1211.3109999999999"/>
    <n v="1211.3109999999999"/>
    <n v="10846"/>
    <x v="3"/>
    <n v="0"/>
    <n v="0"/>
    <n v="41"/>
    <n v="84"/>
    <n v="0"/>
    <n v="342.48"/>
    <n v="326.47000000000003"/>
    <m/>
    <n v="436.42935762318632"/>
    <n v="327.42656781362894"/>
    <n v="0"/>
    <n v="414849.79128"/>
    <n v="395456.70217"/>
    <n v="0"/>
    <n v="528651.6816118994"/>
    <n v="396615.40328489465"/>
  </r>
  <r>
    <s v="Sistema de Compensação"/>
    <x v="3"/>
    <x v="5"/>
    <x v="7"/>
    <x v="2"/>
    <x v="1"/>
    <x v="0"/>
    <x v="0"/>
    <x v="10"/>
    <n v="0"/>
    <n v="0"/>
    <n v="-5.9240000000000004"/>
    <n v="-5.9240000000000004"/>
    <n v="-5.9240000000000004"/>
    <n v="-5.9240000000000004"/>
    <n v="0"/>
    <x v="3"/>
    <n v="0"/>
    <n v="0"/>
    <n v="41"/>
    <n v="84"/>
    <n v="0"/>
    <n v="342.48"/>
    <n v="326.47000000000003"/>
    <m/>
    <n v="436.42935762318632"/>
    <n v="327.42656781362894"/>
    <n v="0"/>
    <n v="-2028.8515200000002"/>
    <n v="-1934.0082800000002"/>
    <n v="0"/>
    <n v="-2585.4075145597558"/>
    <n v="-1939.6749877279378"/>
  </r>
  <r>
    <s v="PROJETADO"/>
    <x v="3"/>
    <x v="5"/>
    <x v="7"/>
    <x v="2"/>
    <x v="1"/>
    <x v="0"/>
    <x v="0"/>
    <x v="11"/>
    <n v="0"/>
    <n v="0"/>
    <n v="35722.485999999997"/>
    <n v="35722.485999999997"/>
    <n v="35722.485999999997"/>
    <n v="35722.485999999997"/>
    <n v="265728"/>
    <x v="3"/>
    <n v="0"/>
    <n v="0"/>
    <n v="41"/>
    <n v="84"/>
    <n v="0"/>
    <n v="342.48"/>
    <n v="326.47000000000003"/>
    <m/>
    <n v="436.42935762318632"/>
    <n v="327.42656781362894"/>
    <n v="0"/>
    <n v="12234237.005279999"/>
    <n v="11662320.004419999"/>
    <n v="0"/>
    <n v="15590341.617683265"/>
    <n v="11696490.984750409"/>
  </r>
  <r>
    <s v="PROJETADO"/>
    <x v="3"/>
    <x v="5"/>
    <x v="7"/>
    <x v="2"/>
    <x v="1"/>
    <x v="0"/>
    <x v="0"/>
    <x v="11"/>
    <n v="0"/>
    <n v="0"/>
    <n v="-35.234000000000002"/>
    <n v="-35.234000000000002"/>
    <n v="-35.234000000000002"/>
    <n v="-35.234000000000002"/>
    <n v="-37"/>
    <x v="3"/>
    <n v="0"/>
    <n v="0"/>
    <n v="41"/>
    <n v="84"/>
    <n v="0"/>
    <n v="342.48"/>
    <n v="326.47000000000003"/>
    <m/>
    <n v="436.42935762318632"/>
    <n v="327.42656781362894"/>
    <n v="0"/>
    <n v="-12066.940320000002"/>
    <n v="-11502.843980000001"/>
    <n v="0"/>
    <n v="-15377.151986495348"/>
    <n v="-11536.547690345402"/>
  </r>
  <r>
    <s v="PROJETADO"/>
    <x v="3"/>
    <x v="5"/>
    <x v="7"/>
    <x v="2"/>
    <x v="1"/>
    <x v="0"/>
    <x v="0"/>
    <x v="11"/>
    <n v="0"/>
    <n v="0"/>
    <n v="1211.3109999999999"/>
    <n v="1211.3109999999999"/>
    <n v="1211.3109999999999"/>
    <n v="1211.3109999999999"/>
    <n v="10846"/>
    <x v="3"/>
    <n v="0"/>
    <n v="0"/>
    <n v="41"/>
    <n v="84"/>
    <n v="0"/>
    <n v="342.48"/>
    <n v="326.47000000000003"/>
    <m/>
    <n v="436.42935762318632"/>
    <n v="327.42656781362894"/>
    <n v="0"/>
    <n v="414849.79128"/>
    <n v="395456.70217"/>
    <n v="0"/>
    <n v="528651.6816118994"/>
    <n v="396615.40328489465"/>
  </r>
  <r>
    <s v="PROJETADO"/>
    <x v="3"/>
    <x v="5"/>
    <x v="7"/>
    <x v="2"/>
    <x v="1"/>
    <x v="0"/>
    <x v="0"/>
    <x v="11"/>
    <n v="0"/>
    <n v="0"/>
    <n v="-5.9240000000000004"/>
    <n v="-5.9240000000000004"/>
    <n v="-5.9240000000000004"/>
    <n v="-5.9240000000000004"/>
    <n v="0"/>
    <x v="3"/>
    <n v="0"/>
    <n v="0"/>
    <n v="41"/>
    <n v="84"/>
    <n v="0"/>
    <n v="342.48"/>
    <n v="326.47000000000003"/>
    <m/>
    <n v="436.42935762318632"/>
    <n v="327.42656781362894"/>
    <n v="0"/>
    <n v="-2028.8515200000002"/>
    <n v="-1934.0082800000002"/>
    <n v="0"/>
    <n v="-2585.4075145597558"/>
    <n v="-1939.6749877279378"/>
  </r>
  <r>
    <s v="Regular"/>
    <x v="3"/>
    <x v="5"/>
    <x v="7"/>
    <x v="3"/>
    <x v="1"/>
    <x v="0"/>
    <x v="0"/>
    <x v="0"/>
    <n v="0"/>
    <n v="0"/>
    <n v="2446.7080000000001"/>
    <n v="2446.7080000000001"/>
    <n v="2446.7080000000001"/>
    <n v="2446.7080000000001"/>
    <n v="4473"/>
    <x v="3"/>
    <n v="0"/>
    <n v="0"/>
    <n v="42"/>
    <n v="85"/>
    <n v="0"/>
    <n v="94.28"/>
    <n v="114.26"/>
    <m/>
    <n v="108.16638549134309"/>
    <n v="114.59929873477012"/>
    <n v="0"/>
    <n v="230675.63024"/>
    <n v="279560.85608"/>
    <n v="0"/>
    <n v="264651.5607127531"/>
    <n v="280391.02100875194"/>
  </r>
  <r>
    <s v="Refaturamento - Regular"/>
    <x v="3"/>
    <x v="5"/>
    <x v="7"/>
    <x v="3"/>
    <x v="1"/>
    <x v="0"/>
    <x v="0"/>
    <x v="0"/>
    <n v="0"/>
    <n v="0"/>
    <n v="0.76600000000000001"/>
    <n v="0.76600000000000001"/>
    <n v="0.76600000000000001"/>
    <n v="0.76600000000000001"/>
    <n v="12"/>
    <x v="3"/>
    <n v="0"/>
    <n v="0"/>
    <n v="42"/>
    <n v="85"/>
    <n v="0"/>
    <n v="94.28"/>
    <n v="114.26"/>
    <m/>
    <n v="108.16638549134309"/>
    <n v="114.59929873477012"/>
    <n v="0"/>
    <n v="72.21848"/>
    <n v="87.523160000000004"/>
    <n v="0"/>
    <n v="82.855451286368805"/>
    <n v="87.783062830833913"/>
  </r>
  <r>
    <s v="Sistema de Compensação"/>
    <x v="3"/>
    <x v="5"/>
    <x v="7"/>
    <x v="3"/>
    <x v="1"/>
    <x v="0"/>
    <x v="0"/>
    <x v="0"/>
    <n v="0"/>
    <n v="0"/>
    <n v="2.31"/>
    <n v="2.31"/>
    <n v="2.31"/>
    <n v="2.31"/>
    <n v="4"/>
    <x v="3"/>
    <n v="0"/>
    <n v="0"/>
    <n v="42"/>
    <n v="85"/>
    <n v="0"/>
    <n v="94.28"/>
    <n v="114.26"/>
    <m/>
    <n v="108.16638549134309"/>
    <n v="114.59929873477012"/>
    <n v="0"/>
    <n v="217.7868"/>
    <n v="263.94060000000002"/>
    <n v="0"/>
    <n v="249.86435048500255"/>
    <n v="264.72438007731898"/>
  </r>
  <r>
    <s v="Regular"/>
    <x v="3"/>
    <x v="5"/>
    <x v="7"/>
    <x v="3"/>
    <x v="1"/>
    <x v="0"/>
    <x v="0"/>
    <x v="1"/>
    <n v="0"/>
    <n v="0"/>
    <n v="2485.9389999999999"/>
    <n v="2485.9389999999999"/>
    <n v="2485.9389999999999"/>
    <n v="2485.9389999999999"/>
    <n v="4892"/>
    <x v="3"/>
    <n v="0"/>
    <n v="0"/>
    <n v="42"/>
    <n v="85"/>
    <n v="0"/>
    <n v="94.28"/>
    <n v="114.26"/>
    <m/>
    <n v="108.16638549134309"/>
    <n v="114.59929873477012"/>
    <n v="0"/>
    <n v="234374.32892"/>
    <n v="284043.39013999997"/>
    <n v="0"/>
    <n v="268895.03618196392"/>
    <n v="284886.86609741568"/>
  </r>
  <r>
    <s v="Refaturamento - Regular"/>
    <x v="3"/>
    <x v="5"/>
    <x v="7"/>
    <x v="3"/>
    <x v="1"/>
    <x v="0"/>
    <x v="0"/>
    <x v="1"/>
    <n v="0"/>
    <n v="0"/>
    <n v="0.74199999999999999"/>
    <n v="0.74199999999999999"/>
    <n v="0.74199999999999999"/>
    <n v="0.74199999999999999"/>
    <n v="8"/>
    <x v="3"/>
    <n v="0"/>
    <n v="0"/>
    <n v="42"/>
    <n v="85"/>
    <n v="0"/>
    <n v="94.28"/>
    <n v="114.26"/>
    <m/>
    <n v="108.16638549134309"/>
    <n v="114.59929873477012"/>
    <n v="0"/>
    <n v="69.955759999999998"/>
    <n v="84.780920000000009"/>
    <n v="0"/>
    <n v="80.259458034576568"/>
    <n v="85.032679661199424"/>
  </r>
  <r>
    <s v="Sistema de Compensação"/>
    <x v="3"/>
    <x v="5"/>
    <x v="7"/>
    <x v="3"/>
    <x v="1"/>
    <x v="0"/>
    <x v="0"/>
    <x v="1"/>
    <n v="0"/>
    <n v="0"/>
    <n v="2.58"/>
    <n v="2.58"/>
    <n v="2.58"/>
    <n v="2.58"/>
    <n v="5"/>
    <x v="3"/>
    <n v="0"/>
    <n v="0"/>
    <n v="42"/>
    <n v="85"/>
    <n v="0"/>
    <n v="94.28"/>
    <n v="114.26"/>
    <m/>
    <n v="108.16638549134309"/>
    <n v="114.59929873477012"/>
    <n v="0"/>
    <n v="243.2424"/>
    <n v="294.79080000000005"/>
    <n v="0"/>
    <n v="279.06927456766516"/>
    <n v="295.66619073570689"/>
  </r>
  <r>
    <s v="Regular"/>
    <x v="3"/>
    <x v="5"/>
    <x v="7"/>
    <x v="3"/>
    <x v="1"/>
    <x v="0"/>
    <x v="0"/>
    <x v="2"/>
    <n v="0"/>
    <n v="0"/>
    <n v="2510.7620000000002"/>
    <n v="2510.7620000000002"/>
    <n v="2510.7620000000002"/>
    <n v="2510.7620000000002"/>
    <n v="4861"/>
    <x v="3"/>
    <n v="0"/>
    <n v="0"/>
    <n v="42"/>
    <n v="85"/>
    <n v="0"/>
    <n v="94.28"/>
    <n v="114.26"/>
    <m/>
    <n v="108.16638549134309"/>
    <n v="114.59929873477012"/>
    <n v="0"/>
    <n v="236714.64136000001"/>
    <n v="286879.66612000001"/>
    <n v="0"/>
    <n v="271580.0503690156"/>
    <n v="287731.56448990892"/>
  </r>
  <r>
    <s v="Refaturamento - Regular"/>
    <x v="3"/>
    <x v="5"/>
    <x v="7"/>
    <x v="3"/>
    <x v="1"/>
    <x v="0"/>
    <x v="0"/>
    <x v="2"/>
    <n v="0"/>
    <n v="0"/>
    <n v="0.93799999999999994"/>
    <n v="0.93799999999999994"/>
    <n v="0.93799999999999994"/>
    <n v="0.93799999999999994"/>
    <n v="10"/>
    <x v="3"/>
    <n v="0"/>
    <n v="0"/>
    <n v="42"/>
    <n v="85"/>
    <n v="0"/>
    <n v="94.28"/>
    <n v="114.26"/>
    <m/>
    <n v="108.16638549134309"/>
    <n v="114.59929873477012"/>
    <n v="0"/>
    <n v="88.434640000000002"/>
    <n v="107.17587999999999"/>
    <n v="0"/>
    <n v="101.46006959087981"/>
    <n v="107.49414221321436"/>
  </r>
  <r>
    <s v="Sistema de Compensação"/>
    <x v="3"/>
    <x v="5"/>
    <x v="7"/>
    <x v="3"/>
    <x v="1"/>
    <x v="0"/>
    <x v="0"/>
    <x v="2"/>
    <n v="0"/>
    <n v="0"/>
    <n v="2.91"/>
    <n v="2.91"/>
    <n v="2.91"/>
    <n v="2.91"/>
    <n v="4"/>
    <x v="3"/>
    <n v="0"/>
    <n v="0"/>
    <n v="42"/>
    <n v="85"/>
    <n v="0"/>
    <n v="94.28"/>
    <n v="114.26"/>
    <m/>
    <n v="108.16638549134309"/>
    <n v="114.59929873477012"/>
    <n v="0"/>
    <n v="274.35480000000001"/>
    <n v="332.49660000000006"/>
    <n v="0"/>
    <n v="314.76418177980844"/>
    <n v="333.48395931818106"/>
  </r>
  <r>
    <s v="Regular"/>
    <x v="3"/>
    <x v="5"/>
    <x v="7"/>
    <x v="3"/>
    <x v="1"/>
    <x v="0"/>
    <x v="0"/>
    <x v="3"/>
    <n v="0"/>
    <n v="0"/>
    <n v="2452.0520000000001"/>
    <n v="2452.0520000000001"/>
    <n v="2452.0520000000001"/>
    <n v="2452.0520000000001"/>
    <n v="4131"/>
    <x v="3"/>
    <n v="0"/>
    <n v="0"/>
    <n v="42"/>
    <n v="85"/>
    <n v="0"/>
    <n v="94.28"/>
    <n v="114.26"/>
    <m/>
    <n v="108.16638549134309"/>
    <n v="114.59929873477012"/>
    <n v="0"/>
    <n v="231179.46256000001"/>
    <n v="280171.46152000001"/>
    <n v="0"/>
    <n v="265229.60187681881"/>
    <n v="281003.43966119055"/>
  </r>
  <r>
    <s v="Refaturamento - Regular"/>
    <x v="3"/>
    <x v="5"/>
    <x v="7"/>
    <x v="3"/>
    <x v="1"/>
    <x v="0"/>
    <x v="0"/>
    <x v="3"/>
    <n v="0"/>
    <n v="0"/>
    <n v="2.2200000000000002"/>
    <n v="2.2200000000000002"/>
    <n v="2.2200000000000002"/>
    <n v="2.2200000000000002"/>
    <n v="16"/>
    <x v="3"/>
    <n v="0"/>
    <n v="0"/>
    <n v="42"/>
    <n v="85"/>
    <n v="0"/>
    <n v="94.28"/>
    <n v="114.26"/>
    <m/>
    <n v="108.16638549134309"/>
    <n v="114.59929873477012"/>
    <n v="0"/>
    <n v="209.30160000000001"/>
    <n v="253.65720000000005"/>
    <n v="0"/>
    <n v="240.12937579078169"/>
    <n v="254.41044319118967"/>
  </r>
  <r>
    <s v="Sistema de Compensação"/>
    <x v="3"/>
    <x v="5"/>
    <x v="7"/>
    <x v="3"/>
    <x v="1"/>
    <x v="0"/>
    <x v="0"/>
    <x v="3"/>
    <n v="0"/>
    <n v="0"/>
    <n v="3.03"/>
    <n v="3.03"/>
    <n v="3.03"/>
    <n v="3.03"/>
    <n v="7"/>
    <x v="3"/>
    <n v="0"/>
    <n v="0"/>
    <n v="42"/>
    <n v="85"/>
    <n v="0"/>
    <n v="94.28"/>
    <n v="114.26"/>
    <m/>
    <n v="108.16638549134309"/>
    <n v="114.59929873477012"/>
    <n v="0"/>
    <n v="285.66839999999996"/>
    <n v="346.20780000000002"/>
    <n v="0"/>
    <n v="327.74414803876954"/>
    <n v="347.23587516635342"/>
  </r>
  <r>
    <s v="Regular"/>
    <x v="3"/>
    <x v="5"/>
    <x v="7"/>
    <x v="3"/>
    <x v="1"/>
    <x v="0"/>
    <x v="0"/>
    <x v="4"/>
    <n v="0"/>
    <n v="0"/>
    <n v="2498.9279999999999"/>
    <n v="2498.9279999999999"/>
    <n v="2498.9279999999999"/>
    <n v="2498.9279999999999"/>
    <n v="4308"/>
    <x v="3"/>
    <n v="0"/>
    <n v="0"/>
    <n v="42"/>
    <n v="85"/>
    <n v="0"/>
    <n v="94.28"/>
    <n v="114.26"/>
    <m/>
    <n v="108.16638549134309"/>
    <n v="114.59929873477012"/>
    <n v="0"/>
    <n v="235598.93184"/>
    <n v="285527.51328000001"/>
    <n v="0"/>
    <n v="270300.00936311099"/>
    <n v="286375.39638868161"/>
  </r>
  <r>
    <s v="Refaturamento - Regular"/>
    <x v="3"/>
    <x v="5"/>
    <x v="7"/>
    <x v="3"/>
    <x v="1"/>
    <x v="0"/>
    <x v="0"/>
    <x v="4"/>
    <n v="0"/>
    <n v="0"/>
    <n v="1.587"/>
    <n v="1.587"/>
    <n v="1.587"/>
    <n v="1.587"/>
    <n v="19"/>
    <x v="3"/>
    <n v="0"/>
    <n v="0"/>
    <n v="42"/>
    <n v="85"/>
    <n v="0"/>
    <n v="94.28"/>
    <n v="114.26"/>
    <m/>
    <n v="108.16638549134309"/>
    <n v="114.59929873477012"/>
    <n v="0"/>
    <n v="149.62235999999999"/>
    <n v="181.33062000000001"/>
    <n v="0"/>
    <n v="171.66005377476148"/>
    <n v="181.86908709208018"/>
  </r>
  <r>
    <s v="Sistema de Compensação"/>
    <x v="3"/>
    <x v="5"/>
    <x v="7"/>
    <x v="3"/>
    <x v="1"/>
    <x v="0"/>
    <x v="0"/>
    <x v="4"/>
    <n v="0"/>
    <n v="0"/>
    <n v="3.36"/>
    <n v="3.36"/>
    <n v="3.36"/>
    <n v="3.36"/>
    <n v="7"/>
    <x v="3"/>
    <n v="0"/>
    <n v="0"/>
    <n v="42"/>
    <n v="85"/>
    <n v="0"/>
    <n v="94.28"/>
    <n v="114.26"/>
    <m/>
    <n v="108.16638549134309"/>
    <n v="114.59929873477012"/>
    <n v="0"/>
    <n v="316.7808"/>
    <n v="383.91360000000003"/>
    <n v="0"/>
    <n v="363.43905525091276"/>
    <n v="385.0536437488276"/>
  </r>
  <r>
    <s v="Regular"/>
    <x v="3"/>
    <x v="5"/>
    <x v="7"/>
    <x v="3"/>
    <x v="1"/>
    <x v="0"/>
    <x v="0"/>
    <x v="5"/>
    <n v="0"/>
    <n v="0"/>
    <n v="2525.6060000000002"/>
    <n v="2525.6060000000002"/>
    <n v="2525.6060000000002"/>
    <n v="2525.6060000000002"/>
    <n v="4518"/>
    <x v="3"/>
    <n v="0"/>
    <n v="0"/>
    <n v="42"/>
    <n v="85"/>
    <n v="0"/>
    <n v="94.28"/>
    <n v="114.26"/>
    <m/>
    <n v="108.16638549134309"/>
    <n v="114.59929873477012"/>
    <n v="0"/>
    <n v="238114.13368000003"/>
    <n v="288575.74156000005"/>
    <n v="0"/>
    <n v="273185.67219524906"/>
    <n v="289432.67648032785"/>
  </r>
  <r>
    <s v="Refaturamento - Regular"/>
    <x v="3"/>
    <x v="5"/>
    <x v="7"/>
    <x v="3"/>
    <x v="1"/>
    <x v="0"/>
    <x v="0"/>
    <x v="5"/>
    <n v="0"/>
    <n v="0"/>
    <n v="3.2290000000000001"/>
    <n v="3.2290000000000001"/>
    <n v="3.2290000000000001"/>
    <n v="3.2290000000000001"/>
    <n v="39"/>
    <x v="3"/>
    <n v="0"/>
    <n v="0"/>
    <n v="42"/>
    <n v="85"/>
    <n v="0"/>
    <n v="94.28"/>
    <n v="114.26"/>
    <m/>
    <n v="108.16638549134309"/>
    <n v="114.59929873477012"/>
    <n v="0"/>
    <n v="304.43011999999999"/>
    <n v="368.94554000000005"/>
    <n v="0"/>
    <n v="349.26925875154683"/>
    <n v="370.04113561457274"/>
  </r>
  <r>
    <s v="Sistema de Compensação"/>
    <x v="3"/>
    <x v="5"/>
    <x v="7"/>
    <x v="3"/>
    <x v="1"/>
    <x v="0"/>
    <x v="0"/>
    <x v="5"/>
    <n v="0"/>
    <n v="0"/>
    <n v="3.93"/>
    <n v="3.93"/>
    <n v="3.93"/>
    <n v="3.93"/>
    <n v="11"/>
    <x v="3"/>
    <n v="0"/>
    <n v="0"/>
    <n v="42"/>
    <n v="85"/>
    <n v="0"/>
    <n v="94.28"/>
    <n v="114.26"/>
    <m/>
    <n v="108.16638549134309"/>
    <n v="114.59929873477012"/>
    <n v="0"/>
    <n v="370.5204"/>
    <n v="449.04180000000002"/>
    <n v="0"/>
    <n v="425.09389498097835"/>
    <n v="450.3752440276466"/>
  </r>
  <r>
    <s v="Regular"/>
    <x v="3"/>
    <x v="5"/>
    <x v="7"/>
    <x v="3"/>
    <x v="1"/>
    <x v="0"/>
    <x v="0"/>
    <x v="6"/>
    <n v="0"/>
    <n v="0"/>
    <n v="2547.518"/>
    <n v="2547.518"/>
    <n v="2547.518"/>
    <n v="2547.518"/>
    <n v="4089"/>
    <x v="3"/>
    <n v="0"/>
    <n v="0"/>
    <n v="42"/>
    <n v="85"/>
    <n v="0"/>
    <n v="94.28"/>
    <n v="114.26"/>
    <m/>
    <n v="108.16638549134309"/>
    <n v="114.59929873477012"/>
    <n v="0"/>
    <n v="240179.99704000002"/>
    <n v="291079.40668000001"/>
    <n v="0"/>
    <n v="275555.81403413537"/>
    <n v="291943.77631420409"/>
  </r>
  <r>
    <s v="Refaturamento - Regular"/>
    <x v="3"/>
    <x v="5"/>
    <x v="7"/>
    <x v="3"/>
    <x v="1"/>
    <x v="0"/>
    <x v="0"/>
    <x v="6"/>
    <n v="0"/>
    <n v="0"/>
    <n v="1.921"/>
    <n v="1.921"/>
    <n v="1.921"/>
    <n v="1.921"/>
    <n v="20"/>
    <x v="3"/>
    <n v="0"/>
    <n v="0"/>
    <n v="42"/>
    <n v="85"/>
    <n v="0"/>
    <n v="94.28"/>
    <n v="114.26"/>
    <m/>
    <n v="108.16638549134309"/>
    <n v="114.59929873477012"/>
    <n v="0"/>
    <n v="181.11188000000001"/>
    <n v="219.49346000000003"/>
    <n v="0"/>
    <n v="207.78762652887008"/>
    <n v="220.14525286949339"/>
  </r>
  <r>
    <s v="Sistema de Compensação"/>
    <x v="3"/>
    <x v="5"/>
    <x v="7"/>
    <x v="3"/>
    <x v="1"/>
    <x v="0"/>
    <x v="0"/>
    <x v="6"/>
    <n v="0"/>
    <n v="0"/>
    <n v="4.2300000000000004"/>
    <n v="4.2300000000000004"/>
    <n v="4.2300000000000004"/>
    <n v="4.2300000000000004"/>
    <n v="4"/>
    <x v="3"/>
    <n v="0"/>
    <n v="0"/>
    <n v="42"/>
    <n v="85"/>
    <n v="0"/>
    <n v="94.28"/>
    <n v="114.26"/>
    <m/>
    <n v="108.16638549134309"/>
    <n v="114.59929873477012"/>
    <n v="0"/>
    <n v="398.80440000000004"/>
    <n v="483.31980000000004"/>
    <n v="0"/>
    <n v="457.54381062838132"/>
    <n v="484.75503364807764"/>
  </r>
  <r>
    <s v="Regular"/>
    <x v="3"/>
    <x v="5"/>
    <x v="7"/>
    <x v="3"/>
    <x v="1"/>
    <x v="0"/>
    <x v="0"/>
    <x v="7"/>
    <n v="0"/>
    <n v="0"/>
    <n v="2632.6669999999999"/>
    <n v="2632.6669999999999"/>
    <n v="2632.6669999999999"/>
    <n v="2632.6669999999999"/>
    <n v="4075"/>
    <x v="3"/>
    <n v="0"/>
    <n v="0"/>
    <n v="42"/>
    <n v="85"/>
    <n v="0"/>
    <n v="94.28"/>
    <n v="114.26"/>
    <m/>
    <n v="108.16638549134309"/>
    <n v="114.59929873477012"/>
    <n v="0"/>
    <n v="248207.84476000001"/>
    <n v="300808.53142000001"/>
    <n v="0"/>
    <n v="284766.07359233772"/>
    <n v="301701.79200217105"/>
  </r>
  <r>
    <s v="Refaturamento - Regular"/>
    <x v="3"/>
    <x v="5"/>
    <x v="7"/>
    <x v="3"/>
    <x v="1"/>
    <x v="0"/>
    <x v="0"/>
    <x v="7"/>
    <n v="0"/>
    <n v="0"/>
    <n v="0.79100000000000004"/>
    <n v="0.79100000000000004"/>
    <n v="0.79100000000000004"/>
    <n v="0.79100000000000004"/>
    <n v="9"/>
    <x v="3"/>
    <n v="0"/>
    <n v="0"/>
    <n v="42"/>
    <n v="85"/>
    <n v="0"/>
    <n v="94.28"/>
    <n v="114.26"/>
    <m/>
    <n v="108.16638549134309"/>
    <n v="114.59929873477012"/>
    <n v="0"/>
    <n v="74.575479999999999"/>
    <n v="90.379660000000001"/>
    <n v="0"/>
    <n v="85.559610923652386"/>
    <n v="90.648045299203162"/>
  </r>
  <r>
    <s v="Sistema de Compensação"/>
    <x v="3"/>
    <x v="5"/>
    <x v="7"/>
    <x v="3"/>
    <x v="1"/>
    <x v="0"/>
    <x v="0"/>
    <x v="7"/>
    <n v="0"/>
    <n v="0"/>
    <n v="5.07"/>
    <n v="5.07"/>
    <n v="5.07"/>
    <n v="5.07"/>
    <n v="11"/>
    <x v="3"/>
    <n v="0"/>
    <n v="0"/>
    <n v="42"/>
    <n v="85"/>
    <n v="0"/>
    <n v="94.28"/>
    <n v="114.26"/>
    <m/>
    <n v="108.16638549134309"/>
    <n v="114.59929873477012"/>
    <n v="0"/>
    <n v="477.99960000000004"/>
    <n v="579.29820000000007"/>
    <n v="0"/>
    <n v="548.40357444110953"/>
    <n v="581.01844458528456"/>
  </r>
  <r>
    <s v="Regular"/>
    <x v="3"/>
    <x v="5"/>
    <x v="7"/>
    <x v="3"/>
    <x v="1"/>
    <x v="0"/>
    <x v="0"/>
    <x v="8"/>
    <n v="0"/>
    <n v="0"/>
    <n v="2839.06"/>
    <n v="2839.06"/>
    <n v="2839.06"/>
    <n v="2839.06"/>
    <n v="4631"/>
    <x v="3"/>
    <n v="0"/>
    <n v="0"/>
    <n v="42"/>
    <n v="85"/>
    <n v="0"/>
    <n v="94.28"/>
    <n v="114.26"/>
    <m/>
    <n v="108.16638549134309"/>
    <n v="114.59929873477012"/>
    <n v="0"/>
    <n v="267666.57679999998"/>
    <n v="324390.99560000002"/>
    <n v="0"/>
    <n v="307090.85839305253"/>
    <n v="325354.28506593645"/>
  </r>
  <r>
    <s v="Refaturamento - Regular"/>
    <x v="3"/>
    <x v="5"/>
    <x v="7"/>
    <x v="3"/>
    <x v="1"/>
    <x v="0"/>
    <x v="0"/>
    <x v="8"/>
    <n v="0"/>
    <n v="0"/>
    <n v="8.6690000000000005"/>
    <n v="8.6690000000000005"/>
    <n v="8.6690000000000005"/>
    <n v="8.6690000000000005"/>
    <n v="61"/>
    <x v="3"/>
    <n v="0"/>
    <n v="0"/>
    <n v="42"/>
    <n v="85"/>
    <n v="0"/>
    <n v="94.28"/>
    <n v="114.26"/>
    <m/>
    <n v="108.16638549134309"/>
    <n v="114.59929873477012"/>
    <n v="0"/>
    <n v="817.31332000000009"/>
    <n v="990.51994000000013"/>
    <n v="0"/>
    <n v="937.6943958244533"/>
    <n v="993.46132073172214"/>
  </r>
  <r>
    <s v="Sistema de Compensação"/>
    <x v="3"/>
    <x v="5"/>
    <x v="7"/>
    <x v="3"/>
    <x v="1"/>
    <x v="0"/>
    <x v="0"/>
    <x v="8"/>
    <n v="0"/>
    <n v="0"/>
    <n v="6.03"/>
    <n v="6.03"/>
    <n v="6.03"/>
    <n v="6.03"/>
    <n v="12"/>
    <x v="3"/>
    <n v="0"/>
    <n v="0"/>
    <n v="42"/>
    <n v="85"/>
    <n v="0"/>
    <n v="94.28"/>
    <n v="114.26"/>
    <m/>
    <n v="108.16638549134309"/>
    <n v="114.59929873477012"/>
    <n v="0"/>
    <n v="568.50840000000005"/>
    <n v="688.98780000000011"/>
    <n v="0"/>
    <n v="652.24330451279889"/>
    <n v="691.03377137066377"/>
  </r>
  <r>
    <s v="Sistema de Compensação"/>
    <x v="3"/>
    <x v="5"/>
    <x v="7"/>
    <x v="3"/>
    <x v="1"/>
    <x v="0"/>
    <x v="0"/>
    <x v="8"/>
    <n v="0"/>
    <n v="0"/>
    <n v="0.41699999999999998"/>
    <n v="0.41699999999999998"/>
    <n v="0.41699999999999998"/>
    <n v="0.41699999999999998"/>
    <n v="1"/>
    <x v="3"/>
    <n v="0"/>
    <n v="0"/>
    <n v="42"/>
    <n v="85"/>
    <n v="0"/>
    <n v="94.28"/>
    <n v="114.26"/>
    <m/>
    <n v="108.16638549134309"/>
    <n v="114.59929873477012"/>
    <n v="0"/>
    <n v="39.31476"/>
    <n v="47.646419999999999"/>
    <n v="0"/>
    <n v="45.105382749890069"/>
    <n v="47.787907572399135"/>
  </r>
  <r>
    <s v="Regular"/>
    <x v="3"/>
    <x v="5"/>
    <x v="7"/>
    <x v="3"/>
    <x v="1"/>
    <x v="0"/>
    <x v="0"/>
    <x v="9"/>
    <n v="0"/>
    <n v="0"/>
    <n v="2906.2240000000002"/>
    <n v="2906.2240000000002"/>
    <n v="2906.2240000000002"/>
    <n v="2906.2240000000002"/>
    <n v="4400"/>
    <x v="3"/>
    <n v="0"/>
    <n v="0"/>
    <n v="42"/>
    <n v="85"/>
    <n v="0"/>
    <n v="94.28"/>
    <n v="114.26"/>
    <m/>
    <n v="108.16638549134309"/>
    <n v="114.59929873477012"/>
    <n v="0"/>
    <n v="273998.79872000002"/>
    <n v="332065.15424000006"/>
    <n v="0"/>
    <n v="314355.7455081931"/>
    <n v="333051.23236615857"/>
  </r>
  <r>
    <s v="Refaturamento - Regular"/>
    <x v="3"/>
    <x v="5"/>
    <x v="7"/>
    <x v="3"/>
    <x v="1"/>
    <x v="0"/>
    <x v="0"/>
    <x v="9"/>
    <n v="0"/>
    <n v="0"/>
    <n v="1.173"/>
    <n v="1.173"/>
    <n v="1.173"/>
    <n v="1.173"/>
    <n v="15"/>
    <x v="3"/>
    <n v="0"/>
    <n v="0"/>
    <n v="42"/>
    <n v="85"/>
    <n v="0"/>
    <n v="94.28"/>
    <n v="114.26"/>
    <m/>
    <n v="108.16638549134309"/>
    <n v="114.59929873477012"/>
    <n v="0"/>
    <n v="110.59044"/>
    <n v="134.02698000000001"/>
    <n v="0"/>
    <n v="126.87917018134546"/>
    <n v="134.42497741588534"/>
  </r>
  <r>
    <s v="Sistema de Compensação"/>
    <x v="3"/>
    <x v="5"/>
    <x v="7"/>
    <x v="3"/>
    <x v="1"/>
    <x v="0"/>
    <x v="0"/>
    <x v="9"/>
    <n v="0"/>
    <n v="0"/>
    <n v="6.75"/>
    <n v="6.75"/>
    <n v="6.75"/>
    <n v="6.75"/>
    <n v="17"/>
    <x v="3"/>
    <n v="0"/>
    <n v="0"/>
    <n v="42"/>
    <n v="85"/>
    <n v="0"/>
    <n v="94.28"/>
    <n v="114.26"/>
    <m/>
    <n v="108.16638549134309"/>
    <n v="114.59929873477012"/>
    <n v="0"/>
    <n v="636.39"/>
    <n v="771.255"/>
    <n v="0"/>
    <n v="730.12310206656582"/>
    <n v="773.54526645969827"/>
  </r>
  <r>
    <s v="Sistema de Compensação"/>
    <x v="3"/>
    <x v="5"/>
    <x v="7"/>
    <x v="3"/>
    <x v="1"/>
    <x v="0"/>
    <x v="0"/>
    <x v="9"/>
    <n v="0"/>
    <n v="0"/>
    <n v="-0.03"/>
    <n v="-0.03"/>
    <n v="-0.03"/>
    <n v="-0.03"/>
    <n v="0"/>
    <x v="3"/>
    <n v="0"/>
    <n v="0"/>
    <n v="42"/>
    <n v="85"/>
    <n v="0"/>
    <n v="94.28"/>
    <n v="114.26"/>
    <m/>
    <n v="108.16638549134309"/>
    <n v="114.59929873477012"/>
    <n v="0"/>
    <n v="-2.8283999999999998"/>
    <n v="-3.4278"/>
    <n v="0"/>
    <n v="-3.2449915647402925"/>
    <n v="-3.4379789620431032"/>
  </r>
  <r>
    <s v="Regular"/>
    <x v="3"/>
    <x v="5"/>
    <x v="7"/>
    <x v="3"/>
    <x v="1"/>
    <x v="0"/>
    <x v="0"/>
    <x v="10"/>
    <n v="0"/>
    <n v="0"/>
    <n v="2949.163"/>
    <n v="2949.163"/>
    <n v="2949.163"/>
    <n v="2949.163"/>
    <n v="4589"/>
    <x v="3"/>
    <n v="0"/>
    <n v="0"/>
    <n v="42"/>
    <n v="85"/>
    <n v="0"/>
    <n v="94.28"/>
    <n v="114.26"/>
    <m/>
    <n v="108.16638549134309"/>
    <n v="114.59929873477012"/>
    <n v="0"/>
    <n v="278047.08763999998"/>
    <n v="336971.36438000004"/>
    <n v="0"/>
    <n v="319000.30193480587"/>
    <n v="337972.01165453083"/>
  </r>
  <r>
    <s v="Refaturamento - Regular"/>
    <x v="3"/>
    <x v="5"/>
    <x v="7"/>
    <x v="3"/>
    <x v="1"/>
    <x v="0"/>
    <x v="0"/>
    <x v="10"/>
    <n v="0"/>
    <n v="0"/>
    <n v="0.88900000000000001"/>
    <n v="0.88900000000000001"/>
    <n v="0.88900000000000001"/>
    <n v="0.88900000000000001"/>
    <n v="11"/>
    <x v="3"/>
    <n v="0"/>
    <n v="0"/>
    <n v="42"/>
    <n v="85"/>
    <n v="0"/>
    <n v="94.28"/>
    <n v="114.26"/>
    <m/>
    <n v="108.16638549134309"/>
    <n v="114.59929873477012"/>
    <n v="0"/>
    <n v="83.814920000000001"/>
    <n v="101.57714"/>
    <n v="0"/>
    <n v="96.159916701804008"/>
    <n v="101.87877657521064"/>
  </r>
  <r>
    <s v="Sistema de Compensação"/>
    <x v="3"/>
    <x v="5"/>
    <x v="7"/>
    <x v="3"/>
    <x v="1"/>
    <x v="0"/>
    <x v="0"/>
    <x v="10"/>
    <n v="0"/>
    <n v="0"/>
    <n v="7.23"/>
    <n v="7.23"/>
    <n v="7.23"/>
    <n v="7.23"/>
    <n v="10"/>
    <x v="3"/>
    <n v="0"/>
    <n v="0"/>
    <n v="42"/>
    <n v="85"/>
    <n v="0"/>
    <n v="94.28"/>
    <n v="114.26"/>
    <m/>
    <n v="108.16638549134309"/>
    <n v="114.59929873477012"/>
    <n v="0"/>
    <n v="681.64440000000002"/>
    <n v="826.09980000000007"/>
    <n v="0"/>
    <n v="782.04296710241056"/>
    <n v="828.55292985238793"/>
  </r>
  <r>
    <s v="PROJETADO"/>
    <x v="3"/>
    <x v="5"/>
    <x v="7"/>
    <x v="3"/>
    <x v="1"/>
    <x v="0"/>
    <x v="0"/>
    <x v="11"/>
    <n v="0"/>
    <n v="0"/>
    <n v="2949.163"/>
    <n v="2949.163"/>
    <n v="2949.163"/>
    <n v="2949.163"/>
    <n v="4589"/>
    <x v="3"/>
    <n v="0"/>
    <n v="0"/>
    <n v="42"/>
    <n v="85"/>
    <n v="0"/>
    <n v="94.28"/>
    <n v="114.26"/>
    <m/>
    <n v="108.16638549134309"/>
    <n v="114.59929873477012"/>
    <n v="0"/>
    <n v="278047.08763999998"/>
    <n v="336971.36438000004"/>
    <n v="0"/>
    <n v="319000.30193480587"/>
    <n v="337972.01165453083"/>
  </r>
  <r>
    <s v="PROJETADO"/>
    <x v="3"/>
    <x v="5"/>
    <x v="7"/>
    <x v="3"/>
    <x v="1"/>
    <x v="0"/>
    <x v="0"/>
    <x v="11"/>
    <n v="0"/>
    <n v="0"/>
    <n v="0.88900000000000001"/>
    <n v="0.88900000000000001"/>
    <n v="0.88900000000000001"/>
    <n v="0.88900000000000001"/>
    <n v="11"/>
    <x v="3"/>
    <n v="0"/>
    <n v="0"/>
    <n v="42"/>
    <n v="85"/>
    <n v="0"/>
    <n v="94.28"/>
    <n v="114.26"/>
    <m/>
    <n v="108.16638549134309"/>
    <n v="114.59929873477012"/>
    <n v="0"/>
    <n v="83.814920000000001"/>
    <n v="101.57714"/>
    <n v="0"/>
    <n v="96.159916701804008"/>
    <n v="101.87877657521064"/>
  </r>
  <r>
    <s v="PROJETADO"/>
    <x v="3"/>
    <x v="5"/>
    <x v="7"/>
    <x v="3"/>
    <x v="1"/>
    <x v="0"/>
    <x v="0"/>
    <x v="11"/>
    <n v="0"/>
    <n v="0"/>
    <n v="7.23"/>
    <n v="7.23"/>
    <n v="7.23"/>
    <n v="7.23"/>
    <n v="10"/>
    <x v="3"/>
    <n v="0"/>
    <n v="0"/>
    <n v="42"/>
    <n v="85"/>
    <n v="0"/>
    <n v="94.28"/>
    <n v="114.26"/>
    <m/>
    <n v="108.16638549134309"/>
    <n v="114.59929873477012"/>
    <n v="0"/>
    <n v="681.64440000000002"/>
    <n v="826.09980000000007"/>
    <n v="0"/>
    <n v="782.04296710241056"/>
    <n v="828.55292985238793"/>
  </r>
  <r>
    <s v="Regular"/>
    <x v="3"/>
    <x v="5"/>
    <x v="7"/>
    <x v="4"/>
    <x v="1"/>
    <x v="0"/>
    <x v="0"/>
    <x v="0"/>
    <n v="0"/>
    <n v="0"/>
    <n v="4617.2920000000004"/>
    <n v="4617.2920000000004"/>
    <n v="4617.2920000000004"/>
    <n v="4617.2920000000004"/>
    <n v="28380"/>
    <x v="3"/>
    <n v="0"/>
    <n v="0"/>
    <n v="43"/>
    <n v="86"/>
    <n v="0"/>
    <n v="161.62"/>
    <n v="195.88"/>
    <m/>
    <n v="185.42808941373102"/>
    <n v="196.45594068817735"/>
    <n v="0"/>
    <n v="746246.73304000008"/>
    <n v="904435.15696000005"/>
    <n v="0"/>
    <n v="856175.63382530503"/>
    <n v="907094.44329199579"/>
  </r>
  <r>
    <s v="Refaturamento - Regular"/>
    <x v="3"/>
    <x v="5"/>
    <x v="7"/>
    <x v="4"/>
    <x v="1"/>
    <x v="0"/>
    <x v="0"/>
    <x v="0"/>
    <n v="0"/>
    <n v="0"/>
    <n v="-0.80700000000000005"/>
    <n v="-0.80700000000000005"/>
    <n v="-0.80700000000000005"/>
    <n v="-0.80700000000000005"/>
    <n v="-1"/>
    <x v="3"/>
    <n v="0"/>
    <n v="0"/>
    <n v="43"/>
    <n v="86"/>
    <n v="0"/>
    <n v="161.62"/>
    <n v="195.88"/>
    <m/>
    <n v="185.42808941373102"/>
    <n v="196.45594068817735"/>
    <n v="0"/>
    <n v="-130.42734000000002"/>
    <n v="-158.07516000000001"/>
    <n v="0"/>
    <n v="-149.64046815688093"/>
    <n v="-158.53994413535912"/>
  </r>
  <r>
    <s v="Sistema de Compensação"/>
    <x v="3"/>
    <x v="5"/>
    <x v="7"/>
    <x v="4"/>
    <x v="1"/>
    <x v="0"/>
    <x v="0"/>
    <x v="0"/>
    <n v="0"/>
    <n v="0"/>
    <n v="2.9750000000000001"/>
    <n v="2.9750000000000001"/>
    <n v="2.9750000000000001"/>
    <n v="2.9750000000000001"/>
    <n v="6"/>
    <x v="3"/>
    <n v="0"/>
    <n v="0"/>
    <n v="43"/>
    <n v="86"/>
    <n v="0"/>
    <n v="161.62"/>
    <n v="195.88"/>
    <m/>
    <n v="185.42808941373102"/>
    <n v="196.45594068817735"/>
    <n v="0"/>
    <n v="480.81950000000001"/>
    <n v="582.74300000000005"/>
    <n v="0"/>
    <n v="551.64856600584983"/>
    <n v="584.45642354732763"/>
  </r>
  <r>
    <s v="Regular"/>
    <x v="3"/>
    <x v="5"/>
    <x v="7"/>
    <x v="4"/>
    <x v="1"/>
    <x v="0"/>
    <x v="0"/>
    <x v="1"/>
    <n v="0"/>
    <n v="0"/>
    <n v="4621.8729999999996"/>
    <n v="4621.8729999999996"/>
    <n v="4621.8729999999996"/>
    <n v="4621.8729999999996"/>
    <n v="29844"/>
    <x v="3"/>
    <n v="0"/>
    <n v="0"/>
    <n v="43"/>
    <n v="86"/>
    <n v="0"/>
    <n v="161.62"/>
    <n v="195.88"/>
    <m/>
    <n v="185.42808941373102"/>
    <n v="196.45594068817735"/>
    <n v="0"/>
    <n v="746987.11425999994"/>
    <n v="905332.48323999986"/>
    <n v="0"/>
    <n v="857025.07990290911"/>
    <n v="907994.4079562882"/>
  </r>
  <r>
    <s v="Refaturamento - Regular"/>
    <x v="3"/>
    <x v="5"/>
    <x v="7"/>
    <x v="4"/>
    <x v="1"/>
    <x v="0"/>
    <x v="0"/>
    <x v="1"/>
    <n v="0"/>
    <n v="0"/>
    <n v="-0.42"/>
    <n v="-0.42"/>
    <n v="-0.42"/>
    <n v="-0.42"/>
    <n v="0"/>
    <x v="3"/>
    <n v="0"/>
    <n v="0"/>
    <n v="43"/>
    <n v="86"/>
    <n v="0"/>
    <n v="161.62"/>
    <n v="195.88"/>
    <m/>
    <n v="185.42808941373102"/>
    <n v="196.45594068817735"/>
    <n v="0"/>
    <n v="-67.880399999999995"/>
    <n v="-82.269599999999997"/>
    <n v="0"/>
    <n v="-77.87979755376702"/>
    <n v="-82.511495089034483"/>
  </r>
  <r>
    <s v="Sistema de Compensação"/>
    <x v="3"/>
    <x v="5"/>
    <x v="7"/>
    <x v="4"/>
    <x v="1"/>
    <x v="0"/>
    <x v="0"/>
    <x v="1"/>
    <n v="0"/>
    <n v="0"/>
    <n v="3.081"/>
    <n v="3.081"/>
    <n v="3.081"/>
    <n v="3.081"/>
    <n v="9"/>
    <x v="3"/>
    <n v="0"/>
    <n v="0"/>
    <n v="43"/>
    <n v="86"/>
    <n v="0"/>
    <n v="161.62"/>
    <n v="195.88"/>
    <m/>
    <n v="185.42808941373102"/>
    <n v="196.45594068817735"/>
    <n v="0"/>
    <n v="497.95122000000003"/>
    <n v="603.50627999999995"/>
    <n v="0"/>
    <n v="571.30394348370521"/>
    <n v="605.28075326027442"/>
  </r>
  <r>
    <s v="Regular"/>
    <x v="3"/>
    <x v="5"/>
    <x v="7"/>
    <x v="4"/>
    <x v="1"/>
    <x v="0"/>
    <x v="0"/>
    <x v="2"/>
    <n v="0"/>
    <n v="0"/>
    <n v="4693.6400000000003"/>
    <n v="4693.6400000000003"/>
    <n v="4693.6400000000003"/>
    <n v="4693.6400000000003"/>
    <n v="29496"/>
    <x v="3"/>
    <n v="0"/>
    <n v="0"/>
    <n v="43"/>
    <n v="86"/>
    <n v="0"/>
    <n v="161.62"/>
    <n v="195.88"/>
    <m/>
    <n v="185.42808941373102"/>
    <n v="196.45594068817735"/>
    <n v="0"/>
    <n v="758586.09680000006"/>
    <n v="919390.20319999999"/>
    <n v="0"/>
    <n v="870332.69759586453"/>
    <n v="922093.46145165677"/>
  </r>
  <r>
    <s v="Refaturamento - Regular"/>
    <x v="3"/>
    <x v="5"/>
    <x v="7"/>
    <x v="4"/>
    <x v="1"/>
    <x v="0"/>
    <x v="0"/>
    <x v="2"/>
    <n v="0"/>
    <n v="0"/>
    <n v="-1.2050000000000001"/>
    <n v="-1.2050000000000001"/>
    <n v="-1.2050000000000001"/>
    <n v="-1.2050000000000001"/>
    <n v="-3"/>
    <x v="3"/>
    <n v="0"/>
    <n v="0"/>
    <n v="43"/>
    <n v="86"/>
    <n v="0"/>
    <n v="161.62"/>
    <n v="195.88"/>
    <m/>
    <n v="185.42808941373102"/>
    <n v="196.45594068817735"/>
    <n v="0"/>
    <n v="-194.75210000000001"/>
    <n v="-236.03540000000001"/>
    <n v="0"/>
    <n v="-223.44084774354587"/>
    <n v="-236.72940852925373"/>
  </r>
  <r>
    <s v="Sistema de Compensação"/>
    <x v="3"/>
    <x v="5"/>
    <x v="7"/>
    <x v="4"/>
    <x v="1"/>
    <x v="0"/>
    <x v="0"/>
    <x v="2"/>
    <n v="0"/>
    <n v="0"/>
    <n v="3.3479999999999999"/>
    <n v="3.3479999999999999"/>
    <n v="3.3479999999999999"/>
    <n v="3.3479999999999999"/>
    <n v="10"/>
    <x v="3"/>
    <n v="0"/>
    <n v="0"/>
    <n v="43"/>
    <n v="86"/>
    <n v="0"/>
    <n v="161.62"/>
    <n v="195.88"/>
    <m/>
    <n v="185.42808941373102"/>
    <n v="196.45594068817735"/>
    <n v="0"/>
    <n v="541.10375999999997"/>
    <n v="655.80624"/>
    <n v="0"/>
    <n v="620.81324335717136"/>
    <n v="657.73448942401774"/>
  </r>
  <r>
    <s v="Regular"/>
    <x v="3"/>
    <x v="5"/>
    <x v="7"/>
    <x v="4"/>
    <x v="1"/>
    <x v="0"/>
    <x v="0"/>
    <x v="3"/>
    <n v="0"/>
    <n v="0"/>
    <n v="4801.6289999999999"/>
    <n v="4801.6289999999999"/>
    <n v="4801.6289999999999"/>
    <n v="4801.6289999999999"/>
    <n v="23540"/>
    <x v="3"/>
    <n v="0"/>
    <n v="0"/>
    <n v="43"/>
    <n v="86"/>
    <n v="0"/>
    <n v="161.62"/>
    <n v="195.88"/>
    <m/>
    <n v="185.42808941373102"/>
    <n v="196.45594068817735"/>
    <n v="0"/>
    <n v="776039.27898000006"/>
    <n v="940543.08851999999"/>
    <n v="0"/>
    <n v="890356.8915435638"/>
    <n v="943308.54203063226"/>
  </r>
  <r>
    <s v="Refaturamento - Regular"/>
    <x v="3"/>
    <x v="5"/>
    <x v="7"/>
    <x v="4"/>
    <x v="1"/>
    <x v="0"/>
    <x v="0"/>
    <x v="3"/>
    <n v="0"/>
    <n v="0"/>
    <n v="-1.07"/>
    <n v="-1.07"/>
    <n v="-1.07"/>
    <n v="-1.07"/>
    <n v="-1"/>
    <x v="3"/>
    <n v="0"/>
    <n v="0"/>
    <n v="43"/>
    <n v="86"/>
    <n v="0"/>
    <n v="161.62"/>
    <n v="195.88"/>
    <m/>
    <n v="185.42808941373102"/>
    <n v="196.45594068817735"/>
    <n v="0"/>
    <n v="-172.93340000000001"/>
    <n v="-209.5916"/>
    <n v="0"/>
    <n v="-198.4080556726922"/>
    <n v="-210.20785653634977"/>
  </r>
  <r>
    <s v="Sistema de Compensação"/>
    <x v="3"/>
    <x v="5"/>
    <x v="7"/>
    <x v="4"/>
    <x v="1"/>
    <x v="0"/>
    <x v="0"/>
    <x v="3"/>
    <n v="0"/>
    <n v="0"/>
    <n v="3.45"/>
    <n v="3.45"/>
    <n v="3.45"/>
    <n v="3.45"/>
    <n v="6"/>
    <x v="3"/>
    <n v="0"/>
    <n v="0"/>
    <n v="43"/>
    <n v="86"/>
    <n v="0"/>
    <n v="161.62"/>
    <n v="195.88"/>
    <m/>
    <n v="185.42808941373102"/>
    <n v="196.45594068817735"/>
    <n v="0"/>
    <n v="557.58900000000006"/>
    <n v="675.78600000000006"/>
    <n v="0"/>
    <n v="639.72690847737204"/>
    <n v="677.77299537421186"/>
  </r>
  <r>
    <s v="Regular"/>
    <x v="3"/>
    <x v="5"/>
    <x v="7"/>
    <x v="4"/>
    <x v="1"/>
    <x v="0"/>
    <x v="0"/>
    <x v="4"/>
    <n v="0"/>
    <n v="0"/>
    <n v="4794.1509999999998"/>
    <n v="4794.1509999999998"/>
    <n v="4794.1509999999998"/>
    <n v="4794.1509999999998"/>
    <n v="27366"/>
    <x v="3"/>
    <n v="0"/>
    <n v="0"/>
    <n v="43"/>
    <n v="86"/>
    <n v="0"/>
    <n v="161.62"/>
    <n v="195.88"/>
    <m/>
    <n v="185.42808941373102"/>
    <n v="196.45594068817735"/>
    <n v="0"/>
    <n v="774830.68461999996"/>
    <n v="939078.29787999997"/>
    <n v="0"/>
    <n v="888970.26029092795"/>
    <n v="941839.44450616615"/>
  </r>
  <r>
    <s v="Refaturamento - Regular"/>
    <x v="3"/>
    <x v="5"/>
    <x v="7"/>
    <x v="4"/>
    <x v="1"/>
    <x v="0"/>
    <x v="0"/>
    <x v="4"/>
    <n v="0"/>
    <n v="0"/>
    <n v="-0.88600000000000001"/>
    <n v="-0.88600000000000001"/>
    <n v="-0.88600000000000001"/>
    <n v="-0.88600000000000001"/>
    <n v="-4"/>
    <x v="3"/>
    <n v="0"/>
    <n v="0"/>
    <n v="43"/>
    <n v="86"/>
    <n v="0"/>
    <n v="161.62"/>
    <n v="195.88"/>
    <m/>
    <n v="185.42808941373102"/>
    <n v="196.45594068817735"/>
    <n v="0"/>
    <n v="-143.19532000000001"/>
    <n v="-173.54968"/>
    <n v="0"/>
    <n v="-164.28928722056568"/>
    <n v="-174.05996344972513"/>
  </r>
  <r>
    <s v="Sistema de Compensação"/>
    <x v="3"/>
    <x v="5"/>
    <x v="7"/>
    <x v="4"/>
    <x v="1"/>
    <x v="0"/>
    <x v="0"/>
    <x v="4"/>
    <n v="0"/>
    <n v="0"/>
    <n v="3.9369999999999998"/>
    <n v="3.9369999999999998"/>
    <n v="3.9369999999999998"/>
    <n v="3.9369999999999998"/>
    <n v="8"/>
    <x v="3"/>
    <n v="0"/>
    <n v="0"/>
    <n v="43"/>
    <n v="86"/>
    <n v="0"/>
    <n v="161.62"/>
    <n v="195.88"/>
    <m/>
    <n v="185.42808941373102"/>
    <n v="196.45594068817735"/>
    <n v="0"/>
    <n v="636.29794000000004"/>
    <n v="771.17955999999992"/>
    <n v="0"/>
    <n v="730.03038802185893"/>
    <n v="773.44703848935421"/>
  </r>
  <r>
    <s v="Regular"/>
    <x v="3"/>
    <x v="5"/>
    <x v="7"/>
    <x v="4"/>
    <x v="1"/>
    <x v="0"/>
    <x v="0"/>
    <x v="5"/>
    <n v="0"/>
    <n v="0"/>
    <n v="4867.0839999999998"/>
    <n v="4867.0839999999998"/>
    <n v="4867.0839999999998"/>
    <n v="4867.0839999999998"/>
    <n v="26621"/>
    <x v="3"/>
    <n v="0"/>
    <n v="0"/>
    <n v="43"/>
    <n v="86"/>
    <n v="0"/>
    <n v="161.62"/>
    <n v="195.88"/>
    <m/>
    <n v="185.42808941373102"/>
    <n v="196.45594068817735"/>
    <n v="0"/>
    <n v="786618.11607999995"/>
    <n v="953364.41391999996"/>
    <n v="0"/>
    <n v="902494.08713613963"/>
    <n v="956167.56562837691"/>
  </r>
  <r>
    <s v="Refaturamento - Regular"/>
    <x v="3"/>
    <x v="5"/>
    <x v="7"/>
    <x v="4"/>
    <x v="1"/>
    <x v="0"/>
    <x v="0"/>
    <x v="5"/>
    <n v="0"/>
    <n v="0"/>
    <n v="-2.38"/>
    <n v="-2.38"/>
    <n v="-2.38"/>
    <n v="-2.38"/>
    <n v="-15"/>
    <x v="3"/>
    <n v="0"/>
    <n v="0"/>
    <n v="43"/>
    <n v="86"/>
    <n v="0"/>
    <n v="161.62"/>
    <n v="195.88"/>
    <m/>
    <n v="185.42808941373102"/>
    <n v="196.45594068817735"/>
    <n v="0"/>
    <n v="-384.65559999999999"/>
    <n v="-466.19439999999997"/>
    <n v="0"/>
    <n v="-441.31885280467981"/>
    <n v="-467.56513883786209"/>
  </r>
  <r>
    <s v="Sistema de Compensação"/>
    <x v="3"/>
    <x v="5"/>
    <x v="7"/>
    <x v="4"/>
    <x v="1"/>
    <x v="0"/>
    <x v="0"/>
    <x v="5"/>
    <n v="0"/>
    <n v="0"/>
    <n v="4.782"/>
    <n v="4.782"/>
    <n v="4.782"/>
    <n v="4.782"/>
    <n v="11"/>
    <x v="3"/>
    <n v="0"/>
    <n v="0"/>
    <n v="43"/>
    <n v="86"/>
    <n v="0"/>
    <n v="161.62"/>
    <n v="195.88"/>
    <m/>
    <n v="185.42808941373102"/>
    <n v="196.45594068817735"/>
    <n v="0"/>
    <n v="772.86684000000002"/>
    <n v="936.69816000000003"/>
    <n v="0"/>
    <n v="886.71712357646174"/>
    <n v="939.4523083708641"/>
  </r>
  <r>
    <s v="Regular"/>
    <x v="3"/>
    <x v="5"/>
    <x v="7"/>
    <x v="4"/>
    <x v="1"/>
    <x v="0"/>
    <x v="0"/>
    <x v="6"/>
    <n v="0"/>
    <n v="0"/>
    <n v="5031.3389999999999"/>
    <n v="5031.3389999999999"/>
    <n v="5031.3389999999999"/>
    <n v="5031.3389999999999"/>
    <n v="23910"/>
    <x v="3"/>
    <n v="0"/>
    <n v="0"/>
    <n v="43"/>
    <n v="86"/>
    <n v="0"/>
    <n v="161.62"/>
    <n v="195.88"/>
    <m/>
    <n v="185.42808941373102"/>
    <n v="196.45594068817735"/>
    <n v="0"/>
    <n v="813165.00918000005"/>
    <n v="985538.68331999995"/>
    <n v="0"/>
    <n v="932951.57796279201"/>
    <n v="988436.43616611348"/>
  </r>
  <r>
    <s v="Refaturamento - Regular"/>
    <x v="3"/>
    <x v="5"/>
    <x v="7"/>
    <x v="4"/>
    <x v="1"/>
    <x v="0"/>
    <x v="0"/>
    <x v="6"/>
    <n v="0"/>
    <n v="0"/>
    <n v="-1.5660000000000001"/>
    <n v="-1.5660000000000001"/>
    <n v="-1.5660000000000001"/>
    <n v="-1.5660000000000001"/>
    <n v="-9"/>
    <x v="3"/>
    <n v="0"/>
    <n v="0"/>
    <n v="43"/>
    <n v="86"/>
    <n v="0"/>
    <n v="161.62"/>
    <n v="195.88"/>
    <m/>
    <n v="185.42808941373102"/>
    <n v="196.45594068817735"/>
    <n v="0"/>
    <n v="-253.09692000000001"/>
    <n v="-306.74808000000002"/>
    <n v="0"/>
    <n v="-290.38038802190277"/>
    <n v="-307.65000311768574"/>
  </r>
  <r>
    <s v="Sistema de Compensação"/>
    <x v="3"/>
    <x v="5"/>
    <x v="7"/>
    <x v="4"/>
    <x v="1"/>
    <x v="0"/>
    <x v="0"/>
    <x v="6"/>
    <n v="0"/>
    <n v="0"/>
    <n v="4.2110000000000003"/>
    <n v="4.2110000000000003"/>
    <n v="4.2110000000000003"/>
    <n v="4.2110000000000003"/>
    <n v="7"/>
    <x v="3"/>
    <n v="0"/>
    <n v="0"/>
    <n v="43"/>
    <n v="86"/>
    <n v="0"/>
    <n v="161.62"/>
    <n v="195.88"/>
    <m/>
    <n v="185.42808941373102"/>
    <n v="196.45594068817735"/>
    <n v="0"/>
    <n v="680.58182000000011"/>
    <n v="824.85068000000001"/>
    <n v="0"/>
    <n v="780.83768452122138"/>
    <n v="827.27596623791487"/>
  </r>
  <r>
    <s v="Regular"/>
    <x v="3"/>
    <x v="5"/>
    <x v="7"/>
    <x v="4"/>
    <x v="1"/>
    <x v="0"/>
    <x v="0"/>
    <x v="7"/>
    <n v="0"/>
    <n v="0"/>
    <n v="5165.143"/>
    <n v="5165.143"/>
    <n v="5165.143"/>
    <n v="5165.143"/>
    <n v="26001"/>
    <x v="3"/>
    <n v="0"/>
    <n v="0"/>
    <n v="43"/>
    <n v="86"/>
    <n v="0"/>
    <n v="161.62"/>
    <n v="195.88"/>
    <m/>
    <n v="185.42808941373102"/>
    <n v="196.45594068817735"/>
    <n v="0"/>
    <n v="834790.41165999998"/>
    <n v="1011748.21084"/>
    <n v="0"/>
    <n v="957762.59803870681"/>
    <n v="1014723.0268539544"/>
  </r>
  <r>
    <s v="Refaturamento - Regular"/>
    <x v="3"/>
    <x v="5"/>
    <x v="7"/>
    <x v="4"/>
    <x v="1"/>
    <x v="0"/>
    <x v="0"/>
    <x v="7"/>
    <n v="0"/>
    <n v="0"/>
    <n v="-0.629"/>
    <n v="-0.629"/>
    <n v="-0.629"/>
    <n v="-0.629"/>
    <n v="-1"/>
    <x v="3"/>
    <n v="0"/>
    <n v="0"/>
    <n v="43"/>
    <n v="86"/>
    <n v="0"/>
    <n v="161.62"/>
    <n v="195.88"/>
    <m/>
    <n v="185.42808941373102"/>
    <n v="196.45594068817735"/>
    <n v="0"/>
    <n v="-101.65898"/>
    <n v="-123.20851999999999"/>
    <n v="0"/>
    <n v="-116.63426824123681"/>
    <n v="-123.57078669286355"/>
  </r>
  <r>
    <s v="Sistema de Compensação"/>
    <x v="3"/>
    <x v="5"/>
    <x v="7"/>
    <x v="4"/>
    <x v="1"/>
    <x v="0"/>
    <x v="0"/>
    <x v="7"/>
    <n v="0"/>
    <n v="0"/>
    <n v="5.484"/>
    <n v="5.484"/>
    <n v="5.484"/>
    <n v="5.484"/>
    <n v="12"/>
    <x v="3"/>
    <n v="0"/>
    <n v="0"/>
    <n v="43"/>
    <n v="86"/>
    <n v="0"/>
    <n v="161.62"/>
    <n v="195.88"/>
    <m/>
    <n v="185.42808941373102"/>
    <n v="196.45594068817735"/>
    <n v="0"/>
    <n v="886.32407999999998"/>
    <n v="1074.2059199999999"/>
    <n v="0"/>
    <n v="1016.8876423449009"/>
    <n v="1077.3643787339645"/>
  </r>
  <r>
    <s v="Regular"/>
    <x v="3"/>
    <x v="5"/>
    <x v="7"/>
    <x v="4"/>
    <x v="1"/>
    <x v="0"/>
    <x v="0"/>
    <x v="8"/>
    <n v="0"/>
    <n v="0"/>
    <n v="5405.2929999999997"/>
    <n v="5405.2929999999997"/>
    <n v="5405.2929999999997"/>
    <n v="5405.2929999999997"/>
    <n v="32715"/>
    <x v="3"/>
    <n v="0"/>
    <n v="0"/>
    <n v="43"/>
    <n v="86"/>
    <n v="0"/>
    <n v="161.62"/>
    <n v="195.88"/>
    <m/>
    <n v="185.42808941373102"/>
    <n v="196.45594068817735"/>
    <n v="0"/>
    <n v="873603.45465999993"/>
    <n v="1058788.79284"/>
    <n v="0"/>
    <n v="1002293.1537114143"/>
    <n v="1061901.9210102202"/>
  </r>
  <r>
    <s v="Refaturamento - Regular"/>
    <x v="3"/>
    <x v="5"/>
    <x v="7"/>
    <x v="4"/>
    <x v="1"/>
    <x v="0"/>
    <x v="0"/>
    <x v="8"/>
    <n v="0"/>
    <n v="0"/>
    <n v="-3.387"/>
    <n v="-3.387"/>
    <n v="-3.387"/>
    <n v="-3.387"/>
    <n v="-17"/>
    <x v="3"/>
    <n v="0"/>
    <n v="0"/>
    <n v="43"/>
    <n v="86"/>
    <n v="0"/>
    <n v="161.62"/>
    <n v="195.88"/>
    <m/>
    <n v="185.42808941373102"/>
    <n v="196.45594068817735"/>
    <n v="0"/>
    <n v="-547.40693999999996"/>
    <n v="-663.44556"/>
    <n v="0"/>
    <n v="-628.0449388443069"/>
    <n v="-665.39627111085667"/>
  </r>
  <r>
    <s v="Sistema de Compensação"/>
    <x v="3"/>
    <x v="5"/>
    <x v="7"/>
    <x v="4"/>
    <x v="1"/>
    <x v="0"/>
    <x v="0"/>
    <x v="8"/>
    <n v="0"/>
    <n v="0"/>
    <n v="5.9039999999999999"/>
    <n v="5.9039999999999999"/>
    <n v="5.9039999999999999"/>
    <n v="5.9039999999999999"/>
    <n v="17"/>
    <x v="3"/>
    <n v="0"/>
    <n v="0"/>
    <n v="43"/>
    <n v="86"/>
    <n v="0"/>
    <n v="161.62"/>
    <n v="195.88"/>
    <m/>
    <n v="185.42808941373102"/>
    <n v="196.45594068817735"/>
    <n v="0"/>
    <n v="954.20447999999999"/>
    <n v="1156.47552"/>
    <n v="0"/>
    <n v="1094.7674398986678"/>
    <n v="1159.875873822999"/>
  </r>
  <r>
    <s v="Sistema de Compensação"/>
    <x v="3"/>
    <x v="5"/>
    <x v="7"/>
    <x v="4"/>
    <x v="1"/>
    <x v="0"/>
    <x v="0"/>
    <x v="8"/>
    <n v="0"/>
    <n v="0"/>
    <n v="-0.02"/>
    <n v="-0.02"/>
    <n v="-0.02"/>
    <n v="-0.02"/>
    <n v="0"/>
    <x v="3"/>
    <n v="0"/>
    <n v="0"/>
    <n v="43"/>
    <n v="86"/>
    <n v="0"/>
    <n v="161.62"/>
    <n v="195.88"/>
    <m/>
    <n v="185.42808941373102"/>
    <n v="196.45594068817735"/>
    <n v="0"/>
    <n v="-3.2324000000000002"/>
    <n v="-3.9176000000000002"/>
    <n v="0"/>
    <n v="-3.7085617882746202"/>
    <n v="-3.9291188137635471"/>
  </r>
  <r>
    <s v="Regular"/>
    <x v="3"/>
    <x v="5"/>
    <x v="7"/>
    <x v="4"/>
    <x v="1"/>
    <x v="0"/>
    <x v="0"/>
    <x v="9"/>
    <n v="0"/>
    <n v="0"/>
    <n v="5734.58"/>
    <n v="5734.58"/>
    <n v="5734.58"/>
    <n v="5734.58"/>
    <n v="27892"/>
    <x v="3"/>
    <n v="0"/>
    <n v="0"/>
    <n v="43"/>
    <n v="86"/>
    <n v="0"/>
    <n v="161.62"/>
    <n v="195.88"/>
    <m/>
    <n v="185.42808941373102"/>
    <n v="196.45594068817735"/>
    <n v="0"/>
    <n v="926822.81960000005"/>
    <n v="1123289.5304"/>
    <n v="0"/>
    <n v="1063352.2129901936"/>
    <n v="1126592.308351608"/>
  </r>
  <r>
    <s v="Refaturamento - Regular"/>
    <x v="3"/>
    <x v="5"/>
    <x v="7"/>
    <x v="4"/>
    <x v="1"/>
    <x v="0"/>
    <x v="0"/>
    <x v="9"/>
    <n v="0"/>
    <n v="0"/>
    <n v="-0.98899999999999999"/>
    <n v="-0.98899999999999999"/>
    <n v="-0.98899999999999999"/>
    <n v="-0.98899999999999999"/>
    <n v="-2"/>
    <x v="3"/>
    <n v="0"/>
    <n v="0"/>
    <n v="43"/>
    <n v="86"/>
    <n v="0"/>
    <n v="161.62"/>
    <n v="195.88"/>
    <m/>
    <n v="185.42808941373102"/>
    <n v="196.45594068817735"/>
    <n v="0"/>
    <n v="-159.84218000000001"/>
    <n v="-193.72531999999998"/>
    <n v="0"/>
    <n v="-183.38838043017998"/>
    <n v="-194.29492534060739"/>
  </r>
  <r>
    <s v="Sistema de Compensação"/>
    <x v="3"/>
    <x v="5"/>
    <x v="7"/>
    <x v="4"/>
    <x v="1"/>
    <x v="0"/>
    <x v="0"/>
    <x v="9"/>
    <n v="0"/>
    <n v="0"/>
    <n v="7.0460000000000003"/>
    <n v="7.0460000000000003"/>
    <n v="7.0460000000000003"/>
    <n v="7.0460000000000003"/>
    <n v="15"/>
    <x v="3"/>
    <n v="0"/>
    <n v="0"/>
    <n v="43"/>
    <n v="86"/>
    <n v="0"/>
    <n v="161.62"/>
    <n v="195.88"/>
    <m/>
    <n v="185.42808941373102"/>
    <n v="196.45594068817735"/>
    <n v="0"/>
    <n v="1138.7745200000002"/>
    <n v="1380.17048"/>
    <n v="0"/>
    <n v="1306.5263180091488"/>
    <n v="1384.2285580888977"/>
  </r>
  <r>
    <s v="Sistema de Compensação"/>
    <x v="3"/>
    <x v="5"/>
    <x v="7"/>
    <x v="4"/>
    <x v="1"/>
    <x v="0"/>
    <x v="0"/>
    <x v="9"/>
    <n v="0"/>
    <n v="0"/>
    <n v="-7.0000000000000007E-2"/>
    <n v="-7.0000000000000007E-2"/>
    <n v="-7.0000000000000007E-2"/>
    <n v="-7.0000000000000007E-2"/>
    <n v="0"/>
    <x v="3"/>
    <n v="0"/>
    <n v="0"/>
    <n v="43"/>
    <n v="86"/>
    <n v="0"/>
    <n v="161.62"/>
    <n v="195.88"/>
    <m/>
    <n v="185.42808941373102"/>
    <n v="196.45594068817735"/>
    <n v="0"/>
    <n v="-11.313400000000001"/>
    <n v="-13.711600000000001"/>
    <n v="0"/>
    <n v="-12.979966258961172"/>
    <n v="-13.751915848172416"/>
  </r>
  <r>
    <s v="Regular"/>
    <x v="3"/>
    <x v="5"/>
    <x v="7"/>
    <x v="4"/>
    <x v="1"/>
    <x v="0"/>
    <x v="0"/>
    <x v="10"/>
    <n v="0"/>
    <n v="0"/>
    <n v="5716.9080000000004"/>
    <n v="5716.9080000000004"/>
    <n v="5716.9080000000004"/>
    <n v="5716.9080000000004"/>
    <n v="31306"/>
    <x v="3"/>
    <n v="0"/>
    <n v="0"/>
    <n v="43"/>
    <n v="86"/>
    <n v="0"/>
    <n v="161.62"/>
    <n v="195.88"/>
    <m/>
    <n v="185.42808941373102"/>
    <n v="196.45594068817735"/>
    <n v="0"/>
    <n v="923966.67096000013"/>
    <n v="1119827.9390400001"/>
    <n v="0"/>
    <n v="1060075.3277940743"/>
    <n v="1123120.5389677666"/>
  </r>
  <r>
    <s v="Refaturamento - Regular"/>
    <x v="3"/>
    <x v="5"/>
    <x v="7"/>
    <x v="4"/>
    <x v="1"/>
    <x v="0"/>
    <x v="0"/>
    <x v="10"/>
    <n v="0"/>
    <n v="0"/>
    <n v="-1.19"/>
    <n v="-1.19"/>
    <n v="-1.19"/>
    <n v="-1.19"/>
    <n v="-1"/>
    <x v="3"/>
    <n v="0"/>
    <n v="0"/>
    <n v="43"/>
    <n v="86"/>
    <n v="0"/>
    <n v="161.62"/>
    <n v="195.88"/>
    <m/>
    <n v="185.42808941373102"/>
    <n v="196.45594068817735"/>
    <n v="0"/>
    <n v="-192.3278"/>
    <n v="-233.09719999999999"/>
    <n v="0"/>
    <n v="-220.6594264023399"/>
    <n v="-233.78256941893105"/>
  </r>
  <r>
    <s v="Sistema de Compensação"/>
    <x v="3"/>
    <x v="5"/>
    <x v="7"/>
    <x v="4"/>
    <x v="1"/>
    <x v="0"/>
    <x v="0"/>
    <x v="10"/>
    <n v="0"/>
    <n v="0"/>
    <n v="7.681"/>
    <n v="7.681"/>
    <n v="7.681"/>
    <n v="7.681"/>
    <n v="15"/>
    <x v="3"/>
    <n v="0"/>
    <n v="0"/>
    <n v="43"/>
    <n v="86"/>
    <n v="0"/>
    <n v="161.62"/>
    <n v="195.88"/>
    <m/>
    <n v="185.42808941373102"/>
    <n v="196.45594068817735"/>
    <n v="0"/>
    <n v="1241.4032200000001"/>
    <n v="1504.5542800000001"/>
    <n v="0"/>
    <n v="1424.273154786868"/>
    <n v="1508.9780804258903"/>
  </r>
  <r>
    <s v="PROJETADO"/>
    <x v="3"/>
    <x v="5"/>
    <x v="7"/>
    <x v="4"/>
    <x v="1"/>
    <x v="0"/>
    <x v="0"/>
    <x v="11"/>
    <n v="0"/>
    <n v="0"/>
    <n v="5716.9080000000004"/>
    <n v="5716.9080000000004"/>
    <n v="5716.9080000000004"/>
    <n v="5716.9080000000004"/>
    <n v="31306"/>
    <x v="3"/>
    <n v="0"/>
    <n v="0"/>
    <n v="43"/>
    <n v="86"/>
    <n v="0"/>
    <n v="161.62"/>
    <n v="195.88"/>
    <m/>
    <n v="185.42808941373102"/>
    <n v="196.45594068817735"/>
    <n v="0"/>
    <n v="923966.67096000013"/>
    <n v="1119827.9390400001"/>
    <n v="0"/>
    <n v="1060075.3277940743"/>
    <n v="1123120.5389677666"/>
  </r>
  <r>
    <s v="PROJETADO"/>
    <x v="3"/>
    <x v="5"/>
    <x v="7"/>
    <x v="4"/>
    <x v="1"/>
    <x v="0"/>
    <x v="0"/>
    <x v="11"/>
    <n v="0"/>
    <n v="0"/>
    <n v="-1.19"/>
    <n v="-1.19"/>
    <n v="-1.19"/>
    <n v="-1.19"/>
    <n v="-1"/>
    <x v="3"/>
    <n v="0"/>
    <n v="0"/>
    <n v="43"/>
    <n v="86"/>
    <n v="0"/>
    <n v="161.62"/>
    <n v="195.88"/>
    <m/>
    <n v="185.42808941373102"/>
    <n v="196.45594068817735"/>
    <n v="0"/>
    <n v="-192.3278"/>
    <n v="-233.09719999999999"/>
    <n v="0"/>
    <n v="-220.6594264023399"/>
    <n v="-233.78256941893105"/>
  </r>
  <r>
    <s v="PROJETADO"/>
    <x v="3"/>
    <x v="5"/>
    <x v="7"/>
    <x v="4"/>
    <x v="1"/>
    <x v="0"/>
    <x v="0"/>
    <x v="11"/>
    <n v="0"/>
    <n v="0"/>
    <n v="7.681"/>
    <n v="7.681"/>
    <n v="7.681"/>
    <n v="7.681"/>
    <n v="15"/>
    <x v="3"/>
    <n v="0"/>
    <n v="0"/>
    <n v="43"/>
    <n v="86"/>
    <n v="0"/>
    <n v="161.62"/>
    <n v="195.88"/>
    <m/>
    <n v="185.42808941373102"/>
    <n v="196.45594068817735"/>
    <n v="0"/>
    <n v="1241.4032200000001"/>
    <n v="1504.5542800000001"/>
    <n v="0"/>
    <n v="1424.273154786868"/>
    <n v="1508.9780804258903"/>
  </r>
  <r>
    <s v="Regular"/>
    <x v="3"/>
    <x v="5"/>
    <x v="7"/>
    <x v="5"/>
    <x v="1"/>
    <x v="0"/>
    <x v="0"/>
    <x v="0"/>
    <n v="0"/>
    <n v="0"/>
    <n v="2711.098"/>
    <n v="2711.098"/>
    <n v="2711.098"/>
    <n v="2711.098"/>
    <n v="42605"/>
    <x v="3"/>
    <n v="0"/>
    <n v="0"/>
    <n v="44"/>
    <n v="87"/>
    <n v="0"/>
    <n v="242.43"/>
    <n v="293.82"/>
    <m/>
    <n v="278.14213412059655"/>
    <n v="294.68391103226605"/>
    <n v="0"/>
    <n v="657251.48814000003"/>
    <n v="796574.81435999996"/>
    <n v="0"/>
    <n v="754070.58353008109"/>
    <n v="798916.96183175442"/>
  </r>
  <r>
    <s v="Refaturamento - Regular"/>
    <x v="3"/>
    <x v="5"/>
    <x v="7"/>
    <x v="5"/>
    <x v="1"/>
    <x v="0"/>
    <x v="0"/>
    <x v="0"/>
    <n v="0"/>
    <n v="0"/>
    <n v="-0.65300000000000002"/>
    <n v="-0.65300000000000002"/>
    <n v="-0.65300000000000002"/>
    <n v="-0.65300000000000002"/>
    <n v="-10"/>
    <x v="3"/>
    <n v="0"/>
    <n v="0"/>
    <n v="44"/>
    <n v="87"/>
    <n v="0"/>
    <n v="242.43"/>
    <n v="293.82"/>
    <m/>
    <n v="278.14213412059655"/>
    <n v="294.68391103226605"/>
    <n v="0"/>
    <n v="-158.30679000000001"/>
    <n v="-191.86446000000001"/>
    <n v="0"/>
    <n v="-181.62681358074954"/>
    <n v="-192.42859390406974"/>
  </r>
  <r>
    <s v="Sistema de Compensação"/>
    <x v="3"/>
    <x v="5"/>
    <x v="7"/>
    <x v="5"/>
    <x v="1"/>
    <x v="0"/>
    <x v="0"/>
    <x v="0"/>
    <n v="0"/>
    <n v="0"/>
    <n v="2.3570000000000002"/>
    <n v="2.3570000000000002"/>
    <n v="2.3570000000000002"/>
    <n v="2.3570000000000002"/>
    <n v="36"/>
    <x v="3"/>
    <n v="0"/>
    <n v="0"/>
    <n v="44"/>
    <n v="87"/>
    <n v="0"/>
    <n v="242.43"/>
    <n v="293.82"/>
    <m/>
    <n v="278.14213412059655"/>
    <n v="294.68391103226605"/>
    <n v="0"/>
    <n v="571.40751000000012"/>
    <n v="692.53374000000008"/>
    <n v="0"/>
    <n v="655.58101012224608"/>
    <n v="694.56997830305113"/>
  </r>
  <r>
    <s v="Regular"/>
    <x v="3"/>
    <x v="5"/>
    <x v="7"/>
    <x v="5"/>
    <x v="1"/>
    <x v="0"/>
    <x v="0"/>
    <x v="1"/>
    <n v="0"/>
    <n v="0"/>
    <n v="2669.2820000000002"/>
    <n v="2669.2820000000002"/>
    <n v="2669.2820000000002"/>
    <n v="2669.2820000000002"/>
    <n v="42079"/>
    <x v="3"/>
    <n v="0"/>
    <n v="0"/>
    <n v="44"/>
    <n v="87"/>
    <n v="0"/>
    <n v="242.43"/>
    <n v="293.82"/>
    <m/>
    <n v="278.14213412059655"/>
    <n v="294.68391103226605"/>
    <n v="0"/>
    <n v="647114.03526000003"/>
    <n v="784288.43724"/>
    <n v="0"/>
    <n v="742439.79204969422"/>
    <n v="786594.45940802922"/>
  </r>
  <r>
    <s v="Refaturamento - Regular"/>
    <x v="3"/>
    <x v="5"/>
    <x v="7"/>
    <x v="5"/>
    <x v="1"/>
    <x v="0"/>
    <x v="0"/>
    <x v="1"/>
    <n v="0"/>
    <n v="0"/>
    <n v="-0.42399999999999999"/>
    <n v="-0.42399999999999999"/>
    <n v="-0.42399999999999999"/>
    <n v="-0.42399999999999999"/>
    <n v="-5"/>
    <x v="3"/>
    <n v="0"/>
    <n v="0"/>
    <n v="44"/>
    <n v="87"/>
    <n v="0"/>
    <n v="242.43"/>
    <n v="293.82"/>
    <m/>
    <n v="278.14213412059655"/>
    <n v="294.68391103226605"/>
    <n v="0"/>
    <n v="-102.79031999999999"/>
    <n v="-124.57968"/>
    <n v="0"/>
    <n v="-117.93226486713293"/>
    <n v="-124.94597827768081"/>
  </r>
  <r>
    <s v="Sistema de Compensação"/>
    <x v="3"/>
    <x v="5"/>
    <x v="7"/>
    <x v="5"/>
    <x v="1"/>
    <x v="0"/>
    <x v="0"/>
    <x v="1"/>
    <n v="0"/>
    <n v="0"/>
    <n v="2.7730000000000001"/>
    <n v="2.7730000000000001"/>
    <n v="2.7730000000000001"/>
    <n v="2.7730000000000001"/>
    <n v="41"/>
    <x v="3"/>
    <n v="0"/>
    <n v="0"/>
    <n v="44"/>
    <n v="87"/>
    <n v="0"/>
    <n v="242.43"/>
    <n v="293.82"/>
    <m/>
    <n v="278.14213412059655"/>
    <n v="294.68391103226605"/>
    <n v="0"/>
    <n v="672.25839000000008"/>
    <n v="814.76286000000005"/>
    <n v="0"/>
    <n v="771.28813791641426"/>
    <n v="817.15848529247376"/>
  </r>
  <r>
    <s v="Regular"/>
    <x v="3"/>
    <x v="5"/>
    <x v="7"/>
    <x v="5"/>
    <x v="1"/>
    <x v="0"/>
    <x v="0"/>
    <x v="2"/>
    <n v="0"/>
    <n v="0"/>
    <n v="2759.5949999999998"/>
    <n v="2759.5949999999998"/>
    <n v="2759.5949999999998"/>
    <n v="2759.5949999999998"/>
    <n v="42968"/>
    <x v="3"/>
    <n v="0"/>
    <n v="0"/>
    <n v="44"/>
    <n v="87"/>
    <n v="0"/>
    <n v="242.43"/>
    <n v="293.82"/>
    <m/>
    <n v="278.14213412059655"/>
    <n v="294.68391103226605"/>
    <n v="0"/>
    <n v="669008.61584999994"/>
    <n v="810824.20289999992"/>
    <n v="0"/>
    <n v="767559.64260852756"/>
    <n v="813208.24746508617"/>
  </r>
  <r>
    <s v="Refaturamento - Regular"/>
    <x v="3"/>
    <x v="5"/>
    <x v="7"/>
    <x v="5"/>
    <x v="1"/>
    <x v="0"/>
    <x v="0"/>
    <x v="2"/>
    <n v="0"/>
    <n v="0"/>
    <n v="-1.3959999999999999"/>
    <n v="-1.3959999999999999"/>
    <n v="-1.3959999999999999"/>
    <n v="-1.3959999999999999"/>
    <n v="-7"/>
    <x v="3"/>
    <n v="0"/>
    <n v="0"/>
    <n v="44"/>
    <n v="87"/>
    <n v="0"/>
    <n v="242.43"/>
    <n v="293.82"/>
    <m/>
    <n v="278.14213412059655"/>
    <n v="294.68391103226605"/>
    <n v="0"/>
    <n v="-338.43227999999999"/>
    <n v="-410.17271999999997"/>
    <n v="0"/>
    <n v="-388.28641923235278"/>
    <n v="-411.37873980104337"/>
  </r>
  <r>
    <s v="Sistema de Compensação"/>
    <x v="3"/>
    <x v="5"/>
    <x v="7"/>
    <x v="5"/>
    <x v="1"/>
    <x v="0"/>
    <x v="0"/>
    <x v="2"/>
    <n v="0"/>
    <n v="0"/>
    <n v="3.17"/>
    <n v="3.17"/>
    <n v="3.17"/>
    <n v="3.17"/>
    <n v="43"/>
    <x v="3"/>
    <n v="0"/>
    <n v="0"/>
    <n v="44"/>
    <n v="87"/>
    <n v="0"/>
    <n v="242.43"/>
    <n v="293.82"/>
    <m/>
    <n v="278.14213412059655"/>
    <n v="294.68391103226605"/>
    <n v="0"/>
    <n v="768.50310000000002"/>
    <n v="931.40940000000001"/>
    <n v="0"/>
    <n v="881.710565162291"/>
    <n v="934.14799797228341"/>
  </r>
  <r>
    <s v="Regular"/>
    <x v="3"/>
    <x v="5"/>
    <x v="7"/>
    <x v="5"/>
    <x v="1"/>
    <x v="0"/>
    <x v="0"/>
    <x v="3"/>
    <n v="0"/>
    <n v="0"/>
    <n v="3327.1289999999999"/>
    <n v="3327.1289999999999"/>
    <n v="3327.1289999999999"/>
    <n v="3327.1289999999999"/>
    <n v="44946"/>
    <x v="3"/>
    <n v="0"/>
    <n v="0"/>
    <n v="44"/>
    <n v="87"/>
    <n v="0"/>
    <n v="242.43"/>
    <n v="293.82"/>
    <m/>
    <n v="278.14213412059655"/>
    <n v="294.68391103226605"/>
    <n v="0"/>
    <n v="806595.88347"/>
    <n v="977577.0427799999"/>
    <n v="0"/>
    <n v="925414.76055452623"/>
    <n v="980451.38622887235"/>
  </r>
  <r>
    <s v="Refaturamento - Regular"/>
    <x v="3"/>
    <x v="5"/>
    <x v="7"/>
    <x v="5"/>
    <x v="1"/>
    <x v="0"/>
    <x v="0"/>
    <x v="3"/>
    <n v="0"/>
    <n v="0"/>
    <n v="-1.381"/>
    <n v="-1.381"/>
    <n v="-1.381"/>
    <n v="-1.381"/>
    <n v="-8"/>
    <x v="3"/>
    <n v="0"/>
    <n v="0"/>
    <n v="44"/>
    <n v="87"/>
    <n v="0"/>
    <n v="242.43"/>
    <n v="293.82"/>
    <m/>
    <n v="278.14213412059655"/>
    <n v="294.68391103226605"/>
    <n v="0"/>
    <n v="-334.79583000000002"/>
    <n v="-405.76542000000001"/>
    <n v="0"/>
    <n v="-384.11428722054382"/>
    <n v="-406.9584811355594"/>
  </r>
  <r>
    <s v="Sistema de Compensação"/>
    <x v="3"/>
    <x v="5"/>
    <x v="7"/>
    <x v="5"/>
    <x v="1"/>
    <x v="0"/>
    <x v="0"/>
    <x v="3"/>
    <n v="0"/>
    <n v="0"/>
    <n v="2.5190000000000001"/>
    <n v="2.5190000000000001"/>
    <n v="2.5190000000000001"/>
    <n v="2.5190000000000001"/>
    <n v="41"/>
    <x v="3"/>
    <n v="0"/>
    <n v="0"/>
    <n v="44"/>
    <n v="87"/>
    <n v="0"/>
    <n v="242.43"/>
    <n v="293.82"/>
    <m/>
    <n v="278.14213412059655"/>
    <n v="294.68391103226605"/>
    <n v="0"/>
    <n v="610.68117000000007"/>
    <n v="740.13258000000008"/>
    <n v="0"/>
    <n v="700.64003584978275"/>
    <n v="742.30877189027819"/>
  </r>
  <r>
    <s v="Regular"/>
    <x v="3"/>
    <x v="5"/>
    <x v="7"/>
    <x v="5"/>
    <x v="1"/>
    <x v="0"/>
    <x v="0"/>
    <x v="4"/>
    <n v="0"/>
    <n v="0"/>
    <n v="2989.3139999999999"/>
    <n v="2989.3139999999999"/>
    <n v="2989.3139999999999"/>
    <n v="2989.3139999999999"/>
    <n v="44214"/>
    <x v="3"/>
    <n v="0"/>
    <n v="0"/>
    <n v="44"/>
    <n v="87"/>
    <n v="0"/>
    <n v="242.43"/>
    <n v="293.82"/>
    <m/>
    <n v="278.14213412059655"/>
    <n v="294.68391103226605"/>
    <n v="0"/>
    <n v="724699.39301999996"/>
    <n v="878320.23947999999"/>
    <n v="0"/>
    <n v="831454.17551657697"/>
    <n v="880902.74082350731"/>
  </r>
  <r>
    <s v="Refaturamento - Regular"/>
    <x v="3"/>
    <x v="5"/>
    <x v="7"/>
    <x v="5"/>
    <x v="1"/>
    <x v="0"/>
    <x v="0"/>
    <x v="4"/>
    <n v="0"/>
    <n v="0"/>
    <n v="-0.65900000000000003"/>
    <n v="-0.65900000000000003"/>
    <n v="-0.65900000000000003"/>
    <n v="-0.65900000000000003"/>
    <n v="-7"/>
    <x v="3"/>
    <n v="0"/>
    <n v="0"/>
    <n v="44"/>
    <n v="87"/>
    <n v="0"/>
    <n v="242.43"/>
    <n v="293.82"/>
    <m/>
    <n v="278.14213412059655"/>
    <n v="294.68391103226605"/>
    <n v="0"/>
    <n v="-159.76137"/>
    <n v="-193.62738000000002"/>
    <n v="0"/>
    <n v="-183.29566638547314"/>
    <n v="-194.19669737026334"/>
  </r>
  <r>
    <s v="Sistema de Compensação"/>
    <x v="3"/>
    <x v="5"/>
    <x v="7"/>
    <x v="5"/>
    <x v="1"/>
    <x v="0"/>
    <x v="0"/>
    <x v="4"/>
    <n v="0"/>
    <n v="0"/>
    <n v="2.9409999999999998"/>
    <n v="2.9409999999999998"/>
    <n v="2.9409999999999998"/>
    <n v="2.9409999999999998"/>
    <n v="42"/>
    <x v="3"/>
    <n v="0"/>
    <n v="0"/>
    <n v="44"/>
    <n v="87"/>
    <n v="0"/>
    <n v="242.43"/>
    <n v="293.82"/>
    <m/>
    <n v="278.14213412059655"/>
    <n v="294.68391103226605"/>
    <n v="0"/>
    <n v="712.98662999999999"/>
    <n v="864.12461999999994"/>
    <n v="0"/>
    <n v="818.01601644867446"/>
    <n v="866.66538234589439"/>
  </r>
  <r>
    <s v="Regular"/>
    <x v="3"/>
    <x v="5"/>
    <x v="7"/>
    <x v="5"/>
    <x v="1"/>
    <x v="0"/>
    <x v="0"/>
    <x v="5"/>
    <n v="0"/>
    <n v="0"/>
    <n v="3090.9580000000001"/>
    <n v="3090.9580000000001"/>
    <n v="3090.9580000000001"/>
    <n v="3090.9580000000001"/>
    <n v="45323"/>
    <x v="3"/>
    <n v="0"/>
    <n v="0"/>
    <n v="44"/>
    <n v="87"/>
    <n v="0"/>
    <n v="242.43"/>
    <n v="293.82"/>
    <m/>
    <n v="278.14213412059655"/>
    <n v="294.68391103226605"/>
    <n v="0"/>
    <n v="749340.94793999998"/>
    <n v="908185.27956000005"/>
    <n v="0"/>
    <n v="859725.65459713095"/>
    <n v="910855.59227647108"/>
  </r>
  <r>
    <s v="Refaturamento - Regular"/>
    <x v="3"/>
    <x v="5"/>
    <x v="7"/>
    <x v="5"/>
    <x v="1"/>
    <x v="0"/>
    <x v="0"/>
    <x v="5"/>
    <n v="0"/>
    <n v="0"/>
    <n v="-1.4450000000000001"/>
    <n v="-1.4450000000000001"/>
    <n v="-1.4450000000000001"/>
    <n v="-1.4450000000000001"/>
    <n v="-22"/>
    <x v="3"/>
    <n v="0"/>
    <n v="0"/>
    <n v="44"/>
    <n v="87"/>
    <n v="0"/>
    <n v="242.43"/>
    <n v="293.82"/>
    <m/>
    <n v="278.14213412059655"/>
    <n v="294.68391103226605"/>
    <n v="0"/>
    <n v="-350.31135"/>
    <n v="-424.56990000000002"/>
    <n v="0"/>
    <n v="-401.91538380426204"/>
    <n v="-425.81825144162445"/>
  </r>
  <r>
    <s v="Sistema de Compensação"/>
    <x v="3"/>
    <x v="5"/>
    <x v="7"/>
    <x v="5"/>
    <x v="1"/>
    <x v="0"/>
    <x v="0"/>
    <x v="5"/>
    <n v="0"/>
    <n v="0"/>
    <n v="3.6320000000000001"/>
    <n v="3.6320000000000001"/>
    <n v="3.6320000000000001"/>
    <n v="3.6320000000000001"/>
    <n v="53"/>
    <x v="3"/>
    <n v="0"/>
    <n v="0"/>
    <n v="44"/>
    <n v="87"/>
    <n v="0"/>
    <n v="242.43"/>
    <n v="293.82"/>
    <m/>
    <n v="278.14213412059655"/>
    <n v="294.68391103226605"/>
    <n v="0"/>
    <n v="880.50576000000001"/>
    <n v="1067.1542400000001"/>
    <n v="0"/>
    <n v="1010.2122311260067"/>
    <n v="1070.2919648691905"/>
  </r>
  <r>
    <s v="Regular"/>
    <x v="3"/>
    <x v="5"/>
    <x v="7"/>
    <x v="5"/>
    <x v="1"/>
    <x v="0"/>
    <x v="0"/>
    <x v="6"/>
    <n v="0"/>
    <n v="0"/>
    <n v="3567.2890000000002"/>
    <n v="3567.2890000000002"/>
    <n v="3567.2890000000002"/>
    <n v="3567.2890000000002"/>
    <n v="46719"/>
    <x v="3"/>
    <n v="0"/>
    <n v="0"/>
    <n v="44"/>
    <n v="87"/>
    <n v="0"/>
    <n v="242.43"/>
    <n v="293.82"/>
    <m/>
    <n v="278.14213412059655"/>
    <n v="294.68391103226605"/>
    <n v="0"/>
    <n v="864817.87227000005"/>
    <n v="1048140.85398"/>
    <n v="0"/>
    <n v="992213.37548492884"/>
    <n v="1051222.6743023815"/>
  </r>
  <r>
    <s v="Refaturamento - Regular"/>
    <x v="3"/>
    <x v="5"/>
    <x v="7"/>
    <x v="5"/>
    <x v="1"/>
    <x v="0"/>
    <x v="0"/>
    <x v="6"/>
    <n v="0"/>
    <n v="0"/>
    <n v="-1.488"/>
    <n v="-1.488"/>
    <n v="-1.488"/>
    <n v="-1.488"/>
    <n v="-10"/>
    <x v="3"/>
    <n v="0"/>
    <n v="0"/>
    <n v="44"/>
    <n v="87"/>
    <n v="0"/>
    <n v="242.43"/>
    <n v="293.82"/>
    <m/>
    <n v="278.14213412059655"/>
    <n v="294.68391103226605"/>
    <n v="0"/>
    <n v="-360.73584"/>
    <n v="-437.20416"/>
    <n v="0"/>
    <n v="-413.87549557144769"/>
    <n v="-438.48965961601186"/>
  </r>
  <r>
    <s v="Sistema de Compensação"/>
    <x v="3"/>
    <x v="5"/>
    <x v="7"/>
    <x v="5"/>
    <x v="1"/>
    <x v="0"/>
    <x v="0"/>
    <x v="6"/>
    <n v="0"/>
    <n v="0"/>
    <n v="3.3340000000000001"/>
    <n v="3.3340000000000001"/>
    <n v="3.3340000000000001"/>
    <n v="3.3340000000000001"/>
    <n v="54"/>
    <x v="3"/>
    <n v="0"/>
    <n v="0"/>
    <n v="44"/>
    <n v="87"/>
    <n v="0"/>
    <n v="242.43"/>
    <n v="293.82"/>
    <m/>
    <n v="278.14213412059655"/>
    <n v="294.68391103226605"/>
    <n v="0"/>
    <n v="808.26161999999999"/>
    <n v="979.59587999999997"/>
    <n v="0"/>
    <n v="927.32587515806892"/>
    <n v="982.47615938157503"/>
  </r>
  <r>
    <s v="Regular"/>
    <x v="3"/>
    <x v="5"/>
    <x v="7"/>
    <x v="5"/>
    <x v="1"/>
    <x v="0"/>
    <x v="0"/>
    <x v="7"/>
    <n v="0"/>
    <n v="0"/>
    <n v="3565.6320000000001"/>
    <n v="3565.6320000000001"/>
    <n v="3565.6320000000001"/>
    <n v="3565.6320000000001"/>
    <n v="47479"/>
    <x v="3"/>
    <n v="0"/>
    <n v="0"/>
    <n v="44"/>
    <n v="87"/>
    <n v="0"/>
    <n v="242.43"/>
    <n v="293.82"/>
    <m/>
    <n v="278.14213412059655"/>
    <n v="294.68391103226605"/>
    <n v="0"/>
    <n v="864416.16576"/>
    <n v="1047653.99424"/>
    <n v="0"/>
    <n v="991752.49396869098"/>
    <n v="1050734.3830618009"/>
  </r>
  <r>
    <s v="Refaturamento - Regular"/>
    <x v="3"/>
    <x v="5"/>
    <x v="7"/>
    <x v="5"/>
    <x v="1"/>
    <x v="0"/>
    <x v="0"/>
    <x v="7"/>
    <n v="0"/>
    <n v="0"/>
    <n v="-0.56299999999999994"/>
    <n v="-0.56299999999999994"/>
    <n v="-0.56299999999999994"/>
    <n v="-0.56299999999999994"/>
    <n v="-5"/>
    <x v="3"/>
    <n v="0"/>
    <n v="0"/>
    <n v="44"/>
    <n v="87"/>
    <n v="0"/>
    <n v="242.43"/>
    <n v="293.82"/>
    <m/>
    <n v="278.14213412059655"/>
    <n v="294.68391103226605"/>
    <n v="0"/>
    <n v="-136.48809"/>
    <n v="-165.42065999999997"/>
    <n v="0"/>
    <n v="-156.59402150989584"/>
    <n v="-165.90704191116578"/>
  </r>
  <r>
    <s v="Sistema de Compensação"/>
    <x v="3"/>
    <x v="5"/>
    <x v="7"/>
    <x v="5"/>
    <x v="1"/>
    <x v="0"/>
    <x v="0"/>
    <x v="7"/>
    <n v="0"/>
    <n v="0"/>
    <n v="3.9670000000000001"/>
    <n v="3.9670000000000001"/>
    <n v="3.9670000000000001"/>
    <n v="3.9670000000000001"/>
    <n v="64"/>
    <x v="3"/>
    <n v="0"/>
    <n v="0"/>
    <n v="44"/>
    <n v="87"/>
    <n v="0"/>
    <n v="242.43"/>
    <n v="293.82"/>
    <m/>
    <n v="278.14213412059655"/>
    <n v="294.68391103226605"/>
    <n v="0"/>
    <n v="961.71981000000005"/>
    <n v="1165.58394"/>
    <n v="0"/>
    <n v="1103.3898460564064"/>
    <n v="1169.0110750649994"/>
  </r>
  <r>
    <s v="Regular"/>
    <x v="3"/>
    <x v="5"/>
    <x v="7"/>
    <x v="5"/>
    <x v="1"/>
    <x v="0"/>
    <x v="0"/>
    <x v="8"/>
    <n v="0"/>
    <n v="0"/>
    <n v="3335.3310000000001"/>
    <n v="3335.3310000000001"/>
    <n v="3335.3310000000001"/>
    <n v="3335.3310000000001"/>
    <n v="48530"/>
    <x v="3"/>
    <n v="0"/>
    <n v="0"/>
    <n v="44"/>
    <n v="87"/>
    <n v="0"/>
    <n v="242.43"/>
    <n v="293.82"/>
    <m/>
    <n v="278.14213412059655"/>
    <n v="294.68391103226605"/>
    <n v="0"/>
    <n v="808584.29433000006"/>
    <n v="979986.95441999997"/>
    <n v="0"/>
    <n v="927696.08233858342"/>
    <n v="982868.38366715901"/>
  </r>
  <r>
    <s v="Refaturamento - Regular"/>
    <x v="3"/>
    <x v="5"/>
    <x v="7"/>
    <x v="5"/>
    <x v="1"/>
    <x v="0"/>
    <x v="0"/>
    <x v="8"/>
    <n v="0"/>
    <n v="0"/>
    <n v="-3.4079999999999999"/>
    <n v="-3.4079999999999999"/>
    <n v="-3.4079999999999999"/>
    <n v="-3.4079999999999999"/>
    <n v="-30"/>
    <x v="3"/>
    <n v="0"/>
    <n v="0"/>
    <n v="44"/>
    <n v="87"/>
    <n v="0"/>
    <n v="242.43"/>
    <n v="293.82"/>
    <m/>
    <n v="278.14213412059655"/>
    <n v="294.68391103226605"/>
    <n v="0"/>
    <n v="-826.20144000000005"/>
    <n v="-1001.3385599999999"/>
    <n v="0"/>
    <n v="-947.90839308299303"/>
    <n v="-1004.2827687979627"/>
  </r>
  <r>
    <s v="Sistema de Compensação"/>
    <x v="3"/>
    <x v="5"/>
    <x v="7"/>
    <x v="5"/>
    <x v="1"/>
    <x v="0"/>
    <x v="0"/>
    <x v="8"/>
    <n v="0"/>
    <n v="0"/>
    <n v="4.6959999999999997"/>
    <n v="4.6959999999999997"/>
    <n v="4.6959999999999997"/>
    <n v="4.6959999999999997"/>
    <n v="78"/>
    <x v="3"/>
    <n v="0"/>
    <n v="0"/>
    <n v="44"/>
    <n v="87"/>
    <n v="0"/>
    <n v="242.43"/>
    <n v="293.82"/>
    <m/>
    <n v="278.14213412059655"/>
    <n v="294.68391103226605"/>
    <n v="0"/>
    <n v="1138.45128"/>
    <n v="1379.7787199999998"/>
    <n v="0"/>
    <n v="1306.1554618303214"/>
    <n v="1383.8356462075212"/>
  </r>
  <r>
    <s v="Regular"/>
    <x v="3"/>
    <x v="5"/>
    <x v="7"/>
    <x v="5"/>
    <x v="1"/>
    <x v="0"/>
    <x v="0"/>
    <x v="9"/>
    <n v="0"/>
    <n v="0"/>
    <n v="4144.8900000000003"/>
    <n v="4144.8900000000003"/>
    <n v="4144.8900000000003"/>
    <n v="4144.8900000000003"/>
    <n v="51712"/>
    <x v="3"/>
    <n v="0"/>
    <n v="0"/>
    <n v="44"/>
    <n v="87"/>
    <n v="0"/>
    <n v="242.43"/>
    <n v="293.82"/>
    <m/>
    <n v="278.14213412059655"/>
    <n v="294.68391103226605"/>
    <n v="0"/>
    <n v="1004845.6827000001"/>
    <n v="1217851.5798000002"/>
    <n v="0"/>
    <n v="1152868.5502951196"/>
    <n v="1221432.3959985294"/>
  </r>
  <r>
    <s v="Refaturamento - Regular"/>
    <x v="3"/>
    <x v="5"/>
    <x v="7"/>
    <x v="5"/>
    <x v="1"/>
    <x v="0"/>
    <x v="0"/>
    <x v="9"/>
    <n v="0"/>
    <n v="0"/>
    <n v="-0.98499999999999999"/>
    <n v="-0.98499999999999999"/>
    <n v="-0.98499999999999999"/>
    <n v="-0.98499999999999999"/>
    <n v="-9"/>
    <x v="3"/>
    <n v="0"/>
    <n v="0"/>
    <n v="44"/>
    <n v="87"/>
    <n v="0"/>
    <n v="242.43"/>
    <n v="293.82"/>
    <m/>
    <n v="278.14213412059655"/>
    <n v="294.68391103226605"/>
    <n v="0"/>
    <n v="-238.79355000000001"/>
    <n v="-289.41269999999997"/>
    <n v="0"/>
    <n v="-273.97000210878758"/>
    <n v="-290.26365236678208"/>
  </r>
  <r>
    <s v="Sistema de Compensação"/>
    <x v="3"/>
    <x v="5"/>
    <x v="7"/>
    <x v="5"/>
    <x v="1"/>
    <x v="0"/>
    <x v="0"/>
    <x v="9"/>
    <n v="0"/>
    <n v="0"/>
    <n v="5.1989999999999998"/>
    <n v="5.1989999999999998"/>
    <n v="5.1989999999999998"/>
    <n v="5.1989999999999998"/>
    <n v="72"/>
    <x v="3"/>
    <n v="0"/>
    <n v="0"/>
    <n v="44"/>
    <n v="87"/>
    <n v="0"/>
    <n v="242.43"/>
    <n v="293.82"/>
    <m/>
    <n v="278.14213412059655"/>
    <n v="294.68391103226605"/>
    <n v="0"/>
    <n v="1260.39357"/>
    <n v="1527.5701799999999"/>
    <n v="0"/>
    <n v="1446.0609552929814"/>
    <n v="1532.0616534567512"/>
  </r>
  <r>
    <s v="Sistema de Compensação"/>
    <x v="3"/>
    <x v="5"/>
    <x v="7"/>
    <x v="5"/>
    <x v="1"/>
    <x v="0"/>
    <x v="0"/>
    <x v="9"/>
    <n v="0"/>
    <n v="0"/>
    <n v="-0.12"/>
    <n v="-0.12"/>
    <n v="-0.12"/>
    <n v="-0.12"/>
    <n v="0"/>
    <x v="3"/>
    <n v="0"/>
    <n v="0"/>
    <n v="44"/>
    <n v="87"/>
    <n v="0"/>
    <n v="242.43"/>
    <n v="293.82"/>
    <m/>
    <n v="278.14213412059655"/>
    <n v="294.68391103226605"/>
    <n v="0"/>
    <n v="-29.0916"/>
    <n v="-35.258399999999995"/>
    <n v="0"/>
    <n v="-33.377056094471584"/>
    <n v="-35.362069323871928"/>
  </r>
  <r>
    <s v="Regular"/>
    <x v="3"/>
    <x v="5"/>
    <x v="7"/>
    <x v="5"/>
    <x v="1"/>
    <x v="0"/>
    <x v="0"/>
    <x v="10"/>
    <n v="0"/>
    <n v="0"/>
    <n v="3805.0160000000001"/>
    <n v="3805.0160000000001"/>
    <n v="3805.0160000000001"/>
    <n v="3805.0160000000001"/>
    <n v="51648"/>
    <x v="3"/>
    <n v="0"/>
    <n v="0"/>
    <n v="44"/>
    <n v="87"/>
    <n v="0"/>
    <n v="242.43"/>
    <n v="293.82"/>
    <m/>
    <n v="278.14213412059655"/>
    <n v="294.68391103226605"/>
    <n v="0"/>
    <n v="922450.02888"/>
    <n v="1117989.80112"/>
    <n v="0"/>
    <n v="1058335.2706030158"/>
    <n v="1121276.9964203488"/>
  </r>
  <r>
    <s v="Refaturamento - Regular"/>
    <x v="3"/>
    <x v="5"/>
    <x v="7"/>
    <x v="5"/>
    <x v="1"/>
    <x v="0"/>
    <x v="0"/>
    <x v="10"/>
    <n v="0"/>
    <n v="0"/>
    <n v="-1.4490000000000001"/>
    <n v="-1.4490000000000001"/>
    <n v="-1.4490000000000001"/>
    <n v="-1.4490000000000001"/>
    <n v="-8"/>
    <x v="3"/>
    <n v="0"/>
    <n v="0"/>
    <n v="44"/>
    <n v="87"/>
    <n v="0"/>
    <n v="242.43"/>
    <n v="293.82"/>
    <m/>
    <n v="278.14213412059655"/>
    <n v="294.68391103226605"/>
    <n v="0"/>
    <n v="-351.28107"/>
    <n v="-425.74518"/>
    <n v="0"/>
    <n v="-403.02795234074443"/>
    <n v="-426.99698708575352"/>
  </r>
  <r>
    <s v="Sistema de Compensação"/>
    <x v="3"/>
    <x v="5"/>
    <x v="7"/>
    <x v="5"/>
    <x v="1"/>
    <x v="0"/>
    <x v="0"/>
    <x v="10"/>
    <n v="0"/>
    <n v="0"/>
    <n v="5.6509999999999998"/>
    <n v="5.6509999999999998"/>
    <n v="5.6509999999999998"/>
    <n v="5.6509999999999998"/>
    <n v="82"/>
    <x v="3"/>
    <n v="0"/>
    <n v="0"/>
    <n v="44"/>
    <n v="87"/>
    <n v="0"/>
    <n v="242.43"/>
    <n v="293.82"/>
    <m/>
    <n v="278.14213412059655"/>
    <n v="294.68391103226605"/>
    <n v="0"/>
    <n v="1369.9719299999999"/>
    <n v="1660.37682"/>
    <n v="0"/>
    <n v="1571.781199915491"/>
    <n v="1665.2587812433353"/>
  </r>
  <r>
    <s v="PROJETADO"/>
    <x v="3"/>
    <x v="5"/>
    <x v="7"/>
    <x v="5"/>
    <x v="1"/>
    <x v="0"/>
    <x v="0"/>
    <x v="11"/>
    <n v="0"/>
    <n v="0"/>
    <n v="3805.0160000000001"/>
    <n v="3805.0160000000001"/>
    <n v="3805.0160000000001"/>
    <n v="3805.0160000000001"/>
    <n v="51648"/>
    <x v="3"/>
    <n v="0"/>
    <n v="0"/>
    <n v="44"/>
    <n v="87"/>
    <n v="0"/>
    <n v="242.43"/>
    <n v="293.82"/>
    <m/>
    <n v="278.14213412059655"/>
    <n v="294.68391103226605"/>
    <n v="0"/>
    <n v="922450.02888"/>
    <n v="1117989.80112"/>
    <n v="0"/>
    <n v="1058335.2706030158"/>
    <n v="1121276.9964203488"/>
  </r>
  <r>
    <s v="PROJETADO"/>
    <x v="3"/>
    <x v="5"/>
    <x v="7"/>
    <x v="5"/>
    <x v="1"/>
    <x v="0"/>
    <x v="0"/>
    <x v="11"/>
    <n v="0"/>
    <n v="0"/>
    <n v="-1.4490000000000001"/>
    <n v="-1.4490000000000001"/>
    <n v="-1.4490000000000001"/>
    <n v="-1.4490000000000001"/>
    <n v="-8"/>
    <x v="3"/>
    <n v="0"/>
    <n v="0"/>
    <n v="44"/>
    <n v="87"/>
    <n v="0"/>
    <n v="242.43"/>
    <n v="293.82"/>
    <m/>
    <n v="278.14213412059655"/>
    <n v="294.68391103226605"/>
    <n v="0"/>
    <n v="-351.28107"/>
    <n v="-425.74518"/>
    <n v="0"/>
    <n v="-403.02795234074443"/>
    <n v="-426.99698708575352"/>
  </r>
  <r>
    <s v="PROJETADO"/>
    <x v="3"/>
    <x v="5"/>
    <x v="7"/>
    <x v="5"/>
    <x v="1"/>
    <x v="0"/>
    <x v="0"/>
    <x v="11"/>
    <n v="0"/>
    <n v="0"/>
    <n v="5.6509999999999998"/>
    <n v="5.6509999999999998"/>
    <n v="5.6509999999999998"/>
    <n v="5.6509999999999998"/>
    <n v="82"/>
    <x v="3"/>
    <n v="0"/>
    <n v="0"/>
    <n v="44"/>
    <n v="87"/>
    <n v="0"/>
    <n v="242.43"/>
    <n v="293.82"/>
    <m/>
    <n v="278.14213412059655"/>
    <n v="294.68391103226605"/>
    <n v="0"/>
    <n v="1369.9719299999999"/>
    <n v="1660.37682"/>
    <n v="0"/>
    <n v="1571.781199915491"/>
    <n v="1665.2587812433353"/>
  </r>
  <r>
    <s v="Regular"/>
    <x v="3"/>
    <x v="5"/>
    <x v="7"/>
    <x v="6"/>
    <x v="1"/>
    <x v="0"/>
    <x v="0"/>
    <x v="0"/>
    <n v="0"/>
    <n v="0"/>
    <n v="416.46699999999998"/>
    <n v="416.46699999999998"/>
    <n v="416.46699999999998"/>
    <n v="416.46699999999998"/>
    <n v="6318"/>
    <x v="3"/>
    <n v="0"/>
    <n v="0"/>
    <n v="45"/>
    <n v="88"/>
    <n v="0"/>
    <n v="269.37"/>
    <n v="326.47000000000003"/>
    <m/>
    <n v="309.04681568955169"/>
    <n v="327.42656781362894"/>
    <n v="0"/>
    <n v="112183.71579"/>
    <n v="135963.98149000001"/>
    <n v="0"/>
    <n v="128707.80018978052"/>
    <n v="136362.36041763859"/>
  </r>
  <r>
    <s v="Refaturamento - Regular"/>
    <x v="3"/>
    <x v="5"/>
    <x v="7"/>
    <x v="6"/>
    <x v="1"/>
    <x v="0"/>
    <x v="0"/>
    <x v="0"/>
    <n v="0"/>
    <n v="0"/>
    <n v="-4.2999999999999997E-2"/>
    <n v="-4.2999999999999997E-2"/>
    <n v="-4.2999999999999997E-2"/>
    <n v="-4.2999999999999997E-2"/>
    <n v="-1"/>
    <x v="3"/>
    <n v="0"/>
    <n v="0"/>
    <n v="45"/>
    <n v="88"/>
    <n v="0"/>
    <n v="269.37"/>
    <n v="326.47000000000003"/>
    <m/>
    <n v="309.04681568955169"/>
    <n v="327.42656781362894"/>
    <n v="0"/>
    <n v="-11.58291"/>
    <n v="-14.038209999999999"/>
    <n v="0"/>
    <n v="-13.289013074650722"/>
    <n v="-14.079342415986043"/>
  </r>
  <r>
    <s v="Sistema de Compensação"/>
    <x v="3"/>
    <x v="5"/>
    <x v="7"/>
    <x v="6"/>
    <x v="1"/>
    <x v="0"/>
    <x v="0"/>
    <x v="0"/>
    <n v="0"/>
    <n v="0"/>
    <n v="3.3460000000000001"/>
    <n v="3.3460000000000001"/>
    <n v="3.3460000000000001"/>
    <n v="3.3460000000000001"/>
    <n v="31"/>
    <x v="3"/>
    <n v="0"/>
    <n v="0"/>
    <n v="45"/>
    <n v="88"/>
    <n v="0"/>
    <n v="269.37"/>
    <n v="326.47000000000003"/>
    <m/>
    <n v="309.04681568955169"/>
    <n v="327.42656781362894"/>
    <n v="0"/>
    <n v="901.31202000000008"/>
    <n v="1092.3686200000002"/>
    <n v="0"/>
    <n v="1034.0706452972399"/>
    <n v="1095.5692959044025"/>
  </r>
  <r>
    <s v="Regular"/>
    <x v="3"/>
    <x v="5"/>
    <x v="7"/>
    <x v="6"/>
    <x v="1"/>
    <x v="0"/>
    <x v="0"/>
    <x v="1"/>
    <n v="0"/>
    <n v="0"/>
    <n v="395.661"/>
    <n v="395.661"/>
    <n v="395.661"/>
    <n v="395.661"/>
    <n v="6291"/>
    <x v="3"/>
    <n v="0"/>
    <n v="0"/>
    <n v="45"/>
    <n v="88"/>
    <n v="0"/>
    <n v="269.37"/>
    <n v="326.47000000000003"/>
    <m/>
    <n v="309.04681568955169"/>
    <n v="327.42656781362894"/>
    <n v="0"/>
    <n v="106579.20357"/>
    <n v="129171.44667"/>
    <n v="0"/>
    <n v="122277.77214254372"/>
    <n v="129549.92324770824"/>
  </r>
  <r>
    <s v="Refaturamento - Regular"/>
    <x v="3"/>
    <x v="5"/>
    <x v="7"/>
    <x v="6"/>
    <x v="1"/>
    <x v="0"/>
    <x v="0"/>
    <x v="1"/>
    <n v="0"/>
    <n v="0"/>
    <n v="-3.0000000000000001E-3"/>
    <n v="-3.0000000000000001E-3"/>
    <n v="-3.0000000000000001E-3"/>
    <n v="-3.0000000000000001E-3"/>
    <n v="-1"/>
    <x v="3"/>
    <n v="0"/>
    <n v="0"/>
    <n v="45"/>
    <n v="88"/>
    <n v="0"/>
    <n v="269.37"/>
    <n v="326.47000000000003"/>
    <m/>
    <n v="309.04681568955169"/>
    <n v="327.42656781362894"/>
    <n v="0"/>
    <n v="-0.80810999999999999"/>
    <n v="-0.97941000000000011"/>
    <n v="0"/>
    <n v="-0.92714044706865506"/>
    <n v="-0.98227970344088678"/>
  </r>
  <r>
    <s v="Sistema de Compensação"/>
    <x v="3"/>
    <x v="5"/>
    <x v="7"/>
    <x v="6"/>
    <x v="1"/>
    <x v="0"/>
    <x v="0"/>
    <x v="1"/>
    <n v="0"/>
    <n v="0"/>
    <n v="3.145"/>
    <n v="3.145"/>
    <n v="3.145"/>
    <n v="3.145"/>
    <n v="31"/>
    <x v="3"/>
    <n v="0"/>
    <n v="0"/>
    <n v="45"/>
    <n v="88"/>
    <n v="0"/>
    <n v="269.37"/>
    <n v="326.47000000000003"/>
    <m/>
    <n v="309.04681568955169"/>
    <n v="327.42656781362894"/>
    <n v="0"/>
    <n v="847.16865000000007"/>
    <n v="1026.7481500000001"/>
    <n v="0"/>
    <n v="971.95223534364004"/>
    <n v="1029.7565557738631"/>
  </r>
  <r>
    <s v="Regular"/>
    <x v="3"/>
    <x v="5"/>
    <x v="7"/>
    <x v="6"/>
    <x v="1"/>
    <x v="0"/>
    <x v="0"/>
    <x v="2"/>
    <n v="0"/>
    <n v="0"/>
    <n v="415.32299999999998"/>
    <n v="415.32299999999998"/>
    <n v="415.32299999999998"/>
    <n v="415.32299999999998"/>
    <n v="6611"/>
    <x v="3"/>
    <n v="0"/>
    <n v="0"/>
    <n v="45"/>
    <n v="88"/>
    <n v="0"/>
    <n v="269.37"/>
    <n v="326.47000000000003"/>
    <m/>
    <n v="309.04681568955169"/>
    <n v="327.42656781362894"/>
    <n v="0"/>
    <n v="111875.55650999999"/>
    <n v="135590.49981000001"/>
    <n v="0"/>
    <n v="128354.25063263167"/>
    <n v="135987.78442405979"/>
  </r>
  <r>
    <s v="Refaturamento - Regular"/>
    <x v="3"/>
    <x v="5"/>
    <x v="7"/>
    <x v="6"/>
    <x v="1"/>
    <x v="0"/>
    <x v="0"/>
    <x v="2"/>
    <n v="0"/>
    <n v="0"/>
    <n v="-3.7890000000000001"/>
    <n v="-3.7890000000000001"/>
    <n v="-3.7890000000000001"/>
    <n v="-3.7890000000000001"/>
    <n v="-8"/>
    <x v="3"/>
    <n v="0"/>
    <n v="0"/>
    <n v="45"/>
    <n v="88"/>
    <n v="0"/>
    <n v="269.37"/>
    <n v="326.47000000000003"/>
    <m/>
    <n v="309.04681568955169"/>
    <n v="327.42656781362894"/>
    <n v="0"/>
    <n v="-1020.6429300000001"/>
    <n v="-1236.9948300000001"/>
    <n v="0"/>
    <n v="-1170.9783846477114"/>
    <n v="-1240.61926544584"/>
  </r>
  <r>
    <s v="Sistema de Compensação"/>
    <x v="3"/>
    <x v="5"/>
    <x v="7"/>
    <x v="6"/>
    <x v="1"/>
    <x v="0"/>
    <x v="0"/>
    <x v="2"/>
    <n v="0"/>
    <n v="0"/>
    <n v="3.2330000000000001"/>
    <n v="3.2330000000000001"/>
    <n v="3.2330000000000001"/>
    <n v="3.2330000000000001"/>
    <n v="40"/>
    <x v="3"/>
    <n v="0"/>
    <n v="0"/>
    <n v="45"/>
    <n v="88"/>
    <n v="0"/>
    <n v="269.37"/>
    <n v="326.47000000000003"/>
    <m/>
    <n v="309.04681568955169"/>
    <n v="327.42656781362894"/>
    <n v="0"/>
    <n v="870.87321000000009"/>
    <n v="1055.4775100000002"/>
    <n v="0"/>
    <n v="999.14835512432069"/>
    <n v="1058.5700937414624"/>
  </r>
  <r>
    <s v="Regular"/>
    <x v="3"/>
    <x v="5"/>
    <x v="7"/>
    <x v="6"/>
    <x v="1"/>
    <x v="0"/>
    <x v="0"/>
    <x v="3"/>
    <n v="0"/>
    <n v="0"/>
    <n v="642.28399999999999"/>
    <n v="642.28399999999999"/>
    <n v="642.28399999999999"/>
    <n v="642.28399999999999"/>
    <n v="9346"/>
    <x v="3"/>
    <n v="0"/>
    <n v="0"/>
    <n v="45"/>
    <n v="88"/>
    <n v="0"/>
    <n v="269.37"/>
    <n v="326.47000000000003"/>
    <m/>
    <n v="309.04681568955169"/>
    <n v="327.42656781362894"/>
    <n v="0"/>
    <n v="173012.04108"/>
    <n v="209686.45748000001"/>
    <n v="0"/>
    <n v="198495.82496834802"/>
    <n v="210300.84568160886"/>
  </r>
  <r>
    <s v="Refaturamento - Regular"/>
    <x v="3"/>
    <x v="5"/>
    <x v="7"/>
    <x v="6"/>
    <x v="1"/>
    <x v="0"/>
    <x v="0"/>
    <x v="3"/>
    <n v="0"/>
    <n v="0"/>
    <n v="-3.7919999999999998"/>
    <n v="-3.7919999999999998"/>
    <n v="-3.7919999999999998"/>
    <n v="-3.7919999999999998"/>
    <n v="-7"/>
    <x v="3"/>
    <n v="0"/>
    <n v="0"/>
    <n v="45"/>
    <n v="88"/>
    <n v="0"/>
    <n v="269.37"/>
    <n v="326.47000000000003"/>
    <m/>
    <n v="309.04681568955169"/>
    <n v="327.42656781362894"/>
    <n v="0"/>
    <n v="-1021.4510399999999"/>
    <n v="-1237.97424"/>
    <n v="0"/>
    <n v="-1171.9055250947799"/>
    <n v="-1241.6015451492808"/>
  </r>
  <r>
    <s v="Sistema de Compensação"/>
    <x v="3"/>
    <x v="5"/>
    <x v="7"/>
    <x v="6"/>
    <x v="1"/>
    <x v="0"/>
    <x v="0"/>
    <x v="3"/>
    <n v="0"/>
    <n v="0"/>
    <n v="4.22"/>
    <n v="4.22"/>
    <n v="4.22"/>
    <n v="4.22"/>
    <n v="47"/>
    <x v="3"/>
    <n v="0"/>
    <n v="0"/>
    <n v="45"/>
    <n v="88"/>
    <n v="0"/>
    <n v="269.37"/>
    <n v="326.47000000000003"/>
    <m/>
    <n v="309.04681568955169"/>
    <n v="327.42656781362894"/>
    <n v="0"/>
    <n v="1136.7413999999999"/>
    <n v="1377.7034000000001"/>
    <n v="0"/>
    <n v="1304.177562209908"/>
    <n v="1381.740116173514"/>
  </r>
  <r>
    <s v="Regular"/>
    <x v="3"/>
    <x v="5"/>
    <x v="7"/>
    <x v="6"/>
    <x v="1"/>
    <x v="0"/>
    <x v="0"/>
    <x v="4"/>
    <n v="0"/>
    <n v="0"/>
    <n v="515.21600000000001"/>
    <n v="515.21600000000001"/>
    <n v="515.21600000000001"/>
    <n v="515.21600000000001"/>
    <n v="7642"/>
    <x v="3"/>
    <n v="0"/>
    <n v="0"/>
    <n v="45"/>
    <n v="88"/>
    <n v="0"/>
    <n v="269.37"/>
    <n v="326.47000000000003"/>
    <m/>
    <n v="309.04681568955169"/>
    <n v="327.42656781362894"/>
    <n v="0"/>
    <n v="138783.73392"/>
    <n v="168202.56752000001"/>
    <n v="0"/>
    <n v="159225.86419230807"/>
    <n v="168695.40656266664"/>
  </r>
  <r>
    <s v="Refaturamento - Regular"/>
    <x v="3"/>
    <x v="5"/>
    <x v="7"/>
    <x v="6"/>
    <x v="1"/>
    <x v="0"/>
    <x v="0"/>
    <x v="4"/>
    <n v="0"/>
    <n v="0"/>
    <n v="-0.76200000000000001"/>
    <n v="-0.76200000000000001"/>
    <n v="-0.76200000000000001"/>
    <n v="-0.76200000000000001"/>
    <n v="-3"/>
    <x v="3"/>
    <n v="0"/>
    <n v="0"/>
    <n v="45"/>
    <n v="88"/>
    <n v="0"/>
    <n v="269.37"/>
    <n v="326.47000000000003"/>
    <m/>
    <n v="309.04681568955169"/>
    <n v="327.42656781362894"/>
    <n v="0"/>
    <n v="-205.25994"/>
    <n v="-248.77014000000003"/>
    <n v="0"/>
    <n v="-235.49367355543839"/>
    <n v="-249.49904467398525"/>
  </r>
  <r>
    <s v="Sistema de Compensação"/>
    <x v="3"/>
    <x v="5"/>
    <x v="7"/>
    <x v="6"/>
    <x v="1"/>
    <x v="0"/>
    <x v="0"/>
    <x v="4"/>
    <n v="0"/>
    <n v="0"/>
    <n v="6.4749999999999996"/>
    <n v="6.4749999999999996"/>
    <n v="6.4749999999999996"/>
    <n v="6.4749999999999996"/>
    <n v="55"/>
    <x v="3"/>
    <n v="0"/>
    <n v="0"/>
    <n v="45"/>
    <n v="88"/>
    <n v="0"/>
    <n v="269.37"/>
    <n v="326.47000000000003"/>
    <m/>
    <n v="309.04681568955169"/>
    <n v="327.42656781362894"/>
    <n v="0"/>
    <n v="1744.17075"/>
    <n v="2113.8932500000001"/>
    <n v="0"/>
    <n v="2001.0781315898471"/>
    <n v="2120.0870265932472"/>
  </r>
  <r>
    <s v="Regular"/>
    <x v="3"/>
    <x v="5"/>
    <x v="7"/>
    <x v="6"/>
    <x v="1"/>
    <x v="0"/>
    <x v="0"/>
    <x v="5"/>
    <n v="0"/>
    <n v="0"/>
    <n v="528.21600000000001"/>
    <n v="528.21600000000001"/>
    <n v="528.21600000000001"/>
    <n v="528.21600000000001"/>
    <n v="7959"/>
    <x v="3"/>
    <n v="0"/>
    <n v="0"/>
    <n v="45"/>
    <n v="88"/>
    <n v="0"/>
    <n v="269.37"/>
    <n v="326.47000000000003"/>
    <m/>
    <n v="309.04681568955169"/>
    <n v="327.42656781362894"/>
    <n v="0"/>
    <n v="142285.54392"/>
    <n v="172446.67752000003"/>
    <n v="0"/>
    <n v="163243.47279627225"/>
    <n v="172951.95194424383"/>
  </r>
  <r>
    <s v="Refaturamento - Regular"/>
    <x v="3"/>
    <x v="5"/>
    <x v="7"/>
    <x v="6"/>
    <x v="1"/>
    <x v="0"/>
    <x v="0"/>
    <x v="5"/>
    <n v="0"/>
    <n v="0"/>
    <n v="-0.152"/>
    <n v="-0.152"/>
    <n v="-0.152"/>
    <n v="-0.152"/>
    <n v="-2"/>
    <x v="3"/>
    <n v="0"/>
    <n v="0"/>
    <n v="45"/>
    <n v="88"/>
    <n v="0"/>
    <n v="269.37"/>
    <n v="326.47000000000003"/>
    <m/>
    <n v="309.04681568955169"/>
    <n v="327.42656781362894"/>
    <n v="0"/>
    <n v="-40.944240000000001"/>
    <n v="-49.623440000000002"/>
    <n v="0"/>
    <n v="-46.975115984811858"/>
    <n v="-49.768838307671594"/>
  </r>
  <r>
    <s v="Sistema de Compensação"/>
    <x v="3"/>
    <x v="5"/>
    <x v="7"/>
    <x v="6"/>
    <x v="1"/>
    <x v="0"/>
    <x v="0"/>
    <x v="5"/>
    <n v="0"/>
    <n v="0"/>
    <n v="7.4710000000000001"/>
    <n v="7.4710000000000001"/>
    <n v="7.4710000000000001"/>
    <n v="7.4710000000000001"/>
    <n v="56"/>
    <x v="3"/>
    <n v="0"/>
    <n v="0"/>
    <n v="45"/>
    <n v="88"/>
    <n v="0"/>
    <n v="269.37"/>
    <n v="326.47000000000003"/>
    <m/>
    <n v="309.04681568955169"/>
    <n v="327.42656781362894"/>
    <n v="0"/>
    <n v="2012.46327"/>
    <n v="2439.0573700000004"/>
    <n v="0"/>
    <n v="2308.8887600166408"/>
    <n v="2446.2038881356216"/>
  </r>
  <r>
    <s v="Regular"/>
    <x v="3"/>
    <x v="5"/>
    <x v="7"/>
    <x v="6"/>
    <x v="1"/>
    <x v="0"/>
    <x v="0"/>
    <x v="6"/>
    <n v="0"/>
    <n v="0"/>
    <n v="725.89"/>
    <n v="725.89"/>
    <n v="725.89"/>
    <n v="725.89"/>
    <n v="10407"/>
    <x v="3"/>
    <n v="0"/>
    <n v="0"/>
    <n v="45"/>
    <n v="88"/>
    <n v="0"/>
    <n v="269.37"/>
    <n v="326.47000000000003"/>
    <m/>
    <n v="309.04681568955169"/>
    <n v="327.42656781362894"/>
    <n v="0"/>
    <n v="195532.98929999999"/>
    <n v="236981.3083"/>
    <n v="0"/>
    <n v="224333.99304088869"/>
    <n v="237675.67131023511"/>
  </r>
  <r>
    <s v="Refaturamento - Regular"/>
    <x v="3"/>
    <x v="5"/>
    <x v="7"/>
    <x v="6"/>
    <x v="1"/>
    <x v="0"/>
    <x v="0"/>
    <x v="6"/>
    <n v="0"/>
    <n v="0"/>
    <n v="-3.0390000000000001"/>
    <n v="-3.0390000000000001"/>
    <n v="-3.0390000000000001"/>
    <n v="-3.0390000000000001"/>
    <n v="-8"/>
    <x v="3"/>
    <n v="0"/>
    <n v="0"/>
    <n v="45"/>
    <n v="88"/>
    <n v="0"/>
    <n v="269.37"/>
    <n v="326.47000000000003"/>
    <m/>
    <n v="309.04681568955169"/>
    <n v="327.42656781362894"/>
    <n v="0"/>
    <n v="-818.61543000000006"/>
    <n v="-992.14233000000013"/>
    <n v="0"/>
    <n v="-939.19327288054762"/>
    <n v="-995.04933958561833"/>
  </r>
  <r>
    <s v="Sistema de Compensação"/>
    <x v="3"/>
    <x v="5"/>
    <x v="7"/>
    <x v="6"/>
    <x v="1"/>
    <x v="0"/>
    <x v="0"/>
    <x v="6"/>
    <n v="0"/>
    <n v="0"/>
    <n v="6.5940000000000003"/>
    <n v="6.5940000000000003"/>
    <n v="6.5940000000000003"/>
    <n v="6.5940000000000003"/>
    <n v="76"/>
    <x v="3"/>
    <n v="0"/>
    <n v="0"/>
    <n v="45"/>
    <n v="88"/>
    <n v="0"/>
    <n v="269.37"/>
    <n v="326.47000000000003"/>
    <m/>
    <n v="309.04681568955169"/>
    <n v="327.42656781362894"/>
    <n v="0"/>
    <n v="1776.2257800000002"/>
    <n v="2152.7431800000004"/>
    <n v="0"/>
    <n v="2037.854702656904"/>
    <n v="2159.0507881630692"/>
  </r>
  <r>
    <s v="Regular"/>
    <x v="3"/>
    <x v="5"/>
    <x v="7"/>
    <x v="6"/>
    <x v="1"/>
    <x v="0"/>
    <x v="0"/>
    <x v="7"/>
    <n v="0"/>
    <n v="0"/>
    <n v="737.99099999999999"/>
    <n v="737.99099999999999"/>
    <n v="737.99099999999999"/>
    <n v="737.99099999999999"/>
    <n v="10440"/>
    <x v="3"/>
    <n v="0"/>
    <n v="0"/>
    <n v="45"/>
    <n v="88"/>
    <n v="0"/>
    <n v="269.37"/>
    <n v="326.47000000000003"/>
    <m/>
    <n v="309.04681568955169"/>
    <n v="327.42656781362894"/>
    <n v="0"/>
    <n v="198792.63566999999"/>
    <n v="240931.92177000002"/>
    <n v="0"/>
    <n v="228073.76855754794"/>
    <n v="241637.86020734784"/>
  </r>
  <r>
    <s v="Refaturamento - Regular"/>
    <x v="3"/>
    <x v="5"/>
    <x v="7"/>
    <x v="6"/>
    <x v="1"/>
    <x v="0"/>
    <x v="0"/>
    <x v="7"/>
    <n v="0"/>
    <n v="0"/>
    <n v="-0.34699999999999998"/>
    <n v="-0.34699999999999998"/>
    <n v="-0.34699999999999998"/>
    <n v="-0.34699999999999998"/>
    <n v="-3"/>
    <x v="3"/>
    <n v="0"/>
    <n v="0"/>
    <n v="45"/>
    <n v="88"/>
    <n v="0"/>
    <n v="269.37"/>
    <n v="326.47000000000003"/>
    <m/>
    <n v="309.04681568955169"/>
    <n v="327.42656781362894"/>
    <n v="0"/>
    <n v="-93.47139"/>
    <n v="-113.28509"/>
    <n v="0"/>
    <n v="-107.23924504427443"/>
    <n v="-113.61701903132924"/>
  </r>
  <r>
    <s v="Sistema de Compensação"/>
    <x v="3"/>
    <x v="5"/>
    <x v="7"/>
    <x v="6"/>
    <x v="1"/>
    <x v="0"/>
    <x v="0"/>
    <x v="7"/>
    <n v="0"/>
    <n v="0"/>
    <n v="6.468"/>
    <n v="6.468"/>
    <n v="6.468"/>
    <n v="6.468"/>
    <n v="82"/>
    <x v="3"/>
    <n v="0"/>
    <n v="0"/>
    <n v="45"/>
    <n v="88"/>
    <n v="0"/>
    <n v="269.37"/>
    <n v="326.47000000000003"/>
    <m/>
    <n v="309.04681568955169"/>
    <n v="327.42656781362894"/>
    <n v="0"/>
    <n v="1742.2851600000001"/>
    <n v="2111.6079600000003"/>
    <n v="0"/>
    <n v="1998.9148038800204"/>
    <n v="2117.7950406185519"/>
  </r>
  <r>
    <s v="Regular"/>
    <x v="3"/>
    <x v="5"/>
    <x v="7"/>
    <x v="6"/>
    <x v="1"/>
    <x v="0"/>
    <x v="0"/>
    <x v="8"/>
    <n v="0"/>
    <n v="0"/>
    <n v="661.35900000000004"/>
    <n v="661.35900000000004"/>
    <n v="661.35900000000004"/>
    <n v="661.35900000000004"/>
    <n v="8982"/>
    <x v="3"/>
    <n v="0"/>
    <n v="0"/>
    <n v="45"/>
    <n v="88"/>
    <n v="0"/>
    <n v="269.37"/>
    <n v="326.47000000000003"/>
    <m/>
    <n v="309.04681568955169"/>
    <n v="327.42656781362894"/>
    <n v="0"/>
    <n v="178150.27383000002"/>
    <n v="215913.87273000003"/>
    <n v="0"/>
    <n v="204390.89297762624"/>
    <n v="216546.50746265383"/>
  </r>
  <r>
    <s v="Refaturamento - Regular"/>
    <x v="3"/>
    <x v="5"/>
    <x v="7"/>
    <x v="6"/>
    <x v="1"/>
    <x v="0"/>
    <x v="0"/>
    <x v="8"/>
    <n v="0"/>
    <n v="0"/>
    <n v="-3.1120000000000001"/>
    <n v="-3.1120000000000001"/>
    <n v="-3.1120000000000001"/>
    <n v="-3.1120000000000001"/>
    <n v="-11"/>
    <x v="3"/>
    <n v="0"/>
    <n v="0"/>
    <n v="45"/>
    <n v="88"/>
    <n v="0"/>
    <n v="269.37"/>
    <n v="326.47000000000003"/>
    <m/>
    <n v="309.04681568955169"/>
    <n v="327.42656781362894"/>
    <n v="0"/>
    <n v="-838.27944000000002"/>
    <n v="-1015.9746400000001"/>
    <n v="0"/>
    <n v="-961.75369042588488"/>
    <n v="-1018.9514790360133"/>
  </r>
  <r>
    <s v="Sistema de Compensação"/>
    <x v="3"/>
    <x v="5"/>
    <x v="7"/>
    <x v="6"/>
    <x v="1"/>
    <x v="0"/>
    <x v="0"/>
    <x v="8"/>
    <n v="0"/>
    <n v="0"/>
    <n v="7.89"/>
    <n v="7.89"/>
    <n v="7.89"/>
    <n v="7.89"/>
    <n v="94"/>
    <x v="3"/>
    <n v="0"/>
    <n v="0"/>
    <n v="45"/>
    <n v="88"/>
    <n v="0"/>
    <n v="269.37"/>
    <n v="326.47000000000003"/>
    <m/>
    <n v="309.04681568955169"/>
    <n v="327.42656781362894"/>
    <n v="0"/>
    <n v="2125.3292999999999"/>
    <n v="2575.8483000000001"/>
    <n v="0"/>
    <n v="2438.3793757905628"/>
    <n v="2583.3956200495322"/>
  </r>
  <r>
    <s v="Regular"/>
    <x v="3"/>
    <x v="5"/>
    <x v="7"/>
    <x v="6"/>
    <x v="1"/>
    <x v="0"/>
    <x v="0"/>
    <x v="9"/>
    <n v="0"/>
    <n v="0"/>
    <n v="1014.8150000000001"/>
    <n v="1014.8150000000001"/>
    <n v="1014.8150000000001"/>
    <n v="1014.8150000000001"/>
    <n v="13119"/>
    <x v="3"/>
    <n v="0"/>
    <n v="0"/>
    <n v="45"/>
    <n v="88"/>
    <n v="0"/>
    <n v="269.37"/>
    <n v="326.47000000000003"/>
    <m/>
    <n v="309.04681568955169"/>
    <n v="327.42656781362894"/>
    <n v="0"/>
    <n v="273360.71655000001"/>
    <n v="331306.65305000002"/>
    <n v="0"/>
    <n v="313625.34426399245"/>
    <n v="332277.39241578785"/>
  </r>
  <r>
    <s v="Refaturamento - Regular"/>
    <x v="3"/>
    <x v="5"/>
    <x v="7"/>
    <x v="6"/>
    <x v="1"/>
    <x v="0"/>
    <x v="0"/>
    <x v="9"/>
    <n v="0"/>
    <n v="0"/>
    <n v="-1.018"/>
    <n v="-1.018"/>
    <n v="-1.018"/>
    <n v="-1.018"/>
    <n v="-4"/>
    <x v="3"/>
    <n v="0"/>
    <n v="0"/>
    <n v="45"/>
    <n v="88"/>
    <n v="0"/>
    <n v="269.37"/>
    <n v="326.47000000000003"/>
    <m/>
    <n v="309.04681568955169"/>
    <n v="327.42656781362894"/>
    <n v="0"/>
    <n v="-274.21866"/>
    <n v="-332.34646000000004"/>
    <n v="0"/>
    <n v="-314.60965837196363"/>
    <n v="-333.32024603427425"/>
  </r>
  <r>
    <s v="Sistema de Compensação"/>
    <x v="3"/>
    <x v="5"/>
    <x v="7"/>
    <x v="6"/>
    <x v="1"/>
    <x v="0"/>
    <x v="0"/>
    <x v="9"/>
    <n v="0"/>
    <n v="0"/>
    <n v="8.6530000000000005"/>
    <n v="8.6530000000000005"/>
    <n v="8.6530000000000005"/>
    <n v="8.6530000000000005"/>
    <n v="121"/>
    <x v="3"/>
    <n v="0"/>
    <n v="0"/>
    <n v="45"/>
    <n v="88"/>
    <n v="0"/>
    <n v="269.37"/>
    <n v="326.47000000000003"/>
    <m/>
    <n v="309.04681568955169"/>
    <n v="327.42656781362894"/>
    <n v="0"/>
    <n v="2330.8586100000002"/>
    <n v="2824.9449100000002"/>
    <n v="0"/>
    <n v="2674.1820961616909"/>
    <n v="2833.2220912913313"/>
  </r>
  <r>
    <s v="Sistema de Compensação"/>
    <x v="3"/>
    <x v="5"/>
    <x v="7"/>
    <x v="6"/>
    <x v="1"/>
    <x v="0"/>
    <x v="0"/>
    <x v="9"/>
    <n v="0"/>
    <n v="0"/>
    <n v="-0.42399999999999999"/>
    <n v="-0.42399999999999999"/>
    <n v="-0.42399999999999999"/>
    <n v="-0.42399999999999999"/>
    <n v="-1"/>
    <x v="3"/>
    <n v="0"/>
    <n v="0"/>
    <n v="45"/>
    <n v="88"/>
    <n v="0"/>
    <n v="269.37"/>
    <n v="326.47000000000003"/>
    <m/>
    <n v="309.04681568955169"/>
    <n v="327.42656781362894"/>
    <n v="0"/>
    <n v="-114.21288"/>
    <n v="-138.42328000000001"/>
    <n v="0"/>
    <n v="-131.03584985236992"/>
    <n v="-138.82886475297866"/>
  </r>
  <r>
    <s v="Regular"/>
    <x v="3"/>
    <x v="5"/>
    <x v="7"/>
    <x v="6"/>
    <x v="1"/>
    <x v="0"/>
    <x v="0"/>
    <x v="10"/>
    <n v="0"/>
    <n v="0"/>
    <n v="830.82799999999997"/>
    <n v="830.82799999999997"/>
    <n v="830.82799999999997"/>
    <n v="830.82799999999997"/>
    <n v="11004"/>
    <x v="3"/>
    <n v="0"/>
    <n v="0"/>
    <n v="45"/>
    <n v="88"/>
    <n v="0"/>
    <n v="269.37"/>
    <n v="326.47000000000003"/>
    <m/>
    <n v="309.04681568955169"/>
    <n v="327.42656781362894"/>
    <n v="0"/>
    <n v="223800.13835999998"/>
    <n v="271240.41716000001"/>
    <n v="0"/>
    <n v="256764.74778571885"/>
    <n v="272035.16048346169"/>
  </r>
  <r>
    <s v="Refaturamento - Regular"/>
    <x v="3"/>
    <x v="5"/>
    <x v="7"/>
    <x v="6"/>
    <x v="1"/>
    <x v="0"/>
    <x v="0"/>
    <x v="10"/>
    <n v="0"/>
    <n v="0"/>
    <n v="-1.01"/>
    <n v="-1.01"/>
    <n v="-1.01"/>
    <n v="-1.01"/>
    <n v="-8"/>
    <x v="3"/>
    <n v="0"/>
    <n v="0"/>
    <n v="45"/>
    <n v="88"/>
    <n v="0"/>
    <n v="269.37"/>
    <n v="326.47000000000003"/>
    <m/>
    <n v="309.04681568955169"/>
    <n v="327.42656781362894"/>
    <n v="0"/>
    <n v="-272.06369999999998"/>
    <n v="-329.73470000000003"/>
    <n v="0"/>
    <n v="-312.13728384644719"/>
    <n v="-330.70083349176525"/>
  </r>
  <r>
    <s v="Sistema de Compensação"/>
    <x v="3"/>
    <x v="5"/>
    <x v="7"/>
    <x v="6"/>
    <x v="1"/>
    <x v="0"/>
    <x v="0"/>
    <x v="10"/>
    <n v="0"/>
    <n v="0"/>
    <n v="13.771000000000001"/>
    <n v="13.771000000000001"/>
    <n v="13.771000000000001"/>
    <n v="13.771000000000001"/>
    <n v="134"/>
    <x v="3"/>
    <n v="0"/>
    <n v="0"/>
    <n v="45"/>
    <n v="88"/>
    <n v="0"/>
    <n v="269.37"/>
    <n v="326.47000000000003"/>
    <m/>
    <n v="309.04681568955169"/>
    <n v="327.42656781362894"/>
    <n v="0"/>
    <n v="3709.4942700000001"/>
    <n v="4495.8183700000009"/>
    <n v="0"/>
    <n v="4255.8836988608164"/>
    <n v="4508.9912653614847"/>
  </r>
  <r>
    <s v="PROJETADO"/>
    <x v="3"/>
    <x v="5"/>
    <x v="7"/>
    <x v="6"/>
    <x v="1"/>
    <x v="0"/>
    <x v="0"/>
    <x v="11"/>
    <n v="0"/>
    <n v="0"/>
    <n v="830.82799999999997"/>
    <n v="830.82799999999997"/>
    <n v="830.82799999999997"/>
    <n v="830.82799999999997"/>
    <n v="11004"/>
    <x v="3"/>
    <n v="0"/>
    <n v="0"/>
    <n v="45"/>
    <n v="88"/>
    <n v="0"/>
    <n v="269.37"/>
    <n v="326.47000000000003"/>
    <m/>
    <n v="309.04681568955169"/>
    <n v="327.42656781362894"/>
    <n v="0"/>
    <n v="223800.13835999998"/>
    <n v="271240.41716000001"/>
    <n v="0"/>
    <n v="256764.74778571885"/>
    <n v="272035.16048346169"/>
  </r>
  <r>
    <s v="PROJETADO"/>
    <x v="3"/>
    <x v="5"/>
    <x v="7"/>
    <x v="6"/>
    <x v="1"/>
    <x v="0"/>
    <x v="0"/>
    <x v="11"/>
    <n v="0"/>
    <n v="0"/>
    <n v="-1.01"/>
    <n v="-1.01"/>
    <n v="-1.01"/>
    <n v="-1.01"/>
    <n v="-8"/>
    <x v="3"/>
    <n v="0"/>
    <n v="0"/>
    <n v="45"/>
    <n v="88"/>
    <n v="0"/>
    <n v="269.37"/>
    <n v="326.47000000000003"/>
    <m/>
    <n v="309.04681568955169"/>
    <n v="327.42656781362894"/>
    <n v="0"/>
    <n v="-272.06369999999998"/>
    <n v="-329.73470000000003"/>
    <n v="0"/>
    <n v="-312.13728384644719"/>
    <n v="-330.70083349176525"/>
  </r>
  <r>
    <s v="PROJETADO"/>
    <x v="3"/>
    <x v="5"/>
    <x v="7"/>
    <x v="6"/>
    <x v="1"/>
    <x v="0"/>
    <x v="0"/>
    <x v="11"/>
    <n v="0"/>
    <n v="0"/>
    <n v="13.771000000000001"/>
    <n v="13.771000000000001"/>
    <n v="13.771000000000001"/>
    <n v="13.771000000000001"/>
    <n v="134"/>
    <x v="3"/>
    <n v="0"/>
    <n v="0"/>
    <n v="45"/>
    <n v="88"/>
    <n v="0"/>
    <n v="269.37"/>
    <n v="326.47000000000003"/>
    <m/>
    <n v="309.04681568955169"/>
    <n v="327.42656781362894"/>
    <n v="0"/>
    <n v="3709.4942700000001"/>
    <n v="4495.8183700000009"/>
    <n v="0"/>
    <n v="4255.8836988608164"/>
    <n v="4508.9912653614847"/>
  </r>
  <r>
    <s v="Regular"/>
    <x v="4"/>
    <x v="4"/>
    <x v="4"/>
    <x v="0"/>
    <x v="1"/>
    <x v="0"/>
    <x v="1"/>
    <x v="0"/>
    <n v="0"/>
    <n v="0"/>
    <n v="0.19800000000000001"/>
    <n v="0.19800000000000001"/>
    <n v="0.19800000000000001"/>
    <n v="0.19800000000000001"/>
    <n v="0"/>
    <x v="3"/>
    <n v="0"/>
    <n v="0"/>
    <n v="53"/>
    <n v="96"/>
    <n v="0"/>
    <n v="216.45"/>
    <n v="273.72000000000003"/>
    <m/>
    <n v="305.52778499763087"/>
    <n v="292.47951966517627"/>
    <n v="0"/>
    <n v="42.857100000000003"/>
    <n v="54.196560000000005"/>
    <n v="0"/>
    <n v="60.494501429530914"/>
    <n v="57.910944893704901"/>
  </r>
  <r>
    <s v="Regular"/>
    <x v="4"/>
    <x v="4"/>
    <x v="4"/>
    <x v="0"/>
    <x v="1"/>
    <x v="0"/>
    <x v="1"/>
    <x v="1"/>
    <n v="0"/>
    <n v="0"/>
    <n v="0.501"/>
    <n v="0.501"/>
    <n v="0.501"/>
    <n v="0.501"/>
    <n v="0"/>
    <x v="3"/>
    <n v="0"/>
    <n v="0"/>
    <n v="53"/>
    <n v="96"/>
    <n v="0"/>
    <n v="216.45"/>
    <n v="273.72000000000003"/>
    <m/>
    <n v="305.52778499763087"/>
    <n v="292.47951966517627"/>
    <n v="0"/>
    <n v="108.44144999999999"/>
    <n v="137.13372000000001"/>
    <n v="0"/>
    <n v="153.06942028381306"/>
    <n v="146.5322393522533"/>
  </r>
  <r>
    <s v="Regular"/>
    <x v="4"/>
    <x v="4"/>
    <x v="4"/>
    <x v="0"/>
    <x v="1"/>
    <x v="0"/>
    <x v="1"/>
    <x v="2"/>
    <n v="0"/>
    <n v="0"/>
    <n v="0.252"/>
    <n v="0.252"/>
    <n v="0.252"/>
    <n v="0.252"/>
    <n v="0"/>
    <x v="3"/>
    <n v="0"/>
    <n v="0"/>
    <n v="53"/>
    <n v="96"/>
    <n v="0"/>
    <n v="216.45"/>
    <n v="273.72000000000003"/>
    <m/>
    <n v="305.52778499763087"/>
    <n v="292.47951966517627"/>
    <n v="0"/>
    <n v="54.545400000000001"/>
    <n v="68.977440000000001"/>
    <n v="0"/>
    <n v="76.993001819402977"/>
    <n v="73.704838955624425"/>
  </r>
  <r>
    <s v="Regular"/>
    <x v="4"/>
    <x v="4"/>
    <x v="4"/>
    <x v="0"/>
    <x v="1"/>
    <x v="0"/>
    <x v="1"/>
    <x v="3"/>
    <n v="0"/>
    <n v="0"/>
    <n v="0.47499999999999998"/>
    <n v="0.47499999999999998"/>
    <n v="0.47499999999999998"/>
    <n v="0.47499999999999998"/>
    <n v="0"/>
    <x v="3"/>
    <n v="0"/>
    <n v="0"/>
    <n v="53"/>
    <n v="96"/>
    <n v="0"/>
    <n v="216.45"/>
    <n v="273.72000000000003"/>
    <m/>
    <n v="305.52778499763087"/>
    <n v="292.47951966517627"/>
    <n v="0"/>
    <n v="102.81374999999998"/>
    <n v="130.017"/>
    <n v="0"/>
    <n v="145.12569787387466"/>
    <n v="138.92777184095871"/>
  </r>
  <r>
    <s v="Regular"/>
    <x v="4"/>
    <x v="4"/>
    <x v="4"/>
    <x v="0"/>
    <x v="1"/>
    <x v="0"/>
    <x v="1"/>
    <x v="4"/>
    <n v="0"/>
    <n v="0"/>
    <n v="0.63600000000000001"/>
    <n v="0.63600000000000001"/>
    <n v="0.63600000000000001"/>
    <n v="0.63600000000000001"/>
    <n v="0"/>
    <x v="3"/>
    <n v="0"/>
    <n v="0"/>
    <n v="53"/>
    <n v="96"/>
    <n v="0"/>
    <n v="216.45"/>
    <n v="273.72000000000003"/>
    <m/>
    <n v="305.52778499763087"/>
    <n v="292.47951966517627"/>
    <n v="0"/>
    <n v="137.66219999999998"/>
    <n v="174.08592000000002"/>
    <n v="0"/>
    <n v="194.31567125849324"/>
    <n v="186.01697450705211"/>
  </r>
  <r>
    <s v="Regular"/>
    <x v="4"/>
    <x v="4"/>
    <x v="4"/>
    <x v="0"/>
    <x v="1"/>
    <x v="0"/>
    <x v="1"/>
    <x v="5"/>
    <n v="0"/>
    <n v="0"/>
    <n v="4.8179999999999996"/>
    <n v="4.8179999999999996"/>
    <n v="4.8179999999999996"/>
    <n v="4.8179999999999996"/>
    <n v="0"/>
    <x v="3"/>
    <n v="0"/>
    <n v="0"/>
    <n v="53"/>
    <n v="96"/>
    <n v="0"/>
    <n v="216.45"/>
    <n v="273.72000000000003"/>
    <m/>
    <n v="305.52778499763087"/>
    <n v="292.47951966517627"/>
    <n v="0"/>
    <n v="1042.8561"/>
    <n v="1318.78296"/>
    <n v="0"/>
    <n v="1472.0328681185854"/>
    <n v="1409.1663257468192"/>
  </r>
  <r>
    <s v="Regular"/>
    <x v="4"/>
    <x v="4"/>
    <x v="4"/>
    <x v="0"/>
    <x v="1"/>
    <x v="0"/>
    <x v="1"/>
    <x v="6"/>
    <n v="0"/>
    <n v="0"/>
    <n v="2.1040000000000001"/>
    <n v="2.1040000000000001"/>
    <n v="2.1040000000000001"/>
    <n v="2.1040000000000001"/>
    <n v="0"/>
    <x v="3"/>
    <n v="0"/>
    <n v="0"/>
    <n v="53"/>
    <n v="96"/>
    <n v="0"/>
    <n v="216.45"/>
    <n v="273.72000000000003"/>
    <m/>
    <n v="305.52778499763087"/>
    <n v="292.47951966517627"/>
    <n v="0"/>
    <n v="455.41079999999999"/>
    <n v="575.90688000000011"/>
    <n v="0"/>
    <n v="642.83045963501536"/>
    <n v="615.37690937553089"/>
  </r>
  <r>
    <s v="Regular"/>
    <x v="4"/>
    <x v="4"/>
    <x v="4"/>
    <x v="0"/>
    <x v="1"/>
    <x v="0"/>
    <x v="1"/>
    <x v="7"/>
    <n v="0"/>
    <n v="0"/>
    <n v="0.48199999999999998"/>
    <n v="0.48199999999999998"/>
    <n v="0.48199999999999998"/>
    <n v="0.48199999999999998"/>
    <n v="0"/>
    <x v="3"/>
    <n v="0"/>
    <n v="0"/>
    <n v="53"/>
    <n v="96"/>
    <n v="0"/>
    <n v="216.45"/>
    <n v="273.72000000000003"/>
    <m/>
    <n v="305.52778499763087"/>
    <n v="292.47951966517627"/>
    <n v="0"/>
    <n v="104.32889999999999"/>
    <n v="131.93304000000001"/>
    <n v="0"/>
    <n v="147.26439236885807"/>
    <n v="140.97512847861495"/>
  </r>
  <r>
    <s v="Refaturamento - Regular"/>
    <x v="4"/>
    <x v="4"/>
    <x v="4"/>
    <x v="0"/>
    <x v="1"/>
    <x v="0"/>
    <x v="1"/>
    <x v="7"/>
    <n v="0"/>
    <n v="0"/>
    <n v="-5.9160000000000004"/>
    <n v="-5.9160000000000004"/>
    <n v="-5.9160000000000004"/>
    <n v="-5.9160000000000004"/>
    <n v="0"/>
    <x v="3"/>
    <n v="0"/>
    <n v="0"/>
    <n v="53"/>
    <n v="96"/>
    <n v="0"/>
    <n v="216.45"/>
    <n v="273.72000000000003"/>
    <m/>
    <n v="305.52778499763087"/>
    <n v="292.47951966517627"/>
    <n v="0"/>
    <n v="-1280.5182"/>
    <n v="-1619.3275200000003"/>
    <n v="0"/>
    <n v="-1807.5023760459844"/>
    <n v="-1730.308838339183"/>
  </r>
  <r>
    <s v="Regular"/>
    <x v="4"/>
    <x v="4"/>
    <x v="4"/>
    <x v="0"/>
    <x v="1"/>
    <x v="0"/>
    <x v="1"/>
    <x v="8"/>
    <n v="0"/>
    <n v="0"/>
    <n v="0.26800000000000002"/>
    <n v="0.26800000000000002"/>
    <n v="0.26800000000000002"/>
    <n v="0.26800000000000002"/>
    <n v="0"/>
    <x v="3"/>
    <n v="0"/>
    <n v="0"/>
    <n v="53"/>
    <n v="96"/>
    <n v="0"/>
    <n v="216.45"/>
    <n v="273.72000000000003"/>
    <m/>
    <n v="305.52778499763087"/>
    <n v="292.47951966517627"/>
    <n v="0"/>
    <n v="58.008600000000001"/>
    <n v="73.356960000000015"/>
    <n v="0"/>
    <n v="81.881446379365073"/>
    <n v="78.38451127026724"/>
  </r>
  <r>
    <s v="Regular"/>
    <x v="4"/>
    <x v="4"/>
    <x v="4"/>
    <x v="0"/>
    <x v="1"/>
    <x v="0"/>
    <x v="1"/>
    <x v="9"/>
    <n v="0"/>
    <n v="0"/>
    <n v="0.42599999999999999"/>
    <n v="0.42599999999999999"/>
    <n v="0.42599999999999999"/>
    <n v="0.42599999999999999"/>
    <n v="0"/>
    <x v="3"/>
    <n v="0"/>
    <n v="0"/>
    <n v="53"/>
    <n v="96"/>
    <n v="0"/>
    <n v="216.45"/>
    <n v="273.72000000000003"/>
    <m/>
    <n v="305.52778499763087"/>
    <n v="292.47951966517627"/>
    <n v="0"/>
    <n v="92.207699999999988"/>
    <n v="116.60472000000001"/>
    <n v="0"/>
    <n v="130.15483640899075"/>
    <n v="124.59627537736509"/>
  </r>
  <r>
    <s v="Regular"/>
    <x v="4"/>
    <x v="4"/>
    <x v="4"/>
    <x v="0"/>
    <x v="1"/>
    <x v="0"/>
    <x v="1"/>
    <x v="10"/>
    <n v="0"/>
    <n v="0"/>
    <n v="0.44500000000000001"/>
    <n v="0.44500000000000001"/>
    <n v="0.44500000000000001"/>
    <n v="0.44500000000000001"/>
    <n v="0"/>
    <x v="3"/>
    <n v="0"/>
    <n v="0"/>
    <n v="53"/>
    <n v="96"/>
    <n v="0"/>
    <n v="216.45"/>
    <n v="273.72000000000003"/>
    <m/>
    <n v="305.52778499763087"/>
    <n v="292.47951966517627"/>
    <n v="0"/>
    <n v="96.320250000000001"/>
    <n v="121.80540000000002"/>
    <n v="0"/>
    <n v="135.95986432394574"/>
    <n v="130.15338625100344"/>
  </r>
  <r>
    <s v="PROJETADO"/>
    <x v="4"/>
    <x v="4"/>
    <x v="4"/>
    <x v="0"/>
    <x v="1"/>
    <x v="0"/>
    <x v="1"/>
    <x v="11"/>
    <n v="0"/>
    <n v="0"/>
    <n v="0.44500000000000001"/>
    <n v="0.44500000000000001"/>
    <n v="0.44500000000000001"/>
    <n v="0.44500000000000001"/>
    <n v="0"/>
    <x v="3"/>
    <n v="0"/>
    <n v="0"/>
    <n v="53"/>
    <n v="96"/>
    <n v="0"/>
    <n v="216.45"/>
    <n v="273.72000000000003"/>
    <m/>
    <n v="305.52778499763087"/>
    <n v="292.47951966517627"/>
    <n v="0"/>
    <n v="96.320250000000001"/>
    <n v="121.80540000000002"/>
    <n v="0"/>
    <n v="135.95986432394574"/>
    <n v="130.15338625100344"/>
  </r>
  <r>
    <s v="Regular"/>
    <x v="4"/>
    <x v="4"/>
    <x v="4"/>
    <x v="0"/>
    <x v="1"/>
    <x v="0"/>
    <x v="3"/>
    <x v="0"/>
    <n v="0"/>
    <n v="0"/>
    <n v="3.0000000000000001E-3"/>
    <n v="3.0000000000000001E-3"/>
    <n v="3.0000000000000001E-3"/>
    <n v="3.0000000000000001E-3"/>
    <n v="0"/>
    <x v="3"/>
    <n v="0"/>
    <n v="0"/>
    <n v="52"/>
    <n v="95"/>
    <n v="0"/>
    <n v="441.63"/>
    <n v="273.72000000000003"/>
    <m/>
    <n v="583.14626607337254"/>
    <n v="292.47951966517627"/>
    <n v="0"/>
    <n v="1.3248900000000001"/>
    <n v="0.82116000000000011"/>
    <n v="0"/>
    <n v="1.7494387982201176"/>
    <n v="0.87743855899552881"/>
  </r>
  <r>
    <s v="Regular"/>
    <x v="4"/>
    <x v="4"/>
    <x v="4"/>
    <x v="0"/>
    <x v="1"/>
    <x v="0"/>
    <x v="3"/>
    <x v="1"/>
    <n v="0"/>
    <n v="0"/>
    <n v="3.2000000000000001E-2"/>
    <n v="3.2000000000000001E-2"/>
    <n v="3.2000000000000001E-2"/>
    <n v="3.2000000000000001E-2"/>
    <n v="0"/>
    <x v="3"/>
    <n v="0"/>
    <n v="0"/>
    <n v="52"/>
    <n v="95"/>
    <n v="0"/>
    <n v="441.63"/>
    <n v="273.72000000000003"/>
    <m/>
    <n v="583.14626607337254"/>
    <n v="292.47951966517627"/>
    <n v="0"/>
    <n v="14.132160000000001"/>
    <n v="8.7590400000000006"/>
    <n v="0"/>
    <n v="18.660680514347924"/>
    <n v="9.3593446292856406"/>
  </r>
  <r>
    <s v="Regular"/>
    <x v="4"/>
    <x v="4"/>
    <x v="4"/>
    <x v="0"/>
    <x v="1"/>
    <x v="0"/>
    <x v="3"/>
    <x v="2"/>
    <n v="0"/>
    <n v="0"/>
    <n v="7.0000000000000001E-3"/>
    <n v="7.0000000000000001E-3"/>
    <n v="7.0000000000000001E-3"/>
    <n v="7.0000000000000001E-3"/>
    <n v="0"/>
    <x v="3"/>
    <n v="0"/>
    <n v="0"/>
    <n v="52"/>
    <n v="95"/>
    <n v="0"/>
    <n v="441.63"/>
    <n v="273.72000000000003"/>
    <m/>
    <n v="583.14626607337254"/>
    <n v="292.47951966517627"/>
    <n v="0"/>
    <n v="3.0914100000000002"/>
    <n v="1.9160400000000002"/>
    <n v="0"/>
    <n v="4.0820238625136076"/>
    <n v="2.0473566376562338"/>
  </r>
  <r>
    <s v="Regular"/>
    <x v="4"/>
    <x v="4"/>
    <x v="4"/>
    <x v="0"/>
    <x v="1"/>
    <x v="0"/>
    <x v="3"/>
    <x v="3"/>
    <n v="0"/>
    <n v="0"/>
    <n v="2.9000000000000001E-2"/>
    <n v="2.9000000000000001E-2"/>
    <n v="2.9000000000000001E-2"/>
    <n v="2.9000000000000001E-2"/>
    <n v="0"/>
    <x v="3"/>
    <n v="0"/>
    <n v="0"/>
    <n v="52"/>
    <n v="95"/>
    <n v="0"/>
    <n v="441.63"/>
    <n v="273.72000000000003"/>
    <m/>
    <n v="583.14626607337254"/>
    <n v="292.47951966517627"/>
    <n v="0"/>
    <n v="12.807270000000001"/>
    <n v="7.9378800000000016"/>
    <n v="0"/>
    <n v="16.911241716127805"/>
    <n v="8.4819060702901119"/>
  </r>
  <r>
    <s v="Regular"/>
    <x v="4"/>
    <x v="4"/>
    <x v="4"/>
    <x v="0"/>
    <x v="1"/>
    <x v="0"/>
    <x v="3"/>
    <x v="4"/>
    <n v="0"/>
    <n v="0"/>
    <n v="3.5000000000000003E-2"/>
    <n v="3.5000000000000003E-2"/>
    <n v="3.5000000000000003E-2"/>
    <n v="3.5000000000000003E-2"/>
    <n v="0"/>
    <x v="3"/>
    <n v="0"/>
    <n v="0"/>
    <n v="52"/>
    <n v="95"/>
    <n v="0"/>
    <n v="441.63"/>
    <n v="273.72000000000003"/>
    <m/>
    <n v="583.14626607337254"/>
    <n v="292.47951966517627"/>
    <n v="0"/>
    <n v="15.457050000000001"/>
    <n v="9.5802000000000014"/>
    <n v="0"/>
    <n v="20.410119312568042"/>
    <n v="10.236783188281171"/>
  </r>
  <r>
    <s v="Regular"/>
    <x v="4"/>
    <x v="4"/>
    <x v="4"/>
    <x v="0"/>
    <x v="1"/>
    <x v="0"/>
    <x v="3"/>
    <x v="5"/>
    <n v="0"/>
    <n v="0"/>
    <n v="7.0000000000000001E-3"/>
    <n v="7.0000000000000001E-3"/>
    <n v="7.0000000000000001E-3"/>
    <n v="7.0000000000000001E-3"/>
    <n v="0"/>
    <x v="3"/>
    <n v="0"/>
    <n v="0"/>
    <n v="52"/>
    <n v="95"/>
    <n v="0"/>
    <n v="441.63"/>
    <n v="273.72000000000003"/>
    <m/>
    <n v="583.14626607337254"/>
    <n v="292.47951966517627"/>
    <n v="0"/>
    <n v="3.0914100000000002"/>
    <n v="1.9160400000000002"/>
    <n v="0"/>
    <n v="4.0820238625136076"/>
    <n v="2.0473566376562338"/>
  </r>
  <r>
    <s v="Regular"/>
    <x v="4"/>
    <x v="4"/>
    <x v="4"/>
    <x v="0"/>
    <x v="1"/>
    <x v="0"/>
    <x v="3"/>
    <x v="6"/>
    <n v="0"/>
    <n v="0"/>
    <n v="0.01"/>
    <n v="0.01"/>
    <n v="0.01"/>
    <n v="0.01"/>
    <n v="0"/>
    <x v="3"/>
    <n v="0"/>
    <n v="0"/>
    <n v="52"/>
    <n v="95"/>
    <n v="0"/>
    <n v="441.63"/>
    <n v="273.72000000000003"/>
    <m/>
    <n v="583.14626607337254"/>
    <n v="292.47951966517627"/>
    <n v="0"/>
    <n v="4.4162999999999997"/>
    <n v="2.7372000000000005"/>
    <n v="0"/>
    <n v="5.8314626607337257"/>
    <n v="2.9247951966517629"/>
  </r>
  <r>
    <s v="Regular"/>
    <x v="4"/>
    <x v="4"/>
    <x v="4"/>
    <x v="0"/>
    <x v="1"/>
    <x v="0"/>
    <x v="3"/>
    <x v="7"/>
    <n v="0"/>
    <n v="0"/>
    <n v="2.5999999999999999E-2"/>
    <n v="2.5999999999999999E-2"/>
    <n v="2.5999999999999999E-2"/>
    <n v="2.5999999999999999E-2"/>
    <n v="0"/>
    <x v="3"/>
    <n v="0"/>
    <n v="0"/>
    <n v="52"/>
    <n v="95"/>
    <n v="0"/>
    <n v="441.63"/>
    <n v="273.72000000000003"/>
    <m/>
    <n v="583.14626607337254"/>
    <n v="292.47951966517627"/>
    <n v="0"/>
    <n v="11.482379999999999"/>
    <n v="7.1167200000000008"/>
    <n v="0"/>
    <n v="15.161802917907686"/>
    <n v="7.6044675112945823"/>
  </r>
  <r>
    <s v="Refaturamento - Regular"/>
    <x v="4"/>
    <x v="4"/>
    <x v="4"/>
    <x v="0"/>
    <x v="1"/>
    <x v="0"/>
    <x v="3"/>
    <x v="7"/>
    <n v="0"/>
    <n v="0"/>
    <n v="0.04"/>
    <n v="0.04"/>
    <n v="0.04"/>
    <n v="0.04"/>
    <n v="0"/>
    <x v="3"/>
    <n v="0"/>
    <n v="0"/>
    <n v="52"/>
    <n v="95"/>
    <n v="0"/>
    <n v="441.63"/>
    <n v="273.72000000000003"/>
    <m/>
    <n v="583.14626607337254"/>
    <n v="292.47951966517627"/>
    <n v="0"/>
    <n v="17.665199999999999"/>
    <n v="10.948800000000002"/>
    <n v="0"/>
    <n v="23.325850642934903"/>
    <n v="11.699180786607052"/>
  </r>
  <r>
    <s v="Regular"/>
    <x v="4"/>
    <x v="4"/>
    <x v="4"/>
    <x v="0"/>
    <x v="1"/>
    <x v="0"/>
    <x v="3"/>
    <x v="8"/>
    <n v="0"/>
    <n v="0"/>
    <n v="1.4E-2"/>
    <n v="1.4E-2"/>
    <n v="1.4E-2"/>
    <n v="1.4E-2"/>
    <n v="0"/>
    <x v="3"/>
    <n v="0"/>
    <n v="0"/>
    <n v="52"/>
    <n v="95"/>
    <n v="0"/>
    <n v="441.63"/>
    <n v="273.72000000000003"/>
    <m/>
    <n v="583.14626607337254"/>
    <n v="292.47951966517627"/>
    <n v="0"/>
    <n v="6.1828200000000004"/>
    <n v="3.8320800000000004"/>
    <n v="0"/>
    <n v="8.1640477250272152"/>
    <n v="4.0947132753124675"/>
  </r>
  <r>
    <s v="Regular"/>
    <x v="4"/>
    <x v="4"/>
    <x v="4"/>
    <x v="0"/>
    <x v="1"/>
    <x v="0"/>
    <x v="3"/>
    <x v="9"/>
    <n v="0"/>
    <n v="0"/>
    <n v="2.3E-2"/>
    <n v="2.3E-2"/>
    <n v="2.3E-2"/>
    <n v="2.3E-2"/>
    <n v="0"/>
    <x v="3"/>
    <n v="0"/>
    <n v="0"/>
    <n v="52"/>
    <n v="95"/>
    <n v="0"/>
    <n v="441.63"/>
    <n v="273.72000000000003"/>
    <m/>
    <n v="583.14626607337254"/>
    <n v="292.47951966517627"/>
    <n v="0"/>
    <n v="10.157489999999999"/>
    <n v="6.2955600000000009"/>
    <n v="0"/>
    <n v="13.412364119687568"/>
    <n v="6.7270289522990545"/>
  </r>
  <r>
    <s v="Regular"/>
    <x v="4"/>
    <x v="4"/>
    <x v="4"/>
    <x v="0"/>
    <x v="1"/>
    <x v="0"/>
    <x v="3"/>
    <x v="10"/>
    <n v="0"/>
    <n v="0"/>
    <n v="2.5000000000000001E-2"/>
    <n v="2.5000000000000001E-2"/>
    <n v="2.5000000000000001E-2"/>
    <n v="2.5000000000000001E-2"/>
    <n v="0"/>
    <x v="3"/>
    <n v="0"/>
    <n v="0"/>
    <n v="52"/>
    <n v="95"/>
    <n v="0"/>
    <n v="441.63"/>
    <n v="273.72000000000003"/>
    <m/>
    <n v="583.14626607337254"/>
    <n v="292.47951966517627"/>
    <n v="0"/>
    <n v="11.040750000000001"/>
    <n v="6.8430000000000009"/>
    <n v="0"/>
    <n v="14.578656651834315"/>
    <n v="7.3119879916294073"/>
  </r>
  <r>
    <s v="PROJETADO"/>
    <x v="4"/>
    <x v="4"/>
    <x v="4"/>
    <x v="0"/>
    <x v="1"/>
    <x v="0"/>
    <x v="3"/>
    <x v="11"/>
    <n v="0"/>
    <n v="0"/>
    <n v="2.5000000000000001E-2"/>
    <n v="2.5000000000000001E-2"/>
    <n v="2.5000000000000001E-2"/>
    <n v="2.5000000000000001E-2"/>
    <n v="0"/>
    <x v="3"/>
    <n v="0"/>
    <n v="0"/>
    <n v="52"/>
    <n v="95"/>
    <n v="0"/>
    <n v="441.63"/>
    <n v="273.72000000000003"/>
    <m/>
    <n v="583.14626607337254"/>
    <n v="292.47951966517627"/>
    <n v="0"/>
    <n v="11.040750000000001"/>
    <n v="6.8430000000000009"/>
    <n v="0"/>
    <n v="14.578656651834315"/>
    <n v="7.3119879916294073"/>
  </r>
  <r>
    <s v="Regular"/>
    <x v="4"/>
    <x v="4"/>
    <x v="4"/>
    <x v="0"/>
    <x v="1"/>
    <x v="0"/>
    <x v="2"/>
    <x v="1"/>
    <n v="0"/>
    <n v="0"/>
    <n v="0.06"/>
    <n v="0.06"/>
    <n v="0.06"/>
    <n v="0.06"/>
    <n v="0"/>
    <x v="3"/>
    <n v="0"/>
    <n v="0"/>
    <n v="51"/>
    <n v="94"/>
    <n v="0"/>
    <n v="666.8"/>
    <n v="436.61"/>
    <m/>
    <n v="860.76475851913574"/>
    <n v="476.09696862079443"/>
    <n v="0"/>
    <n v="40.007999999999996"/>
    <n v="26.1966"/>
    <n v="0"/>
    <n v="51.645885511148144"/>
    <n v="28.565818117247666"/>
  </r>
  <r>
    <s v="Regular"/>
    <x v="4"/>
    <x v="4"/>
    <x v="4"/>
    <x v="0"/>
    <x v="1"/>
    <x v="0"/>
    <x v="2"/>
    <x v="2"/>
    <n v="0"/>
    <n v="0"/>
    <n v="1.4999999999999999E-2"/>
    <n v="1.4999999999999999E-2"/>
    <n v="1.4999999999999999E-2"/>
    <n v="1.4999999999999999E-2"/>
    <n v="0"/>
    <x v="3"/>
    <n v="0"/>
    <n v="0"/>
    <n v="51"/>
    <n v="94"/>
    <n v="0"/>
    <n v="666.8"/>
    <n v="436.61"/>
    <m/>
    <n v="860.76475851913574"/>
    <n v="476.09696862079443"/>
    <n v="0"/>
    <n v="10.001999999999999"/>
    <n v="6.54915"/>
    <n v="0"/>
    <n v="12.911471377787036"/>
    <n v="7.1414545293119165"/>
  </r>
  <r>
    <s v="Regular"/>
    <x v="4"/>
    <x v="4"/>
    <x v="4"/>
    <x v="0"/>
    <x v="1"/>
    <x v="0"/>
    <x v="2"/>
    <x v="3"/>
    <n v="0"/>
    <n v="0"/>
    <n v="5.3999999999999999E-2"/>
    <n v="5.3999999999999999E-2"/>
    <n v="5.3999999999999999E-2"/>
    <n v="5.3999999999999999E-2"/>
    <n v="0"/>
    <x v="3"/>
    <n v="0"/>
    <n v="0"/>
    <n v="51"/>
    <n v="94"/>
    <n v="0"/>
    <n v="666.8"/>
    <n v="436.61"/>
    <m/>
    <n v="860.76475851913574"/>
    <n v="476.09696862079443"/>
    <n v="0"/>
    <n v="36.007199999999997"/>
    <n v="23.57694"/>
    <n v="0"/>
    <n v="46.481296960033326"/>
    <n v="25.7092363055229"/>
  </r>
  <r>
    <s v="Regular"/>
    <x v="4"/>
    <x v="4"/>
    <x v="4"/>
    <x v="0"/>
    <x v="1"/>
    <x v="0"/>
    <x v="2"/>
    <x v="4"/>
    <n v="0"/>
    <n v="0"/>
    <n v="5.8000000000000003E-2"/>
    <n v="5.8000000000000003E-2"/>
    <n v="5.8000000000000003E-2"/>
    <n v="5.8000000000000003E-2"/>
    <n v="0"/>
    <x v="3"/>
    <n v="0"/>
    <n v="0"/>
    <n v="51"/>
    <n v="94"/>
    <n v="0"/>
    <n v="666.8"/>
    <n v="436.61"/>
    <m/>
    <n v="860.76475851913574"/>
    <n v="476.09696862079443"/>
    <n v="0"/>
    <n v="38.674399999999999"/>
    <n v="25.323380000000004"/>
    <n v="0"/>
    <n v="49.924355994109874"/>
    <n v="27.613624180006077"/>
  </r>
  <r>
    <s v="Regular"/>
    <x v="4"/>
    <x v="4"/>
    <x v="4"/>
    <x v="0"/>
    <x v="1"/>
    <x v="0"/>
    <x v="2"/>
    <x v="5"/>
    <n v="0"/>
    <n v="0"/>
    <n v="0.64300000000000002"/>
    <n v="0.64300000000000002"/>
    <n v="0.64300000000000002"/>
    <n v="0.64300000000000002"/>
    <n v="0"/>
    <x v="3"/>
    <n v="0"/>
    <n v="0"/>
    <n v="51"/>
    <n v="94"/>
    <n v="0"/>
    <n v="666.8"/>
    <n v="436.61"/>
    <m/>
    <n v="860.76475851913574"/>
    <n v="476.09696862079443"/>
    <n v="0"/>
    <n v="428.75239999999997"/>
    <n v="280.74023"/>
    <n v="0"/>
    <n v="553.47173972780433"/>
    <n v="306.13035082317083"/>
  </r>
  <r>
    <s v="Regular"/>
    <x v="4"/>
    <x v="4"/>
    <x v="4"/>
    <x v="0"/>
    <x v="1"/>
    <x v="0"/>
    <x v="2"/>
    <x v="6"/>
    <n v="0"/>
    <n v="0"/>
    <n v="7.4999999999999997E-2"/>
    <n v="7.4999999999999997E-2"/>
    <n v="7.4999999999999997E-2"/>
    <n v="7.4999999999999997E-2"/>
    <n v="0"/>
    <x v="3"/>
    <n v="0"/>
    <n v="0"/>
    <n v="51"/>
    <n v="94"/>
    <n v="0"/>
    <n v="666.8"/>
    <n v="436.61"/>
    <m/>
    <n v="860.76475851913574"/>
    <n v="476.09696862079443"/>
    <n v="0"/>
    <n v="50.01"/>
    <n v="32.745750000000001"/>
    <n v="0"/>
    <n v="64.557356888935175"/>
    <n v="35.707272646559581"/>
  </r>
  <r>
    <s v="Regular"/>
    <x v="4"/>
    <x v="4"/>
    <x v="4"/>
    <x v="0"/>
    <x v="1"/>
    <x v="0"/>
    <x v="2"/>
    <x v="7"/>
    <n v="0"/>
    <n v="0"/>
    <n v="4.8000000000000001E-2"/>
    <n v="4.8000000000000001E-2"/>
    <n v="4.8000000000000001E-2"/>
    <n v="4.8000000000000001E-2"/>
    <n v="0"/>
    <x v="3"/>
    <n v="0"/>
    <n v="0"/>
    <n v="51"/>
    <n v="94"/>
    <n v="0"/>
    <n v="666.8"/>
    <n v="436.61"/>
    <m/>
    <n v="860.76475851913574"/>
    <n v="476.09696862079443"/>
    <n v="0"/>
    <n v="32.006399999999999"/>
    <n v="20.957280000000001"/>
    <n v="0"/>
    <n v="41.316708408918515"/>
    <n v="22.852654493798134"/>
  </r>
  <r>
    <s v="Refaturamento - Regular"/>
    <x v="4"/>
    <x v="4"/>
    <x v="4"/>
    <x v="0"/>
    <x v="1"/>
    <x v="0"/>
    <x v="2"/>
    <x v="7"/>
    <n v="0"/>
    <n v="0"/>
    <n v="-0.61699999999999999"/>
    <n v="-0.61699999999999999"/>
    <n v="-0.61699999999999999"/>
    <n v="-0.61699999999999999"/>
    <n v="0"/>
    <x v="3"/>
    <n v="0"/>
    <n v="0"/>
    <n v="51"/>
    <n v="94"/>
    <n v="0"/>
    <n v="666.8"/>
    <n v="436.61"/>
    <m/>
    <n v="860.76475851913574"/>
    <n v="476.09696862079443"/>
    <n v="0"/>
    <n v="-411.41559999999998"/>
    <n v="-269.38837000000001"/>
    <n v="0"/>
    <n v="-531.09185600630678"/>
    <n v="-293.75182963903018"/>
  </r>
  <r>
    <s v="Regular"/>
    <x v="4"/>
    <x v="4"/>
    <x v="4"/>
    <x v="0"/>
    <x v="1"/>
    <x v="0"/>
    <x v="2"/>
    <x v="8"/>
    <n v="0"/>
    <n v="0"/>
    <n v="3.1E-2"/>
    <n v="3.1E-2"/>
    <n v="3.1E-2"/>
    <n v="3.1E-2"/>
    <n v="0"/>
    <x v="3"/>
    <n v="0"/>
    <n v="0"/>
    <n v="51"/>
    <n v="94"/>
    <n v="0"/>
    <n v="666.8"/>
    <n v="436.61"/>
    <m/>
    <n v="860.76475851913574"/>
    <n v="476.09696862079443"/>
    <n v="0"/>
    <n v="20.6708"/>
    <n v="13.53491"/>
    <n v="0"/>
    <n v="26.683707514093207"/>
    <n v="14.759006027244627"/>
  </r>
  <r>
    <s v="Regular"/>
    <x v="4"/>
    <x v="4"/>
    <x v="4"/>
    <x v="0"/>
    <x v="1"/>
    <x v="0"/>
    <x v="2"/>
    <x v="9"/>
    <n v="0"/>
    <n v="0"/>
    <n v="4.1000000000000002E-2"/>
    <n v="4.1000000000000002E-2"/>
    <n v="4.1000000000000002E-2"/>
    <n v="4.1000000000000002E-2"/>
    <n v="0"/>
    <x v="3"/>
    <n v="0"/>
    <n v="0"/>
    <n v="51"/>
    <n v="94"/>
    <n v="0"/>
    <n v="666.8"/>
    <n v="436.61"/>
    <m/>
    <n v="860.76475851913574"/>
    <n v="476.09696862079443"/>
    <n v="0"/>
    <n v="27.338799999999999"/>
    <n v="17.901010000000003"/>
    <n v="0"/>
    <n v="35.291355099284566"/>
    <n v="19.519975713452574"/>
  </r>
  <r>
    <s v="Regular"/>
    <x v="4"/>
    <x v="4"/>
    <x v="4"/>
    <x v="0"/>
    <x v="1"/>
    <x v="0"/>
    <x v="2"/>
    <x v="10"/>
    <n v="0"/>
    <n v="0"/>
    <n v="4.3999999999999997E-2"/>
    <n v="4.3999999999999997E-2"/>
    <n v="4.3999999999999997E-2"/>
    <n v="4.3999999999999997E-2"/>
    <n v="0"/>
    <x v="3"/>
    <n v="0"/>
    <n v="0"/>
    <n v="51"/>
    <n v="94"/>
    <n v="0"/>
    <n v="666.8"/>
    <n v="436.61"/>
    <m/>
    <n v="860.76475851913574"/>
    <n v="476.09696862079443"/>
    <n v="0"/>
    <n v="29.339199999999995"/>
    <n v="19.210840000000001"/>
    <n v="0"/>
    <n v="37.873649374841968"/>
    <n v="20.948266619314953"/>
  </r>
  <r>
    <s v="PROJETADO"/>
    <x v="4"/>
    <x v="4"/>
    <x v="4"/>
    <x v="0"/>
    <x v="1"/>
    <x v="0"/>
    <x v="2"/>
    <x v="11"/>
    <n v="0"/>
    <n v="0"/>
    <n v="4.3999999999999997E-2"/>
    <n v="4.3999999999999997E-2"/>
    <n v="4.3999999999999997E-2"/>
    <n v="4.3999999999999997E-2"/>
    <n v="0"/>
    <x v="3"/>
    <n v="0"/>
    <n v="0"/>
    <n v="51"/>
    <n v="94"/>
    <n v="0"/>
    <n v="666.8"/>
    <n v="436.61"/>
    <m/>
    <n v="860.76475851913574"/>
    <n v="476.09696862079443"/>
    <n v="0"/>
    <n v="29.339199999999995"/>
    <n v="19.210840000000001"/>
    <n v="0"/>
    <n v="37.873649374841968"/>
    <n v="20.948266619314953"/>
  </r>
  <r>
    <s v="Regular"/>
    <x v="4"/>
    <x v="5"/>
    <x v="4"/>
    <x v="7"/>
    <x v="3"/>
    <x v="0"/>
    <x v="0"/>
    <x v="0"/>
    <n v="0"/>
    <n v="0"/>
    <n v="55.131"/>
    <n v="55.131"/>
    <n v="55.131"/>
    <n v="55.131"/>
    <n v="0"/>
    <x v="3"/>
    <n v="0"/>
    <n v="0"/>
    <n v="54"/>
    <n v="97"/>
    <n v="0"/>
    <n v="301.38"/>
    <n v="287.29000000000002"/>
    <m/>
    <n v="410.24359616579511"/>
    <n v="307.78097374481121"/>
    <n v="0"/>
    <n v="16615.38078"/>
    <n v="15838.584990000001"/>
    <n v="0"/>
    <n v="22617.139700216452"/>
    <n v="16968.272863525188"/>
  </r>
  <r>
    <s v="Sistema de Compensação"/>
    <x v="4"/>
    <x v="5"/>
    <x v="4"/>
    <x v="7"/>
    <x v="3"/>
    <x v="0"/>
    <x v="0"/>
    <x v="0"/>
    <n v="0"/>
    <n v="0"/>
    <n v="5.1470000000000002"/>
    <n v="5.1470000000000002"/>
    <n v="5.1470000000000002"/>
    <n v="5.1470000000000002"/>
    <n v="0"/>
    <x v="3"/>
    <n v="0"/>
    <n v="0"/>
    <n v="54"/>
    <n v="97"/>
    <n v="0"/>
    <n v="301.38"/>
    <n v="287.29000000000002"/>
    <m/>
    <n v="410.24359616579511"/>
    <n v="307.78097374481121"/>
    <n v="0"/>
    <n v="1551.2028600000001"/>
    <n v="1478.6816300000003"/>
    <n v="0"/>
    <n v="2111.5237894653474"/>
    <n v="1584.1486718645433"/>
  </r>
  <r>
    <s v="Regular"/>
    <x v="4"/>
    <x v="5"/>
    <x v="4"/>
    <x v="7"/>
    <x v="3"/>
    <x v="0"/>
    <x v="0"/>
    <x v="1"/>
    <n v="0"/>
    <n v="0"/>
    <n v="57.106999999999999"/>
    <n v="57.106999999999999"/>
    <n v="57.106999999999999"/>
    <n v="57.106999999999999"/>
    <n v="0"/>
    <x v="3"/>
    <n v="0"/>
    <n v="0"/>
    <n v="54"/>
    <n v="97"/>
    <n v="0"/>
    <n v="301.38"/>
    <n v="287.29000000000002"/>
    <m/>
    <n v="410.24359616579511"/>
    <n v="307.78097374481121"/>
    <n v="0"/>
    <n v="17210.907660000001"/>
    <n v="16406.27003"/>
    <n v="0"/>
    <n v="23427.781046240059"/>
    <n v="17576.448067644935"/>
  </r>
  <r>
    <s v="Refaturamento - Regular"/>
    <x v="4"/>
    <x v="5"/>
    <x v="4"/>
    <x v="7"/>
    <x v="3"/>
    <x v="0"/>
    <x v="0"/>
    <x v="1"/>
    <n v="0"/>
    <n v="0"/>
    <n v="-3.52"/>
    <n v="-3.52"/>
    <n v="-3.52"/>
    <n v="-3.52"/>
    <n v="0"/>
    <x v="3"/>
    <n v="0"/>
    <n v="0"/>
    <n v="54"/>
    <n v="97"/>
    <n v="0"/>
    <n v="301.38"/>
    <n v="287.29000000000002"/>
    <m/>
    <n v="410.24359616579511"/>
    <n v="307.78097374481121"/>
    <n v="0"/>
    <n v="-1060.8576"/>
    <n v="-1011.2608000000001"/>
    <n v="0"/>
    <n v="-1444.0574585035988"/>
    <n v="-1083.3890275817355"/>
  </r>
  <r>
    <s v="Sistema de Compensação"/>
    <x v="4"/>
    <x v="5"/>
    <x v="4"/>
    <x v="7"/>
    <x v="3"/>
    <x v="0"/>
    <x v="0"/>
    <x v="1"/>
    <n v="0"/>
    <n v="0"/>
    <n v="6.2130000000000001"/>
    <n v="6.2130000000000001"/>
    <n v="6.2130000000000001"/>
    <n v="6.2130000000000001"/>
    <n v="0"/>
    <x v="3"/>
    <n v="0"/>
    <n v="0"/>
    <n v="54"/>
    <n v="97"/>
    <n v="0"/>
    <n v="301.38"/>
    <n v="287.29000000000002"/>
    <m/>
    <n v="410.24359616579511"/>
    <n v="307.78097374481121"/>
    <n v="0"/>
    <n v="1872.4739400000001"/>
    <n v="1784.9327700000001"/>
    <n v="0"/>
    <n v="2548.843462978085"/>
    <n v="1912.2431898765121"/>
  </r>
  <r>
    <s v="Sistema de Compensação"/>
    <x v="4"/>
    <x v="5"/>
    <x v="4"/>
    <x v="7"/>
    <x v="3"/>
    <x v="0"/>
    <x v="0"/>
    <x v="1"/>
    <n v="0"/>
    <n v="0"/>
    <n v="-113.19199999999999"/>
    <n v="-113.19199999999999"/>
    <n v="-113.19199999999999"/>
    <n v="-113.19199999999999"/>
    <n v="0"/>
    <x v="3"/>
    <n v="0"/>
    <n v="0"/>
    <n v="54"/>
    <n v="97"/>
    <n v="0"/>
    <n v="301.38"/>
    <n v="287.29000000000002"/>
    <m/>
    <n v="410.24359616579511"/>
    <n v="307.78097374481121"/>
    <n v="0"/>
    <n v="-34113.804959999994"/>
    <n v="-32518.929680000001"/>
    <n v="0"/>
    <n v="-46436.293137198678"/>
    <n v="-34838.34398012267"/>
  </r>
  <r>
    <s v="Regular"/>
    <x v="4"/>
    <x v="5"/>
    <x v="4"/>
    <x v="7"/>
    <x v="3"/>
    <x v="0"/>
    <x v="0"/>
    <x v="2"/>
    <n v="0"/>
    <n v="0"/>
    <n v="55.843000000000004"/>
    <n v="55.843000000000004"/>
    <n v="55.843000000000004"/>
    <n v="55.843000000000004"/>
    <n v="0"/>
    <x v="3"/>
    <n v="0"/>
    <n v="0"/>
    <n v="54"/>
    <n v="97"/>
    <n v="0"/>
    <n v="301.38"/>
    <n v="287.29000000000002"/>
    <m/>
    <n v="410.24359616579511"/>
    <n v="307.78097374481121"/>
    <n v="0"/>
    <n v="16829.963340000002"/>
    <n v="16043.135470000003"/>
    <n v="0"/>
    <n v="22909.233140686498"/>
    <n v="17187.412916831494"/>
  </r>
  <r>
    <s v="Refaturamento - Regular"/>
    <x v="4"/>
    <x v="5"/>
    <x v="4"/>
    <x v="7"/>
    <x v="3"/>
    <x v="0"/>
    <x v="0"/>
    <x v="2"/>
    <n v="0"/>
    <n v="0"/>
    <n v="-11.164999999999999"/>
    <n v="-11.164999999999999"/>
    <n v="-11.164999999999999"/>
    <n v="-11.164999999999999"/>
    <n v="0"/>
    <x v="3"/>
    <n v="0"/>
    <n v="0"/>
    <n v="54"/>
    <n v="97"/>
    <n v="0"/>
    <n v="301.38"/>
    <n v="287.29000000000002"/>
    <m/>
    <n v="410.24359616579511"/>
    <n v="307.78097374481121"/>
    <n v="0"/>
    <n v="-3364.9076999999997"/>
    <n v="-3207.59285"/>
    <n v="0"/>
    <n v="-4580.3697511911023"/>
    <n v="-3436.374571860817"/>
  </r>
  <r>
    <s v="Sistema de Compensação"/>
    <x v="4"/>
    <x v="5"/>
    <x v="4"/>
    <x v="7"/>
    <x v="3"/>
    <x v="0"/>
    <x v="0"/>
    <x v="2"/>
    <n v="0"/>
    <n v="0"/>
    <n v="4.6390000000000002"/>
    <n v="4.6390000000000002"/>
    <n v="4.6390000000000002"/>
    <n v="4.6390000000000002"/>
    <n v="0"/>
    <x v="3"/>
    <n v="0"/>
    <n v="0"/>
    <n v="54"/>
    <n v="97"/>
    <n v="0"/>
    <n v="301.38"/>
    <n v="287.29000000000002"/>
    <m/>
    <n v="410.24359616579511"/>
    <n v="307.78097374481121"/>
    <n v="0"/>
    <n v="1398.1018200000001"/>
    <n v="1332.7383100000002"/>
    <n v="0"/>
    <n v="1903.1200426131236"/>
    <n v="1427.7959372021792"/>
  </r>
  <r>
    <s v="Regular"/>
    <x v="4"/>
    <x v="5"/>
    <x v="4"/>
    <x v="7"/>
    <x v="3"/>
    <x v="0"/>
    <x v="0"/>
    <x v="3"/>
    <n v="0"/>
    <n v="0"/>
    <n v="73.084000000000003"/>
    <n v="73.084000000000003"/>
    <n v="73.084000000000003"/>
    <n v="73.084000000000003"/>
    <n v="0"/>
    <x v="3"/>
    <n v="0"/>
    <n v="0"/>
    <n v="54"/>
    <n v="97"/>
    <n v="0"/>
    <n v="301.38"/>
    <n v="287.29000000000002"/>
    <m/>
    <n v="410.24359616579511"/>
    <n v="307.78097374481121"/>
    <n v="0"/>
    <n v="22026.055919999999"/>
    <n v="20996.302360000001"/>
    <n v="0"/>
    <n v="29982.242982180971"/>
    <n v="22493.864685165783"/>
  </r>
  <r>
    <s v="Refaturamento - Regular"/>
    <x v="4"/>
    <x v="5"/>
    <x v="4"/>
    <x v="7"/>
    <x v="3"/>
    <x v="0"/>
    <x v="0"/>
    <x v="3"/>
    <n v="0"/>
    <n v="0"/>
    <n v="5.0999999999999997E-2"/>
    <n v="5.0999999999999997E-2"/>
    <n v="5.0999999999999997E-2"/>
    <n v="5.0999999999999997E-2"/>
    <n v="0"/>
    <x v="3"/>
    <n v="0"/>
    <n v="0"/>
    <n v="54"/>
    <n v="97"/>
    <n v="0"/>
    <n v="301.38"/>
    <n v="287.29000000000002"/>
    <m/>
    <n v="410.24359616579511"/>
    <n v="307.78097374481121"/>
    <n v="0"/>
    <n v="15.370379999999999"/>
    <n v="14.65179"/>
    <n v="0"/>
    <n v="20.92242340445555"/>
    <n v="15.696829660985371"/>
  </r>
  <r>
    <s v="Sistema de Compensação"/>
    <x v="4"/>
    <x v="5"/>
    <x v="4"/>
    <x v="7"/>
    <x v="3"/>
    <x v="0"/>
    <x v="0"/>
    <x v="3"/>
    <n v="0"/>
    <n v="0"/>
    <n v="4.1539999999999999"/>
    <n v="4.1539999999999999"/>
    <n v="4.1539999999999999"/>
    <n v="4.1539999999999999"/>
    <n v="0"/>
    <x v="3"/>
    <n v="0"/>
    <n v="0"/>
    <n v="54"/>
    <n v="97"/>
    <n v="0"/>
    <n v="301.38"/>
    <n v="287.29000000000002"/>
    <m/>
    <n v="410.24359616579511"/>
    <n v="307.78097374481121"/>
    <n v="0"/>
    <n v="1251.9325200000001"/>
    <n v="1193.40266"/>
    <n v="0"/>
    <n v="1704.1518984727129"/>
    <n v="1278.5221649359457"/>
  </r>
  <r>
    <s v="Sistema de Compensação"/>
    <x v="4"/>
    <x v="5"/>
    <x v="4"/>
    <x v="7"/>
    <x v="3"/>
    <x v="0"/>
    <x v="0"/>
    <x v="3"/>
    <n v="0"/>
    <n v="0"/>
    <n v="-0.35799999999999998"/>
    <n v="-0.35799999999999998"/>
    <n v="-0.35799999999999998"/>
    <n v="-0.35799999999999998"/>
    <n v="0"/>
    <x v="3"/>
    <n v="0"/>
    <n v="0"/>
    <n v="54"/>
    <n v="97"/>
    <n v="0"/>
    <n v="301.38"/>
    <n v="287.29000000000002"/>
    <m/>
    <n v="410.24359616579511"/>
    <n v="307.78097374481121"/>
    <n v="0"/>
    <n v="-107.89403999999999"/>
    <n v="-102.84982000000001"/>
    <n v="0"/>
    <n v="-146.86720742735466"/>
    <n v="-110.1855886006424"/>
  </r>
  <r>
    <s v="Regular"/>
    <x v="4"/>
    <x v="5"/>
    <x v="4"/>
    <x v="7"/>
    <x v="3"/>
    <x v="0"/>
    <x v="0"/>
    <x v="4"/>
    <n v="0"/>
    <n v="0"/>
    <n v="44.103000000000002"/>
    <n v="44.103000000000002"/>
    <n v="44.103000000000002"/>
    <n v="44.103000000000002"/>
    <n v="0"/>
    <x v="3"/>
    <n v="0"/>
    <n v="0"/>
    <n v="54"/>
    <n v="97"/>
    <n v="0"/>
    <n v="301.38"/>
    <n v="287.29000000000002"/>
    <m/>
    <n v="410.24359616579511"/>
    <n v="307.78097374481121"/>
    <n v="0"/>
    <n v="13291.762140000001"/>
    <n v="12670.350870000002"/>
    <n v="0"/>
    <n v="18092.973321700061"/>
    <n v="13574.064285067408"/>
  </r>
  <r>
    <s v="Refaturamento - Regular"/>
    <x v="4"/>
    <x v="5"/>
    <x v="4"/>
    <x v="7"/>
    <x v="3"/>
    <x v="0"/>
    <x v="0"/>
    <x v="4"/>
    <n v="0"/>
    <n v="0"/>
    <n v="-1.7809999999999999"/>
    <n v="-1.7809999999999999"/>
    <n v="-1.7809999999999999"/>
    <n v="-1.7809999999999999"/>
    <n v="0"/>
    <x v="3"/>
    <n v="0"/>
    <n v="0"/>
    <n v="54"/>
    <n v="97"/>
    <n v="0"/>
    <n v="301.38"/>
    <n v="287.29000000000002"/>
    <m/>
    <n v="410.24359616579511"/>
    <n v="307.78097374481121"/>
    <n v="0"/>
    <n v="-536.75777999999991"/>
    <n v="-511.66349000000002"/>
    <n v="0"/>
    <n v="-730.64384477128101"/>
    <n v="-548.15791423950873"/>
  </r>
  <r>
    <s v="Sistema de Compensação"/>
    <x v="4"/>
    <x v="5"/>
    <x v="4"/>
    <x v="7"/>
    <x v="3"/>
    <x v="0"/>
    <x v="0"/>
    <x v="4"/>
    <n v="0"/>
    <n v="0"/>
    <n v="9.7949999999999999"/>
    <n v="9.7949999999999999"/>
    <n v="9.7949999999999999"/>
    <n v="9.7949999999999999"/>
    <n v="0"/>
    <x v="3"/>
    <n v="0"/>
    <n v="0"/>
    <n v="54"/>
    <n v="97"/>
    <n v="0"/>
    <n v="301.38"/>
    <n v="287.29000000000002"/>
    <m/>
    <n v="410.24359616579511"/>
    <n v="307.78097374481121"/>
    <n v="0"/>
    <n v="2952.0171"/>
    <n v="2814.0055500000003"/>
    <n v="0"/>
    <n v="4018.3360244439632"/>
    <n v="3014.7146378304255"/>
  </r>
  <r>
    <s v="Regular"/>
    <x v="4"/>
    <x v="5"/>
    <x v="4"/>
    <x v="7"/>
    <x v="3"/>
    <x v="0"/>
    <x v="0"/>
    <x v="5"/>
    <n v="0"/>
    <n v="0"/>
    <n v="39.124000000000002"/>
    <n v="39.124000000000002"/>
    <n v="39.124000000000002"/>
    <n v="39.124000000000002"/>
    <n v="0"/>
    <x v="3"/>
    <n v="0"/>
    <n v="0"/>
    <n v="54"/>
    <n v="97"/>
    <n v="0"/>
    <n v="301.38"/>
    <n v="287.29000000000002"/>
    <m/>
    <n v="410.24359616579511"/>
    <n v="307.78097374481121"/>
    <n v="0"/>
    <n v="11791.191120000001"/>
    <n v="11239.933960000002"/>
    <n v="0"/>
    <n v="16050.370456390569"/>
    <n v="12041.622816791994"/>
  </r>
  <r>
    <s v="Sistema de Compensação"/>
    <x v="4"/>
    <x v="5"/>
    <x v="4"/>
    <x v="7"/>
    <x v="3"/>
    <x v="0"/>
    <x v="0"/>
    <x v="5"/>
    <n v="0"/>
    <n v="0"/>
    <n v="1.9970000000000001"/>
    <n v="1.9970000000000001"/>
    <n v="1.9970000000000001"/>
    <n v="1.9970000000000001"/>
    <n v="0"/>
    <x v="3"/>
    <n v="0"/>
    <n v="0"/>
    <n v="54"/>
    <n v="97"/>
    <n v="0"/>
    <n v="301.38"/>
    <n v="287.29000000000002"/>
    <m/>
    <n v="410.24359616579511"/>
    <n v="307.78097374481121"/>
    <n v="0"/>
    <n v="601.85586000000001"/>
    <n v="573.71813000000009"/>
    <n v="0"/>
    <n v="819.25646154309288"/>
    <n v="614.63860456838802"/>
  </r>
  <r>
    <s v="Regular"/>
    <x v="4"/>
    <x v="5"/>
    <x v="4"/>
    <x v="7"/>
    <x v="3"/>
    <x v="0"/>
    <x v="0"/>
    <x v="6"/>
    <n v="0"/>
    <n v="0"/>
    <n v="32.83"/>
    <n v="32.83"/>
    <n v="32.83"/>
    <n v="32.83"/>
    <n v="0"/>
    <x v="3"/>
    <n v="0"/>
    <n v="0"/>
    <n v="54"/>
    <n v="97"/>
    <n v="0"/>
    <n v="301.38"/>
    <n v="287.29000000000002"/>
    <m/>
    <n v="410.24359616579511"/>
    <n v="307.78097374481121"/>
    <n v="0"/>
    <n v="9894.3053999999993"/>
    <n v="9431.7307000000001"/>
    <n v="0"/>
    <n v="13468.297262123053"/>
    <n v="10104.449368042151"/>
  </r>
  <r>
    <s v="Sistema de Compensação"/>
    <x v="4"/>
    <x v="5"/>
    <x v="4"/>
    <x v="7"/>
    <x v="3"/>
    <x v="0"/>
    <x v="0"/>
    <x v="6"/>
    <n v="0"/>
    <n v="0"/>
    <n v="19.34"/>
    <n v="19.34"/>
    <n v="19.34"/>
    <n v="19.34"/>
    <n v="0"/>
    <x v="3"/>
    <n v="0"/>
    <n v="0"/>
    <n v="54"/>
    <n v="97"/>
    <n v="0"/>
    <n v="301.38"/>
    <n v="287.29000000000002"/>
    <m/>
    <n v="410.24359616579511"/>
    <n v="307.78097374481121"/>
    <n v="0"/>
    <n v="5828.6891999999998"/>
    <n v="5556.1886000000004"/>
    <n v="0"/>
    <n v="7934.111149846477"/>
    <n v="5952.4840322246491"/>
  </r>
  <r>
    <s v="Regular"/>
    <x v="4"/>
    <x v="5"/>
    <x v="4"/>
    <x v="7"/>
    <x v="3"/>
    <x v="0"/>
    <x v="0"/>
    <x v="7"/>
    <n v="0"/>
    <n v="0"/>
    <n v="26.302"/>
    <n v="26.302"/>
    <n v="26.302"/>
    <n v="26.302"/>
    <n v="0"/>
    <x v="3"/>
    <n v="0"/>
    <n v="0"/>
    <n v="54"/>
    <n v="97"/>
    <n v="0"/>
    <n v="301.38"/>
    <n v="287.29000000000002"/>
    <m/>
    <n v="410.24359616579511"/>
    <n v="307.78097374481121"/>
    <n v="0"/>
    <n v="7926.8967599999996"/>
    <n v="7556.3015800000003"/>
    <n v="0"/>
    <n v="10790.227066352743"/>
    <n v="8095.2551714360243"/>
  </r>
  <r>
    <s v="Refaturamento - Regular"/>
    <x v="4"/>
    <x v="5"/>
    <x v="4"/>
    <x v="7"/>
    <x v="3"/>
    <x v="0"/>
    <x v="0"/>
    <x v="7"/>
    <n v="0"/>
    <n v="0"/>
    <n v="0.35"/>
    <n v="0.35"/>
    <n v="0.35"/>
    <n v="0.35"/>
    <n v="0"/>
    <x v="3"/>
    <n v="0"/>
    <n v="0"/>
    <n v="54"/>
    <n v="97"/>
    <n v="0"/>
    <n v="301.38"/>
    <n v="287.29000000000002"/>
    <m/>
    <n v="410.24359616579511"/>
    <n v="307.78097374481121"/>
    <n v="0"/>
    <n v="105.48299999999999"/>
    <n v="100.5515"/>
    <n v="0"/>
    <n v="143.58525865802827"/>
    <n v="107.72334081068392"/>
  </r>
  <r>
    <s v="Sistema de Compensação"/>
    <x v="4"/>
    <x v="5"/>
    <x v="4"/>
    <x v="7"/>
    <x v="3"/>
    <x v="0"/>
    <x v="0"/>
    <x v="7"/>
    <n v="0"/>
    <n v="0"/>
    <n v="9.1129999999999995"/>
    <n v="9.1129999999999995"/>
    <n v="9.1129999999999995"/>
    <n v="9.1129999999999995"/>
    <n v="0"/>
    <x v="3"/>
    <n v="0"/>
    <n v="0"/>
    <n v="54"/>
    <n v="97"/>
    <n v="0"/>
    <n v="301.38"/>
    <n v="287.29000000000002"/>
    <m/>
    <n v="410.24359616579511"/>
    <n v="307.78097374481121"/>
    <n v="0"/>
    <n v="2746.4759399999998"/>
    <n v="2618.07377"/>
    <n v="0"/>
    <n v="3738.5498918588905"/>
    <n v="2804.8080137364645"/>
  </r>
  <r>
    <s v="Regular"/>
    <x v="4"/>
    <x v="5"/>
    <x v="4"/>
    <x v="7"/>
    <x v="3"/>
    <x v="0"/>
    <x v="0"/>
    <x v="8"/>
    <n v="0"/>
    <n v="0"/>
    <n v="26.707000000000001"/>
    <n v="26.707000000000001"/>
    <n v="26.707000000000001"/>
    <n v="26.707000000000001"/>
    <n v="0"/>
    <x v="3"/>
    <n v="0"/>
    <n v="0"/>
    <n v="54"/>
    <n v="97"/>
    <n v="0"/>
    <n v="301.38"/>
    <n v="287.29000000000002"/>
    <m/>
    <n v="410.24359616579511"/>
    <n v="307.78097374481121"/>
    <n v="0"/>
    <n v="8048.9556600000005"/>
    <n v="7672.6540300000006"/>
    <n v="0"/>
    <n v="10956.37572279989"/>
    <n v="8219.9064658026728"/>
  </r>
  <r>
    <s v="Refaturamento - Regular"/>
    <x v="4"/>
    <x v="5"/>
    <x v="4"/>
    <x v="7"/>
    <x v="3"/>
    <x v="0"/>
    <x v="0"/>
    <x v="8"/>
    <n v="0"/>
    <n v="0"/>
    <n v="-0.14799999999999999"/>
    <n v="-0.14799999999999999"/>
    <n v="-0.14799999999999999"/>
    <n v="-0.14799999999999999"/>
    <n v="0"/>
    <x v="3"/>
    <n v="0"/>
    <n v="0"/>
    <n v="54"/>
    <n v="97"/>
    <n v="0"/>
    <n v="301.38"/>
    <n v="287.29000000000002"/>
    <m/>
    <n v="410.24359616579511"/>
    <n v="307.78097374481121"/>
    <n v="0"/>
    <n v="-44.604239999999997"/>
    <n v="-42.518920000000001"/>
    <n v="0"/>
    <n v="-60.71605223253767"/>
    <n v="-45.551584114232057"/>
  </r>
  <r>
    <s v="Sistema de Compensação"/>
    <x v="4"/>
    <x v="5"/>
    <x v="4"/>
    <x v="7"/>
    <x v="3"/>
    <x v="0"/>
    <x v="0"/>
    <x v="8"/>
    <n v="0"/>
    <n v="0"/>
    <n v="9.19"/>
    <n v="9.19"/>
    <n v="9.19"/>
    <n v="9.19"/>
    <n v="0"/>
    <x v="3"/>
    <n v="0"/>
    <n v="0"/>
    <n v="54"/>
    <n v="97"/>
    <n v="0"/>
    <n v="301.38"/>
    <n v="287.29000000000002"/>
    <m/>
    <n v="410.24359616579511"/>
    <n v="307.78097374481121"/>
    <n v="0"/>
    <n v="2769.6821999999997"/>
    <n v="2640.1950999999999"/>
    <n v="0"/>
    <n v="3770.1386487636569"/>
    <n v="2828.5071487148148"/>
  </r>
  <r>
    <s v="Regular"/>
    <x v="4"/>
    <x v="5"/>
    <x v="4"/>
    <x v="7"/>
    <x v="3"/>
    <x v="0"/>
    <x v="0"/>
    <x v="9"/>
    <n v="0"/>
    <n v="0"/>
    <n v="28.422999999999998"/>
    <n v="28.422999999999998"/>
    <n v="28.422999999999998"/>
    <n v="28.422999999999998"/>
    <n v="0"/>
    <x v="3"/>
    <n v="0"/>
    <n v="0"/>
    <n v="54"/>
    <n v="97"/>
    <n v="0"/>
    <n v="301.38"/>
    <n v="287.29000000000002"/>
    <m/>
    <n v="410.24359616579511"/>
    <n v="307.78097374481121"/>
    <n v="0"/>
    <n v="8566.1237399999991"/>
    <n v="8165.6436700000004"/>
    <n v="0"/>
    <n v="11660.353733820393"/>
    <n v="8748.0586167487691"/>
  </r>
  <r>
    <s v="Sistema de Compensação"/>
    <x v="4"/>
    <x v="5"/>
    <x v="4"/>
    <x v="7"/>
    <x v="3"/>
    <x v="0"/>
    <x v="0"/>
    <x v="9"/>
    <n v="0"/>
    <n v="0"/>
    <n v="5.3840000000000003"/>
    <n v="5.3840000000000003"/>
    <n v="5.3840000000000003"/>
    <n v="5.3840000000000003"/>
    <n v="0"/>
    <x v="3"/>
    <n v="0"/>
    <n v="0"/>
    <n v="54"/>
    <n v="97"/>
    <n v="0"/>
    <n v="301.38"/>
    <n v="287.29000000000002"/>
    <m/>
    <n v="410.24359616579511"/>
    <n v="307.78097374481121"/>
    <n v="0"/>
    <n v="1622.6299200000001"/>
    <n v="1546.7693600000002"/>
    <n v="0"/>
    <n v="2208.7515217566411"/>
    <n v="1657.0927626420637"/>
  </r>
  <r>
    <s v="Regular"/>
    <x v="4"/>
    <x v="5"/>
    <x v="4"/>
    <x v="7"/>
    <x v="3"/>
    <x v="0"/>
    <x v="0"/>
    <x v="10"/>
    <n v="0"/>
    <n v="0"/>
    <n v="31.181000000000001"/>
    <n v="31.181000000000001"/>
    <n v="31.181000000000001"/>
    <n v="31.181000000000001"/>
    <n v="0"/>
    <x v="3"/>
    <n v="0"/>
    <n v="0"/>
    <n v="54"/>
    <n v="97"/>
    <n v="0"/>
    <n v="301.38"/>
    <n v="287.29000000000002"/>
    <m/>
    <n v="410.24359616579511"/>
    <n v="307.78097374481121"/>
    <n v="0"/>
    <n v="9397.32978"/>
    <n v="8957.9894900000018"/>
    <n v="0"/>
    <n v="12791.805572045658"/>
    <n v="9596.9185423369581"/>
  </r>
  <r>
    <s v="Sistema de Compensação"/>
    <x v="4"/>
    <x v="5"/>
    <x v="4"/>
    <x v="7"/>
    <x v="3"/>
    <x v="0"/>
    <x v="0"/>
    <x v="10"/>
    <n v="0"/>
    <n v="0"/>
    <n v="10.276"/>
    <n v="10.276"/>
    <n v="10.276"/>
    <n v="10.276"/>
    <n v="0"/>
    <x v="3"/>
    <n v="0"/>
    <n v="0"/>
    <n v="54"/>
    <n v="97"/>
    <n v="0"/>
    <n v="301.38"/>
    <n v="287.29000000000002"/>
    <m/>
    <n v="410.24359616579511"/>
    <n v="307.78097374481121"/>
    <n v="0"/>
    <n v="3096.9808800000001"/>
    <n v="2952.1920400000004"/>
    <n v="0"/>
    <n v="4215.6631941997102"/>
    <n v="3162.75728620168"/>
  </r>
  <r>
    <s v="PROJETADO"/>
    <x v="4"/>
    <x v="5"/>
    <x v="4"/>
    <x v="7"/>
    <x v="3"/>
    <x v="0"/>
    <x v="0"/>
    <x v="11"/>
    <n v="0"/>
    <n v="0"/>
    <n v="31.181000000000001"/>
    <n v="31.181000000000001"/>
    <n v="31.181000000000001"/>
    <n v="31.181000000000001"/>
    <n v="0"/>
    <x v="3"/>
    <n v="0"/>
    <n v="0"/>
    <n v="54"/>
    <n v="97"/>
    <n v="0"/>
    <n v="301.38"/>
    <n v="287.29000000000002"/>
    <m/>
    <n v="410.24359616579511"/>
    <n v="307.78097374481121"/>
    <n v="0"/>
    <n v="9397.32978"/>
    <n v="8957.9894900000018"/>
    <n v="0"/>
    <n v="12791.805572045658"/>
    <n v="9596.9185423369581"/>
  </r>
  <r>
    <s v="PROJETADO"/>
    <x v="4"/>
    <x v="5"/>
    <x v="4"/>
    <x v="7"/>
    <x v="3"/>
    <x v="0"/>
    <x v="0"/>
    <x v="11"/>
    <n v="0"/>
    <n v="0"/>
    <n v="10.276"/>
    <n v="10.276"/>
    <n v="10.276"/>
    <n v="10.276"/>
    <n v="0"/>
    <x v="3"/>
    <n v="0"/>
    <n v="0"/>
    <n v="54"/>
    <n v="97"/>
    <n v="0"/>
    <n v="301.38"/>
    <n v="287.29000000000002"/>
    <m/>
    <n v="410.24359616579511"/>
    <n v="307.78097374481121"/>
    <n v="0"/>
    <n v="3096.9808800000001"/>
    <n v="2952.1920400000004"/>
    <n v="0"/>
    <n v="4215.6631941997102"/>
    <n v="3162.75728620168"/>
  </r>
  <r>
    <s v="Regular"/>
    <x v="4"/>
    <x v="5"/>
    <x v="4"/>
    <x v="7"/>
    <x v="4"/>
    <x v="0"/>
    <x v="0"/>
    <x v="0"/>
    <n v="0"/>
    <n v="0"/>
    <n v="56.932000000000002"/>
    <n v="18.787559999999999"/>
    <n v="56.932000000000002"/>
    <n v="18.787559999999999"/>
    <n v="0"/>
    <x v="3"/>
    <n v="0"/>
    <n v="0"/>
    <n v="54"/>
    <n v="97"/>
    <n v="0"/>
    <n v="301.38"/>
    <n v="287.29000000000002"/>
    <m/>
    <n v="410.24359616579511"/>
    <n v="307.78097374481121"/>
    <n v="0"/>
    <n v="5662.1948327999999"/>
    <n v="5397.4781124000001"/>
    <n v="0"/>
    <n v="7707.4761775806455"/>
    <n v="5782.4535110890647"/>
  </r>
  <r>
    <s v="Sistema de Compensação"/>
    <x v="4"/>
    <x v="5"/>
    <x v="4"/>
    <x v="7"/>
    <x v="4"/>
    <x v="0"/>
    <x v="0"/>
    <x v="0"/>
    <n v="0"/>
    <n v="0"/>
    <n v="13.337999999999999"/>
    <n v="4.4015399999999998"/>
    <n v="13.337999999999999"/>
    <n v="4.4015399999999998"/>
    <n v="0"/>
    <x v="3"/>
    <n v="0"/>
    <n v="0"/>
    <n v="54"/>
    <n v="97"/>
    <n v="0"/>
    <n v="301.38"/>
    <n v="287.29000000000002"/>
    <m/>
    <n v="410.24359616579511"/>
    <n v="307.78097374481121"/>
    <n v="0"/>
    <n v="1326.5361252"/>
    <n v="1264.5184266000001"/>
    <n v="0"/>
    <n v="1805.7035982675936"/>
    <n v="1354.7102671767364"/>
  </r>
  <r>
    <s v="Regular"/>
    <x v="4"/>
    <x v="5"/>
    <x v="4"/>
    <x v="7"/>
    <x v="4"/>
    <x v="0"/>
    <x v="0"/>
    <x v="1"/>
    <n v="0"/>
    <n v="0"/>
    <n v="65.763999999999996"/>
    <n v="21.702120000000001"/>
    <n v="65.763999999999996"/>
    <n v="21.702120000000001"/>
    <n v="0"/>
    <x v="3"/>
    <n v="0"/>
    <n v="0"/>
    <n v="54"/>
    <n v="97"/>
    <n v="0"/>
    <n v="301.38"/>
    <n v="287.29000000000002"/>
    <m/>
    <n v="410.24359616579511"/>
    <n v="307.78097374481121"/>
    <n v="0"/>
    <n v="6540.5849256000001"/>
    <n v="6234.8020548000004"/>
    <n v="0"/>
    <n v="8903.1557532216266"/>
    <n v="6679.4996259267427"/>
  </r>
  <r>
    <s v="Refaturamento - Regular"/>
    <x v="4"/>
    <x v="5"/>
    <x v="4"/>
    <x v="7"/>
    <x v="4"/>
    <x v="0"/>
    <x v="0"/>
    <x v="1"/>
    <n v="0"/>
    <n v="0"/>
    <n v="-0.1"/>
    <n v="-3.3000000000000002E-2"/>
    <n v="-0.1"/>
    <n v="-3.3000000000000002E-2"/>
    <n v="0"/>
    <x v="3"/>
    <n v="0"/>
    <n v="0"/>
    <n v="54"/>
    <n v="97"/>
    <n v="0"/>
    <n v="301.38"/>
    <n v="287.29000000000002"/>
    <m/>
    <n v="410.24359616579511"/>
    <n v="307.78097374481121"/>
    <n v="0"/>
    <n v="-9.9455400000000012"/>
    <n v="-9.4805700000000019"/>
    <n v="0"/>
    <n v="-13.53803867347124"/>
    <n v="-10.15677213357877"/>
  </r>
  <r>
    <s v="Sistema de Compensação"/>
    <x v="4"/>
    <x v="5"/>
    <x v="4"/>
    <x v="7"/>
    <x v="4"/>
    <x v="0"/>
    <x v="0"/>
    <x v="1"/>
    <n v="0"/>
    <n v="0"/>
    <n v="13.084"/>
    <n v="4.3177199999999996"/>
    <n v="13.084"/>
    <n v="4.3177199999999996"/>
    <n v="0"/>
    <x v="3"/>
    <n v="0"/>
    <n v="0"/>
    <n v="54"/>
    <n v="97"/>
    <n v="0"/>
    <n v="301.38"/>
    <n v="287.29000000000002"/>
    <m/>
    <n v="410.24359616579511"/>
    <n v="307.78097374481121"/>
    <n v="0"/>
    <n v="1301.2744535999998"/>
    <n v="1240.4377787999999"/>
    <n v="0"/>
    <n v="1771.3169800369767"/>
    <n v="1328.9120659574462"/>
  </r>
  <r>
    <s v="Sistema de Compensação"/>
    <x v="4"/>
    <x v="5"/>
    <x v="4"/>
    <x v="7"/>
    <x v="4"/>
    <x v="0"/>
    <x v="0"/>
    <x v="1"/>
    <n v="0"/>
    <n v="0"/>
    <n v="9.7569999999999997"/>
    <n v="3.2198099999999998"/>
    <n v="9.7569999999999997"/>
    <n v="3.2198099999999998"/>
    <n v="0"/>
    <x v="3"/>
    <n v="0"/>
    <n v="0"/>
    <n v="54"/>
    <n v="97"/>
    <n v="0"/>
    <n v="301.38"/>
    <n v="287.29000000000002"/>
    <m/>
    <n v="410.24359616579511"/>
    <n v="307.78097374481121"/>
    <n v="0"/>
    <n v="970.38633779999998"/>
    <n v="925.01921490000007"/>
    <n v="0"/>
    <n v="1320.9064333705887"/>
    <n v="990.9962570732805"/>
  </r>
  <r>
    <s v="Regular"/>
    <x v="4"/>
    <x v="5"/>
    <x v="4"/>
    <x v="7"/>
    <x v="4"/>
    <x v="0"/>
    <x v="0"/>
    <x v="2"/>
    <n v="0"/>
    <n v="0"/>
    <n v="59.670999999999999"/>
    <n v="19.69143"/>
    <n v="59.670999999999999"/>
    <n v="19.69143"/>
    <n v="0"/>
    <x v="3"/>
    <n v="0"/>
    <n v="0"/>
    <n v="54"/>
    <n v="97"/>
    <n v="0"/>
    <n v="301.38"/>
    <n v="287.29000000000002"/>
    <m/>
    <n v="410.24359616579511"/>
    <n v="307.78097374481121"/>
    <n v="0"/>
    <n v="5934.6031733999998"/>
    <n v="5657.1509247000004"/>
    <n v="0"/>
    <n v="8078.2830568470226"/>
    <n v="6060.6474998277881"/>
  </r>
  <r>
    <s v="Refaturamento - Regular"/>
    <x v="4"/>
    <x v="5"/>
    <x v="4"/>
    <x v="7"/>
    <x v="4"/>
    <x v="0"/>
    <x v="0"/>
    <x v="2"/>
    <n v="0"/>
    <n v="0"/>
    <n v="1.6"/>
    <n v="0.52800000000000002"/>
    <n v="1.6"/>
    <n v="0.52800000000000002"/>
    <n v="0"/>
    <x v="3"/>
    <n v="0"/>
    <n v="0"/>
    <n v="54"/>
    <n v="97"/>
    <n v="0"/>
    <n v="301.38"/>
    <n v="287.29000000000002"/>
    <m/>
    <n v="410.24359616579511"/>
    <n v="307.78097374481121"/>
    <n v="0"/>
    <n v="159.12864000000002"/>
    <n v="151.68912000000003"/>
    <n v="0"/>
    <n v="216.60861877553984"/>
    <n v="162.50835413726031"/>
  </r>
  <r>
    <s v="Sistema de Compensação"/>
    <x v="4"/>
    <x v="5"/>
    <x v="4"/>
    <x v="7"/>
    <x v="4"/>
    <x v="0"/>
    <x v="0"/>
    <x v="2"/>
    <n v="0"/>
    <n v="0"/>
    <n v="12.503"/>
    <n v="4.1259899999999998"/>
    <n v="12.503"/>
    <n v="4.1259899999999998"/>
    <n v="0"/>
    <x v="3"/>
    <n v="0"/>
    <n v="0"/>
    <n v="54"/>
    <n v="97"/>
    <n v="0"/>
    <n v="301.38"/>
    <n v="287.29000000000002"/>
    <m/>
    <n v="410.24359616579511"/>
    <n v="307.78097374481121"/>
    <n v="0"/>
    <n v="1243.4908662"/>
    <n v="1185.3556671000001"/>
    <n v="0"/>
    <n v="1692.6609753441089"/>
    <n v="1269.9012198613536"/>
  </r>
  <r>
    <s v="Regular"/>
    <x v="4"/>
    <x v="5"/>
    <x v="4"/>
    <x v="7"/>
    <x v="4"/>
    <x v="0"/>
    <x v="0"/>
    <x v="3"/>
    <n v="0"/>
    <n v="0"/>
    <n v="65.034999999999997"/>
    <n v="21.461549999999999"/>
    <n v="65.034999999999997"/>
    <n v="21.461549999999999"/>
    <n v="0"/>
    <x v="3"/>
    <n v="0"/>
    <n v="0"/>
    <n v="54"/>
    <n v="97"/>
    <n v="0"/>
    <n v="301.38"/>
    <n v="287.29000000000002"/>
    <m/>
    <n v="410.24359616579511"/>
    <n v="307.78097374481121"/>
    <n v="0"/>
    <n v="6468.0819389999997"/>
    <n v="6165.6886995000004"/>
    <n v="0"/>
    <n v="8804.4634512920202"/>
    <n v="6605.4567570729523"/>
  </r>
  <r>
    <s v="Refaturamento - Regular"/>
    <x v="4"/>
    <x v="5"/>
    <x v="4"/>
    <x v="7"/>
    <x v="4"/>
    <x v="0"/>
    <x v="0"/>
    <x v="3"/>
    <n v="0"/>
    <n v="0"/>
    <n v="1.71"/>
    <n v="0.56430000000000002"/>
    <n v="1.71"/>
    <n v="0.56430000000000002"/>
    <n v="0"/>
    <x v="3"/>
    <n v="0"/>
    <n v="0"/>
    <n v="54"/>
    <n v="97"/>
    <n v="0"/>
    <n v="301.38"/>
    <n v="287.29000000000002"/>
    <m/>
    <n v="410.24359616579511"/>
    <n v="307.78097374481121"/>
    <n v="0"/>
    <n v="170.06873400000001"/>
    <n v="162.11774700000001"/>
    <n v="0"/>
    <n v="231.50046131635818"/>
    <n v="173.68080348419696"/>
  </r>
  <r>
    <s v="Sistema de Compensação"/>
    <x v="4"/>
    <x v="5"/>
    <x v="4"/>
    <x v="7"/>
    <x v="4"/>
    <x v="0"/>
    <x v="0"/>
    <x v="3"/>
    <n v="0"/>
    <n v="0"/>
    <n v="11.603"/>
    <n v="3.8289900000000001"/>
    <n v="11.603"/>
    <n v="3.8289900000000001"/>
    <n v="0"/>
    <x v="3"/>
    <n v="0"/>
    <n v="0"/>
    <n v="54"/>
    <n v="97"/>
    <n v="0"/>
    <n v="301.38"/>
    <n v="287.29000000000002"/>
    <m/>
    <n v="410.24359616579511"/>
    <n v="307.78097374481121"/>
    <n v="0"/>
    <n v="1153.9810061999999"/>
    <n v="1100.0305371000002"/>
    <n v="0"/>
    <n v="1570.818627282868"/>
    <n v="1178.4902706591447"/>
  </r>
  <r>
    <s v="Regular"/>
    <x v="4"/>
    <x v="5"/>
    <x v="4"/>
    <x v="7"/>
    <x v="4"/>
    <x v="0"/>
    <x v="0"/>
    <x v="4"/>
    <n v="0"/>
    <n v="0"/>
    <n v="55.828000000000003"/>
    <n v="18.42324"/>
    <n v="55.828000000000003"/>
    <n v="18.42324"/>
    <n v="0"/>
    <x v="3"/>
    <n v="0"/>
    <n v="0"/>
    <n v="54"/>
    <n v="97"/>
    <n v="0"/>
    <n v="301.38"/>
    <n v="287.29000000000002"/>
    <m/>
    <n v="410.24359616579511"/>
    <n v="307.78097374481121"/>
    <n v="0"/>
    <n v="5552.3960711999998"/>
    <n v="5292.8126196000003"/>
    <n v="0"/>
    <n v="7558.0162306255233"/>
    <n v="5670.3227467343559"/>
  </r>
  <r>
    <s v="Refaturamento - Regular"/>
    <x v="4"/>
    <x v="5"/>
    <x v="4"/>
    <x v="7"/>
    <x v="4"/>
    <x v="0"/>
    <x v="0"/>
    <x v="4"/>
    <n v="0"/>
    <n v="0"/>
    <n v="-0.70199999999999996"/>
    <n v="-0.23166"/>
    <n v="-0.70199999999999996"/>
    <n v="-0.23166"/>
    <n v="0"/>
    <x v="3"/>
    <n v="0"/>
    <n v="0"/>
    <n v="54"/>
    <n v="97"/>
    <n v="0"/>
    <n v="301.38"/>
    <n v="287.29000000000002"/>
    <m/>
    <n v="410.24359616579511"/>
    <n v="307.78097374481121"/>
    <n v="0"/>
    <n v="-69.817690799999994"/>
    <n v="-66.553601400000005"/>
    <n v="0"/>
    <n v="-95.037031487768104"/>
    <n v="-71.300540377722967"/>
  </r>
  <r>
    <s v="Sistema de Compensação"/>
    <x v="4"/>
    <x v="5"/>
    <x v="4"/>
    <x v="7"/>
    <x v="4"/>
    <x v="0"/>
    <x v="0"/>
    <x v="4"/>
    <n v="0"/>
    <n v="0"/>
    <n v="20.202999999999999"/>
    <n v="6.6669900000000002"/>
    <n v="20.202999999999999"/>
    <n v="6.6669900000000002"/>
    <n v="0"/>
    <x v="3"/>
    <n v="0"/>
    <n v="0"/>
    <n v="54"/>
    <n v="97"/>
    <n v="0"/>
    <n v="301.38"/>
    <n v="287.29000000000002"/>
    <m/>
    <n v="410.24359616579511"/>
    <n v="307.78097374481121"/>
    <n v="0"/>
    <n v="2009.2974462"/>
    <n v="1915.3595571000003"/>
    <n v="0"/>
    <n v="2735.0899532013946"/>
    <n v="2051.972674146919"/>
  </r>
  <r>
    <s v="Regular"/>
    <x v="4"/>
    <x v="5"/>
    <x v="4"/>
    <x v="7"/>
    <x v="4"/>
    <x v="0"/>
    <x v="0"/>
    <x v="5"/>
    <n v="0"/>
    <n v="0"/>
    <n v="47.411000000000001"/>
    <n v="15.645630000000001"/>
    <n v="47.411000000000001"/>
    <n v="15.645630000000001"/>
    <n v="0"/>
    <x v="3"/>
    <n v="0"/>
    <n v="0"/>
    <n v="54"/>
    <n v="97"/>
    <n v="0"/>
    <n v="301.38"/>
    <n v="287.29000000000002"/>
    <m/>
    <n v="410.24359616579511"/>
    <n v="307.78097374481121"/>
    <n v="0"/>
    <n v="4715.2799694000005"/>
    <n v="4494.8330427000001"/>
    <n v="0"/>
    <n v="6418.5195154794492"/>
    <n v="4815.427236251031"/>
  </r>
  <r>
    <s v="Sistema de Compensação"/>
    <x v="4"/>
    <x v="5"/>
    <x v="4"/>
    <x v="7"/>
    <x v="4"/>
    <x v="0"/>
    <x v="0"/>
    <x v="5"/>
    <n v="0"/>
    <n v="0"/>
    <n v="10.212999999999999"/>
    <n v="3.3702899999999998"/>
    <n v="10.212999999999999"/>
    <n v="3.3702899999999998"/>
    <n v="0"/>
    <x v="3"/>
    <n v="0"/>
    <n v="0"/>
    <n v="54"/>
    <n v="97"/>
    <n v="0"/>
    <n v="301.38"/>
    <n v="287.29000000000002"/>
    <m/>
    <n v="410.24359616579511"/>
    <n v="307.78097374481121"/>
    <n v="0"/>
    <n v="1015.7380001999999"/>
    <n v="968.25061410000001"/>
    <n v="0"/>
    <n v="1382.6398897216175"/>
    <n v="1037.3111380023997"/>
  </r>
  <r>
    <s v="Regular"/>
    <x v="4"/>
    <x v="5"/>
    <x v="4"/>
    <x v="7"/>
    <x v="4"/>
    <x v="0"/>
    <x v="0"/>
    <x v="6"/>
    <n v="0"/>
    <n v="0"/>
    <n v="27.486999999999998"/>
    <n v="9.0707100000000001"/>
    <n v="27.486999999999998"/>
    <n v="9.0707100000000001"/>
    <n v="0"/>
    <x v="3"/>
    <n v="0"/>
    <n v="0"/>
    <n v="54"/>
    <n v="97"/>
    <n v="0"/>
    <n v="301.38"/>
    <n v="287.29000000000002"/>
    <m/>
    <n v="410.24359616579511"/>
    <n v="307.78097374481121"/>
    <n v="0"/>
    <n v="2733.7305797999998"/>
    <n v="2605.9242759000003"/>
    <n v="0"/>
    <n v="3721.2006901770392"/>
    <n v="2791.7919563567966"/>
  </r>
  <r>
    <s v="Sistema de Compensação"/>
    <x v="4"/>
    <x v="5"/>
    <x v="4"/>
    <x v="7"/>
    <x v="4"/>
    <x v="0"/>
    <x v="0"/>
    <x v="6"/>
    <n v="0"/>
    <n v="0"/>
    <n v="24.318999999999999"/>
    <n v="8.0252700000000008"/>
    <n v="24.318999999999999"/>
    <n v="8.0252700000000008"/>
    <n v="0"/>
    <x v="3"/>
    <n v="0"/>
    <n v="0"/>
    <n v="54"/>
    <n v="97"/>
    <n v="0"/>
    <n v="301.38"/>
    <n v="287.29000000000002"/>
    <m/>
    <n v="410.24359616579511"/>
    <n v="307.78097374481121"/>
    <n v="0"/>
    <n v="2418.6558726000003"/>
    <n v="2305.5798183000002"/>
    <n v="0"/>
    <n v="3292.3156250014708"/>
    <n v="2470.0254151650211"/>
  </r>
  <r>
    <s v="Regular"/>
    <x v="4"/>
    <x v="5"/>
    <x v="4"/>
    <x v="7"/>
    <x v="4"/>
    <x v="0"/>
    <x v="0"/>
    <x v="7"/>
    <n v="0"/>
    <n v="0"/>
    <n v="30.481000000000002"/>
    <n v="10.058730000000001"/>
    <n v="30.481000000000002"/>
    <n v="10.058730000000001"/>
    <n v="0"/>
    <x v="3"/>
    <n v="0"/>
    <n v="0"/>
    <n v="54"/>
    <n v="97"/>
    <n v="0"/>
    <n v="301.38"/>
    <n v="287.29000000000002"/>
    <m/>
    <n v="410.24359616579511"/>
    <n v="307.78097374481121"/>
    <n v="0"/>
    <n v="3031.5000474000003"/>
    <n v="2889.7725417000006"/>
    <n v="0"/>
    <n v="4126.5295680607687"/>
    <n v="3095.8857140361451"/>
  </r>
  <r>
    <s v="Refaturamento - Regular"/>
    <x v="4"/>
    <x v="5"/>
    <x v="4"/>
    <x v="7"/>
    <x v="4"/>
    <x v="0"/>
    <x v="0"/>
    <x v="7"/>
    <n v="0"/>
    <n v="0"/>
    <n v="0.38600000000000001"/>
    <n v="0.12737999999999999"/>
    <n v="0.38600000000000001"/>
    <n v="0.12737999999999999"/>
    <n v="0"/>
    <x v="3"/>
    <n v="0"/>
    <n v="0"/>
    <n v="54"/>
    <n v="97"/>
    <n v="0"/>
    <n v="301.38"/>
    <n v="287.29000000000002"/>
    <m/>
    <n v="410.24359616579511"/>
    <n v="307.78097374481121"/>
    <n v="0"/>
    <n v="38.389784399999996"/>
    <n v="36.595000200000001"/>
    <n v="0"/>
    <n v="52.256829279598982"/>
    <n v="39.205140435614048"/>
  </r>
  <r>
    <s v="Sistema de Compensação"/>
    <x v="4"/>
    <x v="5"/>
    <x v="4"/>
    <x v="7"/>
    <x v="4"/>
    <x v="0"/>
    <x v="0"/>
    <x v="7"/>
    <n v="0"/>
    <n v="0"/>
    <n v="17.096"/>
    <n v="5.64168"/>
    <n v="17.096"/>
    <n v="5.64168"/>
    <n v="0"/>
    <x v="3"/>
    <n v="0"/>
    <n v="0"/>
    <n v="54"/>
    <n v="97"/>
    <n v="0"/>
    <n v="301.38"/>
    <n v="287.29000000000002"/>
    <m/>
    <n v="410.24359616579511"/>
    <n v="307.78097374481121"/>
    <n v="0"/>
    <n v="1700.2895183999999"/>
    <n v="1620.7982472000001"/>
    <n v="0"/>
    <n v="2314.4630916166429"/>
    <n v="1736.4017639566264"/>
  </r>
  <r>
    <s v="Regular"/>
    <x v="4"/>
    <x v="5"/>
    <x v="4"/>
    <x v="7"/>
    <x v="4"/>
    <x v="0"/>
    <x v="0"/>
    <x v="8"/>
    <n v="0"/>
    <n v="0"/>
    <n v="25.31"/>
    <n v="8.3522999999999996"/>
    <n v="25.31"/>
    <n v="8.3522999999999996"/>
    <n v="0"/>
    <x v="3"/>
    <n v="0"/>
    <n v="0"/>
    <n v="54"/>
    <n v="97"/>
    <n v="0"/>
    <n v="301.38"/>
    <n v="287.29000000000002"/>
    <m/>
    <n v="410.24359616579511"/>
    <n v="307.78097374481121"/>
    <n v="0"/>
    <n v="2517.2161739999997"/>
    <n v="2399.532267"/>
    <n v="0"/>
    <n v="3426.4775882555705"/>
    <n v="2570.6790270087863"/>
  </r>
  <r>
    <s v="Refaturamento - Regular"/>
    <x v="4"/>
    <x v="5"/>
    <x v="4"/>
    <x v="7"/>
    <x v="4"/>
    <x v="0"/>
    <x v="0"/>
    <x v="8"/>
    <n v="0"/>
    <n v="0"/>
    <n v="-1.518"/>
    <n v="-0.50094000000000005"/>
    <n v="-1.518"/>
    <n v="-0.50094000000000005"/>
    <n v="0"/>
    <x v="3"/>
    <n v="0"/>
    <n v="0"/>
    <n v="54"/>
    <n v="97"/>
    <n v="0"/>
    <n v="301.38"/>
    <n v="287.29000000000002"/>
    <m/>
    <n v="410.24359616579511"/>
    <n v="307.78097374481121"/>
    <n v="0"/>
    <n v="-150.97329720000002"/>
    <n v="-143.91505260000002"/>
    <n v="0"/>
    <n v="-205.50742706329342"/>
    <n v="-154.17980098772574"/>
  </r>
  <r>
    <s v="Sistema de Compensação"/>
    <x v="4"/>
    <x v="5"/>
    <x v="4"/>
    <x v="7"/>
    <x v="4"/>
    <x v="0"/>
    <x v="0"/>
    <x v="8"/>
    <n v="0"/>
    <n v="0"/>
    <n v="17.771999999999998"/>
    <n v="5.8647600000000004"/>
    <n v="17.771999999999998"/>
    <n v="5.8647600000000004"/>
    <n v="0"/>
    <x v="3"/>
    <n v="0"/>
    <n v="0"/>
    <n v="54"/>
    <n v="97"/>
    <n v="0"/>
    <n v="301.38"/>
    <n v="287.29000000000002"/>
    <m/>
    <n v="410.24359616579511"/>
    <n v="307.78097374481121"/>
    <n v="0"/>
    <n v="1767.5213688000001"/>
    <n v="1684.8869004000003"/>
    <n v="0"/>
    <n v="2405.9802330493085"/>
    <n v="1805.0615435796192"/>
  </r>
  <r>
    <s v="Regular"/>
    <x v="4"/>
    <x v="5"/>
    <x v="4"/>
    <x v="7"/>
    <x v="4"/>
    <x v="0"/>
    <x v="0"/>
    <x v="9"/>
    <n v="0"/>
    <n v="0"/>
    <n v="32.883000000000003"/>
    <n v="10.85139"/>
    <n v="32.883000000000003"/>
    <n v="10.85139"/>
    <n v="0"/>
    <x v="3"/>
    <n v="0"/>
    <n v="0"/>
    <n v="54"/>
    <n v="97"/>
    <n v="0"/>
    <n v="301.38"/>
    <n v="287.29000000000002"/>
    <m/>
    <n v="410.24359616579511"/>
    <n v="307.78097374481121"/>
    <n v="0"/>
    <n v="3270.3919182"/>
    <n v="3117.4958331000003"/>
    <n v="0"/>
    <n v="4451.7132569975474"/>
    <n v="3339.8513806847068"/>
  </r>
  <r>
    <s v="Refaturamento - Regular"/>
    <x v="4"/>
    <x v="5"/>
    <x v="4"/>
    <x v="7"/>
    <x v="4"/>
    <x v="0"/>
    <x v="0"/>
    <x v="9"/>
    <n v="0"/>
    <n v="0"/>
    <n v="-0.29599999999999999"/>
    <n v="-9.7680000000000003E-2"/>
    <n v="-0.29599999999999999"/>
    <n v="-9.7680000000000003E-2"/>
    <n v="0"/>
    <x v="3"/>
    <n v="0"/>
    <n v="0"/>
    <n v="54"/>
    <n v="97"/>
    <n v="0"/>
    <n v="301.38"/>
    <n v="287.29000000000002"/>
    <m/>
    <n v="410.24359616579511"/>
    <n v="307.78097374481121"/>
    <n v="0"/>
    <n v="-29.4387984"/>
    <n v="-28.062487200000003"/>
    <n v="0"/>
    <n v="-40.072594473474865"/>
    <n v="-30.064045515393161"/>
  </r>
  <r>
    <s v="Sistema de Compensação"/>
    <x v="4"/>
    <x v="5"/>
    <x v="4"/>
    <x v="7"/>
    <x v="4"/>
    <x v="0"/>
    <x v="0"/>
    <x v="9"/>
    <n v="0"/>
    <n v="0"/>
    <n v="13.196999999999999"/>
    <n v="4.35501"/>
    <n v="13.196999999999999"/>
    <n v="4.35501"/>
    <n v="0"/>
    <x v="3"/>
    <n v="0"/>
    <n v="0"/>
    <n v="54"/>
    <n v="97"/>
    <n v="0"/>
    <n v="301.38"/>
    <n v="287.29000000000002"/>
    <m/>
    <n v="410.24359616579511"/>
    <n v="307.78097374481121"/>
    <n v="0"/>
    <n v="1312.5129138"/>
    <n v="1251.1508229000001"/>
    <n v="0"/>
    <n v="1786.6149637379995"/>
    <n v="1340.3892184683903"/>
  </r>
  <r>
    <s v="Regular"/>
    <x v="4"/>
    <x v="5"/>
    <x v="4"/>
    <x v="7"/>
    <x v="4"/>
    <x v="0"/>
    <x v="0"/>
    <x v="10"/>
    <n v="0"/>
    <n v="0"/>
    <n v="29.815000000000001"/>
    <n v="9.8389500000000005"/>
    <n v="29.815000000000001"/>
    <n v="9.8389500000000005"/>
    <n v="0"/>
    <x v="3"/>
    <n v="0"/>
    <n v="0"/>
    <n v="54"/>
    <n v="97"/>
    <n v="0"/>
    <n v="301.38"/>
    <n v="287.29000000000002"/>
    <m/>
    <n v="410.24359616579511"/>
    <n v="307.78097374481121"/>
    <n v="0"/>
    <n v="2965.2627510000002"/>
    <n v="2826.6319455000003"/>
    <n v="0"/>
    <n v="4036.3662304954501"/>
    <n v="3028.2416116265103"/>
  </r>
  <r>
    <s v="Sistema de Compensação"/>
    <x v="4"/>
    <x v="5"/>
    <x v="4"/>
    <x v="7"/>
    <x v="4"/>
    <x v="0"/>
    <x v="0"/>
    <x v="10"/>
    <n v="0"/>
    <n v="0"/>
    <n v="14.513999999999999"/>
    <n v="4.7896200000000002"/>
    <n v="14.513999999999999"/>
    <n v="4.7896200000000002"/>
    <n v="0"/>
    <x v="3"/>
    <n v="0"/>
    <n v="0"/>
    <n v="54"/>
    <n v="97"/>
    <n v="0"/>
    <n v="301.38"/>
    <n v="287.29000000000002"/>
    <m/>
    <n v="410.24359616579511"/>
    <n v="307.78097374481121"/>
    <n v="0"/>
    <n v="1443.4956756000001"/>
    <n v="1376.0099298000002"/>
    <n v="0"/>
    <n v="1964.9109330676156"/>
    <n v="1474.1539074676227"/>
  </r>
  <r>
    <s v="PROJETADO"/>
    <x v="4"/>
    <x v="5"/>
    <x v="4"/>
    <x v="7"/>
    <x v="4"/>
    <x v="0"/>
    <x v="0"/>
    <x v="11"/>
    <n v="0"/>
    <n v="0"/>
    <n v="29.815000000000001"/>
    <n v="9.8389500000000005"/>
    <n v="29.815000000000001"/>
    <n v="9.8389500000000005"/>
    <n v="0"/>
    <x v="3"/>
    <n v="0"/>
    <n v="0"/>
    <n v="54"/>
    <n v="97"/>
    <n v="0"/>
    <n v="301.38"/>
    <n v="287.29000000000002"/>
    <m/>
    <n v="410.24359616579511"/>
    <n v="307.78097374481121"/>
    <n v="0"/>
    <n v="2965.2627510000002"/>
    <n v="2826.6319455000003"/>
    <n v="0"/>
    <n v="4036.3662304954501"/>
    <n v="3028.2416116265103"/>
  </r>
  <r>
    <s v="PROJETADO"/>
    <x v="4"/>
    <x v="5"/>
    <x v="4"/>
    <x v="7"/>
    <x v="4"/>
    <x v="0"/>
    <x v="0"/>
    <x v="11"/>
    <n v="0"/>
    <n v="0"/>
    <n v="14.513999999999999"/>
    <n v="4.7896200000000002"/>
    <n v="14.513999999999999"/>
    <n v="4.7896200000000002"/>
    <n v="0"/>
    <x v="3"/>
    <n v="0"/>
    <n v="0"/>
    <n v="54"/>
    <n v="97"/>
    <n v="0"/>
    <n v="301.38"/>
    <n v="287.29000000000002"/>
    <m/>
    <n v="410.24359616579511"/>
    <n v="307.78097374481121"/>
    <n v="0"/>
    <n v="1443.4956756000001"/>
    <n v="1376.0099298000002"/>
    <n v="0"/>
    <n v="1964.9109330676156"/>
    <n v="1474.1539074676227"/>
  </r>
  <r>
    <s v="Regular"/>
    <x v="4"/>
    <x v="5"/>
    <x v="4"/>
    <x v="8"/>
    <x v="3"/>
    <x v="0"/>
    <x v="0"/>
    <x v="0"/>
    <n v="0"/>
    <n v="0"/>
    <n v="0.89400000000000002"/>
    <n v="0.89400000000000002"/>
    <n v="0.89400000000000002"/>
    <n v="0.89400000000000002"/>
    <n v="0"/>
    <x v="3"/>
    <n v="0"/>
    <n v="0"/>
    <n v="54"/>
    <n v="97"/>
    <n v="0"/>
    <n v="301.38"/>
    <n v="287.29000000000002"/>
    <m/>
    <n v="410.24359616579511"/>
    <n v="307.78097374481121"/>
    <n v="0"/>
    <n v="269.43371999999999"/>
    <n v="256.83726000000001"/>
    <n v="0"/>
    <n v="366.75777497222083"/>
    <n v="275.15619052786121"/>
  </r>
  <r>
    <s v="Regular"/>
    <x v="4"/>
    <x v="5"/>
    <x v="4"/>
    <x v="8"/>
    <x v="3"/>
    <x v="0"/>
    <x v="0"/>
    <x v="1"/>
    <n v="0"/>
    <n v="0"/>
    <n v="1.3440000000000001"/>
    <n v="1.3440000000000001"/>
    <n v="1.3440000000000001"/>
    <n v="1.3440000000000001"/>
    <n v="0"/>
    <x v="3"/>
    <n v="0"/>
    <n v="0"/>
    <n v="54"/>
    <n v="97"/>
    <n v="0"/>
    <n v="301.38"/>
    <n v="287.29000000000002"/>
    <m/>
    <n v="410.24359616579511"/>
    <n v="307.78097374481121"/>
    <n v="0"/>
    <n v="405.05472000000003"/>
    <n v="386.11776000000003"/>
    <n v="0"/>
    <n v="551.36739324682867"/>
    <n v="413.65762871302627"/>
  </r>
  <r>
    <s v="Sistema de Compensação"/>
    <x v="4"/>
    <x v="5"/>
    <x v="4"/>
    <x v="8"/>
    <x v="3"/>
    <x v="0"/>
    <x v="0"/>
    <x v="1"/>
    <n v="0"/>
    <n v="0"/>
    <n v="1.2E-2"/>
    <n v="1.2E-2"/>
    <n v="1.2E-2"/>
    <n v="1.2E-2"/>
    <n v="0"/>
    <x v="3"/>
    <n v="0"/>
    <n v="0"/>
    <n v="54"/>
    <n v="97"/>
    <n v="0"/>
    <n v="301.38"/>
    <n v="287.29000000000002"/>
    <m/>
    <n v="410.24359616579511"/>
    <n v="307.78097374481121"/>
    <n v="0"/>
    <n v="3.6165600000000002"/>
    <n v="3.4474800000000001"/>
    <n v="0"/>
    <n v="4.9229231539895411"/>
    <n v="3.6933716849377345"/>
  </r>
  <r>
    <s v="Regular"/>
    <x v="4"/>
    <x v="5"/>
    <x v="4"/>
    <x v="8"/>
    <x v="3"/>
    <x v="0"/>
    <x v="0"/>
    <x v="2"/>
    <n v="0"/>
    <n v="0"/>
    <n v="0.55000000000000004"/>
    <n v="0.55000000000000004"/>
    <n v="0.55000000000000004"/>
    <n v="0.55000000000000004"/>
    <n v="0"/>
    <x v="3"/>
    <n v="0"/>
    <n v="0"/>
    <n v="54"/>
    <n v="97"/>
    <n v="0"/>
    <n v="301.38"/>
    <n v="287.29000000000002"/>
    <m/>
    <n v="410.24359616579511"/>
    <n v="307.78097374481121"/>
    <n v="0"/>
    <n v="165.75900000000001"/>
    <n v="158.00950000000003"/>
    <n v="0"/>
    <n v="225.63397789118733"/>
    <n v="169.27953555964618"/>
  </r>
  <r>
    <s v="Sistema de Compensação"/>
    <x v="4"/>
    <x v="5"/>
    <x v="4"/>
    <x v="8"/>
    <x v="3"/>
    <x v="0"/>
    <x v="0"/>
    <x v="2"/>
    <n v="0"/>
    <n v="0"/>
    <n v="0.16800000000000001"/>
    <n v="0.16800000000000001"/>
    <n v="0.16800000000000001"/>
    <n v="0.16800000000000001"/>
    <n v="0"/>
    <x v="3"/>
    <n v="0"/>
    <n v="0"/>
    <n v="54"/>
    <n v="97"/>
    <n v="0"/>
    <n v="301.38"/>
    <n v="287.29000000000002"/>
    <m/>
    <n v="410.24359616579511"/>
    <n v="307.78097374481121"/>
    <n v="0"/>
    <n v="50.631840000000004"/>
    <n v="48.264720000000004"/>
    <n v="0"/>
    <n v="68.920924155853584"/>
    <n v="51.707203589128284"/>
  </r>
  <r>
    <s v="Regular"/>
    <x v="4"/>
    <x v="5"/>
    <x v="4"/>
    <x v="8"/>
    <x v="3"/>
    <x v="0"/>
    <x v="0"/>
    <x v="3"/>
    <n v="0"/>
    <n v="0"/>
    <n v="0.90100000000000002"/>
    <n v="0.90100000000000002"/>
    <n v="0.90100000000000002"/>
    <n v="0.90100000000000002"/>
    <n v="0"/>
    <x v="3"/>
    <n v="0"/>
    <n v="0"/>
    <n v="54"/>
    <n v="97"/>
    <n v="0"/>
    <n v="301.38"/>
    <n v="287.29000000000002"/>
    <m/>
    <n v="410.24359616579511"/>
    <n v="307.78097374481121"/>
    <n v="0"/>
    <n v="271.54338000000001"/>
    <n v="258.84829000000002"/>
    <n v="0"/>
    <n v="369.62948014538142"/>
    <n v="277.31065734407491"/>
  </r>
  <r>
    <s v="Sistema de Compensação"/>
    <x v="4"/>
    <x v="5"/>
    <x v="4"/>
    <x v="8"/>
    <x v="3"/>
    <x v="0"/>
    <x v="0"/>
    <x v="3"/>
    <n v="0"/>
    <n v="0"/>
    <n v="8.4000000000000005E-2"/>
    <n v="8.4000000000000005E-2"/>
    <n v="8.4000000000000005E-2"/>
    <n v="8.4000000000000005E-2"/>
    <n v="0"/>
    <x v="3"/>
    <n v="0"/>
    <n v="0"/>
    <n v="54"/>
    <n v="97"/>
    <n v="0"/>
    <n v="301.38"/>
    <n v="287.29000000000002"/>
    <m/>
    <n v="410.24359616579511"/>
    <n v="307.78097374481121"/>
    <n v="0"/>
    <n v="25.315920000000002"/>
    <n v="24.132360000000002"/>
    <n v="0"/>
    <n v="34.460462077926792"/>
    <n v="25.853601794564142"/>
  </r>
  <r>
    <s v="Regular"/>
    <x v="4"/>
    <x v="5"/>
    <x v="4"/>
    <x v="8"/>
    <x v="3"/>
    <x v="0"/>
    <x v="0"/>
    <x v="4"/>
    <n v="0"/>
    <n v="0"/>
    <n v="0.54900000000000004"/>
    <n v="0.54900000000000004"/>
    <n v="0.54900000000000004"/>
    <n v="0.54900000000000004"/>
    <n v="0"/>
    <x v="3"/>
    <n v="0"/>
    <n v="0"/>
    <n v="54"/>
    <n v="97"/>
    <n v="0"/>
    <n v="301.38"/>
    <n v="287.29000000000002"/>
    <m/>
    <n v="410.24359616579511"/>
    <n v="307.78097374481121"/>
    <n v="0"/>
    <n v="165.45762000000002"/>
    <n v="157.72221000000002"/>
    <n v="0"/>
    <n v="225.22373429502153"/>
    <n v="168.97175458590138"/>
  </r>
  <r>
    <s v="Sistema de Compensação"/>
    <x v="4"/>
    <x v="5"/>
    <x v="4"/>
    <x v="8"/>
    <x v="3"/>
    <x v="0"/>
    <x v="0"/>
    <x v="4"/>
    <n v="0"/>
    <n v="0"/>
    <n v="5.8000000000000003E-2"/>
    <n v="5.8000000000000003E-2"/>
    <n v="5.8000000000000003E-2"/>
    <n v="5.8000000000000003E-2"/>
    <n v="0"/>
    <x v="3"/>
    <n v="0"/>
    <n v="0"/>
    <n v="54"/>
    <n v="97"/>
    <n v="0"/>
    <n v="301.38"/>
    <n v="287.29000000000002"/>
    <m/>
    <n v="410.24359616579511"/>
    <n v="307.78097374481121"/>
    <n v="0"/>
    <n v="17.480039999999999"/>
    <n v="16.662820000000004"/>
    <n v="0"/>
    <n v="23.794128577616117"/>
    <n v="17.85129647719905"/>
  </r>
  <r>
    <s v="Regular"/>
    <x v="4"/>
    <x v="5"/>
    <x v="4"/>
    <x v="8"/>
    <x v="3"/>
    <x v="0"/>
    <x v="0"/>
    <x v="5"/>
    <n v="0"/>
    <n v="0"/>
    <n v="1.3979999999999999"/>
    <n v="1.3979999999999999"/>
    <n v="1.3979999999999999"/>
    <n v="1.3979999999999999"/>
    <n v="0"/>
    <x v="3"/>
    <n v="0"/>
    <n v="0"/>
    <n v="54"/>
    <n v="97"/>
    <n v="0"/>
    <n v="301.38"/>
    <n v="287.29000000000002"/>
    <m/>
    <n v="410.24359616579511"/>
    <n v="307.78097374481121"/>
    <n v="0"/>
    <n v="421.32923999999997"/>
    <n v="401.63141999999999"/>
    <n v="0"/>
    <n v="573.52054743978158"/>
    <n v="430.27780129524604"/>
  </r>
  <r>
    <s v="Sistema de Compensação"/>
    <x v="4"/>
    <x v="5"/>
    <x v="4"/>
    <x v="8"/>
    <x v="3"/>
    <x v="0"/>
    <x v="0"/>
    <x v="5"/>
    <n v="0"/>
    <n v="0"/>
    <n v="0.02"/>
    <n v="0.02"/>
    <n v="0.02"/>
    <n v="0.02"/>
    <n v="0"/>
    <x v="3"/>
    <n v="0"/>
    <n v="0"/>
    <n v="54"/>
    <n v="97"/>
    <n v="0"/>
    <n v="301.38"/>
    <n v="287.29000000000002"/>
    <m/>
    <n v="410.24359616579511"/>
    <n v="307.78097374481121"/>
    <n v="0"/>
    <n v="6.0275999999999996"/>
    <n v="5.7458000000000009"/>
    <n v="0"/>
    <n v="8.2048719233159026"/>
    <n v="6.1556194748962243"/>
  </r>
  <r>
    <s v="Regular"/>
    <x v="4"/>
    <x v="5"/>
    <x v="4"/>
    <x v="8"/>
    <x v="3"/>
    <x v="0"/>
    <x v="0"/>
    <x v="6"/>
    <n v="0"/>
    <n v="0"/>
    <n v="0.75800000000000001"/>
    <n v="0.75800000000000001"/>
    <n v="0.75800000000000001"/>
    <n v="0.75800000000000001"/>
    <n v="0"/>
    <x v="3"/>
    <n v="0"/>
    <n v="0"/>
    <n v="54"/>
    <n v="97"/>
    <n v="0"/>
    <n v="301.38"/>
    <n v="287.29000000000002"/>
    <m/>
    <n v="410.24359616579511"/>
    <n v="307.78097374481121"/>
    <n v="0"/>
    <n v="228.44604000000001"/>
    <n v="217.76582000000002"/>
    <n v="0"/>
    <n v="310.9646458936727"/>
    <n v="233.29797809856689"/>
  </r>
  <r>
    <s v="Sistema de Compensação"/>
    <x v="4"/>
    <x v="5"/>
    <x v="4"/>
    <x v="8"/>
    <x v="3"/>
    <x v="0"/>
    <x v="0"/>
    <x v="6"/>
    <n v="0"/>
    <n v="0"/>
    <n v="1.0209999999999999"/>
    <n v="1.0209999999999999"/>
    <n v="1.0209999999999999"/>
    <n v="1.0209999999999999"/>
    <n v="0"/>
    <x v="3"/>
    <n v="0"/>
    <n v="0"/>
    <n v="54"/>
    <n v="97"/>
    <n v="0"/>
    <n v="301.38"/>
    <n v="287.29000000000002"/>
    <m/>
    <n v="410.24359616579511"/>
    <n v="307.78097374481121"/>
    <n v="0"/>
    <n v="307.70897999999994"/>
    <n v="293.32308999999998"/>
    <n v="0"/>
    <n v="418.85871168527677"/>
    <n v="314.24437419345219"/>
  </r>
  <r>
    <s v="Regular"/>
    <x v="4"/>
    <x v="5"/>
    <x v="4"/>
    <x v="8"/>
    <x v="3"/>
    <x v="0"/>
    <x v="0"/>
    <x v="7"/>
    <n v="0"/>
    <n v="0"/>
    <n v="1.95"/>
    <n v="1.95"/>
    <n v="1.95"/>
    <n v="1.95"/>
    <n v="0"/>
    <x v="3"/>
    <n v="0"/>
    <n v="0"/>
    <n v="54"/>
    <n v="97"/>
    <n v="0"/>
    <n v="301.38"/>
    <n v="287.29000000000002"/>
    <m/>
    <n v="410.24359616579511"/>
    <n v="307.78097374481121"/>
    <n v="0"/>
    <n v="587.69100000000003"/>
    <n v="560.21550000000002"/>
    <n v="0"/>
    <n v="799.97501252330039"/>
    <n v="600.17289880238184"/>
  </r>
  <r>
    <s v="Sistema de Compensação"/>
    <x v="4"/>
    <x v="5"/>
    <x v="4"/>
    <x v="8"/>
    <x v="3"/>
    <x v="0"/>
    <x v="0"/>
    <x v="7"/>
    <n v="0"/>
    <n v="0"/>
    <n v="2.1999999999999999E-2"/>
    <n v="2.1999999999999999E-2"/>
    <n v="2.1999999999999999E-2"/>
    <n v="2.1999999999999999E-2"/>
    <n v="0"/>
    <x v="3"/>
    <n v="0"/>
    <n v="0"/>
    <n v="54"/>
    <n v="97"/>
    <n v="0"/>
    <n v="301.38"/>
    <n v="287.29000000000002"/>
    <m/>
    <n v="410.24359616579511"/>
    <n v="307.78097374481121"/>
    <n v="0"/>
    <n v="6.6303599999999996"/>
    <n v="6.3203800000000001"/>
    <n v="0"/>
    <n v="9.0253591156474915"/>
    <n v="6.7711814223858457"/>
  </r>
  <r>
    <s v="Regular"/>
    <x v="4"/>
    <x v="5"/>
    <x v="4"/>
    <x v="8"/>
    <x v="3"/>
    <x v="0"/>
    <x v="0"/>
    <x v="8"/>
    <n v="0"/>
    <n v="0"/>
    <n v="0.81399999999999995"/>
    <n v="0.81399999999999995"/>
    <n v="0.81399999999999995"/>
    <n v="0.81399999999999995"/>
    <n v="0"/>
    <x v="3"/>
    <n v="0"/>
    <n v="0"/>
    <n v="54"/>
    <n v="97"/>
    <n v="0"/>
    <n v="301.38"/>
    <n v="287.29000000000002"/>
    <m/>
    <n v="410.24359616579511"/>
    <n v="307.78097374481121"/>
    <n v="0"/>
    <n v="245.32331999999997"/>
    <n v="233.85406"/>
    <n v="0"/>
    <n v="333.9382872789572"/>
    <n v="250.53371262827631"/>
  </r>
  <r>
    <s v="Sistema de Compensação"/>
    <x v="4"/>
    <x v="5"/>
    <x v="4"/>
    <x v="8"/>
    <x v="3"/>
    <x v="0"/>
    <x v="0"/>
    <x v="8"/>
    <n v="0"/>
    <n v="0"/>
    <n v="0.12"/>
    <n v="0.12"/>
    <n v="0.12"/>
    <n v="0.12"/>
    <n v="0"/>
    <x v="3"/>
    <n v="0"/>
    <n v="0"/>
    <n v="54"/>
    <n v="97"/>
    <n v="0"/>
    <n v="301.38"/>
    <n v="287.29000000000002"/>
    <m/>
    <n v="410.24359616579511"/>
    <n v="307.78097374481121"/>
    <n v="0"/>
    <n v="36.165599999999998"/>
    <n v="34.474800000000002"/>
    <n v="0"/>
    <n v="49.229231539895409"/>
    <n v="36.93371684937734"/>
  </r>
  <r>
    <s v="Regular"/>
    <x v="4"/>
    <x v="5"/>
    <x v="4"/>
    <x v="8"/>
    <x v="3"/>
    <x v="0"/>
    <x v="0"/>
    <x v="9"/>
    <n v="0"/>
    <n v="0"/>
    <n v="1.58"/>
    <n v="1.58"/>
    <n v="1.58"/>
    <n v="1.58"/>
    <n v="0"/>
    <x v="3"/>
    <n v="0"/>
    <n v="0"/>
    <n v="54"/>
    <n v="97"/>
    <n v="0"/>
    <n v="301.38"/>
    <n v="287.29000000000002"/>
    <m/>
    <n v="410.24359616579511"/>
    <n v="307.78097374481121"/>
    <n v="0"/>
    <n v="476.18040000000002"/>
    <n v="453.91820000000007"/>
    <n v="0"/>
    <n v="648.18488194195629"/>
    <n v="486.29393851680175"/>
  </r>
  <r>
    <s v="Sistema de Compensação"/>
    <x v="4"/>
    <x v="5"/>
    <x v="4"/>
    <x v="8"/>
    <x v="3"/>
    <x v="0"/>
    <x v="0"/>
    <x v="9"/>
    <n v="0"/>
    <n v="0"/>
    <n v="1.7999999999999999E-2"/>
    <n v="1.7999999999999999E-2"/>
    <n v="1.7999999999999999E-2"/>
    <n v="1.7999999999999999E-2"/>
    <n v="0"/>
    <x v="3"/>
    <n v="0"/>
    <n v="0"/>
    <n v="54"/>
    <n v="97"/>
    <n v="0"/>
    <n v="301.38"/>
    <n v="287.29000000000002"/>
    <m/>
    <n v="410.24359616579511"/>
    <n v="307.78097374481121"/>
    <n v="0"/>
    <n v="5.4248399999999997"/>
    <n v="5.1712199999999999"/>
    <n v="0"/>
    <n v="7.3843847309843111"/>
    <n v="5.5400575274066011"/>
  </r>
  <r>
    <s v="Regular"/>
    <x v="4"/>
    <x v="5"/>
    <x v="4"/>
    <x v="8"/>
    <x v="3"/>
    <x v="0"/>
    <x v="0"/>
    <x v="10"/>
    <n v="0"/>
    <n v="0"/>
    <n v="0.92100000000000004"/>
    <n v="0.92100000000000004"/>
    <n v="0.92100000000000004"/>
    <n v="0.92100000000000004"/>
    <n v="0"/>
    <x v="3"/>
    <n v="0"/>
    <n v="0"/>
    <n v="54"/>
    <n v="97"/>
    <n v="0"/>
    <n v="301.38"/>
    <n v="287.29000000000002"/>
    <m/>
    <n v="410.24359616579511"/>
    <n v="307.78097374481121"/>
    <n v="0"/>
    <n v="277.57098000000002"/>
    <n v="264.59409000000005"/>
    <n v="0"/>
    <n v="377.83435206869734"/>
    <n v="283.46627681897115"/>
  </r>
  <r>
    <s v="PROJETADO"/>
    <x v="4"/>
    <x v="5"/>
    <x v="4"/>
    <x v="8"/>
    <x v="3"/>
    <x v="0"/>
    <x v="0"/>
    <x v="11"/>
    <n v="0"/>
    <n v="0"/>
    <n v="0.92100000000000004"/>
    <n v="0.92100000000000004"/>
    <n v="0.92100000000000004"/>
    <n v="0.92100000000000004"/>
    <n v="0"/>
    <x v="3"/>
    <n v="0"/>
    <n v="0"/>
    <n v="54"/>
    <n v="97"/>
    <n v="0"/>
    <n v="301.38"/>
    <n v="287.29000000000002"/>
    <m/>
    <n v="410.24359616579511"/>
    <n v="307.78097374481121"/>
    <n v="0"/>
    <n v="277.57098000000002"/>
    <n v="264.59409000000005"/>
    <n v="0"/>
    <n v="377.83435206869734"/>
    <n v="283.46627681897115"/>
  </r>
  <r>
    <s v="Regular"/>
    <x v="4"/>
    <x v="5"/>
    <x v="4"/>
    <x v="8"/>
    <x v="4"/>
    <x v="0"/>
    <x v="0"/>
    <x v="0"/>
    <n v="0"/>
    <n v="0"/>
    <n v="0.65100000000000002"/>
    <n v="0.21482999999999999"/>
    <n v="0.65100000000000002"/>
    <n v="0.21482999999999999"/>
    <n v="0"/>
    <x v="3"/>
    <n v="0"/>
    <n v="0"/>
    <n v="54"/>
    <n v="97"/>
    <n v="0"/>
    <n v="301.38"/>
    <n v="287.29000000000002"/>
    <m/>
    <n v="410.24359616579511"/>
    <n v="307.78097374481121"/>
    <n v="0"/>
    <n v="64.7454654"/>
    <n v="61.718510700000003"/>
    <n v="0"/>
    <n v="88.132631764297756"/>
    <n v="66.120586589597792"/>
  </r>
  <r>
    <s v="Sistema de Compensação"/>
    <x v="4"/>
    <x v="5"/>
    <x v="4"/>
    <x v="8"/>
    <x v="4"/>
    <x v="0"/>
    <x v="0"/>
    <x v="0"/>
    <n v="0"/>
    <n v="0"/>
    <n v="0.114"/>
    <n v="3.7620000000000001E-2"/>
    <n v="0.114"/>
    <n v="3.7620000000000001E-2"/>
    <n v="0"/>
    <x v="3"/>
    <n v="0"/>
    <n v="0"/>
    <n v="54"/>
    <n v="97"/>
    <n v="0"/>
    <n v="301.38"/>
    <n v="287.29000000000002"/>
    <m/>
    <n v="410.24359616579511"/>
    <n v="307.78097374481121"/>
    <n v="0"/>
    <n v="11.337915600000001"/>
    <n v="10.807849800000001"/>
    <n v="0"/>
    <n v="15.433364087757212"/>
    <n v="11.578720232279798"/>
  </r>
  <r>
    <s v="Regular"/>
    <x v="4"/>
    <x v="5"/>
    <x v="4"/>
    <x v="8"/>
    <x v="4"/>
    <x v="0"/>
    <x v="0"/>
    <x v="1"/>
    <n v="0"/>
    <n v="0"/>
    <n v="0.83199999999999996"/>
    <n v="0.27456000000000003"/>
    <n v="0.83199999999999996"/>
    <n v="0.27456000000000003"/>
    <n v="0"/>
    <x v="3"/>
    <n v="0"/>
    <n v="0"/>
    <n v="54"/>
    <n v="97"/>
    <n v="0"/>
    <n v="301.38"/>
    <n v="287.29000000000002"/>
    <m/>
    <n v="410.24359616579511"/>
    <n v="307.78097374481121"/>
    <n v="0"/>
    <n v="82.746892800000012"/>
    <n v="78.878342400000008"/>
    <n v="0"/>
    <n v="112.63648176328071"/>
    <n v="84.504344151375378"/>
  </r>
  <r>
    <s v="Sistema de Compensação"/>
    <x v="4"/>
    <x v="5"/>
    <x v="4"/>
    <x v="8"/>
    <x v="4"/>
    <x v="0"/>
    <x v="0"/>
    <x v="1"/>
    <n v="0"/>
    <n v="0"/>
    <n v="0.11799999999999999"/>
    <n v="3.8940000000000002E-2"/>
    <n v="0.11799999999999999"/>
    <n v="3.8940000000000002E-2"/>
    <n v="0"/>
    <x v="3"/>
    <n v="0"/>
    <n v="0"/>
    <n v="54"/>
    <n v="97"/>
    <n v="0"/>
    <n v="301.38"/>
    <n v="287.29000000000002"/>
    <m/>
    <n v="410.24359616579511"/>
    <n v="307.78097374481121"/>
    <n v="0"/>
    <n v="11.735737200000001"/>
    <n v="11.187072600000002"/>
    <n v="0"/>
    <n v="15.974885634696063"/>
    <n v="11.984991117622949"/>
  </r>
  <r>
    <s v="Regular"/>
    <x v="4"/>
    <x v="5"/>
    <x v="4"/>
    <x v="8"/>
    <x v="4"/>
    <x v="0"/>
    <x v="0"/>
    <x v="2"/>
    <n v="0"/>
    <n v="0"/>
    <n v="0.65600000000000003"/>
    <n v="0.21648000000000001"/>
    <n v="0.65600000000000003"/>
    <n v="0.21648000000000001"/>
    <n v="0"/>
    <x v="3"/>
    <n v="0"/>
    <n v="0"/>
    <n v="54"/>
    <n v="97"/>
    <n v="0"/>
    <n v="301.38"/>
    <n v="287.29000000000002"/>
    <m/>
    <n v="410.24359616579511"/>
    <n v="307.78097374481121"/>
    <n v="0"/>
    <n v="65.242742399999997"/>
    <n v="62.192539200000006"/>
    <n v="0"/>
    <n v="88.809533697971332"/>
    <n v="66.628425196276737"/>
  </r>
  <r>
    <s v="Sistema de Compensação"/>
    <x v="4"/>
    <x v="5"/>
    <x v="4"/>
    <x v="8"/>
    <x v="4"/>
    <x v="0"/>
    <x v="0"/>
    <x v="2"/>
    <n v="0"/>
    <n v="0"/>
    <n v="0.121"/>
    <n v="3.993E-2"/>
    <n v="0.121"/>
    <n v="3.993E-2"/>
    <n v="0"/>
    <x v="3"/>
    <n v="0"/>
    <n v="0"/>
    <n v="54"/>
    <n v="97"/>
    <n v="0"/>
    <n v="301.38"/>
    <n v="287.29000000000002"/>
    <m/>
    <n v="410.24359616579511"/>
    <n v="307.78097374481121"/>
    <n v="0"/>
    <n v="12.034103399999999"/>
    <n v="11.471489700000001"/>
    <n v="0"/>
    <n v="16.381026794900198"/>
    <n v="12.289694281630311"/>
  </r>
  <r>
    <s v="Regular"/>
    <x v="4"/>
    <x v="5"/>
    <x v="4"/>
    <x v="8"/>
    <x v="4"/>
    <x v="0"/>
    <x v="0"/>
    <x v="3"/>
    <n v="0"/>
    <n v="0"/>
    <n v="0.91400000000000003"/>
    <n v="0.30162"/>
    <n v="0.91400000000000003"/>
    <n v="0.30162"/>
    <n v="0"/>
    <x v="3"/>
    <n v="0"/>
    <n v="0"/>
    <n v="54"/>
    <n v="97"/>
    <n v="0"/>
    <n v="301.38"/>
    <n v="287.29000000000002"/>
    <m/>
    <n v="410.24359616579511"/>
    <n v="307.78097374481121"/>
    <n v="0"/>
    <n v="90.902235599999997"/>
    <n v="86.652409800000001"/>
    <n v="0"/>
    <n v="123.73767347552712"/>
    <n v="92.832897300909963"/>
  </r>
  <r>
    <s v="Sistema de Compensação"/>
    <x v="4"/>
    <x v="5"/>
    <x v="4"/>
    <x v="8"/>
    <x v="4"/>
    <x v="0"/>
    <x v="0"/>
    <x v="3"/>
    <n v="0"/>
    <n v="0"/>
    <n v="0.27400000000000002"/>
    <n v="9.042E-2"/>
    <n v="0.27400000000000002"/>
    <n v="9.042E-2"/>
    <n v="0"/>
    <x v="3"/>
    <n v="0"/>
    <n v="0"/>
    <n v="54"/>
    <n v="97"/>
    <n v="0"/>
    <n v="301.38"/>
    <n v="287.29000000000002"/>
    <m/>
    <n v="410.24359616579511"/>
    <n v="307.78097374481121"/>
    <n v="0"/>
    <n v="27.250779600000001"/>
    <n v="25.976761800000002"/>
    <n v="0"/>
    <n v="37.094225965311196"/>
    <n v="27.829555646005829"/>
  </r>
  <r>
    <s v="Regular"/>
    <x v="4"/>
    <x v="5"/>
    <x v="4"/>
    <x v="8"/>
    <x v="4"/>
    <x v="0"/>
    <x v="0"/>
    <x v="4"/>
    <n v="0"/>
    <n v="0"/>
    <n v="0.63500000000000001"/>
    <n v="0.20954999999999999"/>
    <n v="0.63500000000000001"/>
    <n v="0.20954999999999999"/>
    <n v="0"/>
    <x v="3"/>
    <n v="0"/>
    <n v="0"/>
    <n v="54"/>
    <n v="97"/>
    <n v="0"/>
    <n v="301.38"/>
    <n v="287.29000000000002"/>
    <m/>
    <n v="410.24359616579511"/>
    <n v="307.78097374481121"/>
    <n v="0"/>
    <n v="63.154178999999992"/>
    <n v="60.2016195"/>
    <n v="0"/>
    <n v="85.966545576542359"/>
    <n v="64.495503048225189"/>
  </r>
  <r>
    <s v="Sistema de Compensação"/>
    <x v="4"/>
    <x v="5"/>
    <x v="4"/>
    <x v="8"/>
    <x v="4"/>
    <x v="0"/>
    <x v="0"/>
    <x v="4"/>
    <n v="0"/>
    <n v="0"/>
    <n v="0.184"/>
    <n v="6.0720000000000003E-2"/>
    <n v="0.184"/>
    <n v="6.0720000000000003E-2"/>
    <n v="0"/>
    <x v="3"/>
    <n v="0"/>
    <n v="0"/>
    <n v="54"/>
    <n v="97"/>
    <n v="0"/>
    <n v="301.38"/>
    <n v="287.29000000000002"/>
    <m/>
    <n v="410.24359616579511"/>
    <n v="307.78097374481121"/>
    <n v="0"/>
    <n v="18.299793600000001"/>
    <n v="17.4442488"/>
    <n v="0"/>
    <n v="24.909991159187079"/>
    <n v="18.688460725784939"/>
  </r>
  <r>
    <s v="Regular"/>
    <x v="4"/>
    <x v="5"/>
    <x v="4"/>
    <x v="8"/>
    <x v="4"/>
    <x v="0"/>
    <x v="0"/>
    <x v="5"/>
    <n v="0"/>
    <n v="0"/>
    <n v="1.3839999999999999"/>
    <n v="0.45672000000000001"/>
    <n v="1.3839999999999999"/>
    <n v="0.45672000000000001"/>
    <n v="0"/>
    <x v="3"/>
    <n v="0"/>
    <n v="0"/>
    <n v="54"/>
    <n v="97"/>
    <n v="0"/>
    <n v="301.38"/>
    <n v="287.29000000000002"/>
    <m/>
    <n v="410.24359616579511"/>
    <n v="307.78097374481121"/>
    <n v="0"/>
    <n v="137.6462736"/>
    <n v="131.21108880000003"/>
    <n v="0"/>
    <n v="187.36645524084196"/>
    <n v="140.56972632873018"/>
  </r>
  <r>
    <s v="Sistema de Compensação"/>
    <x v="4"/>
    <x v="5"/>
    <x v="4"/>
    <x v="8"/>
    <x v="4"/>
    <x v="0"/>
    <x v="0"/>
    <x v="5"/>
    <n v="0"/>
    <n v="0"/>
    <n v="0.08"/>
    <n v="2.64E-2"/>
    <n v="0.08"/>
    <n v="2.64E-2"/>
    <n v="0"/>
    <x v="3"/>
    <n v="0"/>
    <n v="0"/>
    <n v="54"/>
    <n v="97"/>
    <n v="0"/>
    <n v="301.38"/>
    <n v="287.29000000000002"/>
    <m/>
    <n v="410.24359616579511"/>
    <n v="307.78097374481121"/>
    <n v="0"/>
    <n v="7.9564319999999995"/>
    <n v="7.5844560000000003"/>
    <n v="0"/>
    <n v="10.83043093877699"/>
    <n v="8.1254177068630167"/>
  </r>
  <r>
    <s v="Regular"/>
    <x v="4"/>
    <x v="5"/>
    <x v="4"/>
    <x v="8"/>
    <x v="4"/>
    <x v="0"/>
    <x v="0"/>
    <x v="6"/>
    <n v="0"/>
    <n v="0"/>
    <n v="0.72"/>
    <n v="0.23760000000000001"/>
    <n v="0.72"/>
    <n v="0.23760000000000001"/>
    <n v="0"/>
    <x v="3"/>
    <n v="0"/>
    <n v="0"/>
    <n v="54"/>
    <n v="97"/>
    <n v="0"/>
    <n v="301.38"/>
    <n v="287.29000000000002"/>
    <m/>
    <n v="410.24359616579511"/>
    <n v="307.78097374481121"/>
    <n v="0"/>
    <n v="71.607888000000003"/>
    <n v="68.260104000000013"/>
    <n v="0"/>
    <n v="97.47387844899292"/>
    <n v="73.128759361767138"/>
  </r>
  <r>
    <s v="Regular"/>
    <x v="4"/>
    <x v="5"/>
    <x v="4"/>
    <x v="8"/>
    <x v="4"/>
    <x v="0"/>
    <x v="0"/>
    <x v="7"/>
    <n v="0"/>
    <n v="0"/>
    <n v="2.0819999999999999"/>
    <n v="0.68706"/>
    <n v="2.0819999999999999"/>
    <n v="0.68706"/>
    <n v="0"/>
    <x v="3"/>
    <n v="0"/>
    <n v="0"/>
    <n v="54"/>
    <n v="97"/>
    <n v="0"/>
    <n v="301.38"/>
    <n v="287.29000000000002"/>
    <m/>
    <n v="410.24359616579511"/>
    <n v="307.78097374481121"/>
    <n v="0"/>
    <n v="207.06614279999999"/>
    <n v="197.38546740000001"/>
    <n v="0"/>
    <n v="281.86196518167117"/>
    <n v="211.46399582110999"/>
  </r>
  <r>
    <s v="Sistema de Compensação"/>
    <x v="4"/>
    <x v="5"/>
    <x v="4"/>
    <x v="8"/>
    <x v="4"/>
    <x v="0"/>
    <x v="0"/>
    <x v="7"/>
    <n v="0"/>
    <n v="0"/>
    <n v="2.8000000000000001E-2"/>
    <n v="9.2399999999999999E-3"/>
    <n v="2.8000000000000001E-2"/>
    <n v="9.2399999999999999E-3"/>
    <n v="0"/>
    <x v="3"/>
    <n v="0"/>
    <n v="0"/>
    <n v="54"/>
    <n v="97"/>
    <n v="0"/>
    <n v="301.38"/>
    <n v="287.29000000000002"/>
    <m/>
    <n v="410.24359616579511"/>
    <n v="307.78097374481121"/>
    <n v="0"/>
    <n v="2.7847512000000001"/>
    <n v="2.6545596000000002"/>
    <n v="0"/>
    <n v="3.7906508285719469"/>
    <n v="2.8438961974020556"/>
  </r>
  <r>
    <s v="Regular"/>
    <x v="4"/>
    <x v="5"/>
    <x v="4"/>
    <x v="8"/>
    <x v="4"/>
    <x v="0"/>
    <x v="0"/>
    <x v="8"/>
    <n v="0"/>
    <n v="0"/>
    <n v="0.89300000000000002"/>
    <n v="0.29469000000000001"/>
    <n v="0.89300000000000002"/>
    <n v="0.29469000000000001"/>
    <n v="0"/>
    <x v="3"/>
    <n v="0"/>
    <n v="0"/>
    <n v="54"/>
    <n v="97"/>
    <n v="0"/>
    <n v="301.38"/>
    <n v="287.29000000000002"/>
    <m/>
    <n v="410.24359616579511"/>
    <n v="307.78097374481121"/>
    <n v="0"/>
    <n v="88.813672199999999"/>
    <n v="84.661490100000009"/>
    <n v="0"/>
    <n v="120.89468535409816"/>
    <n v="90.699975152858414"/>
  </r>
  <r>
    <s v="Sistema de Compensação"/>
    <x v="4"/>
    <x v="5"/>
    <x v="4"/>
    <x v="8"/>
    <x v="4"/>
    <x v="0"/>
    <x v="0"/>
    <x v="8"/>
    <n v="0"/>
    <n v="0"/>
    <n v="0.10299999999999999"/>
    <n v="3.3989999999999999E-2"/>
    <n v="0.10299999999999999"/>
    <n v="3.3989999999999999E-2"/>
    <n v="0"/>
    <x v="3"/>
    <n v="0"/>
    <n v="0"/>
    <n v="54"/>
    <n v="97"/>
    <n v="0"/>
    <n v="301.38"/>
    <n v="287.29000000000002"/>
    <m/>
    <n v="410.24359616579511"/>
    <n v="307.78097374481121"/>
    <n v="0"/>
    <n v="10.2439062"/>
    <n v="9.7649871000000008"/>
    <n v="0"/>
    <n v="13.944179833675376"/>
    <n v="10.461475297586132"/>
  </r>
  <r>
    <s v="Regular"/>
    <x v="4"/>
    <x v="5"/>
    <x v="4"/>
    <x v="8"/>
    <x v="4"/>
    <x v="0"/>
    <x v="0"/>
    <x v="9"/>
    <n v="0"/>
    <n v="0"/>
    <n v="1.7450000000000001"/>
    <n v="0.57584999999999997"/>
    <n v="1.7450000000000001"/>
    <n v="0.57584999999999997"/>
    <n v="0"/>
    <x v="3"/>
    <n v="0"/>
    <n v="0"/>
    <n v="54"/>
    <n v="97"/>
    <n v="0"/>
    <n v="301.38"/>
    <n v="287.29000000000002"/>
    <m/>
    <n v="410.24359616579511"/>
    <n v="307.78097374481121"/>
    <n v="0"/>
    <n v="173.54967299999998"/>
    <n v="165.4359465"/>
    <n v="0"/>
    <n v="236.23877485207311"/>
    <n v="177.23567373094951"/>
  </r>
  <r>
    <s v="Sistema de Compensação"/>
    <x v="4"/>
    <x v="5"/>
    <x v="4"/>
    <x v="8"/>
    <x v="4"/>
    <x v="0"/>
    <x v="0"/>
    <x v="9"/>
    <n v="0"/>
    <n v="0"/>
    <n v="3.2000000000000001E-2"/>
    <n v="1.056E-2"/>
    <n v="3.2000000000000001E-2"/>
    <n v="1.056E-2"/>
    <n v="0"/>
    <x v="3"/>
    <n v="0"/>
    <n v="0"/>
    <n v="54"/>
    <n v="97"/>
    <n v="0"/>
    <n v="301.38"/>
    <n v="287.29000000000002"/>
    <m/>
    <n v="410.24359616579511"/>
    <n v="307.78097374481121"/>
    <n v="0"/>
    <n v="3.1825728"/>
    <n v="3.0337824000000002"/>
    <n v="0"/>
    <n v="4.3321723755107966"/>
    <n v="3.2501670827452065"/>
  </r>
  <r>
    <s v="Regular"/>
    <x v="4"/>
    <x v="5"/>
    <x v="4"/>
    <x v="8"/>
    <x v="4"/>
    <x v="0"/>
    <x v="0"/>
    <x v="10"/>
    <n v="0"/>
    <n v="0"/>
    <n v="1.008"/>
    <n v="0.33263999999999999"/>
    <n v="1.008"/>
    <n v="0.33263999999999999"/>
    <n v="0"/>
    <x v="3"/>
    <n v="0"/>
    <n v="0"/>
    <n v="54"/>
    <n v="97"/>
    <n v="0"/>
    <n v="301.38"/>
    <n v="287.29000000000002"/>
    <m/>
    <n v="410.24359616579511"/>
    <n v="307.78097374481121"/>
    <n v="0"/>
    <n v="100.2510432"/>
    <n v="95.564145600000003"/>
    <n v="0"/>
    <n v="136.46342982859008"/>
    <n v="102.38026310647399"/>
  </r>
  <r>
    <s v="PROJETADO"/>
    <x v="4"/>
    <x v="5"/>
    <x v="4"/>
    <x v="8"/>
    <x v="4"/>
    <x v="0"/>
    <x v="0"/>
    <x v="11"/>
    <n v="0"/>
    <n v="0"/>
    <n v="1.008"/>
    <n v="0.33263999999999999"/>
    <n v="1.008"/>
    <n v="0.33263999999999999"/>
    <n v="0"/>
    <x v="3"/>
    <n v="0"/>
    <n v="0"/>
    <n v="54"/>
    <n v="97"/>
    <n v="0"/>
    <n v="301.38"/>
    <n v="287.29000000000002"/>
    <m/>
    <n v="410.24359616579511"/>
    <n v="307.78097374481121"/>
    <n v="0"/>
    <n v="100.2510432"/>
    <n v="95.564145600000003"/>
    <n v="0"/>
    <n v="136.46342982859008"/>
    <n v="102.38026310647399"/>
  </r>
  <r>
    <s v="Regular"/>
    <x v="4"/>
    <x v="5"/>
    <x v="4"/>
    <x v="0"/>
    <x v="1"/>
    <x v="0"/>
    <x v="0"/>
    <x v="0"/>
    <n v="0"/>
    <n v="0"/>
    <n v="14813.543"/>
    <n v="14813.543"/>
    <n v="14813.543"/>
    <n v="14813.543"/>
    <n v="70360"/>
    <x v="3"/>
    <n v="0"/>
    <n v="0"/>
    <n v="54"/>
    <n v="97"/>
    <n v="0"/>
    <n v="301.38"/>
    <n v="287.29000000000002"/>
    <m/>
    <n v="410.24359616579511"/>
    <n v="307.78097374481121"/>
    <n v="0"/>
    <n v="4464505.5893399995"/>
    <n v="4255782.7684700005"/>
    <n v="0"/>
    <n v="6077161.1522766408"/>
    <n v="4559326.6891506314"/>
  </r>
  <r>
    <s v="Refaturamento - Regular"/>
    <x v="4"/>
    <x v="5"/>
    <x v="4"/>
    <x v="0"/>
    <x v="1"/>
    <x v="0"/>
    <x v="0"/>
    <x v="0"/>
    <n v="0"/>
    <n v="0"/>
    <n v="-56.155000000000001"/>
    <n v="-56.155000000000001"/>
    <n v="-56.155000000000001"/>
    <n v="-56.155000000000001"/>
    <n v="-1"/>
    <x v="3"/>
    <n v="0"/>
    <n v="0"/>
    <n v="54"/>
    <n v="97"/>
    <n v="0"/>
    <n v="301.38"/>
    <n v="287.29000000000002"/>
    <m/>
    <n v="410.24359616579511"/>
    <n v="307.78097374481121"/>
    <n v="0"/>
    <n v="-16923.993900000001"/>
    <n v="-16132.769950000002"/>
    <n v="0"/>
    <n v="-23037.229142690227"/>
    <n v="-17283.440580639875"/>
  </r>
  <r>
    <s v="Sistema de Compensação"/>
    <x v="4"/>
    <x v="5"/>
    <x v="4"/>
    <x v="0"/>
    <x v="1"/>
    <x v="0"/>
    <x v="0"/>
    <x v="0"/>
    <n v="0"/>
    <n v="0"/>
    <n v="658.303"/>
    <n v="658.303"/>
    <n v="658.303"/>
    <n v="658.303"/>
    <n v="1878"/>
    <x v="3"/>
    <n v="0"/>
    <n v="0"/>
    <n v="54"/>
    <n v="97"/>
    <n v="0"/>
    <n v="301.38"/>
    <n v="287.29000000000002"/>
    <m/>
    <n v="410.24359616579511"/>
    <n v="307.78097374481121"/>
    <n v="0"/>
    <n v="198399.35814"/>
    <n v="189123.86887000001"/>
    <n v="0"/>
    <n v="270064.59008673142"/>
    <n v="202613.13835913045"/>
  </r>
  <r>
    <s v="Sistema de Compensação"/>
    <x v="4"/>
    <x v="5"/>
    <x v="4"/>
    <x v="0"/>
    <x v="1"/>
    <x v="0"/>
    <x v="0"/>
    <x v="0"/>
    <n v="0"/>
    <n v="0"/>
    <n v="-18.38"/>
    <n v="-18.38"/>
    <n v="-18.38"/>
    <n v="-18.38"/>
    <n v="0"/>
    <x v="3"/>
    <n v="0"/>
    <n v="0"/>
    <n v="54"/>
    <n v="97"/>
    <n v="0"/>
    <n v="301.38"/>
    <n v="287.29000000000002"/>
    <m/>
    <n v="410.24359616579511"/>
    <n v="307.78097374481121"/>
    <n v="0"/>
    <n v="-5539.3643999999995"/>
    <n v="-5280.3901999999998"/>
    <n v="0"/>
    <n v="-7540.2772975273137"/>
    <n v="-5657.0142974296296"/>
  </r>
  <r>
    <s v="Regular"/>
    <x v="4"/>
    <x v="5"/>
    <x v="4"/>
    <x v="0"/>
    <x v="1"/>
    <x v="0"/>
    <x v="0"/>
    <x v="1"/>
    <n v="0"/>
    <n v="0"/>
    <n v="14538.329"/>
    <n v="14538.329"/>
    <n v="14538.329"/>
    <n v="14538.329"/>
    <n v="70338"/>
    <x v="3"/>
    <n v="0"/>
    <n v="0"/>
    <n v="54"/>
    <n v="97"/>
    <n v="0"/>
    <n v="301.38"/>
    <n v="287.29000000000002"/>
    <m/>
    <n v="410.24359616579511"/>
    <n v="307.78097374481121"/>
    <n v="0"/>
    <n v="4381561.5940199997"/>
    <n v="4176716.53841"/>
    <n v="0"/>
    <n v="5964256.3712014677"/>
    <n v="4474621.0562424269"/>
  </r>
  <r>
    <s v="Refaturamento - Regular"/>
    <x v="4"/>
    <x v="5"/>
    <x v="4"/>
    <x v="0"/>
    <x v="1"/>
    <x v="0"/>
    <x v="0"/>
    <x v="1"/>
    <n v="0"/>
    <n v="0"/>
    <n v="-37.585999999999999"/>
    <n v="-37.585999999999999"/>
    <n v="-37.585999999999999"/>
    <n v="-37.585999999999999"/>
    <n v="-1"/>
    <x v="3"/>
    <n v="0"/>
    <n v="0"/>
    <n v="54"/>
    <n v="97"/>
    <n v="0"/>
    <n v="301.38"/>
    <n v="287.29000000000002"/>
    <m/>
    <n v="410.24359616579511"/>
    <n v="307.78097374481121"/>
    <n v="0"/>
    <n v="-11327.668679999999"/>
    <n v="-10798.08194"/>
    <n v="0"/>
    <n v="-15419.415805487575"/>
    <n v="-11568.255679172473"/>
  </r>
  <r>
    <s v="Sistema de Compensação"/>
    <x v="4"/>
    <x v="5"/>
    <x v="4"/>
    <x v="0"/>
    <x v="1"/>
    <x v="0"/>
    <x v="0"/>
    <x v="1"/>
    <n v="0"/>
    <n v="0"/>
    <n v="676.66600000000005"/>
    <n v="676.66600000000005"/>
    <n v="676.66600000000005"/>
    <n v="676.66600000000005"/>
    <n v="2040"/>
    <x v="3"/>
    <n v="0"/>
    <n v="0"/>
    <n v="54"/>
    <n v="97"/>
    <n v="0"/>
    <n v="301.38"/>
    <n v="287.29000000000002"/>
    <m/>
    <n v="410.24359616579511"/>
    <n v="307.78097374481121"/>
    <n v="0"/>
    <n v="203933.59908000001"/>
    <n v="194399.37514000002"/>
    <n v="0"/>
    <n v="277597.89324312395"/>
    <n v="208264.92038000643"/>
  </r>
  <r>
    <s v="Sistema de Compensação"/>
    <x v="4"/>
    <x v="5"/>
    <x v="4"/>
    <x v="0"/>
    <x v="1"/>
    <x v="0"/>
    <x v="0"/>
    <x v="1"/>
    <n v="0"/>
    <n v="0"/>
    <n v="-50.750999999999998"/>
    <n v="-50.750999999999998"/>
    <n v="-50.750999999999998"/>
    <n v="-50.750999999999998"/>
    <n v="0"/>
    <x v="3"/>
    <n v="0"/>
    <n v="0"/>
    <n v="54"/>
    <n v="97"/>
    <n v="0"/>
    <n v="301.38"/>
    <n v="287.29000000000002"/>
    <m/>
    <n v="410.24359616579511"/>
    <n v="307.78097374481121"/>
    <n v="0"/>
    <n v="-15295.336379999999"/>
    <n v="-14580.254790000001"/>
    <n v="0"/>
    <n v="-20820.272749010266"/>
    <n v="-15620.192198522913"/>
  </r>
  <r>
    <s v="Regular"/>
    <x v="4"/>
    <x v="5"/>
    <x v="4"/>
    <x v="0"/>
    <x v="1"/>
    <x v="0"/>
    <x v="0"/>
    <x v="2"/>
    <n v="0"/>
    <n v="0"/>
    <n v="14118.491"/>
    <n v="14118.491"/>
    <n v="14118.491"/>
    <n v="14118.491"/>
    <n v="70098"/>
    <x v="3"/>
    <n v="0"/>
    <n v="0"/>
    <n v="54"/>
    <n v="97"/>
    <n v="0"/>
    <n v="301.38"/>
    <n v="287.29000000000002"/>
    <m/>
    <n v="410.24359616579511"/>
    <n v="307.78097374481121"/>
    <n v="0"/>
    <n v="4255030.8175799996"/>
    <n v="4056101.2793900003"/>
    <n v="0"/>
    <n v="5792020.5202744128"/>
    <n v="4345402.9077873537"/>
  </r>
  <r>
    <s v="Refaturamento - Regular"/>
    <x v="4"/>
    <x v="5"/>
    <x v="4"/>
    <x v="0"/>
    <x v="1"/>
    <x v="0"/>
    <x v="0"/>
    <x v="2"/>
    <n v="0"/>
    <n v="0"/>
    <n v="-38.347000000000001"/>
    <n v="-38.347000000000001"/>
    <n v="-38.347000000000001"/>
    <n v="-38.347000000000001"/>
    <n v="-4"/>
    <x v="3"/>
    <n v="0"/>
    <n v="0"/>
    <n v="54"/>
    <n v="97"/>
    <n v="0"/>
    <n v="301.38"/>
    <n v="287.29000000000002"/>
    <m/>
    <n v="410.24359616579511"/>
    <n v="307.78097374481121"/>
    <n v="0"/>
    <n v="-11557.01886"/>
    <n v="-11016.709630000001"/>
    <n v="0"/>
    <n v="-15731.611182169745"/>
    <n v="-11802.477000192275"/>
  </r>
  <r>
    <s v="Sistema de Compensação"/>
    <x v="4"/>
    <x v="5"/>
    <x v="4"/>
    <x v="0"/>
    <x v="1"/>
    <x v="0"/>
    <x v="0"/>
    <x v="2"/>
    <n v="0"/>
    <n v="0"/>
    <n v="629.87099999999998"/>
    <n v="629.87099999999998"/>
    <n v="629.87099999999998"/>
    <n v="629.87099999999998"/>
    <n v="2216"/>
    <x v="3"/>
    <n v="0"/>
    <n v="0"/>
    <n v="54"/>
    <n v="97"/>
    <n v="0"/>
    <n v="301.38"/>
    <n v="287.29000000000002"/>
    <m/>
    <n v="410.24359616579511"/>
    <n v="307.78097374481121"/>
    <n v="0"/>
    <n v="189830.52197999999"/>
    <n v="180955.63959000001"/>
    <n v="0"/>
    <n v="258400.54416054551"/>
    <n v="193862.30971361799"/>
  </r>
  <r>
    <s v="Sistema de Compensação"/>
    <x v="4"/>
    <x v="5"/>
    <x v="4"/>
    <x v="0"/>
    <x v="1"/>
    <x v="0"/>
    <x v="0"/>
    <x v="2"/>
    <n v="0"/>
    <n v="0"/>
    <n v="-22.225999999999999"/>
    <n v="-22.225999999999999"/>
    <n v="-22.225999999999999"/>
    <n v="-22.225999999999999"/>
    <n v="0"/>
    <x v="3"/>
    <n v="0"/>
    <n v="0"/>
    <n v="54"/>
    <n v="97"/>
    <n v="0"/>
    <n v="301.38"/>
    <n v="287.29000000000002"/>
    <m/>
    <n v="410.24359616579511"/>
    <n v="307.78097374481121"/>
    <n v="0"/>
    <n v="-6698.4718800000001"/>
    <n v="-6385.3075399999998"/>
    <n v="0"/>
    <n v="-9118.0741683809611"/>
    <n v="-6840.7399224521732"/>
  </r>
  <r>
    <s v="Regular"/>
    <x v="4"/>
    <x v="5"/>
    <x v="4"/>
    <x v="0"/>
    <x v="1"/>
    <x v="0"/>
    <x v="0"/>
    <x v="3"/>
    <n v="0"/>
    <n v="0"/>
    <n v="13952.401"/>
    <n v="13952.401"/>
    <n v="13952.401"/>
    <n v="13952.401"/>
    <n v="69713"/>
    <x v="3"/>
    <n v="0"/>
    <n v="0"/>
    <n v="54"/>
    <n v="97"/>
    <n v="0"/>
    <n v="301.38"/>
    <n v="287.29000000000002"/>
    <m/>
    <n v="410.24359616579511"/>
    <n v="307.78097374481121"/>
    <n v="0"/>
    <n v="4204974.61338"/>
    <n v="4008385.2832900002"/>
    <n v="0"/>
    <n v="5723883.1613872359"/>
    <n v="4294283.5658580773"/>
  </r>
  <r>
    <s v="Refaturamento - Regular"/>
    <x v="4"/>
    <x v="5"/>
    <x v="4"/>
    <x v="0"/>
    <x v="1"/>
    <x v="0"/>
    <x v="0"/>
    <x v="3"/>
    <n v="0"/>
    <n v="0"/>
    <n v="-34.853000000000002"/>
    <n v="-34.853000000000002"/>
    <n v="-34.853000000000002"/>
    <n v="-34.853000000000002"/>
    <n v="-8"/>
    <x v="3"/>
    <n v="0"/>
    <n v="0"/>
    <n v="54"/>
    <n v="97"/>
    <n v="0"/>
    <n v="301.38"/>
    <n v="287.29000000000002"/>
    <m/>
    <n v="410.24359616579511"/>
    <n v="307.78097374481121"/>
    <n v="0"/>
    <n v="-10503.997139999999"/>
    <n v="-10012.918370000001"/>
    <n v="0"/>
    <n v="-14298.220057166458"/>
    <n v="-10727.090277927906"/>
  </r>
  <r>
    <s v="Sistema de Compensação"/>
    <x v="4"/>
    <x v="5"/>
    <x v="4"/>
    <x v="0"/>
    <x v="1"/>
    <x v="0"/>
    <x v="0"/>
    <x v="3"/>
    <n v="0"/>
    <n v="0"/>
    <n v="630.15599999999995"/>
    <n v="630.15599999999995"/>
    <n v="630.15599999999995"/>
    <n v="630.15599999999995"/>
    <n v="2358"/>
    <x v="3"/>
    <n v="0"/>
    <n v="0"/>
    <n v="54"/>
    <n v="97"/>
    <n v="0"/>
    <n v="301.38"/>
    <n v="287.29000000000002"/>
    <m/>
    <n v="410.24359616579511"/>
    <n v="307.78097374481121"/>
    <n v="0"/>
    <n v="189916.41527999999"/>
    <n v="181037.51723999999"/>
    <n v="0"/>
    <n v="258517.46358545276"/>
    <n v="193950.02729113522"/>
  </r>
  <r>
    <s v="Sistema de Compensação"/>
    <x v="4"/>
    <x v="5"/>
    <x v="4"/>
    <x v="0"/>
    <x v="1"/>
    <x v="0"/>
    <x v="0"/>
    <x v="3"/>
    <n v="0"/>
    <n v="0"/>
    <n v="-18.785"/>
    <n v="-18.785"/>
    <n v="-18.785"/>
    <n v="-18.785"/>
    <n v="0"/>
    <x v="3"/>
    <n v="0"/>
    <n v="0"/>
    <n v="54"/>
    <n v="97"/>
    <n v="0"/>
    <n v="301.38"/>
    <n v="287.29000000000002"/>
    <m/>
    <n v="410.24359616579511"/>
    <n v="307.78097374481121"/>
    <n v="0"/>
    <n v="-5661.4233000000004"/>
    <n v="-5396.7426500000001"/>
    <n v="0"/>
    <n v="-7706.4259539744617"/>
    <n v="-5781.6655917962789"/>
  </r>
  <r>
    <s v="Regular"/>
    <x v="4"/>
    <x v="5"/>
    <x v="4"/>
    <x v="0"/>
    <x v="1"/>
    <x v="0"/>
    <x v="0"/>
    <x v="4"/>
    <n v="0"/>
    <n v="0"/>
    <n v="13645.282999999999"/>
    <n v="13645.282999999999"/>
    <n v="13645.282999999999"/>
    <n v="13645.282999999999"/>
    <n v="69569"/>
    <x v="3"/>
    <n v="0"/>
    <n v="0"/>
    <n v="54"/>
    <n v="97"/>
    <n v="0"/>
    <n v="301.38"/>
    <n v="287.29000000000002"/>
    <m/>
    <n v="410.24359616579511"/>
    <n v="307.78097374481121"/>
    <n v="0"/>
    <n v="4112415.3905399996"/>
    <n v="3920153.3530700002"/>
    <n v="0"/>
    <n v="5597889.9686199892"/>
    <n v="4199758.4887635186"/>
  </r>
  <r>
    <s v="Refaturamento - Regular"/>
    <x v="4"/>
    <x v="5"/>
    <x v="4"/>
    <x v="0"/>
    <x v="1"/>
    <x v="0"/>
    <x v="0"/>
    <x v="4"/>
    <n v="0"/>
    <n v="0"/>
    <n v="-34.405999999999999"/>
    <n v="-34.405999999999999"/>
    <n v="-34.405999999999999"/>
    <n v="-34.405999999999999"/>
    <n v="-1"/>
    <x v="3"/>
    <n v="0"/>
    <n v="0"/>
    <n v="54"/>
    <n v="97"/>
    <n v="0"/>
    <n v="301.38"/>
    <n v="287.29000000000002"/>
    <m/>
    <n v="410.24359616579511"/>
    <n v="307.78097374481121"/>
    <n v="0"/>
    <n v="-10369.280279999999"/>
    <n v="-9884.4997400000011"/>
    <n v="0"/>
    <n v="-14114.841169680347"/>
    <n v="-10589.512182663973"/>
  </r>
  <r>
    <s v="Sistema de Compensação"/>
    <x v="4"/>
    <x v="5"/>
    <x v="4"/>
    <x v="0"/>
    <x v="1"/>
    <x v="0"/>
    <x v="0"/>
    <x v="4"/>
    <n v="0"/>
    <n v="0"/>
    <n v="731.678"/>
    <n v="731.678"/>
    <n v="731.678"/>
    <n v="731.678"/>
    <n v="2487"/>
    <x v="3"/>
    <n v="0"/>
    <n v="0"/>
    <n v="54"/>
    <n v="97"/>
    <n v="0"/>
    <n v="301.38"/>
    <n v="287.29000000000002"/>
    <m/>
    <n v="410.24359616579511"/>
    <n v="307.78097374481121"/>
    <n v="0"/>
    <n v="220513.11564"/>
    <n v="210203.77262"/>
    <n v="0"/>
    <n v="300166.21395539661"/>
    <n v="225196.56730765596"/>
  </r>
  <r>
    <s v="Sistema de Compensação"/>
    <x v="4"/>
    <x v="5"/>
    <x v="4"/>
    <x v="0"/>
    <x v="1"/>
    <x v="0"/>
    <x v="0"/>
    <x v="4"/>
    <n v="0"/>
    <n v="0"/>
    <n v="-8.0990000000000002"/>
    <n v="-8.0990000000000002"/>
    <n v="-8.0990000000000002"/>
    <n v="-8.0990000000000002"/>
    <n v="0"/>
    <x v="3"/>
    <n v="0"/>
    <n v="0"/>
    <n v="54"/>
    <n v="97"/>
    <n v="0"/>
    <n v="301.38"/>
    <n v="287.29000000000002"/>
    <m/>
    <n v="410.24359616579511"/>
    <n v="307.78097374481121"/>
    <n v="0"/>
    <n v="-2440.87662"/>
    <n v="-2326.7617100000002"/>
    <n v="0"/>
    <n v="-3322.5628853467747"/>
    <n v="-2492.7181063592261"/>
  </r>
  <r>
    <s v="Regular"/>
    <x v="4"/>
    <x v="5"/>
    <x v="4"/>
    <x v="0"/>
    <x v="1"/>
    <x v="0"/>
    <x v="0"/>
    <x v="5"/>
    <n v="0"/>
    <n v="0"/>
    <n v="13051.726000000001"/>
    <n v="13051.726000000001"/>
    <n v="13051.726000000001"/>
    <n v="13051.726000000001"/>
    <n v="69267"/>
    <x v="3"/>
    <n v="0"/>
    <n v="0"/>
    <n v="54"/>
    <n v="97"/>
    <n v="0"/>
    <n v="301.38"/>
    <n v="287.29000000000002"/>
    <m/>
    <n v="410.24359616579511"/>
    <n v="307.78097374481121"/>
    <n v="0"/>
    <n v="3933529.18188"/>
    <n v="3749630.3625400006"/>
    <n v="0"/>
    <n v="5354387.0104106087"/>
    <n v="4017072.93733047"/>
  </r>
  <r>
    <s v="Refaturamento - Regular"/>
    <x v="4"/>
    <x v="5"/>
    <x v="4"/>
    <x v="0"/>
    <x v="1"/>
    <x v="0"/>
    <x v="0"/>
    <x v="5"/>
    <n v="0"/>
    <n v="0"/>
    <n v="-31.488"/>
    <n v="-31.488"/>
    <n v="-31.488"/>
    <n v="-31.488"/>
    <n v="0"/>
    <x v="3"/>
    <n v="0"/>
    <n v="0"/>
    <n v="54"/>
    <n v="97"/>
    <n v="0"/>
    <n v="301.38"/>
    <n v="287.29000000000002"/>
    <m/>
    <n v="410.24359616579511"/>
    <n v="307.78097374481121"/>
    <n v="0"/>
    <n v="-9489.853439999999"/>
    <n v="-9046.1875200000013"/>
    <n v="0"/>
    <n v="-12917.750356068556"/>
    <n v="-9691.4073012766148"/>
  </r>
  <r>
    <s v="Sistema de Compensação"/>
    <x v="4"/>
    <x v="5"/>
    <x v="4"/>
    <x v="0"/>
    <x v="1"/>
    <x v="0"/>
    <x v="0"/>
    <x v="5"/>
    <n v="0"/>
    <n v="0"/>
    <n v="762.12599999999998"/>
    <n v="762.12599999999998"/>
    <n v="762.12599999999998"/>
    <n v="762.12599999999998"/>
    <n v="2670"/>
    <x v="3"/>
    <n v="0"/>
    <n v="0"/>
    <n v="54"/>
    <n v="97"/>
    <n v="0"/>
    <n v="301.38"/>
    <n v="287.29000000000002"/>
    <m/>
    <n v="410.24359616579511"/>
    <n v="307.78097374481121"/>
    <n v="0"/>
    <n v="229689.53388"/>
    <n v="218951.17854000002"/>
    <n v="0"/>
    <n v="312657.31097145274"/>
    <n v="234567.88239623798"/>
  </r>
  <r>
    <s v="Sistema de Compensação"/>
    <x v="4"/>
    <x v="5"/>
    <x v="4"/>
    <x v="0"/>
    <x v="1"/>
    <x v="0"/>
    <x v="0"/>
    <x v="5"/>
    <n v="0"/>
    <n v="0"/>
    <n v="-17.606999999999999"/>
    <n v="-17.606999999999999"/>
    <n v="-17.606999999999999"/>
    <n v="-17.606999999999999"/>
    <n v="0"/>
    <x v="3"/>
    <n v="0"/>
    <n v="0"/>
    <n v="54"/>
    <n v="97"/>
    <n v="0"/>
    <n v="301.38"/>
    <n v="287.29000000000002"/>
    <m/>
    <n v="410.24359616579511"/>
    <n v="307.78097374481121"/>
    <n v="0"/>
    <n v="-5306.3976599999996"/>
    <n v="-5058.3150299999998"/>
    <n v="0"/>
    <n v="-7223.1589976911546"/>
    <n v="-5419.0996047248909"/>
  </r>
  <r>
    <s v="Regular"/>
    <x v="4"/>
    <x v="5"/>
    <x v="4"/>
    <x v="0"/>
    <x v="1"/>
    <x v="0"/>
    <x v="0"/>
    <x v="6"/>
    <n v="0"/>
    <n v="0"/>
    <n v="13130.179"/>
    <n v="13130.179"/>
    <n v="13130.179"/>
    <n v="13130.179"/>
    <n v="69133"/>
    <x v="3"/>
    <n v="0"/>
    <n v="0"/>
    <n v="54"/>
    <n v="97"/>
    <n v="0"/>
    <n v="301.38"/>
    <n v="287.29000000000002"/>
    <m/>
    <n v="410.24359616579511"/>
    <n v="307.78097374481121"/>
    <n v="0"/>
    <n v="3957173.3470199998"/>
    <n v="3772169.1249100002"/>
    <n v="0"/>
    <n v="5386571.8512606034"/>
    <n v="4041219.2780636717"/>
  </r>
  <r>
    <s v="Refaturamento - Regular"/>
    <x v="4"/>
    <x v="5"/>
    <x v="4"/>
    <x v="0"/>
    <x v="1"/>
    <x v="0"/>
    <x v="0"/>
    <x v="6"/>
    <n v="0"/>
    <n v="0"/>
    <n v="-73.209999999999994"/>
    <n v="-73.209999999999994"/>
    <n v="-73.209999999999994"/>
    <n v="-73.209999999999994"/>
    <n v="-11"/>
    <x v="3"/>
    <n v="0"/>
    <n v="0"/>
    <n v="54"/>
    <n v="97"/>
    <n v="0"/>
    <n v="301.38"/>
    <n v="287.29000000000002"/>
    <m/>
    <n v="410.24359616579511"/>
    <n v="307.78097374481121"/>
    <n v="0"/>
    <n v="-22064.029799999997"/>
    <n v="-21032.500899999999"/>
    <n v="0"/>
    <n v="-30033.933675297856"/>
    <n v="-22532.645087857625"/>
  </r>
  <r>
    <s v="Sistema de Compensação"/>
    <x v="4"/>
    <x v="5"/>
    <x v="4"/>
    <x v="0"/>
    <x v="1"/>
    <x v="0"/>
    <x v="0"/>
    <x v="6"/>
    <n v="0"/>
    <n v="0"/>
    <n v="746.39300000000003"/>
    <n v="746.39300000000003"/>
    <n v="746.39300000000003"/>
    <n v="746.39300000000003"/>
    <n v="2870"/>
    <x v="3"/>
    <n v="0"/>
    <n v="0"/>
    <n v="54"/>
    <n v="97"/>
    <n v="0"/>
    <n v="301.38"/>
    <n v="287.29000000000002"/>
    <m/>
    <n v="410.24359616579511"/>
    <n v="307.78097374481121"/>
    <n v="0"/>
    <n v="224947.92234000002"/>
    <n v="214431.24497000003"/>
    <n v="0"/>
    <n v="306202.94847297634"/>
    <n v="229725.56433631087"/>
  </r>
  <r>
    <s v="Sistema de Compensação"/>
    <x v="4"/>
    <x v="5"/>
    <x v="4"/>
    <x v="0"/>
    <x v="1"/>
    <x v="0"/>
    <x v="0"/>
    <x v="6"/>
    <n v="0"/>
    <n v="0"/>
    <n v="-25.323"/>
    <n v="-25.323"/>
    <n v="-25.323"/>
    <n v="-25.323"/>
    <n v="0"/>
    <x v="3"/>
    <n v="0"/>
    <n v="0"/>
    <n v="54"/>
    <n v="97"/>
    <n v="0"/>
    <n v="301.38"/>
    <n v="287.29000000000002"/>
    <m/>
    <n v="410.24359616579511"/>
    <n v="307.78097374481121"/>
    <n v="0"/>
    <n v="-7631.8457399999998"/>
    <n v="-7275.0446700000002"/>
    <n v="0"/>
    <n v="-10388.59858570643"/>
    <n v="-7793.9375981398543"/>
  </r>
  <r>
    <s v="Regular"/>
    <x v="4"/>
    <x v="5"/>
    <x v="4"/>
    <x v="0"/>
    <x v="1"/>
    <x v="0"/>
    <x v="0"/>
    <x v="7"/>
    <n v="0"/>
    <n v="0"/>
    <n v="12697.468000000001"/>
    <n v="12697.468000000001"/>
    <n v="12697.468000000001"/>
    <n v="12697.468000000001"/>
    <n v="66146"/>
    <x v="3"/>
    <n v="0"/>
    <n v="0"/>
    <n v="54"/>
    <n v="97"/>
    <n v="0"/>
    <n v="301.38"/>
    <n v="287.29000000000002"/>
    <m/>
    <n v="410.24359616579511"/>
    <n v="307.78097374481121"/>
    <n v="0"/>
    <n v="3826762.9058400001"/>
    <n v="3647855.5817200006"/>
    <n v="0"/>
    <n v="5209054.9345201068"/>
    <n v="3908039.0651335805"/>
  </r>
  <r>
    <s v="Refaturamento - Regular"/>
    <x v="4"/>
    <x v="5"/>
    <x v="4"/>
    <x v="0"/>
    <x v="1"/>
    <x v="0"/>
    <x v="0"/>
    <x v="7"/>
    <n v="0"/>
    <n v="0"/>
    <n v="126.062"/>
    <n v="126.062"/>
    <n v="126.062"/>
    <n v="126.062"/>
    <n v="109"/>
    <x v="3"/>
    <n v="0"/>
    <n v="0"/>
    <n v="54"/>
    <n v="97"/>
    <n v="0"/>
    <n v="301.38"/>
    <n v="287.29000000000002"/>
    <m/>
    <n v="410.24359616579511"/>
    <n v="307.78097374481121"/>
    <n v="0"/>
    <n v="37992.565559999995"/>
    <n v="36216.351979999999"/>
    <n v="0"/>
    <n v="51716.128219852464"/>
    <n v="38799.48511221839"/>
  </r>
  <r>
    <s v="Sistema de Compensação"/>
    <x v="4"/>
    <x v="5"/>
    <x v="4"/>
    <x v="0"/>
    <x v="1"/>
    <x v="0"/>
    <x v="0"/>
    <x v="7"/>
    <n v="0"/>
    <n v="0"/>
    <n v="717.596"/>
    <n v="717.596"/>
    <n v="717.596"/>
    <n v="717.596"/>
    <n v="3038"/>
    <x v="3"/>
    <n v="0"/>
    <n v="0"/>
    <n v="54"/>
    <n v="97"/>
    <n v="0"/>
    <n v="301.38"/>
    <n v="287.29000000000002"/>
    <m/>
    <n v="410.24359616579511"/>
    <n v="307.78097374481121"/>
    <n v="0"/>
    <n v="216269.08248000001"/>
    <n v="206158.15484"/>
    <n v="0"/>
    <n v="294389.16363418993"/>
    <n v="220862.39563538154"/>
  </r>
  <r>
    <s v="Sistema de Compensação"/>
    <x v="4"/>
    <x v="5"/>
    <x v="4"/>
    <x v="0"/>
    <x v="1"/>
    <x v="0"/>
    <x v="0"/>
    <x v="7"/>
    <n v="0"/>
    <n v="0"/>
    <n v="-9.07"/>
    <n v="-9.07"/>
    <n v="-9.07"/>
    <n v="-9.07"/>
    <n v="0"/>
    <x v="3"/>
    <n v="0"/>
    <n v="0"/>
    <n v="54"/>
    <n v="97"/>
    <n v="0"/>
    <n v="301.38"/>
    <n v="287.29000000000002"/>
    <m/>
    <n v="410.24359616579511"/>
    <n v="307.78097374481121"/>
    <n v="0"/>
    <n v="-2733.5165999999999"/>
    <n v="-2605.7203000000004"/>
    <n v="0"/>
    <n v="-3720.9094172237619"/>
    <n v="-2791.5734318654377"/>
  </r>
  <r>
    <s v="Regular"/>
    <x v="4"/>
    <x v="5"/>
    <x v="4"/>
    <x v="0"/>
    <x v="1"/>
    <x v="0"/>
    <x v="0"/>
    <x v="8"/>
    <n v="0"/>
    <n v="0"/>
    <n v="10315.221"/>
    <n v="10315.221"/>
    <n v="10315.221"/>
    <n v="10315.221"/>
    <n v="53898"/>
    <x v="3"/>
    <n v="0"/>
    <n v="0"/>
    <n v="54"/>
    <n v="97"/>
    <n v="0"/>
    <n v="301.38"/>
    <n v="287.29000000000002"/>
    <m/>
    <n v="410.24359616579511"/>
    <n v="307.78097374481121"/>
    <n v="0"/>
    <n v="3108801.30498"/>
    <n v="2963459.8410900002"/>
    <n v="0"/>
    <n v="4231753.3582849288"/>
    <n v="3174828.7637729249"/>
  </r>
  <r>
    <s v="Refaturamento - Regular"/>
    <x v="4"/>
    <x v="5"/>
    <x v="4"/>
    <x v="0"/>
    <x v="1"/>
    <x v="0"/>
    <x v="0"/>
    <x v="8"/>
    <n v="0"/>
    <n v="0"/>
    <n v="-39.162999999999997"/>
    <n v="-39.162999999999997"/>
    <n v="-39.162999999999997"/>
    <n v="-39.162999999999997"/>
    <n v="7"/>
    <x v="3"/>
    <n v="0"/>
    <n v="0"/>
    <n v="54"/>
    <n v="97"/>
    <n v="0"/>
    <n v="301.38"/>
    <n v="287.29000000000002"/>
    <m/>
    <n v="410.24359616579511"/>
    <n v="307.78097374481121"/>
    <n v="0"/>
    <n v="-11802.944939999999"/>
    <n v="-11251.138269999999"/>
    <n v="0"/>
    <n v="-16066.369956641032"/>
    <n v="-12053.626274768039"/>
  </r>
  <r>
    <s v="Sistema de Compensação"/>
    <x v="4"/>
    <x v="5"/>
    <x v="4"/>
    <x v="0"/>
    <x v="1"/>
    <x v="0"/>
    <x v="0"/>
    <x v="8"/>
    <n v="0"/>
    <n v="0"/>
    <n v="776.41700000000003"/>
    <n v="776.41700000000003"/>
    <n v="776.41700000000003"/>
    <n v="776.41700000000003"/>
    <n v="3002"/>
    <x v="3"/>
    <n v="0"/>
    <n v="0"/>
    <n v="54"/>
    <n v="97"/>
    <n v="0"/>
    <n v="301.38"/>
    <n v="287.29000000000002"/>
    <m/>
    <n v="410.24359616579511"/>
    <n v="307.78097374481121"/>
    <n v="0"/>
    <n v="233996.55546"/>
    <n v="223056.83993000002"/>
    <n v="0"/>
    <n v="318520.10220425815"/>
    <n v="238966.3802920251"/>
  </r>
  <r>
    <s v="Sistema de Compensação"/>
    <x v="4"/>
    <x v="5"/>
    <x v="4"/>
    <x v="0"/>
    <x v="1"/>
    <x v="0"/>
    <x v="0"/>
    <x v="8"/>
    <n v="0"/>
    <n v="0"/>
    <n v="-1.3919999999999999"/>
    <n v="-1.3919999999999999"/>
    <n v="-1.3919999999999999"/>
    <n v="-1.3919999999999999"/>
    <n v="0"/>
    <x v="3"/>
    <n v="0"/>
    <n v="0"/>
    <n v="54"/>
    <n v="97"/>
    <n v="0"/>
    <n v="301.38"/>
    <n v="287.29000000000002"/>
    <m/>
    <n v="410.24359616579511"/>
    <n v="307.78097374481121"/>
    <n v="0"/>
    <n v="-419.52095999999995"/>
    <n v="-399.90768000000003"/>
    <n v="0"/>
    <n v="-571.05908586278679"/>
    <n v="-428.43111545277719"/>
  </r>
  <r>
    <s v="Regular"/>
    <x v="4"/>
    <x v="5"/>
    <x v="4"/>
    <x v="0"/>
    <x v="1"/>
    <x v="0"/>
    <x v="0"/>
    <x v="9"/>
    <n v="0"/>
    <n v="0"/>
    <n v="10406.697"/>
    <n v="10406.697"/>
    <n v="10406.697"/>
    <n v="10406.697"/>
    <n v="53732"/>
    <x v="3"/>
    <n v="0"/>
    <n v="0"/>
    <n v="54"/>
    <n v="97"/>
    <n v="0"/>
    <n v="301.38"/>
    <n v="287.29000000000002"/>
    <m/>
    <n v="410.24359616579511"/>
    <n v="307.78097374481121"/>
    <n v="0"/>
    <n v="3136370.34186"/>
    <n v="2989739.9811300002"/>
    <n v="0"/>
    <n v="4269280.8014877914"/>
    <n v="3202983.3361272058"/>
  </r>
  <r>
    <s v="Refaturamento - Regular"/>
    <x v="4"/>
    <x v="5"/>
    <x v="4"/>
    <x v="0"/>
    <x v="1"/>
    <x v="0"/>
    <x v="0"/>
    <x v="9"/>
    <n v="0"/>
    <n v="0"/>
    <n v="-48.32"/>
    <n v="-48.32"/>
    <n v="-48.32"/>
    <n v="-48.32"/>
    <n v="0"/>
    <x v="3"/>
    <n v="0"/>
    <n v="0"/>
    <n v="54"/>
    <n v="97"/>
    <n v="0"/>
    <n v="301.38"/>
    <n v="287.29000000000002"/>
    <m/>
    <n v="410.24359616579511"/>
    <n v="307.78097374481121"/>
    <n v="0"/>
    <n v="-14562.6816"/>
    <n v="-13881.852800000001"/>
    <n v="0"/>
    <n v="-19822.970566731219"/>
    <n v="-14871.976651349278"/>
  </r>
  <r>
    <s v="Sistema de Compensação"/>
    <x v="4"/>
    <x v="5"/>
    <x v="4"/>
    <x v="0"/>
    <x v="1"/>
    <x v="0"/>
    <x v="0"/>
    <x v="9"/>
    <n v="0"/>
    <n v="0"/>
    <n v="716.80499999999995"/>
    <n v="716.80499999999995"/>
    <n v="716.80499999999995"/>
    <n v="716.80499999999995"/>
    <n v="3229"/>
    <x v="3"/>
    <n v="0"/>
    <n v="0"/>
    <n v="54"/>
    <n v="97"/>
    <n v="0"/>
    <n v="301.38"/>
    <n v="287.29000000000002"/>
    <m/>
    <n v="410.24359616579511"/>
    <n v="307.78097374481121"/>
    <n v="0"/>
    <n v="216030.69089999999"/>
    <n v="205930.90844999999"/>
    <n v="0"/>
    <n v="294064.66094962275"/>
    <n v="220618.94088514938"/>
  </r>
  <r>
    <s v="Sistema de Compensação"/>
    <x v="4"/>
    <x v="5"/>
    <x v="4"/>
    <x v="0"/>
    <x v="1"/>
    <x v="0"/>
    <x v="0"/>
    <x v="9"/>
    <n v="0"/>
    <n v="0"/>
    <n v="-36.679000000000002"/>
    <n v="-36.679000000000002"/>
    <n v="-36.679000000000002"/>
    <n v="-36.679000000000002"/>
    <n v="1"/>
    <x v="3"/>
    <n v="0"/>
    <n v="0"/>
    <n v="54"/>
    <n v="97"/>
    <n v="0"/>
    <n v="301.38"/>
    <n v="287.29000000000002"/>
    <m/>
    <n v="410.24359616579511"/>
    <n v="307.78097374481121"/>
    <n v="0"/>
    <n v="-11054.31702"/>
    <n v="-10537.509910000001"/>
    <n v="0"/>
    <n v="-15047.3248637652"/>
    <n v="-11289.098335985931"/>
  </r>
  <r>
    <s v="Regular"/>
    <x v="4"/>
    <x v="5"/>
    <x v="4"/>
    <x v="0"/>
    <x v="1"/>
    <x v="0"/>
    <x v="0"/>
    <x v="10"/>
    <n v="0"/>
    <n v="0"/>
    <n v="10525.566999999999"/>
    <n v="10525.566999999999"/>
    <n v="10525.566999999999"/>
    <n v="10525.566999999999"/>
    <n v="53843"/>
    <x v="3"/>
    <n v="0"/>
    <n v="0"/>
    <n v="54"/>
    <n v="97"/>
    <n v="0"/>
    <n v="301.38"/>
    <n v="287.29000000000002"/>
    <m/>
    <n v="410.24359616579511"/>
    <n v="307.78097374481121"/>
    <n v="0"/>
    <n v="3172195.3824599995"/>
    <n v="3023890.1434300002"/>
    <n v="0"/>
    <n v="4318046.4577640193"/>
    <n v="3239569.2604762511"/>
  </r>
  <r>
    <s v="Refaturamento - Regular"/>
    <x v="4"/>
    <x v="5"/>
    <x v="4"/>
    <x v="0"/>
    <x v="1"/>
    <x v="0"/>
    <x v="0"/>
    <x v="10"/>
    <n v="0"/>
    <n v="0"/>
    <n v="-49.116"/>
    <n v="-49.116"/>
    <n v="-49.116"/>
    <n v="-49.116"/>
    <n v="0"/>
    <x v="3"/>
    <n v="0"/>
    <n v="0"/>
    <n v="54"/>
    <n v="97"/>
    <n v="0"/>
    <n v="301.38"/>
    <n v="287.29000000000002"/>
    <m/>
    <n v="410.24359616579511"/>
    <n v="307.78097374481121"/>
    <n v="0"/>
    <n v="-14802.58008"/>
    <n v="-14110.53564"/>
    <n v="0"/>
    <n v="-20149.524469279193"/>
    <n v="-15116.970306450146"/>
  </r>
  <r>
    <s v="Sistema de Compensação"/>
    <x v="4"/>
    <x v="5"/>
    <x v="4"/>
    <x v="0"/>
    <x v="1"/>
    <x v="0"/>
    <x v="0"/>
    <x v="10"/>
    <n v="0"/>
    <n v="0"/>
    <n v="723.64099999999996"/>
    <n v="723.64099999999996"/>
    <n v="723.64099999999996"/>
    <n v="723.64099999999996"/>
    <n v="3403"/>
    <x v="3"/>
    <n v="0"/>
    <n v="0"/>
    <n v="54"/>
    <n v="97"/>
    <n v="0"/>
    <n v="301.38"/>
    <n v="287.29000000000002"/>
    <m/>
    <n v="410.24359616579511"/>
    <n v="307.78097374481121"/>
    <n v="0"/>
    <n v="218090.92457999999"/>
    <n v="207894.82289000001"/>
    <n v="0"/>
    <n v="296869.0861730121"/>
    <n v="222722.93162166892"/>
  </r>
  <r>
    <s v="Sistema de Compensação"/>
    <x v="4"/>
    <x v="5"/>
    <x v="4"/>
    <x v="0"/>
    <x v="1"/>
    <x v="0"/>
    <x v="0"/>
    <x v="10"/>
    <n v="0"/>
    <n v="0"/>
    <n v="-13.597"/>
    <n v="-13.597"/>
    <n v="-13.597"/>
    <n v="-13.597"/>
    <n v="0"/>
    <x v="3"/>
    <n v="0"/>
    <n v="0"/>
    <n v="54"/>
    <n v="97"/>
    <n v="0"/>
    <n v="301.38"/>
    <n v="287.29000000000002"/>
    <m/>
    <n v="410.24359616579511"/>
    <n v="307.78097374481121"/>
    <n v="0"/>
    <n v="-4097.8638599999995"/>
    <n v="-3906.2821300000001"/>
    <n v="0"/>
    <n v="-5578.082177066316"/>
    <n v="-4184.8979000081981"/>
  </r>
  <r>
    <s v="PROJETADO"/>
    <x v="4"/>
    <x v="5"/>
    <x v="4"/>
    <x v="0"/>
    <x v="1"/>
    <x v="0"/>
    <x v="0"/>
    <x v="11"/>
    <n v="0"/>
    <n v="0"/>
    <n v="10525.566999999999"/>
    <n v="10525.566999999999"/>
    <n v="10525.566999999999"/>
    <n v="10525.566999999999"/>
    <n v="53843"/>
    <x v="3"/>
    <n v="0"/>
    <n v="0"/>
    <n v="54"/>
    <n v="97"/>
    <n v="0"/>
    <n v="301.38"/>
    <n v="287.29000000000002"/>
    <m/>
    <n v="410.24359616579511"/>
    <n v="307.78097374481121"/>
    <n v="0"/>
    <n v="3172195.3824599995"/>
    <n v="3023890.1434300002"/>
    <n v="0"/>
    <n v="4318046.4577640193"/>
    <n v="3239569.2604762511"/>
  </r>
  <r>
    <s v="PROJETADO"/>
    <x v="4"/>
    <x v="5"/>
    <x v="4"/>
    <x v="0"/>
    <x v="1"/>
    <x v="0"/>
    <x v="0"/>
    <x v="11"/>
    <n v="0"/>
    <n v="0"/>
    <n v="-49.116"/>
    <n v="-49.116"/>
    <n v="-49.116"/>
    <n v="-49.116"/>
    <n v="0"/>
    <x v="3"/>
    <n v="0"/>
    <n v="0"/>
    <n v="54"/>
    <n v="97"/>
    <n v="0"/>
    <n v="301.38"/>
    <n v="287.29000000000002"/>
    <m/>
    <n v="410.24359616579511"/>
    <n v="307.78097374481121"/>
    <n v="0"/>
    <n v="-14802.58008"/>
    <n v="-14110.53564"/>
    <n v="0"/>
    <n v="-20149.524469279193"/>
    <n v="-15116.970306450146"/>
  </r>
  <r>
    <s v="PROJETADO"/>
    <x v="4"/>
    <x v="5"/>
    <x v="4"/>
    <x v="0"/>
    <x v="1"/>
    <x v="0"/>
    <x v="0"/>
    <x v="11"/>
    <n v="0"/>
    <n v="0"/>
    <n v="723.64099999999996"/>
    <n v="723.64099999999996"/>
    <n v="723.64099999999996"/>
    <n v="723.64099999999996"/>
    <n v="3403"/>
    <x v="3"/>
    <n v="0"/>
    <n v="0"/>
    <n v="54"/>
    <n v="97"/>
    <n v="0"/>
    <n v="301.38"/>
    <n v="287.29000000000002"/>
    <m/>
    <n v="410.24359616579511"/>
    <n v="307.78097374481121"/>
    <n v="0"/>
    <n v="218090.92457999999"/>
    <n v="207894.82289000001"/>
    <n v="0"/>
    <n v="296869.0861730121"/>
    <n v="222722.93162166892"/>
  </r>
  <r>
    <s v="PROJETADO"/>
    <x v="4"/>
    <x v="5"/>
    <x v="4"/>
    <x v="0"/>
    <x v="1"/>
    <x v="0"/>
    <x v="0"/>
    <x v="11"/>
    <n v="0"/>
    <n v="0"/>
    <n v="-13.597"/>
    <n v="-13.597"/>
    <n v="-13.597"/>
    <n v="-13.597"/>
    <n v="0"/>
    <x v="3"/>
    <n v="0"/>
    <n v="0"/>
    <n v="54"/>
    <n v="97"/>
    <n v="0"/>
    <n v="301.38"/>
    <n v="287.29000000000002"/>
    <m/>
    <n v="410.24359616579511"/>
    <n v="307.78097374481121"/>
    <n v="0"/>
    <n v="-4097.8638599999995"/>
    <n v="-3906.2821300000001"/>
    <n v="0"/>
    <n v="-5578.082177066316"/>
    <n v="-4184.8979000081981"/>
  </r>
  <r>
    <s v="Regular"/>
    <x v="5"/>
    <x v="4"/>
    <x v="2"/>
    <x v="0"/>
    <x v="1"/>
    <x v="0"/>
    <x v="1"/>
    <x v="0"/>
    <n v="0"/>
    <n v="0"/>
    <n v="20.437000000000001"/>
    <n v="20.437000000000001"/>
    <n v="20.437000000000001"/>
    <n v="20.437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5531.4784200000013"/>
    <n v="6356.7244800000008"/>
    <n v="0"/>
    <n v="7225.0359535439238"/>
    <n v="6358.9403653161789"/>
  </r>
  <r>
    <s v="Sistema de Compensação"/>
    <x v="5"/>
    <x v="4"/>
    <x v="2"/>
    <x v="0"/>
    <x v="1"/>
    <x v="0"/>
    <x v="1"/>
    <x v="0"/>
    <n v="0"/>
    <n v="0"/>
    <n v="0.21"/>
    <n v="0.21"/>
    <n v="0.21"/>
    <n v="0.21"/>
    <n v="0"/>
    <x v="3"/>
    <n v="0"/>
    <n v="0"/>
    <n v="68"/>
    <n v="111"/>
    <n v="0"/>
    <n v="270.66000000000003"/>
    <n v="311.04000000000002"/>
    <m/>
    <n v="353.52722775084032"/>
    <n v="311.14842517571947"/>
    <n v="0"/>
    <n v="56.838600000000007"/>
    <n v="65.318399999999997"/>
    <n v="0"/>
    <n v="74.240717827676463"/>
    <n v="65.341169286901092"/>
  </r>
  <r>
    <s v="Regular"/>
    <x v="5"/>
    <x v="4"/>
    <x v="2"/>
    <x v="0"/>
    <x v="1"/>
    <x v="0"/>
    <x v="1"/>
    <x v="1"/>
    <n v="0"/>
    <n v="0"/>
    <n v="18.786000000000001"/>
    <n v="18.786000000000001"/>
    <n v="18.786000000000001"/>
    <n v="18.786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5084.6187600000012"/>
    <n v="5843.1974400000008"/>
    <n v="0"/>
    <n v="6641.362500527287"/>
    <n v="5845.2343153510665"/>
  </r>
  <r>
    <s v="Sistema de Compensação"/>
    <x v="5"/>
    <x v="4"/>
    <x v="2"/>
    <x v="0"/>
    <x v="1"/>
    <x v="0"/>
    <x v="1"/>
    <x v="1"/>
    <n v="0"/>
    <n v="0"/>
    <n v="0.76400000000000001"/>
    <n v="0.76400000000000001"/>
    <n v="0.76400000000000001"/>
    <n v="0.76400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206.78424000000001"/>
    <n v="237.63456000000002"/>
    <n v="0"/>
    <n v="270.09480200164199"/>
    <n v="237.71739683424968"/>
  </r>
  <r>
    <s v="Regular"/>
    <x v="5"/>
    <x v="4"/>
    <x v="2"/>
    <x v="0"/>
    <x v="1"/>
    <x v="0"/>
    <x v="1"/>
    <x v="2"/>
    <n v="0"/>
    <n v="0"/>
    <n v="19.821999999999999"/>
    <n v="19.821999999999999"/>
    <n v="19.821999999999999"/>
    <n v="19.821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5365.0225200000004"/>
    <n v="6165.4348799999998"/>
    <n v="0"/>
    <n v="7007.6167084771569"/>
    <n v="6167.5840838331114"/>
  </r>
  <r>
    <s v="Sistema de Compensação"/>
    <x v="5"/>
    <x v="4"/>
    <x v="2"/>
    <x v="0"/>
    <x v="1"/>
    <x v="0"/>
    <x v="1"/>
    <x v="2"/>
    <n v="0"/>
    <n v="0"/>
    <n v="0.41299999999999998"/>
    <n v="0.41299999999999998"/>
    <n v="0.41299999999999998"/>
    <n v="0.41299999999999998"/>
    <n v="0"/>
    <x v="3"/>
    <n v="0"/>
    <n v="0"/>
    <n v="68"/>
    <n v="111"/>
    <n v="0"/>
    <n v="270.66000000000003"/>
    <n v="311.04000000000002"/>
    <m/>
    <n v="353.52722775084032"/>
    <n v="311.14842517571947"/>
    <n v="0"/>
    <n v="111.78258000000001"/>
    <n v="128.45952"/>
    <n v="0"/>
    <n v="146.00674506109704"/>
    <n v="128.50429959757213"/>
  </r>
  <r>
    <s v="Regular"/>
    <x v="5"/>
    <x v="4"/>
    <x v="2"/>
    <x v="0"/>
    <x v="1"/>
    <x v="0"/>
    <x v="1"/>
    <x v="3"/>
    <n v="0"/>
    <n v="0"/>
    <n v="23.28"/>
    <n v="23.28"/>
    <n v="23.28"/>
    <n v="23.28"/>
    <n v="0"/>
    <x v="3"/>
    <n v="0"/>
    <n v="0"/>
    <n v="68"/>
    <n v="111"/>
    <n v="0"/>
    <n v="270.66000000000003"/>
    <n v="311.04000000000002"/>
    <m/>
    <n v="353.52722775084032"/>
    <n v="311.14842517571947"/>
    <n v="0"/>
    <n v="6300.9648000000007"/>
    <n v="7241.0112000000008"/>
    <n v="0"/>
    <n v="8230.1138620395632"/>
    <n v="7243.53533809075"/>
  </r>
  <r>
    <s v="Sistema de Compensação"/>
    <x v="5"/>
    <x v="4"/>
    <x v="2"/>
    <x v="0"/>
    <x v="1"/>
    <x v="0"/>
    <x v="1"/>
    <x v="3"/>
    <n v="0"/>
    <n v="0"/>
    <n v="0.33300000000000002"/>
    <n v="0.33300000000000002"/>
    <n v="0.33300000000000002"/>
    <n v="0.33300000000000002"/>
    <n v="0"/>
    <x v="3"/>
    <n v="0"/>
    <n v="0"/>
    <n v="68"/>
    <n v="111"/>
    <n v="0"/>
    <n v="270.66000000000003"/>
    <n v="311.04000000000002"/>
    <m/>
    <n v="353.52722775084032"/>
    <n v="311.14842517571947"/>
    <n v="0"/>
    <n v="90.129780000000011"/>
    <n v="103.57632000000001"/>
    <n v="0"/>
    <n v="117.72456684102984"/>
    <n v="103.61242558351459"/>
  </r>
  <r>
    <s v="Regular"/>
    <x v="5"/>
    <x v="4"/>
    <x v="2"/>
    <x v="0"/>
    <x v="1"/>
    <x v="0"/>
    <x v="1"/>
    <x v="4"/>
    <n v="0"/>
    <n v="0"/>
    <n v="26.207999999999998"/>
    <n v="26.207999999999998"/>
    <n v="26.207999999999998"/>
    <n v="26.207999999999998"/>
    <n v="0"/>
    <x v="3"/>
    <n v="0"/>
    <n v="0"/>
    <n v="68"/>
    <n v="111"/>
    <n v="0"/>
    <n v="270.66000000000003"/>
    <n v="311.04000000000002"/>
    <m/>
    <n v="353.52722775084032"/>
    <n v="311.14842517571947"/>
    <n v="0"/>
    <n v="7093.4572800000005"/>
    <n v="8151.73632"/>
    <n v="0"/>
    <n v="9265.2415848940218"/>
    <n v="8154.5779270052553"/>
  </r>
  <r>
    <s v="Sistema de Compensação"/>
    <x v="5"/>
    <x v="4"/>
    <x v="2"/>
    <x v="0"/>
    <x v="1"/>
    <x v="0"/>
    <x v="1"/>
    <x v="4"/>
    <n v="0"/>
    <n v="0"/>
    <n v="0.24299999999999999"/>
    <n v="0.24299999999999999"/>
    <n v="0.24299999999999999"/>
    <n v="0.24299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65.770380000000003"/>
    <n v="75.582720000000009"/>
    <n v="0"/>
    <n v="85.907116343454192"/>
    <n v="75.609067317699825"/>
  </r>
  <r>
    <s v="Regular"/>
    <x v="5"/>
    <x v="4"/>
    <x v="2"/>
    <x v="0"/>
    <x v="1"/>
    <x v="0"/>
    <x v="1"/>
    <x v="5"/>
    <n v="0"/>
    <n v="0"/>
    <n v="24.140999999999998"/>
    <n v="24.140999999999998"/>
    <n v="24.140999999999998"/>
    <n v="24.140999999999998"/>
    <n v="0"/>
    <x v="3"/>
    <n v="0"/>
    <n v="0"/>
    <n v="68"/>
    <n v="111"/>
    <n v="0"/>
    <n v="270.66000000000003"/>
    <n v="311.04000000000002"/>
    <m/>
    <n v="353.52722775084032"/>
    <n v="311.14842517571947"/>
    <n v="0"/>
    <n v="6534.00306"/>
    <n v="7508.81664"/>
    <n v="0"/>
    <n v="8534.5008051330351"/>
    <n v="7511.4341321670427"/>
  </r>
  <r>
    <s v="Sistema de Compensação"/>
    <x v="5"/>
    <x v="4"/>
    <x v="2"/>
    <x v="0"/>
    <x v="1"/>
    <x v="0"/>
    <x v="1"/>
    <x v="5"/>
    <n v="0"/>
    <n v="0"/>
    <n v="1.292"/>
    <n v="1.292"/>
    <n v="1.292"/>
    <n v="1.292"/>
    <n v="0"/>
    <x v="3"/>
    <n v="0"/>
    <n v="0"/>
    <n v="68"/>
    <n v="111"/>
    <n v="0"/>
    <n v="270.66000000000003"/>
    <n v="311.04000000000002"/>
    <m/>
    <n v="353.52722775084032"/>
    <n v="311.14842517571947"/>
    <n v="0"/>
    <n v="349.69272000000007"/>
    <n v="401.86368000000004"/>
    <n v="0"/>
    <n v="456.75717825408572"/>
    <n v="402.00376532702956"/>
  </r>
  <r>
    <s v="Regular"/>
    <x v="5"/>
    <x v="4"/>
    <x v="2"/>
    <x v="0"/>
    <x v="1"/>
    <x v="0"/>
    <x v="1"/>
    <x v="6"/>
    <n v="0"/>
    <n v="0"/>
    <n v="32.573"/>
    <n v="32.573"/>
    <n v="32.573"/>
    <n v="32.573"/>
    <n v="0"/>
    <x v="3"/>
    <n v="0"/>
    <n v="0"/>
    <n v="68"/>
    <n v="111"/>
    <n v="0"/>
    <n v="270.66000000000003"/>
    <n v="311.04000000000002"/>
    <m/>
    <n v="353.52722775084032"/>
    <n v="311.14842517571947"/>
    <n v="0"/>
    <n v="8816.2081800000014"/>
    <n v="10131.505920000001"/>
    <n v="0"/>
    <n v="11515.442389528122"/>
    <n v="10135.03765324871"/>
  </r>
  <r>
    <s v="Sistema de Compensação"/>
    <x v="5"/>
    <x v="4"/>
    <x v="2"/>
    <x v="0"/>
    <x v="1"/>
    <x v="0"/>
    <x v="1"/>
    <x v="6"/>
    <n v="0"/>
    <n v="0"/>
    <n v="0.91600000000000004"/>
    <n v="0.91600000000000004"/>
    <n v="0.91600000000000004"/>
    <n v="0.91600000000000004"/>
    <n v="0"/>
    <x v="3"/>
    <n v="0"/>
    <n v="0"/>
    <n v="68"/>
    <n v="111"/>
    <n v="0"/>
    <n v="270.66000000000003"/>
    <n v="311.04000000000002"/>
    <m/>
    <n v="353.52722775084032"/>
    <n v="311.14842517571947"/>
    <n v="0"/>
    <n v="247.92456000000004"/>
    <n v="284.91264000000001"/>
    <n v="0"/>
    <n v="323.83094061976976"/>
    <n v="285.01195746095902"/>
  </r>
  <r>
    <s v="Regular"/>
    <x v="5"/>
    <x v="4"/>
    <x v="2"/>
    <x v="0"/>
    <x v="1"/>
    <x v="0"/>
    <x v="1"/>
    <x v="7"/>
    <n v="0"/>
    <n v="0"/>
    <n v="29.626000000000001"/>
    <n v="29.626000000000001"/>
    <n v="29.626000000000001"/>
    <n v="29.626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8018.5731600000008"/>
    <n v="9214.8710400000018"/>
    <n v="0"/>
    <n v="10473.597649346397"/>
    <n v="9218.0832442558658"/>
  </r>
  <r>
    <s v="Refaturamento - Regular"/>
    <x v="5"/>
    <x v="4"/>
    <x v="2"/>
    <x v="0"/>
    <x v="1"/>
    <x v="0"/>
    <x v="1"/>
    <x v="7"/>
    <n v="0"/>
    <n v="0"/>
    <n v="-4.0430000000000001"/>
    <n v="-4.0430000000000001"/>
    <n v="-4.0430000000000001"/>
    <n v="-4.0430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-1094.2783800000002"/>
    <n v="-1257.5347200000001"/>
    <n v="0"/>
    <n v="-1429.3105817966475"/>
    <n v="-1257.9730829854338"/>
  </r>
  <r>
    <s v="Sistema de Compensação"/>
    <x v="5"/>
    <x v="4"/>
    <x v="2"/>
    <x v="0"/>
    <x v="1"/>
    <x v="0"/>
    <x v="1"/>
    <x v="7"/>
    <n v="0"/>
    <n v="0"/>
    <n v="1.5860000000000001"/>
    <n v="1.5860000000000001"/>
    <n v="1.5860000000000001"/>
    <n v="1.5860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429.26676000000003"/>
    <n v="493.30944000000005"/>
    <n v="0"/>
    <n v="560.69418321283274"/>
    <n v="493.4814023286911"/>
  </r>
  <r>
    <s v="Regular"/>
    <x v="5"/>
    <x v="4"/>
    <x v="2"/>
    <x v="0"/>
    <x v="1"/>
    <x v="0"/>
    <x v="1"/>
    <x v="8"/>
    <n v="0"/>
    <n v="0"/>
    <n v="30.038"/>
    <n v="30.038"/>
    <n v="30.038"/>
    <n v="30.038"/>
    <n v="0"/>
    <x v="3"/>
    <n v="0"/>
    <n v="0"/>
    <n v="68"/>
    <n v="111"/>
    <n v="0"/>
    <n v="270.66000000000003"/>
    <n v="311.04000000000002"/>
    <m/>
    <n v="353.52722775084032"/>
    <n v="311.14842517571947"/>
    <n v="0"/>
    <n v="8130.0850800000007"/>
    <n v="9343.0195199999998"/>
    <n v="0"/>
    <n v="10619.250867179742"/>
    <n v="9346.2763954282618"/>
  </r>
  <r>
    <s v="Sistema de Compensação"/>
    <x v="5"/>
    <x v="4"/>
    <x v="2"/>
    <x v="0"/>
    <x v="1"/>
    <x v="0"/>
    <x v="1"/>
    <x v="8"/>
    <n v="0"/>
    <n v="0"/>
    <n v="0.55500000000000005"/>
    <n v="0.55500000000000005"/>
    <n v="0.55500000000000005"/>
    <n v="0.55500000000000005"/>
    <n v="0"/>
    <x v="3"/>
    <n v="0"/>
    <n v="0"/>
    <n v="68"/>
    <n v="111"/>
    <n v="0"/>
    <n v="270.66000000000003"/>
    <n v="311.04000000000002"/>
    <m/>
    <n v="353.52722775084032"/>
    <n v="311.14842517571947"/>
    <n v="0"/>
    <n v="150.21630000000002"/>
    <n v="172.62720000000002"/>
    <n v="0"/>
    <n v="196.20761140171641"/>
    <n v="172.68737597252431"/>
  </r>
  <r>
    <s v="Regular"/>
    <x v="5"/>
    <x v="4"/>
    <x v="2"/>
    <x v="0"/>
    <x v="1"/>
    <x v="0"/>
    <x v="1"/>
    <x v="9"/>
    <n v="0"/>
    <n v="0"/>
    <n v="29.065000000000001"/>
    <n v="29.065000000000001"/>
    <n v="29.065000000000001"/>
    <n v="29.065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7866.7329000000009"/>
    <n v="9040.3776000000016"/>
    <n v="0"/>
    <n v="10275.268874578174"/>
    <n v="9043.5289777322869"/>
  </r>
  <r>
    <s v="Sistema de Compensação"/>
    <x v="5"/>
    <x v="4"/>
    <x v="2"/>
    <x v="0"/>
    <x v="1"/>
    <x v="0"/>
    <x v="1"/>
    <x v="9"/>
    <n v="0"/>
    <n v="0"/>
    <n v="0.64200000000000002"/>
    <n v="0.64200000000000002"/>
    <n v="0.64200000000000002"/>
    <n v="0.64200000000000002"/>
    <n v="0"/>
    <x v="3"/>
    <n v="0"/>
    <n v="0"/>
    <n v="68"/>
    <n v="111"/>
    <n v="0"/>
    <n v="270.66000000000003"/>
    <n v="311.04000000000002"/>
    <m/>
    <n v="353.52722775084032"/>
    <n v="311.14842517571947"/>
    <n v="0"/>
    <n v="173.76372000000001"/>
    <n v="199.68768000000003"/>
    <n v="0"/>
    <n v="226.9644802160395"/>
    <n v="199.75728896281191"/>
  </r>
  <r>
    <s v="Regular"/>
    <x v="5"/>
    <x v="4"/>
    <x v="2"/>
    <x v="0"/>
    <x v="1"/>
    <x v="0"/>
    <x v="1"/>
    <x v="10"/>
    <n v="0"/>
    <n v="0"/>
    <n v="28.821999999999999"/>
    <n v="28.821999999999999"/>
    <n v="28.821999999999999"/>
    <n v="28.821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7800.9625200000009"/>
    <n v="8964.7948799999995"/>
    <n v="0"/>
    <n v="10189.36175823472"/>
    <n v="8967.9199104145864"/>
  </r>
  <r>
    <s v="Sistema de Compensação"/>
    <x v="5"/>
    <x v="4"/>
    <x v="2"/>
    <x v="0"/>
    <x v="1"/>
    <x v="0"/>
    <x v="1"/>
    <x v="10"/>
    <n v="0"/>
    <n v="0"/>
    <n v="0.17599999999999999"/>
    <n v="0.17599999999999999"/>
    <n v="0.17599999999999999"/>
    <n v="0.17599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47.636160000000004"/>
    <n v="54.743040000000001"/>
    <n v="0"/>
    <n v="62.220792084147895"/>
    <n v="54.762122830926621"/>
  </r>
  <r>
    <s v="PROJETADO"/>
    <x v="5"/>
    <x v="4"/>
    <x v="2"/>
    <x v="0"/>
    <x v="1"/>
    <x v="0"/>
    <x v="1"/>
    <x v="11"/>
    <n v="0"/>
    <n v="0"/>
    <n v="28.821999999999999"/>
    <n v="28.821999999999999"/>
    <n v="28.821999999999999"/>
    <n v="28.821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7800.9625200000009"/>
    <n v="8964.7948799999995"/>
    <n v="0"/>
    <n v="10189.36175823472"/>
    <n v="8967.9199104145864"/>
  </r>
  <r>
    <s v="PROJETADO"/>
    <x v="5"/>
    <x v="4"/>
    <x v="2"/>
    <x v="0"/>
    <x v="1"/>
    <x v="0"/>
    <x v="1"/>
    <x v="11"/>
    <n v="0"/>
    <n v="0"/>
    <n v="0.17599999999999999"/>
    <n v="0.17599999999999999"/>
    <n v="0.17599999999999999"/>
    <n v="0.17599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47.636160000000004"/>
    <n v="54.743040000000001"/>
    <n v="0"/>
    <n v="62.220792084147895"/>
    <n v="54.762122830926621"/>
  </r>
  <r>
    <s v="Regular"/>
    <x v="5"/>
    <x v="4"/>
    <x v="2"/>
    <x v="0"/>
    <x v="1"/>
    <x v="0"/>
    <x v="3"/>
    <x v="0"/>
    <n v="0"/>
    <n v="0"/>
    <n v="1.6850000000000001"/>
    <n v="1.6850000000000001"/>
    <n v="1.6850000000000001"/>
    <n v="1.685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970.42520000000002"/>
    <n v="524.1024000000001"/>
    <n v="0"/>
    <n v="1189.3760415667543"/>
    <n v="524.28509642108736"/>
  </r>
  <r>
    <s v="Sistema de Compensação"/>
    <x v="5"/>
    <x v="4"/>
    <x v="2"/>
    <x v="0"/>
    <x v="1"/>
    <x v="0"/>
    <x v="3"/>
    <x v="0"/>
    <n v="0"/>
    <n v="0"/>
    <n v="0.151"/>
    <n v="0.151"/>
    <n v="0.151"/>
    <n v="0.151"/>
    <n v="0"/>
    <x v="3"/>
    <n v="0"/>
    <n v="0"/>
    <n v="67"/>
    <n v="110"/>
    <n v="0"/>
    <n v="575.91999999999996"/>
    <n v="311.04000000000002"/>
    <m/>
    <n v="705.86115226513607"/>
    <n v="311.14842517571947"/>
    <n v="0"/>
    <n v="86.963919999999987"/>
    <n v="46.967040000000004"/>
    <n v="0"/>
    <n v="106.58503399203555"/>
    <n v="46.983412201533639"/>
  </r>
  <r>
    <s v="Regular"/>
    <x v="5"/>
    <x v="4"/>
    <x v="2"/>
    <x v="0"/>
    <x v="1"/>
    <x v="0"/>
    <x v="3"/>
    <x v="1"/>
    <n v="0"/>
    <n v="0"/>
    <n v="1.4850000000000001"/>
    <n v="1.4850000000000001"/>
    <n v="1.4850000000000001"/>
    <n v="1.485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855.24120000000005"/>
    <n v="461.89440000000008"/>
    <n v="0"/>
    <n v="1048.2038111137272"/>
    <n v="462.05541138594344"/>
  </r>
  <r>
    <s v="Sistema de Compensação"/>
    <x v="5"/>
    <x v="4"/>
    <x v="2"/>
    <x v="0"/>
    <x v="1"/>
    <x v="0"/>
    <x v="3"/>
    <x v="1"/>
    <n v="0"/>
    <n v="0"/>
    <n v="0.153"/>
    <n v="0.153"/>
    <n v="0.153"/>
    <n v="0.153"/>
    <n v="0"/>
    <x v="3"/>
    <n v="0"/>
    <n v="0"/>
    <n v="67"/>
    <n v="110"/>
    <n v="0"/>
    <n v="575.91999999999996"/>
    <n v="311.04000000000002"/>
    <m/>
    <n v="705.86115226513607"/>
    <n v="311.14842517571947"/>
    <n v="0"/>
    <n v="88.115759999999995"/>
    <n v="47.589120000000001"/>
    <n v="0"/>
    <n v="107.99675629656582"/>
    <n v="47.605709051885079"/>
  </r>
  <r>
    <s v="Regular"/>
    <x v="5"/>
    <x v="4"/>
    <x v="2"/>
    <x v="0"/>
    <x v="1"/>
    <x v="0"/>
    <x v="3"/>
    <x v="2"/>
    <n v="0"/>
    <n v="0"/>
    <n v="1.59"/>
    <n v="1.59"/>
    <n v="1.59"/>
    <n v="1.59"/>
    <n v="0"/>
    <x v="3"/>
    <n v="0"/>
    <n v="0"/>
    <n v="67"/>
    <n v="110"/>
    <n v="0"/>
    <n v="575.91999999999996"/>
    <n v="311.04000000000002"/>
    <m/>
    <n v="705.86115226513607"/>
    <n v="311.14842517571947"/>
    <n v="0"/>
    <n v="915.71280000000002"/>
    <n v="494.55360000000007"/>
    <n v="0"/>
    <n v="1122.3192321015665"/>
    <n v="494.72599602939397"/>
  </r>
  <r>
    <s v="Sistema de Compensação"/>
    <x v="5"/>
    <x v="4"/>
    <x v="2"/>
    <x v="0"/>
    <x v="1"/>
    <x v="0"/>
    <x v="3"/>
    <x v="2"/>
    <n v="0"/>
    <n v="0"/>
    <n v="0.156"/>
    <n v="0.156"/>
    <n v="0.156"/>
    <n v="0.156"/>
    <n v="0"/>
    <x v="3"/>
    <n v="0"/>
    <n v="0"/>
    <n v="67"/>
    <n v="110"/>
    <n v="0"/>
    <n v="575.91999999999996"/>
    <n v="311.04000000000002"/>
    <m/>
    <n v="705.86115226513607"/>
    <n v="311.14842517571947"/>
    <n v="0"/>
    <n v="89.843519999999998"/>
    <n v="48.522240000000004"/>
    <n v="0"/>
    <n v="110.11433975336122"/>
    <n v="48.539154327412234"/>
  </r>
  <r>
    <s v="Regular"/>
    <x v="5"/>
    <x v="4"/>
    <x v="2"/>
    <x v="0"/>
    <x v="1"/>
    <x v="0"/>
    <x v="3"/>
    <x v="3"/>
    <n v="0"/>
    <n v="0"/>
    <n v="1.8169999999999999"/>
    <n v="1.8169999999999999"/>
    <n v="1.8169999999999999"/>
    <n v="1.8169999999999999"/>
    <n v="0"/>
    <x v="3"/>
    <n v="0"/>
    <n v="0"/>
    <n v="67"/>
    <n v="110"/>
    <n v="0"/>
    <n v="575.91999999999996"/>
    <n v="311.04000000000002"/>
    <m/>
    <n v="705.86115226513607"/>
    <n v="311.14842517571947"/>
    <n v="0"/>
    <n v="1046.4466399999999"/>
    <n v="565.15967999999998"/>
    <n v="0"/>
    <n v="1282.5497136657523"/>
    <n v="565.35668854428229"/>
  </r>
  <r>
    <s v="Sistema de Compensação"/>
    <x v="5"/>
    <x v="4"/>
    <x v="2"/>
    <x v="0"/>
    <x v="1"/>
    <x v="0"/>
    <x v="3"/>
    <x v="3"/>
    <n v="0"/>
    <n v="0"/>
    <n v="0.17100000000000001"/>
    <n v="0.17100000000000001"/>
    <n v="0.17100000000000001"/>
    <n v="0.1710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98.482320000000001"/>
    <n v="53.187840000000008"/>
    <n v="0"/>
    <n v="120.70225703733827"/>
    <n v="53.206380705048034"/>
  </r>
  <r>
    <s v="Regular"/>
    <x v="5"/>
    <x v="4"/>
    <x v="2"/>
    <x v="0"/>
    <x v="1"/>
    <x v="0"/>
    <x v="3"/>
    <x v="4"/>
    <n v="0"/>
    <n v="0"/>
    <n v="2.0070000000000001"/>
    <n v="2.0070000000000001"/>
    <n v="2.0070000000000001"/>
    <n v="2.007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1155.8714399999999"/>
    <n v="624.25728000000004"/>
    <n v="0"/>
    <n v="1416.6633325961282"/>
    <n v="624.47488932766896"/>
  </r>
  <r>
    <s v="Sistema de Compensação"/>
    <x v="5"/>
    <x v="4"/>
    <x v="2"/>
    <x v="0"/>
    <x v="1"/>
    <x v="0"/>
    <x v="3"/>
    <x v="4"/>
    <n v="0"/>
    <n v="0"/>
    <n v="0.16700000000000001"/>
    <n v="0.16700000000000001"/>
    <n v="0.16700000000000001"/>
    <n v="0.1670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96.178640000000001"/>
    <n v="51.943680000000008"/>
    <n v="0"/>
    <n v="117.87881242827773"/>
    <n v="51.961787004345155"/>
  </r>
  <r>
    <s v="Regular"/>
    <x v="5"/>
    <x v="4"/>
    <x v="2"/>
    <x v="0"/>
    <x v="1"/>
    <x v="0"/>
    <x v="3"/>
    <x v="5"/>
    <n v="0"/>
    <n v="0"/>
    <n v="1.679"/>
    <n v="1.679"/>
    <n v="1.679"/>
    <n v="1.679"/>
    <n v="0"/>
    <x v="3"/>
    <n v="0"/>
    <n v="0"/>
    <n v="67"/>
    <n v="110"/>
    <n v="0"/>
    <n v="575.91999999999996"/>
    <n v="311.04000000000002"/>
    <m/>
    <n v="705.86115226513607"/>
    <n v="311.14842517571947"/>
    <n v="0"/>
    <n v="966.96967999999993"/>
    <n v="522.23616000000004"/>
    <n v="0"/>
    <n v="1185.1408746531636"/>
    <n v="522.41820587003303"/>
  </r>
  <r>
    <s v="Sistema de Compensação"/>
    <x v="5"/>
    <x v="4"/>
    <x v="2"/>
    <x v="0"/>
    <x v="1"/>
    <x v="0"/>
    <x v="3"/>
    <x v="5"/>
    <n v="0"/>
    <n v="0"/>
    <n v="0.161"/>
    <n v="0.161"/>
    <n v="0.161"/>
    <n v="0.161"/>
    <n v="0"/>
    <x v="3"/>
    <n v="0"/>
    <n v="0"/>
    <n v="67"/>
    <n v="110"/>
    <n v="0"/>
    <n v="575.91999999999996"/>
    <n v="311.04000000000002"/>
    <m/>
    <n v="705.86115226513607"/>
    <n v="311.14842517571947"/>
    <n v="0"/>
    <n v="92.723119999999994"/>
    <n v="50.077440000000003"/>
    <n v="0"/>
    <n v="113.64364551468691"/>
    <n v="50.094896453290836"/>
  </r>
  <r>
    <s v="Regular"/>
    <x v="5"/>
    <x v="4"/>
    <x v="2"/>
    <x v="0"/>
    <x v="1"/>
    <x v="0"/>
    <x v="3"/>
    <x v="6"/>
    <n v="0"/>
    <n v="0"/>
    <n v="2.3490000000000002"/>
    <n v="2.3490000000000002"/>
    <n v="2.3490000000000002"/>
    <n v="2.3490000000000002"/>
    <n v="0"/>
    <x v="3"/>
    <n v="0"/>
    <n v="0"/>
    <n v="67"/>
    <n v="110"/>
    <n v="0"/>
    <n v="575.91999999999996"/>
    <n v="311.04000000000002"/>
    <m/>
    <n v="705.86115226513607"/>
    <n v="311.14842517571947"/>
    <n v="0"/>
    <n v="1352.83608"/>
    <n v="730.63296000000014"/>
    <n v="0"/>
    <n v="1658.0678466708048"/>
    <n v="730.88765073776506"/>
  </r>
  <r>
    <s v="Sistema de Compensação"/>
    <x v="5"/>
    <x v="4"/>
    <x v="2"/>
    <x v="0"/>
    <x v="1"/>
    <x v="0"/>
    <x v="3"/>
    <x v="6"/>
    <n v="0"/>
    <n v="0"/>
    <n v="0.17799999999999999"/>
    <n v="0.17799999999999999"/>
    <n v="0.17799999999999999"/>
    <n v="0.17799999999999999"/>
    <n v="0"/>
    <x v="3"/>
    <n v="0"/>
    <n v="0"/>
    <n v="67"/>
    <n v="110"/>
    <n v="0"/>
    <n v="575.91999999999996"/>
    <n v="311.04000000000002"/>
    <m/>
    <n v="705.86115226513607"/>
    <n v="311.14842517571947"/>
    <n v="0"/>
    <n v="102.51375999999999"/>
    <n v="55.365120000000005"/>
    <n v="0"/>
    <n v="125.64328510319422"/>
    <n v="55.384419681278061"/>
  </r>
  <r>
    <s v="Regular"/>
    <x v="5"/>
    <x v="4"/>
    <x v="2"/>
    <x v="0"/>
    <x v="1"/>
    <x v="0"/>
    <x v="3"/>
    <x v="7"/>
    <n v="0"/>
    <n v="0"/>
    <n v="2.1150000000000002"/>
    <n v="2.1150000000000002"/>
    <n v="2.1150000000000002"/>
    <n v="2.1150000000000002"/>
    <n v="0"/>
    <x v="3"/>
    <n v="0"/>
    <n v="0"/>
    <n v="67"/>
    <n v="110"/>
    <n v="0"/>
    <n v="575.91999999999996"/>
    <n v="311.04000000000002"/>
    <m/>
    <n v="705.86115226513607"/>
    <n v="311.14842517571947"/>
    <n v="0"/>
    <n v="1218.0708"/>
    <n v="657.84960000000012"/>
    <n v="0"/>
    <n v="1492.896337040763"/>
    <n v="658.07891924664671"/>
  </r>
  <r>
    <s v="Refaturamento - Regular"/>
    <x v="5"/>
    <x v="4"/>
    <x v="2"/>
    <x v="0"/>
    <x v="1"/>
    <x v="0"/>
    <x v="3"/>
    <x v="7"/>
    <n v="0"/>
    <n v="0"/>
    <n v="-0.36"/>
    <n v="-0.36"/>
    <n v="-0.36"/>
    <n v="-0.36"/>
    <n v="0"/>
    <x v="3"/>
    <n v="0"/>
    <n v="0"/>
    <n v="67"/>
    <n v="110"/>
    <n v="0"/>
    <n v="575.91999999999996"/>
    <n v="311.04000000000002"/>
    <m/>
    <n v="705.86115226513607"/>
    <n v="311.14842517571947"/>
    <n v="0"/>
    <n v="-207.33119999999997"/>
    <n v="-111.9744"/>
    <n v="0"/>
    <n v="-254.11001481544898"/>
    <n v="-112.013433063259"/>
  </r>
  <r>
    <s v="Sistema de Compensação"/>
    <x v="5"/>
    <x v="4"/>
    <x v="2"/>
    <x v="0"/>
    <x v="1"/>
    <x v="0"/>
    <x v="3"/>
    <x v="7"/>
    <n v="0"/>
    <n v="0"/>
    <n v="0.191"/>
    <n v="0.191"/>
    <n v="0.191"/>
    <n v="0.191"/>
    <n v="0"/>
    <x v="3"/>
    <n v="0"/>
    <n v="0"/>
    <n v="67"/>
    <n v="110"/>
    <n v="0"/>
    <n v="575.91999999999996"/>
    <n v="311.04000000000002"/>
    <m/>
    <n v="705.86115226513607"/>
    <n v="311.14842517571947"/>
    <n v="0"/>
    <n v="110.00071999999999"/>
    <n v="59.408640000000005"/>
    <n v="0"/>
    <n v="134.81948008264098"/>
    <n v="59.429349208562421"/>
  </r>
  <r>
    <s v="Regular"/>
    <x v="5"/>
    <x v="4"/>
    <x v="2"/>
    <x v="0"/>
    <x v="1"/>
    <x v="0"/>
    <x v="3"/>
    <x v="8"/>
    <n v="0"/>
    <n v="0"/>
    <n v="2.2090000000000001"/>
    <n v="2.2090000000000001"/>
    <n v="2.2090000000000001"/>
    <n v="2.209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1272.2072799999999"/>
    <n v="687.0873600000001"/>
    <n v="0"/>
    <n v="1559.2472853536856"/>
    <n v="687.32687121316428"/>
  </r>
  <r>
    <s v="Sistema de Compensação"/>
    <x v="5"/>
    <x v="4"/>
    <x v="2"/>
    <x v="0"/>
    <x v="1"/>
    <x v="0"/>
    <x v="3"/>
    <x v="8"/>
    <n v="0"/>
    <n v="0"/>
    <n v="0.16400000000000001"/>
    <n v="0.16400000000000001"/>
    <n v="0.16400000000000001"/>
    <n v="0.1640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94.450879999999998"/>
    <n v="51.010560000000005"/>
    <n v="0"/>
    <n v="115.76122897148232"/>
    <n v="51.028341728817992"/>
  </r>
  <r>
    <s v="Regular"/>
    <x v="5"/>
    <x v="4"/>
    <x v="2"/>
    <x v="0"/>
    <x v="1"/>
    <x v="0"/>
    <x v="3"/>
    <x v="9"/>
    <n v="0"/>
    <n v="0"/>
    <n v="2.0680000000000001"/>
    <n v="2.0680000000000001"/>
    <n v="2.0680000000000001"/>
    <n v="2.068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1191.0025599999999"/>
    <n v="643.23072000000002"/>
    <n v="0"/>
    <n v="1459.7208628843014"/>
    <n v="643.45494326338792"/>
  </r>
  <r>
    <s v="Sistema de Compensação"/>
    <x v="5"/>
    <x v="4"/>
    <x v="2"/>
    <x v="0"/>
    <x v="1"/>
    <x v="0"/>
    <x v="3"/>
    <x v="9"/>
    <n v="0"/>
    <n v="0"/>
    <n v="3.7999999999999999E-2"/>
    <n v="3.7999999999999999E-2"/>
    <n v="3.7999999999999999E-2"/>
    <n v="3.7999999999999999E-2"/>
    <n v="0"/>
    <x v="3"/>
    <n v="0"/>
    <n v="0"/>
    <n v="67"/>
    <n v="110"/>
    <n v="0"/>
    <n v="575.91999999999996"/>
    <n v="311.04000000000002"/>
    <m/>
    <n v="705.86115226513607"/>
    <n v="311.14842517571947"/>
    <n v="0"/>
    <n v="21.88496"/>
    <n v="11.819520000000001"/>
    <n v="0"/>
    <n v="26.822723786075169"/>
    <n v="11.823640156677339"/>
  </r>
  <r>
    <s v="Regular"/>
    <x v="5"/>
    <x v="4"/>
    <x v="2"/>
    <x v="0"/>
    <x v="1"/>
    <x v="0"/>
    <x v="3"/>
    <x v="10"/>
    <n v="0"/>
    <n v="0"/>
    <n v="2.117"/>
    <n v="2.117"/>
    <n v="2.117"/>
    <n v="2.117"/>
    <n v="0"/>
    <x v="3"/>
    <n v="0"/>
    <n v="0"/>
    <n v="67"/>
    <n v="110"/>
    <n v="0"/>
    <n v="575.91999999999996"/>
    <n v="311.04000000000002"/>
    <m/>
    <n v="705.86115226513607"/>
    <n v="311.14842517571947"/>
    <n v="0"/>
    <n v="1219.22264"/>
    <n v="658.47167999999999"/>
    <n v="0"/>
    <n v="1494.308059345293"/>
    <n v="658.70121609699811"/>
  </r>
  <r>
    <s v="PROJETADO"/>
    <x v="5"/>
    <x v="4"/>
    <x v="2"/>
    <x v="0"/>
    <x v="1"/>
    <x v="0"/>
    <x v="3"/>
    <x v="11"/>
    <n v="0"/>
    <n v="0"/>
    <n v="2.117"/>
    <n v="2.117"/>
    <n v="2.117"/>
    <n v="2.117"/>
    <n v="0"/>
    <x v="3"/>
    <n v="0"/>
    <n v="0"/>
    <n v="67"/>
    <n v="110"/>
    <n v="0"/>
    <n v="575.91999999999996"/>
    <n v="311.04000000000002"/>
    <m/>
    <n v="705.86115226513607"/>
    <n v="311.14842517571947"/>
    <n v="0"/>
    <n v="1219.22264"/>
    <n v="658.47167999999999"/>
    <n v="0"/>
    <n v="1494.308059345293"/>
    <n v="658.70121609699811"/>
  </r>
  <r>
    <s v="Regular"/>
    <x v="5"/>
    <x v="4"/>
    <x v="2"/>
    <x v="0"/>
    <x v="1"/>
    <x v="0"/>
    <x v="2"/>
    <x v="0"/>
    <n v="0"/>
    <n v="0"/>
    <n v="2.0649999999999999"/>
    <n v="2.0649999999999999"/>
    <n v="2.0649999999999999"/>
    <n v="2.0649999999999999"/>
    <n v="0"/>
    <x v="3"/>
    <n v="0"/>
    <n v="0"/>
    <n v="66"/>
    <n v="109"/>
    <n v="0"/>
    <n v="881.18"/>
    <n v="496.15"/>
    <m/>
    <n v="1058.1950767794315"/>
    <n v="506.4861368306324"/>
    <n v="0"/>
    <n v="1819.6366999999998"/>
    <n v="1024.5497499999999"/>
    <n v="0"/>
    <n v="2185.1728335495259"/>
    <n v="1045.8938725552559"/>
  </r>
  <r>
    <s v="Sistema de Compensação"/>
    <x v="5"/>
    <x v="4"/>
    <x v="2"/>
    <x v="0"/>
    <x v="1"/>
    <x v="0"/>
    <x v="2"/>
    <x v="0"/>
    <n v="0"/>
    <n v="0"/>
    <n v="0.217"/>
    <n v="0.217"/>
    <n v="0.217"/>
    <n v="0.217"/>
    <n v="0"/>
    <x v="3"/>
    <n v="0"/>
    <n v="0"/>
    <n v="66"/>
    <n v="109"/>
    <n v="0"/>
    <n v="881.18"/>
    <n v="496.15"/>
    <m/>
    <n v="1058.1950767794315"/>
    <n v="506.4861368306324"/>
    <n v="0"/>
    <n v="191.21606"/>
    <n v="107.66454999999999"/>
    <n v="0"/>
    <n v="229.62833166113663"/>
    <n v="109.90749169224723"/>
  </r>
  <r>
    <s v="Regular"/>
    <x v="5"/>
    <x v="4"/>
    <x v="2"/>
    <x v="0"/>
    <x v="1"/>
    <x v="0"/>
    <x v="2"/>
    <x v="1"/>
    <n v="0"/>
    <n v="0"/>
    <n v="2.024"/>
    <n v="2.024"/>
    <n v="2.024"/>
    <n v="2.024"/>
    <n v="0"/>
    <x v="3"/>
    <n v="0"/>
    <n v="0"/>
    <n v="66"/>
    <n v="109"/>
    <n v="0"/>
    <n v="881.18"/>
    <n v="496.15"/>
    <m/>
    <n v="1058.1950767794315"/>
    <n v="506.4861368306324"/>
    <n v="0"/>
    <n v="1783.5083199999999"/>
    <n v="1004.2076"/>
    <n v="0"/>
    <n v="2141.7868354015695"/>
    <n v="1025.1279409452"/>
  </r>
  <r>
    <s v="Sistema de Compensação"/>
    <x v="5"/>
    <x v="4"/>
    <x v="2"/>
    <x v="0"/>
    <x v="1"/>
    <x v="0"/>
    <x v="2"/>
    <x v="1"/>
    <n v="0"/>
    <n v="0"/>
    <n v="0.22800000000000001"/>
    <n v="0.22800000000000001"/>
    <n v="0.22800000000000001"/>
    <n v="0.22800000000000001"/>
    <n v="0"/>
    <x v="3"/>
    <n v="0"/>
    <n v="0"/>
    <n v="66"/>
    <n v="109"/>
    <n v="0"/>
    <n v="881.18"/>
    <n v="496.15"/>
    <m/>
    <n v="1058.1950767794315"/>
    <n v="506.4861368306324"/>
    <n v="0"/>
    <n v="200.90904"/>
    <n v="113.12219999999999"/>
    <n v="0"/>
    <n v="241.26847750571039"/>
    <n v="115.47883919738419"/>
  </r>
  <r>
    <s v="Regular"/>
    <x v="5"/>
    <x v="4"/>
    <x v="2"/>
    <x v="0"/>
    <x v="1"/>
    <x v="0"/>
    <x v="2"/>
    <x v="2"/>
    <n v="0"/>
    <n v="0"/>
    <n v="2.0680000000000001"/>
    <n v="2.0680000000000001"/>
    <n v="2.0680000000000001"/>
    <n v="2.0680000000000001"/>
    <n v="0"/>
    <x v="3"/>
    <n v="0"/>
    <n v="0"/>
    <n v="66"/>
    <n v="109"/>
    <n v="0"/>
    <n v="881.18"/>
    <n v="496.15"/>
    <m/>
    <n v="1058.1950767794315"/>
    <n v="506.4861368306324"/>
    <n v="0"/>
    <n v="1822.28024"/>
    <n v="1026.0382"/>
    <n v="0"/>
    <n v="2188.3474187798643"/>
    <n v="1047.4133309657479"/>
  </r>
  <r>
    <s v="Sistema de Compensação"/>
    <x v="5"/>
    <x v="4"/>
    <x v="2"/>
    <x v="0"/>
    <x v="1"/>
    <x v="0"/>
    <x v="2"/>
    <x v="2"/>
    <n v="0"/>
    <n v="0"/>
    <n v="0.22800000000000001"/>
    <n v="0.22800000000000001"/>
    <n v="0.22800000000000001"/>
    <n v="0.22800000000000001"/>
    <n v="0"/>
    <x v="3"/>
    <n v="0"/>
    <n v="0"/>
    <n v="66"/>
    <n v="109"/>
    <n v="0"/>
    <n v="881.18"/>
    <n v="496.15"/>
    <m/>
    <n v="1058.1950767794315"/>
    <n v="506.4861368306324"/>
    <n v="0"/>
    <n v="200.90904"/>
    <n v="113.12219999999999"/>
    <n v="0"/>
    <n v="241.26847750571039"/>
    <n v="115.47883919738419"/>
  </r>
  <r>
    <s v="Regular"/>
    <x v="5"/>
    <x v="4"/>
    <x v="2"/>
    <x v="0"/>
    <x v="1"/>
    <x v="0"/>
    <x v="2"/>
    <x v="3"/>
    <n v="0"/>
    <n v="0"/>
    <n v="2.1429999999999998"/>
    <n v="2.1429999999999998"/>
    <n v="2.1429999999999998"/>
    <n v="2.1429999999999998"/>
    <n v="0"/>
    <x v="3"/>
    <n v="0"/>
    <n v="0"/>
    <n v="66"/>
    <n v="109"/>
    <n v="0"/>
    <n v="881.18"/>
    <n v="496.15"/>
    <m/>
    <n v="1058.1950767794315"/>
    <n v="506.4861368306324"/>
    <n v="0"/>
    <n v="1888.3687399999997"/>
    <n v="1063.2494499999998"/>
    <n v="0"/>
    <n v="2267.7120495383215"/>
    <n v="1085.3997912280452"/>
  </r>
  <r>
    <s v="Sistema de Compensação"/>
    <x v="5"/>
    <x v="4"/>
    <x v="2"/>
    <x v="0"/>
    <x v="1"/>
    <x v="0"/>
    <x v="2"/>
    <x v="3"/>
    <n v="0"/>
    <n v="0"/>
    <n v="0.251"/>
    <n v="0.251"/>
    <n v="0.251"/>
    <n v="0.251"/>
    <n v="0"/>
    <x v="3"/>
    <n v="0"/>
    <n v="0"/>
    <n v="66"/>
    <n v="109"/>
    <n v="0"/>
    <n v="881.18"/>
    <n v="496.15"/>
    <m/>
    <n v="1058.1950767794315"/>
    <n v="506.4861368306324"/>
    <n v="0"/>
    <n v="221.17617999999999"/>
    <n v="124.53364999999999"/>
    <n v="0"/>
    <n v="265.60696427163731"/>
    <n v="127.12802034448873"/>
  </r>
  <r>
    <s v="Regular"/>
    <x v="5"/>
    <x v="4"/>
    <x v="2"/>
    <x v="0"/>
    <x v="1"/>
    <x v="0"/>
    <x v="2"/>
    <x v="4"/>
    <n v="0"/>
    <n v="0"/>
    <n v="2.1869999999999998"/>
    <n v="2.1869999999999998"/>
    <n v="2.1869999999999998"/>
    <n v="2.1869999999999998"/>
    <n v="0"/>
    <x v="3"/>
    <n v="0"/>
    <n v="0"/>
    <n v="66"/>
    <n v="109"/>
    <n v="0"/>
    <n v="881.18"/>
    <n v="496.15"/>
    <m/>
    <n v="1058.1950767794315"/>
    <n v="506.4861368306324"/>
    <n v="0"/>
    <n v="1927.1406599999998"/>
    <n v="1085.0800499999998"/>
    <n v="0"/>
    <n v="2314.2726329166167"/>
    <n v="1107.6851812485929"/>
  </r>
  <r>
    <s v="Sistema de Compensação"/>
    <x v="5"/>
    <x v="4"/>
    <x v="2"/>
    <x v="0"/>
    <x v="1"/>
    <x v="0"/>
    <x v="2"/>
    <x v="4"/>
    <n v="0"/>
    <n v="0"/>
    <n v="0.249"/>
    <n v="0.249"/>
    <n v="0.249"/>
    <n v="0.249"/>
    <n v="0"/>
    <x v="3"/>
    <n v="0"/>
    <n v="0"/>
    <n v="66"/>
    <n v="109"/>
    <n v="0"/>
    <n v="881.18"/>
    <n v="496.15"/>
    <m/>
    <n v="1058.1950767794315"/>
    <n v="506.4861368306324"/>
    <n v="0"/>
    <n v="219.41381999999999"/>
    <n v="123.54134999999999"/>
    <n v="0"/>
    <n v="263.49057411807843"/>
    <n v="126.11504807082747"/>
  </r>
  <r>
    <s v="Regular"/>
    <x v="5"/>
    <x v="4"/>
    <x v="2"/>
    <x v="0"/>
    <x v="1"/>
    <x v="0"/>
    <x v="2"/>
    <x v="5"/>
    <n v="0"/>
    <n v="0"/>
    <n v="1.885"/>
    <n v="1.885"/>
    <n v="1.885"/>
    <n v="1.885"/>
    <n v="0"/>
    <x v="3"/>
    <n v="0"/>
    <n v="0"/>
    <n v="66"/>
    <n v="109"/>
    <n v="0"/>
    <n v="881.18"/>
    <n v="496.15"/>
    <m/>
    <n v="1058.1950767794315"/>
    <n v="506.4861368306324"/>
    <n v="0"/>
    <n v="1661.0242999999998"/>
    <n v="935.24275"/>
    <n v="0"/>
    <n v="1994.6977197292283"/>
    <n v="954.72636792574212"/>
  </r>
  <r>
    <s v="Sistema de Compensação"/>
    <x v="5"/>
    <x v="4"/>
    <x v="2"/>
    <x v="0"/>
    <x v="1"/>
    <x v="0"/>
    <x v="2"/>
    <x v="5"/>
    <n v="0"/>
    <n v="0"/>
    <n v="0.23899999999999999"/>
    <n v="0.23899999999999999"/>
    <n v="0.23899999999999999"/>
    <n v="0.23899999999999999"/>
    <n v="0"/>
    <x v="3"/>
    <n v="0"/>
    <n v="0"/>
    <n v="66"/>
    <n v="109"/>
    <n v="0"/>
    <n v="881.18"/>
    <n v="496.15"/>
    <m/>
    <n v="1058.1950767794315"/>
    <n v="506.4861368306324"/>
    <n v="0"/>
    <n v="210.60201999999998"/>
    <n v="118.57984999999999"/>
    <n v="0"/>
    <n v="252.9086233502841"/>
    <n v="121.05018670252115"/>
  </r>
  <r>
    <s v="Regular"/>
    <x v="5"/>
    <x v="4"/>
    <x v="2"/>
    <x v="0"/>
    <x v="1"/>
    <x v="0"/>
    <x v="2"/>
    <x v="6"/>
    <n v="0"/>
    <n v="0"/>
    <n v="2.6659999999999999"/>
    <n v="2.6659999999999999"/>
    <n v="2.6659999999999999"/>
    <n v="2.6659999999999999"/>
    <n v="0"/>
    <x v="3"/>
    <n v="0"/>
    <n v="0"/>
    <n v="66"/>
    <n v="109"/>
    <n v="0"/>
    <n v="881.18"/>
    <n v="496.15"/>
    <m/>
    <n v="1058.1950767794315"/>
    <n v="506.4861368306324"/>
    <n v="0"/>
    <n v="2349.22588"/>
    <n v="1322.7358999999999"/>
    <n v="0"/>
    <n v="2821.1480746939642"/>
    <n v="1350.292040790466"/>
  </r>
  <r>
    <s v="Sistema de Compensação"/>
    <x v="5"/>
    <x v="4"/>
    <x v="2"/>
    <x v="0"/>
    <x v="1"/>
    <x v="0"/>
    <x v="2"/>
    <x v="6"/>
    <n v="0"/>
    <n v="0"/>
    <n v="0.26300000000000001"/>
    <n v="0.26300000000000001"/>
    <n v="0.26300000000000001"/>
    <n v="0.26300000000000001"/>
    <n v="0"/>
    <x v="3"/>
    <n v="0"/>
    <n v="0"/>
    <n v="66"/>
    <n v="109"/>
    <n v="0"/>
    <n v="881.18"/>
    <n v="496.15"/>
    <m/>
    <n v="1058.1950767794315"/>
    <n v="506.4861368306324"/>
    <n v="0"/>
    <n v="231.75033999999999"/>
    <n v="130.48745"/>
    <n v="0"/>
    <n v="278.30530519299049"/>
    <n v="133.20585398645633"/>
  </r>
  <r>
    <s v="Regular"/>
    <x v="5"/>
    <x v="4"/>
    <x v="2"/>
    <x v="0"/>
    <x v="1"/>
    <x v="0"/>
    <x v="2"/>
    <x v="7"/>
    <n v="0"/>
    <n v="0"/>
    <n v="2.41"/>
    <n v="2.41"/>
    <n v="2.41"/>
    <n v="2.41"/>
    <n v="0"/>
    <x v="3"/>
    <n v="0"/>
    <n v="0"/>
    <n v="66"/>
    <n v="109"/>
    <n v="0"/>
    <n v="881.18"/>
    <n v="496.15"/>
    <m/>
    <n v="1058.1950767794315"/>
    <n v="506.4861368306324"/>
    <n v="0"/>
    <n v="2123.6437999999998"/>
    <n v="1195.7215000000001"/>
    <n v="0"/>
    <n v="2550.25013503843"/>
    <n v="1220.6315897618242"/>
  </r>
  <r>
    <s v="Refaturamento - Regular"/>
    <x v="5"/>
    <x v="4"/>
    <x v="2"/>
    <x v="0"/>
    <x v="1"/>
    <x v="0"/>
    <x v="2"/>
    <x v="7"/>
    <n v="0"/>
    <n v="0"/>
    <n v="-0.53600000000000003"/>
    <n v="-0.53600000000000003"/>
    <n v="-0.53600000000000003"/>
    <n v="-0.53600000000000003"/>
    <n v="0"/>
    <x v="3"/>
    <n v="0"/>
    <n v="0"/>
    <n v="66"/>
    <n v="109"/>
    <n v="0"/>
    <n v="881.18"/>
    <n v="496.15"/>
    <m/>
    <n v="1058.1950767794315"/>
    <n v="506.4861368306324"/>
    <n v="0"/>
    <n v="-472.31247999999999"/>
    <n v="-265.93639999999999"/>
    <n v="0"/>
    <n v="-567.19256115377527"/>
    <n v="-271.47656934121898"/>
  </r>
  <r>
    <s v="Sistema de Compensação"/>
    <x v="5"/>
    <x v="4"/>
    <x v="2"/>
    <x v="0"/>
    <x v="1"/>
    <x v="0"/>
    <x v="2"/>
    <x v="7"/>
    <n v="0"/>
    <n v="0"/>
    <n v="0.27400000000000002"/>
    <n v="0.27400000000000002"/>
    <n v="0.27400000000000002"/>
    <n v="0.27400000000000002"/>
    <n v="0"/>
    <x v="3"/>
    <n v="0"/>
    <n v="0"/>
    <n v="66"/>
    <n v="109"/>
    <n v="0"/>
    <n v="881.18"/>
    <n v="496.15"/>
    <m/>
    <n v="1058.1950767794315"/>
    <n v="506.4861368306324"/>
    <n v="0"/>
    <n v="241.44332"/>
    <n v="135.9451"/>
    <n v="0"/>
    <n v="289.94545103756423"/>
    <n v="138.7772014915933"/>
  </r>
  <r>
    <s v="Regular"/>
    <x v="5"/>
    <x v="4"/>
    <x v="2"/>
    <x v="0"/>
    <x v="1"/>
    <x v="0"/>
    <x v="2"/>
    <x v="8"/>
    <n v="0"/>
    <n v="0"/>
    <n v="2.2080000000000002"/>
    <n v="2.2080000000000002"/>
    <n v="2.2080000000000002"/>
    <n v="2.2080000000000002"/>
    <n v="0"/>
    <x v="3"/>
    <n v="0"/>
    <n v="0"/>
    <n v="66"/>
    <n v="109"/>
    <n v="0"/>
    <n v="881.18"/>
    <n v="496.15"/>
    <m/>
    <n v="1058.1950767794315"/>
    <n v="506.4861368306324"/>
    <n v="0"/>
    <n v="1945.64544"/>
    <n v="1095.4992"/>
    <n v="0"/>
    <n v="2336.4947295289849"/>
    <n v="1118.3213901220365"/>
  </r>
  <r>
    <s v="Sistema de Compensação"/>
    <x v="5"/>
    <x v="4"/>
    <x v="2"/>
    <x v="0"/>
    <x v="1"/>
    <x v="0"/>
    <x v="2"/>
    <x v="8"/>
    <n v="0"/>
    <n v="0"/>
    <n v="0.246"/>
    <n v="0.246"/>
    <n v="0.246"/>
    <n v="0.246"/>
    <n v="0"/>
    <x v="3"/>
    <n v="0"/>
    <n v="0"/>
    <n v="66"/>
    <n v="109"/>
    <n v="0"/>
    <n v="881.18"/>
    <n v="496.15"/>
    <m/>
    <n v="1058.1950767794315"/>
    <n v="506.4861368306324"/>
    <n v="0"/>
    <n v="216.77027999999999"/>
    <n v="122.05289999999999"/>
    <n v="0"/>
    <n v="260.31598888774016"/>
    <n v="124.59558966033556"/>
  </r>
  <r>
    <s v="Regular"/>
    <x v="5"/>
    <x v="4"/>
    <x v="2"/>
    <x v="0"/>
    <x v="1"/>
    <x v="0"/>
    <x v="2"/>
    <x v="9"/>
    <n v="0"/>
    <n v="0"/>
    <n v="2.0550000000000002"/>
    <n v="2.0550000000000002"/>
    <n v="2.0550000000000002"/>
    <n v="2.0550000000000002"/>
    <n v="0"/>
    <x v="3"/>
    <n v="0"/>
    <n v="0"/>
    <n v="66"/>
    <n v="109"/>
    <n v="0"/>
    <n v="881.18"/>
    <n v="496.15"/>
    <m/>
    <n v="1058.1950767794315"/>
    <n v="506.4861368306324"/>
    <n v="0"/>
    <n v="1810.8249000000001"/>
    <n v="1019.58825"/>
    <n v="0"/>
    <n v="2174.590882781732"/>
    <n v="1040.8290111869496"/>
  </r>
  <r>
    <s v="Sistema de Compensação"/>
    <x v="5"/>
    <x v="4"/>
    <x v="2"/>
    <x v="0"/>
    <x v="1"/>
    <x v="0"/>
    <x v="2"/>
    <x v="9"/>
    <n v="0"/>
    <n v="0"/>
    <n v="3.4000000000000002E-2"/>
    <n v="3.4000000000000002E-2"/>
    <n v="3.4000000000000002E-2"/>
    <n v="3.4000000000000002E-2"/>
    <n v="0"/>
    <x v="3"/>
    <n v="0"/>
    <n v="0"/>
    <n v="66"/>
    <n v="109"/>
    <n v="0"/>
    <n v="881.18"/>
    <n v="496.15"/>
    <m/>
    <n v="1058.1950767794315"/>
    <n v="506.4861368306324"/>
    <n v="0"/>
    <n v="29.96012"/>
    <n v="16.8691"/>
    <n v="0"/>
    <n v="35.978632610500675"/>
    <n v="17.220528652241502"/>
  </r>
  <r>
    <s v="Regular"/>
    <x v="5"/>
    <x v="4"/>
    <x v="2"/>
    <x v="0"/>
    <x v="1"/>
    <x v="0"/>
    <x v="2"/>
    <x v="10"/>
    <n v="0"/>
    <n v="0"/>
    <n v="1.9570000000000001"/>
    <n v="1.9570000000000001"/>
    <n v="1.9570000000000001"/>
    <n v="1.9570000000000001"/>
    <n v="0"/>
    <x v="3"/>
    <n v="0"/>
    <n v="0"/>
    <n v="66"/>
    <n v="109"/>
    <n v="0"/>
    <n v="881.18"/>
    <n v="496.15"/>
    <m/>
    <n v="1058.1950767794315"/>
    <n v="506.4861368306324"/>
    <n v="0"/>
    <n v="1724.4692600000001"/>
    <n v="970.96555000000001"/>
    <n v="0"/>
    <n v="2070.8877652573474"/>
    <n v="991.19336977754767"/>
  </r>
  <r>
    <s v="PROJETADO"/>
    <x v="5"/>
    <x v="4"/>
    <x v="2"/>
    <x v="0"/>
    <x v="1"/>
    <x v="0"/>
    <x v="2"/>
    <x v="11"/>
    <n v="0"/>
    <n v="0"/>
    <n v="1.9570000000000001"/>
    <n v="1.9570000000000001"/>
    <n v="1.9570000000000001"/>
    <n v="1.9570000000000001"/>
    <n v="0"/>
    <x v="3"/>
    <n v="0"/>
    <n v="0"/>
    <n v="66"/>
    <n v="109"/>
    <n v="0"/>
    <n v="881.18"/>
    <n v="496.15"/>
    <m/>
    <n v="1058.1950767794315"/>
    <n v="506.4861368306324"/>
    <n v="0"/>
    <n v="1724.4692600000001"/>
    <n v="970.96555000000001"/>
    <n v="0"/>
    <n v="2070.8877652573474"/>
    <n v="991.19336977754767"/>
  </r>
  <r>
    <s v="Regular"/>
    <x v="5"/>
    <x v="4"/>
    <x v="0"/>
    <x v="0"/>
    <x v="1"/>
    <x v="0"/>
    <x v="1"/>
    <x v="0"/>
    <n v="0"/>
    <n v="0"/>
    <n v="5.5110000000000001"/>
    <n v="5.5110000000000001"/>
    <n v="5.5110000000000001"/>
    <n v="5.5110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1491.6072600000002"/>
    <n v="1714.1414400000001"/>
    <n v="0"/>
    <n v="1948.288552134881"/>
    <n v="1714.73897114339"/>
  </r>
  <r>
    <s v="Regular"/>
    <x v="5"/>
    <x v="4"/>
    <x v="0"/>
    <x v="0"/>
    <x v="1"/>
    <x v="0"/>
    <x v="1"/>
    <x v="1"/>
    <n v="0"/>
    <n v="0"/>
    <n v="5.2350000000000003"/>
    <n v="5.2350000000000003"/>
    <n v="5.2350000000000003"/>
    <n v="5.2350000000000003"/>
    <n v="0"/>
    <x v="3"/>
    <n v="0"/>
    <n v="0"/>
    <n v="68"/>
    <n v="111"/>
    <n v="0"/>
    <n v="270.66000000000003"/>
    <n v="311.04000000000002"/>
    <m/>
    <n v="353.52722775084032"/>
    <n v="311.14842517571947"/>
    <n v="0"/>
    <n v="1416.9051000000002"/>
    <n v="1628.2944000000002"/>
    <n v="0"/>
    <n v="1850.7150372756491"/>
    <n v="1628.8620057948915"/>
  </r>
  <r>
    <s v="Regular"/>
    <x v="5"/>
    <x v="4"/>
    <x v="0"/>
    <x v="0"/>
    <x v="1"/>
    <x v="0"/>
    <x v="1"/>
    <x v="2"/>
    <n v="0"/>
    <n v="0"/>
    <n v="5.4720000000000004"/>
    <n v="5.4720000000000004"/>
    <n v="5.4720000000000004"/>
    <n v="5.4720000000000004"/>
    <n v="0"/>
    <x v="3"/>
    <n v="0"/>
    <n v="0"/>
    <n v="68"/>
    <n v="111"/>
    <n v="0"/>
    <n v="270.66000000000003"/>
    <n v="311.04000000000002"/>
    <m/>
    <n v="353.52722775084032"/>
    <n v="311.14842517571947"/>
    <n v="0"/>
    <n v="1481.0515200000002"/>
    <n v="1702.0108800000003"/>
    <n v="0"/>
    <n v="1934.5009902525985"/>
    <n v="1702.6041825615371"/>
  </r>
  <r>
    <s v="Regular"/>
    <x v="5"/>
    <x v="4"/>
    <x v="0"/>
    <x v="0"/>
    <x v="1"/>
    <x v="0"/>
    <x v="1"/>
    <x v="3"/>
    <n v="0"/>
    <n v="0"/>
    <n v="7.5380000000000003"/>
    <n v="7.5380000000000003"/>
    <n v="7.5380000000000003"/>
    <n v="7.5380000000000003"/>
    <n v="0"/>
    <x v="3"/>
    <n v="0"/>
    <n v="0"/>
    <n v="68"/>
    <n v="111"/>
    <n v="0"/>
    <n v="270.66000000000003"/>
    <n v="311.04000000000002"/>
    <m/>
    <n v="353.52722775084032"/>
    <n v="311.14842517571947"/>
    <n v="0"/>
    <n v="2040.2350800000002"/>
    <n v="2344.6195200000002"/>
    <n v="0"/>
    <n v="2664.8882427858343"/>
    <n v="2345.4368289745735"/>
  </r>
  <r>
    <s v="Regular"/>
    <x v="5"/>
    <x v="4"/>
    <x v="0"/>
    <x v="0"/>
    <x v="1"/>
    <x v="0"/>
    <x v="1"/>
    <x v="4"/>
    <n v="0"/>
    <n v="0"/>
    <n v="4.875"/>
    <n v="4.875"/>
    <n v="4.875"/>
    <n v="4.875"/>
    <n v="0"/>
    <x v="3"/>
    <n v="0"/>
    <n v="0"/>
    <n v="68"/>
    <n v="111"/>
    <n v="0"/>
    <n v="270.66000000000003"/>
    <n v="311.04000000000002"/>
    <m/>
    <n v="353.52722775084032"/>
    <n v="311.14842517571947"/>
    <n v="0"/>
    <n v="1319.4675000000002"/>
    <n v="1516.3200000000002"/>
    <n v="0"/>
    <n v="1723.4452352853466"/>
    <n v="1516.8485727316324"/>
  </r>
  <r>
    <s v="Regular"/>
    <x v="5"/>
    <x v="4"/>
    <x v="0"/>
    <x v="0"/>
    <x v="1"/>
    <x v="0"/>
    <x v="1"/>
    <x v="5"/>
    <n v="0"/>
    <n v="0"/>
    <n v="5.6509999999999998"/>
    <n v="5.6509999999999998"/>
    <n v="5.6509999999999998"/>
    <n v="5.6509999999999998"/>
    <n v="0"/>
    <x v="3"/>
    <n v="0"/>
    <n v="0"/>
    <n v="68"/>
    <n v="111"/>
    <n v="0"/>
    <n v="270.66000000000003"/>
    <n v="311.04000000000002"/>
    <m/>
    <n v="353.52722775084032"/>
    <n v="311.14842517571947"/>
    <n v="0"/>
    <n v="1529.4996600000002"/>
    <n v="1757.68704"/>
    <n v="0"/>
    <n v="1997.7823640199986"/>
    <n v="1758.2997506679906"/>
  </r>
  <r>
    <s v="Regular"/>
    <x v="5"/>
    <x v="4"/>
    <x v="0"/>
    <x v="0"/>
    <x v="1"/>
    <x v="0"/>
    <x v="1"/>
    <x v="6"/>
    <n v="0"/>
    <n v="0"/>
    <n v="5.4909999999999997"/>
    <n v="5.4909999999999997"/>
    <n v="5.4909999999999997"/>
    <n v="5.4909999999999997"/>
    <n v="0"/>
    <x v="3"/>
    <n v="0"/>
    <n v="0"/>
    <n v="68"/>
    <n v="111"/>
    <n v="0"/>
    <n v="270.66000000000003"/>
    <n v="311.04000000000002"/>
    <m/>
    <n v="353.52722775084032"/>
    <n v="311.14842517571947"/>
    <n v="0"/>
    <n v="1486.19406"/>
    <n v="1707.92064"/>
    <n v="0"/>
    <n v="1941.2180075798642"/>
    <n v="1708.5160026398755"/>
  </r>
  <r>
    <s v="Regular"/>
    <x v="5"/>
    <x v="4"/>
    <x v="0"/>
    <x v="0"/>
    <x v="1"/>
    <x v="0"/>
    <x v="1"/>
    <x v="7"/>
    <n v="0"/>
    <n v="0"/>
    <n v="6.8760000000000003"/>
    <n v="6.8760000000000003"/>
    <n v="6.8760000000000003"/>
    <n v="6.8760000000000003"/>
    <n v="0"/>
    <x v="3"/>
    <n v="0"/>
    <n v="0"/>
    <n v="68"/>
    <n v="111"/>
    <n v="0"/>
    <n v="270.66000000000003"/>
    <n v="311.04000000000002"/>
    <m/>
    <n v="353.52722775084032"/>
    <n v="311.14842517571947"/>
    <n v="0"/>
    <n v="1861.0581600000003"/>
    <n v="2138.7110400000001"/>
    <n v="0"/>
    <n v="2430.8532180147781"/>
    <n v="2139.4565715082472"/>
  </r>
  <r>
    <s v="Regular"/>
    <x v="5"/>
    <x v="4"/>
    <x v="0"/>
    <x v="0"/>
    <x v="1"/>
    <x v="0"/>
    <x v="1"/>
    <x v="8"/>
    <n v="0"/>
    <n v="0"/>
    <n v="4.7169999999999996"/>
    <n v="4.7169999999999996"/>
    <n v="4.7169999999999996"/>
    <n v="4.7169999999999996"/>
    <n v="0"/>
    <x v="3"/>
    <n v="0"/>
    <n v="0"/>
    <n v="68"/>
    <n v="111"/>
    <n v="0"/>
    <n v="270.66000000000003"/>
    <n v="311.04000000000002"/>
    <m/>
    <n v="353.52722775084032"/>
    <n v="311.14842517571947"/>
    <n v="0"/>
    <n v="1276.7032200000001"/>
    <n v="1467.1756800000001"/>
    <n v="0"/>
    <n v="1667.5879333007138"/>
    <n v="1467.6871215538686"/>
  </r>
  <r>
    <s v="Regular"/>
    <x v="5"/>
    <x v="4"/>
    <x v="0"/>
    <x v="0"/>
    <x v="1"/>
    <x v="0"/>
    <x v="1"/>
    <x v="9"/>
    <n v="0"/>
    <n v="0"/>
    <n v="2.62"/>
    <n v="2.62"/>
    <n v="2.62"/>
    <n v="2.62"/>
    <n v="0"/>
    <x v="3"/>
    <n v="0"/>
    <n v="0"/>
    <n v="68"/>
    <n v="111"/>
    <n v="0"/>
    <n v="270.66000000000003"/>
    <n v="311.04000000000002"/>
    <m/>
    <n v="353.52722775084032"/>
    <n v="311.14842517571947"/>
    <n v="0"/>
    <n v="709.12920000000008"/>
    <n v="814.92480000000012"/>
    <n v="0"/>
    <n v="926.24133670720164"/>
    <n v="815.20887396038506"/>
  </r>
  <r>
    <s v="Regular"/>
    <x v="5"/>
    <x v="4"/>
    <x v="0"/>
    <x v="0"/>
    <x v="1"/>
    <x v="0"/>
    <x v="1"/>
    <x v="10"/>
    <n v="0"/>
    <n v="0"/>
    <n v="4.431"/>
    <n v="4.431"/>
    <n v="4.431"/>
    <n v="4.431"/>
    <n v="0"/>
    <x v="3"/>
    <n v="0"/>
    <n v="0"/>
    <n v="68"/>
    <n v="111"/>
    <n v="0"/>
    <n v="270.66000000000003"/>
    <n v="311.04000000000002"/>
    <m/>
    <n v="353.52722775084032"/>
    <n v="311.14842517571947"/>
    <n v="0"/>
    <n v="1199.2944600000001"/>
    <n v="1378.2182400000002"/>
    <n v="0"/>
    <n v="1566.4791461639736"/>
    <n v="1378.698671953613"/>
  </r>
  <r>
    <s v="PROJETADO"/>
    <x v="5"/>
    <x v="4"/>
    <x v="0"/>
    <x v="0"/>
    <x v="1"/>
    <x v="0"/>
    <x v="1"/>
    <x v="11"/>
    <n v="0"/>
    <n v="0"/>
    <n v="4.431"/>
    <n v="4.431"/>
    <n v="4.431"/>
    <n v="4.431"/>
    <n v="0"/>
    <x v="3"/>
    <n v="0"/>
    <n v="0"/>
    <n v="68"/>
    <n v="111"/>
    <n v="0"/>
    <n v="270.66000000000003"/>
    <n v="311.04000000000002"/>
    <m/>
    <n v="353.52722775084032"/>
    <n v="311.14842517571947"/>
    <n v="0"/>
    <n v="1199.2944600000001"/>
    <n v="1378.2182400000002"/>
    <n v="0"/>
    <n v="1566.4791461639736"/>
    <n v="1378.698671953613"/>
  </r>
  <r>
    <s v="Regular"/>
    <x v="5"/>
    <x v="4"/>
    <x v="0"/>
    <x v="0"/>
    <x v="1"/>
    <x v="0"/>
    <x v="3"/>
    <x v="0"/>
    <n v="0"/>
    <n v="0"/>
    <n v="0.49099999999999999"/>
    <n v="0.49099999999999999"/>
    <n v="0.49099999999999999"/>
    <n v="0.49099999999999999"/>
    <n v="0"/>
    <x v="3"/>
    <n v="0"/>
    <n v="0"/>
    <n v="67"/>
    <n v="110"/>
    <n v="0"/>
    <n v="575.91999999999996"/>
    <n v="311.04000000000002"/>
    <m/>
    <n v="705.86115226513607"/>
    <n v="311.14842517571947"/>
    <n v="0"/>
    <n v="282.77671999999995"/>
    <n v="152.72064"/>
    <n v="0"/>
    <n v="346.57782576218182"/>
    <n v="152.77387676127825"/>
  </r>
  <r>
    <s v="Regular"/>
    <x v="5"/>
    <x v="4"/>
    <x v="0"/>
    <x v="0"/>
    <x v="1"/>
    <x v="0"/>
    <x v="3"/>
    <x v="1"/>
    <n v="0"/>
    <n v="0"/>
    <n v="0.42"/>
    <n v="0.42"/>
    <n v="0.42"/>
    <n v="0.42"/>
    <n v="0"/>
    <x v="3"/>
    <n v="0"/>
    <n v="0"/>
    <n v="67"/>
    <n v="110"/>
    <n v="0"/>
    <n v="575.91999999999996"/>
    <n v="311.04000000000002"/>
    <m/>
    <n v="705.86115226513607"/>
    <n v="311.14842517571947"/>
    <n v="0"/>
    <n v="241.88639999999998"/>
    <n v="130.63679999999999"/>
    <n v="0"/>
    <n v="296.46168395135714"/>
    <n v="130.68233857380218"/>
  </r>
  <r>
    <s v="Regular"/>
    <x v="5"/>
    <x v="4"/>
    <x v="0"/>
    <x v="0"/>
    <x v="1"/>
    <x v="0"/>
    <x v="3"/>
    <x v="2"/>
    <n v="0"/>
    <n v="0"/>
    <n v="0.54700000000000004"/>
    <n v="0.54700000000000004"/>
    <n v="0.54700000000000004"/>
    <n v="0.54700000000000004"/>
    <n v="0"/>
    <x v="3"/>
    <n v="0"/>
    <n v="0"/>
    <n v="67"/>
    <n v="110"/>
    <n v="0"/>
    <n v="575.91999999999996"/>
    <n v="311.04000000000002"/>
    <m/>
    <n v="705.86115226513607"/>
    <n v="311.14842517571947"/>
    <n v="0"/>
    <n v="315.02823999999998"/>
    <n v="170.13888000000003"/>
    <n v="0"/>
    <n v="386.10605028902944"/>
    <n v="170.19818857111855"/>
  </r>
  <r>
    <s v="Regular"/>
    <x v="5"/>
    <x v="4"/>
    <x v="0"/>
    <x v="0"/>
    <x v="1"/>
    <x v="0"/>
    <x v="3"/>
    <x v="3"/>
    <n v="0"/>
    <n v="0"/>
    <n v="0.80600000000000005"/>
    <n v="0.80600000000000005"/>
    <n v="0.80600000000000005"/>
    <n v="0.80600000000000005"/>
    <n v="0"/>
    <x v="3"/>
    <n v="0"/>
    <n v="0"/>
    <n v="67"/>
    <n v="110"/>
    <n v="0"/>
    <n v="575.91999999999996"/>
    <n v="311.04000000000002"/>
    <m/>
    <n v="705.86115226513607"/>
    <n v="311.14842517571947"/>
    <n v="0"/>
    <n v="464.19151999999997"/>
    <n v="250.69824000000003"/>
    <n v="0"/>
    <n v="568.92408872569968"/>
    <n v="250.7856306916299"/>
  </r>
  <r>
    <s v="Regular"/>
    <x v="5"/>
    <x v="4"/>
    <x v="0"/>
    <x v="0"/>
    <x v="1"/>
    <x v="0"/>
    <x v="3"/>
    <x v="4"/>
    <n v="0"/>
    <n v="0"/>
    <n v="0.47699999999999998"/>
    <n v="0.47699999999999998"/>
    <n v="0.47699999999999998"/>
    <n v="0.47699999999999998"/>
    <n v="0"/>
    <x v="3"/>
    <n v="0"/>
    <n v="0"/>
    <n v="67"/>
    <n v="110"/>
    <n v="0"/>
    <n v="575.91999999999996"/>
    <n v="311.04000000000002"/>
    <m/>
    <n v="705.86115226513607"/>
    <n v="311.14842517571947"/>
    <n v="0"/>
    <n v="274.71383999999995"/>
    <n v="148.36608000000001"/>
    <n v="0"/>
    <n v="336.6957696304699"/>
    <n v="148.41779880881819"/>
  </r>
  <r>
    <s v="Regular"/>
    <x v="5"/>
    <x v="4"/>
    <x v="0"/>
    <x v="0"/>
    <x v="1"/>
    <x v="0"/>
    <x v="3"/>
    <x v="5"/>
    <n v="0"/>
    <n v="0"/>
    <n v="0.68200000000000005"/>
    <n v="0.68200000000000005"/>
    <n v="0.68200000000000005"/>
    <n v="0.68200000000000005"/>
    <n v="0"/>
    <x v="3"/>
    <n v="0"/>
    <n v="0"/>
    <n v="67"/>
    <n v="110"/>
    <n v="0"/>
    <n v="575.91999999999996"/>
    <n v="311.04000000000002"/>
    <m/>
    <n v="705.86115226513607"/>
    <n v="311.14842517571947"/>
    <n v="0"/>
    <n v="392.77744000000001"/>
    <n v="212.12928000000002"/>
    <n v="0"/>
    <n v="481.39730584482282"/>
    <n v="212.2032259698407"/>
  </r>
  <r>
    <s v="Regular"/>
    <x v="5"/>
    <x v="4"/>
    <x v="0"/>
    <x v="0"/>
    <x v="1"/>
    <x v="0"/>
    <x v="3"/>
    <x v="6"/>
    <n v="0"/>
    <n v="0"/>
    <n v="0.55700000000000005"/>
    <n v="0.55700000000000005"/>
    <n v="0.55700000000000005"/>
    <n v="0.55700000000000005"/>
    <n v="0"/>
    <x v="3"/>
    <n v="0"/>
    <n v="0"/>
    <n v="67"/>
    <n v="110"/>
    <n v="0"/>
    <n v="575.91999999999996"/>
    <n v="311.04000000000002"/>
    <m/>
    <n v="705.86115226513607"/>
    <n v="311.14842517571947"/>
    <n v="0"/>
    <n v="320.78744"/>
    <n v="173.24928000000003"/>
    <n v="0"/>
    <n v="393.16466181168084"/>
    <n v="173.30967282287577"/>
  </r>
  <r>
    <s v="Regular"/>
    <x v="5"/>
    <x v="4"/>
    <x v="0"/>
    <x v="0"/>
    <x v="1"/>
    <x v="0"/>
    <x v="3"/>
    <x v="7"/>
    <n v="0"/>
    <n v="0"/>
    <n v="0.75900000000000001"/>
    <n v="0.75900000000000001"/>
    <n v="0.75900000000000001"/>
    <n v="0.75900000000000001"/>
    <n v="0"/>
    <x v="3"/>
    <n v="0"/>
    <n v="0"/>
    <n v="67"/>
    <n v="110"/>
    <n v="0"/>
    <n v="575.91999999999996"/>
    <n v="311.04000000000002"/>
    <m/>
    <n v="705.86115226513607"/>
    <n v="311.14842517571947"/>
    <n v="0"/>
    <n v="437.12327999999997"/>
    <n v="236.07936000000001"/>
    <n v="0"/>
    <n v="535.74861456923827"/>
    <n v="236.16165470837109"/>
  </r>
  <r>
    <s v="Regular"/>
    <x v="5"/>
    <x v="4"/>
    <x v="0"/>
    <x v="0"/>
    <x v="1"/>
    <x v="0"/>
    <x v="3"/>
    <x v="8"/>
    <n v="0"/>
    <n v="0"/>
    <n v="0.55300000000000005"/>
    <n v="0.55300000000000005"/>
    <n v="0.55300000000000005"/>
    <n v="0.55300000000000005"/>
    <n v="0"/>
    <x v="3"/>
    <n v="0"/>
    <n v="0"/>
    <n v="67"/>
    <n v="110"/>
    <n v="0"/>
    <n v="575.91999999999996"/>
    <n v="311.04000000000002"/>
    <m/>
    <n v="705.86115226513607"/>
    <n v="311.14842517571947"/>
    <n v="0"/>
    <n v="318.48376000000002"/>
    <n v="172.00512000000003"/>
    <n v="0"/>
    <n v="390.34121720262027"/>
    <n v="172.06507912217288"/>
  </r>
  <r>
    <s v="Regular"/>
    <x v="5"/>
    <x v="4"/>
    <x v="0"/>
    <x v="0"/>
    <x v="1"/>
    <x v="0"/>
    <x v="3"/>
    <x v="9"/>
    <n v="0"/>
    <n v="0"/>
    <n v="0.23899999999999999"/>
    <n v="0.23899999999999999"/>
    <n v="0.23899999999999999"/>
    <n v="0.23899999999999999"/>
    <n v="0"/>
    <x v="3"/>
    <n v="0"/>
    <n v="0"/>
    <n v="67"/>
    <n v="110"/>
    <n v="0"/>
    <n v="575.91999999999996"/>
    <n v="311.04000000000002"/>
    <m/>
    <n v="705.86115226513607"/>
    <n v="311.14842517571947"/>
    <n v="0"/>
    <n v="137.64487999999997"/>
    <n v="74.338560000000001"/>
    <n v="0"/>
    <n v="168.70081539136751"/>
    <n v="74.364473616996946"/>
  </r>
  <r>
    <s v="Regular"/>
    <x v="5"/>
    <x v="4"/>
    <x v="0"/>
    <x v="0"/>
    <x v="1"/>
    <x v="0"/>
    <x v="3"/>
    <x v="10"/>
    <n v="0"/>
    <n v="0"/>
    <n v="0.56499999999999995"/>
    <n v="0.56499999999999995"/>
    <n v="0.56499999999999995"/>
    <n v="0.56499999999999995"/>
    <n v="0"/>
    <x v="3"/>
    <n v="0"/>
    <n v="0"/>
    <n v="67"/>
    <n v="110"/>
    <n v="0"/>
    <n v="575.91999999999996"/>
    <n v="311.04000000000002"/>
    <m/>
    <n v="705.86115226513607"/>
    <n v="311.14842517571947"/>
    <n v="0"/>
    <n v="325.39479999999992"/>
    <n v="175.73759999999999"/>
    <n v="0"/>
    <n v="398.81155102980182"/>
    <n v="175.79886022428147"/>
  </r>
  <r>
    <s v="PROJETADO"/>
    <x v="5"/>
    <x v="4"/>
    <x v="0"/>
    <x v="0"/>
    <x v="1"/>
    <x v="0"/>
    <x v="3"/>
    <x v="11"/>
    <n v="0"/>
    <n v="0"/>
    <n v="0.56499999999999995"/>
    <n v="0.56499999999999995"/>
    <n v="0.56499999999999995"/>
    <n v="0.56499999999999995"/>
    <n v="0"/>
    <x v="3"/>
    <n v="0"/>
    <n v="0"/>
    <n v="67"/>
    <n v="110"/>
    <n v="0"/>
    <n v="575.91999999999996"/>
    <n v="311.04000000000002"/>
    <m/>
    <n v="705.86115226513607"/>
    <n v="311.14842517571947"/>
    <n v="0"/>
    <n v="325.39479999999992"/>
    <n v="175.73759999999999"/>
    <n v="0"/>
    <n v="398.81155102980182"/>
    <n v="175.79886022428147"/>
  </r>
  <r>
    <s v="Regular"/>
    <x v="5"/>
    <x v="4"/>
    <x v="0"/>
    <x v="0"/>
    <x v="1"/>
    <x v="0"/>
    <x v="2"/>
    <x v="0"/>
    <n v="0"/>
    <n v="0"/>
    <n v="0.23499999999999999"/>
    <n v="0.23499999999999999"/>
    <n v="0.23499999999999999"/>
    <n v="0.23499999999999999"/>
    <n v="0"/>
    <x v="3"/>
    <n v="0"/>
    <n v="0"/>
    <n v="66"/>
    <n v="109"/>
    <n v="0"/>
    <n v="881.18"/>
    <n v="496.15"/>
    <m/>
    <n v="1058.1950767794315"/>
    <n v="506.4861368306324"/>
    <n v="0"/>
    <n v="207.07729999999998"/>
    <n v="116.59524999999999"/>
    <n v="0"/>
    <n v="248.6758430431664"/>
    <n v="119.02424215519861"/>
  </r>
  <r>
    <s v="Regular"/>
    <x v="5"/>
    <x v="4"/>
    <x v="0"/>
    <x v="0"/>
    <x v="1"/>
    <x v="0"/>
    <x v="2"/>
    <x v="1"/>
    <n v="0"/>
    <n v="0"/>
    <n v="0.28599999999999998"/>
    <n v="0.28599999999999998"/>
    <n v="0.28599999999999998"/>
    <n v="0.28599999999999998"/>
    <n v="0"/>
    <x v="3"/>
    <n v="0"/>
    <n v="0"/>
    <n v="66"/>
    <n v="109"/>
    <n v="0"/>
    <n v="881.18"/>
    <n v="496.15"/>
    <m/>
    <n v="1058.1950767794315"/>
    <n v="506.4861368306324"/>
    <n v="0"/>
    <n v="252.01747999999998"/>
    <n v="141.89889999999997"/>
    <n v="0"/>
    <n v="302.6437919589174"/>
    <n v="144.85503513356085"/>
  </r>
  <r>
    <s v="Regular"/>
    <x v="5"/>
    <x v="4"/>
    <x v="0"/>
    <x v="0"/>
    <x v="1"/>
    <x v="0"/>
    <x v="2"/>
    <x v="2"/>
    <n v="0"/>
    <n v="0"/>
    <n v="0.46500000000000002"/>
    <n v="0.46500000000000002"/>
    <n v="0.46500000000000002"/>
    <n v="0.46500000000000002"/>
    <n v="0"/>
    <x v="3"/>
    <n v="0"/>
    <n v="0"/>
    <n v="66"/>
    <n v="109"/>
    <n v="0"/>
    <n v="881.18"/>
    <n v="496.15"/>
    <m/>
    <n v="1058.1950767794315"/>
    <n v="506.4861368306324"/>
    <n v="0"/>
    <n v="409.74869999999999"/>
    <n v="230.70975000000001"/>
    <n v="0"/>
    <n v="492.06071070243564"/>
    <n v="235.51605362624409"/>
  </r>
  <r>
    <s v="Regular"/>
    <x v="5"/>
    <x v="4"/>
    <x v="0"/>
    <x v="0"/>
    <x v="1"/>
    <x v="0"/>
    <x v="2"/>
    <x v="3"/>
    <n v="0"/>
    <n v="0"/>
    <n v="0.436"/>
    <n v="0.436"/>
    <n v="0.436"/>
    <n v="0.436"/>
    <n v="0"/>
    <x v="3"/>
    <n v="0"/>
    <n v="0"/>
    <n v="66"/>
    <n v="109"/>
    <n v="0"/>
    <n v="881.18"/>
    <n v="496.15"/>
    <m/>
    <n v="1058.1950767794315"/>
    <n v="506.4861368306324"/>
    <n v="0"/>
    <n v="384.19448"/>
    <n v="216.32139999999998"/>
    <n v="0"/>
    <n v="461.37305347583214"/>
    <n v="220.82795565815573"/>
  </r>
  <r>
    <s v="Regular"/>
    <x v="5"/>
    <x v="4"/>
    <x v="0"/>
    <x v="0"/>
    <x v="1"/>
    <x v="0"/>
    <x v="2"/>
    <x v="4"/>
    <n v="0"/>
    <n v="0"/>
    <n v="0.29299999999999998"/>
    <n v="0.29299999999999998"/>
    <n v="0.29299999999999998"/>
    <n v="0.29299999999999998"/>
    <n v="0"/>
    <x v="3"/>
    <n v="0"/>
    <n v="0"/>
    <n v="66"/>
    <n v="109"/>
    <n v="0"/>
    <n v="881.18"/>
    <n v="496.15"/>
    <m/>
    <n v="1058.1950767794315"/>
    <n v="506.4861368306324"/>
    <n v="0"/>
    <n v="258.18573999999995"/>
    <n v="145.37195"/>
    <n v="0"/>
    <n v="310.05115749637338"/>
    <n v="148.40043809137529"/>
  </r>
  <r>
    <s v="Regular"/>
    <x v="5"/>
    <x v="4"/>
    <x v="0"/>
    <x v="0"/>
    <x v="1"/>
    <x v="0"/>
    <x v="2"/>
    <x v="5"/>
    <n v="0"/>
    <n v="0"/>
    <n v="0.52900000000000003"/>
    <n v="0.52900000000000003"/>
    <n v="0.52900000000000003"/>
    <n v="0.52900000000000003"/>
    <n v="0"/>
    <x v="3"/>
    <n v="0"/>
    <n v="0"/>
    <n v="66"/>
    <n v="109"/>
    <n v="0"/>
    <n v="881.18"/>
    <n v="496.15"/>
    <m/>
    <n v="1058.1950767794315"/>
    <n v="506.4861368306324"/>
    <n v="0"/>
    <n v="466.14422000000002"/>
    <n v="262.46334999999999"/>
    <n v="0"/>
    <n v="559.78519561631924"/>
    <n v="267.93116638340456"/>
  </r>
  <r>
    <s v="Regular"/>
    <x v="5"/>
    <x v="4"/>
    <x v="0"/>
    <x v="0"/>
    <x v="1"/>
    <x v="0"/>
    <x v="2"/>
    <x v="6"/>
    <n v="0"/>
    <n v="0"/>
    <n v="0.33500000000000002"/>
    <n v="0.33500000000000002"/>
    <n v="0.33500000000000002"/>
    <n v="0.33500000000000002"/>
    <n v="0"/>
    <x v="3"/>
    <n v="0"/>
    <n v="0"/>
    <n v="66"/>
    <n v="109"/>
    <n v="0"/>
    <n v="881.18"/>
    <n v="496.15"/>
    <m/>
    <n v="1058.1950767794315"/>
    <n v="506.4861368306324"/>
    <n v="0"/>
    <n v="295.19529999999997"/>
    <n v="166.21025"/>
    <n v="0"/>
    <n v="354.49535072110956"/>
    <n v="169.67285583826185"/>
  </r>
  <r>
    <s v="Regular"/>
    <x v="5"/>
    <x v="4"/>
    <x v="0"/>
    <x v="0"/>
    <x v="1"/>
    <x v="0"/>
    <x v="2"/>
    <x v="7"/>
    <n v="0"/>
    <n v="0"/>
    <n v="0.61299999999999999"/>
    <n v="0.61299999999999999"/>
    <n v="0.61299999999999999"/>
    <n v="0.61299999999999999"/>
    <n v="0"/>
    <x v="3"/>
    <n v="0"/>
    <n v="0"/>
    <n v="66"/>
    <n v="109"/>
    <n v="0"/>
    <n v="881.18"/>
    <n v="496.15"/>
    <m/>
    <n v="1058.1950767794315"/>
    <n v="506.4861368306324"/>
    <n v="0"/>
    <n v="540.16333999999995"/>
    <n v="304.13995"/>
    <n v="0"/>
    <n v="648.67358206579149"/>
    <n v="310.47600187717768"/>
  </r>
  <r>
    <s v="Regular"/>
    <x v="5"/>
    <x v="4"/>
    <x v="0"/>
    <x v="0"/>
    <x v="1"/>
    <x v="0"/>
    <x v="2"/>
    <x v="8"/>
    <n v="0"/>
    <n v="0"/>
    <n v="0.248"/>
    <n v="0.248"/>
    <n v="0.248"/>
    <n v="0.248"/>
    <n v="0"/>
    <x v="3"/>
    <n v="0"/>
    <n v="0"/>
    <n v="66"/>
    <n v="109"/>
    <n v="0"/>
    <n v="881.18"/>
    <n v="496.15"/>
    <m/>
    <n v="1058.1950767794315"/>
    <n v="506.4861368306324"/>
    <n v="0"/>
    <n v="218.53263999999999"/>
    <n v="123.04519999999999"/>
    <n v="0"/>
    <n v="262.43237904129899"/>
    <n v="125.60856193399684"/>
  </r>
  <r>
    <s v="Regular"/>
    <x v="5"/>
    <x v="4"/>
    <x v="0"/>
    <x v="0"/>
    <x v="1"/>
    <x v="0"/>
    <x v="2"/>
    <x v="9"/>
    <n v="0"/>
    <n v="0"/>
    <n v="0.18099999999999999"/>
    <n v="0.18099999999999999"/>
    <n v="0.18099999999999999"/>
    <n v="0.18099999999999999"/>
    <n v="0"/>
    <x v="3"/>
    <n v="0"/>
    <n v="0"/>
    <n v="66"/>
    <n v="109"/>
    <n v="0"/>
    <n v="881.18"/>
    <n v="496.15"/>
    <m/>
    <n v="1058.1950767794315"/>
    <n v="506.4861368306324"/>
    <n v="0"/>
    <n v="159.49357999999998"/>
    <n v="89.803149999999988"/>
    <n v="0"/>
    <n v="191.53330889707709"/>
    <n v="91.67399076634446"/>
  </r>
  <r>
    <s v="Regular"/>
    <x v="5"/>
    <x v="4"/>
    <x v="0"/>
    <x v="0"/>
    <x v="1"/>
    <x v="0"/>
    <x v="2"/>
    <x v="10"/>
    <n v="0"/>
    <n v="0"/>
    <n v="0.29499999999999998"/>
    <n v="0.29499999999999998"/>
    <n v="0.29499999999999998"/>
    <n v="0.29499999999999998"/>
    <n v="0"/>
    <x v="3"/>
    <n v="0"/>
    <n v="0"/>
    <n v="66"/>
    <n v="109"/>
    <n v="0"/>
    <n v="881.18"/>
    <n v="496.15"/>
    <m/>
    <n v="1058.1950767794315"/>
    <n v="506.4861368306324"/>
    <n v="0"/>
    <n v="259.94809999999995"/>
    <n v="146.36425"/>
    <n v="0"/>
    <n v="312.16754764993226"/>
    <n v="149.41341036503655"/>
  </r>
  <r>
    <s v="PROJETADO"/>
    <x v="5"/>
    <x v="4"/>
    <x v="0"/>
    <x v="0"/>
    <x v="1"/>
    <x v="0"/>
    <x v="2"/>
    <x v="11"/>
    <n v="0"/>
    <n v="0"/>
    <n v="0.29499999999999998"/>
    <n v="0.29499999999999998"/>
    <n v="0.29499999999999998"/>
    <n v="0.29499999999999998"/>
    <n v="0"/>
    <x v="3"/>
    <n v="0"/>
    <n v="0"/>
    <n v="66"/>
    <n v="109"/>
    <n v="0"/>
    <n v="881.18"/>
    <n v="496.15"/>
    <m/>
    <n v="1058.1950767794315"/>
    <n v="506.4861368306324"/>
    <n v="0"/>
    <n v="259.94809999999995"/>
    <n v="146.36425"/>
    <n v="0"/>
    <n v="312.16754764993226"/>
    <n v="149.41341036503655"/>
  </r>
  <r>
    <s v="Regular"/>
    <x v="5"/>
    <x v="4"/>
    <x v="3"/>
    <x v="0"/>
    <x v="1"/>
    <x v="0"/>
    <x v="1"/>
    <x v="0"/>
    <n v="0"/>
    <n v="0"/>
    <n v="0.371"/>
    <n v="0.371"/>
    <n v="0.371"/>
    <n v="0.371"/>
    <n v="0"/>
    <x v="3"/>
    <n v="0"/>
    <n v="0"/>
    <n v="68"/>
    <n v="111"/>
    <n v="0"/>
    <n v="270.66000000000003"/>
    <n v="311.04000000000002"/>
    <m/>
    <n v="353.52722775084032"/>
    <n v="311.14842517571947"/>
    <n v="0"/>
    <n v="100.41486"/>
    <n v="115.39584000000001"/>
    <n v="0"/>
    <n v="131.15860149556175"/>
    <n v="115.43606574019192"/>
  </r>
  <r>
    <s v="Regular"/>
    <x v="5"/>
    <x v="4"/>
    <x v="3"/>
    <x v="0"/>
    <x v="1"/>
    <x v="0"/>
    <x v="1"/>
    <x v="1"/>
    <n v="0"/>
    <n v="0"/>
    <n v="0.39200000000000002"/>
    <n v="0.39200000000000002"/>
    <n v="0.39200000000000002"/>
    <n v="0.39200000000000002"/>
    <n v="0"/>
    <x v="3"/>
    <n v="0"/>
    <n v="0"/>
    <n v="68"/>
    <n v="111"/>
    <n v="0"/>
    <n v="270.66000000000003"/>
    <n v="311.04000000000002"/>
    <m/>
    <n v="353.52722775084032"/>
    <n v="311.14842517571947"/>
    <n v="0"/>
    <n v="106.09872000000001"/>
    <n v="121.92768000000001"/>
    <n v="0"/>
    <n v="138.58267327832942"/>
    <n v="121.97018266888203"/>
  </r>
  <r>
    <s v="Regular"/>
    <x v="5"/>
    <x v="4"/>
    <x v="3"/>
    <x v="0"/>
    <x v="1"/>
    <x v="0"/>
    <x v="1"/>
    <x v="2"/>
    <n v="0"/>
    <n v="0"/>
    <n v="0.38300000000000001"/>
    <n v="0.38300000000000001"/>
    <n v="0.38300000000000001"/>
    <n v="0.38300000000000001"/>
    <n v="0"/>
    <x v="3"/>
    <n v="0"/>
    <n v="0"/>
    <n v="68"/>
    <n v="111"/>
    <n v="0"/>
    <n v="270.66000000000003"/>
    <n v="311.04000000000002"/>
    <m/>
    <n v="353.52722775084032"/>
    <n v="311.14842517571947"/>
    <n v="0"/>
    <n v="103.66278000000001"/>
    <n v="119.12832000000002"/>
    <n v="0"/>
    <n v="135.40092822857184"/>
    <n v="119.16984684230056"/>
  </r>
  <r>
    <s v="Regular"/>
    <x v="5"/>
    <x v="4"/>
    <x v="3"/>
    <x v="0"/>
    <x v="1"/>
    <x v="0"/>
    <x v="1"/>
    <x v="3"/>
    <n v="0"/>
    <n v="0"/>
    <n v="0.4"/>
    <n v="0.4"/>
    <n v="0.4"/>
    <n v="0.4"/>
    <n v="0"/>
    <x v="3"/>
    <n v="0"/>
    <n v="0"/>
    <n v="68"/>
    <n v="111"/>
    <n v="0"/>
    <n v="270.66000000000003"/>
    <n v="311.04000000000002"/>
    <m/>
    <n v="353.52722775084032"/>
    <n v="311.14842517571947"/>
    <n v="0"/>
    <n v="108.26400000000001"/>
    <n v="124.41600000000001"/>
    <n v="0"/>
    <n v="141.41089110033613"/>
    <n v="124.45937007028779"/>
  </r>
  <r>
    <s v="Regular"/>
    <x v="5"/>
    <x v="4"/>
    <x v="3"/>
    <x v="0"/>
    <x v="1"/>
    <x v="0"/>
    <x v="1"/>
    <x v="4"/>
    <n v="0"/>
    <n v="0"/>
    <n v="0.33"/>
    <n v="0.33"/>
    <n v="0.33"/>
    <n v="0.33"/>
    <n v="0"/>
    <x v="3"/>
    <n v="0"/>
    <n v="0"/>
    <n v="68"/>
    <n v="111"/>
    <n v="0"/>
    <n v="270.66000000000003"/>
    <n v="311.04000000000002"/>
    <m/>
    <n v="353.52722775084032"/>
    <n v="311.14842517571947"/>
    <n v="0"/>
    <n v="89.317800000000005"/>
    <n v="102.64320000000001"/>
    <n v="0"/>
    <n v="116.66398515777732"/>
    <n v="102.67898030798743"/>
  </r>
  <r>
    <s v="Regular"/>
    <x v="5"/>
    <x v="4"/>
    <x v="3"/>
    <x v="0"/>
    <x v="1"/>
    <x v="0"/>
    <x v="1"/>
    <x v="5"/>
    <n v="0"/>
    <n v="0"/>
    <n v="0.36299999999999999"/>
    <n v="0.36299999999999999"/>
    <n v="0.36299999999999999"/>
    <n v="0.36299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98.249580000000009"/>
    <n v="112.90752000000001"/>
    <n v="0"/>
    <n v="128.33038367355505"/>
    <n v="112.94687833878616"/>
  </r>
  <r>
    <s v="Regular"/>
    <x v="5"/>
    <x v="4"/>
    <x v="3"/>
    <x v="0"/>
    <x v="1"/>
    <x v="0"/>
    <x v="1"/>
    <x v="6"/>
    <n v="0"/>
    <n v="0"/>
    <n v="0.36399999999999999"/>
    <n v="0.36399999999999999"/>
    <n v="0.36399999999999999"/>
    <n v="0.36399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98.520240000000001"/>
    <n v="113.21856000000001"/>
    <n v="0"/>
    <n v="128.68391090130586"/>
    <n v="113.25802676396188"/>
  </r>
  <r>
    <s v="Regular"/>
    <x v="5"/>
    <x v="4"/>
    <x v="3"/>
    <x v="0"/>
    <x v="1"/>
    <x v="0"/>
    <x v="1"/>
    <x v="7"/>
    <n v="0"/>
    <n v="0"/>
    <n v="0.30499999999999999"/>
    <n v="0.30499999999999999"/>
    <n v="0.30499999999999999"/>
    <n v="0.30499999999999999"/>
    <n v="0"/>
    <x v="3"/>
    <n v="0"/>
    <n v="0"/>
    <n v="68"/>
    <n v="111"/>
    <n v="0"/>
    <n v="270.66000000000003"/>
    <n v="311.04000000000002"/>
    <m/>
    <n v="353.52722775084032"/>
    <n v="311.14842517571947"/>
    <n v="0"/>
    <n v="82.551300000000012"/>
    <n v="94.867200000000011"/>
    <n v="0"/>
    <n v="107.8258044640063"/>
    <n v="94.900269678594441"/>
  </r>
  <r>
    <s v="Regular"/>
    <x v="5"/>
    <x v="4"/>
    <x v="3"/>
    <x v="0"/>
    <x v="1"/>
    <x v="0"/>
    <x v="1"/>
    <x v="8"/>
    <n v="0"/>
    <n v="0"/>
    <n v="0.248"/>
    <n v="0.248"/>
    <n v="0.248"/>
    <n v="0.248"/>
    <n v="0"/>
    <x v="3"/>
    <n v="0"/>
    <n v="0"/>
    <n v="68"/>
    <n v="111"/>
    <n v="0"/>
    <n v="270.66000000000003"/>
    <n v="311.04000000000002"/>
    <m/>
    <n v="353.52722775084032"/>
    <n v="311.14842517571947"/>
    <n v="0"/>
    <n v="67.123680000000007"/>
    <n v="77.137920000000008"/>
    <n v="0"/>
    <n v="87.674752482208405"/>
    <n v="77.16480944357842"/>
  </r>
  <r>
    <s v="Regular"/>
    <x v="5"/>
    <x v="4"/>
    <x v="3"/>
    <x v="0"/>
    <x v="1"/>
    <x v="0"/>
    <x v="1"/>
    <x v="9"/>
    <n v="0"/>
    <n v="0"/>
    <n v="0.313"/>
    <n v="0.313"/>
    <n v="0.313"/>
    <n v="0.313"/>
    <n v="0"/>
    <x v="3"/>
    <n v="0"/>
    <n v="0"/>
    <n v="68"/>
    <n v="111"/>
    <n v="0"/>
    <n v="270.66000000000003"/>
    <n v="311.04000000000002"/>
    <m/>
    <n v="353.52722775084032"/>
    <n v="311.14842517571947"/>
    <n v="0"/>
    <n v="84.716580000000008"/>
    <n v="97.355520000000013"/>
    <n v="0"/>
    <n v="110.65402228601302"/>
    <n v="97.389457080000199"/>
  </r>
  <r>
    <s v="Regular"/>
    <x v="5"/>
    <x v="4"/>
    <x v="3"/>
    <x v="0"/>
    <x v="1"/>
    <x v="0"/>
    <x v="1"/>
    <x v="10"/>
    <n v="0"/>
    <n v="0"/>
    <n v="0.318"/>
    <n v="0.318"/>
    <n v="0.318"/>
    <n v="0.318"/>
    <n v="0"/>
    <x v="3"/>
    <n v="0"/>
    <n v="0"/>
    <n v="68"/>
    <n v="111"/>
    <n v="0"/>
    <n v="270.66000000000003"/>
    <n v="311.04000000000002"/>
    <m/>
    <n v="353.52722775084032"/>
    <n v="311.14842517571947"/>
    <n v="0"/>
    <n v="86.069880000000012"/>
    <n v="98.910720000000012"/>
    <n v="0"/>
    <n v="112.42165842476723"/>
    <n v="98.945199205878794"/>
  </r>
  <r>
    <s v="PROJETADO"/>
    <x v="5"/>
    <x v="4"/>
    <x v="3"/>
    <x v="0"/>
    <x v="1"/>
    <x v="0"/>
    <x v="1"/>
    <x v="11"/>
    <n v="0"/>
    <n v="0"/>
    <n v="0.318"/>
    <n v="0.318"/>
    <n v="0.318"/>
    <n v="0.318"/>
    <n v="0"/>
    <x v="3"/>
    <n v="0"/>
    <n v="0"/>
    <n v="68"/>
    <n v="111"/>
    <n v="0"/>
    <n v="270.66000000000003"/>
    <n v="311.04000000000002"/>
    <m/>
    <n v="353.52722775084032"/>
    <n v="311.14842517571947"/>
    <n v="0"/>
    <n v="86.069880000000012"/>
    <n v="98.910720000000012"/>
    <n v="0"/>
    <n v="112.42165842476723"/>
    <n v="98.945199205878794"/>
  </r>
  <r>
    <s v="Regular"/>
    <x v="5"/>
    <x v="4"/>
    <x v="3"/>
    <x v="0"/>
    <x v="1"/>
    <x v="0"/>
    <x v="3"/>
    <x v="0"/>
    <n v="0"/>
    <n v="0"/>
    <n v="0.02"/>
    <n v="0.02"/>
    <n v="0.02"/>
    <n v="0.02"/>
    <n v="0"/>
    <x v="3"/>
    <n v="0"/>
    <n v="0"/>
    <n v="67"/>
    <n v="110"/>
    <n v="0"/>
    <n v="575.91999999999996"/>
    <n v="311.04000000000002"/>
    <m/>
    <n v="705.86115226513607"/>
    <n v="311.14842517571947"/>
    <n v="0"/>
    <n v="11.5184"/>
    <n v="6.2208000000000006"/>
    <n v="0"/>
    <n v="14.117223045302723"/>
    <n v="6.2229685035143891"/>
  </r>
  <r>
    <s v="Regular"/>
    <x v="5"/>
    <x v="4"/>
    <x v="3"/>
    <x v="0"/>
    <x v="1"/>
    <x v="0"/>
    <x v="3"/>
    <x v="1"/>
    <n v="0"/>
    <n v="0"/>
    <n v="0.02"/>
    <n v="0.02"/>
    <n v="0.02"/>
    <n v="0.02"/>
    <n v="0"/>
    <x v="3"/>
    <n v="0"/>
    <n v="0"/>
    <n v="67"/>
    <n v="110"/>
    <n v="0"/>
    <n v="575.91999999999996"/>
    <n v="311.04000000000002"/>
    <m/>
    <n v="705.86115226513607"/>
    <n v="311.14842517571947"/>
    <n v="0"/>
    <n v="11.5184"/>
    <n v="6.2208000000000006"/>
    <n v="0"/>
    <n v="14.117223045302723"/>
    <n v="6.2229685035143891"/>
  </r>
  <r>
    <s v="Regular"/>
    <x v="5"/>
    <x v="4"/>
    <x v="3"/>
    <x v="0"/>
    <x v="1"/>
    <x v="0"/>
    <x v="3"/>
    <x v="2"/>
    <n v="0"/>
    <n v="0"/>
    <n v="2.1000000000000001E-2"/>
    <n v="2.1000000000000001E-2"/>
    <n v="2.1000000000000001E-2"/>
    <n v="2.1000000000000001E-2"/>
    <n v="0"/>
    <x v="3"/>
    <n v="0"/>
    <n v="0"/>
    <n v="67"/>
    <n v="110"/>
    <n v="0"/>
    <n v="575.91999999999996"/>
    <n v="311.04000000000002"/>
    <m/>
    <n v="705.86115226513607"/>
    <n v="311.14842517571947"/>
    <n v="0"/>
    <n v="12.09432"/>
    <n v="6.5318400000000008"/>
    <n v="0"/>
    <n v="14.823084197567859"/>
    <n v="6.5341169286901088"/>
  </r>
  <r>
    <s v="Regular"/>
    <x v="5"/>
    <x v="4"/>
    <x v="3"/>
    <x v="0"/>
    <x v="1"/>
    <x v="0"/>
    <x v="3"/>
    <x v="3"/>
    <n v="0"/>
    <n v="0"/>
    <n v="1.9E-2"/>
    <n v="1.9E-2"/>
    <n v="1.9E-2"/>
    <n v="1.9E-2"/>
    <n v="0"/>
    <x v="3"/>
    <n v="0"/>
    <n v="0"/>
    <n v="67"/>
    <n v="110"/>
    <n v="0"/>
    <n v="575.91999999999996"/>
    <n v="311.04000000000002"/>
    <m/>
    <n v="705.86115226513607"/>
    <n v="311.14842517571947"/>
    <n v="0"/>
    <n v="10.94248"/>
    <n v="5.9097600000000003"/>
    <n v="0"/>
    <n v="13.411361893037585"/>
    <n v="5.9118200783386694"/>
  </r>
  <r>
    <s v="Regular"/>
    <x v="5"/>
    <x v="4"/>
    <x v="3"/>
    <x v="0"/>
    <x v="1"/>
    <x v="0"/>
    <x v="3"/>
    <x v="4"/>
    <n v="0"/>
    <n v="0"/>
    <n v="1.7999999999999999E-2"/>
    <n v="1.7999999999999999E-2"/>
    <n v="1.7999999999999999E-2"/>
    <n v="1.7999999999999999E-2"/>
    <n v="0"/>
    <x v="3"/>
    <n v="0"/>
    <n v="0"/>
    <n v="67"/>
    <n v="110"/>
    <n v="0"/>
    <n v="575.91999999999996"/>
    <n v="311.04000000000002"/>
    <m/>
    <n v="705.86115226513607"/>
    <n v="311.14842517571947"/>
    <n v="0"/>
    <n v="10.366559999999998"/>
    <n v="5.5987200000000001"/>
    <n v="0"/>
    <n v="12.705500740772449"/>
    <n v="5.6006716531629497"/>
  </r>
  <r>
    <s v="Regular"/>
    <x v="5"/>
    <x v="4"/>
    <x v="3"/>
    <x v="0"/>
    <x v="1"/>
    <x v="0"/>
    <x v="3"/>
    <x v="5"/>
    <n v="0"/>
    <n v="0"/>
    <n v="1.7999999999999999E-2"/>
    <n v="1.7999999999999999E-2"/>
    <n v="1.7999999999999999E-2"/>
    <n v="1.7999999999999999E-2"/>
    <n v="0"/>
    <x v="3"/>
    <n v="0"/>
    <n v="0"/>
    <n v="67"/>
    <n v="110"/>
    <n v="0"/>
    <n v="575.91999999999996"/>
    <n v="311.04000000000002"/>
    <m/>
    <n v="705.86115226513607"/>
    <n v="311.14842517571947"/>
    <n v="0"/>
    <n v="10.366559999999998"/>
    <n v="5.5987200000000001"/>
    <n v="0"/>
    <n v="12.705500740772449"/>
    <n v="5.6006716531629497"/>
  </r>
  <r>
    <s v="Regular"/>
    <x v="5"/>
    <x v="4"/>
    <x v="3"/>
    <x v="0"/>
    <x v="1"/>
    <x v="0"/>
    <x v="3"/>
    <x v="6"/>
    <n v="0"/>
    <n v="0"/>
    <n v="1.7000000000000001E-2"/>
    <n v="1.7000000000000001E-2"/>
    <n v="1.7000000000000001E-2"/>
    <n v="1.7000000000000001E-2"/>
    <n v="0"/>
    <x v="3"/>
    <n v="0"/>
    <n v="0"/>
    <n v="67"/>
    <n v="110"/>
    <n v="0"/>
    <n v="575.91999999999996"/>
    <n v="311.04000000000002"/>
    <m/>
    <n v="705.86115226513607"/>
    <n v="311.14842517571947"/>
    <n v="0"/>
    <n v="9.7906399999999998"/>
    <n v="5.2876800000000008"/>
    <n v="0"/>
    <n v="11.999639588507314"/>
    <n v="5.2895232279872317"/>
  </r>
  <r>
    <s v="Regular"/>
    <x v="5"/>
    <x v="4"/>
    <x v="3"/>
    <x v="0"/>
    <x v="1"/>
    <x v="0"/>
    <x v="3"/>
    <x v="7"/>
    <n v="0"/>
    <n v="0"/>
    <n v="1.4E-2"/>
    <n v="1.4E-2"/>
    <n v="1.4E-2"/>
    <n v="1.4E-2"/>
    <n v="0"/>
    <x v="3"/>
    <n v="0"/>
    <n v="0"/>
    <n v="67"/>
    <n v="110"/>
    <n v="0"/>
    <n v="575.91999999999996"/>
    <n v="311.04000000000002"/>
    <m/>
    <n v="705.86115226513607"/>
    <n v="311.14842517571947"/>
    <n v="0"/>
    <n v="8.0628799999999998"/>
    <n v="4.3545600000000002"/>
    <n v="0"/>
    <n v="9.8820561317119058"/>
    <n v="4.3560779524600726"/>
  </r>
  <r>
    <s v="Regular"/>
    <x v="5"/>
    <x v="4"/>
    <x v="3"/>
    <x v="0"/>
    <x v="1"/>
    <x v="0"/>
    <x v="3"/>
    <x v="8"/>
    <n v="0"/>
    <n v="0"/>
    <n v="1.2E-2"/>
    <n v="1.2E-2"/>
    <n v="1.2E-2"/>
    <n v="1.2E-2"/>
    <n v="0"/>
    <x v="3"/>
    <n v="0"/>
    <n v="0"/>
    <n v="67"/>
    <n v="110"/>
    <n v="0"/>
    <n v="575.91999999999996"/>
    <n v="311.04000000000002"/>
    <m/>
    <n v="705.86115226513607"/>
    <n v="311.14842517571947"/>
    <n v="0"/>
    <n v="6.9110399999999998"/>
    <n v="3.7324800000000002"/>
    <n v="0"/>
    <n v="8.4703338271816335"/>
    <n v="3.7337811021086336"/>
  </r>
  <r>
    <s v="Regular"/>
    <x v="5"/>
    <x v="4"/>
    <x v="3"/>
    <x v="0"/>
    <x v="1"/>
    <x v="0"/>
    <x v="3"/>
    <x v="9"/>
    <n v="0"/>
    <n v="0"/>
    <n v="1.4E-2"/>
    <n v="1.4E-2"/>
    <n v="1.4E-2"/>
    <n v="1.4E-2"/>
    <n v="0"/>
    <x v="3"/>
    <n v="0"/>
    <n v="0"/>
    <n v="67"/>
    <n v="110"/>
    <n v="0"/>
    <n v="575.91999999999996"/>
    <n v="311.04000000000002"/>
    <m/>
    <n v="705.86115226513607"/>
    <n v="311.14842517571947"/>
    <n v="0"/>
    <n v="8.0628799999999998"/>
    <n v="4.3545600000000002"/>
    <n v="0"/>
    <n v="9.8820561317119058"/>
    <n v="4.3560779524600726"/>
  </r>
  <r>
    <s v="Regular"/>
    <x v="5"/>
    <x v="4"/>
    <x v="3"/>
    <x v="0"/>
    <x v="1"/>
    <x v="0"/>
    <x v="3"/>
    <x v="10"/>
    <n v="0"/>
    <n v="0"/>
    <n v="1.6E-2"/>
    <n v="1.6E-2"/>
    <n v="1.6E-2"/>
    <n v="1.6E-2"/>
    <n v="0"/>
    <x v="3"/>
    <n v="0"/>
    <n v="0"/>
    <n v="67"/>
    <n v="110"/>
    <n v="0"/>
    <n v="575.91999999999996"/>
    <n v="311.04000000000002"/>
    <m/>
    <n v="705.86115226513607"/>
    <n v="311.14842517571947"/>
    <n v="0"/>
    <n v="9.2147199999999998"/>
    <n v="4.9766400000000006"/>
    <n v="0"/>
    <n v="11.293778436242178"/>
    <n v="4.978374802811512"/>
  </r>
  <r>
    <s v="PROJETADO"/>
    <x v="5"/>
    <x v="4"/>
    <x v="3"/>
    <x v="0"/>
    <x v="1"/>
    <x v="0"/>
    <x v="3"/>
    <x v="11"/>
    <n v="0"/>
    <n v="0"/>
    <n v="1.6E-2"/>
    <n v="1.6E-2"/>
    <n v="1.6E-2"/>
    <n v="1.6E-2"/>
    <n v="0"/>
    <x v="3"/>
    <n v="0"/>
    <n v="0"/>
    <n v="67"/>
    <n v="110"/>
    <n v="0"/>
    <n v="575.91999999999996"/>
    <n v="311.04000000000002"/>
    <m/>
    <n v="705.86115226513607"/>
    <n v="311.14842517571947"/>
    <n v="0"/>
    <n v="9.2147199999999998"/>
    <n v="4.9766400000000006"/>
    <n v="0"/>
    <n v="11.293778436242178"/>
    <n v="4.978374802811512"/>
  </r>
  <r>
    <s v="Regular"/>
    <x v="5"/>
    <x v="4"/>
    <x v="3"/>
    <x v="0"/>
    <x v="1"/>
    <x v="0"/>
    <x v="2"/>
    <x v="0"/>
    <n v="0"/>
    <n v="0"/>
    <n v="3.2000000000000001E-2"/>
    <n v="3.2000000000000001E-2"/>
    <n v="3.2000000000000001E-2"/>
    <n v="3.2000000000000001E-2"/>
    <n v="0"/>
    <x v="3"/>
    <n v="0"/>
    <n v="0"/>
    <n v="66"/>
    <n v="109"/>
    <n v="0"/>
    <n v="881.18"/>
    <n v="496.15"/>
    <m/>
    <n v="1058.1950767794315"/>
    <n v="506.4861368306324"/>
    <n v="0"/>
    <n v="28.197759999999999"/>
    <n v="15.876799999999999"/>
    <n v="0"/>
    <n v="33.862242456941807"/>
    <n v="16.207556378580236"/>
  </r>
  <r>
    <s v="Regular"/>
    <x v="5"/>
    <x v="4"/>
    <x v="3"/>
    <x v="0"/>
    <x v="1"/>
    <x v="0"/>
    <x v="2"/>
    <x v="1"/>
    <n v="0"/>
    <n v="0"/>
    <n v="3.3000000000000002E-2"/>
    <n v="3.3000000000000002E-2"/>
    <n v="3.3000000000000002E-2"/>
    <n v="3.3000000000000002E-2"/>
    <n v="0"/>
    <x v="3"/>
    <n v="0"/>
    <n v="0"/>
    <n v="66"/>
    <n v="109"/>
    <n v="0"/>
    <n v="881.18"/>
    <n v="496.15"/>
    <m/>
    <n v="1058.1950767794315"/>
    <n v="506.4861368306324"/>
    <n v="0"/>
    <n v="29.078939999999999"/>
    <n v="16.372949999999999"/>
    <n v="0"/>
    <n v="34.920437533721241"/>
    <n v="16.71404251541087"/>
  </r>
  <r>
    <s v="Regular"/>
    <x v="5"/>
    <x v="4"/>
    <x v="3"/>
    <x v="0"/>
    <x v="1"/>
    <x v="0"/>
    <x v="2"/>
    <x v="2"/>
    <n v="0"/>
    <n v="0"/>
    <n v="3.5999999999999997E-2"/>
    <n v="3.5999999999999997E-2"/>
    <n v="3.5999999999999997E-2"/>
    <n v="3.5999999999999997E-2"/>
    <n v="0"/>
    <x v="3"/>
    <n v="0"/>
    <n v="0"/>
    <n v="66"/>
    <n v="109"/>
    <n v="0"/>
    <n v="881.18"/>
    <n v="496.15"/>
    <m/>
    <n v="1058.1950767794315"/>
    <n v="506.4861368306324"/>
    <n v="0"/>
    <n v="31.722479999999997"/>
    <n v="17.861399999999996"/>
    <n v="0"/>
    <n v="38.095022764059529"/>
    <n v="18.233500925902764"/>
  </r>
  <r>
    <s v="Regular"/>
    <x v="5"/>
    <x v="4"/>
    <x v="3"/>
    <x v="0"/>
    <x v="1"/>
    <x v="0"/>
    <x v="2"/>
    <x v="3"/>
    <n v="0"/>
    <n v="0"/>
    <n v="3.2000000000000001E-2"/>
    <n v="3.2000000000000001E-2"/>
    <n v="3.2000000000000001E-2"/>
    <n v="3.2000000000000001E-2"/>
    <n v="0"/>
    <x v="3"/>
    <n v="0"/>
    <n v="0"/>
    <n v="66"/>
    <n v="109"/>
    <n v="0"/>
    <n v="881.18"/>
    <n v="496.15"/>
    <m/>
    <n v="1058.1950767794315"/>
    <n v="506.4861368306324"/>
    <n v="0"/>
    <n v="28.197759999999999"/>
    <n v="15.876799999999999"/>
    <n v="0"/>
    <n v="33.862242456941807"/>
    <n v="16.207556378580236"/>
  </r>
  <r>
    <s v="Regular"/>
    <x v="5"/>
    <x v="4"/>
    <x v="3"/>
    <x v="0"/>
    <x v="1"/>
    <x v="0"/>
    <x v="2"/>
    <x v="4"/>
    <n v="0"/>
    <n v="0"/>
    <n v="2.9000000000000001E-2"/>
    <n v="2.9000000000000001E-2"/>
    <n v="2.9000000000000001E-2"/>
    <n v="2.9000000000000001E-2"/>
    <n v="0"/>
    <x v="3"/>
    <n v="0"/>
    <n v="0"/>
    <n v="66"/>
    <n v="109"/>
    <n v="0"/>
    <n v="881.18"/>
    <n v="496.15"/>
    <m/>
    <n v="1058.1950767794315"/>
    <n v="506.4861368306324"/>
    <n v="0"/>
    <n v="25.554220000000001"/>
    <n v="14.388350000000001"/>
    <n v="0"/>
    <n v="30.687657226603513"/>
    <n v="14.688097968088341"/>
  </r>
  <r>
    <s v="Regular"/>
    <x v="5"/>
    <x v="4"/>
    <x v="3"/>
    <x v="0"/>
    <x v="1"/>
    <x v="0"/>
    <x v="2"/>
    <x v="5"/>
    <n v="0"/>
    <n v="0"/>
    <n v="3.1E-2"/>
    <n v="3.1E-2"/>
    <n v="3.1E-2"/>
    <n v="3.1E-2"/>
    <n v="0"/>
    <x v="3"/>
    <n v="0"/>
    <n v="0"/>
    <n v="66"/>
    <n v="109"/>
    <n v="0"/>
    <n v="881.18"/>
    <n v="496.15"/>
    <m/>
    <n v="1058.1950767794315"/>
    <n v="506.4861368306324"/>
    <n v="0"/>
    <n v="27.316579999999998"/>
    <n v="15.380649999999999"/>
    <n v="0"/>
    <n v="32.804047380162373"/>
    <n v="15.701070241749605"/>
  </r>
  <r>
    <s v="Regular"/>
    <x v="5"/>
    <x v="4"/>
    <x v="3"/>
    <x v="0"/>
    <x v="1"/>
    <x v="0"/>
    <x v="2"/>
    <x v="6"/>
    <n v="0"/>
    <n v="0"/>
    <n v="2.8000000000000001E-2"/>
    <n v="2.8000000000000001E-2"/>
    <n v="2.8000000000000001E-2"/>
    <n v="2.8000000000000001E-2"/>
    <n v="0"/>
    <x v="3"/>
    <n v="0"/>
    <n v="0"/>
    <n v="66"/>
    <n v="109"/>
    <n v="0"/>
    <n v="881.18"/>
    <n v="496.15"/>
    <m/>
    <n v="1058.1950767794315"/>
    <n v="506.4861368306324"/>
    <n v="0"/>
    <n v="24.67304"/>
    <n v="13.892199999999999"/>
    <n v="0"/>
    <n v="29.629462149824082"/>
    <n v="14.181611831257708"/>
  </r>
  <r>
    <s v="Regular"/>
    <x v="5"/>
    <x v="4"/>
    <x v="3"/>
    <x v="0"/>
    <x v="1"/>
    <x v="0"/>
    <x v="2"/>
    <x v="7"/>
    <n v="0"/>
    <n v="0"/>
    <n v="2.3E-2"/>
    <n v="2.3E-2"/>
    <n v="2.3E-2"/>
    <n v="2.3E-2"/>
    <n v="0"/>
    <x v="3"/>
    <n v="0"/>
    <n v="0"/>
    <n v="66"/>
    <n v="109"/>
    <n v="0"/>
    <n v="881.18"/>
    <n v="496.15"/>
    <m/>
    <n v="1058.1950767794315"/>
    <n v="506.4861368306324"/>
    <n v="0"/>
    <n v="20.267139999999998"/>
    <n v="11.411449999999999"/>
    <n v="0"/>
    <n v="24.338486765926923"/>
    <n v="11.649181147104546"/>
  </r>
  <r>
    <s v="Regular"/>
    <x v="5"/>
    <x v="4"/>
    <x v="3"/>
    <x v="0"/>
    <x v="1"/>
    <x v="0"/>
    <x v="2"/>
    <x v="8"/>
    <n v="0"/>
    <n v="0"/>
    <n v="0.02"/>
    <n v="0.02"/>
    <n v="0.02"/>
    <n v="0.02"/>
    <n v="0"/>
    <x v="3"/>
    <n v="0"/>
    <n v="0"/>
    <n v="66"/>
    <n v="109"/>
    <n v="0"/>
    <n v="881.18"/>
    <n v="496.15"/>
    <m/>
    <n v="1058.1950767794315"/>
    <n v="506.4861368306324"/>
    <n v="0"/>
    <n v="17.6236"/>
    <n v="9.923"/>
    <n v="0"/>
    <n v="21.163901535588629"/>
    <n v="10.129722736612647"/>
  </r>
  <r>
    <s v="Regular"/>
    <x v="5"/>
    <x v="4"/>
    <x v="3"/>
    <x v="0"/>
    <x v="1"/>
    <x v="0"/>
    <x v="2"/>
    <x v="9"/>
    <n v="0"/>
    <n v="0"/>
    <n v="2.4E-2"/>
    <n v="2.4E-2"/>
    <n v="2.4E-2"/>
    <n v="2.4E-2"/>
    <n v="0"/>
    <x v="3"/>
    <n v="0"/>
    <n v="0"/>
    <n v="66"/>
    <n v="109"/>
    <n v="0"/>
    <n v="881.18"/>
    <n v="496.15"/>
    <m/>
    <n v="1058.1950767794315"/>
    <n v="506.4861368306324"/>
    <n v="0"/>
    <n v="21.148319999999998"/>
    <n v="11.9076"/>
    <n v="0"/>
    <n v="25.396681842706357"/>
    <n v="12.155667283935179"/>
  </r>
  <r>
    <s v="Regular"/>
    <x v="5"/>
    <x v="4"/>
    <x v="3"/>
    <x v="0"/>
    <x v="1"/>
    <x v="0"/>
    <x v="2"/>
    <x v="10"/>
    <n v="0"/>
    <n v="0"/>
    <n v="2.5999999999999999E-2"/>
    <n v="2.5999999999999999E-2"/>
    <n v="2.5999999999999999E-2"/>
    <n v="2.5999999999999999E-2"/>
    <n v="0"/>
    <x v="3"/>
    <n v="0"/>
    <n v="0"/>
    <n v="66"/>
    <n v="109"/>
    <n v="0"/>
    <n v="881.18"/>
    <n v="496.15"/>
    <m/>
    <n v="1058.1950767794315"/>
    <n v="506.4861368306324"/>
    <n v="0"/>
    <n v="22.910679999999999"/>
    <n v="12.899899999999999"/>
    <n v="0"/>
    <n v="27.513071996265218"/>
    <n v="13.168639557596443"/>
  </r>
  <r>
    <s v="PROJETADO"/>
    <x v="5"/>
    <x v="4"/>
    <x v="3"/>
    <x v="0"/>
    <x v="1"/>
    <x v="0"/>
    <x v="2"/>
    <x v="11"/>
    <n v="0"/>
    <n v="0"/>
    <n v="2.5999999999999999E-2"/>
    <n v="2.5999999999999999E-2"/>
    <n v="2.5999999999999999E-2"/>
    <n v="2.5999999999999999E-2"/>
    <n v="0"/>
    <x v="3"/>
    <n v="0"/>
    <n v="0"/>
    <n v="66"/>
    <n v="109"/>
    <n v="0"/>
    <n v="881.18"/>
    <n v="496.15"/>
    <m/>
    <n v="1058.1950767794315"/>
    <n v="506.4861368306324"/>
    <n v="0"/>
    <n v="22.910679999999999"/>
    <n v="12.899899999999999"/>
    <n v="0"/>
    <n v="27.513071996265218"/>
    <n v="13.168639557596443"/>
  </r>
  <r>
    <s v="Regular"/>
    <x v="5"/>
    <x v="5"/>
    <x v="2"/>
    <x v="0"/>
    <x v="1"/>
    <x v="0"/>
    <x v="0"/>
    <x v="0"/>
    <n v="0"/>
    <n v="0"/>
    <n v="10397.828"/>
    <n v="10397.828"/>
    <n v="10397.828"/>
    <n v="10397.828"/>
    <n v="32807"/>
    <x v="3"/>
    <n v="0"/>
    <n v="0"/>
    <n v="69"/>
    <n v="112"/>
    <n v="0"/>
    <n v="342.48"/>
    <n v="326.47000000000003"/>
    <m/>
    <n v="436.42935762318632"/>
    <n v="327.42656781362894"/>
    <n v="0"/>
    <n v="3561048.13344"/>
    <n v="3394578.9071599999"/>
    <n v="0"/>
    <n v="4537917.3947163802"/>
    <n v="3404525.1347564496"/>
  </r>
  <r>
    <s v="Refaturamento - Regular"/>
    <x v="5"/>
    <x v="5"/>
    <x v="2"/>
    <x v="0"/>
    <x v="1"/>
    <x v="0"/>
    <x v="0"/>
    <x v="0"/>
    <n v="0"/>
    <n v="0"/>
    <n v="-1.7430000000000001"/>
    <n v="-1.7430000000000001"/>
    <n v="-1.7430000000000001"/>
    <n v="-1.7430000000000001"/>
    <n v="-3"/>
    <x v="3"/>
    <n v="0"/>
    <n v="0"/>
    <n v="69"/>
    <n v="112"/>
    <n v="0"/>
    <n v="342.48"/>
    <n v="326.47000000000003"/>
    <m/>
    <n v="436.42935762318632"/>
    <n v="327.42656781362894"/>
    <n v="0"/>
    <n v="-596.9426400000001"/>
    <n v="-569.03721000000007"/>
    <n v="0"/>
    <n v="-760.69637033721381"/>
    <n v="-570.70450769915522"/>
  </r>
  <r>
    <s v="Sistema de Compensação"/>
    <x v="5"/>
    <x v="5"/>
    <x v="2"/>
    <x v="0"/>
    <x v="1"/>
    <x v="0"/>
    <x v="0"/>
    <x v="0"/>
    <n v="0"/>
    <n v="0"/>
    <n v="1049.1410000000001"/>
    <n v="1049.1410000000001"/>
    <n v="1049.1410000000001"/>
    <n v="1049.1410000000001"/>
    <n v="2274"/>
    <x v="3"/>
    <n v="0"/>
    <n v="0"/>
    <n v="69"/>
    <n v="112"/>
    <n v="0"/>
    <n v="342.48"/>
    <n v="326.47000000000003"/>
    <m/>
    <n v="436.42935762318632"/>
    <n v="327.42656781362894"/>
    <n v="0"/>
    <n v="359309.80968000006"/>
    <n v="342513.06227000005"/>
    <n v="0"/>
    <n v="457875.93268614734"/>
    <n v="343516.63678255852"/>
  </r>
  <r>
    <s v="Sistema de Compensação"/>
    <x v="5"/>
    <x v="5"/>
    <x v="2"/>
    <x v="0"/>
    <x v="1"/>
    <x v="0"/>
    <x v="0"/>
    <x v="0"/>
    <n v="0"/>
    <n v="0"/>
    <n v="-6.0609999999999999"/>
    <n v="-6.0609999999999999"/>
    <n v="-6.0609999999999999"/>
    <n v="-6.0609999999999999"/>
    <n v="0"/>
    <x v="3"/>
    <n v="0"/>
    <n v="0"/>
    <n v="69"/>
    <n v="112"/>
    <n v="0"/>
    <n v="342.48"/>
    <n v="326.47000000000003"/>
    <m/>
    <n v="436.42935762318632"/>
    <n v="327.42656781362894"/>
    <n v="0"/>
    <n v="-2075.7712799999999"/>
    <n v="-1978.7346700000001"/>
    <n v="0"/>
    <n v="-2645.1983365541323"/>
    <n v="-1984.532427518405"/>
  </r>
  <r>
    <s v="Regular"/>
    <x v="5"/>
    <x v="5"/>
    <x v="2"/>
    <x v="0"/>
    <x v="1"/>
    <x v="0"/>
    <x v="0"/>
    <x v="1"/>
    <n v="0"/>
    <n v="0"/>
    <n v="10011.321"/>
    <n v="10011.321"/>
    <n v="10011.321"/>
    <n v="10011.321"/>
    <n v="32701"/>
    <x v="3"/>
    <n v="0"/>
    <n v="0"/>
    <n v="69"/>
    <n v="112"/>
    <n v="0"/>
    <n v="342.48"/>
    <n v="326.47000000000003"/>
    <m/>
    <n v="436.42935762318632"/>
    <n v="327.42656781362894"/>
    <n v="0"/>
    <n v="3428677.2160800002"/>
    <n v="3268395.9668700001"/>
    <n v="0"/>
    <n v="4369234.3929895153"/>
    <n v="3277972.4743105075"/>
  </r>
  <r>
    <s v="Refaturamento - Regular"/>
    <x v="5"/>
    <x v="5"/>
    <x v="2"/>
    <x v="0"/>
    <x v="1"/>
    <x v="0"/>
    <x v="0"/>
    <x v="1"/>
    <n v="0"/>
    <n v="0"/>
    <n v="-9.8520000000000003"/>
    <n v="-9.8520000000000003"/>
    <n v="-9.8520000000000003"/>
    <n v="-9.8520000000000003"/>
    <n v="-8"/>
    <x v="3"/>
    <n v="0"/>
    <n v="0"/>
    <n v="69"/>
    <n v="112"/>
    <n v="0"/>
    <n v="342.48"/>
    <n v="326.47000000000003"/>
    <m/>
    <n v="436.42935762318632"/>
    <n v="327.42656781362894"/>
    <n v="0"/>
    <n v="-3374.1129600000004"/>
    <n v="-3216.3824400000003"/>
    <n v="0"/>
    <n v="-4299.7020313036319"/>
    <n v="-3225.8065460998723"/>
  </r>
  <r>
    <s v="Sistema de Compensação"/>
    <x v="5"/>
    <x v="5"/>
    <x v="2"/>
    <x v="0"/>
    <x v="1"/>
    <x v="0"/>
    <x v="0"/>
    <x v="1"/>
    <n v="0"/>
    <n v="0"/>
    <n v="1054.326"/>
    <n v="1054.326"/>
    <n v="1054.326"/>
    <n v="1054.326"/>
    <n v="2392"/>
    <x v="3"/>
    <n v="0"/>
    <n v="0"/>
    <n v="69"/>
    <n v="112"/>
    <n v="0"/>
    <n v="342.48"/>
    <n v="326.47000000000003"/>
    <m/>
    <n v="436.42935762318632"/>
    <n v="327.42656781362894"/>
    <n v="0"/>
    <n v="361085.56848000002"/>
    <n v="344205.80922000005"/>
    <n v="0"/>
    <n v="460138.81890542357"/>
    <n v="345214.34353667212"/>
  </r>
  <r>
    <s v="Sistema de Compensação"/>
    <x v="5"/>
    <x v="5"/>
    <x v="2"/>
    <x v="0"/>
    <x v="1"/>
    <x v="0"/>
    <x v="0"/>
    <x v="1"/>
    <n v="0"/>
    <n v="0"/>
    <n v="0.71799999999999997"/>
    <n v="0.71799999999999997"/>
    <n v="0.71799999999999997"/>
    <n v="0.71799999999999997"/>
    <n v="0"/>
    <x v="3"/>
    <n v="0"/>
    <n v="0"/>
    <n v="69"/>
    <n v="112"/>
    <n v="0"/>
    <n v="342.48"/>
    <n v="326.47000000000003"/>
    <m/>
    <n v="436.42935762318632"/>
    <n v="327.42656781362894"/>
    <n v="0"/>
    <n v="245.90064000000001"/>
    <n v="234.40546000000001"/>
    <n v="0"/>
    <n v="313.35627877344774"/>
    <n v="235.09227569018557"/>
  </r>
  <r>
    <s v="Regular"/>
    <x v="5"/>
    <x v="5"/>
    <x v="2"/>
    <x v="0"/>
    <x v="1"/>
    <x v="0"/>
    <x v="0"/>
    <x v="2"/>
    <n v="0"/>
    <n v="0"/>
    <n v="10123.049999999999"/>
    <n v="10123.049999999999"/>
    <n v="10123.049999999999"/>
    <n v="10123.049999999999"/>
    <n v="32582"/>
    <x v="3"/>
    <n v="0"/>
    <n v="0"/>
    <n v="69"/>
    <n v="112"/>
    <n v="0"/>
    <n v="342.48"/>
    <n v="326.47000000000003"/>
    <m/>
    <n v="436.42935762318632"/>
    <n v="327.42656781362894"/>
    <n v="0"/>
    <n v="3466942.1639999999"/>
    <n v="3304872.1335"/>
    <n v="0"/>
    <n v="4417996.2086873958"/>
    <n v="3314555.517305756"/>
  </r>
  <r>
    <s v="Refaturamento - Regular"/>
    <x v="5"/>
    <x v="5"/>
    <x v="2"/>
    <x v="0"/>
    <x v="1"/>
    <x v="0"/>
    <x v="0"/>
    <x v="2"/>
    <n v="0"/>
    <n v="0"/>
    <n v="-7.6289999999999996"/>
    <n v="-7.6289999999999996"/>
    <n v="-7.6289999999999996"/>
    <n v="-7.6289999999999996"/>
    <n v="-15"/>
    <x v="3"/>
    <n v="0"/>
    <n v="0"/>
    <n v="69"/>
    <n v="112"/>
    <n v="0"/>
    <n v="342.48"/>
    <n v="326.47000000000003"/>
    <m/>
    <n v="436.42935762318632"/>
    <n v="327.42656781362894"/>
    <n v="0"/>
    <n v="-2612.7799199999999"/>
    <n v="-2490.6396300000001"/>
    <n v="0"/>
    <n v="-3329.5195693072883"/>
    <n v="-2497.9372858501752"/>
  </r>
  <r>
    <s v="Sistema de Compensação"/>
    <x v="5"/>
    <x v="5"/>
    <x v="2"/>
    <x v="0"/>
    <x v="1"/>
    <x v="0"/>
    <x v="0"/>
    <x v="2"/>
    <n v="0"/>
    <n v="0"/>
    <n v="977.21299999999997"/>
    <n v="977.21299999999997"/>
    <n v="977.21299999999997"/>
    <n v="977.21299999999997"/>
    <n v="2509"/>
    <x v="3"/>
    <n v="0"/>
    <n v="0"/>
    <n v="69"/>
    <n v="112"/>
    <n v="0"/>
    <n v="342.48"/>
    <n v="326.47000000000003"/>
    <m/>
    <n v="436.42935762318632"/>
    <n v="327.42656781362894"/>
    <n v="0"/>
    <n v="334675.90824000002"/>
    <n v="319030.72811000003"/>
    <n v="0"/>
    <n v="426484.44185102679"/>
    <n v="319965.49861285975"/>
  </r>
  <r>
    <s v="Regular"/>
    <x v="5"/>
    <x v="5"/>
    <x v="2"/>
    <x v="0"/>
    <x v="1"/>
    <x v="0"/>
    <x v="0"/>
    <x v="3"/>
    <n v="0"/>
    <n v="0"/>
    <n v="11476.826999999999"/>
    <n v="11476.826999999999"/>
    <n v="11476.826999999999"/>
    <n v="11476.826999999999"/>
    <n v="32472"/>
    <x v="3"/>
    <n v="0"/>
    <n v="0"/>
    <n v="69"/>
    <n v="112"/>
    <n v="0"/>
    <n v="342.48"/>
    <n v="326.47000000000003"/>
    <m/>
    <n v="436.42935762318632"/>
    <n v="327.42656781362894"/>
    <n v="0"/>
    <n v="3930583.7109599998"/>
    <n v="3746839.7106900001"/>
    <n v="0"/>
    <n v="5008824.2351624407"/>
    <n v="3757818.0740007875"/>
  </r>
  <r>
    <s v="Refaturamento - Regular"/>
    <x v="5"/>
    <x v="5"/>
    <x v="2"/>
    <x v="0"/>
    <x v="1"/>
    <x v="0"/>
    <x v="0"/>
    <x v="3"/>
    <n v="0"/>
    <n v="0"/>
    <n v="-5.4870000000000001"/>
    <n v="-5.4870000000000001"/>
    <n v="-5.4870000000000001"/>
    <n v="-5.4870000000000001"/>
    <n v="-12"/>
    <x v="3"/>
    <n v="0"/>
    <n v="0"/>
    <n v="69"/>
    <n v="112"/>
    <n v="0"/>
    <n v="342.48"/>
    <n v="326.47000000000003"/>
    <m/>
    <n v="436.42935762318632"/>
    <n v="327.42656781362894"/>
    <n v="0"/>
    <n v="-1879.18776"/>
    <n v="-1791.3408900000002"/>
    <n v="0"/>
    <n v="-2394.6878852784234"/>
    <n v="-1796.589577593382"/>
  </r>
  <r>
    <s v="Sistema de Compensação"/>
    <x v="5"/>
    <x v="5"/>
    <x v="2"/>
    <x v="0"/>
    <x v="1"/>
    <x v="0"/>
    <x v="0"/>
    <x v="3"/>
    <n v="0"/>
    <n v="0"/>
    <n v="1378.22"/>
    <n v="1378.22"/>
    <n v="1378.22"/>
    <n v="1378.22"/>
    <n v="2686"/>
    <x v="3"/>
    <n v="0"/>
    <n v="0"/>
    <n v="69"/>
    <n v="112"/>
    <n v="0"/>
    <n v="342.48"/>
    <n v="326.47000000000003"/>
    <m/>
    <n v="436.42935762318632"/>
    <n v="327.42656781362894"/>
    <n v="0"/>
    <n v="472012.78560000006"/>
    <n v="449947.48340000003"/>
    <n v="0"/>
    <n v="601495.66926342784"/>
    <n v="451265.8442920997"/>
  </r>
  <r>
    <s v="Sistema de Compensação"/>
    <x v="5"/>
    <x v="5"/>
    <x v="2"/>
    <x v="0"/>
    <x v="1"/>
    <x v="0"/>
    <x v="0"/>
    <x v="3"/>
    <n v="0"/>
    <n v="0"/>
    <n v="-13.561999999999999"/>
    <n v="-13.561999999999999"/>
    <n v="-13.561999999999999"/>
    <n v="-13.561999999999999"/>
    <n v="0"/>
    <x v="3"/>
    <n v="0"/>
    <n v="0"/>
    <n v="69"/>
    <n v="112"/>
    <n v="0"/>
    <n v="342.48"/>
    <n v="326.47000000000003"/>
    <m/>
    <n v="436.42935762318632"/>
    <n v="327.42656781362894"/>
    <n v="0"/>
    <n v="-4644.7137599999996"/>
    <n v="-4427.5861400000003"/>
    <n v="0"/>
    <n v="-5918.8549480856527"/>
    <n v="-4440.5591126884356"/>
  </r>
  <r>
    <s v="Regular"/>
    <x v="5"/>
    <x v="5"/>
    <x v="2"/>
    <x v="0"/>
    <x v="1"/>
    <x v="0"/>
    <x v="0"/>
    <x v="4"/>
    <n v="0"/>
    <n v="0"/>
    <n v="11400.047"/>
    <n v="11400.047"/>
    <n v="11400.047"/>
    <n v="11400.047"/>
    <n v="32415"/>
    <x v="3"/>
    <n v="0"/>
    <n v="0"/>
    <n v="69"/>
    <n v="112"/>
    <n v="0"/>
    <n v="342.48"/>
    <n v="326.47000000000003"/>
    <m/>
    <n v="436.42935762318632"/>
    <n v="327.42656781362894"/>
    <n v="0"/>
    <n v="3904288.0965600004"/>
    <n v="3721773.3440900003"/>
    <n v="0"/>
    <n v="4975315.1890841322"/>
    <n v="3732678.2621240574"/>
  </r>
  <r>
    <s v="Refaturamento - Regular"/>
    <x v="5"/>
    <x v="5"/>
    <x v="2"/>
    <x v="0"/>
    <x v="1"/>
    <x v="0"/>
    <x v="0"/>
    <x v="4"/>
    <n v="0"/>
    <n v="0"/>
    <n v="-13.917999999999999"/>
    <n v="-13.917999999999999"/>
    <n v="-13.917999999999999"/>
    <n v="-13.917999999999999"/>
    <n v="-1"/>
    <x v="3"/>
    <n v="0"/>
    <n v="0"/>
    <n v="69"/>
    <n v="112"/>
    <n v="0"/>
    <n v="342.48"/>
    <n v="326.47000000000003"/>
    <m/>
    <n v="436.42935762318632"/>
    <n v="327.42656781362894"/>
    <n v="0"/>
    <n v="-4766.6366399999997"/>
    <n v="-4543.8094600000004"/>
    <n v="0"/>
    <n v="-6074.2237993995068"/>
    <n v="-4557.1229708300871"/>
  </r>
  <r>
    <s v="Sistema de Compensação"/>
    <x v="5"/>
    <x v="5"/>
    <x v="2"/>
    <x v="0"/>
    <x v="1"/>
    <x v="0"/>
    <x v="0"/>
    <x v="4"/>
    <n v="0"/>
    <n v="0"/>
    <n v="1165.597"/>
    <n v="1165.597"/>
    <n v="1165.597"/>
    <n v="1165.597"/>
    <n v="2766"/>
    <x v="3"/>
    <n v="0"/>
    <n v="0"/>
    <n v="69"/>
    <n v="112"/>
    <n v="0"/>
    <n v="342.48"/>
    <n v="326.47000000000003"/>
    <m/>
    <n v="436.42935762318632"/>
    <n v="327.42656781362894"/>
    <n v="0"/>
    <n v="399193.66055999999"/>
    <n v="380532.45259"/>
    <n v="0"/>
    <n v="508700.74995751312"/>
    <n v="381647.42516386241"/>
  </r>
  <r>
    <s v="Sistema de Compensação"/>
    <x v="5"/>
    <x v="5"/>
    <x v="2"/>
    <x v="0"/>
    <x v="1"/>
    <x v="0"/>
    <x v="0"/>
    <x v="4"/>
    <n v="0"/>
    <n v="0"/>
    <n v="-4.798"/>
    <n v="-4.798"/>
    <n v="-4.798"/>
    <n v="-4.798"/>
    <n v="0"/>
    <x v="3"/>
    <n v="0"/>
    <n v="0"/>
    <n v="69"/>
    <n v="112"/>
    <n v="0"/>
    <n v="342.48"/>
    <n v="326.47000000000003"/>
    <m/>
    <n v="436.42935762318632"/>
    <n v="327.42656781362894"/>
    <n v="0"/>
    <n v="-1643.2190400000002"/>
    <n v="-1566.4030600000001"/>
    <n v="0"/>
    <n v="-2093.9880578760481"/>
    <n v="-1570.9926723697915"/>
  </r>
  <r>
    <s v="Regular"/>
    <x v="5"/>
    <x v="5"/>
    <x v="2"/>
    <x v="0"/>
    <x v="1"/>
    <x v="0"/>
    <x v="0"/>
    <x v="5"/>
    <n v="0"/>
    <n v="0"/>
    <n v="11144.76"/>
    <n v="11144.76"/>
    <n v="11144.76"/>
    <n v="11144.76"/>
    <n v="32325"/>
    <x v="3"/>
    <n v="0"/>
    <n v="0"/>
    <n v="69"/>
    <n v="112"/>
    <n v="0"/>
    <n v="342.48"/>
    <n v="326.47000000000003"/>
    <m/>
    <n v="436.42935762318632"/>
    <n v="327.42656781362894"/>
    <n v="0"/>
    <n v="3816857.4048000001"/>
    <n v="3638429.7972000004"/>
    <n v="0"/>
    <n v="4863900.4476645822"/>
    <n v="3649090.5159066194"/>
  </r>
  <r>
    <s v="Refaturamento - Regular"/>
    <x v="5"/>
    <x v="5"/>
    <x v="2"/>
    <x v="0"/>
    <x v="1"/>
    <x v="0"/>
    <x v="0"/>
    <x v="5"/>
    <n v="0"/>
    <n v="0"/>
    <n v="-3.613"/>
    <n v="-3.613"/>
    <n v="-3.613"/>
    <n v="-3.613"/>
    <n v="-1"/>
    <x v="3"/>
    <n v="0"/>
    <n v="0"/>
    <n v="69"/>
    <n v="112"/>
    <n v="0"/>
    <n v="342.48"/>
    <n v="326.47000000000003"/>
    <m/>
    <n v="436.42935762318632"/>
    <n v="327.42656781362894"/>
    <n v="0"/>
    <n v="-1237.38024"/>
    <n v="-1179.53611"/>
    <n v="0"/>
    <n v="-1576.8192690925721"/>
    <n v="-1182.9921895106413"/>
  </r>
  <r>
    <s v="Sistema de Compensação"/>
    <x v="5"/>
    <x v="5"/>
    <x v="2"/>
    <x v="0"/>
    <x v="1"/>
    <x v="0"/>
    <x v="0"/>
    <x v="5"/>
    <n v="0"/>
    <n v="0"/>
    <n v="1292.6079999999999"/>
    <n v="1292.6079999999999"/>
    <n v="1292.6079999999999"/>
    <n v="1292.6079999999999"/>
    <n v="2870"/>
    <x v="3"/>
    <n v="0"/>
    <n v="0"/>
    <n v="69"/>
    <n v="112"/>
    <n v="0"/>
    <n v="342.48"/>
    <n v="326.47000000000003"/>
    <m/>
    <n v="436.42935762318632"/>
    <n v="327.42656781362894"/>
    <n v="0"/>
    <n v="442692.38783999998"/>
    <n v="421997.73376000003"/>
    <n v="0"/>
    <n v="564132.07909859158"/>
    <n v="423234.20096843923"/>
  </r>
  <r>
    <s v="Sistema de Compensação"/>
    <x v="5"/>
    <x v="5"/>
    <x v="2"/>
    <x v="0"/>
    <x v="1"/>
    <x v="0"/>
    <x v="0"/>
    <x v="5"/>
    <n v="0"/>
    <n v="0"/>
    <n v="-1.31"/>
    <n v="-1.31"/>
    <n v="-1.31"/>
    <n v="-1.31"/>
    <n v="0"/>
    <x v="3"/>
    <n v="0"/>
    <n v="0"/>
    <n v="69"/>
    <n v="112"/>
    <n v="0"/>
    <n v="342.48"/>
    <n v="326.47000000000003"/>
    <m/>
    <n v="436.42935762318632"/>
    <n v="327.42656781362894"/>
    <n v="0"/>
    <n v="-448.64880000000005"/>
    <n v="-427.67570000000006"/>
    <n v="0"/>
    <n v="-571.72245848637408"/>
    <n v="-428.9288038358539"/>
  </r>
  <r>
    <s v="Regular"/>
    <x v="5"/>
    <x v="5"/>
    <x v="2"/>
    <x v="0"/>
    <x v="1"/>
    <x v="0"/>
    <x v="0"/>
    <x v="6"/>
    <n v="0"/>
    <n v="0"/>
    <n v="12301.717000000001"/>
    <n v="12301.717000000001"/>
    <n v="12301.717000000001"/>
    <n v="12301.717000000001"/>
    <n v="32145"/>
    <x v="3"/>
    <n v="0"/>
    <n v="0"/>
    <n v="69"/>
    <n v="112"/>
    <n v="0"/>
    <n v="342.48"/>
    <n v="326.47000000000003"/>
    <m/>
    <n v="436.42935762318632"/>
    <n v="327.42656781362894"/>
    <n v="0"/>
    <n v="4213092.03816"/>
    <n v="4016141.5489900005"/>
    <n v="0"/>
    <n v="5368830.4479722306"/>
    <n v="4027908.9755245722"/>
  </r>
  <r>
    <s v="Refaturamento - Regular"/>
    <x v="5"/>
    <x v="5"/>
    <x v="2"/>
    <x v="0"/>
    <x v="1"/>
    <x v="0"/>
    <x v="0"/>
    <x v="6"/>
    <n v="0"/>
    <n v="0"/>
    <n v="-3.1659999999999999"/>
    <n v="-3.1659999999999999"/>
    <n v="-3.1659999999999999"/>
    <n v="-3.1659999999999999"/>
    <n v="-6"/>
    <x v="3"/>
    <n v="0"/>
    <n v="0"/>
    <n v="69"/>
    <n v="112"/>
    <n v="0"/>
    <n v="342.48"/>
    <n v="326.47000000000003"/>
    <m/>
    <n v="436.42935762318632"/>
    <n v="327.42656781362894"/>
    <n v="0"/>
    <n v="-1084.29168"/>
    <n v="-1033.60402"/>
    <n v="0"/>
    <n v="-1381.7353462350079"/>
    <n v="-1036.6325136979492"/>
  </r>
  <r>
    <s v="Sistema de Compensação"/>
    <x v="5"/>
    <x v="5"/>
    <x v="2"/>
    <x v="0"/>
    <x v="1"/>
    <x v="0"/>
    <x v="0"/>
    <x v="6"/>
    <n v="0"/>
    <n v="0"/>
    <n v="1538.693"/>
    <n v="1538.693"/>
    <n v="1538.693"/>
    <n v="1538.693"/>
    <n v="3090"/>
    <x v="3"/>
    <n v="0"/>
    <n v="0"/>
    <n v="69"/>
    <n v="112"/>
    <n v="0"/>
    <n v="342.48"/>
    <n v="326.47000000000003"/>
    <m/>
    <n v="436.42935762318632"/>
    <n v="327.42656781362894"/>
    <n v="0"/>
    <n v="526971.57864000008"/>
    <n v="502337.10371000005"/>
    <n v="0"/>
    <n v="671530.79756929341"/>
    <n v="503808.96790885617"/>
  </r>
  <r>
    <s v="Sistema de Compensação"/>
    <x v="5"/>
    <x v="5"/>
    <x v="2"/>
    <x v="0"/>
    <x v="1"/>
    <x v="0"/>
    <x v="0"/>
    <x v="6"/>
    <n v="0"/>
    <n v="0"/>
    <n v="-0.72599999999999998"/>
    <n v="-0.72599999999999998"/>
    <n v="-0.72599999999999998"/>
    <n v="-0.72599999999999998"/>
    <n v="-1"/>
    <x v="3"/>
    <n v="0"/>
    <n v="0"/>
    <n v="69"/>
    <n v="112"/>
    <n v="0"/>
    <n v="342.48"/>
    <n v="326.47000000000003"/>
    <m/>
    <n v="436.42935762318632"/>
    <n v="327.42656781362894"/>
    <n v="0"/>
    <n v="-248.64048"/>
    <n v="-237.01722000000001"/>
    <n v="0"/>
    <n v="-316.84771363443326"/>
    <n v="-237.7116882326946"/>
  </r>
  <r>
    <s v="Regular"/>
    <x v="5"/>
    <x v="5"/>
    <x v="2"/>
    <x v="0"/>
    <x v="1"/>
    <x v="0"/>
    <x v="0"/>
    <x v="7"/>
    <n v="0"/>
    <n v="0"/>
    <n v="11684.423000000001"/>
    <n v="11684.423000000001"/>
    <n v="11684.423000000001"/>
    <n v="11684.423000000001"/>
    <n v="32078"/>
    <x v="3"/>
    <n v="0"/>
    <n v="0"/>
    <n v="69"/>
    <n v="112"/>
    <n v="0"/>
    <n v="342.48"/>
    <n v="326.47000000000003"/>
    <m/>
    <n v="436.42935762318632"/>
    <n v="327.42656781362894"/>
    <n v="0"/>
    <n v="4001681.1890400006"/>
    <n v="3814613.5768100005"/>
    <n v="0"/>
    <n v="5099425.2240875838"/>
    <n v="3825790.519772626"/>
  </r>
  <r>
    <s v="Refaturamento - Regular"/>
    <x v="5"/>
    <x v="5"/>
    <x v="2"/>
    <x v="0"/>
    <x v="1"/>
    <x v="0"/>
    <x v="0"/>
    <x v="7"/>
    <n v="0"/>
    <n v="0"/>
    <n v="-3.16"/>
    <n v="-3.16"/>
    <n v="-3.16"/>
    <n v="-3.16"/>
    <n v="0"/>
    <x v="3"/>
    <n v="0"/>
    <n v="0"/>
    <n v="69"/>
    <n v="112"/>
    <n v="0"/>
    <n v="342.48"/>
    <n v="326.47000000000003"/>
    <m/>
    <n v="436.42935762318632"/>
    <n v="327.42656781362894"/>
    <n v="0"/>
    <n v="-1082.2368000000001"/>
    <n v="-1031.6452000000002"/>
    <n v="0"/>
    <n v="-1379.1167700892688"/>
    <n v="-1034.6679542910674"/>
  </r>
  <r>
    <s v="Sistema de Compensação"/>
    <x v="5"/>
    <x v="5"/>
    <x v="2"/>
    <x v="0"/>
    <x v="1"/>
    <x v="0"/>
    <x v="0"/>
    <x v="7"/>
    <n v="0"/>
    <n v="0"/>
    <n v="1559.1410000000001"/>
    <n v="1559.1410000000001"/>
    <n v="1559.1410000000001"/>
    <n v="1559.1410000000001"/>
    <n v="3222"/>
    <x v="3"/>
    <n v="0"/>
    <n v="0"/>
    <n v="69"/>
    <n v="112"/>
    <n v="0"/>
    <n v="342.48"/>
    <n v="326.47000000000003"/>
    <m/>
    <n v="436.42935762318632"/>
    <n v="327.42656781362894"/>
    <n v="0"/>
    <n v="533974.60968000011"/>
    <n v="509012.76227000006"/>
    <n v="0"/>
    <n v="680454.90507397242"/>
    <n v="510504.18636750925"/>
  </r>
  <r>
    <s v="Sistema de Compensação"/>
    <x v="5"/>
    <x v="5"/>
    <x v="2"/>
    <x v="0"/>
    <x v="1"/>
    <x v="0"/>
    <x v="0"/>
    <x v="7"/>
    <n v="0"/>
    <n v="0"/>
    <n v="-2.63"/>
    <n v="-2.63"/>
    <n v="-2.63"/>
    <n v="-2.63"/>
    <n v="-1"/>
    <x v="3"/>
    <n v="0"/>
    <n v="0"/>
    <n v="69"/>
    <n v="112"/>
    <n v="0"/>
    <n v="342.48"/>
    <n v="326.47000000000003"/>
    <m/>
    <n v="436.42935762318632"/>
    <n v="327.42656781362894"/>
    <n v="0"/>
    <n v="-900.72239999999999"/>
    <n v="-858.61610000000007"/>
    <n v="0"/>
    <n v="-1147.80921054898"/>
    <n v="-861.13187334984411"/>
  </r>
  <r>
    <s v="Regular"/>
    <x v="5"/>
    <x v="5"/>
    <x v="2"/>
    <x v="0"/>
    <x v="1"/>
    <x v="0"/>
    <x v="0"/>
    <x v="8"/>
    <n v="0"/>
    <n v="0"/>
    <n v="11536.987999999999"/>
    <n v="11536.987999999999"/>
    <n v="11536.987999999999"/>
    <n v="11536.987999999999"/>
    <n v="31969"/>
    <x v="3"/>
    <n v="0"/>
    <n v="0"/>
    <n v="69"/>
    <n v="112"/>
    <n v="0"/>
    <n v="342.48"/>
    <n v="326.47000000000003"/>
    <m/>
    <n v="436.42935762318632"/>
    <n v="327.42656781362894"/>
    <n v="0"/>
    <n v="3951187.6502399999"/>
    <n v="3766480.47236"/>
    <n v="0"/>
    <n v="5035080.2617464084"/>
    <n v="3777516.3837470231"/>
  </r>
  <r>
    <s v="Refaturamento - Regular"/>
    <x v="5"/>
    <x v="5"/>
    <x v="2"/>
    <x v="0"/>
    <x v="1"/>
    <x v="0"/>
    <x v="0"/>
    <x v="8"/>
    <n v="0"/>
    <n v="0"/>
    <n v="-1.966"/>
    <n v="-1.966"/>
    <n v="-1.966"/>
    <n v="-1.966"/>
    <n v="-3"/>
    <x v="3"/>
    <n v="0"/>
    <n v="0"/>
    <n v="69"/>
    <n v="112"/>
    <n v="0"/>
    <n v="342.48"/>
    <n v="326.47000000000003"/>
    <m/>
    <n v="436.42935762318632"/>
    <n v="327.42656781362894"/>
    <n v="0"/>
    <n v="-673.31568000000004"/>
    <n v="-641.8400200000001"/>
    <n v="0"/>
    <n v="-858.0201170871843"/>
    <n v="-643.72063232159451"/>
  </r>
  <r>
    <s v="Sistema de Compensação"/>
    <x v="5"/>
    <x v="5"/>
    <x v="2"/>
    <x v="0"/>
    <x v="1"/>
    <x v="0"/>
    <x v="0"/>
    <x v="8"/>
    <n v="0"/>
    <n v="0"/>
    <n v="1551.191"/>
    <n v="1551.191"/>
    <n v="1551.191"/>
    <n v="1551.191"/>
    <n v="3367"/>
    <x v="3"/>
    <n v="0"/>
    <n v="0"/>
    <n v="69"/>
    <n v="112"/>
    <n v="0"/>
    <n v="342.48"/>
    <n v="326.47000000000003"/>
    <m/>
    <n v="436.42935762318632"/>
    <n v="327.42656781362894"/>
    <n v="0"/>
    <n v="531251.8936800001"/>
    <n v="506417.32577000005"/>
    <n v="0"/>
    <n v="676985.29168086802"/>
    <n v="507901.14515339088"/>
  </r>
  <r>
    <s v="Sistema de Compensação"/>
    <x v="5"/>
    <x v="5"/>
    <x v="2"/>
    <x v="0"/>
    <x v="1"/>
    <x v="0"/>
    <x v="0"/>
    <x v="8"/>
    <n v="0"/>
    <n v="0"/>
    <n v="-9.5510000000000002"/>
    <n v="-9.5510000000000002"/>
    <n v="-9.5510000000000002"/>
    <n v="-9.5510000000000002"/>
    <n v="0"/>
    <x v="3"/>
    <n v="0"/>
    <n v="0"/>
    <n v="69"/>
    <n v="112"/>
    <n v="0"/>
    <n v="342.48"/>
    <n v="326.47000000000003"/>
    <m/>
    <n v="436.42935762318632"/>
    <n v="327.42656781362894"/>
    <n v="0"/>
    <n v="-3271.0264800000004"/>
    <n v="-3118.1149700000001"/>
    <n v="0"/>
    <n v="-4168.3367946590524"/>
    <n v="-3127.25114918797"/>
  </r>
  <r>
    <s v="Regular"/>
    <x v="5"/>
    <x v="5"/>
    <x v="2"/>
    <x v="0"/>
    <x v="1"/>
    <x v="0"/>
    <x v="0"/>
    <x v="9"/>
    <n v="0"/>
    <n v="0"/>
    <n v="12511.235000000001"/>
    <n v="12511.235000000001"/>
    <n v="12511.235000000001"/>
    <n v="12511.235000000001"/>
    <n v="32001"/>
    <x v="3"/>
    <n v="0"/>
    <n v="0"/>
    <n v="69"/>
    <n v="112"/>
    <n v="0"/>
    <n v="342.48"/>
    <n v="326.47000000000003"/>
    <m/>
    <n v="436.42935762318632"/>
    <n v="327.42656781362894"/>
    <n v="0"/>
    <n v="4284847.7628000006"/>
    <n v="4084542.8904500008"/>
    <n v="0"/>
    <n v="5460270.2541227257"/>
    <n v="4096510.7351597482"/>
  </r>
  <r>
    <s v="Refaturamento - Regular"/>
    <x v="5"/>
    <x v="5"/>
    <x v="2"/>
    <x v="0"/>
    <x v="1"/>
    <x v="0"/>
    <x v="0"/>
    <x v="9"/>
    <n v="0"/>
    <n v="0"/>
    <n v="46.697000000000003"/>
    <n v="46.697000000000003"/>
    <n v="46.697000000000003"/>
    <n v="46.697000000000003"/>
    <n v="-9"/>
    <x v="3"/>
    <n v="0"/>
    <n v="0"/>
    <n v="69"/>
    <n v="112"/>
    <n v="0"/>
    <n v="342.48"/>
    <n v="326.47000000000003"/>
    <m/>
    <n v="436.42935762318632"/>
    <n v="327.42656781362894"/>
    <n v="0"/>
    <n v="15992.788560000003"/>
    <n v="15245.169590000001"/>
    <n v="0"/>
    <n v="20379.941712929933"/>
    <n v="15289.838437193031"/>
  </r>
  <r>
    <s v="Sistema de Compensação"/>
    <x v="5"/>
    <x v="5"/>
    <x v="2"/>
    <x v="0"/>
    <x v="1"/>
    <x v="0"/>
    <x v="0"/>
    <x v="9"/>
    <n v="0"/>
    <n v="0"/>
    <n v="1782.893"/>
    <n v="1782.893"/>
    <n v="1782.893"/>
    <n v="1782.893"/>
    <n v="3521"/>
    <x v="3"/>
    <n v="0"/>
    <n v="0"/>
    <n v="69"/>
    <n v="112"/>
    <n v="0"/>
    <n v="342.48"/>
    <n v="326.47000000000003"/>
    <m/>
    <n v="436.42935762318632"/>
    <n v="327.42656781362894"/>
    <n v="0"/>
    <n v="610605.19464"/>
    <n v="582061.0777100001"/>
    <n v="0"/>
    <n v="778106.84670087555"/>
    <n v="583766.5357689443"/>
  </r>
  <r>
    <s v="Sistema de Compensação"/>
    <x v="5"/>
    <x v="5"/>
    <x v="2"/>
    <x v="0"/>
    <x v="1"/>
    <x v="0"/>
    <x v="0"/>
    <x v="9"/>
    <n v="0"/>
    <n v="0"/>
    <n v="-0.41199999999999998"/>
    <n v="-0.41199999999999998"/>
    <n v="-0.41199999999999998"/>
    <n v="-0.41199999999999998"/>
    <n v="0"/>
    <x v="3"/>
    <n v="0"/>
    <n v="0"/>
    <n v="69"/>
    <n v="112"/>
    <n v="0"/>
    <n v="342.48"/>
    <n v="326.47000000000003"/>
    <m/>
    <n v="436.42935762318632"/>
    <n v="327.42656781362894"/>
    <n v="0"/>
    <n v="-141.10176000000001"/>
    <n v="-134.50564"/>
    <n v="0"/>
    <n v="-179.80889534075274"/>
    <n v="-134.89974593921511"/>
  </r>
  <r>
    <s v="Regular"/>
    <x v="5"/>
    <x v="5"/>
    <x v="2"/>
    <x v="0"/>
    <x v="1"/>
    <x v="0"/>
    <x v="0"/>
    <x v="10"/>
    <n v="0"/>
    <n v="0"/>
    <n v="12040.022000000001"/>
    <n v="12040.022000000001"/>
    <n v="12040.022000000001"/>
    <n v="12040.022000000001"/>
    <n v="31703"/>
    <x v="3"/>
    <n v="0"/>
    <n v="0"/>
    <n v="69"/>
    <n v="112"/>
    <n v="0"/>
    <n v="342.48"/>
    <n v="326.47000000000003"/>
    <m/>
    <n v="436.42935762318632"/>
    <n v="327.42656781362894"/>
    <n v="0"/>
    <n v="4123466.7345600007"/>
    <n v="3930705.9823400006"/>
    <n v="0"/>
    <n v="5254619.0672290316"/>
    <n v="3942223.0798605843"/>
  </r>
  <r>
    <s v="Refaturamento - Regular"/>
    <x v="5"/>
    <x v="5"/>
    <x v="2"/>
    <x v="0"/>
    <x v="1"/>
    <x v="0"/>
    <x v="0"/>
    <x v="10"/>
    <n v="0"/>
    <n v="0"/>
    <n v="-4.5970000000000004"/>
    <n v="-4.5970000000000004"/>
    <n v="-4.5970000000000004"/>
    <n v="-4.5970000000000004"/>
    <n v="-13"/>
    <x v="3"/>
    <n v="0"/>
    <n v="0"/>
    <n v="69"/>
    <n v="112"/>
    <n v="0"/>
    <n v="342.48"/>
    <n v="326.47000000000003"/>
    <m/>
    <n v="436.42935762318632"/>
    <n v="327.42656781362894"/>
    <n v="0"/>
    <n v="-1574.3805600000003"/>
    <n v="-1500.7825900000003"/>
    <n v="0"/>
    <n v="-2006.2657569937876"/>
    <n v="-1505.1799322392524"/>
  </r>
  <r>
    <s v="Sistema de Compensação"/>
    <x v="5"/>
    <x v="5"/>
    <x v="2"/>
    <x v="0"/>
    <x v="1"/>
    <x v="0"/>
    <x v="0"/>
    <x v="10"/>
    <n v="0"/>
    <n v="0"/>
    <n v="1781.2650000000001"/>
    <n v="1781.2650000000001"/>
    <n v="1781.2650000000001"/>
    <n v="1781.2650000000001"/>
    <n v="3681"/>
    <x v="3"/>
    <n v="0"/>
    <n v="0"/>
    <n v="69"/>
    <n v="112"/>
    <n v="0"/>
    <n v="342.48"/>
    <n v="326.47000000000003"/>
    <m/>
    <n v="436.42935762318632"/>
    <n v="327.42656781362894"/>
    <n v="0"/>
    <n v="610047.63720000011"/>
    <n v="581529.58455000003"/>
    <n v="0"/>
    <n v="777396.33970666502"/>
    <n v="583233.48531654372"/>
  </r>
  <r>
    <s v="Sistema de Compensação"/>
    <x v="5"/>
    <x v="5"/>
    <x v="2"/>
    <x v="0"/>
    <x v="1"/>
    <x v="0"/>
    <x v="0"/>
    <x v="10"/>
    <n v="0"/>
    <n v="0"/>
    <n v="-2.5099999999999998"/>
    <n v="-2.5099999999999998"/>
    <n v="-2.5099999999999998"/>
    <n v="-2.5099999999999998"/>
    <n v="0"/>
    <x v="3"/>
    <n v="0"/>
    <n v="0"/>
    <n v="69"/>
    <n v="112"/>
    <n v="0"/>
    <n v="342.48"/>
    <n v="326.47000000000003"/>
    <m/>
    <n v="436.42935762318632"/>
    <n v="327.42656781362894"/>
    <n v="0"/>
    <n v="-859.62479999999994"/>
    <n v="-819.43970000000002"/>
    <n v="0"/>
    <n v="-1095.4376876341976"/>
    <n v="-821.84068521220854"/>
  </r>
  <r>
    <s v="PROJETADO"/>
    <x v="5"/>
    <x v="5"/>
    <x v="2"/>
    <x v="0"/>
    <x v="1"/>
    <x v="0"/>
    <x v="0"/>
    <x v="11"/>
    <n v="0"/>
    <n v="0"/>
    <n v="12040.022000000001"/>
    <n v="12040.022000000001"/>
    <n v="12040.022000000001"/>
    <n v="12040.022000000001"/>
    <n v="31703"/>
    <x v="3"/>
    <n v="0"/>
    <n v="0"/>
    <n v="69"/>
    <n v="112"/>
    <n v="0"/>
    <n v="342.48"/>
    <n v="326.47000000000003"/>
    <m/>
    <n v="436.42935762318632"/>
    <n v="327.42656781362894"/>
    <n v="0"/>
    <n v="4123466.7345600007"/>
    <n v="3930705.9823400006"/>
    <n v="0"/>
    <n v="5254619.0672290316"/>
    <n v="3942223.0798605843"/>
  </r>
  <r>
    <s v="PROJETADO"/>
    <x v="5"/>
    <x v="5"/>
    <x v="2"/>
    <x v="0"/>
    <x v="1"/>
    <x v="0"/>
    <x v="0"/>
    <x v="11"/>
    <n v="0"/>
    <n v="0"/>
    <n v="-4.5970000000000004"/>
    <n v="-4.5970000000000004"/>
    <n v="-4.5970000000000004"/>
    <n v="-4.5970000000000004"/>
    <n v="-13"/>
    <x v="3"/>
    <n v="0"/>
    <n v="0"/>
    <n v="69"/>
    <n v="112"/>
    <n v="0"/>
    <n v="342.48"/>
    <n v="326.47000000000003"/>
    <m/>
    <n v="436.42935762318632"/>
    <n v="327.42656781362894"/>
    <n v="0"/>
    <n v="-1574.3805600000003"/>
    <n v="-1500.7825900000003"/>
    <n v="0"/>
    <n v="-2006.2657569937876"/>
    <n v="-1505.1799322392524"/>
  </r>
  <r>
    <s v="PROJETADO"/>
    <x v="5"/>
    <x v="5"/>
    <x v="2"/>
    <x v="0"/>
    <x v="1"/>
    <x v="0"/>
    <x v="0"/>
    <x v="11"/>
    <n v="0"/>
    <n v="0"/>
    <n v="1781.2650000000001"/>
    <n v="1781.2650000000001"/>
    <n v="1781.2650000000001"/>
    <n v="1781.2650000000001"/>
    <n v="3681"/>
    <x v="3"/>
    <n v="0"/>
    <n v="0"/>
    <n v="69"/>
    <n v="112"/>
    <n v="0"/>
    <n v="342.48"/>
    <n v="326.47000000000003"/>
    <m/>
    <n v="436.42935762318632"/>
    <n v="327.42656781362894"/>
    <n v="0"/>
    <n v="610047.63720000011"/>
    <n v="581529.58455000003"/>
    <n v="0"/>
    <n v="777396.33970666502"/>
    <n v="583233.48531654372"/>
  </r>
  <r>
    <s v="PROJETADO"/>
    <x v="5"/>
    <x v="5"/>
    <x v="2"/>
    <x v="0"/>
    <x v="1"/>
    <x v="0"/>
    <x v="0"/>
    <x v="11"/>
    <n v="0"/>
    <n v="0"/>
    <n v="-2.5099999999999998"/>
    <n v="-2.5099999999999998"/>
    <n v="-2.5099999999999998"/>
    <n v="-2.5099999999999998"/>
    <n v="0"/>
    <x v="3"/>
    <n v="0"/>
    <n v="0"/>
    <n v="69"/>
    <n v="112"/>
    <n v="0"/>
    <n v="342.48"/>
    <n v="326.47000000000003"/>
    <m/>
    <n v="436.42935762318632"/>
    <n v="327.42656781362894"/>
    <n v="0"/>
    <n v="-859.62479999999994"/>
    <n v="-819.43970000000002"/>
    <n v="0"/>
    <n v="-1095.4376876341976"/>
    <n v="-821.84068521220854"/>
  </r>
  <r>
    <s v="Regular"/>
    <x v="5"/>
    <x v="5"/>
    <x v="6"/>
    <x v="0"/>
    <x v="1"/>
    <x v="0"/>
    <x v="0"/>
    <x v="0"/>
    <n v="0"/>
    <n v="0"/>
    <n v="145.48500000000001"/>
    <n v="145.48500000000001"/>
    <n v="145.48500000000001"/>
    <n v="145.48500000000001"/>
    <n v="142"/>
    <x v="3"/>
    <n v="0"/>
    <n v="0"/>
    <n v="69"/>
    <n v="112"/>
    <n v="0"/>
    <n v="342.48"/>
    <n v="326.47000000000003"/>
    <m/>
    <n v="436.42935762318632"/>
    <n v="327.42656781362894"/>
    <n v="0"/>
    <n v="49825.702800000006"/>
    <n v="47496.48795000001"/>
    <n v="0"/>
    <n v="63493.925093809266"/>
    <n v="47635.654218365809"/>
  </r>
  <r>
    <s v="Sistema de Compensação"/>
    <x v="5"/>
    <x v="5"/>
    <x v="6"/>
    <x v="0"/>
    <x v="1"/>
    <x v="0"/>
    <x v="0"/>
    <x v="0"/>
    <n v="0"/>
    <n v="0"/>
    <n v="1.6970000000000001"/>
    <n v="1.6970000000000001"/>
    <n v="1.6970000000000001"/>
    <n v="1.6970000000000001"/>
    <n v="1"/>
    <x v="3"/>
    <n v="0"/>
    <n v="0"/>
    <n v="69"/>
    <n v="112"/>
    <n v="0"/>
    <n v="342.48"/>
    <n v="326.47000000000003"/>
    <m/>
    <n v="436.42935762318632"/>
    <n v="327.42656781362894"/>
    <n v="0"/>
    <n v="581.18856000000005"/>
    <n v="554.01959000000011"/>
    <n v="0"/>
    <n v="740.62061988654716"/>
    <n v="555.64288557972827"/>
  </r>
  <r>
    <s v="Regular"/>
    <x v="5"/>
    <x v="5"/>
    <x v="6"/>
    <x v="0"/>
    <x v="1"/>
    <x v="0"/>
    <x v="0"/>
    <x v="1"/>
    <n v="0"/>
    <n v="0"/>
    <n v="129.00700000000001"/>
    <n v="129.00700000000001"/>
    <n v="129.00700000000001"/>
    <n v="129.00700000000001"/>
    <n v="142"/>
    <x v="3"/>
    <n v="0"/>
    <n v="0"/>
    <n v="69"/>
    <n v="112"/>
    <n v="0"/>
    <n v="342.48"/>
    <n v="326.47000000000003"/>
    <m/>
    <n v="436.42935762318632"/>
    <n v="327.42656781362894"/>
    <n v="0"/>
    <n v="44182.317360000001"/>
    <n v="42116.915290000004"/>
    <n v="0"/>
    <n v="56302.442138894403"/>
    <n v="42240.319233932831"/>
  </r>
  <r>
    <s v="Sistema de Compensação"/>
    <x v="5"/>
    <x v="5"/>
    <x v="6"/>
    <x v="0"/>
    <x v="1"/>
    <x v="0"/>
    <x v="0"/>
    <x v="1"/>
    <n v="0"/>
    <n v="0"/>
    <n v="0.94699999999999995"/>
    <n v="0.94699999999999995"/>
    <n v="0.94699999999999995"/>
    <n v="0.94699999999999995"/>
    <n v="1"/>
    <x v="3"/>
    <n v="0"/>
    <n v="0"/>
    <n v="69"/>
    <n v="112"/>
    <n v="0"/>
    <n v="342.48"/>
    <n v="326.47000000000003"/>
    <m/>
    <n v="436.42935762318632"/>
    <n v="327.42656781362894"/>
    <n v="0"/>
    <n v="324.32855999999998"/>
    <n v="309.16709000000003"/>
    <n v="0"/>
    <n v="413.29860166915745"/>
    <n v="310.07295971950657"/>
  </r>
  <r>
    <s v="Regular"/>
    <x v="5"/>
    <x v="5"/>
    <x v="6"/>
    <x v="0"/>
    <x v="1"/>
    <x v="0"/>
    <x v="0"/>
    <x v="2"/>
    <n v="0"/>
    <n v="0"/>
    <n v="140.61699999999999"/>
    <n v="140.61699999999999"/>
    <n v="140.61699999999999"/>
    <n v="140.61699999999999"/>
    <n v="144"/>
    <x v="3"/>
    <n v="0"/>
    <n v="0"/>
    <n v="69"/>
    <n v="112"/>
    <n v="0"/>
    <n v="342.48"/>
    <n v="326.47000000000003"/>
    <m/>
    <n v="436.42935762318632"/>
    <n v="327.42656781362894"/>
    <n v="0"/>
    <n v="48158.510159999998"/>
    <n v="45907.23199"/>
    <n v="0"/>
    <n v="61369.386980899588"/>
    <n v="46041.741686249057"/>
  </r>
  <r>
    <s v="Sistema de Compensação"/>
    <x v="5"/>
    <x v="5"/>
    <x v="6"/>
    <x v="0"/>
    <x v="1"/>
    <x v="0"/>
    <x v="0"/>
    <x v="2"/>
    <n v="0"/>
    <n v="0"/>
    <n v="1.794"/>
    <n v="1.794"/>
    <n v="1.794"/>
    <n v="1.794"/>
    <n v="1"/>
    <x v="3"/>
    <n v="0"/>
    <n v="0"/>
    <n v="69"/>
    <n v="112"/>
    <n v="0"/>
    <n v="342.48"/>
    <n v="326.47000000000003"/>
    <m/>
    <n v="436.42935762318632"/>
    <n v="327.42656781362894"/>
    <n v="0"/>
    <n v="614.40912000000003"/>
    <n v="585.68718000000001"/>
    <n v="0"/>
    <n v="782.95426757599625"/>
    <n v="587.40326265765032"/>
  </r>
  <r>
    <s v="Regular"/>
    <x v="5"/>
    <x v="5"/>
    <x v="6"/>
    <x v="0"/>
    <x v="1"/>
    <x v="0"/>
    <x v="0"/>
    <x v="3"/>
    <n v="0"/>
    <n v="0"/>
    <n v="166.33799999999999"/>
    <n v="166.33799999999999"/>
    <n v="166.33799999999999"/>
    <n v="166.33799999999999"/>
    <n v="143"/>
    <x v="3"/>
    <n v="0"/>
    <n v="0"/>
    <n v="69"/>
    <n v="112"/>
    <n v="0"/>
    <n v="342.48"/>
    <n v="326.47000000000003"/>
    <m/>
    <n v="436.42935762318632"/>
    <n v="327.42656781362894"/>
    <n v="0"/>
    <n v="56967.438240000003"/>
    <n v="54304.366860000002"/>
    <n v="0"/>
    <n v="72594.786488325568"/>
    <n v="54463.480436983409"/>
  </r>
  <r>
    <s v="Sistema de Compensação"/>
    <x v="5"/>
    <x v="5"/>
    <x v="6"/>
    <x v="0"/>
    <x v="1"/>
    <x v="0"/>
    <x v="0"/>
    <x v="3"/>
    <n v="0"/>
    <n v="0"/>
    <n v="0.51700000000000002"/>
    <n v="0.51700000000000002"/>
    <n v="0.51700000000000002"/>
    <n v="0.51700000000000002"/>
    <n v="1"/>
    <x v="3"/>
    <n v="0"/>
    <n v="0"/>
    <n v="69"/>
    <n v="112"/>
    <n v="0"/>
    <n v="342.48"/>
    <n v="326.47000000000003"/>
    <m/>
    <n v="436.42935762318632"/>
    <n v="327.42656781362894"/>
    <n v="0"/>
    <n v="177.06216000000001"/>
    <n v="168.78499000000002"/>
    <n v="0"/>
    <n v="225.63397789118733"/>
    <n v="169.27953555964618"/>
  </r>
  <r>
    <s v="Regular"/>
    <x v="5"/>
    <x v="5"/>
    <x v="6"/>
    <x v="0"/>
    <x v="1"/>
    <x v="0"/>
    <x v="0"/>
    <x v="4"/>
    <n v="0"/>
    <n v="0"/>
    <n v="152.26499999999999"/>
    <n v="152.26499999999999"/>
    <n v="152.26499999999999"/>
    <n v="152.26499999999999"/>
    <n v="142"/>
    <x v="3"/>
    <n v="0"/>
    <n v="0"/>
    <n v="69"/>
    <n v="112"/>
    <n v="0"/>
    <n v="342.48"/>
    <n v="326.47000000000003"/>
    <m/>
    <n v="436.42935762318632"/>
    <n v="327.42656781362894"/>
    <n v="0"/>
    <n v="52147.717199999999"/>
    <n v="49709.954550000002"/>
    <n v="0"/>
    <n v="66452.91613849446"/>
    <n v="49855.606348142202"/>
  </r>
  <r>
    <s v="Sistema de Compensação"/>
    <x v="5"/>
    <x v="5"/>
    <x v="6"/>
    <x v="0"/>
    <x v="1"/>
    <x v="0"/>
    <x v="0"/>
    <x v="4"/>
    <n v="0"/>
    <n v="0"/>
    <n v="1.821"/>
    <n v="1.821"/>
    <n v="1.821"/>
    <n v="1.821"/>
    <n v="1"/>
    <x v="3"/>
    <n v="0"/>
    <n v="0"/>
    <n v="69"/>
    <n v="112"/>
    <n v="0"/>
    <n v="342.48"/>
    <n v="326.47000000000003"/>
    <m/>
    <n v="436.42935762318632"/>
    <n v="327.42656781362894"/>
    <n v="0"/>
    <n v="623.65607999999997"/>
    <n v="594.50187000000005"/>
    <n v="0"/>
    <n v="794.73786023182231"/>
    <n v="596.24377998861826"/>
  </r>
  <r>
    <s v="Regular"/>
    <x v="5"/>
    <x v="5"/>
    <x v="6"/>
    <x v="0"/>
    <x v="1"/>
    <x v="0"/>
    <x v="0"/>
    <x v="5"/>
    <n v="0"/>
    <n v="0"/>
    <n v="153.399"/>
    <n v="153.399"/>
    <n v="153.399"/>
    <n v="153.399"/>
    <n v="142"/>
    <x v="3"/>
    <n v="0"/>
    <n v="0"/>
    <n v="69"/>
    <n v="112"/>
    <n v="0"/>
    <n v="342.48"/>
    <n v="326.47000000000003"/>
    <m/>
    <n v="436.42935762318632"/>
    <n v="327.42656781362894"/>
    <n v="0"/>
    <n v="52536.089520000001"/>
    <n v="50080.171530000007"/>
    <n v="0"/>
    <n v="66947.82703003916"/>
    <n v="50226.908076042862"/>
  </r>
  <r>
    <s v="Sistema de Compensação"/>
    <x v="5"/>
    <x v="5"/>
    <x v="6"/>
    <x v="0"/>
    <x v="1"/>
    <x v="0"/>
    <x v="0"/>
    <x v="5"/>
    <n v="0"/>
    <n v="0"/>
    <n v="1.202"/>
    <n v="1.202"/>
    <n v="1.202"/>
    <n v="1.202"/>
    <n v="1"/>
    <x v="3"/>
    <n v="0"/>
    <n v="0"/>
    <n v="69"/>
    <n v="112"/>
    <n v="0"/>
    <n v="342.48"/>
    <n v="326.47000000000003"/>
    <m/>
    <n v="436.42935762318632"/>
    <n v="327.42656781362894"/>
    <n v="0"/>
    <n v="411.66095999999999"/>
    <n v="392.41694000000001"/>
    <n v="0"/>
    <n v="524.58808786306997"/>
    <n v="393.56673451198196"/>
  </r>
  <r>
    <s v="Regular"/>
    <x v="5"/>
    <x v="5"/>
    <x v="6"/>
    <x v="0"/>
    <x v="1"/>
    <x v="0"/>
    <x v="0"/>
    <x v="6"/>
    <n v="0"/>
    <n v="0"/>
    <n v="160.524"/>
    <n v="160.524"/>
    <n v="160.524"/>
    <n v="160.524"/>
    <n v="145"/>
    <x v="3"/>
    <n v="0"/>
    <n v="0"/>
    <n v="69"/>
    <n v="112"/>
    <n v="0"/>
    <n v="342.48"/>
    <n v="326.47000000000003"/>
    <m/>
    <n v="436.42935762318632"/>
    <n v="327.42656781362894"/>
    <n v="0"/>
    <n v="54976.25952"/>
    <n v="52406.270280000004"/>
    <n v="0"/>
    <n v="70057.386203104368"/>
    <n v="52559.822371714974"/>
  </r>
  <r>
    <s v="Refaturamento - Regular"/>
    <x v="5"/>
    <x v="5"/>
    <x v="6"/>
    <x v="0"/>
    <x v="1"/>
    <x v="0"/>
    <x v="0"/>
    <x v="6"/>
    <n v="0"/>
    <n v="0"/>
    <n v="0.253"/>
    <n v="0.253"/>
    <n v="0.253"/>
    <n v="0.253"/>
    <n v="2"/>
    <x v="3"/>
    <n v="0"/>
    <n v="0"/>
    <n v="69"/>
    <n v="112"/>
    <n v="0"/>
    <n v="342.48"/>
    <n v="326.47000000000003"/>
    <m/>
    <n v="436.42935762318632"/>
    <n v="327.42656781362894"/>
    <n v="0"/>
    <n v="86.647440000000003"/>
    <n v="82.596910000000008"/>
    <n v="0"/>
    <n v="110.41662747866614"/>
    <n v="82.838921656848115"/>
  </r>
  <r>
    <s v="Sistema de Compensação"/>
    <x v="5"/>
    <x v="5"/>
    <x v="6"/>
    <x v="0"/>
    <x v="1"/>
    <x v="0"/>
    <x v="0"/>
    <x v="6"/>
    <n v="0"/>
    <n v="0"/>
    <n v="1.752"/>
    <n v="1.752"/>
    <n v="1.752"/>
    <n v="1.752"/>
    <n v="1"/>
    <x v="3"/>
    <n v="0"/>
    <n v="0"/>
    <n v="69"/>
    <n v="112"/>
    <n v="0"/>
    <n v="342.48"/>
    <n v="326.47000000000003"/>
    <m/>
    <n v="436.42935762318632"/>
    <n v="327.42656781362894"/>
    <n v="0"/>
    <n v="600.02496000000008"/>
    <n v="571.97544000000005"/>
    <n v="0"/>
    <n v="764.62423455582245"/>
    <n v="573.6513468094779"/>
  </r>
  <r>
    <s v="Regular"/>
    <x v="5"/>
    <x v="5"/>
    <x v="6"/>
    <x v="0"/>
    <x v="1"/>
    <x v="0"/>
    <x v="0"/>
    <x v="7"/>
    <n v="0"/>
    <n v="0"/>
    <n v="152.55799999999999"/>
    <n v="152.55799999999999"/>
    <n v="152.55799999999999"/>
    <n v="152.55799999999999"/>
    <n v="144"/>
    <x v="3"/>
    <n v="0"/>
    <n v="0"/>
    <n v="69"/>
    <n v="112"/>
    <n v="0"/>
    <n v="342.48"/>
    <n v="326.47000000000003"/>
    <m/>
    <n v="436.42935762318632"/>
    <n v="327.42656781362894"/>
    <n v="0"/>
    <n v="52248.063840000003"/>
    <n v="49805.610260000001"/>
    <n v="0"/>
    <n v="66580.78994027806"/>
    <n v="49951.542332511599"/>
  </r>
  <r>
    <s v="Sistema de Compensação"/>
    <x v="5"/>
    <x v="5"/>
    <x v="6"/>
    <x v="0"/>
    <x v="1"/>
    <x v="0"/>
    <x v="0"/>
    <x v="7"/>
    <n v="0"/>
    <n v="0"/>
    <n v="1.2"/>
    <n v="1.2"/>
    <n v="1.2"/>
    <n v="1.2"/>
    <n v="1"/>
    <x v="3"/>
    <n v="0"/>
    <n v="0"/>
    <n v="69"/>
    <n v="112"/>
    <n v="0"/>
    <n v="342.48"/>
    <n v="326.47000000000003"/>
    <m/>
    <n v="436.42935762318632"/>
    <n v="327.42656781362894"/>
    <n v="0"/>
    <n v="410.976"/>
    <n v="391.76400000000001"/>
    <n v="0"/>
    <n v="523.71522914782361"/>
    <n v="392.9118813763547"/>
  </r>
  <r>
    <s v="Regular"/>
    <x v="5"/>
    <x v="5"/>
    <x v="6"/>
    <x v="0"/>
    <x v="1"/>
    <x v="0"/>
    <x v="0"/>
    <x v="8"/>
    <n v="0"/>
    <n v="0"/>
    <n v="151.714"/>
    <n v="151.714"/>
    <n v="151.714"/>
    <n v="151.714"/>
    <n v="144"/>
    <x v="3"/>
    <n v="0"/>
    <n v="0"/>
    <n v="69"/>
    <n v="112"/>
    <n v="0"/>
    <n v="342.48"/>
    <n v="326.47000000000003"/>
    <m/>
    <n v="436.42935762318632"/>
    <n v="327.42656781362894"/>
    <n v="0"/>
    <n v="51959.010720000006"/>
    <n v="49530.069580000003"/>
    <n v="0"/>
    <n v="66212.443562444096"/>
    <n v="49675.1943092769"/>
  </r>
  <r>
    <s v="Sistema de Compensação"/>
    <x v="5"/>
    <x v="5"/>
    <x v="6"/>
    <x v="0"/>
    <x v="1"/>
    <x v="0"/>
    <x v="0"/>
    <x v="8"/>
    <n v="0"/>
    <n v="0"/>
    <n v="1.048"/>
    <n v="1.048"/>
    <n v="1.048"/>
    <n v="1.048"/>
    <n v="1"/>
    <x v="3"/>
    <n v="0"/>
    <n v="0"/>
    <n v="69"/>
    <n v="112"/>
    <n v="0"/>
    <n v="342.48"/>
    <n v="326.47000000000003"/>
    <m/>
    <n v="436.42935762318632"/>
    <n v="327.42656781362894"/>
    <n v="0"/>
    <n v="358.91904000000005"/>
    <n v="342.14056000000005"/>
    <n v="0"/>
    <n v="457.37796678909928"/>
    <n v="343.14304306868314"/>
  </r>
  <r>
    <s v="Regular"/>
    <x v="5"/>
    <x v="5"/>
    <x v="6"/>
    <x v="0"/>
    <x v="1"/>
    <x v="0"/>
    <x v="0"/>
    <x v="9"/>
    <n v="0"/>
    <n v="0"/>
    <n v="41.859000000000002"/>
    <n v="41.859000000000002"/>
    <n v="41.859000000000002"/>
    <n v="41.859000000000002"/>
    <n v="97"/>
    <x v="3"/>
    <n v="0"/>
    <n v="0"/>
    <n v="69"/>
    <n v="112"/>
    <n v="0"/>
    <n v="342.48"/>
    <n v="326.47000000000003"/>
    <m/>
    <n v="436.42935762318632"/>
    <n v="327.42656781362894"/>
    <n v="0"/>
    <n v="14335.870320000002"/>
    <n v="13665.707730000002"/>
    <n v="0"/>
    <n v="18268.496480748956"/>
    <n v="13705.748702110694"/>
  </r>
  <r>
    <s v="Sistema de Compensação"/>
    <x v="5"/>
    <x v="5"/>
    <x v="6"/>
    <x v="0"/>
    <x v="1"/>
    <x v="0"/>
    <x v="0"/>
    <x v="9"/>
    <n v="0"/>
    <n v="0"/>
    <n v="134.97200000000001"/>
    <n v="134.97200000000001"/>
    <n v="134.97200000000001"/>
    <n v="134.97200000000001"/>
    <n v="47"/>
    <x v="3"/>
    <n v="0"/>
    <n v="0"/>
    <n v="69"/>
    <n v="112"/>
    <n v="0"/>
    <n v="342.48"/>
    <n v="326.47000000000003"/>
    <m/>
    <n v="436.42935762318632"/>
    <n v="327.42656781362894"/>
    <n v="0"/>
    <n v="46225.210560000007"/>
    <n v="44064.308840000005"/>
    <n v="0"/>
    <n v="58905.743257116708"/>
    <n v="44193.418710941129"/>
  </r>
  <r>
    <s v="Regular"/>
    <x v="5"/>
    <x v="5"/>
    <x v="6"/>
    <x v="0"/>
    <x v="1"/>
    <x v="0"/>
    <x v="0"/>
    <x v="10"/>
    <n v="0"/>
    <n v="0"/>
    <n v="20.428999999999998"/>
    <n v="20.428999999999998"/>
    <n v="20.428999999999998"/>
    <n v="20.428999999999998"/>
    <n v="85"/>
    <x v="3"/>
    <n v="0"/>
    <n v="0"/>
    <n v="69"/>
    <n v="112"/>
    <n v="0"/>
    <n v="342.48"/>
    <n v="326.47000000000003"/>
    <m/>
    <n v="436.42935762318632"/>
    <n v="327.42656781362894"/>
    <n v="0"/>
    <n v="6996.5239199999996"/>
    <n v="6669.4556300000004"/>
    <n v="0"/>
    <n v="8915.8153468840719"/>
    <n v="6688.9973538646254"/>
  </r>
  <r>
    <s v="Sistema de Compensação"/>
    <x v="5"/>
    <x v="5"/>
    <x v="6"/>
    <x v="0"/>
    <x v="1"/>
    <x v="0"/>
    <x v="0"/>
    <x v="10"/>
    <n v="0"/>
    <n v="0"/>
    <n v="25.904"/>
    <n v="25.904"/>
    <n v="25.904"/>
    <n v="25.904"/>
    <n v="59"/>
    <x v="3"/>
    <n v="0"/>
    <n v="0"/>
    <n v="69"/>
    <n v="112"/>
    <n v="0"/>
    <n v="342.48"/>
    <n v="326.47000000000003"/>
    <m/>
    <n v="436.42935762318632"/>
    <n v="327.42656781362894"/>
    <n v="0"/>
    <n v="8871.601920000001"/>
    <n v="8456.8788800000002"/>
    <n v="0"/>
    <n v="11305.266079871019"/>
    <n v="8481.6578126442437"/>
  </r>
  <r>
    <s v="PROJETADO"/>
    <x v="5"/>
    <x v="5"/>
    <x v="6"/>
    <x v="0"/>
    <x v="1"/>
    <x v="0"/>
    <x v="0"/>
    <x v="11"/>
    <n v="0"/>
    <n v="0"/>
    <n v="20.428999999999998"/>
    <n v="20.428999999999998"/>
    <n v="20.428999999999998"/>
    <n v="20.428999999999998"/>
    <n v="85"/>
    <x v="3"/>
    <n v="0"/>
    <n v="0"/>
    <n v="69"/>
    <n v="112"/>
    <n v="0"/>
    <n v="342.48"/>
    <n v="326.47000000000003"/>
    <m/>
    <n v="436.42935762318632"/>
    <n v="327.42656781362894"/>
    <n v="0"/>
    <n v="6996.5239199999996"/>
    <n v="6669.4556300000004"/>
    <n v="0"/>
    <n v="8915.8153468840719"/>
    <n v="6688.9973538646254"/>
  </r>
  <r>
    <s v="PROJETADO"/>
    <x v="5"/>
    <x v="5"/>
    <x v="6"/>
    <x v="0"/>
    <x v="1"/>
    <x v="0"/>
    <x v="0"/>
    <x v="11"/>
    <n v="0"/>
    <n v="0"/>
    <n v="25.904"/>
    <n v="25.904"/>
    <n v="25.904"/>
    <n v="25.904"/>
    <n v="59"/>
    <x v="3"/>
    <n v="0"/>
    <n v="0"/>
    <n v="69"/>
    <n v="112"/>
    <n v="0"/>
    <n v="342.48"/>
    <n v="326.47000000000003"/>
    <m/>
    <n v="436.42935762318632"/>
    <n v="327.42656781362894"/>
    <n v="0"/>
    <n v="8871.601920000001"/>
    <n v="8456.8788800000002"/>
    <n v="0"/>
    <n v="11305.266079871019"/>
    <n v="8481.6578126442437"/>
  </r>
  <r>
    <s v="Regular"/>
    <x v="5"/>
    <x v="5"/>
    <x v="0"/>
    <x v="0"/>
    <x v="1"/>
    <x v="0"/>
    <x v="0"/>
    <x v="0"/>
    <n v="0"/>
    <n v="0"/>
    <n v="1954.712"/>
    <n v="1954.712"/>
    <n v="1954.712"/>
    <n v="1954.712"/>
    <n v="2748"/>
    <x v="3"/>
    <n v="0"/>
    <n v="0"/>
    <n v="69"/>
    <n v="112"/>
    <n v="0"/>
    <n v="342.48"/>
    <n v="326.47000000000003"/>
    <m/>
    <n v="436.42935762318632"/>
    <n v="327.42656781362894"/>
    <n v="0"/>
    <n v="669449.76575999998"/>
    <n v="638154.8266400001"/>
    <n v="0"/>
    <n v="853093.70249833376"/>
    <n v="640024.64122411422"/>
  </r>
  <r>
    <s v="Sistema de Compensação"/>
    <x v="5"/>
    <x v="5"/>
    <x v="0"/>
    <x v="0"/>
    <x v="1"/>
    <x v="0"/>
    <x v="0"/>
    <x v="0"/>
    <n v="0"/>
    <n v="0"/>
    <n v="228.93700000000001"/>
    <n v="228.93700000000001"/>
    <n v="228.93700000000001"/>
    <n v="228.93700000000001"/>
    <n v="294"/>
    <x v="3"/>
    <n v="0"/>
    <n v="0"/>
    <n v="69"/>
    <n v="112"/>
    <n v="0"/>
    <n v="342.48"/>
    <n v="326.47000000000003"/>
    <m/>
    <n v="436.42935762318632"/>
    <n v="327.42656781362894"/>
    <n v="0"/>
    <n v="78406.343760000003"/>
    <n v="74741.062390000006"/>
    <n v="0"/>
    <n v="99914.827846179411"/>
    <n v="74960.056155548766"/>
  </r>
  <r>
    <s v="Sistema de Compensação"/>
    <x v="5"/>
    <x v="5"/>
    <x v="0"/>
    <x v="0"/>
    <x v="1"/>
    <x v="0"/>
    <x v="0"/>
    <x v="0"/>
    <n v="0"/>
    <n v="0"/>
    <n v="-1.7090000000000001"/>
    <n v="-1.7090000000000001"/>
    <n v="-1.7090000000000001"/>
    <n v="-1.7090000000000001"/>
    <n v="0"/>
    <x v="3"/>
    <n v="0"/>
    <n v="0"/>
    <n v="69"/>
    <n v="112"/>
    <n v="0"/>
    <n v="342.48"/>
    <n v="326.47000000000003"/>
    <m/>
    <n v="436.42935762318632"/>
    <n v="327.42656781362894"/>
    <n v="0"/>
    <n v="-585.2983200000001"/>
    <n v="-557.93723000000011"/>
    <n v="0"/>
    <n v="-745.85777217802547"/>
    <n v="-559.57200439349185"/>
  </r>
  <r>
    <s v="Regular"/>
    <x v="5"/>
    <x v="5"/>
    <x v="0"/>
    <x v="0"/>
    <x v="1"/>
    <x v="0"/>
    <x v="0"/>
    <x v="1"/>
    <n v="0"/>
    <n v="0"/>
    <n v="1990.242"/>
    <n v="1990.242"/>
    <n v="1990.242"/>
    <n v="1990.242"/>
    <n v="2752"/>
    <x v="3"/>
    <n v="0"/>
    <n v="0"/>
    <n v="69"/>
    <n v="112"/>
    <n v="0"/>
    <n v="342.48"/>
    <n v="326.47000000000003"/>
    <m/>
    <n v="436.42935762318632"/>
    <n v="327.42656781362894"/>
    <n v="0"/>
    <n v="681618.08016000001"/>
    <n v="649754.3057400001"/>
    <n v="0"/>
    <n v="868600.03757468553"/>
    <n v="651658.10717853252"/>
  </r>
  <r>
    <s v="Sistema de Compensação"/>
    <x v="5"/>
    <x v="5"/>
    <x v="0"/>
    <x v="0"/>
    <x v="1"/>
    <x v="0"/>
    <x v="0"/>
    <x v="1"/>
    <n v="0"/>
    <n v="0"/>
    <n v="223.45500000000001"/>
    <n v="223.45500000000001"/>
    <n v="223.45500000000001"/>
    <n v="223.45500000000001"/>
    <n v="308"/>
    <x v="3"/>
    <n v="0"/>
    <n v="0"/>
    <n v="69"/>
    <n v="112"/>
    <n v="0"/>
    <n v="342.48"/>
    <n v="326.47000000000003"/>
    <m/>
    <n v="436.42935762318632"/>
    <n v="327.42656781362894"/>
    <n v="0"/>
    <n v="76528.868400000007"/>
    <n v="72951.353850000014"/>
    <n v="0"/>
    <n v="97522.322107689106"/>
    <n v="73165.103710794458"/>
  </r>
  <r>
    <s v="Regular"/>
    <x v="5"/>
    <x v="5"/>
    <x v="0"/>
    <x v="0"/>
    <x v="1"/>
    <x v="0"/>
    <x v="0"/>
    <x v="2"/>
    <n v="0"/>
    <n v="0"/>
    <n v="2153.2310000000002"/>
    <n v="2153.2310000000002"/>
    <n v="2153.2310000000002"/>
    <n v="2153.2310000000002"/>
    <n v="2755"/>
    <x v="3"/>
    <n v="0"/>
    <n v="0"/>
    <n v="69"/>
    <n v="112"/>
    <n v="0"/>
    <n v="342.48"/>
    <n v="326.47000000000003"/>
    <m/>
    <n v="436.42935762318632"/>
    <n v="327.42656781362894"/>
    <n v="0"/>
    <n v="737438.55288000009"/>
    <n v="702965.32457000017"/>
    <n v="0"/>
    <n v="939733.2221443312"/>
    <n v="705025.03603990807"/>
  </r>
  <r>
    <s v="Refaturamento - Regular"/>
    <x v="5"/>
    <x v="5"/>
    <x v="0"/>
    <x v="0"/>
    <x v="1"/>
    <x v="0"/>
    <x v="0"/>
    <x v="2"/>
    <n v="0"/>
    <n v="0"/>
    <n v="-1.9219999999999999"/>
    <n v="-1.9219999999999999"/>
    <n v="-1.9219999999999999"/>
    <n v="-1.9219999999999999"/>
    <n v="-2"/>
    <x v="3"/>
    <n v="0"/>
    <n v="0"/>
    <n v="69"/>
    <n v="112"/>
    <n v="0"/>
    <n v="342.48"/>
    <n v="326.47000000000003"/>
    <m/>
    <n v="436.42935762318632"/>
    <n v="327.42656781362894"/>
    <n v="0"/>
    <n v="-658.24656000000004"/>
    <n v="-627.47534000000007"/>
    <n v="0"/>
    <n v="-838.81722535176402"/>
    <n v="-629.31386333779483"/>
  </r>
  <r>
    <s v="Sistema de Compensação"/>
    <x v="5"/>
    <x v="5"/>
    <x v="0"/>
    <x v="0"/>
    <x v="1"/>
    <x v="0"/>
    <x v="0"/>
    <x v="2"/>
    <n v="0"/>
    <n v="0"/>
    <n v="247.52699999999999"/>
    <n v="247.52699999999999"/>
    <n v="247.52699999999999"/>
    <n v="247.52699999999999"/>
    <n v="324"/>
    <x v="3"/>
    <n v="0"/>
    <n v="0"/>
    <n v="69"/>
    <n v="112"/>
    <n v="0"/>
    <n v="342.48"/>
    <n v="326.47000000000003"/>
    <m/>
    <n v="436.42935762318632"/>
    <n v="327.42656781362894"/>
    <n v="0"/>
    <n v="84773.046960000007"/>
    <n v="80810.139689999996"/>
    <n v="0"/>
    <n v="108028.04960439443"/>
    <n v="81046.916051204127"/>
  </r>
  <r>
    <s v="Regular"/>
    <x v="5"/>
    <x v="5"/>
    <x v="0"/>
    <x v="0"/>
    <x v="1"/>
    <x v="0"/>
    <x v="0"/>
    <x v="3"/>
    <n v="0"/>
    <n v="0"/>
    <n v="2202.13"/>
    <n v="2202.13"/>
    <n v="2202.13"/>
    <n v="2202.13"/>
    <n v="2728"/>
    <x v="3"/>
    <n v="0"/>
    <n v="0"/>
    <n v="69"/>
    <n v="112"/>
    <n v="0"/>
    <n v="342.48"/>
    <n v="326.47000000000003"/>
    <m/>
    <n v="436.42935762318632"/>
    <n v="327.42656781362894"/>
    <n v="0"/>
    <n v="754185.4824000001"/>
    <n v="718929.38110000012"/>
    <n v="0"/>
    <n v="961074.18130274734"/>
    <n v="721035.86777942674"/>
  </r>
  <r>
    <s v="Refaturamento - Regular"/>
    <x v="5"/>
    <x v="5"/>
    <x v="0"/>
    <x v="0"/>
    <x v="1"/>
    <x v="0"/>
    <x v="0"/>
    <x v="3"/>
    <n v="0"/>
    <n v="0"/>
    <n v="-13.662000000000001"/>
    <n v="-13.662000000000001"/>
    <n v="-13.662000000000001"/>
    <n v="-13.662000000000001"/>
    <n v="-1"/>
    <x v="3"/>
    <n v="0"/>
    <n v="0"/>
    <n v="69"/>
    <n v="112"/>
    <n v="0"/>
    <n v="342.48"/>
    <n v="326.47000000000003"/>
    <m/>
    <n v="436.42935762318632"/>
    <n v="327.42656781362894"/>
    <n v="0"/>
    <n v="-4678.9617600000001"/>
    <n v="-4460.2331400000003"/>
    <n v="0"/>
    <n v="-5962.4978838479719"/>
    <n v="-4473.3017694697992"/>
  </r>
  <r>
    <s v="Sistema de Compensação"/>
    <x v="5"/>
    <x v="5"/>
    <x v="0"/>
    <x v="0"/>
    <x v="1"/>
    <x v="0"/>
    <x v="0"/>
    <x v="3"/>
    <n v="0"/>
    <n v="0"/>
    <n v="293.161"/>
    <n v="293.161"/>
    <n v="293.161"/>
    <n v="293.161"/>
    <n v="349"/>
    <x v="3"/>
    <n v="0"/>
    <n v="0"/>
    <n v="69"/>
    <n v="112"/>
    <n v="0"/>
    <n v="342.48"/>
    <n v="326.47000000000003"/>
    <m/>
    <n v="436.42935762318632"/>
    <n v="327.42656781362894"/>
    <n v="0"/>
    <n v="100401.77928"/>
    <n v="95708.271670000002"/>
    <n v="0"/>
    <n v="127944.06691017092"/>
    <n v="95988.700046811267"/>
  </r>
  <r>
    <s v="Sistema de Compensação"/>
    <x v="5"/>
    <x v="5"/>
    <x v="0"/>
    <x v="0"/>
    <x v="1"/>
    <x v="0"/>
    <x v="0"/>
    <x v="3"/>
    <n v="0"/>
    <n v="0"/>
    <n v="-1.5429999999999999"/>
    <n v="-1.5429999999999999"/>
    <n v="-1.5429999999999999"/>
    <n v="-1.5429999999999999"/>
    <n v="0"/>
    <x v="3"/>
    <n v="0"/>
    <n v="0"/>
    <n v="69"/>
    <n v="112"/>
    <n v="0"/>
    <n v="342.48"/>
    <n v="326.47000000000003"/>
    <m/>
    <n v="436.42935762318632"/>
    <n v="327.42656781362894"/>
    <n v="0"/>
    <n v="-528.44664"/>
    <n v="-503.74321000000003"/>
    <n v="0"/>
    <n v="-673.41049881257641"/>
    <n v="-505.21919413642945"/>
  </r>
  <r>
    <s v="Regular"/>
    <x v="5"/>
    <x v="5"/>
    <x v="0"/>
    <x v="0"/>
    <x v="1"/>
    <x v="0"/>
    <x v="0"/>
    <x v="4"/>
    <n v="0"/>
    <n v="0"/>
    <n v="2084.9630000000002"/>
    <n v="2084.9630000000002"/>
    <n v="2084.9630000000002"/>
    <n v="2084.9630000000002"/>
    <n v="2701"/>
    <x v="3"/>
    <n v="0"/>
    <n v="0"/>
    <n v="69"/>
    <n v="112"/>
    <n v="0"/>
    <n v="342.48"/>
    <n v="326.47000000000003"/>
    <m/>
    <n v="436.42935762318632"/>
    <n v="327.42656781362894"/>
    <n v="0"/>
    <n v="714058.12824000011"/>
    <n v="680677.8706100001"/>
    <n v="0"/>
    <n v="909939.06275811151"/>
    <n v="682672.27910840733"/>
  </r>
  <r>
    <s v="Refaturamento - Regular"/>
    <x v="5"/>
    <x v="5"/>
    <x v="0"/>
    <x v="0"/>
    <x v="1"/>
    <x v="0"/>
    <x v="0"/>
    <x v="4"/>
    <n v="0"/>
    <n v="0"/>
    <n v="-0.51"/>
    <n v="-0.51"/>
    <n v="-0.51"/>
    <n v="-0.51"/>
    <n v="0"/>
    <x v="3"/>
    <n v="0"/>
    <n v="0"/>
    <n v="69"/>
    <n v="112"/>
    <n v="0"/>
    <n v="342.48"/>
    <n v="326.47000000000003"/>
    <m/>
    <n v="436.42935762318632"/>
    <n v="327.42656781362894"/>
    <n v="0"/>
    <n v="-174.66480000000001"/>
    <n v="-166.49970000000002"/>
    <n v="0"/>
    <n v="-222.57897238782502"/>
    <n v="-166.98754958495076"/>
  </r>
  <r>
    <s v="Sistema de Compensação"/>
    <x v="5"/>
    <x v="5"/>
    <x v="0"/>
    <x v="0"/>
    <x v="1"/>
    <x v="0"/>
    <x v="0"/>
    <x v="4"/>
    <n v="0"/>
    <n v="0"/>
    <n v="312.15600000000001"/>
    <n v="312.15600000000001"/>
    <n v="312.15600000000001"/>
    <n v="312.15600000000001"/>
    <n v="375"/>
    <x v="3"/>
    <n v="0"/>
    <n v="0"/>
    <n v="69"/>
    <n v="112"/>
    <n v="0"/>
    <n v="342.48"/>
    <n v="326.47000000000003"/>
    <m/>
    <n v="436.42935762318632"/>
    <n v="327.42656781362894"/>
    <n v="0"/>
    <n v="106907.18688000001"/>
    <n v="101909.56932000001"/>
    <n v="0"/>
    <n v="136234.04255822336"/>
    <n v="102208.16770243115"/>
  </r>
  <r>
    <s v="Regular"/>
    <x v="5"/>
    <x v="5"/>
    <x v="0"/>
    <x v="0"/>
    <x v="1"/>
    <x v="0"/>
    <x v="0"/>
    <x v="5"/>
    <n v="0"/>
    <n v="0"/>
    <n v="2010.2729999999999"/>
    <n v="2010.2729999999999"/>
    <n v="2010.2729999999999"/>
    <n v="2010.2729999999999"/>
    <n v="2676"/>
    <x v="3"/>
    <n v="0"/>
    <n v="0"/>
    <n v="69"/>
    <n v="112"/>
    <n v="0"/>
    <n v="342.48"/>
    <n v="326.47000000000003"/>
    <m/>
    <n v="436.42935762318632"/>
    <n v="327.42656781362894"/>
    <n v="0"/>
    <n v="688478.29703999998"/>
    <n v="656293.82631000003"/>
    <n v="0"/>
    <n v="877342.15403723554"/>
    <n v="658216.78875840723"/>
  </r>
  <r>
    <s v="Refaturamento - Regular"/>
    <x v="5"/>
    <x v="5"/>
    <x v="0"/>
    <x v="0"/>
    <x v="1"/>
    <x v="0"/>
    <x v="0"/>
    <x v="5"/>
    <n v="0"/>
    <n v="0"/>
    <n v="-0.22600000000000001"/>
    <n v="-0.22600000000000001"/>
    <n v="-0.22600000000000001"/>
    <n v="-0.22600000000000001"/>
    <n v="0"/>
    <x v="3"/>
    <n v="0"/>
    <n v="0"/>
    <n v="69"/>
    <n v="112"/>
    <n v="0"/>
    <n v="342.48"/>
    <n v="326.47000000000003"/>
    <m/>
    <n v="436.42935762318632"/>
    <n v="327.42656781362894"/>
    <n v="0"/>
    <n v="-77.400480000000002"/>
    <n v="-73.782220000000009"/>
    <n v="0"/>
    <n v="-98.633034822840116"/>
    <n v="-73.998404325880145"/>
  </r>
  <r>
    <s v="Sistema de Compensação"/>
    <x v="5"/>
    <x v="5"/>
    <x v="0"/>
    <x v="0"/>
    <x v="1"/>
    <x v="0"/>
    <x v="0"/>
    <x v="5"/>
    <n v="0"/>
    <n v="0"/>
    <n v="332.50299999999999"/>
    <n v="332.50299999999999"/>
    <n v="332.50299999999999"/>
    <n v="332.50299999999999"/>
    <n v="399"/>
    <x v="3"/>
    <n v="0"/>
    <n v="0"/>
    <n v="69"/>
    <n v="112"/>
    <n v="0"/>
    <n v="342.48"/>
    <n v="326.47000000000003"/>
    <m/>
    <n v="436.42935762318632"/>
    <n v="327.42656781362894"/>
    <n v="0"/>
    <n v="113875.62744"/>
    <n v="108552.25441000001"/>
    <n v="0"/>
    <n v="145114.07069778233"/>
    <n v="108870.31607773506"/>
  </r>
  <r>
    <s v="Sistema de Compensação"/>
    <x v="5"/>
    <x v="5"/>
    <x v="0"/>
    <x v="0"/>
    <x v="1"/>
    <x v="0"/>
    <x v="0"/>
    <x v="5"/>
    <n v="0"/>
    <n v="0"/>
    <n v="-0.48299999999999998"/>
    <n v="-0.48299999999999998"/>
    <n v="-0.48299999999999998"/>
    <n v="-0.48299999999999998"/>
    <n v="0"/>
    <x v="3"/>
    <n v="0"/>
    <n v="0"/>
    <n v="69"/>
    <n v="112"/>
    <n v="0"/>
    <n v="342.48"/>
    <n v="326.47000000000003"/>
    <m/>
    <n v="436.42935762318632"/>
    <n v="327.42656781362894"/>
    <n v="0"/>
    <n v="-165.41784000000001"/>
    <n v="-157.68501000000001"/>
    <n v="0"/>
    <n v="-210.79537973199899"/>
    <n v="-158.14703225398276"/>
  </r>
  <r>
    <s v="Regular"/>
    <x v="5"/>
    <x v="5"/>
    <x v="0"/>
    <x v="0"/>
    <x v="1"/>
    <x v="0"/>
    <x v="0"/>
    <x v="6"/>
    <n v="0"/>
    <n v="0"/>
    <n v="2113.3249999999998"/>
    <n v="2113.3249999999998"/>
    <n v="2113.3249999999998"/>
    <n v="2113.3249999999998"/>
    <n v="2642"/>
    <x v="3"/>
    <n v="0"/>
    <n v="0"/>
    <n v="69"/>
    <n v="112"/>
    <n v="0"/>
    <n v="342.48"/>
    <n v="326.47000000000003"/>
    <m/>
    <n v="436.42935762318632"/>
    <n v="327.42656781362894"/>
    <n v="0"/>
    <n v="723771.54599999997"/>
    <n v="689937.21274999995"/>
    <n v="0"/>
    <n v="922317.07219902019"/>
    <n v="691958.75142473727"/>
  </r>
  <r>
    <s v="Sistema de Compensação"/>
    <x v="5"/>
    <x v="5"/>
    <x v="0"/>
    <x v="0"/>
    <x v="1"/>
    <x v="0"/>
    <x v="0"/>
    <x v="6"/>
    <n v="0"/>
    <n v="0"/>
    <n v="343.57600000000002"/>
    <n v="343.57600000000002"/>
    <n v="343.57600000000002"/>
    <n v="343.57600000000002"/>
    <n v="433"/>
    <x v="3"/>
    <n v="0"/>
    <n v="0"/>
    <n v="69"/>
    <n v="112"/>
    <n v="0"/>
    <n v="342.48"/>
    <n v="326.47000000000003"/>
    <m/>
    <n v="436.42935762318632"/>
    <n v="327.42656781362894"/>
    <n v="0"/>
    <n v="117667.90848000001"/>
    <n v="112167.25672000002"/>
    <n v="0"/>
    <n v="149946.65297474386"/>
    <n v="112495.91046313538"/>
  </r>
  <r>
    <s v="Sistema de Compensação"/>
    <x v="5"/>
    <x v="5"/>
    <x v="0"/>
    <x v="0"/>
    <x v="1"/>
    <x v="0"/>
    <x v="0"/>
    <x v="6"/>
    <n v="0"/>
    <n v="0"/>
    <n v="-5.93"/>
    <n v="-5.93"/>
    <n v="-5.93"/>
    <n v="-5.93"/>
    <n v="0"/>
    <x v="3"/>
    <n v="0"/>
    <n v="0"/>
    <n v="69"/>
    <n v="112"/>
    <n v="0"/>
    <n v="342.48"/>
    <n v="326.47000000000003"/>
    <m/>
    <n v="436.42935762318632"/>
    <n v="327.42656781362894"/>
    <n v="0"/>
    <n v="-2030.9064000000001"/>
    <n v="-1935.9671000000001"/>
    <n v="0"/>
    <n v="-2588.0260907054949"/>
    <n v="-1941.6395471348194"/>
  </r>
  <r>
    <s v="Regular"/>
    <x v="5"/>
    <x v="5"/>
    <x v="0"/>
    <x v="0"/>
    <x v="1"/>
    <x v="0"/>
    <x v="0"/>
    <x v="7"/>
    <n v="0"/>
    <n v="0"/>
    <n v="1810.5820000000001"/>
    <n v="1810.5820000000001"/>
    <n v="1810.5820000000001"/>
    <n v="1810.5820000000001"/>
    <n v="2632"/>
    <x v="3"/>
    <n v="0"/>
    <n v="0"/>
    <n v="69"/>
    <n v="112"/>
    <n v="0"/>
    <n v="342.48"/>
    <n v="326.47000000000003"/>
    <m/>
    <n v="436.42935762318632"/>
    <n v="327.42656781362894"/>
    <n v="0"/>
    <n v="620088.12336000009"/>
    <n v="591100.70554000011"/>
    <n v="0"/>
    <n v="790191.13918410393"/>
    <n v="592832.65000513592"/>
  </r>
  <r>
    <s v="Refaturamento - Regular"/>
    <x v="5"/>
    <x v="5"/>
    <x v="0"/>
    <x v="0"/>
    <x v="1"/>
    <x v="0"/>
    <x v="0"/>
    <x v="7"/>
    <n v="0"/>
    <n v="0"/>
    <n v="-163.23699999999999"/>
    <n v="-163.23699999999999"/>
    <n v="-163.23699999999999"/>
    <n v="-163.23699999999999"/>
    <n v="-110"/>
    <x v="3"/>
    <n v="0"/>
    <n v="0"/>
    <n v="69"/>
    <n v="112"/>
    <n v="0"/>
    <n v="342.48"/>
    <n v="326.47000000000003"/>
    <m/>
    <n v="436.42935762318632"/>
    <n v="327.42656781362894"/>
    <n v="0"/>
    <n v="-55905.407760000002"/>
    <n v="-53291.983390000001"/>
    <n v="0"/>
    <n v="-71241.419050336059"/>
    <n v="-53448.130650193343"/>
  </r>
  <r>
    <s v="Sistema de Compensação"/>
    <x v="5"/>
    <x v="5"/>
    <x v="0"/>
    <x v="0"/>
    <x v="1"/>
    <x v="0"/>
    <x v="0"/>
    <x v="7"/>
    <n v="0"/>
    <n v="0"/>
    <n v="294.92399999999998"/>
    <n v="294.92399999999998"/>
    <n v="294.92399999999998"/>
    <n v="294.92399999999998"/>
    <n v="458"/>
    <x v="3"/>
    <n v="0"/>
    <n v="0"/>
    <n v="69"/>
    <n v="112"/>
    <n v="0"/>
    <n v="342.48"/>
    <n v="326.47000000000003"/>
    <m/>
    <n v="436.42935762318632"/>
    <n v="327.42656781362894"/>
    <n v="0"/>
    <n v="101005.57152"/>
    <n v="96283.838279999996"/>
    <n v="0"/>
    <n v="128713.49186766059"/>
    <n v="96565.953085866699"/>
  </r>
  <r>
    <s v="Sistema de Compensação"/>
    <x v="5"/>
    <x v="5"/>
    <x v="0"/>
    <x v="0"/>
    <x v="1"/>
    <x v="0"/>
    <x v="0"/>
    <x v="7"/>
    <n v="0"/>
    <n v="0"/>
    <n v="-0.05"/>
    <n v="-0.05"/>
    <n v="-0.05"/>
    <n v="-0.05"/>
    <n v="0"/>
    <x v="3"/>
    <n v="0"/>
    <n v="0"/>
    <n v="69"/>
    <n v="112"/>
    <n v="0"/>
    <n v="342.48"/>
    <n v="326.47000000000003"/>
    <m/>
    <n v="436.42935762318632"/>
    <n v="327.42656781362894"/>
    <n v="0"/>
    <n v="-17.124000000000002"/>
    <n v="-16.323500000000003"/>
    <n v="0"/>
    <n v="-21.821467881159318"/>
    <n v="-16.371328390681448"/>
  </r>
  <r>
    <s v="Regular"/>
    <x v="5"/>
    <x v="5"/>
    <x v="0"/>
    <x v="0"/>
    <x v="1"/>
    <x v="0"/>
    <x v="0"/>
    <x v="8"/>
    <n v="0"/>
    <n v="0"/>
    <n v="1946.0160000000001"/>
    <n v="1946.0160000000001"/>
    <n v="1946.0160000000001"/>
    <n v="1946.0160000000001"/>
    <n v="2647"/>
    <x v="3"/>
    <n v="0"/>
    <n v="0"/>
    <n v="69"/>
    <n v="112"/>
    <n v="0"/>
    <n v="342.48"/>
    <n v="326.47000000000003"/>
    <m/>
    <n v="436.42935762318632"/>
    <n v="327.42656781362894"/>
    <n v="0"/>
    <n v="666471.55968000006"/>
    <n v="635315.84352000011"/>
    <n v="0"/>
    <n v="849298.51280444255"/>
    <n v="637177.33979040699"/>
  </r>
  <r>
    <s v="Sistema de Compensação"/>
    <x v="5"/>
    <x v="5"/>
    <x v="0"/>
    <x v="0"/>
    <x v="1"/>
    <x v="0"/>
    <x v="0"/>
    <x v="8"/>
    <n v="0"/>
    <n v="0"/>
    <n v="352.29399999999998"/>
    <n v="352.29399999999998"/>
    <n v="352.29399999999998"/>
    <n v="352.29399999999998"/>
    <n v="486"/>
    <x v="3"/>
    <n v="0"/>
    <n v="0"/>
    <n v="69"/>
    <n v="112"/>
    <n v="0"/>
    <n v="342.48"/>
    <n v="326.47000000000003"/>
    <m/>
    <n v="436.42935762318632"/>
    <n v="327.42656781362894"/>
    <n v="0"/>
    <n v="120653.64912"/>
    <n v="115013.42218000001"/>
    <n v="0"/>
    <n v="153751.44411450278"/>
    <n v="115350.41528133459"/>
  </r>
  <r>
    <s v="Regular"/>
    <x v="5"/>
    <x v="5"/>
    <x v="0"/>
    <x v="0"/>
    <x v="1"/>
    <x v="0"/>
    <x v="0"/>
    <x v="9"/>
    <n v="0"/>
    <n v="0"/>
    <n v="2016.309"/>
    <n v="2016.309"/>
    <n v="2016.309"/>
    <n v="2016.309"/>
    <n v="2636"/>
    <x v="3"/>
    <n v="0"/>
    <n v="0"/>
    <n v="69"/>
    <n v="112"/>
    <n v="0"/>
    <n v="342.48"/>
    <n v="326.47000000000003"/>
    <m/>
    <n v="436.42935762318632"/>
    <n v="327.42656781362894"/>
    <n v="0"/>
    <n v="690545.50632000004"/>
    <n v="658264.3992300001"/>
    <n v="0"/>
    <n v="879976.44163984922"/>
    <n v="660193.13552173029"/>
  </r>
  <r>
    <s v="Refaturamento - Regular"/>
    <x v="5"/>
    <x v="5"/>
    <x v="0"/>
    <x v="0"/>
    <x v="1"/>
    <x v="0"/>
    <x v="0"/>
    <x v="9"/>
    <n v="0"/>
    <n v="0"/>
    <n v="-5.1769999999999996"/>
    <n v="-5.1769999999999996"/>
    <n v="-5.1769999999999996"/>
    <n v="-5.1769999999999996"/>
    <n v="0"/>
    <x v="3"/>
    <n v="0"/>
    <n v="0"/>
    <n v="69"/>
    <n v="112"/>
    <n v="0"/>
    <n v="342.48"/>
    <n v="326.47000000000003"/>
    <m/>
    <n v="436.42935762318632"/>
    <n v="327.42656781362894"/>
    <n v="0"/>
    <n v="-1773.0189599999999"/>
    <n v="-1690.13519"/>
    <n v="0"/>
    <n v="-2259.3947844152353"/>
    <n v="-1695.0873415711569"/>
  </r>
  <r>
    <s v="Sistema de Compensação"/>
    <x v="5"/>
    <x v="5"/>
    <x v="0"/>
    <x v="0"/>
    <x v="1"/>
    <x v="0"/>
    <x v="0"/>
    <x v="9"/>
    <n v="0"/>
    <n v="0"/>
    <n v="351.66300000000001"/>
    <n v="351.66300000000001"/>
    <n v="351.66300000000001"/>
    <n v="351.66300000000001"/>
    <n v="500"/>
    <x v="3"/>
    <n v="0"/>
    <n v="0"/>
    <n v="69"/>
    <n v="112"/>
    <n v="0"/>
    <n v="342.48"/>
    <n v="326.47000000000003"/>
    <m/>
    <n v="436.42935762318632"/>
    <n v="327.42656781362894"/>
    <n v="0"/>
    <n v="120437.54424"/>
    <n v="114807.41961000001"/>
    <n v="0"/>
    <n v="153476.05718984257"/>
    <n v="115143.80911704419"/>
  </r>
  <r>
    <s v="Regular"/>
    <x v="5"/>
    <x v="5"/>
    <x v="0"/>
    <x v="0"/>
    <x v="1"/>
    <x v="0"/>
    <x v="0"/>
    <x v="10"/>
    <n v="0"/>
    <n v="0"/>
    <n v="1996.8"/>
    <n v="1996.8"/>
    <n v="1996.8"/>
    <n v="1996.8"/>
    <n v="2602"/>
    <x v="3"/>
    <n v="0"/>
    <n v="0"/>
    <n v="69"/>
    <n v="112"/>
    <n v="0"/>
    <n v="342.48"/>
    <n v="326.47000000000003"/>
    <m/>
    <n v="436.42935762318632"/>
    <n v="327.42656781362894"/>
    <n v="0"/>
    <n v="683864.06400000001"/>
    <n v="651895.29600000009"/>
    <n v="0"/>
    <n v="871462.14130197838"/>
    <n v="653805.37061025423"/>
  </r>
  <r>
    <s v="Refaturamento - Regular"/>
    <x v="5"/>
    <x v="5"/>
    <x v="0"/>
    <x v="0"/>
    <x v="1"/>
    <x v="0"/>
    <x v="0"/>
    <x v="10"/>
    <n v="0"/>
    <n v="0"/>
    <n v="2.3420000000000001"/>
    <n v="2.3420000000000001"/>
    <n v="2.3420000000000001"/>
    <n v="2.3420000000000001"/>
    <n v="0"/>
    <x v="3"/>
    <n v="0"/>
    <n v="0"/>
    <n v="69"/>
    <n v="112"/>
    <n v="0"/>
    <n v="342.48"/>
    <n v="326.47000000000003"/>
    <m/>
    <n v="436.42935762318632"/>
    <n v="327.42656781362894"/>
    <n v="0"/>
    <n v="802.08816000000002"/>
    <n v="764.59274000000005"/>
    <n v="0"/>
    <n v="1022.1175555535024"/>
    <n v="766.83302181951899"/>
  </r>
  <r>
    <s v="Sistema de Compensação"/>
    <x v="5"/>
    <x v="5"/>
    <x v="0"/>
    <x v="0"/>
    <x v="1"/>
    <x v="0"/>
    <x v="0"/>
    <x v="10"/>
    <n v="0"/>
    <n v="0"/>
    <n v="350.77100000000002"/>
    <n v="350.77100000000002"/>
    <n v="350.77100000000002"/>
    <n v="350.77100000000002"/>
    <n v="516"/>
    <x v="3"/>
    <n v="0"/>
    <n v="0"/>
    <n v="69"/>
    <n v="112"/>
    <n v="0"/>
    <n v="342.48"/>
    <n v="326.47000000000003"/>
    <m/>
    <n v="436.42935762318632"/>
    <n v="327.42656781362894"/>
    <n v="0"/>
    <n v="120132.05208000001"/>
    <n v="114516.20837000001"/>
    <n v="0"/>
    <n v="153086.76220284268"/>
    <n v="114851.74461855444"/>
  </r>
  <r>
    <s v="Sistema de Compensação"/>
    <x v="5"/>
    <x v="5"/>
    <x v="0"/>
    <x v="0"/>
    <x v="1"/>
    <x v="0"/>
    <x v="0"/>
    <x v="10"/>
    <n v="0"/>
    <n v="0"/>
    <n v="14.4"/>
    <n v="14.4"/>
    <n v="14.4"/>
    <n v="14.4"/>
    <n v="0"/>
    <x v="3"/>
    <n v="0"/>
    <n v="0"/>
    <n v="69"/>
    <n v="112"/>
    <n v="0"/>
    <n v="342.48"/>
    <n v="326.47000000000003"/>
    <m/>
    <n v="436.42935762318632"/>
    <n v="327.42656781362894"/>
    <n v="0"/>
    <n v="4931.7120000000004"/>
    <n v="4701.1680000000006"/>
    <n v="0"/>
    <n v="6284.5827497738828"/>
    <n v="4714.9425765162568"/>
  </r>
  <r>
    <s v="PROJETADO"/>
    <x v="5"/>
    <x v="5"/>
    <x v="0"/>
    <x v="0"/>
    <x v="1"/>
    <x v="0"/>
    <x v="0"/>
    <x v="11"/>
    <n v="0"/>
    <n v="0"/>
    <n v="1996.8"/>
    <n v="1996.8"/>
    <n v="1996.8"/>
    <n v="1996.8"/>
    <n v="2602"/>
    <x v="3"/>
    <n v="0"/>
    <n v="0"/>
    <n v="69"/>
    <n v="112"/>
    <n v="0"/>
    <n v="342.48"/>
    <n v="326.47000000000003"/>
    <m/>
    <n v="436.42935762318632"/>
    <n v="327.42656781362894"/>
    <n v="0"/>
    <n v="683864.06400000001"/>
    <n v="651895.29600000009"/>
    <n v="0"/>
    <n v="871462.14130197838"/>
    <n v="653805.37061025423"/>
  </r>
  <r>
    <s v="PROJETADO"/>
    <x v="5"/>
    <x v="5"/>
    <x v="0"/>
    <x v="0"/>
    <x v="1"/>
    <x v="0"/>
    <x v="0"/>
    <x v="11"/>
    <n v="0"/>
    <n v="0"/>
    <n v="2.3420000000000001"/>
    <n v="2.3420000000000001"/>
    <n v="2.3420000000000001"/>
    <n v="2.3420000000000001"/>
    <n v="0"/>
    <x v="3"/>
    <n v="0"/>
    <n v="0"/>
    <n v="69"/>
    <n v="112"/>
    <n v="0"/>
    <n v="342.48"/>
    <n v="326.47000000000003"/>
    <m/>
    <n v="436.42935762318632"/>
    <n v="327.42656781362894"/>
    <n v="0"/>
    <n v="802.08816000000002"/>
    <n v="764.59274000000005"/>
    <n v="0"/>
    <n v="1022.1175555535024"/>
    <n v="766.83302181951899"/>
  </r>
  <r>
    <s v="PROJETADO"/>
    <x v="5"/>
    <x v="5"/>
    <x v="0"/>
    <x v="0"/>
    <x v="1"/>
    <x v="0"/>
    <x v="0"/>
    <x v="11"/>
    <n v="0"/>
    <n v="0"/>
    <n v="350.77100000000002"/>
    <n v="350.77100000000002"/>
    <n v="350.77100000000002"/>
    <n v="350.77100000000002"/>
    <n v="516"/>
    <x v="3"/>
    <n v="0"/>
    <n v="0"/>
    <n v="69"/>
    <n v="112"/>
    <n v="0"/>
    <n v="342.48"/>
    <n v="326.47000000000003"/>
    <m/>
    <n v="436.42935762318632"/>
    <n v="327.42656781362894"/>
    <n v="0"/>
    <n v="120132.05208000001"/>
    <n v="114516.20837000001"/>
    <n v="0"/>
    <n v="153086.76220284268"/>
    <n v="114851.74461855444"/>
  </r>
  <r>
    <s v="PROJETADO"/>
    <x v="5"/>
    <x v="5"/>
    <x v="0"/>
    <x v="0"/>
    <x v="1"/>
    <x v="0"/>
    <x v="0"/>
    <x v="11"/>
    <n v="0"/>
    <n v="0"/>
    <n v="14.4"/>
    <n v="14.4"/>
    <n v="14.4"/>
    <n v="14.4"/>
    <n v="0"/>
    <x v="3"/>
    <n v="0"/>
    <n v="0"/>
    <n v="69"/>
    <n v="112"/>
    <n v="0"/>
    <n v="342.48"/>
    <n v="326.47000000000003"/>
    <m/>
    <n v="436.42935762318632"/>
    <n v="327.42656781362894"/>
    <n v="0"/>
    <n v="4931.7120000000004"/>
    <n v="4701.1680000000006"/>
    <n v="0"/>
    <n v="6284.5827497738828"/>
    <n v="4714.9425765162568"/>
  </r>
  <r>
    <s v="Regular"/>
    <x v="5"/>
    <x v="5"/>
    <x v="3"/>
    <x v="0"/>
    <x v="1"/>
    <x v="0"/>
    <x v="0"/>
    <x v="0"/>
    <n v="0"/>
    <n v="0"/>
    <n v="1572.9829999999999"/>
    <n v="1572.9829999999999"/>
    <n v="1572.9829999999999"/>
    <n v="1572.9829999999999"/>
    <n v="4025"/>
    <x v="3"/>
    <n v="0"/>
    <n v="0"/>
    <n v="69"/>
    <n v="112"/>
    <n v="0"/>
    <n v="342.48"/>
    <n v="326.47000000000003"/>
    <m/>
    <n v="436.42935762318632"/>
    <n v="327.42656781362894"/>
    <n v="0"/>
    <n v="538715.21784000006"/>
    <n v="513531.76001000003"/>
    <n v="0"/>
    <n v="686495.96024219249"/>
    <n v="515036.42491918546"/>
  </r>
  <r>
    <s v="Refaturamento - Regular"/>
    <x v="5"/>
    <x v="5"/>
    <x v="3"/>
    <x v="0"/>
    <x v="1"/>
    <x v="0"/>
    <x v="0"/>
    <x v="0"/>
    <n v="0"/>
    <n v="0"/>
    <n v="-0.14599999999999999"/>
    <n v="-0.14599999999999999"/>
    <n v="-0.14599999999999999"/>
    <n v="-0.14599999999999999"/>
    <n v="-1"/>
    <x v="3"/>
    <n v="0"/>
    <n v="0"/>
    <n v="69"/>
    <n v="112"/>
    <n v="0"/>
    <n v="342.48"/>
    <n v="326.47000000000003"/>
    <m/>
    <n v="436.42935762318632"/>
    <n v="327.42656781362894"/>
    <n v="0"/>
    <n v="-50.002079999999999"/>
    <n v="-47.664619999999999"/>
    <n v="0"/>
    <n v="-63.718686212985197"/>
    <n v="-47.804278900789825"/>
  </r>
  <r>
    <s v="Sistema de Compensação"/>
    <x v="5"/>
    <x v="5"/>
    <x v="3"/>
    <x v="0"/>
    <x v="1"/>
    <x v="0"/>
    <x v="0"/>
    <x v="0"/>
    <n v="0"/>
    <n v="0"/>
    <n v="4.3209999999999997"/>
    <n v="4.3209999999999997"/>
    <n v="4.3209999999999997"/>
    <n v="4.3209999999999997"/>
    <n v="11"/>
    <x v="3"/>
    <n v="0"/>
    <n v="0"/>
    <n v="69"/>
    <n v="112"/>
    <n v="0"/>
    <n v="342.48"/>
    <n v="326.47000000000003"/>
    <m/>
    <n v="436.42935762318632"/>
    <n v="327.42656781362894"/>
    <n v="0"/>
    <n v="1479.85608"/>
    <n v="1410.67687"/>
    <n v="0"/>
    <n v="1885.8112542897879"/>
    <n v="1414.8101995226905"/>
  </r>
  <r>
    <s v="Regular"/>
    <x v="5"/>
    <x v="5"/>
    <x v="3"/>
    <x v="0"/>
    <x v="1"/>
    <x v="0"/>
    <x v="0"/>
    <x v="1"/>
    <n v="0"/>
    <n v="0"/>
    <n v="1542.046"/>
    <n v="1542.046"/>
    <n v="1542.046"/>
    <n v="1542.046"/>
    <n v="4035"/>
    <x v="3"/>
    <n v="0"/>
    <n v="0"/>
    <n v="69"/>
    <n v="112"/>
    <n v="0"/>
    <n v="342.48"/>
    <n v="326.47000000000003"/>
    <m/>
    <n v="436.42935762318632"/>
    <n v="327.42656781362894"/>
    <n v="0"/>
    <n v="528119.91408000002"/>
    <n v="503431.75762000005"/>
    <n v="0"/>
    <n v="672994.14520540403"/>
    <n v="504906.82919073524"/>
  </r>
  <r>
    <s v="Refaturamento - Regular"/>
    <x v="5"/>
    <x v="5"/>
    <x v="3"/>
    <x v="0"/>
    <x v="1"/>
    <x v="0"/>
    <x v="0"/>
    <x v="1"/>
    <n v="0"/>
    <n v="0"/>
    <n v="-3.7280000000000002"/>
    <n v="-3.7280000000000002"/>
    <n v="-3.7280000000000002"/>
    <n v="-3.7280000000000002"/>
    <n v="7"/>
    <x v="3"/>
    <n v="0"/>
    <n v="0"/>
    <n v="69"/>
    <n v="112"/>
    <n v="0"/>
    <n v="342.48"/>
    <n v="326.47000000000003"/>
    <m/>
    <n v="436.42935762318632"/>
    <n v="327.42656781362894"/>
    <n v="0"/>
    <n v="-1276.7654400000001"/>
    <n v="-1217.0801600000002"/>
    <n v="0"/>
    <n v="-1627.0086452192386"/>
    <n v="-1220.6462448092088"/>
  </r>
  <r>
    <s v="Sistema de Compensação"/>
    <x v="5"/>
    <x v="5"/>
    <x v="3"/>
    <x v="0"/>
    <x v="1"/>
    <x v="0"/>
    <x v="0"/>
    <x v="1"/>
    <n v="0"/>
    <n v="0"/>
    <n v="4.1520000000000001"/>
    <n v="4.1520000000000001"/>
    <n v="4.1520000000000001"/>
    <n v="4.1520000000000001"/>
    <n v="11"/>
    <x v="3"/>
    <n v="0"/>
    <n v="0"/>
    <n v="69"/>
    <n v="112"/>
    <n v="0"/>
    <n v="342.48"/>
    <n v="326.47000000000003"/>
    <m/>
    <n v="436.42935762318632"/>
    <n v="327.42656781362894"/>
    <n v="0"/>
    <n v="1421.9769600000002"/>
    <n v="1355.5034400000002"/>
    <n v="0"/>
    <n v="1812.0546928514696"/>
    <n v="1359.4751095621873"/>
  </r>
  <r>
    <s v="Regular"/>
    <x v="5"/>
    <x v="5"/>
    <x v="3"/>
    <x v="0"/>
    <x v="1"/>
    <x v="0"/>
    <x v="0"/>
    <x v="2"/>
    <n v="0"/>
    <n v="0"/>
    <n v="1579.2439999999999"/>
    <n v="1579.2439999999999"/>
    <n v="1579.2439999999999"/>
    <n v="1579.2439999999999"/>
    <n v="4021"/>
    <x v="3"/>
    <n v="0"/>
    <n v="0"/>
    <n v="69"/>
    <n v="112"/>
    <n v="0"/>
    <n v="342.48"/>
    <n v="326.47000000000003"/>
    <m/>
    <n v="436.42935762318632"/>
    <n v="327.42656781362894"/>
    <n v="0"/>
    <n v="540859.48511999997"/>
    <n v="515575.78868"/>
    <n v="0"/>
    <n v="689228.4444502712"/>
    <n v="517086.44266026659"/>
  </r>
  <r>
    <s v="Refaturamento - Regular"/>
    <x v="5"/>
    <x v="5"/>
    <x v="3"/>
    <x v="0"/>
    <x v="1"/>
    <x v="0"/>
    <x v="0"/>
    <x v="2"/>
    <n v="0"/>
    <n v="0"/>
    <n v="-2.7559999999999998"/>
    <n v="-2.7559999999999998"/>
    <n v="-2.7559999999999998"/>
    <n v="-2.7559999999999998"/>
    <n v="-3"/>
    <x v="3"/>
    <n v="0"/>
    <n v="0"/>
    <n v="69"/>
    <n v="112"/>
    <n v="0"/>
    <n v="342.48"/>
    <n v="326.47000000000003"/>
    <m/>
    <n v="436.42935762318632"/>
    <n v="327.42656781362894"/>
    <n v="0"/>
    <n v="-943.87487999999996"/>
    <n v="-899.75131999999996"/>
    <n v="0"/>
    <n v="-1202.7993096095015"/>
    <n v="-902.38762089436125"/>
  </r>
  <r>
    <s v="Sistema de Compensação"/>
    <x v="5"/>
    <x v="5"/>
    <x v="3"/>
    <x v="0"/>
    <x v="1"/>
    <x v="0"/>
    <x v="0"/>
    <x v="2"/>
    <n v="0"/>
    <n v="0"/>
    <n v="4.8760000000000003"/>
    <n v="4.8760000000000003"/>
    <n v="4.8760000000000003"/>
    <n v="4.8760000000000003"/>
    <n v="11"/>
    <x v="3"/>
    <n v="0"/>
    <n v="0"/>
    <n v="69"/>
    <n v="112"/>
    <n v="0"/>
    <n v="342.48"/>
    <n v="326.47000000000003"/>
    <m/>
    <n v="436.42935762318632"/>
    <n v="327.42656781362894"/>
    <n v="0"/>
    <n v="1669.9324800000002"/>
    <n v="1591.8677200000002"/>
    <n v="0"/>
    <n v="2128.0295477706568"/>
    <n v="1596.5319446592548"/>
  </r>
  <r>
    <s v="Regular"/>
    <x v="5"/>
    <x v="5"/>
    <x v="3"/>
    <x v="0"/>
    <x v="1"/>
    <x v="0"/>
    <x v="0"/>
    <x v="3"/>
    <n v="0"/>
    <n v="0"/>
    <n v="1946.63"/>
    <n v="1946.63"/>
    <n v="1946.63"/>
    <n v="1946.63"/>
    <n v="4037"/>
    <x v="3"/>
    <n v="0"/>
    <n v="0"/>
    <n v="69"/>
    <n v="112"/>
    <n v="0"/>
    <n v="342.48"/>
    <n v="326.47000000000003"/>
    <m/>
    <n v="436.42935762318632"/>
    <n v="327.42656781362894"/>
    <n v="0"/>
    <n v="666681.84240000008"/>
    <n v="635516.29610000004"/>
    <n v="0"/>
    <n v="849566.48043002328"/>
    <n v="637378.37970304454"/>
  </r>
  <r>
    <s v="Refaturamento - Regular"/>
    <x v="5"/>
    <x v="5"/>
    <x v="3"/>
    <x v="0"/>
    <x v="1"/>
    <x v="0"/>
    <x v="0"/>
    <x v="3"/>
    <n v="0"/>
    <n v="0"/>
    <n v="-0.127"/>
    <n v="-0.127"/>
    <n v="-0.127"/>
    <n v="-0.127"/>
    <n v="0"/>
    <x v="3"/>
    <n v="0"/>
    <n v="0"/>
    <n v="69"/>
    <n v="112"/>
    <n v="0"/>
    <n v="342.48"/>
    <n v="326.47000000000003"/>
    <m/>
    <n v="436.42935762318632"/>
    <n v="327.42656781362894"/>
    <n v="0"/>
    <n v="-43.494960000000006"/>
    <n v="-41.461690000000004"/>
    <n v="0"/>
    <n v="-55.426528418144663"/>
    <n v="-41.583174112330873"/>
  </r>
  <r>
    <s v="Sistema de Compensação"/>
    <x v="5"/>
    <x v="5"/>
    <x v="3"/>
    <x v="0"/>
    <x v="1"/>
    <x v="0"/>
    <x v="0"/>
    <x v="3"/>
    <n v="0"/>
    <n v="0"/>
    <n v="3.5630000000000002"/>
    <n v="3.5630000000000002"/>
    <n v="3.5630000000000002"/>
    <n v="3.5630000000000002"/>
    <n v="11"/>
    <x v="3"/>
    <n v="0"/>
    <n v="0"/>
    <n v="69"/>
    <n v="112"/>
    <n v="0"/>
    <n v="342.48"/>
    <n v="326.47000000000003"/>
    <m/>
    <n v="436.42935762318632"/>
    <n v="327.42656781362894"/>
    <n v="0"/>
    <n v="1220.2562400000002"/>
    <n v="1163.21261"/>
    <n v="0"/>
    <n v="1554.9978012114129"/>
    <n v="1166.62086111996"/>
  </r>
  <r>
    <s v="Regular"/>
    <x v="5"/>
    <x v="5"/>
    <x v="3"/>
    <x v="0"/>
    <x v="1"/>
    <x v="0"/>
    <x v="0"/>
    <x v="4"/>
    <n v="0"/>
    <n v="0"/>
    <n v="2030.039"/>
    <n v="2030.039"/>
    <n v="2030.039"/>
    <n v="2030.039"/>
    <n v="4043"/>
    <x v="3"/>
    <n v="0"/>
    <n v="0"/>
    <n v="69"/>
    <n v="112"/>
    <n v="0"/>
    <n v="342.48"/>
    <n v="326.47000000000003"/>
    <m/>
    <n v="436.42935762318632"/>
    <n v="327.42656781362894"/>
    <n v="0"/>
    <n v="695247.75672000006"/>
    <n v="662746.83233"/>
    <n v="0"/>
    <n v="885968.61672001553"/>
    <n v="664688.70229781151"/>
  </r>
  <r>
    <s v="Refaturamento - Regular"/>
    <x v="5"/>
    <x v="5"/>
    <x v="3"/>
    <x v="0"/>
    <x v="1"/>
    <x v="0"/>
    <x v="0"/>
    <x v="4"/>
    <n v="0"/>
    <n v="0"/>
    <n v="0.21"/>
    <n v="0.21"/>
    <n v="0.21"/>
    <n v="0.21"/>
    <n v="3"/>
    <x v="3"/>
    <n v="0"/>
    <n v="0"/>
    <n v="69"/>
    <n v="112"/>
    <n v="0"/>
    <n v="342.48"/>
    <n v="326.47000000000003"/>
    <m/>
    <n v="436.42935762318632"/>
    <n v="327.42656781362894"/>
    <n v="0"/>
    <n v="71.9208"/>
    <n v="68.558700000000002"/>
    <n v="0"/>
    <n v="91.650165100869117"/>
    <n v="68.759579240862081"/>
  </r>
  <r>
    <s v="Sistema de Compensação"/>
    <x v="5"/>
    <x v="5"/>
    <x v="3"/>
    <x v="0"/>
    <x v="1"/>
    <x v="0"/>
    <x v="0"/>
    <x v="4"/>
    <n v="0"/>
    <n v="0"/>
    <n v="5.31"/>
    <n v="5.31"/>
    <n v="5.31"/>
    <n v="5.31"/>
    <n v="11"/>
    <x v="3"/>
    <n v="0"/>
    <n v="0"/>
    <n v="69"/>
    <n v="112"/>
    <n v="0"/>
    <n v="342.48"/>
    <n v="326.47000000000003"/>
    <m/>
    <n v="436.42935762318632"/>
    <n v="327.42656781362894"/>
    <n v="0"/>
    <n v="1818.5688"/>
    <n v="1733.5557000000001"/>
    <n v="0"/>
    <n v="2317.4398889791191"/>
    <n v="1738.6350750903696"/>
  </r>
  <r>
    <s v="Regular"/>
    <x v="5"/>
    <x v="5"/>
    <x v="3"/>
    <x v="0"/>
    <x v="1"/>
    <x v="0"/>
    <x v="0"/>
    <x v="5"/>
    <n v="0"/>
    <n v="0"/>
    <n v="2043.662"/>
    <n v="2043.662"/>
    <n v="2043.662"/>
    <n v="2043.662"/>
    <n v="4060"/>
    <x v="3"/>
    <n v="0"/>
    <n v="0"/>
    <n v="69"/>
    <n v="112"/>
    <n v="0"/>
    <n v="342.48"/>
    <n v="326.47000000000003"/>
    <m/>
    <n v="436.42935762318632"/>
    <n v="327.42656781362894"/>
    <n v="0"/>
    <n v="699913.36176"/>
    <n v="667194.33314000012"/>
    <n v="0"/>
    <n v="891914.0938589162"/>
    <n v="669149.23443113652"/>
  </r>
  <r>
    <s v="Refaturamento - Regular"/>
    <x v="5"/>
    <x v="5"/>
    <x v="3"/>
    <x v="0"/>
    <x v="1"/>
    <x v="0"/>
    <x v="0"/>
    <x v="5"/>
    <n v="0"/>
    <n v="0"/>
    <n v="0.14699999999999999"/>
    <n v="0.14699999999999999"/>
    <n v="0.14699999999999999"/>
    <n v="0.14699999999999999"/>
    <n v="2"/>
    <x v="3"/>
    <n v="0"/>
    <n v="0"/>
    <n v="69"/>
    <n v="112"/>
    <n v="0"/>
    <n v="342.48"/>
    <n v="326.47000000000003"/>
    <m/>
    <n v="436.42935762318632"/>
    <n v="327.42656781362894"/>
    <n v="0"/>
    <n v="50.344560000000001"/>
    <n v="47.99109"/>
    <n v="0"/>
    <n v="64.155115570608388"/>
    <n v="48.13170546860345"/>
  </r>
  <r>
    <s v="Sistema de Compensação"/>
    <x v="5"/>
    <x v="5"/>
    <x v="3"/>
    <x v="0"/>
    <x v="1"/>
    <x v="0"/>
    <x v="0"/>
    <x v="5"/>
    <n v="0"/>
    <n v="0"/>
    <n v="8.875"/>
    <n v="8.875"/>
    <n v="8.875"/>
    <n v="8.875"/>
    <n v="12"/>
    <x v="3"/>
    <n v="0"/>
    <n v="0"/>
    <n v="69"/>
    <n v="112"/>
    <n v="0"/>
    <n v="342.48"/>
    <n v="326.47000000000003"/>
    <m/>
    <n v="436.42935762318632"/>
    <n v="327.42656781362894"/>
    <n v="0"/>
    <n v="3039.51"/>
    <n v="2897.4212500000003"/>
    <n v="0"/>
    <n v="3873.3105489057784"/>
    <n v="2905.9107893459568"/>
  </r>
  <r>
    <s v="Regular"/>
    <x v="5"/>
    <x v="5"/>
    <x v="3"/>
    <x v="0"/>
    <x v="1"/>
    <x v="0"/>
    <x v="0"/>
    <x v="6"/>
    <n v="0"/>
    <n v="0"/>
    <n v="2425.2829999999999"/>
    <n v="2425.2829999999999"/>
    <n v="2425.2829999999999"/>
    <n v="2425.2829999999999"/>
    <n v="4082"/>
    <x v="3"/>
    <n v="0"/>
    <n v="0"/>
    <n v="69"/>
    <n v="112"/>
    <n v="0"/>
    <n v="342.48"/>
    <n v="326.47000000000003"/>
    <m/>
    <n v="436.42935762318632"/>
    <n v="327.42656781362894"/>
    <n v="0"/>
    <n v="830610.92183999997"/>
    <n v="791782.14101000002"/>
    <n v="0"/>
    <n v="1058464.7017444342"/>
    <n v="794102.08866674139"/>
  </r>
  <r>
    <s v="Refaturamento - Regular"/>
    <x v="5"/>
    <x v="5"/>
    <x v="3"/>
    <x v="0"/>
    <x v="1"/>
    <x v="0"/>
    <x v="0"/>
    <x v="6"/>
    <n v="0"/>
    <n v="0"/>
    <n v="-2.3079999999999998"/>
    <n v="-2.3079999999999998"/>
    <n v="-2.3079999999999998"/>
    <n v="-2.3079999999999998"/>
    <n v="0"/>
    <x v="3"/>
    <n v="0"/>
    <n v="0"/>
    <n v="69"/>
    <n v="112"/>
    <n v="0"/>
    <n v="342.48"/>
    <n v="326.47000000000003"/>
    <m/>
    <n v="436.42935762318632"/>
    <n v="327.42656781362894"/>
    <n v="0"/>
    <n v="-790.44384000000002"/>
    <n v="-753.49275999999998"/>
    <n v="0"/>
    <n v="-1007.2789573943139"/>
    <n v="-755.70051851385551"/>
  </r>
  <r>
    <s v="Sistema de Compensação"/>
    <x v="5"/>
    <x v="5"/>
    <x v="3"/>
    <x v="0"/>
    <x v="1"/>
    <x v="0"/>
    <x v="0"/>
    <x v="6"/>
    <n v="0"/>
    <n v="0"/>
    <n v="15.99"/>
    <n v="15.99"/>
    <n v="15.99"/>
    <n v="15.99"/>
    <n v="14"/>
    <x v="3"/>
    <n v="0"/>
    <n v="0"/>
    <n v="69"/>
    <n v="112"/>
    <n v="0"/>
    <n v="342.48"/>
    <n v="326.47000000000003"/>
    <m/>
    <n v="436.42935762318632"/>
    <n v="327.42656781362894"/>
    <n v="0"/>
    <n v="5476.2552000000005"/>
    <n v="5220.2553000000007"/>
    <n v="0"/>
    <n v="6978.5054283947493"/>
    <n v="5235.5508193399264"/>
  </r>
  <r>
    <s v="Regular"/>
    <x v="5"/>
    <x v="5"/>
    <x v="3"/>
    <x v="0"/>
    <x v="1"/>
    <x v="0"/>
    <x v="0"/>
    <x v="7"/>
    <n v="0"/>
    <n v="0"/>
    <n v="2118.6439999999998"/>
    <n v="2118.6439999999998"/>
    <n v="2118.6439999999998"/>
    <n v="2118.6439999999998"/>
    <n v="4077"/>
    <x v="3"/>
    <n v="0"/>
    <n v="0"/>
    <n v="69"/>
    <n v="112"/>
    <n v="0"/>
    <n v="342.48"/>
    <n v="326.47000000000003"/>
    <m/>
    <n v="436.42935762318632"/>
    <n v="327.42656781362894"/>
    <n v="0"/>
    <n v="725593.19711999991"/>
    <n v="691673.70667999994"/>
    <n v="0"/>
    <n v="924638.43995221786"/>
    <n v="693700.33333893795"/>
  </r>
  <r>
    <s v="Refaturamento - Regular"/>
    <x v="5"/>
    <x v="5"/>
    <x v="3"/>
    <x v="0"/>
    <x v="1"/>
    <x v="0"/>
    <x v="0"/>
    <x v="7"/>
    <n v="0"/>
    <n v="0"/>
    <n v="9.8000000000000004E-2"/>
    <n v="9.8000000000000004E-2"/>
    <n v="9.8000000000000004E-2"/>
    <n v="9.8000000000000004E-2"/>
    <n v="2"/>
    <x v="3"/>
    <n v="0"/>
    <n v="0"/>
    <n v="69"/>
    <n v="112"/>
    <n v="0"/>
    <n v="342.48"/>
    <n v="326.47000000000003"/>
    <m/>
    <n v="436.42935762318632"/>
    <n v="327.42656781362894"/>
    <n v="0"/>
    <n v="33.563040000000001"/>
    <n v="31.994060000000005"/>
    <n v="0"/>
    <n v="42.770077047072263"/>
    <n v="32.08780364573564"/>
  </r>
  <r>
    <s v="Sistema de Compensação"/>
    <x v="5"/>
    <x v="5"/>
    <x v="3"/>
    <x v="0"/>
    <x v="1"/>
    <x v="0"/>
    <x v="0"/>
    <x v="7"/>
    <n v="0"/>
    <n v="0"/>
    <n v="10.162000000000001"/>
    <n v="10.162000000000001"/>
    <n v="10.162000000000001"/>
    <n v="10.162000000000001"/>
    <n v="14"/>
    <x v="3"/>
    <n v="0"/>
    <n v="0"/>
    <n v="69"/>
    <n v="112"/>
    <n v="0"/>
    <n v="342.48"/>
    <n v="326.47000000000003"/>
    <m/>
    <n v="436.42935762318632"/>
    <n v="327.42656781362894"/>
    <n v="0"/>
    <n v="3480.2817600000003"/>
    <n v="3317.5881400000007"/>
    <n v="0"/>
    <n v="4434.9951321668195"/>
    <n v="3327.3087821220975"/>
  </r>
  <r>
    <s v="Regular"/>
    <x v="5"/>
    <x v="5"/>
    <x v="3"/>
    <x v="0"/>
    <x v="1"/>
    <x v="0"/>
    <x v="0"/>
    <x v="8"/>
    <n v="0"/>
    <n v="0"/>
    <n v="2324.6190000000001"/>
    <n v="2324.6190000000001"/>
    <n v="2324.6190000000001"/>
    <n v="2324.6190000000001"/>
    <n v="4079"/>
    <x v="3"/>
    <n v="0"/>
    <n v="0"/>
    <n v="69"/>
    <n v="112"/>
    <n v="0"/>
    <n v="342.48"/>
    <n v="326.47000000000003"/>
    <m/>
    <n v="436.42935762318632"/>
    <n v="327.42656781362894"/>
    <n v="0"/>
    <n v="796135.51512000011"/>
    <n v="758918.36493000016"/>
    <n v="0"/>
    <n v="1014531.9768886538"/>
    <n v="761142.02064435033"/>
  </r>
  <r>
    <s v="Refaturamento - Regular"/>
    <x v="5"/>
    <x v="5"/>
    <x v="3"/>
    <x v="0"/>
    <x v="1"/>
    <x v="0"/>
    <x v="0"/>
    <x v="8"/>
    <n v="0"/>
    <n v="0"/>
    <n v="-2.2280000000000002"/>
    <n v="-2.2280000000000002"/>
    <n v="-2.2280000000000002"/>
    <n v="-2.2280000000000002"/>
    <n v="-2"/>
    <x v="3"/>
    <n v="0"/>
    <n v="0"/>
    <n v="69"/>
    <n v="112"/>
    <n v="0"/>
    <n v="342.48"/>
    <n v="326.47000000000003"/>
    <m/>
    <n v="436.42935762318632"/>
    <n v="327.42656781362894"/>
    <n v="0"/>
    <n v="-763.0454400000001"/>
    <n v="-727.37516000000016"/>
    <n v="0"/>
    <n v="-972.36460878445916"/>
    <n v="-729.50639308876532"/>
  </r>
  <r>
    <s v="Sistema de Compensação"/>
    <x v="5"/>
    <x v="5"/>
    <x v="3"/>
    <x v="0"/>
    <x v="1"/>
    <x v="0"/>
    <x v="0"/>
    <x v="8"/>
    <n v="0"/>
    <n v="0"/>
    <n v="10.471"/>
    <n v="10.471"/>
    <n v="10.471"/>
    <n v="10.471"/>
    <n v="15"/>
    <x v="3"/>
    <n v="0"/>
    <n v="0"/>
    <n v="69"/>
    <n v="112"/>
    <n v="0"/>
    <n v="342.48"/>
    <n v="326.47000000000003"/>
    <m/>
    <n v="436.42935762318632"/>
    <n v="327.42656781362894"/>
    <n v="0"/>
    <n v="3586.1080800000004"/>
    <n v="3418.4673700000003"/>
    <n v="0"/>
    <n v="4569.8518036723835"/>
    <n v="3428.4835915765084"/>
  </r>
  <r>
    <s v="Regular"/>
    <x v="5"/>
    <x v="5"/>
    <x v="3"/>
    <x v="0"/>
    <x v="1"/>
    <x v="0"/>
    <x v="0"/>
    <x v="9"/>
    <n v="0"/>
    <n v="0"/>
    <n v="2787.6329999999998"/>
    <n v="2787.6329999999998"/>
    <n v="2787.6329999999998"/>
    <n v="2787.6329999999998"/>
    <n v="4098"/>
    <x v="3"/>
    <n v="0"/>
    <n v="0"/>
    <n v="69"/>
    <n v="112"/>
    <n v="0"/>
    <n v="342.48"/>
    <n v="326.47000000000003"/>
    <m/>
    <n v="436.42935762318632"/>
    <n v="327.42656781362894"/>
    <n v="0"/>
    <n v="954708.54983999999"/>
    <n v="910078.54550999997"/>
    <n v="0"/>
    <n v="1216604.8794791957"/>
    <n v="912745.10551400983"/>
  </r>
  <r>
    <s v="Refaturamento - Regular"/>
    <x v="5"/>
    <x v="5"/>
    <x v="3"/>
    <x v="0"/>
    <x v="1"/>
    <x v="0"/>
    <x v="0"/>
    <x v="9"/>
    <n v="0"/>
    <n v="0"/>
    <n v="-27.853000000000002"/>
    <n v="-27.853000000000002"/>
    <n v="-27.853000000000002"/>
    <n v="-27.853000000000002"/>
    <n v="0"/>
    <x v="3"/>
    <n v="0"/>
    <n v="0"/>
    <n v="69"/>
    <n v="112"/>
    <n v="0"/>
    <n v="342.48"/>
    <n v="326.47000000000003"/>
    <m/>
    <n v="436.42935762318632"/>
    <n v="327.42656781362894"/>
    <n v="0"/>
    <n v="-9539.095440000001"/>
    <n v="-9093.1689100000021"/>
    <n v="0"/>
    <n v="-12155.86689787861"/>
    <n v="-9119.8121933130078"/>
  </r>
  <r>
    <s v="Sistema de Compensação"/>
    <x v="5"/>
    <x v="5"/>
    <x v="3"/>
    <x v="0"/>
    <x v="1"/>
    <x v="0"/>
    <x v="0"/>
    <x v="9"/>
    <n v="0"/>
    <n v="0"/>
    <n v="16.376000000000001"/>
    <n v="16.376000000000001"/>
    <n v="16.376000000000001"/>
    <n v="16.376000000000001"/>
    <n v="16"/>
    <x v="3"/>
    <n v="0"/>
    <n v="0"/>
    <n v="69"/>
    <n v="112"/>
    <n v="0"/>
    <n v="342.48"/>
    <n v="326.47000000000003"/>
    <m/>
    <n v="436.42935762318632"/>
    <n v="327.42656781362894"/>
    <n v="0"/>
    <n v="5608.4524800000008"/>
    <n v="5346.2727200000008"/>
    <n v="0"/>
    <n v="7146.9671604372998"/>
    <n v="5361.9374745159876"/>
  </r>
  <r>
    <s v="Regular"/>
    <x v="5"/>
    <x v="5"/>
    <x v="3"/>
    <x v="0"/>
    <x v="1"/>
    <x v="0"/>
    <x v="0"/>
    <x v="10"/>
    <n v="0"/>
    <n v="0"/>
    <n v="2730.61"/>
    <n v="2730.61"/>
    <n v="2730.61"/>
    <n v="2730.61"/>
    <n v="4108"/>
    <x v="3"/>
    <n v="0"/>
    <n v="0"/>
    <n v="69"/>
    <n v="112"/>
    <n v="0"/>
    <n v="342.48"/>
    <n v="326.47000000000003"/>
    <m/>
    <n v="436.42935762318632"/>
    <n v="327.42656781362894"/>
    <n v="0"/>
    <n v="935179.31280000007"/>
    <n v="891462.24670000013"/>
    <n v="0"/>
    <n v="1191718.368219449"/>
    <n v="894074.26033757336"/>
  </r>
  <r>
    <s v="Refaturamento - Regular"/>
    <x v="5"/>
    <x v="5"/>
    <x v="3"/>
    <x v="0"/>
    <x v="1"/>
    <x v="0"/>
    <x v="0"/>
    <x v="10"/>
    <n v="0"/>
    <n v="0"/>
    <n v="2.2120000000000002"/>
    <n v="2.2120000000000002"/>
    <n v="2.2120000000000002"/>
    <n v="2.2120000000000002"/>
    <n v="3"/>
    <x v="3"/>
    <n v="0"/>
    <n v="0"/>
    <n v="69"/>
    <n v="112"/>
    <n v="0"/>
    <n v="342.48"/>
    <n v="326.47000000000003"/>
    <m/>
    <n v="436.42935762318632"/>
    <n v="327.42656781362894"/>
    <n v="0"/>
    <n v="757.56576000000007"/>
    <n v="722.15164000000016"/>
    <n v="0"/>
    <n v="965.38173906248824"/>
    <n v="724.26756800374721"/>
  </r>
  <r>
    <s v="Sistema de Compensação"/>
    <x v="5"/>
    <x v="5"/>
    <x v="3"/>
    <x v="0"/>
    <x v="1"/>
    <x v="0"/>
    <x v="0"/>
    <x v="10"/>
    <n v="0"/>
    <n v="0"/>
    <n v="13.077"/>
    <n v="13.077"/>
    <n v="13.077"/>
    <n v="13.077"/>
    <n v="16"/>
    <x v="3"/>
    <n v="0"/>
    <n v="0"/>
    <n v="69"/>
    <n v="112"/>
    <n v="0"/>
    <n v="342.48"/>
    <n v="326.47000000000003"/>
    <m/>
    <n v="436.42935762318632"/>
    <n v="327.42656781362894"/>
    <n v="0"/>
    <n v="4478.61096"/>
    <n v="4269.2481900000002"/>
    <n v="0"/>
    <n v="5707.1867096384076"/>
    <n v="4281.7572272988255"/>
  </r>
  <r>
    <s v="PROJETADO"/>
    <x v="5"/>
    <x v="5"/>
    <x v="3"/>
    <x v="0"/>
    <x v="1"/>
    <x v="0"/>
    <x v="0"/>
    <x v="11"/>
    <n v="0"/>
    <n v="0"/>
    <n v="2730.61"/>
    <n v="2730.61"/>
    <n v="2730.61"/>
    <n v="2730.61"/>
    <n v="4108"/>
    <x v="3"/>
    <n v="0"/>
    <n v="0"/>
    <n v="69"/>
    <n v="112"/>
    <n v="0"/>
    <n v="342.48"/>
    <n v="326.47000000000003"/>
    <m/>
    <n v="436.42935762318632"/>
    <n v="327.42656781362894"/>
    <n v="0"/>
    <n v="935179.31280000007"/>
    <n v="891462.24670000013"/>
    <n v="0"/>
    <n v="1191718.368219449"/>
    <n v="894074.26033757336"/>
  </r>
  <r>
    <s v="PROJETADO"/>
    <x v="5"/>
    <x v="5"/>
    <x v="3"/>
    <x v="0"/>
    <x v="1"/>
    <x v="0"/>
    <x v="0"/>
    <x v="11"/>
    <n v="0"/>
    <n v="0"/>
    <n v="2.2120000000000002"/>
    <n v="2.2120000000000002"/>
    <n v="2.2120000000000002"/>
    <n v="2.2120000000000002"/>
    <n v="3"/>
    <x v="3"/>
    <n v="0"/>
    <n v="0"/>
    <n v="69"/>
    <n v="112"/>
    <n v="0"/>
    <n v="342.48"/>
    <n v="326.47000000000003"/>
    <m/>
    <n v="436.42935762318632"/>
    <n v="327.42656781362894"/>
    <n v="0"/>
    <n v="757.56576000000007"/>
    <n v="722.15164000000016"/>
    <n v="0"/>
    <n v="965.38173906248824"/>
    <n v="724.26756800374721"/>
  </r>
  <r>
    <s v="PROJETADO"/>
    <x v="5"/>
    <x v="5"/>
    <x v="3"/>
    <x v="0"/>
    <x v="1"/>
    <x v="0"/>
    <x v="0"/>
    <x v="11"/>
    <n v="0"/>
    <n v="0"/>
    <n v="13.077"/>
    <n v="13.077"/>
    <n v="13.077"/>
    <n v="13.077"/>
    <n v="16"/>
    <x v="3"/>
    <n v="0"/>
    <n v="0"/>
    <n v="69"/>
    <n v="112"/>
    <n v="0"/>
    <n v="342.48"/>
    <n v="326.47000000000003"/>
    <m/>
    <n v="436.42935762318632"/>
    <n v="327.42656781362894"/>
    <n v="0"/>
    <n v="4478.61096"/>
    <n v="4269.2481900000002"/>
    <n v="0"/>
    <n v="5707.1867096384076"/>
    <n v="4281.7572272988255"/>
  </r>
  <r>
    <s v="Regular"/>
    <x v="5"/>
    <x v="5"/>
    <x v="5"/>
    <x v="1"/>
    <x v="1"/>
    <x v="0"/>
    <x v="0"/>
    <x v="0"/>
    <n v="0"/>
    <n v="0"/>
    <n v="1378.9159999999999"/>
    <n v="1296.1810399999999"/>
    <n v="1378.9159999999999"/>
    <n v="1296.1810399999999"/>
    <n v="681"/>
    <x v="3"/>
    <n v="0"/>
    <n v="0"/>
    <n v="69"/>
    <n v="112"/>
    <n v="0"/>
    <n v="342.48"/>
    <n v="326.47000000000003"/>
    <m/>
    <n v="436.42935762318632"/>
    <n v="327.42656781362894"/>
    <n v="0"/>
    <n v="443916.08257919998"/>
    <n v="423164.22412880004"/>
    <n v="0"/>
    <n v="565691.4586505536"/>
    <n v="424404.10919230006"/>
  </r>
  <r>
    <s v="Regular"/>
    <x v="5"/>
    <x v="5"/>
    <x v="5"/>
    <x v="1"/>
    <x v="1"/>
    <x v="0"/>
    <x v="0"/>
    <x v="1"/>
    <n v="0"/>
    <n v="0"/>
    <n v="1387.308"/>
    <n v="1304.06952"/>
    <n v="1387.308"/>
    <n v="1304.06952"/>
    <n v="683"/>
    <x v="3"/>
    <n v="0"/>
    <n v="0"/>
    <n v="69"/>
    <n v="112"/>
    <n v="0"/>
    <n v="342.48"/>
    <n v="326.47000000000003"/>
    <m/>
    <n v="436.42935762318632"/>
    <n v="327.42656781362894"/>
    <n v="0"/>
    <n v="446617.72920960002"/>
    <n v="425739.57619440003"/>
    <n v="0"/>
    <n v="569134.22290957696"/>
    <n v="426987.00712396653"/>
  </r>
  <r>
    <s v="Regular"/>
    <x v="5"/>
    <x v="5"/>
    <x v="5"/>
    <x v="1"/>
    <x v="1"/>
    <x v="0"/>
    <x v="0"/>
    <x v="2"/>
    <n v="0"/>
    <n v="0"/>
    <n v="1449.0239999999999"/>
    <n v="1362.0825600000001"/>
    <n v="1449.0239999999999"/>
    <n v="1362.0825600000001"/>
    <n v="684"/>
    <x v="3"/>
    <n v="0"/>
    <n v="0"/>
    <n v="69"/>
    <n v="112"/>
    <n v="0"/>
    <n v="342.48"/>
    <n v="326.47000000000003"/>
    <m/>
    <n v="436.42935762318632"/>
    <n v="327.42656781362894"/>
    <n v="0"/>
    <n v="466486.03514880006"/>
    <n v="444679.09336320008"/>
    <n v="0"/>
    <n v="594452.81669054518"/>
    <n v="445982.0176996013"/>
  </r>
  <r>
    <s v="Regular"/>
    <x v="5"/>
    <x v="5"/>
    <x v="5"/>
    <x v="1"/>
    <x v="1"/>
    <x v="0"/>
    <x v="0"/>
    <x v="3"/>
    <n v="0"/>
    <n v="0"/>
    <n v="1573.914"/>
    <n v="1479.4791600000001"/>
    <n v="1573.914"/>
    <n v="1479.4791600000001"/>
    <n v="684"/>
    <x v="3"/>
    <n v="0"/>
    <n v="0"/>
    <n v="69"/>
    <n v="112"/>
    <n v="0"/>
    <n v="342.48"/>
    <n v="326.47000000000003"/>
    <m/>
    <n v="436.42935762318632"/>
    <n v="327.42656781362894"/>
    <n v="0"/>
    <n v="506692.02271680004"/>
    <n v="483005.56136520009"/>
    <n v="0"/>
    <n v="645688.13941569137"/>
    <n v="484420.78351059079"/>
  </r>
  <r>
    <s v="Regular"/>
    <x v="5"/>
    <x v="5"/>
    <x v="5"/>
    <x v="1"/>
    <x v="1"/>
    <x v="0"/>
    <x v="0"/>
    <x v="4"/>
    <n v="0"/>
    <n v="0"/>
    <n v="1508.259"/>
    <n v="1417.7634599999999"/>
    <n v="1508.259"/>
    <n v="1417.7634599999999"/>
    <n v="686"/>
    <x v="3"/>
    <n v="0"/>
    <n v="0"/>
    <n v="69"/>
    <n v="112"/>
    <n v="0"/>
    <n v="342.48"/>
    <n v="326.47000000000003"/>
    <m/>
    <n v="436.42935762318632"/>
    <n v="327.42656781362894"/>
    <n v="0"/>
    <n v="485555.62978079997"/>
    <n v="462857.23678620002"/>
    <n v="0"/>
    <n v="618753.596109426"/>
    <n v="464213.42367937515"/>
  </r>
  <r>
    <s v="Regular"/>
    <x v="5"/>
    <x v="5"/>
    <x v="5"/>
    <x v="1"/>
    <x v="1"/>
    <x v="0"/>
    <x v="0"/>
    <x v="5"/>
    <n v="0"/>
    <n v="0"/>
    <n v="1430.009"/>
    <n v="1344.2084600000001"/>
    <n v="1430.009"/>
    <n v="1344.2084600000001"/>
    <n v="684"/>
    <x v="3"/>
    <n v="0"/>
    <n v="0"/>
    <n v="69"/>
    <n v="112"/>
    <n v="0"/>
    <n v="342.48"/>
    <n v="326.47000000000003"/>
    <m/>
    <n v="436.42935762318632"/>
    <n v="327.42656781362894"/>
    <n v="0"/>
    <n v="460364.51338080002"/>
    <n v="438843.73593620007"/>
    <n v="0"/>
    <n v="586652.03470945254"/>
    <n v="440129.56248384377"/>
  </r>
  <r>
    <s v="Regular"/>
    <x v="5"/>
    <x v="5"/>
    <x v="5"/>
    <x v="1"/>
    <x v="1"/>
    <x v="0"/>
    <x v="0"/>
    <x v="6"/>
    <n v="0"/>
    <n v="0"/>
    <n v="1506.184"/>
    <n v="1415.81296"/>
    <n v="1506.184"/>
    <n v="1415.81296"/>
    <n v="682"/>
    <x v="3"/>
    <n v="0"/>
    <n v="0"/>
    <n v="69"/>
    <n v="112"/>
    <n v="0"/>
    <n v="342.48"/>
    <n v="326.47000000000003"/>
    <m/>
    <n v="436.42935762318632"/>
    <n v="327.42656781362894"/>
    <n v="0"/>
    <n v="484887.62254080002"/>
    <n v="462220.45705120004"/>
    <n v="0"/>
    <n v="617902.34064738196"/>
    <n v="463574.77815885469"/>
  </r>
  <r>
    <s v="Regular"/>
    <x v="5"/>
    <x v="5"/>
    <x v="5"/>
    <x v="1"/>
    <x v="1"/>
    <x v="0"/>
    <x v="0"/>
    <x v="7"/>
    <n v="0"/>
    <n v="0"/>
    <n v="1441.9280000000001"/>
    <n v="1355.4123199999999"/>
    <n v="1441.9280000000001"/>
    <n v="1355.4123199999999"/>
    <n v="681"/>
    <x v="3"/>
    <n v="0"/>
    <n v="0"/>
    <n v="69"/>
    <n v="112"/>
    <n v="0"/>
    <n v="342.48"/>
    <n v="326.47000000000003"/>
    <m/>
    <n v="436.42935762318632"/>
    <n v="327.42656781362894"/>
    <n v="0"/>
    <n v="464201.61135359999"/>
    <n v="442501.46011039999"/>
    <n v="0"/>
    <n v="591541.72813215258"/>
    <n v="443798.00390990812"/>
  </r>
  <r>
    <s v="Regular"/>
    <x v="5"/>
    <x v="5"/>
    <x v="5"/>
    <x v="1"/>
    <x v="1"/>
    <x v="0"/>
    <x v="0"/>
    <x v="8"/>
    <n v="0"/>
    <n v="0"/>
    <n v="1418.2180000000001"/>
    <n v="1333.12492"/>
    <n v="1418.2180000000001"/>
    <n v="1333.12492"/>
    <n v="678"/>
    <x v="3"/>
    <n v="0"/>
    <n v="0"/>
    <n v="69"/>
    <n v="112"/>
    <n v="0"/>
    <n v="342.48"/>
    <n v="326.47000000000003"/>
    <m/>
    <n v="436.42935762318632"/>
    <n v="327.42656781362894"/>
    <n v="0"/>
    <n v="456568.62260160001"/>
    <n v="435225.2926324"/>
    <n v="0"/>
    <n v="581814.8524670616"/>
    <n v="436500.51702241861"/>
  </r>
  <r>
    <s v="Regular"/>
    <x v="5"/>
    <x v="5"/>
    <x v="5"/>
    <x v="1"/>
    <x v="1"/>
    <x v="0"/>
    <x v="0"/>
    <x v="9"/>
    <n v="0"/>
    <n v="0"/>
    <n v="1563.4590000000001"/>
    <n v="1469.65146"/>
    <n v="1563.4590000000001"/>
    <n v="1469.65146"/>
    <n v="676"/>
    <x v="3"/>
    <n v="0"/>
    <n v="0"/>
    <n v="69"/>
    <n v="112"/>
    <n v="0"/>
    <n v="342.48"/>
    <n v="326.47000000000003"/>
    <m/>
    <n v="436.42935762318632"/>
    <n v="327.42656781362894"/>
    <n v="0"/>
    <n v="503326.23202080006"/>
    <n v="479797.11214620003"/>
    <n v="0"/>
    <n v="641399.04261777794"/>
    <n v="481202.9334300888"/>
  </r>
  <r>
    <s v="Regular"/>
    <x v="5"/>
    <x v="5"/>
    <x v="5"/>
    <x v="1"/>
    <x v="1"/>
    <x v="0"/>
    <x v="0"/>
    <x v="10"/>
    <n v="0"/>
    <n v="0"/>
    <n v="1486.8520000000001"/>
    <n v="1397.6408799999999"/>
    <n v="1486.8520000000001"/>
    <n v="1397.6408799999999"/>
    <n v="677"/>
    <x v="3"/>
    <n v="0"/>
    <n v="0"/>
    <n v="69"/>
    <n v="112"/>
    <n v="0"/>
    <n v="342.48"/>
    <n v="326.47000000000003"/>
    <m/>
    <n v="436.42935762318632"/>
    <n v="327.42656781362894"/>
    <n v="0"/>
    <n v="478664.04858240002"/>
    <n v="456287.81809359998"/>
    <n v="0"/>
    <n v="609971.51144630485"/>
    <n v="457624.75637442002"/>
  </r>
  <r>
    <s v="PROJETADO"/>
    <x v="5"/>
    <x v="5"/>
    <x v="5"/>
    <x v="1"/>
    <x v="1"/>
    <x v="0"/>
    <x v="0"/>
    <x v="11"/>
    <n v="0"/>
    <n v="0"/>
    <n v="1486.8520000000001"/>
    <n v="1397.6408799999999"/>
    <n v="1486.8520000000001"/>
    <n v="1397.6408799999999"/>
    <n v="677"/>
    <x v="3"/>
    <n v="0"/>
    <n v="0"/>
    <n v="69"/>
    <n v="112"/>
    <n v="0"/>
    <n v="342.48"/>
    <n v="326.47000000000003"/>
    <m/>
    <n v="436.42935762318632"/>
    <n v="327.42656781362894"/>
    <n v="0"/>
    <n v="478664.04858240002"/>
    <n v="456287.81809359998"/>
    <n v="0"/>
    <n v="609971.51144630485"/>
    <n v="457624.75637442002"/>
  </r>
  <r>
    <s v="Regular"/>
    <x v="6"/>
    <x v="5"/>
    <x v="8"/>
    <x v="9"/>
    <x v="1"/>
    <x v="0"/>
    <x v="0"/>
    <x v="0"/>
    <n v="0"/>
    <n v="0"/>
    <n v="6730.4089999999997"/>
    <n v="6730.4089999999997"/>
    <n v="6730.4089999999997"/>
    <n v="6730.4089999999997"/>
    <n v="138"/>
    <x v="3"/>
    <n v="0"/>
    <n v="0"/>
    <n v="71"/>
    <n v="114"/>
    <n v="0"/>
    <n v="188.37"/>
    <n v="179.56"/>
    <m/>
    <n v="240.03614669275254"/>
    <n v="180.08461229749591"/>
    <n v="0"/>
    <n v="1267807.1433299999"/>
    <n v="1208512.2400400001"/>
    <n v="0"/>
    <n v="1615541.4420262219"/>
    <n v="1212043.0953685772"/>
  </r>
  <r>
    <s v="Regular"/>
    <x v="6"/>
    <x v="5"/>
    <x v="8"/>
    <x v="9"/>
    <x v="1"/>
    <x v="0"/>
    <x v="0"/>
    <x v="1"/>
    <n v="0"/>
    <n v="0"/>
    <n v="6955.6120000000001"/>
    <n v="6955.6120000000001"/>
    <n v="6955.6120000000001"/>
    <n v="6955.6120000000001"/>
    <n v="141"/>
    <x v="3"/>
    <n v="0"/>
    <n v="0"/>
    <n v="71"/>
    <n v="114"/>
    <n v="0"/>
    <n v="188.37"/>
    <n v="179.56"/>
    <m/>
    <n v="240.03614669275254"/>
    <n v="180.08461229749591"/>
    <n v="0"/>
    <n v="1310228.6324400001"/>
    <n v="1248949.6907200001"/>
    <n v="0"/>
    <n v="1669598.3023698698"/>
    <n v="1252598.6903118102"/>
  </r>
  <r>
    <s v="Regular"/>
    <x v="6"/>
    <x v="5"/>
    <x v="8"/>
    <x v="9"/>
    <x v="1"/>
    <x v="0"/>
    <x v="0"/>
    <x v="2"/>
    <n v="0"/>
    <n v="0"/>
    <n v="6957.107"/>
    <n v="6957.107"/>
    <n v="6957.107"/>
    <n v="6957.107"/>
    <n v="140"/>
    <x v="3"/>
    <n v="0"/>
    <n v="0"/>
    <n v="71"/>
    <n v="114"/>
    <n v="0"/>
    <n v="188.37"/>
    <n v="179.56"/>
    <m/>
    <n v="240.03614669275254"/>
    <n v="180.08461229749591"/>
    <n v="0"/>
    <n v="1310510.2455899999"/>
    <n v="1249218.13292"/>
    <n v="0"/>
    <n v="1669957.1564091756"/>
    <n v="1252867.9168071949"/>
  </r>
  <r>
    <s v="Refaturamento - Regular"/>
    <x v="6"/>
    <x v="5"/>
    <x v="8"/>
    <x v="9"/>
    <x v="1"/>
    <x v="0"/>
    <x v="0"/>
    <x v="2"/>
    <n v="0"/>
    <n v="0"/>
    <n v="0.48599999999999999"/>
    <n v="0.48599999999999999"/>
    <n v="0.48599999999999999"/>
    <n v="0.48599999999999999"/>
    <n v="0"/>
    <x v="3"/>
    <n v="0"/>
    <n v="0"/>
    <n v="71"/>
    <n v="114"/>
    <n v="0"/>
    <n v="188.37"/>
    <n v="179.56"/>
    <m/>
    <n v="240.03614669275254"/>
    <n v="180.08461229749591"/>
    <n v="0"/>
    <n v="91.547820000000002"/>
    <n v="87.266159999999999"/>
    <n v="0"/>
    <n v="116.65756729267773"/>
    <n v="87.521121576583013"/>
  </r>
  <r>
    <s v="Regular"/>
    <x v="6"/>
    <x v="5"/>
    <x v="8"/>
    <x v="9"/>
    <x v="1"/>
    <x v="0"/>
    <x v="0"/>
    <x v="3"/>
    <n v="0"/>
    <n v="0"/>
    <n v="6738.5169999999998"/>
    <n v="6738.5169999999998"/>
    <n v="6738.5169999999998"/>
    <n v="6738.5169999999998"/>
    <n v="140"/>
    <x v="3"/>
    <n v="0"/>
    <n v="0"/>
    <n v="71"/>
    <n v="114"/>
    <n v="0"/>
    <n v="188.37"/>
    <n v="179.56"/>
    <m/>
    <n v="240.03614669275254"/>
    <n v="180.08461229749591"/>
    <n v="0"/>
    <n v="1269334.44729"/>
    <n v="1209968.11252"/>
    <n v="0"/>
    <n v="1617487.6551036066"/>
    <n v="1213503.2214050852"/>
  </r>
  <r>
    <s v="Refaturamento - Regular"/>
    <x v="6"/>
    <x v="5"/>
    <x v="8"/>
    <x v="9"/>
    <x v="1"/>
    <x v="0"/>
    <x v="0"/>
    <x v="3"/>
    <n v="0"/>
    <n v="0"/>
    <n v="5.7830000000000004"/>
    <n v="5.7830000000000004"/>
    <n v="5.7830000000000004"/>
    <n v="5.7830000000000004"/>
    <n v="0"/>
    <x v="3"/>
    <n v="0"/>
    <n v="0"/>
    <n v="71"/>
    <n v="114"/>
    <n v="0"/>
    <n v="188.37"/>
    <n v="179.56"/>
    <m/>
    <n v="240.03614669275254"/>
    <n v="180.08461229749591"/>
    <n v="0"/>
    <n v="1089.3437100000001"/>
    <n v="1038.3954800000001"/>
    <n v="0"/>
    <n v="1388.1290363241881"/>
    <n v="1041.4293129164189"/>
  </r>
  <r>
    <s v="Regular"/>
    <x v="6"/>
    <x v="5"/>
    <x v="8"/>
    <x v="9"/>
    <x v="1"/>
    <x v="0"/>
    <x v="0"/>
    <x v="4"/>
    <n v="0"/>
    <n v="0"/>
    <n v="6941.9949999999999"/>
    <n v="6941.9949999999999"/>
    <n v="6941.9949999999999"/>
    <n v="6941.9949999999999"/>
    <n v="140"/>
    <x v="3"/>
    <n v="0"/>
    <n v="0"/>
    <n v="71"/>
    <n v="114"/>
    <n v="0"/>
    <n v="188.37"/>
    <n v="179.56"/>
    <m/>
    <n v="240.03614669275254"/>
    <n v="180.08461229749591"/>
    <n v="0"/>
    <n v="1307663.59815"/>
    <n v="1246504.6222000001"/>
    <n v="0"/>
    <n v="1666329.7301603546"/>
    <n v="1250146.4781461551"/>
  </r>
  <r>
    <s v="Regular"/>
    <x v="6"/>
    <x v="5"/>
    <x v="8"/>
    <x v="9"/>
    <x v="1"/>
    <x v="0"/>
    <x v="0"/>
    <x v="5"/>
    <n v="0"/>
    <n v="0"/>
    <n v="6719.4290000000001"/>
    <n v="6719.4290000000001"/>
    <n v="6719.4290000000001"/>
    <n v="6719.4290000000001"/>
    <n v="138"/>
    <x v="3"/>
    <n v="0"/>
    <n v="0"/>
    <n v="71"/>
    <n v="114"/>
    <n v="0"/>
    <n v="188.37"/>
    <n v="179.56"/>
    <m/>
    <n v="240.03614669275254"/>
    <n v="180.08461229749591"/>
    <n v="0"/>
    <n v="1265738.8407300001"/>
    <n v="1206540.6712400001"/>
    <n v="0"/>
    <n v="1612905.8451355356"/>
    <n v="1210065.7663255506"/>
  </r>
  <r>
    <s v="Refaturamento - Regular"/>
    <x v="6"/>
    <x v="5"/>
    <x v="8"/>
    <x v="9"/>
    <x v="1"/>
    <x v="0"/>
    <x v="0"/>
    <x v="5"/>
    <n v="0"/>
    <n v="0"/>
    <n v="9.4309999999999992"/>
    <n v="9.4309999999999992"/>
    <n v="9.4309999999999992"/>
    <n v="9.4309999999999992"/>
    <n v="0"/>
    <x v="3"/>
    <n v="0"/>
    <n v="0"/>
    <n v="71"/>
    <n v="114"/>
    <n v="0"/>
    <n v="188.37"/>
    <n v="179.56"/>
    <m/>
    <n v="240.03614669275254"/>
    <n v="180.08461229749591"/>
    <n v="0"/>
    <n v="1776.5174699999998"/>
    <n v="1693.4303599999998"/>
    <n v="0"/>
    <n v="2263.7808994593488"/>
    <n v="1698.3779785776837"/>
  </r>
  <r>
    <s v="Regular"/>
    <x v="6"/>
    <x v="5"/>
    <x v="8"/>
    <x v="9"/>
    <x v="1"/>
    <x v="0"/>
    <x v="0"/>
    <x v="6"/>
    <n v="0"/>
    <n v="0"/>
    <n v="6923.5389999999998"/>
    <n v="6923.5389999999998"/>
    <n v="6923.5389999999998"/>
    <n v="6923.5389999999998"/>
    <n v="140"/>
    <x v="3"/>
    <n v="0"/>
    <n v="0"/>
    <n v="71"/>
    <n v="114"/>
    <n v="0"/>
    <n v="188.37"/>
    <n v="179.56"/>
    <m/>
    <n v="240.03614669275254"/>
    <n v="180.08461229749591"/>
    <n v="0"/>
    <n v="1304187.04143"/>
    <n v="1243190.6628399999"/>
    <n v="0"/>
    <n v="1661899.6230369932"/>
    <n v="1246822.8365415924"/>
  </r>
  <r>
    <s v="Regular"/>
    <x v="6"/>
    <x v="5"/>
    <x v="8"/>
    <x v="9"/>
    <x v="1"/>
    <x v="0"/>
    <x v="0"/>
    <x v="7"/>
    <n v="0"/>
    <n v="0"/>
    <n v="6920.3059999999996"/>
    <n v="6920.3059999999996"/>
    <n v="6920.3059999999996"/>
    <n v="6920.3059999999996"/>
    <n v="138"/>
    <x v="3"/>
    <n v="0"/>
    <n v="0"/>
    <n v="71"/>
    <n v="114"/>
    <n v="0"/>
    <n v="188.37"/>
    <n v="179.56"/>
    <m/>
    <n v="240.03614669275254"/>
    <n v="180.08461229749591"/>
    <n v="0"/>
    <n v="1303578.04122"/>
    <n v="1242610.14536"/>
    <n v="0"/>
    <n v="1661123.5861747353"/>
    <n v="1246240.6229900348"/>
  </r>
  <r>
    <s v="Refaturamento - Regular"/>
    <x v="6"/>
    <x v="5"/>
    <x v="8"/>
    <x v="9"/>
    <x v="1"/>
    <x v="0"/>
    <x v="0"/>
    <x v="7"/>
    <n v="0"/>
    <n v="0"/>
    <n v="0.72299999999999998"/>
    <n v="0.72299999999999998"/>
    <n v="0.72299999999999998"/>
    <n v="0.72299999999999998"/>
    <n v="0"/>
    <x v="3"/>
    <n v="0"/>
    <n v="0"/>
    <n v="71"/>
    <n v="114"/>
    <n v="0"/>
    <n v="188.37"/>
    <n v="179.56"/>
    <m/>
    <n v="240.03614669275254"/>
    <n v="180.08461229749591"/>
    <n v="0"/>
    <n v="136.19150999999999"/>
    <n v="129.82187999999999"/>
    <n v="0"/>
    <n v="173.54613405886008"/>
    <n v="130.20117469108953"/>
  </r>
  <r>
    <s v="Regular"/>
    <x v="6"/>
    <x v="5"/>
    <x v="8"/>
    <x v="9"/>
    <x v="1"/>
    <x v="0"/>
    <x v="0"/>
    <x v="8"/>
    <n v="0"/>
    <n v="0"/>
    <n v="6176.7560000000003"/>
    <n v="6176.7560000000003"/>
    <n v="6176.7560000000003"/>
    <n v="6176.7560000000003"/>
    <n v="140"/>
    <x v="3"/>
    <n v="0"/>
    <n v="0"/>
    <n v="71"/>
    <n v="114"/>
    <n v="0"/>
    <n v="188.37"/>
    <n v="179.56"/>
    <m/>
    <n v="240.03614669275254"/>
    <n v="180.08461229749591"/>
    <n v="0"/>
    <n v="1163515.5277200001"/>
    <n v="1109098.30736"/>
    <n v="0"/>
    <n v="1482644.7093013395"/>
    <n v="1112338.7095162317"/>
  </r>
  <r>
    <s v="Regular"/>
    <x v="6"/>
    <x v="5"/>
    <x v="8"/>
    <x v="9"/>
    <x v="1"/>
    <x v="0"/>
    <x v="0"/>
    <x v="9"/>
    <n v="0"/>
    <n v="0"/>
    <n v="6887.21"/>
    <n v="6887.21"/>
    <n v="6887.21"/>
    <n v="6887.21"/>
    <n v="138"/>
    <x v="3"/>
    <n v="0"/>
    <n v="0"/>
    <n v="71"/>
    <n v="114"/>
    <n v="0"/>
    <n v="188.37"/>
    <n v="179.56"/>
    <m/>
    <n v="240.03614669275254"/>
    <n v="180.08461229749591"/>
    <n v="0"/>
    <n v="1297343.7476999999"/>
    <n v="1236667.4276000001"/>
    <n v="0"/>
    <n v="1653179.3498637923"/>
    <n v="1240280.5426614368"/>
  </r>
  <r>
    <s v="Regular"/>
    <x v="6"/>
    <x v="5"/>
    <x v="8"/>
    <x v="9"/>
    <x v="1"/>
    <x v="0"/>
    <x v="0"/>
    <x v="10"/>
    <n v="0"/>
    <n v="0"/>
    <n v="6669.76"/>
    <n v="6669.76"/>
    <n v="6669.76"/>
    <n v="6669.76"/>
    <n v="140"/>
    <x v="3"/>
    <n v="0"/>
    <n v="0"/>
    <n v="71"/>
    <n v="114"/>
    <n v="0"/>
    <n v="188.37"/>
    <n v="179.56"/>
    <m/>
    <n v="240.03614669275254"/>
    <n v="180.08461229749591"/>
    <n v="0"/>
    <n v="1256382.6912"/>
    <n v="1197622.1056000001"/>
    <n v="0"/>
    <n v="1600983.4897654532"/>
    <n v="1201121.1437173462"/>
  </r>
  <r>
    <s v="PROJETADO"/>
    <x v="6"/>
    <x v="5"/>
    <x v="8"/>
    <x v="9"/>
    <x v="1"/>
    <x v="0"/>
    <x v="0"/>
    <x v="11"/>
    <n v="0"/>
    <n v="0"/>
    <n v="6669.76"/>
    <n v="6669.76"/>
    <n v="6669.76"/>
    <n v="6669.76"/>
    <n v="140"/>
    <x v="3"/>
    <n v="0"/>
    <n v="0"/>
    <n v="71"/>
    <n v="114"/>
    <n v="0"/>
    <n v="188.37"/>
    <n v="179.56"/>
    <m/>
    <n v="240.03614669275254"/>
    <n v="180.08461229749591"/>
    <n v="0"/>
    <n v="1256382.6912"/>
    <n v="1197622.1056000001"/>
    <n v="0"/>
    <n v="1600983.4897654532"/>
    <n v="1201121.1437173462"/>
  </r>
  <r>
    <s v="Regular"/>
    <x v="6"/>
    <x v="5"/>
    <x v="8"/>
    <x v="10"/>
    <x v="1"/>
    <x v="0"/>
    <x v="0"/>
    <x v="0"/>
    <n v="0"/>
    <n v="0"/>
    <n v="138.715"/>
    <n v="138.715"/>
    <n v="138.715"/>
    <n v="138.715"/>
    <n v="5"/>
    <x v="3"/>
    <n v="0"/>
    <n v="0"/>
    <n v="72"/>
    <n v="115"/>
    <n v="0"/>
    <n v="205.49"/>
    <n v="195.88"/>
    <m/>
    <n v="261.85761457391186"/>
    <n v="196.45594068817732"/>
    <n v="0"/>
    <n v="28504.54535"/>
    <n v="27171.494200000001"/>
    <n v="0"/>
    <n v="36323.579005620188"/>
    <n v="27251.385812560518"/>
  </r>
  <r>
    <s v="Regular"/>
    <x v="6"/>
    <x v="5"/>
    <x v="8"/>
    <x v="10"/>
    <x v="1"/>
    <x v="0"/>
    <x v="0"/>
    <x v="1"/>
    <n v="0"/>
    <n v="0"/>
    <n v="143.33799999999999"/>
    <n v="143.33799999999999"/>
    <n v="143.33799999999999"/>
    <n v="143.33799999999999"/>
    <n v="5"/>
    <x v="3"/>
    <n v="0"/>
    <n v="0"/>
    <n v="72"/>
    <n v="115"/>
    <n v="0"/>
    <n v="205.49"/>
    <n v="195.88"/>
    <m/>
    <n v="261.85761457391186"/>
    <n v="196.45594068817732"/>
    <n v="0"/>
    <n v="29454.52562"/>
    <n v="28077.047439999998"/>
    <n v="0"/>
    <n v="37534.146757795374"/>
    <n v="28159.60162636196"/>
  </r>
  <r>
    <s v="Regular"/>
    <x v="6"/>
    <x v="5"/>
    <x v="8"/>
    <x v="10"/>
    <x v="1"/>
    <x v="0"/>
    <x v="0"/>
    <x v="2"/>
    <n v="0"/>
    <n v="0"/>
    <n v="143.35599999999999"/>
    <n v="143.35599999999999"/>
    <n v="143.35599999999999"/>
    <n v="143.35599999999999"/>
    <n v="5"/>
    <x v="3"/>
    <n v="0"/>
    <n v="0"/>
    <n v="72"/>
    <n v="115"/>
    <n v="0"/>
    <n v="205.49"/>
    <n v="195.88"/>
    <m/>
    <n v="261.85761457391186"/>
    <n v="196.45594068817732"/>
    <n v="0"/>
    <n v="29458.224440000002"/>
    <n v="28080.573279999997"/>
    <n v="0"/>
    <n v="37538.860194857705"/>
    <n v="28163.137833294346"/>
  </r>
  <r>
    <s v="Regular"/>
    <x v="6"/>
    <x v="5"/>
    <x v="8"/>
    <x v="10"/>
    <x v="1"/>
    <x v="0"/>
    <x v="0"/>
    <x v="3"/>
    <n v="0"/>
    <n v="0"/>
    <n v="127.852"/>
    <n v="127.852"/>
    <n v="127.852"/>
    <n v="127.852"/>
    <n v="5"/>
    <x v="3"/>
    <n v="0"/>
    <n v="0"/>
    <n v="72"/>
    <n v="115"/>
    <n v="0"/>
    <n v="205.49"/>
    <n v="195.88"/>
    <m/>
    <n v="261.85761457391186"/>
    <n v="196.45594068817732"/>
    <n v="0"/>
    <n v="26272.307480000003"/>
    <n v="25043.64976"/>
    <n v="0"/>
    <n v="33479.019738503783"/>
    <n v="25117.284928864847"/>
  </r>
  <r>
    <s v="Regular"/>
    <x v="6"/>
    <x v="5"/>
    <x v="8"/>
    <x v="10"/>
    <x v="1"/>
    <x v="0"/>
    <x v="0"/>
    <x v="4"/>
    <n v="0"/>
    <n v="0"/>
    <n v="132.10499999999999"/>
    <n v="132.10499999999999"/>
    <n v="132.10499999999999"/>
    <n v="132.10499999999999"/>
    <n v="5"/>
    <x v="3"/>
    <n v="0"/>
    <n v="0"/>
    <n v="72"/>
    <n v="115"/>
    <n v="0"/>
    <n v="205.49"/>
    <n v="195.88"/>
    <m/>
    <n v="261.85761457391186"/>
    <n v="196.45594068817732"/>
    <n v="0"/>
    <n v="27146.256450000001"/>
    <n v="25876.727399999996"/>
    <n v="0"/>
    <n v="34592.700173286627"/>
    <n v="25952.812044611663"/>
  </r>
  <r>
    <s v="Regular"/>
    <x v="6"/>
    <x v="5"/>
    <x v="8"/>
    <x v="10"/>
    <x v="1"/>
    <x v="0"/>
    <x v="0"/>
    <x v="5"/>
    <n v="0"/>
    <n v="0"/>
    <n v="127.845"/>
    <n v="127.845"/>
    <n v="127.845"/>
    <n v="127.845"/>
    <n v="5"/>
    <x v="3"/>
    <n v="0"/>
    <n v="0"/>
    <n v="72"/>
    <n v="115"/>
    <n v="0"/>
    <n v="205.49"/>
    <n v="195.88"/>
    <m/>
    <n v="261.85761457391186"/>
    <n v="196.45594068817732"/>
    <n v="0"/>
    <n v="26270.869050000001"/>
    <n v="25042.278599999998"/>
    <n v="0"/>
    <n v="33477.186735201758"/>
    <n v="25115.909737280028"/>
  </r>
  <r>
    <s v="Regular"/>
    <x v="6"/>
    <x v="5"/>
    <x v="8"/>
    <x v="10"/>
    <x v="1"/>
    <x v="0"/>
    <x v="0"/>
    <x v="6"/>
    <n v="0"/>
    <n v="0"/>
    <n v="131.18299999999999"/>
    <n v="131.18299999999999"/>
    <n v="131.18299999999999"/>
    <n v="131.18299999999999"/>
    <n v="5"/>
    <x v="3"/>
    <n v="0"/>
    <n v="0"/>
    <n v="72"/>
    <n v="115"/>
    <n v="0"/>
    <n v="205.49"/>
    <n v="195.88"/>
    <m/>
    <n v="261.85761457391186"/>
    <n v="196.45594068817732"/>
    <n v="0"/>
    <n v="26956.794669999999"/>
    <n v="25696.126039999999"/>
    <n v="0"/>
    <n v="34351.267452649481"/>
    <n v="25771.679667297165"/>
  </r>
  <r>
    <s v="Regular"/>
    <x v="6"/>
    <x v="5"/>
    <x v="8"/>
    <x v="10"/>
    <x v="1"/>
    <x v="0"/>
    <x v="0"/>
    <x v="7"/>
    <n v="0"/>
    <n v="0"/>
    <n v="131.15299999999999"/>
    <n v="131.15299999999999"/>
    <n v="131.15299999999999"/>
    <n v="131.15299999999999"/>
    <n v="5"/>
    <x v="3"/>
    <n v="0"/>
    <n v="0"/>
    <n v="72"/>
    <n v="115"/>
    <n v="0"/>
    <n v="205.49"/>
    <n v="195.88"/>
    <m/>
    <n v="261.85761457391186"/>
    <n v="196.45594068817732"/>
    <n v="0"/>
    <n v="26950.629969999998"/>
    <n v="25690.249639999998"/>
    <n v="0"/>
    <n v="34343.411724212259"/>
    <n v="25765.785989076518"/>
  </r>
  <r>
    <s v="Regular"/>
    <x v="6"/>
    <x v="5"/>
    <x v="8"/>
    <x v="10"/>
    <x v="1"/>
    <x v="0"/>
    <x v="0"/>
    <x v="8"/>
    <n v="0"/>
    <n v="0"/>
    <n v="118.465"/>
    <n v="118.465"/>
    <n v="118.465"/>
    <n v="118.465"/>
    <n v="5"/>
    <x v="3"/>
    <n v="0"/>
    <n v="0"/>
    <n v="72"/>
    <n v="115"/>
    <n v="0"/>
    <n v="205.49"/>
    <n v="195.88"/>
    <m/>
    <n v="261.85761457391186"/>
    <n v="196.45594068817732"/>
    <n v="0"/>
    <n v="24343.372850000003"/>
    <n v="23204.924200000001"/>
    <n v="0"/>
    <n v="31020.962310498471"/>
    <n v="23273.153013624928"/>
  </r>
  <r>
    <s v="Regular"/>
    <x v="6"/>
    <x v="5"/>
    <x v="8"/>
    <x v="10"/>
    <x v="1"/>
    <x v="0"/>
    <x v="0"/>
    <x v="9"/>
    <n v="0"/>
    <n v="0"/>
    <n v="131.154"/>
    <n v="131.154"/>
    <n v="131.154"/>
    <n v="131.154"/>
    <n v="5"/>
    <x v="3"/>
    <n v="0"/>
    <n v="0"/>
    <n v="72"/>
    <n v="115"/>
    <n v="0"/>
    <n v="205.49"/>
    <n v="195.88"/>
    <m/>
    <n v="261.85761457391186"/>
    <n v="196.45594068817732"/>
    <n v="0"/>
    <n v="26950.835460000002"/>
    <n v="25690.445519999997"/>
    <n v="0"/>
    <n v="34343.673581826835"/>
    <n v="25765.982445017209"/>
  </r>
  <r>
    <s v="Regular"/>
    <x v="6"/>
    <x v="5"/>
    <x v="8"/>
    <x v="10"/>
    <x v="1"/>
    <x v="0"/>
    <x v="0"/>
    <x v="10"/>
    <n v="0"/>
    <n v="0"/>
    <n v="126.926"/>
    <n v="126.926"/>
    <n v="126.926"/>
    <n v="126.926"/>
    <n v="5"/>
    <x v="3"/>
    <n v="0"/>
    <n v="0"/>
    <n v="72"/>
    <n v="115"/>
    <n v="0"/>
    <n v="205.49"/>
    <n v="195.88"/>
    <m/>
    <n v="261.85761457391186"/>
    <n v="196.45594068817732"/>
    <n v="0"/>
    <n v="26082.023740000001"/>
    <n v="24862.264879999999"/>
    <n v="0"/>
    <n v="33236.539587408341"/>
    <n v="24935.366727787594"/>
  </r>
  <r>
    <s v="PROJETADO"/>
    <x v="6"/>
    <x v="5"/>
    <x v="8"/>
    <x v="10"/>
    <x v="1"/>
    <x v="0"/>
    <x v="0"/>
    <x v="11"/>
    <n v="0"/>
    <n v="0"/>
    <n v="126.926"/>
    <n v="126.926"/>
    <n v="126.926"/>
    <n v="126.926"/>
    <n v="5"/>
    <x v="3"/>
    <n v="0"/>
    <n v="0"/>
    <n v="72"/>
    <n v="115"/>
    <n v="0"/>
    <n v="205.49"/>
    <n v="195.88"/>
    <m/>
    <n v="261.85761457391186"/>
    <n v="196.45594068817732"/>
    <n v="0"/>
    <n v="26082.023740000001"/>
    <n v="24862.264879999999"/>
    <n v="0"/>
    <n v="33236.539587408341"/>
    <n v="24935.3667277875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s v="Regular"/>
    <x v="0"/>
    <x v="0"/>
    <x v="0"/>
    <x v="0"/>
    <x v="0"/>
    <x v="0"/>
    <x v="0"/>
    <x v="0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0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0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0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0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0"/>
    <n v="42635"/>
    <n v="42635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0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0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0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0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1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1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1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1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1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1"/>
    <n v="43360"/>
    <n v="4336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1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1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1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1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2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2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2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2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2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2"/>
    <n v="43721"/>
    <n v="43721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2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2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2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2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3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3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3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3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3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3"/>
    <n v="44057"/>
    <n v="44057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3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3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3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3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4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4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4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4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4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4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4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4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4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4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5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5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5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5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5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5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5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5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5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5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6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6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6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6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6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6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6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6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6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6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7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7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7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7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7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7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7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7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7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7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8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8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8"/>
    <n v="22004"/>
    <n v="22004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8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8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8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8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8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8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8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9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9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9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9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9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9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9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9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9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9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0"/>
    <x v="0"/>
    <x v="0"/>
    <x v="0"/>
    <x v="0"/>
    <x v="0"/>
    <x v="0"/>
    <x v="10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Regular"/>
    <x v="0"/>
    <x v="0"/>
    <x v="0"/>
    <x v="0"/>
    <x v="0"/>
    <x v="1"/>
    <x v="0"/>
    <x v="10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Regular"/>
    <x v="0"/>
    <x v="0"/>
    <x v="0"/>
    <x v="0"/>
    <x v="0"/>
    <x v="2"/>
    <x v="0"/>
    <x v="10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Regular"/>
    <x v="0"/>
    <x v="0"/>
    <x v="0"/>
    <x v="0"/>
    <x v="0"/>
    <x v="3"/>
    <x v="0"/>
    <x v="10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Regular"/>
    <x v="0"/>
    <x v="0"/>
    <x v="0"/>
    <x v="0"/>
    <x v="0"/>
    <x v="4"/>
    <x v="0"/>
    <x v="10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Regular"/>
    <x v="0"/>
    <x v="0"/>
    <x v="0"/>
    <x v="0"/>
    <x v="0"/>
    <x v="5"/>
    <x v="0"/>
    <x v="10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Regular"/>
    <x v="0"/>
    <x v="0"/>
    <x v="0"/>
    <x v="0"/>
    <x v="0"/>
    <x v="6"/>
    <x v="0"/>
    <x v="10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Regular"/>
    <x v="0"/>
    <x v="0"/>
    <x v="0"/>
    <x v="0"/>
    <x v="0"/>
    <x v="7"/>
    <x v="0"/>
    <x v="10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Regular"/>
    <x v="0"/>
    <x v="0"/>
    <x v="0"/>
    <x v="0"/>
    <x v="0"/>
    <x v="8"/>
    <x v="0"/>
    <x v="10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Regular"/>
    <x v="0"/>
    <x v="0"/>
    <x v="0"/>
    <x v="0"/>
    <x v="0"/>
    <x v="9"/>
    <x v="0"/>
    <x v="10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PROJETADO"/>
    <x v="0"/>
    <x v="0"/>
    <x v="0"/>
    <x v="0"/>
    <x v="0"/>
    <x v="0"/>
    <x v="0"/>
    <x v="11"/>
    <n v="1640"/>
    <n v="820"/>
    <n v="0"/>
    <n v="0"/>
    <n v="0"/>
    <n v="0"/>
    <n v="0"/>
    <s v="GERAÇÃO"/>
    <n v="104"/>
    <n v="5"/>
    <n v="0"/>
    <n v="0"/>
    <n v="5.0999999999999996"/>
    <n v="0"/>
    <n v="0"/>
    <n v="5.3518194800799535"/>
    <m/>
    <m/>
    <n v="4182"/>
    <n v="0"/>
    <n v="4388.491973665562"/>
    <n v="0"/>
    <x v="0"/>
  </r>
  <r>
    <s v="PROJETADO"/>
    <x v="0"/>
    <x v="0"/>
    <x v="0"/>
    <x v="0"/>
    <x v="0"/>
    <x v="1"/>
    <x v="0"/>
    <x v="11"/>
    <n v="39500"/>
    <n v="24307.692490000001"/>
    <n v="0"/>
    <n v="0"/>
    <n v="0"/>
    <n v="0"/>
    <n v="0"/>
    <s v="GERAÇÃO"/>
    <n v="215"/>
    <n v="6"/>
    <n v="0"/>
    <n v="0"/>
    <n v="3.94"/>
    <n v="0"/>
    <n v="0"/>
    <n v="4.1263435550319665"/>
    <m/>
    <m/>
    <n v="59857.691589399998"/>
    <n v="0"/>
    <n v="62688.680179952236"/>
    <n v="0"/>
    <x v="0"/>
  </r>
  <r>
    <s v="PROJETADO"/>
    <x v="0"/>
    <x v="0"/>
    <x v="0"/>
    <x v="0"/>
    <x v="0"/>
    <x v="2"/>
    <x v="0"/>
    <x v="11"/>
    <n v="22000"/>
    <n v="22000"/>
    <n v="0"/>
    <n v="0"/>
    <n v="0"/>
    <n v="0"/>
    <n v="0"/>
    <s v="GERAÇÃO"/>
    <n v="473"/>
    <n v="7"/>
    <n v="0"/>
    <n v="0"/>
    <n v="5.69"/>
    <n v="0"/>
    <n v="0"/>
    <n v="5.9725875575970218"/>
    <m/>
    <m/>
    <n v="0"/>
    <n v="0"/>
    <n v="0"/>
    <n v="0"/>
    <x v="0"/>
  </r>
  <r>
    <s v="PROJETADO"/>
    <x v="0"/>
    <x v="0"/>
    <x v="0"/>
    <x v="0"/>
    <x v="0"/>
    <x v="3"/>
    <x v="0"/>
    <x v="11"/>
    <n v="16500"/>
    <n v="0"/>
    <n v="0"/>
    <n v="0"/>
    <n v="0"/>
    <n v="0"/>
    <n v="0"/>
    <s v="GERAÇÃO"/>
    <n v="1047"/>
    <n v="8"/>
    <n v="0"/>
    <n v="0"/>
    <n v="5.41"/>
    <n v="0"/>
    <n v="0"/>
    <n v="5.6770468963496468"/>
    <m/>
    <m/>
    <n v="89265"/>
    <n v="0"/>
    <n v="93671.27378976917"/>
    <n v="0"/>
    <x v="0"/>
  </r>
  <r>
    <s v="PROJETADO"/>
    <x v="0"/>
    <x v="0"/>
    <x v="0"/>
    <x v="0"/>
    <x v="0"/>
    <x v="4"/>
    <x v="0"/>
    <x v="11"/>
    <n v="5320"/>
    <n v="2660"/>
    <n v="0"/>
    <n v="0"/>
    <n v="0"/>
    <n v="0"/>
    <n v="0"/>
    <s v="GERAÇÃO"/>
    <n v="1078"/>
    <n v="9"/>
    <n v="0"/>
    <n v="0"/>
    <n v="5.0999999999999996"/>
    <n v="0"/>
    <n v="0"/>
    <n v="5.3518194800799535"/>
    <m/>
    <m/>
    <n v="13565.999999999998"/>
    <n v="0"/>
    <n v="14235.839817012677"/>
    <n v="0"/>
    <x v="0"/>
  </r>
  <r>
    <s v="PROJETADO"/>
    <x v="0"/>
    <x v="0"/>
    <x v="0"/>
    <x v="0"/>
    <x v="0"/>
    <x v="5"/>
    <x v="0"/>
    <x v="11"/>
    <n v="42500"/>
    <n v="42500"/>
    <n v="0"/>
    <n v="0"/>
    <n v="0"/>
    <n v="0"/>
    <n v="0"/>
    <s v="GERAÇÃO"/>
    <n v="1276"/>
    <n v="10"/>
    <n v="0"/>
    <n v="0"/>
    <n v="5.0999999999999996"/>
    <n v="0"/>
    <n v="0"/>
    <n v="5.3518194800799535"/>
    <m/>
    <m/>
    <n v="0"/>
    <n v="0"/>
    <n v="0"/>
    <n v="0"/>
    <x v="0"/>
  </r>
  <r>
    <s v="PROJETADO"/>
    <x v="0"/>
    <x v="0"/>
    <x v="0"/>
    <x v="0"/>
    <x v="0"/>
    <x v="6"/>
    <x v="0"/>
    <x v="11"/>
    <n v="24400"/>
    <n v="12200"/>
    <n v="0"/>
    <n v="0"/>
    <n v="0"/>
    <n v="0"/>
    <n v="0"/>
    <s v="GERAÇÃO"/>
    <n v="27532"/>
    <n v="11"/>
    <n v="0"/>
    <n v="0"/>
    <n v="4.63"/>
    <n v="0"/>
    <n v="0"/>
    <n v="4.8520321276355665"/>
    <m/>
    <m/>
    <n v="56486"/>
    <n v="0"/>
    <n v="59194.79195715391"/>
    <n v="0"/>
    <x v="0"/>
  </r>
  <r>
    <s v="PROJETADO"/>
    <x v="0"/>
    <x v="0"/>
    <x v="0"/>
    <x v="0"/>
    <x v="0"/>
    <x v="7"/>
    <x v="0"/>
    <x v="11"/>
    <n v="25000"/>
    <n v="0"/>
    <n v="0"/>
    <n v="0"/>
    <n v="0"/>
    <n v="0"/>
    <n v="0"/>
    <s v="GERAÇÃO"/>
    <n v="27534"/>
    <n v="12"/>
    <n v="0"/>
    <n v="0"/>
    <n v="5.58"/>
    <n v="0"/>
    <n v="0"/>
    <n v="5.8629912082928266"/>
    <m/>
    <m/>
    <n v="139500"/>
    <n v="0"/>
    <n v="146574.78020732067"/>
    <n v="0"/>
    <x v="0"/>
  </r>
  <r>
    <s v="PROJETADO"/>
    <x v="0"/>
    <x v="0"/>
    <x v="0"/>
    <x v="0"/>
    <x v="0"/>
    <x v="8"/>
    <x v="0"/>
    <x v="11"/>
    <n v="12600"/>
    <n v="0"/>
    <n v="0"/>
    <n v="0"/>
    <n v="0"/>
    <n v="0"/>
    <n v="0"/>
    <s v="GERAÇÃO"/>
    <n v="27727"/>
    <n v="13"/>
    <n v="0"/>
    <n v="0"/>
    <n v="5.37"/>
    <n v="0"/>
    <n v="0"/>
    <n v="5.6347568020490248"/>
    <m/>
    <m/>
    <n v="67662"/>
    <n v="0"/>
    <n v="70997.935705817712"/>
    <n v="0"/>
    <x v="0"/>
  </r>
  <r>
    <s v="PROJETADO"/>
    <x v="0"/>
    <x v="0"/>
    <x v="0"/>
    <x v="0"/>
    <x v="0"/>
    <x v="9"/>
    <x v="0"/>
    <x v="11"/>
    <n v="8100"/>
    <n v="4050"/>
    <n v="0"/>
    <n v="0"/>
    <n v="0"/>
    <n v="0"/>
    <n v="0"/>
    <s v="GERAÇÃO"/>
    <n v="30597"/>
    <n v="14"/>
    <n v="0"/>
    <n v="0"/>
    <n v="5.04"/>
    <n v="0"/>
    <n v="0"/>
    <n v="5.2832968914996057"/>
    <m/>
    <m/>
    <n v="20412"/>
    <n v="0"/>
    <n v="21397.352410573403"/>
    <n v="0"/>
    <x v="0"/>
  </r>
  <r>
    <s v="Regular"/>
    <x v="1"/>
    <x v="0"/>
    <x v="0"/>
    <x v="0"/>
    <x v="0"/>
    <x v="10"/>
    <x v="0"/>
    <x v="0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0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0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0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0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1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1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1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1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1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2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2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2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2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2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3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3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3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3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3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4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4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4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4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4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5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5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5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5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5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6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6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6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6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6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7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7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7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7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7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8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8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8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8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8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9"/>
    <n v="13720"/>
    <n v="6860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2931.20000000001"/>
    <n v="0"/>
    <n v="144251.92493664689"/>
    <n v="0"/>
    <x v="0"/>
  </r>
  <r>
    <s v="Regular"/>
    <x v="1"/>
    <x v="0"/>
    <x v="0"/>
    <x v="0"/>
    <x v="0"/>
    <x v="11"/>
    <x v="0"/>
    <x v="9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9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9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9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1"/>
    <x v="0"/>
    <x v="0"/>
    <x v="0"/>
    <x v="0"/>
    <x v="10"/>
    <x v="0"/>
    <x v="10"/>
    <n v="13759"/>
    <n v="6879.5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3280.64000000001"/>
    <n v="0"/>
    <n v="144661.97049586914"/>
    <n v="0"/>
    <x v="0"/>
  </r>
  <r>
    <s v="Regular"/>
    <x v="1"/>
    <x v="0"/>
    <x v="0"/>
    <x v="0"/>
    <x v="0"/>
    <x v="11"/>
    <x v="0"/>
    <x v="10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Regular"/>
    <x v="1"/>
    <x v="0"/>
    <x v="0"/>
    <x v="0"/>
    <x v="0"/>
    <x v="12"/>
    <x v="0"/>
    <x v="10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Regular"/>
    <x v="1"/>
    <x v="0"/>
    <x v="0"/>
    <x v="0"/>
    <x v="0"/>
    <x v="13"/>
    <x v="0"/>
    <x v="10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Regular"/>
    <x v="1"/>
    <x v="0"/>
    <x v="0"/>
    <x v="0"/>
    <x v="0"/>
    <x v="14"/>
    <x v="0"/>
    <x v="10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PROJETADO"/>
    <x v="1"/>
    <x v="0"/>
    <x v="0"/>
    <x v="0"/>
    <x v="0"/>
    <x v="10"/>
    <x v="0"/>
    <x v="11"/>
    <n v="13759"/>
    <n v="6879.5"/>
    <n v="0"/>
    <n v="0"/>
    <n v="0"/>
    <n v="0"/>
    <n v="0"/>
    <s v="GERAÇÃO"/>
    <n v="1034"/>
    <n v="20"/>
    <n v="0"/>
    <n v="0"/>
    <n v="17.920000000000002"/>
    <n v="0"/>
    <n v="0"/>
    <n v="21.027977396012666"/>
    <m/>
    <m/>
    <n v="123280.64000000001"/>
    <n v="0"/>
    <n v="144661.97049586914"/>
    <n v="0"/>
    <x v="0"/>
  </r>
  <r>
    <s v="PROJETADO"/>
    <x v="1"/>
    <x v="0"/>
    <x v="0"/>
    <x v="0"/>
    <x v="0"/>
    <x v="11"/>
    <x v="0"/>
    <x v="11"/>
    <n v="6970"/>
    <n v="6970"/>
    <n v="0"/>
    <n v="0"/>
    <n v="0"/>
    <n v="0"/>
    <n v="0"/>
    <s v="GERAÇÃO"/>
    <n v="27034"/>
    <n v="20"/>
    <n v="0"/>
    <n v="0"/>
    <n v="17.920000000000002"/>
    <n v="0"/>
    <n v="0"/>
    <n v="21.027977396012666"/>
    <m/>
    <m/>
    <n v="0"/>
    <n v="0"/>
    <n v="0"/>
    <n v="0"/>
    <x v="0"/>
  </r>
  <r>
    <s v="PROJETADO"/>
    <x v="1"/>
    <x v="0"/>
    <x v="0"/>
    <x v="0"/>
    <x v="0"/>
    <x v="12"/>
    <x v="0"/>
    <x v="11"/>
    <n v="9600"/>
    <n v="0"/>
    <n v="0"/>
    <n v="0"/>
    <n v="0"/>
    <n v="0"/>
    <n v="0"/>
    <s v="GERAÇÃO"/>
    <n v="27207"/>
    <n v="20"/>
    <n v="0"/>
    <n v="0"/>
    <n v="17.920000000000002"/>
    <n v="0"/>
    <n v="0"/>
    <n v="21.027977396012666"/>
    <m/>
    <m/>
    <n v="172032.00000000003"/>
    <n v="0"/>
    <n v="201868.58300172159"/>
    <n v="0"/>
    <x v="0"/>
  </r>
  <r>
    <s v="PROJETADO"/>
    <x v="1"/>
    <x v="0"/>
    <x v="0"/>
    <x v="0"/>
    <x v="0"/>
    <x v="13"/>
    <x v="0"/>
    <x v="11"/>
    <n v="19500"/>
    <n v="9750"/>
    <n v="0"/>
    <n v="0"/>
    <n v="0"/>
    <n v="0"/>
    <n v="0"/>
    <s v="GERAÇÃO"/>
    <n v="27722"/>
    <n v="20"/>
    <n v="0"/>
    <n v="0"/>
    <n v="17.920000000000002"/>
    <n v="0"/>
    <n v="0"/>
    <n v="21.027977396012666"/>
    <m/>
    <m/>
    <n v="174720.00000000003"/>
    <n v="0"/>
    <n v="205022.77961112349"/>
    <n v="0"/>
    <x v="0"/>
  </r>
  <r>
    <s v="PROJETADO"/>
    <x v="1"/>
    <x v="0"/>
    <x v="0"/>
    <x v="0"/>
    <x v="0"/>
    <x v="14"/>
    <x v="0"/>
    <x v="11"/>
    <n v="22400"/>
    <n v="0"/>
    <n v="0"/>
    <n v="0"/>
    <n v="0"/>
    <n v="0"/>
    <n v="0"/>
    <s v="GERAÇÃO"/>
    <n v="27958"/>
    <n v="20"/>
    <n v="0"/>
    <n v="0"/>
    <n v="17.920000000000002"/>
    <n v="0"/>
    <n v="0"/>
    <n v="21.027977396012666"/>
    <m/>
    <m/>
    <n v="401408.00000000006"/>
    <n v="0"/>
    <n v="471026.69367068372"/>
    <n v="0"/>
    <x v="0"/>
  </r>
  <r>
    <s v="Regular"/>
    <x v="2"/>
    <x v="1"/>
    <x v="1"/>
    <x v="0"/>
    <x v="1"/>
    <x v="15"/>
    <x v="1"/>
    <x v="0"/>
    <n v="17603"/>
    <n v="13280.13394541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10276.31305259091"/>
    <n v="0"/>
    <n v="128835.53035643323"/>
    <n v="0"/>
    <x v="1"/>
  </r>
  <r>
    <s v="Regular"/>
    <x v="2"/>
    <x v="1"/>
    <x v="1"/>
    <x v="0"/>
    <x v="1"/>
    <x v="15"/>
    <x v="1"/>
    <x v="1"/>
    <n v="17628"/>
    <n v="12203.516247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38378.58053903002"/>
    <n v="0"/>
    <n v="161667.33653141005"/>
    <n v="0"/>
    <x v="1"/>
  </r>
  <r>
    <s v="Regular"/>
    <x v="2"/>
    <x v="1"/>
    <x v="1"/>
    <x v="0"/>
    <x v="1"/>
    <x v="15"/>
    <x v="1"/>
    <x v="2"/>
    <n v="12595"/>
    <n v="5669.6795540000003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76664.92457746001"/>
    <n v="0"/>
    <n v="206397.17291293299"/>
    <n v="0"/>
    <x v="1"/>
  </r>
  <r>
    <s v="Regular"/>
    <x v="2"/>
    <x v="1"/>
    <x v="1"/>
    <x v="0"/>
    <x v="1"/>
    <x v="15"/>
    <x v="1"/>
    <x v="3"/>
    <n v="13569"/>
    <n v="6160.3053751199996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8995.79988068884"/>
    <n v="0"/>
    <n v="220803.30252929855"/>
    <n v="0"/>
    <x v="1"/>
  </r>
  <r>
    <s v="Regular"/>
    <x v="2"/>
    <x v="1"/>
    <x v="1"/>
    <x v="0"/>
    <x v="1"/>
    <x v="15"/>
    <x v="1"/>
    <x v="4"/>
    <n v="13596"/>
    <n v="6266.9120962799998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6965.03242389721"/>
    <n v="0"/>
    <n v="218430.76217966282"/>
    <n v="0"/>
    <x v="1"/>
  </r>
  <r>
    <s v="Regular"/>
    <x v="2"/>
    <x v="1"/>
    <x v="1"/>
    <x v="0"/>
    <x v="1"/>
    <x v="15"/>
    <x v="1"/>
    <x v="5"/>
    <n v="13629"/>
    <n v="6256.2838268699998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8077.98957654633"/>
    <n v="0"/>
    <n v="219731.02713281874"/>
    <n v="0"/>
    <x v="1"/>
  </r>
  <r>
    <s v="Regular"/>
    <x v="2"/>
    <x v="1"/>
    <x v="1"/>
    <x v="0"/>
    <x v="1"/>
    <x v="15"/>
    <x v="1"/>
    <x v="6"/>
    <n v="13627"/>
    <n v="6244.4569204999998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8328.67395804502"/>
    <n v="0"/>
    <n v="220023.90104516162"/>
    <n v="0"/>
    <x v="1"/>
  </r>
  <r>
    <s v="Regular"/>
    <x v="2"/>
    <x v="1"/>
    <x v="1"/>
    <x v="0"/>
    <x v="1"/>
    <x v="15"/>
    <x v="1"/>
    <x v="7"/>
    <n v="13958"/>
    <n v="6426.2320736600004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92135.3998009334"/>
    <n v="0"/>
    <n v="224471.2889684065"/>
    <n v="0"/>
    <x v="1"/>
  </r>
  <r>
    <s v="Regular"/>
    <x v="2"/>
    <x v="1"/>
    <x v="1"/>
    <x v="0"/>
    <x v="1"/>
    <x v="15"/>
    <x v="1"/>
    <x v="8"/>
    <n v="13082"/>
    <n v="5997.7436551800001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0719.3793563582"/>
    <n v="0"/>
    <n v="211133.9819092259"/>
    <n v="0"/>
    <x v="1"/>
  </r>
  <r>
    <s v="Regular"/>
    <x v="2"/>
    <x v="1"/>
    <x v="1"/>
    <x v="0"/>
    <x v="1"/>
    <x v="15"/>
    <x v="1"/>
    <x v="9"/>
    <n v="13062"/>
    <n v="5945.0991570599999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1552.14050339942"/>
    <n v="0"/>
    <n v="212106.89459617907"/>
    <n v="0"/>
    <x v="1"/>
  </r>
  <r>
    <s v="Regular"/>
    <x v="2"/>
    <x v="1"/>
    <x v="1"/>
    <x v="0"/>
    <x v="1"/>
    <x v="15"/>
    <x v="1"/>
    <x v="10"/>
    <n v="13066"/>
    <n v="5928.49876614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2077.6564757686"/>
    <n v="0"/>
    <n v="212720.85354290839"/>
    <n v="0"/>
    <x v="1"/>
  </r>
  <r>
    <s v="PROJETADO"/>
    <x v="2"/>
    <x v="1"/>
    <x v="1"/>
    <x v="0"/>
    <x v="1"/>
    <x v="15"/>
    <x v="1"/>
    <x v="11"/>
    <n v="13066"/>
    <n v="5928.49876614"/>
    <n v="0"/>
    <n v="0"/>
    <n v="0"/>
    <n v="0"/>
    <n v="0"/>
    <s v="LIVRE"/>
    <n v="0"/>
    <n v="22"/>
    <n v="0"/>
    <n v="0"/>
    <n v="25.51"/>
    <n v="0"/>
    <n v="0"/>
    <n v="29.803266797877356"/>
    <n v="137.25956288333876"/>
    <m/>
    <n v="182077.6564757686"/>
    <n v="0"/>
    <n v="212720.85354290839"/>
    <n v="0"/>
    <x v="1"/>
  </r>
  <r>
    <s v="Regular"/>
    <x v="2"/>
    <x v="1"/>
    <x v="1"/>
    <x v="0"/>
    <x v="1"/>
    <x v="15"/>
    <x v="0"/>
    <x v="0"/>
    <n v="0"/>
    <n v="0"/>
    <n v="6518.7150000000001"/>
    <n v="6518.7150000000001"/>
    <n v="0"/>
    <n v="0"/>
    <n v="17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1"/>
    <n v="0"/>
    <n v="0"/>
    <n v="6026.5969999999998"/>
    <n v="6026.5969999999998"/>
    <n v="0"/>
    <n v="0"/>
    <n v="17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2"/>
    <n v="0"/>
    <n v="0"/>
    <n v="4247.6530000000002"/>
    <n v="4247.6530000000002"/>
    <n v="0"/>
    <n v="0"/>
    <n v="18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3"/>
    <n v="0"/>
    <n v="0"/>
    <n v="4578.7550000000001"/>
    <n v="4578.7550000000001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4"/>
    <n v="0"/>
    <n v="0"/>
    <n v="4108.3670000000002"/>
    <n v="4108.3670000000002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5"/>
    <n v="0"/>
    <n v="0"/>
    <n v="4393.1260000000002"/>
    <n v="4393.1260000000002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6"/>
    <n v="0"/>
    <n v="0"/>
    <n v="4351.4920000000002"/>
    <n v="4351.4920000000002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7"/>
    <n v="0"/>
    <n v="0"/>
    <n v="4381.7139999999999"/>
    <n v="4381.7139999999999"/>
    <n v="0"/>
    <n v="0"/>
    <n v="23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8"/>
    <n v="0"/>
    <n v="0"/>
    <n v="4082.529"/>
    <n v="4082.529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9"/>
    <n v="0"/>
    <n v="0"/>
    <n v="3441.7910000000002"/>
    <n v="3441.7910000000002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0"/>
    <x v="10"/>
    <n v="0"/>
    <n v="0"/>
    <n v="3776.21"/>
    <n v="3776.21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PROJETADO"/>
    <x v="2"/>
    <x v="1"/>
    <x v="1"/>
    <x v="0"/>
    <x v="1"/>
    <x v="15"/>
    <x v="0"/>
    <x v="11"/>
    <n v="0"/>
    <n v="0"/>
    <n v="3776.21"/>
    <n v="3776.21"/>
    <n v="0"/>
    <n v="0"/>
    <n v="22"/>
    <s v="LIVRE"/>
    <n v="0"/>
    <n v="0"/>
    <n v="23"/>
    <n v="0"/>
    <n v="0"/>
    <n v="88.66"/>
    <n v="0"/>
    <m/>
    <n v="137.25956288333876"/>
    <m/>
    <n v="0"/>
    <n v="0"/>
    <n v="0"/>
    <n v="0"/>
    <x v="1"/>
  </r>
  <r>
    <s v="Regular"/>
    <x v="2"/>
    <x v="1"/>
    <x v="1"/>
    <x v="0"/>
    <x v="1"/>
    <x v="15"/>
    <x v="2"/>
    <x v="0"/>
    <n v="15564"/>
    <n v="12065.4867264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229502.47074815995"/>
    <n v="0"/>
    <n v="263815.26950839197"/>
    <n v="0"/>
    <x v="1"/>
  </r>
  <r>
    <s v="Regular"/>
    <x v="2"/>
    <x v="1"/>
    <x v="1"/>
    <x v="0"/>
    <x v="1"/>
    <x v="15"/>
    <x v="2"/>
    <x v="1"/>
    <n v="15573"/>
    <n v="10961.54893545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02511.18983447994"/>
    <n v="0"/>
    <n v="347739.48539779504"/>
    <n v="0"/>
    <x v="1"/>
  </r>
  <r>
    <s v="Regular"/>
    <x v="2"/>
    <x v="1"/>
    <x v="1"/>
    <x v="0"/>
    <x v="1"/>
    <x v="15"/>
    <x v="2"/>
    <x v="2"/>
    <n v="9884"/>
    <n v="4311.5132799200001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65555.12883724796"/>
    <n v="0"/>
    <n v="420209.09195439122"/>
    <n v="0"/>
    <x v="1"/>
  </r>
  <r>
    <s v="Regular"/>
    <x v="2"/>
    <x v="1"/>
    <x v="1"/>
    <x v="0"/>
    <x v="1"/>
    <x v="15"/>
    <x v="2"/>
    <x v="3"/>
    <n v="10458"/>
    <n v="4597.34642136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84458.87475878396"/>
    <n v="0"/>
    <n v="441939.12740346784"/>
    <n v="0"/>
    <x v="1"/>
  </r>
  <r>
    <s v="Regular"/>
    <x v="2"/>
    <x v="1"/>
    <x v="1"/>
    <x v="0"/>
    <x v="1"/>
    <x v="15"/>
    <x v="2"/>
    <x v="4"/>
    <n v="10721"/>
    <n v="4798.28304088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88530.23251827195"/>
    <n v="0"/>
    <n v="446619.19181010785"/>
    <n v="0"/>
    <x v="1"/>
  </r>
  <r>
    <s v="Regular"/>
    <x v="2"/>
    <x v="1"/>
    <x v="1"/>
    <x v="0"/>
    <x v="1"/>
    <x v="15"/>
    <x v="2"/>
    <x v="5"/>
    <n v="10820"/>
    <n v="4835.0066978000004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92615.56062431994"/>
    <n v="0"/>
    <n v="451315.31526278268"/>
    <n v="0"/>
    <x v="1"/>
  </r>
  <r>
    <s v="Regular"/>
    <x v="2"/>
    <x v="1"/>
    <x v="1"/>
    <x v="0"/>
    <x v="1"/>
    <x v="15"/>
    <x v="2"/>
    <x v="6"/>
    <n v="10902"/>
    <n v="4865.8107295199998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95974.016143488"/>
    <n v="0"/>
    <n v="455175.89177436853"/>
    <n v="0"/>
    <x v="1"/>
  </r>
  <r>
    <s v="Regular"/>
    <x v="2"/>
    <x v="1"/>
    <x v="1"/>
    <x v="0"/>
    <x v="1"/>
    <x v="15"/>
    <x v="2"/>
    <x v="7"/>
    <n v="11175"/>
    <n v="5019.2626485000001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403816.37025839998"/>
    <n v="0"/>
    <n v="464190.75230140856"/>
    <n v="0"/>
    <x v="1"/>
  </r>
  <r>
    <s v="Regular"/>
    <x v="2"/>
    <x v="1"/>
    <x v="1"/>
    <x v="0"/>
    <x v="1"/>
    <x v="15"/>
    <x v="2"/>
    <x v="8"/>
    <n v="10471"/>
    <n v="4674.6753342000002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80238.89807647996"/>
    <n v="0"/>
    <n v="437088.2241337474"/>
    <n v="0"/>
    <x v="1"/>
  </r>
  <r>
    <s v="Regular"/>
    <x v="2"/>
    <x v="1"/>
    <x v="1"/>
    <x v="0"/>
    <x v="1"/>
    <x v="15"/>
    <x v="2"/>
    <x v="9"/>
    <n v="10488"/>
    <n v="4650.2599514399999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82955.74718553596"/>
    <n v="0"/>
    <n v="440211.26798413694"/>
    <n v="0"/>
    <x v="1"/>
  </r>
  <r>
    <s v="Regular"/>
    <x v="2"/>
    <x v="1"/>
    <x v="1"/>
    <x v="0"/>
    <x v="1"/>
    <x v="15"/>
    <x v="2"/>
    <x v="10"/>
    <n v="10467"/>
    <n v="4623.80729832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83313.44123020797"/>
    <n v="0"/>
    <n v="440622.44068519358"/>
    <n v="0"/>
    <x v="1"/>
  </r>
  <r>
    <s v="PROJETADO"/>
    <x v="2"/>
    <x v="1"/>
    <x v="1"/>
    <x v="0"/>
    <x v="1"/>
    <x v="15"/>
    <x v="2"/>
    <x v="11"/>
    <n v="10467"/>
    <n v="4623.80729832"/>
    <n v="0"/>
    <n v="0"/>
    <n v="0"/>
    <n v="0"/>
    <n v="0"/>
    <s v="LIVRE"/>
    <n v="0"/>
    <n v="21"/>
    <n v="0"/>
    <n v="0"/>
    <n v="65.599999999999994"/>
    <n v="0"/>
    <n v="0"/>
    <n v="75.407822945580492"/>
    <n v="137.25956288333876"/>
    <m/>
    <n v="383313.44123020797"/>
    <n v="0"/>
    <n v="440622.44068519358"/>
    <n v="0"/>
    <x v="1"/>
  </r>
  <r>
    <s v="Regular"/>
    <x v="2"/>
    <x v="1"/>
    <x v="2"/>
    <x v="0"/>
    <x v="0"/>
    <x v="15"/>
    <x v="1"/>
    <x v="0"/>
    <n v="105"/>
    <n v="100.8"/>
    <n v="28.38"/>
    <n v="27.244800000000001"/>
    <n v="28.38"/>
    <n v="27.244800000000001"/>
    <n v="0"/>
    <s v="CATIVO"/>
    <n v="0"/>
    <n v="22"/>
    <n v="23"/>
    <n v="79"/>
    <n v="25.51"/>
    <n v="88.66"/>
    <n v="311.04000000000002"/>
    <n v="29.803266797877356"/>
    <n v="137.25956288333876"/>
    <n v="311.14842517571947"/>
    <n v="107.14200000000008"/>
    <n v="453.73943999999904"/>
    <n v="125.17372055108498"/>
    <n v="509.03274804464183"/>
    <x v="2"/>
  </r>
  <r>
    <s v="Regular"/>
    <x v="2"/>
    <x v="1"/>
    <x v="2"/>
    <x v="0"/>
    <x v="0"/>
    <x v="15"/>
    <x v="1"/>
    <x v="1"/>
    <n v="115"/>
    <n v="110.4"/>
    <n v="35.97"/>
    <n v="34.531199999999998"/>
    <n v="35.97"/>
    <n v="34.531199999999998"/>
    <n v="0"/>
    <s v="CATIVO"/>
    <n v="0"/>
    <n v="22"/>
    <n v="23"/>
    <n v="79"/>
    <n v="25.51"/>
    <n v="88.66"/>
    <n v="311.04000000000002"/>
    <n v="29.803266797877356"/>
    <n v="137.25956288333876"/>
    <n v="311.14842517571947"/>
    <n v="117.34599999999986"/>
    <n v="575.08836000000019"/>
    <n v="137.09502727023568"/>
    <n v="645.16941321937315"/>
    <x v="2"/>
  </r>
  <r>
    <s v="Regular"/>
    <x v="2"/>
    <x v="1"/>
    <x v="2"/>
    <x v="0"/>
    <x v="0"/>
    <x v="15"/>
    <x v="1"/>
    <x v="2"/>
    <n v="119"/>
    <n v="114.24"/>
    <n v="34.65"/>
    <n v="33.264000000000003"/>
    <n v="34.65"/>
    <n v="33.264000000000003"/>
    <n v="0"/>
    <s v="CATIVO"/>
    <n v="0"/>
    <n v="22"/>
    <n v="23"/>
    <n v="79"/>
    <n v="25.51"/>
    <n v="88.66"/>
    <n v="311.04000000000002"/>
    <n v="29.803266797877356"/>
    <n v="137.25956288333876"/>
    <n v="311.14842517571947"/>
    <n v="121.42760000000014"/>
    <n v="553.98419999999828"/>
    <n v="141.86354995789637"/>
    <n v="621.49347144985279"/>
    <x v="2"/>
  </r>
  <r>
    <s v="Regular"/>
    <x v="2"/>
    <x v="1"/>
    <x v="2"/>
    <x v="0"/>
    <x v="0"/>
    <x v="15"/>
    <x v="1"/>
    <x v="3"/>
    <n v="124"/>
    <n v="119.04"/>
    <n v="31.79"/>
    <n v="30.5184"/>
    <n v="31.79"/>
    <n v="30.5184"/>
    <n v="0"/>
    <s v="CATIVO"/>
    <n v="0"/>
    <n v="22"/>
    <n v="23"/>
    <n v="79"/>
    <n v="25.51"/>
    <n v="88.66"/>
    <n v="311.04000000000002"/>
    <n v="29.803266797877356"/>
    <n v="137.25956288333876"/>
    <n v="311.14842517571947"/>
    <n v="126.52959999999985"/>
    <n v="508.25851999999975"/>
    <n v="147.8242033174715"/>
    <n v="570.19559761589812"/>
    <x v="2"/>
  </r>
  <r>
    <s v="Regular"/>
    <x v="2"/>
    <x v="1"/>
    <x v="2"/>
    <x v="0"/>
    <x v="0"/>
    <x v="15"/>
    <x v="1"/>
    <x v="4"/>
    <n v="133"/>
    <n v="127.68"/>
    <n v="31.35"/>
    <n v="30.096"/>
    <n v="31.35"/>
    <n v="30.096"/>
    <n v="0"/>
    <s v="CATIVO"/>
    <n v="0"/>
    <n v="22"/>
    <n v="23"/>
    <n v="79"/>
    <n v="25.51"/>
    <n v="88.66"/>
    <n v="311.04000000000002"/>
    <n v="29.803266797877356"/>
    <n v="137.25956288333876"/>
    <n v="311.14842517571947"/>
    <n v="135.71319999999983"/>
    <n v="501.22380000000055"/>
    <n v="158.55337936470733"/>
    <n v="562.30361702605967"/>
    <x v="2"/>
  </r>
  <r>
    <s v="Regular"/>
    <x v="2"/>
    <x v="1"/>
    <x v="2"/>
    <x v="0"/>
    <x v="0"/>
    <x v="15"/>
    <x v="1"/>
    <x v="5"/>
    <n v="13"/>
    <n v="12.48"/>
    <n v="31.02"/>
    <n v="29.779199999999999"/>
    <n v="31.02"/>
    <n v="29.779199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13.265199999999989"/>
    <n v="495.94776000000013"/>
    <n v="15.497698734896213"/>
    <n v="556.38463158367949"/>
    <x v="2"/>
  </r>
  <r>
    <s v="Regular"/>
    <x v="2"/>
    <x v="1"/>
    <x v="2"/>
    <x v="0"/>
    <x v="0"/>
    <x v="15"/>
    <x v="1"/>
    <x v="6"/>
    <n v="13"/>
    <n v="12.48"/>
    <n v="30.69"/>
    <n v="29.462399999999999"/>
    <n v="30.69"/>
    <n v="29.462399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13.265199999999989"/>
    <n v="490.67172000000096"/>
    <n v="15.497698734896213"/>
    <n v="550.46564614130102"/>
    <x v="2"/>
  </r>
  <r>
    <s v="Regular"/>
    <x v="2"/>
    <x v="1"/>
    <x v="2"/>
    <x v="0"/>
    <x v="0"/>
    <x v="15"/>
    <x v="1"/>
    <x v="7"/>
    <n v="13"/>
    <n v="12.48"/>
    <n v="30.672000000000001"/>
    <n v="29.445119999999999"/>
    <n v="30.672000000000001"/>
    <n v="29.445119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13.265199999999989"/>
    <n v="490.38393600000052"/>
    <n v="15.497698734896213"/>
    <n v="550.14279238989798"/>
    <x v="2"/>
  </r>
  <r>
    <s v="Regular"/>
    <x v="2"/>
    <x v="1"/>
    <x v="2"/>
    <x v="0"/>
    <x v="0"/>
    <x v="15"/>
    <x v="1"/>
    <x v="8"/>
    <n v="13"/>
    <n v="12.48"/>
    <n v="31.605"/>
    <n v="30.340800000000002"/>
    <n v="31.605"/>
    <n v="30.340800000000002"/>
    <n v="0"/>
    <s v="CATIVO"/>
    <n v="0"/>
    <n v="22"/>
    <n v="23"/>
    <n v="79"/>
    <n v="25.51"/>
    <n v="88.66"/>
    <n v="311.04000000000002"/>
    <n v="29.803266797877356"/>
    <n v="137.25956288333876"/>
    <n v="311.14842517571947"/>
    <n v="13.265199999999989"/>
    <n v="505.30073999999956"/>
    <n v="15.497698734896213"/>
    <n v="566.87737850426095"/>
    <x v="2"/>
  </r>
  <r>
    <s v="Regular"/>
    <x v="2"/>
    <x v="1"/>
    <x v="2"/>
    <x v="0"/>
    <x v="0"/>
    <x v="15"/>
    <x v="1"/>
    <x v="9"/>
    <n v="116"/>
    <n v="111.36"/>
    <n v="36.561"/>
    <n v="35.098559999999999"/>
    <n v="36.561"/>
    <n v="35.098559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118.36640000000003"/>
    <n v="584.53726800000038"/>
    <n v="138.28715794215094"/>
    <n v="655.76977805708952"/>
    <x v="2"/>
  </r>
  <r>
    <s v="Regular"/>
    <x v="2"/>
    <x v="1"/>
    <x v="2"/>
    <x v="0"/>
    <x v="0"/>
    <x v="15"/>
    <x v="1"/>
    <x v="10"/>
    <n v="125"/>
    <n v="120"/>
    <n v="31.76"/>
    <n v="30.489599999999999"/>
    <n v="31.76"/>
    <n v="30.489599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127.55000000000001"/>
    <n v="507.77888000000087"/>
    <n v="149.01633398938679"/>
    <n v="569.65750803022854"/>
    <x v="2"/>
  </r>
  <r>
    <s v="PROJETADO"/>
    <x v="2"/>
    <x v="1"/>
    <x v="2"/>
    <x v="0"/>
    <x v="0"/>
    <x v="15"/>
    <x v="1"/>
    <x v="11"/>
    <n v="125"/>
    <n v="120"/>
    <n v="31.76"/>
    <n v="30.489599999999999"/>
    <n v="31.76"/>
    <n v="30.489599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127.55000000000001"/>
    <n v="507.77888000000087"/>
    <n v="149.01633398938679"/>
    <n v="569.65750803022854"/>
    <x v="2"/>
  </r>
  <r>
    <s v="Regular"/>
    <x v="2"/>
    <x v="1"/>
    <x v="2"/>
    <x v="0"/>
    <x v="0"/>
    <x v="15"/>
    <x v="2"/>
    <x v="0"/>
    <n v="52"/>
    <n v="49.92"/>
    <n v="2.97"/>
    <n v="2.8512"/>
    <n v="2.97"/>
    <n v="2.8512"/>
    <n v="0"/>
    <s v="CATIVO"/>
    <n v="0"/>
    <n v="21"/>
    <n v="23"/>
    <n v="78"/>
    <n v="65.599999999999994"/>
    <n v="88.66"/>
    <n v="496.15"/>
    <n v="75.407822945580492"/>
    <n v="137.25956288333876"/>
    <n v="506.4861368306324"/>
    <n v="136.44799999999987"/>
    <n v="69.475428000000136"/>
    <n v="156.8482717268073"/>
    <n v="76.47698912601993"/>
    <x v="2"/>
  </r>
  <r>
    <s v="Regular"/>
    <x v="2"/>
    <x v="1"/>
    <x v="2"/>
    <x v="0"/>
    <x v="0"/>
    <x v="15"/>
    <x v="2"/>
    <x v="1"/>
    <n v="55"/>
    <n v="52.8"/>
    <n v="2.42"/>
    <n v="2.3231999999999999"/>
    <n v="2.42"/>
    <n v="2.3231999999999999"/>
    <n v="0"/>
    <s v="CATIVO"/>
    <n v="0"/>
    <n v="21"/>
    <n v="23"/>
    <n v="78"/>
    <n v="65.599999999999994"/>
    <n v="88.66"/>
    <n v="496.15"/>
    <n v="75.407822945580492"/>
    <n v="137.25956288333876"/>
    <n v="506.4861368306324"/>
    <n v="144.32000000000016"/>
    <n v="56.609607999999994"/>
    <n v="165.89721048027729"/>
    <n v="62.314583732312407"/>
    <x v="2"/>
  </r>
  <r>
    <s v="Regular"/>
    <x v="2"/>
    <x v="1"/>
    <x v="2"/>
    <x v="0"/>
    <x v="0"/>
    <x v="15"/>
    <x v="2"/>
    <x v="2"/>
    <n v="55"/>
    <n v="52.8"/>
    <n v="2.42"/>
    <n v="2.3231999999999999"/>
    <n v="2.42"/>
    <n v="2.3231999999999999"/>
    <n v="0"/>
    <s v="CATIVO"/>
    <n v="0"/>
    <n v="21"/>
    <n v="23"/>
    <n v="78"/>
    <n v="65.599999999999994"/>
    <n v="88.66"/>
    <n v="496.15"/>
    <n v="75.407822945580492"/>
    <n v="137.25956288333876"/>
    <n v="506.4861368306324"/>
    <n v="144.32000000000016"/>
    <n v="56.609607999999994"/>
    <n v="165.89721048027729"/>
    <n v="62.314583732312407"/>
    <x v="2"/>
  </r>
  <r>
    <s v="Regular"/>
    <x v="2"/>
    <x v="1"/>
    <x v="2"/>
    <x v="0"/>
    <x v="0"/>
    <x v="15"/>
    <x v="2"/>
    <x v="3"/>
    <n v="55"/>
    <n v="52.8"/>
    <n v="2.09"/>
    <n v="2.0064000000000002"/>
    <n v="2.09"/>
    <n v="2.0064000000000002"/>
    <n v="0"/>
    <s v="CATIVO"/>
    <n v="0"/>
    <n v="21"/>
    <n v="23"/>
    <n v="78"/>
    <n v="65.599999999999994"/>
    <n v="88.66"/>
    <n v="496.15"/>
    <n v="75.407822945580492"/>
    <n v="137.25956288333876"/>
    <n v="506.4861368306324"/>
    <n v="144.32000000000016"/>
    <n v="48.890115999999807"/>
    <n v="165.89721048027729"/>
    <n v="53.817140496087774"/>
    <x v="2"/>
  </r>
  <r>
    <s v="Regular"/>
    <x v="2"/>
    <x v="1"/>
    <x v="2"/>
    <x v="0"/>
    <x v="0"/>
    <x v="15"/>
    <x v="2"/>
    <x v="4"/>
    <n v="60"/>
    <n v="57.6"/>
    <n v="1.98"/>
    <n v="1.9008"/>
    <n v="1.98"/>
    <n v="1.9008"/>
    <n v="0"/>
    <s v="CATIVO"/>
    <n v="0"/>
    <n v="21"/>
    <n v="23"/>
    <n v="78"/>
    <n v="65.599999999999994"/>
    <n v="88.66"/>
    <n v="496.15"/>
    <n v="75.407822945580492"/>
    <n v="137.25956288333876"/>
    <n v="506.4861368306324"/>
    <n v="157.43999999999988"/>
    <n v="46.316951999999965"/>
    <n v="180.97877506939307"/>
    <n v="50.984659417346478"/>
    <x v="2"/>
  </r>
  <r>
    <s v="Regular"/>
    <x v="2"/>
    <x v="1"/>
    <x v="2"/>
    <x v="0"/>
    <x v="0"/>
    <x v="15"/>
    <x v="2"/>
    <x v="5"/>
    <n v="6"/>
    <n v="5.76"/>
    <n v="1.98"/>
    <n v="1.9008"/>
    <n v="1.98"/>
    <n v="1.9008"/>
    <n v="0"/>
    <s v="CATIVO"/>
    <n v="0"/>
    <n v="21"/>
    <n v="23"/>
    <n v="78"/>
    <n v="65.599999999999994"/>
    <n v="88.66"/>
    <n v="496.15"/>
    <n v="75.407822945580492"/>
    <n v="137.25956288333876"/>
    <n v="506.4861368306324"/>
    <n v="15.744000000000012"/>
    <n v="46.316951999999965"/>
    <n v="18.097877506939334"/>
    <n v="50.984659417346478"/>
    <x v="2"/>
  </r>
  <r>
    <s v="Regular"/>
    <x v="2"/>
    <x v="1"/>
    <x v="2"/>
    <x v="0"/>
    <x v="0"/>
    <x v="15"/>
    <x v="2"/>
    <x v="6"/>
    <n v="6"/>
    <n v="5.76"/>
    <n v="1.98"/>
    <n v="1.9008"/>
    <n v="1.98"/>
    <n v="1.9008"/>
    <n v="0"/>
    <s v="CATIVO"/>
    <n v="0"/>
    <n v="21"/>
    <n v="23"/>
    <n v="78"/>
    <n v="65.599999999999994"/>
    <n v="88.66"/>
    <n v="496.15"/>
    <n v="75.407822945580492"/>
    <n v="137.25956288333876"/>
    <n v="506.4861368306324"/>
    <n v="15.744000000000012"/>
    <n v="46.316951999999965"/>
    <n v="18.097877506939334"/>
    <n v="50.984659417346478"/>
    <x v="2"/>
  </r>
  <r>
    <s v="Regular"/>
    <x v="2"/>
    <x v="1"/>
    <x v="2"/>
    <x v="0"/>
    <x v="0"/>
    <x v="15"/>
    <x v="2"/>
    <x v="7"/>
    <n v="6"/>
    <n v="5.76"/>
    <n v="2.016"/>
    <n v="1.93536"/>
    <n v="2.016"/>
    <n v="1.93536"/>
    <n v="0"/>
    <s v="CATIVO"/>
    <n v="0"/>
    <n v="21"/>
    <n v="23"/>
    <n v="78"/>
    <n v="65.599999999999994"/>
    <n v="88.66"/>
    <n v="496.15"/>
    <n v="75.407822945580492"/>
    <n v="137.25956288333876"/>
    <n v="506.4861368306324"/>
    <n v="15.744000000000012"/>
    <n v="47.15907840000002"/>
    <n v="18.097877506939334"/>
    <n v="51.911653224934668"/>
    <x v="2"/>
  </r>
  <r>
    <s v="Regular"/>
    <x v="2"/>
    <x v="1"/>
    <x v="2"/>
    <x v="0"/>
    <x v="0"/>
    <x v="15"/>
    <x v="2"/>
    <x v="8"/>
    <n v="6"/>
    <n v="5.76"/>
    <n v="2.1019999999999999"/>
    <n v="2.0179200000000002"/>
    <n v="2.1019999999999999"/>
    <n v="2.0179200000000002"/>
    <n v="0"/>
    <s v="CATIVO"/>
    <n v="0"/>
    <n v="21"/>
    <n v="23"/>
    <n v="78"/>
    <n v="65.599999999999994"/>
    <n v="88.66"/>
    <n v="496.15"/>
    <n v="75.407822945580492"/>
    <n v="137.25956288333876"/>
    <n v="506.4861368306324"/>
    <n v="15.744000000000012"/>
    <n v="49.170824799999828"/>
    <n v="18.097877506939334"/>
    <n v="54.126138431950508"/>
    <x v="2"/>
  </r>
  <r>
    <s v="Regular"/>
    <x v="2"/>
    <x v="1"/>
    <x v="2"/>
    <x v="0"/>
    <x v="0"/>
    <x v="15"/>
    <x v="2"/>
    <x v="9"/>
    <n v="50"/>
    <n v="48"/>
    <n v="2.7410000000000001"/>
    <n v="2.6313599999999999"/>
    <n v="2.7410000000000001"/>
    <n v="2.6313599999999999"/>
    <n v="0"/>
    <s v="CATIVO"/>
    <n v="0"/>
    <n v="21"/>
    <n v="23"/>
    <n v="78"/>
    <n v="65.599999999999994"/>
    <n v="88.66"/>
    <n v="496.15"/>
    <n v="75.407822945580492"/>
    <n v="137.25956288333876"/>
    <n v="506.4861368306324"/>
    <n v="131.19999999999999"/>
    <n v="64.1185684000001"/>
    <n v="150.81564589116098"/>
    <n v="70.580278516639908"/>
    <x v="2"/>
  </r>
  <r>
    <s v="Regular"/>
    <x v="2"/>
    <x v="1"/>
    <x v="2"/>
    <x v="0"/>
    <x v="0"/>
    <x v="15"/>
    <x v="2"/>
    <x v="10"/>
    <n v="48"/>
    <n v="46.08"/>
    <n v="2.1459999999999999"/>
    <n v="2.0601600000000002"/>
    <n v="2.1459999999999999"/>
    <n v="2.0601600000000002"/>
    <n v="0"/>
    <s v="CATIVO"/>
    <n v="0"/>
    <n v="21"/>
    <n v="23"/>
    <n v="78"/>
    <n v="65.599999999999994"/>
    <n v="88.66"/>
    <n v="496.15"/>
    <n v="75.407822945580492"/>
    <n v="137.25956288333876"/>
    <n v="506.4861368306324"/>
    <n v="125.9520000000001"/>
    <n v="50.200090399999823"/>
    <n v="144.78302005551467"/>
    <n v="55.259130863447091"/>
    <x v="2"/>
  </r>
  <r>
    <s v="PROJETADO"/>
    <x v="2"/>
    <x v="1"/>
    <x v="2"/>
    <x v="0"/>
    <x v="0"/>
    <x v="15"/>
    <x v="2"/>
    <x v="11"/>
    <n v="48"/>
    <n v="46.08"/>
    <n v="2.1459999999999999"/>
    <n v="2.0601600000000002"/>
    <n v="2.1459999999999999"/>
    <n v="2.0601600000000002"/>
    <n v="0"/>
    <s v="CATIVO"/>
    <n v="0"/>
    <n v="21"/>
    <n v="23"/>
    <n v="78"/>
    <n v="65.599999999999994"/>
    <n v="88.66"/>
    <n v="496.15"/>
    <n v="75.407822945580492"/>
    <n v="137.25956288333876"/>
    <n v="506.4861368306324"/>
    <n v="125.9520000000001"/>
    <n v="50.200090399999823"/>
    <n v="144.78302005551467"/>
    <n v="55.259130863447091"/>
    <x v="2"/>
  </r>
  <r>
    <s v="Regular"/>
    <x v="2"/>
    <x v="1"/>
    <x v="3"/>
    <x v="1"/>
    <x v="0"/>
    <x v="15"/>
    <x v="1"/>
    <x v="0"/>
    <n v="560"/>
    <n v="476"/>
    <n v="218.70099999999999"/>
    <n v="205.57893999999999"/>
    <n v="218.70099999999999"/>
    <n v="205.57893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2142.84"/>
    <n v="5244.8873820000017"/>
    <n v="2503.474411021698"/>
    <n v="5884.0365237902479"/>
    <x v="3"/>
  </r>
  <r>
    <s v="Refaturamento - Regular"/>
    <x v="2"/>
    <x v="1"/>
    <x v="3"/>
    <x v="1"/>
    <x v="0"/>
    <x v="15"/>
    <x v="1"/>
    <x v="0"/>
    <n v="36"/>
    <n v="30.599999999999998"/>
    <n v="-2.16"/>
    <n v="-2.0304000000000002"/>
    <n v="-2.16"/>
    <n v="-2.0304000000000002"/>
    <n v="0"/>
    <s v="CATIVO"/>
    <n v="0"/>
    <n v="22"/>
    <n v="23"/>
    <n v="79"/>
    <n v="25.51"/>
    <n v="88.66"/>
    <n v="311.04000000000002"/>
    <n v="29.803266797877356"/>
    <n v="137.25956288333876"/>
    <n v="311.14842517571947"/>
    <n v="137.75400000000008"/>
    <n v="-51.801119999999976"/>
    <n v="160.9376407085378"/>
    <n v="-58.113675252453916"/>
    <x v="3"/>
  </r>
  <r>
    <s v="Regular"/>
    <x v="2"/>
    <x v="1"/>
    <x v="3"/>
    <x v="1"/>
    <x v="0"/>
    <x v="15"/>
    <x v="1"/>
    <x v="1"/>
    <n v="577"/>
    <n v="490.45"/>
    <n v="214.874"/>
    <n v="201.98156"/>
    <n v="214.874"/>
    <n v="201.98156"/>
    <n v="0"/>
    <s v="CATIVO"/>
    <n v="0"/>
    <n v="22"/>
    <n v="23"/>
    <n v="79"/>
    <n v="25.51"/>
    <n v="88.66"/>
    <n v="311.04000000000002"/>
    <n v="29.803266797877356"/>
    <n v="137.25956288333876"/>
    <n v="311.14842517571947"/>
    <n v="2207.8905000000004"/>
    <n v="5153.1082679999981"/>
    <n v="2579.4727413562855"/>
    <n v="5781.0730815721217"/>
    <x v="3"/>
  </r>
  <r>
    <s v="Refaturamento - Regular"/>
    <x v="2"/>
    <x v="1"/>
    <x v="3"/>
    <x v="1"/>
    <x v="0"/>
    <x v="15"/>
    <x v="1"/>
    <x v="1"/>
    <n v="15"/>
    <n v="12.75"/>
    <n v="-6.3780000000000001"/>
    <n v="-5.9953200000000004"/>
    <n v="-6.3780000000000001"/>
    <n v="-5.9953200000000004"/>
    <n v="0"/>
    <s v="CATIVO"/>
    <n v="0"/>
    <n v="22"/>
    <n v="23"/>
    <n v="79"/>
    <n v="25.51"/>
    <n v="88.66"/>
    <n v="311.04000000000002"/>
    <n v="29.803266797877356"/>
    <n v="137.25956288333876"/>
    <n v="311.14842517571947"/>
    <n v="57.397500000000001"/>
    <n v="-152.9571959999999"/>
    <n v="67.057350295224055"/>
    <n v="-171.59676887044026"/>
    <x v="3"/>
  </r>
  <r>
    <s v="Regular"/>
    <x v="2"/>
    <x v="1"/>
    <x v="3"/>
    <x v="1"/>
    <x v="0"/>
    <x v="15"/>
    <x v="1"/>
    <x v="2"/>
    <n v="572"/>
    <n v="486.2"/>
    <n v="219.011"/>
    <n v="205.87034"/>
    <n v="219.011"/>
    <n v="205.87034"/>
    <n v="0"/>
    <s v="CATIVO"/>
    <n v="0"/>
    <n v="22"/>
    <n v="23"/>
    <n v="79"/>
    <n v="25.51"/>
    <n v="88.66"/>
    <n v="311.04000000000002"/>
    <n v="29.803266797877356"/>
    <n v="137.25956288333876"/>
    <n v="311.14842517571947"/>
    <n v="2188.7580000000003"/>
    <n v="5252.3218019999986"/>
    <n v="2557.1202912578774"/>
    <n v="5892.3769123681432"/>
    <x v="3"/>
  </r>
  <r>
    <s v="Regular"/>
    <x v="2"/>
    <x v="1"/>
    <x v="3"/>
    <x v="1"/>
    <x v="0"/>
    <x v="15"/>
    <x v="1"/>
    <x v="3"/>
    <n v="578"/>
    <n v="491.3"/>
    <n v="220.649"/>
    <n v="207.41005999999999"/>
    <n v="220.649"/>
    <n v="207.41005999999999"/>
    <n v="0"/>
    <s v="CATIVO"/>
    <n v="0"/>
    <n v="22"/>
    <n v="23"/>
    <n v="79"/>
    <n v="25.51"/>
    <n v="88.66"/>
    <n v="311.04000000000002"/>
    <n v="29.803266797877356"/>
    <n v="137.25956288333876"/>
    <n v="311.14842517571947"/>
    <n v="2211.7169999999996"/>
    <n v="5291.6043180000052"/>
    <n v="2583.9432313759662"/>
    <n v="5936.4464494345948"/>
    <x v="3"/>
  </r>
  <r>
    <s v="Regular"/>
    <x v="2"/>
    <x v="1"/>
    <x v="3"/>
    <x v="1"/>
    <x v="0"/>
    <x v="15"/>
    <x v="1"/>
    <x v="4"/>
    <n v="278"/>
    <n v="236.29999999999998"/>
    <n v="114.20699999999999"/>
    <n v="107.35458"/>
    <n v="114.20699999999999"/>
    <n v="107.35458"/>
    <n v="0"/>
    <s v="CATIVO"/>
    <n v="0"/>
    <n v="22"/>
    <n v="23"/>
    <n v="79"/>
    <n v="25.51"/>
    <n v="88.66"/>
    <n v="311.04000000000002"/>
    <n v="29.803266797877356"/>
    <n v="137.25956288333876"/>
    <n v="311.14842517571947"/>
    <n v="1063.7670000000005"/>
    <n v="2738.912273999998"/>
    <n v="1242.7962254714862"/>
    <n v="3072.6798655356497"/>
    <x v="3"/>
  </r>
  <r>
    <s v="Regular"/>
    <x v="2"/>
    <x v="1"/>
    <x v="3"/>
    <x v="1"/>
    <x v="0"/>
    <x v="15"/>
    <x v="1"/>
    <x v="5"/>
    <n v="256"/>
    <n v="217.6"/>
    <n v="91.694999999999993"/>
    <n v="86.193299999999994"/>
    <n v="91.694999999999993"/>
    <n v="86.193299999999994"/>
    <n v="0"/>
    <s v="CATIVO"/>
    <n v="0"/>
    <n v="22"/>
    <n v="23"/>
    <n v="79"/>
    <n v="25.51"/>
    <n v="88.66"/>
    <n v="311.04000000000002"/>
    <n v="29.803266797877356"/>
    <n v="137.25956288333876"/>
    <n v="311.14842517571947"/>
    <n v="979.58400000000017"/>
    <n v="2199.0294899999999"/>
    <n v="1144.4454450384906"/>
    <n v="2467.0062279045205"/>
    <x v="3"/>
  </r>
  <r>
    <s v="Regular"/>
    <x v="2"/>
    <x v="1"/>
    <x v="3"/>
    <x v="1"/>
    <x v="0"/>
    <x v="15"/>
    <x v="1"/>
    <x v="6"/>
    <n v="257"/>
    <n v="218.45"/>
    <n v="96.444000000000003"/>
    <n v="90.657359999999997"/>
    <n v="96.444000000000003"/>
    <n v="90.657359999999997"/>
    <n v="0"/>
    <s v="CATIVO"/>
    <n v="0"/>
    <n v="22"/>
    <n v="23"/>
    <n v="79"/>
    <n v="25.51"/>
    <n v="88.66"/>
    <n v="311.04000000000002"/>
    <n v="29.803266797877356"/>
    <n v="137.25956288333876"/>
    <n v="311.14842517571947"/>
    <n v="983.4105000000003"/>
    <n v="2312.9200080000023"/>
    <n v="1148.9159350581724"/>
    <n v="2594.7756000220711"/>
    <x v="3"/>
  </r>
  <r>
    <s v="Regular"/>
    <x v="2"/>
    <x v="1"/>
    <x v="3"/>
    <x v="1"/>
    <x v="0"/>
    <x v="15"/>
    <x v="1"/>
    <x v="7"/>
    <n v="257"/>
    <n v="218.45"/>
    <n v="99.897000000000006"/>
    <n v="93.903180000000006"/>
    <n v="99.897000000000006"/>
    <n v="93.903180000000006"/>
    <n v="0"/>
    <s v="CATIVO"/>
    <n v="0"/>
    <n v="22"/>
    <n v="23"/>
    <n v="79"/>
    <n v="25.51"/>
    <n v="88.66"/>
    <n v="311.04000000000002"/>
    <n v="29.803266797877356"/>
    <n v="137.25956288333876"/>
    <n v="311.14842517571947"/>
    <n v="983.4105000000003"/>
    <n v="2395.7298540000002"/>
    <n v="1148.9159350581724"/>
    <n v="2687.6767669881442"/>
    <x v="3"/>
  </r>
  <r>
    <s v="Regular"/>
    <x v="2"/>
    <x v="1"/>
    <x v="3"/>
    <x v="1"/>
    <x v="0"/>
    <x v="15"/>
    <x v="1"/>
    <x v="8"/>
    <n v="265"/>
    <n v="225.25"/>
    <n v="95.162000000000006"/>
    <n v="89.452280000000002"/>
    <n v="95.162000000000006"/>
    <n v="89.452280000000002"/>
    <n v="0"/>
    <s v="CATIVO"/>
    <n v="0"/>
    <n v="22"/>
    <n v="23"/>
    <n v="79"/>
    <n v="25.51"/>
    <n v="88.66"/>
    <n v="311.04000000000002"/>
    <n v="29.803266797877356"/>
    <n v="137.25956288333876"/>
    <n v="311.14842517571947"/>
    <n v="1014.0225"/>
    <n v="2282.1750840000018"/>
    <n v="1184.6798552156249"/>
    <n v="2560.2840575805676"/>
    <x v="3"/>
  </r>
  <r>
    <s v="Regular"/>
    <x v="2"/>
    <x v="1"/>
    <x v="3"/>
    <x v="1"/>
    <x v="0"/>
    <x v="15"/>
    <x v="1"/>
    <x v="9"/>
    <n v="260"/>
    <n v="221"/>
    <n v="97.099000000000004"/>
    <n v="91.273060000000001"/>
    <n v="97.099000000000004"/>
    <n v="91.273060000000001"/>
    <n v="0"/>
    <s v="CATIVO"/>
    <n v="0"/>
    <n v="22"/>
    <n v="23"/>
    <n v="79"/>
    <n v="25.51"/>
    <n v="88.66"/>
    <n v="311.04000000000002"/>
    <n v="29.803266797877356"/>
    <n v="137.25956288333876"/>
    <n v="311.14842517571947"/>
    <n v="994.8900000000001"/>
    <n v="2328.6282180000012"/>
    <n v="1162.3274051172168"/>
    <n v="2612.3980339527911"/>
    <x v="3"/>
  </r>
  <r>
    <s v="Regular"/>
    <x v="2"/>
    <x v="1"/>
    <x v="3"/>
    <x v="1"/>
    <x v="0"/>
    <x v="15"/>
    <x v="1"/>
    <x v="10"/>
    <n v="258"/>
    <n v="219.29999999999998"/>
    <n v="101.884"/>
    <n v="95.770960000000002"/>
    <n v="101.884"/>
    <n v="95.770960000000002"/>
    <n v="0"/>
    <s v="CATIVO"/>
    <n v="0"/>
    <n v="22"/>
    <n v="23"/>
    <n v="79"/>
    <n v="25.51"/>
    <n v="88.66"/>
    <n v="311.04000000000002"/>
    <n v="29.803266797877356"/>
    <n v="137.25956288333876"/>
    <n v="311.14842517571947"/>
    <n v="987.23700000000053"/>
    <n v="2443.3820879999994"/>
    <n v="1153.3864250778543"/>
    <n v="2741.1359673245443"/>
    <x v="3"/>
  </r>
  <r>
    <s v="PROJETADO"/>
    <x v="2"/>
    <x v="1"/>
    <x v="3"/>
    <x v="1"/>
    <x v="0"/>
    <x v="15"/>
    <x v="1"/>
    <x v="11"/>
    <n v="258"/>
    <n v="219.29999999999998"/>
    <n v="101.884"/>
    <n v="95.770960000000002"/>
    <n v="101.884"/>
    <n v="95.770960000000002"/>
    <n v="0"/>
    <s v="CATIVO"/>
    <n v="0"/>
    <n v="22"/>
    <n v="23"/>
    <n v="79"/>
    <n v="25.51"/>
    <n v="88.66"/>
    <n v="311.04000000000002"/>
    <n v="29.803266797877356"/>
    <n v="137.25956288333876"/>
    <n v="311.14842517571947"/>
    <n v="987.23700000000053"/>
    <n v="2443.3820879999994"/>
    <n v="1153.3864250778543"/>
    <n v="2741.1359673245443"/>
    <x v="3"/>
  </r>
  <r>
    <s v="Regular"/>
    <x v="2"/>
    <x v="1"/>
    <x v="3"/>
    <x v="1"/>
    <x v="0"/>
    <x v="15"/>
    <x v="2"/>
    <x v="0"/>
    <n v="537"/>
    <n v="456.45"/>
    <n v="23.594999999999999"/>
    <n v="22.179300000000001"/>
    <n v="23.594999999999999"/>
    <n v="22.179300000000001"/>
    <n v="0"/>
    <s v="CATIVO"/>
    <n v="0"/>
    <n v="21"/>
    <n v="23"/>
    <n v="78"/>
    <n v="65.599999999999994"/>
    <n v="88.66"/>
    <n v="496.15"/>
    <n v="75.407822945580492"/>
    <n v="137.25956288333876"/>
    <n v="506.4861368306324"/>
    <n v="5284.08"/>
    <n v="827.91551699999854"/>
    <n v="6074.100138266509"/>
    <n v="911.3507870850674"/>
    <x v="3"/>
  </r>
  <r>
    <s v="Refaturamento - Regular"/>
    <x v="2"/>
    <x v="1"/>
    <x v="3"/>
    <x v="1"/>
    <x v="0"/>
    <x v="15"/>
    <x v="2"/>
    <x v="0"/>
    <n v="32"/>
    <n v="27.2"/>
    <n v="0"/>
    <n v="0"/>
    <n v="0"/>
    <n v="0"/>
    <n v="0"/>
    <s v="CATIVO"/>
    <n v="0"/>
    <n v="21"/>
    <n v="0"/>
    <n v="0"/>
    <n v="65.599999999999994"/>
    <n v="0"/>
    <n v="0"/>
    <n v="75.407822945580492"/>
    <n v="137.25956288333876"/>
    <n v="506.4861368306324"/>
    <n v="314.88"/>
    <n v="0"/>
    <n v="361.95755013878642"/>
    <n v="0"/>
    <x v="3"/>
  </r>
  <r>
    <s v="Regular"/>
    <x v="2"/>
    <x v="1"/>
    <x v="3"/>
    <x v="1"/>
    <x v="0"/>
    <x v="15"/>
    <x v="2"/>
    <x v="1"/>
    <n v="550"/>
    <n v="467.5"/>
    <n v="23.18"/>
    <n v="21.789200000000001"/>
    <n v="23.18"/>
    <n v="21.789200000000001"/>
    <n v="0"/>
    <s v="CATIVO"/>
    <n v="0"/>
    <n v="21"/>
    <n v="23"/>
    <n v="78"/>
    <n v="65.599999999999994"/>
    <n v="88.66"/>
    <n v="496.15"/>
    <n v="75.407822945580492"/>
    <n v="137.25956288333876"/>
    <n v="506.4861368306324"/>
    <n v="5411.9999999999991"/>
    <n v="813.3537479999992"/>
    <n v="6221.1453930103908"/>
    <n v="895.32151916219027"/>
    <x v="3"/>
  </r>
  <r>
    <s v="Refaturamento - Regular"/>
    <x v="2"/>
    <x v="1"/>
    <x v="3"/>
    <x v="1"/>
    <x v="0"/>
    <x v="15"/>
    <x v="2"/>
    <x v="1"/>
    <n v="14"/>
    <n v="11.9"/>
    <n v="-0.438"/>
    <n v="-0.41171999999999997"/>
    <n v="-0.438"/>
    <n v="-0.41171999999999997"/>
    <n v="0"/>
    <s v="CATIVO"/>
    <n v="0"/>
    <n v="21"/>
    <n v="23"/>
    <n v="78"/>
    <n v="65.599999999999994"/>
    <n v="88.66"/>
    <n v="496.15"/>
    <n v="75.407822945580492"/>
    <n v="137.25956288333876"/>
    <n v="506.4861368306324"/>
    <n v="137.75999999999996"/>
    <n v="-15.368806800000014"/>
    <n v="158.35642818571901"/>
    <n v="-16.917636988483178"/>
    <x v="3"/>
  </r>
  <r>
    <s v="Regular"/>
    <x v="2"/>
    <x v="1"/>
    <x v="3"/>
    <x v="1"/>
    <x v="0"/>
    <x v="15"/>
    <x v="2"/>
    <x v="2"/>
    <n v="546"/>
    <n v="464.09999999999997"/>
    <n v="22.675999999999998"/>
    <n v="21.315439999999999"/>
    <n v="22.675999999999998"/>
    <n v="21.315439999999999"/>
    <n v="0"/>
    <s v="CATIVO"/>
    <n v="0"/>
    <n v="21"/>
    <n v="23"/>
    <n v="78"/>
    <n v="65.599999999999994"/>
    <n v="88.66"/>
    <n v="496.15"/>
    <n v="75.407822945580492"/>
    <n v="137.25956288333876"/>
    <n v="506.4861368306324"/>
    <n v="5372.6400000000021"/>
    <n v="795.66909359999966"/>
    <n v="6175.900699243045"/>
    <n v="875.85464920284028"/>
    <x v="3"/>
  </r>
  <r>
    <s v="Regular"/>
    <x v="2"/>
    <x v="1"/>
    <x v="3"/>
    <x v="1"/>
    <x v="0"/>
    <x v="15"/>
    <x v="2"/>
    <x v="3"/>
    <n v="545"/>
    <n v="463.25"/>
    <n v="22.198"/>
    <n v="20.866119999999999"/>
    <n v="22.198"/>
    <n v="20.866119999999999"/>
    <n v="0"/>
    <s v="CATIVO"/>
    <n v="0"/>
    <n v="21"/>
    <n v="23"/>
    <n v="78"/>
    <n v="65.599999999999994"/>
    <n v="88.66"/>
    <n v="496.15"/>
    <n v="75.407822945580492"/>
    <n v="137.25956288333876"/>
    <n v="506.4861368306324"/>
    <n v="5362.7999999999993"/>
    <n v="778.89674280000099"/>
    <n v="6164.5895258012051"/>
    <n v="857.39202253504504"/>
    <x v="3"/>
  </r>
  <r>
    <s v="Regular"/>
    <x v="2"/>
    <x v="1"/>
    <x v="3"/>
    <x v="1"/>
    <x v="0"/>
    <x v="15"/>
    <x v="2"/>
    <x v="4"/>
    <n v="254"/>
    <n v="215.9"/>
    <n v="8.6609999999999996"/>
    <n v="8.1413399999999996"/>
    <n v="8.6609999999999996"/>
    <n v="8.1413399999999996"/>
    <n v="0"/>
    <s v="CATIVO"/>
    <n v="0"/>
    <n v="21"/>
    <n v="23"/>
    <n v="78"/>
    <n v="65.599999999999994"/>
    <n v="88.66"/>
    <n v="496.15"/>
    <n v="75.407822945580492"/>
    <n v="137.25956288333876"/>
    <n v="506.4861368306324"/>
    <n v="2499.3599999999992"/>
    <n v="303.90236459999994"/>
    <n v="2873.0380542266162"/>
    <n v="334.52889031336224"/>
    <x v="3"/>
  </r>
  <r>
    <s v="Regular"/>
    <x v="2"/>
    <x v="1"/>
    <x v="3"/>
    <x v="1"/>
    <x v="0"/>
    <x v="15"/>
    <x v="2"/>
    <x v="5"/>
    <n v="224"/>
    <n v="190.4"/>
    <n v="7.1050000000000004"/>
    <n v="6.6787000000000001"/>
    <n v="7.1050000000000004"/>
    <n v="6.6787000000000001"/>
    <n v="0"/>
    <s v="CATIVO"/>
    <n v="0"/>
    <n v="21"/>
    <n v="23"/>
    <n v="78"/>
    <n v="65.599999999999994"/>
    <n v="88.66"/>
    <n v="496.15"/>
    <n v="75.407822945580492"/>
    <n v="137.25956288333876"/>
    <n v="506.4861368306324"/>
    <n v="2204.1599999999994"/>
    <n v="249.30450300000021"/>
    <n v="2533.7028509715042"/>
    <n v="274.42879178806612"/>
    <x v="3"/>
  </r>
  <r>
    <s v="Regular"/>
    <x v="2"/>
    <x v="1"/>
    <x v="3"/>
    <x v="1"/>
    <x v="0"/>
    <x v="15"/>
    <x v="2"/>
    <x v="6"/>
    <n v="225"/>
    <n v="191.25"/>
    <n v="8.4120000000000008"/>
    <n v="7.9072800000000001"/>
    <n v="8.4120000000000008"/>
    <n v="7.9072800000000001"/>
    <n v="0"/>
    <s v="CATIVO"/>
    <n v="0"/>
    <n v="21"/>
    <n v="23"/>
    <n v="78"/>
    <n v="65.599999999999994"/>
    <n v="88.66"/>
    <n v="496.15"/>
    <n v="75.407822945580492"/>
    <n v="137.25956288333876"/>
    <n v="506.4861368306324"/>
    <n v="2214"/>
    <n v="295.16530320000044"/>
    <n v="2545.0140244133418"/>
    <n v="324.91132955963599"/>
    <x v="3"/>
  </r>
  <r>
    <s v="Regular"/>
    <x v="2"/>
    <x v="1"/>
    <x v="3"/>
    <x v="1"/>
    <x v="0"/>
    <x v="15"/>
    <x v="2"/>
    <x v="7"/>
    <n v="231"/>
    <n v="196.35"/>
    <n v="8.6790000000000003"/>
    <n v="8.1582600000000003"/>
    <n v="8.6790000000000003"/>
    <n v="8.1582600000000003"/>
    <n v="0"/>
    <s v="CATIVO"/>
    <n v="0"/>
    <n v="21"/>
    <n v="23"/>
    <n v="78"/>
    <n v="65.599999999999994"/>
    <n v="88.66"/>
    <n v="496.15"/>
    <n v="75.407822945580492"/>
    <n v="137.25956288333876"/>
    <n v="506.4861368306324"/>
    <n v="2273.04"/>
    <n v="304.53395939999996"/>
    <n v="2612.8810650643645"/>
    <n v="335.22413566905334"/>
    <x v="3"/>
  </r>
  <r>
    <s v="Regular"/>
    <x v="2"/>
    <x v="1"/>
    <x v="3"/>
    <x v="1"/>
    <x v="0"/>
    <x v="15"/>
    <x v="2"/>
    <x v="8"/>
    <n v="236"/>
    <n v="200.6"/>
    <n v="9.5060000000000002"/>
    <n v="8.9356399999999994"/>
    <n v="9.5060000000000002"/>
    <n v="8.9356399999999994"/>
    <n v="0"/>
    <s v="CATIVO"/>
    <n v="0"/>
    <n v="21"/>
    <n v="23"/>
    <n v="78"/>
    <n v="65.599999999999994"/>
    <n v="88.66"/>
    <n v="496.15"/>
    <n v="75.407822945580492"/>
    <n v="137.25956288333876"/>
    <n v="506.4861368306324"/>
    <n v="2322.2400000000002"/>
    <n v="333.55223160000048"/>
    <n v="2669.4369322735497"/>
    <n v="367.16679728886118"/>
    <x v="3"/>
  </r>
  <r>
    <s v="Regular"/>
    <x v="2"/>
    <x v="1"/>
    <x v="3"/>
    <x v="1"/>
    <x v="0"/>
    <x v="15"/>
    <x v="2"/>
    <x v="9"/>
    <n v="235"/>
    <n v="199.75"/>
    <n v="10.074"/>
    <n v="9.4695599999999995"/>
    <n v="10.074"/>
    <n v="9.4695599999999995"/>
    <n v="0"/>
    <s v="CATIVO"/>
    <n v="0"/>
    <n v="21"/>
    <n v="23"/>
    <n v="78"/>
    <n v="65.599999999999994"/>
    <n v="88.66"/>
    <n v="496.15"/>
    <n v="75.407822945580492"/>
    <n v="137.25956288333876"/>
    <n v="506.4861368306324"/>
    <n v="2312.3999999999996"/>
    <n v="353.48255640000019"/>
    <n v="2658.1257588317121"/>
    <n v="389.10565073511293"/>
    <x v="3"/>
  </r>
  <r>
    <s v="Regular"/>
    <x v="2"/>
    <x v="1"/>
    <x v="3"/>
    <x v="1"/>
    <x v="0"/>
    <x v="15"/>
    <x v="2"/>
    <x v="10"/>
    <n v="229"/>
    <n v="194.65"/>
    <n v="11.121"/>
    <n v="10.45374"/>
    <n v="11.121"/>
    <n v="10.45374"/>
    <n v="0"/>
    <s v="CATIVO"/>
    <n v="0"/>
    <n v="21"/>
    <n v="23"/>
    <n v="78"/>
    <n v="65.599999999999994"/>
    <n v="88.66"/>
    <n v="496.15"/>
    <n v="75.407822945580492"/>
    <n v="137.25956288333876"/>
    <n v="506.4861368306324"/>
    <n v="2253.3599999999992"/>
    <n v="390.22032060000038"/>
    <n v="2590.2587181806894"/>
    <n v="429.54575559114483"/>
    <x v="3"/>
  </r>
  <r>
    <s v="PROJETADO"/>
    <x v="2"/>
    <x v="1"/>
    <x v="3"/>
    <x v="1"/>
    <x v="0"/>
    <x v="15"/>
    <x v="2"/>
    <x v="11"/>
    <n v="229"/>
    <n v="194.65"/>
    <n v="11.121"/>
    <n v="10.45374"/>
    <n v="11.121"/>
    <n v="10.45374"/>
    <n v="0"/>
    <s v="CATIVO"/>
    <n v="0"/>
    <n v="21"/>
    <n v="23"/>
    <n v="78"/>
    <n v="65.599999999999994"/>
    <n v="88.66"/>
    <n v="496.15"/>
    <n v="75.407822945580492"/>
    <n v="137.25956288333876"/>
    <n v="506.4861368306324"/>
    <n v="2253.3599999999992"/>
    <n v="390.22032060000038"/>
    <n v="2590.2587181806894"/>
    <n v="429.54575559114483"/>
    <x v="3"/>
  </r>
  <r>
    <s v="Regular"/>
    <x v="2"/>
    <x v="0"/>
    <x v="0"/>
    <x v="0"/>
    <x v="0"/>
    <x v="16"/>
    <x v="0"/>
    <x v="0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0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0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0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0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0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0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0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0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0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0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0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0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0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0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0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0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0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1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1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1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1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1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1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1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1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1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1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1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1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1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1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1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1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1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1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2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2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2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2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2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2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2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2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2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2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2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2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2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2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2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2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2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2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3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3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3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3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3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3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3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3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3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3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3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3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3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3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3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3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3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3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4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4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4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4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4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4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4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4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4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4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4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4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4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4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4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4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4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4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5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5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5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5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5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5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5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5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5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5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5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5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5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5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5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5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5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5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6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6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6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6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6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6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6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6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6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6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6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6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6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6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6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6"/>
    <n v="3011"/>
    <n v="1505.5"/>
    <n v="0"/>
    <n v="0"/>
    <n v="0"/>
    <n v="0"/>
    <n v="0"/>
    <s v="GERAÇÃO"/>
    <n v="31334"/>
    <n v="28"/>
    <n v="0"/>
    <n v="0"/>
    <n v="15.24"/>
    <n v="0"/>
    <n v="0"/>
    <n v="17.13811868924876"/>
    <m/>
    <m/>
    <n v="22943.82"/>
    <n v="0"/>
    <n v="25801.437686664009"/>
    <n v="0"/>
    <x v="0"/>
  </r>
  <r>
    <s v="Regular"/>
    <x v="2"/>
    <x v="0"/>
    <x v="0"/>
    <x v="0"/>
    <x v="0"/>
    <x v="31"/>
    <x v="0"/>
    <x v="6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6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7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7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7"/>
    <n v="3859"/>
    <n v="1929.5"/>
    <n v="0"/>
    <n v="0"/>
    <n v="0"/>
    <n v="0"/>
    <n v="0"/>
    <s v="GERAÇÃO"/>
    <n v="1192"/>
    <n v="28"/>
    <n v="0"/>
    <n v="0"/>
    <n v="15.24"/>
    <n v="0"/>
    <n v="0"/>
    <n v="17.13811868924876"/>
    <m/>
    <m/>
    <n v="29405.58"/>
    <n v="0"/>
    <n v="33068.000010905482"/>
    <n v="0"/>
    <x v="0"/>
  </r>
  <r>
    <s v="Regular"/>
    <x v="2"/>
    <x v="0"/>
    <x v="0"/>
    <x v="0"/>
    <x v="0"/>
    <x v="19"/>
    <x v="0"/>
    <x v="7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7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7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7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7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7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7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7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7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7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7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7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7"/>
    <n v="3025"/>
    <n v="1512.5"/>
    <n v="0"/>
    <n v="0"/>
    <n v="0"/>
    <n v="0"/>
    <n v="0"/>
    <s v="GERAÇÃO"/>
    <n v="31334"/>
    <n v="28"/>
    <n v="0"/>
    <n v="0"/>
    <n v="15.24"/>
    <n v="0"/>
    <n v="0"/>
    <n v="17.13811868924876"/>
    <m/>
    <m/>
    <n v="23050.5"/>
    <n v="0"/>
    <n v="25921.404517488751"/>
    <n v="0"/>
    <x v="0"/>
  </r>
  <r>
    <s v="Regular"/>
    <x v="2"/>
    <x v="0"/>
    <x v="0"/>
    <x v="0"/>
    <x v="0"/>
    <x v="31"/>
    <x v="0"/>
    <x v="7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7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8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8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8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8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8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8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8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8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8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8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8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8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8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8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8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8"/>
    <n v="3032"/>
    <n v="1516"/>
    <n v="0"/>
    <n v="0"/>
    <n v="0"/>
    <n v="0"/>
    <n v="0"/>
    <s v="GERAÇÃO"/>
    <n v="31334"/>
    <n v="28"/>
    <n v="0"/>
    <n v="0"/>
    <n v="15.24"/>
    <n v="0"/>
    <n v="0"/>
    <n v="17.13811868924876"/>
    <m/>
    <m/>
    <n v="23103.84"/>
    <n v="0"/>
    <n v="25981.387932901122"/>
    <n v="0"/>
    <x v="0"/>
  </r>
  <r>
    <s v="Regular"/>
    <x v="2"/>
    <x v="0"/>
    <x v="0"/>
    <x v="0"/>
    <x v="0"/>
    <x v="31"/>
    <x v="0"/>
    <x v="8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8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9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9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9"/>
    <n v="3832"/>
    <n v="1916"/>
    <n v="0"/>
    <n v="0"/>
    <n v="0"/>
    <n v="0"/>
    <n v="0"/>
    <s v="GERAÇÃO"/>
    <n v="1192"/>
    <n v="28"/>
    <n v="0"/>
    <n v="0"/>
    <n v="15.24"/>
    <n v="0"/>
    <n v="0"/>
    <n v="17.13811868924876"/>
    <m/>
    <m/>
    <n v="29199.84"/>
    <n v="0"/>
    <n v="32836.635408600625"/>
    <n v="0"/>
    <x v="0"/>
  </r>
  <r>
    <s v="Regular"/>
    <x v="2"/>
    <x v="0"/>
    <x v="0"/>
    <x v="0"/>
    <x v="0"/>
    <x v="19"/>
    <x v="0"/>
    <x v="9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9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9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9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9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9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9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9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9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9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9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9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9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9"/>
    <n v="1208"/>
    <n v="604"/>
    <n v="0"/>
    <n v="0"/>
    <n v="0"/>
    <n v="0"/>
    <n v="0"/>
    <s v="GERAÇÃO"/>
    <n v="31618"/>
    <n v="28"/>
    <n v="0"/>
    <n v="0"/>
    <n v="15.24"/>
    <n v="0"/>
    <n v="0"/>
    <n v="17.13811868924876"/>
    <m/>
    <m/>
    <n v="9204.9600000000009"/>
    <n v="0"/>
    <n v="10351.423688306251"/>
    <n v="0"/>
    <x v="0"/>
  </r>
  <r>
    <s v="Regular"/>
    <x v="2"/>
    <x v="0"/>
    <x v="0"/>
    <x v="0"/>
    <x v="0"/>
    <x v="32"/>
    <x v="0"/>
    <x v="9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16"/>
    <x v="0"/>
    <x v="10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7"/>
    <x v="0"/>
    <x v="10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8"/>
    <x v="0"/>
    <x v="10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Regular"/>
    <x v="2"/>
    <x v="0"/>
    <x v="0"/>
    <x v="0"/>
    <x v="0"/>
    <x v="19"/>
    <x v="0"/>
    <x v="10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0"/>
    <x v="0"/>
    <x v="10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1"/>
    <x v="0"/>
    <x v="10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2"/>
    <x v="0"/>
    <x v="10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3"/>
    <x v="0"/>
    <x v="10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13"/>
    <x v="0"/>
    <x v="10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Regular"/>
    <x v="2"/>
    <x v="0"/>
    <x v="0"/>
    <x v="0"/>
    <x v="0"/>
    <x v="24"/>
    <x v="0"/>
    <x v="10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Regular"/>
    <x v="2"/>
    <x v="0"/>
    <x v="0"/>
    <x v="0"/>
    <x v="0"/>
    <x v="25"/>
    <x v="0"/>
    <x v="10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Regular"/>
    <x v="2"/>
    <x v="0"/>
    <x v="0"/>
    <x v="0"/>
    <x v="0"/>
    <x v="26"/>
    <x v="0"/>
    <x v="10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7"/>
    <x v="0"/>
    <x v="10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28"/>
    <x v="0"/>
    <x v="10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Regular"/>
    <x v="2"/>
    <x v="0"/>
    <x v="0"/>
    <x v="0"/>
    <x v="0"/>
    <x v="29"/>
    <x v="0"/>
    <x v="10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0"/>
    <x v="0"/>
    <x v="10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Regular"/>
    <x v="2"/>
    <x v="0"/>
    <x v="0"/>
    <x v="0"/>
    <x v="0"/>
    <x v="31"/>
    <x v="0"/>
    <x v="10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0"/>
    <x v="0"/>
    <x v="0"/>
    <x v="0"/>
    <x v="32"/>
    <x v="0"/>
    <x v="10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PROJETADO"/>
    <x v="2"/>
    <x v="0"/>
    <x v="0"/>
    <x v="0"/>
    <x v="0"/>
    <x v="16"/>
    <x v="0"/>
    <x v="11"/>
    <n v="302"/>
    <n v="302"/>
    <n v="0"/>
    <n v="0"/>
    <n v="0"/>
    <n v="0"/>
    <n v="0"/>
    <s v="GERAÇÃO"/>
    <n v="404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17"/>
    <x v="0"/>
    <x v="11"/>
    <n v="5040"/>
    <n v="5040"/>
    <n v="0"/>
    <n v="0"/>
    <n v="0"/>
    <n v="0"/>
    <n v="0"/>
    <s v="GERAÇÃO"/>
    <n v="838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18"/>
    <x v="0"/>
    <x v="11"/>
    <n v="3800"/>
    <n v="1900"/>
    <n v="0"/>
    <n v="0"/>
    <n v="0"/>
    <n v="0"/>
    <n v="0"/>
    <s v="GERAÇÃO"/>
    <n v="1192"/>
    <n v="28"/>
    <n v="0"/>
    <n v="0"/>
    <n v="15.24"/>
    <n v="0"/>
    <n v="0"/>
    <n v="17.13811868924876"/>
    <m/>
    <m/>
    <n v="28956"/>
    <n v="0"/>
    <n v="32562.425509572644"/>
    <n v="0"/>
    <x v="0"/>
  </r>
  <r>
    <s v="PROJETADO"/>
    <x v="2"/>
    <x v="0"/>
    <x v="0"/>
    <x v="0"/>
    <x v="0"/>
    <x v="19"/>
    <x v="0"/>
    <x v="11"/>
    <n v="480"/>
    <n v="480"/>
    <n v="0"/>
    <n v="0"/>
    <n v="0"/>
    <n v="0"/>
    <n v="0"/>
    <s v="GERAÇÃO"/>
    <n v="1438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20"/>
    <x v="0"/>
    <x v="11"/>
    <n v="736"/>
    <n v="736"/>
    <n v="0"/>
    <n v="0"/>
    <n v="0"/>
    <n v="0"/>
    <n v="0"/>
    <s v="GERAÇÃO"/>
    <n v="1462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21"/>
    <x v="0"/>
    <x v="11"/>
    <n v="6460"/>
    <n v="6460"/>
    <n v="0"/>
    <n v="0"/>
    <n v="0"/>
    <n v="0"/>
    <n v="0"/>
    <s v="GERAÇÃO"/>
    <n v="1533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22"/>
    <x v="0"/>
    <x v="11"/>
    <n v="770"/>
    <n v="770"/>
    <n v="0"/>
    <n v="0"/>
    <n v="0"/>
    <n v="0"/>
    <n v="0"/>
    <s v="GERAÇÃO"/>
    <n v="2535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23"/>
    <x v="0"/>
    <x v="11"/>
    <n v="1416"/>
    <n v="1416"/>
    <n v="0"/>
    <n v="0"/>
    <n v="0"/>
    <n v="0"/>
    <n v="0"/>
    <s v="GERAÇÃO"/>
    <n v="2751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13"/>
    <x v="0"/>
    <x v="11"/>
    <n v="9500"/>
    <n v="4750"/>
    <n v="0"/>
    <n v="0"/>
    <n v="0"/>
    <n v="0"/>
    <n v="0"/>
    <s v="GERAÇÃO"/>
    <n v="27722"/>
    <n v="28"/>
    <n v="0"/>
    <n v="0"/>
    <n v="15.24"/>
    <n v="0"/>
    <n v="0"/>
    <n v="17.13811868924876"/>
    <m/>
    <m/>
    <n v="72390"/>
    <n v="0"/>
    <n v="81406.063773931615"/>
    <n v="0"/>
    <x v="0"/>
  </r>
  <r>
    <s v="PROJETADO"/>
    <x v="2"/>
    <x v="0"/>
    <x v="0"/>
    <x v="0"/>
    <x v="0"/>
    <x v="24"/>
    <x v="0"/>
    <x v="11"/>
    <n v="420"/>
    <n v="420"/>
    <n v="0"/>
    <n v="0"/>
    <n v="0"/>
    <n v="0"/>
    <n v="0"/>
    <s v="GERAÇÃO"/>
    <n v="27928"/>
    <n v="28"/>
    <n v="0"/>
    <n v="0"/>
    <n v="15.24"/>
    <n v="0"/>
    <n v="0"/>
    <n v="17.13811868924876"/>
    <m/>
    <m/>
    <n v="0"/>
    <n v="0"/>
    <n v="0"/>
    <n v="0"/>
    <x v="0"/>
  </r>
  <r>
    <s v="PROJETADO"/>
    <x v="2"/>
    <x v="0"/>
    <x v="0"/>
    <x v="0"/>
    <x v="0"/>
    <x v="25"/>
    <x v="0"/>
    <x v="11"/>
    <n v="1300"/>
    <n v="650"/>
    <n v="0"/>
    <n v="0"/>
    <n v="0"/>
    <n v="0"/>
    <n v="0"/>
    <s v="GERAÇÃO"/>
    <n v="30847"/>
    <n v="28"/>
    <n v="0"/>
    <n v="0"/>
    <n v="15.24"/>
    <n v="0"/>
    <n v="0"/>
    <n v="17.13811868924876"/>
    <m/>
    <m/>
    <n v="9906"/>
    <n v="0"/>
    <n v="11139.777148011693"/>
    <n v="0"/>
    <x v="0"/>
  </r>
  <r>
    <s v="PROJETADO"/>
    <x v="2"/>
    <x v="0"/>
    <x v="0"/>
    <x v="0"/>
    <x v="0"/>
    <x v="26"/>
    <x v="0"/>
    <x v="11"/>
    <n v="1180"/>
    <n v="590"/>
    <n v="0"/>
    <n v="0"/>
    <n v="0"/>
    <n v="0"/>
    <n v="0"/>
    <s v="GERAÇÃO"/>
    <n v="30866"/>
    <n v="28"/>
    <n v="0"/>
    <n v="0"/>
    <n v="15.24"/>
    <n v="0"/>
    <n v="0"/>
    <n v="17.13811868924876"/>
    <m/>
    <m/>
    <n v="8991.6"/>
    <n v="0"/>
    <n v="10111.490026656767"/>
    <n v="0"/>
    <x v="0"/>
  </r>
  <r>
    <s v="PROJETADO"/>
    <x v="2"/>
    <x v="0"/>
    <x v="0"/>
    <x v="0"/>
    <x v="0"/>
    <x v="27"/>
    <x v="0"/>
    <x v="11"/>
    <n v="1180"/>
    <n v="590"/>
    <n v="0"/>
    <n v="0"/>
    <n v="0"/>
    <n v="0"/>
    <n v="0"/>
    <s v="GERAÇÃO"/>
    <n v="31051"/>
    <n v="28"/>
    <n v="0"/>
    <n v="0"/>
    <n v="15.24"/>
    <n v="0"/>
    <n v="0"/>
    <n v="17.13811868924876"/>
    <m/>
    <m/>
    <n v="8991.6"/>
    <n v="0"/>
    <n v="10111.490026656767"/>
    <n v="0"/>
    <x v="0"/>
  </r>
  <r>
    <s v="PROJETADO"/>
    <x v="2"/>
    <x v="0"/>
    <x v="0"/>
    <x v="0"/>
    <x v="0"/>
    <x v="28"/>
    <x v="0"/>
    <x v="11"/>
    <n v="1000"/>
    <n v="500"/>
    <n v="0"/>
    <n v="0"/>
    <n v="0"/>
    <n v="0"/>
    <n v="0"/>
    <s v="GERAÇÃO"/>
    <n v="31277"/>
    <n v="28"/>
    <n v="0"/>
    <n v="0"/>
    <n v="15.24"/>
    <n v="0"/>
    <n v="0"/>
    <n v="17.13811868924876"/>
    <m/>
    <m/>
    <n v="7620"/>
    <n v="0"/>
    <n v="8569.0593446243802"/>
    <n v="0"/>
    <x v="0"/>
  </r>
  <r>
    <s v="PROJETADO"/>
    <x v="2"/>
    <x v="0"/>
    <x v="0"/>
    <x v="0"/>
    <x v="0"/>
    <x v="29"/>
    <x v="0"/>
    <x v="11"/>
    <n v="1180"/>
    <n v="590"/>
    <n v="0"/>
    <n v="0"/>
    <n v="0"/>
    <n v="0"/>
    <n v="0"/>
    <s v="GERAÇÃO"/>
    <n v="31318"/>
    <n v="28"/>
    <n v="0"/>
    <n v="0"/>
    <n v="15.24"/>
    <n v="0"/>
    <n v="0"/>
    <n v="17.13811868924876"/>
    <m/>
    <m/>
    <n v="8991.6"/>
    <n v="0"/>
    <n v="10111.490026656767"/>
    <n v="0"/>
    <x v="0"/>
  </r>
  <r>
    <s v="PROJETADO"/>
    <x v="2"/>
    <x v="0"/>
    <x v="0"/>
    <x v="0"/>
    <x v="0"/>
    <x v="30"/>
    <x v="0"/>
    <x v="11"/>
    <n v="3000"/>
    <n v="1500"/>
    <n v="0"/>
    <n v="0"/>
    <n v="0"/>
    <n v="0"/>
    <n v="0"/>
    <s v="GERAÇÃO"/>
    <n v="31334"/>
    <n v="28"/>
    <n v="0"/>
    <n v="0"/>
    <n v="15.24"/>
    <n v="0"/>
    <n v="0"/>
    <n v="17.13811868924876"/>
    <m/>
    <m/>
    <n v="22860"/>
    <n v="0"/>
    <n v="25707.178033873141"/>
    <n v="0"/>
    <x v="0"/>
  </r>
  <r>
    <s v="PROJETADO"/>
    <x v="2"/>
    <x v="0"/>
    <x v="0"/>
    <x v="0"/>
    <x v="0"/>
    <x v="31"/>
    <x v="0"/>
    <x v="11"/>
    <n v="1180"/>
    <n v="590"/>
    <n v="0"/>
    <n v="0"/>
    <n v="0"/>
    <n v="0"/>
    <n v="0"/>
    <s v="GERAÇÃO"/>
    <n v="31618"/>
    <n v="28"/>
    <n v="0"/>
    <n v="0"/>
    <n v="15.24"/>
    <n v="0"/>
    <n v="0"/>
    <n v="17.13811868924876"/>
    <m/>
    <m/>
    <n v="8991.6"/>
    <n v="0"/>
    <n v="10111.490026656767"/>
    <n v="0"/>
    <x v="0"/>
  </r>
  <r>
    <s v="PROJETADO"/>
    <x v="2"/>
    <x v="0"/>
    <x v="0"/>
    <x v="0"/>
    <x v="0"/>
    <x v="32"/>
    <x v="0"/>
    <x v="11"/>
    <n v="1180"/>
    <n v="590"/>
    <n v="0"/>
    <n v="0"/>
    <n v="0"/>
    <n v="0"/>
    <n v="0"/>
    <s v="GERAÇÃO"/>
    <n v="31677"/>
    <n v="28"/>
    <n v="0"/>
    <n v="0"/>
    <n v="15.24"/>
    <n v="0"/>
    <n v="0"/>
    <n v="17.13811868924876"/>
    <m/>
    <m/>
    <n v="8991.6"/>
    <n v="0"/>
    <n v="10111.490026656767"/>
    <n v="0"/>
    <x v="0"/>
  </r>
  <r>
    <s v="Regular"/>
    <x v="2"/>
    <x v="2"/>
    <x v="1"/>
    <x v="0"/>
    <x v="1"/>
    <x v="15"/>
    <x v="1"/>
    <x v="0"/>
    <n v="0"/>
    <n v="0"/>
    <n v="8131.9930000000004"/>
    <n v="8131.9930000000004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1"/>
    <n v="0"/>
    <n v="0"/>
    <n v="8315.268"/>
    <n v="8315.268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2"/>
    <n v="0"/>
    <n v="0"/>
    <n v="9395.1239999999998"/>
    <n v="9395.1239999999998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3"/>
    <n v="0"/>
    <n v="0"/>
    <n v="9668.259"/>
    <n v="9668.259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4"/>
    <n v="0"/>
    <n v="0"/>
    <n v="9934.5319999999992"/>
    <n v="9934.5319999999992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5"/>
    <n v="0"/>
    <n v="0"/>
    <n v="10098.861999999999"/>
    <n v="10098.861999999999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6"/>
    <n v="0"/>
    <n v="0"/>
    <n v="9983.5329999999994"/>
    <n v="9983.5329999999994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7"/>
    <n v="0"/>
    <n v="0"/>
    <n v="8848.39"/>
    <n v="8848.39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8"/>
    <n v="0"/>
    <n v="0"/>
    <n v="10698.968999999999"/>
    <n v="10698.968999999999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9"/>
    <n v="0"/>
    <n v="0"/>
    <n v="10571.866"/>
    <n v="10571.866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1"/>
    <x v="10"/>
    <n v="0"/>
    <n v="0"/>
    <n v="12207.191999999999"/>
    <n v="12207.191999999999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PROJETADO"/>
    <x v="2"/>
    <x v="2"/>
    <x v="1"/>
    <x v="0"/>
    <x v="1"/>
    <x v="15"/>
    <x v="1"/>
    <x v="11"/>
    <n v="0"/>
    <n v="0"/>
    <n v="12207.191999999999"/>
    <n v="12207.191999999999"/>
    <n v="0"/>
    <n v="0"/>
    <n v="0"/>
    <s v="LIVRE"/>
    <n v="0"/>
    <n v="0"/>
    <n v="31"/>
    <n v="0"/>
    <n v="0"/>
    <n v="88.66"/>
    <n v="0"/>
    <m/>
    <n v="137.25956288333876"/>
    <m/>
    <n v="0"/>
    <n v="0"/>
    <n v="0"/>
    <n v="0"/>
    <x v="1"/>
  </r>
  <r>
    <s v="Regular"/>
    <x v="2"/>
    <x v="2"/>
    <x v="1"/>
    <x v="0"/>
    <x v="1"/>
    <x v="15"/>
    <x v="0"/>
    <x v="0"/>
    <n v="41181"/>
    <n v="19220.616505860002"/>
    <n v="0"/>
    <n v="0"/>
    <n v="0"/>
    <n v="0"/>
    <n v="57"/>
    <s v="LIVRE"/>
    <n v="0"/>
    <n v="29"/>
    <n v="0"/>
    <n v="0"/>
    <n v="25.51"/>
    <n v="0"/>
    <n v="0"/>
    <n v="29.803266797877356"/>
    <m/>
    <m/>
    <n v="560209.38293551141"/>
    <n v="0"/>
    <n v="654491.16825955652"/>
    <n v="0"/>
    <x v="1"/>
  </r>
  <r>
    <s v="Regular"/>
    <x v="2"/>
    <x v="2"/>
    <x v="1"/>
    <x v="0"/>
    <x v="1"/>
    <x v="15"/>
    <x v="0"/>
    <x v="1"/>
    <n v="41170"/>
    <n v="16880.3500743"/>
    <n v="0"/>
    <n v="0"/>
    <n v="0"/>
    <n v="0"/>
    <n v="58"/>
    <s v="LIVRE"/>
    <n v="0"/>
    <n v="29"/>
    <n v="0"/>
    <n v="0"/>
    <n v="25.51"/>
    <n v="0"/>
    <n v="0"/>
    <n v="29.803266797877356"/>
    <m/>
    <m/>
    <n v="619628.96960460697"/>
    <n v="0"/>
    <n v="723910.91716267902"/>
    <n v="0"/>
    <x v="1"/>
  </r>
  <r>
    <s v="Regular"/>
    <x v="2"/>
    <x v="2"/>
    <x v="1"/>
    <x v="0"/>
    <x v="1"/>
    <x v="15"/>
    <x v="0"/>
    <x v="2"/>
    <n v="42740"/>
    <n v="19377.588992600002"/>
    <n v="0"/>
    <n v="0"/>
    <n v="0"/>
    <n v="0"/>
    <n v="59"/>
    <s v="LIVRE"/>
    <n v="0"/>
    <n v="29"/>
    <n v="0"/>
    <n v="0"/>
    <n v="25.51"/>
    <n v="0"/>
    <n v="0"/>
    <n v="29.803266797877356"/>
    <m/>
    <m/>
    <n v="595975.104798774"/>
    <n v="0"/>
    <n v="696276.16829520883"/>
    <n v="0"/>
    <x v="1"/>
  </r>
  <r>
    <s v="Regular"/>
    <x v="2"/>
    <x v="2"/>
    <x v="1"/>
    <x v="0"/>
    <x v="1"/>
    <x v="15"/>
    <x v="0"/>
    <x v="3"/>
    <n v="43623"/>
    <n v="19310.943266459999"/>
    <n v="0"/>
    <n v="0"/>
    <n v="0"/>
    <n v="0"/>
    <n v="58"/>
    <s v="LIVRE"/>
    <n v="0"/>
    <n v="29"/>
    <n v="0"/>
    <n v="0"/>
    <n v="25.51"/>
    <n v="0"/>
    <n v="0"/>
    <n v="29.803266797877356"/>
    <m/>
    <m/>
    <n v="620200.56727260549"/>
    <n v="0"/>
    <n v="724578.71323482331"/>
    <n v="0"/>
    <x v="1"/>
  </r>
  <r>
    <s v="Regular"/>
    <x v="2"/>
    <x v="2"/>
    <x v="1"/>
    <x v="0"/>
    <x v="1"/>
    <x v="15"/>
    <x v="0"/>
    <x v="4"/>
    <n v="44541"/>
    <n v="20529.41636214"/>
    <n v="0"/>
    <n v="0"/>
    <n v="0"/>
    <n v="0"/>
    <n v="60"/>
    <s v="LIVRE"/>
    <n v="0"/>
    <n v="29"/>
    <n v="0"/>
    <n v="0"/>
    <n v="25.51"/>
    <n v="0"/>
    <n v="0"/>
    <n v="29.803266797877356"/>
    <m/>
    <m/>
    <n v="612535.49860180868"/>
    <n v="0"/>
    <n v="715623.63339868817"/>
    <n v="0"/>
    <x v="1"/>
  </r>
  <r>
    <s v="Regular"/>
    <x v="2"/>
    <x v="2"/>
    <x v="1"/>
    <x v="0"/>
    <x v="1"/>
    <x v="15"/>
    <x v="0"/>
    <x v="5"/>
    <n v="45888"/>
    <n v="20296.62812736"/>
    <n v="0"/>
    <n v="0"/>
    <n v="0"/>
    <n v="0"/>
    <n v="63"/>
    <s v="LIVRE"/>
    <n v="0"/>
    <n v="29"/>
    <n v="0"/>
    <n v="0"/>
    <n v="25.51"/>
    <n v="0"/>
    <n v="0"/>
    <n v="29.803266797877356"/>
    <m/>
    <m/>
    <n v="652835.89647104649"/>
    <n v="0"/>
    <n v="762706.48364398419"/>
    <n v="0"/>
    <x v="1"/>
  </r>
  <r>
    <s v="Regular"/>
    <x v="2"/>
    <x v="2"/>
    <x v="1"/>
    <x v="0"/>
    <x v="1"/>
    <x v="15"/>
    <x v="0"/>
    <x v="6"/>
    <n v="46627"/>
    <n v="20866.83863138"/>
    <n v="0"/>
    <n v="0"/>
    <n v="0"/>
    <n v="0"/>
    <n v="66"/>
    <s v="LIVRE"/>
    <n v="0"/>
    <n v="29"/>
    <n v="0"/>
    <n v="0"/>
    <n v="25.51"/>
    <n v="0"/>
    <n v="0"/>
    <n v="29.803266797877356"/>
    <m/>
    <m/>
    <n v="657141.71651349624"/>
    <n v="0"/>
    <n v="767736.96202535531"/>
    <n v="0"/>
    <x v="1"/>
  </r>
  <r>
    <s v="Regular"/>
    <x v="2"/>
    <x v="2"/>
    <x v="1"/>
    <x v="0"/>
    <x v="1"/>
    <x v="15"/>
    <x v="0"/>
    <x v="7"/>
    <n v="46548"/>
    <n v="20991.48297804"/>
    <n v="0"/>
    <n v="0"/>
    <n v="0"/>
    <n v="0"/>
    <n v="66"/>
    <s v="LIVRE"/>
    <n v="0"/>
    <n v="29"/>
    <n v="0"/>
    <n v="0"/>
    <n v="25.51"/>
    <n v="0"/>
    <n v="0"/>
    <n v="29.803266797877356"/>
    <m/>
    <m/>
    <n v="651946.74923019961"/>
    <n v="0"/>
    <n v="761667.69522996794"/>
    <n v="0"/>
    <x v="1"/>
  </r>
  <r>
    <s v="Regular"/>
    <x v="2"/>
    <x v="2"/>
    <x v="1"/>
    <x v="0"/>
    <x v="1"/>
    <x v="15"/>
    <x v="0"/>
    <x v="8"/>
    <n v="49961"/>
    <n v="22546.725825720001"/>
    <n v="0"/>
    <n v="0"/>
    <n v="0"/>
    <n v="0"/>
    <n v="71"/>
    <s v="LIVRE"/>
    <n v="0"/>
    <n v="29"/>
    <n v="0"/>
    <n v="0"/>
    <n v="25.51"/>
    <n v="0"/>
    <n v="0"/>
    <n v="29.803266797877356"/>
    <m/>
    <m/>
    <n v="699338.13418588287"/>
    <n v="0"/>
    <n v="817034.92728622572"/>
    <n v="0"/>
    <x v="1"/>
  </r>
  <r>
    <s v="Regular"/>
    <x v="2"/>
    <x v="2"/>
    <x v="1"/>
    <x v="0"/>
    <x v="1"/>
    <x v="15"/>
    <x v="0"/>
    <x v="9"/>
    <n v="50562"/>
    <n v="22860.607172399999"/>
    <n v="0"/>
    <n v="0"/>
    <n v="0"/>
    <n v="0"/>
    <n v="72"/>
    <s v="LIVRE"/>
    <n v="0"/>
    <n v="29"/>
    <n v="0"/>
    <n v="0"/>
    <n v="25.51"/>
    <n v="0"/>
    <n v="0"/>
    <n v="29.803266797877356"/>
    <m/>
    <m/>
    <n v="706662.53103207611"/>
    <n v="0"/>
    <n v="825592.00111376902"/>
    <n v="0"/>
    <x v="1"/>
  </r>
  <r>
    <s v="Regular"/>
    <x v="2"/>
    <x v="2"/>
    <x v="1"/>
    <x v="0"/>
    <x v="1"/>
    <x v="15"/>
    <x v="0"/>
    <x v="10"/>
    <n v="51418"/>
    <n v="24840.067164979999"/>
    <n v="0"/>
    <n v="0"/>
    <n v="0"/>
    <n v="0"/>
    <n v="73"/>
    <s v="LIVRE"/>
    <n v="0"/>
    <n v="29"/>
    <n v="0"/>
    <n v="0"/>
    <n v="25.51"/>
    <n v="0"/>
    <n v="0"/>
    <n v="29.803266797877356"/>
    <m/>
    <m/>
    <n v="678003.06662136025"/>
    <n v="0"/>
    <n v="792109.22321816604"/>
    <n v="0"/>
    <x v="1"/>
  </r>
  <r>
    <s v="PROJETADO"/>
    <x v="2"/>
    <x v="2"/>
    <x v="1"/>
    <x v="0"/>
    <x v="1"/>
    <x v="15"/>
    <x v="0"/>
    <x v="11"/>
    <n v="51418"/>
    <n v="24840.067164979999"/>
    <n v="0"/>
    <n v="0"/>
    <n v="0"/>
    <n v="0"/>
    <n v="73"/>
    <s v="LIVRE"/>
    <n v="0"/>
    <n v="29"/>
    <n v="0"/>
    <n v="0"/>
    <n v="25.51"/>
    <n v="0"/>
    <n v="0"/>
    <n v="29.803266797877356"/>
    <m/>
    <m/>
    <n v="678003.06662136025"/>
    <n v="0"/>
    <n v="792109.22321816604"/>
    <n v="0"/>
    <x v="1"/>
  </r>
  <r>
    <s v="Regular"/>
    <x v="2"/>
    <x v="2"/>
    <x v="1"/>
    <x v="0"/>
    <x v="1"/>
    <x v="15"/>
    <x v="2"/>
    <x v="0"/>
    <n v="0"/>
    <n v="0"/>
    <n v="521.98800000000006"/>
    <n v="284.31180946607998"/>
    <n v="0"/>
    <n v="0"/>
    <n v="0"/>
    <s v="LIVRE"/>
    <n v="0"/>
    <n v="0"/>
    <n v="30"/>
    <n v="0"/>
    <n v="0"/>
    <n v="1682.12"/>
    <n v="0"/>
    <m/>
    <n v="1969.6669835803759"/>
    <m/>
    <n v="0"/>
    <n v="399799.87362091761"/>
    <n v="0"/>
    <n v="468142.94527782104"/>
    <x v="1"/>
  </r>
  <r>
    <s v="Regular"/>
    <x v="2"/>
    <x v="2"/>
    <x v="1"/>
    <x v="0"/>
    <x v="1"/>
    <x v="15"/>
    <x v="2"/>
    <x v="1"/>
    <n v="0"/>
    <n v="0"/>
    <n v="529.19000000000005"/>
    <n v="234.49005826320001"/>
    <n v="0"/>
    <n v="0"/>
    <n v="0"/>
    <s v="LIVRE"/>
    <n v="0"/>
    <n v="0"/>
    <n v="30"/>
    <n v="0"/>
    <n v="0"/>
    <n v="1682.12"/>
    <n v="0"/>
    <m/>
    <n v="1969.6669835803759"/>
    <m/>
    <n v="0"/>
    <n v="495720.66599430604"/>
    <n v="0"/>
    <n v="580460.74530203547"/>
    <x v="1"/>
  </r>
  <r>
    <s v="Regular"/>
    <x v="2"/>
    <x v="2"/>
    <x v="1"/>
    <x v="0"/>
    <x v="1"/>
    <x v="15"/>
    <x v="2"/>
    <x v="2"/>
    <n v="0"/>
    <n v="0"/>
    <n v="595.07899999999995"/>
    <n v="282.61363926015002"/>
    <n v="0"/>
    <n v="0"/>
    <n v="0"/>
    <s v="LIVRE"/>
    <n v="0"/>
    <n v="0"/>
    <n v="30"/>
    <n v="0"/>
    <n v="0"/>
    <n v="1682.12"/>
    <n v="0"/>
    <m/>
    <n v="1969.6669835803759"/>
    <m/>
    <n v="0"/>
    <n v="525604.23260771635"/>
    <n v="0"/>
    <n v="615452.7045618142"/>
    <x v="1"/>
  </r>
  <r>
    <s v="Regular"/>
    <x v="2"/>
    <x v="2"/>
    <x v="1"/>
    <x v="0"/>
    <x v="1"/>
    <x v="15"/>
    <x v="2"/>
    <x v="3"/>
    <n v="0"/>
    <n v="0"/>
    <n v="635.16800000000001"/>
    <n v="290.33099271264001"/>
    <n v="0"/>
    <n v="0"/>
    <n v="0"/>
    <s v="LIVRE"/>
    <n v="0"/>
    <n v="0"/>
    <n v="30"/>
    <n v="0"/>
    <n v="0"/>
    <n v="1682.12"/>
    <n v="0"/>
    <m/>
    <n v="1969.6669835803759"/>
    <m/>
    <n v="0"/>
    <n v="580057.22669821396"/>
    <n v="0"/>
    <n v="679214.06797057844"/>
    <x v="1"/>
  </r>
  <r>
    <s v="Regular"/>
    <x v="2"/>
    <x v="2"/>
    <x v="1"/>
    <x v="0"/>
    <x v="1"/>
    <x v="15"/>
    <x v="2"/>
    <x v="4"/>
    <n v="0"/>
    <n v="0"/>
    <n v="633.26"/>
    <n v="311.25540839320001"/>
    <n v="0"/>
    <n v="0"/>
    <n v="0"/>
    <s v="LIVRE"/>
    <n v="0"/>
    <n v="0"/>
    <n v="30"/>
    <n v="0"/>
    <n v="0"/>
    <n v="1682.12"/>
    <n v="0"/>
    <m/>
    <n v="1969.6669835803759"/>
    <m/>
    <n v="0"/>
    <n v="541650.36363363033"/>
    <n v="0"/>
    <n v="634241.8126491966"/>
    <x v="1"/>
  </r>
  <r>
    <s v="Regular"/>
    <x v="2"/>
    <x v="2"/>
    <x v="1"/>
    <x v="0"/>
    <x v="1"/>
    <x v="15"/>
    <x v="2"/>
    <x v="5"/>
    <n v="0"/>
    <n v="0"/>
    <n v="603.77200000000005"/>
    <n v="272.93737863183998"/>
    <n v="0"/>
    <n v="0"/>
    <n v="0"/>
    <s v="LIVRE"/>
    <n v="0"/>
    <n v="0"/>
    <n v="30"/>
    <n v="0"/>
    <n v="0"/>
    <n v="1682.12"/>
    <n v="0"/>
    <m/>
    <n v="1969.6669835803759"/>
    <m/>
    <n v="0"/>
    <n v="556503.53329580941"/>
    <n v="0"/>
    <n v="651634.03073417966"/>
    <x v="1"/>
  </r>
  <r>
    <s v="Regular"/>
    <x v="2"/>
    <x v="2"/>
    <x v="1"/>
    <x v="0"/>
    <x v="1"/>
    <x v="15"/>
    <x v="2"/>
    <x v="6"/>
    <n v="0"/>
    <n v="0"/>
    <n v="581.6"/>
    <n v="262.41905412"/>
    <n v="0"/>
    <n v="0"/>
    <n v="0"/>
    <s v="LIVRE"/>
    <n v="0"/>
    <n v="0"/>
    <n v="30"/>
    <n v="0"/>
    <n v="0"/>
    <n v="1682.12"/>
    <n v="0"/>
    <m/>
    <n v="1969.6669835803759"/>
    <m/>
    <n v="0"/>
    <n v="536900.65268366563"/>
    <n v="0"/>
    <n v="628680.17088779085"/>
    <x v="1"/>
  </r>
  <r>
    <s v="Regular"/>
    <x v="2"/>
    <x v="2"/>
    <x v="1"/>
    <x v="0"/>
    <x v="1"/>
    <x v="15"/>
    <x v="2"/>
    <x v="7"/>
    <n v="0"/>
    <n v="0"/>
    <n v="594.10199999999998"/>
    <n v="282.09268796196"/>
    <n v="0"/>
    <n v="0"/>
    <n v="0"/>
    <s v="LIVRE"/>
    <n v="0"/>
    <n v="0"/>
    <n v="30"/>
    <n v="0"/>
    <n v="0"/>
    <n v="1682.12"/>
    <n v="0"/>
    <m/>
    <n v="1969.6669835803759"/>
    <m/>
    <n v="0"/>
    <n v="524837.10396542773"/>
    <n v="0"/>
    <n v="614554.44049095444"/>
    <x v="1"/>
  </r>
  <r>
    <s v="Regular"/>
    <x v="2"/>
    <x v="2"/>
    <x v="1"/>
    <x v="0"/>
    <x v="1"/>
    <x v="15"/>
    <x v="2"/>
    <x v="8"/>
    <n v="0"/>
    <n v="0"/>
    <n v="684.048"/>
    <n v="332.65037396783998"/>
    <n v="0"/>
    <n v="0"/>
    <n v="0"/>
    <s v="LIVRE"/>
    <n v="0"/>
    <n v="0"/>
    <n v="30"/>
    <n v="0"/>
    <n v="0"/>
    <n v="1682.12"/>
    <n v="0"/>
    <m/>
    <n v="1969.6669835803759"/>
    <m/>
    <n v="0"/>
    <n v="591092.97470121703"/>
    <n v="0"/>
    <n v="692136.30210406962"/>
    <x v="1"/>
  </r>
  <r>
    <s v="Regular"/>
    <x v="2"/>
    <x v="2"/>
    <x v="1"/>
    <x v="0"/>
    <x v="1"/>
    <x v="15"/>
    <x v="2"/>
    <x v="9"/>
    <n v="0"/>
    <n v="0"/>
    <n v="699.726"/>
    <n v="344.76040208472"/>
    <n v="0"/>
    <n v="0"/>
    <n v="0"/>
    <s v="LIVRE"/>
    <n v="0"/>
    <n v="0"/>
    <n v="30"/>
    <n v="0"/>
    <n v="0"/>
    <n v="1682.12"/>
    <n v="0"/>
    <m/>
    <n v="1969.6669835803759"/>
    <m/>
    <n v="0"/>
    <n v="597094.73156525078"/>
    <n v="0"/>
    <n v="699164.01852059411"/>
    <x v="1"/>
  </r>
  <r>
    <s v="Regular"/>
    <x v="2"/>
    <x v="2"/>
    <x v="1"/>
    <x v="0"/>
    <x v="1"/>
    <x v="15"/>
    <x v="2"/>
    <x v="10"/>
    <n v="0"/>
    <n v="0"/>
    <n v="821.54499999999996"/>
    <n v="414.78320875095"/>
    <n v="0"/>
    <n v="0"/>
    <n v="0"/>
    <s v="LIVRE"/>
    <n v="0"/>
    <n v="0"/>
    <n v="30"/>
    <n v="0"/>
    <n v="0"/>
    <n v="1682.12"/>
    <n v="0"/>
    <m/>
    <n v="1969.6669835803759"/>
    <m/>
    <n v="0"/>
    <n v="684222.14429585193"/>
    <n v="0"/>
    <n v="801185.27040526678"/>
    <x v="1"/>
  </r>
  <r>
    <s v="PROJETADO"/>
    <x v="2"/>
    <x v="2"/>
    <x v="1"/>
    <x v="0"/>
    <x v="1"/>
    <x v="15"/>
    <x v="2"/>
    <x v="11"/>
    <n v="0"/>
    <n v="0"/>
    <n v="821.54499999999996"/>
    <n v="414.78320875095"/>
    <n v="0"/>
    <n v="0"/>
    <n v="0"/>
    <s v="LIVRE"/>
    <n v="0"/>
    <n v="0"/>
    <n v="30"/>
    <n v="0"/>
    <n v="0"/>
    <n v="1682.12"/>
    <n v="0"/>
    <m/>
    <n v="1969.6669835803759"/>
    <m/>
    <n v="0"/>
    <n v="684222.14429585193"/>
    <n v="0"/>
    <n v="801185.27040526678"/>
    <x v="1"/>
  </r>
  <r>
    <s v="Regular"/>
    <x v="2"/>
    <x v="2"/>
    <x v="2"/>
    <x v="0"/>
    <x v="0"/>
    <x v="15"/>
    <x v="1"/>
    <x v="0"/>
    <n v="0"/>
    <n v="0"/>
    <n v="212.03899999999999"/>
    <n v="203.55744000000001"/>
    <n v="212.03899999999999"/>
    <n v="203.55744000000001"/>
    <n v="0"/>
    <s v="CATIVO"/>
    <n v="0"/>
    <n v="0"/>
    <n v="31"/>
    <n v="79"/>
    <n v="0"/>
    <n v="88.66"/>
    <n v="311.04000000000002"/>
    <m/>
    <n v="137.25956288333876"/>
    <n v="311.14842517571947"/>
    <n v="0"/>
    <n v="3390.0795319999897"/>
    <n v="0"/>
    <n v="3803.1992552021738"/>
    <x v="2"/>
  </r>
  <r>
    <s v="Refaturamento - Regular"/>
    <x v="2"/>
    <x v="2"/>
    <x v="2"/>
    <x v="0"/>
    <x v="0"/>
    <x v="15"/>
    <x v="1"/>
    <x v="0"/>
    <n v="0"/>
    <n v="0"/>
    <n v="6.12"/>
    <n v="5.8752000000000004"/>
    <n v="6.12"/>
    <n v="5.8752000000000004"/>
    <n v="0"/>
    <s v="CATIVO"/>
    <n v="0"/>
    <n v="0"/>
    <n v="31"/>
    <n v="79"/>
    <n v="0"/>
    <n v="88.66"/>
    <n v="311.04000000000002"/>
    <m/>
    <n v="137.25956288333876"/>
    <n v="311.14842517571947"/>
    <n v="0"/>
    <n v="97.846559999999883"/>
    <n v="0"/>
    <n v="109.77027547685731"/>
    <x v="2"/>
  </r>
  <r>
    <s v="Regular"/>
    <x v="2"/>
    <x v="2"/>
    <x v="2"/>
    <x v="0"/>
    <x v="0"/>
    <x v="15"/>
    <x v="1"/>
    <x v="1"/>
    <n v="0"/>
    <n v="0"/>
    <n v="233.19399999999999"/>
    <n v="223.86624"/>
    <n v="233.19399999999999"/>
    <n v="223.86624"/>
    <n v="0"/>
    <s v="CATIVO"/>
    <n v="0"/>
    <n v="0"/>
    <n v="31"/>
    <n v="79"/>
    <n v="0"/>
    <n v="88.66"/>
    <n v="311.04000000000002"/>
    <m/>
    <n v="137.25956288333876"/>
    <n v="311.14842517571947"/>
    <n v="0"/>
    <n v="3728.305671999994"/>
    <n v="0"/>
    <n v="4182.6420946977532"/>
    <x v="2"/>
  </r>
  <r>
    <s v="Regular"/>
    <x v="2"/>
    <x v="2"/>
    <x v="2"/>
    <x v="0"/>
    <x v="0"/>
    <x v="15"/>
    <x v="1"/>
    <x v="2"/>
    <n v="0"/>
    <n v="0"/>
    <n v="216.571"/>
    <n v="207.90816000000001"/>
    <n v="216.571"/>
    <n v="207.90816000000001"/>
    <n v="0"/>
    <s v="CATIVO"/>
    <n v="0"/>
    <n v="0"/>
    <n v="31"/>
    <n v="79"/>
    <n v="0"/>
    <n v="88.66"/>
    <n v="311.04000000000002"/>
    <m/>
    <n v="137.25956288333876"/>
    <n v="311.14842517571947"/>
    <n v="0"/>
    <n v="3462.5371479999958"/>
    <n v="0"/>
    <n v="3884.486655277527"/>
    <x v="2"/>
  </r>
  <r>
    <s v="Regular"/>
    <x v="2"/>
    <x v="2"/>
    <x v="2"/>
    <x v="0"/>
    <x v="0"/>
    <x v="15"/>
    <x v="1"/>
    <x v="3"/>
    <n v="0"/>
    <n v="0"/>
    <n v="222.245"/>
    <n v="213.3552"/>
    <n v="222.245"/>
    <n v="213.3552"/>
    <n v="0"/>
    <s v="CATIVO"/>
    <n v="0"/>
    <n v="0"/>
    <n v="31"/>
    <n v="79"/>
    <n v="0"/>
    <n v="88.66"/>
    <n v="311.04000000000002"/>
    <m/>
    <n v="137.25956288333876"/>
    <n v="311.14842517571947"/>
    <n v="0"/>
    <n v="3553.2530600000036"/>
    <n v="0"/>
    <n v="3986.2573322474191"/>
    <x v="2"/>
  </r>
  <r>
    <s v="Regular"/>
    <x v="2"/>
    <x v="2"/>
    <x v="2"/>
    <x v="0"/>
    <x v="0"/>
    <x v="15"/>
    <x v="1"/>
    <x v="4"/>
    <n v="0"/>
    <n v="0"/>
    <n v="233.876"/>
    <n v="224.52096"/>
    <n v="233.876"/>
    <n v="224.52096"/>
    <n v="0"/>
    <s v="CATIVO"/>
    <n v="0"/>
    <n v="0"/>
    <n v="31"/>
    <n v="79"/>
    <n v="0"/>
    <n v="88.66"/>
    <n v="311.04000000000002"/>
    <m/>
    <n v="137.25956288333876"/>
    <n v="311.14842517571947"/>
    <n v="0"/>
    <n v="3739.2094880000013"/>
    <n v="0"/>
    <n v="4194.8746646120135"/>
    <x v="2"/>
  </r>
  <r>
    <s v="Regular"/>
    <x v="2"/>
    <x v="2"/>
    <x v="2"/>
    <x v="0"/>
    <x v="0"/>
    <x v="15"/>
    <x v="1"/>
    <x v="5"/>
    <n v="0"/>
    <n v="0"/>
    <n v="222.655"/>
    <n v="213.74879999999999"/>
    <n v="222.655"/>
    <n v="213.74879999999999"/>
    <n v="0"/>
    <s v="CATIVO"/>
    <n v="0"/>
    <n v="0"/>
    <n v="31"/>
    <n v="79"/>
    <n v="0"/>
    <n v="88.66"/>
    <n v="311.04000000000002"/>
    <m/>
    <n v="137.25956288333876"/>
    <n v="311.14842517571947"/>
    <n v="0"/>
    <n v="3559.8081400000051"/>
    <n v="0"/>
    <n v="3993.6112232515898"/>
    <x v="2"/>
  </r>
  <r>
    <s v="Regular"/>
    <x v="2"/>
    <x v="2"/>
    <x v="2"/>
    <x v="0"/>
    <x v="0"/>
    <x v="15"/>
    <x v="1"/>
    <x v="6"/>
    <n v="0"/>
    <n v="0"/>
    <n v="244.85599999999999"/>
    <n v="235.06175999999999"/>
    <n v="244.85599999999999"/>
    <n v="235.06175999999999"/>
    <n v="0"/>
    <s v="CATIVO"/>
    <n v="0"/>
    <n v="0"/>
    <n v="31"/>
    <n v="79"/>
    <n v="0"/>
    <n v="88.66"/>
    <n v="311.04000000000002"/>
    <m/>
    <n v="137.25956288333876"/>
    <n v="311.14842517571947"/>
    <n v="0"/>
    <n v="3914.757728000001"/>
    <n v="0"/>
    <n v="4391.8154529675521"/>
    <x v="2"/>
  </r>
  <r>
    <s v="Regular"/>
    <x v="2"/>
    <x v="2"/>
    <x v="2"/>
    <x v="0"/>
    <x v="0"/>
    <x v="15"/>
    <x v="1"/>
    <x v="7"/>
    <n v="0"/>
    <n v="0"/>
    <n v="210.94300000000001"/>
    <n v="202.50528"/>
    <n v="210.94300000000001"/>
    <n v="202.50528"/>
    <n v="0"/>
    <s v="CATIVO"/>
    <n v="0"/>
    <n v="0"/>
    <n v="31"/>
    <n v="79"/>
    <n v="0"/>
    <n v="88.66"/>
    <n v="311.04000000000002"/>
    <m/>
    <n v="137.25956288333876"/>
    <n v="311.14842517571947"/>
    <n v="0"/>
    <n v="3372.5566840000056"/>
    <n v="0"/>
    <n v="3783.5410490056825"/>
    <x v="2"/>
  </r>
  <r>
    <s v="Regular"/>
    <x v="2"/>
    <x v="2"/>
    <x v="2"/>
    <x v="0"/>
    <x v="0"/>
    <x v="15"/>
    <x v="1"/>
    <x v="8"/>
    <n v="0"/>
    <n v="0"/>
    <n v="190.81700000000001"/>
    <n v="183.18432000000001"/>
    <n v="190.81700000000001"/>
    <n v="183.18432000000001"/>
    <n v="0"/>
    <s v="CATIVO"/>
    <n v="0"/>
    <n v="0"/>
    <n v="31"/>
    <n v="79"/>
    <n v="0"/>
    <n v="88.66"/>
    <n v="311.04000000000002"/>
    <m/>
    <n v="137.25956288333876"/>
    <n v="311.14842517571947"/>
    <n v="0"/>
    <n v="3050.7821959999974"/>
    <n v="0"/>
    <n v="3422.5546822986094"/>
    <x v="2"/>
  </r>
  <r>
    <s v="Regular"/>
    <x v="2"/>
    <x v="2"/>
    <x v="2"/>
    <x v="0"/>
    <x v="0"/>
    <x v="15"/>
    <x v="1"/>
    <x v="9"/>
    <n v="0"/>
    <n v="0"/>
    <n v="200.46600000000001"/>
    <n v="192.44736"/>
    <n v="200.46600000000001"/>
    <n v="192.44736"/>
    <n v="0"/>
    <s v="CATIVO"/>
    <n v="0"/>
    <n v="0"/>
    <n v="31"/>
    <n v="79"/>
    <n v="0"/>
    <n v="88.66"/>
    <n v="311.04000000000002"/>
    <m/>
    <n v="137.25956288333876"/>
    <n v="311.14842517571947"/>
    <n v="0"/>
    <n v="3205.0504080000019"/>
    <n v="0"/>
    <n v="3595.6222293698888"/>
    <x v="2"/>
  </r>
  <r>
    <s v="Regular"/>
    <x v="2"/>
    <x v="2"/>
    <x v="2"/>
    <x v="0"/>
    <x v="0"/>
    <x v="15"/>
    <x v="1"/>
    <x v="10"/>
    <n v="0"/>
    <n v="0"/>
    <n v="192.44200000000001"/>
    <n v="184.74431999999999"/>
    <n v="192.44200000000001"/>
    <n v="184.74431999999999"/>
    <n v="0"/>
    <s v="CATIVO"/>
    <n v="0"/>
    <n v="0"/>
    <n v="31"/>
    <n v="79"/>
    <n v="0"/>
    <n v="88.66"/>
    <n v="311.04000000000002"/>
    <m/>
    <n v="137.25956288333876"/>
    <n v="311.14842517571947"/>
    <n v="0"/>
    <n v="3076.762696000008"/>
    <n v="0"/>
    <n v="3451.70120152246"/>
    <x v="2"/>
  </r>
  <r>
    <s v="PROJETADO"/>
    <x v="2"/>
    <x v="2"/>
    <x v="2"/>
    <x v="0"/>
    <x v="0"/>
    <x v="15"/>
    <x v="1"/>
    <x v="11"/>
    <n v="0"/>
    <n v="0"/>
    <n v="192.44200000000001"/>
    <n v="184.74431999999999"/>
    <n v="192.44200000000001"/>
    <n v="184.74431999999999"/>
    <n v="0"/>
    <s v="CATIVO"/>
    <n v="0"/>
    <n v="0"/>
    <n v="31"/>
    <n v="79"/>
    <n v="0"/>
    <n v="88.66"/>
    <n v="311.04000000000002"/>
    <m/>
    <n v="137.25956288333876"/>
    <n v="311.14842517571947"/>
    <n v="0"/>
    <n v="3076.762696000008"/>
    <n v="0"/>
    <n v="3451.70120152246"/>
    <x v="2"/>
  </r>
  <r>
    <s v="Regular"/>
    <x v="2"/>
    <x v="2"/>
    <x v="2"/>
    <x v="0"/>
    <x v="0"/>
    <x v="15"/>
    <x v="0"/>
    <x v="0"/>
    <n v="1062"/>
    <n v="1019.52"/>
    <n v="0"/>
    <n v="0"/>
    <n v="0"/>
    <n v="0"/>
    <n v="11"/>
    <s v="CATIVO"/>
    <n v="0"/>
    <n v="29"/>
    <n v="0"/>
    <n v="0"/>
    <n v="25.51"/>
    <n v="0"/>
    <n v="0"/>
    <n v="29.803266797877356"/>
    <m/>
    <m/>
    <n v="1083.6648000000005"/>
    <n v="0"/>
    <n v="1266.0427735738306"/>
    <n v="0"/>
    <x v="2"/>
  </r>
  <r>
    <s v="Refaturamento - Regular"/>
    <x v="2"/>
    <x v="2"/>
    <x v="2"/>
    <x v="0"/>
    <x v="0"/>
    <x v="15"/>
    <x v="0"/>
    <x v="0"/>
    <n v="349"/>
    <n v="335.04"/>
    <n v="0"/>
    <n v="0"/>
    <n v="0"/>
    <n v="0"/>
    <n v="0"/>
    <s v="CATIVO"/>
    <n v="0"/>
    <n v="29"/>
    <n v="0"/>
    <n v="0"/>
    <n v="25.51"/>
    <n v="0"/>
    <n v="0"/>
    <n v="29.803266797877356"/>
    <m/>
    <m/>
    <n v="356.11959999999948"/>
    <n v="0"/>
    <n v="416.05360449836729"/>
    <n v="0"/>
    <x v="2"/>
  </r>
  <r>
    <s v="Regular"/>
    <x v="2"/>
    <x v="2"/>
    <x v="2"/>
    <x v="0"/>
    <x v="0"/>
    <x v="15"/>
    <x v="0"/>
    <x v="1"/>
    <n v="1072"/>
    <n v="1029.1199999999999"/>
    <n v="0"/>
    <n v="0"/>
    <n v="0"/>
    <n v="0"/>
    <n v="11"/>
    <s v="CATIVO"/>
    <n v="0"/>
    <n v="29"/>
    <n v="0"/>
    <n v="0"/>
    <n v="25.51"/>
    <n v="0"/>
    <n v="0"/>
    <n v="29.803266797877356"/>
    <m/>
    <m/>
    <n v="1093.8688000000029"/>
    <n v="0"/>
    <n v="1277.9640802929844"/>
    <n v="0"/>
    <x v="2"/>
  </r>
  <r>
    <s v="Regular"/>
    <x v="2"/>
    <x v="2"/>
    <x v="2"/>
    <x v="0"/>
    <x v="0"/>
    <x v="15"/>
    <x v="0"/>
    <x v="2"/>
    <n v="959"/>
    <n v="920.64"/>
    <n v="0"/>
    <n v="0"/>
    <n v="0"/>
    <n v="0"/>
    <n v="11"/>
    <s v="CATIVO"/>
    <n v="0"/>
    <n v="29"/>
    <n v="0"/>
    <n v="0"/>
    <n v="25.51"/>
    <n v="0"/>
    <n v="0"/>
    <n v="29.803266797877356"/>
    <m/>
    <m/>
    <n v="978.56360000000041"/>
    <n v="0"/>
    <n v="1143.2533143665758"/>
    <n v="0"/>
    <x v="2"/>
  </r>
  <r>
    <s v="Regular"/>
    <x v="2"/>
    <x v="2"/>
    <x v="2"/>
    <x v="0"/>
    <x v="0"/>
    <x v="15"/>
    <x v="0"/>
    <x v="3"/>
    <n v="925"/>
    <n v="888"/>
    <n v="0"/>
    <n v="0"/>
    <n v="0"/>
    <n v="0"/>
    <n v="11"/>
    <s v="CATIVO"/>
    <n v="0"/>
    <n v="29"/>
    <n v="0"/>
    <n v="0"/>
    <n v="25.51"/>
    <n v="0"/>
    <n v="0"/>
    <n v="29.803266797877356"/>
    <m/>
    <m/>
    <n v="943.87"/>
    <n v="0"/>
    <n v="1102.7208715214622"/>
    <n v="0"/>
    <x v="2"/>
  </r>
  <r>
    <s v="Regular"/>
    <x v="2"/>
    <x v="2"/>
    <x v="2"/>
    <x v="0"/>
    <x v="0"/>
    <x v="15"/>
    <x v="0"/>
    <x v="4"/>
    <n v="907"/>
    <n v="870.72"/>
    <n v="0"/>
    <n v="0"/>
    <n v="0"/>
    <n v="0"/>
    <n v="11"/>
    <s v="CATIVO"/>
    <n v="0"/>
    <n v="29"/>
    <n v="0"/>
    <n v="0"/>
    <n v="25.51"/>
    <n v="0"/>
    <n v="0"/>
    <n v="29.803266797877356"/>
    <m/>
    <m/>
    <n v="925.50279999999941"/>
    <n v="0"/>
    <n v="1081.2625194269897"/>
    <n v="0"/>
    <x v="2"/>
  </r>
  <r>
    <s v="Regular"/>
    <x v="2"/>
    <x v="2"/>
    <x v="2"/>
    <x v="0"/>
    <x v="0"/>
    <x v="15"/>
    <x v="0"/>
    <x v="5"/>
    <n v="881"/>
    <n v="845.76"/>
    <n v="0"/>
    <n v="0"/>
    <n v="0"/>
    <n v="0"/>
    <n v="11"/>
    <s v="CATIVO"/>
    <n v="0"/>
    <n v="29"/>
    <n v="0"/>
    <n v="0"/>
    <n v="25.51"/>
    <n v="0"/>
    <n v="0"/>
    <n v="29.803266797877356"/>
    <m/>
    <m/>
    <n v="898.97240000000033"/>
    <n v="0"/>
    <n v="1050.2671219571982"/>
    <n v="0"/>
    <x v="2"/>
  </r>
  <r>
    <s v="Regular"/>
    <x v="2"/>
    <x v="2"/>
    <x v="2"/>
    <x v="0"/>
    <x v="0"/>
    <x v="15"/>
    <x v="0"/>
    <x v="6"/>
    <n v="900"/>
    <n v="864"/>
    <n v="0"/>
    <n v="0"/>
    <n v="0"/>
    <n v="0"/>
    <n v="11"/>
    <s v="CATIVO"/>
    <n v="0"/>
    <n v="29"/>
    <n v="0"/>
    <n v="0"/>
    <n v="25.51"/>
    <n v="0"/>
    <n v="0"/>
    <n v="29.803266797877356"/>
    <m/>
    <m/>
    <n v="918.36"/>
    <n v="0"/>
    <n v="1072.9176047235849"/>
    <n v="0"/>
    <x v="2"/>
  </r>
  <r>
    <s v="Regular"/>
    <x v="2"/>
    <x v="2"/>
    <x v="2"/>
    <x v="0"/>
    <x v="0"/>
    <x v="15"/>
    <x v="0"/>
    <x v="7"/>
    <n v="774"/>
    <n v="743.04"/>
    <n v="0"/>
    <n v="0"/>
    <n v="0"/>
    <n v="0"/>
    <n v="10"/>
    <s v="CATIVO"/>
    <n v="0"/>
    <n v="29"/>
    <n v="0"/>
    <n v="0"/>
    <n v="25.51"/>
    <n v="0"/>
    <n v="0"/>
    <n v="29.803266797877356"/>
    <m/>
    <m/>
    <n v="789.78960000000097"/>
    <n v="0"/>
    <n v="922.70914006228406"/>
    <n v="0"/>
    <x v="2"/>
  </r>
  <r>
    <s v="Regular"/>
    <x v="2"/>
    <x v="2"/>
    <x v="2"/>
    <x v="0"/>
    <x v="0"/>
    <x v="15"/>
    <x v="0"/>
    <x v="8"/>
    <n v="836"/>
    <n v="802.56"/>
    <n v="0"/>
    <n v="0"/>
    <n v="0"/>
    <n v="0"/>
    <n v="10"/>
    <s v="CATIVO"/>
    <n v="0"/>
    <n v="29"/>
    <n v="0"/>
    <n v="0"/>
    <n v="25.51"/>
    <n v="0"/>
    <n v="0"/>
    <n v="29.803266797877356"/>
    <m/>
    <m/>
    <n v="853.05440000000146"/>
    <n v="0"/>
    <n v="996.6212417210204"/>
    <n v="0"/>
    <x v="2"/>
  </r>
  <r>
    <s v="Regular"/>
    <x v="2"/>
    <x v="2"/>
    <x v="2"/>
    <x v="0"/>
    <x v="0"/>
    <x v="15"/>
    <x v="0"/>
    <x v="9"/>
    <n v="789"/>
    <n v="757.44"/>
    <n v="0"/>
    <n v="0"/>
    <n v="0"/>
    <n v="0"/>
    <n v="10"/>
    <s v="CATIVO"/>
    <n v="0"/>
    <n v="29"/>
    <n v="0"/>
    <n v="0"/>
    <n v="25.51"/>
    <n v="0"/>
    <n v="0"/>
    <n v="29.803266797877356"/>
    <m/>
    <m/>
    <n v="805.09559999999863"/>
    <n v="0"/>
    <n v="940.5911001410077"/>
    <n v="0"/>
    <x v="2"/>
  </r>
  <r>
    <s v="Regular"/>
    <x v="2"/>
    <x v="2"/>
    <x v="2"/>
    <x v="0"/>
    <x v="0"/>
    <x v="15"/>
    <x v="0"/>
    <x v="10"/>
    <n v="790"/>
    <n v="758.4"/>
    <n v="0"/>
    <n v="0"/>
    <n v="0"/>
    <n v="0"/>
    <n v="10"/>
    <s v="CATIVO"/>
    <n v="0"/>
    <n v="29"/>
    <n v="0"/>
    <n v="0"/>
    <n v="25.51"/>
    <n v="0"/>
    <n v="0"/>
    <n v="29.803266797877356"/>
    <m/>
    <m/>
    <n v="806.11600000000067"/>
    <n v="0"/>
    <n v="941.78323081292513"/>
    <n v="0"/>
    <x v="2"/>
  </r>
  <r>
    <s v="PROJETADO"/>
    <x v="2"/>
    <x v="2"/>
    <x v="2"/>
    <x v="0"/>
    <x v="0"/>
    <x v="15"/>
    <x v="0"/>
    <x v="11"/>
    <n v="790"/>
    <n v="758.4"/>
    <n v="0"/>
    <n v="0"/>
    <n v="0"/>
    <n v="0"/>
    <n v="10"/>
    <s v="CATIVO"/>
    <n v="0"/>
    <n v="29"/>
    <n v="0"/>
    <n v="0"/>
    <n v="25.51"/>
    <n v="0"/>
    <n v="0"/>
    <n v="29.803266797877356"/>
    <m/>
    <m/>
    <n v="806.11600000000067"/>
    <n v="0"/>
    <n v="941.78323081292513"/>
    <n v="0"/>
    <x v="2"/>
  </r>
  <r>
    <s v="Regular"/>
    <x v="2"/>
    <x v="2"/>
    <x v="2"/>
    <x v="0"/>
    <x v="0"/>
    <x v="15"/>
    <x v="2"/>
    <x v="0"/>
    <n v="0"/>
    <n v="0"/>
    <n v="16.259"/>
    <n v="15.608639999999999"/>
    <n v="16.259"/>
    <n v="15.608639999999999"/>
    <n v="0"/>
    <s v="CATIVO"/>
    <n v="0"/>
    <n v="0"/>
    <n v="30"/>
    <n v="78"/>
    <n v="0"/>
    <n v="1682.12"/>
    <n v="496.15"/>
    <m/>
    <n v="1969.6669835803759"/>
    <n v="506.4861368306324"/>
    <n v="0"/>
    <n v="1416.6596772000021"/>
    <n v="0"/>
    <n v="1610.3909433905058"/>
    <x v="2"/>
  </r>
  <r>
    <s v="Refaturamento - Regular"/>
    <x v="2"/>
    <x v="2"/>
    <x v="2"/>
    <x v="0"/>
    <x v="0"/>
    <x v="15"/>
    <x v="2"/>
    <x v="0"/>
    <n v="0"/>
    <n v="0"/>
    <n v="1.08"/>
    <n v="1.0367999999999999"/>
    <n v="1.08"/>
    <n v="1.0367999999999999"/>
    <n v="0"/>
    <s v="CATIVO"/>
    <n v="0"/>
    <n v="0"/>
    <n v="30"/>
    <n v="78"/>
    <n v="0"/>
    <n v="1682.12"/>
    <n v="496.15"/>
    <m/>
    <n v="1969.6669835803759"/>
    <n v="506.4861368306324"/>
    <n v="0"/>
    <n v="94.10126400000027"/>
    <n v="0"/>
    <n v="106.96981480175587"/>
    <x v="2"/>
  </r>
  <r>
    <s v="Regular"/>
    <x v="2"/>
    <x v="2"/>
    <x v="2"/>
    <x v="0"/>
    <x v="0"/>
    <x v="15"/>
    <x v="2"/>
    <x v="1"/>
    <n v="0"/>
    <n v="0"/>
    <n v="18.390999999999998"/>
    <n v="17.655360000000002"/>
    <n v="18.390999999999998"/>
    <n v="17.655360000000002"/>
    <n v="0"/>
    <s v="CATIVO"/>
    <n v="0"/>
    <n v="0"/>
    <n v="30"/>
    <n v="78"/>
    <n v="0"/>
    <n v="1682.12"/>
    <n v="496.15"/>
    <m/>
    <n v="1969.6669835803759"/>
    <n v="506.4861368306324"/>
    <n v="0"/>
    <n v="1602.4225427999925"/>
    <n v="0"/>
    <n v="1821.5572814991456"/>
    <x v="2"/>
  </r>
  <r>
    <s v="Regular"/>
    <x v="2"/>
    <x v="2"/>
    <x v="2"/>
    <x v="0"/>
    <x v="0"/>
    <x v="15"/>
    <x v="2"/>
    <x v="2"/>
    <n v="0"/>
    <n v="0"/>
    <n v="14.849"/>
    <n v="14.255039999999999"/>
    <n v="14.849"/>
    <n v="14.255039999999999"/>
    <n v="0"/>
    <s v="CATIVO"/>
    <n v="0"/>
    <n v="0"/>
    <n v="30"/>
    <n v="78"/>
    <n v="0"/>
    <n v="1682.12"/>
    <n v="496.15"/>
    <m/>
    <n v="1969.6669835803759"/>
    <n v="506.4861368306324"/>
    <n v="0"/>
    <n v="1293.805249200002"/>
    <n v="0"/>
    <n v="1470.7359073993248"/>
    <x v="2"/>
  </r>
  <r>
    <s v="Regular"/>
    <x v="2"/>
    <x v="2"/>
    <x v="2"/>
    <x v="0"/>
    <x v="0"/>
    <x v="15"/>
    <x v="2"/>
    <x v="3"/>
    <n v="0"/>
    <n v="0"/>
    <n v="14.545999999999999"/>
    <n v="13.96416"/>
    <n v="14.545999999999999"/>
    <n v="13.96416"/>
    <n v="0"/>
    <s v="CATIVO"/>
    <n v="0"/>
    <n v="0"/>
    <n v="30"/>
    <n v="78"/>
    <n v="0"/>
    <n v="1682.12"/>
    <n v="496.15"/>
    <m/>
    <n v="1969.6669835803759"/>
    <n v="506.4861368306324"/>
    <n v="0"/>
    <n v="1267.4046167999991"/>
    <n v="0"/>
    <n v="1440.7249315799404"/>
    <x v="2"/>
  </r>
  <r>
    <s v="Regular"/>
    <x v="2"/>
    <x v="2"/>
    <x v="2"/>
    <x v="0"/>
    <x v="0"/>
    <x v="15"/>
    <x v="2"/>
    <x v="4"/>
    <n v="0"/>
    <n v="0"/>
    <n v="15.673999999999999"/>
    <n v="15.047040000000001"/>
    <n v="15.673999999999999"/>
    <n v="15.047040000000001"/>
    <n v="0"/>
    <s v="CATIVO"/>
    <n v="0"/>
    <n v="0"/>
    <n v="30"/>
    <n v="78"/>
    <n v="0"/>
    <n v="1682.12"/>
    <n v="496.15"/>
    <m/>
    <n v="1969.6669835803759"/>
    <n v="506.4861368306324"/>
    <n v="0"/>
    <n v="1365.688159199997"/>
    <n v="0"/>
    <n v="1552.4489603728825"/>
    <x v="2"/>
  </r>
  <r>
    <s v="Regular"/>
    <x v="2"/>
    <x v="2"/>
    <x v="2"/>
    <x v="0"/>
    <x v="0"/>
    <x v="15"/>
    <x v="2"/>
    <x v="5"/>
    <n v="0"/>
    <n v="0"/>
    <n v="14.475"/>
    <n v="13.896000000000001"/>
    <n v="14.475"/>
    <n v="13.896000000000001"/>
    <n v="0"/>
    <s v="CATIVO"/>
    <n v="0"/>
    <n v="0"/>
    <n v="30"/>
    <n v="78"/>
    <n v="0"/>
    <n v="1682.12"/>
    <n v="496.15"/>
    <m/>
    <n v="1969.6669835803759"/>
    <n v="506.4861368306324"/>
    <n v="0"/>
    <n v="1261.2183299999974"/>
    <n v="0"/>
    <n v="1433.6926567179712"/>
    <x v="2"/>
  </r>
  <r>
    <s v="Regular"/>
    <x v="2"/>
    <x v="2"/>
    <x v="2"/>
    <x v="0"/>
    <x v="0"/>
    <x v="15"/>
    <x v="2"/>
    <x v="6"/>
    <n v="0"/>
    <n v="0"/>
    <n v="16.393999999999998"/>
    <n v="15.738239999999999"/>
    <n v="16.393999999999998"/>
    <n v="15.738239999999999"/>
    <n v="0"/>
    <s v="CATIVO"/>
    <n v="0"/>
    <n v="0"/>
    <n v="30"/>
    <n v="78"/>
    <n v="0"/>
    <n v="1682.12"/>
    <n v="496.15"/>
    <m/>
    <n v="1969.6669835803759"/>
    <n v="506.4861368306324"/>
    <n v="0"/>
    <n v="1428.4223351999976"/>
    <n v="0"/>
    <n v="1623.7621702407203"/>
    <x v="2"/>
  </r>
  <r>
    <s v="Regular"/>
    <x v="2"/>
    <x v="2"/>
    <x v="2"/>
    <x v="0"/>
    <x v="0"/>
    <x v="15"/>
    <x v="2"/>
    <x v="7"/>
    <n v="0"/>
    <n v="0"/>
    <n v="11.942"/>
    <n v="11.464320000000001"/>
    <n v="11.942"/>
    <n v="11.464320000000001"/>
    <n v="0"/>
    <s v="CATIVO"/>
    <n v="0"/>
    <n v="0"/>
    <n v="30"/>
    <n v="78"/>
    <n v="0"/>
    <n v="1682.12"/>
    <n v="496.15"/>
    <m/>
    <n v="1969.6669835803759"/>
    <n v="506.4861368306324"/>
    <n v="0"/>
    <n v="1040.5160135999988"/>
    <n v="0"/>
    <n v="1182.808822557929"/>
    <x v="2"/>
  </r>
  <r>
    <s v="Regular"/>
    <x v="2"/>
    <x v="2"/>
    <x v="2"/>
    <x v="0"/>
    <x v="0"/>
    <x v="15"/>
    <x v="2"/>
    <x v="8"/>
    <n v="0"/>
    <n v="0"/>
    <n v="11.489000000000001"/>
    <n v="11.029439999999999"/>
    <n v="11.489000000000001"/>
    <n v="11.029439999999999"/>
    <n v="0"/>
    <s v="CATIVO"/>
    <n v="0"/>
    <n v="0"/>
    <n v="30"/>
    <n v="78"/>
    <n v="0"/>
    <n v="1682.12"/>
    <n v="496.15"/>
    <m/>
    <n v="1969.6669835803759"/>
    <n v="506.4861368306324"/>
    <n v="0"/>
    <n v="1001.0457612000032"/>
    <n v="0"/>
    <n v="1137.9409280160867"/>
    <x v="2"/>
  </r>
  <r>
    <s v="Regular"/>
    <x v="2"/>
    <x v="2"/>
    <x v="2"/>
    <x v="0"/>
    <x v="0"/>
    <x v="15"/>
    <x v="2"/>
    <x v="9"/>
    <n v="0"/>
    <n v="0"/>
    <n v="11.153"/>
    <n v="10.70688"/>
    <n v="11.153"/>
    <n v="10.70688"/>
    <n v="0"/>
    <s v="CATIVO"/>
    <n v="0"/>
    <n v="0"/>
    <n v="30"/>
    <n v="78"/>
    <n v="0"/>
    <n v="1682.12"/>
    <n v="496.15"/>
    <m/>
    <n v="1969.6669835803759"/>
    <n v="506.4861368306324"/>
    <n v="0"/>
    <n v="971.76981240000111"/>
    <n v="0"/>
    <n v="1104.6614300777603"/>
    <x v="2"/>
  </r>
  <r>
    <s v="Regular"/>
    <x v="2"/>
    <x v="2"/>
    <x v="2"/>
    <x v="0"/>
    <x v="0"/>
    <x v="15"/>
    <x v="2"/>
    <x v="10"/>
    <n v="0"/>
    <n v="0"/>
    <n v="10.262"/>
    <n v="9.8515200000000007"/>
    <n v="10.262"/>
    <n v="9.8515200000000007"/>
    <n v="0"/>
    <s v="CATIVO"/>
    <n v="0"/>
    <n v="0"/>
    <n v="30"/>
    <n v="78"/>
    <n v="0"/>
    <n v="1682.12"/>
    <n v="496.15"/>
    <m/>
    <n v="1969.6669835803759"/>
    <n v="506.4861368306324"/>
    <n v="0"/>
    <n v="894.13626959999931"/>
    <n v="0"/>
    <n v="1016.4113328663101"/>
    <x v="2"/>
  </r>
  <r>
    <s v="PROJETADO"/>
    <x v="2"/>
    <x v="2"/>
    <x v="2"/>
    <x v="0"/>
    <x v="0"/>
    <x v="15"/>
    <x v="2"/>
    <x v="11"/>
    <n v="0"/>
    <n v="0"/>
    <n v="10.262"/>
    <n v="9.8515200000000007"/>
    <n v="10.262"/>
    <n v="9.8515200000000007"/>
    <n v="0"/>
    <s v="CATIVO"/>
    <n v="0"/>
    <n v="0"/>
    <n v="30"/>
    <n v="78"/>
    <n v="0"/>
    <n v="1682.12"/>
    <n v="496.15"/>
    <m/>
    <n v="1969.6669835803759"/>
    <n v="506.4861368306324"/>
    <n v="0"/>
    <n v="894.13626959999931"/>
    <n v="0"/>
    <n v="1016.4113328663101"/>
    <x v="2"/>
  </r>
  <r>
    <s v="Regular"/>
    <x v="2"/>
    <x v="2"/>
    <x v="3"/>
    <x v="1"/>
    <x v="0"/>
    <x v="15"/>
    <x v="1"/>
    <x v="0"/>
    <n v="0"/>
    <n v="0"/>
    <n v="1663.22"/>
    <n v="1563.4268"/>
    <n v="1663.22"/>
    <n v="1563.4268"/>
    <n v="0"/>
    <s v="CATIVO"/>
    <n v="0"/>
    <n v="0"/>
    <n v="31"/>
    <n v="79"/>
    <n v="0"/>
    <n v="88.66"/>
    <n v="311.04000000000002"/>
    <m/>
    <n v="137.25956288333876"/>
    <n v="311.14842517571947"/>
    <n v="0"/>
    <n v="39887.342040000032"/>
    <n v="0"/>
    <n v="44748.068033975243"/>
    <x v="3"/>
  </r>
  <r>
    <s v="Regular"/>
    <x v="2"/>
    <x v="2"/>
    <x v="3"/>
    <x v="1"/>
    <x v="0"/>
    <x v="15"/>
    <x v="1"/>
    <x v="1"/>
    <n v="0"/>
    <n v="0"/>
    <n v="1732.1310000000001"/>
    <n v="1628.2031400000001"/>
    <n v="1732.1310000000001"/>
    <n v="1628.2031400000001"/>
    <n v="0"/>
    <s v="CATIVO"/>
    <n v="0"/>
    <n v="0"/>
    <n v="31"/>
    <n v="79"/>
    <n v="0"/>
    <n v="88.66"/>
    <n v="311.04000000000002"/>
    <m/>
    <n v="137.25956288333876"/>
    <n v="311.14842517571947"/>
    <n v="0"/>
    <n v="41539.96564200001"/>
    <n v="0"/>
    <n v="46602.082605883479"/>
    <x v="3"/>
  </r>
  <r>
    <s v="Regular"/>
    <x v="2"/>
    <x v="2"/>
    <x v="3"/>
    <x v="1"/>
    <x v="0"/>
    <x v="15"/>
    <x v="1"/>
    <x v="2"/>
    <n v="0"/>
    <n v="0"/>
    <n v="1735.712"/>
    <n v="1631.5692799999999"/>
    <n v="1735.712"/>
    <n v="1631.5692799999999"/>
    <n v="0"/>
    <s v="CATIVO"/>
    <n v="0"/>
    <n v="0"/>
    <n v="31"/>
    <n v="79"/>
    <n v="0"/>
    <n v="88.66"/>
    <n v="311.04000000000002"/>
    <m/>
    <n v="137.25956288333876"/>
    <n v="311.14842517571947"/>
    <n v="0"/>
    <n v="41625.84518400002"/>
    <n v="0"/>
    <n v="46698.427546197869"/>
    <x v="3"/>
  </r>
  <r>
    <s v="Regular"/>
    <x v="2"/>
    <x v="2"/>
    <x v="3"/>
    <x v="1"/>
    <x v="0"/>
    <x v="15"/>
    <x v="1"/>
    <x v="3"/>
    <n v="0"/>
    <n v="0"/>
    <n v="1740.075"/>
    <n v="1635.6704999999999"/>
    <n v="1740.075"/>
    <n v="1635.6704999999999"/>
    <n v="0"/>
    <s v="CATIVO"/>
    <n v="0"/>
    <n v="0"/>
    <n v="31"/>
    <n v="79"/>
    <n v="0"/>
    <n v="88.66"/>
    <n v="311.04000000000002"/>
    <m/>
    <n v="137.25956288333876"/>
    <n v="311.14842517571947"/>
    <n v="0"/>
    <n v="41730.478650000041"/>
    <n v="0"/>
    <n v="46815.811789311992"/>
    <x v="3"/>
  </r>
  <r>
    <s v="Regular"/>
    <x v="2"/>
    <x v="2"/>
    <x v="3"/>
    <x v="1"/>
    <x v="0"/>
    <x v="15"/>
    <x v="1"/>
    <x v="4"/>
    <n v="0"/>
    <n v="0"/>
    <n v="1820.239"/>
    <n v="1711.02466"/>
    <n v="1820.239"/>
    <n v="1711.02466"/>
    <n v="0"/>
    <s v="CATIVO"/>
    <n v="0"/>
    <n v="0"/>
    <n v="31"/>
    <n v="79"/>
    <n v="0"/>
    <n v="88.66"/>
    <n v="311.04000000000002"/>
    <m/>
    <n v="137.25956288333876"/>
    <n v="311.14842517571947"/>
    <n v="0"/>
    <n v="43652.971698000001"/>
    <n v="0"/>
    <n v="48972.582466597916"/>
    <x v="3"/>
  </r>
  <r>
    <s v="Regular"/>
    <x v="2"/>
    <x v="2"/>
    <x v="3"/>
    <x v="1"/>
    <x v="0"/>
    <x v="15"/>
    <x v="1"/>
    <x v="5"/>
    <n v="0"/>
    <n v="0"/>
    <n v="1795.0060000000001"/>
    <n v="1687.30564"/>
    <n v="1795.0060000000001"/>
    <n v="1687.30564"/>
    <n v="0"/>
    <s v="CATIVO"/>
    <n v="0"/>
    <n v="0"/>
    <n v="31"/>
    <n v="79"/>
    <n v="0"/>
    <n v="88.66"/>
    <n v="311.04000000000002"/>
    <m/>
    <n v="137.25956288333876"/>
    <n v="311.14842517571947"/>
    <n v="0"/>
    <n v="43047.833892000024"/>
    <n v="0"/>
    <n v="48293.701740836295"/>
    <x v="3"/>
  </r>
  <r>
    <s v="Regular"/>
    <x v="2"/>
    <x v="2"/>
    <x v="3"/>
    <x v="1"/>
    <x v="0"/>
    <x v="15"/>
    <x v="1"/>
    <x v="6"/>
    <n v="0"/>
    <n v="0"/>
    <n v="1827.7429999999999"/>
    <n v="1718.0784200000001"/>
    <n v="1827.7429999999999"/>
    <n v="1718.0784200000001"/>
    <n v="0"/>
    <s v="CATIVO"/>
    <n v="0"/>
    <n v="0"/>
    <n v="31"/>
    <n v="79"/>
    <n v="0"/>
    <n v="88.66"/>
    <n v="311.04000000000002"/>
    <m/>
    <n v="137.25956288333876"/>
    <n v="311.14842517571947"/>
    <n v="0"/>
    <n v="43832.932625999958"/>
    <n v="0"/>
    <n v="49174.473679141585"/>
    <x v="3"/>
  </r>
  <r>
    <s v="Regular"/>
    <x v="2"/>
    <x v="2"/>
    <x v="3"/>
    <x v="1"/>
    <x v="0"/>
    <x v="15"/>
    <x v="1"/>
    <x v="7"/>
    <n v="0"/>
    <n v="0"/>
    <n v="1866.038"/>
    <n v="1754.07572"/>
    <n v="1866.038"/>
    <n v="1754.07572"/>
    <n v="0"/>
    <s v="CATIVO"/>
    <n v="0"/>
    <n v="0"/>
    <n v="31"/>
    <n v="79"/>
    <n v="0"/>
    <n v="88.66"/>
    <n v="311.04000000000002"/>
    <m/>
    <n v="137.25956288333876"/>
    <n v="311.14842517571947"/>
    <n v="0"/>
    <n v="44751.323315999995"/>
    <n v="0"/>
    <n v="50204.780713304914"/>
    <x v="3"/>
  </r>
  <r>
    <s v="Regular"/>
    <x v="2"/>
    <x v="2"/>
    <x v="3"/>
    <x v="1"/>
    <x v="0"/>
    <x v="15"/>
    <x v="1"/>
    <x v="8"/>
    <n v="0"/>
    <n v="0"/>
    <n v="1782.2"/>
    <n v="1675.268"/>
    <n v="1782.2"/>
    <n v="1675.268"/>
    <n v="0"/>
    <s v="CATIVO"/>
    <n v="0"/>
    <n v="0"/>
    <n v="31"/>
    <n v="79"/>
    <n v="0"/>
    <n v="88.66"/>
    <n v="311.04000000000002"/>
    <m/>
    <n v="137.25956288333876"/>
    <n v="311.14842517571947"/>
    <n v="0"/>
    <n v="42740.720400000006"/>
    <n v="0"/>
    <n v="47949.162979131223"/>
    <x v="3"/>
  </r>
  <r>
    <s v="Regular"/>
    <x v="2"/>
    <x v="2"/>
    <x v="3"/>
    <x v="1"/>
    <x v="0"/>
    <x v="15"/>
    <x v="1"/>
    <x v="9"/>
    <n v="0"/>
    <n v="0"/>
    <n v="1955.2739999999999"/>
    <n v="1837.9575600000001"/>
    <n v="1955.2739999999999"/>
    <n v="1837.9575600000001"/>
    <n v="0"/>
    <s v="CATIVO"/>
    <n v="0"/>
    <n v="0"/>
    <n v="31"/>
    <n v="79"/>
    <n v="0"/>
    <n v="88.66"/>
    <n v="311.04000000000002"/>
    <m/>
    <n v="137.25956288333876"/>
    <n v="311.14842517571947"/>
    <n v="0"/>
    <n v="46891.381067999937"/>
    <n v="0"/>
    <n v="52605.628826651147"/>
    <x v="3"/>
  </r>
  <r>
    <s v="Regular"/>
    <x v="2"/>
    <x v="2"/>
    <x v="3"/>
    <x v="1"/>
    <x v="0"/>
    <x v="15"/>
    <x v="1"/>
    <x v="10"/>
    <n v="0"/>
    <n v="0"/>
    <n v="1900.193"/>
    <n v="1786.1814199999999"/>
    <n v="1900.193"/>
    <n v="1786.1814199999999"/>
    <n v="0"/>
    <s v="CATIVO"/>
    <n v="0"/>
    <n v="0"/>
    <n v="31"/>
    <n v="79"/>
    <n v="0"/>
    <n v="88.66"/>
    <n v="311.04000000000002"/>
    <m/>
    <n v="137.25956288333876"/>
    <n v="311.14842517571947"/>
    <n v="0"/>
    <n v="45570.42852600004"/>
    <n v="0"/>
    <n v="51123.703203234407"/>
    <x v="3"/>
  </r>
  <r>
    <s v="PROJETADO"/>
    <x v="2"/>
    <x v="2"/>
    <x v="3"/>
    <x v="1"/>
    <x v="0"/>
    <x v="15"/>
    <x v="1"/>
    <x v="11"/>
    <n v="0"/>
    <n v="0"/>
    <n v="1900.193"/>
    <n v="1786.1814199999999"/>
    <n v="1900.193"/>
    <n v="1786.1814199999999"/>
    <n v="0"/>
    <s v="CATIVO"/>
    <n v="0"/>
    <n v="0"/>
    <n v="31"/>
    <n v="79"/>
    <n v="0"/>
    <n v="88.66"/>
    <n v="311.04000000000002"/>
    <m/>
    <n v="137.25956288333876"/>
    <n v="311.14842517571947"/>
    <n v="0"/>
    <n v="45570.42852600004"/>
    <n v="0"/>
    <n v="51123.703203234407"/>
    <x v="3"/>
  </r>
  <r>
    <s v="Regular"/>
    <x v="2"/>
    <x v="2"/>
    <x v="3"/>
    <x v="1"/>
    <x v="0"/>
    <x v="15"/>
    <x v="0"/>
    <x v="0"/>
    <n v="4021"/>
    <n v="3417.85"/>
    <n v="0"/>
    <n v="0"/>
    <n v="0"/>
    <n v="0"/>
    <n v="50"/>
    <s v="CATIVO"/>
    <n v="0"/>
    <n v="29"/>
    <n v="0"/>
    <n v="0"/>
    <n v="25.51"/>
    <n v="0"/>
    <n v="0"/>
    <n v="29.803266797877356"/>
    <m/>
    <m/>
    <n v="15386.356500000004"/>
    <n v="0"/>
    <n v="17975.840369139729"/>
    <n v="0"/>
    <x v="3"/>
  </r>
  <r>
    <s v="Regular"/>
    <x v="2"/>
    <x v="2"/>
    <x v="3"/>
    <x v="1"/>
    <x v="0"/>
    <x v="15"/>
    <x v="0"/>
    <x v="1"/>
    <n v="4034"/>
    <n v="3428.9"/>
    <n v="0"/>
    <n v="0"/>
    <n v="0"/>
    <n v="0"/>
    <n v="51"/>
    <s v="CATIVO"/>
    <n v="0"/>
    <n v="29"/>
    <n v="0"/>
    <n v="0"/>
    <n v="25.51"/>
    <n v="0"/>
    <n v="0"/>
    <n v="29.803266797877356"/>
    <m/>
    <m/>
    <n v="15436.100999999999"/>
    <n v="0"/>
    <n v="18033.956739395584"/>
    <n v="0"/>
    <x v="3"/>
  </r>
  <r>
    <s v="Regular"/>
    <x v="2"/>
    <x v="2"/>
    <x v="3"/>
    <x v="1"/>
    <x v="0"/>
    <x v="15"/>
    <x v="0"/>
    <x v="2"/>
    <n v="4039"/>
    <n v="3433.15"/>
    <n v="0"/>
    <n v="0"/>
    <n v="0"/>
    <n v="0"/>
    <n v="50"/>
    <s v="CATIVO"/>
    <n v="0"/>
    <n v="29"/>
    <n v="0"/>
    <n v="0"/>
    <n v="25.51"/>
    <n v="0"/>
    <n v="0"/>
    <n v="29.803266797877356"/>
    <m/>
    <m/>
    <n v="15455.233499999998"/>
    <n v="0"/>
    <n v="18056.309189493993"/>
    <n v="0"/>
    <x v="3"/>
  </r>
  <r>
    <s v="Regular"/>
    <x v="2"/>
    <x v="2"/>
    <x v="3"/>
    <x v="1"/>
    <x v="0"/>
    <x v="15"/>
    <x v="0"/>
    <x v="3"/>
    <n v="4051"/>
    <n v="3443.35"/>
    <n v="0"/>
    <n v="0"/>
    <n v="0"/>
    <n v="0"/>
    <n v="50"/>
    <s v="CATIVO"/>
    <n v="0"/>
    <n v="29"/>
    <n v="0"/>
    <n v="0"/>
    <n v="25.51"/>
    <n v="0"/>
    <n v="0"/>
    <n v="29.803266797877356"/>
    <m/>
    <m/>
    <n v="15501.151500000004"/>
    <n v="0"/>
    <n v="18109.955069730178"/>
    <n v="0"/>
    <x v="3"/>
  </r>
  <r>
    <s v="Regular"/>
    <x v="2"/>
    <x v="2"/>
    <x v="3"/>
    <x v="1"/>
    <x v="0"/>
    <x v="15"/>
    <x v="0"/>
    <x v="4"/>
    <n v="4378"/>
    <n v="3721.2999999999997"/>
    <n v="0"/>
    <n v="0"/>
    <n v="0"/>
    <n v="0"/>
    <n v="53"/>
    <s v="CATIVO"/>
    <n v="0"/>
    <n v="29"/>
    <n v="0"/>
    <n v="0"/>
    <n v="25.51"/>
    <n v="0"/>
    <n v="0"/>
    <n v="29.803266797877356"/>
    <m/>
    <m/>
    <n v="16752.417000000009"/>
    <n v="0"/>
    <n v="19571.805306166068"/>
    <n v="0"/>
    <x v="3"/>
  </r>
  <r>
    <s v="Regular"/>
    <x v="2"/>
    <x v="2"/>
    <x v="3"/>
    <x v="1"/>
    <x v="0"/>
    <x v="15"/>
    <x v="0"/>
    <x v="5"/>
    <n v="4376"/>
    <n v="3719.6"/>
    <n v="0"/>
    <n v="0"/>
    <n v="0"/>
    <n v="0"/>
    <n v="54"/>
    <s v="CATIVO"/>
    <n v="0"/>
    <n v="29"/>
    <n v="0"/>
    <n v="0"/>
    <n v="25.51"/>
    <n v="0"/>
    <n v="0"/>
    <n v="29.803266797877356"/>
    <m/>
    <m/>
    <n v="16744.764000000003"/>
    <n v="0"/>
    <n v="19562.864326126699"/>
    <n v="0"/>
    <x v="3"/>
  </r>
  <r>
    <s v="Regular"/>
    <x v="2"/>
    <x v="2"/>
    <x v="3"/>
    <x v="1"/>
    <x v="0"/>
    <x v="15"/>
    <x v="0"/>
    <x v="6"/>
    <n v="4415"/>
    <n v="3752.75"/>
    <n v="0"/>
    <n v="0"/>
    <n v="0"/>
    <n v="0"/>
    <n v="54"/>
    <s v="CATIVO"/>
    <n v="0"/>
    <n v="29"/>
    <n v="0"/>
    <n v="0"/>
    <n v="25.51"/>
    <n v="0"/>
    <n v="0"/>
    <n v="29.803266797877356"/>
    <m/>
    <m/>
    <n v="16893.997500000001"/>
    <n v="0"/>
    <n v="19737.213436894279"/>
    <n v="0"/>
    <x v="3"/>
  </r>
  <r>
    <s v="Regular"/>
    <x v="2"/>
    <x v="2"/>
    <x v="3"/>
    <x v="1"/>
    <x v="0"/>
    <x v="15"/>
    <x v="0"/>
    <x v="7"/>
    <n v="4426"/>
    <n v="3762.1"/>
    <n v="0"/>
    <n v="0"/>
    <n v="0"/>
    <n v="0"/>
    <n v="54"/>
    <s v="CATIVO"/>
    <n v="0"/>
    <n v="29"/>
    <n v="0"/>
    <n v="0"/>
    <n v="25.51"/>
    <n v="0"/>
    <n v="0"/>
    <n v="29.803266797877356"/>
    <m/>
    <m/>
    <n v="16936.089000000004"/>
    <n v="0"/>
    <n v="19786.388827110779"/>
    <n v="0"/>
    <x v="3"/>
  </r>
  <r>
    <s v="Regular"/>
    <x v="2"/>
    <x v="2"/>
    <x v="3"/>
    <x v="1"/>
    <x v="0"/>
    <x v="15"/>
    <x v="0"/>
    <x v="8"/>
    <n v="4417"/>
    <n v="3754.45"/>
    <n v="0"/>
    <n v="0"/>
    <n v="0"/>
    <n v="0"/>
    <n v="54"/>
    <s v="CATIVO"/>
    <n v="0"/>
    <n v="29"/>
    <n v="0"/>
    <n v="0"/>
    <n v="25.51"/>
    <n v="0"/>
    <n v="0"/>
    <n v="29.803266797877356"/>
    <m/>
    <m/>
    <n v="16901.650500000007"/>
    <n v="0"/>
    <n v="19746.154416933648"/>
    <n v="0"/>
    <x v="3"/>
  </r>
  <r>
    <s v="Regular"/>
    <x v="2"/>
    <x v="2"/>
    <x v="3"/>
    <x v="1"/>
    <x v="0"/>
    <x v="15"/>
    <x v="0"/>
    <x v="9"/>
    <n v="4545"/>
    <n v="3863.25"/>
    <n v="0"/>
    <n v="0"/>
    <n v="0"/>
    <n v="0"/>
    <n v="54"/>
    <s v="CATIVO"/>
    <n v="0"/>
    <n v="29"/>
    <n v="0"/>
    <n v="0"/>
    <n v="25.51"/>
    <n v="0"/>
    <n v="0"/>
    <n v="29.803266797877356"/>
    <m/>
    <m/>
    <n v="17391.442500000001"/>
    <n v="0"/>
    <n v="20318.377139452889"/>
    <n v="0"/>
    <x v="3"/>
  </r>
  <r>
    <s v="Regular"/>
    <x v="2"/>
    <x v="2"/>
    <x v="3"/>
    <x v="1"/>
    <x v="0"/>
    <x v="15"/>
    <x v="0"/>
    <x v="10"/>
    <n v="4566"/>
    <n v="3881.1"/>
    <n v="0"/>
    <n v="0"/>
    <n v="0"/>
    <n v="0"/>
    <n v="54"/>
    <s v="CATIVO"/>
    <n v="0"/>
    <n v="29"/>
    <n v="0"/>
    <n v="0"/>
    <n v="25.51"/>
    <n v="0"/>
    <n v="0"/>
    <n v="29.803266797877356"/>
    <m/>
    <m/>
    <n v="17471.799000000003"/>
    <n v="0"/>
    <n v="20412.257429866204"/>
    <n v="0"/>
    <x v="3"/>
  </r>
  <r>
    <s v="PROJETADO"/>
    <x v="2"/>
    <x v="2"/>
    <x v="3"/>
    <x v="1"/>
    <x v="0"/>
    <x v="15"/>
    <x v="0"/>
    <x v="11"/>
    <n v="4566"/>
    <n v="3881.1"/>
    <n v="0"/>
    <n v="0"/>
    <n v="0"/>
    <n v="0"/>
    <n v="54"/>
    <s v="CATIVO"/>
    <n v="0"/>
    <n v="29"/>
    <n v="0"/>
    <n v="0"/>
    <n v="25.51"/>
    <n v="0"/>
    <n v="0"/>
    <n v="29.803266797877356"/>
    <m/>
    <m/>
    <n v="17471.799000000003"/>
    <n v="0"/>
    <n v="20412.257429866204"/>
    <n v="0"/>
    <x v="3"/>
  </r>
  <r>
    <s v="Regular"/>
    <x v="2"/>
    <x v="2"/>
    <x v="3"/>
    <x v="1"/>
    <x v="0"/>
    <x v="15"/>
    <x v="2"/>
    <x v="0"/>
    <n v="0"/>
    <n v="0"/>
    <n v="105.333"/>
    <n v="99.013019999999997"/>
    <n v="105.333"/>
    <n v="99.013019999999997"/>
    <n v="0"/>
    <s v="CATIVO"/>
    <n v="0"/>
    <n v="0"/>
    <n v="30"/>
    <n v="78"/>
    <n v="0"/>
    <n v="1682.12"/>
    <n v="496.15"/>
    <m/>
    <n v="1969.6669835803759"/>
    <n v="506.4861368306324"/>
    <n v="0"/>
    <n v="13766.622834600001"/>
    <n v="0"/>
    <n v="15649.238197935167"/>
    <x v="3"/>
  </r>
  <r>
    <s v="Regular"/>
    <x v="2"/>
    <x v="2"/>
    <x v="3"/>
    <x v="1"/>
    <x v="0"/>
    <x v="15"/>
    <x v="2"/>
    <x v="1"/>
    <n v="0"/>
    <n v="0"/>
    <n v="117.941"/>
    <n v="110.86454000000001"/>
    <n v="117.941"/>
    <n v="110.86454000000001"/>
    <n v="0"/>
    <s v="CATIVO"/>
    <n v="0"/>
    <n v="0"/>
    <n v="30"/>
    <n v="78"/>
    <n v="0"/>
    <n v="1682.12"/>
    <n v="496.15"/>
    <m/>
    <n v="1969.6669835803759"/>
    <n v="506.4861368306324"/>
    <n v="0"/>
    <n v="15414.440524199994"/>
    <n v="0"/>
    <n v="17522.398510463678"/>
    <x v="3"/>
  </r>
  <r>
    <s v="Regular"/>
    <x v="2"/>
    <x v="2"/>
    <x v="3"/>
    <x v="1"/>
    <x v="0"/>
    <x v="15"/>
    <x v="2"/>
    <x v="2"/>
    <n v="0"/>
    <n v="0"/>
    <n v="125.121"/>
    <n v="117.61374000000001"/>
    <n v="125.121"/>
    <n v="117.61374000000001"/>
    <n v="0"/>
    <s v="CATIVO"/>
    <n v="0"/>
    <n v="0"/>
    <n v="30"/>
    <n v="78"/>
    <n v="0"/>
    <n v="1682.12"/>
    <n v="496.15"/>
    <m/>
    <n v="1969.6669835803759"/>
    <n v="506.4861368306324"/>
    <n v="0"/>
    <n v="16352.839240199974"/>
    <n v="0"/>
    <n v="18589.125274736718"/>
    <x v="3"/>
  </r>
  <r>
    <s v="Regular"/>
    <x v="2"/>
    <x v="2"/>
    <x v="3"/>
    <x v="1"/>
    <x v="0"/>
    <x v="15"/>
    <x v="2"/>
    <x v="3"/>
    <n v="0"/>
    <n v="0"/>
    <n v="141.72900000000001"/>
    <n v="133.22525999999999"/>
    <n v="141.72900000000001"/>
    <n v="133.22525999999999"/>
    <n v="0"/>
    <s v="CATIVO"/>
    <n v="0"/>
    <n v="0"/>
    <n v="30"/>
    <n v="78"/>
    <n v="0"/>
    <n v="1682.12"/>
    <n v="496.15"/>
    <m/>
    <n v="1969.6669835803759"/>
    <n v="506.4861368306324"/>
    <n v="0"/>
    <n v="18523.441729800048"/>
    <n v="0"/>
    <n v="21056.562336163963"/>
    <x v="3"/>
  </r>
  <r>
    <s v="Regular"/>
    <x v="2"/>
    <x v="2"/>
    <x v="3"/>
    <x v="1"/>
    <x v="0"/>
    <x v="15"/>
    <x v="2"/>
    <x v="4"/>
    <n v="0"/>
    <n v="0"/>
    <n v="136.21299999999999"/>
    <n v="128.04022000000001"/>
    <n v="136.21299999999999"/>
    <n v="128.04022000000001"/>
    <n v="0"/>
    <s v="CATIVO"/>
    <n v="0"/>
    <n v="0"/>
    <n v="30"/>
    <n v="78"/>
    <n v="0"/>
    <n v="1682.12"/>
    <n v="496.15"/>
    <m/>
    <n v="1969.6669835803759"/>
    <n v="506.4861368306324"/>
    <n v="0"/>
    <n v="17802.521490599975"/>
    <n v="0"/>
    <n v="20237.054699432654"/>
    <x v="3"/>
  </r>
  <r>
    <s v="Regular"/>
    <x v="2"/>
    <x v="2"/>
    <x v="3"/>
    <x v="1"/>
    <x v="0"/>
    <x v="15"/>
    <x v="2"/>
    <x v="5"/>
    <n v="0"/>
    <n v="0"/>
    <n v="136.42500000000001"/>
    <n v="128.23949999999999"/>
    <n v="136.42500000000001"/>
    <n v="128.23949999999999"/>
    <n v="0"/>
    <s v="CATIVO"/>
    <n v="0"/>
    <n v="0"/>
    <n v="30"/>
    <n v="78"/>
    <n v="0"/>
    <n v="1682.12"/>
    <n v="496.15"/>
    <m/>
    <n v="1969.6669835803759"/>
    <n v="506.4861368306324"/>
    <n v="0"/>
    <n v="17830.229085000039"/>
    <n v="0"/>
    <n v="20268.551367124357"/>
    <x v="3"/>
  </r>
  <r>
    <s v="Regular"/>
    <x v="2"/>
    <x v="2"/>
    <x v="3"/>
    <x v="1"/>
    <x v="0"/>
    <x v="15"/>
    <x v="2"/>
    <x v="6"/>
    <n v="0"/>
    <n v="0"/>
    <n v="155.38999999999999"/>
    <n v="146.06659999999999"/>
    <n v="155.38999999999999"/>
    <n v="146.06659999999999"/>
    <n v="0"/>
    <s v="CATIVO"/>
    <n v="0"/>
    <n v="0"/>
    <n v="30"/>
    <n v="78"/>
    <n v="0"/>
    <n v="1682.12"/>
    <n v="496.15"/>
    <m/>
    <n v="1969.6669835803759"/>
    <n v="506.4861368306324"/>
    <n v="0"/>
    <n v="20308.882517999984"/>
    <n v="0"/>
    <n v="23086.166002839978"/>
    <x v="3"/>
  </r>
  <r>
    <s v="Regular"/>
    <x v="2"/>
    <x v="2"/>
    <x v="3"/>
    <x v="1"/>
    <x v="0"/>
    <x v="15"/>
    <x v="2"/>
    <x v="7"/>
    <n v="0"/>
    <n v="0"/>
    <n v="157.398"/>
    <n v="147.95411999999999"/>
    <n v="157.398"/>
    <n v="147.95411999999999"/>
    <n v="0"/>
    <s v="CATIVO"/>
    <n v="0"/>
    <n v="0"/>
    <n v="30"/>
    <n v="78"/>
    <n v="0"/>
    <n v="1682.12"/>
    <n v="496.15"/>
    <m/>
    <n v="1969.6669835803759"/>
    <n v="506.4861368306324"/>
    <n v="0"/>
    <n v="20571.320487600016"/>
    <n v="0"/>
    <n v="23384.492930787128"/>
    <x v="3"/>
  </r>
  <r>
    <s v="Regular"/>
    <x v="2"/>
    <x v="2"/>
    <x v="3"/>
    <x v="1"/>
    <x v="0"/>
    <x v="15"/>
    <x v="2"/>
    <x v="8"/>
    <n v="0"/>
    <n v="0"/>
    <n v="144.5"/>
    <n v="135.83000000000001"/>
    <n v="144.5"/>
    <n v="135.83000000000001"/>
    <n v="0"/>
    <s v="CATIVO"/>
    <n v="0"/>
    <n v="0"/>
    <n v="30"/>
    <n v="78"/>
    <n v="0"/>
    <n v="1682.12"/>
    <n v="496.15"/>
    <m/>
    <n v="1969.6669835803759"/>
    <n v="506.4861368306324"/>
    <n v="0"/>
    <n v="18885.600899999972"/>
    <n v="0"/>
    <n v="21468.247553963411"/>
    <x v="3"/>
  </r>
  <r>
    <s v="Regular"/>
    <x v="2"/>
    <x v="2"/>
    <x v="3"/>
    <x v="1"/>
    <x v="0"/>
    <x v="15"/>
    <x v="2"/>
    <x v="9"/>
    <n v="0"/>
    <n v="0"/>
    <n v="148.15700000000001"/>
    <n v="139.26758000000001"/>
    <n v="148.15700000000001"/>
    <n v="139.26758000000001"/>
    <n v="0"/>
    <s v="CATIVO"/>
    <n v="0"/>
    <n v="0"/>
    <n v="30"/>
    <n v="78"/>
    <n v="0"/>
    <n v="1682.12"/>
    <n v="496.15"/>
    <m/>
    <n v="1969.6669835803759"/>
    <n v="506.4861368306324"/>
    <n v="0"/>
    <n v="19363.5569034"/>
    <n v="0"/>
    <n v="22011.565071644029"/>
    <x v="3"/>
  </r>
  <r>
    <s v="Regular"/>
    <x v="2"/>
    <x v="2"/>
    <x v="3"/>
    <x v="1"/>
    <x v="0"/>
    <x v="15"/>
    <x v="2"/>
    <x v="10"/>
    <n v="0"/>
    <n v="0"/>
    <n v="144.87200000000001"/>
    <n v="136.17967999999999"/>
    <n v="144.87200000000001"/>
    <n v="136.17967999999999"/>
    <n v="0"/>
    <s v="CATIVO"/>
    <n v="0"/>
    <n v="0"/>
    <n v="30"/>
    <n v="78"/>
    <n v="0"/>
    <n v="1682.12"/>
    <n v="496.15"/>
    <m/>
    <n v="1969.6669835803759"/>
    <n v="506.4861368306324"/>
    <n v="0"/>
    <n v="18934.219886400053"/>
    <n v="0"/>
    <n v="21523.515291611075"/>
    <x v="3"/>
  </r>
  <r>
    <s v="PROJETADO"/>
    <x v="2"/>
    <x v="2"/>
    <x v="3"/>
    <x v="1"/>
    <x v="0"/>
    <x v="15"/>
    <x v="2"/>
    <x v="11"/>
    <n v="0"/>
    <n v="0"/>
    <n v="144.87200000000001"/>
    <n v="136.17967999999999"/>
    <n v="144.87200000000001"/>
    <n v="136.17967999999999"/>
    <n v="0"/>
    <s v="CATIVO"/>
    <n v="0"/>
    <n v="0"/>
    <n v="30"/>
    <n v="78"/>
    <n v="0"/>
    <n v="1682.12"/>
    <n v="496.15"/>
    <m/>
    <n v="1969.6669835803759"/>
    <n v="506.4861368306324"/>
    <n v="0"/>
    <n v="18934.219886400053"/>
    <n v="0"/>
    <n v="21523.515291611075"/>
    <x v="3"/>
  </r>
  <r>
    <s v="Regular"/>
    <x v="3"/>
    <x v="3"/>
    <x v="4"/>
    <x v="2"/>
    <x v="0"/>
    <x v="15"/>
    <x v="0"/>
    <x v="0"/>
    <n v="0"/>
    <n v="0"/>
    <n v="32508.238000000001"/>
    <n v="32508.238000000001"/>
    <n v="32508.238000000001"/>
    <n v="32508.238000000001"/>
    <n v="269381"/>
    <s v="CATIVO"/>
    <n v="0"/>
    <n v="0"/>
    <n v="41"/>
    <n v="84"/>
    <n v="0"/>
    <n v="342.48"/>
    <n v="326.47000000000003"/>
    <m/>
    <n v="436.42935762318632"/>
    <n v="327.42656781362894"/>
    <n v="0"/>
    <n v="0"/>
    <n v="0"/>
    <n v="0"/>
    <x v="4"/>
  </r>
  <r>
    <s v="Regular"/>
    <x v="3"/>
    <x v="3"/>
    <x v="4"/>
    <x v="3"/>
    <x v="0"/>
    <x v="15"/>
    <x v="0"/>
    <x v="0"/>
    <n v="0"/>
    <n v="0"/>
    <n v="2446.7080000000001"/>
    <n v="2446.7080000000001"/>
    <n v="2446.7080000000001"/>
    <n v="2446.7080000000001"/>
    <n v="4473"/>
    <s v="CATIVO"/>
    <n v="0"/>
    <n v="0"/>
    <n v="42"/>
    <n v="85"/>
    <n v="0"/>
    <n v="94.28"/>
    <n v="114.26"/>
    <m/>
    <n v="108.16638549134309"/>
    <n v="114.59929873477012"/>
    <n v="0"/>
    <n v="947610.00840000017"/>
    <n v="0"/>
    <n v="1012221.9374827951"/>
    <x v="5"/>
  </r>
  <r>
    <s v="Refaturamento - Regular"/>
    <x v="3"/>
    <x v="3"/>
    <x v="4"/>
    <x v="3"/>
    <x v="0"/>
    <x v="15"/>
    <x v="0"/>
    <x v="0"/>
    <n v="0"/>
    <n v="0"/>
    <n v="0.76600000000000001"/>
    <n v="0.76600000000000001"/>
    <n v="0.76600000000000001"/>
    <n v="0.76600000000000001"/>
    <n v="12"/>
    <s v="CATIVO"/>
    <n v="0"/>
    <n v="0"/>
    <n v="42"/>
    <n v="85"/>
    <n v="0"/>
    <n v="94.28"/>
    <n v="114.26"/>
    <m/>
    <n v="108.16638549134309"/>
    <n v="114.59929873477012"/>
    <n v="0"/>
    <n v="296.67180000000008"/>
    <n v="0"/>
    <n v="316.90009764623363"/>
    <x v="5"/>
  </r>
  <r>
    <s v="Sistema de Compensação"/>
    <x v="3"/>
    <x v="3"/>
    <x v="4"/>
    <x v="3"/>
    <x v="0"/>
    <x v="15"/>
    <x v="0"/>
    <x v="0"/>
    <n v="0"/>
    <n v="0"/>
    <n v="2.31"/>
    <n v="2.31"/>
    <n v="2.31"/>
    <n v="2.31"/>
    <n v="4"/>
    <s v="CATIVO"/>
    <n v="0"/>
    <n v="0"/>
    <n v="42"/>
    <n v="85"/>
    <n v="0"/>
    <n v="94.28"/>
    <n v="114.26"/>
    <m/>
    <n v="108.16638549134309"/>
    <n v="114.59929873477012"/>
    <n v="0"/>
    <n v="894.66300000000012"/>
    <n v="0"/>
    <n v="955.66478533002578"/>
    <x v="5"/>
  </r>
  <r>
    <s v="Regular"/>
    <x v="3"/>
    <x v="3"/>
    <x v="4"/>
    <x v="3"/>
    <x v="0"/>
    <x v="15"/>
    <x v="0"/>
    <x v="1"/>
    <n v="0"/>
    <n v="0"/>
    <n v="2485.9389999999999"/>
    <n v="2485.9389999999999"/>
    <n v="2485.9389999999999"/>
    <n v="2485.9389999999999"/>
    <n v="4892"/>
    <s v="CATIVO"/>
    <n v="0"/>
    <n v="0"/>
    <n v="42"/>
    <n v="85"/>
    <n v="0"/>
    <n v="94.28"/>
    <n v="114.26"/>
    <m/>
    <n v="108.16638549134309"/>
    <n v="114.59929873477012"/>
    <n v="0"/>
    <n v="962804.17470000009"/>
    <n v="0"/>
    <n v="1028452.1042331337"/>
    <x v="5"/>
  </r>
  <r>
    <s v="Refaturamento - Regular"/>
    <x v="3"/>
    <x v="3"/>
    <x v="4"/>
    <x v="3"/>
    <x v="0"/>
    <x v="15"/>
    <x v="0"/>
    <x v="1"/>
    <n v="0"/>
    <n v="0"/>
    <n v="0.74199999999999999"/>
    <n v="0.74199999999999999"/>
    <n v="0.74199999999999999"/>
    <n v="0.74199999999999999"/>
    <n v="8"/>
    <s v="CATIVO"/>
    <n v="0"/>
    <n v="0"/>
    <n v="42"/>
    <n v="85"/>
    <n v="0"/>
    <n v="94.28"/>
    <n v="114.26"/>
    <m/>
    <n v="108.16638549134309"/>
    <n v="114.59929873477012"/>
    <n v="0"/>
    <n v="287.37660000000005"/>
    <n v="0"/>
    <n v="306.97111286358404"/>
    <x v="5"/>
  </r>
  <r>
    <s v="Sistema de Compensação"/>
    <x v="3"/>
    <x v="3"/>
    <x v="4"/>
    <x v="3"/>
    <x v="0"/>
    <x v="15"/>
    <x v="0"/>
    <x v="1"/>
    <n v="0"/>
    <n v="0"/>
    <n v="2.58"/>
    <n v="2.58"/>
    <n v="2.58"/>
    <n v="2.58"/>
    <n v="5"/>
    <s v="CATIVO"/>
    <n v="0"/>
    <n v="0"/>
    <n v="42"/>
    <n v="85"/>
    <n v="0"/>
    <n v="94.28"/>
    <n v="114.26"/>
    <m/>
    <n v="108.16638549134309"/>
    <n v="114.59929873477012"/>
    <n v="0"/>
    <n v="999.23400000000015"/>
    <n v="0"/>
    <n v="1067.3658641348341"/>
    <x v="5"/>
  </r>
  <r>
    <s v="Regular"/>
    <x v="3"/>
    <x v="3"/>
    <x v="4"/>
    <x v="3"/>
    <x v="0"/>
    <x v="15"/>
    <x v="0"/>
    <x v="2"/>
    <n v="0"/>
    <n v="0"/>
    <n v="2510.7620000000002"/>
    <n v="2510.7620000000002"/>
    <n v="2510.7620000000002"/>
    <n v="2510.7620000000002"/>
    <n v="4861"/>
    <s v="CATIVO"/>
    <n v="0"/>
    <n v="0"/>
    <n v="42"/>
    <n v="85"/>
    <n v="0"/>
    <n v="94.28"/>
    <n v="114.26"/>
    <m/>
    <n v="108.16638549134309"/>
    <n v="114.59929873477012"/>
    <n v="0"/>
    <n v="972418.12260000024"/>
    <n v="0"/>
    <n v="1038721.5704522885"/>
    <x v="5"/>
  </r>
  <r>
    <s v="Refaturamento - Regular"/>
    <x v="3"/>
    <x v="3"/>
    <x v="4"/>
    <x v="3"/>
    <x v="0"/>
    <x v="15"/>
    <x v="0"/>
    <x v="2"/>
    <n v="0"/>
    <n v="0"/>
    <n v="0.93799999999999994"/>
    <n v="0.93799999999999994"/>
    <n v="0.93799999999999994"/>
    <n v="0.93799999999999994"/>
    <n v="10"/>
    <s v="CATIVO"/>
    <n v="0"/>
    <n v="0"/>
    <n v="42"/>
    <n v="85"/>
    <n v="0"/>
    <n v="94.28"/>
    <n v="114.26"/>
    <m/>
    <n v="108.16638549134309"/>
    <n v="114.59929873477012"/>
    <n v="0"/>
    <n v="363.28740000000005"/>
    <n v="0"/>
    <n v="388.05782192188923"/>
    <x v="5"/>
  </r>
  <r>
    <s v="Sistema de Compensação"/>
    <x v="3"/>
    <x v="3"/>
    <x v="4"/>
    <x v="3"/>
    <x v="0"/>
    <x v="15"/>
    <x v="0"/>
    <x v="2"/>
    <n v="0"/>
    <n v="0"/>
    <n v="2.91"/>
    <n v="2.91"/>
    <n v="2.91"/>
    <n v="2.91"/>
    <n v="4"/>
    <s v="CATIVO"/>
    <n v="0"/>
    <n v="0"/>
    <n v="42"/>
    <n v="85"/>
    <n v="0"/>
    <n v="94.28"/>
    <n v="114.26"/>
    <m/>
    <n v="108.16638549134309"/>
    <n v="114.59929873477012"/>
    <n v="0"/>
    <n v="1127.0430000000003"/>
    <n v="0"/>
    <n v="1203.8894048962663"/>
    <x v="5"/>
  </r>
  <r>
    <s v="Regular"/>
    <x v="3"/>
    <x v="3"/>
    <x v="4"/>
    <x v="3"/>
    <x v="0"/>
    <x v="15"/>
    <x v="0"/>
    <x v="3"/>
    <n v="0"/>
    <n v="0"/>
    <n v="2452.0520000000001"/>
    <n v="2452.0520000000001"/>
    <n v="2452.0520000000001"/>
    <n v="2452.0520000000001"/>
    <n v="4131"/>
    <s v="CATIVO"/>
    <n v="0"/>
    <n v="0"/>
    <n v="42"/>
    <n v="85"/>
    <n v="0"/>
    <n v="94.28"/>
    <n v="114.26"/>
    <m/>
    <n v="108.16638549134309"/>
    <n v="114.59929873477012"/>
    <n v="0"/>
    <n v="949679.7396000002"/>
    <n v="0"/>
    <n v="1014432.7914277319"/>
    <x v="5"/>
  </r>
  <r>
    <s v="Refaturamento - Regular"/>
    <x v="3"/>
    <x v="3"/>
    <x v="4"/>
    <x v="3"/>
    <x v="0"/>
    <x v="15"/>
    <x v="0"/>
    <x v="3"/>
    <n v="0"/>
    <n v="0"/>
    <n v="2.2200000000000002"/>
    <n v="2.2200000000000002"/>
    <n v="2.2200000000000002"/>
    <n v="2.2200000000000002"/>
    <n v="16"/>
    <s v="CATIVO"/>
    <n v="0"/>
    <n v="0"/>
    <n v="42"/>
    <n v="85"/>
    <n v="0"/>
    <n v="94.28"/>
    <n v="114.26"/>
    <m/>
    <n v="108.16638549134309"/>
    <n v="114.59929873477012"/>
    <n v="0"/>
    <n v="859.80600000000027"/>
    <n v="0"/>
    <n v="918.43109239508976"/>
    <x v="5"/>
  </r>
  <r>
    <s v="Sistema de Compensação"/>
    <x v="3"/>
    <x v="3"/>
    <x v="4"/>
    <x v="3"/>
    <x v="0"/>
    <x v="15"/>
    <x v="0"/>
    <x v="3"/>
    <n v="0"/>
    <n v="0"/>
    <n v="3.03"/>
    <n v="3.03"/>
    <n v="3.03"/>
    <n v="3.03"/>
    <n v="7"/>
    <s v="CATIVO"/>
    <n v="0"/>
    <n v="0"/>
    <n v="42"/>
    <n v="85"/>
    <n v="0"/>
    <n v="94.28"/>
    <n v="114.26"/>
    <m/>
    <n v="108.16638549134309"/>
    <n v="114.59929873477012"/>
    <n v="0"/>
    <n v="1173.5190000000002"/>
    <n v="0"/>
    <n v="1253.5343288095141"/>
    <x v="5"/>
  </r>
  <r>
    <s v="Regular"/>
    <x v="3"/>
    <x v="3"/>
    <x v="4"/>
    <x v="3"/>
    <x v="0"/>
    <x v="15"/>
    <x v="0"/>
    <x v="4"/>
    <n v="0"/>
    <n v="0"/>
    <n v="2498.9279999999999"/>
    <n v="2498.9279999999999"/>
    <n v="2498.9279999999999"/>
    <n v="2498.9279999999999"/>
    <n v="4308"/>
    <s v="CATIVO"/>
    <n v="0"/>
    <n v="0"/>
    <n v="42"/>
    <n v="85"/>
    <n v="0"/>
    <n v="94.28"/>
    <n v="114.26"/>
    <m/>
    <n v="108.16638549134309"/>
    <n v="114.59929873477012"/>
    <n v="0"/>
    <n v="967834.81440000015"/>
    <n v="0"/>
    <n v="1033825.7535390435"/>
    <x v="5"/>
  </r>
  <r>
    <s v="Refaturamento - Regular"/>
    <x v="3"/>
    <x v="3"/>
    <x v="4"/>
    <x v="3"/>
    <x v="0"/>
    <x v="15"/>
    <x v="0"/>
    <x v="4"/>
    <n v="0"/>
    <n v="0"/>
    <n v="1.587"/>
    <n v="1.587"/>
    <n v="1.587"/>
    <n v="1.587"/>
    <n v="19"/>
    <s v="CATIVO"/>
    <n v="0"/>
    <n v="0"/>
    <n v="42"/>
    <n v="85"/>
    <n v="0"/>
    <n v="94.28"/>
    <n v="114.26"/>
    <m/>
    <n v="108.16638549134309"/>
    <n v="114.59929873477012"/>
    <n v="0"/>
    <n v="614.64510000000007"/>
    <n v="0"/>
    <n v="656.55411875270602"/>
    <x v="5"/>
  </r>
  <r>
    <s v="Sistema de Compensação"/>
    <x v="3"/>
    <x v="3"/>
    <x v="4"/>
    <x v="3"/>
    <x v="0"/>
    <x v="15"/>
    <x v="0"/>
    <x v="4"/>
    <n v="0"/>
    <n v="0"/>
    <n v="3.36"/>
    <n v="3.36"/>
    <n v="3.36"/>
    <n v="3.36"/>
    <n v="7"/>
    <s v="CATIVO"/>
    <n v="0"/>
    <n v="0"/>
    <n v="42"/>
    <n v="85"/>
    <n v="0"/>
    <n v="94.28"/>
    <n v="114.26"/>
    <m/>
    <n v="108.16638549134309"/>
    <n v="114.59929873477012"/>
    <n v="0"/>
    <n v="1301.3280000000002"/>
    <n v="0"/>
    <n v="1390.0578695709464"/>
    <x v="5"/>
  </r>
  <r>
    <s v="Regular"/>
    <x v="3"/>
    <x v="3"/>
    <x v="4"/>
    <x v="3"/>
    <x v="0"/>
    <x v="15"/>
    <x v="0"/>
    <x v="5"/>
    <n v="0"/>
    <n v="0"/>
    <n v="2525.6060000000002"/>
    <n v="2525.6060000000002"/>
    <n v="2525.6060000000002"/>
    <n v="2525.6060000000002"/>
    <n v="4518"/>
    <s v="CATIVO"/>
    <n v="0"/>
    <n v="0"/>
    <n v="42"/>
    <n v="85"/>
    <n v="0"/>
    <n v="94.28"/>
    <n v="114.26"/>
    <m/>
    <n v="108.16638549134309"/>
    <n v="114.59929873477012"/>
    <n v="0"/>
    <n v="978167.20380000025"/>
    <n v="0"/>
    <n v="1044862.6475403573"/>
    <x v="5"/>
  </r>
  <r>
    <s v="Refaturamento - Regular"/>
    <x v="3"/>
    <x v="3"/>
    <x v="4"/>
    <x v="3"/>
    <x v="0"/>
    <x v="15"/>
    <x v="0"/>
    <x v="5"/>
    <n v="0"/>
    <n v="0"/>
    <n v="3.2290000000000001"/>
    <n v="3.2290000000000001"/>
    <n v="3.2290000000000001"/>
    <n v="3.2290000000000001"/>
    <n v="39"/>
    <s v="CATIVO"/>
    <n v="0"/>
    <n v="0"/>
    <n v="42"/>
    <n v="85"/>
    <n v="0"/>
    <n v="94.28"/>
    <n v="114.26"/>
    <m/>
    <n v="108.16638549134309"/>
    <n v="114.59929873477012"/>
    <n v="0"/>
    <n v="1250.5917000000002"/>
    <n v="0"/>
    <n v="1335.8621609656507"/>
    <x v="5"/>
  </r>
  <r>
    <s v="Sistema de Compensação"/>
    <x v="3"/>
    <x v="3"/>
    <x v="4"/>
    <x v="3"/>
    <x v="0"/>
    <x v="15"/>
    <x v="0"/>
    <x v="5"/>
    <n v="0"/>
    <n v="0"/>
    <n v="3.93"/>
    <n v="3.93"/>
    <n v="3.93"/>
    <n v="3.93"/>
    <n v="11"/>
    <s v="CATIVO"/>
    <n v="0"/>
    <n v="0"/>
    <n v="42"/>
    <n v="85"/>
    <n v="0"/>
    <n v="94.28"/>
    <n v="114.26"/>
    <m/>
    <n v="108.16638549134309"/>
    <n v="114.59929873477012"/>
    <n v="0"/>
    <n v="1522.0890000000004"/>
    <n v="0"/>
    <n v="1625.871258158875"/>
    <x v="5"/>
  </r>
  <r>
    <s v="Regular"/>
    <x v="3"/>
    <x v="3"/>
    <x v="4"/>
    <x v="3"/>
    <x v="0"/>
    <x v="15"/>
    <x v="0"/>
    <x v="6"/>
    <n v="0"/>
    <n v="0"/>
    <n v="2547.518"/>
    <n v="2547.518"/>
    <n v="2547.518"/>
    <n v="2547.518"/>
    <n v="4089"/>
    <s v="CATIVO"/>
    <n v="0"/>
    <n v="0"/>
    <n v="42"/>
    <n v="85"/>
    <n v="0"/>
    <n v="94.28"/>
    <n v="114.26"/>
    <m/>
    <n v="108.16638549134309"/>
    <n v="114.59929873477012"/>
    <n v="0"/>
    <n v="986653.72140000015"/>
    <n v="0"/>
    <n v="1053927.8106469163"/>
    <x v="5"/>
  </r>
  <r>
    <s v="Refaturamento - Regular"/>
    <x v="3"/>
    <x v="3"/>
    <x v="4"/>
    <x v="3"/>
    <x v="0"/>
    <x v="15"/>
    <x v="0"/>
    <x v="6"/>
    <n v="0"/>
    <n v="0"/>
    <n v="1.921"/>
    <n v="1.921"/>
    <n v="1.921"/>
    <n v="1.921"/>
    <n v="20"/>
    <s v="CATIVO"/>
    <n v="0"/>
    <n v="0"/>
    <n v="42"/>
    <n v="85"/>
    <n v="0"/>
    <n v="94.28"/>
    <n v="114.26"/>
    <m/>
    <n v="108.16638549134309"/>
    <n v="114.59929873477012"/>
    <n v="0"/>
    <n v="744.00330000000019"/>
    <n v="0"/>
    <n v="794.73249031124658"/>
    <x v="5"/>
  </r>
  <r>
    <s v="Sistema de Compensação"/>
    <x v="3"/>
    <x v="3"/>
    <x v="4"/>
    <x v="3"/>
    <x v="0"/>
    <x v="15"/>
    <x v="0"/>
    <x v="6"/>
    <n v="0"/>
    <n v="0"/>
    <n v="4.2300000000000004"/>
    <n v="4.2300000000000004"/>
    <n v="4.2300000000000004"/>
    <n v="4.2300000000000004"/>
    <n v="4"/>
    <s v="CATIVO"/>
    <n v="0"/>
    <n v="0"/>
    <n v="42"/>
    <n v="85"/>
    <n v="0"/>
    <n v="94.28"/>
    <n v="114.26"/>
    <m/>
    <n v="108.16638549134309"/>
    <n v="114.59929873477012"/>
    <n v="0"/>
    <n v="1638.2790000000005"/>
    <n v="0"/>
    <n v="1749.9835679419955"/>
    <x v="5"/>
  </r>
  <r>
    <s v="Regular"/>
    <x v="3"/>
    <x v="3"/>
    <x v="4"/>
    <x v="3"/>
    <x v="0"/>
    <x v="15"/>
    <x v="0"/>
    <x v="7"/>
    <n v="0"/>
    <n v="0"/>
    <n v="2632.6669999999999"/>
    <n v="2632.6669999999999"/>
    <n v="2632.6669999999999"/>
    <n v="2632.6669999999999"/>
    <n v="4075"/>
    <s v="CATIVO"/>
    <n v="0"/>
    <n v="0"/>
    <n v="42"/>
    <n v="85"/>
    <n v="0"/>
    <n v="94.28"/>
    <n v="114.26"/>
    <m/>
    <n v="108.16638549134309"/>
    <n v="114.59929873477012"/>
    <n v="0"/>
    <n v="1019631.9291000002"/>
    <n v="0"/>
    <n v="1089154.6075326593"/>
    <x v="5"/>
  </r>
  <r>
    <s v="Refaturamento - Regular"/>
    <x v="3"/>
    <x v="3"/>
    <x v="4"/>
    <x v="3"/>
    <x v="0"/>
    <x v="15"/>
    <x v="0"/>
    <x v="7"/>
    <n v="0"/>
    <n v="0"/>
    <n v="0.79100000000000004"/>
    <n v="0.79100000000000004"/>
    <n v="0.79100000000000004"/>
    <n v="0.79100000000000004"/>
    <n v="9"/>
    <s v="CATIVO"/>
    <n v="0"/>
    <n v="0"/>
    <n v="42"/>
    <n v="85"/>
    <n v="0"/>
    <n v="94.28"/>
    <n v="114.26"/>
    <m/>
    <n v="108.16638549134309"/>
    <n v="114.59929873477012"/>
    <n v="0"/>
    <n v="306.35430000000008"/>
    <n v="0"/>
    <n v="327.24279012816038"/>
    <x v="5"/>
  </r>
  <r>
    <s v="Sistema de Compensação"/>
    <x v="3"/>
    <x v="3"/>
    <x v="4"/>
    <x v="3"/>
    <x v="0"/>
    <x v="15"/>
    <x v="0"/>
    <x v="7"/>
    <n v="0"/>
    <n v="0"/>
    <n v="5.07"/>
    <n v="5.07"/>
    <n v="5.07"/>
    <n v="5.07"/>
    <n v="11"/>
    <s v="CATIVO"/>
    <n v="0"/>
    <n v="0"/>
    <n v="42"/>
    <n v="85"/>
    <n v="0"/>
    <n v="94.28"/>
    <n v="114.26"/>
    <m/>
    <n v="108.16638549134309"/>
    <n v="114.59929873477012"/>
    <n v="0"/>
    <n v="1963.6110000000006"/>
    <n v="0"/>
    <n v="2097.4980353347319"/>
    <x v="5"/>
  </r>
  <r>
    <s v="Regular"/>
    <x v="3"/>
    <x v="3"/>
    <x v="4"/>
    <x v="3"/>
    <x v="0"/>
    <x v="15"/>
    <x v="0"/>
    <x v="8"/>
    <n v="0"/>
    <n v="0"/>
    <n v="2839.06"/>
    <n v="2839.06"/>
    <n v="2839.06"/>
    <n v="2839.06"/>
    <n v="4631"/>
    <s v="CATIVO"/>
    <n v="0"/>
    <n v="0"/>
    <n v="42"/>
    <n v="85"/>
    <n v="0"/>
    <n v="94.28"/>
    <n v="114.26"/>
    <m/>
    <n v="108.16638549134309"/>
    <n v="114.59929873477012"/>
    <n v="0"/>
    <n v="1099567.9380000001"/>
    <n v="0"/>
    <n v="1174540.9807095511"/>
    <x v="5"/>
  </r>
  <r>
    <s v="Refaturamento - Regular"/>
    <x v="3"/>
    <x v="3"/>
    <x v="4"/>
    <x v="3"/>
    <x v="0"/>
    <x v="15"/>
    <x v="0"/>
    <x v="8"/>
    <n v="0"/>
    <n v="0"/>
    <n v="8.6690000000000005"/>
    <n v="8.6690000000000005"/>
    <n v="8.6690000000000005"/>
    <n v="8.6690000000000005"/>
    <n v="61"/>
    <s v="CATIVO"/>
    <n v="0"/>
    <n v="0"/>
    <n v="42"/>
    <n v="85"/>
    <n v="0"/>
    <n v="94.28"/>
    <n v="114.26"/>
    <m/>
    <n v="108.16638549134309"/>
    <n v="114.59929873477012"/>
    <n v="0"/>
    <n v="3357.5037000000007"/>
    <n v="0"/>
    <n v="3586.4320450328978"/>
    <x v="5"/>
  </r>
  <r>
    <s v="Sistema de Compensação"/>
    <x v="3"/>
    <x v="3"/>
    <x v="4"/>
    <x v="3"/>
    <x v="0"/>
    <x v="15"/>
    <x v="0"/>
    <x v="8"/>
    <n v="0"/>
    <n v="0"/>
    <n v="6.03"/>
    <n v="6.03"/>
    <n v="6.03"/>
    <n v="6.03"/>
    <n v="12"/>
    <s v="CATIVO"/>
    <n v="0"/>
    <n v="0"/>
    <n v="42"/>
    <n v="85"/>
    <n v="0"/>
    <n v="94.28"/>
    <n v="114.26"/>
    <m/>
    <n v="108.16638549134309"/>
    <n v="114.59929873477012"/>
    <n v="0"/>
    <n v="2335.4190000000003"/>
    <n v="0"/>
    <n v="2494.6574266407169"/>
    <x v="5"/>
  </r>
  <r>
    <s v="Sistema de Compensação"/>
    <x v="3"/>
    <x v="3"/>
    <x v="4"/>
    <x v="3"/>
    <x v="0"/>
    <x v="15"/>
    <x v="0"/>
    <x v="8"/>
    <n v="0"/>
    <n v="0"/>
    <n v="0.41699999999999998"/>
    <n v="0.41699999999999998"/>
    <n v="0.41699999999999998"/>
    <n v="0.41699999999999998"/>
    <n v="1"/>
    <s v="CATIVO"/>
    <n v="0"/>
    <n v="0"/>
    <n v="42"/>
    <n v="85"/>
    <n v="0"/>
    <n v="94.28"/>
    <n v="114.26"/>
    <m/>
    <n v="108.16638549134309"/>
    <n v="114.59929873477012"/>
    <n v="0"/>
    <n v="161.50410000000002"/>
    <n v="0"/>
    <n v="172.51611059853713"/>
    <x v="5"/>
  </r>
  <r>
    <s v="Regular"/>
    <x v="3"/>
    <x v="3"/>
    <x v="4"/>
    <x v="3"/>
    <x v="0"/>
    <x v="15"/>
    <x v="0"/>
    <x v="9"/>
    <n v="0"/>
    <n v="0"/>
    <n v="2906.2240000000002"/>
    <n v="2906.2240000000002"/>
    <n v="2906.2240000000002"/>
    <n v="2906.2240000000002"/>
    <n v="4400"/>
    <s v="CATIVO"/>
    <n v="0"/>
    <n v="0"/>
    <n v="42"/>
    <n v="85"/>
    <n v="0"/>
    <n v="94.28"/>
    <n v="114.26"/>
    <m/>
    <n v="108.16638549134309"/>
    <n v="114.59929873477012"/>
    <n v="0"/>
    <n v="1125580.5552000003"/>
    <n v="0"/>
    <n v="1202327.2446237961"/>
    <x v="5"/>
  </r>
  <r>
    <s v="Refaturamento - Regular"/>
    <x v="3"/>
    <x v="3"/>
    <x v="4"/>
    <x v="3"/>
    <x v="0"/>
    <x v="15"/>
    <x v="0"/>
    <x v="9"/>
    <n v="0"/>
    <n v="0"/>
    <n v="1.173"/>
    <n v="1.173"/>
    <n v="1.173"/>
    <n v="1.173"/>
    <n v="15"/>
    <s v="CATIVO"/>
    <n v="0"/>
    <n v="0"/>
    <n v="42"/>
    <n v="85"/>
    <n v="0"/>
    <n v="94.28"/>
    <n v="114.26"/>
    <m/>
    <n v="108.16638549134309"/>
    <n v="114.59929873477012"/>
    <n v="0"/>
    <n v="454.30290000000008"/>
    <n v="0"/>
    <n v="485.27913125200013"/>
    <x v="5"/>
  </r>
  <r>
    <s v="Sistema de Compensação"/>
    <x v="3"/>
    <x v="3"/>
    <x v="4"/>
    <x v="3"/>
    <x v="0"/>
    <x v="15"/>
    <x v="0"/>
    <x v="9"/>
    <n v="0"/>
    <n v="0"/>
    <n v="6.75"/>
    <n v="6.75"/>
    <n v="6.75"/>
    <n v="6.75"/>
    <n v="17"/>
    <s v="CATIVO"/>
    <n v="0"/>
    <n v="0"/>
    <n v="42"/>
    <n v="85"/>
    <n v="0"/>
    <n v="94.28"/>
    <n v="114.26"/>
    <m/>
    <n v="108.16638549134309"/>
    <n v="114.59929873477012"/>
    <n v="0"/>
    <n v="2614.2750000000005"/>
    <n v="0"/>
    <n v="2792.5269701202051"/>
    <x v="5"/>
  </r>
  <r>
    <s v="Sistema de Compensação"/>
    <x v="3"/>
    <x v="3"/>
    <x v="4"/>
    <x v="3"/>
    <x v="0"/>
    <x v="15"/>
    <x v="0"/>
    <x v="9"/>
    <n v="0"/>
    <n v="0"/>
    <n v="-0.03"/>
    <n v="-0.03"/>
    <n v="-0.03"/>
    <n v="-0.03"/>
    <n v="0"/>
    <s v="CATIVO"/>
    <n v="0"/>
    <n v="0"/>
    <n v="42"/>
    <n v="85"/>
    <n v="0"/>
    <n v="94.28"/>
    <n v="114.26"/>
    <m/>
    <n v="108.16638549134309"/>
    <n v="114.59929873477012"/>
    <n v="0"/>
    <n v="-11.619000000000002"/>
    <n v="0"/>
    <n v="-12.411230978312023"/>
    <x v="5"/>
  </r>
  <r>
    <s v="Regular"/>
    <x v="3"/>
    <x v="3"/>
    <x v="4"/>
    <x v="3"/>
    <x v="0"/>
    <x v="15"/>
    <x v="0"/>
    <x v="10"/>
    <n v="0"/>
    <n v="0"/>
    <n v="2949.163"/>
    <n v="2949.163"/>
    <n v="2949.163"/>
    <n v="2949.163"/>
    <n v="4589"/>
    <s v="CATIVO"/>
    <n v="0"/>
    <n v="0"/>
    <n v="42"/>
    <n v="85"/>
    <n v="0"/>
    <n v="94.28"/>
    <n v="114.26"/>
    <m/>
    <n v="108.16638549134309"/>
    <n v="114.59929873477012"/>
    <n v="0"/>
    <n v="1142210.8299000002"/>
    <n v="0"/>
    <n v="1220091.4395230541"/>
    <x v="5"/>
  </r>
  <r>
    <s v="Refaturamento - Regular"/>
    <x v="3"/>
    <x v="3"/>
    <x v="4"/>
    <x v="3"/>
    <x v="0"/>
    <x v="15"/>
    <x v="0"/>
    <x v="10"/>
    <n v="0"/>
    <n v="0"/>
    <n v="0.88900000000000001"/>
    <n v="0.88900000000000001"/>
    <n v="0.88900000000000001"/>
    <n v="0.88900000000000001"/>
    <n v="11"/>
    <s v="CATIVO"/>
    <n v="0"/>
    <n v="0"/>
    <n v="42"/>
    <n v="85"/>
    <n v="0"/>
    <n v="94.28"/>
    <n v="114.26"/>
    <m/>
    <n v="108.16638549134309"/>
    <n v="114.59929873477012"/>
    <n v="0"/>
    <n v="344.30970000000008"/>
    <n v="0"/>
    <n v="367.78614465731295"/>
    <x v="5"/>
  </r>
  <r>
    <s v="Sistema de Compensação"/>
    <x v="3"/>
    <x v="3"/>
    <x v="4"/>
    <x v="3"/>
    <x v="0"/>
    <x v="15"/>
    <x v="0"/>
    <x v="10"/>
    <n v="0"/>
    <n v="0"/>
    <n v="7.23"/>
    <n v="7.23"/>
    <n v="7.23"/>
    <n v="7.23"/>
    <n v="10"/>
    <s v="CATIVO"/>
    <n v="0"/>
    <n v="0"/>
    <n v="42"/>
    <n v="85"/>
    <n v="0"/>
    <n v="94.28"/>
    <n v="114.26"/>
    <m/>
    <n v="108.16638549134309"/>
    <n v="114.59929873477012"/>
    <n v="0"/>
    <n v="2800.1790000000005"/>
    <n v="0"/>
    <n v="2991.1066657731976"/>
    <x v="5"/>
  </r>
  <r>
    <s v="PROJETADO"/>
    <x v="3"/>
    <x v="3"/>
    <x v="4"/>
    <x v="3"/>
    <x v="0"/>
    <x v="15"/>
    <x v="0"/>
    <x v="11"/>
    <n v="0"/>
    <n v="0"/>
    <n v="2949.163"/>
    <n v="2949.163"/>
    <n v="2949.163"/>
    <n v="2949.163"/>
    <n v="4589"/>
    <s v="CATIVO"/>
    <n v="0"/>
    <n v="0"/>
    <n v="42"/>
    <n v="85"/>
    <n v="0"/>
    <n v="94.28"/>
    <n v="114.26"/>
    <m/>
    <n v="108.16638549134309"/>
    <n v="114.59929873477012"/>
    <n v="0"/>
    <n v="1142210.8299000002"/>
    <n v="0"/>
    <n v="1220091.4395230541"/>
    <x v="5"/>
  </r>
  <r>
    <s v="PROJETADO"/>
    <x v="3"/>
    <x v="3"/>
    <x v="4"/>
    <x v="3"/>
    <x v="0"/>
    <x v="15"/>
    <x v="0"/>
    <x v="11"/>
    <n v="0"/>
    <n v="0"/>
    <n v="0.88900000000000001"/>
    <n v="0.88900000000000001"/>
    <n v="0.88900000000000001"/>
    <n v="0.88900000000000001"/>
    <n v="11"/>
    <s v="CATIVO"/>
    <n v="0"/>
    <n v="0"/>
    <n v="42"/>
    <n v="85"/>
    <n v="0"/>
    <n v="94.28"/>
    <n v="114.26"/>
    <m/>
    <n v="108.16638549134309"/>
    <n v="114.59929873477012"/>
    <n v="0"/>
    <n v="344.30970000000008"/>
    <n v="0"/>
    <n v="367.78614465731295"/>
    <x v="5"/>
  </r>
  <r>
    <s v="PROJETADO"/>
    <x v="3"/>
    <x v="3"/>
    <x v="4"/>
    <x v="3"/>
    <x v="0"/>
    <x v="15"/>
    <x v="0"/>
    <x v="11"/>
    <n v="0"/>
    <n v="0"/>
    <n v="7.23"/>
    <n v="7.23"/>
    <n v="7.23"/>
    <n v="7.23"/>
    <n v="10"/>
    <s v="CATIVO"/>
    <n v="0"/>
    <n v="0"/>
    <n v="42"/>
    <n v="85"/>
    <n v="0"/>
    <n v="94.28"/>
    <n v="114.26"/>
    <m/>
    <n v="108.16638549134309"/>
    <n v="114.59929873477012"/>
    <n v="0"/>
    <n v="2800.1790000000005"/>
    <n v="0"/>
    <n v="2991.1066657731976"/>
    <x v="5"/>
  </r>
  <r>
    <s v="Regular"/>
    <x v="3"/>
    <x v="3"/>
    <x v="4"/>
    <x v="4"/>
    <x v="0"/>
    <x v="15"/>
    <x v="0"/>
    <x v="0"/>
    <n v="0"/>
    <n v="0"/>
    <n v="4617.2920000000004"/>
    <n v="4617.2920000000004"/>
    <n v="4617.2920000000004"/>
    <n v="4617.2920000000004"/>
    <n v="28380"/>
    <s v="CATIVO"/>
    <n v="0"/>
    <n v="0"/>
    <n v="43"/>
    <n v="86"/>
    <n v="0"/>
    <n v="161.62"/>
    <n v="195.88"/>
    <m/>
    <n v="185.42808941373102"/>
    <n v="196.45594068817735"/>
    <n v="0"/>
    <n v="1100485.3752800003"/>
    <n v="0"/>
    <n v="1175513.3847448674"/>
    <x v="5"/>
  </r>
  <r>
    <s v="Refaturamento - Regular"/>
    <x v="3"/>
    <x v="3"/>
    <x v="4"/>
    <x v="4"/>
    <x v="0"/>
    <x v="15"/>
    <x v="0"/>
    <x v="0"/>
    <n v="0"/>
    <n v="0"/>
    <n v="-0.80700000000000005"/>
    <n v="-0.80700000000000005"/>
    <n v="-0.80700000000000005"/>
    <n v="-0.80700000000000005"/>
    <n v="-1"/>
    <s v="CATIVO"/>
    <n v="0"/>
    <n v="0"/>
    <n v="43"/>
    <n v="86"/>
    <n v="0"/>
    <n v="161.62"/>
    <n v="195.88"/>
    <m/>
    <n v="185.42808941373102"/>
    <n v="196.45594068817735"/>
    <n v="0"/>
    <n v="-192.34038000000004"/>
    <n v="0"/>
    <n v="-205.45360819482678"/>
    <x v="5"/>
  </r>
  <r>
    <s v="Sistema de Compensação"/>
    <x v="3"/>
    <x v="3"/>
    <x v="4"/>
    <x v="4"/>
    <x v="0"/>
    <x v="15"/>
    <x v="0"/>
    <x v="0"/>
    <n v="0"/>
    <n v="0"/>
    <n v="2.9750000000000001"/>
    <n v="2.9750000000000001"/>
    <n v="2.9750000000000001"/>
    <n v="2.9750000000000001"/>
    <n v="6"/>
    <s v="CATIVO"/>
    <n v="0"/>
    <n v="0"/>
    <n v="43"/>
    <n v="86"/>
    <n v="0"/>
    <n v="161.62"/>
    <n v="195.88"/>
    <m/>
    <n v="185.42808941373102"/>
    <n v="196.45594068817735"/>
    <n v="0"/>
    <n v="709.06150000000014"/>
    <n v="0"/>
    <n v="757.4033263687852"/>
    <x v="5"/>
  </r>
  <r>
    <s v="Regular"/>
    <x v="3"/>
    <x v="3"/>
    <x v="4"/>
    <x v="4"/>
    <x v="0"/>
    <x v="15"/>
    <x v="0"/>
    <x v="1"/>
    <n v="0"/>
    <n v="0"/>
    <n v="4621.8729999999996"/>
    <n v="4621.8729999999996"/>
    <n v="4621.8729999999996"/>
    <n v="4621.8729999999996"/>
    <n v="29844"/>
    <s v="CATIVO"/>
    <n v="0"/>
    <n v="0"/>
    <n v="43"/>
    <n v="86"/>
    <n v="0"/>
    <n v="161.62"/>
    <n v="195.88"/>
    <m/>
    <n v="185.42808941373102"/>
    <n v="196.45594068817735"/>
    <n v="0"/>
    <n v="1101577.2108200002"/>
    <n v="0"/>
    <n v="1176679.6585727986"/>
    <x v="5"/>
  </r>
  <r>
    <s v="Refaturamento - Regular"/>
    <x v="3"/>
    <x v="3"/>
    <x v="4"/>
    <x v="4"/>
    <x v="0"/>
    <x v="15"/>
    <x v="0"/>
    <x v="1"/>
    <n v="0"/>
    <n v="0"/>
    <n v="-0.42"/>
    <n v="-0.42"/>
    <n v="-0.42"/>
    <n v="-0.42"/>
    <n v="0"/>
    <s v="CATIVO"/>
    <n v="0"/>
    <n v="0"/>
    <n v="43"/>
    <n v="86"/>
    <n v="0"/>
    <n v="161.62"/>
    <n v="195.88"/>
    <m/>
    <n v="185.42808941373102"/>
    <n v="196.45594068817735"/>
    <n v="0"/>
    <n v="-100.10280000000002"/>
    <n v="0"/>
    <n v="-106.92752842853437"/>
    <x v="5"/>
  </r>
  <r>
    <s v="Sistema de Compensação"/>
    <x v="3"/>
    <x v="3"/>
    <x v="4"/>
    <x v="4"/>
    <x v="0"/>
    <x v="15"/>
    <x v="0"/>
    <x v="1"/>
    <n v="0"/>
    <n v="0"/>
    <n v="3.081"/>
    <n v="3.081"/>
    <n v="3.081"/>
    <n v="3.081"/>
    <n v="9"/>
    <s v="CATIVO"/>
    <n v="0"/>
    <n v="0"/>
    <n v="43"/>
    <n v="86"/>
    <n v="0"/>
    <n v="161.62"/>
    <n v="195.88"/>
    <m/>
    <n v="185.42808941373102"/>
    <n v="196.45594068817735"/>
    <n v="0"/>
    <n v="734.32554000000005"/>
    <n v="0"/>
    <n v="784.38979782932006"/>
    <x v="5"/>
  </r>
  <r>
    <s v="Regular"/>
    <x v="3"/>
    <x v="3"/>
    <x v="4"/>
    <x v="4"/>
    <x v="0"/>
    <x v="15"/>
    <x v="0"/>
    <x v="2"/>
    <n v="0"/>
    <n v="0"/>
    <n v="4693.6400000000003"/>
    <n v="4693.6400000000003"/>
    <n v="4693.6400000000003"/>
    <n v="4693.6400000000003"/>
    <n v="29496"/>
    <s v="CATIVO"/>
    <n v="0"/>
    <n v="0"/>
    <n v="43"/>
    <n v="86"/>
    <n v="0"/>
    <n v="161.62"/>
    <n v="195.88"/>
    <m/>
    <n v="185.42808941373102"/>
    <n v="196.45594068817735"/>
    <n v="0"/>
    <n v="1118682.1576000003"/>
    <n v="0"/>
    <n v="1194950.7726983479"/>
    <x v="5"/>
  </r>
  <r>
    <s v="Refaturamento - Regular"/>
    <x v="3"/>
    <x v="3"/>
    <x v="4"/>
    <x v="4"/>
    <x v="0"/>
    <x v="15"/>
    <x v="0"/>
    <x v="2"/>
    <n v="0"/>
    <n v="0"/>
    <n v="-1.2050000000000001"/>
    <n v="-1.2050000000000001"/>
    <n v="-1.2050000000000001"/>
    <n v="-1.2050000000000001"/>
    <n v="-3"/>
    <s v="CATIVO"/>
    <n v="0"/>
    <n v="0"/>
    <n v="43"/>
    <n v="86"/>
    <n v="0"/>
    <n v="161.62"/>
    <n v="195.88"/>
    <m/>
    <n v="185.42808941373102"/>
    <n v="196.45594068817735"/>
    <n v="0"/>
    <n v="-287.19970000000006"/>
    <n v="0"/>
    <n v="-306.78017084853315"/>
    <x v="5"/>
  </r>
  <r>
    <s v="Sistema de Compensação"/>
    <x v="3"/>
    <x v="3"/>
    <x v="4"/>
    <x v="4"/>
    <x v="0"/>
    <x v="15"/>
    <x v="0"/>
    <x v="2"/>
    <n v="0"/>
    <n v="0"/>
    <n v="3.3479999999999999"/>
    <n v="3.3479999999999999"/>
    <n v="3.3479999999999999"/>
    <n v="3.3479999999999999"/>
    <n v="10"/>
    <s v="CATIVO"/>
    <n v="0"/>
    <n v="0"/>
    <n v="43"/>
    <n v="86"/>
    <n v="0"/>
    <n v="161.62"/>
    <n v="195.88"/>
    <m/>
    <n v="185.42808941373102"/>
    <n v="196.45594068817735"/>
    <n v="0"/>
    <n v="797.96232000000009"/>
    <n v="0"/>
    <n v="852.36515518745966"/>
    <x v="5"/>
  </r>
  <r>
    <s v="Regular"/>
    <x v="3"/>
    <x v="3"/>
    <x v="4"/>
    <x v="4"/>
    <x v="0"/>
    <x v="15"/>
    <x v="0"/>
    <x v="3"/>
    <n v="0"/>
    <n v="0"/>
    <n v="4801.6289999999999"/>
    <n v="4801.6289999999999"/>
    <n v="4801.6289999999999"/>
    <n v="4801.6289999999999"/>
    <n v="23540"/>
    <s v="CATIVO"/>
    <n v="0"/>
    <n v="0"/>
    <n v="43"/>
    <n v="86"/>
    <n v="0"/>
    <n v="161.62"/>
    <n v="195.88"/>
    <m/>
    <n v="185.42808941373102"/>
    <n v="196.45594068817735"/>
    <n v="0"/>
    <n v="1144420.2558600002"/>
    <n v="0"/>
    <n v="1222443.6223827978"/>
    <x v="5"/>
  </r>
  <r>
    <s v="Refaturamento - Regular"/>
    <x v="3"/>
    <x v="3"/>
    <x v="4"/>
    <x v="4"/>
    <x v="0"/>
    <x v="15"/>
    <x v="0"/>
    <x v="3"/>
    <n v="0"/>
    <n v="0"/>
    <n v="-1.07"/>
    <n v="-1.07"/>
    <n v="-1.07"/>
    <n v="-1.07"/>
    <n v="-1"/>
    <s v="CATIVO"/>
    <n v="0"/>
    <n v="0"/>
    <n v="43"/>
    <n v="86"/>
    <n v="0"/>
    <n v="161.62"/>
    <n v="195.88"/>
    <m/>
    <n v="185.42808941373102"/>
    <n v="196.45594068817735"/>
    <n v="0"/>
    <n v="-255.02380000000005"/>
    <n v="0"/>
    <n v="-272.41060813936139"/>
    <x v="5"/>
  </r>
  <r>
    <s v="Sistema de Compensação"/>
    <x v="3"/>
    <x v="3"/>
    <x v="4"/>
    <x v="4"/>
    <x v="0"/>
    <x v="15"/>
    <x v="0"/>
    <x v="3"/>
    <n v="0"/>
    <n v="0"/>
    <n v="3.45"/>
    <n v="3.45"/>
    <n v="3.45"/>
    <n v="3.45"/>
    <n v="6"/>
    <s v="CATIVO"/>
    <n v="0"/>
    <n v="0"/>
    <n v="43"/>
    <n v="86"/>
    <n v="0"/>
    <n v="161.62"/>
    <n v="195.88"/>
    <m/>
    <n v="185.42808941373102"/>
    <n v="196.45594068817735"/>
    <n v="0"/>
    <n v="822.27300000000014"/>
    <n v="0"/>
    <n v="878.33326923438949"/>
    <x v="5"/>
  </r>
  <r>
    <s v="Regular"/>
    <x v="3"/>
    <x v="3"/>
    <x v="4"/>
    <x v="4"/>
    <x v="0"/>
    <x v="15"/>
    <x v="0"/>
    <x v="4"/>
    <n v="0"/>
    <n v="0"/>
    <n v="4794.1509999999998"/>
    <n v="4794.1509999999998"/>
    <n v="4794.1509999999998"/>
    <n v="4794.1509999999998"/>
    <n v="27366"/>
    <s v="CATIVO"/>
    <n v="0"/>
    <n v="0"/>
    <n v="43"/>
    <n v="86"/>
    <n v="0"/>
    <n v="161.62"/>
    <n v="195.88"/>
    <m/>
    <n v="185.42808941373102"/>
    <n v="196.45594068817735"/>
    <n v="0"/>
    <n v="1142637.9493400001"/>
    <n v="0"/>
    <n v="1220539.803198063"/>
    <x v="5"/>
  </r>
  <r>
    <s v="Refaturamento - Regular"/>
    <x v="3"/>
    <x v="3"/>
    <x v="4"/>
    <x v="4"/>
    <x v="0"/>
    <x v="15"/>
    <x v="0"/>
    <x v="4"/>
    <n v="0"/>
    <n v="0"/>
    <n v="-0.88600000000000001"/>
    <n v="-0.88600000000000001"/>
    <n v="-0.88600000000000001"/>
    <n v="-0.88600000000000001"/>
    <n v="-4"/>
    <s v="CATIVO"/>
    <n v="0"/>
    <n v="0"/>
    <n v="43"/>
    <n v="86"/>
    <n v="0"/>
    <n v="161.62"/>
    <n v="195.88"/>
    <m/>
    <n v="185.42808941373102"/>
    <n v="196.45594068817735"/>
    <n v="0"/>
    <n v="-211.16924000000003"/>
    <n v="0"/>
    <n v="-225.56616711352729"/>
    <x v="5"/>
  </r>
  <r>
    <s v="Sistema de Compensação"/>
    <x v="3"/>
    <x v="3"/>
    <x v="4"/>
    <x v="4"/>
    <x v="0"/>
    <x v="15"/>
    <x v="0"/>
    <x v="4"/>
    <n v="0"/>
    <n v="0"/>
    <n v="3.9369999999999998"/>
    <n v="3.9369999999999998"/>
    <n v="3.9369999999999998"/>
    <n v="3.9369999999999998"/>
    <n v="8"/>
    <s v="CATIVO"/>
    <n v="0"/>
    <n v="0"/>
    <n v="43"/>
    <n v="86"/>
    <n v="0"/>
    <n v="161.62"/>
    <n v="195.88"/>
    <m/>
    <n v="185.42808941373102"/>
    <n v="196.45594068817735"/>
    <n v="0"/>
    <n v="938.34458000000006"/>
    <n v="0"/>
    <n v="1002.3182843408091"/>
    <x v="5"/>
  </r>
  <r>
    <s v="Regular"/>
    <x v="3"/>
    <x v="3"/>
    <x v="4"/>
    <x v="4"/>
    <x v="0"/>
    <x v="15"/>
    <x v="0"/>
    <x v="5"/>
    <n v="0"/>
    <n v="0"/>
    <n v="4867.0839999999998"/>
    <n v="4867.0839999999998"/>
    <n v="4867.0839999999998"/>
    <n v="4867.0839999999998"/>
    <n v="26621"/>
    <s v="CATIVO"/>
    <n v="0"/>
    <n v="0"/>
    <n v="43"/>
    <n v="86"/>
    <n v="0"/>
    <n v="161.62"/>
    <n v="195.88"/>
    <m/>
    <n v="185.42808941373102"/>
    <n v="196.45594068817735"/>
    <n v="0"/>
    <n v="1160020.8005600001"/>
    <n v="0"/>
    <n v="1239107.7685096781"/>
    <x v="5"/>
  </r>
  <r>
    <s v="Refaturamento - Regular"/>
    <x v="3"/>
    <x v="3"/>
    <x v="4"/>
    <x v="4"/>
    <x v="0"/>
    <x v="15"/>
    <x v="0"/>
    <x v="5"/>
    <n v="0"/>
    <n v="0"/>
    <n v="-2.38"/>
    <n v="-2.38"/>
    <n v="-2.38"/>
    <n v="-2.38"/>
    <n v="-15"/>
    <s v="CATIVO"/>
    <n v="0"/>
    <n v="0"/>
    <n v="43"/>
    <n v="86"/>
    <n v="0"/>
    <n v="161.62"/>
    <n v="195.88"/>
    <m/>
    <n v="185.42808941373102"/>
    <n v="196.45594068817735"/>
    <n v="0"/>
    <n v="-567.24920000000009"/>
    <n v="0"/>
    <n v="-605.92266109502805"/>
    <x v="5"/>
  </r>
  <r>
    <s v="Sistema de Compensação"/>
    <x v="3"/>
    <x v="3"/>
    <x v="4"/>
    <x v="4"/>
    <x v="0"/>
    <x v="15"/>
    <x v="0"/>
    <x v="5"/>
    <n v="0"/>
    <n v="0"/>
    <n v="4.782"/>
    <n v="4.782"/>
    <n v="4.782"/>
    <n v="4.782"/>
    <n v="11"/>
    <s v="CATIVO"/>
    <n v="0"/>
    <n v="0"/>
    <n v="43"/>
    <n v="86"/>
    <n v="0"/>
    <n v="161.62"/>
    <n v="195.88"/>
    <m/>
    <n v="185.42808941373102"/>
    <n v="196.45594068817735"/>
    <n v="0"/>
    <n v="1139.7418800000003"/>
    <n v="0"/>
    <n v="1217.4462879648843"/>
    <x v="5"/>
  </r>
  <r>
    <s v="Regular"/>
    <x v="3"/>
    <x v="3"/>
    <x v="4"/>
    <x v="4"/>
    <x v="0"/>
    <x v="15"/>
    <x v="0"/>
    <x v="6"/>
    <n v="0"/>
    <n v="0"/>
    <n v="5031.3389999999999"/>
    <n v="5031.3389999999999"/>
    <n v="5031.3389999999999"/>
    <n v="5031.3389999999999"/>
    <n v="23910"/>
    <s v="CATIVO"/>
    <n v="0"/>
    <n v="0"/>
    <n v="43"/>
    <n v="86"/>
    <n v="0"/>
    <n v="161.62"/>
    <n v="195.88"/>
    <m/>
    <n v="185.42808941373102"/>
    <n v="196.45594068817735"/>
    <n v="0"/>
    <n v="1199169.3372600002"/>
    <n v="0"/>
    <n v="1280925.342752604"/>
    <x v="5"/>
  </r>
  <r>
    <s v="Refaturamento - Regular"/>
    <x v="3"/>
    <x v="3"/>
    <x v="4"/>
    <x v="4"/>
    <x v="0"/>
    <x v="15"/>
    <x v="0"/>
    <x v="6"/>
    <n v="0"/>
    <n v="0"/>
    <n v="-1.5660000000000001"/>
    <n v="-1.5660000000000001"/>
    <n v="-1.5660000000000001"/>
    <n v="-1.5660000000000001"/>
    <n v="-9"/>
    <s v="CATIVO"/>
    <n v="0"/>
    <n v="0"/>
    <n v="43"/>
    <n v="86"/>
    <n v="0"/>
    <n v="161.62"/>
    <n v="195.88"/>
    <m/>
    <n v="185.42808941373102"/>
    <n v="196.45594068817735"/>
    <n v="0"/>
    <n v="-373.24044000000009"/>
    <n v="0"/>
    <n v="-398.68692742639246"/>
    <x v="5"/>
  </r>
  <r>
    <s v="Sistema de Compensação"/>
    <x v="3"/>
    <x v="3"/>
    <x v="4"/>
    <x v="4"/>
    <x v="0"/>
    <x v="15"/>
    <x v="0"/>
    <x v="6"/>
    <n v="0"/>
    <n v="0"/>
    <n v="4.2110000000000003"/>
    <n v="4.2110000000000003"/>
    <n v="4.2110000000000003"/>
    <n v="4.2110000000000003"/>
    <n v="7"/>
    <s v="CATIVO"/>
    <n v="0"/>
    <n v="0"/>
    <n v="43"/>
    <n v="86"/>
    <n v="0"/>
    <n v="161.62"/>
    <n v="195.88"/>
    <m/>
    <n v="185.42808941373102"/>
    <n v="196.45594068817735"/>
    <n v="0"/>
    <n v="1003.6497400000002"/>
    <n v="0"/>
    <n v="1072.0757671727579"/>
    <x v="5"/>
  </r>
  <r>
    <s v="Regular"/>
    <x v="3"/>
    <x v="3"/>
    <x v="4"/>
    <x v="4"/>
    <x v="0"/>
    <x v="15"/>
    <x v="0"/>
    <x v="7"/>
    <n v="0"/>
    <n v="0"/>
    <n v="5165.143"/>
    <n v="5165.143"/>
    <n v="5165.143"/>
    <n v="5165.143"/>
    <n v="26001"/>
    <s v="CATIVO"/>
    <n v="0"/>
    <n v="0"/>
    <n v="43"/>
    <n v="86"/>
    <n v="0"/>
    <n v="161.62"/>
    <n v="195.88"/>
    <m/>
    <n v="185.42808941373102"/>
    <n v="196.45594068817735"/>
    <n v="0"/>
    <n v="1231060.1826200001"/>
    <n v="0"/>
    <n v="1314990.4165951079"/>
    <x v="5"/>
  </r>
  <r>
    <s v="Refaturamento - Regular"/>
    <x v="3"/>
    <x v="3"/>
    <x v="4"/>
    <x v="4"/>
    <x v="0"/>
    <x v="15"/>
    <x v="0"/>
    <x v="7"/>
    <n v="0"/>
    <n v="0"/>
    <n v="-0.629"/>
    <n v="-0.629"/>
    <n v="-0.629"/>
    <n v="-0.629"/>
    <n v="-1"/>
    <s v="CATIVO"/>
    <n v="0"/>
    <n v="0"/>
    <n v="43"/>
    <n v="86"/>
    <n v="0"/>
    <n v="161.62"/>
    <n v="195.88"/>
    <m/>
    <n v="185.42808941373102"/>
    <n v="196.45594068817735"/>
    <n v="0"/>
    <n v="-149.91586000000001"/>
    <n v="0"/>
    <n v="-160.13670328940029"/>
    <x v="5"/>
  </r>
  <r>
    <s v="Sistema de Compensação"/>
    <x v="3"/>
    <x v="3"/>
    <x v="4"/>
    <x v="4"/>
    <x v="0"/>
    <x v="15"/>
    <x v="0"/>
    <x v="7"/>
    <n v="0"/>
    <n v="0"/>
    <n v="5.484"/>
    <n v="5.484"/>
    <n v="5.484"/>
    <n v="5.484"/>
    <n v="12"/>
    <s v="CATIVO"/>
    <n v="0"/>
    <n v="0"/>
    <n v="43"/>
    <n v="86"/>
    <n v="0"/>
    <n v="161.62"/>
    <n v="195.88"/>
    <m/>
    <n v="185.42808941373102"/>
    <n v="196.45594068817735"/>
    <n v="0"/>
    <n v="1307.0565600000002"/>
    <n v="0"/>
    <n v="1396.1680140525773"/>
    <x v="5"/>
  </r>
  <r>
    <s v="Regular"/>
    <x v="3"/>
    <x v="3"/>
    <x v="4"/>
    <x v="4"/>
    <x v="0"/>
    <x v="15"/>
    <x v="0"/>
    <x v="8"/>
    <n v="0"/>
    <n v="0"/>
    <n v="5405.2929999999997"/>
    <n v="5405.2929999999997"/>
    <n v="5405.2929999999997"/>
    <n v="5405.2929999999997"/>
    <n v="32715"/>
    <s v="CATIVO"/>
    <n v="0"/>
    <n v="0"/>
    <n v="43"/>
    <n v="86"/>
    <n v="0"/>
    <n v="161.62"/>
    <n v="195.88"/>
    <m/>
    <n v="185.42808941373102"/>
    <n v="196.45594068817735"/>
    <n v="0"/>
    <n v="1288297.5336200001"/>
    <n v="0"/>
    <n v="1376130.0498144233"/>
    <x v="5"/>
  </r>
  <r>
    <s v="Refaturamento - Regular"/>
    <x v="3"/>
    <x v="3"/>
    <x v="4"/>
    <x v="4"/>
    <x v="0"/>
    <x v="15"/>
    <x v="0"/>
    <x v="8"/>
    <n v="0"/>
    <n v="0"/>
    <n v="-3.387"/>
    <n v="-3.387"/>
    <n v="-3.387"/>
    <n v="-3.387"/>
    <n v="-17"/>
    <s v="CATIVO"/>
    <n v="0"/>
    <n v="0"/>
    <n v="43"/>
    <n v="86"/>
    <n v="0"/>
    <n v="161.62"/>
    <n v="195.88"/>
    <m/>
    <n v="185.42808941373102"/>
    <n v="196.45594068817735"/>
    <n v="0"/>
    <n v="-807.25758000000008"/>
    <n v="0"/>
    <n v="-862.29413997010931"/>
    <x v="5"/>
  </r>
  <r>
    <s v="Sistema de Compensação"/>
    <x v="3"/>
    <x v="3"/>
    <x v="4"/>
    <x v="4"/>
    <x v="0"/>
    <x v="15"/>
    <x v="0"/>
    <x v="8"/>
    <n v="0"/>
    <n v="0"/>
    <n v="5.9039999999999999"/>
    <n v="5.9039999999999999"/>
    <n v="5.9039999999999999"/>
    <n v="5.9039999999999999"/>
    <n v="17"/>
    <s v="CATIVO"/>
    <n v="0"/>
    <n v="0"/>
    <n v="43"/>
    <n v="86"/>
    <n v="0"/>
    <n v="161.62"/>
    <n v="195.88"/>
    <m/>
    <n v="185.42808941373102"/>
    <n v="196.45594068817735"/>
    <n v="0"/>
    <n v="1407.1593600000001"/>
    <n v="0"/>
    <n v="1503.0955424811118"/>
    <x v="5"/>
  </r>
  <r>
    <s v="Sistema de Compensação"/>
    <x v="3"/>
    <x v="3"/>
    <x v="4"/>
    <x v="4"/>
    <x v="0"/>
    <x v="15"/>
    <x v="0"/>
    <x v="8"/>
    <n v="0"/>
    <n v="0"/>
    <n v="-0.02"/>
    <n v="-0.02"/>
    <n v="-0.02"/>
    <n v="-0.02"/>
    <n v="0"/>
    <s v="CATIVO"/>
    <n v="0"/>
    <n v="0"/>
    <n v="43"/>
    <n v="86"/>
    <n v="0"/>
    <n v="161.62"/>
    <n v="195.88"/>
    <m/>
    <n v="185.42808941373102"/>
    <n v="196.45594068817735"/>
    <n v="0"/>
    <n v="-4.7668000000000008"/>
    <n v="0"/>
    <n v="-5.0917870680254467"/>
    <x v="5"/>
  </r>
  <r>
    <s v="Regular"/>
    <x v="3"/>
    <x v="3"/>
    <x v="4"/>
    <x v="4"/>
    <x v="0"/>
    <x v="15"/>
    <x v="0"/>
    <x v="9"/>
    <n v="0"/>
    <n v="0"/>
    <n v="5734.58"/>
    <n v="5734.58"/>
    <n v="5734.58"/>
    <n v="5734.58"/>
    <n v="27892"/>
    <s v="CATIVO"/>
    <n v="0"/>
    <n v="0"/>
    <n v="43"/>
    <n v="86"/>
    <n v="0"/>
    <n v="161.62"/>
    <n v="195.88"/>
    <m/>
    <n v="185.42808941373102"/>
    <n v="196.45594068817735"/>
    <n v="0"/>
    <n v="1366779.7972000001"/>
    <n v="0"/>
    <n v="1459963.0142278683"/>
    <x v="5"/>
  </r>
  <r>
    <s v="Refaturamento - Regular"/>
    <x v="3"/>
    <x v="3"/>
    <x v="4"/>
    <x v="4"/>
    <x v="0"/>
    <x v="15"/>
    <x v="0"/>
    <x v="9"/>
    <n v="0"/>
    <n v="0"/>
    <n v="-0.98899999999999999"/>
    <n v="-0.98899999999999999"/>
    <n v="-0.98899999999999999"/>
    <n v="-0.98899999999999999"/>
    <n v="-2"/>
    <s v="CATIVO"/>
    <n v="0"/>
    <n v="0"/>
    <n v="43"/>
    <n v="86"/>
    <n v="0"/>
    <n v="161.62"/>
    <n v="195.88"/>
    <m/>
    <n v="185.42808941373102"/>
    <n v="196.45594068817735"/>
    <n v="0"/>
    <n v="-235.71826000000001"/>
    <n v="0"/>
    <n v="-251.78887051385831"/>
    <x v="5"/>
  </r>
  <r>
    <s v="Sistema de Compensação"/>
    <x v="3"/>
    <x v="3"/>
    <x v="4"/>
    <x v="4"/>
    <x v="0"/>
    <x v="15"/>
    <x v="0"/>
    <x v="9"/>
    <n v="0"/>
    <n v="0"/>
    <n v="7.0460000000000003"/>
    <n v="7.0460000000000003"/>
    <n v="7.0460000000000003"/>
    <n v="7.0460000000000003"/>
    <n v="15"/>
    <s v="CATIVO"/>
    <n v="0"/>
    <n v="0"/>
    <n v="43"/>
    <n v="86"/>
    <n v="0"/>
    <n v="161.62"/>
    <n v="195.88"/>
    <m/>
    <n v="185.42808941373102"/>
    <n v="196.45594068817735"/>
    <n v="0"/>
    <n v="1679.3436400000003"/>
    <n v="0"/>
    <n v="1793.8365840653648"/>
    <x v="5"/>
  </r>
  <r>
    <s v="Sistema de Compensação"/>
    <x v="3"/>
    <x v="3"/>
    <x v="4"/>
    <x v="4"/>
    <x v="0"/>
    <x v="15"/>
    <x v="0"/>
    <x v="9"/>
    <n v="0"/>
    <n v="0"/>
    <n v="-7.0000000000000007E-2"/>
    <n v="-7.0000000000000007E-2"/>
    <n v="-7.0000000000000007E-2"/>
    <n v="-7.0000000000000007E-2"/>
    <n v="0"/>
    <s v="CATIVO"/>
    <n v="0"/>
    <n v="0"/>
    <n v="43"/>
    <n v="86"/>
    <n v="0"/>
    <n v="161.62"/>
    <n v="195.88"/>
    <m/>
    <n v="185.42808941373102"/>
    <n v="196.45594068817735"/>
    <n v="0"/>
    <n v="-16.683800000000005"/>
    <n v="0"/>
    <n v="-17.821254738089063"/>
    <x v="5"/>
  </r>
  <r>
    <s v="Regular"/>
    <x v="3"/>
    <x v="3"/>
    <x v="4"/>
    <x v="4"/>
    <x v="0"/>
    <x v="15"/>
    <x v="0"/>
    <x v="10"/>
    <n v="0"/>
    <n v="0"/>
    <n v="5716.9080000000004"/>
    <n v="5716.9080000000004"/>
    <n v="5716.9080000000004"/>
    <n v="5716.9080000000004"/>
    <n v="31306"/>
    <s v="CATIVO"/>
    <n v="0"/>
    <n v="0"/>
    <n v="43"/>
    <n v="86"/>
    <n v="0"/>
    <n v="161.62"/>
    <n v="195.88"/>
    <m/>
    <n v="185.42808941373102"/>
    <n v="196.45594068817735"/>
    <n v="0"/>
    <n v="1362567.8527200003"/>
    <n v="0"/>
    <n v="1455463.9111745611"/>
    <x v="5"/>
  </r>
  <r>
    <s v="Refaturamento - Regular"/>
    <x v="3"/>
    <x v="3"/>
    <x v="4"/>
    <x v="4"/>
    <x v="0"/>
    <x v="15"/>
    <x v="0"/>
    <x v="10"/>
    <n v="0"/>
    <n v="0"/>
    <n v="-1.19"/>
    <n v="-1.19"/>
    <n v="-1.19"/>
    <n v="-1.19"/>
    <n v="-1"/>
    <s v="CATIVO"/>
    <n v="0"/>
    <n v="0"/>
    <n v="43"/>
    <n v="86"/>
    <n v="0"/>
    <n v="161.62"/>
    <n v="195.88"/>
    <m/>
    <n v="185.42808941373102"/>
    <n v="196.45594068817735"/>
    <n v="0"/>
    <n v="-283.62460000000004"/>
    <n v="0"/>
    <n v="-302.96133054751402"/>
    <x v="5"/>
  </r>
  <r>
    <s v="Sistema de Compensação"/>
    <x v="3"/>
    <x v="3"/>
    <x v="4"/>
    <x v="4"/>
    <x v="0"/>
    <x v="15"/>
    <x v="0"/>
    <x v="10"/>
    <n v="0"/>
    <n v="0"/>
    <n v="7.681"/>
    <n v="7.681"/>
    <n v="7.681"/>
    <n v="7.681"/>
    <n v="15"/>
    <s v="CATIVO"/>
    <n v="0"/>
    <n v="0"/>
    <n v="43"/>
    <n v="86"/>
    <n v="0"/>
    <n v="161.62"/>
    <n v="195.88"/>
    <m/>
    <n v="185.42808941373102"/>
    <n v="196.45594068817735"/>
    <n v="0"/>
    <n v="1830.6895400000003"/>
    <n v="0"/>
    <n v="1955.5008234751726"/>
    <x v="5"/>
  </r>
  <r>
    <s v="PROJETADO"/>
    <x v="3"/>
    <x v="3"/>
    <x v="4"/>
    <x v="4"/>
    <x v="0"/>
    <x v="15"/>
    <x v="0"/>
    <x v="11"/>
    <n v="0"/>
    <n v="0"/>
    <n v="5716.9080000000004"/>
    <n v="5716.9080000000004"/>
    <n v="5716.9080000000004"/>
    <n v="5716.9080000000004"/>
    <n v="31306"/>
    <s v="CATIVO"/>
    <n v="0"/>
    <n v="0"/>
    <n v="43"/>
    <n v="86"/>
    <n v="0"/>
    <n v="161.62"/>
    <n v="195.88"/>
    <m/>
    <n v="185.42808941373102"/>
    <n v="196.45594068817735"/>
    <n v="0"/>
    <n v="1362567.8527200003"/>
    <n v="0"/>
    <n v="1455463.9111745611"/>
    <x v="5"/>
  </r>
  <r>
    <s v="PROJETADO"/>
    <x v="3"/>
    <x v="3"/>
    <x v="4"/>
    <x v="4"/>
    <x v="0"/>
    <x v="15"/>
    <x v="0"/>
    <x v="11"/>
    <n v="0"/>
    <n v="0"/>
    <n v="-1.19"/>
    <n v="-1.19"/>
    <n v="-1.19"/>
    <n v="-1.19"/>
    <n v="-1"/>
    <s v="CATIVO"/>
    <n v="0"/>
    <n v="0"/>
    <n v="43"/>
    <n v="86"/>
    <n v="0"/>
    <n v="161.62"/>
    <n v="195.88"/>
    <m/>
    <n v="185.42808941373102"/>
    <n v="196.45594068817735"/>
    <n v="0"/>
    <n v="-283.62460000000004"/>
    <n v="0"/>
    <n v="-302.96133054751402"/>
    <x v="5"/>
  </r>
  <r>
    <s v="PROJETADO"/>
    <x v="3"/>
    <x v="3"/>
    <x v="4"/>
    <x v="4"/>
    <x v="0"/>
    <x v="15"/>
    <x v="0"/>
    <x v="11"/>
    <n v="0"/>
    <n v="0"/>
    <n v="7.681"/>
    <n v="7.681"/>
    <n v="7.681"/>
    <n v="7.681"/>
    <n v="15"/>
    <s v="CATIVO"/>
    <n v="0"/>
    <n v="0"/>
    <n v="43"/>
    <n v="86"/>
    <n v="0"/>
    <n v="161.62"/>
    <n v="195.88"/>
    <m/>
    <n v="185.42808941373102"/>
    <n v="196.45594068817735"/>
    <n v="0"/>
    <n v="1830.6895400000003"/>
    <n v="0"/>
    <n v="1955.5008234751726"/>
    <x v="5"/>
  </r>
  <r>
    <s v="Regular"/>
    <x v="3"/>
    <x v="3"/>
    <x v="4"/>
    <x v="5"/>
    <x v="0"/>
    <x v="15"/>
    <x v="0"/>
    <x v="0"/>
    <n v="0"/>
    <n v="0"/>
    <n v="2711.098"/>
    <n v="2711.098"/>
    <n v="2711.098"/>
    <n v="2711.098"/>
    <n v="42605"/>
    <s v="CATIVO"/>
    <n v="0"/>
    <n v="0"/>
    <n v="44"/>
    <n v="87"/>
    <n v="0"/>
    <n v="242.43"/>
    <n v="293.82"/>
    <m/>
    <n v="278.14213412059655"/>
    <n v="294.68391103226605"/>
    <n v="0"/>
    <n v="161554.32982000007"/>
    <n v="0"/>
    <n v="172554.17170687063"/>
    <x v="5"/>
  </r>
  <r>
    <s v="Refaturamento - Regular"/>
    <x v="3"/>
    <x v="3"/>
    <x v="4"/>
    <x v="5"/>
    <x v="0"/>
    <x v="15"/>
    <x v="0"/>
    <x v="0"/>
    <n v="0"/>
    <n v="0"/>
    <n v="-0.65300000000000002"/>
    <n v="-0.65300000000000002"/>
    <n v="-0.65300000000000002"/>
    <n v="-0.65300000000000002"/>
    <n v="-10"/>
    <s v="CATIVO"/>
    <n v="0"/>
    <n v="0"/>
    <n v="44"/>
    <n v="87"/>
    <n v="0"/>
    <n v="242.43"/>
    <n v="293.82"/>
    <m/>
    <n v="278.14213412059655"/>
    <n v="294.68391103226605"/>
    <n v="0"/>
    <n v="-38.912270000000021"/>
    <n v="0"/>
    <n v="-41.561711942757711"/>
    <x v="5"/>
  </r>
  <r>
    <s v="Sistema de Compensação"/>
    <x v="3"/>
    <x v="3"/>
    <x v="4"/>
    <x v="5"/>
    <x v="0"/>
    <x v="15"/>
    <x v="0"/>
    <x v="0"/>
    <n v="0"/>
    <n v="0"/>
    <n v="2.3570000000000002"/>
    <n v="2.3570000000000002"/>
    <n v="2.3570000000000002"/>
    <n v="2.3570000000000002"/>
    <n v="36"/>
    <s v="CATIVO"/>
    <n v="0"/>
    <n v="0"/>
    <n v="44"/>
    <n v="87"/>
    <n v="0"/>
    <n v="242.43"/>
    <n v="293.82"/>
    <m/>
    <n v="278.14213412059655"/>
    <n v="294.68391103226605"/>
    <n v="0"/>
    <n v="140.45363000000009"/>
    <n v="0"/>
    <n v="150.01677649169972"/>
    <x v="5"/>
  </r>
  <r>
    <s v="Regular"/>
    <x v="3"/>
    <x v="3"/>
    <x v="4"/>
    <x v="5"/>
    <x v="0"/>
    <x v="15"/>
    <x v="0"/>
    <x v="1"/>
    <n v="0"/>
    <n v="0"/>
    <n v="2669.2820000000002"/>
    <n v="2669.2820000000002"/>
    <n v="2669.2820000000002"/>
    <n v="2669.2820000000002"/>
    <n v="42079"/>
    <s v="CATIVO"/>
    <n v="0"/>
    <n v="0"/>
    <n v="44"/>
    <n v="87"/>
    <n v="0"/>
    <n v="242.43"/>
    <n v="293.82"/>
    <m/>
    <n v="278.14213412059655"/>
    <n v="294.68391103226605"/>
    <n v="0"/>
    <n v="159062.5143800001"/>
    <n v="0"/>
    <n v="169892.69460641374"/>
    <x v="5"/>
  </r>
  <r>
    <s v="Refaturamento - Regular"/>
    <x v="3"/>
    <x v="3"/>
    <x v="4"/>
    <x v="5"/>
    <x v="0"/>
    <x v="15"/>
    <x v="0"/>
    <x v="1"/>
    <n v="0"/>
    <n v="0"/>
    <n v="-0.42399999999999999"/>
    <n v="-0.42399999999999999"/>
    <n v="-0.42399999999999999"/>
    <n v="-0.42399999999999999"/>
    <n v="-5"/>
    <s v="CATIVO"/>
    <n v="0"/>
    <n v="0"/>
    <n v="44"/>
    <n v="87"/>
    <n v="0"/>
    <n v="242.43"/>
    <n v="293.82"/>
    <m/>
    <n v="278.14213412059655"/>
    <n v="294.68391103226605"/>
    <n v="0"/>
    <n v="-25.266160000000013"/>
    <n v="0"/>
    <n v="-26.986471460534865"/>
    <x v="5"/>
  </r>
  <r>
    <s v="Sistema de Compensação"/>
    <x v="3"/>
    <x v="3"/>
    <x v="4"/>
    <x v="5"/>
    <x v="0"/>
    <x v="15"/>
    <x v="0"/>
    <x v="1"/>
    <n v="0"/>
    <n v="0"/>
    <n v="2.7730000000000001"/>
    <n v="2.7730000000000001"/>
    <n v="2.7730000000000001"/>
    <n v="2.7730000000000001"/>
    <n v="41"/>
    <s v="CATIVO"/>
    <n v="0"/>
    <n v="0"/>
    <n v="44"/>
    <n v="87"/>
    <n v="0"/>
    <n v="242.43"/>
    <n v="293.82"/>
    <m/>
    <n v="278.14213412059655"/>
    <n v="294.68391103226605"/>
    <n v="0"/>
    <n v="165.2430700000001"/>
    <n v="0"/>
    <n v="176.49406924543203"/>
    <x v="5"/>
  </r>
  <r>
    <s v="Regular"/>
    <x v="3"/>
    <x v="3"/>
    <x v="4"/>
    <x v="5"/>
    <x v="0"/>
    <x v="15"/>
    <x v="0"/>
    <x v="2"/>
    <n v="0"/>
    <n v="0"/>
    <n v="2759.5949999999998"/>
    <n v="2759.5949999999998"/>
    <n v="2759.5949999999998"/>
    <n v="2759.5949999999998"/>
    <n v="42968"/>
    <s v="CATIVO"/>
    <n v="0"/>
    <n v="0"/>
    <n v="44"/>
    <n v="87"/>
    <n v="0"/>
    <n v="242.43"/>
    <n v="293.82"/>
    <m/>
    <n v="278.14213412059655"/>
    <n v="294.68391103226605"/>
    <n v="0"/>
    <n v="164444.26605000006"/>
    <n v="0"/>
    <n v="175640.87667484602"/>
    <x v="5"/>
  </r>
  <r>
    <s v="Refaturamento - Regular"/>
    <x v="3"/>
    <x v="3"/>
    <x v="4"/>
    <x v="5"/>
    <x v="0"/>
    <x v="15"/>
    <x v="0"/>
    <x v="2"/>
    <n v="0"/>
    <n v="0"/>
    <n v="-1.3959999999999999"/>
    <n v="-1.3959999999999999"/>
    <n v="-1.3959999999999999"/>
    <n v="-1.3959999999999999"/>
    <n v="-7"/>
    <s v="CATIVO"/>
    <n v="0"/>
    <n v="0"/>
    <n v="44"/>
    <n v="87"/>
    <n v="0"/>
    <n v="242.43"/>
    <n v="293.82"/>
    <m/>
    <n v="278.14213412059655"/>
    <n v="294.68391103226605"/>
    <n v="0"/>
    <n v="-83.187640000000044"/>
    <n v="0"/>
    <n v="-88.851684337044034"/>
    <x v="5"/>
  </r>
  <r>
    <s v="Sistema de Compensação"/>
    <x v="3"/>
    <x v="3"/>
    <x v="4"/>
    <x v="5"/>
    <x v="0"/>
    <x v="15"/>
    <x v="0"/>
    <x v="2"/>
    <n v="0"/>
    <n v="0"/>
    <n v="3.17"/>
    <n v="3.17"/>
    <n v="3.17"/>
    <n v="3.17"/>
    <n v="43"/>
    <s v="CATIVO"/>
    <n v="0"/>
    <n v="0"/>
    <n v="44"/>
    <n v="87"/>
    <n v="0"/>
    <n v="242.43"/>
    <n v="293.82"/>
    <m/>
    <n v="278.14213412059655"/>
    <n v="294.68391103226605"/>
    <n v="0"/>
    <n v="188.9003000000001"/>
    <n v="0"/>
    <n v="201.76206257050831"/>
    <x v="5"/>
  </r>
  <r>
    <s v="Regular"/>
    <x v="3"/>
    <x v="3"/>
    <x v="4"/>
    <x v="5"/>
    <x v="0"/>
    <x v="15"/>
    <x v="0"/>
    <x v="3"/>
    <n v="0"/>
    <n v="0"/>
    <n v="3327.1289999999999"/>
    <n v="3327.1289999999999"/>
    <n v="3327.1289999999999"/>
    <n v="3327.1289999999999"/>
    <n v="44946"/>
    <s v="CATIVO"/>
    <n v="0"/>
    <n v="0"/>
    <n v="44"/>
    <n v="87"/>
    <n v="0"/>
    <n v="242.43"/>
    <n v="293.82"/>
    <m/>
    <n v="278.14213412059655"/>
    <n v="294.68391103226605"/>
    <n v="0"/>
    <n v="198263.61711000011"/>
    <n v="0"/>
    <n v="211762.90519815544"/>
    <x v="5"/>
  </r>
  <r>
    <s v="Refaturamento - Regular"/>
    <x v="3"/>
    <x v="3"/>
    <x v="4"/>
    <x v="5"/>
    <x v="0"/>
    <x v="15"/>
    <x v="0"/>
    <x v="3"/>
    <n v="0"/>
    <n v="0"/>
    <n v="-1.381"/>
    <n v="-1.381"/>
    <n v="-1.381"/>
    <n v="-1.381"/>
    <n v="-8"/>
    <s v="CATIVO"/>
    <n v="0"/>
    <n v="0"/>
    <n v="44"/>
    <n v="87"/>
    <n v="0"/>
    <n v="242.43"/>
    <n v="293.82"/>
    <m/>
    <n v="278.14213412059655"/>
    <n v="294.68391103226605"/>
    <n v="0"/>
    <n v="-82.293790000000044"/>
    <n v="0"/>
    <n v="-87.896974261789268"/>
    <x v="5"/>
  </r>
  <r>
    <s v="Sistema de Compensação"/>
    <x v="3"/>
    <x v="3"/>
    <x v="4"/>
    <x v="5"/>
    <x v="0"/>
    <x v="15"/>
    <x v="0"/>
    <x v="3"/>
    <n v="0"/>
    <n v="0"/>
    <n v="2.5190000000000001"/>
    <n v="2.5190000000000001"/>
    <n v="2.5190000000000001"/>
    <n v="2.5190000000000001"/>
    <n v="41"/>
    <s v="CATIVO"/>
    <n v="0"/>
    <n v="0"/>
    <n v="44"/>
    <n v="87"/>
    <n v="0"/>
    <n v="242.43"/>
    <n v="293.82"/>
    <m/>
    <n v="278.14213412059655"/>
    <n v="294.68391103226605"/>
    <n v="0"/>
    <n v="150.10721000000009"/>
    <n v="0"/>
    <n v="160.32764530445124"/>
    <x v="5"/>
  </r>
  <r>
    <s v="Regular"/>
    <x v="3"/>
    <x v="3"/>
    <x v="4"/>
    <x v="5"/>
    <x v="0"/>
    <x v="15"/>
    <x v="0"/>
    <x v="4"/>
    <n v="0"/>
    <n v="0"/>
    <n v="2989.3139999999999"/>
    <n v="2989.3139999999999"/>
    <n v="2989.3139999999999"/>
    <n v="2989.3139999999999"/>
    <n v="44214"/>
    <s v="CATIVO"/>
    <n v="0"/>
    <n v="0"/>
    <n v="44"/>
    <n v="87"/>
    <n v="0"/>
    <n v="242.43"/>
    <n v="293.82"/>
    <m/>
    <n v="278.14213412059655"/>
    <n v="294.68391103226605"/>
    <n v="0"/>
    <n v="178133.22126000008"/>
    <n v="0"/>
    <n v="190261.87959334272"/>
    <x v="5"/>
  </r>
  <r>
    <s v="Refaturamento - Regular"/>
    <x v="3"/>
    <x v="3"/>
    <x v="4"/>
    <x v="5"/>
    <x v="0"/>
    <x v="15"/>
    <x v="0"/>
    <x v="4"/>
    <n v="0"/>
    <n v="0"/>
    <n v="-0.65900000000000003"/>
    <n v="-0.65900000000000003"/>
    <n v="-0.65900000000000003"/>
    <n v="-0.65900000000000003"/>
    <n v="-7"/>
    <s v="CATIVO"/>
    <n v="0"/>
    <n v="0"/>
    <n v="44"/>
    <n v="87"/>
    <n v="0"/>
    <n v="242.43"/>
    <n v="293.82"/>
    <m/>
    <n v="278.14213412059655"/>
    <n v="294.68391103226605"/>
    <n v="0"/>
    <n v="-39.269810000000021"/>
    <n v="0"/>
    <n v="-41.943595972859619"/>
    <x v="5"/>
  </r>
  <r>
    <s v="Sistema de Compensação"/>
    <x v="3"/>
    <x v="3"/>
    <x v="4"/>
    <x v="5"/>
    <x v="0"/>
    <x v="15"/>
    <x v="0"/>
    <x v="4"/>
    <n v="0"/>
    <n v="0"/>
    <n v="2.9409999999999998"/>
    <n v="2.9409999999999998"/>
    <n v="2.9409999999999998"/>
    <n v="2.9409999999999998"/>
    <n v="42"/>
    <s v="CATIVO"/>
    <n v="0"/>
    <n v="0"/>
    <n v="44"/>
    <n v="87"/>
    <n v="0"/>
    <n v="242.43"/>
    <n v="293.82"/>
    <m/>
    <n v="278.14213412059655"/>
    <n v="294.68391103226605"/>
    <n v="0"/>
    <n v="175.25419000000008"/>
    <n v="0"/>
    <n v="187.18682208828545"/>
    <x v="5"/>
  </r>
  <r>
    <s v="Regular"/>
    <x v="3"/>
    <x v="3"/>
    <x v="4"/>
    <x v="5"/>
    <x v="0"/>
    <x v="15"/>
    <x v="0"/>
    <x v="5"/>
    <n v="0"/>
    <n v="0"/>
    <n v="3090.9580000000001"/>
    <n v="3090.9580000000001"/>
    <n v="3090.9580000000001"/>
    <n v="3090.9580000000001"/>
    <n v="45323"/>
    <s v="CATIVO"/>
    <n v="0"/>
    <n v="0"/>
    <n v="44"/>
    <n v="87"/>
    <n v="0"/>
    <n v="242.43"/>
    <n v="293.82"/>
    <m/>
    <n v="278.14213412059655"/>
    <n v="294.68391103226605"/>
    <n v="0"/>
    <n v="184190.18722000011"/>
    <n v="0"/>
    <n v="196731.24965262247"/>
    <x v="5"/>
  </r>
  <r>
    <s v="Refaturamento - Regular"/>
    <x v="3"/>
    <x v="3"/>
    <x v="4"/>
    <x v="5"/>
    <x v="0"/>
    <x v="15"/>
    <x v="0"/>
    <x v="5"/>
    <n v="0"/>
    <n v="0"/>
    <n v="-1.4450000000000001"/>
    <n v="-1.4450000000000001"/>
    <n v="-1.4450000000000001"/>
    <n v="-1.4450000000000001"/>
    <n v="-22"/>
    <s v="CATIVO"/>
    <n v="0"/>
    <n v="0"/>
    <n v="44"/>
    <n v="87"/>
    <n v="0"/>
    <n v="242.43"/>
    <n v="293.82"/>
    <m/>
    <n v="278.14213412059655"/>
    <n v="294.68391103226605"/>
    <n v="0"/>
    <n v="-86.107550000000046"/>
    <n v="0"/>
    <n v="-91.970403916209634"/>
    <x v="5"/>
  </r>
  <r>
    <s v="Sistema de Compensação"/>
    <x v="3"/>
    <x v="3"/>
    <x v="4"/>
    <x v="5"/>
    <x v="0"/>
    <x v="15"/>
    <x v="0"/>
    <x v="5"/>
    <n v="0"/>
    <n v="0"/>
    <n v="3.6320000000000001"/>
    <n v="3.6320000000000001"/>
    <n v="3.6320000000000001"/>
    <n v="3.6320000000000001"/>
    <n v="53"/>
    <s v="CATIVO"/>
    <n v="0"/>
    <n v="0"/>
    <n v="44"/>
    <n v="87"/>
    <n v="0"/>
    <n v="242.43"/>
    <n v="293.82"/>
    <m/>
    <n v="278.14213412059655"/>
    <n v="294.68391103226605"/>
    <n v="0"/>
    <n v="216.43088000000012"/>
    <n v="0"/>
    <n v="231.16713288835527"/>
    <x v="5"/>
  </r>
  <r>
    <s v="Regular"/>
    <x v="3"/>
    <x v="3"/>
    <x v="4"/>
    <x v="5"/>
    <x v="0"/>
    <x v="15"/>
    <x v="0"/>
    <x v="6"/>
    <n v="0"/>
    <n v="0"/>
    <n v="3567.2890000000002"/>
    <n v="3567.2890000000002"/>
    <n v="3567.2890000000002"/>
    <n v="3567.2890000000002"/>
    <n v="46719"/>
    <s v="CATIVO"/>
    <n v="0"/>
    <n v="0"/>
    <n v="44"/>
    <n v="87"/>
    <n v="0"/>
    <n v="242.43"/>
    <n v="293.82"/>
    <m/>
    <n v="278.14213412059655"/>
    <n v="294.68391103226605"/>
    <n v="0"/>
    <n v="212574.75151000012"/>
    <n v="0"/>
    <n v="227048.44997636785"/>
    <x v="5"/>
  </r>
  <r>
    <s v="Refaturamento - Regular"/>
    <x v="3"/>
    <x v="3"/>
    <x v="4"/>
    <x v="5"/>
    <x v="0"/>
    <x v="15"/>
    <x v="0"/>
    <x v="6"/>
    <n v="0"/>
    <n v="0"/>
    <n v="-1.488"/>
    <n v="-1.488"/>
    <n v="-1.488"/>
    <n v="-1.488"/>
    <n v="-10"/>
    <s v="CATIVO"/>
    <n v="0"/>
    <n v="0"/>
    <n v="44"/>
    <n v="87"/>
    <n v="0"/>
    <n v="242.43"/>
    <n v="293.82"/>
    <m/>
    <n v="278.14213412059655"/>
    <n v="294.68391103226605"/>
    <n v="0"/>
    <n v="-88.669920000000047"/>
    <n v="0"/>
    <n v="-94.707239465273304"/>
    <x v="5"/>
  </r>
  <r>
    <s v="Sistema de Compensação"/>
    <x v="3"/>
    <x v="3"/>
    <x v="4"/>
    <x v="5"/>
    <x v="0"/>
    <x v="15"/>
    <x v="0"/>
    <x v="6"/>
    <n v="0"/>
    <n v="0"/>
    <n v="3.3340000000000001"/>
    <n v="3.3340000000000001"/>
    <n v="3.3340000000000001"/>
    <n v="3.3340000000000001"/>
    <n v="54"/>
    <s v="CATIVO"/>
    <n v="0"/>
    <n v="0"/>
    <n v="44"/>
    <n v="87"/>
    <n v="0"/>
    <n v="242.43"/>
    <n v="293.82"/>
    <m/>
    <n v="278.14213412059655"/>
    <n v="294.68391103226605"/>
    <n v="0"/>
    <n v="198.67306000000011"/>
    <n v="0"/>
    <n v="212.20022605996047"/>
    <x v="5"/>
  </r>
  <r>
    <s v="Regular"/>
    <x v="3"/>
    <x v="3"/>
    <x v="4"/>
    <x v="5"/>
    <x v="0"/>
    <x v="15"/>
    <x v="0"/>
    <x v="7"/>
    <n v="0"/>
    <n v="0"/>
    <n v="3565.6320000000001"/>
    <n v="3565.6320000000001"/>
    <n v="3565.6320000000001"/>
    <n v="3565.6320000000001"/>
    <n v="47479"/>
    <s v="CATIVO"/>
    <n v="0"/>
    <n v="0"/>
    <n v="44"/>
    <n v="87"/>
    <n v="0"/>
    <n v="242.43"/>
    <n v="293.82"/>
    <m/>
    <n v="278.14213412059655"/>
    <n v="294.68391103226605"/>
    <n v="0"/>
    <n v="212476.0108800001"/>
    <n v="0"/>
    <n v="226942.98633672137"/>
    <x v="5"/>
  </r>
  <r>
    <s v="Refaturamento - Regular"/>
    <x v="3"/>
    <x v="3"/>
    <x v="4"/>
    <x v="5"/>
    <x v="0"/>
    <x v="15"/>
    <x v="0"/>
    <x v="7"/>
    <n v="0"/>
    <n v="0"/>
    <n v="-0.56299999999999994"/>
    <n v="-0.56299999999999994"/>
    <n v="-0.56299999999999994"/>
    <n v="-0.56299999999999994"/>
    <n v="-5"/>
    <s v="CATIVO"/>
    <n v="0"/>
    <n v="0"/>
    <n v="44"/>
    <n v="87"/>
    <n v="0"/>
    <n v="242.43"/>
    <n v="293.82"/>
    <m/>
    <n v="278.14213412059655"/>
    <n v="294.68391103226605"/>
    <n v="0"/>
    <n v="-33.549170000000018"/>
    <n v="0"/>
    <n v="-35.833451491229077"/>
    <x v="5"/>
  </r>
  <r>
    <s v="Sistema de Compensação"/>
    <x v="3"/>
    <x v="3"/>
    <x v="4"/>
    <x v="5"/>
    <x v="0"/>
    <x v="15"/>
    <x v="0"/>
    <x v="7"/>
    <n v="0"/>
    <n v="0"/>
    <n v="3.9670000000000001"/>
    <n v="3.9670000000000001"/>
    <n v="3.9670000000000001"/>
    <n v="3.9670000000000001"/>
    <n v="64"/>
    <s v="CATIVO"/>
    <n v="0"/>
    <n v="0"/>
    <n v="44"/>
    <n v="87"/>
    <n v="0"/>
    <n v="242.43"/>
    <n v="293.82"/>
    <m/>
    <n v="278.14213412059655"/>
    <n v="294.68391103226605"/>
    <n v="0"/>
    <n v="236.39353000000014"/>
    <n v="0"/>
    <n v="252.48899123571184"/>
    <x v="5"/>
  </r>
  <r>
    <s v="Regular"/>
    <x v="3"/>
    <x v="3"/>
    <x v="4"/>
    <x v="5"/>
    <x v="0"/>
    <x v="15"/>
    <x v="0"/>
    <x v="8"/>
    <n v="0"/>
    <n v="0"/>
    <n v="3335.3310000000001"/>
    <n v="3335.3310000000001"/>
    <n v="3335.3310000000001"/>
    <n v="3335.3310000000001"/>
    <n v="48530"/>
    <s v="CATIVO"/>
    <n v="0"/>
    <n v="0"/>
    <n v="44"/>
    <n v="87"/>
    <n v="0"/>
    <n v="242.43"/>
    <n v="293.82"/>
    <m/>
    <n v="278.14213412059655"/>
    <n v="294.68391103226605"/>
    <n v="0"/>
    <n v="198752.37429000012"/>
    <n v="0"/>
    <n v="212284.94066730476"/>
    <x v="5"/>
  </r>
  <r>
    <s v="Refaturamento - Regular"/>
    <x v="3"/>
    <x v="3"/>
    <x v="4"/>
    <x v="5"/>
    <x v="0"/>
    <x v="15"/>
    <x v="0"/>
    <x v="8"/>
    <n v="0"/>
    <n v="0"/>
    <n v="-3.4079999999999999"/>
    <n v="-3.4079999999999999"/>
    <n v="-3.4079999999999999"/>
    <n v="-3.4079999999999999"/>
    <n v="-30"/>
    <s v="CATIVO"/>
    <n v="0"/>
    <n v="0"/>
    <n v="44"/>
    <n v="87"/>
    <n v="0"/>
    <n v="242.43"/>
    <n v="293.82"/>
    <m/>
    <n v="278.14213412059655"/>
    <n v="294.68391103226605"/>
    <n v="0"/>
    <n v="-203.08272000000011"/>
    <n v="0"/>
    <n v="-216.91012909788401"/>
    <x v="5"/>
  </r>
  <r>
    <s v="Sistema de Compensação"/>
    <x v="3"/>
    <x v="3"/>
    <x v="4"/>
    <x v="5"/>
    <x v="0"/>
    <x v="15"/>
    <x v="0"/>
    <x v="8"/>
    <n v="0"/>
    <n v="0"/>
    <n v="4.6959999999999997"/>
    <n v="4.6959999999999997"/>
    <n v="4.6959999999999997"/>
    <n v="4.6959999999999997"/>
    <n v="78"/>
    <s v="CATIVO"/>
    <n v="0"/>
    <n v="0"/>
    <n v="44"/>
    <n v="87"/>
    <n v="0"/>
    <n v="242.43"/>
    <n v="293.82"/>
    <m/>
    <n v="278.14213412059655"/>
    <n v="294.68391103226605"/>
    <n v="0"/>
    <n v="279.83464000000015"/>
    <n v="0"/>
    <n v="298.88790089309367"/>
    <x v="5"/>
  </r>
  <r>
    <s v="Regular"/>
    <x v="3"/>
    <x v="3"/>
    <x v="4"/>
    <x v="5"/>
    <x v="0"/>
    <x v="15"/>
    <x v="0"/>
    <x v="9"/>
    <n v="0"/>
    <n v="0"/>
    <n v="4144.8900000000003"/>
    <n v="4144.8900000000003"/>
    <n v="4144.8900000000003"/>
    <n v="4144.8900000000003"/>
    <n v="51712"/>
    <s v="CATIVO"/>
    <n v="0"/>
    <n v="0"/>
    <n v="44"/>
    <n v="87"/>
    <n v="0"/>
    <n v="242.43"/>
    <n v="293.82"/>
    <m/>
    <n v="278.14213412059655"/>
    <n v="294.68391103226605"/>
    <n v="0"/>
    <n v="246993.99510000015"/>
    <n v="0"/>
    <n v="263811.21625484992"/>
    <x v="5"/>
  </r>
  <r>
    <s v="Refaturamento - Regular"/>
    <x v="3"/>
    <x v="3"/>
    <x v="4"/>
    <x v="5"/>
    <x v="0"/>
    <x v="15"/>
    <x v="0"/>
    <x v="9"/>
    <n v="0"/>
    <n v="0"/>
    <n v="-0.98499999999999999"/>
    <n v="-0.98499999999999999"/>
    <n v="-0.98499999999999999"/>
    <n v="-0.98499999999999999"/>
    <n v="-9"/>
    <s v="CATIVO"/>
    <n v="0"/>
    <n v="0"/>
    <n v="44"/>
    <n v="87"/>
    <n v="0"/>
    <n v="242.43"/>
    <n v="293.82"/>
    <m/>
    <n v="278.14213412059655"/>
    <n v="294.68391103226605"/>
    <n v="0"/>
    <n v="-58.696150000000031"/>
    <n v="0"/>
    <n v="-62.692628275063306"/>
    <x v="5"/>
  </r>
  <r>
    <s v="Sistema de Compensação"/>
    <x v="3"/>
    <x v="3"/>
    <x v="4"/>
    <x v="5"/>
    <x v="0"/>
    <x v="15"/>
    <x v="0"/>
    <x v="9"/>
    <n v="0"/>
    <n v="0"/>
    <n v="5.1989999999999998"/>
    <n v="5.1989999999999998"/>
    <n v="5.1989999999999998"/>
    <n v="5.1989999999999998"/>
    <n v="72"/>
    <s v="CATIVO"/>
    <n v="0"/>
    <n v="0"/>
    <n v="44"/>
    <n v="87"/>
    <n v="0"/>
    <n v="242.43"/>
    <n v="293.82"/>
    <m/>
    <n v="278.14213412059655"/>
    <n v="294.68391103226605"/>
    <n v="0"/>
    <n v="309.80841000000015"/>
    <n v="0"/>
    <n v="330.90251208330369"/>
    <x v="5"/>
  </r>
  <r>
    <s v="Sistema de Compensação"/>
    <x v="3"/>
    <x v="3"/>
    <x v="4"/>
    <x v="5"/>
    <x v="0"/>
    <x v="15"/>
    <x v="0"/>
    <x v="9"/>
    <n v="0"/>
    <n v="0"/>
    <n v="-0.12"/>
    <n v="-0.12"/>
    <n v="-0.12"/>
    <n v="-0.12"/>
    <n v="0"/>
    <s v="CATIVO"/>
    <n v="0"/>
    <n v="0"/>
    <n v="44"/>
    <n v="87"/>
    <n v="0"/>
    <n v="242.43"/>
    <n v="293.82"/>
    <m/>
    <n v="278.14213412059655"/>
    <n v="294.68391103226605"/>
    <n v="0"/>
    <n v="-7.1508000000000038"/>
    <n v="0"/>
    <n v="-7.6376806020381691"/>
    <x v="5"/>
  </r>
  <r>
    <s v="Regular"/>
    <x v="3"/>
    <x v="3"/>
    <x v="4"/>
    <x v="5"/>
    <x v="0"/>
    <x v="15"/>
    <x v="0"/>
    <x v="10"/>
    <n v="0"/>
    <n v="0"/>
    <n v="3805.0160000000001"/>
    <n v="3805.0160000000001"/>
    <n v="3805.0160000000001"/>
    <n v="3805.0160000000001"/>
    <n v="51648"/>
    <s v="CATIVO"/>
    <n v="0"/>
    <n v="0"/>
    <n v="44"/>
    <n v="87"/>
    <n v="0"/>
    <n v="242.43"/>
    <n v="293.82"/>
    <m/>
    <n v="278.14213412059655"/>
    <n v="294.68391103226605"/>
    <n v="0"/>
    <n v="226740.90344000014"/>
    <n v="0"/>
    <n v="242179.14078037391"/>
    <x v="5"/>
  </r>
  <r>
    <s v="Refaturamento - Regular"/>
    <x v="3"/>
    <x v="3"/>
    <x v="4"/>
    <x v="5"/>
    <x v="0"/>
    <x v="15"/>
    <x v="0"/>
    <x v="10"/>
    <n v="0"/>
    <n v="0"/>
    <n v="-1.4490000000000001"/>
    <n v="-1.4490000000000001"/>
    <n v="-1.4490000000000001"/>
    <n v="-1.4490000000000001"/>
    <n v="-8"/>
    <s v="CATIVO"/>
    <n v="0"/>
    <n v="0"/>
    <n v="44"/>
    <n v="87"/>
    <n v="0"/>
    <n v="242.43"/>
    <n v="293.82"/>
    <m/>
    <n v="278.14213412059655"/>
    <n v="294.68391103226605"/>
    <n v="0"/>
    <n v="-86.345910000000046"/>
    <n v="0"/>
    <n v="-92.224993269610906"/>
    <x v="5"/>
  </r>
  <r>
    <s v="Sistema de Compensação"/>
    <x v="3"/>
    <x v="3"/>
    <x v="4"/>
    <x v="5"/>
    <x v="0"/>
    <x v="15"/>
    <x v="0"/>
    <x v="10"/>
    <n v="0"/>
    <n v="0"/>
    <n v="5.6509999999999998"/>
    <n v="5.6509999999999998"/>
    <n v="5.6509999999999998"/>
    <n v="5.6509999999999998"/>
    <n v="82"/>
    <s v="CATIVO"/>
    <n v="0"/>
    <n v="0"/>
    <n v="44"/>
    <n v="87"/>
    <n v="0"/>
    <n v="242.43"/>
    <n v="293.82"/>
    <m/>
    <n v="278.14213412059655"/>
    <n v="294.68391103226605"/>
    <n v="0"/>
    <n v="336.74309000000017"/>
    <n v="0"/>
    <n v="359.67110901764744"/>
    <x v="5"/>
  </r>
  <r>
    <s v="PROJETADO"/>
    <x v="3"/>
    <x v="3"/>
    <x v="4"/>
    <x v="5"/>
    <x v="0"/>
    <x v="15"/>
    <x v="0"/>
    <x v="11"/>
    <n v="0"/>
    <n v="0"/>
    <n v="3805.0160000000001"/>
    <n v="3805.0160000000001"/>
    <n v="3805.0160000000001"/>
    <n v="3805.0160000000001"/>
    <n v="51648"/>
    <s v="CATIVO"/>
    <n v="0"/>
    <n v="0"/>
    <n v="44"/>
    <n v="87"/>
    <n v="0"/>
    <n v="242.43"/>
    <n v="293.82"/>
    <m/>
    <n v="278.14213412059655"/>
    <n v="294.68391103226605"/>
    <n v="0"/>
    <n v="226740.90344000014"/>
    <n v="0"/>
    <n v="242179.14078037391"/>
    <x v="5"/>
  </r>
  <r>
    <s v="PROJETADO"/>
    <x v="3"/>
    <x v="3"/>
    <x v="4"/>
    <x v="5"/>
    <x v="0"/>
    <x v="15"/>
    <x v="0"/>
    <x v="11"/>
    <n v="0"/>
    <n v="0"/>
    <n v="-1.4490000000000001"/>
    <n v="-1.4490000000000001"/>
    <n v="-1.4490000000000001"/>
    <n v="-1.4490000000000001"/>
    <n v="-8"/>
    <s v="CATIVO"/>
    <n v="0"/>
    <n v="0"/>
    <n v="44"/>
    <n v="87"/>
    <n v="0"/>
    <n v="242.43"/>
    <n v="293.82"/>
    <m/>
    <n v="278.14213412059655"/>
    <n v="294.68391103226605"/>
    <n v="0"/>
    <n v="-86.345910000000046"/>
    <n v="0"/>
    <n v="-92.224993269610906"/>
    <x v="5"/>
  </r>
  <r>
    <s v="PROJETADO"/>
    <x v="3"/>
    <x v="3"/>
    <x v="4"/>
    <x v="5"/>
    <x v="0"/>
    <x v="15"/>
    <x v="0"/>
    <x v="11"/>
    <n v="0"/>
    <n v="0"/>
    <n v="5.6509999999999998"/>
    <n v="5.6509999999999998"/>
    <n v="5.6509999999999998"/>
    <n v="5.6509999999999998"/>
    <n v="82"/>
    <s v="CATIVO"/>
    <n v="0"/>
    <n v="0"/>
    <n v="44"/>
    <n v="87"/>
    <n v="0"/>
    <n v="242.43"/>
    <n v="293.82"/>
    <m/>
    <n v="278.14213412059655"/>
    <n v="294.68391103226605"/>
    <n v="0"/>
    <n v="336.74309000000017"/>
    <n v="0"/>
    <n v="359.67110901764744"/>
    <x v="5"/>
  </r>
  <r>
    <s v="Regular"/>
    <x v="3"/>
    <x v="3"/>
    <x v="4"/>
    <x v="6"/>
    <x v="0"/>
    <x v="15"/>
    <x v="0"/>
    <x v="0"/>
    <n v="0"/>
    <n v="0"/>
    <n v="416.46699999999998"/>
    <n v="416.46699999999998"/>
    <n v="416.46699999999998"/>
    <n v="416.46699999999998"/>
    <n v="6318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2.3673408122704131E-11"/>
    <x v="5"/>
  </r>
  <r>
    <s v="Refaturamento - Regular"/>
    <x v="3"/>
    <x v="3"/>
    <x v="4"/>
    <x v="6"/>
    <x v="0"/>
    <x v="15"/>
    <x v="0"/>
    <x v="0"/>
    <n v="0"/>
    <n v="0"/>
    <n v="-4.2999999999999997E-2"/>
    <n v="-4.2999999999999997E-2"/>
    <n v="-4.2999999999999997E-2"/>
    <n v="-4.2999999999999997E-2"/>
    <n v="-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2.4442670110147444E-15"/>
    <x v="5"/>
  </r>
  <r>
    <s v="Sistema de Compensação"/>
    <x v="3"/>
    <x v="3"/>
    <x v="4"/>
    <x v="6"/>
    <x v="0"/>
    <x v="15"/>
    <x v="0"/>
    <x v="0"/>
    <n v="0"/>
    <n v="0"/>
    <n v="3.3460000000000001"/>
    <n v="3.3460000000000001"/>
    <n v="3.3460000000000001"/>
    <n v="3.3460000000000001"/>
    <n v="3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1.9019807950826362E-13"/>
    <x v="5"/>
  </r>
  <r>
    <s v="Regular"/>
    <x v="3"/>
    <x v="3"/>
    <x v="4"/>
    <x v="6"/>
    <x v="0"/>
    <x v="15"/>
    <x v="0"/>
    <x v="1"/>
    <n v="0"/>
    <n v="0"/>
    <n v="395.661"/>
    <n v="395.661"/>
    <n v="395.661"/>
    <n v="395.661"/>
    <n v="629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2.249072394988616E-11"/>
    <x v="5"/>
  </r>
  <r>
    <s v="Refaturamento - Regular"/>
    <x v="3"/>
    <x v="3"/>
    <x v="4"/>
    <x v="6"/>
    <x v="0"/>
    <x v="15"/>
    <x v="0"/>
    <x v="1"/>
    <n v="0"/>
    <n v="0"/>
    <n v="-3.0000000000000001E-3"/>
    <n v="-3.0000000000000001E-3"/>
    <n v="-3.0000000000000001E-3"/>
    <n v="-3.0000000000000001E-3"/>
    <n v="-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1.7053025658242405E-16"/>
    <x v="5"/>
  </r>
  <r>
    <s v="Sistema de Compensação"/>
    <x v="3"/>
    <x v="3"/>
    <x v="4"/>
    <x v="6"/>
    <x v="0"/>
    <x v="15"/>
    <x v="0"/>
    <x v="1"/>
    <n v="0"/>
    <n v="0"/>
    <n v="3.145"/>
    <n v="3.145"/>
    <n v="3.145"/>
    <n v="3.145"/>
    <n v="3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1.7877255231724121E-13"/>
    <x v="5"/>
  </r>
  <r>
    <s v="Regular"/>
    <x v="3"/>
    <x v="3"/>
    <x v="4"/>
    <x v="6"/>
    <x v="0"/>
    <x v="15"/>
    <x v="0"/>
    <x v="2"/>
    <n v="0"/>
    <n v="0"/>
    <n v="415.32299999999998"/>
    <n v="415.32299999999998"/>
    <n v="415.32299999999998"/>
    <n v="415.32299999999998"/>
    <n v="661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2.3608379251527366E-11"/>
    <x v="5"/>
  </r>
  <r>
    <s v="Refaturamento - Regular"/>
    <x v="3"/>
    <x v="3"/>
    <x v="4"/>
    <x v="6"/>
    <x v="0"/>
    <x v="15"/>
    <x v="0"/>
    <x v="2"/>
    <n v="0"/>
    <n v="0"/>
    <n v="-3.7890000000000001"/>
    <n v="-3.7890000000000001"/>
    <n v="-3.7890000000000001"/>
    <n v="-3.7890000000000001"/>
    <n v="-8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2.1537971406360158E-13"/>
    <x v="5"/>
  </r>
  <r>
    <s v="Sistema de Compensação"/>
    <x v="3"/>
    <x v="3"/>
    <x v="4"/>
    <x v="6"/>
    <x v="0"/>
    <x v="15"/>
    <x v="0"/>
    <x v="2"/>
    <n v="0"/>
    <n v="0"/>
    <n v="3.2330000000000001"/>
    <n v="3.2330000000000001"/>
    <n v="3.2330000000000001"/>
    <n v="3.2330000000000001"/>
    <n v="40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1.8377477317699232E-13"/>
    <x v="5"/>
  </r>
  <r>
    <s v="Regular"/>
    <x v="3"/>
    <x v="3"/>
    <x v="4"/>
    <x v="6"/>
    <x v="0"/>
    <x v="15"/>
    <x v="0"/>
    <x v="3"/>
    <n v="0"/>
    <n v="0"/>
    <n v="642.28399999999999"/>
    <n v="642.28399999999999"/>
    <n v="642.28399999999999"/>
    <n v="642.28399999999999"/>
    <n v="9346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3.6509618439595215E-11"/>
    <x v="5"/>
  </r>
  <r>
    <s v="Refaturamento - Regular"/>
    <x v="3"/>
    <x v="3"/>
    <x v="4"/>
    <x v="6"/>
    <x v="0"/>
    <x v="15"/>
    <x v="0"/>
    <x v="3"/>
    <n v="0"/>
    <n v="0"/>
    <n v="-3.7919999999999998"/>
    <n v="-3.7919999999999998"/>
    <n v="-3.7919999999999998"/>
    <n v="-3.7919999999999998"/>
    <n v="-7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2.1555024432018398E-13"/>
    <x v="5"/>
  </r>
  <r>
    <s v="Sistema de Compensação"/>
    <x v="3"/>
    <x v="3"/>
    <x v="4"/>
    <x v="6"/>
    <x v="0"/>
    <x v="15"/>
    <x v="0"/>
    <x v="3"/>
    <n v="0"/>
    <n v="0"/>
    <n v="4.22"/>
    <n v="4.22"/>
    <n v="4.22"/>
    <n v="4.22"/>
    <n v="47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2.3987922759260981E-13"/>
    <x v="5"/>
  </r>
  <r>
    <s v="Regular"/>
    <x v="3"/>
    <x v="3"/>
    <x v="4"/>
    <x v="6"/>
    <x v="0"/>
    <x v="15"/>
    <x v="0"/>
    <x v="4"/>
    <n v="0"/>
    <n v="0"/>
    <n v="515.21600000000001"/>
    <n v="515.21600000000001"/>
    <n v="515.21600000000001"/>
    <n v="515.21600000000001"/>
    <n v="7642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2.9286638891790063E-11"/>
    <x v="5"/>
  </r>
  <r>
    <s v="Refaturamento - Regular"/>
    <x v="3"/>
    <x v="3"/>
    <x v="4"/>
    <x v="6"/>
    <x v="0"/>
    <x v="15"/>
    <x v="0"/>
    <x v="4"/>
    <n v="0"/>
    <n v="0"/>
    <n v="-0.76200000000000001"/>
    <n v="-0.76200000000000001"/>
    <n v="-0.76200000000000001"/>
    <n v="-0.76200000000000001"/>
    <n v="-3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4.3314685171935708E-14"/>
    <x v="5"/>
  </r>
  <r>
    <s v="Sistema de Compensação"/>
    <x v="3"/>
    <x v="3"/>
    <x v="4"/>
    <x v="6"/>
    <x v="0"/>
    <x v="15"/>
    <x v="0"/>
    <x v="4"/>
    <n v="0"/>
    <n v="0"/>
    <n v="6.4749999999999996"/>
    <n v="6.4749999999999996"/>
    <n v="6.4749999999999996"/>
    <n v="6.4749999999999996"/>
    <n v="55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3.6806113712373188E-13"/>
    <x v="5"/>
  </r>
  <r>
    <s v="Regular"/>
    <x v="3"/>
    <x v="3"/>
    <x v="4"/>
    <x v="6"/>
    <x v="0"/>
    <x v="15"/>
    <x v="0"/>
    <x v="5"/>
    <n v="0"/>
    <n v="0"/>
    <n v="528.21600000000001"/>
    <n v="528.21600000000001"/>
    <n v="528.21600000000001"/>
    <n v="528.21600000000001"/>
    <n v="7959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3.0025603336980567E-11"/>
    <x v="5"/>
  </r>
  <r>
    <s v="Refaturamento - Regular"/>
    <x v="3"/>
    <x v="3"/>
    <x v="4"/>
    <x v="6"/>
    <x v="0"/>
    <x v="15"/>
    <x v="0"/>
    <x v="5"/>
    <n v="0"/>
    <n v="0"/>
    <n v="-0.152"/>
    <n v="-0.152"/>
    <n v="-0.152"/>
    <n v="-0.152"/>
    <n v="-2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8.640199666842818E-15"/>
    <x v="5"/>
  </r>
  <r>
    <s v="Sistema de Compensação"/>
    <x v="3"/>
    <x v="3"/>
    <x v="4"/>
    <x v="6"/>
    <x v="0"/>
    <x v="15"/>
    <x v="0"/>
    <x v="5"/>
    <n v="0"/>
    <n v="0"/>
    <n v="7.4710000000000001"/>
    <n v="7.4710000000000001"/>
    <n v="7.4710000000000001"/>
    <n v="7.4710000000000001"/>
    <n v="56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2467718230909668E-13"/>
    <x v="5"/>
  </r>
  <r>
    <s v="Regular"/>
    <x v="3"/>
    <x v="3"/>
    <x v="4"/>
    <x v="6"/>
    <x v="0"/>
    <x v="15"/>
    <x v="0"/>
    <x v="6"/>
    <n v="0"/>
    <n v="0"/>
    <n v="725.89"/>
    <n v="725.89"/>
    <n v="725.89"/>
    <n v="725.89"/>
    <n v="10407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1262069316871929E-11"/>
    <x v="5"/>
  </r>
  <r>
    <s v="Refaturamento - Regular"/>
    <x v="3"/>
    <x v="3"/>
    <x v="4"/>
    <x v="6"/>
    <x v="0"/>
    <x v="15"/>
    <x v="0"/>
    <x v="6"/>
    <n v="0"/>
    <n v="0"/>
    <n v="-3.0390000000000001"/>
    <n v="-3.0390000000000001"/>
    <n v="-3.0390000000000001"/>
    <n v="-3.0390000000000001"/>
    <n v="-8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1.7274714991799557E-13"/>
    <x v="5"/>
  </r>
  <r>
    <s v="Sistema de Compensação"/>
    <x v="3"/>
    <x v="3"/>
    <x v="4"/>
    <x v="6"/>
    <x v="0"/>
    <x v="15"/>
    <x v="0"/>
    <x v="6"/>
    <n v="0"/>
    <n v="0"/>
    <n v="6.5940000000000003"/>
    <n v="6.5940000000000003"/>
    <n v="6.5940000000000003"/>
    <n v="6.5940000000000003"/>
    <n v="76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3.7482550396816807E-13"/>
    <x v="5"/>
  </r>
  <r>
    <s v="Regular"/>
    <x v="3"/>
    <x v="3"/>
    <x v="4"/>
    <x v="6"/>
    <x v="0"/>
    <x v="15"/>
    <x v="0"/>
    <x v="7"/>
    <n v="0"/>
    <n v="0"/>
    <n v="737.99099999999999"/>
    <n v="737.99099999999999"/>
    <n v="737.99099999999999"/>
    <n v="737.99099999999999"/>
    <n v="10440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1949931528506567E-11"/>
    <x v="5"/>
  </r>
  <r>
    <s v="Refaturamento - Regular"/>
    <x v="3"/>
    <x v="3"/>
    <x v="4"/>
    <x v="6"/>
    <x v="0"/>
    <x v="15"/>
    <x v="0"/>
    <x v="7"/>
    <n v="0"/>
    <n v="0"/>
    <n v="-0.34699999999999998"/>
    <n v="-0.34699999999999998"/>
    <n v="-0.34699999999999998"/>
    <n v="-0.34699999999999998"/>
    <n v="-3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1.972466634470038E-14"/>
    <x v="5"/>
  </r>
  <r>
    <s v="Sistema de Compensação"/>
    <x v="3"/>
    <x v="3"/>
    <x v="4"/>
    <x v="6"/>
    <x v="0"/>
    <x v="15"/>
    <x v="0"/>
    <x v="7"/>
    <n v="0"/>
    <n v="0"/>
    <n v="6.468"/>
    <n v="6.468"/>
    <n v="6.468"/>
    <n v="6.468"/>
    <n v="82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3.6766323319170624E-13"/>
    <x v="5"/>
  </r>
  <r>
    <s v="Regular"/>
    <x v="3"/>
    <x v="3"/>
    <x v="4"/>
    <x v="6"/>
    <x v="0"/>
    <x v="15"/>
    <x v="0"/>
    <x v="8"/>
    <n v="0"/>
    <n v="0"/>
    <n v="661.35900000000004"/>
    <n v="661.35900000000004"/>
    <n v="661.35900000000004"/>
    <n v="661.35900000000004"/>
    <n v="8982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3.759390665436513E-11"/>
    <x v="5"/>
  </r>
  <r>
    <s v="Refaturamento - Regular"/>
    <x v="3"/>
    <x v="3"/>
    <x v="4"/>
    <x v="6"/>
    <x v="0"/>
    <x v="15"/>
    <x v="0"/>
    <x v="8"/>
    <n v="0"/>
    <n v="0"/>
    <n v="-3.1120000000000001"/>
    <n v="-3.1120000000000001"/>
    <n v="-3.1120000000000001"/>
    <n v="-3.1120000000000001"/>
    <n v="-1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1.7689671949483455E-13"/>
    <x v="5"/>
  </r>
  <r>
    <s v="Sistema de Compensação"/>
    <x v="3"/>
    <x v="3"/>
    <x v="4"/>
    <x v="6"/>
    <x v="0"/>
    <x v="15"/>
    <x v="0"/>
    <x v="8"/>
    <n v="0"/>
    <n v="0"/>
    <n v="7.89"/>
    <n v="7.89"/>
    <n v="7.89"/>
    <n v="7.89"/>
    <n v="94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4849457481177522E-13"/>
    <x v="5"/>
  </r>
  <r>
    <s v="Regular"/>
    <x v="3"/>
    <x v="3"/>
    <x v="4"/>
    <x v="6"/>
    <x v="0"/>
    <x v="15"/>
    <x v="0"/>
    <x v="9"/>
    <n v="0"/>
    <n v="0"/>
    <n v="1014.8150000000001"/>
    <n v="1014.8150000000001"/>
    <n v="1014.8150000000001"/>
    <n v="1014.8150000000001"/>
    <n v="13119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5.7685554111230889E-11"/>
    <x v="5"/>
  </r>
  <r>
    <s v="Refaturamento - Regular"/>
    <x v="3"/>
    <x v="3"/>
    <x v="4"/>
    <x v="6"/>
    <x v="0"/>
    <x v="15"/>
    <x v="0"/>
    <x v="9"/>
    <n v="0"/>
    <n v="0"/>
    <n v="-1.018"/>
    <n v="-1.018"/>
    <n v="-1.018"/>
    <n v="-1.018"/>
    <n v="-4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5.786660040030256E-14"/>
    <x v="5"/>
  </r>
  <r>
    <s v="Sistema de Compensação"/>
    <x v="3"/>
    <x v="3"/>
    <x v="4"/>
    <x v="6"/>
    <x v="0"/>
    <x v="15"/>
    <x v="0"/>
    <x v="9"/>
    <n v="0"/>
    <n v="0"/>
    <n v="8.6530000000000005"/>
    <n v="8.6530000000000005"/>
    <n v="8.6530000000000005"/>
    <n v="8.6530000000000005"/>
    <n v="12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9186610340257178E-13"/>
    <x v="5"/>
  </r>
  <r>
    <s v="Sistema de Compensação"/>
    <x v="3"/>
    <x v="3"/>
    <x v="4"/>
    <x v="6"/>
    <x v="0"/>
    <x v="15"/>
    <x v="0"/>
    <x v="9"/>
    <n v="0"/>
    <n v="0"/>
    <n v="-0.42399999999999999"/>
    <n v="-0.42399999999999999"/>
    <n v="-0.42399999999999999"/>
    <n v="-0.42399999999999999"/>
    <n v="-1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2.4101609596982598E-14"/>
    <x v="5"/>
  </r>
  <r>
    <s v="Regular"/>
    <x v="3"/>
    <x v="3"/>
    <x v="4"/>
    <x v="6"/>
    <x v="0"/>
    <x v="15"/>
    <x v="0"/>
    <x v="10"/>
    <n v="0"/>
    <n v="0"/>
    <n v="830.82799999999997"/>
    <n v="830.82799999999997"/>
    <n v="830.82799999999997"/>
    <n v="830.82799999999997"/>
    <n v="11004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72271040052874E-11"/>
    <x v="5"/>
  </r>
  <r>
    <s v="Refaturamento - Regular"/>
    <x v="3"/>
    <x v="3"/>
    <x v="4"/>
    <x v="6"/>
    <x v="0"/>
    <x v="15"/>
    <x v="0"/>
    <x v="10"/>
    <n v="0"/>
    <n v="0"/>
    <n v="-1.01"/>
    <n v="-1.01"/>
    <n v="-1.01"/>
    <n v="-1.01"/>
    <n v="-8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5.7411853049416096E-14"/>
    <x v="5"/>
  </r>
  <r>
    <s v="Sistema de Compensação"/>
    <x v="3"/>
    <x v="3"/>
    <x v="4"/>
    <x v="6"/>
    <x v="0"/>
    <x v="15"/>
    <x v="0"/>
    <x v="10"/>
    <n v="0"/>
    <n v="0"/>
    <n v="13.771000000000001"/>
    <n v="13.771000000000001"/>
    <n v="13.771000000000001"/>
    <n v="13.771000000000001"/>
    <n v="134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7.8279072113218722E-13"/>
    <x v="5"/>
  </r>
  <r>
    <s v="PROJETADO"/>
    <x v="3"/>
    <x v="3"/>
    <x v="4"/>
    <x v="6"/>
    <x v="0"/>
    <x v="15"/>
    <x v="0"/>
    <x v="11"/>
    <n v="0"/>
    <n v="0"/>
    <n v="830.82799999999997"/>
    <n v="830.82799999999997"/>
    <n v="830.82799999999997"/>
    <n v="830.82799999999997"/>
    <n v="11004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4.72271040052874E-11"/>
    <x v="5"/>
  </r>
  <r>
    <s v="PROJETADO"/>
    <x v="3"/>
    <x v="3"/>
    <x v="4"/>
    <x v="6"/>
    <x v="0"/>
    <x v="15"/>
    <x v="0"/>
    <x v="11"/>
    <n v="0"/>
    <n v="0"/>
    <n v="-1.01"/>
    <n v="-1.01"/>
    <n v="-1.01"/>
    <n v="-1.01"/>
    <n v="-8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-5.7411853049416096E-14"/>
    <x v="5"/>
  </r>
  <r>
    <s v="PROJETADO"/>
    <x v="3"/>
    <x v="3"/>
    <x v="4"/>
    <x v="6"/>
    <x v="0"/>
    <x v="15"/>
    <x v="0"/>
    <x v="11"/>
    <n v="0"/>
    <n v="0"/>
    <n v="13.771000000000001"/>
    <n v="13.771000000000001"/>
    <n v="13.771000000000001"/>
    <n v="13.771000000000001"/>
    <n v="134"/>
    <s v="CATIVO"/>
    <n v="0"/>
    <n v="0"/>
    <n v="45"/>
    <n v="88"/>
    <n v="0"/>
    <n v="269.37"/>
    <n v="326.47000000000003"/>
    <m/>
    <n v="309.04681568955169"/>
    <n v="327.42656781362894"/>
    <n v="0"/>
    <n v="0"/>
    <n v="0"/>
    <n v="7.8279072113218722E-13"/>
    <x v="5"/>
  </r>
  <r>
    <s v="Regular"/>
    <x v="4"/>
    <x v="4"/>
    <x v="2"/>
    <x v="0"/>
    <x v="0"/>
    <x v="15"/>
    <x v="1"/>
    <x v="0"/>
    <n v="0"/>
    <n v="0"/>
    <n v="0.19800000000000001"/>
    <n v="0.19800000000000001"/>
    <n v="0.19800000000000001"/>
    <n v="0.19800000000000001"/>
    <n v="0"/>
    <s v="CATIVO"/>
    <n v="0"/>
    <n v="0"/>
    <n v="53"/>
    <n v="96"/>
    <n v="0"/>
    <n v="216.45"/>
    <n v="273.72000000000003"/>
    <m/>
    <n v="305.52778499763087"/>
    <n v="292.47951966517627"/>
    <n v="0"/>
    <n v="6.1949144680851074"/>
    <n v="0"/>
    <n v="7.5577944461639888"/>
    <x v="2"/>
  </r>
  <r>
    <s v="Regular"/>
    <x v="4"/>
    <x v="4"/>
    <x v="2"/>
    <x v="0"/>
    <x v="0"/>
    <x v="15"/>
    <x v="1"/>
    <x v="1"/>
    <n v="0"/>
    <n v="0"/>
    <n v="0.501"/>
    <n v="0.501"/>
    <n v="0.501"/>
    <n v="0.501"/>
    <n v="0"/>
    <s v="CATIVO"/>
    <n v="0"/>
    <n v="0"/>
    <n v="53"/>
    <n v="96"/>
    <n v="0"/>
    <n v="216.45"/>
    <n v="273.72000000000003"/>
    <m/>
    <n v="305.52778499763087"/>
    <n v="292.47951966517627"/>
    <n v="0"/>
    <n v="15.675010851063831"/>
    <n v="0"/>
    <n v="19.123510189536148"/>
    <x v="2"/>
  </r>
  <r>
    <s v="Regular"/>
    <x v="4"/>
    <x v="4"/>
    <x v="2"/>
    <x v="0"/>
    <x v="0"/>
    <x v="15"/>
    <x v="1"/>
    <x v="2"/>
    <n v="0"/>
    <n v="0"/>
    <n v="0.252"/>
    <n v="0.252"/>
    <n v="0.252"/>
    <n v="0.252"/>
    <n v="0"/>
    <s v="CATIVO"/>
    <n v="0"/>
    <n v="0"/>
    <n v="53"/>
    <n v="96"/>
    <n v="0"/>
    <n v="216.45"/>
    <n v="273.72000000000003"/>
    <m/>
    <n v="305.52778499763087"/>
    <n v="292.47951966517627"/>
    <n v="0"/>
    <n v="7.8844365957446811"/>
    <n v="0"/>
    <n v="9.6190111132996208"/>
    <x v="2"/>
  </r>
  <r>
    <s v="Regular"/>
    <x v="4"/>
    <x v="4"/>
    <x v="2"/>
    <x v="0"/>
    <x v="0"/>
    <x v="15"/>
    <x v="1"/>
    <x v="3"/>
    <n v="0"/>
    <n v="0"/>
    <n v="0.47499999999999998"/>
    <n v="0.47499999999999998"/>
    <n v="0.47499999999999998"/>
    <n v="0.47499999999999998"/>
    <n v="0"/>
    <s v="CATIVO"/>
    <n v="0"/>
    <n v="0"/>
    <n v="53"/>
    <n v="96"/>
    <n v="0"/>
    <n v="216.45"/>
    <n v="273.72000000000003"/>
    <m/>
    <n v="305.52778499763087"/>
    <n v="292.47951966517627"/>
    <n v="0"/>
    <n v="14.861537234042551"/>
    <n v="0"/>
    <n v="18.131072534989361"/>
    <x v="2"/>
  </r>
  <r>
    <s v="Regular"/>
    <x v="4"/>
    <x v="4"/>
    <x v="2"/>
    <x v="0"/>
    <x v="0"/>
    <x v="15"/>
    <x v="1"/>
    <x v="4"/>
    <n v="0"/>
    <n v="0"/>
    <n v="0.63600000000000001"/>
    <n v="0.63600000000000001"/>
    <n v="0.63600000000000001"/>
    <n v="0.63600000000000001"/>
    <n v="0"/>
    <s v="CATIVO"/>
    <n v="0"/>
    <n v="0"/>
    <n v="53"/>
    <n v="96"/>
    <n v="0"/>
    <n v="216.45"/>
    <n v="273.72000000000003"/>
    <m/>
    <n v="305.52778499763087"/>
    <n v="292.47951966517627"/>
    <n v="0"/>
    <n v="19.898816170212765"/>
    <n v="0"/>
    <n v="24.276551857375235"/>
    <x v="2"/>
  </r>
  <r>
    <s v="Regular"/>
    <x v="4"/>
    <x v="4"/>
    <x v="2"/>
    <x v="0"/>
    <x v="0"/>
    <x v="15"/>
    <x v="1"/>
    <x v="5"/>
    <n v="0"/>
    <n v="0"/>
    <n v="4.8179999999999996"/>
    <n v="4.8179999999999996"/>
    <n v="4.8179999999999996"/>
    <n v="4.8179999999999996"/>
    <n v="0"/>
    <s v="CATIVO"/>
    <n v="0"/>
    <n v="0"/>
    <n v="53"/>
    <n v="96"/>
    <n v="0"/>
    <n v="216.45"/>
    <n v="273.72000000000003"/>
    <m/>
    <n v="305.52778499763087"/>
    <n v="292.47951966517627"/>
    <n v="0"/>
    <n v="150.74291872340424"/>
    <n v="0"/>
    <n v="183.9063315233237"/>
    <x v="2"/>
  </r>
  <r>
    <s v="Regular"/>
    <x v="4"/>
    <x v="4"/>
    <x v="2"/>
    <x v="0"/>
    <x v="0"/>
    <x v="15"/>
    <x v="1"/>
    <x v="6"/>
    <n v="0"/>
    <n v="0"/>
    <n v="2.1040000000000001"/>
    <n v="2.1040000000000001"/>
    <n v="2.1040000000000001"/>
    <n v="2.1040000000000001"/>
    <n v="0"/>
    <s v="CATIVO"/>
    <n v="0"/>
    <n v="0"/>
    <n v="53"/>
    <n v="96"/>
    <n v="0"/>
    <n v="216.45"/>
    <n v="273.72000000000003"/>
    <m/>
    <n v="305.52778499763087"/>
    <n v="292.47951966517627"/>
    <n v="0"/>
    <n v="65.828788085106396"/>
    <n v="0"/>
    <n v="80.311108660247641"/>
    <x v="2"/>
  </r>
  <r>
    <s v="Regular"/>
    <x v="4"/>
    <x v="4"/>
    <x v="2"/>
    <x v="0"/>
    <x v="0"/>
    <x v="15"/>
    <x v="1"/>
    <x v="7"/>
    <n v="0"/>
    <n v="0"/>
    <n v="0.48199999999999998"/>
    <n v="0.48199999999999998"/>
    <n v="0.48199999999999998"/>
    <n v="0.48199999999999998"/>
    <n v="0"/>
    <s v="CATIVO"/>
    <n v="0"/>
    <n v="0"/>
    <n v="53"/>
    <n v="96"/>
    <n v="0"/>
    <n v="216.45"/>
    <n v="273.72000000000003"/>
    <m/>
    <n v="305.52778499763087"/>
    <n v="292.47951966517627"/>
    <n v="0"/>
    <n v="15.080549361702127"/>
    <n v="0"/>
    <n v="18.398267288136577"/>
    <x v="2"/>
  </r>
  <r>
    <s v="Refaturamento - Regular"/>
    <x v="4"/>
    <x v="4"/>
    <x v="2"/>
    <x v="0"/>
    <x v="0"/>
    <x v="15"/>
    <x v="1"/>
    <x v="7"/>
    <n v="0"/>
    <n v="0"/>
    <n v="-5.9160000000000004"/>
    <n v="-5.9160000000000004"/>
    <n v="-5.9160000000000004"/>
    <n v="-5.9160000000000004"/>
    <n v="0"/>
    <s v="CATIVO"/>
    <n v="0"/>
    <n v="0"/>
    <n v="53"/>
    <n v="96"/>
    <n v="0"/>
    <n v="216.45"/>
    <n v="273.72000000000003"/>
    <m/>
    <n v="305.52778499763087"/>
    <n v="292.47951966517627"/>
    <n v="0"/>
    <n v="-185.09653531914896"/>
    <n v="0"/>
    <n v="-225.81773708841496"/>
    <x v="2"/>
  </r>
  <r>
    <s v="Regular"/>
    <x v="4"/>
    <x v="4"/>
    <x v="2"/>
    <x v="0"/>
    <x v="0"/>
    <x v="15"/>
    <x v="1"/>
    <x v="8"/>
    <n v="0"/>
    <n v="0"/>
    <n v="0.26800000000000002"/>
    <n v="0.26800000000000002"/>
    <n v="0.26800000000000002"/>
    <n v="0.26800000000000002"/>
    <n v="0"/>
    <s v="CATIVO"/>
    <n v="0"/>
    <n v="0"/>
    <n v="53"/>
    <n v="96"/>
    <n v="0"/>
    <n v="216.45"/>
    <n v="273.72000000000003"/>
    <m/>
    <n v="305.52778499763087"/>
    <n v="292.47951966517627"/>
    <n v="0"/>
    <n v="8.3850357446808523"/>
    <n v="0"/>
    <n v="10.229741977636104"/>
    <x v="2"/>
  </r>
  <r>
    <s v="Regular"/>
    <x v="4"/>
    <x v="4"/>
    <x v="2"/>
    <x v="0"/>
    <x v="0"/>
    <x v="15"/>
    <x v="1"/>
    <x v="9"/>
    <n v="0"/>
    <n v="0"/>
    <n v="0.42599999999999999"/>
    <n v="0.42599999999999999"/>
    <n v="0.42599999999999999"/>
    <n v="0.42599999999999999"/>
    <n v="0"/>
    <s v="CATIVO"/>
    <n v="0"/>
    <n v="0"/>
    <n v="53"/>
    <n v="96"/>
    <n v="0"/>
    <n v="216.45"/>
    <n v="273.72000000000003"/>
    <m/>
    <n v="305.52778499763087"/>
    <n v="292.47951966517627"/>
    <n v="0"/>
    <n v="13.328452340425532"/>
    <n v="0"/>
    <n v="16.260709262958883"/>
    <x v="2"/>
  </r>
  <r>
    <s v="Regular"/>
    <x v="4"/>
    <x v="4"/>
    <x v="2"/>
    <x v="0"/>
    <x v="0"/>
    <x v="15"/>
    <x v="1"/>
    <x v="10"/>
    <n v="0"/>
    <n v="0"/>
    <n v="0.44500000000000001"/>
    <n v="0.44500000000000001"/>
    <n v="0.44500000000000001"/>
    <n v="0.44500000000000001"/>
    <n v="0"/>
    <s v="CATIVO"/>
    <n v="0"/>
    <n v="0"/>
    <n v="53"/>
    <n v="96"/>
    <n v="0"/>
    <n v="216.45"/>
    <n v="273.72000000000003"/>
    <m/>
    <n v="305.52778499763087"/>
    <n v="292.47951966517627"/>
    <n v="0"/>
    <n v="13.922913829787234"/>
    <n v="0"/>
    <n v="16.985952164358459"/>
    <x v="2"/>
  </r>
  <r>
    <s v="PROJETADO"/>
    <x v="4"/>
    <x v="4"/>
    <x v="2"/>
    <x v="0"/>
    <x v="0"/>
    <x v="15"/>
    <x v="1"/>
    <x v="11"/>
    <n v="0"/>
    <n v="0"/>
    <n v="0.44500000000000001"/>
    <n v="0.44500000000000001"/>
    <n v="0.44500000000000001"/>
    <n v="0.44500000000000001"/>
    <n v="0"/>
    <s v="CATIVO"/>
    <n v="0"/>
    <n v="0"/>
    <n v="53"/>
    <n v="96"/>
    <n v="0"/>
    <n v="216.45"/>
    <n v="273.72000000000003"/>
    <m/>
    <n v="305.52778499763087"/>
    <n v="292.47951966517627"/>
    <n v="0"/>
    <n v="13.922913829787234"/>
    <n v="0"/>
    <n v="16.985952164358459"/>
    <x v="2"/>
  </r>
  <r>
    <s v="Regular"/>
    <x v="4"/>
    <x v="4"/>
    <x v="2"/>
    <x v="0"/>
    <x v="0"/>
    <x v="15"/>
    <x v="3"/>
    <x v="0"/>
    <n v="0"/>
    <n v="0"/>
    <n v="3.0000000000000001E-3"/>
    <n v="3.0000000000000001E-3"/>
    <n v="3.0000000000000001E-3"/>
    <n v="3.0000000000000001E-3"/>
    <n v="0"/>
    <s v="CATIVO"/>
    <n v="0"/>
    <n v="0"/>
    <n v="52"/>
    <n v="95"/>
    <n v="0"/>
    <n v="441.63"/>
    <n v="273.72000000000003"/>
    <m/>
    <n v="583.14626607337254"/>
    <n v="292.47951966517627"/>
    <n v="0"/>
    <n v="0.13698191489361705"/>
    <n v="0"/>
    <n v="0.16767302280099872"/>
    <x v="2"/>
  </r>
  <r>
    <s v="Regular"/>
    <x v="4"/>
    <x v="4"/>
    <x v="2"/>
    <x v="0"/>
    <x v="0"/>
    <x v="15"/>
    <x v="3"/>
    <x v="1"/>
    <n v="0"/>
    <n v="0"/>
    <n v="3.2000000000000001E-2"/>
    <n v="3.2000000000000001E-2"/>
    <n v="3.2000000000000001E-2"/>
    <n v="3.2000000000000001E-2"/>
    <n v="0"/>
    <s v="CATIVO"/>
    <n v="0"/>
    <n v="0"/>
    <n v="52"/>
    <n v="95"/>
    <n v="0"/>
    <n v="441.63"/>
    <n v="273.72000000000003"/>
    <m/>
    <n v="583.14626607337254"/>
    <n v="292.47951966517627"/>
    <n v="0"/>
    <n v="1.4611404255319149"/>
    <n v="0"/>
    <n v="1.7885122432106531"/>
    <x v="2"/>
  </r>
  <r>
    <s v="Regular"/>
    <x v="4"/>
    <x v="4"/>
    <x v="2"/>
    <x v="0"/>
    <x v="0"/>
    <x v="15"/>
    <x v="3"/>
    <x v="2"/>
    <n v="0"/>
    <n v="0"/>
    <n v="7.0000000000000001E-3"/>
    <n v="7.0000000000000001E-3"/>
    <n v="7.0000000000000001E-3"/>
    <n v="7.0000000000000001E-3"/>
    <n v="0"/>
    <s v="CATIVO"/>
    <n v="0"/>
    <n v="0"/>
    <n v="52"/>
    <n v="95"/>
    <n v="0"/>
    <n v="441.63"/>
    <n v="273.72000000000003"/>
    <m/>
    <n v="583.14626607337254"/>
    <n v="292.47951966517627"/>
    <n v="0"/>
    <n v="0.31962446808510642"/>
    <n v="0"/>
    <n v="0.39123705320233026"/>
    <x v="2"/>
  </r>
  <r>
    <s v="Regular"/>
    <x v="4"/>
    <x v="4"/>
    <x v="2"/>
    <x v="0"/>
    <x v="0"/>
    <x v="15"/>
    <x v="3"/>
    <x v="3"/>
    <n v="0"/>
    <n v="0"/>
    <n v="2.9000000000000001E-2"/>
    <n v="2.9000000000000001E-2"/>
    <n v="2.9000000000000001E-2"/>
    <n v="2.9000000000000001E-2"/>
    <n v="0"/>
    <s v="CATIVO"/>
    <n v="0"/>
    <n v="0"/>
    <n v="52"/>
    <n v="95"/>
    <n v="0"/>
    <n v="441.63"/>
    <n v="273.72000000000003"/>
    <m/>
    <n v="583.14626607337254"/>
    <n v="292.47951966517627"/>
    <n v="0"/>
    <n v="1.324158510638298"/>
    <n v="0"/>
    <n v="1.6208392204096544"/>
    <x v="2"/>
  </r>
  <r>
    <s v="Regular"/>
    <x v="4"/>
    <x v="4"/>
    <x v="2"/>
    <x v="0"/>
    <x v="0"/>
    <x v="15"/>
    <x v="3"/>
    <x v="4"/>
    <n v="0"/>
    <n v="0"/>
    <n v="3.5000000000000003E-2"/>
    <n v="3.5000000000000003E-2"/>
    <n v="3.5000000000000003E-2"/>
    <n v="3.5000000000000003E-2"/>
    <n v="0"/>
    <s v="CATIVO"/>
    <n v="0"/>
    <n v="0"/>
    <n v="52"/>
    <n v="95"/>
    <n v="0"/>
    <n v="441.63"/>
    <n v="273.72000000000003"/>
    <m/>
    <n v="583.14626607337254"/>
    <n v="292.47951966517627"/>
    <n v="0"/>
    <n v="1.598122340425532"/>
    <n v="0"/>
    <n v="1.9561852660116519"/>
    <x v="2"/>
  </r>
  <r>
    <s v="Regular"/>
    <x v="4"/>
    <x v="4"/>
    <x v="2"/>
    <x v="0"/>
    <x v="0"/>
    <x v="15"/>
    <x v="3"/>
    <x v="5"/>
    <n v="0"/>
    <n v="0"/>
    <n v="7.0000000000000001E-3"/>
    <n v="7.0000000000000001E-3"/>
    <n v="7.0000000000000001E-3"/>
    <n v="7.0000000000000001E-3"/>
    <n v="0"/>
    <s v="CATIVO"/>
    <n v="0"/>
    <n v="0"/>
    <n v="52"/>
    <n v="95"/>
    <n v="0"/>
    <n v="441.63"/>
    <n v="273.72000000000003"/>
    <m/>
    <n v="583.14626607337254"/>
    <n v="292.47951966517627"/>
    <n v="0"/>
    <n v="0.31962446808510642"/>
    <n v="0"/>
    <n v="0.39123705320233026"/>
    <x v="2"/>
  </r>
  <r>
    <s v="Regular"/>
    <x v="4"/>
    <x v="4"/>
    <x v="2"/>
    <x v="0"/>
    <x v="0"/>
    <x v="15"/>
    <x v="3"/>
    <x v="6"/>
    <n v="0"/>
    <n v="0"/>
    <n v="0.01"/>
    <n v="0.01"/>
    <n v="0.01"/>
    <n v="0.01"/>
    <n v="0"/>
    <s v="CATIVO"/>
    <n v="0"/>
    <n v="0"/>
    <n v="52"/>
    <n v="95"/>
    <n v="0"/>
    <n v="441.63"/>
    <n v="273.72000000000003"/>
    <m/>
    <n v="583.14626607337254"/>
    <n v="292.47951966517627"/>
    <n v="0"/>
    <n v="0.45660638297872347"/>
    <n v="0"/>
    <n v="0.55891007600332898"/>
    <x v="2"/>
  </r>
  <r>
    <s v="Regular"/>
    <x v="4"/>
    <x v="4"/>
    <x v="2"/>
    <x v="0"/>
    <x v="0"/>
    <x v="15"/>
    <x v="3"/>
    <x v="7"/>
    <n v="0"/>
    <n v="0"/>
    <n v="2.5999999999999999E-2"/>
    <n v="2.5999999999999999E-2"/>
    <n v="2.5999999999999999E-2"/>
    <n v="2.5999999999999999E-2"/>
    <n v="0"/>
    <s v="CATIVO"/>
    <n v="0"/>
    <n v="0"/>
    <n v="52"/>
    <n v="95"/>
    <n v="0"/>
    <n v="441.63"/>
    <n v="273.72000000000003"/>
    <m/>
    <n v="583.14626607337254"/>
    <n v="292.47951966517627"/>
    <n v="0"/>
    <n v="1.1871765957446809"/>
    <n v="0"/>
    <n v="1.4531661976086554"/>
    <x v="2"/>
  </r>
  <r>
    <s v="Refaturamento - Regular"/>
    <x v="4"/>
    <x v="4"/>
    <x v="2"/>
    <x v="0"/>
    <x v="0"/>
    <x v="15"/>
    <x v="3"/>
    <x v="7"/>
    <n v="0"/>
    <n v="0"/>
    <n v="0.04"/>
    <n v="0.04"/>
    <n v="0.04"/>
    <n v="0.04"/>
    <n v="0"/>
    <s v="CATIVO"/>
    <n v="0"/>
    <n v="0"/>
    <n v="52"/>
    <n v="95"/>
    <n v="0"/>
    <n v="441.63"/>
    <n v="273.72000000000003"/>
    <m/>
    <n v="583.14626607337254"/>
    <n v="292.47951966517627"/>
    <n v="0"/>
    <n v="1.8264255319148939"/>
    <n v="0"/>
    <n v="2.2356403040133159"/>
    <x v="2"/>
  </r>
  <r>
    <s v="Regular"/>
    <x v="4"/>
    <x v="4"/>
    <x v="2"/>
    <x v="0"/>
    <x v="0"/>
    <x v="15"/>
    <x v="3"/>
    <x v="8"/>
    <n v="0"/>
    <n v="0"/>
    <n v="1.4E-2"/>
    <n v="1.4E-2"/>
    <n v="1.4E-2"/>
    <n v="1.4E-2"/>
    <n v="0"/>
    <s v="CATIVO"/>
    <n v="0"/>
    <n v="0"/>
    <n v="52"/>
    <n v="95"/>
    <n v="0"/>
    <n v="441.63"/>
    <n v="273.72000000000003"/>
    <m/>
    <n v="583.14626607337254"/>
    <n v="292.47951966517627"/>
    <n v="0"/>
    <n v="0.63924893617021283"/>
    <n v="0"/>
    <n v="0.78247410640466053"/>
    <x v="2"/>
  </r>
  <r>
    <s v="Regular"/>
    <x v="4"/>
    <x v="4"/>
    <x v="2"/>
    <x v="0"/>
    <x v="0"/>
    <x v="15"/>
    <x v="3"/>
    <x v="9"/>
    <n v="0"/>
    <n v="0"/>
    <n v="2.3E-2"/>
    <n v="2.3E-2"/>
    <n v="2.3E-2"/>
    <n v="2.3E-2"/>
    <n v="0"/>
    <s v="CATIVO"/>
    <n v="0"/>
    <n v="0"/>
    <n v="52"/>
    <n v="95"/>
    <n v="0"/>
    <n v="441.63"/>
    <n v="273.72000000000003"/>
    <m/>
    <n v="583.14626607337254"/>
    <n v="292.47951966517627"/>
    <n v="0"/>
    <n v="1.0501946808510638"/>
    <n v="0"/>
    <n v="1.285493174807657"/>
    <x v="2"/>
  </r>
  <r>
    <s v="Regular"/>
    <x v="4"/>
    <x v="4"/>
    <x v="2"/>
    <x v="0"/>
    <x v="0"/>
    <x v="15"/>
    <x v="3"/>
    <x v="10"/>
    <n v="0"/>
    <n v="0"/>
    <n v="2.5000000000000001E-2"/>
    <n v="2.5000000000000001E-2"/>
    <n v="2.5000000000000001E-2"/>
    <n v="2.5000000000000001E-2"/>
    <n v="0"/>
    <s v="CATIVO"/>
    <n v="0"/>
    <n v="0"/>
    <n v="52"/>
    <n v="95"/>
    <n v="0"/>
    <n v="441.63"/>
    <n v="273.72000000000003"/>
    <m/>
    <n v="583.14626607337254"/>
    <n v="292.47951966517627"/>
    <n v="0"/>
    <n v="1.1415159574468088"/>
    <n v="0"/>
    <n v="1.3972751900083227"/>
    <x v="2"/>
  </r>
  <r>
    <s v="PROJETADO"/>
    <x v="4"/>
    <x v="4"/>
    <x v="2"/>
    <x v="0"/>
    <x v="0"/>
    <x v="15"/>
    <x v="3"/>
    <x v="11"/>
    <n v="0"/>
    <n v="0"/>
    <n v="2.5000000000000001E-2"/>
    <n v="2.5000000000000001E-2"/>
    <n v="2.5000000000000001E-2"/>
    <n v="2.5000000000000001E-2"/>
    <n v="0"/>
    <s v="CATIVO"/>
    <n v="0"/>
    <n v="0"/>
    <n v="52"/>
    <n v="95"/>
    <n v="0"/>
    <n v="441.63"/>
    <n v="273.72000000000003"/>
    <m/>
    <n v="583.14626607337254"/>
    <n v="292.47951966517627"/>
    <n v="0"/>
    <n v="1.1415159574468088"/>
    <n v="0"/>
    <n v="1.3972751900083227"/>
    <x v="2"/>
  </r>
  <r>
    <s v="Regular"/>
    <x v="4"/>
    <x v="4"/>
    <x v="2"/>
    <x v="0"/>
    <x v="0"/>
    <x v="15"/>
    <x v="2"/>
    <x v="1"/>
    <n v="0"/>
    <n v="0"/>
    <n v="0.06"/>
    <n v="0.06"/>
    <n v="0.06"/>
    <n v="0.06"/>
    <n v="0"/>
    <s v="CATIVO"/>
    <n v="0"/>
    <n v="0"/>
    <n v="51"/>
    <n v="94"/>
    <n v="0"/>
    <n v="666.8"/>
    <n v="436.61"/>
    <m/>
    <n v="860.76475851913574"/>
    <n v="476.09696862079443"/>
    <n v="0"/>
    <n v="4.225825531914893"/>
    <n v="0"/>
    <n v="5.119895976280584"/>
    <x v="2"/>
  </r>
  <r>
    <s v="Regular"/>
    <x v="4"/>
    <x v="4"/>
    <x v="2"/>
    <x v="0"/>
    <x v="0"/>
    <x v="15"/>
    <x v="2"/>
    <x v="2"/>
    <n v="0"/>
    <n v="0"/>
    <n v="1.4999999999999999E-2"/>
    <n v="1.4999999999999999E-2"/>
    <n v="1.4999999999999999E-2"/>
    <n v="1.4999999999999999E-2"/>
    <n v="0"/>
    <s v="CATIVO"/>
    <n v="0"/>
    <n v="0"/>
    <n v="51"/>
    <n v="94"/>
    <n v="0"/>
    <n v="666.8"/>
    <n v="436.61"/>
    <m/>
    <n v="860.76475851913574"/>
    <n v="476.09696862079443"/>
    <n v="0"/>
    <n v="1.0564563829787232"/>
    <n v="0"/>
    <n v="1.279973994070146"/>
    <x v="2"/>
  </r>
  <r>
    <s v="Regular"/>
    <x v="4"/>
    <x v="4"/>
    <x v="2"/>
    <x v="0"/>
    <x v="0"/>
    <x v="15"/>
    <x v="2"/>
    <x v="3"/>
    <n v="0"/>
    <n v="0"/>
    <n v="5.3999999999999999E-2"/>
    <n v="5.3999999999999999E-2"/>
    <n v="5.3999999999999999E-2"/>
    <n v="5.3999999999999999E-2"/>
    <n v="0"/>
    <s v="CATIVO"/>
    <n v="0"/>
    <n v="0"/>
    <n v="51"/>
    <n v="94"/>
    <n v="0"/>
    <n v="666.8"/>
    <n v="436.61"/>
    <m/>
    <n v="860.76475851913574"/>
    <n v="476.09696862079443"/>
    <n v="0"/>
    <n v="3.8032429787234046"/>
    <n v="0"/>
    <n v="4.6079063786525252"/>
    <x v="2"/>
  </r>
  <r>
    <s v="Regular"/>
    <x v="4"/>
    <x v="4"/>
    <x v="2"/>
    <x v="0"/>
    <x v="0"/>
    <x v="15"/>
    <x v="2"/>
    <x v="4"/>
    <n v="0"/>
    <n v="0"/>
    <n v="5.8000000000000003E-2"/>
    <n v="5.8000000000000003E-2"/>
    <n v="5.8000000000000003E-2"/>
    <n v="5.8000000000000003E-2"/>
    <n v="0"/>
    <s v="CATIVO"/>
    <n v="0"/>
    <n v="0"/>
    <n v="51"/>
    <n v="94"/>
    <n v="0"/>
    <n v="666.8"/>
    <n v="436.61"/>
    <m/>
    <n v="860.76475851913574"/>
    <n v="476.09696862079443"/>
    <n v="0"/>
    <n v="4.0849646808510647"/>
    <n v="0"/>
    <n v="4.9492327770712299"/>
    <x v="2"/>
  </r>
  <r>
    <s v="Regular"/>
    <x v="4"/>
    <x v="4"/>
    <x v="2"/>
    <x v="0"/>
    <x v="0"/>
    <x v="15"/>
    <x v="2"/>
    <x v="5"/>
    <n v="0"/>
    <n v="0"/>
    <n v="0.64300000000000002"/>
    <n v="0.64300000000000002"/>
    <n v="0.64300000000000002"/>
    <n v="0.64300000000000002"/>
    <n v="0"/>
    <s v="CATIVO"/>
    <n v="0"/>
    <n v="0"/>
    <n v="51"/>
    <n v="94"/>
    <n v="0"/>
    <n v="666.8"/>
    <n v="436.61"/>
    <m/>
    <n v="860.76475851913574"/>
    <n v="476.09696862079443"/>
    <n v="0"/>
    <n v="45.286763617021272"/>
    <n v="0"/>
    <n v="54.868218545806926"/>
    <x v="2"/>
  </r>
  <r>
    <s v="Regular"/>
    <x v="4"/>
    <x v="4"/>
    <x v="2"/>
    <x v="0"/>
    <x v="0"/>
    <x v="15"/>
    <x v="2"/>
    <x v="6"/>
    <n v="0"/>
    <n v="0"/>
    <n v="7.4999999999999997E-2"/>
    <n v="7.4999999999999997E-2"/>
    <n v="7.4999999999999997E-2"/>
    <n v="7.4999999999999997E-2"/>
    <n v="0"/>
    <s v="CATIVO"/>
    <n v="0"/>
    <n v="0"/>
    <n v="51"/>
    <n v="94"/>
    <n v="0"/>
    <n v="666.8"/>
    <n v="436.61"/>
    <m/>
    <n v="860.76475851913574"/>
    <n v="476.09696862079443"/>
    <n v="0"/>
    <n v="5.2822819148936171"/>
    <n v="0"/>
    <n v="6.3998699703507285"/>
    <x v="2"/>
  </r>
  <r>
    <s v="Regular"/>
    <x v="4"/>
    <x v="4"/>
    <x v="2"/>
    <x v="0"/>
    <x v="0"/>
    <x v="15"/>
    <x v="2"/>
    <x v="7"/>
    <n v="0"/>
    <n v="0"/>
    <n v="4.8000000000000001E-2"/>
    <n v="4.8000000000000001E-2"/>
    <n v="4.8000000000000001E-2"/>
    <n v="4.8000000000000001E-2"/>
    <n v="0"/>
    <s v="CATIVO"/>
    <n v="0"/>
    <n v="0"/>
    <n v="51"/>
    <n v="94"/>
    <n v="0"/>
    <n v="666.8"/>
    <n v="436.61"/>
    <m/>
    <n v="860.76475851913574"/>
    <n v="476.09696862079443"/>
    <n v="0"/>
    <n v="3.3806604255319144"/>
    <n v="0"/>
    <n v="4.0959167810244663"/>
    <x v="2"/>
  </r>
  <r>
    <s v="Refaturamento - Regular"/>
    <x v="4"/>
    <x v="4"/>
    <x v="2"/>
    <x v="0"/>
    <x v="0"/>
    <x v="15"/>
    <x v="2"/>
    <x v="7"/>
    <n v="0"/>
    <n v="0"/>
    <n v="-0.61699999999999999"/>
    <n v="-0.61699999999999999"/>
    <n v="-0.61699999999999999"/>
    <n v="-0.61699999999999999"/>
    <n v="0"/>
    <s v="CATIVO"/>
    <n v="0"/>
    <n v="0"/>
    <n v="51"/>
    <n v="94"/>
    <n v="0"/>
    <n v="666.8"/>
    <n v="436.61"/>
    <m/>
    <n v="860.76475851913574"/>
    <n v="476.09696862079443"/>
    <n v="0"/>
    <n v="-43.45557255319148"/>
    <n v="0"/>
    <n v="-52.64959695608534"/>
    <x v="2"/>
  </r>
  <r>
    <s v="Regular"/>
    <x v="4"/>
    <x v="4"/>
    <x v="2"/>
    <x v="0"/>
    <x v="0"/>
    <x v="15"/>
    <x v="2"/>
    <x v="8"/>
    <n v="0"/>
    <n v="0"/>
    <n v="3.1E-2"/>
    <n v="3.1E-2"/>
    <n v="3.1E-2"/>
    <n v="3.1E-2"/>
    <n v="0"/>
    <s v="CATIVO"/>
    <n v="0"/>
    <n v="0"/>
    <n v="51"/>
    <n v="94"/>
    <n v="0"/>
    <n v="666.8"/>
    <n v="436.61"/>
    <m/>
    <n v="860.76475851913574"/>
    <n v="476.09696862079443"/>
    <n v="0"/>
    <n v="2.1833431914893615"/>
    <n v="0"/>
    <n v="2.6452795877449686"/>
    <x v="2"/>
  </r>
  <r>
    <s v="Regular"/>
    <x v="4"/>
    <x v="4"/>
    <x v="2"/>
    <x v="0"/>
    <x v="0"/>
    <x v="15"/>
    <x v="2"/>
    <x v="9"/>
    <n v="0"/>
    <n v="0"/>
    <n v="4.1000000000000002E-2"/>
    <n v="4.1000000000000002E-2"/>
    <n v="4.1000000000000002E-2"/>
    <n v="4.1000000000000002E-2"/>
    <n v="0"/>
    <s v="CATIVO"/>
    <n v="0"/>
    <n v="0"/>
    <n v="51"/>
    <n v="94"/>
    <n v="0"/>
    <n v="666.8"/>
    <n v="436.61"/>
    <m/>
    <n v="860.76475851913574"/>
    <n v="476.09696862079443"/>
    <n v="0"/>
    <n v="2.8876474468085109"/>
    <n v="0"/>
    <n v="3.4985955837917322"/>
    <x v="2"/>
  </r>
  <r>
    <s v="Regular"/>
    <x v="4"/>
    <x v="4"/>
    <x v="2"/>
    <x v="0"/>
    <x v="0"/>
    <x v="15"/>
    <x v="2"/>
    <x v="10"/>
    <n v="0"/>
    <n v="0"/>
    <n v="4.3999999999999997E-2"/>
    <n v="4.3999999999999997E-2"/>
    <n v="4.3999999999999997E-2"/>
    <n v="4.3999999999999997E-2"/>
    <n v="0"/>
    <s v="CATIVO"/>
    <n v="0"/>
    <n v="0"/>
    <n v="51"/>
    <n v="94"/>
    <n v="0"/>
    <n v="666.8"/>
    <n v="436.61"/>
    <m/>
    <n v="860.76475851913574"/>
    <n v="476.09696862079443"/>
    <n v="0"/>
    <n v="3.0989387234042551"/>
    <n v="0"/>
    <n v="3.7545903826057612"/>
    <x v="2"/>
  </r>
  <r>
    <s v="PROJETADO"/>
    <x v="4"/>
    <x v="4"/>
    <x v="2"/>
    <x v="0"/>
    <x v="0"/>
    <x v="15"/>
    <x v="2"/>
    <x v="11"/>
    <n v="0"/>
    <n v="0"/>
    <n v="4.3999999999999997E-2"/>
    <n v="4.3999999999999997E-2"/>
    <n v="4.3999999999999997E-2"/>
    <n v="4.3999999999999997E-2"/>
    <n v="0"/>
    <s v="CATIVO"/>
    <n v="0"/>
    <n v="0"/>
    <n v="51"/>
    <n v="94"/>
    <n v="0"/>
    <n v="666.8"/>
    <n v="436.61"/>
    <m/>
    <n v="860.76475851913574"/>
    <n v="476.09696862079443"/>
    <n v="0"/>
    <n v="3.0989387234042551"/>
    <n v="0"/>
    <n v="3.7545903826057612"/>
    <x v="2"/>
  </r>
  <r>
    <s v="Regular"/>
    <x v="4"/>
    <x v="3"/>
    <x v="2"/>
    <x v="7"/>
    <x v="2"/>
    <x v="15"/>
    <x v="0"/>
    <x v="0"/>
    <n v="0"/>
    <n v="0"/>
    <n v="55.131"/>
    <n v="55.131"/>
    <n v="55.131"/>
    <n v="55.131"/>
    <n v="0"/>
    <s v="CATIVO"/>
    <n v="0"/>
    <n v="0"/>
    <n v="54"/>
    <n v="97"/>
    <n v="0"/>
    <n v="301.38"/>
    <n v="287.29000000000002"/>
    <m/>
    <n v="410.24359616579511"/>
    <n v="307.78097374481121"/>
    <n v="0"/>
    <n v="4425.9166800000021"/>
    <n v="0"/>
    <n v="2526.7284615154249"/>
    <x v="2"/>
  </r>
  <r>
    <s v="Sistema de Compensação"/>
    <x v="4"/>
    <x v="3"/>
    <x v="2"/>
    <x v="7"/>
    <x v="2"/>
    <x v="15"/>
    <x v="0"/>
    <x v="0"/>
    <n v="0"/>
    <n v="0"/>
    <n v="5.1470000000000002"/>
    <n v="5.1470000000000002"/>
    <n v="5.1470000000000002"/>
    <n v="5.1470000000000002"/>
    <n v="0"/>
    <s v="CATIVO"/>
    <n v="0"/>
    <n v="0"/>
    <n v="54"/>
    <n v="97"/>
    <n v="0"/>
    <n v="301.38"/>
    <n v="287.29000000000002"/>
    <m/>
    <n v="410.24359616579511"/>
    <n v="307.78097374481121"/>
    <n v="0"/>
    <n v="413.20116000000019"/>
    <n v="0"/>
    <n v="235.89398689339743"/>
    <x v="2"/>
  </r>
  <r>
    <s v="Regular"/>
    <x v="4"/>
    <x v="3"/>
    <x v="2"/>
    <x v="7"/>
    <x v="2"/>
    <x v="15"/>
    <x v="0"/>
    <x v="1"/>
    <n v="0"/>
    <n v="0"/>
    <n v="57.106999999999999"/>
    <n v="57.106999999999999"/>
    <n v="57.106999999999999"/>
    <n v="57.106999999999999"/>
    <n v="0"/>
    <s v="CATIVO"/>
    <n v="0"/>
    <n v="0"/>
    <n v="54"/>
    <n v="97"/>
    <n v="0"/>
    <n v="301.38"/>
    <n v="287.29000000000002"/>
    <m/>
    <n v="410.24359616579511"/>
    <n v="307.78097374481121"/>
    <n v="0"/>
    <n v="4584.5499600000012"/>
    <n v="0"/>
    <n v="2617.2912200352139"/>
    <x v="2"/>
  </r>
  <r>
    <s v="Refaturamento - Regular"/>
    <x v="4"/>
    <x v="3"/>
    <x v="2"/>
    <x v="7"/>
    <x v="2"/>
    <x v="15"/>
    <x v="0"/>
    <x v="1"/>
    <n v="0"/>
    <n v="0"/>
    <n v="-3.52"/>
    <n v="-3.52"/>
    <n v="-3.52"/>
    <n v="-3.52"/>
    <n v="0"/>
    <s v="CATIVO"/>
    <n v="0"/>
    <n v="0"/>
    <n v="54"/>
    <n v="97"/>
    <n v="0"/>
    <n v="301.38"/>
    <n v="287.29000000000002"/>
    <m/>
    <n v="410.24359616579511"/>
    <n v="307.78097374481121"/>
    <n v="0"/>
    <n v="-282.58560000000011"/>
    <n v="0"/>
    <n v="-161.32637145225547"/>
    <x v="2"/>
  </r>
  <r>
    <s v="Sistema de Compensação"/>
    <x v="4"/>
    <x v="3"/>
    <x v="2"/>
    <x v="7"/>
    <x v="2"/>
    <x v="15"/>
    <x v="0"/>
    <x v="1"/>
    <n v="0"/>
    <n v="0"/>
    <n v="6.2130000000000001"/>
    <n v="6.2130000000000001"/>
    <n v="6.2130000000000001"/>
    <n v="6.2130000000000001"/>
    <n v="0"/>
    <s v="CATIVO"/>
    <n v="0"/>
    <n v="0"/>
    <n v="54"/>
    <n v="97"/>
    <n v="0"/>
    <n v="301.38"/>
    <n v="287.29000000000002"/>
    <m/>
    <n v="410.24359616579511"/>
    <n v="307.78097374481121"/>
    <n v="0"/>
    <n v="498.7796400000002"/>
    <n v="0"/>
    <n v="284.75021188433612"/>
    <x v="2"/>
  </r>
  <r>
    <s v="Sistema de Compensação"/>
    <x v="4"/>
    <x v="3"/>
    <x v="2"/>
    <x v="7"/>
    <x v="2"/>
    <x v="15"/>
    <x v="0"/>
    <x v="1"/>
    <n v="0"/>
    <n v="0"/>
    <n v="-113.19199999999999"/>
    <n v="-113.19199999999999"/>
    <n v="-113.19199999999999"/>
    <n v="-113.19199999999999"/>
    <n v="0"/>
    <s v="CATIVO"/>
    <n v="0"/>
    <n v="0"/>
    <n v="54"/>
    <n v="97"/>
    <n v="0"/>
    <n v="301.38"/>
    <n v="287.29000000000002"/>
    <m/>
    <n v="410.24359616579511"/>
    <n v="307.78097374481121"/>
    <n v="0"/>
    <n v="-9087.0537600000025"/>
    <n v="0"/>
    <n v="-5187.7427947226415"/>
    <x v="2"/>
  </r>
  <r>
    <s v="Regular"/>
    <x v="4"/>
    <x v="3"/>
    <x v="2"/>
    <x v="7"/>
    <x v="2"/>
    <x v="15"/>
    <x v="0"/>
    <x v="2"/>
    <n v="0"/>
    <n v="0"/>
    <n v="55.843000000000004"/>
    <n v="55.843000000000004"/>
    <n v="55.843000000000004"/>
    <n v="55.843000000000004"/>
    <n v="0"/>
    <s v="CATIVO"/>
    <n v="0"/>
    <n v="0"/>
    <n v="54"/>
    <n v="97"/>
    <n v="0"/>
    <n v="301.38"/>
    <n v="287.29000000000002"/>
    <m/>
    <n v="410.24359616579511"/>
    <n v="307.78097374481121"/>
    <n v="0"/>
    <n v="4483.0760400000017"/>
    <n v="0"/>
    <n v="2559.3603866500857"/>
    <x v="2"/>
  </r>
  <r>
    <s v="Refaturamento - Regular"/>
    <x v="4"/>
    <x v="3"/>
    <x v="2"/>
    <x v="7"/>
    <x v="2"/>
    <x v="15"/>
    <x v="0"/>
    <x v="2"/>
    <n v="0"/>
    <n v="0"/>
    <n v="-11.164999999999999"/>
    <n v="-11.164999999999999"/>
    <n v="-11.164999999999999"/>
    <n v="-11.164999999999999"/>
    <n v="0"/>
    <s v="CATIVO"/>
    <n v="0"/>
    <n v="0"/>
    <n v="54"/>
    <n v="97"/>
    <n v="0"/>
    <n v="301.38"/>
    <n v="287.29000000000002"/>
    <m/>
    <n v="410.24359616579511"/>
    <n v="307.78097374481121"/>
    <n v="0"/>
    <n v="-896.32620000000031"/>
    <n v="0"/>
    <n v="-511.70708445012275"/>
    <x v="2"/>
  </r>
  <r>
    <s v="Sistema de Compensação"/>
    <x v="4"/>
    <x v="3"/>
    <x v="2"/>
    <x v="7"/>
    <x v="2"/>
    <x v="15"/>
    <x v="0"/>
    <x v="2"/>
    <n v="0"/>
    <n v="0"/>
    <n v="4.6390000000000002"/>
    <n v="4.6390000000000002"/>
    <n v="4.6390000000000002"/>
    <n v="4.6390000000000002"/>
    <n v="0"/>
    <s v="CATIVO"/>
    <n v="0"/>
    <n v="0"/>
    <n v="54"/>
    <n v="97"/>
    <n v="0"/>
    <n v="301.38"/>
    <n v="287.29000000000002"/>
    <m/>
    <n v="410.24359616579511"/>
    <n v="307.78097374481121"/>
    <n v="0"/>
    <n v="372.41892000000013"/>
    <n v="0"/>
    <n v="212.61165828608327"/>
    <x v="2"/>
  </r>
  <r>
    <s v="Regular"/>
    <x v="4"/>
    <x v="3"/>
    <x v="2"/>
    <x v="7"/>
    <x v="2"/>
    <x v="15"/>
    <x v="0"/>
    <x v="3"/>
    <n v="0"/>
    <n v="0"/>
    <n v="73.084000000000003"/>
    <n v="73.084000000000003"/>
    <n v="73.084000000000003"/>
    <n v="73.084000000000003"/>
    <n v="0"/>
    <s v="CATIVO"/>
    <n v="0"/>
    <n v="0"/>
    <n v="54"/>
    <n v="97"/>
    <n v="0"/>
    <n v="301.38"/>
    <n v="287.29000000000002"/>
    <m/>
    <n v="410.24359616579511"/>
    <n v="307.78097374481121"/>
    <n v="0"/>
    <n v="5867.1835200000023"/>
    <n v="0"/>
    <n v="3349.538787277454"/>
    <x v="2"/>
  </r>
  <r>
    <s v="Refaturamento - Regular"/>
    <x v="4"/>
    <x v="3"/>
    <x v="2"/>
    <x v="7"/>
    <x v="2"/>
    <x v="15"/>
    <x v="0"/>
    <x v="3"/>
    <n v="0"/>
    <n v="0"/>
    <n v="5.0999999999999997E-2"/>
    <n v="5.0999999999999997E-2"/>
    <n v="5.0999999999999997E-2"/>
    <n v="5.0999999999999997E-2"/>
    <n v="0"/>
    <s v="CATIVO"/>
    <n v="0"/>
    <n v="0"/>
    <n v="54"/>
    <n v="97"/>
    <n v="0"/>
    <n v="301.38"/>
    <n v="287.29000000000002"/>
    <m/>
    <n v="410.24359616579511"/>
    <n v="307.78097374481121"/>
    <n v="0"/>
    <n v="4.0942800000000013"/>
    <n v="0"/>
    <n v="2.3373991318366558"/>
    <x v="2"/>
  </r>
  <r>
    <s v="Sistema de Compensação"/>
    <x v="4"/>
    <x v="3"/>
    <x v="2"/>
    <x v="7"/>
    <x v="2"/>
    <x v="15"/>
    <x v="0"/>
    <x v="3"/>
    <n v="0"/>
    <n v="0"/>
    <n v="4.1539999999999999"/>
    <n v="4.1539999999999999"/>
    <n v="4.1539999999999999"/>
    <n v="4.1539999999999999"/>
    <n v="0"/>
    <s v="CATIVO"/>
    <n v="0"/>
    <n v="0"/>
    <n v="54"/>
    <n v="97"/>
    <n v="0"/>
    <n v="301.38"/>
    <n v="287.29000000000002"/>
    <m/>
    <n v="410.24359616579511"/>
    <n v="307.78097374481121"/>
    <n v="0"/>
    <n v="333.4831200000001"/>
    <n v="0"/>
    <n v="190.38345085587193"/>
    <x v="2"/>
  </r>
  <r>
    <s v="Sistema de Compensação"/>
    <x v="4"/>
    <x v="3"/>
    <x v="2"/>
    <x v="7"/>
    <x v="2"/>
    <x v="15"/>
    <x v="0"/>
    <x v="3"/>
    <n v="0"/>
    <n v="0"/>
    <n v="-0.35799999999999998"/>
    <n v="-0.35799999999999998"/>
    <n v="-0.35799999999999998"/>
    <n v="-0.35799999999999998"/>
    <n v="0"/>
    <s v="CATIVO"/>
    <n v="0"/>
    <n v="0"/>
    <n v="54"/>
    <n v="97"/>
    <n v="0"/>
    <n v="301.38"/>
    <n v="287.29000000000002"/>
    <m/>
    <n v="410.24359616579511"/>
    <n v="307.78097374481121"/>
    <n v="0"/>
    <n v="-28.740240000000011"/>
    <n v="0"/>
    <n v="-16.407625278382799"/>
    <x v="2"/>
  </r>
  <r>
    <s v="Regular"/>
    <x v="4"/>
    <x v="3"/>
    <x v="2"/>
    <x v="7"/>
    <x v="2"/>
    <x v="15"/>
    <x v="0"/>
    <x v="4"/>
    <n v="0"/>
    <n v="0"/>
    <n v="44.103000000000002"/>
    <n v="44.103000000000002"/>
    <n v="44.103000000000002"/>
    <n v="44.103000000000002"/>
    <n v="0"/>
    <s v="CATIVO"/>
    <n v="0"/>
    <n v="0"/>
    <n v="54"/>
    <n v="97"/>
    <n v="0"/>
    <n v="301.38"/>
    <n v="287.29000000000002"/>
    <m/>
    <n v="410.24359616579511"/>
    <n v="307.78097374481121"/>
    <n v="0"/>
    <n v="3540.5888400000013"/>
    <n v="0"/>
    <n v="2021.3002727723929"/>
    <x v="2"/>
  </r>
  <r>
    <s v="Refaturamento - Regular"/>
    <x v="4"/>
    <x v="3"/>
    <x v="2"/>
    <x v="7"/>
    <x v="2"/>
    <x v="15"/>
    <x v="0"/>
    <x v="4"/>
    <n v="0"/>
    <n v="0"/>
    <n v="-1.7809999999999999"/>
    <n v="-1.7809999999999999"/>
    <n v="-1.7809999999999999"/>
    <n v="-1.7809999999999999"/>
    <n v="0"/>
    <s v="CATIVO"/>
    <n v="0"/>
    <n v="0"/>
    <n v="54"/>
    <n v="97"/>
    <n v="0"/>
    <n v="301.38"/>
    <n v="287.29000000000002"/>
    <m/>
    <n v="410.24359616579511"/>
    <n v="307.78097374481121"/>
    <n v="0"/>
    <n v="-142.97868000000005"/>
    <n v="0"/>
    <n v="-81.625644192178115"/>
    <x v="2"/>
  </r>
  <r>
    <s v="Sistema de Compensação"/>
    <x v="4"/>
    <x v="3"/>
    <x v="2"/>
    <x v="7"/>
    <x v="2"/>
    <x v="15"/>
    <x v="0"/>
    <x v="4"/>
    <n v="0"/>
    <n v="0"/>
    <n v="9.7949999999999999"/>
    <n v="9.7949999999999999"/>
    <n v="9.7949999999999999"/>
    <n v="9.7949999999999999"/>
    <n v="0"/>
    <s v="CATIVO"/>
    <n v="0"/>
    <n v="0"/>
    <n v="54"/>
    <n v="97"/>
    <n v="0"/>
    <n v="301.38"/>
    <n v="287.29000000000002"/>
    <m/>
    <n v="410.24359616579511"/>
    <n v="307.78097374481121"/>
    <n v="0"/>
    <n v="786.34260000000029"/>
    <n v="0"/>
    <n v="448.91812737921657"/>
    <x v="2"/>
  </r>
  <r>
    <s v="Regular"/>
    <x v="4"/>
    <x v="3"/>
    <x v="2"/>
    <x v="7"/>
    <x v="2"/>
    <x v="15"/>
    <x v="0"/>
    <x v="5"/>
    <n v="0"/>
    <n v="0"/>
    <n v="39.124000000000002"/>
    <n v="39.124000000000002"/>
    <n v="39.124000000000002"/>
    <n v="39.124000000000002"/>
    <n v="0"/>
    <s v="CATIVO"/>
    <n v="0"/>
    <n v="0"/>
    <n v="54"/>
    <n v="97"/>
    <n v="0"/>
    <n v="301.38"/>
    <n v="287.29000000000002"/>
    <m/>
    <n v="410.24359616579511"/>
    <n v="307.78097374481121"/>
    <n v="0"/>
    <n v="3140.8747200000012"/>
    <n v="0"/>
    <n v="1793.1059536073985"/>
    <x v="2"/>
  </r>
  <r>
    <s v="Sistema de Compensação"/>
    <x v="4"/>
    <x v="3"/>
    <x v="2"/>
    <x v="7"/>
    <x v="2"/>
    <x v="15"/>
    <x v="0"/>
    <x v="5"/>
    <n v="0"/>
    <n v="0"/>
    <n v="1.9970000000000001"/>
    <n v="1.9970000000000001"/>
    <n v="1.9970000000000001"/>
    <n v="1.9970000000000001"/>
    <n v="0"/>
    <s v="CATIVO"/>
    <n v="0"/>
    <n v="0"/>
    <n v="54"/>
    <n v="97"/>
    <n v="0"/>
    <n v="301.38"/>
    <n v="287.29000000000002"/>
    <m/>
    <n v="410.24359616579511"/>
    <n v="307.78097374481121"/>
    <n v="0"/>
    <n v="160.31916000000007"/>
    <n v="0"/>
    <n v="91.525216985839251"/>
    <x v="2"/>
  </r>
  <r>
    <s v="Regular"/>
    <x v="4"/>
    <x v="3"/>
    <x v="2"/>
    <x v="7"/>
    <x v="2"/>
    <x v="15"/>
    <x v="0"/>
    <x v="6"/>
    <n v="0"/>
    <n v="0"/>
    <n v="32.83"/>
    <n v="32.83"/>
    <n v="32.83"/>
    <n v="32.83"/>
    <n v="0"/>
    <s v="CATIVO"/>
    <n v="0"/>
    <n v="0"/>
    <n v="54"/>
    <n v="97"/>
    <n v="0"/>
    <n v="301.38"/>
    <n v="287.29000000000002"/>
    <m/>
    <n v="410.24359616579511"/>
    <n v="307.78097374481121"/>
    <n v="0"/>
    <n v="2635.5924000000009"/>
    <n v="0"/>
    <n v="1504.6434019254393"/>
    <x v="2"/>
  </r>
  <r>
    <s v="Sistema de Compensação"/>
    <x v="4"/>
    <x v="3"/>
    <x v="2"/>
    <x v="7"/>
    <x v="2"/>
    <x v="15"/>
    <x v="0"/>
    <x v="6"/>
    <n v="0"/>
    <n v="0"/>
    <n v="19.34"/>
    <n v="19.34"/>
    <n v="19.34"/>
    <n v="19.34"/>
    <n v="0"/>
    <s v="CATIVO"/>
    <n v="0"/>
    <n v="0"/>
    <n v="54"/>
    <n v="97"/>
    <n v="0"/>
    <n v="301.38"/>
    <n v="287.29000000000002"/>
    <m/>
    <n v="410.24359616579511"/>
    <n v="307.78097374481121"/>
    <n v="0"/>
    <n v="1552.6152000000006"/>
    <n v="0"/>
    <n v="886.37841587688081"/>
    <x v="2"/>
  </r>
  <r>
    <s v="Regular"/>
    <x v="4"/>
    <x v="3"/>
    <x v="2"/>
    <x v="7"/>
    <x v="2"/>
    <x v="15"/>
    <x v="0"/>
    <x v="7"/>
    <n v="0"/>
    <n v="0"/>
    <n v="26.302"/>
    <n v="26.302"/>
    <n v="26.302"/>
    <n v="26.302"/>
    <n v="0"/>
    <s v="CATIVO"/>
    <n v="0"/>
    <n v="0"/>
    <n v="54"/>
    <n v="97"/>
    <n v="0"/>
    <n v="301.38"/>
    <n v="287.29000000000002"/>
    <m/>
    <n v="410.24359616579511"/>
    <n v="307.78097374481121"/>
    <n v="0"/>
    <n v="2111.5245600000007"/>
    <n v="0"/>
    <n v="1205.4563130503475"/>
    <x v="2"/>
  </r>
  <r>
    <s v="Refaturamento - Regular"/>
    <x v="4"/>
    <x v="3"/>
    <x v="2"/>
    <x v="7"/>
    <x v="2"/>
    <x v="15"/>
    <x v="0"/>
    <x v="7"/>
    <n v="0"/>
    <n v="0"/>
    <n v="0.35"/>
    <n v="0.35"/>
    <n v="0.35"/>
    <n v="0.35"/>
    <n v="0"/>
    <s v="CATIVO"/>
    <n v="0"/>
    <n v="0"/>
    <n v="54"/>
    <n v="97"/>
    <n v="0"/>
    <n v="301.38"/>
    <n v="287.29000000000002"/>
    <m/>
    <n v="410.24359616579511"/>
    <n v="307.78097374481121"/>
    <n v="0"/>
    <n v="28.09800000000001"/>
    <n v="0"/>
    <n v="16.040974434173126"/>
    <x v="2"/>
  </r>
  <r>
    <s v="Sistema de Compensação"/>
    <x v="4"/>
    <x v="3"/>
    <x v="2"/>
    <x v="7"/>
    <x v="2"/>
    <x v="15"/>
    <x v="0"/>
    <x v="7"/>
    <n v="0"/>
    <n v="0"/>
    <n v="9.1129999999999995"/>
    <n v="9.1129999999999995"/>
    <n v="9.1129999999999995"/>
    <n v="9.1129999999999995"/>
    <n v="0"/>
    <s v="CATIVO"/>
    <n v="0"/>
    <n v="0"/>
    <n v="54"/>
    <n v="97"/>
    <n v="0"/>
    <n v="301.38"/>
    <n v="287.29000000000002"/>
    <m/>
    <n v="410.24359616579511"/>
    <n v="307.78097374481121"/>
    <n v="0"/>
    <n v="731.59164000000021"/>
    <n v="0"/>
    <n v="417.66114291034205"/>
    <x v="2"/>
  </r>
  <r>
    <s v="Regular"/>
    <x v="4"/>
    <x v="3"/>
    <x v="2"/>
    <x v="7"/>
    <x v="2"/>
    <x v="15"/>
    <x v="0"/>
    <x v="8"/>
    <n v="0"/>
    <n v="0"/>
    <n v="26.707000000000001"/>
    <n v="26.707000000000001"/>
    <n v="26.707000000000001"/>
    <n v="26.707000000000001"/>
    <n v="0"/>
    <s v="CATIVO"/>
    <n v="0"/>
    <n v="0"/>
    <n v="54"/>
    <n v="97"/>
    <n v="0"/>
    <n v="301.38"/>
    <n v="287.29000000000002"/>
    <m/>
    <n v="410.24359616579511"/>
    <n v="307.78097374481121"/>
    <n v="0"/>
    <n v="2144.037960000001"/>
    <n v="0"/>
    <n v="1224.0180120384621"/>
    <x v="2"/>
  </r>
  <r>
    <s v="Refaturamento - Regular"/>
    <x v="4"/>
    <x v="3"/>
    <x v="2"/>
    <x v="7"/>
    <x v="2"/>
    <x v="15"/>
    <x v="0"/>
    <x v="8"/>
    <n v="0"/>
    <n v="0"/>
    <n v="-0.14799999999999999"/>
    <n v="-0.14799999999999999"/>
    <n v="-0.14799999999999999"/>
    <n v="-0.14799999999999999"/>
    <n v="0"/>
    <s v="CATIVO"/>
    <n v="0"/>
    <n v="0"/>
    <n v="54"/>
    <n v="97"/>
    <n v="0"/>
    <n v="301.38"/>
    <n v="287.29000000000002"/>
    <m/>
    <n v="410.24359616579511"/>
    <n v="307.78097374481121"/>
    <n v="0"/>
    <n v="-11.881440000000003"/>
    <n v="0"/>
    <n v="-6.7830406178789229"/>
    <x v="2"/>
  </r>
  <r>
    <s v="Sistema de Compensação"/>
    <x v="4"/>
    <x v="3"/>
    <x v="2"/>
    <x v="7"/>
    <x v="2"/>
    <x v="15"/>
    <x v="0"/>
    <x v="8"/>
    <n v="0"/>
    <n v="0"/>
    <n v="9.19"/>
    <n v="9.19"/>
    <n v="9.19"/>
    <n v="9.19"/>
    <n v="0"/>
    <s v="CATIVO"/>
    <n v="0"/>
    <n v="0"/>
    <n v="54"/>
    <n v="97"/>
    <n v="0"/>
    <n v="301.38"/>
    <n v="287.29000000000002"/>
    <m/>
    <n v="410.24359616579511"/>
    <n v="307.78097374481121"/>
    <n v="0"/>
    <n v="737.7732000000002"/>
    <n v="0"/>
    <n v="421.1901572858601"/>
    <x v="2"/>
  </r>
  <r>
    <s v="Regular"/>
    <x v="4"/>
    <x v="3"/>
    <x v="2"/>
    <x v="7"/>
    <x v="2"/>
    <x v="15"/>
    <x v="0"/>
    <x v="9"/>
    <n v="0"/>
    <n v="0"/>
    <n v="28.422999999999998"/>
    <n v="28.422999999999998"/>
    <n v="28.422999999999998"/>
    <n v="28.422999999999998"/>
    <n v="0"/>
    <s v="CATIVO"/>
    <n v="0"/>
    <n v="0"/>
    <n v="54"/>
    <n v="97"/>
    <n v="0"/>
    <n v="301.38"/>
    <n v="287.29000000000002"/>
    <m/>
    <n v="410.24359616579511"/>
    <n v="307.78097374481121"/>
    <n v="0"/>
    <n v="2281.7984400000005"/>
    <n v="0"/>
    <n v="1302.6646181214367"/>
    <x v="2"/>
  </r>
  <r>
    <s v="Sistema de Compensação"/>
    <x v="4"/>
    <x v="3"/>
    <x v="2"/>
    <x v="7"/>
    <x v="2"/>
    <x v="15"/>
    <x v="0"/>
    <x v="9"/>
    <n v="0"/>
    <n v="0"/>
    <n v="5.3840000000000003"/>
    <n v="5.3840000000000003"/>
    <n v="5.3840000000000003"/>
    <n v="5.3840000000000003"/>
    <n v="0"/>
    <s v="CATIVO"/>
    <n v="0"/>
    <n v="0"/>
    <n v="54"/>
    <n v="97"/>
    <n v="0"/>
    <n v="301.38"/>
    <n v="287.29000000000002"/>
    <m/>
    <n v="410.24359616579511"/>
    <n v="307.78097374481121"/>
    <n v="0"/>
    <n v="432.2275200000002"/>
    <n v="0"/>
    <n v="246.75601815310893"/>
    <x v="2"/>
  </r>
  <r>
    <s v="Regular"/>
    <x v="4"/>
    <x v="3"/>
    <x v="2"/>
    <x v="7"/>
    <x v="2"/>
    <x v="15"/>
    <x v="0"/>
    <x v="10"/>
    <n v="0"/>
    <n v="0"/>
    <n v="31.181000000000001"/>
    <n v="31.181000000000001"/>
    <n v="31.181000000000001"/>
    <n v="31.181000000000001"/>
    <n v="0"/>
    <s v="CATIVO"/>
    <n v="0"/>
    <n v="0"/>
    <n v="54"/>
    <n v="97"/>
    <n v="0"/>
    <n v="301.38"/>
    <n v="287.29000000000002"/>
    <m/>
    <n v="410.24359616579511"/>
    <n v="307.78097374481121"/>
    <n v="0"/>
    <n v="2503.210680000001"/>
    <n v="0"/>
    <n v="1429.0674966627209"/>
    <x v="2"/>
  </r>
  <r>
    <s v="Sistema de Compensação"/>
    <x v="4"/>
    <x v="3"/>
    <x v="2"/>
    <x v="7"/>
    <x v="2"/>
    <x v="15"/>
    <x v="0"/>
    <x v="10"/>
    <n v="0"/>
    <n v="0"/>
    <n v="10.276"/>
    <n v="10.276"/>
    <n v="10.276"/>
    <n v="10.276"/>
    <n v="0"/>
    <s v="CATIVO"/>
    <n v="0"/>
    <n v="0"/>
    <n v="54"/>
    <n v="97"/>
    <n v="0"/>
    <n v="301.38"/>
    <n v="287.29000000000002"/>
    <m/>
    <n v="410.24359616579511"/>
    <n v="307.78097374481121"/>
    <n v="0"/>
    <n v="824.95728000000031"/>
    <n v="0"/>
    <n v="470.96300938732304"/>
    <x v="2"/>
  </r>
  <r>
    <s v="PROJETADO"/>
    <x v="4"/>
    <x v="3"/>
    <x v="2"/>
    <x v="7"/>
    <x v="2"/>
    <x v="15"/>
    <x v="0"/>
    <x v="11"/>
    <n v="0"/>
    <n v="0"/>
    <n v="31.181000000000001"/>
    <n v="31.181000000000001"/>
    <n v="31.181000000000001"/>
    <n v="31.181000000000001"/>
    <n v="0"/>
    <s v="CATIVO"/>
    <n v="0"/>
    <n v="0"/>
    <n v="54"/>
    <n v="97"/>
    <n v="0"/>
    <n v="301.38"/>
    <n v="287.29000000000002"/>
    <m/>
    <n v="410.24359616579511"/>
    <n v="307.78097374481121"/>
    <n v="0"/>
    <n v="2503.210680000001"/>
    <n v="0"/>
    <n v="1429.0674966627209"/>
    <x v="2"/>
  </r>
  <r>
    <s v="PROJETADO"/>
    <x v="4"/>
    <x v="3"/>
    <x v="2"/>
    <x v="7"/>
    <x v="2"/>
    <x v="15"/>
    <x v="0"/>
    <x v="11"/>
    <n v="0"/>
    <n v="0"/>
    <n v="10.276"/>
    <n v="10.276"/>
    <n v="10.276"/>
    <n v="10.276"/>
    <n v="0"/>
    <s v="CATIVO"/>
    <n v="0"/>
    <n v="0"/>
    <n v="54"/>
    <n v="97"/>
    <n v="0"/>
    <n v="301.38"/>
    <n v="287.29000000000002"/>
    <m/>
    <n v="410.24359616579511"/>
    <n v="307.78097374481121"/>
    <n v="0"/>
    <n v="824.95728000000031"/>
    <n v="0"/>
    <n v="470.96300938732304"/>
    <x v="2"/>
  </r>
  <r>
    <s v="Regular"/>
    <x v="4"/>
    <x v="3"/>
    <x v="2"/>
    <x v="7"/>
    <x v="3"/>
    <x v="15"/>
    <x v="0"/>
    <x v="0"/>
    <n v="0"/>
    <n v="0"/>
    <n v="56.932000000000002"/>
    <n v="18.787559999999999"/>
    <n v="56.932000000000002"/>
    <n v="18.787559999999999"/>
    <n v="0"/>
    <s v="CATIVO"/>
    <n v="0"/>
    <n v="0"/>
    <n v="54"/>
    <n v="97"/>
    <n v="0"/>
    <n v="301.38"/>
    <n v="287.29000000000002"/>
    <m/>
    <n v="410.24359616579511"/>
    <n v="307.78097374481121"/>
    <n v="0"/>
    <n v="27024.988454800005"/>
    <n v="0"/>
    <n v="29997.915858299057"/>
    <x v="6"/>
  </r>
  <r>
    <s v="Sistema de Compensação"/>
    <x v="4"/>
    <x v="3"/>
    <x v="2"/>
    <x v="7"/>
    <x v="3"/>
    <x v="15"/>
    <x v="0"/>
    <x v="0"/>
    <n v="0"/>
    <n v="0"/>
    <n v="13.337999999999999"/>
    <n v="4.4015399999999998"/>
    <n v="13.337999999999999"/>
    <n v="4.4015399999999998"/>
    <n v="0"/>
    <s v="CATIVO"/>
    <n v="0"/>
    <n v="0"/>
    <n v="54"/>
    <n v="97"/>
    <n v="0"/>
    <n v="301.38"/>
    <n v="287.29000000000002"/>
    <m/>
    <n v="410.24359616579511"/>
    <n v="307.78097374481121"/>
    <n v="0"/>
    <n v="6331.4005482000011"/>
    <n v="0"/>
    <n v="7027.8964680319114"/>
    <x v="6"/>
  </r>
  <r>
    <s v="Regular"/>
    <x v="4"/>
    <x v="3"/>
    <x v="2"/>
    <x v="7"/>
    <x v="3"/>
    <x v="15"/>
    <x v="0"/>
    <x v="1"/>
    <n v="0"/>
    <n v="0"/>
    <n v="65.763999999999996"/>
    <n v="21.702120000000001"/>
    <n v="65.763999999999996"/>
    <n v="21.702120000000001"/>
    <n v="0"/>
    <s v="CATIVO"/>
    <n v="0"/>
    <n v="0"/>
    <n v="54"/>
    <n v="97"/>
    <n v="0"/>
    <n v="301.38"/>
    <n v="287.29000000000002"/>
    <m/>
    <n v="410.24359616579511"/>
    <n v="307.78097374481121"/>
    <n v="0"/>
    <n v="31217.4408196"/>
    <n v="0"/>
    <n v="34651.565701278341"/>
    <x v="6"/>
  </r>
  <r>
    <s v="Refaturamento - Regular"/>
    <x v="4"/>
    <x v="3"/>
    <x v="2"/>
    <x v="7"/>
    <x v="3"/>
    <x v="15"/>
    <x v="0"/>
    <x v="1"/>
    <n v="0"/>
    <n v="0"/>
    <n v="-0.1"/>
    <n v="-3.3000000000000002E-2"/>
    <n v="-0.1"/>
    <n v="-3.3000000000000002E-2"/>
    <n v="0"/>
    <s v="CATIVO"/>
    <n v="0"/>
    <n v="0"/>
    <n v="54"/>
    <n v="97"/>
    <n v="0"/>
    <n v="301.38"/>
    <n v="287.29000000000002"/>
    <m/>
    <n v="410.24359616579511"/>
    <n v="307.78097374481121"/>
    <n v="0"/>
    <n v="-47.468890000000016"/>
    <n v="0"/>
    <n v="-52.690781736631514"/>
    <x v="6"/>
  </r>
  <r>
    <s v="Sistema de Compensação"/>
    <x v="4"/>
    <x v="3"/>
    <x v="2"/>
    <x v="7"/>
    <x v="3"/>
    <x v="15"/>
    <x v="0"/>
    <x v="1"/>
    <n v="0"/>
    <n v="0"/>
    <n v="13.084"/>
    <n v="4.3177199999999996"/>
    <n v="13.084"/>
    <n v="4.3177199999999996"/>
    <n v="0"/>
    <s v="CATIVO"/>
    <n v="0"/>
    <n v="0"/>
    <n v="54"/>
    <n v="97"/>
    <n v="0"/>
    <n v="301.38"/>
    <n v="287.29000000000002"/>
    <m/>
    <n v="410.24359616579511"/>
    <n v="307.78097374481121"/>
    <n v="0"/>
    <n v="6210.8295676000007"/>
    <n v="0"/>
    <n v="6894.0618824208677"/>
    <x v="6"/>
  </r>
  <r>
    <s v="Sistema de Compensação"/>
    <x v="4"/>
    <x v="3"/>
    <x v="2"/>
    <x v="7"/>
    <x v="3"/>
    <x v="15"/>
    <x v="0"/>
    <x v="1"/>
    <n v="0"/>
    <n v="0"/>
    <n v="9.7569999999999997"/>
    <n v="3.2198099999999998"/>
    <n v="9.7569999999999997"/>
    <n v="3.2198099999999998"/>
    <n v="0"/>
    <s v="CATIVO"/>
    <n v="0"/>
    <n v="0"/>
    <n v="54"/>
    <n v="97"/>
    <n v="0"/>
    <n v="301.38"/>
    <n v="287.29000000000002"/>
    <m/>
    <n v="410.24359616579511"/>
    <n v="307.78097374481121"/>
    <n v="0"/>
    <n v="4631.5395973000004"/>
    <n v="0"/>
    <n v="5141.0395740431368"/>
    <x v="6"/>
  </r>
  <r>
    <s v="Regular"/>
    <x v="4"/>
    <x v="3"/>
    <x v="2"/>
    <x v="7"/>
    <x v="3"/>
    <x v="15"/>
    <x v="0"/>
    <x v="2"/>
    <n v="0"/>
    <n v="0"/>
    <n v="59.670999999999999"/>
    <n v="19.69143"/>
    <n v="59.670999999999999"/>
    <n v="19.69143"/>
    <n v="0"/>
    <s v="CATIVO"/>
    <n v="0"/>
    <n v="0"/>
    <n v="54"/>
    <n v="97"/>
    <n v="0"/>
    <n v="301.38"/>
    <n v="287.29000000000002"/>
    <m/>
    <n v="410.24359616579511"/>
    <n v="307.78097374481121"/>
    <n v="0"/>
    <n v="28325.161351900002"/>
    <n v="0"/>
    <n v="31441.116370065385"/>
    <x v="6"/>
  </r>
  <r>
    <s v="Refaturamento - Regular"/>
    <x v="4"/>
    <x v="3"/>
    <x v="2"/>
    <x v="7"/>
    <x v="3"/>
    <x v="15"/>
    <x v="0"/>
    <x v="2"/>
    <n v="0"/>
    <n v="0"/>
    <n v="1.6"/>
    <n v="0.52800000000000002"/>
    <n v="1.6"/>
    <n v="0.52800000000000002"/>
    <n v="0"/>
    <s v="CATIVO"/>
    <n v="0"/>
    <n v="0"/>
    <n v="54"/>
    <n v="97"/>
    <n v="0"/>
    <n v="301.38"/>
    <n v="287.29000000000002"/>
    <m/>
    <n v="410.24359616579511"/>
    <n v="307.78097374481121"/>
    <n v="0"/>
    <n v="759.50224000000026"/>
    <n v="0"/>
    <n v="843.05250778610423"/>
    <x v="6"/>
  </r>
  <r>
    <s v="Sistema de Compensação"/>
    <x v="4"/>
    <x v="3"/>
    <x v="2"/>
    <x v="7"/>
    <x v="3"/>
    <x v="15"/>
    <x v="0"/>
    <x v="2"/>
    <n v="0"/>
    <n v="0"/>
    <n v="12.503"/>
    <n v="4.1259899999999998"/>
    <n v="12.503"/>
    <n v="4.1259899999999998"/>
    <n v="0"/>
    <s v="CATIVO"/>
    <n v="0"/>
    <n v="0"/>
    <n v="54"/>
    <n v="97"/>
    <n v="0"/>
    <n v="301.38"/>
    <n v="287.29000000000002"/>
    <m/>
    <n v="410.24359616579511"/>
    <n v="307.78097374481121"/>
    <n v="0"/>
    <n v="5935.0353167000012"/>
    <n v="0"/>
    <n v="6587.9284405310391"/>
    <x v="6"/>
  </r>
  <r>
    <s v="Regular"/>
    <x v="4"/>
    <x v="3"/>
    <x v="2"/>
    <x v="7"/>
    <x v="3"/>
    <x v="15"/>
    <x v="0"/>
    <x v="3"/>
    <n v="0"/>
    <n v="0"/>
    <n v="65.034999999999997"/>
    <n v="21.461549999999999"/>
    <n v="65.034999999999997"/>
    <n v="21.461549999999999"/>
    <n v="0"/>
    <s v="CATIVO"/>
    <n v="0"/>
    <n v="0"/>
    <n v="54"/>
    <n v="97"/>
    <n v="0"/>
    <n v="301.38"/>
    <n v="287.29000000000002"/>
    <m/>
    <n v="410.24359616579511"/>
    <n v="307.78097374481121"/>
    <n v="0"/>
    <n v="30871.392611499999"/>
    <n v="0"/>
    <n v="34267.449902418302"/>
    <x v="6"/>
  </r>
  <r>
    <s v="Refaturamento - Regular"/>
    <x v="4"/>
    <x v="3"/>
    <x v="2"/>
    <x v="7"/>
    <x v="3"/>
    <x v="15"/>
    <x v="0"/>
    <x v="3"/>
    <n v="0"/>
    <n v="0"/>
    <n v="1.71"/>
    <n v="0.56430000000000002"/>
    <n v="1.71"/>
    <n v="0.56430000000000002"/>
    <n v="0"/>
    <s v="CATIVO"/>
    <n v="0"/>
    <n v="0"/>
    <n v="54"/>
    <n v="97"/>
    <n v="0"/>
    <n v="301.38"/>
    <n v="287.29000000000002"/>
    <m/>
    <n v="410.24359616579511"/>
    <n v="307.78097374481121"/>
    <n v="0"/>
    <n v="811.71801900000014"/>
    <n v="0"/>
    <n v="901.01236769639888"/>
    <x v="6"/>
  </r>
  <r>
    <s v="Sistema de Compensação"/>
    <x v="4"/>
    <x v="3"/>
    <x v="2"/>
    <x v="7"/>
    <x v="3"/>
    <x v="15"/>
    <x v="0"/>
    <x v="3"/>
    <n v="0"/>
    <n v="0"/>
    <n v="11.603"/>
    <n v="3.8289900000000001"/>
    <n v="11.603"/>
    <n v="3.8289900000000001"/>
    <n v="0"/>
    <s v="CATIVO"/>
    <n v="0"/>
    <n v="0"/>
    <n v="54"/>
    <n v="97"/>
    <n v="0"/>
    <n v="301.38"/>
    <n v="287.29000000000002"/>
    <m/>
    <n v="410.24359616579511"/>
    <n v="307.78097374481121"/>
    <n v="0"/>
    <n v="5507.8153067000003"/>
    <n v="0"/>
    <n v="6113.7114049013544"/>
    <x v="6"/>
  </r>
  <r>
    <s v="Regular"/>
    <x v="4"/>
    <x v="3"/>
    <x v="2"/>
    <x v="7"/>
    <x v="3"/>
    <x v="15"/>
    <x v="0"/>
    <x v="4"/>
    <n v="0"/>
    <n v="0"/>
    <n v="55.828000000000003"/>
    <n v="18.42324"/>
    <n v="55.828000000000003"/>
    <n v="18.42324"/>
    <n v="0"/>
    <s v="CATIVO"/>
    <n v="0"/>
    <n v="0"/>
    <n v="54"/>
    <n v="97"/>
    <n v="0"/>
    <n v="301.38"/>
    <n v="287.29000000000002"/>
    <m/>
    <n v="410.24359616579511"/>
    <n v="307.78097374481121"/>
    <n v="0"/>
    <n v="26500.931909200008"/>
    <n v="0"/>
    <n v="29416.209627926641"/>
    <x v="6"/>
  </r>
  <r>
    <s v="Refaturamento - Regular"/>
    <x v="4"/>
    <x v="3"/>
    <x v="2"/>
    <x v="7"/>
    <x v="3"/>
    <x v="15"/>
    <x v="0"/>
    <x v="4"/>
    <n v="0"/>
    <n v="0"/>
    <n v="-0.70199999999999996"/>
    <n v="-0.23166"/>
    <n v="-0.70199999999999996"/>
    <n v="-0.23166"/>
    <n v="0"/>
    <s v="CATIVO"/>
    <n v="0"/>
    <n v="0"/>
    <n v="54"/>
    <n v="97"/>
    <n v="0"/>
    <n v="301.38"/>
    <n v="287.29000000000002"/>
    <m/>
    <n v="410.24359616579511"/>
    <n v="307.78097374481121"/>
    <n v="0"/>
    <n v="-333.23160780000001"/>
    <n v="0"/>
    <n v="-369.88928779115321"/>
    <x v="6"/>
  </r>
  <r>
    <s v="Sistema de Compensação"/>
    <x v="4"/>
    <x v="3"/>
    <x v="2"/>
    <x v="7"/>
    <x v="3"/>
    <x v="15"/>
    <x v="0"/>
    <x v="4"/>
    <n v="0"/>
    <n v="0"/>
    <n v="20.202999999999999"/>
    <n v="6.6669900000000002"/>
    <n v="20.202999999999999"/>
    <n v="6.6669900000000002"/>
    <n v="0"/>
    <s v="CATIVO"/>
    <n v="0"/>
    <n v="0"/>
    <n v="54"/>
    <n v="97"/>
    <n v="0"/>
    <n v="301.38"/>
    <n v="287.29000000000002"/>
    <m/>
    <n v="410.24359616579511"/>
    <n v="307.78097374481121"/>
    <n v="0"/>
    <n v="9590.1398467000017"/>
    <n v="0"/>
    <n v="10645.118634251665"/>
    <x v="6"/>
  </r>
  <r>
    <s v="Regular"/>
    <x v="4"/>
    <x v="3"/>
    <x v="2"/>
    <x v="7"/>
    <x v="3"/>
    <x v="15"/>
    <x v="0"/>
    <x v="5"/>
    <n v="0"/>
    <n v="0"/>
    <n v="47.411000000000001"/>
    <n v="15.645630000000001"/>
    <n v="47.411000000000001"/>
    <n v="15.645630000000001"/>
    <n v="0"/>
    <s v="CATIVO"/>
    <n v="0"/>
    <n v="0"/>
    <n v="54"/>
    <n v="97"/>
    <n v="0"/>
    <n v="301.38"/>
    <n v="287.29000000000002"/>
    <m/>
    <n v="410.24359616579511"/>
    <n v="307.78097374481121"/>
    <n v="0"/>
    <n v="22505.475437900004"/>
    <n v="0"/>
    <n v="24981.226529154366"/>
    <x v="6"/>
  </r>
  <r>
    <s v="Sistema de Compensação"/>
    <x v="4"/>
    <x v="3"/>
    <x v="2"/>
    <x v="7"/>
    <x v="3"/>
    <x v="15"/>
    <x v="0"/>
    <x v="5"/>
    <n v="0"/>
    <n v="0"/>
    <n v="10.212999999999999"/>
    <n v="3.3702899999999998"/>
    <n v="10.212999999999999"/>
    <n v="3.3702899999999998"/>
    <n v="0"/>
    <s v="CATIVO"/>
    <n v="0"/>
    <n v="0"/>
    <n v="54"/>
    <n v="97"/>
    <n v="0"/>
    <n v="301.38"/>
    <n v="287.29000000000002"/>
    <m/>
    <n v="410.24359616579511"/>
    <n v="307.78097374481121"/>
    <n v="0"/>
    <n v="4847.9977357000007"/>
    <n v="0"/>
    <n v="5381.3095387621761"/>
    <x v="6"/>
  </r>
  <r>
    <s v="Regular"/>
    <x v="4"/>
    <x v="3"/>
    <x v="2"/>
    <x v="7"/>
    <x v="3"/>
    <x v="15"/>
    <x v="0"/>
    <x v="6"/>
    <n v="0"/>
    <n v="0"/>
    <n v="27.486999999999998"/>
    <n v="9.0707100000000001"/>
    <n v="27.486999999999998"/>
    <n v="9.0707100000000001"/>
    <n v="0"/>
    <s v="CATIVO"/>
    <n v="0"/>
    <n v="0"/>
    <n v="54"/>
    <n v="97"/>
    <n v="0"/>
    <n v="301.38"/>
    <n v="287.29000000000002"/>
    <m/>
    <n v="410.24359616579511"/>
    <n v="307.78097374481121"/>
    <n v="0"/>
    <n v="13047.773794299999"/>
    <n v="0"/>
    <n v="14483.1151759479"/>
    <x v="6"/>
  </r>
  <r>
    <s v="Sistema de Compensação"/>
    <x v="4"/>
    <x v="3"/>
    <x v="2"/>
    <x v="7"/>
    <x v="3"/>
    <x v="15"/>
    <x v="0"/>
    <x v="6"/>
    <n v="0"/>
    <n v="0"/>
    <n v="24.318999999999999"/>
    <n v="8.0252700000000008"/>
    <n v="24.318999999999999"/>
    <n v="8.0252700000000008"/>
    <n v="0"/>
    <s v="CATIVO"/>
    <n v="0"/>
    <n v="0"/>
    <n v="54"/>
    <n v="97"/>
    <n v="0"/>
    <n v="301.38"/>
    <n v="287.29000000000002"/>
    <m/>
    <n v="410.24359616579511"/>
    <n v="307.78097374481121"/>
    <n v="0"/>
    <n v="11543.959359099999"/>
    <n v="0"/>
    <n v="12813.871210531415"/>
    <x v="6"/>
  </r>
  <r>
    <s v="Regular"/>
    <x v="4"/>
    <x v="3"/>
    <x v="2"/>
    <x v="7"/>
    <x v="3"/>
    <x v="15"/>
    <x v="0"/>
    <x v="7"/>
    <n v="0"/>
    <n v="0"/>
    <n v="30.481000000000002"/>
    <n v="10.058730000000001"/>
    <n v="30.481000000000002"/>
    <n v="10.058730000000001"/>
    <n v="0"/>
    <s v="CATIVO"/>
    <n v="0"/>
    <n v="0"/>
    <n v="54"/>
    <n v="97"/>
    <n v="0"/>
    <n v="301.38"/>
    <n v="287.29000000000002"/>
    <m/>
    <n v="410.24359616579511"/>
    <n v="307.78097374481121"/>
    <n v="0"/>
    <n v="14468.992360900003"/>
    <n v="0"/>
    <n v="16060.677181142652"/>
    <x v="6"/>
  </r>
  <r>
    <s v="Refaturamento - Regular"/>
    <x v="4"/>
    <x v="3"/>
    <x v="2"/>
    <x v="7"/>
    <x v="3"/>
    <x v="15"/>
    <x v="0"/>
    <x v="7"/>
    <n v="0"/>
    <n v="0"/>
    <n v="0.38600000000000001"/>
    <n v="0.12737999999999999"/>
    <n v="0.38600000000000001"/>
    <n v="0.12737999999999999"/>
    <n v="0"/>
    <s v="CATIVO"/>
    <n v="0"/>
    <n v="0"/>
    <n v="54"/>
    <n v="97"/>
    <n v="0"/>
    <n v="301.38"/>
    <n v="287.29000000000002"/>
    <m/>
    <n v="410.24359616579511"/>
    <n v="307.78097374481121"/>
    <n v="0"/>
    <n v="183.22991540000004"/>
    <n v="0"/>
    <n v="203.38641750339764"/>
    <x v="6"/>
  </r>
  <r>
    <s v="Sistema de Compensação"/>
    <x v="4"/>
    <x v="3"/>
    <x v="2"/>
    <x v="7"/>
    <x v="3"/>
    <x v="15"/>
    <x v="0"/>
    <x v="7"/>
    <n v="0"/>
    <n v="0"/>
    <n v="17.096"/>
    <n v="5.64168"/>
    <n v="17.096"/>
    <n v="5.64168"/>
    <n v="0"/>
    <s v="CATIVO"/>
    <n v="0"/>
    <n v="0"/>
    <n v="54"/>
    <n v="97"/>
    <n v="0"/>
    <n v="301.38"/>
    <n v="287.29000000000002"/>
    <m/>
    <n v="410.24359616579511"/>
    <n v="307.78097374481121"/>
    <n v="0"/>
    <n v="8115.2814343999999"/>
    <n v="0"/>
    <n v="9008.0160456945232"/>
    <x v="6"/>
  </r>
  <r>
    <s v="Regular"/>
    <x v="4"/>
    <x v="3"/>
    <x v="2"/>
    <x v="7"/>
    <x v="3"/>
    <x v="15"/>
    <x v="0"/>
    <x v="8"/>
    <n v="0"/>
    <n v="0"/>
    <n v="25.31"/>
    <n v="8.3522999999999996"/>
    <n v="25.31"/>
    <n v="8.3522999999999996"/>
    <n v="0"/>
    <s v="CATIVO"/>
    <n v="0"/>
    <n v="0"/>
    <n v="54"/>
    <n v="97"/>
    <n v="0"/>
    <n v="301.38"/>
    <n v="287.29000000000002"/>
    <m/>
    <n v="410.24359616579511"/>
    <n v="307.78097374481121"/>
    <n v="0"/>
    <n v="12014.376059"/>
    <n v="0"/>
    <n v="13336.036857541434"/>
    <x v="6"/>
  </r>
  <r>
    <s v="Refaturamento - Regular"/>
    <x v="4"/>
    <x v="3"/>
    <x v="2"/>
    <x v="7"/>
    <x v="3"/>
    <x v="15"/>
    <x v="0"/>
    <x v="8"/>
    <n v="0"/>
    <n v="0"/>
    <n v="-1.518"/>
    <n v="-0.50094000000000005"/>
    <n v="-1.518"/>
    <n v="-0.50094000000000005"/>
    <n v="0"/>
    <s v="CATIVO"/>
    <n v="0"/>
    <n v="0"/>
    <n v="54"/>
    <n v="97"/>
    <n v="0"/>
    <n v="301.38"/>
    <n v="287.29000000000002"/>
    <m/>
    <n v="410.24359616579511"/>
    <n v="307.78097374481121"/>
    <n v="0"/>
    <n v="-720.57775019999997"/>
    <n v="0"/>
    <n v="-799.84606676206624"/>
    <x v="6"/>
  </r>
  <r>
    <s v="Sistema de Compensação"/>
    <x v="4"/>
    <x v="3"/>
    <x v="2"/>
    <x v="7"/>
    <x v="3"/>
    <x v="15"/>
    <x v="0"/>
    <x v="8"/>
    <n v="0"/>
    <n v="0"/>
    <n v="17.771999999999998"/>
    <n v="5.8647600000000004"/>
    <n v="17.771999999999998"/>
    <n v="5.8647600000000004"/>
    <n v="0"/>
    <s v="CATIVO"/>
    <n v="0"/>
    <n v="0"/>
    <n v="54"/>
    <n v="97"/>
    <n v="0"/>
    <n v="301.38"/>
    <n v="287.29000000000002"/>
    <m/>
    <n v="410.24359616579511"/>
    <n v="307.78097374481121"/>
    <n v="0"/>
    <n v="8436.1711308000013"/>
    <n v="0"/>
    <n v="9364.2057302341527"/>
    <x v="6"/>
  </r>
  <r>
    <s v="Regular"/>
    <x v="4"/>
    <x v="3"/>
    <x v="2"/>
    <x v="7"/>
    <x v="3"/>
    <x v="15"/>
    <x v="0"/>
    <x v="9"/>
    <n v="0"/>
    <n v="0"/>
    <n v="32.883000000000003"/>
    <n v="10.85139"/>
    <n v="32.883000000000003"/>
    <n v="10.85139"/>
    <n v="0"/>
    <s v="CATIVO"/>
    <n v="0"/>
    <n v="0"/>
    <n v="54"/>
    <n v="97"/>
    <n v="0"/>
    <n v="301.38"/>
    <n v="287.29000000000002"/>
    <m/>
    <n v="410.24359616579511"/>
    <n v="307.78097374481121"/>
    <n v="0"/>
    <n v="15609.195098700004"/>
    <n v="0"/>
    <n v="17326.30975845654"/>
    <x v="6"/>
  </r>
  <r>
    <s v="Refaturamento - Regular"/>
    <x v="4"/>
    <x v="3"/>
    <x v="2"/>
    <x v="7"/>
    <x v="3"/>
    <x v="15"/>
    <x v="0"/>
    <x v="9"/>
    <n v="0"/>
    <n v="0"/>
    <n v="-0.29599999999999999"/>
    <n v="-9.7680000000000003E-2"/>
    <n v="-0.29599999999999999"/>
    <n v="-9.7680000000000003E-2"/>
    <n v="0"/>
    <s v="CATIVO"/>
    <n v="0"/>
    <n v="0"/>
    <n v="54"/>
    <n v="97"/>
    <n v="0"/>
    <n v="301.38"/>
    <n v="287.29000000000002"/>
    <m/>
    <n v="410.24359616579511"/>
    <n v="307.78097374481121"/>
    <n v="0"/>
    <n v="-140.5079144"/>
    <n v="0"/>
    <n v="-155.96471394042928"/>
    <x v="6"/>
  </r>
  <r>
    <s v="Sistema de Compensação"/>
    <x v="4"/>
    <x v="3"/>
    <x v="2"/>
    <x v="7"/>
    <x v="3"/>
    <x v="15"/>
    <x v="0"/>
    <x v="9"/>
    <n v="0"/>
    <n v="0"/>
    <n v="13.196999999999999"/>
    <n v="4.35501"/>
    <n v="13.196999999999999"/>
    <n v="4.35501"/>
    <n v="0"/>
    <s v="CATIVO"/>
    <n v="0"/>
    <n v="0"/>
    <n v="54"/>
    <n v="97"/>
    <n v="0"/>
    <n v="301.38"/>
    <n v="287.29000000000002"/>
    <m/>
    <n v="410.24359616579511"/>
    <n v="307.78097374481121"/>
    <n v="0"/>
    <n v="6264.4694133000003"/>
    <n v="0"/>
    <n v="6953.6024657832595"/>
    <x v="6"/>
  </r>
  <r>
    <s v="Regular"/>
    <x v="4"/>
    <x v="3"/>
    <x v="2"/>
    <x v="7"/>
    <x v="3"/>
    <x v="15"/>
    <x v="0"/>
    <x v="10"/>
    <n v="0"/>
    <n v="0"/>
    <n v="29.815000000000001"/>
    <n v="9.8389500000000005"/>
    <n v="29.815000000000001"/>
    <n v="9.8389500000000005"/>
    <n v="0"/>
    <s v="CATIVO"/>
    <n v="0"/>
    <n v="0"/>
    <n v="54"/>
    <n v="97"/>
    <n v="0"/>
    <n v="301.38"/>
    <n v="287.29000000000002"/>
    <m/>
    <n v="410.24359616579511"/>
    <n v="307.78097374481121"/>
    <n v="0"/>
    <n v="14152.849553500004"/>
    <n v="0"/>
    <n v="15709.756574776688"/>
    <x v="6"/>
  </r>
  <r>
    <s v="Sistema de Compensação"/>
    <x v="4"/>
    <x v="3"/>
    <x v="2"/>
    <x v="7"/>
    <x v="3"/>
    <x v="15"/>
    <x v="0"/>
    <x v="10"/>
    <n v="0"/>
    <n v="0"/>
    <n v="14.513999999999999"/>
    <n v="4.7896200000000002"/>
    <n v="14.513999999999999"/>
    <n v="4.7896200000000002"/>
    <n v="0"/>
    <s v="CATIVO"/>
    <n v="0"/>
    <n v="0"/>
    <n v="54"/>
    <n v="97"/>
    <n v="0"/>
    <n v="301.38"/>
    <n v="287.29000000000002"/>
    <m/>
    <n v="410.24359616579511"/>
    <n v="307.78097374481121"/>
    <n v="0"/>
    <n v="6889.6346946000012"/>
    <n v="0"/>
    <n v="7647.5400612546973"/>
    <x v="6"/>
  </r>
  <r>
    <s v="PROJETADO"/>
    <x v="4"/>
    <x v="3"/>
    <x v="2"/>
    <x v="7"/>
    <x v="3"/>
    <x v="15"/>
    <x v="0"/>
    <x v="11"/>
    <n v="0"/>
    <n v="0"/>
    <n v="29.815000000000001"/>
    <n v="9.8389500000000005"/>
    <n v="29.815000000000001"/>
    <n v="9.8389500000000005"/>
    <n v="0"/>
    <s v="CATIVO"/>
    <n v="0"/>
    <n v="0"/>
    <n v="54"/>
    <n v="97"/>
    <n v="0"/>
    <n v="301.38"/>
    <n v="287.29000000000002"/>
    <m/>
    <n v="410.24359616579511"/>
    <n v="307.78097374481121"/>
    <n v="0"/>
    <n v="14152.849553500004"/>
    <n v="0"/>
    <n v="15709.756574776688"/>
    <x v="6"/>
  </r>
  <r>
    <s v="PROJETADO"/>
    <x v="4"/>
    <x v="3"/>
    <x v="2"/>
    <x v="7"/>
    <x v="3"/>
    <x v="15"/>
    <x v="0"/>
    <x v="11"/>
    <n v="0"/>
    <n v="0"/>
    <n v="14.513999999999999"/>
    <n v="4.7896200000000002"/>
    <n v="14.513999999999999"/>
    <n v="4.7896200000000002"/>
    <n v="0"/>
    <s v="CATIVO"/>
    <n v="0"/>
    <n v="0"/>
    <n v="54"/>
    <n v="97"/>
    <n v="0"/>
    <n v="301.38"/>
    <n v="287.29000000000002"/>
    <m/>
    <n v="410.24359616579511"/>
    <n v="307.78097374481121"/>
    <n v="0"/>
    <n v="6889.6346946000012"/>
    <n v="0"/>
    <n v="7647.5400612546973"/>
    <x v="6"/>
  </r>
  <r>
    <s v="Regular"/>
    <x v="4"/>
    <x v="3"/>
    <x v="2"/>
    <x v="8"/>
    <x v="2"/>
    <x v="15"/>
    <x v="0"/>
    <x v="0"/>
    <n v="0"/>
    <n v="0"/>
    <n v="0.89400000000000002"/>
    <n v="0.89400000000000002"/>
    <n v="0.89400000000000002"/>
    <n v="0.89400000000000002"/>
    <n v="0"/>
    <s v="CATIVO"/>
    <n v="0"/>
    <n v="0"/>
    <n v="54"/>
    <n v="97"/>
    <n v="0"/>
    <n v="301.38"/>
    <n v="287.29000000000002"/>
    <m/>
    <n v="410.24359616579511"/>
    <n v="307.78097374481121"/>
    <n v="0"/>
    <n v="71.770320000000027"/>
    <n v="0"/>
    <n v="40.973231840430792"/>
    <x v="2"/>
  </r>
  <r>
    <s v="Regular"/>
    <x v="4"/>
    <x v="3"/>
    <x v="2"/>
    <x v="8"/>
    <x v="2"/>
    <x v="15"/>
    <x v="0"/>
    <x v="1"/>
    <n v="0"/>
    <n v="0"/>
    <n v="1.3440000000000001"/>
    <n v="1.3440000000000001"/>
    <n v="1.3440000000000001"/>
    <n v="1.3440000000000001"/>
    <n v="0"/>
    <s v="CATIVO"/>
    <n v="0"/>
    <n v="0"/>
    <n v="54"/>
    <n v="97"/>
    <n v="0"/>
    <n v="301.38"/>
    <n v="287.29000000000002"/>
    <m/>
    <n v="410.24359616579511"/>
    <n v="307.78097374481121"/>
    <n v="0"/>
    <n v="107.89632000000005"/>
    <n v="0"/>
    <n v="61.597341827224817"/>
    <x v="2"/>
  </r>
  <r>
    <s v="Sistema de Compensação"/>
    <x v="4"/>
    <x v="3"/>
    <x v="2"/>
    <x v="8"/>
    <x v="2"/>
    <x v="15"/>
    <x v="0"/>
    <x v="1"/>
    <n v="0"/>
    <n v="0"/>
    <n v="1.2E-2"/>
    <n v="1.2E-2"/>
    <n v="1.2E-2"/>
    <n v="1.2E-2"/>
    <n v="0"/>
    <s v="CATIVO"/>
    <n v="0"/>
    <n v="0"/>
    <n v="54"/>
    <n v="97"/>
    <n v="0"/>
    <n v="301.38"/>
    <n v="287.29000000000002"/>
    <m/>
    <n v="410.24359616579511"/>
    <n v="307.78097374481121"/>
    <n v="0"/>
    <n v="0.96336000000000033"/>
    <n v="0"/>
    <n v="0.54997626631450724"/>
    <x v="2"/>
  </r>
  <r>
    <s v="Regular"/>
    <x v="4"/>
    <x v="3"/>
    <x v="2"/>
    <x v="8"/>
    <x v="2"/>
    <x v="15"/>
    <x v="0"/>
    <x v="2"/>
    <n v="0"/>
    <n v="0"/>
    <n v="0.55000000000000004"/>
    <n v="0.55000000000000004"/>
    <n v="0.55000000000000004"/>
    <n v="0.55000000000000004"/>
    <n v="0"/>
    <s v="CATIVO"/>
    <n v="0"/>
    <n v="0"/>
    <n v="54"/>
    <n v="97"/>
    <n v="0"/>
    <n v="301.38"/>
    <n v="287.29000000000002"/>
    <m/>
    <n v="410.24359616579511"/>
    <n v="307.78097374481121"/>
    <n v="0"/>
    <n v="44.154000000000018"/>
    <n v="0"/>
    <n v="25.207245539414917"/>
    <x v="2"/>
  </r>
  <r>
    <s v="Sistema de Compensação"/>
    <x v="4"/>
    <x v="3"/>
    <x v="2"/>
    <x v="8"/>
    <x v="2"/>
    <x v="15"/>
    <x v="0"/>
    <x v="2"/>
    <n v="0"/>
    <n v="0"/>
    <n v="0.16800000000000001"/>
    <n v="0.16800000000000001"/>
    <n v="0.16800000000000001"/>
    <n v="0.16800000000000001"/>
    <n v="0"/>
    <s v="CATIVO"/>
    <n v="0"/>
    <n v="0"/>
    <n v="54"/>
    <n v="97"/>
    <n v="0"/>
    <n v="301.38"/>
    <n v="287.29000000000002"/>
    <m/>
    <n v="410.24359616579511"/>
    <n v="307.78097374481121"/>
    <n v="0"/>
    <n v="13.487040000000006"/>
    <n v="0"/>
    <n v="7.6996677284031021"/>
    <x v="2"/>
  </r>
  <r>
    <s v="Regular"/>
    <x v="4"/>
    <x v="3"/>
    <x v="2"/>
    <x v="8"/>
    <x v="2"/>
    <x v="15"/>
    <x v="0"/>
    <x v="3"/>
    <n v="0"/>
    <n v="0"/>
    <n v="0.90100000000000002"/>
    <n v="0.90100000000000002"/>
    <n v="0.90100000000000002"/>
    <n v="0.90100000000000002"/>
    <n v="0"/>
    <s v="CATIVO"/>
    <n v="0"/>
    <n v="0"/>
    <n v="54"/>
    <n v="97"/>
    <n v="0"/>
    <n v="301.38"/>
    <n v="287.29000000000002"/>
    <m/>
    <n v="410.24359616579511"/>
    <n v="307.78097374481121"/>
    <n v="0"/>
    <n v="72.332280000000026"/>
    <n v="0"/>
    <n v="41.294051329114254"/>
    <x v="2"/>
  </r>
  <r>
    <s v="Sistema de Compensação"/>
    <x v="4"/>
    <x v="3"/>
    <x v="2"/>
    <x v="8"/>
    <x v="2"/>
    <x v="15"/>
    <x v="0"/>
    <x v="3"/>
    <n v="0"/>
    <n v="0"/>
    <n v="8.4000000000000005E-2"/>
    <n v="8.4000000000000005E-2"/>
    <n v="8.4000000000000005E-2"/>
    <n v="8.4000000000000005E-2"/>
    <n v="0"/>
    <s v="CATIVO"/>
    <n v="0"/>
    <n v="0"/>
    <n v="54"/>
    <n v="97"/>
    <n v="0"/>
    <n v="301.38"/>
    <n v="287.29000000000002"/>
    <m/>
    <n v="410.24359616579511"/>
    <n v="307.78097374481121"/>
    <n v="0"/>
    <n v="6.7435200000000028"/>
    <n v="0"/>
    <n v="3.849833864201551"/>
    <x v="2"/>
  </r>
  <r>
    <s v="Regular"/>
    <x v="4"/>
    <x v="3"/>
    <x v="2"/>
    <x v="8"/>
    <x v="2"/>
    <x v="15"/>
    <x v="0"/>
    <x v="4"/>
    <n v="0"/>
    <n v="0"/>
    <n v="0.54900000000000004"/>
    <n v="0.54900000000000004"/>
    <n v="0.54900000000000004"/>
    <n v="0.54900000000000004"/>
    <n v="0"/>
    <s v="CATIVO"/>
    <n v="0"/>
    <n v="0"/>
    <n v="54"/>
    <n v="97"/>
    <n v="0"/>
    <n v="301.38"/>
    <n v="287.29000000000002"/>
    <m/>
    <n v="410.24359616579511"/>
    <n v="307.78097374481121"/>
    <n v="0"/>
    <n v="44.073720000000023"/>
    <n v="0"/>
    <n v="25.161414183888709"/>
    <x v="2"/>
  </r>
  <r>
    <s v="Sistema de Compensação"/>
    <x v="4"/>
    <x v="3"/>
    <x v="2"/>
    <x v="8"/>
    <x v="2"/>
    <x v="15"/>
    <x v="0"/>
    <x v="4"/>
    <n v="0"/>
    <n v="0"/>
    <n v="5.8000000000000003E-2"/>
    <n v="5.8000000000000003E-2"/>
    <n v="5.8000000000000003E-2"/>
    <n v="5.8000000000000003E-2"/>
    <n v="0"/>
    <s v="CATIVO"/>
    <n v="0"/>
    <n v="0"/>
    <n v="54"/>
    <n v="97"/>
    <n v="0"/>
    <n v="301.38"/>
    <n v="287.29000000000002"/>
    <m/>
    <n v="410.24359616579511"/>
    <n v="307.78097374481121"/>
    <n v="0"/>
    <n v="4.6562400000000022"/>
    <n v="0"/>
    <n v="2.6582186205201186"/>
    <x v="2"/>
  </r>
  <r>
    <s v="Regular"/>
    <x v="4"/>
    <x v="3"/>
    <x v="2"/>
    <x v="8"/>
    <x v="2"/>
    <x v="15"/>
    <x v="0"/>
    <x v="5"/>
    <n v="0"/>
    <n v="0"/>
    <n v="1.3979999999999999"/>
    <n v="1.3979999999999999"/>
    <n v="1.3979999999999999"/>
    <n v="1.3979999999999999"/>
    <n v="0"/>
    <s v="CATIVO"/>
    <n v="0"/>
    <n v="0"/>
    <n v="54"/>
    <n v="97"/>
    <n v="0"/>
    <n v="301.38"/>
    <n v="287.29000000000002"/>
    <m/>
    <n v="410.24359616579511"/>
    <n v="307.78097374481121"/>
    <n v="0"/>
    <n v="112.23144000000003"/>
    <n v="0"/>
    <n v="64.072235025640097"/>
    <x v="2"/>
  </r>
  <r>
    <s v="Sistema de Compensação"/>
    <x v="4"/>
    <x v="3"/>
    <x v="2"/>
    <x v="8"/>
    <x v="2"/>
    <x v="15"/>
    <x v="0"/>
    <x v="5"/>
    <n v="0"/>
    <n v="0"/>
    <n v="0.02"/>
    <n v="0.02"/>
    <n v="0.02"/>
    <n v="0.02"/>
    <n v="0"/>
    <s v="CATIVO"/>
    <n v="0"/>
    <n v="0"/>
    <n v="54"/>
    <n v="97"/>
    <n v="0"/>
    <n v="301.38"/>
    <n v="287.29000000000002"/>
    <m/>
    <n v="410.24359616579511"/>
    <n v="307.78097374481121"/>
    <n v="0"/>
    <n v="1.6056000000000006"/>
    <n v="0"/>
    <n v="0.91662711052417878"/>
    <x v="2"/>
  </r>
  <r>
    <s v="Regular"/>
    <x v="4"/>
    <x v="3"/>
    <x v="2"/>
    <x v="8"/>
    <x v="2"/>
    <x v="15"/>
    <x v="0"/>
    <x v="6"/>
    <n v="0"/>
    <n v="0"/>
    <n v="0.75800000000000001"/>
    <n v="0.75800000000000001"/>
    <n v="0.75800000000000001"/>
    <n v="0.75800000000000001"/>
    <n v="0"/>
    <s v="CATIVO"/>
    <n v="0"/>
    <n v="0"/>
    <n v="54"/>
    <n v="97"/>
    <n v="0"/>
    <n v="301.38"/>
    <n v="287.29000000000002"/>
    <m/>
    <n v="410.24359616579511"/>
    <n v="307.78097374481121"/>
    <n v="0"/>
    <n v="60.852240000000023"/>
    <n v="0"/>
    <n v="34.740167488866376"/>
    <x v="2"/>
  </r>
  <r>
    <s v="Sistema de Compensação"/>
    <x v="4"/>
    <x v="3"/>
    <x v="2"/>
    <x v="8"/>
    <x v="2"/>
    <x v="15"/>
    <x v="0"/>
    <x v="6"/>
    <n v="0"/>
    <n v="0"/>
    <n v="1.0209999999999999"/>
    <n v="1.0209999999999999"/>
    <n v="1.0209999999999999"/>
    <n v="1.0209999999999999"/>
    <n v="0"/>
    <s v="CATIVO"/>
    <n v="0"/>
    <n v="0"/>
    <n v="54"/>
    <n v="97"/>
    <n v="0"/>
    <n v="301.38"/>
    <n v="287.29000000000002"/>
    <m/>
    <n v="410.24359616579511"/>
    <n v="307.78097374481121"/>
    <n v="0"/>
    <n v="81.965880000000027"/>
    <n v="0"/>
    <n v="46.793813992259324"/>
    <x v="2"/>
  </r>
  <r>
    <s v="Regular"/>
    <x v="4"/>
    <x v="3"/>
    <x v="2"/>
    <x v="8"/>
    <x v="2"/>
    <x v="15"/>
    <x v="0"/>
    <x v="7"/>
    <n v="0"/>
    <n v="0"/>
    <n v="1.95"/>
    <n v="1.95"/>
    <n v="1.95"/>
    <n v="1.95"/>
    <n v="0"/>
    <s v="CATIVO"/>
    <n v="0"/>
    <n v="0"/>
    <n v="54"/>
    <n v="97"/>
    <n v="0"/>
    <n v="301.38"/>
    <n v="287.29000000000002"/>
    <m/>
    <n v="410.24359616579511"/>
    <n v="307.78097374481121"/>
    <n v="0"/>
    <n v="156.54600000000005"/>
    <n v="0"/>
    <n v="89.371143276107432"/>
    <x v="2"/>
  </r>
  <r>
    <s v="Sistema de Compensação"/>
    <x v="4"/>
    <x v="3"/>
    <x v="2"/>
    <x v="8"/>
    <x v="2"/>
    <x v="15"/>
    <x v="0"/>
    <x v="7"/>
    <n v="0"/>
    <n v="0"/>
    <n v="2.1999999999999999E-2"/>
    <n v="2.1999999999999999E-2"/>
    <n v="2.1999999999999999E-2"/>
    <n v="2.1999999999999999E-2"/>
    <n v="0"/>
    <s v="CATIVO"/>
    <n v="0"/>
    <n v="0"/>
    <n v="54"/>
    <n v="97"/>
    <n v="0"/>
    <n v="301.38"/>
    <n v="287.29000000000002"/>
    <m/>
    <n v="410.24359616579511"/>
    <n v="307.78097374481121"/>
    <n v="0"/>
    <n v="1.7661600000000006"/>
    <n v="0"/>
    <n v="1.0082898215765965"/>
    <x v="2"/>
  </r>
  <r>
    <s v="Regular"/>
    <x v="4"/>
    <x v="3"/>
    <x v="2"/>
    <x v="8"/>
    <x v="2"/>
    <x v="15"/>
    <x v="0"/>
    <x v="8"/>
    <n v="0"/>
    <n v="0"/>
    <n v="0.81399999999999995"/>
    <n v="0.81399999999999995"/>
    <n v="0.81399999999999995"/>
    <n v="0.81399999999999995"/>
    <n v="0"/>
    <s v="CATIVO"/>
    <n v="0"/>
    <n v="0"/>
    <n v="54"/>
    <n v="97"/>
    <n v="0"/>
    <n v="301.38"/>
    <n v="287.29000000000002"/>
    <m/>
    <n v="410.24359616579511"/>
    <n v="307.78097374481121"/>
    <n v="0"/>
    <n v="65.347920000000016"/>
    <n v="0"/>
    <n v="37.306723398334071"/>
    <x v="2"/>
  </r>
  <r>
    <s v="Sistema de Compensação"/>
    <x v="4"/>
    <x v="3"/>
    <x v="2"/>
    <x v="8"/>
    <x v="2"/>
    <x v="15"/>
    <x v="0"/>
    <x v="8"/>
    <n v="0"/>
    <n v="0"/>
    <n v="0.12"/>
    <n v="0.12"/>
    <n v="0.12"/>
    <n v="0.12"/>
    <n v="0"/>
    <s v="CATIVO"/>
    <n v="0"/>
    <n v="0"/>
    <n v="54"/>
    <n v="97"/>
    <n v="0"/>
    <n v="301.38"/>
    <n v="287.29000000000002"/>
    <m/>
    <n v="410.24359616579511"/>
    <n v="307.78097374481121"/>
    <n v="0"/>
    <n v="9.633600000000003"/>
    <n v="0"/>
    <n v="5.4997626631450727"/>
    <x v="2"/>
  </r>
  <r>
    <s v="Regular"/>
    <x v="4"/>
    <x v="3"/>
    <x v="2"/>
    <x v="8"/>
    <x v="2"/>
    <x v="15"/>
    <x v="0"/>
    <x v="9"/>
    <n v="0"/>
    <n v="0"/>
    <n v="1.58"/>
    <n v="1.58"/>
    <n v="1.58"/>
    <n v="1.58"/>
    <n v="0"/>
    <s v="CATIVO"/>
    <n v="0"/>
    <n v="0"/>
    <n v="54"/>
    <n v="97"/>
    <n v="0"/>
    <n v="301.38"/>
    <n v="287.29000000000002"/>
    <m/>
    <n v="410.24359616579511"/>
    <n v="307.78097374481121"/>
    <n v="0"/>
    <n v="126.84240000000005"/>
    <n v="0"/>
    <n v="72.41354173141012"/>
    <x v="2"/>
  </r>
  <r>
    <s v="Sistema de Compensação"/>
    <x v="4"/>
    <x v="3"/>
    <x v="2"/>
    <x v="8"/>
    <x v="2"/>
    <x v="15"/>
    <x v="0"/>
    <x v="9"/>
    <n v="0"/>
    <n v="0"/>
    <n v="1.7999999999999999E-2"/>
    <n v="1.7999999999999999E-2"/>
    <n v="1.7999999999999999E-2"/>
    <n v="1.7999999999999999E-2"/>
    <n v="0"/>
    <s v="CATIVO"/>
    <n v="0"/>
    <n v="0"/>
    <n v="54"/>
    <n v="97"/>
    <n v="0"/>
    <n v="301.38"/>
    <n v="287.29000000000002"/>
    <m/>
    <n v="410.24359616579511"/>
    <n v="307.78097374481121"/>
    <n v="0"/>
    <n v="1.4450400000000003"/>
    <n v="0"/>
    <n v="0.82496439947176081"/>
    <x v="2"/>
  </r>
  <r>
    <s v="Regular"/>
    <x v="4"/>
    <x v="3"/>
    <x v="2"/>
    <x v="8"/>
    <x v="2"/>
    <x v="15"/>
    <x v="0"/>
    <x v="10"/>
    <n v="0"/>
    <n v="0"/>
    <n v="0.92100000000000004"/>
    <n v="0.92100000000000004"/>
    <n v="0.92100000000000004"/>
    <n v="0.92100000000000004"/>
    <n v="0"/>
    <s v="CATIVO"/>
    <n v="0"/>
    <n v="0"/>
    <n v="54"/>
    <n v="97"/>
    <n v="0"/>
    <n v="301.38"/>
    <n v="287.29000000000002"/>
    <m/>
    <n v="410.24359616579511"/>
    <n v="307.78097374481121"/>
    <n v="0"/>
    <n v="73.937880000000035"/>
    <n v="0"/>
    <n v="42.210678439638436"/>
    <x v="2"/>
  </r>
  <r>
    <s v="PROJETADO"/>
    <x v="4"/>
    <x v="3"/>
    <x v="2"/>
    <x v="8"/>
    <x v="2"/>
    <x v="15"/>
    <x v="0"/>
    <x v="11"/>
    <n v="0"/>
    <n v="0"/>
    <n v="0.92100000000000004"/>
    <n v="0.92100000000000004"/>
    <n v="0.92100000000000004"/>
    <n v="0.92100000000000004"/>
    <n v="0"/>
    <s v="CATIVO"/>
    <n v="0"/>
    <n v="0"/>
    <n v="54"/>
    <n v="97"/>
    <n v="0"/>
    <n v="301.38"/>
    <n v="287.29000000000002"/>
    <m/>
    <n v="410.24359616579511"/>
    <n v="307.78097374481121"/>
    <n v="0"/>
    <n v="73.937880000000035"/>
    <n v="0"/>
    <n v="42.210678439638436"/>
    <x v="2"/>
  </r>
  <r>
    <s v="Regular"/>
    <x v="4"/>
    <x v="3"/>
    <x v="2"/>
    <x v="8"/>
    <x v="3"/>
    <x v="15"/>
    <x v="0"/>
    <x v="0"/>
    <n v="0"/>
    <n v="0"/>
    <n v="0.65100000000000002"/>
    <n v="0.21482999999999999"/>
    <n v="0.65100000000000002"/>
    <n v="0.21482999999999999"/>
    <n v="0"/>
    <s v="CATIVO"/>
    <n v="0"/>
    <n v="0"/>
    <n v="54"/>
    <n v="97"/>
    <n v="0"/>
    <n v="301.38"/>
    <n v="287.29000000000002"/>
    <m/>
    <n v="410.24359616579511"/>
    <n v="307.78097374481121"/>
    <n v="0"/>
    <n v="309.02247390000008"/>
    <n v="0"/>
    <n v="343.01698910547123"/>
    <x v="6"/>
  </r>
  <r>
    <s v="Sistema de Compensação"/>
    <x v="4"/>
    <x v="3"/>
    <x v="2"/>
    <x v="8"/>
    <x v="3"/>
    <x v="15"/>
    <x v="0"/>
    <x v="0"/>
    <n v="0"/>
    <n v="0"/>
    <n v="0.114"/>
    <n v="3.7620000000000001E-2"/>
    <n v="0.114"/>
    <n v="3.7620000000000001E-2"/>
    <n v="0"/>
    <s v="CATIVO"/>
    <n v="0"/>
    <n v="0"/>
    <n v="54"/>
    <n v="97"/>
    <n v="0"/>
    <n v="301.38"/>
    <n v="287.29000000000002"/>
    <m/>
    <n v="410.24359616579511"/>
    <n v="307.78097374481121"/>
    <n v="0"/>
    <n v="54.114534600000013"/>
    <n v="0"/>
    <n v="60.067491179759926"/>
    <x v="6"/>
  </r>
  <r>
    <s v="Regular"/>
    <x v="4"/>
    <x v="3"/>
    <x v="2"/>
    <x v="8"/>
    <x v="3"/>
    <x v="15"/>
    <x v="0"/>
    <x v="1"/>
    <n v="0"/>
    <n v="0"/>
    <n v="0.83199999999999996"/>
    <n v="0.27456000000000003"/>
    <n v="0.83199999999999996"/>
    <n v="0.27456000000000003"/>
    <n v="0"/>
    <s v="CATIVO"/>
    <n v="0"/>
    <n v="0"/>
    <n v="54"/>
    <n v="97"/>
    <n v="0"/>
    <n v="301.38"/>
    <n v="287.29000000000002"/>
    <m/>
    <n v="410.24359616579511"/>
    <n v="307.78097374481121"/>
    <n v="0"/>
    <n v="394.94116480000002"/>
    <n v="0"/>
    <n v="438.38730404877418"/>
    <x v="6"/>
  </r>
  <r>
    <s v="Sistema de Compensação"/>
    <x v="4"/>
    <x v="3"/>
    <x v="2"/>
    <x v="8"/>
    <x v="3"/>
    <x v="15"/>
    <x v="0"/>
    <x v="1"/>
    <n v="0"/>
    <n v="0"/>
    <n v="0.11799999999999999"/>
    <n v="3.8940000000000002E-2"/>
    <n v="0.11799999999999999"/>
    <n v="3.8940000000000002E-2"/>
    <n v="0"/>
    <s v="CATIVO"/>
    <n v="0"/>
    <n v="0"/>
    <n v="54"/>
    <n v="97"/>
    <n v="0"/>
    <n v="301.38"/>
    <n v="287.29000000000002"/>
    <m/>
    <n v="410.24359616579511"/>
    <n v="307.78097374481121"/>
    <n v="0"/>
    <n v="56.013290200000007"/>
    <n v="0"/>
    <n v="62.175122449225178"/>
    <x v="6"/>
  </r>
  <r>
    <s v="Regular"/>
    <x v="4"/>
    <x v="3"/>
    <x v="2"/>
    <x v="8"/>
    <x v="3"/>
    <x v="15"/>
    <x v="0"/>
    <x v="2"/>
    <n v="0"/>
    <n v="0"/>
    <n v="0.65600000000000003"/>
    <n v="0.21648000000000001"/>
    <n v="0.65600000000000003"/>
    <n v="0.21648000000000001"/>
    <n v="0"/>
    <s v="CATIVO"/>
    <n v="0"/>
    <n v="0"/>
    <n v="54"/>
    <n v="97"/>
    <n v="0"/>
    <n v="301.38"/>
    <n v="287.29000000000002"/>
    <m/>
    <n v="410.24359616579511"/>
    <n v="307.78097374481121"/>
    <n v="0"/>
    <n v="311.39591840000003"/>
    <n v="0"/>
    <n v="345.65152819230275"/>
    <x v="6"/>
  </r>
  <r>
    <s v="Sistema de Compensação"/>
    <x v="4"/>
    <x v="3"/>
    <x v="2"/>
    <x v="8"/>
    <x v="3"/>
    <x v="15"/>
    <x v="0"/>
    <x v="2"/>
    <n v="0"/>
    <n v="0"/>
    <n v="0.121"/>
    <n v="3.993E-2"/>
    <n v="0.121"/>
    <n v="3.993E-2"/>
    <n v="0"/>
    <s v="CATIVO"/>
    <n v="0"/>
    <n v="0"/>
    <n v="54"/>
    <n v="97"/>
    <n v="0"/>
    <n v="301.38"/>
    <n v="287.29000000000002"/>
    <m/>
    <n v="410.24359616579511"/>
    <n v="307.78097374481121"/>
    <n v="0"/>
    <n v="57.437356900000012"/>
    <n v="0"/>
    <n v="63.755845901324136"/>
    <x v="6"/>
  </r>
  <r>
    <s v="Regular"/>
    <x v="4"/>
    <x v="3"/>
    <x v="2"/>
    <x v="8"/>
    <x v="3"/>
    <x v="15"/>
    <x v="0"/>
    <x v="3"/>
    <n v="0"/>
    <n v="0"/>
    <n v="0.91400000000000003"/>
    <n v="0.30162"/>
    <n v="0.91400000000000003"/>
    <n v="0.30162"/>
    <n v="0"/>
    <s v="CATIVO"/>
    <n v="0"/>
    <n v="0"/>
    <n v="54"/>
    <n v="97"/>
    <n v="0"/>
    <n v="301.38"/>
    <n v="287.29000000000002"/>
    <m/>
    <n v="410.24359616579511"/>
    <n v="307.78097374481121"/>
    <n v="0"/>
    <n v="433.86565460000008"/>
    <n v="0"/>
    <n v="481.59374507281206"/>
    <x v="6"/>
  </r>
  <r>
    <s v="Sistema de Compensação"/>
    <x v="4"/>
    <x v="3"/>
    <x v="2"/>
    <x v="8"/>
    <x v="3"/>
    <x v="15"/>
    <x v="0"/>
    <x v="3"/>
    <n v="0"/>
    <n v="0"/>
    <n v="0.27400000000000002"/>
    <n v="9.042E-2"/>
    <n v="0.27400000000000002"/>
    <n v="9.042E-2"/>
    <n v="0"/>
    <s v="CATIVO"/>
    <n v="0"/>
    <n v="0"/>
    <n v="54"/>
    <n v="97"/>
    <n v="0"/>
    <n v="301.38"/>
    <n v="287.29000000000002"/>
    <m/>
    <n v="410.24359616579511"/>
    <n v="307.78097374481121"/>
    <n v="0"/>
    <n v="130.06475860000003"/>
    <n v="0"/>
    <n v="144.37274195837037"/>
    <x v="6"/>
  </r>
  <r>
    <s v="Regular"/>
    <x v="4"/>
    <x v="3"/>
    <x v="2"/>
    <x v="8"/>
    <x v="3"/>
    <x v="15"/>
    <x v="0"/>
    <x v="4"/>
    <n v="0"/>
    <n v="0"/>
    <n v="0.63500000000000001"/>
    <n v="0.20954999999999999"/>
    <n v="0.63500000000000001"/>
    <n v="0.20954999999999999"/>
    <n v="0"/>
    <s v="CATIVO"/>
    <n v="0"/>
    <n v="0"/>
    <n v="54"/>
    <n v="97"/>
    <n v="0"/>
    <n v="301.38"/>
    <n v="287.29000000000002"/>
    <m/>
    <n v="410.24359616579511"/>
    <n v="307.78097374481121"/>
    <n v="0"/>
    <n v="301.42745150000002"/>
    <n v="0"/>
    <n v="334.58646402761008"/>
    <x v="6"/>
  </r>
  <r>
    <s v="Sistema de Compensação"/>
    <x v="4"/>
    <x v="3"/>
    <x v="2"/>
    <x v="8"/>
    <x v="3"/>
    <x v="15"/>
    <x v="0"/>
    <x v="4"/>
    <n v="0"/>
    <n v="0"/>
    <n v="0.184"/>
    <n v="6.0720000000000003E-2"/>
    <n v="0.184"/>
    <n v="6.0720000000000003E-2"/>
    <n v="0"/>
    <s v="CATIVO"/>
    <n v="0"/>
    <n v="0"/>
    <n v="54"/>
    <n v="97"/>
    <n v="0"/>
    <n v="301.38"/>
    <n v="287.29000000000002"/>
    <m/>
    <n v="410.24359616579511"/>
    <n v="307.78097374481121"/>
    <n v="0"/>
    <n v="87.342757600000013"/>
    <n v="0"/>
    <n v="96.95103839540198"/>
    <x v="6"/>
  </r>
  <r>
    <s v="Regular"/>
    <x v="4"/>
    <x v="3"/>
    <x v="2"/>
    <x v="8"/>
    <x v="3"/>
    <x v="15"/>
    <x v="0"/>
    <x v="5"/>
    <n v="0"/>
    <n v="0"/>
    <n v="1.3839999999999999"/>
    <n v="0.45672000000000001"/>
    <n v="1.3839999999999999"/>
    <n v="0.45672000000000001"/>
    <n v="0"/>
    <s v="CATIVO"/>
    <n v="0"/>
    <n v="0"/>
    <n v="54"/>
    <n v="97"/>
    <n v="0"/>
    <n v="301.38"/>
    <n v="287.29000000000002"/>
    <m/>
    <n v="410.24359616579511"/>
    <n v="307.78097374481121"/>
    <n v="0"/>
    <n v="656.96943759999999"/>
    <n v="0"/>
    <n v="729.2404192349801"/>
    <x v="6"/>
  </r>
  <r>
    <s v="Sistema de Compensação"/>
    <x v="4"/>
    <x v="3"/>
    <x v="2"/>
    <x v="8"/>
    <x v="3"/>
    <x v="15"/>
    <x v="0"/>
    <x v="5"/>
    <n v="0"/>
    <n v="0"/>
    <n v="0.08"/>
    <n v="2.64E-2"/>
    <n v="0.08"/>
    <n v="2.64E-2"/>
    <n v="0"/>
    <s v="CATIVO"/>
    <n v="0"/>
    <n v="0"/>
    <n v="54"/>
    <n v="97"/>
    <n v="0"/>
    <n v="301.38"/>
    <n v="287.29000000000002"/>
    <m/>
    <n v="410.24359616579511"/>
    <n v="307.78097374481121"/>
    <n v="0"/>
    <n v="37.975112000000003"/>
    <n v="0"/>
    <n v="42.152625389305207"/>
    <x v="6"/>
  </r>
  <r>
    <s v="Regular"/>
    <x v="4"/>
    <x v="3"/>
    <x v="2"/>
    <x v="8"/>
    <x v="3"/>
    <x v="15"/>
    <x v="0"/>
    <x v="6"/>
    <n v="0"/>
    <n v="0"/>
    <n v="0.72"/>
    <n v="0.23760000000000001"/>
    <n v="0.72"/>
    <n v="0.23760000000000001"/>
    <n v="0"/>
    <s v="CATIVO"/>
    <n v="0"/>
    <n v="0"/>
    <n v="54"/>
    <n v="97"/>
    <n v="0"/>
    <n v="301.38"/>
    <n v="287.29000000000002"/>
    <m/>
    <n v="410.24359616579511"/>
    <n v="307.78097374481121"/>
    <n v="0"/>
    <n v="341.77600799999999"/>
    <n v="0"/>
    <n v="379.37362850374689"/>
    <x v="6"/>
  </r>
  <r>
    <s v="Regular"/>
    <x v="4"/>
    <x v="3"/>
    <x v="2"/>
    <x v="8"/>
    <x v="3"/>
    <x v="15"/>
    <x v="0"/>
    <x v="7"/>
    <n v="0"/>
    <n v="0"/>
    <n v="2.0819999999999999"/>
    <n v="0.68706"/>
    <n v="2.0819999999999999"/>
    <n v="0.68706"/>
    <n v="0"/>
    <s v="CATIVO"/>
    <n v="0"/>
    <n v="0"/>
    <n v="54"/>
    <n v="97"/>
    <n v="0"/>
    <n v="301.38"/>
    <n v="287.29000000000002"/>
    <m/>
    <n v="410.24359616579511"/>
    <n v="307.78097374481121"/>
    <n v="0"/>
    <n v="988.30228980000004"/>
    <n v="0"/>
    <n v="1097.0220757566681"/>
    <x v="6"/>
  </r>
  <r>
    <s v="Sistema de Compensação"/>
    <x v="4"/>
    <x v="3"/>
    <x v="2"/>
    <x v="8"/>
    <x v="3"/>
    <x v="15"/>
    <x v="0"/>
    <x v="7"/>
    <n v="0"/>
    <n v="0"/>
    <n v="2.8000000000000001E-2"/>
    <n v="9.2399999999999999E-3"/>
    <n v="2.8000000000000001E-2"/>
    <n v="9.2399999999999999E-3"/>
    <n v="0"/>
    <s v="CATIVO"/>
    <n v="0"/>
    <n v="0"/>
    <n v="54"/>
    <n v="97"/>
    <n v="0"/>
    <n v="301.38"/>
    <n v="287.29000000000002"/>
    <m/>
    <n v="410.24359616579511"/>
    <n v="307.78097374481121"/>
    <n v="0"/>
    <n v="13.291289200000001"/>
    <n v="0"/>
    <n v="14.753418886256824"/>
    <x v="6"/>
  </r>
  <r>
    <s v="Regular"/>
    <x v="4"/>
    <x v="3"/>
    <x v="2"/>
    <x v="8"/>
    <x v="3"/>
    <x v="15"/>
    <x v="0"/>
    <x v="8"/>
    <n v="0"/>
    <n v="0"/>
    <n v="0.89300000000000002"/>
    <n v="0.29469000000000001"/>
    <n v="0.89300000000000002"/>
    <n v="0.29469000000000001"/>
    <n v="0"/>
    <s v="CATIVO"/>
    <n v="0"/>
    <n v="0"/>
    <n v="54"/>
    <n v="97"/>
    <n v="0"/>
    <n v="301.38"/>
    <n v="287.29000000000002"/>
    <m/>
    <n v="410.24359616579511"/>
    <n v="307.78097374481121"/>
    <n v="0"/>
    <n v="423.89718770000007"/>
    <n v="0"/>
    <n v="470.52868090811944"/>
    <x v="6"/>
  </r>
  <r>
    <s v="Sistema de Compensação"/>
    <x v="4"/>
    <x v="3"/>
    <x v="2"/>
    <x v="8"/>
    <x v="3"/>
    <x v="15"/>
    <x v="0"/>
    <x v="8"/>
    <n v="0"/>
    <n v="0"/>
    <n v="0.10299999999999999"/>
    <n v="3.3989999999999999E-2"/>
    <n v="0.10299999999999999"/>
    <n v="3.3989999999999999E-2"/>
    <n v="0"/>
    <s v="CATIVO"/>
    <n v="0"/>
    <n v="0"/>
    <n v="54"/>
    <n v="97"/>
    <n v="0"/>
    <n v="301.38"/>
    <n v="287.29000000000002"/>
    <m/>
    <n v="410.24359616579511"/>
    <n v="307.78097374481121"/>
    <n v="0"/>
    <n v="48.892956699999999"/>
    <n v="0"/>
    <n v="54.271505188730451"/>
    <x v="6"/>
  </r>
  <r>
    <s v="Regular"/>
    <x v="4"/>
    <x v="3"/>
    <x v="2"/>
    <x v="8"/>
    <x v="3"/>
    <x v="15"/>
    <x v="0"/>
    <x v="9"/>
    <n v="0"/>
    <n v="0"/>
    <n v="1.7450000000000001"/>
    <n v="0.57584999999999997"/>
    <n v="1.7450000000000001"/>
    <n v="0.57584999999999997"/>
    <n v="0"/>
    <s v="CATIVO"/>
    <n v="0"/>
    <n v="0"/>
    <n v="54"/>
    <n v="97"/>
    <n v="0"/>
    <n v="301.38"/>
    <n v="287.29000000000002"/>
    <m/>
    <n v="410.24359616579511"/>
    <n v="307.78097374481121"/>
    <n v="0"/>
    <n v="828.33213050000018"/>
    <n v="0"/>
    <n v="919.45414130422"/>
    <x v="6"/>
  </r>
  <r>
    <s v="Sistema de Compensação"/>
    <x v="4"/>
    <x v="3"/>
    <x v="2"/>
    <x v="8"/>
    <x v="3"/>
    <x v="15"/>
    <x v="0"/>
    <x v="9"/>
    <n v="0"/>
    <n v="0"/>
    <n v="3.2000000000000001E-2"/>
    <n v="1.056E-2"/>
    <n v="3.2000000000000001E-2"/>
    <n v="1.056E-2"/>
    <n v="0"/>
    <s v="CATIVO"/>
    <n v="0"/>
    <n v="0"/>
    <n v="54"/>
    <n v="97"/>
    <n v="0"/>
    <n v="301.38"/>
    <n v="287.29000000000002"/>
    <m/>
    <n v="410.24359616579511"/>
    <n v="307.78097374481121"/>
    <n v="0"/>
    <n v="15.190044800000003"/>
    <n v="0"/>
    <n v="16.861050155722086"/>
    <x v="6"/>
  </r>
  <r>
    <s v="Regular"/>
    <x v="4"/>
    <x v="3"/>
    <x v="2"/>
    <x v="8"/>
    <x v="3"/>
    <x v="15"/>
    <x v="0"/>
    <x v="10"/>
    <n v="0"/>
    <n v="0"/>
    <n v="1.008"/>
    <n v="0.33263999999999999"/>
    <n v="1.008"/>
    <n v="0.33263999999999999"/>
    <n v="0"/>
    <s v="CATIVO"/>
    <n v="0"/>
    <n v="0"/>
    <n v="54"/>
    <n v="97"/>
    <n v="0"/>
    <n v="301.38"/>
    <n v="287.29000000000002"/>
    <m/>
    <n v="410.24359616579511"/>
    <n v="307.78097374481121"/>
    <n v="0"/>
    <n v="478.48641120000008"/>
    <n v="0"/>
    <n v="531.12307990524562"/>
    <x v="6"/>
  </r>
  <r>
    <s v="PROJETADO"/>
    <x v="4"/>
    <x v="3"/>
    <x v="2"/>
    <x v="8"/>
    <x v="3"/>
    <x v="15"/>
    <x v="0"/>
    <x v="11"/>
    <n v="0"/>
    <n v="0"/>
    <n v="1.008"/>
    <n v="0.33263999999999999"/>
    <n v="1.008"/>
    <n v="0.33263999999999999"/>
    <n v="0"/>
    <s v="CATIVO"/>
    <n v="0"/>
    <n v="0"/>
    <n v="54"/>
    <n v="97"/>
    <n v="0"/>
    <n v="301.38"/>
    <n v="287.29000000000002"/>
    <m/>
    <n v="410.24359616579511"/>
    <n v="307.78097374481121"/>
    <n v="0"/>
    <n v="478.48641120000008"/>
    <n v="0"/>
    <n v="531.12307990524562"/>
    <x v="6"/>
  </r>
  <r>
    <s v="Regular"/>
    <x v="4"/>
    <x v="3"/>
    <x v="2"/>
    <x v="0"/>
    <x v="0"/>
    <x v="15"/>
    <x v="0"/>
    <x v="0"/>
    <n v="0"/>
    <n v="0"/>
    <n v="14813.543"/>
    <n v="14813.543"/>
    <n v="14813.543"/>
    <n v="14813.543"/>
    <n v="70360"/>
    <s v="CATIVO"/>
    <n v="0"/>
    <n v="0"/>
    <n v="54"/>
    <n v="97"/>
    <n v="0"/>
    <n v="301.38"/>
    <n v="287.29000000000002"/>
    <m/>
    <n v="410.24359616579511"/>
    <n v="307.78097374481121"/>
    <n v="0"/>
    <n v="1189231.2320400004"/>
    <n v="0"/>
    <n v="678924.75583578367"/>
    <x v="2"/>
  </r>
  <r>
    <s v="Refaturamento - Regular"/>
    <x v="4"/>
    <x v="3"/>
    <x v="2"/>
    <x v="0"/>
    <x v="0"/>
    <x v="15"/>
    <x v="0"/>
    <x v="0"/>
    <n v="0"/>
    <n v="0"/>
    <n v="-56.155000000000001"/>
    <n v="-56.155000000000001"/>
    <n v="-56.155000000000001"/>
    <n v="-56.155000000000001"/>
    <n v="-1"/>
    <s v="CATIVO"/>
    <n v="0"/>
    <n v="0"/>
    <n v="54"/>
    <n v="97"/>
    <n v="0"/>
    <n v="301.38"/>
    <n v="287.29000000000002"/>
    <m/>
    <n v="410.24359616579511"/>
    <n v="307.78097374481121"/>
    <n v="0"/>
    <n v="-4508.1234000000013"/>
    <n v="0"/>
    <n v="-2573.659769574263"/>
    <x v="2"/>
  </r>
  <r>
    <s v="Sistema de Compensação"/>
    <x v="4"/>
    <x v="3"/>
    <x v="2"/>
    <x v="0"/>
    <x v="0"/>
    <x v="15"/>
    <x v="0"/>
    <x v="0"/>
    <n v="0"/>
    <n v="0"/>
    <n v="658.303"/>
    <n v="658.303"/>
    <n v="658.303"/>
    <n v="658.303"/>
    <n v="1878"/>
    <s v="CATIVO"/>
    <n v="0"/>
    <n v="0"/>
    <n v="54"/>
    <n v="97"/>
    <n v="0"/>
    <n v="301.38"/>
    <n v="287.29000000000002"/>
    <m/>
    <n v="410.24359616579511"/>
    <n v="307.78097374481121"/>
    <n v="0"/>
    <n v="52848.564840000021"/>
    <n v="0"/>
    <n v="30170.918836969922"/>
    <x v="2"/>
  </r>
  <r>
    <s v="Sistema de Compensação"/>
    <x v="4"/>
    <x v="3"/>
    <x v="2"/>
    <x v="0"/>
    <x v="0"/>
    <x v="15"/>
    <x v="0"/>
    <x v="0"/>
    <n v="0"/>
    <n v="0"/>
    <n v="-18.38"/>
    <n v="-18.38"/>
    <n v="-18.38"/>
    <n v="-18.38"/>
    <n v="0"/>
    <s v="CATIVO"/>
    <n v="0"/>
    <n v="0"/>
    <n v="54"/>
    <n v="97"/>
    <n v="0"/>
    <n v="301.38"/>
    <n v="287.29000000000002"/>
    <m/>
    <n v="410.24359616579511"/>
    <n v="307.78097374481121"/>
    <n v="0"/>
    <n v="-1475.5464000000004"/>
    <n v="0"/>
    <n v="-842.38031457172019"/>
    <x v="2"/>
  </r>
  <r>
    <s v="Regular"/>
    <x v="4"/>
    <x v="3"/>
    <x v="2"/>
    <x v="0"/>
    <x v="0"/>
    <x v="15"/>
    <x v="0"/>
    <x v="1"/>
    <n v="0"/>
    <n v="0"/>
    <n v="14538.329"/>
    <n v="14538.329"/>
    <n v="14538.329"/>
    <n v="14538.329"/>
    <n v="70338"/>
    <s v="CATIVO"/>
    <n v="0"/>
    <n v="0"/>
    <n v="54"/>
    <n v="97"/>
    <n v="0"/>
    <n v="301.38"/>
    <n v="287.29000000000002"/>
    <m/>
    <n v="410.24359616579511"/>
    <n v="307.78097374481121"/>
    <n v="0"/>
    <n v="1167137.0521200004"/>
    <n v="0"/>
    <n v="666311.32515599369"/>
    <x v="2"/>
  </r>
  <r>
    <s v="Refaturamento - Regular"/>
    <x v="4"/>
    <x v="3"/>
    <x v="2"/>
    <x v="0"/>
    <x v="0"/>
    <x v="15"/>
    <x v="0"/>
    <x v="1"/>
    <n v="0"/>
    <n v="0"/>
    <n v="-37.585999999999999"/>
    <n v="-37.585999999999999"/>
    <n v="-37.585999999999999"/>
    <n v="-37.585999999999999"/>
    <n v="-1"/>
    <s v="CATIVO"/>
    <n v="0"/>
    <n v="0"/>
    <n v="54"/>
    <n v="97"/>
    <n v="0"/>
    <n v="301.38"/>
    <n v="287.29000000000002"/>
    <m/>
    <n v="410.24359616579511"/>
    <n v="307.78097374481121"/>
    <n v="0"/>
    <n v="-3017.4040800000012"/>
    <n v="0"/>
    <n v="-1722.617328808089"/>
    <x v="2"/>
  </r>
  <r>
    <s v="Sistema de Compensação"/>
    <x v="4"/>
    <x v="3"/>
    <x v="2"/>
    <x v="0"/>
    <x v="0"/>
    <x v="15"/>
    <x v="0"/>
    <x v="1"/>
    <n v="0"/>
    <n v="0"/>
    <n v="676.66600000000005"/>
    <n v="676.66600000000005"/>
    <n v="676.66600000000005"/>
    <n v="676.66600000000005"/>
    <n v="2040"/>
    <s v="CATIVO"/>
    <n v="0"/>
    <n v="0"/>
    <n v="54"/>
    <n v="97"/>
    <n v="0"/>
    <n v="301.38"/>
    <n v="287.29000000000002"/>
    <m/>
    <n v="410.24359616579511"/>
    <n v="307.78097374481121"/>
    <n v="0"/>
    <n v="54322.746480000023"/>
    <n v="0"/>
    <n v="31012.5200184977"/>
    <x v="2"/>
  </r>
  <r>
    <s v="Sistema de Compensação"/>
    <x v="4"/>
    <x v="3"/>
    <x v="2"/>
    <x v="0"/>
    <x v="0"/>
    <x v="15"/>
    <x v="0"/>
    <x v="1"/>
    <n v="0"/>
    <n v="0"/>
    <n v="-50.750999999999998"/>
    <n v="-50.750999999999998"/>
    <n v="-50.750999999999998"/>
    <n v="-50.750999999999998"/>
    <n v="0"/>
    <s v="CATIVO"/>
    <n v="0"/>
    <n v="0"/>
    <n v="54"/>
    <n v="97"/>
    <n v="0"/>
    <n v="301.38"/>
    <n v="287.29000000000002"/>
    <m/>
    <n v="410.24359616579511"/>
    <n v="307.78097374481121"/>
    <n v="0"/>
    <n v="-4074.2902800000015"/>
    <n v="0"/>
    <n v="-2325.9871243106295"/>
    <x v="2"/>
  </r>
  <r>
    <s v="Regular"/>
    <x v="4"/>
    <x v="3"/>
    <x v="2"/>
    <x v="0"/>
    <x v="0"/>
    <x v="15"/>
    <x v="0"/>
    <x v="2"/>
    <n v="0"/>
    <n v="0"/>
    <n v="14118.491"/>
    <n v="14118.491"/>
    <n v="14118.491"/>
    <n v="14118.491"/>
    <n v="70098"/>
    <s v="CATIVO"/>
    <n v="0"/>
    <n v="0"/>
    <n v="54"/>
    <n v="97"/>
    <n v="0"/>
    <n v="301.38"/>
    <n v="287.29000000000002"/>
    <m/>
    <n v="410.24359616579511"/>
    <n v="307.78097374481121"/>
    <n v="0"/>
    <n v="1133432.4574800003"/>
    <n v="0"/>
    <n v="647069.58051458118"/>
    <x v="2"/>
  </r>
  <r>
    <s v="Refaturamento - Regular"/>
    <x v="4"/>
    <x v="3"/>
    <x v="2"/>
    <x v="0"/>
    <x v="0"/>
    <x v="15"/>
    <x v="0"/>
    <x v="2"/>
    <n v="0"/>
    <n v="0"/>
    <n v="-38.347000000000001"/>
    <n v="-38.347000000000001"/>
    <n v="-38.347000000000001"/>
    <n v="-38.347000000000001"/>
    <n v="-4"/>
    <s v="CATIVO"/>
    <n v="0"/>
    <n v="0"/>
    <n v="54"/>
    <n v="97"/>
    <n v="0"/>
    <n v="301.38"/>
    <n v="287.29000000000002"/>
    <m/>
    <n v="410.24359616579511"/>
    <n v="307.78097374481121"/>
    <n v="0"/>
    <n v="-3078.4971600000013"/>
    <n v="0"/>
    <n v="-1757.4949903635343"/>
    <x v="2"/>
  </r>
  <r>
    <s v="Sistema de Compensação"/>
    <x v="4"/>
    <x v="3"/>
    <x v="2"/>
    <x v="0"/>
    <x v="0"/>
    <x v="15"/>
    <x v="0"/>
    <x v="2"/>
    <n v="0"/>
    <n v="0"/>
    <n v="629.87099999999998"/>
    <n v="629.87099999999998"/>
    <n v="629.87099999999998"/>
    <n v="629.87099999999998"/>
    <n v="2216"/>
    <s v="CATIVO"/>
    <n v="0"/>
    <n v="0"/>
    <n v="54"/>
    <n v="97"/>
    <n v="0"/>
    <n v="301.38"/>
    <n v="287.29000000000002"/>
    <m/>
    <n v="410.24359616579511"/>
    <n v="307.78097374481121"/>
    <n v="0"/>
    <n v="50566.043880000019"/>
    <n v="0"/>
    <n v="28867.841736648748"/>
    <x v="2"/>
  </r>
  <r>
    <s v="Sistema de Compensação"/>
    <x v="4"/>
    <x v="3"/>
    <x v="2"/>
    <x v="0"/>
    <x v="0"/>
    <x v="15"/>
    <x v="0"/>
    <x v="2"/>
    <n v="0"/>
    <n v="0"/>
    <n v="-22.225999999999999"/>
    <n v="-22.225999999999999"/>
    <n v="-22.225999999999999"/>
    <n v="-22.225999999999999"/>
    <n v="0"/>
    <s v="CATIVO"/>
    <n v="0"/>
    <n v="0"/>
    <n v="54"/>
    <n v="97"/>
    <n v="0"/>
    <n v="301.38"/>
    <n v="287.29000000000002"/>
    <m/>
    <n v="410.24359616579511"/>
    <n v="307.78097374481121"/>
    <n v="0"/>
    <n v="-1784.3032800000005"/>
    <n v="0"/>
    <n v="-1018.6477079255199"/>
    <x v="2"/>
  </r>
  <r>
    <s v="Regular"/>
    <x v="4"/>
    <x v="3"/>
    <x v="2"/>
    <x v="0"/>
    <x v="0"/>
    <x v="15"/>
    <x v="0"/>
    <x v="3"/>
    <n v="0"/>
    <n v="0"/>
    <n v="13952.401"/>
    <n v="13952.401"/>
    <n v="13952.401"/>
    <n v="13952.401"/>
    <n v="69713"/>
    <s v="CATIVO"/>
    <n v="0"/>
    <n v="0"/>
    <n v="54"/>
    <n v="97"/>
    <n v="0"/>
    <n v="301.38"/>
    <n v="287.29000000000002"/>
    <m/>
    <n v="410.24359616579511"/>
    <n v="307.78097374481121"/>
    <n v="0"/>
    <n v="1120098.7522800004"/>
    <n v="0"/>
    <n v="639457.45067523315"/>
    <x v="2"/>
  </r>
  <r>
    <s v="Refaturamento - Regular"/>
    <x v="4"/>
    <x v="3"/>
    <x v="2"/>
    <x v="0"/>
    <x v="0"/>
    <x v="15"/>
    <x v="0"/>
    <x v="3"/>
    <n v="0"/>
    <n v="0"/>
    <n v="-34.853000000000002"/>
    <n v="-34.853000000000002"/>
    <n v="-34.853000000000002"/>
    <n v="-34.853000000000002"/>
    <n v="-8"/>
    <s v="CATIVO"/>
    <n v="0"/>
    <n v="0"/>
    <n v="54"/>
    <n v="97"/>
    <n v="0"/>
    <n v="301.38"/>
    <n v="287.29000000000002"/>
    <m/>
    <n v="410.24359616579511"/>
    <n v="307.78097374481121"/>
    <n v="0"/>
    <n v="-2797.9988400000011"/>
    <n v="0"/>
    <n v="-1597.3602341549602"/>
    <x v="2"/>
  </r>
  <r>
    <s v="Sistema de Compensação"/>
    <x v="4"/>
    <x v="3"/>
    <x v="2"/>
    <x v="0"/>
    <x v="0"/>
    <x v="15"/>
    <x v="0"/>
    <x v="3"/>
    <n v="0"/>
    <n v="0"/>
    <n v="630.15599999999995"/>
    <n v="630.15599999999995"/>
    <n v="630.15599999999995"/>
    <n v="630.15599999999995"/>
    <n v="2358"/>
    <s v="CATIVO"/>
    <n v="0"/>
    <n v="0"/>
    <n v="54"/>
    <n v="97"/>
    <n v="0"/>
    <n v="301.38"/>
    <n v="287.29000000000002"/>
    <m/>
    <n v="410.24359616579511"/>
    <n v="307.78097374481121"/>
    <n v="0"/>
    <n v="50588.923680000014"/>
    <n v="0"/>
    <n v="28880.903672973716"/>
    <x v="2"/>
  </r>
  <r>
    <s v="Sistema de Compensação"/>
    <x v="4"/>
    <x v="3"/>
    <x v="2"/>
    <x v="0"/>
    <x v="0"/>
    <x v="15"/>
    <x v="0"/>
    <x v="3"/>
    <n v="0"/>
    <n v="0"/>
    <n v="-18.785"/>
    <n v="-18.785"/>
    <n v="-18.785"/>
    <n v="-18.785"/>
    <n v="0"/>
    <s v="CATIVO"/>
    <n v="0"/>
    <n v="0"/>
    <n v="54"/>
    <n v="97"/>
    <n v="0"/>
    <n v="301.38"/>
    <n v="287.29000000000002"/>
    <m/>
    <n v="410.24359616579511"/>
    <n v="307.78097374481121"/>
    <n v="0"/>
    <n v="-1508.0598000000007"/>
    <n v="0"/>
    <n v="-860.94201355983489"/>
    <x v="2"/>
  </r>
  <r>
    <s v="Regular"/>
    <x v="4"/>
    <x v="3"/>
    <x v="2"/>
    <x v="0"/>
    <x v="0"/>
    <x v="15"/>
    <x v="0"/>
    <x v="4"/>
    <n v="0"/>
    <n v="0"/>
    <n v="13645.282999999999"/>
    <n v="13645.282999999999"/>
    <n v="13645.282999999999"/>
    <n v="13645.282999999999"/>
    <n v="69569"/>
    <s v="CATIVO"/>
    <n v="0"/>
    <n v="0"/>
    <n v="54"/>
    <n v="97"/>
    <n v="0"/>
    <n v="301.38"/>
    <n v="287.29000000000002"/>
    <m/>
    <n v="410.24359616579511"/>
    <n v="307.78097374481121"/>
    <n v="0"/>
    <n v="1095443.3192400003"/>
    <n v="0"/>
    <n v="625381.8164287348"/>
    <x v="2"/>
  </r>
  <r>
    <s v="Refaturamento - Regular"/>
    <x v="4"/>
    <x v="3"/>
    <x v="2"/>
    <x v="0"/>
    <x v="0"/>
    <x v="15"/>
    <x v="0"/>
    <x v="4"/>
    <n v="0"/>
    <n v="0"/>
    <n v="-34.405999999999999"/>
    <n v="-34.405999999999999"/>
    <n v="-34.405999999999999"/>
    <n v="-34.405999999999999"/>
    <n v="-1"/>
    <s v="CATIVO"/>
    <n v="0"/>
    <n v="0"/>
    <n v="54"/>
    <n v="97"/>
    <n v="0"/>
    <n v="301.38"/>
    <n v="287.29000000000002"/>
    <m/>
    <n v="410.24359616579511"/>
    <n v="307.78097374481121"/>
    <n v="0"/>
    <n v="-2762.1136800000008"/>
    <n v="0"/>
    <n v="-1576.8736182347448"/>
    <x v="2"/>
  </r>
  <r>
    <s v="Sistema de Compensação"/>
    <x v="4"/>
    <x v="3"/>
    <x v="2"/>
    <x v="0"/>
    <x v="0"/>
    <x v="15"/>
    <x v="0"/>
    <x v="4"/>
    <n v="0"/>
    <n v="0"/>
    <n v="731.678"/>
    <n v="731.678"/>
    <n v="731.678"/>
    <n v="731.678"/>
    <n v="2487"/>
    <s v="CATIVO"/>
    <n v="0"/>
    <n v="0"/>
    <n v="54"/>
    <n v="97"/>
    <n v="0"/>
    <n v="301.38"/>
    <n v="287.29000000000002"/>
    <m/>
    <n v="410.24359616579511"/>
    <n v="307.78097374481121"/>
    <n v="0"/>
    <n v="58739.109840000019"/>
    <n v="0"/>
    <n v="33533.794548705504"/>
    <x v="2"/>
  </r>
  <r>
    <s v="Sistema de Compensação"/>
    <x v="4"/>
    <x v="3"/>
    <x v="2"/>
    <x v="0"/>
    <x v="0"/>
    <x v="15"/>
    <x v="0"/>
    <x v="4"/>
    <n v="0"/>
    <n v="0"/>
    <n v="-8.0990000000000002"/>
    <n v="-8.0990000000000002"/>
    <n v="-8.0990000000000002"/>
    <n v="-8.0990000000000002"/>
    <n v="0"/>
    <s v="CATIVO"/>
    <n v="0"/>
    <n v="0"/>
    <n v="54"/>
    <n v="97"/>
    <n v="0"/>
    <n v="301.38"/>
    <n v="287.29000000000002"/>
    <m/>
    <n v="410.24359616579511"/>
    <n v="307.78097374481121"/>
    <n v="0"/>
    <n v="-650.18772000000024"/>
    <n v="0"/>
    <n v="-371.18814840676617"/>
    <x v="2"/>
  </r>
  <r>
    <s v="Regular"/>
    <x v="4"/>
    <x v="3"/>
    <x v="2"/>
    <x v="0"/>
    <x v="0"/>
    <x v="15"/>
    <x v="0"/>
    <x v="5"/>
    <n v="0"/>
    <n v="0"/>
    <n v="13051.726000000001"/>
    <n v="13051.726000000001"/>
    <n v="13051.726000000001"/>
    <n v="13051.726000000001"/>
    <n v="69267"/>
    <s v="CATIVO"/>
    <n v="0"/>
    <n v="0"/>
    <n v="54"/>
    <n v="97"/>
    <n v="0"/>
    <n v="301.38"/>
    <n v="287.29000000000002"/>
    <m/>
    <n v="410.24359616579511"/>
    <n v="307.78097374481121"/>
    <n v="0"/>
    <n v="1047792.5632800005"/>
    <n v="0"/>
    <n v="598178.29453666485"/>
    <x v="2"/>
  </r>
  <r>
    <s v="Refaturamento - Regular"/>
    <x v="4"/>
    <x v="3"/>
    <x v="2"/>
    <x v="0"/>
    <x v="0"/>
    <x v="15"/>
    <x v="0"/>
    <x v="5"/>
    <n v="0"/>
    <n v="0"/>
    <n v="-31.488"/>
    <n v="-31.488"/>
    <n v="-31.488"/>
    <n v="-31.488"/>
    <n v="0"/>
    <s v="CATIVO"/>
    <n v="0"/>
    <n v="0"/>
    <n v="54"/>
    <n v="97"/>
    <n v="0"/>
    <n v="301.38"/>
    <n v="287.29000000000002"/>
    <m/>
    <n v="410.24359616579511"/>
    <n v="307.78097374481121"/>
    <n v="0"/>
    <n v="-2527.8566400000009"/>
    <n v="0"/>
    <n v="-1443.137722809267"/>
    <x v="2"/>
  </r>
  <r>
    <s v="Sistema de Compensação"/>
    <x v="4"/>
    <x v="3"/>
    <x v="2"/>
    <x v="0"/>
    <x v="0"/>
    <x v="15"/>
    <x v="0"/>
    <x v="5"/>
    <n v="0"/>
    <n v="0"/>
    <n v="762.12599999999998"/>
    <n v="762.12599999999998"/>
    <n v="762.12599999999998"/>
    <n v="762.12599999999998"/>
    <n v="2670"/>
    <s v="CATIVO"/>
    <n v="0"/>
    <n v="0"/>
    <n v="54"/>
    <n v="97"/>
    <n v="0"/>
    <n v="301.38"/>
    <n v="287.29000000000002"/>
    <m/>
    <n v="410.24359616579511"/>
    <n v="307.78097374481121"/>
    <n v="0"/>
    <n v="61183.475280000021"/>
    <n v="0"/>
    <n v="34929.26766176751"/>
    <x v="2"/>
  </r>
  <r>
    <s v="Sistema de Compensação"/>
    <x v="4"/>
    <x v="3"/>
    <x v="2"/>
    <x v="0"/>
    <x v="0"/>
    <x v="15"/>
    <x v="0"/>
    <x v="5"/>
    <n v="0"/>
    <n v="0"/>
    <n v="-17.606999999999999"/>
    <n v="-17.606999999999999"/>
    <n v="-17.606999999999999"/>
    <n v="-17.606999999999999"/>
    <n v="0"/>
    <s v="CATIVO"/>
    <n v="0"/>
    <n v="0"/>
    <n v="54"/>
    <n v="97"/>
    <n v="0"/>
    <n v="301.38"/>
    <n v="287.29000000000002"/>
    <m/>
    <n v="410.24359616579511"/>
    <n v="307.78097374481121"/>
    <n v="0"/>
    <n v="-1413.4899600000006"/>
    <n v="0"/>
    <n v="-806.95267674996069"/>
    <x v="2"/>
  </r>
  <r>
    <s v="Regular"/>
    <x v="4"/>
    <x v="3"/>
    <x v="2"/>
    <x v="0"/>
    <x v="0"/>
    <x v="15"/>
    <x v="0"/>
    <x v="6"/>
    <n v="0"/>
    <n v="0"/>
    <n v="13130.179"/>
    <n v="13130.179"/>
    <n v="13130.179"/>
    <n v="13130.179"/>
    <n v="69133"/>
    <s v="CATIVO"/>
    <n v="0"/>
    <n v="0"/>
    <n v="54"/>
    <n v="97"/>
    <n v="0"/>
    <n v="301.38"/>
    <n v="287.29000000000002"/>
    <m/>
    <n v="410.24359616579511"/>
    <n v="307.78097374481121"/>
    <n v="0"/>
    <n v="1054090.7701200005"/>
    <n v="0"/>
    <n v="601773.90187176259"/>
    <x v="2"/>
  </r>
  <r>
    <s v="Refaturamento - Regular"/>
    <x v="4"/>
    <x v="3"/>
    <x v="2"/>
    <x v="0"/>
    <x v="0"/>
    <x v="15"/>
    <x v="0"/>
    <x v="6"/>
    <n v="0"/>
    <n v="0"/>
    <n v="-73.209999999999994"/>
    <n v="-73.209999999999994"/>
    <n v="-73.209999999999994"/>
    <n v="-73.209999999999994"/>
    <n v="-11"/>
    <s v="CATIVO"/>
    <n v="0"/>
    <n v="0"/>
    <n v="54"/>
    <n v="97"/>
    <n v="0"/>
    <n v="301.38"/>
    <n v="287.29000000000002"/>
    <m/>
    <n v="410.24359616579511"/>
    <n v="307.78097374481121"/>
    <n v="0"/>
    <n v="-5877.2988000000014"/>
    <n v="0"/>
    <n v="-3355.3135380737563"/>
    <x v="2"/>
  </r>
  <r>
    <s v="Sistema de Compensação"/>
    <x v="4"/>
    <x v="3"/>
    <x v="2"/>
    <x v="0"/>
    <x v="0"/>
    <x v="15"/>
    <x v="0"/>
    <x v="6"/>
    <n v="0"/>
    <n v="0"/>
    <n v="746.39300000000003"/>
    <n v="746.39300000000003"/>
    <n v="746.39300000000003"/>
    <n v="746.39300000000003"/>
    <n v="2870"/>
    <s v="CATIVO"/>
    <n v="0"/>
    <n v="0"/>
    <n v="54"/>
    <n v="97"/>
    <n v="0"/>
    <n v="301.38"/>
    <n v="287.29000000000002"/>
    <m/>
    <n v="410.24359616579511"/>
    <n v="307.78097374481121"/>
    <n v="0"/>
    <n v="59920.430040000021"/>
    <n v="0"/>
    <n v="34208.202945273668"/>
    <x v="2"/>
  </r>
  <r>
    <s v="Sistema de Compensação"/>
    <x v="4"/>
    <x v="3"/>
    <x v="2"/>
    <x v="0"/>
    <x v="0"/>
    <x v="15"/>
    <x v="0"/>
    <x v="6"/>
    <n v="0"/>
    <n v="0"/>
    <n v="-25.323"/>
    <n v="-25.323"/>
    <n v="-25.323"/>
    <n v="-25.323"/>
    <n v="0"/>
    <s v="CATIVO"/>
    <n v="0"/>
    <n v="0"/>
    <n v="54"/>
    <n v="97"/>
    <n v="0"/>
    <n v="301.38"/>
    <n v="287.29000000000002"/>
    <m/>
    <n v="410.24359616579511"/>
    <n v="307.78097374481121"/>
    <n v="0"/>
    <n v="-2032.9304400000008"/>
    <n v="0"/>
    <n v="-1160.5874159901889"/>
    <x v="2"/>
  </r>
  <r>
    <s v="Regular"/>
    <x v="4"/>
    <x v="3"/>
    <x v="2"/>
    <x v="0"/>
    <x v="0"/>
    <x v="15"/>
    <x v="0"/>
    <x v="7"/>
    <n v="0"/>
    <n v="0"/>
    <n v="12697.468000000001"/>
    <n v="12697.468000000001"/>
    <n v="12697.468000000001"/>
    <n v="12697.468000000001"/>
    <n v="66146"/>
    <s v="CATIVO"/>
    <n v="0"/>
    <n v="0"/>
    <n v="54"/>
    <n v="97"/>
    <n v="0"/>
    <n v="301.38"/>
    <n v="287.29000000000002"/>
    <m/>
    <n v="410.24359616579511"/>
    <n v="307.78097374481121"/>
    <n v="0"/>
    <n v="1019352.7310400004"/>
    <n v="0"/>
    <n v="581942.17019066121"/>
    <x v="2"/>
  </r>
  <r>
    <s v="Refaturamento - Regular"/>
    <x v="4"/>
    <x v="3"/>
    <x v="2"/>
    <x v="0"/>
    <x v="0"/>
    <x v="15"/>
    <x v="0"/>
    <x v="7"/>
    <n v="0"/>
    <n v="0"/>
    <n v="126.062"/>
    <n v="126.062"/>
    <n v="126.062"/>
    <n v="126.062"/>
    <n v="109"/>
    <s v="CATIVO"/>
    <n v="0"/>
    <n v="0"/>
    <n v="54"/>
    <n v="97"/>
    <n v="0"/>
    <n v="301.38"/>
    <n v="287.29000000000002"/>
    <m/>
    <n v="410.24359616579511"/>
    <n v="307.78097374481121"/>
    <n v="0"/>
    <n v="10120.257360000003"/>
    <n v="0"/>
    <n v="5777.5923403449515"/>
    <x v="2"/>
  </r>
  <r>
    <s v="Sistema de Compensação"/>
    <x v="4"/>
    <x v="3"/>
    <x v="2"/>
    <x v="0"/>
    <x v="0"/>
    <x v="15"/>
    <x v="0"/>
    <x v="7"/>
    <n v="0"/>
    <n v="0"/>
    <n v="717.596"/>
    <n v="717.596"/>
    <n v="717.596"/>
    <n v="717.596"/>
    <n v="3038"/>
    <s v="CATIVO"/>
    <n v="0"/>
    <n v="0"/>
    <n v="54"/>
    <n v="97"/>
    <n v="0"/>
    <n v="301.38"/>
    <n v="287.29000000000002"/>
    <m/>
    <n v="410.24359616579511"/>
    <n v="307.78097374481121"/>
    <n v="0"/>
    <n v="57608.606880000021"/>
    <n v="0"/>
    <n v="32888.397400185429"/>
    <x v="2"/>
  </r>
  <r>
    <s v="Sistema de Compensação"/>
    <x v="4"/>
    <x v="3"/>
    <x v="2"/>
    <x v="0"/>
    <x v="0"/>
    <x v="15"/>
    <x v="0"/>
    <x v="7"/>
    <n v="0"/>
    <n v="0"/>
    <n v="-9.07"/>
    <n v="-9.07"/>
    <n v="-9.07"/>
    <n v="-9.07"/>
    <n v="0"/>
    <s v="CATIVO"/>
    <n v="0"/>
    <n v="0"/>
    <n v="54"/>
    <n v="97"/>
    <n v="0"/>
    <n v="301.38"/>
    <n v="287.29000000000002"/>
    <m/>
    <n v="410.24359616579511"/>
    <n v="307.78097374481121"/>
    <n v="0"/>
    <n v="-728.13960000000031"/>
    <n v="0"/>
    <n v="-415.69039462271508"/>
    <x v="2"/>
  </r>
  <r>
    <s v="Regular"/>
    <x v="4"/>
    <x v="3"/>
    <x v="2"/>
    <x v="0"/>
    <x v="0"/>
    <x v="15"/>
    <x v="0"/>
    <x v="8"/>
    <n v="0"/>
    <n v="0"/>
    <n v="10315.221"/>
    <n v="10315.221"/>
    <n v="10315.221"/>
    <n v="10315.221"/>
    <n v="53898"/>
    <s v="CATIVO"/>
    <n v="0"/>
    <n v="0"/>
    <n v="54"/>
    <n v="97"/>
    <n v="0"/>
    <n v="301.38"/>
    <n v="287.29000000000002"/>
    <m/>
    <n v="410.24359616579511"/>
    <n v="307.78097374481121"/>
    <n v="0"/>
    <n v="828105.94188000029"/>
    <n v="0"/>
    <n v="472760.56098241644"/>
    <x v="2"/>
  </r>
  <r>
    <s v="Refaturamento - Regular"/>
    <x v="4"/>
    <x v="3"/>
    <x v="2"/>
    <x v="0"/>
    <x v="0"/>
    <x v="15"/>
    <x v="0"/>
    <x v="8"/>
    <n v="0"/>
    <n v="0"/>
    <n v="-39.162999999999997"/>
    <n v="-39.162999999999997"/>
    <n v="-39.162999999999997"/>
    <n v="-39.162999999999997"/>
    <n v="7"/>
    <s v="CATIVO"/>
    <n v="0"/>
    <n v="0"/>
    <n v="54"/>
    <n v="97"/>
    <n v="0"/>
    <n v="301.38"/>
    <n v="287.29000000000002"/>
    <m/>
    <n v="410.24359616579511"/>
    <n v="307.78097374481121"/>
    <n v="0"/>
    <n v="-3144.0056400000008"/>
    <n v="0"/>
    <n v="-1794.8933764729204"/>
    <x v="2"/>
  </r>
  <r>
    <s v="Sistema de Compensação"/>
    <x v="4"/>
    <x v="3"/>
    <x v="2"/>
    <x v="0"/>
    <x v="0"/>
    <x v="15"/>
    <x v="0"/>
    <x v="8"/>
    <n v="0"/>
    <n v="0"/>
    <n v="776.41700000000003"/>
    <n v="776.41700000000003"/>
    <n v="776.41700000000003"/>
    <n v="776.41700000000003"/>
    <n v="3002"/>
    <s v="CATIVO"/>
    <n v="0"/>
    <n v="0"/>
    <n v="54"/>
    <n v="97"/>
    <n v="0"/>
    <n v="301.38"/>
    <n v="287.29000000000002"/>
    <m/>
    <n v="410.24359616579511"/>
    <n v="307.78097374481121"/>
    <n v="0"/>
    <n v="62330.756760000026"/>
    <n v="0"/>
    <n v="35584.243563592565"/>
    <x v="2"/>
  </r>
  <r>
    <s v="Sistema de Compensação"/>
    <x v="4"/>
    <x v="3"/>
    <x v="2"/>
    <x v="0"/>
    <x v="0"/>
    <x v="15"/>
    <x v="0"/>
    <x v="8"/>
    <n v="0"/>
    <n v="0"/>
    <n v="-1.3919999999999999"/>
    <n v="-1.3919999999999999"/>
    <n v="-1.3919999999999999"/>
    <n v="-1.3919999999999999"/>
    <n v="0"/>
    <s v="CATIVO"/>
    <n v="0"/>
    <n v="0"/>
    <n v="54"/>
    <n v="97"/>
    <n v="0"/>
    <n v="301.38"/>
    <n v="287.29000000000002"/>
    <m/>
    <n v="410.24359616579511"/>
    <n v="307.78097374481121"/>
    <n v="0"/>
    <n v="-111.74976000000004"/>
    <n v="0"/>
    <n v="-63.797246892482839"/>
    <x v="2"/>
  </r>
  <r>
    <s v="Regular"/>
    <x v="4"/>
    <x v="3"/>
    <x v="2"/>
    <x v="0"/>
    <x v="0"/>
    <x v="15"/>
    <x v="0"/>
    <x v="9"/>
    <n v="0"/>
    <n v="0"/>
    <n v="10406.697"/>
    <n v="10406.697"/>
    <n v="10406.697"/>
    <n v="10406.697"/>
    <n v="53732"/>
    <s v="CATIVO"/>
    <n v="0"/>
    <n v="0"/>
    <n v="54"/>
    <n v="97"/>
    <n v="0"/>
    <n v="301.38"/>
    <n v="287.29000000000002"/>
    <m/>
    <n v="410.24359616579511"/>
    <n v="307.78097374481121"/>
    <n v="0"/>
    <n v="835449.6351600003"/>
    <n v="0"/>
    <n v="476953.03006053198"/>
    <x v="2"/>
  </r>
  <r>
    <s v="Refaturamento - Regular"/>
    <x v="4"/>
    <x v="3"/>
    <x v="2"/>
    <x v="0"/>
    <x v="0"/>
    <x v="15"/>
    <x v="0"/>
    <x v="9"/>
    <n v="0"/>
    <n v="0"/>
    <n v="-48.32"/>
    <n v="-48.32"/>
    <n v="-48.32"/>
    <n v="-48.32"/>
    <n v="0"/>
    <s v="CATIVO"/>
    <n v="0"/>
    <n v="0"/>
    <n v="54"/>
    <n v="97"/>
    <n v="0"/>
    <n v="301.38"/>
    <n v="287.29000000000002"/>
    <m/>
    <n v="410.24359616579511"/>
    <n v="307.78097374481121"/>
    <n v="0"/>
    <n v="-3879.1296000000016"/>
    <n v="0"/>
    <n v="-2214.5710990264161"/>
    <x v="2"/>
  </r>
  <r>
    <s v="Sistema de Compensação"/>
    <x v="4"/>
    <x v="3"/>
    <x v="2"/>
    <x v="0"/>
    <x v="0"/>
    <x v="15"/>
    <x v="0"/>
    <x v="9"/>
    <n v="0"/>
    <n v="0"/>
    <n v="716.80499999999995"/>
    <n v="716.80499999999995"/>
    <n v="716.80499999999995"/>
    <n v="716.80499999999995"/>
    <n v="3229"/>
    <s v="CATIVO"/>
    <n v="0"/>
    <n v="0"/>
    <n v="54"/>
    <n v="97"/>
    <n v="0"/>
    <n v="301.38"/>
    <n v="287.29000000000002"/>
    <m/>
    <n v="410.24359616579511"/>
    <n v="307.78097374481121"/>
    <n v="0"/>
    <n v="57545.105400000015"/>
    <n v="0"/>
    <n v="32852.144797964196"/>
    <x v="2"/>
  </r>
  <r>
    <s v="Sistema de Compensação"/>
    <x v="4"/>
    <x v="3"/>
    <x v="2"/>
    <x v="0"/>
    <x v="0"/>
    <x v="15"/>
    <x v="0"/>
    <x v="9"/>
    <n v="0"/>
    <n v="0"/>
    <n v="-36.679000000000002"/>
    <n v="-36.679000000000002"/>
    <n v="-36.679000000000002"/>
    <n v="-36.679000000000002"/>
    <n v="1"/>
    <s v="CATIVO"/>
    <n v="0"/>
    <n v="0"/>
    <n v="54"/>
    <n v="97"/>
    <n v="0"/>
    <n v="301.38"/>
    <n v="287.29000000000002"/>
    <m/>
    <n v="410.24359616579511"/>
    <n v="307.78097374481121"/>
    <n v="0"/>
    <n v="-2944.5901200000012"/>
    <n v="0"/>
    <n v="-1681.0482893458177"/>
    <x v="2"/>
  </r>
  <r>
    <s v="Regular"/>
    <x v="4"/>
    <x v="3"/>
    <x v="2"/>
    <x v="0"/>
    <x v="0"/>
    <x v="15"/>
    <x v="0"/>
    <x v="10"/>
    <n v="0"/>
    <n v="0"/>
    <n v="10525.566999999999"/>
    <n v="10525.566999999999"/>
    <n v="10525.566999999999"/>
    <n v="10525.566999999999"/>
    <n v="53843"/>
    <s v="CATIVO"/>
    <n v="0"/>
    <n v="0"/>
    <n v="54"/>
    <n v="97"/>
    <n v="0"/>
    <n v="301.38"/>
    <n v="287.29000000000002"/>
    <m/>
    <n v="410.24359616579511"/>
    <n v="307.78097374481121"/>
    <n v="0"/>
    <n v="844992.51876000024"/>
    <n v="0"/>
    <n v="482401.0032919324"/>
    <x v="2"/>
  </r>
  <r>
    <s v="Refaturamento - Regular"/>
    <x v="4"/>
    <x v="3"/>
    <x v="2"/>
    <x v="0"/>
    <x v="0"/>
    <x v="15"/>
    <x v="0"/>
    <x v="10"/>
    <n v="0"/>
    <n v="0"/>
    <n v="-49.116"/>
    <n v="-49.116"/>
    <n v="-49.116"/>
    <n v="-49.116"/>
    <n v="0"/>
    <s v="CATIVO"/>
    <n v="0"/>
    <n v="0"/>
    <n v="54"/>
    <n v="97"/>
    <n v="0"/>
    <n v="301.38"/>
    <n v="287.29000000000002"/>
    <m/>
    <n v="410.24359616579511"/>
    <n v="307.78097374481121"/>
    <n v="0"/>
    <n v="-3943.0324800000012"/>
    <n v="0"/>
    <n v="-2251.0528580252781"/>
    <x v="2"/>
  </r>
  <r>
    <s v="Sistema de Compensação"/>
    <x v="4"/>
    <x v="3"/>
    <x v="2"/>
    <x v="0"/>
    <x v="0"/>
    <x v="15"/>
    <x v="0"/>
    <x v="10"/>
    <n v="0"/>
    <n v="0"/>
    <n v="723.64099999999996"/>
    <n v="723.64099999999996"/>
    <n v="723.64099999999996"/>
    <n v="723.64099999999996"/>
    <n v="3403"/>
    <s v="CATIVO"/>
    <n v="0"/>
    <n v="0"/>
    <n v="54"/>
    <n v="97"/>
    <n v="0"/>
    <n v="301.38"/>
    <n v="287.29000000000002"/>
    <m/>
    <n v="410.24359616579511"/>
    <n v="307.78097374481121"/>
    <n v="0"/>
    <n v="58093.899480000022"/>
    <n v="0"/>
    <n v="33165.447944341358"/>
    <x v="2"/>
  </r>
  <r>
    <s v="Sistema de Compensação"/>
    <x v="4"/>
    <x v="3"/>
    <x v="2"/>
    <x v="0"/>
    <x v="0"/>
    <x v="15"/>
    <x v="0"/>
    <x v="10"/>
    <n v="0"/>
    <n v="0"/>
    <n v="-13.597"/>
    <n v="-13.597"/>
    <n v="-13.597"/>
    <n v="-13.597"/>
    <n v="0"/>
    <s v="CATIVO"/>
    <n v="0"/>
    <n v="0"/>
    <n v="54"/>
    <n v="97"/>
    <n v="0"/>
    <n v="301.38"/>
    <n v="287.29000000000002"/>
    <m/>
    <n v="410.24359616579511"/>
    <n v="307.78097374481121"/>
    <n v="0"/>
    <n v="-1091.5671600000003"/>
    <n v="0"/>
    <n v="-623.16894108986287"/>
    <x v="2"/>
  </r>
  <r>
    <s v="PROJETADO"/>
    <x v="4"/>
    <x v="3"/>
    <x v="2"/>
    <x v="0"/>
    <x v="0"/>
    <x v="15"/>
    <x v="0"/>
    <x v="11"/>
    <n v="0"/>
    <n v="0"/>
    <n v="10525.566999999999"/>
    <n v="10525.566999999999"/>
    <n v="10525.566999999999"/>
    <n v="10525.566999999999"/>
    <n v="53843"/>
    <s v="CATIVO"/>
    <n v="0"/>
    <n v="0"/>
    <n v="54"/>
    <n v="97"/>
    <n v="0"/>
    <n v="301.38"/>
    <n v="287.29000000000002"/>
    <m/>
    <n v="410.24359616579511"/>
    <n v="307.78097374481121"/>
    <n v="0"/>
    <n v="844992.51876000024"/>
    <n v="0"/>
    <n v="482401.0032919324"/>
    <x v="2"/>
  </r>
  <r>
    <s v="PROJETADO"/>
    <x v="4"/>
    <x v="3"/>
    <x v="2"/>
    <x v="0"/>
    <x v="0"/>
    <x v="15"/>
    <x v="0"/>
    <x v="11"/>
    <n v="0"/>
    <n v="0"/>
    <n v="-49.116"/>
    <n v="-49.116"/>
    <n v="-49.116"/>
    <n v="-49.116"/>
    <n v="0"/>
    <s v="CATIVO"/>
    <n v="0"/>
    <n v="0"/>
    <n v="54"/>
    <n v="97"/>
    <n v="0"/>
    <n v="301.38"/>
    <n v="287.29000000000002"/>
    <m/>
    <n v="410.24359616579511"/>
    <n v="307.78097374481121"/>
    <n v="0"/>
    <n v="-3943.0324800000012"/>
    <n v="0"/>
    <n v="-2251.0528580252781"/>
    <x v="2"/>
  </r>
  <r>
    <s v="PROJETADO"/>
    <x v="4"/>
    <x v="3"/>
    <x v="2"/>
    <x v="0"/>
    <x v="0"/>
    <x v="15"/>
    <x v="0"/>
    <x v="11"/>
    <n v="0"/>
    <n v="0"/>
    <n v="723.64099999999996"/>
    <n v="723.64099999999996"/>
    <n v="723.64099999999996"/>
    <n v="723.64099999999996"/>
    <n v="3403"/>
    <s v="CATIVO"/>
    <n v="0"/>
    <n v="0"/>
    <n v="54"/>
    <n v="97"/>
    <n v="0"/>
    <n v="301.38"/>
    <n v="287.29000000000002"/>
    <m/>
    <n v="410.24359616579511"/>
    <n v="307.78097374481121"/>
    <n v="0"/>
    <n v="58093.899480000022"/>
    <n v="0"/>
    <n v="33165.447944341358"/>
    <x v="2"/>
  </r>
  <r>
    <s v="PROJETADO"/>
    <x v="4"/>
    <x v="3"/>
    <x v="2"/>
    <x v="0"/>
    <x v="0"/>
    <x v="15"/>
    <x v="0"/>
    <x v="11"/>
    <n v="0"/>
    <n v="0"/>
    <n v="-13.597"/>
    <n v="-13.597"/>
    <n v="-13.597"/>
    <n v="-13.597"/>
    <n v="0"/>
    <s v="CATIVO"/>
    <n v="0"/>
    <n v="0"/>
    <n v="54"/>
    <n v="97"/>
    <n v="0"/>
    <n v="301.38"/>
    <n v="287.29000000000002"/>
    <m/>
    <n v="410.24359616579511"/>
    <n v="307.78097374481121"/>
    <n v="0"/>
    <n v="-1091.5671600000003"/>
    <n v="0"/>
    <n v="-623.16894108986287"/>
    <x v="2"/>
  </r>
  <r>
    <s v="Regular"/>
    <x v="5"/>
    <x v="3"/>
    <x v="3"/>
    <x v="1"/>
    <x v="0"/>
    <x v="15"/>
    <x v="0"/>
    <x v="0"/>
    <n v="0"/>
    <n v="0"/>
    <n v="1378.9159999999999"/>
    <n v="1296.1810399999999"/>
    <n v="1378.9159999999999"/>
    <n v="1296.1810399999999"/>
    <n v="681"/>
    <s v="CATIVO"/>
    <n v="0"/>
    <n v="0"/>
    <n v="69"/>
    <n v="112"/>
    <n v="0"/>
    <n v="342.48"/>
    <n v="326.47000000000003"/>
    <m/>
    <n v="436.42935762318632"/>
    <n v="327.42656781362894"/>
    <n v="0"/>
    <n v="55345.551492000006"/>
    <n v="0"/>
    <n v="63197.589436777896"/>
    <x v="3"/>
  </r>
  <r>
    <s v="Regular"/>
    <x v="5"/>
    <x v="3"/>
    <x v="3"/>
    <x v="1"/>
    <x v="0"/>
    <x v="15"/>
    <x v="0"/>
    <x v="1"/>
    <n v="0"/>
    <n v="0"/>
    <n v="1387.308"/>
    <n v="1304.06952"/>
    <n v="1387.308"/>
    <n v="1304.06952"/>
    <n v="683"/>
    <s v="CATIVO"/>
    <n v="0"/>
    <n v="0"/>
    <n v="69"/>
    <n v="112"/>
    <n v="0"/>
    <n v="342.48"/>
    <n v="326.47000000000003"/>
    <m/>
    <n v="436.42935762318632"/>
    <n v="327.42656781362894"/>
    <n v="0"/>
    <n v="55682.381195999988"/>
    <n v="0"/>
    <n v="63582.206172353821"/>
    <x v="3"/>
  </r>
  <r>
    <s v="Regular"/>
    <x v="5"/>
    <x v="3"/>
    <x v="3"/>
    <x v="1"/>
    <x v="0"/>
    <x v="15"/>
    <x v="0"/>
    <x v="2"/>
    <n v="0"/>
    <n v="0"/>
    <n v="1449.0239999999999"/>
    <n v="1362.0825600000001"/>
    <n v="1449.0239999999999"/>
    <n v="1362.0825600000001"/>
    <n v="684"/>
    <s v="CATIVO"/>
    <n v="0"/>
    <n v="0"/>
    <n v="69"/>
    <n v="112"/>
    <n v="0"/>
    <n v="342.48"/>
    <n v="326.47000000000003"/>
    <m/>
    <n v="436.42935762318632"/>
    <n v="327.42656781362894"/>
    <n v="0"/>
    <n v="58159.476287999889"/>
    <n v="0"/>
    <n v="66410.734110009216"/>
    <x v="3"/>
  </r>
  <r>
    <s v="Regular"/>
    <x v="5"/>
    <x v="3"/>
    <x v="3"/>
    <x v="1"/>
    <x v="0"/>
    <x v="15"/>
    <x v="0"/>
    <x v="3"/>
    <n v="0"/>
    <n v="0"/>
    <n v="1573.914"/>
    <n v="1479.4791600000001"/>
    <n v="1573.914"/>
    <n v="1479.4791600000001"/>
    <n v="684"/>
    <s v="CATIVO"/>
    <n v="0"/>
    <n v="0"/>
    <n v="69"/>
    <n v="112"/>
    <n v="0"/>
    <n v="342.48"/>
    <n v="326.47000000000003"/>
    <m/>
    <n v="436.42935762318632"/>
    <n v="327.42656781362894"/>
    <n v="0"/>
    <n v="63172.18621799993"/>
    <n v="0"/>
    <n v="72134.6121016775"/>
    <x v="3"/>
  </r>
  <r>
    <s v="Regular"/>
    <x v="5"/>
    <x v="3"/>
    <x v="3"/>
    <x v="1"/>
    <x v="0"/>
    <x v="15"/>
    <x v="0"/>
    <x v="4"/>
    <n v="0"/>
    <n v="0"/>
    <n v="1508.259"/>
    <n v="1417.7634599999999"/>
    <n v="1508.259"/>
    <n v="1417.7634599999999"/>
    <n v="686"/>
    <s v="CATIVO"/>
    <n v="0"/>
    <n v="0"/>
    <n v="69"/>
    <n v="112"/>
    <n v="0"/>
    <n v="342.48"/>
    <n v="326.47000000000003"/>
    <m/>
    <n v="436.42935762318632"/>
    <n v="327.42656781362894"/>
    <n v="0"/>
    <n v="60536.991483000085"/>
    <n v="0"/>
    <n v="69125.554454604426"/>
    <x v="3"/>
  </r>
  <r>
    <s v="Regular"/>
    <x v="5"/>
    <x v="3"/>
    <x v="3"/>
    <x v="1"/>
    <x v="0"/>
    <x v="15"/>
    <x v="0"/>
    <x v="5"/>
    <n v="0"/>
    <n v="0"/>
    <n v="1430.009"/>
    <n v="1344.2084600000001"/>
    <n v="1430.009"/>
    <n v="1344.2084600000001"/>
    <n v="684"/>
    <s v="CATIVO"/>
    <n v="0"/>
    <n v="0"/>
    <n v="69"/>
    <n v="112"/>
    <n v="0"/>
    <n v="342.48"/>
    <n v="326.47000000000003"/>
    <m/>
    <n v="436.42935762318632"/>
    <n v="327.42656781362894"/>
    <n v="0"/>
    <n v="57396.271232999978"/>
    <n v="0"/>
    <n v="65539.250884678448"/>
    <x v="3"/>
  </r>
  <r>
    <s v="Regular"/>
    <x v="5"/>
    <x v="3"/>
    <x v="3"/>
    <x v="1"/>
    <x v="0"/>
    <x v="15"/>
    <x v="0"/>
    <x v="6"/>
    <n v="0"/>
    <n v="0"/>
    <n v="1506.184"/>
    <n v="1415.81296"/>
    <n v="1506.184"/>
    <n v="1415.81296"/>
    <n v="682"/>
    <s v="CATIVO"/>
    <n v="0"/>
    <n v="0"/>
    <n v="69"/>
    <n v="112"/>
    <n v="0"/>
    <n v="342.48"/>
    <n v="326.47000000000003"/>
    <m/>
    <n v="436.42935762318632"/>
    <n v="327.42656781362894"/>
    <n v="0"/>
    <n v="60453.707208"/>
    <n v="0"/>
    <n v="69030.454391887441"/>
    <x v="3"/>
  </r>
  <r>
    <s v="Regular"/>
    <x v="5"/>
    <x v="3"/>
    <x v="3"/>
    <x v="1"/>
    <x v="0"/>
    <x v="15"/>
    <x v="0"/>
    <x v="7"/>
    <n v="0"/>
    <n v="0"/>
    <n v="1441.9280000000001"/>
    <n v="1355.4123199999999"/>
    <n v="1441.9280000000001"/>
    <n v="1355.4123199999999"/>
    <n v="681"/>
    <s v="CATIVO"/>
    <n v="0"/>
    <n v="0"/>
    <n v="69"/>
    <n v="112"/>
    <n v="0"/>
    <n v="342.48"/>
    <n v="326.47000000000003"/>
    <m/>
    <n v="436.42935762318632"/>
    <n v="327.42656781362894"/>
    <n v="0"/>
    <n v="57874.664136000138"/>
    <n v="0"/>
    <n v="66085.51481119552"/>
    <x v="3"/>
  </r>
  <r>
    <s v="Regular"/>
    <x v="5"/>
    <x v="3"/>
    <x v="3"/>
    <x v="1"/>
    <x v="0"/>
    <x v="15"/>
    <x v="0"/>
    <x v="8"/>
    <n v="0"/>
    <n v="0"/>
    <n v="1418.2180000000001"/>
    <n v="1333.12492"/>
    <n v="1418.2180000000001"/>
    <n v="1333.12492"/>
    <n v="678"/>
    <s v="CATIVO"/>
    <n v="0"/>
    <n v="0"/>
    <n v="69"/>
    <n v="112"/>
    <n v="0"/>
    <n v="342.48"/>
    <n v="326.47000000000003"/>
    <m/>
    <n v="436.42935762318632"/>
    <n v="327.42656781362894"/>
    <n v="0"/>
    <n v="56923.015866000074"/>
    <n v="0"/>
    <n v="64998.853371669036"/>
    <x v="3"/>
  </r>
  <r>
    <s v="Regular"/>
    <x v="5"/>
    <x v="3"/>
    <x v="3"/>
    <x v="1"/>
    <x v="0"/>
    <x v="15"/>
    <x v="0"/>
    <x v="9"/>
    <n v="0"/>
    <n v="0"/>
    <n v="1563.4590000000001"/>
    <n v="1469.65146"/>
    <n v="1563.4590000000001"/>
    <n v="1469.65146"/>
    <n v="676"/>
    <s v="CATIVO"/>
    <n v="0"/>
    <n v="0"/>
    <n v="69"/>
    <n v="112"/>
    <n v="0"/>
    <n v="342.48"/>
    <n v="326.47000000000003"/>
    <m/>
    <n v="436.42935762318632"/>
    <n v="327.42656781362894"/>
    <n v="0"/>
    <n v="62752.553883000015"/>
    <n v="0"/>
    <n v="71655.445279651074"/>
    <x v="3"/>
  </r>
  <r>
    <s v="Regular"/>
    <x v="5"/>
    <x v="3"/>
    <x v="3"/>
    <x v="1"/>
    <x v="0"/>
    <x v="15"/>
    <x v="0"/>
    <x v="10"/>
    <n v="0"/>
    <n v="0"/>
    <n v="1486.8520000000001"/>
    <n v="1397.6408799999999"/>
    <n v="1486.8520000000001"/>
    <n v="1397.6408799999999"/>
    <n v="677"/>
    <s v="CATIVO"/>
    <n v="0"/>
    <n v="0"/>
    <n v="69"/>
    <n v="112"/>
    <n v="0"/>
    <n v="342.48"/>
    <n v="326.47000000000003"/>
    <m/>
    <n v="436.42935762318632"/>
    <n v="327.42656781362894"/>
    <n v="0"/>
    <n v="59677.778724000113"/>
    <n v="0"/>
    <n v="68144.4426268549"/>
    <x v="3"/>
  </r>
  <r>
    <s v="PROJETADO"/>
    <x v="5"/>
    <x v="3"/>
    <x v="3"/>
    <x v="1"/>
    <x v="0"/>
    <x v="15"/>
    <x v="0"/>
    <x v="11"/>
    <n v="0"/>
    <n v="0"/>
    <n v="1486.8520000000001"/>
    <n v="1397.6408799999999"/>
    <n v="1486.8520000000001"/>
    <n v="1397.6408799999999"/>
    <n v="677"/>
    <s v="CATIVO"/>
    <n v="0"/>
    <n v="0"/>
    <n v="69"/>
    <n v="112"/>
    <n v="0"/>
    <n v="342.48"/>
    <n v="326.47000000000003"/>
    <m/>
    <n v="436.42935762318632"/>
    <n v="327.42656781362894"/>
    <n v="0"/>
    <n v="59677.778724000113"/>
    <n v="0"/>
    <n v="68144.442626854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71132A-8030-4268-82D8-CE5E5D565E7B}" name="Efeito Resumo" cacheId="39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709" firstHeaderRow="0" firstDataRow="1" firstDataCol="1"/>
  <pivotFields count="36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7">
        <item x="0"/>
        <item x="4"/>
        <item x="5"/>
        <item x="2"/>
        <item x="1"/>
        <item x="3"/>
        <item t="default"/>
      </items>
    </pivotField>
    <pivotField axis="axisRow" showAll="0">
      <items count="10">
        <item x="2"/>
        <item x="6"/>
        <item x="8"/>
        <item x="0"/>
        <item x="1"/>
        <item x="3"/>
        <item x="7"/>
        <item x="4"/>
        <item x="5"/>
        <item t="default"/>
      </items>
    </pivotField>
    <pivotField axis="axisRow" showAll="0">
      <items count="12">
        <item x="7"/>
        <item x="1"/>
        <item x="8"/>
        <item x="9"/>
        <item x="10"/>
        <item x="0"/>
        <item x="2"/>
        <item x="3"/>
        <item x="4"/>
        <item x="5"/>
        <item x="6"/>
        <item t="default"/>
      </items>
    </pivotField>
    <pivotField axis="axisRow" showAll="0">
      <items count="6">
        <item x="0"/>
        <item x="2"/>
        <item x="3"/>
        <item x="4"/>
        <item x="1"/>
        <item t="default"/>
      </items>
    </pivotField>
    <pivotField axis="axisRow" showAll="0">
      <items count="35">
        <item x="13"/>
        <item x="16"/>
        <item x="32"/>
        <item x="30"/>
        <item x="33"/>
        <item x="17"/>
        <item x="11"/>
        <item x="19"/>
        <item x="27"/>
        <item x="20"/>
        <item x="21"/>
        <item x="26"/>
        <item x="0"/>
        <item x="14"/>
        <item x="15"/>
        <item x="1"/>
        <item x="18"/>
        <item x="12"/>
        <item x="5"/>
        <item x="8"/>
        <item x="9"/>
        <item x="7"/>
        <item x="3"/>
        <item x="22"/>
        <item x="24"/>
        <item x="4"/>
        <item x="10"/>
        <item x="28"/>
        <item x="23"/>
        <item x="29"/>
        <item x="25"/>
        <item x="31"/>
        <item x="2"/>
        <item x="6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6">
        <item x="3"/>
        <item x="4"/>
        <item x="2"/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708">
    <i>
      <x/>
    </i>
    <i r="1">
      <x v="1"/>
    </i>
    <i r="2">
      <x/>
    </i>
    <i r="3">
      <x v="3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10"/>
    </i>
    <i r="8">
      <x v="11"/>
    </i>
    <i r="1">
      <x v="2"/>
    </i>
    <i r="2">
      <x/>
    </i>
    <i r="3">
      <x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6"/>
    </i>
    <i r="4">
      <x v="6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6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10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7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2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1"/>
    </i>
    <i r="3">
      <x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5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5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5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5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6"/>
    </i>
    <i r="2">
      <x v="2"/>
    </i>
    <i r="3">
      <x v="2"/>
    </i>
    <i r="4">
      <x v="3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4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3"/>
    </i>
    <i r="3">
      <x v="4"/>
    </i>
    <i r="4">
      <x v="5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4"/>
    </i>
    <i r="3">
      <x v="4"/>
    </i>
    <i r="4">
      <x v="5"/>
    </i>
    <i r="5">
      <x v="4"/>
    </i>
    <i r="6">
      <x v="1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4"/>
    </i>
    <i r="4">
      <x v="5"/>
    </i>
    <i r="5">
      <x v="4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4"/>
    </i>
    <i r="3">
      <x v="4"/>
    </i>
    <i r="4">
      <x v="5"/>
    </i>
    <i r="5">
      <x v="4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/>
    </i>
    <i r="3">
      <x v="3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5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3"/>
    </i>
    <i r="4">
      <x v="5"/>
    </i>
    <i r="5">
      <x v="1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3"/>
    </i>
    <i r="4">
      <x v="5"/>
    </i>
    <i r="5">
      <x v="1"/>
    </i>
    <i r="6">
      <x v="12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/>
    </i>
    <i r="3">
      <x v="3"/>
    </i>
    <i r="4">
      <x v="5"/>
    </i>
    <i r="5">
      <x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704">
    <format dxfId="126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26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26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26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263">
      <pivotArea type="all" dataOnly="0" outline="0" fieldPosition="0"/>
    </format>
    <format dxfId="1262">
      <pivotArea outline="0" collapsedLevelsAreSubtotals="1" fieldPosition="0"/>
    </format>
    <format dxfId="1261">
      <pivotArea field="16" type="button" dataOnly="0" labelOnly="1" outline="0" axis="axisRow" fieldPosition="0"/>
    </format>
    <format dxfId="1260">
      <pivotArea dataOnly="0" labelOnly="1" fieldPosition="0">
        <references count="1">
          <reference field="16" count="0"/>
        </references>
      </pivotArea>
    </format>
    <format dxfId="1259">
      <pivotArea dataOnly="0" labelOnly="1" fieldPosition="0">
        <references count="2">
          <reference field="1" count="6">
            <x v="1"/>
            <x v="2"/>
            <x v="3"/>
            <x v="4"/>
            <x v="5"/>
            <x v="6"/>
          </reference>
          <reference field="16" count="1" selected="0">
            <x v="0"/>
          </reference>
        </references>
      </pivotArea>
    </format>
    <format dxfId="1258">
      <pivotArea dataOnly="0" labelOnly="1" fieldPosition="0">
        <references count="2">
          <reference field="1" count="1">
            <x v="2"/>
          </reference>
          <reference field="16" count="1" selected="0">
            <x v="1"/>
          </reference>
        </references>
      </pivotArea>
    </format>
    <format dxfId="1257">
      <pivotArea dataOnly="0" labelOnly="1" fieldPosition="0">
        <references count="2">
          <reference field="1" count="3">
            <x v="0"/>
            <x v="1"/>
            <x v="2"/>
          </reference>
          <reference field="16" count="1" selected="0">
            <x v="2"/>
          </reference>
        </references>
      </pivotArea>
    </format>
    <format dxfId="1256">
      <pivotArea dataOnly="0" labelOnly="1" fieldPosition="0">
        <references count="2">
          <reference field="1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1255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1254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1253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252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5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50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49">
      <pivotArea dataOnly="0" labelOnly="1" fieldPosition="0">
        <references count="3">
          <reference field="1" count="1" selected="0">
            <x v="6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248">
      <pivotArea dataOnly="0" labelOnly="1" fieldPosition="0">
        <references count="3">
          <reference field="1" count="1" selected="0">
            <x v="2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247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46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45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4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1243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1242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241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124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123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38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3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3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3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34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33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123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1231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1230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22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2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27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2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2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24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23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2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122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2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9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7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15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2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1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1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0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120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120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0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5"/>
          </reference>
          <reference field="16" count="1" selected="0">
            <x v="0"/>
          </reference>
        </references>
      </pivotArea>
    </format>
    <format dxfId="1205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04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03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02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01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20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199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198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197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3"/>
            <x v="4"/>
          </reference>
          <reference field="16" count="1" selected="0">
            <x v="0"/>
          </reference>
        </references>
      </pivotArea>
    </format>
    <format dxfId="1196">
      <pivotArea dataOnly="0" labelOnly="1" fieldPosition="0">
        <references count="5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1"/>
          </reference>
        </references>
      </pivotArea>
    </format>
    <format dxfId="119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2"/>
          </reference>
        </references>
      </pivotArea>
    </format>
    <format dxfId="119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2"/>
          </reference>
        </references>
      </pivotArea>
    </format>
    <format dxfId="1193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2"/>
          </reference>
        </references>
      </pivotArea>
    </format>
    <format dxfId="119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119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119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118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118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4"/>
          </reference>
        </references>
      </pivotArea>
    </format>
    <format dxfId="118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1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0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9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7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6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16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16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5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4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3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2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1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0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5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58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57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56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55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115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5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52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5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115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114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114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4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114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4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4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4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4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4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40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9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8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7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6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5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3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2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1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20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9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8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7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6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4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3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1112">
      <pivotArea dataOnly="0" labelOnly="1" fieldPosition="0">
        <references count="7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111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0">
            <x v="15"/>
            <x v="18"/>
            <x v="19"/>
            <x v="20"/>
            <x v="21"/>
            <x v="22"/>
            <x v="25"/>
            <x v="26"/>
            <x v="32"/>
            <x v="33"/>
          </reference>
          <reference field="16" count="1" selected="0">
            <x v="2"/>
          </reference>
        </references>
      </pivotArea>
    </format>
    <format dxfId="111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5">
            <x v="0"/>
            <x v="6"/>
            <x v="13"/>
            <x v="14"/>
            <x v="17"/>
          </reference>
          <reference field="16" count="1" selected="0">
            <x v="2"/>
          </reference>
        </references>
      </pivotArea>
    </format>
    <format dxfId="1109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8">
            <x v="2"/>
            <x v="3"/>
            <x v="4"/>
            <x v="5"/>
            <x v="7"/>
            <x v="8"/>
            <x v="9"/>
            <x v="10"/>
            <x v="11"/>
            <x v="13"/>
            <x v="16"/>
            <x v="23"/>
            <x v="24"/>
            <x v="27"/>
            <x v="28"/>
            <x v="29"/>
            <x v="30"/>
            <x v="31"/>
          </reference>
          <reference field="16" count="1" selected="0">
            <x v="2"/>
          </reference>
        </references>
      </pivotArea>
    </format>
    <format dxfId="110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110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110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110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1104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110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>
            <x v="12"/>
          </reference>
          <reference field="16" count="1" selected="0">
            <x v="4"/>
          </reference>
        </references>
      </pivotArea>
    </format>
    <format dxfId="110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0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0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6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5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4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3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2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1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8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8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8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8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77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76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75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4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2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0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9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6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6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5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4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3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4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3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3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3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3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35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3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3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3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3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30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2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4"/>
          </reference>
        </references>
      </pivotArea>
    </format>
    <format dxfId="102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10">
            <x v="0"/>
            <x v="1"/>
            <x v="2"/>
            <x v="3"/>
            <x v="4"/>
            <x v="5"/>
            <x v="6"/>
            <x v="7"/>
            <x v="10"/>
            <x v="11"/>
          </reference>
          <reference field="16" count="1" selected="0">
            <x v="0"/>
          </reference>
        </references>
      </pivotArea>
    </format>
    <format dxfId="102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10">
            <x v="0"/>
            <x v="1"/>
            <x v="2"/>
            <x v="3"/>
            <x v="4"/>
            <x v="5"/>
            <x v="6"/>
            <x v="7"/>
            <x v="10"/>
            <x v="11"/>
          </reference>
          <reference field="16" count="1" selected="0">
            <x v="0"/>
          </reference>
        </references>
      </pivotArea>
    </format>
    <format dxfId="102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9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9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8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8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8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2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81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80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9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78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77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6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75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74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7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7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7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9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8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7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6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965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64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6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6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4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2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2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2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2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2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2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2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2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2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1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1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1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1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1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91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13">
      <pivotArea type="all" dataOnly="0" outline="0" fieldPosition="0"/>
    </format>
    <format dxfId="912">
      <pivotArea outline="0" collapsedLevelsAreSubtotals="1" fieldPosition="0"/>
    </format>
    <format dxfId="911">
      <pivotArea field="16" type="button" dataOnly="0" labelOnly="1" outline="0" axis="axisRow" fieldPosition="0"/>
    </format>
    <format dxfId="910">
      <pivotArea dataOnly="0" labelOnly="1" fieldPosition="0">
        <references count="1">
          <reference field="16" count="0"/>
        </references>
      </pivotArea>
    </format>
    <format dxfId="909">
      <pivotArea dataOnly="0" labelOnly="1" fieldPosition="0">
        <references count="2">
          <reference field="1" count="6">
            <x v="1"/>
            <x v="2"/>
            <x v="3"/>
            <x v="4"/>
            <x v="5"/>
            <x v="6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2">
          <reference field="1" count="1">
            <x v="2"/>
          </reference>
          <reference field="16" count="1" selected="0">
            <x v="1"/>
          </reference>
        </references>
      </pivotArea>
    </format>
    <format dxfId="907">
      <pivotArea dataOnly="0" labelOnly="1" fieldPosition="0">
        <references count="2">
          <reference field="1" count="3">
            <x v="0"/>
            <x v="1"/>
            <x v="2"/>
          </reference>
          <reference field="16" count="1" selected="0">
            <x v="2"/>
          </reference>
        </references>
      </pivotArea>
    </format>
    <format dxfId="906">
      <pivotArea dataOnly="0" labelOnly="1" fieldPosition="0">
        <references count="2">
          <reference field="1" count="3">
            <x v="0"/>
            <x v="1"/>
            <x v="2"/>
          </reference>
          <reference field="16" count="1" selected="0">
            <x v="3"/>
          </reference>
        </references>
      </pivotArea>
    </format>
    <format dxfId="905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904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902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0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3">
          <reference field="1" count="1" selected="0">
            <x v="6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3">
          <reference field="1" count="1" selected="0">
            <x v="2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97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896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895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89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893">
      <pivotArea dataOnly="0" labelOnly="1" fieldPosition="0">
        <references count="3">
          <reference field="1" count="1" selected="0">
            <x v="1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892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891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89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81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80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79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7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77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7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7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74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73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7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87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7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6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5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3"/>
            <x v="4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5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1"/>
          </reference>
        </references>
      </pivotArea>
    </format>
    <format dxfId="84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2"/>
          </reference>
        </references>
      </pivotArea>
    </format>
    <format dxfId="84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2"/>
          </reference>
        </references>
      </pivotArea>
    </format>
    <format dxfId="843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5"/>
          </reference>
          <reference field="16" count="1" selected="0">
            <x v="2"/>
          </reference>
        </references>
      </pivotArea>
    </format>
    <format dxfId="84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84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84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83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3"/>
          </reference>
        </references>
      </pivotArea>
    </format>
    <format dxfId="83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5"/>
          </reference>
          <reference field="16" count="1" selected="0">
            <x v="4"/>
          </reference>
        </references>
      </pivotArea>
    </format>
    <format dxfId="83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80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80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802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80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80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79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2">
            <x v="1"/>
            <x v="4"/>
          </reference>
          <reference field="16" count="1" selected="0">
            <x v="3"/>
          </reference>
        </references>
      </pivotArea>
    </format>
    <format dxfId="79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9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79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7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76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0">
            <x v="15"/>
            <x v="18"/>
            <x v="19"/>
            <x v="20"/>
            <x v="21"/>
            <x v="22"/>
            <x v="25"/>
            <x v="26"/>
            <x v="32"/>
            <x v="33"/>
          </reference>
          <reference field="16" count="1" selected="0">
            <x v="2"/>
          </reference>
        </references>
      </pivotArea>
    </format>
    <format dxfId="76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5">
            <x v="0"/>
            <x v="6"/>
            <x v="13"/>
            <x v="14"/>
            <x v="17"/>
          </reference>
          <reference field="16" count="1" selected="0">
            <x v="2"/>
          </reference>
        </references>
      </pivotArea>
    </format>
    <format dxfId="759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8">
            <x v="2"/>
            <x v="3"/>
            <x v="4"/>
            <x v="5"/>
            <x v="7"/>
            <x v="8"/>
            <x v="9"/>
            <x v="10"/>
            <x v="11"/>
            <x v="13"/>
            <x v="16"/>
            <x v="23"/>
            <x v="24"/>
            <x v="27"/>
            <x v="28"/>
            <x v="29"/>
            <x v="30"/>
            <x v="31"/>
          </reference>
          <reference field="16" count="1" selected="0">
            <x v="2"/>
          </reference>
        </references>
      </pivotArea>
    </format>
    <format dxfId="75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75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75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75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754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>
            <x v="12"/>
          </reference>
          <reference field="16" count="1" selected="0">
            <x v="3"/>
          </reference>
        </references>
      </pivotArea>
    </format>
    <format dxfId="75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>
            <x v="12"/>
          </reference>
          <reference field="16" count="1" selected="0">
            <x v="4"/>
          </reference>
        </references>
      </pivotArea>
    </format>
    <format dxfId="75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71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1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70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5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4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3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9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9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5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1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0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7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12"/>
          </reference>
          <reference field="7" count="1">
            <x v="2"/>
          </reference>
          <reference field="16" count="1" selected="0">
            <x v="4"/>
          </reference>
        </references>
      </pivotArea>
    </format>
    <format dxfId="67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10">
            <x v="0"/>
            <x v="1"/>
            <x v="2"/>
            <x v="3"/>
            <x v="4"/>
            <x v="5"/>
            <x v="6"/>
            <x v="7"/>
            <x v="10"/>
            <x v="11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10">
            <x v="0"/>
            <x v="1"/>
            <x v="2"/>
            <x v="3"/>
            <x v="4"/>
            <x v="5"/>
            <x v="6"/>
            <x v="7"/>
            <x v="10"/>
            <x v="11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10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8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15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14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1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29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3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6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1"/>
          </reference>
          <reference field="6" count="1" selected="0">
            <x v="12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5"/>
          </reference>
          <reference field="5" count="1" selected="0">
            <x v="0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564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35BC93-2A26-4238-8EA0-CEE3A985BB21}" name="Subsidio Resumo" cacheId="4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949" firstHeaderRow="0" firstDataRow="1" firstDataCol="1"/>
  <pivotFields count="34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1"/>
        <item x="4"/>
        <item x="3"/>
        <item x="0"/>
        <item x="2"/>
        <item t="default"/>
      </items>
    </pivotField>
    <pivotField axis="axisRow" showAll="0">
      <items count="6">
        <item x="1"/>
        <item x="0"/>
        <item x="4"/>
        <item x="2"/>
        <item x="3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34">
        <item x="12"/>
        <item x="31"/>
        <item x="29"/>
        <item x="32"/>
        <item x="16"/>
        <item x="10"/>
        <item x="18"/>
        <item x="26"/>
        <item x="19"/>
        <item x="20"/>
        <item x="25"/>
        <item x="15"/>
        <item x="13"/>
        <item x="14"/>
        <item x="0"/>
        <item x="17"/>
        <item x="11"/>
        <item x="4"/>
        <item x="7"/>
        <item x="8"/>
        <item x="6"/>
        <item x="2"/>
        <item x="21"/>
        <item x="23"/>
        <item x="3"/>
        <item x="9"/>
        <item x="27"/>
        <item x="22"/>
        <item x="28"/>
        <item x="24"/>
        <item x="30"/>
        <item x="1"/>
        <item x="5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3"/>
        <item x="5"/>
        <item x="1"/>
        <item x="0"/>
        <item x="6"/>
        <item x="2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948">
    <i>
      <x/>
    </i>
    <i r="1">
      <x v="2"/>
    </i>
    <i r="2">
      <x/>
    </i>
    <i r="3">
      <x v="4"/>
    </i>
    <i r="4">
      <x v="1"/>
    </i>
    <i r="5">
      <x v="3"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3"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4"/>
    </i>
    <i r="4">
      <x v="1"/>
    </i>
    <i r="5">
      <x v="3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3"/>
    </i>
    <i r="2">
      <x v="2"/>
    </i>
    <i r="3">
      <x v="2"/>
    </i>
    <i r="4">
      <x v="5"/>
    </i>
    <i r="5">
      <x v="3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2"/>
    </i>
    <i r="2">
      <x/>
    </i>
    <i r="3">
      <x/>
    </i>
    <i r="4">
      <x v="3"/>
    </i>
    <i r="5">
      <x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3"/>
    </i>
    <i r="5">
      <x v="3"/>
    </i>
    <i r="6">
      <x v="1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1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3"/>
    </i>
    <i r="3">
      <x v="1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8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9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0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4"/>
    </i>
    <i r="2">
      <x v="2"/>
    </i>
    <i r="3">
      <x v="3"/>
    </i>
    <i r="4">
      <x/>
    </i>
    <i r="5">
      <x v="2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2"/>
    </i>
    <i r="2">
      <x/>
    </i>
    <i r="3">
      <x v="3"/>
    </i>
    <i r="4">
      <x v="3"/>
    </i>
    <i r="5">
      <x v="3"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3"/>
    </i>
    <i r="5">
      <x v="3"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3"/>
    </i>
    <i r="4">
      <x v="3"/>
    </i>
    <i r="5">
      <x v="3"/>
    </i>
    <i r="6">
      <x v="1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1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3"/>
    </i>
    <i r="2">
      <x v="2"/>
    </i>
    <i r="3">
      <x v="2"/>
    </i>
    <i r="4">
      <x v="4"/>
    </i>
    <i r="5">
      <x v="3"/>
    </i>
    <i r="6">
      <x v="11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420">
    <format dxfId="563">
      <pivotArea outline="0" collapsedLevelsAreSubtotals="1" fieldPosition="0"/>
    </format>
    <format dxfId="56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61">
      <pivotArea type="all" dataOnly="0" outline="0" fieldPosition="0"/>
    </format>
    <format dxfId="560">
      <pivotArea outline="0" collapsedLevelsAreSubtotals="1" fieldPosition="0"/>
    </format>
    <format dxfId="559">
      <pivotArea field="31" type="button" dataOnly="0" labelOnly="1" outline="0" axis="axisRow" fieldPosition="0"/>
    </format>
    <format dxfId="558">
      <pivotArea dataOnly="0" labelOnly="1" fieldPosition="0">
        <references count="1">
          <reference field="31" count="0"/>
        </references>
      </pivotArea>
    </format>
    <format dxfId="557">
      <pivotArea dataOnly="0" labelOnly="1" fieldPosition="0">
        <references count="2">
          <reference field="1" count="2">
            <x v="2"/>
            <x v="5"/>
          </reference>
          <reference field="31" count="1" selected="0">
            <x v="0"/>
          </reference>
        </references>
      </pivotArea>
    </format>
    <format dxfId="556">
      <pivotArea dataOnly="0" labelOnly="1" fieldPosition="0">
        <references count="2">
          <reference field="1" count="1">
            <x v="3"/>
          </reference>
          <reference field="31" count="1" selected="0">
            <x v="1"/>
          </reference>
        </references>
      </pivotArea>
    </format>
    <format dxfId="555">
      <pivotArea dataOnly="0" labelOnly="1" fieldPosition="0">
        <references count="2">
          <reference field="1" count="1">
            <x v="2"/>
          </reference>
          <reference field="31" count="1" selected="0">
            <x v="2"/>
          </reference>
        </references>
      </pivotArea>
    </format>
    <format dxfId="554">
      <pivotArea dataOnly="0" labelOnly="1" fieldPosition="0">
        <references count="2">
          <reference field="1" count="3">
            <x v="0"/>
            <x v="1"/>
            <x v="2"/>
          </reference>
          <reference field="31" count="1" selected="0">
            <x v="3"/>
          </reference>
        </references>
      </pivotArea>
    </format>
    <format dxfId="553">
      <pivotArea dataOnly="0" labelOnly="1" fieldPosition="0">
        <references count="2">
          <reference field="1" count="1">
            <x v="4"/>
          </reference>
          <reference field="31" count="1" selected="0">
            <x v="4"/>
          </reference>
        </references>
      </pivotArea>
    </format>
    <format dxfId="552">
      <pivotArea dataOnly="0" labelOnly="1" fieldPosition="0">
        <references count="2">
          <reference field="1" count="2">
            <x v="2"/>
            <x v="4"/>
          </reference>
          <reference field="31" count="1" selected="0">
            <x v="5"/>
          </reference>
        </references>
      </pivotArea>
    </format>
    <format dxfId="551">
      <pivotArea dataOnly="0" labelOnly="1" fieldPosition="0">
        <references count="2">
          <reference field="1" count="1">
            <x v="3"/>
          </reference>
          <reference field="31" count="1" selected="0">
            <x v="6"/>
          </reference>
        </references>
      </pivotArea>
    </format>
    <format dxfId="550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54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548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547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4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45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44">
      <pivotArea dataOnly="0" labelOnly="1" fieldPosition="0">
        <references count="3">
          <reference field="1" count="1" selected="0">
            <x v="2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43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542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54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540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53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38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37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3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35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34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3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32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31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3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2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28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27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26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25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524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3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2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2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52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19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1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1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16">
      <pivotArea dataOnly="0" labelOnly="1" fieldPosition="0">
        <references count="5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1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514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513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51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51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1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50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8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7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0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0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1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0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9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98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9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9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4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9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9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9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8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48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0"/>
          </reference>
        </references>
      </pivotArea>
    </format>
    <format dxfId="487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0"/>
          </reference>
        </references>
      </pivotArea>
    </format>
    <format dxfId="486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0"/>
          </reference>
        </references>
      </pivotArea>
    </format>
    <format dxfId="48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48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48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48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48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1"/>
          </reference>
          <reference field="31" count="1" selected="0">
            <x v="2"/>
          </reference>
        </references>
      </pivotArea>
    </format>
    <format dxfId="480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1"/>
          </reference>
          <reference field="31" count="1" selected="0">
            <x v="2"/>
          </reference>
        </references>
      </pivotArea>
    </format>
    <format dxfId="47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0">
            <x v="14"/>
            <x v="17"/>
            <x v="18"/>
            <x v="19"/>
            <x v="20"/>
            <x v="21"/>
            <x v="24"/>
            <x v="25"/>
            <x v="31"/>
            <x v="32"/>
          </reference>
          <reference field="31" count="1" selected="0">
            <x v="3"/>
          </reference>
        </references>
      </pivotArea>
    </format>
    <format dxfId="47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5">
            <x v="0"/>
            <x v="5"/>
            <x v="12"/>
            <x v="13"/>
            <x v="16"/>
          </reference>
          <reference field="31" count="1" selected="0">
            <x v="3"/>
          </reference>
        </references>
      </pivotArea>
    </format>
    <format dxfId="477">
      <pivotArea dataOnly="0" labelOnly="1" fieldPosition="0">
        <references count="7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8">
            <x v="1"/>
            <x v="2"/>
            <x v="3"/>
            <x v="4"/>
            <x v="6"/>
            <x v="7"/>
            <x v="8"/>
            <x v="9"/>
            <x v="10"/>
            <x v="12"/>
            <x v="15"/>
            <x v="22"/>
            <x v="23"/>
            <x v="26"/>
            <x v="27"/>
            <x v="28"/>
            <x v="29"/>
            <x v="30"/>
          </reference>
          <reference field="31" count="1" selected="0">
            <x v="3"/>
          </reference>
        </references>
      </pivotArea>
    </format>
    <format dxfId="47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1"/>
          </reference>
          <reference field="31" count="1" selected="0">
            <x v="4"/>
          </reference>
        </references>
      </pivotArea>
    </format>
    <format dxfId="47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1"/>
          </reference>
          <reference field="31" count="1" selected="0">
            <x v="4"/>
          </reference>
        </references>
      </pivotArea>
    </format>
    <format dxfId="47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473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47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47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47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46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46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6"/>
          </reference>
        </references>
      </pivotArea>
    </format>
    <format dxfId="46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6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65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46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6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6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6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6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5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5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5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3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2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1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40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9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7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6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5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4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3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2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1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30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29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2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27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26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2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2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2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422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2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42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1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1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1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41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0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0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0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40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0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0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0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0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0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4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9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5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4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3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2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1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80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9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8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7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6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5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4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3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2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1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70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69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68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6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6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6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6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6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6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6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6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5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5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5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5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5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5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5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2">
      <pivotArea type="all" dataOnly="0" outline="0" fieldPosition="0"/>
    </format>
    <format dxfId="351">
      <pivotArea outline="0" collapsedLevelsAreSubtotals="1" fieldPosition="0"/>
    </format>
    <format dxfId="350">
      <pivotArea field="31" type="button" dataOnly="0" labelOnly="1" outline="0" axis="axisRow" fieldPosition="0"/>
    </format>
    <format dxfId="349">
      <pivotArea dataOnly="0" labelOnly="1" fieldPosition="0">
        <references count="1">
          <reference field="31" count="0"/>
        </references>
      </pivotArea>
    </format>
    <format dxfId="348">
      <pivotArea dataOnly="0" labelOnly="1" fieldPosition="0">
        <references count="2">
          <reference field="1" count="2">
            <x v="2"/>
            <x v="5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2">
          <reference field="1" count="1">
            <x v="3"/>
          </reference>
          <reference field="31" count="1" selected="0">
            <x v="1"/>
          </reference>
        </references>
      </pivotArea>
    </format>
    <format dxfId="346">
      <pivotArea dataOnly="0" labelOnly="1" fieldPosition="0">
        <references count="2">
          <reference field="1" count="1">
            <x v="2"/>
          </reference>
          <reference field="31" count="1" selected="0">
            <x v="2"/>
          </reference>
        </references>
      </pivotArea>
    </format>
    <format dxfId="345">
      <pivotArea dataOnly="0" labelOnly="1" fieldPosition="0">
        <references count="2">
          <reference field="1" count="3">
            <x v="0"/>
            <x v="1"/>
            <x v="2"/>
          </reference>
          <reference field="31" count="1" selected="0">
            <x v="3"/>
          </reference>
        </references>
      </pivotArea>
    </format>
    <format dxfId="344">
      <pivotArea dataOnly="0" labelOnly="1" fieldPosition="0">
        <references count="2">
          <reference field="1" count="1">
            <x v="4"/>
          </reference>
          <reference field="31" count="1" selected="0">
            <x v="4"/>
          </reference>
        </references>
      </pivotArea>
    </format>
    <format dxfId="343">
      <pivotArea dataOnly="0" labelOnly="1" fieldPosition="0">
        <references count="2">
          <reference field="1" count="2">
            <x v="2"/>
            <x v="4"/>
          </reference>
          <reference field="31" count="1" selected="0">
            <x v="5"/>
          </reference>
        </references>
      </pivotArea>
    </format>
    <format dxfId="342">
      <pivotArea dataOnly="0" labelOnly="1" fieldPosition="0">
        <references count="2">
          <reference field="1" count="1">
            <x v="3"/>
          </reference>
          <reference field="31" count="1" selected="0">
            <x v="6"/>
          </reference>
        </references>
      </pivotArea>
    </format>
    <format dxfId="341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40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39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38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3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36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35">
      <pivotArea dataOnly="0" labelOnly="1" fieldPosition="0">
        <references count="3">
          <reference field="1" count="1" selected="0">
            <x v="2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34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33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31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330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9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5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2">
      <pivotArea dataOnly="0" labelOnly="1" fieldPosition="0">
        <references count="4">
          <reference field="1" count="1" selected="0">
            <x v="2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20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9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8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1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4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311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10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30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0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07">
      <pivotArea dataOnly="0" labelOnly="1" fieldPosition="0">
        <references count="5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30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0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04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0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0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0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0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9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8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92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9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9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89">
      <pivotArea dataOnly="0" labelOnly="1" fieldPosition="0">
        <references count="6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8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4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8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8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7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0"/>
          </reference>
        </references>
      </pivotArea>
    </format>
    <format dxfId="278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0"/>
          </reference>
        </references>
      </pivotArea>
    </format>
    <format dxfId="277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0"/>
          </reference>
        </references>
      </pivotArea>
    </format>
    <format dxfId="27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27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27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27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1"/>
          </reference>
        </references>
      </pivotArea>
    </format>
    <format dxfId="27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1"/>
          </reference>
          <reference field="31" count="1" selected="0">
            <x v="2"/>
          </reference>
        </references>
      </pivotArea>
    </format>
    <format dxfId="271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1"/>
          </reference>
          <reference field="31" count="1" selected="0">
            <x v="2"/>
          </reference>
        </references>
      </pivotArea>
    </format>
    <format dxfId="27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0">
            <x v="14"/>
            <x v="17"/>
            <x v="18"/>
            <x v="19"/>
            <x v="20"/>
            <x v="21"/>
            <x v="24"/>
            <x v="25"/>
            <x v="31"/>
            <x v="32"/>
          </reference>
          <reference field="31" count="1" selected="0">
            <x v="3"/>
          </reference>
        </references>
      </pivotArea>
    </format>
    <format dxfId="26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5">
            <x v="0"/>
            <x v="5"/>
            <x v="12"/>
            <x v="13"/>
            <x v="16"/>
          </reference>
          <reference field="31" count="1" selected="0">
            <x v="3"/>
          </reference>
        </references>
      </pivotArea>
    </format>
    <format dxfId="268">
      <pivotArea dataOnly="0" labelOnly="1" fieldPosition="0">
        <references count="7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8">
            <x v="1"/>
            <x v="2"/>
            <x v="3"/>
            <x v="4"/>
            <x v="6"/>
            <x v="7"/>
            <x v="8"/>
            <x v="9"/>
            <x v="10"/>
            <x v="12"/>
            <x v="15"/>
            <x v="22"/>
            <x v="23"/>
            <x v="26"/>
            <x v="27"/>
            <x v="28"/>
            <x v="29"/>
            <x v="30"/>
          </reference>
          <reference field="31" count="1" selected="0">
            <x v="3"/>
          </reference>
        </references>
      </pivotArea>
    </format>
    <format dxfId="26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1"/>
          </reference>
          <reference field="31" count="1" selected="0">
            <x v="4"/>
          </reference>
        </references>
      </pivotArea>
    </format>
    <format dxfId="26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1"/>
          </reference>
          <reference field="31" count="1" selected="0">
            <x v="4"/>
          </reference>
        </references>
      </pivotArea>
    </format>
    <format dxfId="26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264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263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26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26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26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5"/>
          </reference>
        </references>
      </pivotArea>
    </format>
    <format dxfId="25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1"/>
          </reference>
          <reference field="31" count="1" selected="0">
            <x v="6"/>
          </reference>
        </references>
      </pivotArea>
    </format>
    <format dxfId="25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5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56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5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5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5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5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5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5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4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4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4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3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2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1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0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9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7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6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5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4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3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2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1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20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19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8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18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9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17">
      <pivotArea dataOnly="0" labelOnly="1" fieldPosition="0">
        <references count="8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1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1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1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213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1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21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1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0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0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1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20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0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0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0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0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0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0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0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9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9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9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9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9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9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9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9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8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6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5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4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3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2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1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70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9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8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7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6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5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4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3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2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1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8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0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9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9">
      <pivotArea dataOnly="0" labelOnly="1" fieldPosition="0">
        <references count="9">
          <reference field="1" count="1" selected="0">
            <x v="2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1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CEBA6C8-DEA3-4198-93EA-DC1FDCE7E1C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EAE15BD-05DB-4021-B5C2-5C603C548C03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B34D258-F10E-4057-A16F-E8277B715E76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893188-5900-41EC-BE8B-CA66CA05347F}" name="Efeito" displayName="Efeito" ref="A1:AG2022" totalsRowShown="0" headerRowDxfId="1336" dataDxfId="1335">
  <autoFilter ref="A1:AG2022" xr:uid="{FD893188-5900-41EC-BE8B-CA66CA05347F}"/>
  <tableColumns count="33">
    <tableColumn id="1" xr3:uid="{46838E3F-1832-4FB7-A48D-244213F50F22}" name="TipoMercado" dataDxfId="1334"/>
    <tableColumn id="2" xr3:uid="{0628E481-8C65-494E-A13A-824BE1D43110}" name="Subgrupo" dataDxfId="1333"/>
    <tableColumn id="3" xr3:uid="{ADD20A85-E48B-4681-AB15-DF996EBC7DB1}" name="Modalidade" dataDxfId="1332"/>
    <tableColumn id="4" xr3:uid="{43137DC2-D302-40C2-A1CE-67BF13E3BD32}" name="Classe" dataDxfId="1331"/>
    <tableColumn id="5" xr3:uid="{68D20634-678F-4330-A3C0-C428B05CD6FB}" name="Subclasse" dataDxfId="1330"/>
    <tableColumn id="6" xr3:uid="{E19AE5B5-0E1E-49BD-8DF9-1615D2E653F8}" name="Detalhe" dataDxfId="1329"/>
    <tableColumn id="7" xr3:uid="{CD243516-F645-42C0-9DC1-D521D9DB630C}" name="Agente" dataDxfId="1328"/>
    <tableColumn id="8" xr3:uid="{6E62C903-C73E-437F-B0A4-A23F94D0A304}" name="Posto" dataDxfId="1327"/>
    <tableColumn id="9" xr3:uid="{4EAF7F4A-83B5-4BB8-9603-DB16DFA0CDDF}" name="AnoMes" dataDxfId="1326"/>
    <tableColumn id="10" xr3:uid="{A936A2EB-8AD1-4602-8604-BFA603087770}" name="D" dataDxfId="1325"/>
    <tableColumn id="11" xr3:uid="{A09BEDC1-E66A-4B87-BDBB-7C4185F7B9C0}" name="Daj" dataDxfId="1324"/>
    <tableColumn id="12" xr3:uid="{FC83B8F2-8881-4585-9222-9875E269FA7E}" name="TUSD_E" dataDxfId="1323"/>
    <tableColumn id="13" xr3:uid="{335045F7-B4A9-4BB4-BC1D-C0E4037F3570}" name="TUSD_Eaj" dataDxfId="1322"/>
    <tableColumn id="14" xr3:uid="{DCB41E24-61FA-466D-B86C-5FE86A9A77F9}" name="TE_E" dataDxfId="1321"/>
    <tableColumn id="15" xr3:uid="{1ED00E10-4951-4409-8375-0ABC205F3012}" name="TE_Eaj" dataDxfId="1320"/>
    <tableColumn id="16" xr3:uid="{055E9ACA-9D69-489B-B273-82E610BA7B08}" name="UC" dataDxfId="1319"/>
    <tableColumn id="17" xr3:uid="{71413CFE-5776-40B9-A25B-EE4BDF1E233D}" name="OPÇÃO" dataDxfId="1318"/>
    <tableColumn id="18" xr3:uid="{AC51BF46-DC89-48AA-A090-3EFF1F77E9F4}" name="CóD. AUX." dataDxfId="1317"/>
    <tableColumn id="19" xr3:uid="{88805B3F-AF37-40AB-827D-3331F455D79A}" name="CóD. AUX. TUSD R$/kW" dataDxfId="1316"/>
    <tableColumn id="20" xr3:uid="{1A64044F-1214-4FCD-A201-A2C9122555E7}" name="CóD. AUX. TUSD R$/MWh" dataDxfId="1315"/>
    <tableColumn id="21" xr3:uid="{D79ED312-36F0-4CF6-8F48-76DBC363BCC7}" name="CóD. AUX. TE R$/MWh" dataDxfId="1314"/>
    <tableColumn id="22" xr3:uid="{491919EA-B614-4954-883E-02C127F930BD}" name="TUSD (R$/kW)" dataDxfId="1313"/>
    <tableColumn id="23" xr3:uid="{3FBC1F7E-2D72-4734-9C31-5F085544C13D}" name="TUSD (R$/MWh)" dataDxfId="1312"/>
    <tableColumn id="24" xr3:uid="{1EB4CFF9-BA6D-40E7-B4D9-0757F4C279C3}" name="TE (R$/MWh)" dataDxfId="1311"/>
    <tableColumn id="25" xr3:uid="{5132032D-59F7-43D8-88D3-7825140455E7}" name="TUSD (R$/kW) NOVA" dataDxfId="1310"/>
    <tableColumn id="26" xr3:uid="{FDF2D4AF-CC5B-4D02-AFD8-FF6BDF23035D}" name="TUSD (R$/MWh) NOVA" dataDxfId="1309">
      <calculatedColumnFormula>('TUSD BE'!$AM$74+'TUSD BF'!$AM$74+'TUSD CVA'!$AM$74)*1</calculatedColumnFormula>
    </tableColumn>
    <tableColumn id="27" xr3:uid="{0E5731D3-FD8A-488A-8CF6-262D4B6B2644}" name="TE (R$/MWh) NOVA" dataDxfId="1308">
      <calculatedColumnFormula>('TE BE'!$AB$45+'TE BF'!$AB$45+'TE CVA'!$AB$45)*1</calculatedColumnFormula>
    </tableColumn>
    <tableColumn id="28" xr3:uid="{74E1E4AD-0E37-4F20-9D8B-F6D08E2D2978}" name="RA0 ou RV - TUSD (kW)" dataDxfId="1307"/>
    <tableColumn id="29" xr3:uid="{90F38D66-C2AD-4C00-A2C4-E80326B32035}" name="RA0 ou RV - TUSD (MWh)" dataDxfId="1306"/>
    <tableColumn id="30" xr3:uid="{332044C5-AB14-45D4-AD32-BC74408CC53C}" name="RA0 ou RV - TE (MWh)" dataDxfId="1305"/>
    <tableColumn id="31" xr3:uid="{08088297-EC1F-447F-A3EC-F236D0121EFC}" name="RA1 ou RRD - TUSD (kW)" dataDxfId="1304"/>
    <tableColumn id="32" xr3:uid="{4337166F-B4B4-408C-AEA3-93D4BDCBCB33}" name="RA1 ou RRD - TUSD (MWh)" dataDxfId="1303"/>
    <tableColumn id="33" xr3:uid="{F565F355-27AB-4E2D-8071-0DC9567900E7}" name="RA1 ou RRD - TE (MWh)" dataDxfId="13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0056A9-43D9-48A5-B7D5-61DCD8A4254C}" name="Subsidio" displayName="Subsidio" ref="A1:AF951" totalsRowShown="0" headerRowDxfId="1301" dataDxfId="1300">
  <autoFilter ref="A1:AF951" xr:uid="{100056A9-43D9-48A5-B7D5-61DCD8A4254C}"/>
  <tableColumns count="32">
    <tableColumn id="1" xr3:uid="{FF243C17-E5D8-4277-A626-A099B19C5294}" name="TipoMercado" dataDxfId="1299"/>
    <tableColumn id="2" xr3:uid="{B14C6B48-9AA4-4F43-A3C2-FCF58F0C9917}" name="Subgrupo" dataDxfId="1298"/>
    <tableColumn id="3" xr3:uid="{E2525311-0898-4C4A-9FD7-18DA1D79D4BA}" name="Modalidade" dataDxfId="1297"/>
    <tableColumn id="4" xr3:uid="{3BA419B4-0328-49F8-8712-96C4198EF073}" name="Classe" dataDxfId="1296"/>
    <tableColumn id="5" xr3:uid="{8E4F123D-448B-4F70-836F-4B60CD130539}" name="Subclasse" dataDxfId="1295"/>
    <tableColumn id="6" xr3:uid="{F4E7E1A9-37D1-4760-937C-8B7CCA1A021F}" name="Detalhe" dataDxfId="1294"/>
    <tableColumn id="7" xr3:uid="{E9C20AFF-1711-4D48-9514-2D781AF4F265}" name="Agente" dataDxfId="1293"/>
    <tableColumn id="8" xr3:uid="{48BBC689-DFC4-4529-BDBE-D55ACD5BD287}" name="Posto" dataDxfId="1292"/>
    <tableColumn id="9" xr3:uid="{728253B8-A371-4D05-935C-425C7BA76895}" name="AnoMes" dataDxfId="1291"/>
    <tableColumn id="10" xr3:uid="{06749773-A582-4108-852C-3368260B704C}" name="D" dataDxfId="1290"/>
    <tableColumn id="11" xr3:uid="{82E8D9B8-6D18-400B-8A2B-77CE779C5E29}" name="Daj" dataDxfId="1289"/>
    <tableColumn id="12" xr3:uid="{27BF189D-55F5-473A-826F-45F97F9991CF}" name="TUSD_E" dataDxfId="1288"/>
    <tableColumn id="13" xr3:uid="{F94C4EE3-8290-4E64-8CDB-C0B5654F97E0}" name="TUSD_Eaj" dataDxfId="1287"/>
    <tableColumn id="14" xr3:uid="{812188F0-E62D-41BA-BFE5-74588D506119}" name="TE_E" dataDxfId="1286"/>
    <tableColumn id="15" xr3:uid="{EC0871DE-5F0F-4C24-AB53-78F2DC9FAD58}" name="TE_Eaj" dataDxfId="1285"/>
    <tableColumn id="16" xr3:uid="{6CAB7302-8A03-4369-8A1E-7D8E84FEAA24}" name="UC" dataDxfId="1284"/>
    <tableColumn id="17" xr3:uid="{B8C9D359-6C5A-49D6-9FA5-F9690A50212C}" name="OPÇÃO" dataDxfId="1283"/>
    <tableColumn id="18" xr3:uid="{6114BC6D-366A-45D6-87FE-F3E829656FBC}" name="CóD. AUX." dataDxfId="1282"/>
    <tableColumn id="19" xr3:uid="{A5D4C994-D199-4041-9427-0A09CC57E547}" name="CóD. AUX. TUSD R$/kW" dataDxfId="1281"/>
    <tableColumn id="20" xr3:uid="{8ACABABA-AB60-46F6-B130-8BA775DF144A}" name="CóD. AUX. TUSD R$/MWh" dataDxfId="1280"/>
    <tableColumn id="21" xr3:uid="{4927C147-7232-4E28-82BD-44C438F779E5}" name="CóD. AUX. TE R$/MWh" dataDxfId="1279"/>
    <tableColumn id="22" xr3:uid="{CC22C6B2-A4CA-4240-8A97-E360B1C3C3C4}" name="TUSD (R$/kW)" dataDxfId="1278"/>
    <tableColumn id="23" xr3:uid="{06F454E4-E9E9-40E5-AC77-3503733D3CF1}" name="TUSD (R$/MWh)" dataDxfId="1277"/>
    <tableColumn id="24" xr3:uid="{02C7F186-BF9F-4163-BB39-B85F2936AA8C}" name="TE (R$/MWh)" dataDxfId="1276"/>
    <tableColumn id="25" xr3:uid="{F7332918-ECEF-4B00-99B9-BB159460CBE9}" name="TUSD (R$/kW) NOVA" dataDxfId="1275"/>
    <tableColumn id="26" xr3:uid="{1CFD096E-A1D1-48B4-A8CF-CD53F2CDC032}" name="TUSD (R$/MWh) NOVA" dataDxfId="1274">
      <calculatedColumnFormula>('TUSD BE'!$AM$71+'TUSD BF'!$AM$71+'TUSD CVA'!$AM$71)*1</calculatedColumnFormula>
    </tableColumn>
    <tableColumn id="27" xr3:uid="{5BFDBCBD-C32C-43CE-ACB3-58AE2C7ED485}" name="TE (R$/MWh) NOVA" dataDxfId="1273">
      <calculatedColumnFormula>('TE BE'!$AB$42+'TE BF'!$AB$42+'TE CVA'!$AB$42)*1</calculatedColumnFormula>
    </tableColumn>
    <tableColumn id="28" xr3:uid="{B48D1BCE-70D3-4566-93AC-3D300D190F67}" name="SUBSIDIO kW - TV" dataDxfId="1272">
      <calculatedColumnFormula>(J2-K2)*V2</calculatedColumnFormula>
    </tableColumn>
    <tableColumn id="29" xr3:uid="{7F086C5D-7AE8-4EBB-9B4C-19303A3144A6}" name="SUBSIDIO MWh - TV" dataDxfId="1271">
      <calculatedColumnFormula>(L2-M2)*W2+(N2-O2)*X2</calculatedColumnFormula>
    </tableColumn>
    <tableColumn id="30" xr3:uid="{D0DE5CF8-3CF8-42B8-8AD1-76E87A3E0A83}" name="SUBSIDIO kW - TN" dataDxfId="1270">
      <calculatedColumnFormula>(J2-K2)*Y2</calculatedColumnFormula>
    </tableColumn>
    <tableColumn id="31" xr3:uid="{C91F280E-0B60-4CB0-83C2-B2C609E05AE2}" name="SUBSIDIO MWh - TN" dataDxfId="1269">
      <calculatedColumnFormula>(L2-M2)*Z2+(N2-O2)*AA2</calculatedColumnFormula>
    </tableColumn>
    <tableColumn id="32" xr3:uid="{A52BA0E0-130B-4579-AFB0-11E7ADB66096}" name="TIPO" dataDxfId="126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8BE2F8-C4B0-468E-B0B3-0664B8A35F41}" name="TabelaFin" displayName="TabelaFin" ref="B3:AR80" tableType="queryTable" totalsRowShown="0" headerRowDxfId="97" dataDxfId="96" headerRowBorderDxfId="142" tableBorderDxfId="143" totalsRowBorderDxfId="141">
  <autoFilter ref="B3:AR80" xr:uid="{078BE2F8-C4B0-468E-B0B3-0664B8A35F41}"/>
  <sortState xmlns:xlrd2="http://schemas.microsoft.com/office/spreadsheetml/2017/richdata2" ref="B4:AR80">
    <sortCondition ref="B4:B80"/>
    <sortCondition ref="C4:C80"/>
    <sortCondition ref="D4:D80"/>
    <sortCondition ref="E4:E80"/>
    <sortCondition ref="F4:F80"/>
    <sortCondition descending="1" ref="G4:G80"/>
    <sortCondition descending="1" ref="H4:H80"/>
    <sortCondition ref="I4:I80"/>
  </sortState>
  <tableColumns count="43">
    <tableColumn id="44" xr3:uid="{03FDDE17-58CC-49C8-AC96-F16F89107752}" uniqueName="44" name="SUBGRUPO" queryTableFieldId="1" dataDxfId="140"/>
    <tableColumn id="45" xr3:uid="{1A758C0A-775E-4E89-9D35-9DB3B51C63DF}" uniqueName="45" name="MODALIDADE" queryTableFieldId="2" dataDxfId="139"/>
    <tableColumn id="46" xr3:uid="{F730212C-C9A4-47B2-A407-F5D3E521CEFF}" uniqueName="46" name="CLASSE" queryTableFieldId="3" dataDxfId="138"/>
    <tableColumn id="47" xr3:uid="{2FF0433B-0DE7-45A1-93C8-5565EBFEA3D9}" uniqueName="47" name="SUBCLASSE" queryTableFieldId="4" dataDxfId="137"/>
    <tableColumn id="48" xr3:uid="{0F018E41-CC82-400F-8F05-65C5177F644C}" uniqueName="48" name="DETALHE" queryTableFieldId="5" dataDxfId="136"/>
    <tableColumn id="49" xr3:uid="{D08A7552-1A52-4673-92AF-110ED063A971}" uniqueName="49" name="POSTO" queryTableFieldId="6" dataDxfId="135"/>
    <tableColumn id="50" xr3:uid="{57926BB1-3B08-4217-87E7-FE8E5B39913B}" uniqueName="50" name="UNIDADE" queryTableFieldId="7" dataDxfId="134"/>
    <tableColumn id="51" xr3:uid="{6E67A0E1-6C8C-4F90-BFEB-4100DA956F9F}" uniqueName="51" name="ACESSANTE" queryTableFieldId="8" dataDxfId="133"/>
    <tableColumn id="52" xr3:uid="{BC10C378-37B0-4005-A892-65F14362F012}" uniqueName="52" name="Total TUSD" queryTableFieldId="9" dataDxfId="132"/>
    <tableColumn id="53" xr3:uid="{740658AD-4663-4E1A-BAFA-654469028881}" uniqueName="53" name="Total TE" queryTableFieldId="10" dataDxfId="131"/>
    <tableColumn id="54" xr3:uid="{967E29BD-937C-4503-9539-A93C2D3F8E3A}" uniqueName="54" name="TUSD_CDE_COVID" queryTableFieldId="11" dataDxfId="130"/>
    <tableColumn id="55" xr3:uid="{41FD0927-39B5-43D8-92E6-F710FCDF6038}" uniqueName="55" name="TUSD_TFSEE" queryTableFieldId="12" dataDxfId="129"/>
    <tableColumn id="56" xr3:uid="{FFA7A860-72C4-4FAE-A7B0-9DD7F291D190}" uniqueName="56" name="TUSD_PeD" queryTableFieldId="13" dataDxfId="128"/>
    <tableColumn id="57" xr3:uid="{8B0D7382-4B28-41C4-BF1A-CD4A3527694E}" uniqueName="57" name="TUSD_ONS" queryTableFieldId="14" dataDxfId="127"/>
    <tableColumn id="58" xr3:uid="{FCDAB5E8-CA57-4B82-9FC2-DD248124BEC9}" uniqueName="58" name="TUSD_CCC" queryTableFieldId="15" dataDxfId="126"/>
    <tableColumn id="59" xr3:uid="{CFDAC56C-226A-4538-A6D5-41029AA2A0B8}" uniqueName="59" name="TUSD_CDE" queryTableFieldId="16" dataDxfId="125"/>
    <tableColumn id="60" xr3:uid="{DAEA44E0-10CA-46BE-B8A9-BA797B5128BB}" uniqueName="60" name="TUSD_PROINFA" queryTableFieldId="17" dataDxfId="124"/>
    <tableColumn id="61" xr3:uid="{D7C6BC75-D752-4D98-BA6E-2F15F3DB7D09}" uniqueName="61" name="Liminar1" queryTableFieldId="18" dataDxfId="123"/>
    <tableColumn id="62" xr3:uid="{31535BD0-C675-47A5-8F4E-A8B877363D5D}" uniqueName="62" name="TUSD_RB" queryTableFieldId="19" dataDxfId="122"/>
    <tableColumn id="63" xr3:uid="{945822E4-B5FF-4B1E-90BE-49C43629FC46}" uniqueName="63" name="TUSD_FR" queryTableFieldId="20" dataDxfId="121"/>
    <tableColumn id="64" xr3:uid="{F06B1441-3E23-451A-8482-B7CA7CA9076C}" uniqueName="64" name="TUSD_CCT" queryTableFieldId="21" dataDxfId="120"/>
    <tableColumn id="65" xr3:uid="{F3510925-DABF-412E-A4B2-784F3D9085A9}" uniqueName="65" name="TUSD_CCD" queryTableFieldId="22" dataDxfId="119"/>
    <tableColumn id="66" xr3:uid="{AD619648-9A9D-4F94-BBEA-D744E6B59737}" uniqueName="66" name="TUSD_CUSD" queryTableFieldId="23" dataDxfId="118"/>
    <tableColumn id="67" xr3:uid="{063612A1-802A-41FB-B145-2CFD32A251BC}" uniqueName="67" name="TUSDG_T" queryTableFieldId="24" dataDxfId="117"/>
    <tableColumn id="68" xr3:uid="{6BB46E35-B8F8-474A-9D8D-EC5C94710A23}" uniqueName="68" name="TUSDG_ONS" queryTableFieldId="25" dataDxfId="116"/>
    <tableColumn id="69" xr3:uid="{A647B267-5DBD-4CB8-8407-DDA27C9616EA}" uniqueName="69" name="TUSD_FioB" queryTableFieldId="26" dataDxfId="115"/>
    <tableColumn id="70" xr3:uid="{88A0B547-E8CA-47A7-9ED9-BFCCBC39FDDB}" uniqueName="70" name="TUSD Subsidio" queryTableFieldId="27" dataDxfId="114"/>
    <tableColumn id="71" xr3:uid="{8ECCB60C-6E41-467E-9F7F-BD31B7CDCD76}" uniqueName="71" name="TUSD Outros" queryTableFieldId="28" dataDxfId="113"/>
    <tableColumn id="72" xr3:uid="{DE107F5C-FA7F-4FDE-A061-2495A681DD75}" uniqueName="72" name="TUSD_PT" queryTableFieldId="29" dataDxfId="112"/>
    <tableColumn id="73" xr3:uid="{1D2DF086-7CEF-4AAA-B2BC-B1E4026E7F34}" uniqueName="73" name="TUSD_Per_RB_D" queryTableFieldId="30" dataDxfId="111"/>
    <tableColumn id="74" xr3:uid="{EB3DFB26-C716-4939-A6D2-03493625EC29}" uniqueName="74" name="TUSD_PNT" queryTableFieldId="31" dataDxfId="110"/>
    <tableColumn id="75" xr3:uid="{CB9DCAFF-D7E6-4A63-9592-521796F5B872}" uniqueName="75" name="TUSD_RI" queryTableFieldId="32" dataDxfId="109"/>
    <tableColumn id="76" xr3:uid="{DE58A0D7-5256-4D8B-9107-D93FC6E73518}" uniqueName="76" name="TE_CDE_COVID" queryTableFieldId="33" dataDxfId="108"/>
    <tableColumn id="77" xr3:uid="{6504D420-6886-44B1-B6CA-21F46859529C}" uniqueName="77" name="TE_CDE_ELET" queryTableFieldId="34" dataDxfId="107"/>
    <tableColumn id="78" xr3:uid="{625C7B4F-B34B-493C-A84E-78100005B514}" uniqueName="78" name="TE_PeD" queryTableFieldId="35" dataDxfId="106"/>
    <tableColumn id="79" xr3:uid="{76C9CB38-1F6B-4BC9-AA46-E58FF9FAC671}" uniqueName="79" name="TE_ESSERR" queryTableFieldId="36" dataDxfId="105"/>
    <tableColumn id="80" xr3:uid="{2FF55BAD-D91B-40C9-8150-3CEB7C6C40E5}" uniqueName="80" name="TE_CFURH" queryTableFieldId="37" dataDxfId="104"/>
    <tableColumn id="81" xr3:uid="{4C17A330-5FBB-448E-A541-E2E29D13426B}" uniqueName="81" name="TE_ENERGIA" queryTableFieldId="38" dataDxfId="103"/>
    <tableColumn id="82" xr3:uid="{C4B3B5BA-A6F7-4D33-93CE-327BC510E564}" uniqueName="82" name="TE_TRANSPORTE_ITAIPU" queryTableFieldId="39" dataDxfId="102"/>
    <tableColumn id="83" xr3:uid="{5996FBE7-8456-419D-8527-FFB4358E6D0B}" uniqueName="83" name="TE_TUST_ITAIPU" queryTableFieldId="40" dataDxfId="101"/>
    <tableColumn id="84" xr3:uid="{5138F5E9-33D0-480C-BF57-91A10C5D0AD5}" uniqueName="84" name="TE_TUST_CI" queryTableFieldId="41" dataDxfId="100"/>
    <tableColumn id="85" xr3:uid="{0A33AF97-5695-4DDC-BB70-CD311CB2B1BF}" uniqueName="85" name="TE Subsidio" queryTableFieldId="42" dataDxfId="99"/>
    <tableColumn id="86" xr3:uid="{A12E61EA-0B58-4F2D-B9A2-9FE863E11063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FC9D7D-5E0A-4154-A242-1C295FDC07FC}" name="TabelaEc" displayName="TabelaEc" ref="B3:AR80" tableType="queryTable" totalsRowShown="0" headerRowDxfId="49" dataDxfId="48" headerRowBorderDxfId="94" tableBorderDxfId="95" totalsRowBorderDxfId="93">
  <autoFilter ref="B3:AR80" xr:uid="{9AFC9D7D-5E0A-4154-A242-1C295FDC07FC}"/>
  <sortState xmlns:xlrd2="http://schemas.microsoft.com/office/spreadsheetml/2017/richdata2" ref="B4:AR80">
    <sortCondition ref="B4:B80"/>
    <sortCondition ref="C4:C80"/>
    <sortCondition ref="D4:D80"/>
    <sortCondition ref="E4:E80"/>
    <sortCondition ref="F4:F80"/>
    <sortCondition descending="1" ref="G4:G80"/>
    <sortCondition descending="1" ref="H4:H80"/>
    <sortCondition ref="I4:I80"/>
  </sortState>
  <tableColumns count="43">
    <tableColumn id="44" xr3:uid="{93C0539B-E001-4E35-A759-74DD3D90C76C}" uniqueName="44" name="SUBGRUPO" queryTableFieldId="1" dataDxfId="92"/>
    <tableColumn id="45" xr3:uid="{3B2E8F9D-5E08-454C-8E3B-1BF4CEE09951}" uniqueName="45" name="MODALIDADE" queryTableFieldId="2" dataDxfId="91"/>
    <tableColumn id="46" xr3:uid="{9FA3C7DD-AEF7-4870-B5D3-60C70594FAE1}" uniqueName="46" name="CLASSE" queryTableFieldId="3" dataDxfId="90"/>
    <tableColumn id="47" xr3:uid="{96D9B033-F890-45BD-8D2B-AE138E21037F}" uniqueName="47" name="SUBCLASSE" queryTableFieldId="4" dataDxfId="89"/>
    <tableColumn id="48" xr3:uid="{28BB043D-7A5B-41A1-AEED-F3E10ECA9F6E}" uniqueName="48" name="DETALHE" queryTableFieldId="5" dataDxfId="88"/>
    <tableColumn id="49" xr3:uid="{D4A286C4-EC2A-43FA-96DB-AFE517110A18}" uniqueName="49" name="POSTO" queryTableFieldId="6" dataDxfId="87"/>
    <tableColumn id="50" xr3:uid="{8A8F6EB1-22EB-44D8-BD12-1EE6F72F8E78}" uniqueName="50" name="UNIDADE" queryTableFieldId="7" dataDxfId="86"/>
    <tableColumn id="51" xr3:uid="{DAA008DD-EC00-4A54-8622-B58B1DE7E706}" uniqueName="51" name="ACESSANTE" queryTableFieldId="8" dataDxfId="85"/>
    <tableColumn id="52" xr3:uid="{16BFB0B8-AB36-4108-A73D-48227377484A}" uniqueName="52" name="Total TUSD" queryTableFieldId="9" dataDxfId="84"/>
    <tableColumn id="53" xr3:uid="{DB927E15-00F6-462C-8972-B727015E78AA}" uniqueName="53" name="Total TE" queryTableFieldId="10" dataDxfId="83"/>
    <tableColumn id="54" xr3:uid="{B902DF77-B25A-446F-BDDD-31B471473FED}" uniqueName="54" name="TUSD_CDE_COVID" queryTableFieldId="11" dataDxfId="82"/>
    <tableColumn id="55" xr3:uid="{B33396C2-3821-4F4D-A875-F995E0120B23}" uniqueName="55" name="TUSD_TFSEE" queryTableFieldId="12" dataDxfId="81"/>
    <tableColumn id="56" xr3:uid="{263E963F-E07E-49B6-A8C7-06A5F08EB959}" uniqueName="56" name="TUSD_PeD" queryTableFieldId="13" dataDxfId="80"/>
    <tableColumn id="57" xr3:uid="{AF75A80D-FDBC-46DD-8183-9697A17D4234}" uniqueName="57" name="TUSD_ONS" queryTableFieldId="14" dataDxfId="79"/>
    <tableColumn id="58" xr3:uid="{153F3611-E6BD-4175-8153-EA0A1EBA423E}" uniqueName="58" name="TUSD_CCC" queryTableFieldId="15" dataDxfId="78"/>
    <tableColumn id="59" xr3:uid="{153CCEC8-3ED7-46EA-9C74-E4FB86E79BAE}" uniqueName="59" name="TUSD_CDE" queryTableFieldId="16" dataDxfId="77"/>
    <tableColumn id="60" xr3:uid="{1F6AB217-9FB9-48F4-83D3-746400AE760C}" uniqueName="60" name="TUSD_PROINFA" queryTableFieldId="17" dataDxfId="76"/>
    <tableColumn id="61" xr3:uid="{D09CDA69-F09C-4DC8-9751-11348AE3C46A}" uniqueName="61" name="Liminar1" queryTableFieldId="18" dataDxfId="75"/>
    <tableColumn id="62" xr3:uid="{BFA1C8A5-AB5E-4CF7-AFE7-A4F7691417AD}" uniqueName="62" name="TUSD_RB" queryTableFieldId="19" dataDxfId="74"/>
    <tableColumn id="63" xr3:uid="{A09BE84D-2050-4440-B83B-55A9EA744496}" uniqueName="63" name="TUSD_FR" queryTableFieldId="20" dataDxfId="73"/>
    <tableColumn id="64" xr3:uid="{789646EA-D7C2-411F-A30A-D351652BCABC}" uniqueName="64" name="TUSD_CCT" queryTableFieldId="21" dataDxfId="72"/>
    <tableColumn id="65" xr3:uid="{1F319B4C-D07F-4708-82D7-E3D8671A405F}" uniqueName="65" name="TUSD_CCD" queryTableFieldId="22" dataDxfId="71"/>
    <tableColumn id="66" xr3:uid="{8509A0C2-44AF-47FB-8303-C6697B2CB199}" uniqueName="66" name="TUSD_CUSD" queryTableFieldId="23" dataDxfId="70"/>
    <tableColumn id="67" xr3:uid="{B5AA613D-1FEE-4D90-A943-FBE031A5B999}" uniqueName="67" name="TUSDG_T" queryTableFieldId="24" dataDxfId="69"/>
    <tableColumn id="68" xr3:uid="{D2EAFB1A-446A-43AF-9C4E-16707A824912}" uniqueName="68" name="TUSDG_ONS" queryTableFieldId="25" dataDxfId="68"/>
    <tableColumn id="69" xr3:uid="{E4551504-2DDE-4C6B-B14E-2D6A711E63F7}" uniqueName="69" name="TUSD_FioB" queryTableFieldId="26" dataDxfId="67"/>
    <tableColumn id="70" xr3:uid="{66A14B07-1F10-43E2-AFFF-94C652775291}" uniqueName="70" name="TUSD Subsidio" queryTableFieldId="27" dataDxfId="66"/>
    <tableColumn id="71" xr3:uid="{F81C2D03-1BF2-462C-9BAF-99201A4AA316}" uniqueName="71" name="TUSD Outros" queryTableFieldId="28" dataDxfId="65"/>
    <tableColumn id="72" xr3:uid="{B3080894-056A-494F-AC07-637E3A7F3E2B}" uniqueName="72" name="TUSD_PT" queryTableFieldId="29" dataDxfId="64"/>
    <tableColumn id="73" xr3:uid="{0676BADA-D217-4384-B171-6DC338AFF4F2}" uniqueName="73" name="TUSD_Per_RB_D" queryTableFieldId="30" dataDxfId="63"/>
    <tableColumn id="74" xr3:uid="{854FB409-FDC4-4F6B-A076-96C7CC2E1A8D}" uniqueName="74" name="TUSD_PNT" queryTableFieldId="31" dataDxfId="62"/>
    <tableColumn id="75" xr3:uid="{9042073C-79A0-4A92-81F5-5F4A80C6B972}" uniqueName="75" name="TUSD_RI" queryTableFieldId="32" dataDxfId="61"/>
    <tableColumn id="76" xr3:uid="{8E01272D-909B-460C-9115-56B7CC2B1F8E}" uniqueName="76" name="TE_CDE_COVID" queryTableFieldId="33" dataDxfId="60"/>
    <tableColumn id="77" xr3:uid="{EC6FB0CC-C074-4E85-888F-1354A5E77323}" uniqueName="77" name="TE_CDE_ELET" queryTableFieldId="34" dataDxfId="59"/>
    <tableColumn id="78" xr3:uid="{834C6EA0-CD2A-4611-8578-9A8EF4390296}" uniqueName="78" name="TE_PeD" queryTableFieldId="35" dataDxfId="58"/>
    <tableColumn id="79" xr3:uid="{8080FD58-3888-4425-8F50-468FCAC7C4ED}" uniqueName="79" name="TE_ESSERR" queryTableFieldId="36" dataDxfId="57"/>
    <tableColumn id="80" xr3:uid="{027FC00A-4719-4178-B7D8-A36A13E83CD7}" uniqueName="80" name="TE_CFURH" queryTableFieldId="37" dataDxfId="56"/>
    <tableColumn id="81" xr3:uid="{C32F0434-7B1C-468D-841A-282A5DEB7BB9}" uniqueName="81" name="TE_ENERGIA" queryTableFieldId="38" dataDxfId="55"/>
    <tableColumn id="82" xr3:uid="{F1E9494B-49B7-45CE-9BD7-6899717E129D}" uniqueName="82" name="TE_TRANSPORTE_ITAIPU" queryTableFieldId="39" dataDxfId="54"/>
    <tableColumn id="83" xr3:uid="{6B1B11BD-81E3-44CE-9B93-0683811E8360}" uniqueName="83" name="TE_TUST_ITAIPU" queryTableFieldId="40" dataDxfId="53"/>
    <tableColumn id="84" xr3:uid="{FBCAFCFE-0181-4C27-84A3-5E58EB635621}" uniqueName="84" name="TE_TUST_CI" queryTableFieldId="41" dataDxfId="52"/>
    <tableColumn id="85" xr3:uid="{E60B1C76-91ED-4FF3-8CBD-C8A894F4D953}" uniqueName="85" name="TE Subsidio" queryTableFieldId="42" dataDxfId="51"/>
    <tableColumn id="86" xr3:uid="{61F81F87-56A9-4A93-B259-76336A866AE2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4C03292-507D-4F6A-BAC4-183E16E8C72A}" name="TabelaCVA" displayName="TabelaCVA" ref="B3:AR80" tableType="queryTable" totalsRowShown="0" headerRowDxfId="1" dataDxfId="0" headerRowBorderDxfId="46" tableBorderDxfId="47" totalsRowBorderDxfId="45">
  <autoFilter ref="B3:AR80" xr:uid="{D4C03292-507D-4F6A-BAC4-183E16E8C72A}"/>
  <sortState xmlns:xlrd2="http://schemas.microsoft.com/office/spreadsheetml/2017/richdata2" ref="B4:AR80">
    <sortCondition ref="B4:B80"/>
    <sortCondition ref="C4:C80"/>
    <sortCondition ref="D4:D80"/>
    <sortCondition ref="E4:E80"/>
    <sortCondition ref="F4:F80"/>
    <sortCondition descending="1" ref="G4:G80"/>
    <sortCondition descending="1" ref="H4:H80"/>
    <sortCondition ref="I4:I80"/>
  </sortState>
  <tableColumns count="43">
    <tableColumn id="44" xr3:uid="{71F70AFC-1E53-4030-80A2-980573C33D74}" uniqueName="44" name="SUBGRUPO" queryTableFieldId="1" dataDxfId="44"/>
    <tableColumn id="45" xr3:uid="{046A62C2-3DE8-4F06-9A77-EDF1E7C9A553}" uniqueName="45" name="MODALIDADE" queryTableFieldId="2" dataDxfId="43"/>
    <tableColumn id="46" xr3:uid="{E37FF116-2596-447E-AD53-721DF7EE5AED}" uniqueName="46" name="CLASSE" queryTableFieldId="3" dataDxfId="42"/>
    <tableColumn id="47" xr3:uid="{F990E7BB-34AC-4891-8BC1-F631495B8854}" uniqueName="47" name="SUBCLASSE" queryTableFieldId="4" dataDxfId="41"/>
    <tableColumn id="48" xr3:uid="{A5B24BF9-ECFD-4D68-8D73-2ED9CB2F92C6}" uniqueName="48" name="DETALHE" queryTableFieldId="5" dataDxfId="40"/>
    <tableColumn id="49" xr3:uid="{BCF40F53-E222-4D78-B87E-645E17C40EBB}" uniqueName="49" name="POSTO" queryTableFieldId="6" dataDxfId="39"/>
    <tableColumn id="50" xr3:uid="{8E0CB71C-6713-4A68-9114-0CE124496491}" uniqueName="50" name="UNIDADE" queryTableFieldId="7" dataDxfId="38"/>
    <tableColumn id="51" xr3:uid="{440F9E9C-D0AD-419B-AF59-49FF48AF16D3}" uniqueName="51" name="ACESSANTE" queryTableFieldId="8" dataDxfId="37"/>
    <tableColumn id="52" xr3:uid="{3D9D9CF5-BFEA-41A8-826A-D621921206BA}" uniqueName="52" name="Total TUSD" queryTableFieldId="9" dataDxfId="36"/>
    <tableColumn id="53" xr3:uid="{97BD34FB-33A7-49F7-81CD-AD5FE8EE26C2}" uniqueName="53" name="Total TE" queryTableFieldId="10" dataDxfId="35"/>
    <tableColumn id="54" xr3:uid="{3E1E525C-AF09-4CFE-B142-32EE76AD9922}" uniqueName="54" name="TUSD_CDE_COVID" queryTableFieldId="11" dataDxfId="34"/>
    <tableColumn id="55" xr3:uid="{27E1395A-FAA8-487A-8A58-AD20B1270780}" uniqueName="55" name="TUSD_TFSEE" queryTableFieldId="12" dataDxfId="33"/>
    <tableColumn id="56" xr3:uid="{4281D38E-E371-4898-83B3-827C9780E92E}" uniqueName="56" name="TUSD_PeD" queryTableFieldId="13" dataDxfId="32"/>
    <tableColumn id="57" xr3:uid="{767E8995-1D40-4E32-BCE9-CF9B6DDF6058}" uniqueName="57" name="TUSD_ONS" queryTableFieldId="14" dataDxfId="31"/>
    <tableColumn id="58" xr3:uid="{1E6BCB46-C65B-4444-8FCF-42CB2ED64295}" uniqueName="58" name="TUSD_CCC" queryTableFieldId="15" dataDxfId="30"/>
    <tableColumn id="59" xr3:uid="{0C42C5AA-C1CE-48AC-AD67-1CC24A625F6E}" uniqueName="59" name="TUSD_CDE" queryTableFieldId="16" dataDxfId="29"/>
    <tableColumn id="60" xr3:uid="{DB1724B4-DD20-49E1-AD35-74E12D88875A}" uniqueName="60" name="TUSD_PROINFA" queryTableFieldId="17" dataDxfId="28"/>
    <tableColumn id="61" xr3:uid="{A667DD96-CE2C-4A84-8FFB-C82B467C279E}" uniqueName="61" name="Liminar1" queryTableFieldId="18" dataDxfId="27"/>
    <tableColumn id="62" xr3:uid="{19430F7A-14BA-41A4-B0D8-4713F87496C7}" uniqueName="62" name="TUSD_RB" queryTableFieldId="19" dataDxfId="26"/>
    <tableColumn id="63" xr3:uid="{8933AE0D-7074-4C10-BDE9-21576C8F6BB7}" uniqueName="63" name="TUSD_FR" queryTableFieldId="20" dataDxfId="25"/>
    <tableColumn id="64" xr3:uid="{032715F0-DAE2-4BA1-A98F-7D273A50BAFA}" uniqueName="64" name="TUSD_CCT" queryTableFieldId="21" dataDxfId="24"/>
    <tableColumn id="65" xr3:uid="{0607018A-A7A7-4AEE-8789-0E986CCA233C}" uniqueName="65" name="TUSD_CCD" queryTableFieldId="22" dataDxfId="23"/>
    <tableColumn id="66" xr3:uid="{6FB5500A-6132-4D69-B7BB-06140BA56197}" uniqueName="66" name="TUSD_CUSD" queryTableFieldId="23" dataDxfId="22"/>
    <tableColumn id="67" xr3:uid="{8CC033C1-0C40-4876-9F92-61426935B8FC}" uniqueName="67" name="TUSDG_T" queryTableFieldId="24" dataDxfId="21"/>
    <tableColumn id="68" xr3:uid="{151E1012-764C-4F32-A047-D089279DFEA9}" uniqueName="68" name="TUSDG_ONS" queryTableFieldId="25" dataDxfId="20"/>
    <tableColumn id="69" xr3:uid="{BBB38750-9D45-4191-9711-94C8BE5182C4}" uniqueName="69" name="TUSD_FioB" queryTableFieldId="26" dataDxfId="19"/>
    <tableColumn id="70" xr3:uid="{E6A42F29-6821-44EC-860C-E032D9BAD07B}" uniqueName="70" name="TUSD Subsidio" queryTableFieldId="27" dataDxfId="18"/>
    <tableColumn id="71" xr3:uid="{CC20C175-5789-4954-9063-9DFA5391FC5A}" uniqueName="71" name="TUSD Outros" queryTableFieldId="28" dataDxfId="17"/>
    <tableColumn id="72" xr3:uid="{E58DD19F-378A-4231-86FF-181E8993621B}" uniqueName="72" name="TUSD_PT" queryTableFieldId="29" dataDxfId="16"/>
    <tableColumn id="73" xr3:uid="{09FFBD6E-A2BC-4789-8351-0DDC19783999}" uniqueName="73" name="TUSD_Per_RB_D" queryTableFieldId="30" dataDxfId="15"/>
    <tableColumn id="74" xr3:uid="{95DA5D70-3E3A-402E-BA14-F004245CD926}" uniqueName="74" name="TUSD_PNT" queryTableFieldId="31" dataDxfId="14"/>
    <tableColumn id="75" xr3:uid="{AF9F4916-ABA8-4B28-AD56-098936DDD479}" uniqueName="75" name="TUSD_RI" queryTableFieldId="32" dataDxfId="13"/>
    <tableColumn id="76" xr3:uid="{CE82B7EF-D8BA-470B-AE1D-E94C3E566C0E}" uniqueName="76" name="TE_CDE_COVID" queryTableFieldId="33" dataDxfId="12"/>
    <tableColumn id="77" xr3:uid="{53B06DF6-474F-4261-9CEE-B6AECE7913F7}" uniqueName="77" name="TE_CDE_ELET" queryTableFieldId="34" dataDxfId="11"/>
    <tableColumn id="78" xr3:uid="{1BBB0616-E868-4E57-B3FA-379FBD02A2E7}" uniqueName="78" name="TE_PeD" queryTableFieldId="35" dataDxfId="10"/>
    <tableColumn id="79" xr3:uid="{A470A202-181B-49C6-9E27-8FCF668E08D9}" uniqueName="79" name="TE_ESSERR" queryTableFieldId="36" dataDxfId="9"/>
    <tableColumn id="80" xr3:uid="{237E861C-152A-44A2-BF27-B96D486DDFF4}" uniqueName="80" name="TE_CFURH" queryTableFieldId="37" dataDxfId="8"/>
    <tableColumn id="81" xr3:uid="{5ACE0322-5DE4-42E5-A84B-D7DF135F7C02}" uniqueName="81" name="TE_ENERGIA" queryTableFieldId="38" dataDxfId="7"/>
    <tableColumn id="82" xr3:uid="{5CA2494A-8C0D-4E9B-9CA7-74F59BD44B44}" uniqueName="82" name="TE_TRANSPORTE_ITAIPU" queryTableFieldId="39" dataDxfId="6"/>
    <tableColumn id="83" xr3:uid="{682D0C00-DB8B-46FD-A215-F0B91E01E295}" uniqueName="83" name="TE_TUST_ITAIPU" queryTableFieldId="40" dataDxfId="5"/>
    <tableColumn id="84" xr3:uid="{F872C30E-CAAC-48CB-8DDD-34851635823B}" uniqueName="84" name="TE_TUST_CI" queryTableFieldId="41" dataDxfId="4"/>
    <tableColumn id="85" xr3:uid="{5325C31C-9C1E-4F0D-8493-14FE41E2AAC0}" uniqueName="85" name="TE Subsidio" queryTableFieldId="42" dataDxfId="3"/>
    <tableColumn id="86" xr3:uid="{07D7AE53-1E28-4B2E-A5C0-B39928608B72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3EEF-F57C-451A-9CDF-19B0E2464416}">
  <dimension ref="A1:W2022"/>
  <sheetViews>
    <sheetView showGridLines="0" topLeftCell="J2003" workbookViewId="0">
      <selection activeCell="T2023" sqref="T202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6.28515625" style="4" bestFit="1" customWidth="1"/>
    <col min="8" max="8" width="10.28515625" style="4" bestFit="1" customWidth="1"/>
    <col min="9" max="9" width="8.7109375" style="5" bestFit="1" customWidth="1"/>
    <col min="10" max="12" width="7.85546875" style="6" bestFit="1" customWidth="1"/>
    <col min="13" max="13" width="8" style="6" bestFit="1" customWidth="1"/>
    <col min="14" max="15" width="7.85546875" style="6" bestFit="1" customWidth="1"/>
    <col min="16" max="16" width="8.7109375" style="6" bestFit="1" customWidth="1"/>
    <col min="17" max="17" width="11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134</v>
      </c>
      <c r="T1" s="1" t="s">
        <v>686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27</v>
      </c>
      <c r="B2" s="4" t="s">
        <v>59</v>
      </c>
      <c r="C2" s="4" t="s">
        <v>40</v>
      </c>
      <c r="D2" s="4" t="s">
        <v>38</v>
      </c>
      <c r="E2" s="4" t="s">
        <v>25</v>
      </c>
      <c r="F2" s="4" t="s">
        <v>61</v>
      </c>
      <c r="G2" s="4" t="s">
        <v>25</v>
      </c>
      <c r="H2" s="4" t="s">
        <v>25</v>
      </c>
      <c r="I2" s="5">
        <v>44348</v>
      </c>
      <c r="J2" s="6">
        <v>0</v>
      </c>
      <c r="K2" s="6">
        <v>0</v>
      </c>
      <c r="L2" s="6">
        <v>368.01799999999997</v>
      </c>
      <c r="M2" s="6">
        <v>368.01799999999997</v>
      </c>
      <c r="N2" s="6">
        <v>0</v>
      </c>
      <c r="O2" s="6">
        <v>0</v>
      </c>
      <c r="P2" s="6">
        <v>0</v>
      </c>
      <c r="Q2" s="4" t="s">
        <v>62</v>
      </c>
      <c r="R2" s="4">
        <v>0</v>
      </c>
      <c r="S2" s="4" t="s">
        <v>135</v>
      </c>
      <c r="U2" s="4">
        <v>0</v>
      </c>
      <c r="V2" s="4">
        <v>4</v>
      </c>
      <c r="W2" s="4">
        <v>0</v>
      </c>
    </row>
    <row r="3" spans="1:23" ht="11.25" customHeight="1" x14ac:dyDescent="0.25">
      <c r="A3" s="4" t="s">
        <v>27</v>
      </c>
      <c r="B3" s="4" t="s">
        <v>59</v>
      </c>
      <c r="C3" s="4" t="s">
        <v>40</v>
      </c>
      <c r="D3" s="4" t="s">
        <v>38</v>
      </c>
      <c r="E3" s="4" t="s">
        <v>25</v>
      </c>
      <c r="F3" s="4" t="s">
        <v>61</v>
      </c>
      <c r="G3" s="4" t="s">
        <v>25</v>
      </c>
      <c r="H3" s="4" t="s">
        <v>25</v>
      </c>
      <c r="I3" s="5">
        <v>44378</v>
      </c>
      <c r="J3" s="6">
        <v>0</v>
      </c>
      <c r="K3" s="6">
        <v>0</v>
      </c>
      <c r="L3" s="6">
        <v>435.58100000000002</v>
      </c>
      <c r="M3" s="6">
        <v>435.58100000000002</v>
      </c>
      <c r="N3" s="6">
        <v>0</v>
      </c>
      <c r="O3" s="6">
        <v>0</v>
      </c>
      <c r="P3" s="6">
        <v>0</v>
      </c>
      <c r="Q3" s="4" t="s">
        <v>62</v>
      </c>
      <c r="R3" s="4">
        <v>0</v>
      </c>
      <c r="S3" s="4" t="s">
        <v>136</v>
      </c>
      <c r="U3" s="4">
        <v>0</v>
      </c>
      <c r="V3" s="4">
        <v>4</v>
      </c>
      <c r="W3" s="4">
        <v>0</v>
      </c>
    </row>
    <row r="4" spans="1:23" ht="11.25" customHeight="1" x14ac:dyDescent="0.25">
      <c r="A4" s="4" t="s">
        <v>27</v>
      </c>
      <c r="B4" s="4" t="s">
        <v>59</v>
      </c>
      <c r="C4" s="4" t="s">
        <v>40</v>
      </c>
      <c r="D4" s="4" t="s">
        <v>38</v>
      </c>
      <c r="E4" s="4" t="s">
        <v>25</v>
      </c>
      <c r="F4" s="4" t="s">
        <v>61</v>
      </c>
      <c r="G4" s="4" t="s">
        <v>25</v>
      </c>
      <c r="H4" s="4" t="s">
        <v>25</v>
      </c>
      <c r="I4" s="5">
        <v>44409</v>
      </c>
      <c r="J4" s="6">
        <v>0</v>
      </c>
      <c r="K4" s="6">
        <v>0</v>
      </c>
      <c r="L4" s="6">
        <v>362.59100000000001</v>
      </c>
      <c r="M4" s="6">
        <v>362.59100000000001</v>
      </c>
      <c r="N4" s="6">
        <v>0</v>
      </c>
      <c r="O4" s="6">
        <v>0</v>
      </c>
      <c r="P4" s="6">
        <v>0</v>
      </c>
      <c r="Q4" s="4" t="s">
        <v>62</v>
      </c>
      <c r="R4" s="4">
        <v>0</v>
      </c>
      <c r="S4" s="4" t="s">
        <v>137</v>
      </c>
      <c r="U4" s="4">
        <v>0</v>
      </c>
      <c r="V4" s="4">
        <v>4</v>
      </c>
      <c r="W4" s="4">
        <v>0</v>
      </c>
    </row>
    <row r="5" spans="1:23" ht="11.25" customHeight="1" x14ac:dyDescent="0.25">
      <c r="A5" s="4" t="s">
        <v>27</v>
      </c>
      <c r="B5" s="4" t="s">
        <v>59</v>
      </c>
      <c r="C5" s="4" t="s">
        <v>40</v>
      </c>
      <c r="D5" s="4" t="s">
        <v>38</v>
      </c>
      <c r="E5" s="4" t="s">
        <v>25</v>
      </c>
      <c r="F5" s="4" t="s">
        <v>61</v>
      </c>
      <c r="G5" s="4" t="s">
        <v>25</v>
      </c>
      <c r="H5" s="4" t="s">
        <v>25</v>
      </c>
      <c r="I5" s="5">
        <v>44440</v>
      </c>
      <c r="J5" s="6">
        <v>0</v>
      </c>
      <c r="K5" s="6">
        <v>0</v>
      </c>
      <c r="L5" s="6">
        <v>415.55700000000002</v>
      </c>
      <c r="M5" s="6">
        <v>415.55700000000002</v>
      </c>
      <c r="N5" s="6">
        <v>0</v>
      </c>
      <c r="O5" s="6">
        <v>0</v>
      </c>
      <c r="P5" s="6">
        <v>0</v>
      </c>
      <c r="Q5" s="4" t="s">
        <v>62</v>
      </c>
      <c r="R5" s="4">
        <v>0</v>
      </c>
      <c r="S5" s="4" t="s">
        <v>138</v>
      </c>
      <c r="U5" s="4">
        <v>0</v>
      </c>
      <c r="V5" s="4">
        <v>4</v>
      </c>
      <c r="W5" s="4">
        <v>0</v>
      </c>
    </row>
    <row r="6" spans="1:23" ht="11.25" customHeight="1" x14ac:dyDescent="0.25">
      <c r="A6" s="4" t="s">
        <v>27</v>
      </c>
      <c r="B6" s="4" t="s">
        <v>59</v>
      </c>
      <c r="C6" s="4" t="s">
        <v>40</v>
      </c>
      <c r="D6" s="4" t="s">
        <v>38</v>
      </c>
      <c r="E6" s="4" t="s">
        <v>25</v>
      </c>
      <c r="F6" s="4" t="s">
        <v>61</v>
      </c>
      <c r="G6" s="4" t="s">
        <v>25</v>
      </c>
      <c r="H6" s="4" t="s">
        <v>25</v>
      </c>
      <c r="I6" s="5">
        <v>44470</v>
      </c>
      <c r="J6" s="6">
        <v>0</v>
      </c>
      <c r="K6" s="6">
        <v>0</v>
      </c>
      <c r="L6" s="6">
        <v>296.41399999999999</v>
      </c>
      <c r="M6" s="6">
        <v>296.41399999999999</v>
      </c>
      <c r="N6" s="6">
        <v>0</v>
      </c>
      <c r="O6" s="6">
        <v>0</v>
      </c>
      <c r="P6" s="6">
        <v>0</v>
      </c>
      <c r="Q6" s="4" t="s">
        <v>62</v>
      </c>
      <c r="R6" s="4">
        <v>0</v>
      </c>
      <c r="S6" s="4" t="s">
        <v>139</v>
      </c>
      <c r="U6" s="4">
        <v>0</v>
      </c>
      <c r="V6" s="4">
        <v>4</v>
      </c>
      <c r="W6" s="4">
        <v>0</v>
      </c>
    </row>
    <row r="7" spans="1:23" ht="11.25" customHeight="1" x14ac:dyDescent="0.25">
      <c r="A7" s="4" t="s">
        <v>27</v>
      </c>
      <c r="B7" s="4" t="s">
        <v>59</v>
      </c>
      <c r="C7" s="4" t="s">
        <v>40</v>
      </c>
      <c r="D7" s="4" t="s">
        <v>38</v>
      </c>
      <c r="E7" s="4" t="s">
        <v>25</v>
      </c>
      <c r="F7" s="4" t="s">
        <v>61</v>
      </c>
      <c r="G7" s="4" t="s">
        <v>25</v>
      </c>
      <c r="H7" s="4" t="s">
        <v>25</v>
      </c>
      <c r="I7" s="5">
        <v>44501</v>
      </c>
      <c r="J7" s="6">
        <v>0</v>
      </c>
      <c r="K7" s="6">
        <v>0</v>
      </c>
      <c r="L7" s="6">
        <v>345.83499999999998</v>
      </c>
      <c r="M7" s="6">
        <v>345.83499999999998</v>
      </c>
      <c r="N7" s="6">
        <v>0</v>
      </c>
      <c r="O7" s="6">
        <v>0</v>
      </c>
      <c r="P7" s="6">
        <v>0</v>
      </c>
      <c r="Q7" s="4" t="s">
        <v>62</v>
      </c>
      <c r="R7" s="4">
        <v>0</v>
      </c>
      <c r="S7" s="4" t="s">
        <v>140</v>
      </c>
      <c r="U7" s="4">
        <v>0</v>
      </c>
      <c r="V7" s="4">
        <v>4</v>
      </c>
      <c r="W7" s="4">
        <v>0</v>
      </c>
    </row>
    <row r="8" spans="1:23" ht="11.25" customHeight="1" x14ac:dyDescent="0.25">
      <c r="A8" s="4" t="s">
        <v>27</v>
      </c>
      <c r="B8" s="4" t="s">
        <v>59</v>
      </c>
      <c r="C8" s="4" t="s">
        <v>40</v>
      </c>
      <c r="D8" s="4" t="s">
        <v>38</v>
      </c>
      <c r="E8" s="4" t="s">
        <v>25</v>
      </c>
      <c r="F8" s="4" t="s">
        <v>61</v>
      </c>
      <c r="G8" s="4" t="s">
        <v>25</v>
      </c>
      <c r="H8" s="4" t="s">
        <v>25</v>
      </c>
      <c r="I8" s="5">
        <v>44531</v>
      </c>
      <c r="J8" s="6">
        <v>0</v>
      </c>
      <c r="K8" s="6">
        <v>0</v>
      </c>
      <c r="L8" s="6">
        <v>358.99900000000002</v>
      </c>
      <c r="M8" s="6">
        <v>358.99900000000002</v>
      </c>
      <c r="N8" s="6">
        <v>0</v>
      </c>
      <c r="O8" s="6">
        <v>0</v>
      </c>
      <c r="P8" s="6">
        <v>0</v>
      </c>
      <c r="Q8" s="4" t="s">
        <v>62</v>
      </c>
      <c r="R8" s="4">
        <v>0</v>
      </c>
      <c r="S8" s="4" t="s">
        <v>141</v>
      </c>
      <c r="U8" s="4">
        <v>0</v>
      </c>
      <c r="V8" s="4">
        <v>4</v>
      </c>
      <c r="W8" s="4">
        <v>0</v>
      </c>
    </row>
    <row r="9" spans="1:23" ht="11.25" customHeight="1" x14ac:dyDescent="0.25">
      <c r="A9" s="4" t="s">
        <v>27</v>
      </c>
      <c r="B9" s="4" t="s">
        <v>59</v>
      </c>
      <c r="C9" s="4" t="s">
        <v>40</v>
      </c>
      <c r="D9" s="4" t="s">
        <v>38</v>
      </c>
      <c r="E9" s="4" t="s">
        <v>25</v>
      </c>
      <c r="F9" s="4" t="s">
        <v>61</v>
      </c>
      <c r="G9" s="4" t="s">
        <v>25</v>
      </c>
      <c r="H9" s="4" t="s">
        <v>25</v>
      </c>
      <c r="I9" s="5">
        <v>44562</v>
      </c>
      <c r="J9" s="6">
        <v>0</v>
      </c>
      <c r="K9" s="6">
        <v>0</v>
      </c>
      <c r="L9" s="6">
        <v>349.25900000000001</v>
      </c>
      <c r="M9" s="6">
        <v>349.25900000000001</v>
      </c>
      <c r="N9" s="6">
        <v>0</v>
      </c>
      <c r="O9" s="6">
        <v>0</v>
      </c>
      <c r="P9" s="6">
        <v>0</v>
      </c>
      <c r="Q9" s="4" t="s">
        <v>62</v>
      </c>
      <c r="R9" s="4">
        <v>0</v>
      </c>
      <c r="S9" s="4" t="s">
        <v>142</v>
      </c>
      <c r="U9" s="4">
        <v>0</v>
      </c>
      <c r="V9" s="4">
        <v>4</v>
      </c>
      <c r="W9" s="4">
        <v>0</v>
      </c>
    </row>
    <row r="10" spans="1:23" ht="11.25" customHeight="1" x14ac:dyDescent="0.25">
      <c r="A10" s="4" t="s">
        <v>27</v>
      </c>
      <c r="B10" s="4" t="s">
        <v>59</v>
      </c>
      <c r="C10" s="4" t="s">
        <v>40</v>
      </c>
      <c r="D10" s="4" t="s">
        <v>38</v>
      </c>
      <c r="E10" s="4" t="s">
        <v>25</v>
      </c>
      <c r="F10" s="4" t="s">
        <v>61</v>
      </c>
      <c r="G10" s="4" t="s">
        <v>25</v>
      </c>
      <c r="H10" s="4" t="s">
        <v>25</v>
      </c>
      <c r="I10" s="5">
        <v>44593</v>
      </c>
      <c r="J10" s="6">
        <v>0</v>
      </c>
      <c r="K10" s="6">
        <v>0</v>
      </c>
      <c r="L10" s="6">
        <v>435.19299999999998</v>
      </c>
      <c r="M10" s="6">
        <v>435.19299999999998</v>
      </c>
      <c r="N10" s="6">
        <v>0</v>
      </c>
      <c r="O10" s="6">
        <v>0</v>
      </c>
      <c r="P10" s="6">
        <v>0</v>
      </c>
      <c r="Q10" s="4" t="s">
        <v>62</v>
      </c>
      <c r="R10" s="4">
        <v>0</v>
      </c>
      <c r="S10" s="4" t="s">
        <v>143</v>
      </c>
      <c r="U10" s="4">
        <v>0</v>
      </c>
      <c r="V10" s="4">
        <v>4</v>
      </c>
      <c r="W10" s="4">
        <v>0</v>
      </c>
    </row>
    <row r="11" spans="1:23" ht="11.25" customHeight="1" x14ac:dyDescent="0.25">
      <c r="A11" s="4" t="s">
        <v>27</v>
      </c>
      <c r="B11" s="4" t="s">
        <v>59</v>
      </c>
      <c r="C11" s="4" t="s">
        <v>40</v>
      </c>
      <c r="D11" s="4" t="s">
        <v>38</v>
      </c>
      <c r="E11" s="4" t="s">
        <v>25</v>
      </c>
      <c r="F11" s="4" t="s">
        <v>61</v>
      </c>
      <c r="G11" s="4" t="s">
        <v>25</v>
      </c>
      <c r="H11" s="4" t="s">
        <v>25</v>
      </c>
      <c r="I11" s="5">
        <v>44621</v>
      </c>
      <c r="J11" s="6">
        <v>0</v>
      </c>
      <c r="K11" s="6">
        <v>0</v>
      </c>
      <c r="L11" s="6">
        <v>517.96299999999997</v>
      </c>
      <c r="M11" s="6">
        <v>517.96299999999997</v>
      </c>
      <c r="N11" s="6">
        <v>0</v>
      </c>
      <c r="O11" s="6">
        <v>0</v>
      </c>
      <c r="P11" s="6">
        <v>0</v>
      </c>
      <c r="Q11" s="4" t="s">
        <v>62</v>
      </c>
      <c r="R11" s="4">
        <v>0</v>
      </c>
      <c r="S11" s="4" t="s">
        <v>144</v>
      </c>
      <c r="U11" s="4">
        <v>0</v>
      </c>
      <c r="V11" s="4">
        <v>4</v>
      </c>
      <c r="W11" s="4">
        <v>0</v>
      </c>
    </row>
    <row r="12" spans="1:23" ht="11.25" customHeight="1" x14ac:dyDescent="0.25">
      <c r="A12" s="4" t="s">
        <v>27</v>
      </c>
      <c r="B12" s="4" t="s">
        <v>59</v>
      </c>
      <c r="C12" s="4" t="s">
        <v>40</v>
      </c>
      <c r="D12" s="4" t="s">
        <v>38</v>
      </c>
      <c r="E12" s="4" t="s">
        <v>25</v>
      </c>
      <c r="F12" s="4" t="s">
        <v>61</v>
      </c>
      <c r="G12" s="4" t="s">
        <v>25</v>
      </c>
      <c r="H12" s="4" t="s">
        <v>25</v>
      </c>
      <c r="I12" s="5">
        <v>44652</v>
      </c>
      <c r="J12" s="6">
        <v>0</v>
      </c>
      <c r="K12" s="6">
        <v>0</v>
      </c>
      <c r="L12" s="6">
        <v>390.41</v>
      </c>
      <c r="M12" s="6">
        <v>390.41</v>
      </c>
      <c r="N12" s="6">
        <v>0</v>
      </c>
      <c r="O12" s="6">
        <v>0</v>
      </c>
      <c r="P12" s="6">
        <v>0</v>
      </c>
      <c r="Q12" s="4" t="s">
        <v>62</v>
      </c>
      <c r="R12" s="4">
        <v>0</v>
      </c>
      <c r="S12" s="4" t="s">
        <v>145</v>
      </c>
      <c r="U12" s="4">
        <v>0</v>
      </c>
      <c r="V12" s="4">
        <v>4</v>
      </c>
      <c r="W12" s="4">
        <v>0</v>
      </c>
    </row>
    <row r="13" spans="1:23" ht="11.25" customHeight="1" x14ac:dyDescent="0.25">
      <c r="A13" s="4" t="s">
        <v>58</v>
      </c>
      <c r="B13" s="4" t="s">
        <v>59</v>
      </c>
      <c r="C13" s="4" t="s">
        <v>40</v>
      </c>
      <c r="D13" s="4" t="s">
        <v>38</v>
      </c>
      <c r="E13" s="4" t="s">
        <v>25</v>
      </c>
      <c r="F13" s="4" t="s">
        <v>61</v>
      </c>
      <c r="G13" s="4" t="s">
        <v>25</v>
      </c>
      <c r="H13" s="4" t="s">
        <v>25</v>
      </c>
      <c r="I13" s="5">
        <v>44682</v>
      </c>
      <c r="J13" s="6">
        <v>0</v>
      </c>
      <c r="K13" s="6">
        <v>0</v>
      </c>
      <c r="L13" s="6">
        <v>390.41</v>
      </c>
      <c r="M13" s="6">
        <v>390.41</v>
      </c>
      <c r="N13" s="6">
        <v>0</v>
      </c>
      <c r="O13" s="6">
        <v>0</v>
      </c>
      <c r="P13" s="6">
        <v>0</v>
      </c>
      <c r="Q13" s="4" t="s">
        <v>62</v>
      </c>
      <c r="R13" s="4">
        <v>0</v>
      </c>
      <c r="S13" s="4" t="s">
        <v>146</v>
      </c>
      <c r="U13" s="4">
        <v>0</v>
      </c>
      <c r="V13" s="4">
        <v>4</v>
      </c>
      <c r="W13" s="4">
        <v>0</v>
      </c>
    </row>
    <row r="14" spans="1:23" ht="11.25" customHeight="1" x14ac:dyDescent="0.25">
      <c r="A14" s="4" t="s">
        <v>21</v>
      </c>
      <c r="B14" s="4" t="s">
        <v>59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44348</v>
      </c>
      <c r="J14" s="6">
        <v>12600</v>
      </c>
      <c r="K14" s="6">
        <v>12600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60</v>
      </c>
      <c r="R14" s="4">
        <v>0</v>
      </c>
      <c r="S14" s="4" t="s">
        <v>147</v>
      </c>
      <c r="U14" s="4">
        <v>2</v>
      </c>
      <c r="V14" s="4">
        <v>0</v>
      </c>
      <c r="W14" s="4">
        <v>0</v>
      </c>
    </row>
    <row r="15" spans="1:23" ht="11.25" customHeight="1" x14ac:dyDescent="0.25">
      <c r="A15" s="4" t="s">
        <v>21</v>
      </c>
      <c r="B15" s="4" t="s">
        <v>59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44378</v>
      </c>
      <c r="J15" s="6">
        <v>12600</v>
      </c>
      <c r="K15" s="6">
        <v>12600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60</v>
      </c>
      <c r="R15" s="4">
        <v>0</v>
      </c>
      <c r="S15" s="4" t="s">
        <v>148</v>
      </c>
      <c r="U15" s="4">
        <v>2</v>
      </c>
      <c r="V15" s="4">
        <v>0</v>
      </c>
      <c r="W15" s="4">
        <v>0</v>
      </c>
    </row>
    <row r="16" spans="1:23" ht="11.25" customHeight="1" x14ac:dyDescent="0.25">
      <c r="A16" s="4" t="s">
        <v>21</v>
      </c>
      <c r="B16" s="4" t="s">
        <v>59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44409</v>
      </c>
      <c r="J16" s="6">
        <v>12600</v>
      </c>
      <c r="K16" s="6">
        <v>12600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60</v>
      </c>
      <c r="R16" s="4">
        <v>0</v>
      </c>
      <c r="S16" s="4" t="s">
        <v>149</v>
      </c>
      <c r="U16" s="4">
        <v>2</v>
      </c>
      <c r="V16" s="4">
        <v>0</v>
      </c>
      <c r="W16" s="4">
        <v>0</v>
      </c>
    </row>
    <row r="17" spans="1:23" ht="11.25" customHeight="1" x14ac:dyDescent="0.25">
      <c r="A17" s="4" t="s">
        <v>21</v>
      </c>
      <c r="B17" s="4" t="s">
        <v>59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44440</v>
      </c>
      <c r="J17" s="6">
        <v>12600</v>
      </c>
      <c r="K17" s="6">
        <v>12600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60</v>
      </c>
      <c r="R17" s="4">
        <v>0</v>
      </c>
      <c r="S17" s="4" t="s">
        <v>150</v>
      </c>
      <c r="U17" s="4">
        <v>2</v>
      </c>
      <c r="V17" s="4">
        <v>0</v>
      </c>
      <c r="W17" s="4">
        <v>0</v>
      </c>
    </row>
    <row r="18" spans="1:23" ht="11.25" customHeight="1" x14ac:dyDescent="0.25">
      <c r="A18" s="4" t="s">
        <v>21</v>
      </c>
      <c r="B18" s="4" t="s">
        <v>59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44470</v>
      </c>
      <c r="J18" s="6">
        <v>12600</v>
      </c>
      <c r="K18" s="6">
        <v>12600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60</v>
      </c>
      <c r="R18" s="4">
        <v>0</v>
      </c>
      <c r="S18" s="4" t="s">
        <v>151</v>
      </c>
      <c r="U18" s="4">
        <v>2</v>
      </c>
      <c r="V18" s="4">
        <v>0</v>
      </c>
      <c r="W18" s="4">
        <v>0</v>
      </c>
    </row>
    <row r="19" spans="1:23" ht="11.25" customHeight="1" x14ac:dyDescent="0.25">
      <c r="A19" s="4" t="s">
        <v>21</v>
      </c>
      <c r="B19" s="4" t="s">
        <v>59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44501</v>
      </c>
      <c r="J19" s="6">
        <v>12600</v>
      </c>
      <c r="K19" s="6">
        <v>12600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60</v>
      </c>
      <c r="R19" s="4">
        <v>0</v>
      </c>
      <c r="S19" s="4" t="s">
        <v>152</v>
      </c>
      <c r="U19" s="4">
        <v>2</v>
      </c>
      <c r="V19" s="4">
        <v>0</v>
      </c>
      <c r="W19" s="4">
        <v>0</v>
      </c>
    </row>
    <row r="20" spans="1:23" ht="11.25" customHeight="1" x14ac:dyDescent="0.25">
      <c r="A20" s="4" t="s">
        <v>21</v>
      </c>
      <c r="B20" s="4" t="s">
        <v>59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44531</v>
      </c>
      <c r="J20" s="6">
        <v>12600</v>
      </c>
      <c r="K20" s="6">
        <v>12600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60</v>
      </c>
      <c r="R20" s="4">
        <v>0</v>
      </c>
      <c r="S20" s="4" t="s">
        <v>153</v>
      </c>
      <c r="U20" s="4">
        <v>2</v>
      </c>
      <c r="V20" s="4">
        <v>0</v>
      </c>
      <c r="W20" s="4">
        <v>0</v>
      </c>
    </row>
    <row r="21" spans="1:23" ht="11.25" customHeight="1" x14ac:dyDescent="0.25">
      <c r="A21" s="4" t="s">
        <v>21</v>
      </c>
      <c r="B21" s="4" t="s">
        <v>59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44562</v>
      </c>
      <c r="J21" s="6">
        <v>12600</v>
      </c>
      <c r="K21" s="6">
        <v>12600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60</v>
      </c>
      <c r="R21" s="4">
        <v>0</v>
      </c>
      <c r="S21" s="4" t="s">
        <v>154</v>
      </c>
      <c r="U21" s="4">
        <v>2</v>
      </c>
      <c r="V21" s="4">
        <v>0</v>
      </c>
      <c r="W21" s="4">
        <v>0</v>
      </c>
    </row>
    <row r="22" spans="1:23" ht="11.25" customHeight="1" x14ac:dyDescent="0.25">
      <c r="A22" s="4" t="s">
        <v>21</v>
      </c>
      <c r="B22" s="4" t="s">
        <v>59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44593</v>
      </c>
      <c r="J22" s="6">
        <v>12600</v>
      </c>
      <c r="K22" s="6">
        <v>12600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60</v>
      </c>
      <c r="R22" s="4">
        <v>0</v>
      </c>
      <c r="S22" s="4" t="s">
        <v>155</v>
      </c>
      <c r="U22" s="4">
        <v>2</v>
      </c>
      <c r="V22" s="4">
        <v>0</v>
      </c>
      <c r="W22" s="4">
        <v>0</v>
      </c>
    </row>
    <row r="23" spans="1:23" ht="11.25" customHeight="1" x14ac:dyDescent="0.25">
      <c r="A23" s="4" t="s">
        <v>21</v>
      </c>
      <c r="B23" s="4" t="s">
        <v>59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44621</v>
      </c>
      <c r="J23" s="6">
        <v>12600</v>
      </c>
      <c r="K23" s="6">
        <v>12600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60</v>
      </c>
      <c r="R23" s="4">
        <v>0</v>
      </c>
      <c r="S23" s="4" t="s">
        <v>156</v>
      </c>
      <c r="U23" s="4">
        <v>2</v>
      </c>
      <c r="V23" s="4">
        <v>0</v>
      </c>
      <c r="W23" s="4">
        <v>0</v>
      </c>
    </row>
    <row r="24" spans="1:23" ht="11.25" customHeight="1" x14ac:dyDescent="0.25">
      <c r="A24" s="4" t="s">
        <v>21</v>
      </c>
      <c r="B24" s="4" t="s">
        <v>59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44652</v>
      </c>
      <c r="J24" s="6">
        <v>12600</v>
      </c>
      <c r="K24" s="6">
        <v>12600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60</v>
      </c>
      <c r="R24" s="4">
        <v>0</v>
      </c>
      <c r="S24" s="4" t="s">
        <v>157</v>
      </c>
      <c r="U24" s="4">
        <v>2</v>
      </c>
      <c r="V24" s="4">
        <v>0</v>
      </c>
      <c r="W24" s="4">
        <v>0</v>
      </c>
    </row>
    <row r="25" spans="1:23" ht="11.25" customHeight="1" x14ac:dyDescent="0.25">
      <c r="A25" s="4" t="s">
        <v>58</v>
      </c>
      <c r="B25" s="4" t="s">
        <v>59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44682</v>
      </c>
      <c r="J25" s="6">
        <v>12600</v>
      </c>
      <c r="K25" s="6">
        <v>12600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60</v>
      </c>
      <c r="R25" s="4">
        <v>0</v>
      </c>
      <c r="S25" s="4" t="s">
        <v>158</v>
      </c>
      <c r="U25" s="4">
        <v>2</v>
      </c>
      <c r="V25" s="4">
        <v>0</v>
      </c>
      <c r="W25" s="4">
        <v>0</v>
      </c>
    </row>
    <row r="26" spans="1:23" ht="11.25" customHeight="1" x14ac:dyDescent="0.25">
      <c r="A26" s="4" t="s">
        <v>21</v>
      </c>
      <c r="B26" s="4" t="s">
        <v>59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25</v>
      </c>
      <c r="I26" s="5">
        <v>44348</v>
      </c>
      <c r="J26" s="6">
        <v>0</v>
      </c>
      <c r="K26" s="6">
        <v>0</v>
      </c>
      <c r="L26" s="6">
        <v>2945.0729999999999</v>
      </c>
      <c r="M26" s="6">
        <v>2945.0729999999999</v>
      </c>
      <c r="N26" s="6">
        <v>0</v>
      </c>
      <c r="O26" s="6">
        <v>0</v>
      </c>
      <c r="P26" s="6">
        <v>2</v>
      </c>
      <c r="Q26" s="4" t="s">
        <v>60</v>
      </c>
      <c r="R26" s="4">
        <v>0</v>
      </c>
      <c r="S26" s="4" t="s">
        <v>159</v>
      </c>
      <c r="U26" s="4">
        <v>0</v>
      </c>
      <c r="V26" s="4">
        <v>3</v>
      </c>
      <c r="W26" s="4">
        <v>0</v>
      </c>
    </row>
    <row r="27" spans="1:23" ht="11.25" customHeight="1" x14ac:dyDescent="0.25">
      <c r="A27" s="4" t="s">
        <v>27</v>
      </c>
      <c r="B27" s="4" t="s">
        <v>59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25</v>
      </c>
      <c r="I27" s="5">
        <v>44348</v>
      </c>
      <c r="J27" s="6">
        <v>0</v>
      </c>
      <c r="K27" s="6">
        <v>0</v>
      </c>
      <c r="L27" s="6">
        <v>-368.01799999999997</v>
      </c>
      <c r="M27" s="6">
        <v>-368.01799999999997</v>
      </c>
      <c r="N27" s="6">
        <v>0</v>
      </c>
      <c r="O27" s="6">
        <v>0</v>
      </c>
      <c r="P27" s="6">
        <v>0</v>
      </c>
      <c r="Q27" s="4" t="s">
        <v>60</v>
      </c>
      <c r="R27" s="4">
        <v>0</v>
      </c>
      <c r="S27" s="4" t="s">
        <v>159</v>
      </c>
      <c r="U27" s="4">
        <v>0</v>
      </c>
      <c r="V27" s="4">
        <v>3</v>
      </c>
      <c r="W27" s="4">
        <v>0</v>
      </c>
    </row>
    <row r="28" spans="1:23" ht="11.25" customHeight="1" x14ac:dyDescent="0.25">
      <c r="A28" s="4" t="s">
        <v>21</v>
      </c>
      <c r="B28" s="4" t="s">
        <v>59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25</v>
      </c>
      <c r="I28" s="5">
        <v>44378</v>
      </c>
      <c r="J28" s="6">
        <v>0</v>
      </c>
      <c r="K28" s="6">
        <v>0</v>
      </c>
      <c r="L28" s="6">
        <v>2919.2620000000002</v>
      </c>
      <c r="M28" s="6">
        <v>2919.2620000000002</v>
      </c>
      <c r="N28" s="6">
        <v>0</v>
      </c>
      <c r="O28" s="6">
        <v>0</v>
      </c>
      <c r="P28" s="6">
        <v>2</v>
      </c>
      <c r="Q28" s="4" t="s">
        <v>60</v>
      </c>
      <c r="R28" s="4">
        <v>0</v>
      </c>
      <c r="S28" s="4" t="s">
        <v>160</v>
      </c>
      <c r="U28" s="4">
        <v>0</v>
      </c>
      <c r="V28" s="4">
        <v>3</v>
      </c>
      <c r="W28" s="4">
        <v>0</v>
      </c>
    </row>
    <row r="29" spans="1:23" ht="11.25" customHeight="1" x14ac:dyDescent="0.25">
      <c r="A29" s="4" t="s">
        <v>27</v>
      </c>
      <c r="B29" s="4" t="s">
        <v>59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25</v>
      </c>
      <c r="I29" s="5">
        <v>44378</v>
      </c>
      <c r="J29" s="6">
        <v>0</v>
      </c>
      <c r="K29" s="6">
        <v>0</v>
      </c>
      <c r="L29" s="6">
        <v>-435.58100000000002</v>
      </c>
      <c r="M29" s="6">
        <v>-435.58100000000002</v>
      </c>
      <c r="N29" s="6">
        <v>0</v>
      </c>
      <c r="O29" s="6">
        <v>0</v>
      </c>
      <c r="P29" s="6">
        <v>0</v>
      </c>
      <c r="Q29" s="4" t="s">
        <v>60</v>
      </c>
      <c r="R29" s="4">
        <v>0</v>
      </c>
      <c r="S29" s="4" t="s">
        <v>160</v>
      </c>
      <c r="U29" s="4">
        <v>0</v>
      </c>
      <c r="V29" s="4">
        <v>3</v>
      </c>
      <c r="W29" s="4">
        <v>0</v>
      </c>
    </row>
    <row r="30" spans="1:23" ht="11.25" customHeight="1" x14ac:dyDescent="0.25">
      <c r="A30" s="4" t="s">
        <v>21</v>
      </c>
      <c r="B30" s="4" t="s">
        <v>59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25</v>
      </c>
      <c r="I30" s="5">
        <v>44409</v>
      </c>
      <c r="J30" s="6">
        <v>0</v>
      </c>
      <c r="K30" s="6">
        <v>0</v>
      </c>
      <c r="L30" s="6">
        <v>2976.7310000000002</v>
      </c>
      <c r="M30" s="6">
        <v>2976.7310000000002</v>
      </c>
      <c r="N30" s="6">
        <v>0</v>
      </c>
      <c r="O30" s="6">
        <v>0</v>
      </c>
      <c r="P30" s="6">
        <v>2</v>
      </c>
      <c r="Q30" s="4" t="s">
        <v>60</v>
      </c>
      <c r="R30" s="4">
        <v>0</v>
      </c>
      <c r="S30" s="4" t="s">
        <v>161</v>
      </c>
      <c r="U30" s="4">
        <v>0</v>
      </c>
      <c r="V30" s="4">
        <v>3</v>
      </c>
      <c r="W30" s="4">
        <v>0</v>
      </c>
    </row>
    <row r="31" spans="1:23" ht="11.25" customHeight="1" x14ac:dyDescent="0.25">
      <c r="A31" s="4" t="s">
        <v>27</v>
      </c>
      <c r="B31" s="4" t="s">
        <v>59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25</v>
      </c>
      <c r="I31" s="5">
        <v>44409</v>
      </c>
      <c r="J31" s="6">
        <v>0</v>
      </c>
      <c r="K31" s="6">
        <v>0</v>
      </c>
      <c r="L31" s="6">
        <v>-362.59100000000001</v>
      </c>
      <c r="M31" s="6">
        <v>-362.59100000000001</v>
      </c>
      <c r="N31" s="6">
        <v>0</v>
      </c>
      <c r="O31" s="6">
        <v>0</v>
      </c>
      <c r="P31" s="6">
        <v>0</v>
      </c>
      <c r="Q31" s="4" t="s">
        <v>60</v>
      </c>
      <c r="R31" s="4">
        <v>0</v>
      </c>
      <c r="S31" s="4" t="s">
        <v>161</v>
      </c>
      <c r="U31" s="4">
        <v>0</v>
      </c>
      <c r="V31" s="4">
        <v>3</v>
      </c>
      <c r="W31" s="4">
        <v>0</v>
      </c>
    </row>
    <row r="32" spans="1:23" ht="11.25" customHeight="1" x14ac:dyDescent="0.25">
      <c r="A32" s="4" t="s">
        <v>21</v>
      </c>
      <c r="B32" s="4" t="s">
        <v>59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25</v>
      </c>
      <c r="I32" s="5">
        <v>44440</v>
      </c>
      <c r="J32" s="6">
        <v>0</v>
      </c>
      <c r="K32" s="6">
        <v>0</v>
      </c>
      <c r="L32" s="6">
        <v>2786.4090000000001</v>
      </c>
      <c r="M32" s="6">
        <v>2786.4090000000001</v>
      </c>
      <c r="N32" s="6">
        <v>0</v>
      </c>
      <c r="O32" s="6">
        <v>0</v>
      </c>
      <c r="P32" s="6">
        <v>2</v>
      </c>
      <c r="Q32" s="4" t="s">
        <v>60</v>
      </c>
      <c r="R32" s="4">
        <v>0</v>
      </c>
      <c r="S32" s="4" t="s">
        <v>162</v>
      </c>
      <c r="U32" s="4">
        <v>0</v>
      </c>
      <c r="V32" s="4">
        <v>3</v>
      </c>
      <c r="W32" s="4">
        <v>0</v>
      </c>
    </row>
    <row r="33" spans="1:23" ht="11.25" customHeight="1" x14ac:dyDescent="0.25">
      <c r="A33" s="4" t="s">
        <v>27</v>
      </c>
      <c r="B33" s="4" t="s">
        <v>59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44440</v>
      </c>
      <c r="J33" s="6">
        <v>0</v>
      </c>
      <c r="K33" s="6">
        <v>0</v>
      </c>
      <c r="L33" s="6">
        <v>-415.55700000000002</v>
      </c>
      <c r="M33" s="6">
        <v>-415.55700000000002</v>
      </c>
      <c r="N33" s="6">
        <v>0</v>
      </c>
      <c r="O33" s="6">
        <v>0</v>
      </c>
      <c r="P33" s="6">
        <v>0</v>
      </c>
      <c r="Q33" s="4" t="s">
        <v>60</v>
      </c>
      <c r="R33" s="4">
        <v>0</v>
      </c>
      <c r="S33" s="4" t="s">
        <v>162</v>
      </c>
      <c r="U33" s="4">
        <v>0</v>
      </c>
      <c r="V33" s="4">
        <v>3</v>
      </c>
      <c r="W33" s="4">
        <v>0</v>
      </c>
    </row>
    <row r="34" spans="1:23" ht="11.25" customHeight="1" x14ac:dyDescent="0.25">
      <c r="A34" s="4" t="s">
        <v>21</v>
      </c>
      <c r="B34" s="4" t="s">
        <v>59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44470</v>
      </c>
      <c r="J34" s="6">
        <v>0</v>
      </c>
      <c r="K34" s="6">
        <v>0</v>
      </c>
      <c r="L34" s="6">
        <v>2562.3009999999999</v>
      </c>
      <c r="M34" s="6">
        <v>2562.3009999999999</v>
      </c>
      <c r="N34" s="6">
        <v>0</v>
      </c>
      <c r="O34" s="6">
        <v>0</v>
      </c>
      <c r="P34" s="6">
        <v>2</v>
      </c>
      <c r="Q34" s="4" t="s">
        <v>60</v>
      </c>
      <c r="R34" s="4">
        <v>0</v>
      </c>
      <c r="S34" s="4" t="s">
        <v>163</v>
      </c>
      <c r="U34" s="4">
        <v>0</v>
      </c>
      <c r="V34" s="4">
        <v>3</v>
      </c>
      <c r="W34" s="4">
        <v>0</v>
      </c>
    </row>
    <row r="35" spans="1:23" ht="11.25" customHeight="1" x14ac:dyDescent="0.25">
      <c r="A35" s="4" t="s">
        <v>27</v>
      </c>
      <c r="B35" s="4" t="s">
        <v>59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44470</v>
      </c>
      <c r="J35" s="6">
        <v>0</v>
      </c>
      <c r="K35" s="6">
        <v>0</v>
      </c>
      <c r="L35" s="6">
        <v>-296.41399999999999</v>
      </c>
      <c r="M35" s="6">
        <v>-296.41399999999999</v>
      </c>
      <c r="N35" s="6">
        <v>0</v>
      </c>
      <c r="O35" s="6">
        <v>0</v>
      </c>
      <c r="P35" s="6">
        <v>0</v>
      </c>
      <c r="Q35" s="4" t="s">
        <v>60</v>
      </c>
      <c r="R35" s="4">
        <v>0</v>
      </c>
      <c r="S35" s="4" t="s">
        <v>163</v>
      </c>
      <c r="U35" s="4">
        <v>0</v>
      </c>
      <c r="V35" s="4">
        <v>3</v>
      </c>
      <c r="W35" s="4">
        <v>0</v>
      </c>
    </row>
    <row r="36" spans="1:23" ht="11.25" customHeight="1" x14ac:dyDescent="0.25">
      <c r="A36" s="4" t="s">
        <v>21</v>
      </c>
      <c r="B36" s="4" t="s">
        <v>59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44501</v>
      </c>
      <c r="J36" s="6">
        <v>0</v>
      </c>
      <c r="K36" s="6">
        <v>0</v>
      </c>
      <c r="L36" s="6">
        <v>2968.915</v>
      </c>
      <c r="M36" s="6">
        <v>2968.915</v>
      </c>
      <c r="N36" s="6">
        <v>0</v>
      </c>
      <c r="O36" s="6">
        <v>0</v>
      </c>
      <c r="P36" s="6">
        <v>2</v>
      </c>
      <c r="Q36" s="4" t="s">
        <v>60</v>
      </c>
      <c r="R36" s="4">
        <v>0</v>
      </c>
      <c r="S36" s="4" t="s">
        <v>164</v>
      </c>
      <c r="U36" s="4">
        <v>0</v>
      </c>
      <c r="V36" s="4">
        <v>3</v>
      </c>
      <c r="W36" s="4">
        <v>0</v>
      </c>
    </row>
    <row r="37" spans="1:23" ht="11.25" customHeight="1" x14ac:dyDescent="0.25">
      <c r="A37" s="4" t="s">
        <v>27</v>
      </c>
      <c r="B37" s="4" t="s">
        <v>59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25</v>
      </c>
      <c r="I37" s="5">
        <v>44501</v>
      </c>
      <c r="J37" s="6">
        <v>0</v>
      </c>
      <c r="K37" s="6">
        <v>0</v>
      </c>
      <c r="L37" s="6">
        <v>-345.83499999999998</v>
      </c>
      <c r="M37" s="6">
        <v>-345.83499999999998</v>
      </c>
      <c r="N37" s="6">
        <v>0</v>
      </c>
      <c r="O37" s="6">
        <v>0</v>
      </c>
      <c r="P37" s="6">
        <v>0</v>
      </c>
      <c r="Q37" s="4" t="s">
        <v>60</v>
      </c>
      <c r="R37" s="4">
        <v>0</v>
      </c>
      <c r="S37" s="4" t="s">
        <v>164</v>
      </c>
      <c r="U37" s="4">
        <v>0</v>
      </c>
      <c r="V37" s="4">
        <v>3</v>
      </c>
      <c r="W37" s="4">
        <v>0</v>
      </c>
    </row>
    <row r="38" spans="1:23" ht="11.25" customHeight="1" x14ac:dyDescent="0.25">
      <c r="A38" s="4" t="s">
        <v>21</v>
      </c>
      <c r="B38" s="4" t="s">
        <v>59</v>
      </c>
      <c r="C38" s="4" t="s">
        <v>40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25</v>
      </c>
      <c r="I38" s="5">
        <v>44531</v>
      </c>
      <c r="J38" s="6">
        <v>0</v>
      </c>
      <c r="K38" s="6">
        <v>0</v>
      </c>
      <c r="L38" s="6">
        <v>3127.1439999999998</v>
      </c>
      <c r="M38" s="6">
        <v>3127.1439999999998</v>
      </c>
      <c r="N38" s="6">
        <v>0</v>
      </c>
      <c r="O38" s="6">
        <v>0</v>
      </c>
      <c r="P38" s="6">
        <v>2</v>
      </c>
      <c r="Q38" s="4" t="s">
        <v>60</v>
      </c>
      <c r="R38" s="4">
        <v>0</v>
      </c>
      <c r="S38" s="4" t="s">
        <v>165</v>
      </c>
      <c r="U38" s="4">
        <v>0</v>
      </c>
      <c r="V38" s="4">
        <v>3</v>
      </c>
      <c r="W38" s="4">
        <v>0</v>
      </c>
    </row>
    <row r="39" spans="1:23" ht="11.25" customHeight="1" x14ac:dyDescent="0.25">
      <c r="A39" s="4" t="s">
        <v>27</v>
      </c>
      <c r="B39" s="4" t="s">
        <v>59</v>
      </c>
      <c r="C39" s="4" t="s">
        <v>40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25</v>
      </c>
      <c r="I39" s="5">
        <v>44531</v>
      </c>
      <c r="J39" s="6">
        <v>0</v>
      </c>
      <c r="K39" s="6">
        <v>0</v>
      </c>
      <c r="L39" s="6">
        <v>-358.99900000000002</v>
      </c>
      <c r="M39" s="6">
        <v>-358.99900000000002</v>
      </c>
      <c r="N39" s="6">
        <v>0</v>
      </c>
      <c r="O39" s="6">
        <v>0</v>
      </c>
      <c r="P39" s="6">
        <v>0</v>
      </c>
      <c r="Q39" s="4" t="s">
        <v>60</v>
      </c>
      <c r="R39" s="4">
        <v>0</v>
      </c>
      <c r="S39" s="4" t="s">
        <v>165</v>
      </c>
      <c r="U39" s="4">
        <v>0</v>
      </c>
      <c r="V39" s="4">
        <v>3</v>
      </c>
      <c r="W39" s="4">
        <v>0</v>
      </c>
    </row>
    <row r="40" spans="1:23" ht="11.25" customHeight="1" x14ac:dyDescent="0.25">
      <c r="A40" s="4" t="s">
        <v>21</v>
      </c>
      <c r="B40" s="4" t="s">
        <v>59</v>
      </c>
      <c r="C40" s="4" t="s">
        <v>40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25</v>
      </c>
      <c r="I40" s="5">
        <v>44562</v>
      </c>
      <c r="J40" s="6">
        <v>0</v>
      </c>
      <c r="K40" s="6">
        <v>0</v>
      </c>
      <c r="L40" s="6">
        <v>3105.6559999999999</v>
      </c>
      <c r="M40" s="6">
        <v>3105.6559999999999</v>
      </c>
      <c r="N40" s="6">
        <v>0</v>
      </c>
      <c r="O40" s="6">
        <v>0</v>
      </c>
      <c r="P40" s="6">
        <v>2</v>
      </c>
      <c r="Q40" s="4" t="s">
        <v>60</v>
      </c>
      <c r="R40" s="4">
        <v>0</v>
      </c>
      <c r="S40" s="4" t="s">
        <v>166</v>
      </c>
      <c r="U40" s="4">
        <v>0</v>
      </c>
      <c r="V40" s="4">
        <v>3</v>
      </c>
      <c r="W40" s="4">
        <v>0</v>
      </c>
    </row>
    <row r="41" spans="1:23" ht="11.25" customHeight="1" x14ac:dyDescent="0.25">
      <c r="A41" s="4" t="s">
        <v>27</v>
      </c>
      <c r="B41" s="4" t="s">
        <v>59</v>
      </c>
      <c r="C41" s="4" t="s">
        <v>40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25</v>
      </c>
      <c r="I41" s="5">
        <v>44562</v>
      </c>
      <c r="J41" s="6">
        <v>0</v>
      </c>
      <c r="K41" s="6">
        <v>0</v>
      </c>
      <c r="L41" s="6">
        <v>-349.25900000000001</v>
      </c>
      <c r="M41" s="6">
        <v>-349.25900000000001</v>
      </c>
      <c r="N41" s="6">
        <v>0</v>
      </c>
      <c r="O41" s="6">
        <v>0</v>
      </c>
      <c r="P41" s="6">
        <v>0</v>
      </c>
      <c r="Q41" s="4" t="s">
        <v>60</v>
      </c>
      <c r="R41" s="4">
        <v>0</v>
      </c>
      <c r="S41" s="4" t="s">
        <v>166</v>
      </c>
      <c r="U41" s="4">
        <v>0</v>
      </c>
      <c r="V41" s="4">
        <v>3</v>
      </c>
      <c r="W41" s="4">
        <v>0</v>
      </c>
    </row>
    <row r="42" spans="1:23" ht="11.25" customHeight="1" x14ac:dyDescent="0.25">
      <c r="A42" s="4" t="s">
        <v>21</v>
      </c>
      <c r="B42" s="4" t="s">
        <v>59</v>
      </c>
      <c r="C42" s="4" t="s">
        <v>40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25</v>
      </c>
      <c r="I42" s="5">
        <v>44593</v>
      </c>
      <c r="J42" s="6">
        <v>0</v>
      </c>
      <c r="K42" s="6">
        <v>0</v>
      </c>
      <c r="L42" s="6">
        <v>2879.8380000000002</v>
      </c>
      <c r="M42" s="6">
        <v>2879.8380000000002</v>
      </c>
      <c r="N42" s="6">
        <v>0</v>
      </c>
      <c r="O42" s="6">
        <v>0</v>
      </c>
      <c r="P42" s="6">
        <v>2</v>
      </c>
      <c r="Q42" s="4" t="s">
        <v>60</v>
      </c>
      <c r="R42" s="4">
        <v>0</v>
      </c>
      <c r="S42" s="4" t="s">
        <v>167</v>
      </c>
      <c r="U42" s="4">
        <v>0</v>
      </c>
      <c r="V42" s="4">
        <v>3</v>
      </c>
      <c r="W42" s="4">
        <v>0</v>
      </c>
    </row>
    <row r="43" spans="1:23" ht="11.25" customHeight="1" x14ac:dyDescent="0.25">
      <c r="A43" s="4" t="s">
        <v>27</v>
      </c>
      <c r="B43" s="4" t="s">
        <v>59</v>
      </c>
      <c r="C43" s="4" t="s">
        <v>40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25</v>
      </c>
      <c r="I43" s="5">
        <v>44593</v>
      </c>
      <c r="J43" s="6">
        <v>0</v>
      </c>
      <c r="K43" s="6">
        <v>0</v>
      </c>
      <c r="L43" s="6">
        <v>-435.19299999999998</v>
      </c>
      <c r="M43" s="6">
        <v>-435.19299999999998</v>
      </c>
      <c r="N43" s="6">
        <v>0</v>
      </c>
      <c r="O43" s="6">
        <v>0</v>
      </c>
      <c r="P43" s="6">
        <v>0</v>
      </c>
      <c r="Q43" s="4" t="s">
        <v>60</v>
      </c>
      <c r="R43" s="4">
        <v>0</v>
      </c>
      <c r="S43" s="4" t="s">
        <v>167</v>
      </c>
      <c r="U43" s="4">
        <v>0</v>
      </c>
      <c r="V43" s="4">
        <v>3</v>
      </c>
      <c r="W43" s="4">
        <v>0</v>
      </c>
    </row>
    <row r="44" spans="1:23" ht="11.25" customHeight="1" x14ac:dyDescent="0.25">
      <c r="A44" s="4" t="s">
        <v>21</v>
      </c>
      <c r="B44" s="4" t="s">
        <v>59</v>
      </c>
      <c r="C44" s="4" t="s">
        <v>40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25</v>
      </c>
      <c r="I44" s="5">
        <v>44621</v>
      </c>
      <c r="J44" s="6">
        <v>0</v>
      </c>
      <c r="K44" s="6">
        <v>0</v>
      </c>
      <c r="L44" s="6">
        <v>2679.2</v>
      </c>
      <c r="M44" s="6">
        <v>2679.2</v>
      </c>
      <c r="N44" s="6">
        <v>0</v>
      </c>
      <c r="O44" s="6">
        <v>0</v>
      </c>
      <c r="P44" s="6">
        <v>2</v>
      </c>
      <c r="Q44" s="4" t="s">
        <v>60</v>
      </c>
      <c r="R44" s="4">
        <v>0</v>
      </c>
      <c r="S44" s="4" t="s">
        <v>168</v>
      </c>
      <c r="U44" s="4">
        <v>0</v>
      </c>
      <c r="V44" s="4">
        <v>3</v>
      </c>
      <c r="W44" s="4">
        <v>0</v>
      </c>
    </row>
    <row r="45" spans="1:23" ht="11.25" customHeight="1" x14ac:dyDescent="0.25">
      <c r="A45" s="4" t="s">
        <v>27</v>
      </c>
      <c r="B45" s="4" t="s">
        <v>59</v>
      </c>
      <c r="C45" s="4" t="s">
        <v>40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25</v>
      </c>
      <c r="I45" s="5">
        <v>44621</v>
      </c>
      <c r="J45" s="6">
        <v>0</v>
      </c>
      <c r="K45" s="6">
        <v>0</v>
      </c>
      <c r="L45" s="6">
        <v>-517.96299999999997</v>
      </c>
      <c r="M45" s="6">
        <v>-517.96299999999997</v>
      </c>
      <c r="N45" s="6">
        <v>0</v>
      </c>
      <c r="O45" s="6">
        <v>0</v>
      </c>
      <c r="P45" s="6">
        <v>0</v>
      </c>
      <c r="Q45" s="4" t="s">
        <v>60</v>
      </c>
      <c r="R45" s="4">
        <v>0</v>
      </c>
      <c r="S45" s="4" t="s">
        <v>168</v>
      </c>
      <c r="U45" s="4">
        <v>0</v>
      </c>
      <c r="V45" s="4">
        <v>3</v>
      </c>
      <c r="W45" s="4">
        <v>0</v>
      </c>
    </row>
    <row r="46" spans="1:23" ht="11.25" customHeight="1" x14ac:dyDescent="0.25">
      <c r="A46" s="4" t="s">
        <v>21</v>
      </c>
      <c r="B46" s="4" t="s">
        <v>59</v>
      </c>
      <c r="C46" s="4" t="s">
        <v>40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25</v>
      </c>
      <c r="I46" s="5">
        <v>44652</v>
      </c>
      <c r="J46" s="6">
        <v>0</v>
      </c>
      <c r="K46" s="6">
        <v>0</v>
      </c>
      <c r="L46" s="6">
        <v>2958.3780000000002</v>
      </c>
      <c r="M46" s="6">
        <v>2958.3780000000002</v>
      </c>
      <c r="N46" s="6">
        <v>0</v>
      </c>
      <c r="O46" s="6">
        <v>0</v>
      </c>
      <c r="P46" s="6">
        <v>2</v>
      </c>
      <c r="Q46" s="4" t="s">
        <v>60</v>
      </c>
      <c r="R46" s="4">
        <v>0</v>
      </c>
      <c r="S46" s="4" t="s">
        <v>169</v>
      </c>
      <c r="U46" s="4">
        <v>0</v>
      </c>
      <c r="V46" s="4">
        <v>3</v>
      </c>
      <c r="W46" s="4">
        <v>0</v>
      </c>
    </row>
    <row r="47" spans="1:23" ht="11.25" customHeight="1" x14ac:dyDescent="0.25">
      <c r="A47" s="4" t="s">
        <v>27</v>
      </c>
      <c r="B47" s="4" t="s">
        <v>59</v>
      </c>
      <c r="C47" s="4" t="s">
        <v>40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25</v>
      </c>
      <c r="I47" s="5">
        <v>44652</v>
      </c>
      <c r="J47" s="6">
        <v>0</v>
      </c>
      <c r="K47" s="6">
        <v>0</v>
      </c>
      <c r="L47" s="6">
        <v>-390.41</v>
      </c>
      <c r="M47" s="6">
        <v>-390.41</v>
      </c>
      <c r="N47" s="6">
        <v>0</v>
      </c>
      <c r="O47" s="6">
        <v>0</v>
      </c>
      <c r="P47" s="6">
        <v>0</v>
      </c>
      <c r="Q47" s="4" t="s">
        <v>60</v>
      </c>
      <c r="R47" s="4">
        <v>0</v>
      </c>
      <c r="S47" s="4" t="s">
        <v>169</v>
      </c>
      <c r="U47" s="4">
        <v>0</v>
      </c>
      <c r="V47" s="4">
        <v>3</v>
      </c>
      <c r="W47" s="4">
        <v>0</v>
      </c>
    </row>
    <row r="48" spans="1:23" ht="11.25" customHeight="1" x14ac:dyDescent="0.25">
      <c r="A48" s="4" t="s">
        <v>58</v>
      </c>
      <c r="B48" s="4" t="s">
        <v>59</v>
      </c>
      <c r="C48" s="4" t="s">
        <v>40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25</v>
      </c>
      <c r="I48" s="5">
        <v>44682</v>
      </c>
      <c r="J48" s="6">
        <v>0</v>
      </c>
      <c r="K48" s="6">
        <v>0</v>
      </c>
      <c r="L48" s="6">
        <v>2958.3780000000002</v>
      </c>
      <c r="M48" s="6">
        <v>2958.3780000000002</v>
      </c>
      <c r="N48" s="6">
        <v>0</v>
      </c>
      <c r="O48" s="6">
        <v>0</v>
      </c>
      <c r="P48" s="6">
        <v>2</v>
      </c>
      <c r="Q48" s="4" t="s">
        <v>60</v>
      </c>
      <c r="R48" s="4">
        <v>0</v>
      </c>
      <c r="S48" s="4" t="s">
        <v>170</v>
      </c>
      <c r="U48" s="4">
        <v>0</v>
      </c>
      <c r="V48" s="4">
        <v>3</v>
      </c>
      <c r="W48" s="4">
        <v>0</v>
      </c>
    </row>
    <row r="49" spans="1:23" ht="11.25" customHeight="1" x14ac:dyDescent="0.25">
      <c r="A49" s="4" t="s">
        <v>58</v>
      </c>
      <c r="B49" s="4" t="s">
        <v>59</v>
      </c>
      <c r="C49" s="4" t="s">
        <v>40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25</v>
      </c>
      <c r="I49" s="5">
        <v>44682</v>
      </c>
      <c r="J49" s="6">
        <v>0</v>
      </c>
      <c r="K49" s="6">
        <v>0</v>
      </c>
      <c r="L49" s="6">
        <v>-390.41</v>
      </c>
      <c r="M49" s="6">
        <v>-390.41</v>
      </c>
      <c r="N49" s="6">
        <v>0</v>
      </c>
      <c r="O49" s="6">
        <v>0</v>
      </c>
      <c r="P49" s="6">
        <v>0</v>
      </c>
      <c r="Q49" s="4" t="s">
        <v>60</v>
      </c>
      <c r="R49" s="4">
        <v>0</v>
      </c>
      <c r="S49" s="4" t="s">
        <v>170</v>
      </c>
      <c r="U49" s="4">
        <v>0</v>
      </c>
      <c r="V49" s="4">
        <v>3</v>
      </c>
      <c r="W49" s="4">
        <v>0</v>
      </c>
    </row>
    <row r="50" spans="1:23" ht="11.25" customHeight="1" x14ac:dyDescent="0.25">
      <c r="A50" s="4" t="s">
        <v>21</v>
      </c>
      <c r="B50" s="4" t="s">
        <v>59</v>
      </c>
      <c r="C50" s="4" t="s">
        <v>40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44348</v>
      </c>
      <c r="J50" s="6">
        <v>8600</v>
      </c>
      <c r="K50" s="6">
        <v>8600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60</v>
      </c>
      <c r="R50" s="4">
        <v>0</v>
      </c>
      <c r="S50" s="4" t="s">
        <v>171</v>
      </c>
      <c r="U50" s="4">
        <v>1</v>
      </c>
      <c r="V50" s="4">
        <v>0</v>
      </c>
      <c r="W50" s="4">
        <v>0</v>
      </c>
    </row>
    <row r="51" spans="1:23" ht="11.25" customHeight="1" x14ac:dyDescent="0.25">
      <c r="A51" s="4" t="s">
        <v>21</v>
      </c>
      <c r="B51" s="4" t="s">
        <v>59</v>
      </c>
      <c r="C51" s="4" t="s">
        <v>40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44378</v>
      </c>
      <c r="J51" s="6">
        <v>8600</v>
      </c>
      <c r="K51" s="6">
        <v>8600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60</v>
      </c>
      <c r="R51" s="4">
        <v>0</v>
      </c>
      <c r="S51" s="4" t="s">
        <v>172</v>
      </c>
      <c r="U51" s="4">
        <v>1</v>
      </c>
      <c r="V51" s="4">
        <v>0</v>
      </c>
      <c r="W51" s="4">
        <v>0</v>
      </c>
    </row>
    <row r="52" spans="1:23" ht="11.25" customHeight="1" x14ac:dyDescent="0.25">
      <c r="A52" s="4" t="s">
        <v>21</v>
      </c>
      <c r="B52" s="4" t="s">
        <v>59</v>
      </c>
      <c r="C52" s="4" t="s">
        <v>40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44409</v>
      </c>
      <c r="J52" s="6">
        <v>8600</v>
      </c>
      <c r="K52" s="6">
        <v>8600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60</v>
      </c>
      <c r="R52" s="4">
        <v>0</v>
      </c>
      <c r="S52" s="4" t="s">
        <v>173</v>
      </c>
      <c r="U52" s="4">
        <v>1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59</v>
      </c>
      <c r="C53" s="4" t="s">
        <v>40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44440</v>
      </c>
      <c r="J53" s="6">
        <v>8600</v>
      </c>
      <c r="K53" s="6">
        <v>8600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60</v>
      </c>
      <c r="R53" s="4">
        <v>0</v>
      </c>
      <c r="S53" s="4" t="s">
        <v>174</v>
      </c>
      <c r="U53" s="4">
        <v>1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59</v>
      </c>
      <c r="C54" s="4" t="s">
        <v>40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44470</v>
      </c>
      <c r="J54" s="6">
        <v>8600</v>
      </c>
      <c r="K54" s="6">
        <v>8600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60</v>
      </c>
      <c r="R54" s="4">
        <v>0</v>
      </c>
      <c r="S54" s="4" t="s">
        <v>175</v>
      </c>
      <c r="U54" s="4">
        <v>1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59</v>
      </c>
      <c r="C55" s="4" t="s">
        <v>40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44501</v>
      </c>
      <c r="J55" s="6">
        <v>8600</v>
      </c>
      <c r="K55" s="6">
        <v>8600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60</v>
      </c>
      <c r="R55" s="4">
        <v>0</v>
      </c>
      <c r="S55" s="4" t="s">
        <v>176</v>
      </c>
      <c r="U55" s="4">
        <v>1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59</v>
      </c>
      <c r="C56" s="4" t="s">
        <v>40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44531</v>
      </c>
      <c r="J56" s="6">
        <v>8600</v>
      </c>
      <c r="K56" s="6">
        <v>8600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60</v>
      </c>
      <c r="R56" s="4">
        <v>0</v>
      </c>
      <c r="S56" s="4" t="s">
        <v>177</v>
      </c>
      <c r="U56" s="4">
        <v>1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59</v>
      </c>
      <c r="C57" s="4" t="s">
        <v>40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44562</v>
      </c>
      <c r="J57" s="6">
        <v>8600</v>
      </c>
      <c r="K57" s="6">
        <v>8600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60</v>
      </c>
      <c r="R57" s="4">
        <v>0</v>
      </c>
      <c r="S57" s="4" t="s">
        <v>178</v>
      </c>
      <c r="U57" s="4">
        <v>1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59</v>
      </c>
      <c r="C58" s="4" t="s">
        <v>40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44593</v>
      </c>
      <c r="J58" s="6">
        <v>8600</v>
      </c>
      <c r="K58" s="6">
        <v>8600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60</v>
      </c>
      <c r="R58" s="4">
        <v>0</v>
      </c>
      <c r="S58" s="4" t="s">
        <v>179</v>
      </c>
      <c r="U58" s="4">
        <v>1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59</v>
      </c>
      <c r="C59" s="4" t="s">
        <v>40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44621</v>
      </c>
      <c r="J59" s="6">
        <v>8600</v>
      </c>
      <c r="K59" s="6">
        <v>8600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60</v>
      </c>
      <c r="R59" s="4">
        <v>0</v>
      </c>
      <c r="S59" s="4" t="s">
        <v>180</v>
      </c>
      <c r="U59" s="4">
        <v>1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59</v>
      </c>
      <c r="C60" s="4" t="s">
        <v>40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44652</v>
      </c>
      <c r="J60" s="6">
        <v>8600</v>
      </c>
      <c r="K60" s="6">
        <v>8600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60</v>
      </c>
      <c r="R60" s="4">
        <v>0</v>
      </c>
      <c r="S60" s="4" t="s">
        <v>181</v>
      </c>
      <c r="U60" s="4">
        <v>1</v>
      </c>
      <c r="V60" s="4">
        <v>0</v>
      </c>
      <c r="W60" s="4">
        <v>0</v>
      </c>
    </row>
    <row r="61" spans="1:23" ht="11.25" customHeight="1" x14ac:dyDescent="0.25">
      <c r="A61" s="4" t="s">
        <v>58</v>
      </c>
      <c r="B61" s="4" t="s">
        <v>59</v>
      </c>
      <c r="C61" s="4" t="s">
        <v>40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44682</v>
      </c>
      <c r="J61" s="6">
        <v>8600</v>
      </c>
      <c r="K61" s="6">
        <v>8600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60</v>
      </c>
      <c r="R61" s="4">
        <v>0</v>
      </c>
      <c r="S61" s="4" t="s">
        <v>182</v>
      </c>
      <c r="U61" s="4">
        <v>1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59</v>
      </c>
      <c r="C62" s="4" t="s">
        <v>64</v>
      </c>
      <c r="D62" s="4" t="s">
        <v>25</v>
      </c>
      <c r="E62" s="4" t="s">
        <v>25</v>
      </c>
      <c r="F62" s="4" t="s">
        <v>25</v>
      </c>
      <c r="G62" s="4" t="s">
        <v>65</v>
      </c>
      <c r="H62" s="4" t="s">
        <v>25</v>
      </c>
      <c r="I62" s="5">
        <v>44348</v>
      </c>
      <c r="J62" s="6">
        <v>1640</v>
      </c>
      <c r="K62" s="6">
        <v>820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66</v>
      </c>
      <c r="R62" s="4">
        <v>104</v>
      </c>
      <c r="S62" s="4" t="s">
        <v>183</v>
      </c>
      <c r="U62" s="4">
        <v>5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59</v>
      </c>
      <c r="C63" s="4" t="s">
        <v>64</v>
      </c>
      <c r="D63" s="4" t="s">
        <v>25</v>
      </c>
      <c r="E63" s="4" t="s">
        <v>25</v>
      </c>
      <c r="F63" s="4" t="s">
        <v>25</v>
      </c>
      <c r="G63" s="4" t="s">
        <v>67</v>
      </c>
      <c r="H63" s="4" t="s">
        <v>25</v>
      </c>
      <c r="I63" s="5">
        <v>44348</v>
      </c>
      <c r="J63" s="6">
        <v>39500</v>
      </c>
      <c r="K63" s="6">
        <v>24307.692490000001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66</v>
      </c>
      <c r="R63" s="4">
        <v>215</v>
      </c>
      <c r="S63" s="4" t="s">
        <v>184</v>
      </c>
      <c r="U63" s="4">
        <v>6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59</v>
      </c>
      <c r="C64" s="4" t="s">
        <v>64</v>
      </c>
      <c r="D64" s="4" t="s">
        <v>25</v>
      </c>
      <c r="E64" s="4" t="s">
        <v>25</v>
      </c>
      <c r="F64" s="4" t="s">
        <v>25</v>
      </c>
      <c r="G64" s="4" t="s">
        <v>69</v>
      </c>
      <c r="H64" s="4" t="s">
        <v>25</v>
      </c>
      <c r="I64" s="5">
        <v>44348</v>
      </c>
      <c r="J64" s="6">
        <v>22000</v>
      </c>
      <c r="K64" s="6">
        <v>22000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66</v>
      </c>
      <c r="R64" s="4">
        <v>473</v>
      </c>
      <c r="S64" s="4" t="s">
        <v>185</v>
      </c>
      <c r="U64" s="4">
        <v>7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59</v>
      </c>
      <c r="C65" s="4" t="s">
        <v>64</v>
      </c>
      <c r="D65" s="4" t="s">
        <v>25</v>
      </c>
      <c r="E65" s="4" t="s">
        <v>25</v>
      </c>
      <c r="F65" s="4" t="s">
        <v>25</v>
      </c>
      <c r="G65" s="4" t="s">
        <v>72</v>
      </c>
      <c r="H65" s="4" t="s">
        <v>25</v>
      </c>
      <c r="I65" s="5">
        <v>44348</v>
      </c>
      <c r="J65" s="6">
        <v>16500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66</v>
      </c>
      <c r="R65" s="4">
        <v>1047</v>
      </c>
      <c r="S65" s="4" t="s">
        <v>186</v>
      </c>
      <c r="U65" s="4">
        <v>8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59</v>
      </c>
      <c r="C66" s="4" t="s">
        <v>64</v>
      </c>
      <c r="D66" s="4" t="s">
        <v>25</v>
      </c>
      <c r="E66" s="4" t="s">
        <v>25</v>
      </c>
      <c r="F66" s="4" t="s">
        <v>25</v>
      </c>
      <c r="G66" s="4" t="s">
        <v>73</v>
      </c>
      <c r="H66" s="4" t="s">
        <v>25</v>
      </c>
      <c r="I66" s="5">
        <v>44348</v>
      </c>
      <c r="J66" s="6">
        <v>5320</v>
      </c>
      <c r="K66" s="6">
        <v>2660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66</v>
      </c>
      <c r="R66" s="4">
        <v>1078</v>
      </c>
      <c r="S66" s="4" t="s">
        <v>187</v>
      </c>
      <c r="U66" s="4">
        <v>9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59</v>
      </c>
      <c r="C67" s="4" t="s">
        <v>64</v>
      </c>
      <c r="D67" s="4" t="s">
        <v>25</v>
      </c>
      <c r="E67" s="4" t="s">
        <v>25</v>
      </c>
      <c r="F67" s="4" t="s">
        <v>25</v>
      </c>
      <c r="G67" s="4" t="s">
        <v>75</v>
      </c>
      <c r="H67" s="4" t="s">
        <v>25</v>
      </c>
      <c r="I67" s="5">
        <v>44348</v>
      </c>
      <c r="J67" s="6">
        <v>42635</v>
      </c>
      <c r="K67" s="6">
        <v>42635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66</v>
      </c>
      <c r="R67" s="4">
        <v>1276</v>
      </c>
      <c r="S67" s="4" t="s">
        <v>188</v>
      </c>
      <c r="U67" s="4">
        <v>10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59</v>
      </c>
      <c r="C68" s="4" t="s">
        <v>64</v>
      </c>
      <c r="D68" s="4" t="s">
        <v>25</v>
      </c>
      <c r="E68" s="4" t="s">
        <v>25</v>
      </c>
      <c r="F68" s="4" t="s">
        <v>25</v>
      </c>
      <c r="G68" s="4" t="s">
        <v>86</v>
      </c>
      <c r="H68" s="4" t="s">
        <v>25</v>
      </c>
      <c r="I68" s="5">
        <v>44348</v>
      </c>
      <c r="J68" s="6">
        <v>24400</v>
      </c>
      <c r="K68" s="6">
        <v>12200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66</v>
      </c>
      <c r="R68" s="4">
        <v>27532</v>
      </c>
      <c r="S68" s="4" t="s">
        <v>189</v>
      </c>
      <c r="U68" s="4">
        <v>11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59</v>
      </c>
      <c r="C69" s="4" t="s">
        <v>64</v>
      </c>
      <c r="D69" s="4" t="s">
        <v>25</v>
      </c>
      <c r="E69" s="4" t="s">
        <v>25</v>
      </c>
      <c r="F69" s="4" t="s">
        <v>25</v>
      </c>
      <c r="G69" s="4" t="s">
        <v>87</v>
      </c>
      <c r="H69" s="4" t="s">
        <v>25</v>
      </c>
      <c r="I69" s="5">
        <v>44348</v>
      </c>
      <c r="J69" s="6">
        <v>25000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66</v>
      </c>
      <c r="R69" s="4">
        <v>27534</v>
      </c>
      <c r="S69" s="4" t="s">
        <v>190</v>
      </c>
      <c r="U69" s="4">
        <v>12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59</v>
      </c>
      <c r="C70" s="4" t="s">
        <v>64</v>
      </c>
      <c r="D70" s="4" t="s">
        <v>25</v>
      </c>
      <c r="E70" s="4" t="s">
        <v>25</v>
      </c>
      <c r="F70" s="4" t="s">
        <v>25</v>
      </c>
      <c r="G70" s="4" t="s">
        <v>89</v>
      </c>
      <c r="H70" s="4" t="s">
        <v>25</v>
      </c>
      <c r="I70" s="5">
        <v>44348</v>
      </c>
      <c r="J70" s="6">
        <v>12600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66</v>
      </c>
      <c r="R70" s="4">
        <v>27727</v>
      </c>
      <c r="S70" s="4" t="s">
        <v>191</v>
      </c>
      <c r="U70" s="4">
        <v>13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59</v>
      </c>
      <c r="C71" s="4" t="s">
        <v>64</v>
      </c>
      <c r="D71" s="4" t="s">
        <v>25</v>
      </c>
      <c r="E71" s="4" t="s">
        <v>25</v>
      </c>
      <c r="F71" s="4" t="s">
        <v>25</v>
      </c>
      <c r="G71" s="4" t="s">
        <v>92</v>
      </c>
      <c r="H71" s="4" t="s">
        <v>25</v>
      </c>
      <c r="I71" s="5">
        <v>44348</v>
      </c>
      <c r="J71" s="6">
        <v>8100</v>
      </c>
      <c r="K71" s="6">
        <v>4050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66</v>
      </c>
      <c r="R71" s="4">
        <v>30597</v>
      </c>
      <c r="S71" s="4" t="s">
        <v>192</v>
      </c>
      <c r="U71" s="4">
        <v>14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59</v>
      </c>
      <c r="C72" s="4" t="s">
        <v>64</v>
      </c>
      <c r="D72" s="4" t="s">
        <v>25</v>
      </c>
      <c r="E72" s="4" t="s">
        <v>25</v>
      </c>
      <c r="F72" s="4" t="s">
        <v>25</v>
      </c>
      <c r="G72" s="4" t="s">
        <v>65</v>
      </c>
      <c r="H72" s="4" t="s">
        <v>25</v>
      </c>
      <c r="I72" s="5">
        <v>44378</v>
      </c>
      <c r="J72" s="6">
        <v>1640</v>
      </c>
      <c r="K72" s="6">
        <v>820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66</v>
      </c>
      <c r="R72" s="4">
        <v>104</v>
      </c>
      <c r="S72" s="4" t="s">
        <v>193</v>
      </c>
      <c r="U72" s="4">
        <v>5</v>
      </c>
      <c r="V72" s="4">
        <v>0</v>
      </c>
      <c r="W72" s="4">
        <v>0</v>
      </c>
    </row>
    <row r="73" spans="1:23" ht="11.25" customHeight="1" x14ac:dyDescent="0.25">
      <c r="A73" s="4" t="s">
        <v>21</v>
      </c>
      <c r="B73" s="4" t="s">
        <v>59</v>
      </c>
      <c r="C73" s="4" t="s">
        <v>64</v>
      </c>
      <c r="D73" s="4" t="s">
        <v>25</v>
      </c>
      <c r="E73" s="4" t="s">
        <v>25</v>
      </c>
      <c r="F73" s="4" t="s">
        <v>25</v>
      </c>
      <c r="G73" s="4" t="s">
        <v>67</v>
      </c>
      <c r="H73" s="4" t="s">
        <v>25</v>
      </c>
      <c r="I73" s="5">
        <v>44378</v>
      </c>
      <c r="J73" s="6">
        <v>39500</v>
      </c>
      <c r="K73" s="6">
        <v>24307.692490000001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66</v>
      </c>
      <c r="R73" s="4">
        <v>215</v>
      </c>
      <c r="S73" s="4" t="s">
        <v>194</v>
      </c>
      <c r="U73" s="4">
        <v>6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59</v>
      </c>
      <c r="C74" s="4" t="s">
        <v>64</v>
      </c>
      <c r="D74" s="4" t="s">
        <v>25</v>
      </c>
      <c r="E74" s="4" t="s">
        <v>25</v>
      </c>
      <c r="F74" s="4" t="s">
        <v>25</v>
      </c>
      <c r="G74" s="4" t="s">
        <v>69</v>
      </c>
      <c r="H74" s="4" t="s">
        <v>25</v>
      </c>
      <c r="I74" s="5">
        <v>44378</v>
      </c>
      <c r="J74" s="6">
        <v>22000</v>
      </c>
      <c r="K74" s="6">
        <v>22000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66</v>
      </c>
      <c r="R74" s="4">
        <v>473</v>
      </c>
      <c r="S74" s="4" t="s">
        <v>195</v>
      </c>
      <c r="U74" s="4">
        <v>7</v>
      </c>
      <c r="V74" s="4">
        <v>0</v>
      </c>
      <c r="W74" s="4">
        <v>0</v>
      </c>
    </row>
    <row r="75" spans="1:23" ht="11.25" customHeight="1" x14ac:dyDescent="0.25">
      <c r="A75" s="4" t="s">
        <v>21</v>
      </c>
      <c r="B75" s="4" t="s">
        <v>59</v>
      </c>
      <c r="C75" s="4" t="s">
        <v>64</v>
      </c>
      <c r="D75" s="4" t="s">
        <v>25</v>
      </c>
      <c r="E75" s="4" t="s">
        <v>25</v>
      </c>
      <c r="F75" s="4" t="s">
        <v>25</v>
      </c>
      <c r="G75" s="4" t="s">
        <v>72</v>
      </c>
      <c r="H75" s="4" t="s">
        <v>25</v>
      </c>
      <c r="I75" s="5">
        <v>44378</v>
      </c>
      <c r="J75" s="6">
        <v>16500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66</v>
      </c>
      <c r="R75" s="4">
        <v>1047</v>
      </c>
      <c r="S75" s="4" t="s">
        <v>196</v>
      </c>
      <c r="U75" s="4">
        <v>8</v>
      </c>
      <c r="V75" s="4">
        <v>0</v>
      </c>
      <c r="W75" s="4">
        <v>0</v>
      </c>
    </row>
    <row r="76" spans="1:23" ht="11.25" customHeight="1" x14ac:dyDescent="0.25">
      <c r="A76" s="4" t="s">
        <v>21</v>
      </c>
      <c r="B76" s="4" t="s">
        <v>59</v>
      </c>
      <c r="C76" s="4" t="s">
        <v>64</v>
      </c>
      <c r="D76" s="4" t="s">
        <v>25</v>
      </c>
      <c r="E76" s="4" t="s">
        <v>25</v>
      </c>
      <c r="F76" s="4" t="s">
        <v>25</v>
      </c>
      <c r="G76" s="4" t="s">
        <v>73</v>
      </c>
      <c r="H76" s="4" t="s">
        <v>25</v>
      </c>
      <c r="I76" s="5">
        <v>44378</v>
      </c>
      <c r="J76" s="6">
        <v>5320</v>
      </c>
      <c r="K76" s="6">
        <v>2660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66</v>
      </c>
      <c r="R76" s="4">
        <v>1078</v>
      </c>
      <c r="S76" s="4" t="s">
        <v>197</v>
      </c>
      <c r="U76" s="4">
        <v>9</v>
      </c>
      <c r="V76" s="4">
        <v>0</v>
      </c>
      <c r="W76" s="4">
        <v>0</v>
      </c>
    </row>
    <row r="77" spans="1:23" ht="11.25" customHeight="1" x14ac:dyDescent="0.25">
      <c r="A77" s="4" t="s">
        <v>21</v>
      </c>
      <c r="B77" s="4" t="s">
        <v>59</v>
      </c>
      <c r="C77" s="4" t="s">
        <v>64</v>
      </c>
      <c r="D77" s="4" t="s">
        <v>25</v>
      </c>
      <c r="E77" s="4" t="s">
        <v>25</v>
      </c>
      <c r="F77" s="4" t="s">
        <v>25</v>
      </c>
      <c r="G77" s="4" t="s">
        <v>75</v>
      </c>
      <c r="H77" s="4" t="s">
        <v>25</v>
      </c>
      <c r="I77" s="5">
        <v>44378</v>
      </c>
      <c r="J77" s="6">
        <v>43360</v>
      </c>
      <c r="K77" s="6">
        <v>43360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66</v>
      </c>
      <c r="R77" s="4">
        <v>1276</v>
      </c>
      <c r="S77" s="4" t="s">
        <v>198</v>
      </c>
      <c r="U77" s="4">
        <v>10</v>
      </c>
      <c r="V77" s="4">
        <v>0</v>
      </c>
      <c r="W77" s="4">
        <v>0</v>
      </c>
    </row>
    <row r="78" spans="1:23" ht="11.25" customHeight="1" x14ac:dyDescent="0.25">
      <c r="A78" s="4" t="s">
        <v>21</v>
      </c>
      <c r="B78" s="4" t="s">
        <v>59</v>
      </c>
      <c r="C78" s="4" t="s">
        <v>64</v>
      </c>
      <c r="D78" s="4" t="s">
        <v>25</v>
      </c>
      <c r="E78" s="4" t="s">
        <v>25</v>
      </c>
      <c r="F78" s="4" t="s">
        <v>25</v>
      </c>
      <c r="G78" s="4" t="s">
        <v>86</v>
      </c>
      <c r="H78" s="4" t="s">
        <v>25</v>
      </c>
      <c r="I78" s="5">
        <v>44378</v>
      </c>
      <c r="J78" s="6">
        <v>24400</v>
      </c>
      <c r="K78" s="6">
        <v>12200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66</v>
      </c>
      <c r="R78" s="4">
        <v>27532</v>
      </c>
      <c r="S78" s="4" t="s">
        <v>199</v>
      </c>
      <c r="U78" s="4">
        <v>11</v>
      </c>
      <c r="V78" s="4">
        <v>0</v>
      </c>
      <c r="W78" s="4">
        <v>0</v>
      </c>
    </row>
    <row r="79" spans="1:23" ht="11.25" customHeight="1" x14ac:dyDescent="0.25">
      <c r="A79" s="4" t="s">
        <v>21</v>
      </c>
      <c r="B79" s="4" t="s">
        <v>59</v>
      </c>
      <c r="C79" s="4" t="s">
        <v>64</v>
      </c>
      <c r="D79" s="4" t="s">
        <v>25</v>
      </c>
      <c r="E79" s="4" t="s">
        <v>25</v>
      </c>
      <c r="F79" s="4" t="s">
        <v>25</v>
      </c>
      <c r="G79" s="4" t="s">
        <v>87</v>
      </c>
      <c r="H79" s="4" t="s">
        <v>25</v>
      </c>
      <c r="I79" s="5">
        <v>44378</v>
      </c>
      <c r="J79" s="6">
        <v>25000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66</v>
      </c>
      <c r="R79" s="4">
        <v>27534</v>
      </c>
      <c r="S79" s="4" t="s">
        <v>200</v>
      </c>
      <c r="U79" s="4">
        <v>12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59</v>
      </c>
      <c r="C80" s="4" t="s">
        <v>64</v>
      </c>
      <c r="D80" s="4" t="s">
        <v>25</v>
      </c>
      <c r="E80" s="4" t="s">
        <v>25</v>
      </c>
      <c r="F80" s="4" t="s">
        <v>25</v>
      </c>
      <c r="G80" s="4" t="s">
        <v>89</v>
      </c>
      <c r="H80" s="4" t="s">
        <v>25</v>
      </c>
      <c r="I80" s="5">
        <v>44378</v>
      </c>
      <c r="J80" s="6">
        <v>12600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66</v>
      </c>
      <c r="R80" s="4">
        <v>27727</v>
      </c>
      <c r="S80" s="4" t="s">
        <v>201</v>
      </c>
      <c r="U80" s="4">
        <v>13</v>
      </c>
      <c r="V80" s="4">
        <v>0</v>
      </c>
      <c r="W80" s="4">
        <v>0</v>
      </c>
    </row>
    <row r="81" spans="1:23" ht="11.25" customHeight="1" x14ac:dyDescent="0.25">
      <c r="A81" s="4" t="s">
        <v>21</v>
      </c>
      <c r="B81" s="4" t="s">
        <v>59</v>
      </c>
      <c r="C81" s="4" t="s">
        <v>64</v>
      </c>
      <c r="D81" s="4" t="s">
        <v>25</v>
      </c>
      <c r="E81" s="4" t="s">
        <v>25</v>
      </c>
      <c r="F81" s="4" t="s">
        <v>25</v>
      </c>
      <c r="G81" s="4" t="s">
        <v>92</v>
      </c>
      <c r="H81" s="4" t="s">
        <v>25</v>
      </c>
      <c r="I81" s="5">
        <v>44378</v>
      </c>
      <c r="J81" s="6">
        <v>8100</v>
      </c>
      <c r="K81" s="6">
        <v>4050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66</v>
      </c>
      <c r="R81" s="4">
        <v>30597</v>
      </c>
      <c r="S81" s="4" t="s">
        <v>202</v>
      </c>
      <c r="U81" s="4">
        <v>14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59</v>
      </c>
      <c r="C82" s="4" t="s">
        <v>64</v>
      </c>
      <c r="D82" s="4" t="s">
        <v>25</v>
      </c>
      <c r="E82" s="4" t="s">
        <v>25</v>
      </c>
      <c r="F82" s="4" t="s">
        <v>25</v>
      </c>
      <c r="G82" s="4" t="s">
        <v>65</v>
      </c>
      <c r="H82" s="4" t="s">
        <v>25</v>
      </c>
      <c r="I82" s="5">
        <v>44409</v>
      </c>
      <c r="J82" s="6">
        <v>1640</v>
      </c>
      <c r="K82" s="6">
        <v>820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66</v>
      </c>
      <c r="R82" s="4">
        <v>104</v>
      </c>
      <c r="S82" s="4" t="s">
        <v>203</v>
      </c>
      <c r="U82" s="4">
        <v>5</v>
      </c>
      <c r="V82" s="4">
        <v>0</v>
      </c>
      <c r="W82" s="4">
        <v>0</v>
      </c>
    </row>
    <row r="83" spans="1:23" ht="11.25" customHeight="1" x14ac:dyDescent="0.25">
      <c r="A83" s="4" t="s">
        <v>21</v>
      </c>
      <c r="B83" s="4" t="s">
        <v>59</v>
      </c>
      <c r="C83" s="4" t="s">
        <v>64</v>
      </c>
      <c r="D83" s="4" t="s">
        <v>25</v>
      </c>
      <c r="E83" s="4" t="s">
        <v>25</v>
      </c>
      <c r="F83" s="4" t="s">
        <v>25</v>
      </c>
      <c r="G83" s="4" t="s">
        <v>67</v>
      </c>
      <c r="H83" s="4" t="s">
        <v>25</v>
      </c>
      <c r="I83" s="5">
        <v>44409</v>
      </c>
      <c r="J83" s="6">
        <v>39500</v>
      </c>
      <c r="K83" s="6">
        <v>24307.692490000001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66</v>
      </c>
      <c r="R83" s="4">
        <v>215</v>
      </c>
      <c r="S83" s="4" t="s">
        <v>204</v>
      </c>
      <c r="U83" s="4">
        <v>6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59</v>
      </c>
      <c r="C84" s="4" t="s">
        <v>64</v>
      </c>
      <c r="D84" s="4" t="s">
        <v>25</v>
      </c>
      <c r="E84" s="4" t="s">
        <v>25</v>
      </c>
      <c r="F84" s="4" t="s">
        <v>25</v>
      </c>
      <c r="G84" s="4" t="s">
        <v>69</v>
      </c>
      <c r="H84" s="4" t="s">
        <v>25</v>
      </c>
      <c r="I84" s="5">
        <v>44409</v>
      </c>
      <c r="J84" s="6">
        <v>22000</v>
      </c>
      <c r="K84" s="6">
        <v>22000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66</v>
      </c>
      <c r="R84" s="4">
        <v>473</v>
      </c>
      <c r="S84" s="4" t="s">
        <v>205</v>
      </c>
      <c r="U84" s="4">
        <v>7</v>
      </c>
      <c r="V84" s="4">
        <v>0</v>
      </c>
      <c r="W84" s="4">
        <v>0</v>
      </c>
    </row>
    <row r="85" spans="1:23" ht="11.25" customHeight="1" x14ac:dyDescent="0.25">
      <c r="A85" s="4" t="s">
        <v>21</v>
      </c>
      <c r="B85" s="4" t="s">
        <v>59</v>
      </c>
      <c r="C85" s="4" t="s">
        <v>64</v>
      </c>
      <c r="D85" s="4" t="s">
        <v>25</v>
      </c>
      <c r="E85" s="4" t="s">
        <v>25</v>
      </c>
      <c r="F85" s="4" t="s">
        <v>25</v>
      </c>
      <c r="G85" s="4" t="s">
        <v>72</v>
      </c>
      <c r="H85" s="4" t="s">
        <v>25</v>
      </c>
      <c r="I85" s="5">
        <v>44409</v>
      </c>
      <c r="J85" s="6">
        <v>16500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66</v>
      </c>
      <c r="R85" s="4">
        <v>1047</v>
      </c>
      <c r="S85" s="4" t="s">
        <v>206</v>
      </c>
      <c r="U85" s="4">
        <v>8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59</v>
      </c>
      <c r="C86" s="4" t="s">
        <v>64</v>
      </c>
      <c r="D86" s="4" t="s">
        <v>25</v>
      </c>
      <c r="E86" s="4" t="s">
        <v>25</v>
      </c>
      <c r="F86" s="4" t="s">
        <v>25</v>
      </c>
      <c r="G86" s="4" t="s">
        <v>73</v>
      </c>
      <c r="H86" s="4" t="s">
        <v>25</v>
      </c>
      <c r="I86" s="5">
        <v>44409</v>
      </c>
      <c r="J86" s="6">
        <v>5320</v>
      </c>
      <c r="K86" s="6">
        <v>2660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66</v>
      </c>
      <c r="R86" s="4">
        <v>1078</v>
      </c>
      <c r="S86" s="4" t="s">
        <v>207</v>
      </c>
      <c r="U86" s="4">
        <v>9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59</v>
      </c>
      <c r="C87" s="4" t="s">
        <v>64</v>
      </c>
      <c r="D87" s="4" t="s">
        <v>25</v>
      </c>
      <c r="E87" s="4" t="s">
        <v>25</v>
      </c>
      <c r="F87" s="4" t="s">
        <v>25</v>
      </c>
      <c r="G87" s="4" t="s">
        <v>75</v>
      </c>
      <c r="H87" s="4" t="s">
        <v>25</v>
      </c>
      <c r="I87" s="5">
        <v>44409</v>
      </c>
      <c r="J87" s="6">
        <v>43721</v>
      </c>
      <c r="K87" s="6">
        <v>43721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66</v>
      </c>
      <c r="R87" s="4">
        <v>1276</v>
      </c>
      <c r="S87" s="4" t="s">
        <v>208</v>
      </c>
      <c r="U87" s="4">
        <v>10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59</v>
      </c>
      <c r="C88" s="4" t="s">
        <v>64</v>
      </c>
      <c r="D88" s="4" t="s">
        <v>25</v>
      </c>
      <c r="E88" s="4" t="s">
        <v>25</v>
      </c>
      <c r="F88" s="4" t="s">
        <v>25</v>
      </c>
      <c r="G88" s="4" t="s">
        <v>86</v>
      </c>
      <c r="H88" s="4" t="s">
        <v>25</v>
      </c>
      <c r="I88" s="5">
        <v>44409</v>
      </c>
      <c r="J88" s="6">
        <v>24400</v>
      </c>
      <c r="K88" s="6">
        <v>12200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66</v>
      </c>
      <c r="R88" s="4">
        <v>27532</v>
      </c>
      <c r="S88" s="4" t="s">
        <v>209</v>
      </c>
      <c r="U88" s="4">
        <v>11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59</v>
      </c>
      <c r="C89" s="4" t="s">
        <v>64</v>
      </c>
      <c r="D89" s="4" t="s">
        <v>25</v>
      </c>
      <c r="E89" s="4" t="s">
        <v>25</v>
      </c>
      <c r="F89" s="4" t="s">
        <v>25</v>
      </c>
      <c r="G89" s="4" t="s">
        <v>87</v>
      </c>
      <c r="H89" s="4" t="s">
        <v>25</v>
      </c>
      <c r="I89" s="5">
        <v>44409</v>
      </c>
      <c r="J89" s="6">
        <v>25000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66</v>
      </c>
      <c r="R89" s="4">
        <v>27534</v>
      </c>
      <c r="S89" s="4" t="s">
        <v>210</v>
      </c>
      <c r="U89" s="4">
        <v>12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59</v>
      </c>
      <c r="C90" s="4" t="s">
        <v>64</v>
      </c>
      <c r="D90" s="4" t="s">
        <v>25</v>
      </c>
      <c r="E90" s="4" t="s">
        <v>25</v>
      </c>
      <c r="F90" s="4" t="s">
        <v>25</v>
      </c>
      <c r="G90" s="4" t="s">
        <v>89</v>
      </c>
      <c r="H90" s="4" t="s">
        <v>25</v>
      </c>
      <c r="I90" s="5">
        <v>44409</v>
      </c>
      <c r="J90" s="6">
        <v>12600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66</v>
      </c>
      <c r="R90" s="4">
        <v>27727</v>
      </c>
      <c r="S90" s="4" t="s">
        <v>211</v>
      </c>
      <c r="U90" s="4">
        <v>13</v>
      </c>
      <c r="V90" s="4">
        <v>0</v>
      </c>
      <c r="W90" s="4">
        <v>0</v>
      </c>
    </row>
    <row r="91" spans="1:23" ht="11.25" customHeight="1" x14ac:dyDescent="0.25">
      <c r="A91" s="4" t="s">
        <v>21</v>
      </c>
      <c r="B91" s="4" t="s">
        <v>59</v>
      </c>
      <c r="C91" s="4" t="s">
        <v>64</v>
      </c>
      <c r="D91" s="4" t="s">
        <v>25</v>
      </c>
      <c r="E91" s="4" t="s">
        <v>25</v>
      </c>
      <c r="F91" s="4" t="s">
        <v>25</v>
      </c>
      <c r="G91" s="4" t="s">
        <v>92</v>
      </c>
      <c r="H91" s="4" t="s">
        <v>25</v>
      </c>
      <c r="I91" s="5">
        <v>44409</v>
      </c>
      <c r="J91" s="6">
        <v>8100</v>
      </c>
      <c r="K91" s="6">
        <v>4050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66</v>
      </c>
      <c r="R91" s="4">
        <v>30597</v>
      </c>
      <c r="S91" s="4" t="s">
        <v>212</v>
      </c>
      <c r="U91" s="4">
        <v>14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59</v>
      </c>
      <c r="C92" s="4" t="s">
        <v>64</v>
      </c>
      <c r="D92" s="4" t="s">
        <v>25</v>
      </c>
      <c r="E92" s="4" t="s">
        <v>25</v>
      </c>
      <c r="F92" s="4" t="s">
        <v>25</v>
      </c>
      <c r="G92" s="4" t="s">
        <v>65</v>
      </c>
      <c r="H92" s="4" t="s">
        <v>25</v>
      </c>
      <c r="I92" s="5">
        <v>44440</v>
      </c>
      <c r="J92" s="6">
        <v>1640</v>
      </c>
      <c r="K92" s="6">
        <v>820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66</v>
      </c>
      <c r="R92" s="4">
        <v>104</v>
      </c>
      <c r="S92" s="4" t="s">
        <v>213</v>
      </c>
      <c r="U92" s="4">
        <v>5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59</v>
      </c>
      <c r="C93" s="4" t="s">
        <v>64</v>
      </c>
      <c r="D93" s="4" t="s">
        <v>25</v>
      </c>
      <c r="E93" s="4" t="s">
        <v>25</v>
      </c>
      <c r="F93" s="4" t="s">
        <v>25</v>
      </c>
      <c r="G93" s="4" t="s">
        <v>67</v>
      </c>
      <c r="H93" s="4" t="s">
        <v>25</v>
      </c>
      <c r="I93" s="5">
        <v>44440</v>
      </c>
      <c r="J93" s="6">
        <v>39500</v>
      </c>
      <c r="K93" s="6">
        <v>24307.692490000001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66</v>
      </c>
      <c r="R93" s="4">
        <v>215</v>
      </c>
      <c r="S93" s="4" t="s">
        <v>214</v>
      </c>
      <c r="U93" s="4">
        <v>6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59</v>
      </c>
      <c r="C94" s="4" t="s">
        <v>64</v>
      </c>
      <c r="D94" s="4" t="s">
        <v>25</v>
      </c>
      <c r="E94" s="4" t="s">
        <v>25</v>
      </c>
      <c r="F94" s="4" t="s">
        <v>25</v>
      </c>
      <c r="G94" s="4" t="s">
        <v>69</v>
      </c>
      <c r="H94" s="4" t="s">
        <v>25</v>
      </c>
      <c r="I94" s="5">
        <v>44440</v>
      </c>
      <c r="J94" s="6">
        <v>22000</v>
      </c>
      <c r="K94" s="6">
        <v>22000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66</v>
      </c>
      <c r="R94" s="4">
        <v>473</v>
      </c>
      <c r="S94" s="4" t="s">
        <v>215</v>
      </c>
      <c r="U94" s="4">
        <v>7</v>
      </c>
      <c r="V94" s="4">
        <v>0</v>
      </c>
      <c r="W94" s="4">
        <v>0</v>
      </c>
    </row>
    <row r="95" spans="1:23" ht="11.25" customHeight="1" x14ac:dyDescent="0.25">
      <c r="A95" s="4" t="s">
        <v>21</v>
      </c>
      <c r="B95" s="4" t="s">
        <v>59</v>
      </c>
      <c r="C95" s="4" t="s">
        <v>64</v>
      </c>
      <c r="D95" s="4" t="s">
        <v>25</v>
      </c>
      <c r="E95" s="4" t="s">
        <v>25</v>
      </c>
      <c r="F95" s="4" t="s">
        <v>25</v>
      </c>
      <c r="G95" s="4" t="s">
        <v>72</v>
      </c>
      <c r="H95" s="4" t="s">
        <v>25</v>
      </c>
      <c r="I95" s="5">
        <v>44440</v>
      </c>
      <c r="J95" s="6">
        <v>16500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66</v>
      </c>
      <c r="R95" s="4">
        <v>1047</v>
      </c>
      <c r="S95" s="4" t="s">
        <v>216</v>
      </c>
      <c r="U95" s="4">
        <v>8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59</v>
      </c>
      <c r="C96" s="4" t="s">
        <v>64</v>
      </c>
      <c r="D96" s="4" t="s">
        <v>25</v>
      </c>
      <c r="E96" s="4" t="s">
        <v>25</v>
      </c>
      <c r="F96" s="4" t="s">
        <v>25</v>
      </c>
      <c r="G96" s="4" t="s">
        <v>73</v>
      </c>
      <c r="H96" s="4" t="s">
        <v>25</v>
      </c>
      <c r="I96" s="5">
        <v>44440</v>
      </c>
      <c r="J96" s="6">
        <v>5320</v>
      </c>
      <c r="K96" s="6">
        <v>2660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66</v>
      </c>
      <c r="R96" s="4">
        <v>1078</v>
      </c>
      <c r="S96" s="4" t="s">
        <v>217</v>
      </c>
      <c r="U96" s="4">
        <v>9</v>
      </c>
      <c r="V96" s="4">
        <v>0</v>
      </c>
      <c r="W96" s="4">
        <v>0</v>
      </c>
    </row>
    <row r="97" spans="1:23" ht="11.25" customHeight="1" x14ac:dyDescent="0.25">
      <c r="A97" s="4" t="s">
        <v>21</v>
      </c>
      <c r="B97" s="4" t="s">
        <v>59</v>
      </c>
      <c r="C97" s="4" t="s">
        <v>64</v>
      </c>
      <c r="D97" s="4" t="s">
        <v>25</v>
      </c>
      <c r="E97" s="4" t="s">
        <v>25</v>
      </c>
      <c r="F97" s="4" t="s">
        <v>25</v>
      </c>
      <c r="G97" s="4" t="s">
        <v>75</v>
      </c>
      <c r="H97" s="4" t="s">
        <v>25</v>
      </c>
      <c r="I97" s="5">
        <v>44440</v>
      </c>
      <c r="J97" s="6">
        <v>44057</v>
      </c>
      <c r="K97" s="6">
        <v>44057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66</v>
      </c>
      <c r="R97" s="4">
        <v>1276</v>
      </c>
      <c r="S97" s="4" t="s">
        <v>218</v>
      </c>
      <c r="U97" s="4">
        <v>10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59</v>
      </c>
      <c r="C98" s="4" t="s">
        <v>64</v>
      </c>
      <c r="D98" s="4" t="s">
        <v>25</v>
      </c>
      <c r="E98" s="4" t="s">
        <v>25</v>
      </c>
      <c r="F98" s="4" t="s">
        <v>25</v>
      </c>
      <c r="G98" s="4" t="s">
        <v>86</v>
      </c>
      <c r="H98" s="4" t="s">
        <v>25</v>
      </c>
      <c r="I98" s="5">
        <v>44440</v>
      </c>
      <c r="J98" s="6">
        <v>24400</v>
      </c>
      <c r="K98" s="6">
        <v>12200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66</v>
      </c>
      <c r="R98" s="4">
        <v>27532</v>
      </c>
      <c r="S98" s="4" t="s">
        <v>219</v>
      </c>
      <c r="U98" s="4">
        <v>11</v>
      </c>
      <c r="V98" s="4">
        <v>0</v>
      </c>
      <c r="W98" s="4">
        <v>0</v>
      </c>
    </row>
    <row r="99" spans="1:23" ht="11.25" customHeight="1" x14ac:dyDescent="0.25">
      <c r="A99" s="4" t="s">
        <v>21</v>
      </c>
      <c r="B99" s="4" t="s">
        <v>59</v>
      </c>
      <c r="C99" s="4" t="s">
        <v>64</v>
      </c>
      <c r="D99" s="4" t="s">
        <v>25</v>
      </c>
      <c r="E99" s="4" t="s">
        <v>25</v>
      </c>
      <c r="F99" s="4" t="s">
        <v>25</v>
      </c>
      <c r="G99" s="4" t="s">
        <v>87</v>
      </c>
      <c r="H99" s="4" t="s">
        <v>25</v>
      </c>
      <c r="I99" s="5">
        <v>44440</v>
      </c>
      <c r="J99" s="6">
        <v>25000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66</v>
      </c>
      <c r="R99" s="4">
        <v>27534</v>
      </c>
      <c r="S99" s="4" t="s">
        <v>220</v>
      </c>
      <c r="U99" s="4">
        <v>12</v>
      </c>
      <c r="V99" s="4">
        <v>0</v>
      </c>
      <c r="W99" s="4">
        <v>0</v>
      </c>
    </row>
    <row r="100" spans="1:23" ht="11.25" customHeight="1" x14ac:dyDescent="0.25">
      <c r="A100" s="4" t="s">
        <v>21</v>
      </c>
      <c r="B100" s="4" t="s">
        <v>59</v>
      </c>
      <c r="C100" s="4" t="s">
        <v>64</v>
      </c>
      <c r="D100" s="4" t="s">
        <v>25</v>
      </c>
      <c r="E100" s="4" t="s">
        <v>25</v>
      </c>
      <c r="F100" s="4" t="s">
        <v>25</v>
      </c>
      <c r="G100" s="4" t="s">
        <v>89</v>
      </c>
      <c r="H100" s="4" t="s">
        <v>25</v>
      </c>
      <c r="I100" s="5">
        <v>44440</v>
      </c>
      <c r="J100" s="6">
        <v>12600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66</v>
      </c>
      <c r="R100" s="4">
        <v>27727</v>
      </c>
      <c r="S100" s="4" t="s">
        <v>221</v>
      </c>
      <c r="U100" s="4">
        <v>13</v>
      </c>
      <c r="V100" s="4">
        <v>0</v>
      </c>
      <c r="W100" s="4">
        <v>0</v>
      </c>
    </row>
    <row r="101" spans="1:23" ht="11.25" customHeight="1" x14ac:dyDescent="0.25">
      <c r="A101" s="4" t="s">
        <v>21</v>
      </c>
      <c r="B101" s="4" t="s">
        <v>59</v>
      </c>
      <c r="C101" s="4" t="s">
        <v>64</v>
      </c>
      <c r="D101" s="4" t="s">
        <v>25</v>
      </c>
      <c r="E101" s="4" t="s">
        <v>25</v>
      </c>
      <c r="F101" s="4" t="s">
        <v>25</v>
      </c>
      <c r="G101" s="4" t="s">
        <v>92</v>
      </c>
      <c r="H101" s="4" t="s">
        <v>25</v>
      </c>
      <c r="I101" s="5">
        <v>44440</v>
      </c>
      <c r="J101" s="6">
        <v>8100</v>
      </c>
      <c r="K101" s="6">
        <v>4050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66</v>
      </c>
      <c r="R101" s="4">
        <v>30597</v>
      </c>
      <c r="S101" s="4" t="s">
        <v>222</v>
      </c>
      <c r="U101" s="4">
        <v>14</v>
      </c>
      <c r="V101" s="4">
        <v>0</v>
      </c>
      <c r="W101" s="4">
        <v>0</v>
      </c>
    </row>
    <row r="102" spans="1:23" ht="11.25" customHeight="1" x14ac:dyDescent="0.25">
      <c r="A102" s="4" t="s">
        <v>21</v>
      </c>
      <c r="B102" s="4" t="s">
        <v>59</v>
      </c>
      <c r="C102" s="4" t="s">
        <v>64</v>
      </c>
      <c r="D102" s="4" t="s">
        <v>25</v>
      </c>
      <c r="E102" s="4" t="s">
        <v>25</v>
      </c>
      <c r="F102" s="4" t="s">
        <v>25</v>
      </c>
      <c r="G102" s="4" t="s">
        <v>65</v>
      </c>
      <c r="H102" s="4" t="s">
        <v>25</v>
      </c>
      <c r="I102" s="5">
        <v>44470</v>
      </c>
      <c r="J102" s="6">
        <v>1640</v>
      </c>
      <c r="K102" s="6">
        <v>820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66</v>
      </c>
      <c r="R102" s="4">
        <v>104</v>
      </c>
      <c r="S102" s="4" t="s">
        <v>223</v>
      </c>
      <c r="U102" s="4">
        <v>5</v>
      </c>
      <c r="V102" s="4">
        <v>0</v>
      </c>
      <c r="W102" s="4">
        <v>0</v>
      </c>
    </row>
    <row r="103" spans="1:23" ht="11.25" customHeight="1" x14ac:dyDescent="0.25">
      <c r="A103" s="4" t="s">
        <v>21</v>
      </c>
      <c r="B103" s="4" t="s">
        <v>59</v>
      </c>
      <c r="C103" s="4" t="s">
        <v>64</v>
      </c>
      <c r="D103" s="4" t="s">
        <v>25</v>
      </c>
      <c r="E103" s="4" t="s">
        <v>25</v>
      </c>
      <c r="F103" s="4" t="s">
        <v>25</v>
      </c>
      <c r="G103" s="4" t="s">
        <v>67</v>
      </c>
      <c r="H103" s="4" t="s">
        <v>25</v>
      </c>
      <c r="I103" s="5">
        <v>44470</v>
      </c>
      <c r="J103" s="6">
        <v>39500</v>
      </c>
      <c r="K103" s="6">
        <v>24307.692490000001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66</v>
      </c>
      <c r="R103" s="4">
        <v>215</v>
      </c>
      <c r="S103" s="4" t="s">
        <v>224</v>
      </c>
      <c r="U103" s="4">
        <v>6</v>
      </c>
      <c r="V103" s="4">
        <v>0</v>
      </c>
      <c r="W103" s="4">
        <v>0</v>
      </c>
    </row>
    <row r="104" spans="1:23" ht="11.25" customHeight="1" x14ac:dyDescent="0.25">
      <c r="A104" s="4" t="s">
        <v>21</v>
      </c>
      <c r="B104" s="4" t="s">
        <v>59</v>
      </c>
      <c r="C104" s="4" t="s">
        <v>64</v>
      </c>
      <c r="D104" s="4" t="s">
        <v>25</v>
      </c>
      <c r="E104" s="4" t="s">
        <v>25</v>
      </c>
      <c r="F104" s="4" t="s">
        <v>25</v>
      </c>
      <c r="G104" s="4" t="s">
        <v>69</v>
      </c>
      <c r="H104" s="4" t="s">
        <v>25</v>
      </c>
      <c r="I104" s="5">
        <v>44470</v>
      </c>
      <c r="J104" s="6">
        <v>22000</v>
      </c>
      <c r="K104" s="6">
        <v>22000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66</v>
      </c>
      <c r="R104" s="4">
        <v>473</v>
      </c>
      <c r="S104" s="4" t="s">
        <v>225</v>
      </c>
      <c r="U104" s="4">
        <v>7</v>
      </c>
      <c r="V104" s="4">
        <v>0</v>
      </c>
      <c r="W104" s="4">
        <v>0</v>
      </c>
    </row>
    <row r="105" spans="1:23" ht="11.25" customHeight="1" x14ac:dyDescent="0.25">
      <c r="A105" s="4" t="s">
        <v>21</v>
      </c>
      <c r="B105" s="4" t="s">
        <v>59</v>
      </c>
      <c r="C105" s="4" t="s">
        <v>64</v>
      </c>
      <c r="D105" s="4" t="s">
        <v>25</v>
      </c>
      <c r="E105" s="4" t="s">
        <v>25</v>
      </c>
      <c r="F105" s="4" t="s">
        <v>25</v>
      </c>
      <c r="G105" s="4" t="s">
        <v>72</v>
      </c>
      <c r="H105" s="4" t="s">
        <v>25</v>
      </c>
      <c r="I105" s="5">
        <v>44470</v>
      </c>
      <c r="J105" s="6">
        <v>16500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66</v>
      </c>
      <c r="R105" s="4">
        <v>1047</v>
      </c>
      <c r="S105" s="4" t="s">
        <v>226</v>
      </c>
      <c r="U105" s="4">
        <v>8</v>
      </c>
      <c r="V105" s="4">
        <v>0</v>
      </c>
      <c r="W105" s="4">
        <v>0</v>
      </c>
    </row>
    <row r="106" spans="1:23" ht="11.25" customHeight="1" x14ac:dyDescent="0.25">
      <c r="A106" s="4" t="s">
        <v>21</v>
      </c>
      <c r="B106" s="4" t="s">
        <v>59</v>
      </c>
      <c r="C106" s="4" t="s">
        <v>64</v>
      </c>
      <c r="D106" s="4" t="s">
        <v>25</v>
      </c>
      <c r="E106" s="4" t="s">
        <v>25</v>
      </c>
      <c r="F106" s="4" t="s">
        <v>25</v>
      </c>
      <c r="G106" s="4" t="s">
        <v>73</v>
      </c>
      <c r="H106" s="4" t="s">
        <v>25</v>
      </c>
      <c r="I106" s="5">
        <v>44470</v>
      </c>
      <c r="J106" s="6">
        <v>5320</v>
      </c>
      <c r="K106" s="6">
        <v>2660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66</v>
      </c>
      <c r="R106" s="4">
        <v>1078</v>
      </c>
      <c r="S106" s="4" t="s">
        <v>227</v>
      </c>
      <c r="U106" s="4">
        <v>9</v>
      </c>
      <c r="V106" s="4">
        <v>0</v>
      </c>
      <c r="W106" s="4">
        <v>0</v>
      </c>
    </row>
    <row r="107" spans="1:23" ht="11.25" customHeight="1" x14ac:dyDescent="0.25">
      <c r="A107" s="4" t="s">
        <v>21</v>
      </c>
      <c r="B107" s="4" t="s">
        <v>59</v>
      </c>
      <c r="C107" s="4" t="s">
        <v>64</v>
      </c>
      <c r="D107" s="4" t="s">
        <v>25</v>
      </c>
      <c r="E107" s="4" t="s">
        <v>25</v>
      </c>
      <c r="F107" s="4" t="s">
        <v>25</v>
      </c>
      <c r="G107" s="4" t="s">
        <v>75</v>
      </c>
      <c r="H107" s="4" t="s">
        <v>25</v>
      </c>
      <c r="I107" s="5">
        <v>44470</v>
      </c>
      <c r="J107" s="6">
        <v>42500</v>
      </c>
      <c r="K107" s="6">
        <v>42500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66</v>
      </c>
      <c r="R107" s="4">
        <v>1276</v>
      </c>
      <c r="S107" s="4" t="s">
        <v>228</v>
      </c>
      <c r="U107" s="4">
        <v>10</v>
      </c>
      <c r="V107" s="4">
        <v>0</v>
      </c>
      <c r="W107" s="4">
        <v>0</v>
      </c>
    </row>
    <row r="108" spans="1:23" ht="11.25" customHeight="1" x14ac:dyDescent="0.25">
      <c r="A108" s="4" t="s">
        <v>21</v>
      </c>
      <c r="B108" s="4" t="s">
        <v>59</v>
      </c>
      <c r="C108" s="4" t="s">
        <v>64</v>
      </c>
      <c r="D108" s="4" t="s">
        <v>25</v>
      </c>
      <c r="E108" s="4" t="s">
        <v>25</v>
      </c>
      <c r="F108" s="4" t="s">
        <v>25</v>
      </c>
      <c r="G108" s="4" t="s">
        <v>86</v>
      </c>
      <c r="H108" s="4" t="s">
        <v>25</v>
      </c>
      <c r="I108" s="5">
        <v>44470</v>
      </c>
      <c r="J108" s="6">
        <v>24400</v>
      </c>
      <c r="K108" s="6">
        <v>12200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66</v>
      </c>
      <c r="R108" s="4">
        <v>27532</v>
      </c>
      <c r="S108" s="4" t="s">
        <v>229</v>
      </c>
      <c r="U108" s="4">
        <v>11</v>
      </c>
      <c r="V108" s="4">
        <v>0</v>
      </c>
      <c r="W108" s="4">
        <v>0</v>
      </c>
    </row>
    <row r="109" spans="1:23" ht="11.25" customHeight="1" x14ac:dyDescent="0.25">
      <c r="A109" s="4" t="s">
        <v>21</v>
      </c>
      <c r="B109" s="4" t="s">
        <v>59</v>
      </c>
      <c r="C109" s="4" t="s">
        <v>64</v>
      </c>
      <c r="D109" s="4" t="s">
        <v>25</v>
      </c>
      <c r="E109" s="4" t="s">
        <v>25</v>
      </c>
      <c r="F109" s="4" t="s">
        <v>25</v>
      </c>
      <c r="G109" s="4" t="s">
        <v>87</v>
      </c>
      <c r="H109" s="4" t="s">
        <v>25</v>
      </c>
      <c r="I109" s="5">
        <v>44470</v>
      </c>
      <c r="J109" s="6">
        <v>25000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66</v>
      </c>
      <c r="R109" s="4">
        <v>27534</v>
      </c>
      <c r="S109" s="4" t="s">
        <v>230</v>
      </c>
      <c r="U109" s="4">
        <v>12</v>
      </c>
      <c r="V109" s="4">
        <v>0</v>
      </c>
      <c r="W109" s="4">
        <v>0</v>
      </c>
    </row>
    <row r="110" spans="1:23" ht="11.25" customHeight="1" x14ac:dyDescent="0.25">
      <c r="A110" s="4" t="s">
        <v>21</v>
      </c>
      <c r="B110" s="4" t="s">
        <v>59</v>
      </c>
      <c r="C110" s="4" t="s">
        <v>64</v>
      </c>
      <c r="D110" s="4" t="s">
        <v>25</v>
      </c>
      <c r="E110" s="4" t="s">
        <v>25</v>
      </c>
      <c r="F110" s="4" t="s">
        <v>25</v>
      </c>
      <c r="G110" s="4" t="s">
        <v>89</v>
      </c>
      <c r="H110" s="4" t="s">
        <v>25</v>
      </c>
      <c r="I110" s="5">
        <v>44470</v>
      </c>
      <c r="J110" s="6">
        <v>12600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66</v>
      </c>
      <c r="R110" s="4">
        <v>27727</v>
      </c>
      <c r="S110" s="4" t="s">
        <v>231</v>
      </c>
      <c r="U110" s="4">
        <v>13</v>
      </c>
      <c r="V110" s="4">
        <v>0</v>
      </c>
      <c r="W110" s="4">
        <v>0</v>
      </c>
    </row>
    <row r="111" spans="1:23" ht="11.25" customHeight="1" x14ac:dyDescent="0.25">
      <c r="A111" s="4" t="s">
        <v>21</v>
      </c>
      <c r="B111" s="4" t="s">
        <v>59</v>
      </c>
      <c r="C111" s="4" t="s">
        <v>64</v>
      </c>
      <c r="D111" s="4" t="s">
        <v>25</v>
      </c>
      <c r="E111" s="4" t="s">
        <v>25</v>
      </c>
      <c r="F111" s="4" t="s">
        <v>25</v>
      </c>
      <c r="G111" s="4" t="s">
        <v>92</v>
      </c>
      <c r="H111" s="4" t="s">
        <v>25</v>
      </c>
      <c r="I111" s="5">
        <v>44470</v>
      </c>
      <c r="J111" s="6">
        <v>8100</v>
      </c>
      <c r="K111" s="6">
        <v>4050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66</v>
      </c>
      <c r="R111" s="4">
        <v>30597</v>
      </c>
      <c r="S111" s="4" t="s">
        <v>232</v>
      </c>
      <c r="U111" s="4">
        <v>14</v>
      </c>
      <c r="V111" s="4">
        <v>0</v>
      </c>
      <c r="W111" s="4">
        <v>0</v>
      </c>
    </row>
    <row r="112" spans="1:23" ht="11.25" customHeight="1" x14ac:dyDescent="0.25">
      <c r="A112" s="4" t="s">
        <v>21</v>
      </c>
      <c r="B112" s="4" t="s">
        <v>59</v>
      </c>
      <c r="C112" s="4" t="s">
        <v>64</v>
      </c>
      <c r="D112" s="4" t="s">
        <v>25</v>
      </c>
      <c r="E112" s="4" t="s">
        <v>25</v>
      </c>
      <c r="F112" s="4" t="s">
        <v>25</v>
      </c>
      <c r="G112" s="4" t="s">
        <v>65</v>
      </c>
      <c r="H112" s="4" t="s">
        <v>25</v>
      </c>
      <c r="I112" s="5">
        <v>44501</v>
      </c>
      <c r="J112" s="6">
        <v>1640</v>
      </c>
      <c r="K112" s="6">
        <v>820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66</v>
      </c>
      <c r="R112" s="4">
        <v>104</v>
      </c>
      <c r="S112" s="4" t="s">
        <v>233</v>
      </c>
      <c r="U112" s="4">
        <v>5</v>
      </c>
      <c r="V112" s="4">
        <v>0</v>
      </c>
      <c r="W112" s="4">
        <v>0</v>
      </c>
    </row>
    <row r="113" spans="1:23" ht="11.25" customHeight="1" x14ac:dyDescent="0.25">
      <c r="A113" s="4" t="s">
        <v>21</v>
      </c>
      <c r="B113" s="4" t="s">
        <v>59</v>
      </c>
      <c r="C113" s="4" t="s">
        <v>64</v>
      </c>
      <c r="D113" s="4" t="s">
        <v>25</v>
      </c>
      <c r="E113" s="4" t="s">
        <v>25</v>
      </c>
      <c r="F113" s="4" t="s">
        <v>25</v>
      </c>
      <c r="G113" s="4" t="s">
        <v>67</v>
      </c>
      <c r="H113" s="4" t="s">
        <v>25</v>
      </c>
      <c r="I113" s="5">
        <v>44501</v>
      </c>
      <c r="J113" s="6">
        <v>39500</v>
      </c>
      <c r="K113" s="6">
        <v>24307.692490000001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66</v>
      </c>
      <c r="R113" s="4">
        <v>215</v>
      </c>
      <c r="S113" s="4" t="s">
        <v>234</v>
      </c>
      <c r="U113" s="4">
        <v>6</v>
      </c>
      <c r="V113" s="4">
        <v>0</v>
      </c>
      <c r="W113" s="4">
        <v>0</v>
      </c>
    </row>
    <row r="114" spans="1:23" ht="11.25" customHeight="1" x14ac:dyDescent="0.25">
      <c r="A114" s="4" t="s">
        <v>21</v>
      </c>
      <c r="B114" s="4" t="s">
        <v>59</v>
      </c>
      <c r="C114" s="4" t="s">
        <v>64</v>
      </c>
      <c r="D114" s="4" t="s">
        <v>25</v>
      </c>
      <c r="E114" s="4" t="s">
        <v>25</v>
      </c>
      <c r="F114" s="4" t="s">
        <v>25</v>
      </c>
      <c r="G114" s="4" t="s">
        <v>69</v>
      </c>
      <c r="H114" s="4" t="s">
        <v>25</v>
      </c>
      <c r="I114" s="5">
        <v>44501</v>
      </c>
      <c r="J114" s="6">
        <v>22000</v>
      </c>
      <c r="K114" s="6">
        <v>22000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66</v>
      </c>
      <c r="R114" s="4">
        <v>473</v>
      </c>
      <c r="S114" s="4" t="s">
        <v>235</v>
      </c>
      <c r="U114" s="4">
        <v>7</v>
      </c>
      <c r="V114" s="4">
        <v>0</v>
      </c>
      <c r="W114" s="4">
        <v>0</v>
      </c>
    </row>
    <row r="115" spans="1:23" ht="11.25" customHeight="1" x14ac:dyDescent="0.25">
      <c r="A115" s="4" t="s">
        <v>21</v>
      </c>
      <c r="B115" s="4" t="s">
        <v>59</v>
      </c>
      <c r="C115" s="4" t="s">
        <v>64</v>
      </c>
      <c r="D115" s="4" t="s">
        <v>25</v>
      </c>
      <c r="E115" s="4" t="s">
        <v>25</v>
      </c>
      <c r="F115" s="4" t="s">
        <v>25</v>
      </c>
      <c r="G115" s="4" t="s">
        <v>72</v>
      </c>
      <c r="H115" s="4" t="s">
        <v>25</v>
      </c>
      <c r="I115" s="5">
        <v>44501</v>
      </c>
      <c r="J115" s="6">
        <v>16500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66</v>
      </c>
      <c r="R115" s="4">
        <v>1047</v>
      </c>
      <c r="S115" s="4" t="s">
        <v>236</v>
      </c>
      <c r="U115" s="4">
        <v>8</v>
      </c>
      <c r="V115" s="4">
        <v>0</v>
      </c>
      <c r="W115" s="4">
        <v>0</v>
      </c>
    </row>
    <row r="116" spans="1:23" ht="11.25" customHeight="1" x14ac:dyDescent="0.25">
      <c r="A116" s="4" t="s">
        <v>21</v>
      </c>
      <c r="B116" s="4" t="s">
        <v>59</v>
      </c>
      <c r="C116" s="4" t="s">
        <v>64</v>
      </c>
      <c r="D116" s="4" t="s">
        <v>25</v>
      </c>
      <c r="E116" s="4" t="s">
        <v>25</v>
      </c>
      <c r="F116" s="4" t="s">
        <v>25</v>
      </c>
      <c r="G116" s="4" t="s">
        <v>73</v>
      </c>
      <c r="H116" s="4" t="s">
        <v>25</v>
      </c>
      <c r="I116" s="5">
        <v>44501</v>
      </c>
      <c r="J116" s="6">
        <v>5320</v>
      </c>
      <c r="K116" s="6">
        <v>2660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66</v>
      </c>
      <c r="R116" s="4">
        <v>1078</v>
      </c>
      <c r="S116" s="4" t="s">
        <v>237</v>
      </c>
      <c r="U116" s="4">
        <v>9</v>
      </c>
      <c r="V116" s="4">
        <v>0</v>
      </c>
      <c r="W116" s="4">
        <v>0</v>
      </c>
    </row>
    <row r="117" spans="1:23" ht="11.25" customHeight="1" x14ac:dyDescent="0.25">
      <c r="A117" s="4" t="s">
        <v>21</v>
      </c>
      <c r="B117" s="4" t="s">
        <v>59</v>
      </c>
      <c r="C117" s="4" t="s">
        <v>64</v>
      </c>
      <c r="D117" s="4" t="s">
        <v>25</v>
      </c>
      <c r="E117" s="4" t="s">
        <v>25</v>
      </c>
      <c r="F117" s="4" t="s">
        <v>25</v>
      </c>
      <c r="G117" s="4" t="s">
        <v>75</v>
      </c>
      <c r="H117" s="4" t="s">
        <v>25</v>
      </c>
      <c r="I117" s="5">
        <v>44501</v>
      </c>
      <c r="J117" s="6">
        <v>42500</v>
      </c>
      <c r="K117" s="6">
        <v>42500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66</v>
      </c>
      <c r="R117" s="4">
        <v>1276</v>
      </c>
      <c r="S117" s="4" t="s">
        <v>238</v>
      </c>
      <c r="U117" s="4">
        <v>10</v>
      </c>
      <c r="V117" s="4">
        <v>0</v>
      </c>
      <c r="W117" s="4">
        <v>0</v>
      </c>
    </row>
    <row r="118" spans="1:23" ht="11.25" customHeight="1" x14ac:dyDescent="0.25">
      <c r="A118" s="4" t="s">
        <v>21</v>
      </c>
      <c r="B118" s="4" t="s">
        <v>59</v>
      </c>
      <c r="C118" s="4" t="s">
        <v>64</v>
      </c>
      <c r="D118" s="4" t="s">
        <v>25</v>
      </c>
      <c r="E118" s="4" t="s">
        <v>25</v>
      </c>
      <c r="F118" s="4" t="s">
        <v>25</v>
      </c>
      <c r="G118" s="4" t="s">
        <v>86</v>
      </c>
      <c r="H118" s="4" t="s">
        <v>25</v>
      </c>
      <c r="I118" s="5">
        <v>44501</v>
      </c>
      <c r="J118" s="6">
        <v>24400</v>
      </c>
      <c r="K118" s="6">
        <v>12200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66</v>
      </c>
      <c r="R118" s="4">
        <v>27532</v>
      </c>
      <c r="S118" s="4" t="s">
        <v>239</v>
      </c>
      <c r="U118" s="4">
        <v>11</v>
      </c>
      <c r="V118" s="4">
        <v>0</v>
      </c>
      <c r="W118" s="4">
        <v>0</v>
      </c>
    </row>
    <row r="119" spans="1:23" ht="11.25" customHeight="1" x14ac:dyDescent="0.25">
      <c r="A119" s="4" t="s">
        <v>21</v>
      </c>
      <c r="B119" s="4" t="s">
        <v>59</v>
      </c>
      <c r="C119" s="4" t="s">
        <v>64</v>
      </c>
      <c r="D119" s="4" t="s">
        <v>25</v>
      </c>
      <c r="E119" s="4" t="s">
        <v>25</v>
      </c>
      <c r="F119" s="4" t="s">
        <v>25</v>
      </c>
      <c r="G119" s="4" t="s">
        <v>87</v>
      </c>
      <c r="H119" s="4" t="s">
        <v>25</v>
      </c>
      <c r="I119" s="5">
        <v>44501</v>
      </c>
      <c r="J119" s="6">
        <v>25000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66</v>
      </c>
      <c r="R119" s="4">
        <v>27534</v>
      </c>
      <c r="S119" s="4" t="s">
        <v>240</v>
      </c>
      <c r="U119" s="4">
        <v>12</v>
      </c>
      <c r="V119" s="4">
        <v>0</v>
      </c>
      <c r="W119" s="4">
        <v>0</v>
      </c>
    </row>
    <row r="120" spans="1:23" ht="11.25" customHeight="1" x14ac:dyDescent="0.25">
      <c r="A120" s="4" t="s">
        <v>21</v>
      </c>
      <c r="B120" s="4" t="s">
        <v>59</v>
      </c>
      <c r="C120" s="4" t="s">
        <v>64</v>
      </c>
      <c r="D120" s="4" t="s">
        <v>25</v>
      </c>
      <c r="E120" s="4" t="s">
        <v>25</v>
      </c>
      <c r="F120" s="4" t="s">
        <v>25</v>
      </c>
      <c r="G120" s="4" t="s">
        <v>89</v>
      </c>
      <c r="H120" s="4" t="s">
        <v>25</v>
      </c>
      <c r="I120" s="5">
        <v>44501</v>
      </c>
      <c r="J120" s="6">
        <v>12600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66</v>
      </c>
      <c r="R120" s="4">
        <v>27727</v>
      </c>
      <c r="S120" s="4" t="s">
        <v>241</v>
      </c>
      <c r="U120" s="4">
        <v>13</v>
      </c>
      <c r="V120" s="4">
        <v>0</v>
      </c>
      <c r="W120" s="4">
        <v>0</v>
      </c>
    </row>
    <row r="121" spans="1:23" ht="11.25" customHeight="1" x14ac:dyDescent="0.25">
      <c r="A121" s="4" t="s">
        <v>21</v>
      </c>
      <c r="B121" s="4" t="s">
        <v>59</v>
      </c>
      <c r="C121" s="4" t="s">
        <v>64</v>
      </c>
      <c r="D121" s="4" t="s">
        <v>25</v>
      </c>
      <c r="E121" s="4" t="s">
        <v>25</v>
      </c>
      <c r="F121" s="4" t="s">
        <v>25</v>
      </c>
      <c r="G121" s="4" t="s">
        <v>92</v>
      </c>
      <c r="H121" s="4" t="s">
        <v>25</v>
      </c>
      <c r="I121" s="5">
        <v>44501</v>
      </c>
      <c r="J121" s="6">
        <v>8100</v>
      </c>
      <c r="K121" s="6">
        <v>4050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66</v>
      </c>
      <c r="R121" s="4">
        <v>30597</v>
      </c>
      <c r="S121" s="4" t="s">
        <v>242</v>
      </c>
      <c r="U121" s="4">
        <v>14</v>
      </c>
      <c r="V121" s="4">
        <v>0</v>
      </c>
      <c r="W121" s="4">
        <v>0</v>
      </c>
    </row>
    <row r="122" spans="1:23" ht="11.25" customHeight="1" x14ac:dyDescent="0.25">
      <c r="A122" s="4" t="s">
        <v>21</v>
      </c>
      <c r="B122" s="4" t="s">
        <v>59</v>
      </c>
      <c r="C122" s="4" t="s">
        <v>64</v>
      </c>
      <c r="D122" s="4" t="s">
        <v>25</v>
      </c>
      <c r="E122" s="4" t="s">
        <v>25</v>
      </c>
      <c r="F122" s="4" t="s">
        <v>25</v>
      </c>
      <c r="G122" s="4" t="s">
        <v>65</v>
      </c>
      <c r="H122" s="4" t="s">
        <v>25</v>
      </c>
      <c r="I122" s="5">
        <v>44531</v>
      </c>
      <c r="J122" s="6">
        <v>1640</v>
      </c>
      <c r="K122" s="6">
        <v>820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66</v>
      </c>
      <c r="R122" s="4">
        <v>104</v>
      </c>
      <c r="S122" s="4" t="s">
        <v>243</v>
      </c>
      <c r="U122" s="4">
        <v>5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59</v>
      </c>
      <c r="C123" s="4" t="s">
        <v>64</v>
      </c>
      <c r="D123" s="4" t="s">
        <v>25</v>
      </c>
      <c r="E123" s="4" t="s">
        <v>25</v>
      </c>
      <c r="F123" s="4" t="s">
        <v>25</v>
      </c>
      <c r="G123" s="4" t="s">
        <v>67</v>
      </c>
      <c r="H123" s="4" t="s">
        <v>25</v>
      </c>
      <c r="I123" s="5">
        <v>44531</v>
      </c>
      <c r="J123" s="6">
        <v>39500</v>
      </c>
      <c r="K123" s="6">
        <v>24307.692490000001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66</v>
      </c>
      <c r="R123" s="4">
        <v>215</v>
      </c>
      <c r="S123" s="4" t="s">
        <v>244</v>
      </c>
      <c r="U123" s="4">
        <v>6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59</v>
      </c>
      <c r="C124" s="4" t="s">
        <v>64</v>
      </c>
      <c r="D124" s="4" t="s">
        <v>25</v>
      </c>
      <c r="E124" s="4" t="s">
        <v>25</v>
      </c>
      <c r="F124" s="4" t="s">
        <v>25</v>
      </c>
      <c r="G124" s="4" t="s">
        <v>69</v>
      </c>
      <c r="H124" s="4" t="s">
        <v>25</v>
      </c>
      <c r="I124" s="5">
        <v>44531</v>
      </c>
      <c r="J124" s="6">
        <v>22000</v>
      </c>
      <c r="K124" s="6">
        <v>22000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66</v>
      </c>
      <c r="R124" s="4">
        <v>473</v>
      </c>
      <c r="S124" s="4" t="s">
        <v>245</v>
      </c>
      <c r="U124" s="4">
        <v>7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59</v>
      </c>
      <c r="C125" s="4" t="s">
        <v>64</v>
      </c>
      <c r="D125" s="4" t="s">
        <v>25</v>
      </c>
      <c r="E125" s="4" t="s">
        <v>25</v>
      </c>
      <c r="F125" s="4" t="s">
        <v>25</v>
      </c>
      <c r="G125" s="4" t="s">
        <v>72</v>
      </c>
      <c r="H125" s="4" t="s">
        <v>25</v>
      </c>
      <c r="I125" s="5">
        <v>44531</v>
      </c>
      <c r="J125" s="6">
        <v>16500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66</v>
      </c>
      <c r="R125" s="4">
        <v>1047</v>
      </c>
      <c r="S125" s="4" t="s">
        <v>246</v>
      </c>
      <c r="U125" s="4">
        <v>8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59</v>
      </c>
      <c r="C126" s="4" t="s">
        <v>64</v>
      </c>
      <c r="D126" s="4" t="s">
        <v>25</v>
      </c>
      <c r="E126" s="4" t="s">
        <v>25</v>
      </c>
      <c r="F126" s="4" t="s">
        <v>25</v>
      </c>
      <c r="G126" s="4" t="s">
        <v>73</v>
      </c>
      <c r="H126" s="4" t="s">
        <v>25</v>
      </c>
      <c r="I126" s="5">
        <v>44531</v>
      </c>
      <c r="J126" s="6">
        <v>5320</v>
      </c>
      <c r="K126" s="6">
        <v>2660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66</v>
      </c>
      <c r="R126" s="4">
        <v>1078</v>
      </c>
      <c r="S126" s="4" t="s">
        <v>247</v>
      </c>
      <c r="U126" s="4">
        <v>9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59</v>
      </c>
      <c r="C127" s="4" t="s">
        <v>64</v>
      </c>
      <c r="D127" s="4" t="s">
        <v>25</v>
      </c>
      <c r="E127" s="4" t="s">
        <v>25</v>
      </c>
      <c r="F127" s="4" t="s">
        <v>25</v>
      </c>
      <c r="G127" s="4" t="s">
        <v>75</v>
      </c>
      <c r="H127" s="4" t="s">
        <v>25</v>
      </c>
      <c r="I127" s="5">
        <v>44531</v>
      </c>
      <c r="J127" s="6">
        <v>42500</v>
      </c>
      <c r="K127" s="6">
        <v>42500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66</v>
      </c>
      <c r="R127" s="4">
        <v>1276</v>
      </c>
      <c r="S127" s="4" t="s">
        <v>248</v>
      </c>
      <c r="U127" s="4">
        <v>10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59</v>
      </c>
      <c r="C128" s="4" t="s">
        <v>64</v>
      </c>
      <c r="D128" s="4" t="s">
        <v>25</v>
      </c>
      <c r="E128" s="4" t="s">
        <v>25</v>
      </c>
      <c r="F128" s="4" t="s">
        <v>25</v>
      </c>
      <c r="G128" s="4" t="s">
        <v>86</v>
      </c>
      <c r="H128" s="4" t="s">
        <v>25</v>
      </c>
      <c r="I128" s="5">
        <v>44531</v>
      </c>
      <c r="J128" s="6">
        <v>24400</v>
      </c>
      <c r="K128" s="6">
        <v>12200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66</v>
      </c>
      <c r="R128" s="4">
        <v>27532</v>
      </c>
      <c r="S128" s="4" t="s">
        <v>249</v>
      </c>
      <c r="U128" s="4">
        <v>11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59</v>
      </c>
      <c r="C129" s="4" t="s">
        <v>64</v>
      </c>
      <c r="D129" s="4" t="s">
        <v>25</v>
      </c>
      <c r="E129" s="4" t="s">
        <v>25</v>
      </c>
      <c r="F129" s="4" t="s">
        <v>25</v>
      </c>
      <c r="G129" s="4" t="s">
        <v>87</v>
      </c>
      <c r="H129" s="4" t="s">
        <v>25</v>
      </c>
      <c r="I129" s="5">
        <v>44531</v>
      </c>
      <c r="J129" s="6">
        <v>25000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66</v>
      </c>
      <c r="R129" s="4">
        <v>27534</v>
      </c>
      <c r="S129" s="4" t="s">
        <v>250</v>
      </c>
      <c r="U129" s="4">
        <v>12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59</v>
      </c>
      <c r="C130" s="4" t="s">
        <v>64</v>
      </c>
      <c r="D130" s="4" t="s">
        <v>25</v>
      </c>
      <c r="E130" s="4" t="s">
        <v>25</v>
      </c>
      <c r="F130" s="4" t="s">
        <v>25</v>
      </c>
      <c r="G130" s="4" t="s">
        <v>89</v>
      </c>
      <c r="H130" s="4" t="s">
        <v>25</v>
      </c>
      <c r="I130" s="5">
        <v>44531</v>
      </c>
      <c r="J130" s="6">
        <v>12600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66</v>
      </c>
      <c r="R130" s="4">
        <v>27727</v>
      </c>
      <c r="S130" s="4" t="s">
        <v>251</v>
      </c>
      <c r="U130" s="4">
        <v>13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59</v>
      </c>
      <c r="C131" s="4" t="s">
        <v>64</v>
      </c>
      <c r="D131" s="4" t="s">
        <v>25</v>
      </c>
      <c r="E131" s="4" t="s">
        <v>25</v>
      </c>
      <c r="F131" s="4" t="s">
        <v>25</v>
      </c>
      <c r="G131" s="4" t="s">
        <v>92</v>
      </c>
      <c r="H131" s="4" t="s">
        <v>25</v>
      </c>
      <c r="I131" s="5">
        <v>44531</v>
      </c>
      <c r="J131" s="6">
        <v>8100</v>
      </c>
      <c r="K131" s="6">
        <v>4050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66</v>
      </c>
      <c r="R131" s="4">
        <v>30597</v>
      </c>
      <c r="S131" s="4" t="s">
        <v>252</v>
      </c>
      <c r="U131" s="4">
        <v>14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59</v>
      </c>
      <c r="C132" s="4" t="s">
        <v>64</v>
      </c>
      <c r="D132" s="4" t="s">
        <v>25</v>
      </c>
      <c r="E132" s="4" t="s">
        <v>25</v>
      </c>
      <c r="F132" s="4" t="s">
        <v>25</v>
      </c>
      <c r="G132" s="4" t="s">
        <v>65</v>
      </c>
      <c r="H132" s="4" t="s">
        <v>25</v>
      </c>
      <c r="I132" s="5">
        <v>44562</v>
      </c>
      <c r="J132" s="6">
        <v>1640</v>
      </c>
      <c r="K132" s="6">
        <v>820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66</v>
      </c>
      <c r="R132" s="4">
        <v>104</v>
      </c>
      <c r="S132" s="4" t="s">
        <v>253</v>
      </c>
      <c r="U132" s="4">
        <v>5</v>
      </c>
      <c r="V132" s="4">
        <v>0</v>
      </c>
      <c r="W132" s="4">
        <v>0</v>
      </c>
    </row>
    <row r="133" spans="1:23" ht="11.25" customHeight="1" x14ac:dyDescent="0.25">
      <c r="A133" s="4" t="s">
        <v>21</v>
      </c>
      <c r="B133" s="4" t="s">
        <v>59</v>
      </c>
      <c r="C133" s="4" t="s">
        <v>64</v>
      </c>
      <c r="D133" s="4" t="s">
        <v>25</v>
      </c>
      <c r="E133" s="4" t="s">
        <v>25</v>
      </c>
      <c r="F133" s="4" t="s">
        <v>25</v>
      </c>
      <c r="G133" s="4" t="s">
        <v>67</v>
      </c>
      <c r="H133" s="4" t="s">
        <v>25</v>
      </c>
      <c r="I133" s="5">
        <v>44562</v>
      </c>
      <c r="J133" s="6">
        <v>39500</v>
      </c>
      <c r="K133" s="6">
        <v>24307.692490000001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66</v>
      </c>
      <c r="R133" s="4">
        <v>215</v>
      </c>
      <c r="S133" s="4" t="s">
        <v>254</v>
      </c>
      <c r="U133" s="4">
        <v>6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59</v>
      </c>
      <c r="C134" s="4" t="s">
        <v>64</v>
      </c>
      <c r="D134" s="4" t="s">
        <v>25</v>
      </c>
      <c r="E134" s="4" t="s">
        <v>25</v>
      </c>
      <c r="F134" s="4" t="s">
        <v>25</v>
      </c>
      <c r="G134" s="4" t="s">
        <v>69</v>
      </c>
      <c r="H134" s="4" t="s">
        <v>25</v>
      </c>
      <c r="I134" s="5">
        <v>44562</v>
      </c>
      <c r="J134" s="6">
        <v>22000</v>
      </c>
      <c r="K134" s="6">
        <v>22000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66</v>
      </c>
      <c r="R134" s="4">
        <v>473</v>
      </c>
      <c r="S134" s="4" t="s">
        <v>255</v>
      </c>
      <c r="U134" s="4">
        <v>7</v>
      </c>
      <c r="V134" s="4">
        <v>0</v>
      </c>
      <c r="W134" s="4">
        <v>0</v>
      </c>
    </row>
    <row r="135" spans="1:23" ht="11.25" customHeight="1" x14ac:dyDescent="0.25">
      <c r="A135" s="4" t="s">
        <v>21</v>
      </c>
      <c r="B135" s="4" t="s">
        <v>59</v>
      </c>
      <c r="C135" s="4" t="s">
        <v>64</v>
      </c>
      <c r="D135" s="4" t="s">
        <v>25</v>
      </c>
      <c r="E135" s="4" t="s">
        <v>25</v>
      </c>
      <c r="F135" s="4" t="s">
        <v>25</v>
      </c>
      <c r="G135" s="4" t="s">
        <v>72</v>
      </c>
      <c r="H135" s="4" t="s">
        <v>25</v>
      </c>
      <c r="I135" s="5">
        <v>44562</v>
      </c>
      <c r="J135" s="6">
        <v>16500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66</v>
      </c>
      <c r="R135" s="4">
        <v>1047</v>
      </c>
      <c r="S135" s="4" t="s">
        <v>256</v>
      </c>
      <c r="U135" s="4">
        <v>8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59</v>
      </c>
      <c r="C136" s="4" t="s">
        <v>64</v>
      </c>
      <c r="D136" s="4" t="s">
        <v>25</v>
      </c>
      <c r="E136" s="4" t="s">
        <v>25</v>
      </c>
      <c r="F136" s="4" t="s">
        <v>25</v>
      </c>
      <c r="G136" s="4" t="s">
        <v>73</v>
      </c>
      <c r="H136" s="4" t="s">
        <v>25</v>
      </c>
      <c r="I136" s="5">
        <v>44562</v>
      </c>
      <c r="J136" s="6">
        <v>5320</v>
      </c>
      <c r="K136" s="6">
        <v>2660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66</v>
      </c>
      <c r="R136" s="4">
        <v>1078</v>
      </c>
      <c r="S136" s="4" t="s">
        <v>257</v>
      </c>
      <c r="U136" s="4">
        <v>9</v>
      </c>
      <c r="V136" s="4">
        <v>0</v>
      </c>
      <c r="W136" s="4">
        <v>0</v>
      </c>
    </row>
    <row r="137" spans="1:23" ht="11.25" customHeight="1" x14ac:dyDescent="0.25">
      <c r="A137" s="4" t="s">
        <v>21</v>
      </c>
      <c r="B137" s="4" t="s">
        <v>59</v>
      </c>
      <c r="C137" s="4" t="s">
        <v>64</v>
      </c>
      <c r="D137" s="4" t="s">
        <v>25</v>
      </c>
      <c r="E137" s="4" t="s">
        <v>25</v>
      </c>
      <c r="F137" s="4" t="s">
        <v>25</v>
      </c>
      <c r="G137" s="4" t="s">
        <v>75</v>
      </c>
      <c r="H137" s="4" t="s">
        <v>25</v>
      </c>
      <c r="I137" s="5">
        <v>44562</v>
      </c>
      <c r="J137" s="6">
        <v>42500</v>
      </c>
      <c r="K137" s="6">
        <v>42500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66</v>
      </c>
      <c r="R137" s="4">
        <v>1276</v>
      </c>
      <c r="S137" s="4" t="s">
        <v>258</v>
      </c>
      <c r="U137" s="4">
        <v>10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59</v>
      </c>
      <c r="C138" s="4" t="s">
        <v>64</v>
      </c>
      <c r="D138" s="4" t="s">
        <v>25</v>
      </c>
      <c r="E138" s="4" t="s">
        <v>25</v>
      </c>
      <c r="F138" s="4" t="s">
        <v>25</v>
      </c>
      <c r="G138" s="4" t="s">
        <v>86</v>
      </c>
      <c r="H138" s="4" t="s">
        <v>25</v>
      </c>
      <c r="I138" s="5">
        <v>44562</v>
      </c>
      <c r="J138" s="6">
        <v>24400</v>
      </c>
      <c r="K138" s="6">
        <v>12200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66</v>
      </c>
      <c r="R138" s="4">
        <v>27532</v>
      </c>
      <c r="S138" s="4" t="s">
        <v>259</v>
      </c>
      <c r="U138" s="4">
        <v>11</v>
      </c>
      <c r="V138" s="4">
        <v>0</v>
      </c>
      <c r="W138" s="4">
        <v>0</v>
      </c>
    </row>
    <row r="139" spans="1:23" ht="11.25" customHeight="1" x14ac:dyDescent="0.25">
      <c r="A139" s="4" t="s">
        <v>21</v>
      </c>
      <c r="B139" s="4" t="s">
        <v>59</v>
      </c>
      <c r="C139" s="4" t="s">
        <v>64</v>
      </c>
      <c r="D139" s="4" t="s">
        <v>25</v>
      </c>
      <c r="E139" s="4" t="s">
        <v>25</v>
      </c>
      <c r="F139" s="4" t="s">
        <v>25</v>
      </c>
      <c r="G139" s="4" t="s">
        <v>87</v>
      </c>
      <c r="H139" s="4" t="s">
        <v>25</v>
      </c>
      <c r="I139" s="5">
        <v>44562</v>
      </c>
      <c r="J139" s="6">
        <v>25000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66</v>
      </c>
      <c r="R139" s="4">
        <v>27534</v>
      </c>
      <c r="S139" s="4" t="s">
        <v>260</v>
      </c>
      <c r="U139" s="4">
        <v>12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59</v>
      </c>
      <c r="C140" s="4" t="s">
        <v>64</v>
      </c>
      <c r="D140" s="4" t="s">
        <v>25</v>
      </c>
      <c r="E140" s="4" t="s">
        <v>25</v>
      </c>
      <c r="F140" s="4" t="s">
        <v>25</v>
      </c>
      <c r="G140" s="4" t="s">
        <v>89</v>
      </c>
      <c r="H140" s="4" t="s">
        <v>25</v>
      </c>
      <c r="I140" s="5">
        <v>44562</v>
      </c>
      <c r="J140" s="6">
        <v>12600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66</v>
      </c>
      <c r="R140" s="4">
        <v>27727</v>
      </c>
      <c r="S140" s="4" t="s">
        <v>261</v>
      </c>
      <c r="U140" s="4">
        <v>13</v>
      </c>
      <c r="V140" s="4">
        <v>0</v>
      </c>
      <c r="W140" s="4">
        <v>0</v>
      </c>
    </row>
    <row r="141" spans="1:23" ht="11.25" customHeight="1" x14ac:dyDescent="0.25">
      <c r="A141" s="4" t="s">
        <v>21</v>
      </c>
      <c r="B141" s="4" t="s">
        <v>59</v>
      </c>
      <c r="C141" s="4" t="s">
        <v>64</v>
      </c>
      <c r="D141" s="4" t="s">
        <v>25</v>
      </c>
      <c r="E141" s="4" t="s">
        <v>25</v>
      </c>
      <c r="F141" s="4" t="s">
        <v>25</v>
      </c>
      <c r="G141" s="4" t="s">
        <v>92</v>
      </c>
      <c r="H141" s="4" t="s">
        <v>25</v>
      </c>
      <c r="I141" s="5">
        <v>44562</v>
      </c>
      <c r="J141" s="6">
        <v>8100</v>
      </c>
      <c r="K141" s="6">
        <v>4050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66</v>
      </c>
      <c r="R141" s="4">
        <v>30597</v>
      </c>
      <c r="S141" s="4" t="s">
        <v>262</v>
      </c>
      <c r="U141" s="4">
        <v>14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59</v>
      </c>
      <c r="C142" s="4" t="s">
        <v>64</v>
      </c>
      <c r="D142" s="4" t="s">
        <v>25</v>
      </c>
      <c r="E142" s="4" t="s">
        <v>25</v>
      </c>
      <c r="F142" s="4" t="s">
        <v>25</v>
      </c>
      <c r="G142" s="4" t="s">
        <v>65</v>
      </c>
      <c r="H142" s="4" t="s">
        <v>25</v>
      </c>
      <c r="I142" s="5">
        <v>44593</v>
      </c>
      <c r="J142" s="6">
        <v>1640</v>
      </c>
      <c r="K142" s="6">
        <v>820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66</v>
      </c>
      <c r="R142" s="4">
        <v>104</v>
      </c>
      <c r="S142" s="4" t="s">
        <v>263</v>
      </c>
      <c r="U142" s="4">
        <v>5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59</v>
      </c>
      <c r="C143" s="4" t="s">
        <v>64</v>
      </c>
      <c r="D143" s="4" t="s">
        <v>25</v>
      </c>
      <c r="E143" s="4" t="s">
        <v>25</v>
      </c>
      <c r="F143" s="4" t="s">
        <v>25</v>
      </c>
      <c r="G143" s="4" t="s">
        <v>67</v>
      </c>
      <c r="H143" s="4" t="s">
        <v>25</v>
      </c>
      <c r="I143" s="5">
        <v>44593</v>
      </c>
      <c r="J143" s="6">
        <v>39500</v>
      </c>
      <c r="K143" s="6">
        <v>24307.692490000001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66</v>
      </c>
      <c r="R143" s="4">
        <v>215</v>
      </c>
      <c r="S143" s="4" t="s">
        <v>264</v>
      </c>
      <c r="U143" s="4">
        <v>6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59</v>
      </c>
      <c r="C144" s="4" t="s">
        <v>64</v>
      </c>
      <c r="D144" s="4" t="s">
        <v>25</v>
      </c>
      <c r="E144" s="4" t="s">
        <v>25</v>
      </c>
      <c r="F144" s="4" t="s">
        <v>25</v>
      </c>
      <c r="G144" s="4" t="s">
        <v>69</v>
      </c>
      <c r="H144" s="4" t="s">
        <v>25</v>
      </c>
      <c r="I144" s="5">
        <v>44593</v>
      </c>
      <c r="J144" s="6">
        <v>22004</v>
      </c>
      <c r="K144" s="6">
        <v>22004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66</v>
      </c>
      <c r="R144" s="4">
        <v>473</v>
      </c>
      <c r="S144" s="4" t="s">
        <v>265</v>
      </c>
      <c r="U144" s="4">
        <v>7</v>
      </c>
      <c r="V144" s="4">
        <v>0</v>
      </c>
      <c r="W144" s="4">
        <v>0</v>
      </c>
    </row>
    <row r="145" spans="1:23" ht="11.25" customHeight="1" x14ac:dyDescent="0.25">
      <c r="A145" s="4" t="s">
        <v>21</v>
      </c>
      <c r="B145" s="4" t="s">
        <v>59</v>
      </c>
      <c r="C145" s="4" t="s">
        <v>64</v>
      </c>
      <c r="D145" s="4" t="s">
        <v>25</v>
      </c>
      <c r="E145" s="4" t="s">
        <v>25</v>
      </c>
      <c r="F145" s="4" t="s">
        <v>25</v>
      </c>
      <c r="G145" s="4" t="s">
        <v>72</v>
      </c>
      <c r="H145" s="4" t="s">
        <v>25</v>
      </c>
      <c r="I145" s="5">
        <v>44593</v>
      </c>
      <c r="J145" s="6">
        <v>16500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66</v>
      </c>
      <c r="R145" s="4">
        <v>1047</v>
      </c>
      <c r="S145" s="4" t="s">
        <v>266</v>
      </c>
      <c r="U145" s="4">
        <v>8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59</v>
      </c>
      <c r="C146" s="4" t="s">
        <v>64</v>
      </c>
      <c r="D146" s="4" t="s">
        <v>25</v>
      </c>
      <c r="E146" s="4" t="s">
        <v>25</v>
      </c>
      <c r="F146" s="4" t="s">
        <v>25</v>
      </c>
      <c r="G146" s="4" t="s">
        <v>73</v>
      </c>
      <c r="H146" s="4" t="s">
        <v>25</v>
      </c>
      <c r="I146" s="5">
        <v>44593</v>
      </c>
      <c r="J146" s="6">
        <v>5320</v>
      </c>
      <c r="K146" s="6">
        <v>2660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66</v>
      </c>
      <c r="R146" s="4">
        <v>1078</v>
      </c>
      <c r="S146" s="4" t="s">
        <v>267</v>
      </c>
      <c r="U146" s="4">
        <v>9</v>
      </c>
      <c r="V146" s="4">
        <v>0</v>
      </c>
      <c r="W146" s="4">
        <v>0</v>
      </c>
    </row>
    <row r="147" spans="1:23" ht="11.25" customHeight="1" x14ac:dyDescent="0.25">
      <c r="A147" s="4" t="s">
        <v>21</v>
      </c>
      <c r="B147" s="4" t="s">
        <v>59</v>
      </c>
      <c r="C147" s="4" t="s">
        <v>64</v>
      </c>
      <c r="D147" s="4" t="s">
        <v>25</v>
      </c>
      <c r="E147" s="4" t="s">
        <v>25</v>
      </c>
      <c r="F147" s="4" t="s">
        <v>25</v>
      </c>
      <c r="G147" s="4" t="s">
        <v>75</v>
      </c>
      <c r="H147" s="4" t="s">
        <v>25</v>
      </c>
      <c r="I147" s="5">
        <v>44593</v>
      </c>
      <c r="J147" s="6">
        <v>42500</v>
      </c>
      <c r="K147" s="6">
        <v>42500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66</v>
      </c>
      <c r="R147" s="4">
        <v>1276</v>
      </c>
      <c r="S147" s="4" t="s">
        <v>268</v>
      </c>
      <c r="U147" s="4">
        <v>10</v>
      </c>
      <c r="V147" s="4">
        <v>0</v>
      </c>
      <c r="W147" s="4">
        <v>0</v>
      </c>
    </row>
    <row r="148" spans="1:23" ht="11.25" customHeight="1" x14ac:dyDescent="0.25">
      <c r="A148" s="4" t="s">
        <v>21</v>
      </c>
      <c r="B148" s="4" t="s">
        <v>59</v>
      </c>
      <c r="C148" s="4" t="s">
        <v>64</v>
      </c>
      <c r="D148" s="4" t="s">
        <v>25</v>
      </c>
      <c r="E148" s="4" t="s">
        <v>25</v>
      </c>
      <c r="F148" s="4" t="s">
        <v>25</v>
      </c>
      <c r="G148" s="4" t="s">
        <v>86</v>
      </c>
      <c r="H148" s="4" t="s">
        <v>25</v>
      </c>
      <c r="I148" s="5">
        <v>44593</v>
      </c>
      <c r="J148" s="6">
        <v>24400</v>
      </c>
      <c r="K148" s="6">
        <v>12200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66</v>
      </c>
      <c r="R148" s="4">
        <v>27532</v>
      </c>
      <c r="S148" s="4" t="s">
        <v>269</v>
      </c>
      <c r="U148" s="4">
        <v>11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59</v>
      </c>
      <c r="C149" s="4" t="s">
        <v>64</v>
      </c>
      <c r="D149" s="4" t="s">
        <v>25</v>
      </c>
      <c r="E149" s="4" t="s">
        <v>25</v>
      </c>
      <c r="F149" s="4" t="s">
        <v>25</v>
      </c>
      <c r="G149" s="4" t="s">
        <v>87</v>
      </c>
      <c r="H149" s="4" t="s">
        <v>25</v>
      </c>
      <c r="I149" s="5">
        <v>44593</v>
      </c>
      <c r="J149" s="6">
        <v>25000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66</v>
      </c>
      <c r="R149" s="4">
        <v>27534</v>
      </c>
      <c r="S149" s="4" t="s">
        <v>270</v>
      </c>
      <c r="U149" s="4">
        <v>12</v>
      </c>
      <c r="V149" s="4">
        <v>0</v>
      </c>
      <c r="W149" s="4">
        <v>0</v>
      </c>
    </row>
    <row r="150" spans="1:23" ht="11.25" customHeight="1" x14ac:dyDescent="0.25">
      <c r="A150" s="4" t="s">
        <v>21</v>
      </c>
      <c r="B150" s="4" t="s">
        <v>59</v>
      </c>
      <c r="C150" s="4" t="s">
        <v>64</v>
      </c>
      <c r="D150" s="4" t="s">
        <v>25</v>
      </c>
      <c r="E150" s="4" t="s">
        <v>25</v>
      </c>
      <c r="F150" s="4" t="s">
        <v>25</v>
      </c>
      <c r="G150" s="4" t="s">
        <v>89</v>
      </c>
      <c r="H150" s="4" t="s">
        <v>25</v>
      </c>
      <c r="I150" s="5">
        <v>44593</v>
      </c>
      <c r="J150" s="6">
        <v>12600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66</v>
      </c>
      <c r="R150" s="4">
        <v>27727</v>
      </c>
      <c r="S150" s="4" t="s">
        <v>271</v>
      </c>
      <c r="U150" s="4">
        <v>13</v>
      </c>
      <c r="V150" s="4">
        <v>0</v>
      </c>
      <c r="W150" s="4">
        <v>0</v>
      </c>
    </row>
    <row r="151" spans="1:23" ht="11.25" customHeight="1" x14ac:dyDescent="0.25">
      <c r="A151" s="4" t="s">
        <v>21</v>
      </c>
      <c r="B151" s="4" t="s">
        <v>59</v>
      </c>
      <c r="C151" s="4" t="s">
        <v>64</v>
      </c>
      <c r="D151" s="4" t="s">
        <v>25</v>
      </c>
      <c r="E151" s="4" t="s">
        <v>25</v>
      </c>
      <c r="F151" s="4" t="s">
        <v>25</v>
      </c>
      <c r="G151" s="4" t="s">
        <v>92</v>
      </c>
      <c r="H151" s="4" t="s">
        <v>25</v>
      </c>
      <c r="I151" s="5">
        <v>44593</v>
      </c>
      <c r="J151" s="6">
        <v>8100</v>
      </c>
      <c r="K151" s="6">
        <v>4050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66</v>
      </c>
      <c r="R151" s="4">
        <v>30597</v>
      </c>
      <c r="S151" s="4" t="s">
        <v>272</v>
      </c>
      <c r="U151" s="4">
        <v>14</v>
      </c>
      <c r="V151" s="4">
        <v>0</v>
      </c>
      <c r="W151" s="4">
        <v>0</v>
      </c>
    </row>
    <row r="152" spans="1:23" ht="11.25" customHeight="1" x14ac:dyDescent="0.25">
      <c r="A152" s="4" t="s">
        <v>21</v>
      </c>
      <c r="B152" s="4" t="s">
        <v>59</v>
      </c>
      <c r="C152" s="4" t="s">
        <v>64</v>
      </c>
      <c r="D152" s="4" t="s">
        <v>25</v>
      </c>
      <c r="E152" s="4" t="s">
        <v>25</v>
      </c>
      <c r="F152" s="4" t="s">
        <v>25</v>
      </c>
      <c r="G152" s="4" t="s">
        <v>65</v>
      </c>
      <c r="H152" s="4" t="s">
        <v>25</v>
      </c>
      <c r="I152" s="5">
        <v>44621</v>
      </c>
      <c r="J152" s="6">
        <v>1640</v>
      </c>
      <c r="K152" s="6">
        <v>820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66</v>
      </c>
      <c r="R152" s="4">
        <v>104</v>
      </c>
      <c r="S152" s="4" t="s">
        <v>273</v>
      </c>
      <c r="U152" s="4">
        <v>5</v>
      </c>
      <c r="V152" s="4">
        <v>0</v>
      </c>
      <c r="W152" s="4">
        <v>0</v>
      </c>
    </row>
    <row r="153" spans="1:23" ht="11.25" customHeight="1" x14ac:dyDescent="0.25">
      <c r="A153" s="4" t="s">
        <v>21</v>
      </c>
      <c r="B153" s="4" t="s">
        <v>59</v>
      </c>
      <c r="C153" s="4" t="s">
        <v>64</v>
      </c>
      <c r="D153" s="4" t="s">
        <v>25</v>
      </c>
      <c r="E153" s="4" t="s">
        <v>25</v>
      </c>
      <c r="F153" s="4" t="s">
        <v>25</v>
      </c>
      <c r="G153" s="4" t="s">
        <v>67</v>
      </c>
      <c r="H153" s="4" t="s">
        <v>25</v>
      </c>
      <c r="I153" s="5">
        <v>44621</v>
      </c>
      <c r="J153" s="6">
        <v>39500</v>
      </c>
      <c r="K153" s="6">
        <v>24307.692490000001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66</v>
      </c>
      <c r="R153" s="4">
        <v>215</v>
      </c>
      <c r="S153" s="4" t="s">
        <v>274</v>
      </c>
      <c r="U153" s="4">
        <v>6</v>
      </c>
      <c r="V153" s="4">
        <v>0</v>
      </c>
      <c r="W153" s="4">
        <v>0</v>
      </c>
    </row>
    <row r="154" spans="1:23" ht="11.25" customHeight="1" x14ac:dyDescent="0.25">
      <c r="A154" s="4" t="s">
        <v>21</v>
      </c>
      <c r="B154" s="4" t="s">
        <v>59</v>
      </c>
      <c r="C154" s="4" t="s">
        <v>64</v>
      </c>
      <c r="D154" s="4" t="s">
        <v>25</v>
      </c>
      <c r="E154" s="4" t="s">
        <v>25</v>
      </c>
      <c r="F154" s="4" t="s">
        <v>25</v>
      </c>
      <c r="G154" s="4" t="s">
        <v>69</v>
      </c>
      <c r="H154" s="4" t="s">
        <v>25</v>
      </c>
      <c r="I154" s="5">
        <v>44621</v>
      </c>
      <c r="J154" s="6">
        <v>22000</v>
      </c>
      <c r="K154" s="6">
        <v>22000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66</v>
      </c>
      <c r="R154" s="4">
        <v>473</v>
      </c>
      <c r="S154" s="4" t="s">
        <v>275</v>
      </c>
      <c r="U154" s="4">
        <v>7</v>
      </c>
      <c r="V154" s="4">
        <v>0</v>
      </c>
      <c r="W154" s="4">
        <v>0</v>
      </c>
    </row>
    <row r="155" spans="1:23" ht="11.25" customHeight="1" x14ac:dyDescent="0.25">
      <c r="A155" s="4" t="s">
        <v>21</v>
      </c>
      <c r="B155" s="4" t="s">
        <v>59</v>
      </c>
      <c r="C155" s="4" t="s">
        <v>64</v>
      </c>
      <c r="D155" s="4" t="s">
        <v>25</v>
      </c>
      <c r="E155" s="4" t="s">
        <v>25</v>
      </c>
      <c r="F155" s="4" t="s">
        <v>25</v>
      </c>
      <c r="G155" s="4" t="s">
        <v>72</v>
      </c>
      <c r="H155" s="4" t="s">
        <v>25</v>
      </c>
      <c r="I155" s="5">
        <v>44621</v>
      </c>
      <c r="J155" s="6">
        <v>16500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66</v>
      </c>
      <c r="R155" s="4">
        <v>1047</v>
      </c>
      <c r="S155" s="4" t="s">
        <v>276</v>
      </c>
      <c r="U155" s="4">
        <v>8</v>
      </c>
      <c r="V155" s="4">
        <v>0</v>
      </c>
      <c r="W155" s="4">
        <v>0</v>
      </c>
    </row>
    <row r="156" spans="1:23" ht="11.25" customHeight="1" x14ac:dyDescent="0.25">
      <c r="A156" s="4" t="s">
        <v>21</v>
      </c>
      <c r="B156" s="4" t="s">
        <v>59</v>
      </c>
      <c r="C156" s="4" t="s">
        <v>64</v>
      </c>
      <c r="D156" s="4" t="s">
        <v>25</v>
      </c>
      <c r="E156" s="4" t="s">
        <v>25</v>
      </c>
      <c r="F156" s="4" t="s">
        <v>25</v>
      </c>
      <c r="G156" s="4" t="s">
        <v>73</v>
      </c>
      <c r="H156" s="4" t="s">
        <v>25</v>
      </c>
      <c r="I156" s="5">
        <v>44621</v>
      </c>
      <c r="J156" s="6">
        <v>5320</v>
      </c>
      <c r="K156" s="6">
        <v>2660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66</v>
      </c>
      <c r="R156" s="4">
        <v>1078</v>
      </c>
      <c r="S156" s="4" t="s">
        <v>277</v>
      </c>
      <c r="U156" s="4">
        <v>9</v>
      </c>
      <c r="V156" s="4">
        <v>0</v>
      </c>
      <c r="W156" s="4">
        <v>0</v>
      </c>
    </row>
    <row r="157" spans="1:23" ht="11.25" customHeight="1" x14ac:dyDescent="0.25">
      <c r="A157" s="4" t="s">
        <v>21</v>
      </c>
      <c r="B157" s="4" t="s">
        <v>59</v>
      </c>
      <c r="C157" s="4" t="s">
        <v>64</v>
      </c>
      <c r="D157" s="4" t="s">
        <v>25</v>
      </c>
      <c r="E157" s="4" t="s">
        <v>25</v>
      </c>
      <c r="F157" s="4" t="s">
        <v>25</v>
      </c>
      <c r="G157" s="4" t="s">
        <v>75</v>
      </c>
      <c r="H157" s="4" t="s">
        <v>25</v>
      </c>
      <c r="I157" s="5">
        <v>44621</v>
      </c>
      <c r="J157" s="6">
        <v>42500</v>
      </c>
      <c r="K157" s="6">
        <v>42500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66</v>
      </c>
      <c r="R157" s="4">
        <v>1276</v>
      </c>
      <c r="S157" s="4" t="s">
        <v>278</v>
      </c>
      <c r="U157" s="4">
        <v>10</v>
      </c>
      <c r="V157" s="4">
        <v>0</v>
      </c>
      <c r="W157" s="4">
        <v>0</v>
      </c>
    </row>
    <row r="158" spans="1:23" ht="11.25" customHeight="1" x14ac:dyDescent="0.25">
      <c r="A158" s="4" t="s">
        <v>21</v>
      </c>
      <c r="B158" s="4" t="s">
        <v>59</v>
      </c>
      <c r="C158" s="4" t="s">
        <v>64</v>
      </c>
      <c r="D158" s="4" t="s">
        <v>25</v>
      </c>
      <c r="E158" s="4" t="s">
        <v>25</v>
      </c>
      <c r="F158" s="4" t="s">
        <v>25</v>
      </c>
      <c r="G158" s="4" t="s">
        <v>86</v>
      </c>
      <c r="H158" s="4" t="s">
        <v>25</v>
      </c>
      <c r="I158" s="5">
        <v>44621</v>
      </c>
      <c r="J158" s="6">
        <v>24400</v>
      </c>
      <c r="K158" s="6">
        <v>12200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66</v>
      </c>
      <c r="R158" s="4">
        <v>27532</v>
      </c>
      <c r="S158" s="4" t="s">
        <v>279</v>
      </c>
      <c r="U158" s="4">
        <v>11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59</v>
      </c>
      <c r="C159" s="4" t="s">
        <v>64</v>
      </c>
      <c r="D159" s="4" t="s">
        <v>25</v>
      </c>
      <c r="E159" s="4" t="s">
        <v>25</v>
      </c>
      <c r="F159" s="4" t="s">
        <v>25</v>
      </c>
      <c r="G159" s="4" t="s">
        <v>87</v>
      </c>
      <c r="H159" s="4" t="s">
        <v>25</v>
      </c>
      <c r="I159" s="5">
        <v>44621</v>
      </c>
      <c r="J159" s="6">
        <v>25000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66</v>
      </c>
      <c r="R159" s="4">
        <v>27534</v>
      </c>
      <c r="S159" s="4" t="s">
        <v>280</v>
      </c>
      <c r="U159" s="4">
        <v>12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59</v>
      </c>
      <c r="C160" s="4" t="s">
        <v>64</v>
      </c>
      <c r="D160" s="4" t="s">
        <v>25</v>
      </c>
      <c r="E160" s="4" t="s">
        <v>25</v>
      </c>
      <c r="F160" s="4" t="s">
        <v>25</v>
      </c>
      <c r="G160" s="4" t="s">
        <v>89</v>
      </c>
      <c r="H160" s="4" t="s">
        <v>25</v>
      </c>
      <c r="I160" s="5">
        <v>44621</v>
      </c>
      <c r="J160" s="6">
        <v>12600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66</v>
      </c>
      <c r="R160" s="4">
        <v>27727</v>
      </c>
      <c r="S160" s="4" t="s">
        <v>281</v>
      </c>
      <c r="U160" s="4">
        <v>13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59</v>
      </c>
      <c r="C161" s="4" t="s">
        <v>64</v>
      </c>
      <c r="D161" s="4" t="s">
        <v>25</v>
      </c>
      <c r="E161" s="4" t="s">
        <v>25</v>
      </c>
      <c r="F161" s="4" t="s">
        <v>25</v>
      </c>
      <c r="G161" s="4" t="s">
        <v>92</v>
      </c>
      <c r="H161" s="4" t="s">
        <v>25</v>
      </c>
      <c r="I161" s="5">
        <v>44621</v>
      </c>
      <c r="J161" s="6">
        <v>8100</v>
      </c>
      <c r="K161" s="6">
        <v>4050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66</v>
      </c>
      <c r="R161" s="4">
        <v>30597</v>
      </c>
      <c r="S161" s="4" t="s">
        <v>282</v>
      </c>
      <c r="U161" s="4">
        <v>14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59</v>
      </c>
      <c r="C162" s="4" t="s">
        <v>64</v>
      </c>
      <c r="D162" s="4" t="s">
        <v>25</v>
      </c>
      <c r="E162" s="4" t="s">
        <v>25</v>
      </c>
      <c r="F162" s="4" t="s">
        <v>25</v>
      </c>
      <c r="G162" s="4" t="s">
        <v>65</v>
      </c>
      <c r="H162" s="4" t="s">
        <v>25</v>
      </c>
      <c r="I162" s="5">
        <v>44652</v>
      </c>
      <c r="J162" s="6">
        <v>1640</v>
      </c>
      <c r="K162" s="6">
        <v>820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66</v>
      </c>
      <c r="R162" s="4">
        <v>104</v>
      </c>
      <c r="S162" s="4" t="s">
        <v>283</v>
      </c>
      <c r="U162" s="4">
        <v>5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59</v>
      </c>
      <c r="C163" s="4" t="s">
        <v>64</v>
      </c>
      <c r="D163" s="4" t="s">
        <v>25</v>
      </c>
      <c r="E163" s="4" t="s">
        <v>25</v>
      </c>
      <c r="F163" s="4" t="s">
        <v>25</v>
      </c>
      <c r="G163" s="4" t="s">
        <v>67</v>
      </c>
      <c r="H163" s="4" t="s">
        <v>25</v>
      </c>
      <c r="I163" s="5">
        <v>44652</v>
      </c>
      <c r="J163" s="6">
        <v>39500</v>
      </c>
      <c r="K163" s="6">
        <v>24307.692490000001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66</v>
      </c>
      <c r="R163" s="4">
        <v>215</v>
      </c>
      <c r="S163" s="4" t="s">
        <v>284</v>
      </c>
      <c r="U163" s="4">
        <v>6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59</v>
      </c>
      <c r="C164" s="4" t="s">
        <v>64</v>
      </c>
      <c r="D164" s="4" t="s">
        <v>25</v>
      </c>
      <c r="E164" s="4" t="s">
        <v>25</v>
      </c>
      <c r="F164" s="4" t="s">
        <v>25</v>
      </c>
      <c r="G164" s="4" t="s">
        <v>69</v>
      </c>
      <c r="H164" s="4" t="s">
        <v>25</v>
      </c>
      <c r="I164" s="5">
        <v>44652</v>
      </c>
      <c r="J164" s="6">
        <v>22000</v>
      </c>
      <c r="K164" s="6">
        <v>22000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66</v>
      </c>
      <c r="R164" s="4">
        <v>473</v>
      </c>
      <c r="S164" s="4" t="s">
        <v>285</v>
      </c>
      <c r="U164" s="4">
        <v>7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59</v>
      </c>
      <c r="C165" s="4" t="s">
        <v>64</v>
      </c>
      <c r="D165" s="4" t="s">
        <v>25</v>
      </c>
      <c r="E165" s="4" t="s">
        <v>25</v>
      </c>
      <c r="F165" s="4" t="s">
        <v>25</v>
      </c>
      <c r="G165" s="4" t="s">
        <v>72</v>
      </c>
      <c r="H165" s="4" t="s">
        <v>25</v>
      </c>
      <c r="I165" s="5">
        <v>44652</v>
      </c>
      <c r="J165" s="6">
        <v>16500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66</v>
      </c>
      <c r="R165" s="4">
        <v>1047</v>
      </c>
      <c r="S165" s="4" t="s">
        <v>286</v>
      </c>
      <c r="U165" s="4">
        <v>8</v>
      </c>
      <c r="V165" s="4">
        <v>0</v>
      </c>
      <c r="W165" s="4">
        <v>0</v>
      </c>
    </row>
    <row r="166" spans="1:23" ht="11.25" customHeight="1" x14ac:dyDescent="0.25">
      <c r="A166" s="4" t="s">
        <v>21</v>
      </c>
      <c r="B166" s="4" t="s">
        <v>59</v>
      </c>
      <c r="C166" s="4" t="s">
        <v>64</v>
      </c>
      <c r="D166" s="4" t="s">
        <v>25</v>
      </c>
      <c r="E166" s="4" t="s">
        <v>25</v>
      </c>
      <c r="F166" s="4" t="s">
        <v>25</v>
      </c>
      <c r="G166" s="4" t="s">
        <v>73</v>
      </c>
      <c r="H166" s="4" t="s">
        <v>25</v>
      </c>
      <c r="I166" s="5">
        <v>44652</v>
      </c>
      <c r="J166" s="6">
        <v>5320</v>
      </c>
      <c r="K166" s="6">
        <v>2660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66</v>
      </c>
      <c r="R166" s="4">
        <v>1078</v>
      </c>
      <c r="S166" s="4" t="s">
        <v>287</v>
      </c>
      <c r="U166" s="4">
        <v>9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59</v>
      </c>
      <c r="C167" s="4" t="s">
        <v>64</v>
      </c>
      <c r="D167" s="4" t="s">
        <v>25</v>
      </c>
      <c r="E167" s="4" t="s">
        <v>25</v>
      </c>
      <c r="F167" s="4" t="s">
        <v>25</v>
      </c>
      <c r="G167" s="4" t="s">
        <v>75</v>
      </c>
      <c r="H167" s="4" t="s">
        <v>25</v>
      </c>
      <c r="I167" s="5">
        <v>44652</v>
      </c>
      <c r="J167" s="6">
        <v>42500</v>
      </c>
      <c r="K167" s="6">
        <v>42500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66</v>
      </c>
      <c r="R167" s="4">
        <v>1276</v>
      </c>
      <c r="S167" s="4" t="s">
        <v>288</v>
      </c>
      <c r="U167" s="4">
        <v>10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59</v>
      </c>
      <c r="C168" s="4" t="s">
        <v>64</v>
      </c>
      <c r="D168" s="4" t="s">
        <v>25</v>
      </c>
      <c r="E168" s="4" t="s">
        <v>25</v>
      </c>
      <c r="F168" s="4" t="s">
        <v>25</v>
      </c>
      <c r="G168" s="4" t="s">
        <v>86</v>
      </c>
      <c r="H168" s="4" t="s">
        <v>25</v>
      </c>
      <c r="I168" s="5">
        <v>44652</v>
      </c>
      <c r="J168" s="6">
        <v>24400</v>
      </c>
      <c r="K168" s="6">
        <v>12200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66</v>
      </c>
      <c r="R168" s="4">
        <v>27532</v>
      </c>
      <c r="S168" s="4" t="s">
        <v>289</v>
      </c>
      <c r="U168" s="4">
        <v>11</v>
      </c>
      <c r="V168" s="4">
        <v>0</v>
      </c>
      <c r="W168" s="4">
        <v>0</v>
      </c>
    </row>
    <row r="169" spans="1:23" ht="11.25" customHeight="1" x14ac:dyDescent="0.25">
      <c r="A169" s="4" t="s">
        <v>21</v>
      </c>
      <c r="B169" s="4" t="s">
        <v>59</v>
      </c>
      <c r="C169" s="4" t="s">
        <v>64</v>
      </c>
      <c r="D169" s="4" t="s">
        <v>25</v>
      </c>
      <c r="E169" s="4" t="s">
        <v>25</v>
      </c>
      <c r="F169" s="4" t="s">
        <v>25</v>
      </c>
      <c r="G169" s="4" t="s">
        <v>87</v>
      </c>
      <c r="H169" s="4" t="s">
        <v>25</v>
      </c>
      <c r="I169" s="5">
        <v>44652</v>
      </c>
      <c r="J169" s="6">
        <v>25000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66</v>
      </c>
      <c r="R169" s="4">
        <v>27534</v>
      </c>
      <c r="S169" s="4" t="s">
        <v>290</v>
      </c>
      <c r="U169" s="4">
        <v>12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59</v>
      </c>
      <c r="C170" s="4" t="s">
        <v>64</v>
      </c>
      <c r="D170" s="4" t="s">
        <v>25</v>
      </c>
      <c r="E170" s="4" t="s">
        <v>25</v>
      </c>
      <c r="F170" s="4" t="s">
        <v>25</v>
      </c>
      <c r="G170" s="4" t="s">
        <v>89</v>
      </c>
      <c r="H170" s="4" t="s">
        <v>25</v>
      </c>
      <c r="I170" s="5">
        <v>44652</v>
      </c>
      <c r="J170" s="6">
        <v>12600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66</v>
      </c>
      <c r="R170" s="4">
        <v>27727</v>
      </c>
      <c r="S170" s="4" t="s">
        <v>291</v>
      </c>
      <c r="U170" s="4">
        <v>13</v>
      </c>
      <c r="V170" s="4">
        <v>0</v>
      </c>
      <c r="W170" s="4">
        <v>0</v>
      </c>
    </row>
    <row r="171" spans="1:23" ht="11.25" customHeight="1" x14ac:dyDescent="0.25">
      <c r="A171" s="4" t="s">
        <v>21</v>
      </c>
      <c r="B171" s="4" t="s">
        <v>59</v>
      </c>
      <c r="C171" s="4" t="s">
        <v>64</v>
      </c>
      <c r="D171" s="4" t="s">
        <v>25</v>
      </c>
      <c r="E171" s="4" t="s">
        <v>25</v>
      </c>
      <c r="F171" s="4" t="s">
        <v>25</v>
      </c>
      <c r="G171" s="4" t="s">
        <v>92</v>
      </c>
      <c r="H171" s="4" t="s">
        <v>25</v>
      </c>
      <c r="I171" s="5">
        <v>44652</v>
      </c>
      <c r="J171" s="6">
        <v>8100</v>
      </c>
      <c r="K171" s="6">
        <v>4050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66</v>
      </c>
      <c r="R171" s="4">
        <v>30597</v>
      </c>
      <c r="S171" s="4" t="s">
        <v>292</v>
      </c>
      <c r="U171" s="4">
        <v>14</v>
      </c>
      <c r="V171" s="4">
        <v>0</v>
      </c>
      <c r="W171" s="4">
        <v>0</v>
      </c>
    </row>
    <row r="172" spans="1:23" ht="11.25" customHeight="1" x14ac:dyDescent="0.25">
      <c r="A172" s="4" t="s">
        <v>58</v>
      </c>
      <c r="B172" s="4" t="s">
        <v>59</v>
      </c>
      <c r="C172" s="4" t="s">
        <v>64</v>
      </c>
      <c r="D172" s="4" t="s">
        <v>25</v>
      </c>
      <c r="E172" s="4" t="s">
        <v>25</v>
      </c>
      <c r="F172" s="4" t="s">
        <v>25</v>
      </c>
      <c r="G172" s="4" t="s">
        <v>65</v>
      </c>
      <c r="H172" s="4" t="s">
        <v>25</v>
      </c>
      <c r="I172" s="5">
        <v>44682</v>
      </c>
      <c r="J172" s="6">
        <v>1640</v>
      </c>
      <c r="K172" s="6">
        <v>820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66</v>
      </c>
      <c r="R172" s="4">
        <v>104</v>
      </c>
      <c r="S172" s="4" t="s">
        <v>293</v>
      </c>
      <c r="U172" s="4">
        <v>5</v>
      </c>
      <c r="V172" s="4">
        <v>0</v>
      </c>
      <c r="W172" s="4">
        <v>0</v>
      </c>
    </row>
    <row r="173" spans="1:23" ht="11.25" customHeight="1" x14ac:dyDescent="0.25">
      <c r="A173" s="4" t="s">
        <v>58</v>
      </c>
      <c r="B173" s="4" t="s">
        <v>59</v>
      </c>
      <c r="C173" s="4" t="s">
        <v>64</v>
      </c>
      <c r="D173" s="4" t="s">
        <v>25</v>
      </c>
      <c r="E173" s="4" t="s">
        <v>25</v>
      </c>
      <c r="F173" s="4" t="s">
        <v>25</v>
      </c>
      <c r="G173" s="4" t="s">
        <v>67</v>
      </c>
      <c r="H173" s="4" t="s">
        <v>25</v>
      </c>
      <c r="I173" s="5">
        <v>44682</v>
      </c>
      <c r="J173" s="6">
        <v>39500</v>
      </c>
      <c r="K173" s="6">
        <v>24307.692490000001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66</v>
      </c>
      <c r="R173" s="4">
        <v>215</v>
      </c>
      <c r="S173" s="4" t="s">
        <v>294</v>
      </c>
      <c r="U173" s="4">
        <v>6</v>
      </c>
      <c r="V173" s="4">
        <v>0</v>
      </c>
      <c r="W173" s="4">
        <v>0</v>
      </c>
    </row>
    <row r="174" spans="1:23" ht="11.25" customHeight="1" x14ac:dyDescent="0.25">
      <c r="A174" s="4" t="s">
        <v>58</v>
      </c>
      <c r="B174" s="4" t="s">
        <v>59</v>
      </c>
      <c r="C174" s="4" t="s">
        <v>64</v>
      </c>
      <c r="D174" s="4" t="s">
        <v>25</v>
      </c>
      <c r="E174" s="4" t="s">
        <v>25</v>
      </c>
      <c r="F174" s="4" t="s">
        <v>25</v>
      </c>
      <c r="G174" s="4" t="s">
        <v>69</v>
      </c>
      <c r="H174" s="4" t="s">
        <v>25</v>
      </c>
      <c r="I174" s="5">
        <v>44682</v>
      </c>
      <c r="J174" s="6">
        <v>22000</v>
      </c>
      <c r="K174" s="6">
        <v>22000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66</v>
      </c>
      <c r="R174" s="4">
        <v>473</v>
      </c>
      <c r="S174" s="4" t="s">
        <v>295</v>
      </c>
      <c r="U174" s="4">
        <v>7</v>
      </c>
      <c r="V174" s="4">
        <v>0</v>
      </c>
      <c r="W174" s="4">
        <v>0</v>
      </c>
    </row>
    <row r="175" spans="1:23" ht="11.25" customHeight="1" x14ac:dyDescent="0.25">
      <c r="A175" s="4" t="s">
        <v>58</v>
      </c>
      <c r="B175" s="4" t="s">
        <v>59</v>
      </c>
      <c r="C175" s="4" t="s">
        <v>64</v>
      </c>
      <c r="D175" s="4" t="s">
        <v>25</v>
      </c>
      <c r="E175" s="4" t="s">
        <v>25</v>
      </c>
      <c r="F175" s="4" t="s">
        <v>25</v>
      </c>
      <c r="G175" s="4" t="s">
        <v>72</v>
      </c>
      <c r="H175" s="4" t="s">
        <v>25</v>
      </c>
      <c r="I175" s="5">
        <v>44682</v>
      </c>
      <c r="J175" s="6">
        <v>16500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66</v>
      </c>
      <c r="R175" s="4">
        <v>1047</v>
      </c>
      <c r="S175" s="4" t="s">
        <v>296</v>
      </c>
      <c r="U175" s="4">
        <v>8</v>
      </c>
      <c r="V175" s="4">
        <v>0</v>
      </c>
      <c r="W175" s="4">
        <v>0</v>
      </c>
    </row>
    <row r="176" spans="1:23" ht="11.25" customHeight="1" x14ac:dyDescent="0.25">
      <c r="A176" s="4" t="s">
        <v>58</v>
      </c>
      <c r="B176" s="4" t="s">
        <v>59</v>
      </c>
      <c r="C176" s="4" t="s">
        <v>64</v>
      </c>
      <c r="D176" s="4" t="s">
        <v>25</v>
      </c>
      <c r="E176" s="4" t="s">
        <v>25</v>
      </c>
      <c r="F176" s="4" t="s">
        <v>25</v>
      </c>
      <c r="G176" s="4" t="s">
        <v>73</v>
      </c>
      <c r="H176" s="4" t="s">
        <v>25</v>
      </c>
      <c r="I176" s="5">
        <v>44682</v>
      </c>
      <c r="J176" s="6">
        <v>5320</v>
      </c>
      <c r="K176" s="6">
        <v>2660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66</v>
      </c>
      <c r="R176" s="4">
        <v>1078</v>
      </c>
      <c r="S176" s="4" t="s">
        <v>297</v>
      </c>
      <c r="U176" s="4">
        <v>9</v>
      </c>
      <c r="V176" s="4">
        <v>0</v>
      </c>
      <c r="W176" s="4">
        <v>0</v>
      </c>
    </row>
    <row r="177" spans="1:23" ht="11.25" customHeight="1" x14ac:dyDescent="0.25">
      <c r="A177" s="4" t="s">
        <v>58</v>
      </c>
      <c r="B177" s="4" t="s">
        <v>59</v>
      </c>
      <c r="C177" s="4" t="s">
        <v>64</v>
      </c>
      <c r="D177" s="4" t="s">
        <v>25</v>
      </c>
      <c r="E177" s="4" t="s">
        <v>25</v>
      </c>
      <c r="F177" s="4" t="s">
        <v>25</v>
      </c>
      <c r="G177" s="4" t="s">
        <v>75</v>
      </c>
      <c r="H177" s="4" t="s">
        <v>25</v>
      </c>
      <c r="I177" s="5">
        <v>44682</v>
      </c>
      <c r="J177" s="6">
        <v>42500</v>
      </c>
      <c r="K177" s="6">
        <v>42500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66</v>
      </c>
      <c r="R177" s="4">
        <v>1276</v>
      </c>
      <c r="S177" s="4" t="s">
        <v>298</v>
      </c>
      <c r="U177" s="4">
        <v>10</v>
      </c>
      <c r="V177" s="4">
        <v>0</v>
      </c>
      <c r="W177" s="4">
        <v>0</v>
      </c>
    </row>
    <row r="178" spans="1:23" ht="11.25" customHeight="1" x14ac:dyDescent="0.25">
      <c r="A178" s="4" t="s">
        <v>58</v>
      </c>
      <c r="B178" s="4" t="s">
        <v>59</v>
      </c>
      <c r="C178" s="4" t="s">
        <v>64</v>
      </c>
      <c r="D178" s="4" t="s">
        <v>25</v>
      </c>
      <c r="E178" s="4" t="s">
        <v>25</v>
      </c>
      <c r="F178" s="4" t="s">
        <v>25</v>
      </c>
      <c r="G178" s="4" t="s">
        <v>86</v>
      </c>
      <c r="H178" s="4" t="s">
        <v>25</v>
      </c>
      <c r="I178" s="5">
        <v>44682</v>
      </c>
      <c r="J178" s="6">
        <v>24400</v>
      </c>
      <c r="K178" s="6">
        <v>12200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66</v>
      </c>
      <c r="R178" s="4">
        <v>27532</v>
      </c>
      <c r="S178" s="4" t="s">
        <v>299</v>
      </c>
      <c r="U178" s="4">
        <v>11</v>
      </c>
      <c r="V178" s="4">
        <v>0</v>
      </c>
      <c r="W178" s="4">
        <v>0</v>
      </c>
    </row>
    <row r="179" spans="1:23" ht="11.25" customHeight="1" x14ac:dyDescent="0.25">
      <c r="A179" s="4" t="s">
        <v>58</v>
      </c>
      <c r="B179" s="4" t="s">
        <v>59</v>
      </c>
      <c r="C179" s="4" t="s">
        <v>64</v>
      </c>
      <c r="D179" s="4" t="s">
        <v>25</v>
      </c>
      <c r="E179" s="4" t="s">
        <v>25</v>
      </c>
      <c r="F179" s="4" t="s">
        <v>25</v>
      </c>
      <c r="G179" s="4" t="s">
        <v>87</v>
      </c>
      <c r="H179" s="4" t="s">
        <v>25</v>
      </c>
      <c r="I179" s="5">
        <v>44682</v>
      </c>
      <c r="J179" s="6">
        <v>25000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66</v>
      </c>
      <c r="R179" s="4">
        <v>27534</v>
      </c>
      <c r="S179" s="4" t="s">
        <v>300</v>
      </c>
      <c r="U179" s="4">
        <v>12</v>
      </c>
      <c r="V179" s="4">
        <v>0</v>
      </c>
      <c r="W179" s="4">
        <v>0</v>
      </c>
    </row>
    <row r="180" spans="1:23" ht="11.25" customHeight="1" x14ac:dyDescent="0.25">
      <c r="A180" s="4" t="s">
        <v>58</v>
      </c>
      <c r="B180" s="4" t="s">
        <v>59</v>
      </c>
      <c r="C180" s="4" t="s">
        <v>64</v>
      </c>
      <c r="D180" s="4" t="s">
        <v>25</v>
      </c>
      <c r="E180" s="4" t="s">
        <v>25</v>
      </c>
      <c r="F180" s="4" t="s">
        <v>25</v>
      </c>
      <c r="G180" s="4" t="s">
        <v>89</v>
      </c>
      <c r="H180" s="4" t="s">
        <v>25</v>
      </c>
      <c r="I180" s="5">
        <v>44682</v>
      </c>
      <c r="J180" s="6">
        <v>12600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66</v>
      </c>
      <c r="R180" s="4">
        <v>27727</v>
      </c>
      <c r="S180" s="4" t="s">
        <v>301</v>
      </c>
      <c r="U180" s="4">
        <v>13</v>
      </c>
      <c r="V180" s="4">
        <v>0</v>
      </c>
      <c r="W180" s="4">
        <v>0</v>
      </c>
    </row>
    <row r="181" spans="1:23" ht="11.25" customHeight="1" x14ac:dyDescent="0.25">
      <c r="A181" s="4" t="s">
        <v>58</v>
      </c>
      <c r="B181" s="4" t="s">
        <v>59</v>
      </c>
      <c r="C181" s="4" t="s">
        <v>64</v>
      </c>
      <c r="D181" s="4" t="s">
        <v>25</v>
      </c>
      <c r="E181" s="4" t="s">
        <v>25</v>
      </c>
      <c r="F181" s="4" t="s">
        <v>25</v>
      </c>
      <c r="G181" s="4" t="s">
        <v>92</v>
      </c>
      <c r="H181" s="4" t="s">
        <v>25</v>
      </c>
      <c r="I181" s="5">
        <v>44682</v>
      </c>
      <c r="J181" s="6">
        <v>8100</v>
      </c>
      <c r="K181" s="6">
        <v>4050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66</v>
      </c>
      <c r="R181" s="4">
        <v>30597</v>
      </c>
      <c r="S181" s="4" t="s">
        <v>302</v>
      </c>
      <c r="U181" s="4">
        <v>14</v>
      </c>
      <c r="V181" s="4">
        <v>0</v>
      </c>
      <c r="W181" s="4">
        <v>0</v>
      </c>
    </row>
    <row r="182" spans="1:23" ht="11.25" customHeight="1" x14ac:dyDescent="0.25">
      <c r="A182" s="4" t="s">
        <v>21</v>
      </c>
      <c r="B182" s="4" t="s">
        <v>39</v>
      </c>
      <c r="C182" s="4" t="s">
        <v>40</v>
      </c>
      <c r="D182" s="4" t="s">
        <v>38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44348</v>
      </c>
      <c r="J182" s="6">
        <v>350</v>
      </c>
      <c r="K182" s="6">
        <v>350</v>
      </c>
      <c r="L182" s="6">
        <v>56</v>
      </c>
      <c r="M182" s="6">
        <v>56</v>
      </c>
      <c r="N182" s="6">
        <v>56</v>
      </c>
      <c r="O182" s="6">
        <v>56</v>
      </c>
      <c r="P182" s="6">
        <v>0</v>
      </c>
      <c r="Q182" s="4" t="s">
        <v>26</v>
      </c>
      <c r="R182" s="4">
        <v>0</v>
      </c>
      <c r="S182" s="4" t="s">
        <v>303</v>
      </c>
      <c r="T182" s="4" t="s">
        <v>687</v>
      </c>
      <c r="U182" s="4">
        <v>17</v>
      </c>
      <c r="V182" s="4">
        <v>18</v>
      </c>
      <c r="W182" s="4">
        <v>76</v>
      </c>
    </row>
    <row r="183" spans="1:23" ht="11.25" customHeight="1" x14ac:dyDescent="0.25">
      <c r="A183" s="4" t="s">
        <v>21</v>
      </c>
      <c r="B183" s="4" t="s">
        <v>39</v>
      </c>
      <c r="C183" s="4" t="s">
        <v>40</v>
      </c>
      <c r="D183" s="4" t="s">
        <v>38</v>
      </c>
      <c r="E183" s="4" t="s">
        <v>25</v>
      </c>
      <c r="F183" s="4" t="s">
        <v>25</v>
      </c>
      <c r="G183" s="4" t="s">
        <v>25</v>
      </c>
      <c r="H183" s="4" t="s">
        <v>35</v>
      </c>
      <c r="I183" s="5">
        <v>44348</v>
      </c>
      <c r="J183" s="6">
        <v>13224</v>
      </c>
      <c r="K183" s="6">
        <v>13224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0</v>
      </c>
      <c r="S183" s="4" t="s">
        <v>303</v>
      </c>
      <c r="U183" s="4">
        <v>17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39</v>
      </c>
      <c r="C184" s="4" t="s">
        <v>40</v>
      </c>
      <c r="D184" s="4" t="s">
        <v>38</v>
      </c>
      <c r="E184" s="4" t="s">
        <v>25</v>
      </c>
      <c r="F184" s="4" t="s">
        <v>25</v>
      </c>
      <c r="G184" s="4" t="s">
        <v>25</v>
      </c>
      <c r="H184" s="4" t="s">
        <v>35</v>
      </c>
      <c r="I184" s="5">
        <v>44378</v>
      </c>
      <c r="J184" s="6">
        <v>350</v>
      </c>
      <c r="K184" s="6">
        <v>350</v>
      </c>
      <c r="L184" s="6">
        <v>49</v>
      </c>
      <c r="M184" s="6">
        <v>49</v>
      </c>
      <c r="N184" s="6">
        <v>49</v>
      </c>
      <c r="O184" s="6">
        <v>49</v>
      </c>
      <c r="P184" s="6">
        <v>0</v>
      </c>
      <c r="Q184" s="4" t="s">
        <v>26</v>
      </c>
      <c r="R184" s="4">
        <v>0</v>
      </c>
      <c r="S184" s="4" t="s">
        <v>304</v>
      </c>
      <c r="T184" s="4" t="s">
        <v>688</v>
      </c>
      <c r="U184" s="4">
        <v>17</v>
      </c>
      <c r="V184" s="4">
        <v>18</v>
      </c>
      <c r="W184" s="4">
        <v>76</v>
      </c>
    </row>
    <row r="185" spans="1:23" ht="11.25" customHeight="1" x14ac:dyDescent="0.25">
      <c r="A185" s="4" t="s">
        <v>21</v>
      </c>
      <c r="B185" s="4" t="s">
        <v>39</v>
      </c>
      <c r="C185" s="4" t="s">
        <v>40</v>
      </c>
      <c r="D185" s="4" t="s">
        <v>38</v>
      </c>
      <c r="E185" s="4" t="s">
        <v>25</v>
      </c>
      <c r="F185" s="4" t="s">
        <v>25</v>
      </c>
      <c r="G185" s="4" t="s">
        <v>25</v>
      </c>
      <c r="H185" s="4" t="s">
        <v>35</v>
      </c>
      <c r="I185" s="5">
        <v>44378</v>
      </c>
      <c r="J185" s="6">
        <v>13256</v>
      </c>
      <c r="K185" s="6">
        <v>13256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0</v>
      </c>
      <c r="S185" s="4" t="s">
        <v>304</v>
      </c>
      <c r="U185" s="4">
        <v>17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39</v>
      </c>
      <c r="C186" s="4" t="s">
        <v>40</v>
      </c>
      <c r="D186" s="4" t="s">
        <v>38</v>
      </c>
      <c r="E186" s="4" t="s">
        <v>25</v>
      </c>
      <c r="F186" s="4" t="s">
        <v>25</v>
      </c>
      <c r="G186" s="4" t="s">
        <v>25</v>
      </c>
      <c r="H186" s="4" t="s">
        <v>35</v>
      </c>
      <c r="I186" s="5">
        <v>44409</v>
      </c>
      <c r="J186" s="6">
        <v>350</v>
      </c>
      <c r="K186" s="6">
        <v>350</v>
      </c>
      <c r="L186" s="6">
        <v>42</v>
      </c>
      <c r="M186" s="6">
        <v>42</v>
      </c>
      <c r="N186" s="6">
        <v>42</v>
      </c>
      <c r="O186" s="6">
        <v>42</v>
      </c>
      <c r="P186" s="6">
        <v>0</v>
      </c>
      <c r="Q186" s="4" t="s">
        <v>26</v>
      </c>
      <c r="R186" s="4">
        <v>0</v>
      </c>
      <c r="S186" s="4" t="s">
        <v>305</v>
      </c>
      <c r="T186" s="4" t="s">
        <v>689</v>
      </c>
      <c r="U186" s="4">
        <v>17</v>
      </c>
      <c r="V186" s="4">
        <v>18</v>
      </c>
      <c r="W186" s="4">
        <v>76</v>
      </c>
    </row>
    <row r="187" spans="1:23" ht="11.25" customHeight="1" x14ac:dyDescent="0.25">
      <c r="A187" s="4" t="s">
        <v>21</v>
      </c>
      <c r="B187" s="4" t="s">
        <v>39</v>
      </c>
      <c r="C187" s="4" t="s">
        <v>40</v>
      </c>
      <c r="D187" s="4" t="s">
        <v>38</v>
      </c>
      <c r="E187" s="4" t="s">
        <v>25</v>
      </c>
      <c r="F187" s="4" t="s">
        <v>25</v>
      </c>
      <c r="G187" s="4" t="s">
        <v>25</v>
      </c>
      <c r="H187" s="4" t="s">
        <v>35</v>
      </c>
      <c r="I187" s="5">
        <v>44409</v>
      </c>
      <c r="J187" s="6">
        <v>13327</v>
      </c>
      <c r="K187" s="6">
        <v>13327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0</v>
      </c>
      <c r="S187" s="4" t="s">
        <v>305</v>
      </c>
      <c r="U187" s="4">
        <v>17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39</v>
      </c>
      <c r="C188" s="4" t="s">
        <v>40</v>
      </c>
      <c r="D188" s="4" t="s">
        <v>38</v>
      </c>
      <c r="E188" s="4" t="s">
        <v>25</v>
      </c>
      <c r="F188" s="4" t="s">
        <v>25</v>
      </c>
      <c r="G188" s="4" t="s">
        <v>25</v>
      </c>
      <c r="H188" s="4" t="s">
        <v>35</v>
      </c>
      <c r="I188" s="5">
        <v>44440</v>
      </c>
      <c r="J188" s="6">
        <v>2170</v>
      </c>
      <c r="K188" s="6">
        <v>2170</v>
      </c>
      <c r="L188" s="6">
        <v>308</v>
      </c>
      <c r="M188" s="6">
        <v>308</v>
      </c>
      <c r="N188" s="6">
        <v>308</v>
      </c>
      <c r="O188" s="6">
        <v>308</v>
      </c>
      <c r="P188" s="6">
        <v>0</v>
      </c>
      <c r="Q188" s="4" t="s">
        <v>26</v>
      </c>
      <c r="R188" s="4">
        <v>0</v>
      </c>
      <c r="S188" s="4" t="s">
        <v>306</v>
      </c>
      <c r="T188" s="4" t="s">
        <v>690</v>
      </c>
      <c r="U188" s="4">
        <v>17</v>
      </c>
      <c r="V188" s="4">
        <v>18</v>
      </c>
      <c r="W188" s="4">
        <v>76</v>
      </c>
    </row>
    <row r="189" spans="1:23" ht="11.25" customHeight="1" x14ac:dyDescent="0.25">
      <c r="A189" s="4" t="s">
        <v>21</v>
      </c>
      <c r="B189" s="4" t="s">
        <v>39</v>
      </c>
      <c r="C189" s="4" t="s">
        <v>40</v>
      </c>
      <c r="D189" s="4" t="s">
        <v>38</v>
      </c>
      <c r="E189" s="4" t="s">
        <v>25</v>
      </c>
      <c r="F189" s="4" t="s">
        <v>25</v>
      </c>
      <c r="G189" s="4" t="s">
        <v>25</v>
      </c>
      <c r="H189" s="4" t="s">
        <v>35</v>
      </c>
      <c r="I189" s="5">
        <v>44440</v>
      </c>
      <c r="J189" s="6">
        <v>13438</v>
      </c>
      <c r="K189" s="6">
        <v>13438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0</v>
      </c>
      <c r="S189" s="4" t="s">
        <v>306</v>
      </c>
      <c r="U189" s="4">
        <v>17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39</v>
      </c>
      <c r="C190" s="4" t="s">
        <v>40</v>
      </c>
      <c r="D190" s="4" t="s">
        <v>38</v>
      </c>
      <c r="E190" s="4" t="s">
        <v>25</v>
      </c>
      <c r="F190" s="4" t="s">
        <v>25</v>
      </c>
      <c r="G190" s="4" t="s">
        <v>25</v>
      </c>
      <c r="H190" s="4" t="s">
        <v>35</v>
      </c>
      <c r="I190" s="5">
        <v>44470</v>
      </c>
      <c r="J190" s="6">
        <v>2030</v>
      </c>
      <c r="K190" s="6">
        <v>2030</v>
      </c>
      <c r="L190" s="6">
        <v>788.44899999999996</v>
      </c>
      <c r="M190" s="6">
        <v>788.44899999999996</v>
      </c>
      <c r="N190" s="6">
        <v>788.44899999999996</v>
      </c>
      <c r="O190" s="6">
        <v>788.44899999999996</v>
      </c>
      <c r="P190" s="6">
        <v>0</v>
      </c>
      <c r="Q190" s="4" t="s">
        <v>26</v>
      </c>
      <c r="R190" s="4">
        <v>0</v>
      </c>
      <c r="S190" s="4" t="s">
        <v>307</v>
      </c>
      <c r="T190" s="4" t="s">
        <v>691</v>
      </c>
      <c r="U190" s="4">
        <v>17</v>
      </c>
      <c r="V190" s="4">
        <v>18</v>
      </c>
      <c r="W190" s="4">
        <v>76</v>
      </c>
    </row>
    <row r="191" spans="1:23" ht="11.25" customHeight="1" x14ac:dyDescent="0.25">
      <c r="A191" s="4" t="s">
        <v>21</v>
      </c>
      <c r="B191" s="4" t="s">
        <v>39</v>
      </c>
      <c r="C191" s="4" t="s">
        <v>40</v>
      </c>
      <c r="D191" s="4" t="s">
        <v>38</v>
      </c>
      <c r="E191" s="4" t="s">
        <v>25</v>
      </c>
      <c r="F191" s="4" t="s">
        <v>25</v>
      </c>
      <c r="G191" s="4" t="s">
        <v>25</v>
      </c>
      <c r="H191" s="4" t="s">
        <v>35</v>
      </c>
      <c r="I191" s="5">
        <v>44470</v>
      </c>
      <c r="J191" s="6">
        <v>13420</v>
      </c>
      <c r="K191" s="6">
        <v>13420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0</v>
      </c>
      <c r="S191" s="4" t="s">
        <v>307</v>
      </c>
      <c r="U191" s="4">
        <v>17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39</v>
      </c>
      <c r="C192" s="4" t="s">
        <v>40</v>
      </c>
      <c r="D192" s="4" t="s">
        <v>38</v>
      </c>
      <c r="E192" s="4" t="s">
        <v>25</v>
      </c>
      <c r="F192" s="4" t="s">
        <v>25</v>
      </c>
      <c r="G192" s="4" t="s">
        <v>25</v>
      </c>
      <c r="H192" s="4" t="s">
        <v>35</v>
      </c>
      <c r="I192" s="5">
        <v>44501</v>
      </c>
      <c r="J192" s="6">
        <v>350</v>
      </c>
      <c r="K192" s="6">
        <v>350</v>
      </c>
      <c r="L192" s="6">
        <v>84</v>
      </c>
      <c r="M192" s="6">
        <v>84</v>
      </c>
      <c r="N192" s="6">
        <v>84</v>
      </c>
      <c r="O192" s="6">
        <v>84</v>
      </c>
      <c r="P192" s="6">
        <v>0</v>
      </c>
      <c r="Q192" s="4" t="s">
        <v>26</v>
      </c>
      <c r="R192" s="4">
        <v>0</v>
      </c>
      <c r="S192" s="4" t="s">
        <v>308</v>
      </c>
      <c r="T192" s="4" t="s">
        <v>692</v>
      </c>
      <c r="U192" s="4">
        <v>17</v>
      </c>
      <c r="V192" s="4">
        <v>18</v>
      </c>
      <c r="W192" s="4">
        <v>76</v>
      </c>
    </row>
    <row r="193" spans="1:23" ht="11.25" customHeight="1" x14ac:dyDescent="0.25">
      <c r="A193" s="4" t="s">
        <v>21</v>
      </c>
      <c r="B193" s="4" t="s">
        <v>39</v>
      </c>
      <c r="C193" s="4" t="s">
        <v>40</v>
      </c>
      <c r="D193" s="4" t="s">
        <v>38</v>
      </c>
      <c r="E193" s="4" t="s">
        <v>25</v>
      </c>
      <c r="F193" s="4" t="s">
        <v>25</v>
      </c>
      <c r="G193" s="4" t="s">
        <v>25</v>
      </c>
      <c r="H193" s="4" t="s">
        <v>35</v>
      </c>
      <c r="I193" s="5">
        <v>44501</v>
      </c>
      <c r="J193" s="6">
        <v>13689</v>
      </c>
      <c r="K193" s="6">
        <v>13689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R193" s="4">
        <v>0</v>
      </c>
      <c r="S193" s="4" t="s">
        <v>308</v>
      </c>
      <c r="U193" s="4">
        <v>17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39</v>
      </c>
      <c r="C194" s="4" t="s">
        <v>40</v>
      </c>
      <c r="D194" s="4" t="s">
        <v>38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44531</v>
      </c>
      <c r="J194" s="6">
        <v>2380</v>
      </c>
      <c r="K194" s="6">
        <v>2380</v>
      </c>
      <c r="L194" s="6">
        <v>189</v>
      </c>
      <c r="M194" s="6">
        <v>189</v>
      </c>
      <c r="N194" s="6">
        <v>189</v>
      </c>
      <c r="O194" s="6">
        <v>189</v>
      </c>
      <c r="P194" s="6">
        <v>0</v>
      </c>
      <c r="Q194" s="4" t="s">
        <v>26</v>
      </c>
      <c r="R194" s="4">
        <v>0</v>
      </c>
      <c r="S194" s="4" t="s">
        <v>309</v>
      </c>
      <c r="T194" s="4" t="s">
        <v>693</v>
      </c>
      <c r="U194" s="4">
        <v>17</v>
      </c>
      <c r="V194" s="4">
        <v>18</v>
      </c>
      <c r="W194" s="4">
        <v>76</v>
      </c>
    </row>
    <row r="195" spans="1:23" ht="11.25" customHeight="1" x14ac:dyDescent="0.25">
      <c r="A195" s="4" t="s">
        <v>21</v>
      </c>
      <c r="B195" s="4" t="s">
        <v>39</v>
      </c>
      <c r="C195" s="4" t="s">
        <v>40</v>
      </c>
      <c r="D195" s="4" t="s">
        <v>38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44531</v>
      </c>
      <c r="J195" s="6">
        <v>13515</v>
      </c>
      <c r="K195" s="6">
        <v>13515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60</v>
      </c>
      <c r="R195" s="4">
        <v>0</v>
      </c>
      <c r="S195" s="4" t="s">
        <v>309</v>
      </c>
      <c r="U195" s="4">
        <v>17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39</v>
      </c>
      <c r="C196" s="4" t="s">
        <v>40</v>
      </c>
      <c r="D196" s="4" t="s">
        <v>38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44562</v>
      </c>
      <c r="J196" s="6">
        <v>3000</v>
      </c>
      <c r="K196" s="6">
        <v>3000</v>
      </c>
      <c r="L196" s="6">
        <v>245.89699999999999</v>
      </c>
      <c r="M196" s="6">
        <v>245.89699999999999</v>
      </c>
      <c r="N196" s="6">
        <v>245.89699999999999</v>
      </c>
      <c r="O196" s="6">
        <v>245.89699999999999</v>
      </c>
      <c r="P196" s="6">
        <v>0</v>
      </c>
      <c r="Q196" s="4" t="s">
        <v>26</v>
      </c>
      <c r="R196" s="4">
        <v>0</v>
      </c>
      <c r="S196" s="4" t="s">
        <v>310</v>
      </c>
      <c r="T196" s="4" t="s">
        <v>694</v>
      </c>
      <c r="U196" s="4">
        <v>17</v>
      </c>
      <c r="V196" s="4">
        <v>18</v>
      </c>
      <c r="W196" s="4">
        <v>76</v>
      </c>
    </row>
    <row r="197" spans="1:23" ht="11.25" customHeight="1" x14ac:dyDescent="0.25">
      <c r="A197" s="4" t="s">
        <v>21</v>
      </c>
      <c r="B197" s="4" t="s">
        <v>39</v>
      </c>
      <c r="C197" s="4" t="s">
        <v>40</v>
      </c>
      <c r="D197" s="4" t="s">
        <v>38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44562</v>
      </c>
      <c r="J197" s="6">
        <v>13490</v>
      </c>
      <c r="K197" s="6">
        <v>13490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60</v>
      </c>
      <c r="R197" s="4">
        <v>0</v>
      </c>
      <c r="S197" s="4" t="s">
        <v>310</v>
      </c>
      <c r="U197" s="4">
        <v>17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39</v>
      </c>
      <c r="C198" s="4" t="s">
        <v>40</v>
      </c>
      <c r="D198" s="4" t="s">
        <v>38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44593</v>
      </c>
      <c r="J198" s="6">
        <v>16283</v>
      </c>
      <c r="K198" s="6">
        <v>16283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60</v>
      </c>
      <c r="R198" s="4">
        <v>0</v>
      </c>
      <c r="S198" s="4" t="s">
        <v>311</v>
      </c>
      <c r="U198" s="4">
        <v>17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39</v>
      </c>
      <c r="C199" s="4" t="s">
        <v>40</v>
      </c>
      <c r="D199" s="4" t="s">
        <v>38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44621</v>
      </c>
      <c r="J199" s="6">
        <v>16438</v>
      </c>
      <c r="K199" s="6">
        <v>16438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60</v>
      </c>
      <c r="R199" s="4">
        <v>0</v>
      </c>
      <c r="S199" s="4" t="s">
        <v>312</v>
      </c>
      <c r="U199" s="4">
        <v>17</v>
      </c>
      <c r="V199" s="4">
        <v>0</v>
      </c>
      <c r="W199" s="4">
        <v>0</v>
      </c>
    </row>
    <row r="200" spans="1:23" ht="11.25" customHeight="1" x14ac:dyDescent="0.25">
      <c r="A200" s="4" t="s">
        <v>27</v>
      </c>
      <c r="B200" s="4" t="s">
        <v>39</v>
      </c>
      <c r="C200" s="4" t="s">
        <v>40</v>
      </c>
      <c r="D200" s="4" t="s">
        <v>38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44652</v>
      </c>
      <c r="J200" s="6">
        <v>-391</v>
      </c>
      <c r="K200" s="6">
        <v>-391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26</v>
      </c>
      <c r="R200" s="4">
        <v>0</v>
      </c>
      <c r="S200" s="4" t="s">
        <v>313</v>
      </c>
      <c r="T200" s="4" t="s">
        <v>695</v>
      </c>
      <c r="U200" s="4">
        <v>17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39</v>
      </c>
      <c r="C201" s="4" t="s">
        <v>40</v>
      </c>
      <c r="D201" s="4" t="s">
        <v>38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44652</v>
      </c>
      <c r="J201" s="6">
        <v>16594</v>
      </c>
      <c r="K201" s="6">
        <v>16594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60</v>
      </c>
      <c r="R201" s="4">
        <v>0</v>
      </c>
      <c r="S201" s="4" t="s">
        <v>313</v>
      </c>
      <c r="U201" s="4">
        <v>17</v>
      </c>
      <c r="V201" s="4">
        <v>0</v>
      </c>
      <c r="W201" s="4">
        <v>0</v>
      </c>
    </row>
    <row r="202" spans="1:23" ht="11.25" customHeight="1" x14ac:dyDescent="0.25">
      <c r="A202" s="4" t="s">
        <v>58</v>
      </c>
      <c r="B202" s="4" t="s">
        <v>39</v>
      </c>
      <c r="C202" s="4" t="s">
        <v>40</v>
      </c>
      <c r="D202" s="4" t="s">
        <v>38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44682</v>
      </c>
      <c r="J202" s="6">
        <v>-391</v>
      </c>
      <c r="K202" s="6">
        <v>-391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26</v>
      </c>
      <c r="R202" s="4">
        <v>0</v>
      </c>
      <c r="S202" s="4" t="s">
        <v>314</v>
      </c>
      <c r="T202" s="4" t="s">
        <v>696</v>
      </c>
      <c r="U202" s="4">
        <v>17</v>
      </c>
      <c r="V202" s="4">
        <v>0</v>
      </c>
      <c r="W202" s="4">
        <v>0</v>
      </c>
    </row>
    <row r="203" spans="1:23" ht="11.25" customHeight="1" x14ac:dyDescent="0.25">
      <c r="A203" s="4" t="s">
        <v>58</v>
      </c>
      <c r="B203" s="4" t="s">
        <v>39</v>
      </c>
      <c r="C203" s="4" t="s">
        <v>40</v>
      </c>
      <c r="D203" s="4" t="s">
        <v>38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44682</v>
      </c>
      <c r="J203" s="6">
        <v>16594</v>
      </c>
      <c r="K203" s="6">
        <v>16594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60</v>
      </c>
      <c r="R203" s="4">
        <v>0</v>
      </c>
      <c r="S203" s="4" t="s">
        <v>314</v>
      </c>
      <c r="U203" s="4">
        <v>17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39</v>
      </c>
      <c r="C204" s="4" t="s">
        <v>40</v>
      </c>
      <c r="D204" s="4" t="s">
        <v>38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44348</v>
      </c>
      <c r="J204" s="6">
        <v>0</v>
      </c>
      <c r="K204" s="6">
        <v>0</v>
      </c>
      <c r="L204" s="6">
        <v>7944.7790000000005</v>
      </c>
      <c r="M204" s="6">
        <v>7944.7790000000005</v>
      </c>
      <c r="N204" s="6">
        <v>0</v>
      </c>
      <c r="O204" s="6">
        <v>0</v>
      </c>
      <c r="P204" s="6">
        <v>2</v>
      </c>
      <c r="Q204" s="4" t="s">
        <v>60</v>
      </c>
      <c r="R204" s="4">
        <v>0</v>
      </c>
      <c r="S204" s="4" t="s">
        <v>315</v>
      </c>
      <c r="U204" s="4">
        <v>0</v>
      </c>
      <c r="V204" s="4">
        <v>18</v>
      </c>
      <c r="W204" s="4">
        <v>0</v>
      </c>
    </row>
    <row r="205" spans="1:23" ht="11.25" customHeight="1" x14ac:dyDescent="0.25">
      <c r="A205" s="4" t="s">
        <v>21</v>
      </c>
      <c r="B205" s="4" t="s">
        <v>39</v>
      </c>
      <c r="C205" s="4" t="s">
        <v>40</v>
      </c>
      <c r="D205" s="4" t="s">
        <v>38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44378</v>
      </c>
      <c r="J205" s="6">
        <v>0</v>
      </c>
      <c r="K205" s="6">
        <v>0</v>
      </c>
      <c r="L205" s="6">
        <v>7563.1220000000003</v>
      </c>
      <c r="M205" s="6">
        <v>7563.1220000000003</v>
      </c>
      <c r="N205" s="6">
        <v>0</v>
      </c>
      <c r="O205" s="6">
        <v>0</v>
      </c>
      <c r="P205" s="6">
        <v>2</v>
      </c>
      <c r="Q205" s="4" t="s">
        <v>60</v>
      </c>
      <c r="R205" s="4">
        <v>0</v>
      </c>
      <c r="S205" s="4" t="s">
        <v>316</v>
      </c>
      <c r="U205" s="4">
        <v>0</v>
      </c>
      <c r="V205" s="4">
        <v>18</v>
      </c>
      <c r="W205" s="4">
        <v>0</v>
      </c>
    </row>
    <row r="206" spans="1:23" ht="11.25" customHeight="1" x14ac:dyDescent="0.25">
      <c r="A206" s="4" t="s">
        <v>21</v>
      </c>
      <c r="B206" s="4" t="s">
        <v>39</v>
      </c>
      <c r="C206" s="4" t="s">
        <v>40</v>
      </c>
      <c r="D206" s="4" t="s">
        <v>38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44409</v>
      </c>
      <c r="J206" s="6">
        <v>0</v>
      </c>
      <c r="K206" s="6">
        <v>0</v>
      </c>
      <c r="L206" s="6">
        <v>8221.7540000000008</v>
      </c>
      <c r="M206" s="6">
        <v>8221.7540000000008</v>
      </c>
      <c r="N206" s="6">
        <v>0</v>
      </c>
      <c r="O206" s="6">
        <v>0</v>
      </c>
      <c r="P206" s="6">
        <v>2</v>
      </c>
      <c r="Q206" s="4" t="s">
        <v>60</v>
      </c>
      <c r="R206" s="4">
        <v>0</v>
      </c>
      <c r="S206" s="4" t="s">
        <v>317</v>
      </c>
      <c r="U206" s="4">
        <v>0</v>
      </c>
      <c r="V206" s="4">
        <v>18</v>
      </c>
      <c r="W206" s="4">
        <v>0</v>
      </c>
    </row>
    <row r="207" spans="1:23" ht="11.25" customHeight="1" x14ac:dyDescent="0.25">
      <c r="A207" s="4" t="s">
        <v>21</v>
      </c>
      <c r="B207" s="4" t="s">
        <v>39</v>
      </c>
      <c r="C207" s="4" t="s">
        <v>40</v>
      </c>
      <c r="D207" s="4" t="s">
        <v>38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44440</v>
      </c>
      <c r="J207" s="6">
        <v>0</v>
      </c>
      <c r="K207" s="6">
        <v>0</v>
      </c>
      <c r="L207" s="6">
        <v>8311.0030000000006</v>
      </c>
      <c r="M207" s="6">
        <v>8311.0030000000006</v>
      </c>
      <c r="N207" s="6">
        <v>0</v>
      </c>
      <c r="O207" s="6">
        <v>0</v>
      </c>
      <c r="P207" s="6">
        <v>2</v>
      </c>
      <c r="Q207" s="4" t="s">
        <v>60</v>
      </c>
      <c r="R207" s="4">
        <v>0</v>
      </c>
      <c r="S207" s="4" t="s">
        <v>318</v>
      </c>
      <c r="U207" s="4">
        <v>0</v>
      </c>
      <c r="V207" s="4">
        <v>18</v>
      </c>
      <c r="W207" s="4">
        <v>0</v>
      </c>
    </row>
    <row r="208" spans="1:23" ht="11.25" customHeight="1" x14ac:dyDescent="0.25">
      <c r="A208" s="4" t="s">
        <v>21</v>
      </c>
      <c r="B208" s="4" t="s">
        <v>39</v>
      </c>
      <c r="C208" s="4" t="s">
        <v>40</v>
      </c>
      <c r="D208" s="4" t="s">
        <v>38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44470</v>
      </c>
      <c r="J208" s="6">
        <v>0</v>
      </c>
      <c r="K208" s="6">
        <v>0</v>
      </c>
      <c r="L208" s="6">
        <v>7705.9750000000004</v>
      </c>
      <c r="M208" s="6">
        <v>7705.9750000000004</v>
      </c>
      <c r="N208" s="6">
        <v>0</v>
      </c>
      <c r="O208" s="6">
        <v>0</v>
      </c>
      <c r="P208" s="6">
        <v>2</v>
      </c>
      <c r="Q208" s="4" t="s">
        <v>60</v>
      </c>
      <c r="R208" s="4">
        <v>0</v>
      </c>
      <c r="S208" s="4" t="s">
        <v>319</v>
      </c>
      <c r="U208" s="4">
        <v>0</v>
      </c>
      <c r="V208" s="4">
        <v>18</v>
      </c>
      <c r="W208" s="4">
        <v>0</v>
      </c>
    </row>
    <row r="209" spans="1:23" ht="11.25" customHeight="1" x14ac:dyDescent="0.25">
      <c r="A209" s="4" t="s">
        <v>21</v>
      </c>
      <c r="B209" s="4" t="s">
        <v>39</v>
      </c>
      <c r="C209" s="4" t="s">
        <v>40</v>
      </c>
      <c r="D209" s="4" t="s">
        <v>38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44501</v>
      </c>
      <c r="J209" s="6">
        <v>0</v>
      </c>
      <c r="K209" s="6">
        <v>0</v>
      </c>
      <c r="L209" s="6">
        <v>8310.8539999999994</v>
      </c>
      <c r="M209" s="6">
        <v>8310.8539999999994</v>
      </c>
      <c r="N209" s="6">
        <v>0</v>
      </c>
      <c r="O209" s="6">
        <v>0</v>
      </c>
      <c r="P209" s="6">
        <v>2</v>
      </c>
      <c r="Q209" s="4" t="s">
        <v>60</v>
      </c>
      <c r="R209" s="4">
        <v>0</v>
      </c>
      <c r="S209" s="4" t="s">
        <v>320</v>
      </c>
      <c r="U209" s="4">
        <v>0</v>
      </c>
      <c r="V209" s="4">
        <v>18</v>
      </c>
      <c r="W209" s="4">
        <v>0</v>
      </c>
    </row>
    <row r="210" spans="1:23" ht="11.25" customHeight="1" x14ac:dyDescent="0.25">
      <c r="A210" s="4" t="s">
        <v>21</v>
      </c>
      <c r="B210" s="4" t="s">
        <v>39</v>
      </c>
      <c r="C210" s="4" t="s">
        <v>40</v>
      </c>
      <c r="D210" s="4" t="s">
        <v>38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44531</v>
      </c>
      <c r="J210" s="6">
        <v>0</v>
      </c>
      <c r="K210" s="6">
        <v>0</v>
      </c>
      <c r="L210" s="6">
        <v>8055.2250000000004</v>
      </c>
      <c r="M210" s="6">
        <v>8055.2250000000004</v>
      </c>
      <c r="N210" s="6">
        <v>0</v>
      </c>
      <c r="O210" s="6">
        <v>0</v>
      </c>
      <c r="P210" s="6">
        <v>2</v>
      </c>
      <c r="Q210" s="4" t="s">
        <v>60</v>
      </c>
      <c r="R210" s="4">
        <v>0</v>
      </c>
      <c r="S210" s="4" t="s">
        <v>321</v>
      </c>
      <c r="U210" s="4">
        <v>0</v>
      </c>
      <c r="V210" s="4">
        <v>18</v>
      </c>
      <c r="W210" s="4">
        <v>0</v>
      </c>
    </row>
    <row r="211" spans="1:23" ht="11.25" customHeight="1" x14ac:dyDescent="0.25">
      <c r="A211" s="4" t="s">
        <v>21</v>
      </c>
      <c r="B211" s="4" t="s">
        <v>39</v>
      </c>
      <c r="C211" s="4" t="s">
        <v>40</v>
      </c>
      <c r="D211" s="4" t="s">
        <v>38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44562</v>
      </c>
      <c r="J211" s="6">
        <v>0</v>
      </c>
      <c r="K211" s="6">
        <v>0</v>
      </c>
      <c r="L211" s="6">
        <v>7635.7719999999999</v>
      </c>
      <c r="M211" s="6">
        <v>7635.7719999999999</v>
      </c>
      <c r="N211" s="6">
        <v>0</v>
      </c>
      <c r="O211" s="6">
        <v>0</v>
      </c>
      <c r="P211" s="6">
        <v>2</v>
      </c>
      <c r="Q211" s="4" t="s">
        <v>60</v>
      </c>
      <c r="R211" s="4">
        <v>0</v>
      </c>
      <c r="S211" s="4" t="s">
        <v>322</v>
      </c>
      <c r="U211" s="4">
        <v>0</v>
      </c>
      <c r="V211" s="4">
        <v>18</v>
      </c>
      <c r="W211" s="4">
        <v>0</v>
      </c>
    </row>
    <row r="212" spans="1:23" ht="11.25" customHeight="1" x14ac:dyDescent="0.25">
      <c r="A212" s="4" t="s">
        <v>21</v>
      </c>
      <c r="B212" s="4" t="s">
        <v>39</v>
      </c>
      <c r="C212" s="4" t="s">
        <v>40</v>
      </c>
      <c r="D212" s="4" t="s">
        <v>38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44593</v>
      </c>
      <c r="J212" s="6">
        <v>0</v>
      </c>
      <c r="K212" s="6">
        <v>0</v>
      </c>
      <c r="L212" s="6">
        <v>7919.174</v>
      </c>
      <c r="M212" s="6">
        <v>7919.174</v>
      </c>
      <c r="N212" s="6">
        <v>0</v>
      </c>
      <c r="O212" s="6">
        <v>0</v>
      </c>
      <c r="P212" s="6">
        <v>3</v>
      </c>
      <c r="Q212" s="4" t="s">
        <v>60</v>
      </c>
      <c r="R212" s="4">
        <v>0</v>
      </c>
      <c r="S212" s="4" t="s">
        <v>323</v>
      </c>
      <c r="U212" s="4">
        <v>0</v>
      </c>
      <c r="V212" s="4">
        <v>18</v>
      </c>
      <c r="W212" s="4">
        <v>0</v>
      </c>
    </row>
    <row r="213" spans="1:23" ht="11.25" customHeight="1" x14ac:dyDescent="0.25">
      <c r="A213" s="4" t="s">
        <v>21</v>
      </c>
      <c r="B213" s="4" t="s">
        <v>39</v>
      </c>
      <c r="C213" s="4" t="s">
        <v>40</v>
      </c>
      <c r="D213" s="4" t="s">
        <v>38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44621</v>
      </c>
      <c r="J213" s="6">
        <v>0</v>
      </c>
      <c r="K213" s="6">
        <v>0</v>
      </c>
      <c r="L213" s="6">
        <v>8320.5540000000001</v>
      </c>
      <c r="M213" s="6">
        <v>8320.5540000000001</v>
      </c>
      <c r="N213" s="6">
        <v>0</v>
      </c>
      <c r="O213" s="6">
        <v>0</v>
      </c>
      <c r="P213" s="6">
        <v>3</v>
      </c>
      <c r="Q213" s="4" t="s">
        <v>60</v>
      </c>
      <c r="R213" s="4">
        <v>0</v>
      </c>
      <c r="S213" s="4" t="s">
        <v>324</v>
      </c>
      <c r="U213" s="4">
        <v>0</v>
      </c>
      <c r="V213" s="4">
        <v>18</v>
      </c>
      <c r="W213" s="4">
        <v>0</v>
      </c>
    </row>
    <row r="214" spans="1:23" ht="11.25" customHeight="1" x14ac:dyDescent="0.25">
      <c r="A214" s="4" t="s">
        <v>21</v>
      </c>
      <c r="B214" s="4" t="s">
        <v>39</v>
      </c>
      <c r="C214" s="4" t="s">
        <v>40</v>
      </c>
      <c r="D214" s="4" t="s">
        <v>38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44652</v>
      </c>
      <c r="J214" s="6">
        <v>0</v>
      </c>
      <c r="K214" s="6">
        <v>0</v>
      </c>
      <c r="L214" s="6">
        <v>8974.5650000000005</v>
      </c>
      <c r="M214" s="6">
        <v>8974.5650000000005</v>
      </c>
      <c r="N214" s="6">
        <v>0</v>
      </c>
      <c r="O214" s="6">
        <v>0</v>
      </c>
      <c r="P214" s="6">
        <v>3</v>
      </c>
      <c r="Q214" s="4" t="s">
        <v>60</v>
      </c>
      <c r="R214" s="4">
        <v>0</v>
      </c>
      <c r="S214" s="4" t="s">
        <v>325</v>
      </c>
      <c r="U214" s="4">
        <v>0</v>
      </c>
      <c r="V214" s="4">
        <v>18</v>
      </c>
      <c r="W214" s="4">
        <v>0</v>
      </c>
    </row>
    <row r="215" spans="1:23" ht="11.25" customHeight="1" x14ac:dyDescent="0.25">
      <c r="A215" s="4" t="s">
        <v>58</v>
      </c>
      <c r="B215" s="4" t="s">
        <v>39</v>
      </c>
      <c r="C215" s="4" t="s">
        <v>40</v>
      </c>
      <c r="D215" s="4" t="s">
        <v>38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44682</v>
      </c>
      <c r="J215" s="6">
        <v>0</v>
      </c>
      <c r="K215" s="6">
        <v>0</v>
      </c>
      <c r="L215" s="6">
        <v>8974.5650000000005</v>
      </c>
      <c r="M215" s="6">
        <v>8974.5650000000005</v>
      </c>
      <c r="N215" s="6">
        <v>0</v>
      </c>
      <c r="O215" s="6">
        <v>0</v>
      </c>
      <c r="P215" s="6">
        <v>3</v>
      </c>
      <c r="Q215" s="4" t="s">
        <v>60</v>
      </c>
      <c r="R215" s="4">
        <v>0</v>
      </c>
      <c r="S215" s="4" t="s">
        <v>326</v>
      </c>
      <c r="U215" s="4">
        <v>0</v>
      </c>
      <c r="V215" s="4">
        <v>18</v>
      </c>
      <c r="W215" s="4">
        <v>0</v>
      </c>
    </row>
    <row r="216" spans="1:23" ht="11.25" customHeight="1" x14ac:dyDescent="0.25">
      <c r="A216" s="4" t="s">
        <v>21</v>
      </c>
      <c r="B216" s="4" t="s">
        <v>39</v>
      </c>
      <c r="C216" s="4" t="s">
        <v>40</v>
      </c>
      <c r="D216" s="4" t="s">
        <v>38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44348</v>
      </c>
      <c r="J216" s="6">
        <v>350</v>
      </c>
      <c r="K216" s="6">
        <v>350</v>
      </c>
      <c r="L216" s="6">
        <v>7</v>
      </c>
      <c r="M216" s="6">
        <v>7</v>
      </c>
      <c r="N216" s="6">
        <v>7</v>
      </c>
      <c r="O216" s="6">
        <v>7</v>
      </c>
      <c r="P216" s="6">
        <v>0</v>
      </c>
      <c r="Q216" s="4" t="s">
        <v>26</v>
      </c>
      <c r="R216" s="4">
        <v>0</v>
      </c>
      <c r="S216" s="4" t="s">
        <v>327</v>
      </c>
      <c r="T216" s="4" t="s">
        <v>697</v>
      </c>
      <c r="U216" s="4">
        <v>16</v>
      </c>
      <c r="V216" s="4">
        <v>18</v>
      </c>
      <c r="W216" s="4">
        <v>75</v>
      </c>
    </row>
    <row r="217" spans="1:23" ht="11.25" customHeight="1" x14ac:dyDescent="0.25">
      <c r="A217" s="4" t="s">
        <v>21</v>
      </c>
      <c r="B217" s="4" t="s">
        <v>39</v>
      </c>
      <c r="C217" s="4" t="s">
        <v>40</v>
      </c>
      <c r="D217" s="4" t="s">
        <v>38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44348</v>
      </c>
      <c r="J217" s="6">
        <v>13200</v>
      </c>
      <c r="K217" s="6">
        <v>13200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0</v>
      </c>
      <c r="S217" s="4" t="s">
        <v>327</v>
      </c>
      <c r="U217" s="4">
        <v>16</v>
      </c>
      <c r="V217" s="4">
        <v>0</v>
      </c>
      <c r="W217" s="4">
        <v>0</v>
      </c>
    </row>
    <row r="218" spans="1:23" ht="11.25" customHeight="1" x14ac:dyDescent="0.25">
      <c r="A218" s="4" t="s">
        <v>21</v>
      </c>
      <c r="B218" s="4" t="s">
        <v>39</v>
      </c>
      <c r="C218" s="4" t="s">
        <v>40</v>
      </c>
      <c r="D218" s="4" t="s">
        <v>38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44378</v>
      </c>
      <c r="J218" s="6">
        <v>350</v>
      </c>
      <c r="K218" s="6">
        <v>350</v>
      </c>
      <c r="L218" s="6">
        <v>7</v>
      </c>
      <c r="M218" s="6">
        <v>7</v>
      </c>
      <c r="N218" s="6">
        <v>7</v>
      </c>
      <c r="O218" s="6">
        <v>7</v>
      </c>
      <c r="P218" s="6">
        <v>0</v>
      </c>
      <c r="Q218" s="4" t="s">
        <v>26</v>
      </c>
      <c r="R218" s="4">
        <v>0</v>
      </c>
      <c r="S218" s="4" t="s">
        <v>328</v>
      </c>
      <c r="T218" s="4" t="s">
        <v>698</v>
      </c>
      <c r="U218" s="4">
        <v>16</v>
      </c>
      <c r="V218" s="4">
        <v>18</v>
      </c>
      <c r="W218" s="4">
        <v>75</v>
      </c>
    </row>
    <row r="219" spans="1:23" ht="11.25" customHeight="1" x14ac:dyDescent="0.25">
      <c r="A219" s="4" t="s">
        <v>21</v>
      </c>
      <c r="B219" s="4" t="s">
        <v>39</v>
      </c>
      <c r="C219" s="4" t="s">
        <v>40</v>
      </c>
      <c r="D219" s="4" t="s">
        <v>38</v>
      </c>
      <c r="E219" s="4" t="s">
        <v>25</v>
      </c>
      <c r="F219" s="4" t="s">
        <v>25</v>
      </c>
      <c r="G219" s="4" t="s">
        <v>25</v>
      </c>
      <c r="H219" s="4" t="s">
        <v>34</v>
      </c>
      <c r="I219" s="5">
        <v>44378</v>
      </c>
      <c r="J219" s="6">
        <v>13243</v>
      </c>
      <c r="K219" s="6">
        <v>13243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60</v>
      </c>
      <c r="R219" s="4">
        <v>0</v>
      </c>
      <c r="S219" s="4" t="s">
        <v>328</v>
      </c>
      <c r="U219" s="4">
        <v>16</v>
      </c>
      <c r="V219" s="4">
        <v>0</v>
      </c>
      <c r="W219" s="4">
        <v>0</v>
      </c>
    </row>
    <row r="220" spans="1:23" ht="11.25" customHeight="1" x14ac:dyDescent="0.25">
      <c r="A220" s="4" t="s">
        <v>21</v>
      </c>
      <c r="B220" s="4" t="s">
        <v>39</v>
      </c>
      <c r="C220" s="4" t="s">
        <v>40</v>
      </c>
      <c r="D220" s="4" t="s">
        <v>38</v>
      </c>
      <c r="E220" s="4" t="s">
        <v>25</v>
      </c>
      <c r="F220" s="4" t="s">
        <v>25</v>
      </c>
      <c r="G220" s="4" t="s">
        <v>25</v>
      </c>
      <c r="H220" s="4" t="s">
        <v>34</v>
      </c>
      <c r="I220" s="5">
        <v>44409</v>
      </c>
      <c r="J220" s="6">
        <v>350</v>
      </c>
      <c r="K220" s="6">
        <v>350</v>
      </c>
      <c r="L220" s="6">
        <v>7</v>
      </c>
      <c r="M220" s="6">
        <v>7</v>
      </c>
      <c r="N220" s="6">
        <v>7</v>
      </c>
      <c r="O220" s="6">
        <v>7</v>
      </c>
      <c r="P220" s="6">
        <v>0</v>
      </c>
      <c r="Q220" s="4" t="s">
        <v>26</v>
      </c>
      <c r="R220" s="4">
        <v>0</v>
      </c>
      <c r="S220" s="4" t="s">
        <v>329</v>
      </c>
      <c r="T220" s="4" t="s">
        <v>699</v>
      </c>
      <c r="U220" s="4">
        <v>16</v>
      </c>
      <c r="V220" s="4">
        <v>18</v>
      </c>
      <c r="W220" s="4">
        <v>75</v>
      </c>
    </row>
    <row r="221" spans="1:23" ht="11.25" customHeight="1" x14ac:dyDescent="0.25">
      <c r="A221" s="4" t="s">
        <v>21</v>
      </c>
      <c r="B221" s="4" t="s">
        <v>39</v>
      </c>
      <c r="C221" s="4" t="s">
        <v>40</v>
      </c>
      <c r="D221" s="4" t="s">
        <v>38</v>
      </c>
      <c r="E221" s="4" t="s">
        <v>25</v>
      </c>
      <c r="F221" s="4" t="s">
        <v>25</v>
      </c>
      <c r="G221" s="4" t="s">
        <v>25</v>
      </c>
      <c r="H221" s="4" t="s">
        <v>34</v>
      </c>
      <c r="I221" s="5">
        <v>44409</v>
      </c>
      <c r="J221" s="6">
        <v>13244</v>
      </c>
      <c r="K221" s="6">
        <v>13244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60</v>
      </c>
      <c r="R221" s="4">
        <v>0</v>
      </c>
      <c r="S221" s="4" t="s">
        <v>329</v>
      </c>
      <c r="U221" s="4">
        <v>16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39</v>
      </c>
      <c r="C222" s="4" t="s">
        <v>40</v>
      </c>
      <c r="D222" s="4" t="s">
        <v>38</v>
      </c>
      <c r="E222" s="4" t="s">
        <v>25</v>
      </c>
      <c r="F222" s="4" t="s">
        <v>25</v>
      </c>
      <c r="G222" s="4" t="s">
        <v>25</v>
      </c>
      <c r="H222" s="4" t="s">
        <v>34</v>
      </c>
      <c r="I222" s="5">
        <v>44440</v>
      </c>
      <c r="J222" s="6">
        <v>2100</v>
      </c>
      <c r="K222" s="6">
        <v>2100</v>
      </c>
      <c r="L222" s="6">
        <v>35</v>
      </c>
      <c r="M222" s="6">
        <v>35</v>
      </c>
      <c r="N222" s="6">
        <v>35</v>
      </c>
      <c r="O222" s="6">
        <v>35</v>
      </c>
      <c r="P222" s="6">
        <v>0</v>
      </c>
      <c r="Q222" s="4" t="s">
        <v>26</v>
      </c>
      <c r="R222" s="4">
        <v>0</v>
      </c>
      <c r="S222" s="4" t="s">
        <v>330</v>
      </c>
      <c r="T222" s="4" t="s">
        <v>700</v>
      </c>
      <c r="U222" s="4">
        <v>16</v>
      </c>
      <c r="V222" s="4">
        <v>18</v>
      </c>
      <c r="W222" s="4">
        <v>75</v>
      </c>
    </row>
    <row r="223" spans="1:23" ht="11.25" customHeight="1" x14ac:dyDescent="0.25">
      <c r="A223" s="4" t="s">
        <v>21</v>
      </c>
      <c r="B223" s="4" t="s">
        <v>39</v>
      </c>
      <c r="C223" s="4" t="s">
        <v>40</v>
      </c>
      <c r="D223" s="4" t="s">
        <v>38</v>
      </c>
      <c r="E223" s="4" t="s">
        <v>25</v>
      </c>
      <c r="F223" s="4" t="s">
        <v>25</v>
      </c>
      <c r="G223" s="4" t="s">
        <v>25</v>
      </c>
      <c r="H223" s="4" t="s">
        <v>34</v>
      </c>
      <c r="I223" s="5">
        <v>44440</v>
      </c>
      <c r="J223" s="6">
        <v>13374</v>
      </c>
      <c r="K223" s="6">
        <v>13374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60</v>
      </c>
      <c r="R223" s="4">
        <v>0</v>
      </c>
      <c r="S223" s="4" t="s">
        <v>330</v>
      </c>
      <c r="U223" s="4">
        <v>16</v>
      </c>
      <c r="V223" s="4">
        <v>0</v>
      </c>
      <c r="W223" s="4">
        <v>0</v>
      </c>
    </row>
    <row r="224" spans="1:23" ht="11.25" customHeight="1" x14ac:dyDescent="0.25">
      <c r="A224" s="4" t="s">
        <v>21</v>
      </c>
      <c r="B224" s="4" t="s">
        <v>39</v>
      </c>
      <c r="C224" s="4" t="s">
        <v>40</v>
      </c>
      <c r="D224" s="4" t="s">
        <v>38</v>
      </c>
      <c r="E224" s="4" t="s">
        <v>25</v>
      </c>
      <c r="F224" s="4" t="s">
        <v>25</v>
      </c>
      <c r="G224" s="4" t="s">
        <v>25</v>
      </c>
      <c r="H224" s="4" t="s">
        <v>34</v>
      </c>
      <c r="I224" s="5">
        <v>44470</v>
      </c>
      <c r="J224" s="6">
        <v>1890</v>
      </c>
      <c r="K224" s="6">
        <v>1890</v>
      </c>
      <c r="L224" s="6">
        <v>39.298999999999999</v>
      </c>
      <c r="M224" s="6">
        <v>39.298999999999999</v>
      </c>
      <c r="N224" s="6">
        <v>39.298999999999999</v>
      </c>
      <c r="O224" s="6">
        <v>39.298999999999999</v>
      </c>
      <c r="P224" s="6">
        <v>0</v>
      </c>
      <c r="Q224" s="4" t="s">
        <v>26</v>
      </c>
      <c r="R224" s="4">
        <v>0</v>
      </c>
      <c r="S224" s="4" t="s">
        <v>331</v>
      </c>
      <c r="T224" s="4" t="s">
        <v>701</v>
      </c>
      <c r="U224" s="4">
        <v>16</v>
      </c>
      <c r="V224" s="4">
        <v>18</v>
      </c>
      <c r="W224" s="4">
        <v>75</v>
      </c>
    </row>
    <row r="225" spans="1:23" ht="11.25" customHeight="1" x14ac:dyDescent="0.25">
      <c r="A225" s="4" t="s">
        <v>21</v>
      </c>
      <c r="B225" s="4" t="s">
        <v>39</v>
      </c>
      <c r="C225" s="4" t="s">
        <v>40</v>
      </c>
      <c r="D225" s="4" t="s">
        <v>38</v>
      </c>
      <c r="E225" s="4" t="s">
        <v>25</v>
      </c>
      <c r="F225" s="4" t="s">
        <v>25</v>
      </c>
      <c r="G225" s="4" t="s">
        <v>25</v>
      </c>
      <c r="H225" s="4" t="s">
        <v>34</v>
      </c>
      <c r="I225" s="5">
        <v>44470</v>
      </c>
      <c r="J225" s="6">
        <v>13340</v>
      </c>
      <c r="K225" s="6">
        <v>13340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60</v>
      </c>
      <c r="R225" s="4">
        <v>0</v>
      </c>
      <c r="S225" s="4" t="s">
        <v>331</v>
      </c>
      <c r="U225" s="4">
        <v>16</v>
      </c>
      <c r="V225" s="4">
        <v>0</v>
      </c>
      <c r="W225" s="4">
        <v>0</v>
      </c>
    </row>
    <row r="226" spans="1:23" ht="11.25" customHeight="1" x14ac:dyDescent="0.25">
      <c r="A226" s="4" t="s">
        <v>21</v>
      </c>
      <c r="B226" s="4" t="s">
        <v>39</v>
      </c>
      <c r="C226" s="4" t="s">
        <v>40</v>
      </c>
      <c r="D226" s="4" t="s">
        <v>38</v>
      </c>
      <c r="E226" s="4" t="s">
        <v>25</v>
      </c>
      <c r="F226" s="4" t="s">
        <v>25</v>
      </c>
      <c r="G226" s="4" t="s">
        <v>25</v>
      </c>
      <c r="H226" s="4" t="s">
        <v>34</v>
      </c>
      <c r="I226" s="5">
        <v>44501</v>
      </c>
      <c r="J226" s="6">
        <v>280</v>
      </c>
      <c r="K226" s="6">
        <v>280</v>
      </c>
      <c r="L226" s="6">
        <v>7</v>
      </c>
      <c r="M226" s="6">
        <v>7</v>
      </c>
      <c r="N226" s="6">
        <v>7</v>
      </c>
      <c r="O226" s="6">
        <v>7</v>
      </c>
      <c r="P226" s="6">
        <v>0</v>
      </c>
      <c r="Q226" s="4" t="s">
        <v>26</v>
      </c>
      <c r="R226" s="4">
        <v>0</v>
      </c>
      <c r="S226" s="4" t="s">
        <v>332</v>
      </c>
      <c r="T226" s="4" t="s">
        <v>702</v>
      </c>
      <c r="U226" s="4">
        <v>16</v>
      </c>
      <c r="V226" s="4">
        <v>18</v>
      </c>
      <c r="W226" s="4">
        <v>75</v>
      </c>
    </row>
    <row r="227" spans="1:23" ht="11.25" customHeight="1" x14ac:dyDescent="0.25">
      <c r="A227" s="4" t="s">
        <v>21</v>
      </c>
      <c r="B227" s="4" t="s">
        <v>39</v>
      </c>
      <c r="C227" s="4" t="s">
        <v>40</v>
      </c>
      <c r="D227" s="4" t="s">
        <v>38</v>
      </c>
      <c r="E227" s="4" t="s">
        <v>25</v>
      </c>
      <c r="F227" s="4" t="s">
        <v>25</v>
      </c>
      <c r="G227" s="4" t="s">
        <v>25</v>
      </c>
      <c r="H227" s="4" t="s">
        <v>34</v>
      </c>
      <c r="I227" s="5">
        <v>44501</v>
      </c>
      <c r="J227" s="6">
        <v>13344</v>
      </c>
      <c r="K227" s="6">
        <v>13344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60</v>
      </c>
      <c r="R227" s="4">
        <v>0</v>
      </c>
      <c r="S227" s="4" t="s">
        <v>332</v>
      </c>
      <c r="U227" s="4">
        <v>16</v>
      </c>
      <c r="V227" s="4">
        <v>0</v>
      </c>
      <c r="W227" s="4">
        <v>0</v>
      </c>
    </row>
    <row r="228" spans="1:23" ht="11.25" customHeight="1" x14ac:dyDescent="0.25">
      <c r="A228" s="4" t="s">
        <v>21</v>
      </c>
      <c r="B228" s="4" t="s">
        <v>39</v>
      </c>
      <c r="C228" s="4" t="s">
        <v>40</v>
      </c>
      <c r="D228" s="4" t="s">
        <v>38</v>
      </c>
      <c r="E228" s="4" t="s">
        <v>25</v>
      </c>
      <c r="F228" s="4" t="s">
        <v>25</v>
      </c>
      <c r="G228" s="4" t="s">
        <v>25</v>
      </c>
      <c r="H228" s="4" t="s">
        <v>34</v>
      </c>
      <c r="I228" s="5">
        <v>44531</v>
      </c>
      <c r="J228" s="6">
        <v>2310</v>
      </c>
      <c r="K228" s="6">
        <v>2310</v>
      </c>
      <c r="L228" s="6">
        <v>21</v>
      </c>
      <c r="M228" s="6">
        <v>21</v>
      </c>
      <c r="N228" s="6">
        <v>21</v>
      </c>
      <c r="O228" s="6">
        <v>21</v>
      </c>
      <c r="P228" s="6">
        <v>0</v>
      </c>
      <c r="Q228" s="4" t="s">
        <v>26</v>
      </c>
      <c r="R228" s="4">
        <v>0</v>
      </c>
      <c r="S228" s="4" t="s">
        <v>333</v>
      </c>
      <c r="T228" s="4" t="s">
        <v>703</v>
      </c>
      <c r="U228" s="4">
        <v>16</v>
      </c>
      <c r="V228" s="4">
        <v>18</v>
      </c>
      <c r="W228" s="4">
        <v>75</v>
      </c>
    </row>
    <row r="229" spans="1:23" ht="11.25" customHeight="1" x14ac:dyDescent="0.25">
      <c r="A229" s="4" t="s">
        <v>21</v>
      </c>
      <c r="B229" s="4" t="s">
        <v>39</v>
      </c>
      <c r="C229" s="4" t="s">
        <v>40</v>
      </c>
      <c r="D229" s="4" t="s">
        <v>38</v>
      </c>
      <c r="E229" s="4" t="s">
        <v>25</v>
      </c>
      <c r="F229" s="4" t="s">
        <v>25</v>
      </c>
      <c r="G229" s="4" t="s">
        <v>25</v>
      </c>
      <c r="H229" s="4" t="s">
        <v>34</v>
      </c>
      <c r="I229" s="5">
        <v>44531</v>
      </c>
      <c r="J229" s="6">
        <v>13379</v>
      </c>
      <c r="K229" s="6">
        <v>13379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60</v>
      </c>
      <c r="R229" s="4">
        <v>0</v>
      </c>
      <c r="S229" s="4" t="s">
        <v>333</v>
      </c>
      <c r="U229" s="4">
        <v>16</v>
      </c>
      <c r="V229" s="4">
        <v>0</v>
      </c>
      <c r="W229" s="4">
        <v>0</v>
      </c>
    </row>
    <row r="230" spans="1:23" ht="11.25" customHeight="1" x14ac:dyDescent="0.25">
      <c r="A230" s="4" t="s">
        <v>21</v>
      </c>
      <c r="B230" s="4" t="s">
        <v>39</v>
      </c>
      <c r="C230" s="4" t="s">
        <v>40</v>
      </c>
      <c r="D230" s="4" t="s">
        <v>38</v>
      </c>
      <c r="E230" s="4" t="s">
        <v>25</v>
      </c>
      <c r="F230" s="4" t="s">
        <v>25</v>
      </c>
      <c r="G230" s="4" t="s">
        <v>25</v>
      </c>
      <c r="H230" s="4" t="s">
        <v>34</v>
      </c>
      <c r="I230" s="5">
        <v>44562</v>
      </c>
      <c r="J230" s="6">
        <v>3000</v>
      </c>
      <c r="K230" s="6">
        <v>3000</v>
      </c>
      <c r="L230" s="6">
        <v>51.475000000000001</v>
      </c>
      <c r="M230" s="6">
        <v>51.475000000000001</v>
      </c>
      <c r="N230" s="6">
        <v>51.475000000000001</v>
      </c>
      <c r="O230" s="6">
        <v>51.475000000000001</v>
      </c>
      <c r="P230" s="6">
        <v>0</v>
      </c>
      <c r="Q230" s="4" t="s">
        <v>26</v>
      </c>
      <c r="R230" s="4">
        <v>0</v>
      </c>
      <c r="S230" s="4" t="s">
        <v>334</v>
      </c>
      <c r="T230" s="4" t="s">
        <v>704</v>
      </c>
      <c r="U230" s="4">
        <v>16</v>
      </c>
      <c r="V230" s="4">
        <v>18</v>
      </c>
      <c r="W230" s="4">
        <v>75</v>
      </c>
    </row>
    <row r="231" spans="1:23" ht="11.25" customHeight="1" x14ac:dyDescent="0.25">
      <c r="A231" s="4" t="s">
        <v>21</v>
      </c>
      <c r="B231" s="4" t="s">
        <v>39</v>
      </c>
      <c r="C231" s="4" t="s">
        <v>40</v>
      </c>
      <c r="D231" s="4" t="s">
        <v>38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44562</v>
      </c>
      <c r="J231" s="6">
        <v>13293</v>
      </c>
      <c r="K231" s="6">
        <v>13293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60</v>
      </c>
      <c r="R231" s="4">
        <v>0</v>
      </c>
      <c r="S231" s="4" t="s">
        <v>334</v>
      </c>
      <c r="U231" s="4">
        <v>16</v>
      </c>
      <c r="V231" s="4">
        <v>0</v>
      </c>
      <c r="W231" s="4">
        <v>0</v>
      </c>
    </row>
    <row r="232" spans="1:23" ht="11.25" customHeight="1" x14ac:dyDescent="0.25">
      <c r="A232" s="4" t="s">
        <v>21</v>
      </c>
      <c r="B232" s="4" t="s">
        <v>39</v>
      </c>
      <c r="C232" s="4" t="s">
        <v>40</v>
      </c>
      <c r="D232" s="4" t="s">
        <v>38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44593</v>
      </c>
      <c r="J232" s="6">
        <v>16000</v>
      </c>
      <c r="K232" s="6">
        <v>16000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60</v>
      </c>
      <c r="R232" s="4">
        <v>0</v>
      </c>
      <c r="S232" s="4" t="s">
        <v>335</v>
      </c>
      <c r="U232" s="4">
        <v>16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39</v>
      </c>
      <c r="C233" s="4" t="s">
        <v>40</v>
      </c>
      <c r="D233" s="4" t="s">
        <v>38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44621</v>
      </c>
      <c r="J233" s="6">
        <v>16088</v>
      </c>
      <c r="K233" s="6">
        <v>16088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60</v>
      </c>
      <c r="R233" s="4">
        <v>0</v>
      </c>
      <c r="S233" s="4" t="s">
        <v>336</v>
      </c>
      <c r="U233" s="4">
        <v>16</v>
      </c>
      <c r="V233" s="4">
        <v>0</v>
      </c>
      <c r="W233" s="4">
        <v>0</v>
      </c>
    </row>
    <row r="234" spans="1:23" ht="11.25" customHeight="1" x14ac:dyDescent="0.25">
      <c r="A234" s="4" t="s">
        <v>27</v>
      </c>
      <c r="B234" s="4" t="s">
        <v>39</v>
      </c>
      <c r="C234" s="4" t="s">
        <v>40</v>
      </c>
      <c r="D234" s="4" t="s">
        <v>38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44652</v>
      </c>
      <c r="J234" s="6">
        <v>-596</v>
      </c>
      <c r="K234" s="6">
        <v>-596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26</v>
      </c>
      <c r="R234" s="4">
        <v>0</v>
      </c>
      <c r="S234" s="4" t="s">
        <v>337</v>
      </c>
      <c r="T234" s="4" t="s">
        <v>705</v>
      </c>
      <c r="U234" s="4">
        <v>16</v>
      </c>
      <c r="V234" s="4">
        <v>0</v>
      </c>
      <c r="W234" s="4">
        <v>0</v>
      </c>
    </row>
    <row r="235" spans="1:23" ht="11.25" customHeight="1" x14ac:dyDescent="0.25">
      <c r="A235" s="4" t="s">
        <v>21</v>
      </c>
      <c r="B235" s="4" t="s">
        <v>39</v>
      </c>
      <c r="C235" s="4" t="s">
        <v>40</v>
      </c>
      <c r="D235" s="4" t="s">
        <v>38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44652</v>
      </c>
      <c r="J235" s="6">
        <v>16258</v>
      </c>
      <c r="K235" s="6">
        <v>16258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60</v>
      </c>
      <c r="R235" s="4">
        <v>0</v>
      </c>
      <c r="S235" s="4" t="s">
        <v>337</v>
      </c>
      <c r="U235" s="4">
        <v>16</v>
      </c>
      <c r="V235" s="4">
        <v>0</v>
      </c>
      <c r="W235" s="4">
        <v>0</v>
      </c>
    </row>
    <row r="236" spans="1:23" ht="11.25" customHeight="1" x14ac:dyDescent="0.25">
      <c r="A236" s="4" t="s">
        <v>58</v>
      </c>
      <c r="B236" s="4" t="s">
        <v>39</v>
      </c>
      <c r="C236" s="4" t="s">
        <v>40</v>
      </c>
      <c r="D236" s="4" t="s">
        <v>38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44682</v>
      </c>
      <c r="J236" s="6">
        <v>-596</v>
      </c>
      <c r="K236" s="6">
        <v>-596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26</v>
      </c>
      <c r="R236" s="4">
        <v>0</v>
      </c>
      <c r="S236" s="4" t="s">
        <v>338</v>
      </c>
      <c r="T236" s="4" t="s">
        <v>706</v>
      </c>
      <c r="U236" s="4">
        <v>16</v>
      </c>
      <c r="V236" s="4">
        <v>0</v>
      </c>
      <c r="W236" s="4">
        <v>0</v>
      </c>
    </row>
    <row r="237" spans="1:23" ht="11.25" customHeight="1" x14ac:dyDescent="0.25">
      <c r="A237" s="4" t="s">
        <v>58</v>
      </c>
      <c r="B237" s="4" t="s">
        <v>39</v>
      </c>
      <c r="C237" s="4" t="s">
        <v>40</v>
      </c>
      <c r="D237" s="4" t="s">
        <v>38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44682</v>
      </c>
      <c r="J237" s="6">
        <v>16258</v>
      </c>
      <c r="K237" s="6">
        <v>16258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60</v>
      </c>
      <c r="R237" s="4">
        <v>0</v>
      </c>
      <c r="S237" s="4" t="s">
        <v>338</v>
      </c>
      <c r="U237" s="4">
        <v>16</v>
      </c>
      <c r="V237" s="4">
        <v>0</v>
      </c>
      <c r="W237" s="4">
        <v>0</v>
      </c>
    </row>
    <row r="238" spans="1:23" ht="11.25" customHeight="1" x14ac:dyDescent="0.25">
      <c r="A238" s="4" t="s">
        <v>21</v>
      </c>
      <c r="B238" s="4" t="s">
        <v>39</v>
      </c>
      <c r="C238" s="4" t="s">
        <v>64</v>
      </c>
      <c r="D238" s="4" t="s">
        <v>25</v>
      </c>
      <c r="E238" s="4" t="s">
        <v>25</v>
      </c>
      <c r="F238" s="4" t="s">
        <v>25</v>
      </c>
      <c r="G238" s="4" t="s">
        <v>71</v>
      </c>
      <c r="H238" s="4" t="s">
        <v>25</v>
      </c>
      <c r="I238" s="5">
        <v>44348</v>
      </c>
      <c r="J238" s="6">
        <v>13720</v>
      </c>
      <c r="K238" s="6">
        <v>6860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66</v>
      </c>
      <c r="R238" s="4">
        <v>1034</v>
      </c>
      <c r="S238" s="4" t="s">
        <v>339</v>
      </c>
      <c r="U238" s="4">
        <v>20</v>
      </c>
      <c r="V238" s="4">
        <v>0</v>
      </c>
      <c r="W238" s="4">
        <v>0</v>
      </c>
    </row>
    <row r="239" spans="1:23" ht="11.25" customHeight="1" x14ac:dyDescent="0.25">
      <c r="A239" s="4" t="s">
        <v>21</v>
      </c>
      <c r="B239" s="4" t="s">
        <v>39</v>
      </c>
      <c r="C239" s="4" t="s">
        <v>64</v>
      </c>
      <c r="D239" s="4" t="s">
        <v>25</v>
      </c>
      <c r="E239" s="4" t="s">
        <v>25</v>
      </c>
      <c r="F239" s="4" t="s">
        <v>25</v>
      </c>
      <c r="G239" s="4" t="s">
        <v>84</v>
      </c>
      <c r="H239" s="4" t="s">
        <v>25</v>
      </c>
      <c r="I239" s="5">
        <v>44348</v>
      </c>
      <c r="J239" s="6">
        <v>6970</v>
      </c>
      <c r="K239" s="6">
        <v>6970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66</v>
      </c>
      <c r="R239" s="4">
        <v>27034</v>
      </c>
      <c r="S239" s="4" t="s">
        <v>339</v>
      </c>
      <c r="U239" s="4">
        <v>20</v>
      </c>
      <c r="V239" s="4">
        <v>0</v>
      </c>
      <c r="W239" s="4">
        <v>0</v>
      </c>
    </row>
    <row r="240" spans="1:23" ht="11.25" customHeight="1" x14ac:dyDescent="0.25">
      <c r="A240" s="4" t="s">
        <v>21</v>
      </c>
      <c r="B240" s="4" t="s">
        <v>39</v>
      </c>
      <c r="C240" s="4" t="s">
        <v>64</v>
      </c>
      <c r="D240" s="4" t="s">
        <v>25</v>
      </c>
      <c r="E240" s="4" t="s">
        <v>25</v>
      </c>
      <c r="F240" s="4" t="s">
        <v>25</v>
      </c>
      <c r="G240" s="4" t="s">
        <v>85</v>
      </c>
      <c r="H240" s="4" t="s">
        <v>25</v>
      </c>
      <c r="I240" s="5">
        <v>44348</v>
      </c>
      <c r="J240" s="6">
        <v>9600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66</v>
      </c>
      <c r="R240" s="4">
        <v>27207</v>
      </c>
      <c r="S240" s="4" t="s">
        <v>339</v>
      </c>
      <c r="U240" s="4">
        <v>20</v>
      </c>
      <c r="V240" s="4">
        <v>0</v>
      </c>
      <c r="W240" s="4">
        <v>0</v>
      </c>
    </row>
    <row r="241" spans="1:23" ht="11.25" customHeight="1" x14ac:dyDescent="0.25">
      <c r="A241" s="4" t="s">
        <v>21</v>
      </c>
      <c r="B241" s="4" t="s">
        <v>39</v>
      </c>
      <c r="C241" s="4" t="s">
        <v>64</v>
      </c>
      <c r="D241" s="4" t="s">
        <v>25</v>
      </c>
      <c r="E241" s="4" t="s">
        <v>25</v>
      </c>
      <c r="F241" s="4" t="s">
        <v>25</v>
      </c>
      <c r="G241" s="4" t="s">
        <v>88</v>
      </c>
      <c r="H241" s="4" t="s">
        <v>25</v>
      </c>
      <c r="I241" s="5">
        <v>44348</v>
      </c>
      <c r="J241" s="6">
        <v>19500</v>
      </c>
      <c r="K241" s="6">
        <v>9750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66</v>
      </c>
      <c r="R241" s="4">
        <v>27722</v>
      </c>
      <c r="S241" s="4" t="s">
        <v>339</v>
      </c>
      <c r="U241" s="4">
        <v>20</v>
      </c>
      <c r="V241" s="4">
        <v>0</v>
      </c>
      <c r="W241" s="4">
        <v>0</v>
      </c>
    </row>
    <row r="242" spans="1:23" ht="11.25" customHeight="1" x14ac:dyDescent="0.25">
      <c r="A242" s="4" t="s">
        <v>21</v>
      </c>
      <c r="B242" s="4" t="s">
        <v>39</v>
      </c>
      <c r="C242" s="4" t="s">
        <v>64</v>
      </c>
      <c r="D242" s="4" t="s">
        <v>25</v>
      </c>
      <c r="E242" s="4" t="s">
        <v>25</v>
      </c>
      <c r="F242" s="4" t="s">
        <v>25</v>
      </c>
      <c r="G242" s="4" t="s">
        <v>91</v>
      </c>
      <c r="H242" s="4" t="s">
        <v>25</v>
      </c>
      <c r="I242" s="5">
        <v>44348</v>
      </c>
      <c r="J242" s="6">
        <v>22400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66</v>
      </c>
      <c r="R242" s="4">
        <v>27958</v>
      </c>
      <c r="S242" s="4" t="s">
        <v>339</v>
      </c>
      <c r="U242" s="4">
        <v>20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39</v>
      </c>
      <c r="C243" s="4" t="s">
        <v>64</v>
      </c>
      <c r="D243" s="4" t="s">
        <v>25</v>
      </c>
      <c r="E243" s="4" t="s">
        <v>25</v>
      </c>
      <c r="F243" s="4" t="s">
        <v>25</v>
      </c>
      <c r="G243" s="4" t="s">
        <v>71</v>
      </c>
      <c r="H243" s="4" t="s">
        <v>25</v>
      </c>
      <c r="I243" s="5">
        <v>44378</v>
      </c>
      <c r="J243" s="6">
        <v>13720</v>
      </c>
      <c r="K243" s="6">
        <v>6860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66</v>
      </c>
      <c r="R243" s="4">
        <v>1034</v>
      </c>
      <c r="S243" s="4" t="s">
        <v>340</v>
      </c>
      <c r="U243" s="4">
        <v>20</v>
      </c>
      <c r="V243" s="4">
        <v>0</v>
      </c>
      <c r="W243" s="4">
        <v>0</v>
      </c>
    </row>
    <row r="244" spans="1:23" ht="11.25" customHeight="1" x14ac:dyDescent="0.25">
      <c r="A244" s="4" t="s">
        <v>21</v>
      </c>
      <c r="B244" s="4" t="s">
        <v>39</v>
      </c>
      <c r="C244" s="4" t="s">
        <v>64</v>
      </c>
      <c r="D244" s="4" t="s">
        <v>25</v>
      </c>
      <c r="E244" s="4" t="s">
        <v>25</v>
      </c>
      <c r="F244" s="4" t="s">
        <v>25</v>
      </c>
      <c r="G244" s="4" t="s">
        <v>84</v>
      </c>
      <c r="H244" s="4" t="s">
        <v>25</v>
      </c>
      <c r="I244" s="5">
        <v>44378</v>
      </c>
      <c r="J244" s="6">
        <v>6970</v>
      </c>
      <c r="K244" s="6">
        <v>6970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66</v>
      </c>
      <c r="R244" s="4">
        <v>27034</v>
      </c>
      <c r="S244" s="4" t="s">
        <v>340</v>
      </c>
      <c r="U244" s="4">
        <v>20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39</v>
      </c>
      <c r="C245" s="4" t="s">
        <v>64</v>
      </c>
      <c r="D245" s="4" t="s">
        <v>25</v>
      </c>
      <c r="E245" s="4" t="s">
        <v>25</v>
      </c>
      <c r="F245" s="4" t="s">
        <v>25</v>
      </c>
      <c r="G245" s="4" t="s">
        <v>85</v>
      </c>
      <c r="H245" s="4" t="s">
        <v>25</v>
      </c>
      <c r="I245" s="5">
        <v>44378</v>
      </c>
      <c r="J245" s="6">
        <v>9600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66</v>
      </c>
      <c r="R245" s="4">
        <v>27207</v>
      </c>
      <c r="S245" s="4" t="s">
        <v>340</v>
      </c>
      <c r="U245" s="4">
        <v>20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39</v>
      </c>
      <c r="C246" s="4" t="s">
        <v>64</v>
      </c>
      <c r="D246" s="4" t="s">
        <v>25</v>
      </c>
      <c r="E246" s="4" t="s">
        <v>25</v>
      </c>
      <c r="F246" s="4" t="s">
        <v>25</v>
      </c>
      <c r="G246" s="4" t="s">
        <v>88</v>
      </c>
      <c r="H246" s="4" t="s">
        <v>25</v>
      </c>
      <c r="I246" s="5">
        <v>44378</v>
      </c>
      <c r="J246" s="6">
        <v>19500</v>
      </c>
      <c r="K246" s="6">
        <v>9750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66</v>
      </c>
      <c r="R246" s="4">
        <v>27722</v>
      </c>
      <c r="S246" s="4" t="s">
        <v>340</v>
      </c>
      <c r="U246" s="4">
        <v>20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39</v>
      </c>
      <c r="C247" s="4" t="s">
        <v>64</v>
      </c>
      <c r="D247" s="4" t="s">
        <v>25</v>
      </c>
      <c r="E247" s="4" t="s">
        <v>25</v>
      </c>
      <c r="F247" s="4" t="s">
        <v>25</v>
      </c>
      <c r="G247" s="4" t="s">
        <v>91</v>
      </c>
      <c r="H247" s="4" t="s">
        <v>25</v>
      </c>
      <c r="I247" s="5">
        <v>44378</v>
      </c>
      <c r="J247" s="6">
        <v>22400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66</v>
      </c>
      <c r="R247" s="4">
        <v>27958</v>
      </c>
      <c r="S247" s="4" t="s">
        <v>340</v>
      </c>
      <c r="U247" s="4">
        <v>20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39</v>
      </c>
      <c r="C248" s="4" t="s">
        <v>64</v>
      </c>
      <c r="D248" s="4" t="s">
        <v>25</v>
      </c>
      <c r="E248" s="4" t="s">
        <v>25</v>
      </c>
      <c r="F248" s="4" t="s">
        <v>25</v>
      </c>
      <c r="G248" s="4" t="s">
        <v>71</v>
      </c>
      <c r="H248" s="4" t="s">
        <v>25</v>
      </c>
      <c r="I248" s="5">
        <v>44409</v>
      </c>
      <c r="J248" s="6">
        <v>13720</v>
      </c>
      <c r="K248" s="6">
        <v>6860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66</v>
      </c>
      <c r="R248" s="4">
        <v>1034</v>
      </c>
      <c r="S248" s="4" t="s">
        <v>341</v>
      </c>
      <c r="U248" s="4">
        <v>20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39</v>
      </c>
      <c r="C249" s="4" t="s">
        <v>64</v>
      </c>
      <c r="D249" s="4" t="s">
        <v>25</v>
      </c>
      <c r="E249" s="4" t="s">
        <v>25</v>
      </c>
      <c r="F249" s="4" t="s">
        <v>25</v>
      </c>
      <c r="G249" s="4" t="s">
        <v>84</v>
      </c>
      <c r="H249" s="4" t="s">
        <v>25</v>
      </c>
      <c r="I249" s="5">
        <v>44409</v>
      </c>
      <c r="J249" s="6">
        <v>6970</v>
      </c>
      <c r="K249" s="6">
        <v>6970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66</v>
      </c>
      <c r="R249" s="4">
        <v>27034</v>
      </c>
      <c r="S249" s="4" t="s">
        <v>341</v>
      </c>
      <c r="U249" s="4">
        <v>20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39</v>
      </c>
      <c r="C250" s="4" t="s">
        <v>64</v>
      </c>
      <c r="D250" s="4" t="s">
        <v>25</v>
      </c>
      <c r="E250" s="4" t="s">
        <v>25</v>
      </c>
      <c r="F250" s="4" t="s">
        <v>25</v>
      </c>
      <c r="G250" s="4" t="s">
        <v>85</v>
      </c>
      <c r="H250" s="4" t="s">
        <v>25</v>
      </c>
      <c r="I250" s="5">
        <v>44409</v>
      </c>
      <c r="J250" s="6">
        <v>9600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66</v>
      </c>
      <c r="R250" s="4">
        <v>27207</v>
      </c>
      <c r="S250" s="4" t="s">
        <v>341</v>
      </c>
      <c r="U250" s="4">
        <v>20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39</v>
      </c>
      <c r="C251" s="4" t="s">
        <v>64</v>
      </c>
      <c r="D251" s="4" t="s">
        <v>25</v>
      </c>
      <c r="E251" s="4" t="s">
        <v>25</v>
      </c>
      <c r="F251" s="4" t="s">
        <v>25</v>
      </c>
      <c r="G251" s="4" t="s">
        <v>88</v>
      </c>
      <c r="H251" s="4" t="s">
        <v>25</v>
      </c>
      <c r="I251" s="5">
        <v>44409</v>
      </c>
      <c r="J251" s="6">
        <v>19500</v>
      </c>
      <c r="K251" s="6">
        <v>9750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66</v>
      </c>
      <c r="R251" s="4">
        <v>27722</v>
      </c>
      <c r="S251" s="4" t="s">
        <v>341</v>
      </c>
      <c r="U251" s="4">
        <v>20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39</v>
      </c>
      <c r="C252" s="4" t="s">
        <v>64</v>
      </c>
      <c r="D252" s="4" t="s">
        <v>25</v>
      </c>
      <c r="E252" s="4" t="s">
        <v>25</v>
      </c>
      <c r="F252" s="4" t="s">
        <v>25</v>
      </c>
      <c r="G252" s="4" t="s">
        <v>91</v>
      </c>
      <c r="H252" s="4" t="s">
        <v>25</v>
      </c>
      <c r="I252" s="5">
        <v>44409</v>
      </c>
      <c r="J252" s="6">
        <v>22400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66</v>
      </c>
      <c r="R252" s="4">
        <v>27958</v>
      </c>
      <c r="S252" s="4" t="s">
        <v>341</v>
      </c>
      <c r="U252" s="4">
        <v>20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39</v>
      </c>
      <c r="C253" s="4" t="s">
        <v>64</v>
      </c>
      <c r="D253" s="4" t="s">
        <v>25</v>
      </c>
      <c r="E253" s="4" t="s">
        <v>25</v>
      </c>
      <c r="F253" s="4" t="s">
        <v>25</v>
      </c>
      <c r="G253" s="4" t="s">
        <v>71</v>
      </c>
      <c r="H253" s="4" t="s">
        <v>25</v>
      </c>
      <c r="I253" s="5">
        <v>44440</v>
      </c>
      <c r="J253" s="6">
        <v>13720</v>
      </c>
      <c r="K253" s="6">
        <v>6860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66</v>
      </c>
      <c r="R253" s="4">
        <v>1034</v>
      </c>
      <c r="S253" s="4" t="s">
        <v>342</v>
      </c>
      <c r="U253" s="4">
        <v>20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39</v>
      </c>
      <c r="C254" s="4" t="s">
        <v>64</v>
      </c>
      <c r="D254" s="4" t="s">
        <v>25</v>
      </c>
      <c r="E254" s="4" t="s">
        <v>25</v>
      </c>
      <c r="F254" s="4" t="s">
        <v>25</v>
      </c>
      <c r="G254" s="4" t="s">
        <v>84</v>
      </c>
      <c r="H254" s="4" t="s">
        <v>25</v>
      </c>
      <c r="I254" s="5">
        <v>44440</v>
      </c>
      <c r="J254" s="6">
        <v>6970</v>
      </c>
      <c r="K254" s="6">
        <v>6970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66</v>
      </c>
      <c r="R254" s="4">
        <v>27034</v>
      </c>
      <c r="S254" s="4" t="s">
        <v>342</v>
      </c>
      <c r="U254" s="4">
        <v>20</v>
      </c>
      <c r="V254" s="4">
        <v>0</v>
      </c>
      <c r="W254" s="4">
        <v>0</v>
      </c>
    </row>
    <row r="255" spans="1:23" ht="11.25" customHeight="1" x14ac:dyDescent="0.25">
      <c r="A255" s="4" t="s">
        <v>21</v>
      </c>
      <c r="B255" s="4" t="s">
        <v>39</v>
      </c>
      <c r="C255" s="4" t="s">
        <v>64</v>
      </c>
      <c r="D255" s="4" t="s">
        <v>25</v>
      </c>
      <c r="E255" s="4" t="s">
        <v>25</v>
      </c>
      <c r="F255" s="4" t="s">
        <v>25</v>
      </c>
      <c r="G255" s="4" t="s">
        <v>85</v>
      </c>
      <c r="H255" s="4" t="s">
        <v>25</v>
      </c>
      <c r="I255" s="5">
        <v>44440</v>
      </c>
      <c r="J255" s="6">
        <v>9600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66</v>
      </c>
      <c r="R255" s="4">
        <v>27207</v>
      </c>
      <c r="S255" s="4" t="s">
        <v>342</v>
      </c>
      <c r="U255" s="4">
        <v>20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39</v>
      </c>
      <c r="C256" s="4" t="s">
        <v>64</v>
      </c>
      <c r="D256" s="4" t="s">
        <v>25</v>
      </c>
      <c r="E256" s="4" t="s">
        <v>25</v>
      </c>
      <c r="F256" s="4" t="s">
        <v>25</v>
      </c>
      <c r="G256" s="4" t="s">
        <v>88</v>
      </c>
      <c r="H256" s="4" t="s">
        <v>25</v>
      </c>
      <c r="I256" s="5">
        <v>44440</v>
      </c>
      <c r="J256" s="6">
        <v>19500</v>
      </c>
      <c r="K256" s="6">
        <v>9750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66</v>
      </c>
      <c r="R256" s="4">
        <v>27722</v>
      </c>
      <c r="S256" s="4" t="s">
        <v>342</v>
      </c>
      <c r="U256" s="4">
        <v>20</v>
      </c>
      <c r="V256" s="4">
        <v>0</v>
      </c>
      <c r="W256" s="4">
        <v>0</v>
      </c>
    </row>
    <row r="257" spans="1:23" ht="11.25" customHeight="1" x14ac:dyDescent="0.25">
      <c r="A257" s="4" t="s">
        <v>21</v>
      </c>
      <c r="B257" s="4" t="s">
        <v>39</v>
      </c>
      <c r="C257" s="4" t="s">
        <v>64</v>
      </c>
      <c r="D257" s="4" t="s">
        <v>25</v>
      </c>
      <c r="E257" s="4" t="s">
        <v>25</v>
      </c>
      <c r="F257" s="4" t="s">
        <v>25</v>
      </c>
      <c r="G257" s="4" t="s">
        <v>91</v>
      </c>
      <c r="H257" s="4" t="s">
        <v>25</v>
      </c>
      <c r="I257" s="5">
        <v>44440</v>
      </c>
      <c r="J257" s="6">
        <v>22400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66</v>
      </c>
      <c r="R257" s="4">
        <v>27958</v>
      </c>
      <c r="S257" s="4" t="s">
        <v>342</v>
      </c>
      <c r="U257" s="4">
        <v>20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39</v>
      </c>
      <c r="C258" s="4" t="s">
        <v>64</v>
      </c>
      <c r="D258" s="4" t="s">
        <v>25</v>
      </c>
      <c r="E258" s="4" t="s">
        <v>25</v>
      </c>
      <c r="F258" s="4" t="s">
        <v>25</v>
      </c>
      <c r="G258" s="4" t="s">
        <v>71</v>
      </c>
      <c r="H258" s="4" t="s">
        <v>25</v>
      </c>
      <c r="I258" s="5">
        <v>44470</v>
      </c>
      <c r="J258" s="6">
        <v>13720</v>
      </c>
      <c r="K258" s="6">
        <v>6860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66</v>
      </c>
      <c r="R258" s="4">
        <v>1034</v>
      </c>
      <c r="S258" s="4" t="s">
        <v>343</v>
      </c>
      <c r="U258" s="4">
        <v>20</v>
      </c>
      <c r="V258" s="4">
        <v>0</v>
      </c>
      <c r="W258" s="4">
        <v>0</v>
      </c>
    </row>
    <row r="259" spans="1:23" ht="11.25" customHeight="1" x14ac:dyDescent="0.25">
      <c r="A259" s="4" t="s">
        <v>21</v>
      </c>
      <c r="B259" s="4" t="s">
        <v>39</v>
      </c>
      <c r="C259" s="4" t="s">
        <v>64</v>
      </c>
      <c r="D259" s="4" t="s">
        <v>25</v>
      </c>
      <c r="E259" s="4" t="s">
        <v>25</v>
      </c>
      <c r="F259" s="4" t="s">
        <v>25</v>
      </c>
      <c r="G259" s="4" t="s">
        <v>84</v>
      </c>
      <c r="H259" s="4" t="s">
        <v>25</v>
      </c>
      <c r="I259" s="5">
        <v>44470</v>
      </c>
      <c r="J259" s="6">
        <v>6970</v>
      </c>
      <c r="K259" s="6">
        <v>6970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66</v>
      </c>
      <c r="R259" s="4">
        <v>27034</v>
      </c>
      <c r="S259" s="4" t="s">
        <v>343</v>
      </c>
      <c r="U259" s="4">
        <v>20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39</v>
      </c>
      <c r="C260" s="4" t="s">
        <v>64</v>
      </c>
      <c r="D260" s="4" t="s">
        <v>25</v>
      </c>
      <c r="E260" s="4" t="s">
        <v>25</v>
      </c>
      <c r="F260" s="4" t="s">
        <v>25</v>
      </c>
      <c r="G260" s="4" t="s">
        <v>85</v>
      </c>
      <c r="H260" s="4" t="s">
        <v>25</v>
      </c>
      <c r="I260" s="5">
        <v>44470</v>
      </c>
      <c r="J260" s="6">
        <v>9600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66</v>
      </c>
      <c r="R260" s="4">
        <v>27207</v>
      </c>
      <c r="S260" s="4" t="s">
        <v>343</v>
      </c>
      <c r="U260" s="4">
        <v>20</v>
      </c>
      <c r="V260" s="4">
        <v>0</v>
      </c>
      <c r="W260" s="4">
        <v>0</v>
      </c>
    </row>
    <row r="261" spans="1:23" ht="11.25" customHeight="1" x14ac:dyDescent="0.25">
      <c r="A261" s="4" t="s">
        <v>21</v>
      </c>
      <c r="B261" s="4" t="s">
        <v>39</v>
      </c>
      <c r="C261" s="4" t="s">
        <v>64</v>
      </c>
      <c r="D261" s="4" t="s">
        <v>25</v>
      </c>
      <c r="E261" s="4" t="s">
        <v>25</v>
      </c>
      <c r="F261" s="4" t="s">
        <v>25</v>
      </c>
      <c r="G261" s="4" t="s">
        <v>88</v>
      </c>
      <c r="H261" s="4" t="s">
        <v>25</v>
      </c>
      <c r="I261" s="5">
        <v>44470</v>
      </c>
      <c r="J261" s="6">
        <v>19500</v>
      </c>
      <c r="K261" s="6">
        <v>9750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66</v>
      </c>
      <c r="R261" s="4">
        <v>27722</v>
      </c>
      <c r="S261" s="4" t="s">
        <v>343</v>
      </c>
      <c r="U261" s="4">
        <v>20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39</v>
      </c>
      <c r="C262" s="4" t="s">
        <v>64</v>
      </c>
      <c r="D262" s="4" t="s">
        <v>25</v>
      </c>
      <c r="E262" s="4" t="s">
        <v>25</v>
      </c>
      <c r="F262" s="4" t="s">
        <v>25</v>
      </c>
      <c r="G262" s="4" t="s">
        <v>91</v>
      </c>
      <c r="H262" s="4" t="s">
        <v>25</v>
      </c>
      <c r="I262" s="5">
        <v>44470</v>
      </c>
      <c r="J262" s="6">
        <v>22400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66</v>
      </c>
      <c r="R262" s="4">
        <v>27958</v>
      </c>
      <c r="S262" s="4" t="s">
        <v>343</v>
      </c>
      <c r="U262" s="4">
        <v>20</v>
      </c>
      <c r="V262" s="4">
        <v>0</v>
      </c>
      <c r="W262" s="4">
        <v>0</v>
      </c>
    </row>
    <row r="263" spans="1:23" ht="11.25" customHeight="1" x14ac:dyDescent="0.25">
      <c r="A263" s="4" t="s">
        <v>21</v>
      </c>
      <c r="B263" s="4" t="s">
        <v>39</v>
      </c>
      <c r="C263" s="4" t="s">
        <v>64</v>
      </c>
      <c r="D263" s="4" t="s">
        <v>25</v>
      </c>
      <c r="E263" s="4" t="s">
        <v>25</v>
      </c>
      <c r="F263" s="4" t="s">
        <v>25</v>
      </c>
      <c r="G263" s="4" t="s">
        <v>71</v>
      </c>
      <c r="H263" s="4" t="s">
        <v>25</v>
      </c>
      <c r="I263" s="5">
        <v>44501</v>
      </c>
      <c r="J263" s="6">
        <v>13720</v>
      </c>
      <c r="K263" s="6">
        <v>6860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66</v>
      </c>
      <c r="R263" s="4">
        <v>1034</v>
      </c>
      <c r="S263" s="4" t="s">
        <v>344</v>
      </c>
      <c r="U263" s="4">
        <v>20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39</v>
      </c>
      <c r="C264" s="4" t="s">
        <v>64</v>
      </c>
      <c r="D264" s="4" t="s">
        <v>25</v>
      </c>
      <c r="E264" s="4" t="s">
        <v>25</v>
      </c>
      <c r="F264" s="4" t="s">
        <v>25</v>
      </c>
      <c r="G264" s="4" t="s">
        <v>84</v>
      </c>
      <c r="H264" s="4" t="s">
        <v>25</v>
      </c>
      <c r="I264" s="5">
        <v>44501</v>
      </c>
      <c r="J264" s="6">
        <v>6970</v>
      </c>
      <c r="K264" s="6">
        <v>6970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66</v>
      </c>
      <c r="R264" s="4">
        <v>27034</v>
      </c>
      <c r="S264" s="4" t="s">
        <v>344</v>
      </c>
      <c r="U264" s="4">
        <v>20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39</v>
      </c>
      <c r="C265" s="4" t="s">
        <v>64</v>
      </c>
      <c r="D265" s="4" t="s">
        <v>25</v>
      </c>
      <c r="E265" s="4" t="s">
        <v>25</v>
      </c>
      <c r="F265" s="4" t="s">
        <v>25</v>
      </c>
      <c r="G265" s="4" t="s">
        <v>85</v>
      </c>
      <c r="H265" s="4" t="s">
        <v>25</v>
      </c>
      <c r="I265" s="5">
        <v>44501</v>
      </c>
      <c r="J265" s="6">
        <v>9600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66</v>
      </c>
      <c r="R265" s="4">
        <v>27207</v>
      </c>
      <c r="S265" s="4" t="s">
        <v>344</v>
      </c>
      <c r="U265" s="4">
        <v>20</v>
      </c>
      <c r="V265" s="4">
        <v>0</v>
      </c>
      <c r="W265" s="4">
        <v>0</v>
      </c>
    </row>
    <row r="266" spans="1:23" ht="11.25" customHeight="1" x14ac:dyDescent="0.25">
      <c r="A266" s="4" t="s">
        <v>21</v>
      </c>
      <c r="B266" s="4" t="s">
        <v>39</v>
      </c>
      <c r="C266" s="4" t="s">
        <v>64</v>
      </c>
      <c r="D266" s="4" t="s">
        <v>25</v>
      </c>
      <c r="E266" s="4" t="s">
        <v>25</v>
      </c>
      <c r="F266" s="4" t="s">
        <v>25</v>
      </c>
      <c r="G266" s="4" t="s">
        <v>88</v>
      </c>
      <c r="H266" s="4" t="s">
        <v>25</v>
      </c>
      <c r="I266" s="5">
        <v>44501</v>
      </c>
      <c r="J266" s="6">
        <v>19500</v>
      </c>
      <c r="K266" s="6">
        <v>9750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66</v>
      </c>
      <c r="R266" s="4">
        <v>27722</v>
      </c>
      <c r="S266" s="4" t="s">
        <v>344</v>
      </c>
      <c r="U266" s="4">
        <v>20</v>
      </c>
      <c r="V266" s="4">
        <v>0</v>
      </c>
      <c r="W266" s="4">
        <v>0</v>
      </c>
    </row>
    <row r="267" spans="1:23" ht="11.25" customHeight="1" x14ac:dyDescent="0.25">
      <c r="A267" s="4" t="s">
        <v>21</v>
      </c>
      <c r="B267" s="4" t="s">
        <v>39</v>
      </c>
      <c r="C267" s="4" t="s">
        <v>64</v>
      </c>
      <c r="D267" s="4" t="s">
        <v>25</v>
      </c>
      <c r="E267" s="4" t="s">
        <v>25</v>
      </c>
      <c r="F267" s="4" t="s">
        <v>25</v>
      </c>
      <c r="G267" s="4" t="s">
        <v>91</v>
      </c>
      <c r="H267" s="4" t="s">
        <v>25</v>
      </c>
      <c r="I267" s="5">
        <v>44501</v>
      </c>
      <c r="J267" s="6">
        <v>22400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66</v>
      </c>
      <c r="R267" s="4">
        <v>27958</v>
      </c>
      <c r="S267" s="4" t="s">
        <v>344</v>
      </c>
      <c r="U267" s="4">
        <v>20</v>
      </c>
      <c r="V267" s="4">
        <v>0</v>
      </c>
      <c r="W267" s="4">
        <v>0</v>
      </c>
    </row>
    <row r="268" spans="1:23" ht="11.25" customHeight="1" x14ac:dyDescent="0.25">
      <c r="A268" s="4" t="s">
        <v>21</v>
      </c>
      <c r="B268" s="4" t="s">
        <v>39</v>
      </c>
      <c r="C268" s="4" t="s">
        <v>64</v>
      </c>
      <c r="D268" s="4" t="s">
        <v>25</v>
      </c>
      <c r="E268" s="4" t="s">
        <v>25</v>
      </c>
      <c r="F268" s="4" t="s">
        <v>25</v>
      </c>
      <c r="G268" s="4" t="s">
        <v>71</v>
      </c>
      <c r="H268" s="4" t="s">
        <v>25</v>
      </c>
      <c r="I268" s="5">
        <v>44531</v>
      </c>
      <c r="J268" s="6">
        <v>13720</v>
      </c>
      <c r="K268" s="6">
        <v>6860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66</v>
      </c>
      <c r="R268" s="4">
        <v>1034</v>
      </c>
      <c r="S268" s="4" t="s">
        <v>345</v>
      </c>
      <c r="U268" s="4">
        <v>20</v>
      </c>
      <c r="V268" s="4">
        <v>0</v>
      </c>
      <c r="W268" s="4">
        <v>0</v>
      </c>
    </row>
    <row r="269" spans="1:23" ht="11.25" customHeight="1" x14ac:dyDescent="0.25">
      <c r="A269" s="4" t="s">
        <v>21</v>
      </c>
      <c r="B269" s="4" t="s">
        <v>39</v>
      </c>
      <c r="C269" s="4" t="s">
        <v>64</v>
      </c>
      <c r="D269" s="4" t="s">
        <v>25</v>
      </c>
      <c r="E269" s="4" t="s">
        <v>25</v>
      </c>
      <c r="F269" s="4" t="s">
        <v>25</v>
      </c>
      <c r="G269" s="4" t="s">
        <v>84</v>
      </c>
      <c r="H269" s="4" t="s">
        <v>25</v>
      </c>
      <c r="I269" s="5">
        <v>44531</v>
      </c>
      <c r="J269" s="6">
        <v>6970</v>
      </c>
      <c r="K269" s="6">
        <v>6970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66</v>
      </c>
      <c r="R269" s="4">
        <v>27034</v>
      </c>
      <c r="S269" s="4" t="s">
        <v>345</v>
      </c>
      <c r="U269" s="4">
        <v>20</v>
      </c>
      <c r="V269" s="4">
        <v>0</v>
      </c>
      <c r="W269" s="4">
        <v>0</v>
      </c>
    </row>
    <row r="270" spans="1:23" ht="11.25" customHeight="1" x14ac:dyDescent="0.25">
      <c r="A270" s="4" t="s">
        <v>21</v>
      </c>
      <c r="B270" s="4" t="s">
        <v>39</v>
      </c>
      <c r="C270" s="4" t="s">
        <v>64</v>
      </c>
      <c r="D270" s="4" t="s">
        <v>25</v>
      </c>
      <c r="E270" s="4" t="s">
        <v>25</v>
      </c>
      <c r="F270" s="4" t="s">
        <v>25</v>
      </c>
      <c r="G270" s="4" t="s">
        <v>85</v>
      </c>
      <c r="H270" s="4" t="s">
        <v>25</v>
      </c>
      <c r="I270" s="5">
        <v>44531</v>
      </c>
      <c r="J270" s="6">
        <v>9600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66</v>
      </c>
      <c r="R270" s="4">
        <v>27207</v>
      </c>
      <c r="S270" s="4" t="s">
        <v>345</v>
      </c>
      <c r="U270" s="4">
        <v>20</v>
      </c>
      <c r="V270" s="4">
        <v>0</v>
      </c>
      <c r="W270" s="4">
        <v>0</v>
      </c>
    </row>
    <row r="271" spans="1:23" ht="11.25" customHeight="1" x14ac:dyDescent="0.25">
      <c r="A271" s="4" t="s">
        <v>21</v>
      </c>
      <c r="B271" s="4" t="s">
        <v>39</v>
      </c>
      <c r="C271" s="4" t="s">
        <v>64</v>
      </c>
      <c r="D271" s="4" t="s">
        <v>25</v>
      </c>
      <c r="E271" s="4" t="s">
        <v>25</v>
      </c>
      <c r="F271" s="4" t="s">
        <v>25</v>
      </c>
      <c r="G271" s="4" t="s">
        <v>88</v>
      </c>
      <c r="H271" s="4" t="s">
        <v>25</v>
      </c>
      <c r="I271" s="5">
        <v>44531</v>
      </c>
      <c r="J271" s="6">
        <v>19500</v>
      </c>
      <c r="K271" s="6">
        <v>9750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66</v>
      </c>
      <c r="R271" s="4">
        <v>27722</v>
      </c>
      <c r="S271" s="4" t="s">
        <v>345</v>
      </c>
      <c r="U271" s="4">
        <v>20</v>
      </c>
      <c r="V271" s="4">
        <v>0</v>
      </c>
      <c r="W271" s="4">
        <v>0</v>
      </c>
    </row>
    <row r="272" spans="1:23" ht="11.25" customHeight="1" x14ac:dyDescent="0.25">
      <c r="A272" s="4" t="s">
        <v>21</v>
      </c>
      <c r="B272" s="4" t="s">
        <v>39</v>
      </c>
      <c r="C272" s="4" t="s">
        <v>64</v>
      </c>
      <c r="D272" s="4" t="s">
        <v>25</v>
      </c>
      <c r="E272" s="4" t="s">
        <v>25</v>
      </c>
      <c r="F272" s="4" t="s">
        <v>25</v>
      </c>
      <c r="G272" s="4" t="s">
        <v>91</v>
      </c>
      <c r="H272" s="4" t="s">
        <v>25</v>
      </c>
      <c r="I272" s="5">
        <v>44531</v>
      </c>
      <c r="J272" s="6">
        <v>22400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66</v>
      </c>
      <c r="R272" s="4">
        <v>27958</v>
      </c>
      <c r="S272" s="4" t="s">
        <v>345</v>
      </c>
      <c r="U272" s="4">
        <v>20</v>
      </c>
      <c r="V272" s="4">
        <v>0</v>
      </c>
      <c r="W272" s="4">
        <v>0</v>
      </c>
    </row>
    <row r="273" spans="1:23" ht="11.25" customHeight="1" x14ac:dyDescent="0.25">
      <c r="A273" s="4" t="s">
        <v>21</v>
      </c>
      <c r="B273" s="4" t="s">
        <v>39</v>
      </c>
      <c r="C273" s="4" t="s">
        <v>64</v>
      </c>
      <c r="D273" s="4" t="s">
        <v>25</v>
      </c>
      <c r="E273" s="4" t="s">
        <v>25</v>
      </c>
      <c r="F273" s="4" t="s">
        <v>25</v>
      </c>
      <c r="G273" s="4" t="s">
        <v>71</v>
      </c>
      <c r="H273" s="4" t="s">
        <v>25</v>
      </c>
      <c r="I273" s="5">
        <v>44562</v>
      </c>
      <c r="J273" s="6">
        <v>13720</v>
      </c>
      <c r="K273" s="6">
        <v>6860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66</v>
      </c>
      <c r="R273" s="4">
        <v>1034</v>
      </c>
      <c r="S273" s="4" t="s">
        <v>346</v>
      </c>
      <c r="U273" s="4">
        <v>20</v>
      </c>
      <c r="V273" s="4">
        <v>0</v>
      </c>
      <c r="W273" s="4">
        <v>0</v>
      </c>
    </row>
    <row r="274" spans="1:23" ht="11.25" customHeight="1" x14ac:dyDescent="0.25">
      <c r="A274" s="4" t="s">
        <v>21</v>
      </c>
      <c r="B274" s="4" t="s">
        <v>39</v>
      </c>
      <c r="C274" s="4" t="s">
        <v>64</v>
      </c>
      <c r="D274" s="4" t="s">
        <v>25</v>
      </c>
      <c r="E274" s="4" t="s">
        <v>25</v>
      </c>
      <c r="F274" s="4" t="s">
        <v>25</v>
      </c>
      <c r="G274" s="4" t="s">
        <v>84</v>
      </c>
      <c r="H274" s="4" t="s">
        <v>25</v>
      </c>
      <c r="I274" s="5">
        <v>44562</v>
      </c>
      <c r="J274" s="6">
        <v>6970</v>
      </c>
      <c r="K274" s="6">
        <v>6970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66</v>
      </c>
      <c r="R274" s="4">
        <v>27034</v>
      </c>
      <c r="S274" s="4" t="s">
        <v>346</v>
      </c>
      <c r="U274" s="4">
        <v>20</v>
      </c>
      <c r="V274" s="4">
        <v>0</v>
      </c>
      <c r="W274" s="4">
        <v>0</v>
      </c>
    </row>
    <row r="275" spans="1:23" ht="11.25" customHeight="1" x14ac:dyDescent="0.25">
      <c r="A275" s="4" t="s">
        <v>21</v>
      </c>
      <c r="B275" s="4" t="s">
        <v>39</v>
      </c>
      <c r="C275" s="4" t="s">
        <v>64</v>
      </c>
      <c r="D275" s="4" t="s">
        <v>25</v>
      </c>
      <c r="E275" s="4" t="s">
        <v>25</v>
      </c>
      <c r="F275" s="4" t="s">
        <v>25</v>
      </c>
      <c r="G275" s="4" t="s">
        <v>85</v>
      </c>
      <c r="H275" s="4" t="s">
        <v>25</v>
      </c>
      <c r="I275" s="5">
        <v>44562</v>
      </c>
      <c r="J275" s="6">
        <v>9600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66</v>
      </c>
      <c r="R275" s="4">
        <v>27207</v>
      </c>
      <c r="S275" s="4" t="s">
        <v>346</v>
      </c>
      <c r="U275" s="4">
        <v>20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39</v>
      </c>
      <c r="C276" s="4" t="s">
        <v>64</v>
      </c>
      <c r="D276" s="4" t="s">
        <v>25</v>
      </c>
      <c r="E276" s="4" t="s">
        <v>25</v>
      </c>
      <c r="F276" s="4" t="s">
        <v>25</v>
      </c>
      <c r="G276" s="4" t="s">
        <v>88</v>
      </c>
      <c r="H276" s="4" t="s">
        <v>25</v>
      </c>
      <c r="I276" s="5">
        <v>44562</v>
      </c>
      <c r="J276" s="6">
        <v>19500</v>
      </c>
      <c r="K276" s="6">
        <v>9750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66</v>
      </c>
      <c r="R276" s="4">
        <v>27722</v>
      </c>
      <c r="S276" s="4" t="s">
        <v>346</v>
      </c>
      <c r="U276" s="4">
        <v>20</v>
      </c>
      <c r="V276" s="4">
        <v>0</v>
      </c>
      <c r="W276" s="4">
        <v>0</v>
      </c>
    </row>
    <row r="277" spans="1:23" ht="11.25" customHeight="1" x14ac:dyDescent="0.25">
      <c r="A277" s="4" t="s">
        <v>21</v>
      </c>
      <c r="B277" s="4" t="s">
        <v>39</v>
      </c>
      <c r="C277" s="4" t="s">
        <v>64</v>
      </c>
      <c r="D277" s="4" t="s">
        <v>25</v>
      </c>
      <c r="E277" s="4" t="s">
        <v>25</v>
      </c>
      <c r="F277" s="4" t="s">
        <v>25</v>
      </c>
      <c r="G277" s="4" t="s">
        <v>91</v>
      </c>
      <c r="H277" s="4" t="s">
        <v>25</v>
      </c>
      <c r="I277" s="5">
        <v>44562</v>
      </c>
      <c r="J277" s="6">
        <v>22400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66</v>
      </c>
      <c r="R277" s="4">
        <v>27958</v>
      </c>
      <c r="S277" s="4" t="s">
        <v>346</v>
      </c>
      <c r="U277" s="4">
        <v>20</v>
      </c>
      <c r="V277" s="4">
        <v>0</v>
      </c>
      <c r="W277" s="4">
        <v>0</v>
      </c>
    </row>
    <row r="278" spans="1:23" ht="11.25" customHeight="1" x14ac:dyDescent="0.25">
      <c r="A278" s="4" t="s">
        <v>21</v>
      </c>
      <c r="B278" s="4" t="s">
        <v>39</v>
      </c>
      <c r="C278" s="4" t="s">
        <v>64</v>
      </c>
      <c r="D278" s="4" t="s">
        <v>25</v>
      </c>
      <c r="E278" s="4" t="s">
        <v>25</v>
      </c>
      <c r="F278" s="4" t="s">
        <v>25</v>
      </c>
      <c r="G278" s="4" t="s">
        <v>71</v>
      </c>
      <c r="H278" s="4" t="s">
        <v>25</v>
      </c>
      <c r="I278" s="5">
        <v>44593</v>
      </c>
      <c r="J278" s="6">
        <v>13720</v>
      </c>
      <c r="K278" s="6">
        <v>6860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66</v>
      </c>
      <c r="R278" s="4">
        <v>1034</v>
      </c>
      <c r="S278" s="4" t="s">
        <v>347</v>
      </c>
      <c r="U278" s="4">
        <v>20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39</v>
      </c>
      <c r="C279" s="4" t="s">
        <v>64</v>
      </c>
      <c r="D279" s="4" t="s">
        <v>25</v>
      </c>
      <c r="E279" s="4" t="s">
        <v>25</v>
      </c>
      <c r="F279" s="4" t="s">
        <v>25</v>
      </c>
      <c r="G279" s="4" t="s">
        <v>84</v>
      </c>
      <c r="H279" s="4" t="s">
        <v>25</v>
      </c>
      <c r="I279" s="5">
        <v>44593</v>
      </c>
      <c r="J279" s="6">
        <v>6970</v>
      </c>
      <c r="K279" s="6">
        <v>6970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66</v>
      </c>
      <c r="R279" s="4">
        <v>27034</v>
      </c>
      <c r="S279" s="4" t="s">
        <v>347</v>
      </c>
      <c r="U279" s="4">
        <v>20</v>
      </c>
      <c r="V279" s="4">
        <v>0</v>
      </c>
      <c r="W279" s="4">
        <v>0</v>
      </c>
    </row>
    <row r="280" spans="1:23" ht="11.25" customHeight="1" x14ac:dyDescent="0.25">
      <c r="A280" s="4" t="s">
        <v>21</v>
      </c>
      <c r="B280" s="4" t="s">
        <v>39</v>
      </c>
      <c r="C280" s="4" t="s">
        <v>64</v>
      </c>
      <c r="D280" s="4" t="s">
        <v>25</v>
      </c>
      <c r="E280" s="4" t="s">
        <v>25</v>
      </c>
      <c r="F280" s="4" t="s">
        <v>25</v>
      </c>
      <c r="G280" s="4" t="s">
        <v>85</v>
      </c>
      <c r="H280" s="4" t="s">
        <v>25</v>
      </c>
      <c r="I280" s="5">
        <v>44593</v>
      </c>
      <c r="J280" s="6">
        <v>9600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66</v>
      </c>
      <c r="R280" s="4">
        <v>27207</v>
      </c>
      <c r="S280" s="4" t="s">
        <v>347</v>
      </c>
      <c r="U280" s="4">
        <v>20</v>
      </c>
      <c r="V280" s="4">
        <v>0</v>
      </c>
      <c r="W280" s="4">
        <v>0</v>
      </c>
    </row>
    <row r="281" spans="1:23" ht="11.25" customHeight="1" x14ac:dyDescent="0.25">
      <c r="A281" s="4" t="s">
        <v>21</v>
      </c>
      <c r="B281" s="4" t="s">
        <v>39</v>
      </c>
      <c r="C281" s="4" t="s">
        <v>64</v>
      </c>
      <c r="D281" s="4" t="s">
        <v>25</v>
      </c>
      <c r="E281" s="4" t="s">
        <v>25</v>
      </c>
      <c r="F281" s="4" t="s">
        <v>25</v>
      </c>
      <c r="G281" s="4" t="s">
        <v>88</v>
      </c>
      <c r="H281" s="4" t="s">
        <v>25</v>
      </c>
      <c r="I281" s="5">
        <v>44593</v>
      </c>
      <c r="J281" s="6">
        <v>19500</v>
      </c>
      <c r="K281" s="6">
        <v>9750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66</v>
      </c>
      <c r="R281" s="4">
        <v>27722</v>
      </c>
      <c r="S281" s="4" t="s">
        <v>347</v>
      </c>
      <c r="U281" s="4">
        <v>20</v>
      </c>
      <c r="V281" s="4">
        <v>0</v>
      </c>
      <c r="W281" s="4">
        <v>0</v>
      </c>
    </row>
    <row r="282" spans="1:23" ht="11.25" customHeight="1" x14ac:dyDescent="0.25">
      <c r="A282" s="4" t="s">
        <v>21</v>
      </c>
      <c r="B282" s="4" t="s">
        <v>39</v>
      </c>
      <c r="C282" s="4" t="s">
        <v>64</v>
      </c>
      <c r="D282" s="4" t="s">
        <v>25</v>
      </c>
      <c r="E282" s="4" t="s">
        <v>25</v>
      </c>
      <c r="F282" s="4" t="s">
        <v>25</v>
      </c>
      <c r="G282" s="4" t="s">
        <v>91</v>
      </c>
      <c r="H282" s="4" t="s">
        <v>25</v>
      </c>
      <c r="I282" s="5">
        <v>44593</v>
      </c>
      <c r="J282" s="6">
        <v>22400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4" t="s">
        <v>66</v>
      </c>
      <c r="R282" s="4">
        <v>27958</v>
      </c>
      <c r="S282" s="4" t="s">
        <v>347</v>
      </c>
      <c r="U282" s="4">
        <v>20</v>
      </c>
      <c r="V282" s="4">
        <v>0</v>
      </c>
      <c r="W282" s="4">
        <v>0</v>
      </c>
    </row>
    <row r="283" spans="1:23" ht="11.25" customHeight="1" x14ac:dyDescent="0.25">
      <c r="A283" s="4" t="s">
        <v>21</v>
      </c>
      <c r="B283" s="4" t="s">
        <v>39</v>
      </c>
      <c r="C283" s="4" t="s">
        <v>64</v>
      </c>
      <c r="D283" s="4" t="s">
        <v>25</v>
      </c>
      <c r="E283" s="4" t="s">
        <v>25</v>
      </c>
      <c r="F283" s="4" t="s">
        <v>25</v>
      </c>
      <c r="G283" s="4" t="s">
        <v>71</v>
      </c>
      <c r="H283" s="4" t="s">
        <v>25</v>
      </c>
      <c r="I283" s="5">
        <v>44621</v>
      </c>
      <c r="J283" s="6">
        <v>13720</v>
      </c>
      <c r="K283" s="6">
        <v>6860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4" t="s">
        <v>66</v>
      </c>
      <c r="R283" s="4">
        <v>1034</v>
      </c>
      <c r="S283" s="4" t="s">
        <v>348</v>
      </c>
      <c r="U283" s="4">
        <v>20</v>
      </c>
      <c r="V283" s="4">
        <v>0</v>
      </c>
      <c r="W283" s="4">
        <v>0</v>
      </c>
    </row>
    <row r="284" spans="1:23" ht="11.25" customHeight="1" x14ac:dyDescent="0.25">
      <c r="A284" s="4" t="s">
        <v>21</v>
      </c>
      <c r="B284" s="4" t="s">
        <v>39</v>
      </c>
      <c r="C284" s="4" t="s">
        <v>64</v>
      </c>
      <c r="D284" s="4" t="s">
        <v>25</v>
      </c>
      <c r="E284" s="4" t="s">
        <v>25</v>
      </c>
      <c r="F284" s="4" t="s">
        <v>25</v>
      </c>
      <c r="G284" s="4" t="s">
        <v>84</v>
      </c>
      <c r="H284" s="4" t="s">
        <v>25</v>
      </c>
      <c r="I284" s="5">
        <v>44621</v>
      </c>
      <c r="J284" s="6">
        <v>6970</v>
      </c>
      <c r="K284" s="6">
        <v>6970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4" t="s">
        <v>66</v>
      </c>
      <c r="R284" s="4">
        <v>27034</v>
      </c>
      <c r="S284" s="4" t="s">
        <v>348</v>
      </c>
      <c r="U284" s="4">
        <v>20</v>
      </c>
      <c r="V284" s="4">
        <v>0</v>
      </c>
      <c r="W284" s="4">
        <v>0</v>
      </c>
    </row>
    <row r="285" spans="1:23" ht="11.25" customHeight="1" x14ac:dyDescent="0.25">
      <c r="A285" s="4" t="s">
        <v>21</v>
      </c>
      <c r="B285" s="4" t="s">
        <v>39</v>
      </c>
      <c r="C285" s="4" t="s">
        <v>64</v>
      </c>
      <c r="D285" s="4" t="s">
        <v>25</v>
      </c>
      <c r="E285" s="4" t="s">
        <v>25</v>
      </c>
      <c r="F285" s="4" t="s">
        <v>25</v>
      </c>
      <c r="G285" s="4" t="s">
        <v>85</v>
      </c>
      <c r="H285" s="4" t="s">
        <v>25</v>
      </c>
      <c r="I285" s="5">
        <v>44621</v>
      </c>
      <c r="J285" s="6">
        <v>9600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4" t="s">
        <v>66</v>
      </c>
      <c r="R285" s="4">
        <v>27207</v>
      </c>
      <c r="S285" s="4" t="s">
        <v>348</v>
      </c>
      <c r="U285" s="4">
        <v>20</v>
      </c>
      <c r="V285" s="4">
        <v>0</v>
      </c>
      <c r="W285" s="4">
        <v>0</v>
      </c>
    </row>
    <row r="286" spans="1:23" ht="11.25" customHeight="1" x14ac:dyDescent="0.25">
      <c r="A286" s="4" t="s">
        <v>21</v>
      </c>
      <c r="B286" s="4" t="s">
        <v>39</v>
      </c>
      <c r="C286" s="4" t="s">
        <v>64</v>
      </c>
      <c r="D286" s="4" t="s">
        <v>25</v>
      </c>
      <c r="E286" s="4" t="s">
        <v>25</v>
      </c>
      <c r="F286" s="4" t="s">
        <v>25</v>
      </c>
      <c r="G286" s="4" t="s">
        <v>88</v>
      </c>
      <c r="H286" s="4" t="s">
        <v>25</v>
      </c>
      <c r="I286" s="5">
        <v>44621</v>
      </c>
      <c r="J286" s="6">
        <v>19500</v>
      </c>
      <c r="K286" s="6">
        <v>9750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4" t="s">
        <v>66</v>
      </c>
      <c r="R286" s="4">
        <v>27722</v>
      </c>
      <c r="S286" s="4" t="s">
        <v>348</v>
      </c>
      <c r="U286" s="4">
        <v>20</v>
      </c>
      <c r="V286" s="4">
        <v>0</v>
      </c>
      <c r="W286" s="4">
        <v>0</v>
      </c>
    </row>
    <row r="287" spans="1:23" ht="11.25" customHeight="1" x14ac:dyDescent="0.25">
      <c r="A287" s="4" t="s">
        <v>21</v>
      </c>
      <c r="B287" s="4" t="s">
        <v>39</v>
      </c>
      <c r="C287" s="4" t="s">
        <v>64</v>
      </c>
      <c r="D287" s="4" t="s">
        <v>25</v>
      </c>
      <c r="E287" s="4" t="s">
        <v>25</v>
      </c>
      <c r="F287" s="4" t="s">
        <v>25</v>
      </c>
      <c r="G287" s="4" t="s">
        <v>91</v>
      </c>
      <c r="H287" s="4" t="s">
        <v>25</v>
      </c>
      <c r="I287" s="5">
        <v>44621</v>
      </c>
      <c r="J287" s="6">
        <v>22400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66</v>
      </c>
      <c r="R287" s="4">
        <v>27958</v>
      </c>
      <c r="S287" s="4" t="s">
        <v>348</v>
      </c>
      <c r="U287" s="4">
        <v>20</v>
      </c>
      <c r="V287" s="4">
        <v>0</v>
      </c>
      <c r="W287" s="4">
        <v>0</v>
      </c>
    </row>
    <row r="288" spans="1:23" ht="11.25" customHeight="1" x14ac:dyDescent="0.25">
      <c r="A288" s="4" t="s">
        <v>21</v>
      </c>
      <c r="B288" s="4" t="s">
        <v>39</v>
      </c>
      <c r="C288" s="4" t="s">
        <v>64</v>
      </c>
      <c r="D288" s="4" t="s">
        <v>25</v>
      </c>
      <c r="E288" s="4" t="s">
        <v>25</v>
      </c>
      <c r="F288" s="4" t="s">
        <v>25</v>
      </c>
      <c r="G288" s="4" t="s">
        <v>71</v>
      </c>
      <c r="H288" s="4" t="s">
        <v>25</v>
      </c>
      <c r="I288" s="5">
        <v>44652</v>
      </c>
      <c r="J288" s="6">
        <v>13759</v>
      </c>
      <c r="K288" s="6">
        <v>6879.5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66</v>
      </c>
      <c r="R288" s="4">
        <v>1034</v>
      </c>
      <c r="S288" s="4" t="s">
        <v>349</v>
      </c>
      <c r="U288" s="4">
        <v>20</v>
      </c>
      <c r="V288" s="4">
        <v>0</v>
      </c>
      <c r="W288" s="4">
        <v>0</v>
      </c>
    </row>
    <row r="289" spans="1:23" ht="11.25" customHeight="1" x14ac:dyDescent="0.25">
      <c r="A289" s="4" t="s">
        <v>21</v>
      </c>
      <c r="B289" s="4" t="s">
        <v>39</v>
      </c>
      <c r="C289" s="4" t="s">
        <v>64</v>
      </c>
      <c r="D289" s="4" t="s">
        <v>25</v>
      </c>
      <c r="E289" s="4" t="s">
        <v>25</v>
      </c>
      <c r="F289" s="4" t="s">
        <v>25</v>
      </c>
      <c r="G289" s="4" t="s">
        <v>84</v>
      </c>
      <c r="H289" s="4" t="s">
        <v>25</v>
      </c>
      <c r="I289" s="5">
        <v>44652</v>
      </c>
      <c r="J289" s="6">
        <v>6970</v>
      </c>
      <c r="K289" s="6">
        <v>6970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4" t="s">
        <v>66</v>
      </c>
      <c r="R289" s="4">
        <v>27034</v>
      </c>
      <c r="S289" s="4" t="s">
        <v>349</v>
      </c>
      <c r="U289" s="4">
        <v>20</v>
      </c>
      <c r="V289" s="4">
        <v>0</v>
      </c>
      <c r="W289" s="4">
        <v>0</v>
      </c>
    </row>
    <row r="290" spans="1:23" ht="11.25" customHeight="1" x14ac:dyDescent="0.25">
      <c r="A290" s="4" t="s">
        <v>21</v>
      </c>
      <c r="B290" s="4" t="s">
        <v>39</v>
      </c>
      <c r="C290" s="4" t="s">
        <v>64</v>
      </c>
      <c r="D290" s="4" t="s">
        <v>25</v>
      </c>
      <c r="E290" s="4" t="s">
        <v>25</v>
      </c>
      <c r="F290" s="4" t="s">
        <v>25</v>
      </c>
      <c r="G290" s="4" t="s">
        <v>85</v>
      </c>
      <c r="H290" s="4" t="s">
        <v>25</v>
      </c>
      <c r="I290" s="5">
        <v>44652</v>
      </c>
      <c r="J290" s="6">
        <v>9600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4" t="s">
        <v>66</v>
      </c>
      <c r="R290" s="4">
        <v>27207</v>
      </c>
      <c r="S290" s="4" t="s">
        <v>349</v>
      </c>
      <c r="U290" s="4">
        <v>20</v>
      </c>
      <c r="V290" s="4">
        <v>0</v>
      </c>
      <c r="W290" s="4">
        <v>0</v>
      </c>
    </row>
    <row r="291" spans="1:23" ht="11.25" customHeight="1" x14ac:dyDescent="0.25">
      <c r="A291" s="4" t="s">
        <v>21</v>
      </c>
      <c r="B291" s="4" t="s">
        <v>39</v>
      </c>
      <c r="C291" s="4" t="s">
        <v>64</v>
      </c>
      <c r="D291" s="4" t="s">
        <v>25</v>
      </c>
      <c r="E291" s="4" t="s">
        <v>25</v>
      </c>
      <c r="F291" s="4" t="s">
        <v>25</v>
      </c>
      <c r="G291" s="4" t="s">
        <v>88</v>
      </c>
      <c r="H291" s="4" t="s">
        <v>25</v>
      </c>
      <c r="I291" s="5">
        <v>44652</v>
      </c>
      <c r="J291" s="6">
        <v>19500</v>
      </c>
      <c r="K291" s="6">
        <v>9750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4" t="s">
        <v>66</v>
      </c>
      <c r="R291" s="4">
        <v>27722</v>
      </c>
      <c r="S291" s="4" t="s">
        <v>349</v>
      </c>
      <c r="U291" s="4">
        <v>20</v>
      </c>
      <c r="V291" s="4">
        <v>0</v>
      </c>
      <c r="W291" s="4">
        <v>0</v>
      </c>
    </row>
    <row r="292" spans="1:23" ht="11.25" customHeight="1" x14ac:dyDescent="0.25">
      <c r="A292" s="4" t="s">
        <v>21</v>
      </c>
      <c r="B292" s="4" t="s">
        <v>39</v>
      </c>
      <c r="C292" s="4" t="s">
        <v>64</v>
      </c>
      <c r="D292" s="4" t="s">
        <v>25</v>
      </c>
      <c r="E292" s="4" t="s">
        <v>25</v>
      </c>
      <c r="F292" s="4" t="s">
        <v>25</v>
      </c>
      <c r="G292" s="4" t="s">
        <v>91</v>
      </c>
      <c r="H292" s="4" t="s">
        <v>25</v>
      </c>
      <c r="I292" s="5">
        <v>44652</v>
      </c>
      <c r="J292" s="6">
        <v>22400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66</v>
      </c>
      <c r="R292" s="4">
        <v>27958</v>
      </c>
      <c r="S292" s="4" t="s">
        <v>349</v>
      </c>
      <c r="U292" s="4">
        <v>20</v>
      </c>
      <c r="V292" s="4">
        <v>0</v>
      </c>
      <c r="W292" s="4">
        <v>0</v>
      </c>
    </row>
    <row r="293" spans="1:23" ht="11.25" customHeight="1" x14ac:dyDescent="0.25">
      <c r="A293" s="4" t="s">
        <v>58</v>
      </c>
      <c r="B293" s="4" t="s">
        <v>39</v>
      </c>
      <c r="C293" s="4" t="s">
        <v>64</v>
      </c>
      <c r="D293" s="4" t="s">
        <v>25</v>
      </c>
      <c r="E293" s="4" t="s">
        <v>25</v>
      </c>
      <c r="F293" s="4" t="s">
        <v>25</v>
      </c>
      <c r="G293" s="4" t="s">
        <v>71</v>
      </c>
      <c r="H293" s="4" t="s">
        <v>25</v>
      </c>
      <c r="I293" s="5">
        <v>44682</v>
      </c>
      <c r="J293" s="6">
        <v>13759</v>
      </c>
      <c r="K293" s="6">
        <v>6879.5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4" t="s">
        <v>66</v>
      </c>
      <c r="R293" s="4">
        <v>1034</v>
      </c>
      <c r="S293" s="4" t="s">
        <v>350</v>
      </c>
      <c r="U293" s="4">
        <v>20</v>
      </c>
      <c r="V293" s="4">
        <v>0</v>
      </c>
      <c r="W293" s="4">
        <v>0</v>
      </c>
    </row>
    <row r="294" spans="1:23" ht="11.25" customHeight="1" x14ac:dyDescent="0.25">
      <c r="A294" s="4" t="s">
        <v>58</v>
      </c>
      <c r="B294" s="4" t="s">
        <v>39</v>
      </c>
      <c r="C294" s="4" t="s">
        <v>64</v>
      </c>
      <c r="D294" s="4" t="s">
        <v>25</v>
      </c>
      <c r="E294" s="4" t="s">
        <v>25</v>
      </c>
      <c r="F294" s="4" t="s">
        <v>25</v>
      </c>
      <c r="G294" s="4" t="s">
        <v>84</v>
      </c>
      <c r="H294" s="4" t="s">
        <v>25</v>
      </c>
      <c r="I294" s="5">
        <v>44682</v>
      </c>
      <c r="J294" s="6">
        <v>6970</v>
      </c>
      <c r="K294" s="6">
        <v>6970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4" t="s">
        <v>66</v>
      </c>
      <c r="R294" s="4">
        <v>27034</v>
      </c>
      <c r="S294" s="4" t="s">
        <v>350</v>
      </c>
      <c r="U294" s="4">
        <v>20</v>
      </c>
      <c r="V294" s="4">
        <v>0</v>
      </c>
      <c r="W294" s="4">
        <v>0</v>
      </c>
    </row>
    <row r="295" spans="1:23" ht="11.25" customHeight="1" x14ac:dyDescent="0.25">
      <c r="A295" s="4" t="s">
        <v>58</v>
      </c>
      <c r="B295" s="4" t="s">
        <v>39</v>
      </c>
      <c r="C295" s="4" t="s">
        <v>64</v>
      </c>
      <c r="D295" s="4" t="s">
        <v>25</v>
      </c>
      <c r="E295" s="4" t="s">
        <v>25</v>
      </c>
      <c r="F295" s="4" t="s">
        <v>25</v>
      </c>
      <c r="G295" s="4" t="s">
        <v>85</v>
      </c>
      <c r="H295" s="4" t="s">
        <v>25</v>
      </c>
      <c r="I295" s="5">
        <v>44682</v>
      </c>
      <c r="J295" s="6">
        <v>9600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4" t="s">
        <v>66</v>
      </c>
      <c r="R295" s="4">
        <v>27207</v>
      </c>
      <c r="S295" s="4" t="s">
        <v>350</v>
      </c>
      <c r="U295" s="4">
        <v>20</v>
      </c>
      <c r="V295" s="4">
        <v>0</v>
      </c>
      <c r="W295" s="4">
        <v>0</v>
      </c>
    </row>
    <row r="296" spans="1:23" ht="11.25" customHeight="1" x14ac:dyDescent="0.25">
      <c r="A296" s="4" t="s">
        <v>58</v>
      </c>
      <c r="B296" s="4" t="s">
        <v>39</v>
      </c>
      <c r="C296" s="4" t="s">
        <v>64</v>
      </c>
      <c r="D296" s="4" t="s">
        <v>25</v>
      </c>
      <c r="E296" s="4" t="s">
        <v>25</v>
      </c>
      <c r="F296" s="4" t="s">
        <v>25</v>
      </c>
      <c r="G296" s="4" t="s">
        <v>88</v>
      </c>
      <c r="H296" s="4" t="s">
        <v>25</v>
      </c>
      <c r="I296" s="5">
        <v>44682</v>
      </c>
      <c r="J296" s="6">
        <v>19500</v>
      </c>
      <c r="K296" s="6">
        <v>9750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4" t="s">
        <v>66</v>
      </c>
      <c r="R296" s="4">
        <v>27722</v>
      </c>
      <c r="S296" s="4" t="s">
        <v>350</v>
      </c>
      <c r="U296" s="4">
        <v>20</v>
      </c>
      <c r="V296" s="4">
        <v>0</v>
      </c>
      <c r="W296" s="4">
        <v>0</v>
      </c>
    </row>
    <row r="297" spans="1:23" ht="11.25" customHeight="1" x14ac:dyDescent="0.25">
      <c r="A297" s="4" t="s">
        <v>58</v>
      </c>
      <c r="B297" s="4" t="s">
        <v>39</v>
      </c>
      <c r="C297" s="4" t="s">
        <v>64</v>
      </c>
      <c r="D297" s="4" t="s">
        <v>25</v>
      </c>
      <c r="E297" s="4" t="s">
        <v>25</v>
      </c>
      <c r="F297" s="4" t="s">
        <v>25</v>
      </c>
      <c r="G297" s="4" t="s">
        <v>91</v>
      </c>
      <c r="H297" s="4" t="s">
        <v>25</v>
      </c>
      <c r="I297" s="5">
        <v>44682</v>
      </c>
      <c r="J297" s="6">
        <v>22400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4" t="s">
        <v>66</v>
      </c>
      <c r="R297" s="4">
        <v>27958</v>
      </c>
      <c r="S297" s="4" t="s">
        <v>350</v>
      </c>
      <c r="U297" s="4">
        <v>20</v>
      </c>
      <c r="V297" s="4">
        <v>0</v>
      </c>
      <c r="W297" s="4">
        <v>0</v>
      </c>
    </row>
    <row r="298" spans="1:23" ht="11.25" customHeight="1" x14ac:dyDescent="0.25">
      <c r="A298" s="4" t="s">
        <v>21</v>
      </c>
      <c r="B298" s="4" t="s">
        <v>41</v>
      </c>
      <c r="C298" s="4" t="s">
        <v>40</v>
      </c>
      <c r="D298" s="4" t="s">
        <v>43</v>
      </c>
      <c r="E298" s="4" t="s">
        <v>25</v>
      </c>
      <c r="F298" s="4" t="s">
        <v>25</v>
      </c>
      <c r="G298" s="4" t="s">
        <v>25</v>
      </c>
      <c r="H298" s="4" t="s">
        <v>35</v>
      </c>
      <c r="I298" s="5">
        <v>44348</v>
      </c>
      <c r="J298" s="6">
        <v>1316</v>
      </c>
      <c r="K298" s="6">
        <v>1316</v>
      </c>
      <c r="L298" s="6">
        <v>352.03800000000001</v>
      </c>
      <c r="M298" s="6">
        <v>352.03800000000001</v>
      </c>
      <c r="N298" s="6">
        <v>352.03800000000001</v>
      </c>
      <c r="O298" s="6">
        <v>352.03800000000001</v>
      </c>
      <c r="P298" s="6">
        <v>0</v>
      </c>
      <c r="Q298" s="4" t="s">
        <v>26</v>
      </c>
      <c r="R298" s="4">
        <v>0</v>
      </c>
      <c r="S298" s="4" t="s">
        <v>351</v>
      </c>
      <c r="T298" s="4" t="s">
        <v>707</v>
      </c>
      <c r="U298" s="4">
        <v>22</v>
      </c>
      <c r="V298" s="4">
        <v>23</v>
      </c>
      <c r="W298" s="4">
        <v>79</v>
      </c>
    </row>
    <row r="299" spans="1:23" ht="11.25" customHeight="1" x14ac:dyDescent="0.25">
      <c r="A299" s="4" t="s">
        <v>28</v>
      </c>
      <c r="B299" s="4" t="s">
        <v>41</v>
      </c>
      <c r="C299" s="4" t="s">
        <v>40</v>
      </c>
      <c r="D299" s="4" t="s">
        <v>43</v>
      </c>
      <c r="E299" s="4" t="s">
        <v>25</v>
      </c>
      <c r="F299" s="4" t="s">
        <v>25</v>
      </c>
      <c r="G299" s="4" t="s">
        <v>25</v>
      </c>
      <c r="H299" s="4" t="s">
        <v>35</v>
      </c>
      <c r="I299" s="5">
        <v>44348</v>
      </c>
      <c r="J299" s="6">
        <v>56</v>
      </c>
      <c r="K299" s="6">
        <v>56</v>
      </c>
      <c r="L299" s="6">
        <v>13.109</v>
      </c>
      <c r="M299" s="6">
        <v>13.109</v>
      </c>
      <c r="N299" s="6">
        <v>13.109</v>
      </c>
      <c r="O299" s="6">
        <v>13.109</v>
      </c>
      <c r="P299" s="6">
        <v>0</v>
      </c>
      <c r="Q299" s="4" t="s">
        <v>26</v>
      </c>
      <c r="R299" s="4">
        <v>0</v>
      </c>
      <c r="S299" s="4" t="s">
        <v>351</v>
      </c>
      <c r="T299" s="4" t="s">
        <v>707</v>
      </c>
      <c r="U299" s="4">
        <v>22</v>
      </c>
      <c r="V299" s="4">
        <v>23</v>
      </c>
      <c r="W299" s="4">
        <v>79</v>
      </c>
    </row>
    <row r="300" spans="1:23" ht="11.25" customHeight="1" x14ac:dyDescent="0.25">
      <c r="A300" s="4" t="s">
        <v>21</v>
      </c>
      <c r="B300" s="4" t="s">
        <v>41</v>
      </c>
      <c r="C300" s="4" t="s">
        <v>40</v>
      </c>
      <c r="D300" s="4" t="s">
        <v>43</v>
      </c>
      <c r="E300" s="4" t="s">
        <v>25</v>
      </c>
      <c r="F300" s="4" t="s">
        <v>25</v>
      </c>
      <c r="G300" s="4" t="s">
        <v>25</v>
      </c>
      <c r="H300" s="4" t="s">
        <v>35</v>
      </c>
      <c r="I300" s="5">
        <v>44378</v>
      </c>
      <c r="J300" s="6">
        <v>1544</v>
      </c>
      <c r="K300" s="6">
        <v>1544</v>
      </c>
      <c r="L300" s="6">
        <v>429.923</v>
      </c>
      <c r="M300" s="6">
        <v>429.923</v>
      </c>
      <c r="N300" s="6">
        <v>429.923</v>
      </c>
      <c r="O300" s="6">
        <v>429.923</v>
      </c>
      <c r="P300" s="6">
        <v>0</v>
      </c>
      <c r="Q300" s="4" t="s">
        <v>26</v>
      </c>
      <c r="R300" s="4">
        <v>0</v>
      </c>
      <c r="S300" s="4" t="s">
        <v>352</v>
      </c>
      <c r="T300" s="4" t="s">
        <v>708</v>
      </c>
      <c r="U300" s="4">
        <v>22</v>
      </c>
      <c r="V300" s="4">
        <v>23</v>
      </c>
      <c r="W300" s="4">
        <v>79</v>
      </c>
    </row>
    <row r="301" spans="1:23" ht="11.25" customHeight="1" x14ac:dyDescent="0.25">
      <c r="A301" s="4" t="s">
        <v>28</v>
      </c>
      <c r="B301" s="4" t="s">
        <v>41</v>
      </c>
      <c r="C301" s="4" t="s">
        <v>40</v>
      </c>
      <c r="D301" s="4" t="s">
        <v>43</v>
      </c>
      <c r="E301" s="4" t="s">
        <v>25</v>
      </c>
      <c r="F301" s="4" t="s">
        <v>25</v>
      </c>
      <c r="G301" s="4" t="s">
        <v>25</v>
      </c>
      <c r="H301" s="4" t="s">
        <v>35</v>
      </c>
      <c r="I301" s="5">
        <v>44378</v>
      </c>
      <c r="J301" s="6">
        <v>56</v>
      </c>
      <c r="K301" s="6">
        <v>56</v>
      </c>
      <c r="L301" s="6">
        <v>0.23200000000000001</v>
      </c>
      <c r="M301" s="6">
        <v>0.23200000000000001</v>
      </c>
      <c r="N301" s="6">
        <v>0.23200000000000001</v>
      </c>
      <c r="O301" s="6">
        <v>0.23200000000000001</v>
      </c>
      <c r="P301" s="6">
        <v>0</v>
      </c>
      <c r="Q301" s="4" t="s">
        <v>26</v>
      </c>
      <c r="R301" s="4">
        <v>0</v>
      </c>
      <c r="S301" s="4" t="s">
        <v>352</v>
      </c>
      <c r="T301" s="4" t="s">
        <v>708</v>
      </c>
      <c r="U301" s="4">
        <v>22</v>
      </c>
      <c r="V301" s="4">
        <v>23</v>
      </c>
      <c r="W301" s="4">
        <v>79</v>
      </c>
    </row>
    <row r="302" spans="1:23" ht="11.25" customHeight="1" x14ac:dyDescent="0.25">
      <c r="A302" s="4" t="s">
        <v>21</v>
      </c>
      <c r="B302" s="4" t="s">
        <v>41</v>
      </c>
      <c r="C302" s="4" t="s">
        <v>40</v>
      </c>
      <c r="D302" s="4" t="s">
        <v>43</v>
      </c>
      <c r="E302" s="4" t="s">
        <v>25</v>
      </c>
      <c r="F302" s="4" t="s">
        <v>25</v>
      </c>
      <c r="G302" s="4" t="s">
        <v>25</v>
      </c>
      <c r="H302" s="4" t="s">
        <v>35</v>
      </c>
      <c r="I302" s="5">
        <v>44409</v>
      </c>
      <c r="J302" s="6">
        <v>1218</v>
      </c>
      <c r="K302" s="6">
        <v>1218</v>
      </c>
      <c r="L302" s="6">
        <v>312.78500000000003</v>
      </c>
      <c r="M302" s="6">
        <v>312.78500000000003</v>
      </c>
      <c r="N302" s="6">
        <v>312.78500000000003</v>
      </c>
      <c r="O302" s="6">
        <v>312.78500000000003</v>
      </c>
      <c r="P302" s="6">
        <v>0</v>
      </c>
      <c r="Q302" s="4" t="s">
        <v>26</v>
      </c>
      <c r="R302" s="4">
        <v>0</v>
      </c>
      <c r="S302" s="4" t="s">
        <v>353</v>
      </c>
      <c r="T302" s="4" t="s">
        <v>709</v>
      </c>
      <c r="U302" s="4">
        <v>22</v>
      </c>
      <c r="V302" s="4">
        <v>23</v>
      </c>
      <c r="W302" s="4">
        <v>79</v>
      </c>
    </row>
    <row r="303" spans="1:23" ht="11.25" customHeight="1" x14ac:dyDescent="0.25">
      <c r="A303" s="4" t="s">
        <v>27</v>
      </c>
      <c r="B303" s="4" t="s">
        <v>41</v>
      </c>
      <c r="C303" s="4" t="s">
        <v>40</v>
      </c>
      <c r="D303" s="4" t="s">
        <v>43</v>
      </c>
      <c r="E303" s="4" t="s">
        <v>25</v>
      </c>
      <c r="F303" s="4" t="s">
        <v>25</v>
      </c>
      <c r="G303" s="4" t="s">
        <v>25</v>
      </c>
      <c r="H303" s="4" t="s">
        <v>35</v>
      </c>
      <c r="I303" s="5">
        <v>44409</v>
      </c>
      <c r="J303" s="6">
        <v>-100</v>
      </c>
      <c r="K303" s="6">
        <v>-100</v>
      </c>
      <c r="L303" s="6">
        <v>-43.606000000000002</v>
      </c>
      <c r="M303" s="6">
        <v>-43.606000000000002</v>
      </c>
      <c r="N303" s="6">
        <v>-43.606000000000002</v>
      </c>
      <c r="O303" s="6">
        <v>-43.606000000000002</v>
      </c>
      <c r="P303" s="6">
        <v>0</v>
      </c>
      <c r="Q303" s="4" t="s">
        <v>26</v>
      </c>
      <c r="R303" s="4">
        <v>0</v>
      </c>
      <c r="S303" s="4" t="s">
        <v>353</v>
      </c>
      <c r="T303" s="4" t="s">
        <v>709</v>
      </c>
      <c r="U303" s="4">
        <v>22</v>
      </c>
      <c r="V303" s="4">
        <v>23</v>
      </c>
      <c r="W303" s="4">
        <v>79</v>
      </c>
    </row>
    <row r="304" spans="1:23" ht="11.25" customHeight="1" x14ac:dyDescent="0.25">
      <c r="A304" s="4" t="s">
        <v>28</v>
      </c>
      <c r="B304" s="4" t="s">
        <v>41</v>
      </c>
      <c r="C304" s="4" t="s">
        <v>40</v>
      </c>
      <c r="D304" s="4" t="s">
        <v>43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44409</v>
      </c>
      <c r="J304" s="6">
        <v>56</v>
      </c>
      <c r="K304" s="6">
        <v>56</v>
      </c>
      <c r="L304" s="6">
        <v>11.07</v>
      </c>
      <c r="M304" s="6">
        <v>11.07</v>
      </c>
      <c r="N304" s="6">
        <v>11.07</v>
      </c>
      <c r="O304" s="6">
        <v>11.07</v>
      </c>
      <c r="P304" s="6">
        <v>0</v>
      </c>
      <c r="Q304" s="4" t="s">
        <v>26</v>
      </c>
      <c r="R304" s="4">
        <v>0</v>
      </c>
      <c r="S304" s="4" t="s">
        <v>353</v>
      </c>
      <c r="T304" s="4" t="s">
        <v>709</v>
      </c>
      <c r="U304" s="4">
        <v>22</v>
      </c>
      <c r="V304" s="4">
        <v>23</v>
      </c>
      <c r="W304" s="4">
        <v>79</v>
      </c>
    </row>
    <row r="305" spans="1:23" ht="11.25" customHeight="1" x14ac:dyDescent="0.25">
      <c r="A305" s="4" t="s">
        <v>21</v>
      </c>
      <c r="B305" s="4" t="s">
        <v>41</v>
      </c>
      <c r="C305" s="4" t="s">
        <v>40</v>
      </c>
      <c r="D305" s="4" t="s">
        <v>43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44440</v>
      </c>
      <c r="J305" s="6">
        <v>1146</v>
      </c>
      <c r="K305" s="6">
        <v>1146</v>
      </c>
      <c r="L305" s="6">
        <v>328.71199999999999</v>
      </c>
      <c r="M305" s="6">
        <v>328.71199999999999</v>
      </c>
      <c r="N305" s="6">
        <v>328.71199999999999</v>
      </c>
      <c r="O305" s="6">
        <v>328.71199999999999</v>
      </c>
      <c r="P305" s="6">
        <v>0</v>
      </c>
      <c r="Q305" s="4" t="s">
        <v>26</v>
      </c>
      <c r="R305" s="4">
        <v>0</v>
      </c>
      <c r="S305" s="4" t="s">
        <v>354</v>
      </c>
      <c r="T305" s="4" t="s">
        <v>710</v>
      </c>
      <c r="U305" s="4">
        <v>22</v>
      </c>
      <c r="V305" s="4">
        <v>23</v>
      </c>
      <c r="W305" s="4">
        <v>79</v>
      </c>
    </row>
    <row r="306" spans="1:23" ht="11.25" customHeight="1" x14ac:dyDescent="0.25">
      <c r="A306" s="4" t="s">
        <v>28</v>
      </c>
      <c r="B306" s="4" t="s">
        <v>41</v>
      </c>
      <c r="C306" s="4" t="s">
        <v>40</v>
      </c>
      <c r="D306" s="4" t="s">
        <v>43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44440</v>
      </c>
      <c r="J306" s="6">
        <v>56</v>
      </c>
      <c r="K306" s="6">
        <v>56</v>
      </c>
      <c r="L306" s="6">
        <v>12.340999999999999</v>
      </c>
      <c r="M306" s="6">
        <v>12.340999999999999</v>
      </c>
      <c r="N306" s="6">
        <v>12.340999999999999</v>
      </c>
      <c r="O306" s="6">
        <v>12.340999999999999</v>
      </c>
      <c r="P306" s="6">
        <v>0</v>
      </c>
      <c r="Q306" s="4" t="s">
        <v>26</v>
      </c>
      <c r="R306" s="4">
        <v>0</v>
      </c>
      <c r="S306" s="4" t="s">
        <v>354</v>
      </c>
      <c r="T306" s="4" t="s">
        <v>710</v>
      </c>
      <c r="U306" s="4">
        <v>22</v>
      </c>
      <c r="V306" s="4">
        <v>23</v>
      </c>
      <c r="W306" s="4">
        <v>79</v>
      </c>
    </row>
    <row r="307" spans="1:23" ht="11.25" customHeight="1" x14ac:dyDescent="0.25">
      <c r="A307" s="4" t="s">
        <v>21</v>
      </c>
      <c r="B307" s="4" t="s">
        <v>41</v>
      </c>
      <c r="C307" s="4" t="s">
        <v>40</v>
      </c>
      <c r="D307" s="4" t="s">
        <v>43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44470</v>
      </c>
      <c r="J307" s="6">
        <v>1056</v>
      </c>
      <c r="K307" s="6">
        <v>1056</v>
      </c>
      <c r="L307" s="6">
        <v>303.88</v>
      </c>
      <c r="M307" s="6">
        <v>303.88</v>
      </c>
      <c r="N307" s="6">
        <v>303.88</v>
      </c>
      <c r="O307" s="6">
        <v>303.88</v>
      </c>
      <c r="P307" s="6">
        <v>0</v>
      </c>
      <c r="Q307" s="4" t="s">
        <v>26</v>
      </c>
      <c r="R307" s="4">
        <v>0</v>
      </c>
      <c r="S307" s="4" t="s">
        <v>355</v>
      </c>
      <c r="T307" s="4" t="s">
        <v>711</v>
      </c>
      <c r="U307" s="4">
        <v>22</v>
      </c>
      <c r="V307" s="4">
        <v>23</v>
      </c>
      <c r="W307" s="4">
        <v>79</v>
      </c>
    </row>
    <row r="308" spans="1:23" ht="11.25" customHeight="1" x14ac:dyDescent="0.25">
      <c r="A308" s="4" t="s">
        <v>27</v>
      </c>
      <c r="B308" s="4" t="s">
        <v>41</v>
      </c>
      <c r="C308" s="4" t="s">
        <v>40</v>
      </c>
      <c r="D308" s="4" t="s">
        <v>43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44470</v>
      </c>
      <c r="J308" s="6">
        <v>-140</v>
      </c>
      <c r="K308" s="6">
        <v>-140</v>
      </c>
      <c r="L308" s="6">
        <v>-47.887999999999998</v>
      </c>
      <c r="M308" s="6">
        <v>-47.887999999999998</v>
      </c>
      <c r="N308" s="6">
        <v>-47.887999999999998</v>
      </c>
      <c r="O308" s="6">
        <v>-47.887999999999998</v>
      </c>
      <c r="P308" s="6">
        <v>0</v>
      </c>
      <c r="Q308" s="4" t="s">
        <v>26</v>
      </c>
      <c r="R308" s="4">
        <v>0</v>
      </c>
      <c r="S308" s="4" t="s">
        <v>355</v>
      </c>
      <c r="T308" s="4" t="s">
        <v>711</v>
      </c>
      <c r="U308" s="4">
        <v>22</v>
      </c>
      <c r="V308" s="4">
        <v>23</v>
      </c>
      <c r="W308" s="4">
        <v>79</v>
      </c>
    </row>
    <row r="309" spans="1:23" ht="11.25" customHeight="1" x14ac:dyDescent="0.25">
      <c r="A309" s="4" t="s">
        <v>28</v>
      </c>
      <c r="B309" s="4" t="s">
        <v>41</v>
      </c>
      <c r="C309" s="4" t="s">
        <v>40</v>
      </c>
      <c r="D309" s="4" t="s">
        <v>43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44470</v>
      </c>
      <c r="J309" s="6">
        <v>56</v>
      </c>
      <c r="K309" s="6">
        <v>56</v>
      </c>
      <c r="L309" s="6">
        <v>14.022</v>
      </c>
      <c r="M309" s="6">
        <v>14.022</v>
      </c>
      <c r="N309" s="6">
        <v>14.022</v>
      </c>
      <c r="O309" s="6">
        <v>14.022</v>
      </c>
      <c r="P309" s="6">
        <v>0</v>
      </c>
      <c r="Q309" s="4" t="s">
        <v>26</v>
      </c>
      <c r="R309" s="4">
        <v>0</v>
      </c>
      <c r="S309" s="4" t="s">
        <v>355</v>
      </c>
      <c r="T309" s="4" t="s">
        <v>711</v>
      </c>
      <c r="U309" s="4">
        <v>22</v>
      </c>
      <c r="V309" s="4">
        <v>23</v>
      </c>
      <c r="W309" s="4">
        <v>79</v>
      </c>
    </row>
    <row r="310" spans="1:23" ht="11.25" customHeight="1" x14ac:dyDescent="0.25">
      <c r="A310" s="4" t="s">
        <v>21</v>
      </c>
      <c r="B310" s="4" t="s">
        <v>41</v>
      </c>
      <c r="C310" s="4" t="s">
        <v>40</v>
      </c>
      <c r="D310" s="4" t="s">
        <v>43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44501</v>
      </c>
      <c r="J310" s="6">
        <v>972</v>
      </c>
      <c r="K310" s="6">
        <v>972</v>
      </c>
      <c r="L310" s="6">
        <v>263.04500000000002</v>
      </c>
      <c r="M310" s="6">
        <v>263.04500000000002</v>
      </c>
      <c r="N310" s="6">
        <v>263.04500000000002</v>
      </c>
      <c r="O310" s="6">
        <v>263.04500000000002</v>
      </c>
      <c r="P310" s="6">
        <v>0</v>
      </c>
      <c r="Q310" s="4" t="s">
        <v>26</v>
      </c>
      <c r="R310" s="4">
        <v>0</v>
      </c>
      <c r="S310" s="4" t="s">
        <v>356</v>
      </c>
      <c r="T310" s="4" t="s">
        <v>712</v>
      </c>
      <c r="U310" s="4">
        <v>22</v>
      </c>
      <c r="V310" s="4">
        <v>23</v>
      </c>
      <c r="W310" s="4">
        <v>79</v>
      </c>
    </row>
    <row r="311" spans="1:23" ht="11.25" customHeight="1" x14ac:dyDescent="0.25">
      <c r="A311" s="4" t="s">
        <v>28</v>
      </c>
      <c r="B311" s="4" t="s">
        <v>41</v>
      </c>
      <c r="C311" s="4" t="s">
        <v>40</v>
      </c>
      <c r="D311" s="4" t="s">
        <v>43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44501</v>
      </c>
      <c r="J311" s="6">
        <v>56</v>
      </c>
      <c r="K311" s="6">
        <v>56</v>
      </c>
      <c r="L311" s="6">
        <v>14.35</v>
      </c>
      <c r="M311" s="6">
        <v>14.35</v>
      </c>
      <c r="N311" s="6">
        <v>14.35</v>
      </c>
      <c r="O311" s="6">
        <v>14.35</v>
      </c>
      <c r="P311" s="6">
        <v>0</v>
      </c>
      <c r="Q311" s="4" t="s">
        <v>26</v>
      </c>
      <c r="R311" s="4">
        <v>0</v>
      </c>
      <c r="S311" s="4" t="s">
        <v>356</v>
      </c>
      <c r="T311" s="4" t="s">
        <v>712</v>
      </c>
      <c r="U311" s="4">
        <v>22</v>
      </c>
      <c r="V311" s="4">
        <v>23</v>
      </c>
      <c r="W311" s="4">
        <v>79</v>
      </c>
    </row>
    <row r="312" spans="1:23" ht="11.25" customHeight="1" x14ac:dyDescent="0.25">
      <c r="A312" s="4" t="s">
        <v>21</v>
      </c>
      <c r="B312" s="4" t="s">
        <v>41</v>
      </c>
      <c r="C312" s="4" t="s">
        <v>40</v>
      </c>
      <c r="D312" s="4" t="s">
        <v>43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44531</v>
      </c>
      <c r="J312" s="6">
        <v>1255</v>
      </c>
      <c r="K312" s="6">
        <v>1255</v>
      </c>
      <c r="L312" s="6">
        <v>357.95600000000002</v>
      </c>
      <c r="M312" s="6">
        <v>357.95600000000002</v>
      </c>
      <c r="N312" s="6">
        <v>357.95600000000002</v>
      </c>
      <c r="O312" s="6">
        <v>357.95600000000002</v>
      </c>
      <c r="P312" s="6">
        <v>0</v>
      </c>
      <c r="Q312" s="4" t="s">
        <v>26</v>
      </c>
      <c r="R312" s="4">
        <v>0</v>
      </c>
      <c r="S312" s="4" t="s">
        <v>357</v>
      </c>
      <c r="T312" s="4" t="s">
        <v>713</v>
      </c>
      <c r="U312" s="4">
        <v>22</v>
      </c>
      <c r="V312" s="4">
        <v>23</v>
      </c>
      <c r="W312" s="4">
        <v>79</v>
      </c>
    </row>
    <row r="313" spans="1:23" ht="11.25" customHeight="1" x14ac:dyDescent="0.25">
      <c r="A313" s="4" t="s">
        <v>28</v>
      </c>
      <c r="B313" s="4" t="s">
        <v>41</v>
      </c>
      <c r="C313" s="4" t="s">
        <v>40</v>
      </c>
      <c r="D313" s="4" t="s">
        <v>43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44531</v>
      </c>
      <c r="J313" s="6">
        <v>56</v>
      </c>
      <c r="K313" s="6">
        <v>56</v>
      </c>
      <c r="L313" s="6">
        <v>14.145</v>
      </c>
      <c r="M313" s="6">
        <v>14.145</v>
      </c>
      <c r="N313" s="6">
        <v>14.145</v>
      </c>
      <c r="O313" s="6">
        <v>14.145</v>
      </c>
      <c r="P313" s="6">
        <v>0</v>
      </c>
      <c r="Q313" s="4" t="s">
        <v>26</v>
      </c>
      <c r="R313" s="4">
        <v>0</v>
      </c>
      <c r="S313" s="4" t="s">
        <v>357</v>
      </c>
      <c r="T313" s="4" t="s">
        <v>713</v>
      </c>
      <c r="U313" s="4">
        <v>22</v>
      </c>
      <c r="V313" s="4">
        <v>23</v>
      </c>
      <c r="W313" s="4">
        <v>79</v>
      </c>
    </row>
    <row r="314" spans="1:23" ht="11.25" customHeight="1" x14ac:dyDescent="0.25">
      <c r="A314" s="4" t="s">
        <v>21</v>
      </c>
      <c r="B314" s="4" t="s">
        <v>41</v>
      </c>
      <c r="C314" s="4" t="s">
        <v>40</v>
      </c>
      <c r="D314" s="4" t="s">
        <v>43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44562</v>
      </c>
      <c r="J314" s="6">
        <v>898</v>
      </c>
      <c r="K314" s="6">
        <v>898</v>
      </c>
      <c r="L314" s="6">
        <v>279.779</v>
      </c>
      <c r="M314" s="6">
        <v>279.779</v>
      </c>
      <c r="N314" s="6">
        <v>279.779</v>
      </c>
      <c r="O314" s="6">
        <v>279.779</v>
      </c>
      <c r="P314" s="6">
        <v>0</v>
      </c>
      <c r="Q314" s="4" t="s">
        <v>26</v>
      </c>
      <c r="R314" s="4">
        <v>0</v>
      </c>
      <c r="S314" s="4" t="s">
        <v>358</v>
      </c>
      <c r="T314" s="4" t="s">
        <v>714</v>
      </c>
      <c r="U314" s="4">
        <v>22</v>
      </c>
      <c r="V314" s="4">
        <v>23</v>
      </c>
      <c r="W314" s="4">
        <v>79</v>
      </c>
    </row>
    <row r="315" spans="1:23" ht="11.25" customHeight="1" x14ac:dyDescent="0.25">
      <c r="A315" s="4" t="s">
        <v>28</v>
      </c>
      <c r="B315" s="4" t="s">
        <v>41</v>
      </c>
      <c r="C315" s="4" t="s">
        <v>40</v>
      </c>
      <c r="D315" s="4" t="s">
        <v>43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44562</v>
      </c>
      <c r="J315" s="6">
        <v>56</v>
      </c>
      <c r="K315" s="6">
        <v>56</v>
      </c>
      <c r="L315" s="6">
        <v>15.397</v>
      </c>
      <c r="M315" s="6">
        <v>15.397</v>
      </c>
      <c r="N315" s="6">
        <v>15.397</v>
      </c>
      <c r="O315" s="6">
        <v>15.397</v>
      </c>
      <c r="P315" s="6">
        <v>0</v>
      </c>
      <c r="Q315" s="4" t="s">
        <v>26</v>
      </c>
      <c r="R315" s="4">
        <v>0</v>
      </c>
      <c r="S315" s="4" t="s">
        <v>358</v>
      </c>
      <c r="T315" s="4" t="s">
        <v>714</v>
      </c>
      <c r="U315" s="4">
        <v>22</v>
      </c>
      <c r="V315" s="4">
        <v>23</v>
      </c>
      <c r="W315" s="4">
        <v>79</v>
      </c>
    </row>
    <row r="316" spans="1:23" ht="11.25" customHeight="1" x14ac:dyDescent="0.25">
      <c r="A316" s="4" t="s">
        <v>21</v>
      </c>
      <c r="B316" s="4" t="s">
        <v>41</v>
      </c>
      <c r="C316" s="4" t="s">
        <v>40</v>
      </c>
      <c r="D316" s="4" t="s">
        <v>43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44593</v>
      </c>
      <c r="J316" s="6">
        <v>878</v>
      </c>
      <c r="K316" s="6">
        <v>878</v>
      </c>
      <c r="L316" s="6">
        <v>250.20599999999999</v>
      </c>
      <c r="M316" s="6">
        <v>250.20599999999999</v>
      </c>
      <c r="N316" s="6">
        <v>250.20599999999999</v>
      </c>
      <c r="O316" s="6">
        <v>250.20599999999999</v>
      </c>
      <c r="P316" s="6">
        <v>0</v>
      </c>
      <c r="Q316" s="4" t="s">
        <v>26</v>
      </c>
      <c r="R316" s="4">
        <v>0</v>
      </c>
      <c r="S316" s="4" t="s">
        <v>359</v>
      </c>
      <c r="T316" s="4" t="s">
        <v>715</v>
      </c>
      <c r="U316" s="4">
        <v>22</v>
      </c>
      <c r="V316" s="4">
        <v>23</v>
      </c>
      <c r="W316" s="4">
        <v>79</v>
      </c>
    </row>
    <row r="317" spans="1:23" ht="11.25" customHeight="1" x14ac:dyDescent="0.25">
      <c r="A317" s="4" t="s">
        <v>28</v>
      </c>
      <c r="B317" s="4" t="s">
        <v>41</v>
      </c>
      <c r="C317" s="4" t="s">
        <v>40</v>
      </c>
      <c r="D317" s="4" t="s">
        <v>43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44593</v>
      </c>
      <c r="J317" s="6">
        <v>56</v>
      </c>
      <c r="K317" s="6">
        <v>56</v>
      </c>
      <c r="L317" s="6">
        <v>15.739000000000001</v>
      </c>
      <c r="M317" s="6">
        <v>15.739000000000001</v>
      </c>
      <c r="N317" s="6">
        <v>15.739000000000001</v>
      </c>
      <c r="O317" s="6">
        <v>15.739000000000001</v>
      </c>
      <c r="P317" s="6">
        <v>0</v>
      </c>
      <c r="Q317" s="4" t="s">
        <v>26</v>
      </c>
      <c r="R317" s="4">
        <v>0</v>
      </c>
      <c r="S317" s="4" t="s">
        <v>359</v>
      </c>
      <c r="T317" s="4" t="s">
        <v>715</v>
      </c>
      <c r="U317" s="4">
        <v>22</v>
      </c>
      <c r="V317" s="4">
        <v>23</v>
      </c>
      <c r="W317" s="4">
        <v>79</v>
      </c>
    </row>
    <row r="318" spans="1:23" ht="11.25" customHeight="1" x14ac:dyDescent="0.25">
      <c r="A318" s="4" t="s">
        <v>21</v>
      </c>
      <c r="B318" s="4" t="s">
        <v>41</v>
      </c>
      <c r="C318" s="4" t="s">
        <v>40</v>
      </c>
      <c r="D318" s="4" t="s">
        <v>43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44621</v>
      </c>
      <c r="J318" s="6">
        <v>897</v>
      </c>
      <c r="K318" s="6">
        <v>897</v>
      </c>
      <c r="L318" s="6">
        <v>274.92399999999998</v>
      </c>
      <c r="M318" s="6">
        <v>274.92399999999998</v>
      </c>
      <c r="N318" s="6">
        <v>274.92399999999998</v>
      </c>
      <c r="O318" s="6">
        <v>274.92399999999998</v>
      </c>
      <c r="P318" s="6">
        <v>0</v>
      </c>
      <c r="Q318" s="4" t="s">
        <v>26</v>
      </c>
      <c r="R318" s="4">
        <v>0</v>
      </c>
      <c r="S318" s="4" t="s">
        <v>360</v>
      </c>
      <c r="T318" s="4" t="s">
        <v>716</v>
      </c>
      <c r="U318" s="4">
        <v>22</v>
      </c>
      <c r="V318" s="4">
        <v>23</v>
      </c>
      <c r="W318" s="4">
        <v>79</v>
      </c>
    </row>
    <row r="319" spans="1:23" ht="11.25" customHeight="1" x14ac:dyDescent="0.25">
      <c r="A319" s="4" t="s">
        <v>27</v>
      </c>
      <c r="B319" s="4" t="s">
        <v>41</v>
      </c>
      <c r="C319" s="4" t="s">
        <v>40</v>
      </c>
      <c r="D319" s="4" t="s">
        <v>43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44621</v>
      </c>
      <c r="J319" s="6">
        <v>5</v>
      </c>
      <c r="K319" s="6">
        <v>5</v>
      </c>
      <c r="L319" s="6">
        <v>-0.504</v>
      </c>
      <c r="M319" s="6">
        <v>-0.504</v>
      </c>
      <c r="N319" s="6">
        <v>-0.504</v>
      </c>
      <c r="O319" s="6">
        <v>-0.504</v>
      </c>
      <c r="P319" s="6">
        <v>0</v>
      </c>
      <c r="Q319" s="4" t="s">
        <v>26</v>
      </c>
      <c r="R319" s="4">
        <v>0</v>
      </c>
      <c r="S319" s="4" t="s">
        <v>360</v>
      </c>
      <c r="T319" s="4" t="s">
        <v>716</v>
      </c>
      <c r="U319" s="4">
        <v>22</v>
      </c>
      <c r="V319" s="4">
        <v>23</v>
      </c>
      <c r="W319" s="4">
        <v>79</v>
      </c>
    </row>
    <row r="320" spans="1:23" ht="11.25" customHeight="1" x14ac:dyDescent="0.25">
      <c r="A320" s="4" t="s">
        <v>28</v>
      </c>
      <c r="B320" s="4" t="s">
        <v>41</v>
      </c>
      <c r="C320" s="4" t="s">
        <v>40</v>
      </c>
      <c r="D320" s="4" t="s">
        <v>43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44621</v>
      </c>
      <c r="J320" s="6">
        <v>56</v>
      </c>
      <c r="K320" s="6">
        <v>56</v>
      </c>
      <c r="L320" s="6">
        <v>14.423</v>
      </c>
      <c r="M320" s="6">
        <v>14.423</v>
      </c>
      <c r="N320" s="6">
        <v>14.423</v>
      </c>
      <c r="O320" s="6">
        <v>14.423</v>
      </c>
      <c r="P320" s="6">
        <v>0</v>
      </c>
      <c r="Q320" s="4" t="s">
        <v>26</v>
      </c>
      <c r="R320" s="4">
        <v>0</v>
      </c>
      <c r="S320" s="4" t="s">
        <v>360</v>
      </c>
      <c r="T320" s="4" t="s">
        <v>716</v>
      </c>
      <c r="U320" s="4">
        <v>22</v>
      </c>
      <c r="V320" s="4">
        <v>23</v>
      </c>
      <c r="W320" s="4">
        <v>79</v>
      </c>
    </row>
    <row r="321" spans="1:23" ht="11.25" customHeight="1" x14ac:dyDescent="0.25">
      <c r="A321" s="4" t="s">
        <v>21</v>
      </c>
      <c r="B321" s="4" t="s">
        <v>41</v>
      </c>
      <c r="C321" s="4" t="s">
        <v>40</v>
      </c>
      <c r="D321" s="4" t="s">
        <v>43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44652</v>
      </c>
      <c r="J321" s="6">
        <v>1269</v>
      </c>
      <c r="K321" s="6">
        <v>1269</v>
      </c>
      <c r="L321" s="6">
        <v>392.98599999999999</v>
      </c>
      <c r="M321" s="6">
        <v>392.98599999999999</v>
      </c>
      <c r="N321" s="6">
        <v>392.98599999999999</v>
      </c>
      <c r="O321" s="6">
        <v>392.98599999999999</v>
      </c>
      <c r="P321" s="6">
        <v>0</v>
      </c>
      <c r="Q321" s="4" t="s">
        <v>26</v>
      </c>
      <c r="R321" s="4">
        <v>0</v>
      </c>
      <c r="S321" s="4" t="s">
        <v>361</v>
      </c>
      <c r="T321" s="4" t="s">
        <v>717</v>
      </c>
      <c r="U321" s="4">
        <v>22</v>
      </c>
      <c r="V321" s="4">
        <v>23</v>
      </c>
      <c r="W321" s="4">
        <v>79</v>
      </c>
    </row>
    <row r="322" spans="1:23" ht="11.25" customHeight="1" x14ac:dyDescent="0.25">
      <c r="A322" s="4" t="s">
        <v>28</v>
      </c>
      <c r="B322" s="4" t="s">
        <v>41</v>
      </c>
      <c r="C322" s="4" t="s">
        <v>40</v>
      </c>
      <c r="D322" s="4" t="s">
        <v>43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44652</v>
      </c>
      <c r="J322" s="6">
        <v>56</v>
      </c>
      <c r="K322" s="6">
        <v>56</v>
      </c>
      <c r="L322" s="6">
        <v>16.341999999999999</v>
      </c>
      <c r="M322" s="6">
        <v>16.341999999999999</v>
      </c>
      <c r="N322" s="6">
        <v>16.341999999999999</v>
      </c>
      <c r="O322" s="6">
        <v>16.341999999999999</v>
      </c>
      <c r="P322" s="6">
        <v>0</v>
      </c>
      <c r="Q322" s="4" t="s">
        <v>26</v>
      </c>
      <c r="R322" s="4">
        <v>0</v>
      </c>
      <c r="S322" s="4" t="s">
        <v>361</v>
      </c>
      <c r="T322" s="4" t="s">
        <v>717</v>
      </c>
      <c r="U322" s="4">
        <v>22</v>
      </c>
      <c r="V322" s="4">
        <v>23</v>
      </c>
      <c r="W322" s="4">
        <v>79</v>
      </c>
    </row>
    <row r="323" spans="1:23" ht="11.25" customHeight="1" x14ac:dyDescent="0.25">
      <c r="A323" s="4" t="s">
        <v>58</v>
      </c>
      <c r="B323" s="4" t="s">
        <v>41</v>
      </c>
      <c r="C323" s="4" t="s">
        <v>40</v>
      </c>
      <c r="D323" s="4" t="s">
        <v>43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44682</v>
      </c>
      <c r="J323" s="6">
        <v>1269</v>
      </c>
      <c r="K323" s="6">
        <v>1269</v>
      </c>
      <c r="L323" s="6">
        <v>392.98599999999999</v>
      </c>
      <c r="M323" s="6">
        <v>392.98599999999999</v>
      </c>
      <c r="N323" s="6">
        <v>392.98599999999999</v>
      </c>
      <c r="O323" s="6">
        <v>392.98599999999999</v>
      </c>
      <c r="P323" s="6">
        <v>0</v>
      </c>
      <c r="Q323" s="4" t="s">
        <v>26</v>
      </c>
      <c r="R323" s="4">
        <v>0</v>
      </c>
      <c r="S323" s="4" t="s">
        <v>362</v>
      </c>
      <c r="T323" s="4" t="s">
        <v>718</v>
      </c>
      <c r="U323" s="4">
        <v>22</v>
      </c>
      <c r="V323" s="4">
        <v>23</v>
      </c>
      <c r="W323" s="4">
        <v>79</v>
      </c>
    </row>
    <row r="324" spans="1:23" ht="11.25" customHeight="1" x14ac:dyDescent="0.25">
      <c r="A324" s="4" t="s">
        <v>58</v>
      </c>
      <c r="B324" s="4" t="s">
        <v>41</v>
      </c>
      <c r="C324" s="4" t="s">
        <v>40</v>
      </c>
      <c r="D324" s="4" t="s">
        <v>43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44682</v>
      </c>
      <c r="J324" s="6">
        <v>56</v>
      </c>
      <c r="K324" s="6">
        <v>56</v>
      </c>
      <c r="L324" s="6">
        <v>16.341999999999999</v>
      </c>
      <c r="M324" s="6">
        <v>16.341999999999999</v>
      </c>
      <c r="N324" s="6">
        <v>16.341999999999999</v>
      </c>
      <c r="O324" s="6">
        <v>16.341999999999999</v>
      </c>
      <c r="P324" s="6">
        <v>0</v>
      </c>
      <c r="Q324" s="4" t="s">
        <v>26</v>
      </c>
      <c r="R324" s="4">
        <v>0</v>
      </c>
      <c r="S324" s="4" t="s">
        <v>362</v>
      </c>
      <c r="T324" s="4" t="s">
        <v>718</v>
      </c>
      <c r="U324" s="4">
        <v>22</v>
      </c>
      <c r="V324" s="4">
        <v>23</v>
      </c>
      <c r="W324" s="4">
        <v>79</v>
      </c>
    </row>
    <row r="325" spans="1:23" ht="11.25" customHeight="1" x14ac:dyDescent="0.25">
      <c r="A325" s="4" t="s">
        <v>21</v>
      </c>
      <c r="B325" s="4" t="s">
        <v>41</v>
      </c>
      <c r="C325" s="4" t="s">
        <v>40</v>
      </c>
      <c r="D325" s="4" t="s">
        <v>43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44348</v>
      </c>
      <c r="J325" s="6">
        <v>1093</v>
      </c>
      <c r="K325" s="6">
        <v>1093</v>
      </c>
      <c r="L325" s="6">
        <v>41.820999999999998</v>
      </c>
      <c r="M325" s="6">
        <v>41.820999999999998</v>
      </c>
      <c r="N325" s="6">
        <v>41.820999999999998</v>
      </c>
      <c r="O325" s="6">
        <v>41.820999999999998</v>
      </c>
      <c r="P325" s="6">
        <v>0</v>
      </c>
      <c r="Q325" s="4" t="s">
        <v>26</v>
      </c>
      <c r="R325" s="4">
        <v>0</v>
      </c>
      <c r="S325" s="4" t="s">
        <v>363</v>
      </c>
      <c r="T325" s="4" t="s">
        <v>719</v>
      </c>
      <c r="U325" s="4">
        <v>21</v>
      </c>
      <c r="V325" s="4">
        <v>23</v>
      </c>
      <c r="W325" s="4">
        <v>78</v>
      </c>
    </row>
    <row r="326" spans="1:23" ht="11.25" customHeight="1" x14ac:dyDescent="0.25">
      <c r="A326" s="4" t="s">
        <v>28</v>
      </c>
      <c r="B326" s="4" t="s">
        <v>41</v>
      </c>
      <c r="C326" s="4" t="s">
        <v>40</v>
      </c>
      <c r="D326" s="4" t="s">
        <v>43</v>
      </c>
      <c r="E326" s="4" t="s">
        <v>25</v>
      </c>
      <c r="F326" s="4" t="s">
        <v>25</v>
      </c>
      <c r="G326" s="4" t="s">
        <v>25</v>
      </c>
      <c r="H326" s="4" t="s">
        <v>34</v>
      </c>
      <c r="I326" s="5">
        <v>44348</v>
      </c>
      <c r="J326" s="6">
        <v>48</v>
      </c>
      <c r="K326" s="6">
        <v>48</v>
      </c>
      <c r="L326" s="6">
        <v>1.5580000000000001</v>
      </c>
      <c r="M326" s="6">
        <v>1.5580000000000001</v>
      </c>
      <c r="N326" s="6">
        <v>1.5580000000000001</v>
      </c>
      <c r="O326" s="6">
        <v>1.5580000000000001</v>
      </c>
      <c r="P326" s="6">
        <v>0</v>
      </c>
      <c r="Q326" s="4" t="s">
        <v>26</v>
      </c>
      <c r="R326" s="4">
        <v>0</v>
      </c>
      <c r="S326" s="4" t="s">
        <v>363</v>
      </c>
      <c r="T326" s="4" t="s">
        <v>719</v>
      </c>
      <c r="U326" s="4">
        <v>21</v>
      </c>
      <c r="V326" s="4">
        <v>23</v>
      </c>
      <c r="W326" s="4">
        <v>78</v>
      </c>
    </row>
    <row r="327" spans="1:23" ht="11.25" customHeight="1" x14ac:dyDescent="0.25">
      <c r="A327" s="4" t="s">
        <v>21</v>
      </c>
      <c r="B327" s="4" t="s">
        <v>41</v>
      </c>
      <c r="C327" s="4" t="s">
        <v>40</v>
      </c>
      <c r="D327" s="4" t="s">
        <v>43</v>
      </c>
      <c r="E327" s="4" t="s">
        <v>25</v>
      </c>
      <c r="F327" s="4" t="s">
        <v>25</v>
      </c>
      <c r="G327" s="4" t="s">
        <v>25</v>
      </c>
      <c r="H327" s="4" t="s">
        <v>34</v>
      </c>
      <c r="I327" s="5">
        <v>44378</v>
      </c>
      <c r="J327" s="6">
        <v>1170</v>
      </c>
      <c r="K327" s="6">
        <v>1170</v>
      </c>
      <c r="L327" s="6">
        <v>42.487000000000002</v>
      </c>
      <c r="M327" s="6">
        <v>42.487000000000002</v>
      </c>
      <c r="N327" s="6">
        <v>42.487000000000002</v>
      </c>
      <c r="O327" s="6">
        <v>42.487000000000002</v>
      </c>
      <c r="P327" s="6">
        <v>0</v>
      </c>
      <c r="Q327" s="4" t="s">
        <v>26</v>
      </c>
      <c r="R327" s="4">
        <v>0</v>
      </c>
      <c r="S327" s="4" t="s">
        <v>364</v>
      </c>
      <c r="T327" s="4" t="s">
        <v>720</v>
      </c>
      <c r="U327" s="4">
        <v>21</v>
      </c>
      <c r="V327" s="4">
        <v>23</v>
      </c>
      <c r="W327" s="4">
        <v>78</v>
      </c>
    </row>
    <row r="328" spans="1:23" ht="11.25" customHeight="1" x14ac:dyDescent="0.25">
      <c r="A328" s="4" t="s">
        <v>28</v>
      </c>
      <c r="B328" s="4" t="s">
        <v>41</v>
      </c>
      <c r="C328" s="4" t="s">
        <v>40</v>
      </c>
      <c r="D328" s="4" t="s">
        <v>43</v>
      </c>
      <c r="E328" s="4" t="s">
        <v>25</v>
      </c>
      <c r="F328" s="4" t="s">
        <v>25</v>
      </c>
      <c r="G328" s="4" t="s">
        <v>25</v>
      </c>
      <c r="H328" s="4" t="s">
        <v>34</v>
      </c>
      <c r="I328" s="5">
        <v>44378</v>
      </c>
      <c r="J328" s="6">
        <v>48</v>
      </c>
      <c r="K328" s="6">
        <v>48</v>
      </c>
      <c r="L328" s="6">
        <v>1.0229999999999999</v>
      </c>
      <c r="M328" s="6">
        <v>1.0229999999999999</v>
      </c>
      <c r="N328" s="6">
        <v>1.0229999999999999</v>
      </c>
      <c r="O328" s="6">
        <v>1.0229999999999999</v>
      </c>
      <c r="P328" s="6">
        <v>0</v>
      </c>
      <c r="Q328" s="4" t="s">
        <v>26</v>
      </c>
      <c r="R328" s="4">
        <v>0</v>
      </c>
      <c r="S328" s="4" t="s">
        <v>364</v>
      </c>
      <c r="T328" s="4" t="s">
        <v>720</v>
      </c>
      <c r="U328" s="4">
        <v>21</v>
      </c>
      <c r="V328" s="4">
        <v>23</v>
      </c>
      <c r="W328" s="4">
        <v>78</v>
      </c>
    </row>
    <row r="329" spans="1:23" ht="11.25" customHeight="1" x14ac:dyDescent="0.25">
      <c r="A329" s="4" t="s">
        <v>21</v>
      </c>
      <c r="B329" s="4" t="s">
        <v>41</v>
      </c>
      <c r="C329" s="4" t="s">
        <v>40</v>
      </c>
      <c r="D329" s="4" t="s">
        <v>43</v>
      </c>
      <c r="E329" s="4" t="s">
        <v>25</v>
      </c>
      <c r="F329" s="4" t="s">
        <v>25</v>
      </c>
      <c r="G329" s="4" t="s">
        <v>25</v>
      </c>
      <c r="H329" s="4" t="s">
        <v>34</v>
      </c>
      <c r="I329" s="5">
        <v>44409</v>
      </c>
      <c r="J329" s="6">
        <v>1008</v>
      </c>
      <c r="K329" s="6">
        <v>1008</v>
      </c>
      <c r="L329" s="6">
        <v>39.235999999999997</v>
      </c>
      <c r="M329" s="6">
        <v>39.235999999999997</v>
      </c>
      <c r="N329" s="6">
        <v>39.235999999999997</v>
      </c>
      <c r="O329" s="6">
        <v>39.235999999999997</v>
      </c>
      <c r="P329" s="6">
        <v>0</v>
      </c>
      <c r="Q329" s="4" t="s">
        <v>26</v>
      </c>
      <c r="R329" s="4">
        <v>0</v>
      </c>
      <c r="S329" s="4" t="s">
        <v>365</v>
      </c>
      <c r="T329" s="4" t="s">
        <v>721</v>
      </c>
      <c r="U329" s="4">
        <v>21</v>
      </c>
      <c r="V329" s="4">
        <v>23</v>
      </c>
      <c r="W329" s="4">
        <v>78</v>
      </c>
    </row>
    <row r="330" spans="1:23" ht="11.25" customHeight="1" x14ac:dyDescent="0.25">
      <c r="A330" s="4" t="s">
        <v>27</v>
      </c>
      <c r="B330" s="4" t="s">
        <v>41</v>
      </c>
      <c r="C330" s="4" t="s">
        <v>40</v>
      </c>
      <c r="D330" s="4" t="s">
        <v>43</v>
      </c>
      <c r="E330" s="4" t="s">
        <v>25</v>
      </c>
      <c r="F330" s="4" t="s">
        <v>25</v>
      </c>
      <c r="G330" s="4" t="s">
        <v>25</v>
      </c>
      <c r="H330" s="4" t="s">
        <v>34</v>
      </c>
      <c r="I330" s="5">
        <v>44409</v>
      </c>
      <c r="J330" s="6">
        <v>-98</v>
      </c>
      <c r="K330" s="6">
        <v>-98</v>
      </c>
      <c r="L330" s="6">
        <v>-4.17</v>
      </c>
      <c r="M330" s="6">
        <v>-4.17</v>
      </c>
      <c r="N330" s="6">
        <v>-4.17</v>
      </c>
      <c r="O330" s="6">
        <v>-4.17</v>
      </c>
      <c r="P330" s="6">
        <v>0</v>
      </c>
      <c r="Q330" s="4" t="s">
        <v>26</v>
      </c>
      <c r="R330" s="4">
        <v>0</v>
      </c>
      <c r="S330" s="4" t="s">
        <v>365</v>
      </c>
      <c r="T330" s="4" t="s">
        <v>721</v>
      </c>
      <c r="U330" s="4">
        <v>21</v>
      </c>
      <c r="V330" s="4">
        <v>23</v>
      </c>
      <c r="W330" s="4">
        <v>78</v>
      </c>
    </row>
    <row r="331" spans="1:23" ht="11.25" customHeight="1" x14ac:dyDescent="0.25">
      <c r="A331" s="4" t="s">
        <v>28</v>
      </c>
      <c r="B331" s="4" t="s">
        <v>41</v>
      </c>
      <c r="C331" s="4" t="s">
        <v>40</v>
      </c>
      <c r="D331" s="4" t="s">
        <v>43</v>
      </c>
      <c r="E331" s="4" t="s">
        <v>25</v>
      </c>
      <c r="F331" s="4" t="s">
        <v>25</v>
      </c>
      <c r="G331" s="4" t="s">
        <v>25</v>
      </c>
      <c r="H331" s="4" t="s">
        <v>34</v>
      </c>
      <c r="I331" s="5">
        <v>44409</v>
      </c>
      <c r="J331" s="6">
        <v>48</v>
      </c>
      <c r="K331" s="6">
        <v>48</v>
      </c>
      <c r="L331" s="6">
        <v>1.23</v>
      </c>
      <c r="M331" s="6">
        <v>1.23</v>
      </c>
      <c r="N331" s="6">
        <v>1.23</v>
      </c>
      <c r="O331" s="6">
        <v>1.23</v>
      </c>
      <c r="P331" s="6">
        <v>0</v>
      </c>
      <c r="Q331" s="4" t="s">
        <v>26</v>
      </c>
      <c r="R331" s="4">
        <v>0</v>
      </c>
      <c r="S331" s="4" t="s">
        <v>365</v>
      </c>
      <c r="T331" s="4" t="s">
        <v>721</v>
      </c>
      <c r="U331" s="4">
        <v>21</v>
      </c>
      <c r="V331" s="4">
        <v>23</v>
      </c>
      <c r="W331" s="4">
        <v>78</v>
      </c>
    </row>
    <row r="332" spans="1:23" ht="11.25" customHeight="1" x14ac:dyDescent="0.25">
      <c r="A332" s="4" t="s">
        <v>21</v>
      </c>
      <c r="B332" s="4" t="s">
        <v>41</v>
      </c>
      <c r="C332" s="4" t="s">
        <v>40</v>
      </c>
      <c r="D332" s="4" t="s">
        <v>43</v>
      </c>
      <c r="E332" s="4" t="s">
        <v>25</v>
      </c>
      <c r="F332" s="4" t="s">
        <v>25</v>
      </c>
      <c r="G332" s="4" t="s">
        <v>25</v>
      </c>
      <c r="H332" s="4" t="s">
        <v>34</v>
      </c>
      <c r="I332" s="5">
        <v>44440</v>
      </c>
      <c r="J332" s="6">
        <v>976</v>
      </c>
      <c r="K332" s="6">
        <v>976</v>
      </c>
      <c r="L332" s="6">
        <v>40.942999999999998</v>
      </c>
      <c r="M332" s="6">
        <v>40.942999999999998</v>
      </c>
      <c r="N332" s="6">
        <v>40.942999999999998</v>
      </c>
      <c r="O332" s="6">
        <v>40.942999999999998</v>
      </c>
      <c r="P332" s="6">
        <v>0</v>
      </c>
      <c r="Q332" s="4" t="s">
        <v>26</v>
      </c>
      <c r="R332" s="4">
        <v>0</v>
      </c>
      <c r="S332" s="4" t="s">
        <v>366</v>
      </c>
      <c r="T332" s="4" t="s">
        <v>722</v>
      </c>
      <c r="U332" s="4">
        <v>21</v>
      </c>
      <c r="V332" s="4">
        <v>23</v>
      </c>
      <c r="W332" s="4">
        <v>78</v>
      </c>
    </row>
    <row r="333" spans="1:23" ht="11.25" customHeight="1" x14ac:dyDescent="0.25">
      <c r="A333" s="4" t="s">
        <v>28</v>
      </c>
      <c r="B333" s="4" t="s">
        <v>41</v>
      </c>
      <c r="C333" s="4" t="s">
        <v>40</v>
      </c>
      <c r="D333" s="4" t="s">
        <v>43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44440</v>
      </c>
      <c r="J333" s="6">
        <v>48</v>
      </c>
      <c r="K333" s="6">
        <v>48</v>
      </c>
      <c r="L333" s="6">
        <v>1.476</v>
      </c>
      <c r="M333" s="6">
        <v>1.476</v>
      </c>
      <c r="N333" s="6">
        <v>1.476</v>
      </c>
      <c r="O333" s="6">
        <v>1.476</v>
      </c>
      <c r="P333" s="6">
        <v>0</v>
      </c>
      <c r="Q333" s="4" t="s">
        <v>26</v>
      </c>
      <c r="R333" s="4">
        <v>0</v>
      </c>
      <c r="S333" s="4" t="s">
        <v>366</v>
      </c>
      <c r="T333" s="4" t="s">
        <v>722</v>
      </c>
      <c r="U333" s="4">
        <v>21</v>
      </c>
      <c r="V333" s="4">
        <v>23</v>
      </c>
      <c r="W333" s="4">
        <v>78</v>
      </c>
    </row>
    <row r="334" spans="1:23" ht="11.25" customHeight="1" x14ac:dyDescent="0.25">
      <c r="A334" s="4" t="s">
        <v>21</v>
      </c>
      <c r="B334" s="4" t="s">
        <v>41</v>
      </c>
      <c r="C334" s="4" t="s">
        <v>40</v>
      </c>
      <c r="D334" s="4" t="s">
        <v>43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44470</v>
      </c>
      <c r="J334" s="6">
        <v>880</v>
      </c>
      <c r="K334" s="6">
        <v>880</v>
      </c>
      <c r="L334" s="6">
        <v>33.295999999999999</v>
      </c>
      <c r="M334" s="6">
        <v>33.295999999999999</v>
      </c>
      <c r="N334" s="6">
        <v>33.295999999999999</v>
      </c>
      <c r="O334" s="6">
        <v>33.295999999999999</v>
      </c>
      <c r="P334" s="6">
        <v>0</v>
      </c>
      <c r="Q334" s="4" t="s">
        <v>26</v>
      </c>
      <c r="R334" s="4">
        <v>0</v>
      </c>
      <c r="S334" s="4" t="s">
        <v>367</v>
      </c>
      <c r="T334" s="4" t="s">
        <v>723</v>
      </c>
      <c r="U334" s="4">
        <v>21</v>
      </c>
      <c r="V334" s="4">
        <v>23</v>
      </c>
      <c r="W334" s="4">
        <v>78</v>
      </c>
    </row>
    <row r="335" spans="1:23" ht="11.25" customHeight="1" x14ac:dyDescent="0.25">
      <c r="A335" s="4" t="s">
        <v>27</v>
      </c>
      <c r="B335" s="4" t="s">
        <v>41</v>
      </c>
      <c r="C335" s="4" t="s">
        <v>40</v>
      </c>
      <c r="D335" s="4" t="s">
        <v>43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44470</v>
      </c>
      <c r="J335" s="6">
        <v>-116</v>
      </c>
      <c r="K335" s="6">
        <v>-116</v>
      </c>
      <c r="L335" s="6">
        <v>-5.4530000000000003</v>
      </c>
      <c r="M335" s="6">
        <v>-5.4530000000000003</v>
      </c>
      <c r="N335" s="6">
        <v>-5.4530000000000003</v>
      </c>
      <c r="O335" s="6">
        <v>-5.4530000000000003</v>
      </c>
      <c r="P335" s="6">
        <v>0</v>
      </c>
      <c r="Q335" s="4" t="s">
        <v>26</v>
      </c>
      <c r="R335" s="4">
        <v>0</v>
      </c>
      <c r="S335" s="4" t="s">
        <v>367</v>
      </c>
      <c r="T335" s="4" t="s">
        <v>723</v>
      </c>
      <c r="U335" s="4">
        <v>21</v>
      </c>
      <c r="V335" s="4">
        <v>23</v>
      </c>
      <c r="W335" s="4">
        <v>78</v>
      </c>
    </row>
    <row r="336" spans="1:23" ht="11.25" customHeight="1" x14ac:dyDescent="0.25">
      <c r="A336" s="4" t="s">
        <v>28</v>
      </c>
      <c r="B336" s="4" t="s">
        <v>41</v>
      </c>
      <c r="C336" s="4" t="s">
        <v>40</v>
      </c>
      <c r="D336" s="4" t="s">
        <v>43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44470</v>
      </c>
      <c r="J336" s="6">
        <v>48</v>
      </c>
      <c r="K336" s="6">
        <v>48</v>
      </c>
      <c r="L336" s="6">
        <v>1.722</v>
      </c>
      <c r="M336" s="6">
        <v>1.722</v>
      </c>
      <c r="N336" s="6">
        <v>1.722</v>
      </c>
      <c r="O336" s="6">
        <v>1.722</v>
      </c>
      <c r="P336" s="6">
        <v>0</v>
      </c>
      <c r="Q336" s="4" t="s">
        <v>26</v>
      </c>
      <c r="R336" s="4">
        <v>0</v>
      </c>
      <c r="S336" s="4" t="s">
        <v>367</v>
      </c>
      <c r="T336" s="4" t="s">
        <v>723</v>
      </c>
      <c r="U336" s="4">
        <v>21</v>
      </c>
      <c r="V336" s="4">
        <v>23</v>
      </c>
      <c r="W336" s="4">
        <v>78</v>
      </c>
    </row>
    <row r="337" spans="1:23" ht="11.25" customHeight="1" x14ac:dyDescent="0.25">
      <c r="A337" s="4" t="s">
        <v>21</v>
      </c>
      <c r="B337" s="4" t="s">
        <v>41</v>
      </c>
      <c r="C337" s="4" t="s">
        <v>40</v>
      </c>
      <c r="D337" s="4" t="s">
        <v>43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44501</v>
      </c>
      <c r="J337" s="6">
        <v>784</v>
      </c>
      <c r="K337" s="6">
        <v>784</v>
      </c>
      <c r="L337" s="6">
        <v>30.318999999999999</v>
      </c>
      <c r="M337" s="6">
        <v>30.318999999999999</v>
      </c>
      <c r="N337" s="6">
        <v>30.318999999999999</v>
      </c>
      <c r="O337" s="6">
        <v>30.318999999999999</v>
      </c>
      <c r="P337" s="6">
        <v>0</v>
      </c>
      <c r="Q337" s="4" t="s">
        <v>26</v>
      </c>
      <c r="R337" s="4">
        <v>0</v>
      </c>
      <c r="S337" s="4" t="s">
        <v>368</v>
      </c>
      <c r="T337" s="4" t="s">
        <v>724</v>
      </c>
      <c r="U337" s="4">
        <v>21</v>
      </c>
      <c r="V337" s="4">
        <v>23</v>
      </c>
      <c r="W337" s="4">
        <v>78</v>
      </c>
    </row>
    <row r="338" spans="1:23" ht="11.25" customHeight="1" x14ac:dyDescent="0.25">
      <c r="A338" s="4" t="s">
        <v>28</v>
      </c>
      <c r="B338" s="4" t="s">
        <v>41</v>
      </c>
      <c r="C338" s="4" t="s">
        <v>40</v>
      </c>
      <c r="D338" s="4" t="s">
        <v>43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44501</v>
      </c>
      <c r="J338" s="6">
        <v>48</v>
      </c>
      <c r="K338" s="6">
        <v>48</v>
      </c>
      <c r="L338" s="6">
        <v>1.353</v>
      </c>
      <c r="M338" s="6">
        <v>1.353</v>
      </c>
      <c r="N338" s="6">
        <v>1.353</v>
      </c>
      <c r="O338" s="6">
        <v>1.353</v>
      </c>
      <c r="P338" s="6">
        <v>0</v>
      </c>
      <c r="Q338" s="4" t="s">
        <v>26</v>
      </c>
      <c r="R338" s="4">
        <v>0</v>
      </c>
      <c r="S338" s="4" t="s">
        <v>368</v>
      </c>
      <c r="T338" s="4" t="s">
        <v>724</v>
      </c>
      <c r="U338" s="4">
        <v>21</v>
      </c>
      <c r="V338" s="4">
        <v>23</v>
      </c>
      <c r="W338" s="4">
        <v>78</v>
      </c>
    </row>
    <row r="339" spans="1:23" ht="11.25" customHeight="1" x14ac:dyDescent="0.25">
      <c r="A339" s="4" t="s">
        <v>21</v>
      </c>
      <c r="B339" s="4" t="s">
        <v>41</v>
      </c>
      <c r="C339" s="4" t="s">
        <v>40</v>
      </c>
      <c r="D339" s="4" t="s">
        <v>43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44531</v>
      </c>
      <c r="J339" s="6">
        <v>1080</v>
      </c>
      <c r="K339" s="6">
        <v>1080</v>
      </c>
      <c r="L339" s="6">
        <v>43.070999999999998</v>
      </c>
      <c r="M339" s="6">
        <v>43.070999999999998</v>
      </c>
      <c r="N339" s="6">
        <v>43.070999999999998</v>
      </c>
      <c r="O339" s="6">
        <v>43.070999999999998</v>
      </c>
      <c r="P339" s="6">
        <v>0</v>
      </c>
      <c r="Q339" s="4" t="s">
        <v>26</v>
      </c>
      <c r="R339" s="4">
        <v>0</v>
      </c>
      <c r="S339" s="4" t="s">
        <v>369</v>
      </c>
      <c r="T339" s="4" t="s">
        <v>725</v>
      </c>
      <c r="U339" s="4">
        <v>21</v>
      </c>
      <c r="V339" s="4">
        <v>23</v>
      </c>
      <c r="W339" s="4">
        <v>78</v>
      </c>
    </row>
    <row r="340" spans="1:23" ht="11.25" customHeight="1" x14ac:dyDescent="0.25">
      <c r="A340" s="4" t="s">
        <v>28</v>
      </c>
      <c r="B340" s="4" t="s">
        <v>41</v>
      </c>
      <c r="C340" s="4" t="s">
        <v>40</v>
      </c>
      <c r="D340" s="4" t="s">
        <v>43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44531</v>
      </c>
      <c r="J340" s="6">
        <v>48</v>
      </c>
      <c r="K340" s="6">
        <v>48</v>
      </c>
      <c r="L340" s="6">
        <v>1.4350000000000001</v>
      </c>
      <c r="M340" s="6">
        <v>1.4350000000000001</v>
      </c>
      <c r="N340" s="6">
        <v>1.4350000000000001</v>
      </c>
      <c r="O340" s="6">
        <v>1.4350000000000001</v>
      </c>
      <c r="P340" s="6">
        <v>0</v>
      </c>
      <c r="Q340" s="4" t="s">
        <v>26</v>
      </c>
      <c r="R340" s="4">
        <v>0</v>
      </c>
      <c r="S340" s="4" t="s">
        <v>369</v>
      </c>
      <c r="T340" s="4" t="s">
        <v>725</v>
      </c>
      <c r="U340" s="4">
        <v>21</v>
      </c>
      <c r="V340" s="4">
        <v>23</v>
      </c>
      <c r="W340" s="4">
        <v>78</v>
      </c>
    </row>
    <row r="341" spans="1:23" ht="11.25" customHeight="1" x14ac:dyDescent="0.25">
      <c r="A341" s="4" t="s">
        <v>21</v>
      </c>
      <c r="B341" s="4" t="s">
        <v>41</v>
      </c>
      <c r="C341" s="4" t="s">
        <v>40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44562</v>
      </c>
      <c r="J341" s="6">
        <v>765</v>
      </c>
      <c r="K341" s="6">
        <v>765</v>
      </c>
      <c r="L341" s="6">
        <v>33.460999999999999</v>
      </c>
      <c r="M341" s="6">
        <v>33.460999999999999</v>
      </c>
      <c r="N341" s="6">
        <v>33.460999999999999</v>
      </c>
      <c r="O341" s="6">
        <v>33.460999999999999</v>
      </c>
      <c r="P341" s="6">
        <v>0</v>
      </c>
      <c r="Q341" s="4" t="s">
        <v>26</v>
      </c>
      <c r="R341" s="4">
        <v>0</v>
      </c>
      <c r="S341" s="4" t="s">
        <v>370</v>
      </c>
      <c r="T341" s="4" t="s">
        <v>726</v>
      </c>
      <c r="U341" s="4">
        <v>21</v>
      </c>
      <c r="V341" s="4">
        <v>23</v>
      </c>
      <c r="W341" s="4">
        <v>78</v>
      </c>
    </row>
    <row r="342" spans="1:23" ht="11.25" customHeight="1" x14ac:dyDescent="0.25">
      <c r="A342" s="4" t="s">
        <v>28</v>
      </c>
      <c r="B342" s="4" t="s">
        <v>41</v>
      </c>
      <c r="C342" s="4" t="s">
        <v>40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44562</v>
      </c>
      <c r="J342" s="6">
        <v>48</v>
      </c>
      <c r="K342" s="6">
        <v>48</v>
      </c>
      <c r="L342" s="6">
        <v>1.804</v>
      </c>
      <c r="M342" s="6">
        <v>1.804</v>
      </c>
      <c r="N342" s="6">
        <v>1.804</v>
      </c>
      <c r="O342" s="6">
        <v>1.804</v>
      </c>
      <c r="P342" s="6">
        <v>0</v>
      </c>
      <c r="Q342" s="4" t="s">
        <v>26</v>
      </c>
      <c r="R342" s="4">
        <v>0</v>
      </c>
      <c r="S342" s="4" t="s">
        <v>370</v>
      </c>
      <c r="T342" s="4" t="s">
        <v>726</v>
      </c>
      <c r="U342" s="4">
        <v>21</v>
      </c>
      <c r="V342" s="4">
        <v>23</v>
      </c>
      <c r="W342" s="4">
        <v>78</v>
      </c>
    </row>
    <row r="343" spans="1:23" ht="11.25" customHeight="1" x14ac:dyDescent="0.25">
      <c r="A343" s="4" t="s">
        <v>21</v>
      </c>
      <c r="B343" s="4" t="s">
        <v>41</v>
      </c>
      <c r="C343" s="4" t="s">
        <v>40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44593</v>
      </c>
      <c r="J343" s="6">
        <v>746</v>
      </c>
      <c r="K343" s="6">
        <v>746</v>
      </c>
      <c r="L343" s="6">
        <v>30.151</v>
      </c>
      <c r="M343" s="6">
        <v>30.151</v>
      </c>
      <c r="N343" s="6">
        <v>30.151</v>
      </c>
      <c r="O343" s="6">
        <v>30.151</v>
      </c>
      <c r="P343" s="6">
        <v>0</v>
      </c>
      <c r="Q343" s="4" t="s">
        <v>26</v>
      </c>
      <c r="R343" s="4">
        <v>0</v>
      </c>
      <c r="S343" s="4" t="s">
        <v>371</v>
      </c>
      <c r="T343" s="4" t="s">
        <v>727</v>
      </c>
      <c r="U343" s="4">
        <v>21</v>
      </c>
      <c r="V343" s="4">
        <v>23</v>
      </c>
      <c r="W343" s="4">
        <v>78</v>
      </c>
    </row>
    <row r="344" spans="1:23" ht="11.25" customHeight="1" x14ac:dyDescent="0.25">
      <c r="A344" s="4" t="s">
        <v>28</v>
      </c>
      <c r="B344" s="4" t="s">
        <v>41</v>
      </c>
      <c r="C344" s="4" t="s">
        <v>40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44593</v>
      </c>
      <c r="J344" s="6">
        <v>48</v>
      </c>
      <c r="K344" s="6">
        <v>48</v>
      </c>
      <c r="L344" s="6">
        <v>1.698</v>
      </c>
      <c r="M344" s="6">
        <v>1.698</v>
      </c>
      <c r="N344" s="6">
        <v>1.698</v>
      </c>
      <c r="O344" s="6">
        <v>1.698</v>
      </c>
      <c r="P344" s="6">
        <v>0</v>
      </c>
      <c r="Q344" s="4" t="s">
        <v>26</v>
      </c>
      <c r="R344" s="4">
        <v>0</v>
      </c>
      <c r="S344" s="4" t="s">
        <v>371</v>
      </c>
      <c r="T344" s="4" t="s">
        <v>727</v>
      </c>
      <c r="U344" s="4">
        <v>21</v>
      </c>
      <c r="V344" s="4">
        <v>23</v>
      </c>
      <c r="W344" s="4">
        <v>78</v>
      </c>
    </row>
    <row r="345" spans="1:23" ht="11.25" customHeight="1" x14ac:dyDescent="0.25">
      <c r="A345" s="4" t="s">
        <v>21</v>
      </c>
      <c r="B345" s="4" t="s">
        <v>41</v>
      </c>
      <c r="C345" s="4" t="s">
        <v>40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44621</v>
      </c>
      <c r="J345" s="6">
        <v>762</v>
      </c>
      <c r="K345" s="6">
        <v>762</v>
      </c>
      <c r="L345" s="6">
        <v>33.936999999999998</v>
      </c>
      <c r="M345" s="6">
        <v>33.936999999999998</v>
      </c>
      <c r="N345" s="6">
        <v>33.936999999999998</v>
      </c>
      <c r="O345" s="6">
        <v>33.936999999999998</v>
      </c>
      <c r="P345" s="6">
        <v>0</v>
      </c>
      <c r="Q345" s="4" t="s">
        <v>26</v>
      </c>
      <c r="R345" s="4">
        <v>0</v>
      </c>
      <c r="S345" s="4" t="s">
        <v>372</v>
      </c>
      <c r="T345" s="4" t="s">
        <v>728</v>
      </c>
      <c r="U345" s="4">
        <v>21</v>
      </c>
      <c r="V345" s="4">
        <v>23</v>
      </c>
      <c r="W345" s="4">
        <v>78</v>
      </c>
    </row>
    <row r="346" spans="1:23" ht="11.25" customHeight="1" x14ac:dyDescent="0.25">
      <c r="A346" s="4" t="s">
        <v>27</v>
      </c>
      <c r="B346" s="4" t="s">
        <v>41</v>
      </c>
      <c r="C346" s="4" t="s">
        <v>40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44621</v>
      </c>
      <c r="J346" s="6">
        <v>2</v>
      </c>
      <c r="K346" s="6">
        <v>2</v>
      </c>
      <c r="L346" s="6">
        <v>-0.17499999999999999</v>
      </c>
      <c r="M346" s="6">
        <v>-0.17499999999999999</v>
      </c>
      <c r="N346" s="6">
        <v>-0.17499999999999999</v>
      </c>
      <c r="O346" s="6">
        <v>-0.17499999999999999</v>
      </c>
      <c r="P346" s="6">
        <v>0</v>
      </c>
      <c r="Q346" s="4" t="s">
        <v>26</v>
      </c>
      <c r="R346" s="4">
        <v>0</v>
      </c>
      <c r="S346" s="4" t="s">
        <v>372</v>
      </c>
      <c r="T346" s="4" t="s">
        <v>728</v>
      </c>
      <c r="U346" s="4">
        <v>21</v>
      </c>
      <c r="V346" s="4">
        <v>23</v>
      </c>
      <c r="W346" s="4">
        <v>78</v>
      </c>
    </row>
    <row r="347" spans="1:23" ht="11.25" customHeight="1" x14ac:dyDescent="0.25">
      <c r="A347" s="4" t="s">
        <v>28</v>
      </c>
      <c r="B347" s="4" t="s">
        <v>41</v>
      </c>
      <c r="C347" s="4" t="s">
        <v>40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44621</v>
      </c>
      <c r="J347" s="6">
        <v>48</v>
      </c>
      <c r="K347" s="6">
        <v>48</v>
      </c>
      <c r="L347" s="6">
        <v>1.554</v>
      </c>
      <c r="M347" s="6">
        <v>1.554</v>
      </c>
      <c r="N347" s="6">
        <v>1.554</v>
      </c>
      <c r="O347" s="6">
        <v>1.554</v>
      </c>
      <c r="P347" s="6">
        <v>0</v>
      </c>
      <c r="Q347" s="4" t="s">
        <v>26</v>
      </c>
      <c r="R347" s="4">
        <v>0</v>
      </c>
      <c r="S347" s="4" t="s">
        <v>372</v>
      </c>
      <c r="T347" s="4" t="s">
        <v>728</v>
      </c>
      <c r="U347" s="4">
        <v>21</v>
      </c>
      <c r="V347" s="4">
        <v>23</v>
      </c>
      <c r="W347" s="4">
        <v>78</v>
      </c>
    </row>
    <row r="348" spans="1:23" ht="11.25" customHeight="1" x14ac:dyDescent="0.25">
      <c r="A348" s="4" t="s">
        <v>21</v>
      </c>
      <c r="B348" s="4" t="s">
        <v>41</v>
      </c>
      <c r="C348" s="4" t="s">
        <v>40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44652</v>
      </c>
      <c r="J348" s="6">
        <v>1030</v>
      </c>
      <c r="K348" s="6">
        <v>1030</v>
      </c>
      <c r="L348" s="6">
        <v>43.087000000000003</v>
      </c>
      <c r="M348" s="6">
        <v>43.087000000000003</v>
      </c>
      <c r="N348" s="6">
        <v>43.087000000000003</v>
      </c>
      <c r="O348" s="6">
        <v>43.087000000000003</v>
      </c>
      <c r="P348" s="6">
        <v>0</v>
      </c>
      <c r="Q348" s="4" t="s">
        <v>26</v>
      </c>
      <c r="R348" s="4">
        <v>0</v>
      </c>
      <c r="S348" s="4" t="s">
        <v>373</v>
      </c>
      <c r="T348" s="4" t="s">
        <v>729</v>
      </c>
      <c r="U348" s="4">
        <v>21</v>
      </c>
      <c r="V348" s="4">
        <v>23</v>
      </c>
      <c r="W348" s="4">
        <v>78</v>
      </c>
    </row>
    <row r="349" spans="1:23" ht="11.25" customHeight="1" x14ac:dyDescent="0.25">
      <c r="A349" s="4" t="s">
        <v>28</v>
      </c>
      <c r="B349" s="4" t="s">
        <v>41</v>
      </c>
      <c r="C349" s="4" t="s">
        <v>40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44652</v>
      </c>
      <c r="J349" s="6">
        <v>48</v>
      </c>
      <c r="K349" s="6">
        <v>48</v>
      </c>
      <c r="L349" s="6">
        <v>1.835</v>
      </c>
      <c r="M349" s="6">
        <v>1.835</v>
      </c>
      <c r="N349" s="6">
        <v>1.835</v>
      </c>
      <c r="O349" s="6">
        <v>1.835</v>
      </c>
      <c r="P349" s="6">
        <v>0</v>
      </c>
      <c r="Q349" s="4" t="s">
        <v>26</v>
      </c>
      <c r="R349" s="4">
        <v>0</v>
      </c>
      <c r="S349" s="4" t="s">
        <v>373</v>
      </c>
      <c r="T349" s="4" t="s">
        <v>729</v>
      </c>
      <c r="U349" s="4">
        <v>21</v>
      </c>
      <c r="V349" s="4">
        <v>23</v>
      </c>
      <c r="W349" s="4">
        <v>78</v>
      </c>
    </row>
    <row r="350" spans="1:23" ht="11.25" customHeight="1" x14ac:dyDescent="0.25">
      <c r="A350" s="4" t="s">
        <v>58</v>
      </c>
      <c r="B350" s="4" t="s">
        <v>41</v>
      </c>
      <c r="C350" s="4" t="s">
        <v>40</v>
      </c>
      <c r="D350" s="4" t="s">
        <v>43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44682</v>
      </c>
      <c r="J350" s="6">
        <v>1030</v>
      </c>
      <c r="K350" s="6">
        <v>1030</v>
      </c>
      <c r="L350" s="6">
        <v>43.087000000000003</v>
      </c>
      <c r="M350" s="6">
        <v>43.087000000000003</v>
      </c>
      <c r="N350" s="6">
        <v>43.087000000000003</v>
      </c>
      <c r="O350" s="6">
        <v>43.087000000000003</v>
      </c>
      <c r="P350" s="6">
        <v>0</v>
      </c>
      <c r="Q350" s="4" t="s">
        <v>26</v>
      </c>
      <c r="R350" s="4">
        <v>0</v>
      </c>
      <c r="S350" s="4" t="s">
        <v>374</v>
      </c>
      <c r="T350" s="4" t="s">
        <v>730</v>
      </c>
      <c r="U350" s="4">
        <v>21</v>
      </c>
      <c r="V350" s="4">
        <v>23</v>
      </c>
      <c r="W350" s="4">
        <v>78</v>
      </c>
    </row>
    <row r="351" spans="1:23" ht="11.25" customHeight="1" x14ac:dyDescent="0.25">
      <c r="A351" s="4" t="s">
        <v>58</v>
      </c>
      <c r="B351" s="4" t="s">
        <v>41</v>
      </c>
      <c r="C351" s="4" t="s">
        <v>40</v>
      </c>
      <c r="D351" s="4" t="s">
        <v>43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44682</v>
      </c>
      <c r="J351" s="6">
        <v>48</v>
      </c>
      <c r="K351" s="6">
        <v>48</v>
      </c>
      <c r="L351" s="6">
        <v>1.835</v>
      </c>
      <c r="M351" s="6">
        <v>1.835</v>
      </c>
      <c r="N351" s="6">
        <v>1.835</v>
      </c>
      <c r="O351" s="6">
        <v>1.835</v>
      </c>
      <c r="P351" s="6">
        <v>0</v>
      </c>
      <c r="Q351" s="4" t="s">
        <v>26</v>
      </c>
      <c r="R351" s="4">
        <v>0</v>
      </c>
      <c r="S351" s="4" t="s">
        <v>374</v>
      </c>
      <c r="T351" s="4" t="s">
        <v>730</v>
      </c>
      <c r="U351" s="4">
        <v>21</v>
      </c>
      <c r="V351" s="4">
        <v>23</v>
      </c>
      <c r="W351" s="4">
        <v>78</v>
      </c>
    </row>
    <row r="352" spans="1:23" ht="11.25" customHeight="1" x14ac:dyDescent="0.25">
      <c r="A352" s="4" t="s">
        <v>21</v>
      </c>
      <c r="B352" s="4" t="s">
        <v>41</v>
      </c>
      <c r="C352" s="4" t="s">
        <v>40</v>
      </c>
      <c r="D352" s="4" t="s">
        <v>38</v>
      </c>
      <c r="E352" s="4" t="s">
        <v>25</v>
      </c>
      <c r="F352" s="4" t="s">
        <v>63</v>
      </c>
      <c r="G352" s="4" t="s">
        <v>25</v>
      </c>
      <c r="H352" s="4" t="s">
        <v>35</v>
      </c>
      <c r="I352" s="5">
        <v>44348</v>
      </c>
      <c r="J352" s="6">
        <v>17603</v>
      </c>
      <c r="K352" s="6">
        <v>13280.13394541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4" t="s">
        <v>60</v>
      </c>
      <c r="R352" s="4">
        <v>0</v>
      </c>
      <c r="S352" s="4" t="s">
        <v>351</v>
      </c>
      <c r="U352" s="4">
        <v>22</v>
      </c>
      <c r="V352" s="4">
        <v>0</v>
      </c>
      <c r="W352" s="4">
        <v>0</v>
      </c>
    </row>
    <row r="353" spans="1:23" ht="11.25" customHeight="1" x14ac:dyDescent="0.25">
      <c r="A353" s="4" t="s">
        <v>21</v>
      </c>
      <c r="B353" s="4" t="s">
        <v>41</v>
      </c>
      <c r="C353" s="4" t="s">
        <v>40</v>
      </c>
      <c r="D353" s="4" t="s">
        <v>38</v>
      </c>
      <c r="E353" s="4" t="s">
        <v>25</v>
      </c>
      <c r="F353" s="4" t="s">
        <v>63</v>
      </c>
      <c r="G353" s="4" t="s">
        <v>25</v>
      </c>
      <c r="H353" s="4" t="s">
        <v>35</v>
      </c>
      <c r="I353" s="5">
        <v>44378</v>
      </c>
      <c r="J353" s="6">
        <v>17628</v>
      </c>
      <c r="K353" s="6">
        <v>12203.516247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4" t="s">
        <v>60</v>
      </c>
      <c r="R353" s="4">
        <v>0</v>
      </c>
      <c r="S353" s="4" t="s">
        <v>352</v>
      </c>
      <c r="U353" s="4">
        <v>22</v>
      </c>
      <c r="V353" s="4">
        <v>0</v>
      </c>
      <c r="W353" s="4">
        <v>0</v>
      </c>
    </row>
    <row r="354" spans="1:23" ht="11.25" customHeight="1" x14ac:dyDescent="0.25">
      <c r="A354" s="4" t="s">
        <v>21</v>
      </c>
      <c r="B354" s="4" t="s">
        <v>41</v>
      </c>
      <c r="C354" s="4" t="s">
        <v>40</v>
      </c>
      <c r="D354" s="4" t="s">
        <v>38</v>
      </c>
      <c r="E354" s="4" t="s">
        <v>25</v>
      </c>
      <c r="F354" s="4" t="s">
        <v>63</v>
      </c>
      <c r="G354" s="4" t="s">
        <v>25</v>
      </c>
      <c r="H354" s="4" t="s">
        <v>35</v>
      </c>
      <c r="I354" s="5">
        <v>44409</v>
      </c>
      <c r="J354" s="6">
        <v>12595</v>
      </c>
      <c r="K354" s="6">
        <v>5669.6795540000003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4" t="s">
        <v>60</v>
      </c>
      <c r="R354" s="4">
        <v>0</v>
      </c>
      <c r="S354" s="4" t="s">
        <v>353</v>
      </c>
      <c r="U354" s="4">
        <v>22</v>
      </c>
      <c r="V354" s="4">
        <v>0</v>
      </c>
      <c r="W354" s="4">
        <v>0</v>
      </c>
    </row>
    <row r="355" spans="1:23" ht="11.25" customHeight="1" x14ac:dyDescent="0.25">
      <c r="A355" s="4" t="s">
        <v>21</v>
      </c>
      <c r="B355" s="4" t="s">
        <v>41</v>
      </c>
      <c r="C355" s="4" t="s">
        <v>40</v>
      </c>
      <c r="D355" s="4" t="s">
        <v>38</v>
      </c>
      <c r="E355" s="4" t="s">
        <v>25</v>
      </c>
      <c r="F355" s="4" t="s">
        <v>63</v>
      </c>
      <c r="G355" s="4" t="s">
        <v>25</v>
      </c>
      <c r="H355" s="4" t="s">
        <v>35</v>
      </c>
      <c r="I355" s="5">
        <v>44440</v>
      </c>
      <c r="J355" s="6">
        <v>13569</v>
      </c>
      <c r="K355" s="6">
        <v>6160.3053751199996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60</v>
      </c>
      <c r="R355" s="4">
        <v>0</v>
      </c>
      <c r="S355" s="4" t="s">
        <v>354</v>
      </c>
      <c r="U355" s="4">
        <v>22</v>
      </c>
      <c r="V355" s="4">
        <v>0</v>
      </c>
      <c r="W355" s="4">
        <v>0</v>
      </c>
    </row>
    <row r="356" spans="1:23" ht="11.25" customHeight="1" x14ac:dyDescent="0.25">
      <c r="A356" s="4" t="s">
        <v>21</v>
      </c>
      <c r="B356" s="4" t="s">
        <v>41</v>
      </c>
      <c r="C356" s="4" t="s">
        <v>40</v>
      </c>
      <c r="D356" s="4" t="s">
        <v>38</v>
      </c>
      <c r="E356" s="4" t="s">
        <v>25</v>
      </c>
      <c r="F356" s="4" t="s">
        <v>63</v>
      </c>
      <c r="G356" s="4" t="s">
        <v>25</v>
      </c>
      <c r="H356" s="4" t="s">
        <v>35</v>
      </c>
      <c r="I356" s="5">
        <v>44470</v>
      </c>
      <c r="J356" s="6">
        <v>13596</v>
      </c>
      <c r="K356" s="6">
        <v>6266.9120962799998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4" t="s">
        <v>60</v>
      </c>
      <c r="R356" s="4">
        <v>0</v>
      </c>
      <c r="S356" s="4" t="s">
        <v>355</v>
      </c>
      <c r="U356" s="4">
        <v>22</v>
      </c>
      <c r="V356" s="4">
        <v>0</v>
      </c>
      <c r="W356" s="4">
        <v>0</v>
      </c>
    </row>
    <row r="357" spans="1:23" ht="11.25" customHeight="1" x14ac:dyDescent="0.25">
      <c r="A357" s="4" t="s">
        <v>21</v>
      </c>
      <c r="B357" s="4" t="s">
        <v>41</v>
      </c>
      <c r="C357" s="4" t="s">
        <v>40</v>
      </c>
      <c r="D357" s="4" t="s">
        <v>38</v>
      </c>
      <c r="E357" s="4" t="s">
        <v>25</v>
      </c>
      <c r="F357" s="4" t="s">
        <v>63</v>
      </c>
      <c r="G357" s="4" t="s">
        <v>25</v>
      </c>
      <c r="H357" s="4" t="s">
        <v>35</v>
      </c>
      <c r="I357" s="5">
        <v>44501</v>
      </c>
      <c r="J357" s="6">
        <v>13629</v>
      </c>
      <c r="K357" s="6">
        <v>6256.2838268699998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4" t="s">
        <v>60</v>
      </c>
      <c r="R357" s="4">
        <v>0</v>
      </c>
      <c r="S357" s="4" t="s">
        <v>356</v>
      </c>
      <c r="U357" s="4">
        <v>22</v>
      </c>
      <c r="V357" s="4">
        <v>0</v>
      </c>
      <c r="W357" s="4">
        <v>0</v>
      </c>
    </row>
    <row r="358" spans="1:23" ht="11.25" customHeight="1" x14ac:dyDescent="0.25">
      <c r="A358" s="4" t="s">
        <v>21</v>
      </c>
      <c r="B358" s="4" t="s">
        <v>41</v>
      </c>
      <c r="C358" s="4" t="s">
        <v>40</v>
      </c>
      <c r="D358" s="4" t="s">
        <v>38</v>
      </c>
      <c r="E358" s="4" t="s">
        <v>25</v>
      </c>
      <c r="F358" s="4" t="s">
        <v>63</v>
      </c>
      <c r="G358" s="4" t="s">
        <v>25</v>
      </c>
      <c r="H358" s="4" t="s">
        <v>35</v>
      </c>
      <c r="I358" s="5">
        <v>44531</v>
      </c>
      <c r="J358" s="6">
        <v>13627</v>
      </c>
      <c r="K358" s="6">
        <v>6244.4569204999998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4" t="s">
        <v>60</v>
      </c>
      <c r="R358" s="4">
        <v>0</v>
      </c>
      <c r="S358" s="4" t="s">
        <v>357</v>
      </c>
      <c r="U358" s="4">
        <v>22</v>
      </c>
      <c r="V358" s="4">
        <v>0</v>
      </c>
      <c r="W358" s="4">
        <v>0</v>
      </c>
    </row>
    <row r="359" spans="1:23" ht="11.25" customHeight="1" x14ac:dyDescent="0.25">
      <c r="A359" s="4" t="s">
        <v>21</v>
      </c>
      <c r="B359" s="4" t="s">
        <v>41</v>
      </c>
      <c r="C359" s="4" t="s">
        <v>40</v>
      </c>
      <c r="D359" s="4" t="s">
        <v>38</v>
      </c>
      <c r="E359" s="4" t="s">
        <v>25</v>
      </c>
      <c r="F359" s="4" t="s">
        <v>63</v>
      </c>
      <c r="G359" s="4" t="s">
        <v>25</v>
      </c>
      <c r="H359" s="4" t="s">
        <v>35</v>
      </c>
      <c r="I359" s="5">
        <v>44562</v>
      </c>
      <c r="J359" s="6">
        <v>13958</v>
      </c>
      <c r="K359" s="6">
        <v>6426.2320736600004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4" t="s">
        <v>60</v>
      </c>
      <c r="R359" s="4">
        <v>0</v>
      </c>
      <c r="S359" s="4" t="s">
        <v>358</v>
      </c>
      <c r="U359" s="4">
        <v>22</v>
      </c>
      <c r="V359" s="4">
        <v>0</v>
      </c>
      <c r="W359" s="4">
        <v>0</v>
      </c>
    </row>
    <row r="360" spans="1:23" ht="11.25" customHeight="1" x14ac:dyDescent="0.25">
      <c r="A360" s="4" t="s">
        <v>21</v>
      </c>
      <c r="B360" s="4" t="s">
        <v>41</v>
      </c>
      <c r="C360" s="4" t="s">
        <v>40</v>
      </c>
      <c r="D360" s="4" t="s">
        <v>38</v>
      </c>
      <c r="E360" s="4" t="s">
        <v>25</v>
      </c>
      <c r="F360" s="4" t="s">
        <v>63</v>
      </c>
      <c r="G360" s="4" t="s">
        <v>25</v>
      </c>
      <c r="H360" s="4" t="s">
        <v>35</v>
      </c>
      <c r="I360" s="5">
        <v>44593</v>
      </c>
      <c r="J360" s="6">
        <v>13082</v>
      </c>
      <c r="K360" s="6">
        <v>5997.7436551800001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4" t="s">
        <v>60</v>
      </c>
      <c r="R360" s="4">
        <v>0</v>
      </c>
      <c r="S360" s="4" t="s">
        <v>359</v>
      </c>
      <c r="U360" s="4">
        <v>22</v>
      </c>
      <c r="V360" s="4">
        <v>0</v>
      </c>
      <c r="W360" s="4">
        <v>0</v>
      </c>
    </row>
    <row r="361" spans="1:23" ht="11.25" customHeight="1" x14ac:dyDescent="0.25">
      <c r="A361" s="4" t="s">
        <v>21</v>
      </c>
      <c r="B361" s="4" t="s">
        <v>41</v>
      </c>
      <c r="C361" s="4" t="s">
        <v>40</v>
      </c>
      <c r="D361" s="4" t="s">
        <v>38</v>
      </c>
      <c r="E361" s="4" t="s">
        <v>25</v>
      </c>
      <c r="F361" s="4" t="s">
        <v>63</v>
      </c>
      <c r="G361" s="4" t="s">
        <v>25</v>
      </c>
      <c r="H361" s="4" t="s">
        <v>35</v>
      </c>
      <c r="I361" s="5">
        <v>44621</v>
      </c>
      <c r="J361" s="6">
        <v>13062</v>
      </c>
      <c r="K361" s="6">
        <v>5945.0991570599999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4" t="s">
        <v>60</v>
      </c>
      <c r="R361" s="4">
        <v>0</v>
      </c>
      <c r="S361" s="4" t="s">
        <v>360</v>
      </c>
      <c r="U361" s="4">
        <v>22</v>
      </c>
      <c r="V361" s="4">
        <v>0</v>
      </c>
      <c r="W361" s="4">
        <v>0</v>
      </c>
    </row>
    <row r="362" spans="1:23" ht="11.25" customHeight="1" x14ac:dyDescent="0.25">
      <c r="A362" s="4" t="s">
        <v>21</v>
      </c>
      <c r="B362" s="4" t="s">
        <v>41</v>
      </c>
      <c r="C362" s="4" t="s">
        <v>40</v>
      </c>
      <c r="D362" s="4" t="s">
        <v>38</v>
      </c>
      <c r="E362" s="4" t="s">
        <v>25</v>
      </c>
      <c r="F362" s="4" t="s">
        <v>63</v>
      </c>
      <c r="G362" s="4" t="s">
        <v>25</v>
      </c>
      <c r="H362" s="4" t="s">
        <v>35</v>
      </c>
      <c r="I362" s="5">
        <v>44652</v>
      </c>
      <c r="J362" s="6">
        <v>13066</v>
      </c>
      <c r="K362" s="6">
        <v>5928.49876614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4" t="s">
        <v>60</v>
      </c>
      <c r="R362" s="4">
        <v>0</v>
      </c>
      <c r="S362" s="4" t="s">
        <v>361</v>
      </c>
      <c r="U362" s="4">
        <v>22</v>
      </c>
      <c r="V362" s="4">
        <v>0</v>
      </c>
      <c r="W362" s="4">
        <v>0</v>
      </c>
    </row>
    <row r="363" spans="1:23" ht="11.25" customHeight="1" x14ac:dyDescent="0.25">
      <c r="A363" s="4" t="s">
        <v>58</v>
      </c>
      <c r="B363" s="4" t="s">
        <v>41</v>
      </c>
      <c r="C363" s="4" t="s">
        <v>40</v>
      </c>
      <c r="D363" s="4" t="s">
        <v>38</v>
      </c>
      <c r="E363" s="4" t="s">
        <v>25</v>
      </c>
      <c r="F363" s="4" t="s">
        <v>63</v>
      </c>
      <c r="G363" s="4" t="s">
        <v>25</v>
      </c>
      <c r="H363" s="4" t="s">
        <v>35</v>
      </c>
      <c r="I363" s="5">
        <v>44682</v>
      </c>
      <c r="J363" s="6">
        <v>13066</v>
      </c>
      <c r="K363" s="6">
        <v>5928.49876614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4" t="s">
        <v>60</v>
      </c>
      <c r="R363" s="4">
        <v>0</v>
      </c>
      <c r="S363" s="4" t="s">
        <v>362</v>
      </c>
      <c r="U363" s="4">
        <v>22</v>
      </c>
      <c r="V363" s="4">
        <v>0</v>
      </c>
      <c r="W363" s="4">
        <v>0</v>
      </c>
    </row>
    <row r="364" spans="1:23" ht="11.25" customHeight="1" x14ac:dyDescent="0.25">
      <c r="A364" s="4" t="s">
        <v>21</v>
      </c>
      <c r="B364" s="4" t="s">
        <v>41</v>
      </c>
      <c r="C364" s="4" t="s">
        <v>40</v>
      </c>
      <c r="D364" s="4" t="s">
        <v>38</v>
      </c>
      <c r="E364" s="4" t="s">
        <v>25</v>
      </c>
      <c r="F364" s="4" t="s">
        <v>63</v>
      </c>
      <c r="G364" s="4" t="s">
        <v>25</v>
      </c>
      <c r="H364" s="4" t="s">
        <v>25</v>
      </c>
      <c r="I364" s="5">
        <v>44348</v>
      </c>
      <c r="J364" s="6">
        <v>0</v>
      </c>
      <c r="K364" s="6">
        <v>0</v>
      </c>
      <c r="L364" s="6">
        <v>6518.7150000000001</v>
      </c>
      <c r="M364" s="6">
        <v>6518.7150000000001</v>
      </c>
      <c r="N364" s="6">
        <v>0</v>
      </c>
      <c r="O364" s="6">
        <v>0</v>
      </c>
      <c r="P364" s="6">
        <v>17</v>
      </c>
      <c r="Q364" s="4" t="s">
        <v>60</v>
      </c>
      <c r="R364" s="4">
        <v>0</v>
      </c>
      <c r="S364" s="4" t="s">
        <v>375</v>
      </c>
      <c r="U364" s="4">
        <v>0</v>
      </c>
      <c r="V364" s="4">
        <v>23</v>
      </c>
      <c r="W364" s="4">
        <v>0</v>
      </c>
    </row>
    <row r="365" spans="1:23" ht="11.25" customHeight="1" x14ac:dyDescent="0.25">
      <c r="A365" s="4" t="s">
        <v>21</v>
      </c>
      <c r="B365" s="4" t="s">
        <v>41</v>
      </c>
      <c r="C365" s="4" t="s">
        <v>40</v>
      </c>
      <c r="D365" s="4" t="s">
        <v>38</v>
      </c>
      <c r="E365" s="4" t="s">
        <v>25</v>
      </c>
      <c r="F365" s="4" t="s">
        <v>63</v>
      </c>
      <c r="G365" s="4" t="s">
        <v>25</v>
      </c>
      <c r="H365" s="4" t="s">
        <v>25</v>
      </c>
      <c r="I365" s="5">
        <v>44378</v>
      </c>
      <c r="J365" s="6">
        <v>0</v>
      </c>
      <c r="K365" s="6">
        <v>0</v>
      </c>
      <c r="L365" s="6">
        <v>6026.5969999999998</v>
      </c>
      <c r="M365" s="6">
        <v>6026.5969999999998</v>
      </c>
      <c r="N365" s="6">
        <v>0</v>
      </c>
      <c r="O365" s="6">
        <v>0</v>
      </c>
      <c r="P365" s="6">
        <v>17</v>
      </c>
      <c r="Q365" s="4" t="s">
        <v>60</v>
      </c>
      <c r="R365" s="4">
        <v>0</v>
      </c>
      <c r="S365" s="4" t="s">
        <v>376</v>
      </c>
      <c r="U365" s="4">
        <v>0</v>
      </c>
      <c r="V365" s="4">
        <v>23</v>
      </c>
      <c r="W365" s="4">
        <v>0</v>
      </c>
    </row>
    <row r="366" spans="1:23" ht="11.25" customHeight="1" x14ac:dyDescent="0.25">
      <c r="A366" s="4" t="s">
        <v>21</v>
      </c>
      <c r="B366" s="4" t="s">
        <v>41</v>
      </c>
      <c r="C366" s="4" t="s">
        <v>40</v>
      </c>
      <c r="D366" s="4" t="s">
        <v>38</v>
      </c>
      <c r="E366" s="4" t="s">
        <v>25</v>
      </c>
      <c r="F366" s="4" t="s">
        <v>63</v>
      </c>
      <c r="G366" s="4" t="s">
        <v>25</v>
      </c>
      <c r="H366" s="4" t="s">
        <v>25</v>
      </c>
      <c r="I366" s="5">
        <v>44409</v>
      </c>
      <c r="J366" s="6">
        <v>0</v>
      </c>
      <c r="K366" s="6">
        <v>0</v>
      </c>
      <c r="L366" s="6">
        <v>4247.6530000000002</v>
      </c>
      <c r="M366" s="6">
        <v>4247.6530000000002</v>
      </c>
      <c r="N366" s="6">
        <v>0</v>
      </c>
      <c r="O366" s="6">
        <v>0</v>
      </c>
      <c r="P366" s="6">
        <v>18</v>
      </c>
      <c r="Q366" s="4" t="s">
        <v>60</v>
      </c>
      <c r="R366" s="4">
        <v>0</v>
      </c>
      <c r="S366" s="4" t="s">
        <v>377</v>
      </c>
      <c r="U366" s="4">
        <v>0</v>
      </c>
      <c r="V366" s="4">
        <v>23</v>
      </c>
      <c r="W366" s="4">
        <v>0</v>
      </c>
    </row>
    <row r="367" spans="1:23" ht="11.25" customHeight="1" x14ac:dyDescent="0.25">
      <c r="A367" s="4" t="s">
        <v>21</v>
      </c>
      <c r="B367" s="4" t="s">
        <v>41</v>
      </c>
      <c r="C367" s="4" t="s">
        <v>40</v>
      </c>
      <c r="D367" s="4" t="s">
        <v>38</v>
      </c>
      <c r="E367" s="4" t="s">
        <v>25</v>
      </c>
      <c r="F367" s="4" t="s">
        <v>63</v>
      </c>
      <c r="G367" s="4" t="s">
        <v>25</v>
      </c>
      <c r="H367" s="4" t="s">
        <v>25</v>
      </c>
      <c r="I367" s="5">
        <v>44440</v>
      </c>
      <c r="J367" s="6">
        <v>0</v>
      </c>
      <c r="K367" s="6">
        <v>0</v>
      </c>
      <c r="L367" s="6">
        <v>4578.7550000000001</v>
      </c>
      <c r="M367" s="6">
        <v>4578.7550000000001</v>
      </c>
      <c r="N367" s="6">
        <v>0</v>
      </c>
      <c r="O367" s="6">
        <v>0</v>
      </c>
      <c r="P367" s="6">
        <v>22</v>
      </c>
      <c r="Q367" s="4" t="s">
        <v>60</v>
      </c>
      <c r="R367" s="4">
        <v>0</v>
      </c>
      <c r="S367" s="4" t="s">
        <v>378</v>
      </c>
      <c r="U367" s="4">
        <v>0</v>
      </c>
      <c r="V367" s="4">
        <v>23</v>
      </c>
      <c r="W367" s="4">
        <v>0</v>
      </c>
    </row>
    <row r="368" spans="1:23" ht="11.25" customHeight="1" x14ac:dyDescent="0.25">
      <c r="A368" s="4" t="s">
        <v>21</v>
      </c>
      <c r="B368" s="4" t="s">
        <v>41</v>
      </c>
      <c r="C368" s="4" t="s">
        <v>40</v>
      </c>
      <c r="D368" s="4" t="s">
        <v>38</v>
      </c>
      <c r="E368" s="4" t="s">
        <v>25</v>
      </c>
      <c r="F368" s="4" t="s">
        <v>63</v>
      </c>
      <c r="G368" s="4" t="s">
        <v>25</v>
      </c>
      <c r="H368" s="4" t="s">
        <v>25</v>
      </c>
      <c r="I368" s="5">
        <v>44470</v>
      </c>
      <c r="J368" s="6">
        <v>0</v>
      </c>
      <c r="K368" s="6">
        <v>0</v>
      </c>
      <c r="L368" s="6">
        <v>4108.3670000000002</v>
      </c>
      <c r="M368" s="6">
        <v>4108.3670000000002</v>
      </c>
      <c r="N368" s="6">
        <v>0</v>
      </c>
      <c r="O368" s="6">
        <v>0</v>
      </c>
      <c r="P368" s="6">
        <v>22</v>
      </c>
      <c r="Q368" s="4" t="s">
        <v>60</v>
      </c>
      <c r="R368" s="4">
        <v>0</v>
      </c>
      <c r="S368" s="4" t="s">
        <v>379</v>
      </c>
      <c r="U368" s="4">
        <v>0</v>
      </c>
      <c r="V368" s="4">
        <v>23</v>
      </c>
      <c r="W368" s="4">
        <v>0</v>
      </c>
    </row>
    <row r="369" spans="1:23" ht="11.25" customHeight="1" x14ac:dyDescent="0.25">
      <c r="A369" s="4" t="s">
        <v>21</v>
      </c>
      <c r="B369" s="4" t="s">
        <v>41</v>
      </c>
      <c r="C369" s="4" t="s">
        <v>40</v>
      </c>
      <c r="D369" s="4" t="s">
        <v>38</v>
      </c>
      <c r="E369" s="4" t="s">
        <v>25</v>
      </c>
      <c r="F369" s="4" t="s">
        <v>63</v>
      </c>
      <c r="G369" s="4" t="s">
        <v>25</v>
      </c>
      <c r="H369" s="4" t="s">
        <v>25</v>
      </c>
      <c r="I369" s="5">
        <v>44501</v>
      </c>
      <c r="J369" s="6">
        <v>0</v>
      </c>
      <c r="K369" s="6">
        <v>0</v>
      </c>
      <c r="L369" s="6">
        <v>4393.1260000000002</v>
      </c>
      <c r="M369" s="6">
        <v>4393.1260000000002</v>
      </c>
      <c r="N369" s="6">
        <v>0</v>
      </c>
      <c r="O369" s="6">
        <v>0</v>
      </c>
      <c r="P369" s="6">
        <v>22</v>
      </c>
      <c r="Q369" s="4" t="s">
        <v>60</v>
      </c>
      <c r="R369" s="4">
        <v>0</v>
      </c>
      <c r="S369" s="4" t="s">
        <v>380</v>
      </c>
      <c r="U369" s="4">
        <v>0</v>
      </c>
      <c r="V369" s="4">
        <v>23</v>
      </c>
      <c r="W369" s="4">
        <v>0</v>
      </c>
    </row>
    <row r="370" spans="1:23" ht="11.25" customHeight="1" x14ac:dyDescent="0.25">
      <c r="A370" s="4" t="s">
        <v>21</v>
      </c>
      <c r="B370" s="4" t="s">
        <v>41</v>
      </c>
      <c r="C370" s="4" t="s">
        <v>40</v>
      </c>
      <c r="D370" s="4" t="s">
        <v>38</v>
      </c>
      <c r="E370" s="4" t="s">
        <v>25</v>
      </c>
      <c r="F370" s="4" t="s">
        <v>63</v>
      </c>
      <c r="G370" s="4" t="s">
        <v>25</v>
      </c>
      <c r="H370" s="4" t="s">
        <v>25</v>
      </c>
      <c r="I370" s="5">
        <v>44531</v>
      </c>
      <c r="J370" s="6">
        <v>0</v>
      </c>
      <c r="K370" s="6">
        <v>0</v>
      </c>
      <c r="L370" s="6">
        <v>4351.4920000000002</v>
      </c>
      <c r="M370" s="6">
        <v>4351.4920000000002</v>
      </c>
      <c r="N370" s="6">
        <v>0</v>
      </c>
      <c r="O370" s="6">
        <v>0</v>
      </c>
      <c r="P370" s="6">
        <v>22</v>
      </c>
      <c r="Q370" s="4" t="s">
        <v>60</v>
      </c>
      <c r="R370" s="4">
        <v>0</v>
      </c>
      <c r="S370" s="4" t="s">
        <v>381</v>
      </c>
      <c r="U370" s="4">
        <v>0</v>
      </c>
      <c r="V370" s="4">
        <v>23</v>
      </c>
      <c r="W370" s="4">
        <v>0</v>
      </c>
    </row>
    <row r="371" spans="1:23" ht="11.25" customHeight="1" x14ac:dyDescent="0.25">
      <c r="A371" s="4" t="s">
        <v>21</v>
      </c>
      <c r="B371" s="4" t="s">
        <v>41</v>
      </c>
      <c r="C371" s="4" t="s">
        <v>40</v>
      </c>
      <c r="D371" s="4" t="s">
        <v>38</v>
      </c>
      <c r="E371" s="4" t="s">
        <v>25</v>
      </c>
      <c r="F371" s="4" t="s">
        <v>63</v>
      </c>
      <c r="G371" s="4" t="s">
        <v>25</v>
      </c>
      <c r="H371" s="4" t="s">
        <v>25</v>
      </c>
      <c r="I371" s="5">
        <v>44562</v>
      </c>
      <c r="J371" s="6">
        <v>0</v>
      </c>
      <c r="K371" s="6">
        <v>0</v>
      </c>
      <c r="L371" s="6">
        <v>4381.7139999999999</v>
      </c>
      <c r="M371" s="6">
        <v>4381.7139999999999</v>
      </c>
      <c r="N371" s="6">
        <v>0</v>
      </c>
      <c r="O371" s="6">
        <v>0</v>
      </c>
      <c r="P371" s="6">
        <v>23</v>
      </c>
      <c r="Q371" s="4" t="s">
        <v>60</v>
      </c>
      <c r="R371" s="4">
        <v>0</v>
      </c>
      <c r="S371" s="4" t="s">
        <v>382</v>
      </c>
      <c r="U371" s="4">
        <v>0</v>
      </c>
      <c r="V371" s="4">
        <v>23</v>
      </c>
      <c r="W371" s="4">
        <v>0</v>
      </c>
    </row>
    <row r="372" spans="1:23" ht="11.25" customHeight="1" x14ac:dyDescent="0.25">
      <c r="A372" s="4" t="s">
        <v>21</v>
      </c>
      <c r="B372" s="4" t="s">
        <v>41</v>
      </c>
      <c r="C372" s="4" t="s">
        <v>40</v>
      </c>
      <c r="D372" s="4" t="s">
        <v>38</v>
      </c>
      <c r="E372" s="4" t="s">
        <v>25</v>
      </c>
      <c r="F372" s="4" t="s">
        <v>63</v>
      </c>
      <c r="G372" s="4" t="s">
        <v>25</v>
      </c>
      <c r="H372" s="4" t="s">
        <v>25</v>
      </c>
      <c r="I372" s="5">
        <v>44593</v>
      </c>
      <c r="J372" s="6">
        <v>0</v>
      </c>
      <c r="K372" s="6">
        <v>0</v>
      </c>
      <c r="L372" s="6">
        <v>4082.529</v>
      </c>
      <c r="M372" s="6">
        <v>4082.529</v>
      </c>
      <c r="N372" s="6">
        <v>0</v>
      </c>
      <c r="O372" s="6">
        <v>0</v>
      </c>
      <c r="P372" s="6">
        <v>22</v>
      </c>
      <c r="Q372" s="4" t="s">
        <v>60</v>
      </c>
      <c r="R372" s="4">
        <v>0</v>
      </c>
      <c r="S372" s="4" t="s">
        <v>383</v>
      </c>
      <c r="U372" s="4">
        <v>0</v>
      </c>
      <c r="V372" s="4">
        <v>23</v>
      </c>
      <c r="W372" s="4">
        <v>0</v>
      </c>
    </row>
    <row r="373" spans="1:23" ht="11.25" customHeight="1" x14ac:dyDescent="0.25">
      <c r="A373" s="4" t="s">
        <v>21</v>
      </c>
      <c r="B373" s="4" t="s">
        <v>41</v>
      </c>
      <c r="C373" s="4" t="s">
        <v>40</v>
      </c>
      <c r="D373" s="4" t="s">
        <v>38</v>
      </c>
      <c r="E373" s="4" t="s">
        <v>25</v>
      </c>
      <c r="F373" s="4" t="s">
        <v>63</v>
      </c>
      <c r="G373" s="4" t="s">
        <v>25</v>
      </c>
      <c r="H373" s="4" t="s">
        <v>25</v>
      </c>
      <c r="I373" s="5">
        <v>44621</v>
      </c>
      <c r="J373" s="6">
        <v>0</v>
      </c>
      <c r="K373" s="6">
        <v>0</v>
      </c>
      <c r="L373" s="6">
        <v>3441.7910000000002</v>
      </c>
      <c r="M373" s="6">
        <v>3441.7910000000002</v>
      </c>
      <c r="N373" s="6">
        <v>0</v>
      </c>
      <c r="O373" s="6">
        <v>0</v>
      </c>
      <c r="P373" s="6">
        <v>22</v>
      </c>
      <c r="Q373" s="4" t="s">
        <v>60</v>
      </c>
      <c r="R373" s="4">
        <v>0</v>
      </c>
      <c r="S373" s="4" t="s">
        <v>384</v>
      </c>
      <c r="U373" s="4">
        <v>0</v>
      </c>
      <c r="V373" s="4">
        <v>23</v>
      </c>
      <c r="W373" s="4">
        <v>0</v>
      </c>
    </row>
    <row r="374" spans="1:23" ht="11.25" customHeight="1" x14ac:dyDescent="0.25">
      <c r="A374" s="4" t="s">
        <v>21</v>
      </c>
      <c r="B374" s="4" t="s">
        <v>41</v>
      </c>
      <c r="C374" s="4" t="s">
        <v>40</v>
      </c>
      <c r="D374" s="4" t="s">
        <v>38</v>
      </c>
      <c r="E374" s="4" t="s">
        <v>25</v>
      </c>
      <c r="F374" s="4" t="s">
        <v>63</v>
      </c>
      <c r="G374" s="4" t="s">
        <v>25</v>
      </c>
      <c r="H374" s="4" t="s">
        <v>25</v>
      </c>
      <c r="I374" s="5">
        <v>44652</v>
      </c>
      <c r="J374" s="6">
        <v>0</v>
      </c>
      <c r="K374" s="6">
        <v>0</v>
      </c>
      <c r="L374" s="6">
        <v>3776.21</v>
      </c>
      <c r="M374" s="6">
        <v>3776.21</v>
      </c>
      <c r="N374" s="6">
        <v>0</v>
      </c>
      <c r="O374" s="6">
        <v>0</v>
      </c>
      <c r="P374" s="6">
        <v>22</v>
      </c>
      <c r="Q374" s="4" t="s">
        <v>60</v>
      </c>
      <c r="R374" s="4">
        <v>0</v>
      </c>
      <c r="S374" s="4" t="s">
        <v>385</v>
      </c>
      <c r="U374" s="4">
        <v>0</v>
      </c>
      <c r="V374" s="4">
        <v>23</v>
      </c>
      <c r="W374" s="4">
        <v>0</v>
      </c>
    </row>
    <row r="375" spans="1:23" ht="11.25" customHeight="1" x14ac:dyDescent="0.25">
      <c r="A375" s="4" t="s">
        <v>58</v>
      </c>
      <c r="B375" s="4" t="s">
        <v>41</v>
      </c>
      <c r="C375" s="4" t="s">
        <v>40</v>
      </c>
      <c r="D375" s="4" t="s">
        <v>38</v>
      </c>
      <c r="E375" s="4" t="s">
        <v>25</v>
      </c>
      <c r="F375" s="4" t="s">
        <v>63</v>
      </c>
      <c r="G375" s="4" t="s">
        <v>25</v>
      </c>
      <c r="H375" s="4" t="s">
        <v>25</v>
      </c>
      <c r="I375" s="5">
        <v>44682</v>
      </c>
      <c r="J375" s="6">
        <v>0</v>
      </c>
      <c r="K375" s="6">
        <v>0</v>
      </c>
      <c r="L375" s="6">
        <v>3776.21</v>
      </c>
      <c r="M375" s="6">
        <v>3776.21</v>
      </c>
      <c r="N375" s="6">
        <v>0</v>
      </c>
      <c r="O375" s="6">
        <v>0</v>
      </c>
      <c r="P375" s="6">
        <v>22</v>
      </c>
      <c r="Q375" s="4" t="s">
        <v>60</v>
      </c>
      <c r="R375" s="4">
        <v>0</v>
      </c>
      <c r="S375" s="4" t="s">
        <v>386</v>
      </c>
      <c r="U375" s="4">
        <v>0</v>
      </c>
      <c r="V375" s="4">
        <v>23</v>
      </c>
      <c r="W375" s="4">
        <v>0</v>
      </c>
    </row>
    <row r="376" spans="1:23" ht="11.25" customHeight="1" x14ac:dyDescent="0.25">
      <c r="A376" s="4" t="s">
        <v>21</v>
      </c>
      <c r="B376" s="4" t="s">
        <v>41</v>
      </c>
      <c r="C376" s="4" t="s">
        <v>40</v>
      </c>
      <c r="D376" s="4" t="s">
        <v>38</v>
      </c>
      <c r="E376" s="4" t="s">
        <v>25</v>
      </c>
      <c r="F376" s="4" t="s">
        <v>63</v>
      </c>
      <c r="G376" s="4" t="s">
        <v>25</v>
      </c>
      <c r="H376" s="4" t="s">
        <v>34</v>
      </c>
      <c r="I376" s="5">
        <v>44348</v>
      </c>
      <c r="J376" s="6">
        <v>15564</v>
      </c>
      <c r="K376" s="6">
        <v>12065.4867264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4" t="s">
        <v>60</v>
      </c>
      <c r="R376" s="4">
        <v>0</v>
      </c>
      <c r="S376" s="4" t="s">
        <v>363</v>
      </c>
      <c r="U376" s="4">
        <v>21</v>
      </c>
      <c r="V376" s="4">
        <v>0</v>
      </c>
      <c r="W376" s="4">
        <v>0</v>
      </c>
    </row>
    <row r="377" spans="1:23" ht="11.25" customHeight="1" x14ac:dyDescent="0.25">
      <c r="A377" s="4" t="s">
        <v>21</v>
      </c>
      <c r="B377" s="4" t="s">
        <v>41</v>
      </c>
      <c r="C377" s="4" t="s">
        <v>40</v>
      </c>
      <c r="D377" s="4" t="s">
        <v>38</v>
      </c>
      <c r="E377" s="4" t="s">
        <v>25</v>
      </c>
      <c r="F377" s="4" t="s">
        <v>63</v>
      </c>
      <c r="G377" s="4" t="s">
        <v>25</v>
      </c>
      <c r="H377" s="4" t="s">
        <v>34</v>
      </c>
      <c r="I377" s="5">
        <v>44378</v>
      </c>
      <c r="J377" s="6">
        <v>15573</v>
      </c>
      <c r="K377" s="6">
        <v>10961.54893545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4" t="s">
        <v>60</v>
      </c>
      <c r="R377" s="4">
        <v>0</v>
      </c>
      <c r="S377" s="4" t="s">
        <v>364</v>
      </c>
      <c r="U377" s="4">
        <v>21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41</v>
      </c>
      <c r="C378" s="4" t="s">
        <v>40</v>
      </c>
      <c r="D378" s="4" t="s">
        <v>38</v>
      </c>
      <c r="E378" s="4" t="s">
        <v>25</v>
      </c>
      <c r="F378" s="4" t="s">
        <v>63</v>
      </c>
      <c r="G378" s="4" t="s">
        <v>25</v>
      </c>
      <c r="H378" s="4" t="s">
        <v>34</v>
      </c>
      <c r="I378" s="5">
        <v>44409</v>
      </c>
      <c r="J378" s="6">
        <v>9884</v>
      </c>
      <c r="K378" s="6">
        <v>4311.5132799200001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4" t="s">
        <v>60</v>
      </c>
      <c r="R378" s="4">
        <v>0</v>
      </c>
      <c r="S378" s="4" t="s">
        <v>365</v>
      </c>
      <c r="U378" s="4">
        <v>21</v>
      </c>
      <c r="V378" s="4">
        <v>0</v>
      </c>
      <c r="W378" s="4">
        <v>0</v>
      </c>
    </row>
    <row r="379" spans="1:23" ht="11.25" customHeight="1" x14ac:dyDescent="0.25">
      <c r="A379" s="4" t="s">
        <v>21</v>
      </c>
      <c r="B379" s="4" t="s">
        <v>41</v>
      </c>
      <c r="C379" s="4" t="s">
        <v>40</v>
      </c>
      <c r="D379" s="4" t="s">
        <v>38</v>
      </c>
      <c r="E379" s="4" t="s">
        <v>25</v>
      </c>
      <c r="F379" s="4" t="s">
        <v>63</v>
      </c>
      <c r="G379" s="4" t="s">
        <v>25</v>
      </c>
      <c r="H379" s="4" t="s">
        <v>34</v>
      </c>
      <c r="I379" s="5">
        <v>44440</v>
      </c>
      <c r="J379" s="6">
        <v>10458</v>
      </c>
      <c r="K379" s="6">
        <v>4597.34642136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4" t="s">
        <v>60</v>
      </c>
      <c r="R379" s="4">
        <v>0</v>
      </c>
      <c r="S379" s="4" t="s">
        <v>366</v>
      </c>
      <c r="U379" s="4">
        <v>21</v>
      </c>
      <c r="V379" s="4">
        <v>0</v>
      </c>
      <c r="W379" s="4">
        <v>0</v>
      </c>
    </row>
    <row r="380" spans="1:23" ht="11.25" customHeight="1" x14ac:dyDescent="0.25">
      <c r="A380" s="4" t="s">
        <v>21</v>
      </c>
      <c r="B380" s="4" t="s">
        <v>41</v>
      </c>
      <c r="C380" s="4" t="s">
        <v>40</v>
      </c>
      <c r="D380" s="4" t="s">
        <v>38</v>
      </c>
      <c r="E380" s="4" t="s">
        <v>25</v>
      </c>
      <c r="F380" s="4" t="s">
        <v>63</v>
      </c>
      <c r="G380" s="4" t="s">
        <v>25</v>
      </c>
      <c r="H380" s="4" t="s">
        <v>34</v>
      </c>
      <c r="I380" s="5">
        <v>44470</v>
      </c>
      <c r="J380" s="6">
        <v>10721</v>
      </c>
      <c r="K380" s="6">
        <v>4798.28304088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4" t="s">
        <v>60</v>
      </c>
      <c r="R380" s="4">
        <v>0</v>
      </c>
      <c r="S380" s="4" t="s">
        <v>367</v>
      </c>
      <c r="U380" s="4">
        <v>21</v>
      </c>
      <c r="V380" s="4">
        <v>0</v>
      </c>
      <c r="W380" s="4">
        <v>0</v>
      </c>
    </row>
    <row r="381" spans="1:23" ht="11.25" customHeight="1" x14ac:dyDescent="0.25">
      <c r="A381" s="4" t="s">
        <v>21</v>
      </c>
      <c r="B381" s="4" t="s">
        <v>41</v>
      </c>
      <c r="C381" s="4" t="s">
        <v>40</v>
      </c>
      <c r="D381" s="4" t="s">
        <v>38</v>
      </c>
      <c r="E381" s="4" t="s">
        <v>25</v>
      </c>
      <c r="F381" s="4" t="s">
        <v>63</v>
      </c>
      <c r="G381" s="4" t="s">
        <v>25</v>
      </c>
      <c r="H381" s="4" t="s">
        <v>34</v>
      </c>
      <c r="I381" s="5">
        <v>44501</v>
      </c>
      <c r="J381" s="6">
        <v>10820</v>
      </c>
      <c r="K381" s="6">
        <v>4835.0066978000004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4" t="s">
        <v>60</v>
      </c>
      <c r="R381" s="4">
        <v>0</v>
      </c>
      <c r="S381" s="4" t="s">
        <v>368</v>
      </c>
      <c r="U381" s="4">
        <v>21</v>
      </c>
      <c r="V381" s="4">
        <v>0</v>
      </c>
      <c r="W381" s="4">
        <v>0</v>
      </c>
    </row>
    <row r="382" spans="1:23" ht="11.25" customHeight="1" x14ac:dyDescent="0.25">
      <c r="A382" s="4" t="s">
        <v>21</v>
      </c>
      <c r="B382" s="4" t="s">
        <v>41</v>
      </c>
      <c r="C382" s="4" t="s">
        <v>40</v>
      </c>
      <c r="D382" s="4" t="s">
        <v>38</v>
      </c>
      <c r="E382" s="4" t="s">
        <v>25</v>
      </c>
      <c r="F382" s="4" t="s">
        <v>63</v>
      </c>
      <c r="G382" s="4" t="s">
        <v>25</v>
      </c>
      <c r="H382" s="4" t="s">
        <v>34</v>
      </c>
      <c r="I382" s="5">
        <v>44531</v>
      </c>
      <c r="J382" s="6">
        <v>10902</v>
      </c>
      <c r="K382" s="6">
        <v>4865.8107295199998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4" t="s">
        <v>60</v>
      </c>
      <c r="R382" s="4">
        <v>0</v>
      </c>
      <c r="S382" s="4" t="s">
        <v>369</v>
      </c>
      <c r="U382" s="4">
        <v>21</v>
      </c>
      <c r="V382" s="4">
        <v>0</v>
      </c>
      <c r="W382" s="4">
        <v>0</v>
      </c>
    </row>
    <row r="383" spans="1:23" ht="11.25" customHeight="1" x14ac:dyDescent="0.25">
      <c r="A383" s="4" t="s">
        <v>21</v>
      </c>
      <c r="B383" s="4" t="s">
        <v>41</v>
      </c>
      <c r="C383" s="4" t="s">
        <v>40</v>
      </c>
      <c r="D383" s="4" t="s">
        <v>38</v>
      </c>
      <c r="E383" s="4" t="s">
        <v>25</v>
      </c>
      <c r="F383" s="4" t="s">
        <v>63</v>
      </c>
      <c r="G383" s="4" t="s">
        <v>25</v>
      </c>
      <c r="H383" s="4" t="s">
        <v>34</v>
      </c>
      <c r="I383" s="5">
        <v>44562</v>
      </c>
      <c r="J383" s="6">
        <v>11175</v>
      </c>
      <c r="K383" s="6">
        <v>5019.2626485000001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4" t="s">
        <v>60</v>
      </c>
      <c r="R383" s="4">
        <v>0</v>
      </c>
      <c r="S383" s="4" t="s">
        <v>370</v>
      </c>
      <c r="U383" s="4">
        <v>21</v>
      </c>
      <c r="V383" s="4">
        <v>0</v>
      </c>
      <c r="W383" s="4">
        <v>0</v>
      </c>
    </row>
    <row r="384" spans="1:23" ht="11.25" customHeight="1" x14ac:dyDescent="0.25">
      <c r="A384" s="4" t="s">
        <v>21</v>
      </c>
      <c r="B384" s="4" t="s">
        <v>41</v>
      </c>
      <c r="C384" s="4" t="s">
        <v>40</v>
      </c>
      <c r="D384" s="4" t="s">
        <v>38</v>
      </c>
      <c r="E384" s="4" t="s">
        <v>25</v>
      </c>
      <c r="F384" s="4" t="s">
        <v>63</v>
      </c>
      <c r="G384" s="4" t="s">
        <v>25</v>
      </c>
      <c r="H384" s="4" t="s">
        <v>34</v>
      </c>
      <c r="I384" s="5">
        <v>44593</v>
      </c>
      <c r="J384" s="6">
        <v>10471</v>
      </c>
      <c r="K384" s="6">
        <v>4674.6753342000002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4" t="s">
        <v>60</v>
      </c>
      <c r="R384" s="4">
        <v>0</v>
      </c>
      <c r="S384" s="4" t="s">
        <v>371</v>
      </c>
      <c r="U384" s="4">
        <v>21</v>
      </c>
      <c r="V384" s="4">
        <v>0</v>
      </c>
      <c r="W384" s="4">
        <v>0</v>
      </c>
    </row>
    <row r="385" spans="1:23" ht="11.25" customHeight="1" x14ac:dyDescent="0.25">
      <c r="A385" s="4" t="s">
        <v>21</v>
      </c>
      <c r="B385" s="4" t="s">
        <v>41</v>
      </c>
      <c r="C385" s="4" t="s">
        <v>40</v>
      </c>
      <c r="D385" s="4" t="s">
        <v>38</v>
      </c>
      <c r="E385" s="4" t="s">
        <v>25</v>
      </c>
      <c r="F385" s="4" t="s">
        <v>63</v>
      </c>
      <c r="G385" s="4" t="s">
        <v>25</v>
      </c>
      <c r="H385" s="4" t="s">
        <v>34</v>
      </c>
      <c r="I385" s="5">
        <v>44621</v>
      </c>
      <c r="J385" s="6">
        <v>10488</v>
      </c>
      <c r="K385" s="6">
        <v>4650.2599514399999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4" t="s">
        <v>60</v>
      </c>
      <c r="R385" s="4">
        <v>0</v>
      </c>
      <c r="S385" s="4" t="s">
        <v>372</v>
      </c>
      <c r="U385" s="4">
        <v>21</v>
      </c>
      <c r="V385" s="4">
        <v>0</v>
      </c>
      <c r="W385" s="4">
        <v>0</v>
      </c>
    </row>
    <row r="386" spans="1:23" ht="11.25" customHeight="1" x14ac:dyDescent="0.25">
      <c r="A386" s="4" t="s">
        <v>21</v>
      </c>
      <c r="B386" s="4" t="s">
        <v>41</v>
      </c>
      <c r="C386" s="4" t="s">
        <v>40</v>
      </c>
      <c r="D386" s="4" t="s">
        <v>38</v>
      </c>
      <c r="E386" s="4" t="s">
        <v>25</v>
      </c>
      <c r="F386" s="4" t="s">
        <v>63</v>
      </c>
      <c r="G386" s="4" t="s">
        <v>25</v>
      </c>
      <c r="H386" s="4" t="s">
        <v>34</v>
      </c>
      <c r="I386" s="5">
        <v>44652</v>
      </c>
      <c r="J386" s="6">
        <v>10467</v>
      </c>
      <c r="K386" s="6">
        <v>4623.80729832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4" t="s">
        <v>60</v>
      </c>
      <c r="R386" s="4">
        <v>0</v>
      </c>
      <c r="S386" s="4" t="s">
        <v>373</v>
      </c>
      <c r="U386" s="4">
        <v>21</v>
      </c>
      <c r="V386" s="4">
        <v>0</v>
      </c>
      <c r="W386" s="4">
        <v>0</v>
      </c>
    </row>
    <row r="387" spans="1:23" ht="11.25" customHeight="1" x14ac:dyDescent="0.25">
      <c r="A387" s="4" t="s">
        <v>58</v>
      </c>
      <c r="B387" s="4" t="s">
        <v>41</v>
      </c>
      <c r="C387" s="4" t="s">
        <v>40</v>
      </c>
      <c r="D387" s="4" t="s">
        <v>38</v>
      </c>
      <c r="E387" s="4" t="s">
        <v>25</v>
      </c>
      <c r="F387" s="4" t="s">
        <v>63</v>
      </c>
      <c r="G387" s="4" t="s">
        <v>25</v>
      </c>
      <c r="H387" s="4" t="s">
        <v>34</v>
      </c>
      <c r="I387" s="5">
        <v>44682</v>
      </c>
      <c r="J387" s="6">
        <v>10467</v>
      </c>
      <c r="K387" s="6">
        <v>4623.80729832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60</v>
      </c>
      <c r="R387" s="4">
        <v>0</v>
      </c>
      <c r="S387" s="4" t="s">
        <v>374</v>
      </c>
      <c r="U387" s="4">
        <v>21</v>
      </c>
      <c r="V387" s="4">
        <v>0</v>
      </c>
      <c r="W387" s="4">
        <v>0</v>
      </c>
    </row>
    <row r="388" spans="1:23" ht="11.25" customHeight="1" x14ac:dyDescent="0.25">
      <c r="A388" s="4" t="s">
        <v>21</v>
      </c>
      <c r="B388" s="4" t="s">
        <v>41</v>
      </c>
      <c r="C388" s="4" t="s">
        <v>40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35</v>
      </c>
      <c r="I388" s="5">
        <v>44348</v>
      </c>
      <c r="J388" s="6">
        <v>998</v>
      </c>
      <c r="K388" s="6">
        <v>998</v>
      </c>
      <c r="L388" s="6">
        <v>149.62</v>
      </c>
      <c r="M388" s="6">
        <v>149.62</v>
      </c>
      <c r="N388" s="6">
        <v>149.62</v>
      </c>
      <c r="O388" s="6">
        <v>149.62</v>
      </c>
      <c r="P388" s="6">
        <v>0</v>
      </c>
      <c r="Q388" s="4" t="s">
        <v>26</v>
      </c>
      <c r="R388" s="4">
        <v>0</v>
      </c>
      <c r="S388" s="4" t="s">
        <v>351</v>
      </c>
      <c r="T388" s="4" t="s">
        <v>707</v>
      </c>
      <c r="U388" s="4">
        <v>22</v>
      </c>
      <c r="V388" s="4">
        <v>23</v>
      </c>
      <c r="W388" s="4">
        <v>79</v>
      </c>
    </row>
    <row r="389" spans="1:23" ht="11.25" customHeight="1" x14ac:dyDescent="0.25">
      <c r="A389" s="4" t="s">
        <v>28</v>
      </c>
      <c r="B389" s="4" t="s">
        <v>41</v>
      </c>
      <c r="C389" s="4" t="s">
        <v>40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35</v>
      </c>
      <c r="I389" s="5">
        <v>44348</v>
      </c>
      <c r="J389" s="6">
        <v>110</v>
      </c>
      <c r="K389" s="6">
        <v>110</v>
      </c>
      <c r="L389" s="6">
        <v>42.968000000000004</v>
      </c>
      <c r="M389" s="6">
        <v>42.968000000000004</v>
      </c>
      <c r="N389" s="6">
        <v>42.968000000000004</v>
      </c>
      <c r="O389" s="6">
        <v>42.968000000000004</v>
      </c>
      <c r="P389" s="6">
        <v>0</v>
      </c>
      <c r="Q389" s="4" t="s">
        <v>26</v>
      </c>
      <c r="R389" s="4">
        <v>0</v>
      </c>
      <c r="S389" s="4" t="s">
        <v>351</v>
      </c>
      <c r="T389" s="4" t="s">
        <v>707</v>
      </c>
      <c r="U389" s="4">
        <v>22</v>
      </c>
      <c r="V389" s="4">
        <v>23</v>
      </c>
      <c r="W389" s="4">
        <v>79</v>
      </c>
    </row>
    <row r="390" spans="1:23" ht="11.25" customHeight="1" x14ac:dyDescent="0.25">
      <c r="A390" s="4" t="s">
        <v>21</v>
      </c>
      <c r="B390" s="4" t="s">
        <v>41</v>
      </c>
      <c r="C390" s="4" t="s">
        <v>40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35</v>
      </c>
      <c r="I390" s="5">
        <v>44348</v>
      </c>
      <c r="J390" s="6">
        <v>4000</v>
      </c>
      <c r="K390" s="6">
        <v>4000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4" t="s">
        <v>60</v>
      </c>
      <c r="R390" s="4">
        <v>0</v>
      </c>
      <c r="S390" s="4" t="s">
        <v>351</v>
      </c>
      <c r="U390" s="4">
        <v>22</v>
      </c>
      <c r="V390" s="4">
        <v>0</v>
      </c>
      <c r="W390" s="4">
        <v>0</v>
      </c>
    </row>
    <row r="391" spans="1:23" ht="11.25" customHeight="1" x14ac:dyDescent="0.25">
      <c r="A391" s="4" t="s">
        <v>21</v>
      </c>
      <c r="B391" s="4" t="s">
        <v>41</v>
      </c>
      <c r="C391" s="4" t="s">
        <v>40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35</v>
      </c>
      <c r="I391" s="5">
        <v>44378</v>
      </c>
      <c r="J391" s="6">
        <v>115</v>
      </c>
      <c r="K391" s="6">
        <v>115</v>
      </c>
      <c r="L391" s="6">
        <v>35.67</v>
      </c>
      <c r="M391" s="6">
        <v>35.67</v>
      </c>
      <c r="N391" s="6">
        <v>35.67</v>
      </c>
      <c r="O391" s="6">
        <v>35.67</v>
      </c>
      <c r="P391" s="6">
        <v>0</v>
      </c>
      <c r="Q391" s="4" t="s">
        <v>26</v>
      </c>
      <c r="R391" s="4">
        <v>0</v>
      </c>
      <c r="S391" s="4" t="s">
        <v>352</v>
      </c>
      <c r="T391" s="4" t="s">
        <v>708</v>
      </c>
      <c r="U391" s="4">
        <v>22</v>
      </c>
      <c r="V391" s="4">
        <v>23</v>
      </c>
      <c r="W391" s="4">
        <v>79</v>
      </c>
    </row>
    <row r="392" spans="1:23" ht="11.25" customHeight="1" x14ac:dyDescent="0.25">
      <c r="A392" s="4" t="s">
        <v>28</v>
      </c>
      <c r="B392" s="4" t="s">
        <v>41</v>
      </c>
      <c r="C392" s="4" t="s">
        <v>40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35</v>
      </c>
      <c r="I392" s="5">
        <v>44378</v>
      </c>
      <c r="J392" s="6">
        <v>116</v>
      </c>
      <c r="K392" s="6">
        <v>116</v>
      </c>
      <c r="L392" s="6">
        <v>49.651000000000003</v>
      </c>
      <c r="M392" s="6">
        <v>49.651000000000003</v>
      </c>
      <c r="N392" s="6">
        <v>49.651000000000003</v>
      </c>
      <c r="O392" s="6">
        <v>49.651000000000003</v>
      </c>
      <c r="P392" s="6">
        <v>0</v>
      </c>
      <c r="Q392" s="4" t="s">
        <v>26</v>
      </c>
      <c r="R392" s="4">
        <v>0</v>
      </c>
      <c r="S392" s="4" t="s">
        <v>352</v>
      </c>
      <c r="T392" s="4" t="s">
        <v>708</v>
      </c>
      <c r="U392" s="4">
        <v>22</v>
      </c>
      <c r="V392" s="4">
        <v>23</v>
      </c>
      <c r="W392" s="4">
        <v>79</v>
      </c>
    </row>
    <row r="393" spans="1:23" ht="11.25" customHeight="1" x14ac:dyDescent="0.25">
      <c r="A393" s="4" t="s">
        <v>21</v>
      </c>
      <c r="B393" s="4" t="s">
        <v>41</v>
      </c>
      <c r="C393" s="4" t="s">
        <v>40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35</v>
      </c>
      <c r="I393" s="5">
        <v>44378</v>
      </c>
      <c r="J393" s="6">
        <v>4000</v>
      </c>
      <c r="K393" s="6">
        <v>4000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4" t="s">
        <v>60</v>
      </c>
      <c r="R393" s="4">
        <v>0</v>
      </c>
      <c r="S393" s="4" t="s">
        <v>352</v>
      </c>
      <c r="U393" s="4">
        <v>22</v>
      </c>
      <c r="V393" s="4">
        <v>0</v>
      </c>
      <c r="W393" s="4">
        <v>0</v>
      </c>
    </row>
    <row r="394" spans="1:23" ht="11.25" customHeight="1" x14ac:dyDescent="0.25">
      <c r="A394" s="4" t="s">
        <v>21</v>
      </c>
      <c r="B394" s="4" t="s">
        <v>41</v>
      </c>
      <c r="C394" s="4" t="s">
        <v>40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35</v>
      </c>
      <c r="I394" s="5">
        <v>44409</v>
      </c>
      <c r="J394" s="6">
        <v>115</v>
      </c>
      <c r="K394" s="6">
        <v>115</v>
      </c>
      <c r="L394" s="6">
        <v>39.893000000000001</v>
      </c>
      <c r="M394" s="6">
        <v>39.893000000000001</v>
      </c>
      <c r="N394" s="6">
        <v>39.893000000000001</v>
      </c>
      <c r="O394" s="6">
        <v>39.893000000000001</v>
      </c>
      <c r="P394" s="6">
        <v>0</v>
      </c>
      <c r="Q394" s="4" t="s">
        <v>26</v>
      </c>
      <c r="R394" s="4">
        <v>0</v>
      </c>
      <c r="S394" s="4" t="s">
        <v>353</v>
      </c>
      <c r="T394" s="4" t="s">
        <v>709</v>
      </c>
      <c r="U394" s="4">
        <v>22</v>
      </c>
      <c r="V394" s="4">
        <v>23</v>
      </c>
      <c r="W394" s="4">
        <v>79</v>
      </c>
    </row>
    <row r="395" spans="1:23" ht="11.25" customHeight="1" x14ac:dyDescent="0.25">
      <c r="A395" s="4" t="s">
        <v>28</v>
      </c>
      <c r="B395" s="4" t="s">
        <v>41</v>
      </c>
      <c r="C395" s="4" t="s">
        <v>40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35</v>
      </c>
      <c r="I395" s="5">
        <v>44409</v>
      </c>
      <c r="J395" s="6">
        <v>113</v>
      </c>
      <c r="K395" s="6">
        <v>113</v>
      </c>
      <c r="L395" s="6">
        <v>48.134</v>
      </c>
      <c r="M395" s="6">
        <v>48.134</v>
      </c>
      <c r="N395" s="6">
        <v>48.134</v>
      </c>
      <c r="O395" s="6">
        <v>48.134</v>
      </c>
      <c r="P395" s="6">
        <v>0</v>
      </c>
      <c r="Q395" s="4" t="s">
        <v>26</v>
      </c>
      <c r="R395" s="4">
        <v>0</v>
      </c>
      <c r="S395" s="4" t="s">
        <v>353</v>
      </c>
      <c r="T395" s="4" t="s">
        <v>709</v>
      </c>
      <c r="U395" s="4">
        <v>22</v>
      </c>
      <c r="V395" s="4">
        <v>23</v>
      </c>
      <c r="W395" s="4">
        <v>79</v>
      </c>
    </row>
    <row r="396" spans="1:23" ht="11.25" customHeight="1" x14ac:dyDescent="0.25">
      <c r="A396" s="4" t="s">
        <v>21</v>
      </c>
      <c r="B396" s="4" t="s">
        <v>41</v>
      </c>
      <c r="C396" s="4" t="s">
        <v>40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44409</v>
      </c>
      <c r="J396" s="6">
        <v>9980</v>
      </c>
      <c r="K396" s="6">
        <v>9980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4" t="s">
        <v>60</v>
      </c>
      <c r="R396" s="4">
        <v>0</v>
      </c>
      <c r="S396" s="4" t="s">
        <v>353</v>
      </c>
      <c r="U396" s="4">
        <v>22</v>
      </c>
      <c r="V396" s="4">
        <v>0</v>
      </c>
      <c r="W396" s="4">
        <v>0</v>
      </c>
    </row>
    <row r="397" spans="1:23" ht="11.25" customHeight="1" x14ac:dyDescent="0.25">
      <c r="A397" s="4" t="s">
        <v>28</v>
      </c>
      <c r="B397" s="4" t="s">
        <v>41</v>
      </c>
      <c r="C397" s="4" t="s">
        <v>40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44440</v>
      </c>
      <c r="J397" s="6">
        <v>215</v>
      </c>
      <c r="K397" s="6">
        <v>215</v>
      </c>
      <c r="L397" s="6">
        <v>67.403000000000006</v>
      </c>
      <c r="M397" s="6">
        <v>67.403000000000006</v>
      </c>
      <c r="N397" s="6">
        <v>67.403000000000006</v>
      </c>
      <c r="O397" s="6">
        <v>67.403000000000006</v>
      </c>
      <c r="P397" s="6">
        <v>0</v>
      </c>
      <c r="Q397" s="4" t="s">
        <v>26</v>
      </c>
      <c r="R397" s="4">
        <v>0</v>
      </c>
      <c r="S397" s="4" t="s">
        <v>354</v>
      </c>
      <c r="T397" s="4" t="s">
        <v>710</v>
      </c>
      <c r="U397" s="4">
        <v>22</v>
      </c>
      <c r="V397" s="4">
        <v>23</v>
      </c>
      <c r="W397" s="4">
        <v>79</v>
      </c>
    </row>
    <row r="398" spans="1:23" ht="11.25" customHeight="1" x14ac:dyDescent="0.25">
      <c r="A398" s="4" t="s">
        <v>21</v>
      </c>
      <c r="B398" s="4" t="s">
        <v>41</v>
      </c>
      <c r="C398" s="4" t="s">
        <v>40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44440</v>
      </c>
      <c r="J398" s="6">
        <v>10040</v>
      </c>
      <c r="K398" s="6">
        <v>10040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4" t="s">
        <v>60</v>
      </c>
      <c r="R398" s="4">
        <v>0</v>
      </c>
      <c r="S398" s="4" t="s">
        <v>354</v>
      </c>
      <c r="U398" s="4">
        <v>22</v>
      </c>
      <c r="V398" s="4">
        <v>0</v>
      </c>
      <c r="W398" s="4">
        <v>0</v>
      </c>
    </row>
    <row r="399" spans="1:23" ht="11.25" customHeight="1" x14ac:dyDescent="0.25">
      <c r="A399" s="4" t="s">
        <v>28</v>
      </c>
      <c r="B399" s="4" t="s">
        <v>41</v>
      </c>
      <c r="C399" s="4" t="s">
        <v>40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44470</v>
      </c>
      <c r="J399" s="6">
        <v>217</v>
      </c>
      <c r="K399" s="6">
        <v>217</v>
      </c>
      <c r="L399" s="6">
        <v>65.813999999999993</v>
      </c>
      <c r="M399" s="6">
        <v>65.813999999999993</v>
      </c>
      <c r="N399" s="6">
        <v>65.813999999999993</v>
      </c>
      <c r="O399" s="6">
        <v>65.813999999999993</v>
      </c>
      <c r="P399" s="6">
        <v>0</v>
      </c>
      <c r="Q399" s="4" t="s">
        <v>26</v>
      </c>
      <c r="R399" s="4">
        <v>0</v>
      </c>
      <c r="S399" s="4" t="s">
        <v>355</v>
      </c>
      <c r="T399" s="4" t="s">
        <v>711</v>
      </c>
      <c r="U399" s="4">
        <v>22</v>
      </c>
      <c r="V399" s="4">
        <v>23</v>
      </c>
      <c r="W399" s="4">
        <v>79</v>
      </c>
    </row>
    <row r="400" spans="1:23" ht="11.25" customHeight="1" x14ac:dyDescent="0.25">
      <c r="A400" s="4" t="s">
        <v>21</v>
      </c>
      <c r="B400" s="4" t="s">
        <v>41</v>
      </c>
      <c r="C400" s="4" t="s">
        <v>40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44470</v>
      </c>
      <c r="J400" s="6">
        <v>10053</v>
      </c>
      <c r="K400" s="6">
        <v>10053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4" t="s">
        <v>60</v>
      </c>
      <c r="R400" s="4">
        <v>0</v>
      </c>
      <c r="S400" s="4" t="s">
        <v>355</v>
      </c>
      <c r="U400" s="4">
        <v>22</v>
      </c>
      <c r="V400" s="4">
        <v>0</v>
      </c>
      <c r="W400" s="4">
        <v>0</v>
      </c>
    </row>
    <row r="401" spans="1:23" ht="11.25" customHeight="1" x14ac:dyDescent="0.25">
      <c r="A401" s="4" t="s">
        <v>28</v>
      </c>
      <c r="B401" s="4" t="s">
        <v>41</v>
      </c>
      <c r="C401" s="4" t="s">
        <v>40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44501</v>
      </c>
      <c r="J401" s="6">
        <v>215</v>
      </c>
      <c r="K401" s="6">
        <v>215</v>
      </c>
      <c r="L401" s="6">
        <v>68.509</v>
      </c>
      <c r="M401" s="6">
        <v>68.509</v>
      </c>
      <c r="N401" s="6">
        <v>68.509</v>
      </c>
      <c r="O401" s="6">
        <v>68.509</v>
      </c>
      <c r="P401" s="6">
        <v>0</v>
      </c>
      <c r="Q401" s="4" t="s">
        <v>26</v>
      </c>
      <c r="R401" s="4">
        <v>0</v>
      </c>
      <c r="S401" s="4" t="s">
        <v>356</v>
      </c>
      <c r="T401" s="4" t="s">
        <v>712</v>
      </c>
      <c r="U401" s="4">
        <v>22</v>
      </c>
      <c r="V401" s="4">
        <v>23</v>
      </c>
      <c r="W401" s="4">
        <v>79</v>
      </c>
    </row>
    <row r="402" spans="1:23" ht="11.25" customHeight="1" x14ac:dyDescent="0.25">
      <c r="A402" s="4" t="s">
        <v>21</v>
      </c>
      <c r="B402" s="4" t="s">
        <v>41</v>
      </c>
      <c r="C402" s="4" t="s">
        <v>40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44501</v>
      </c>
      <c r="J402" s="6">
        <v>10023</v>
      </c>
      <c r="K402" s="6">
        <v>10023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4" t="s">
        <v>60</v>
      </c>
      <c r="R402" s="4">
        <v>0</v>
      </c>
      <c r="S402" s="4" t="s">
        <v>356</v>
      </c>
      <c r="U402" s="4">
        <v>22</v>
      </c>
      <c r="V402" s="4">
        <v>0</v>
      </c>
      <c r="W402" s="4">
        <v>0</v>
      </c>
    </row>
    <row r="403" spans="1:23" ht="11.25" customHeight="1" x14ac:dyDescent="0.25">
      <c r="A403" s="4" t="s">
        <v>28</v>
      </c>
      <c r="B403" s="4" t="s">
        <v>41</v>
      </c>
      <c r="C403" s="4" t="s">
        <v>40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44531</v>
      </c>
      <c r="J403" s="6">
        <v>215</v>
      </c>
      <c r="K403" s="6">
        <v>215</v>
      </c>
      <c r="L403" s="6">
        <v>66.444999999999993</v>
      </c>
      <c r="M403" s="6">
        <v>66.444999999999993</v>
      </c>
      <c r="N403" s="6">
        <v>66.444999999999993</v>
      </c>
      <c r="O403" s="6">
        <v>66.444999999999993</v>
      </c>
      <c r="P403" s="6">
        <v>0</v>
      </c>
      <c r="Q403" s="4" t="s">
        <v>26</v>
      </c>
      <c r="R403" s="4">
        <v>0</v>
      </c>
      <c r="S403" s="4" t="s">
        <v>357</v>
      </c>
      <c r="T403" s="4" t="s">
        <v>713</v>
      </c>
      <c r="U403" s="4">
        <v>22</v>
      </c>
      <c r="V403" s="4">
        <v>23</v>
      </c>
      <c r="W403" s="4">
        <v>79</v>
      </c>
    </row>
    <row r="404" spans="1:23" ht="11.25" customHeight="1" x14ac:dyDescent="0.25">
      <c r="A404" s="4" t="s">
        <v>21</v>
      </c>
      <c r="B404" s="4" t="s">
        <v>41</v>
      </c>
      <c r="C404" s="4" t="s">
        <v>40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35</v>
      </c>
      <c r="I404" s="5">
        <v>44531</v>
      </c>
      <c r="J404" s="6">
        <v>10035</v>
      </c>
      <c r="K404" s="6">
        <v>10035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60</v>
      </c>
      <c r="R404" s="4">
        <v>0</v>
      </c>
      <c r="S404" s="4" t="s">
        <v>357</v>
      </c>
      <c r="U404" s="4">
        <v>22</v>
      </c>
      <c r="V404" s="4">
        <v>0</v>
      </c>
      <c r="W404" s="4">
        <v>0</v>
      </c>
    </row>
    <row r="405" spans="1:23" ht="11.25" customHeight="1" x14ac:dyDescent="0.25">
      <c r="A405" s="4" t="s">
        <v>28</v>
      </c>
      <c r="B405" s="4" t="s">
        <v>41</v>
      </c>
      <c r="C405" s="4" t="s">
        <v>40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35</v>
      </c>
      <c r="I405" s="5">
        <v>44562</v>
      </c>
      <c r="J405" s="6">
        <v>215</v>
      </c>
      <c r="K405" s="6">
        <v>215</v>
      </c>
      <c r="L405" s="6">
        <v>69.826999999999998</v>
      </c>
      <c r="M405" s="6">
        <v>69.826999999999998</v>
      </c>
      <c r="N405" s="6">
        <v>69.826999999999998</v>
      </c>
      <c r="O405" s="6">
        <v>69.826999999999998</v>
      </c>
      <c r="P405" s="6">
        <v>0</v>
      </c>
      <c r="Q405" s="4" t="s">
        <v>26</v>
      </c>
      <c r="R405" s="4">
        <v>0</v>
      </c>
      <c r="S405" s="4" t="s">
        <v>358</v>
      </c>
      <c r="T405" s="4" t="s">
        <v>714</v>
      </c>
      <c r="U405" s="4">
        <v>22</v>
      </c>
      <c r="V405" s="4">
        <v>23</v>
      </c>
      <c r="W405" s="4">
        <v>79</v>
      </c>
    </row>
    <row r="406" spans="1:23" ht="11.25" customHeight="1" x14ac:dyDescent="0.25">
      <c r="A406" s="4" t="s">
        <v>21</v>
      </c>
      <c r="B406" s="4" t="s">
        <v>41</v>
      </c>
      <c r="C406" s="4" t="s">
        <v>40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35</v>
      </c>
      <c r="I406" s="5">
        <v>44562</v>
      </c>
      <c r="J406" s="6">
        <v>10099</v>
      </c>
      <c r="K406" s="6">
        <v>10099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60</v>
      </c>
      <c r="R406" s="4">
        <v>0</v>
      </c>
      <c r="S406" s="4" t="s">
        <v>358</v>
      </c>
      <c r="U406" s="4">
        <v>22</v>
      </c>
      <c r="V406" s="4">
        <v>0</v>
      </c>
      <c r="W406" s="4">
        <v>0</v>
      </c>
    </row>
    <row r="407" spans="1:23" ht="11.25" customHeight="1" x14ac:dyDescent="0.25">
      <c r="A407" s="4" t="s">
        <v>28</v>
      </c>
      <c r="B407" s="4" t="s">
        <v>41</v>
      </c>
      <c r="C407" s="4" t="s">
        <v>40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35</v>
      </c>
      <c r="I407" s="5">
        <v>44593</v>
      </c>
      <c r="J407" s="6">
        <v>219</v>
      </c>
      <c r="K407" s="6">
        <v>219</v>
      </c>
      <c r="L407" s="6">
        <v>62.564999999999998</v>
      </c>
      <c r="M407" s="6">
        <v>62.564999999999998</v>
      </c>
      <c r="N407" s="6">
        <v>62.564999999999998</v>
      </c>
      <c r="O407" s="6">
        <v>62.564999999999998</v>
      </c>
      <c r="P407" s="6">
        <v>0</v>
      </c>
      <c r="Q407" s="4" t="s">
        <v>26</v>
      </c>
      <c r="R407" s="4">
        <v>0</v>
      </c>
      <c r="S407" s="4" t="s">
        <v>359</v>
      </c>
      <c r="T407" s="4" t="s">
        <v>715</v>
      </c>
      <c r="U407" s="4">
        <v>22</v>
      </c>
      <c r="V407" s="4">
        <v>23</v>
      </c>
      <c r="W407" s="4">
        <v>79</v>
      </c>
    </row>
    <row r="408" spans="1:23" ht="11.25" customHeight="1" x14ac:dyDescent="0.25">
      <c r="A408" s="4" t="s">
        <v>21</v>
      </c>
      <c r="B408" s="4" t="s">
        <v>41</v>
      </c>
      <c r="C408" s="4" t="s">
        <v>40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35</v>
      </c>
      <c r="I408" s="5">
        <v>44593</v>
      </c>
      <c r="J408" s="6">
        <v>10134</v>
      </c>
      <c r="K408" s="6">
        <v>10134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60</v>
      </c>
      <c r="R408" s="4">
        <v>0</v>
      </c>
      <c r="S408" s="4" t="s">
        <v>359</v>
      </c>
      <c r="U408" s="4">
        <v>22</v>
      </c>
      <c r="V408" s="4">
        <v>0</v>
      </c>
      <c r="W408" s="4">
        <v>0</v>
      </c>
    </row>
    <row r="409" spans="1:23" ht="11.25" customHeight="1" x14ac:dyDescent="0.25">
      <c r="A409" s="4" t="s">
        <v>28</v>
      </c>
      <c r="B409" s="4" t="s">
        <v>41</v>
      </c>
      <c r="C409" s="4" t="s">
        <v>40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35</v>
      </c>
      <c r="I409" s="5">
        <v>44621</v>
      </c>
      <c r="J409" s="6">
        <v>222</v>
      </c>
      <c r="K409" s="6">
        <v>222</v>
      </c>
      <c r="L409" s="6">
        <v>92.025000000000006</v>
      </c>
      <c r="M409" s="6">
        <v>92.025000000000006</v>
      </c>
      <c r="N409" s="6">
        <v>92.025000000000006</v>
      </c>
      <c r="O409" s="6">
        <v>92.025000000000006</v>
      </c>
      <c r="P409" s="6">
        <v>0</v>
      </c>
      <c r="Q409" s="4" t="s">
        <v>26</v>
      </c>
      <c r="R409" s="4">
        <v>0</v>
      </c>
      <c r="S409" s="4" t="s">
        <v>360</v>
      </c>
      <c r="T409" s="4" t="s">
        <v>716</v>
      </c>
      <c r="U409" s="4">
        <v>22</v>
      </c>
      <c r="V409" s="4">
        <v>23</v>
      </c>
      <c r="W409" s="4">
        <v>79</v>
      </c>
    </row>
    <row r="410" spans="1:23" ht="11.25" customHeight="1" x14ac:dyDescent="0.25">
      <c r="A410" s="4" t="s">
        <v>21</v>
      </c>
      <c r="B410" s="4" t="s">
        <v>41</v>
      </c>
      <c r="C410" s="4" t="s">
        <v>40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35</v>
      </c>
      <c r="I410" s="5">
        <v>44621</v>
      </c>
      <c r="J410" s="6">
        <v>10363</v>
      </c>
      <c r="K410" s="6">
        <v>10363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4" t="s">
        <v>60</v>
      </c>
      <c r="R410" s="4">
        <v>0</v>
      </c>
      <c r="S410" s="4" t="s">
        <v>360</v>
      </c>
      <c r="U410" s="4">
        <v>22</v>
      </c>
      <c r="V410" s="4">
        <v>0</v>
      </c>
      <c r="W410" s="4">
        <v>0</v>
      </c>
    </row>
    <row r="411" spans="1:23" ht="11.25" customHeight="1" x14ac:dyDescent="0.25">
      <c r="A411" s="4" t="s">
        <v>28</v>
      </c>
      <c r="B411" s="4" t="s">
        <v>41</v>
      </c>
      <c r="C411" s="4" t="s">
        <v>40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35</v>
      </c>
      <c r="I411" s="5">
        <v>44652</v>
      </c>
      <c r="J411" s="6">
        <v>225</v>
      </c>
      <c r="K411" s="6">
        <v>225</v>
      </c>
      <c r="L411" s="6">
        <v>62.643000000000001</v>
      </c>
      <c r="M411" s="6">
        <v>62.643000000000001</v>
      </c>
      <c r="N411" s="6">
        <v>62.643000000000001</v>
      </c>
      <c r="O411" s="6">
        <v>62.643000000000001</v>
      </c>
      <c r="P411" s="6">
        <v>0</v>
      </c>
      <c r="Q411" s="4" t="s">
        <v>26</v>
      </c>
      <c r="R411" s="4">
        <v>0</v>
      </c>
      <c r="S411" s="4" t="s">
        <v>361</v>
      </c>
      <c r="T411" s="4" t="s">
        <v>717</v>
      </c>
      <c r="U411" s="4">
        <v>22</v>
      </c>
      <c r="V411" s="4">
        <v>23</v>
      </c>
      <c r="W411" s="4">
        <v>79</v>
      </c>
    </row>
    <row r="412" spans="1:23" ht="11.25" customHeight="1" x14ac:dyDescent="0.25">
      <c r="A412" s="4" t="s">
        <v>21</v>
      </c>
      <c r="B412" s="4" t="s">
        <v>41</v>
      </c>
      <c r="C412" s="4" t="s">
        <v>40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44652</v>
      </c>
      <c r="J412" s="6">
        <v>10182</v>
      </c>
      <c r="K412" s="6">
        <v>10182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4" t="s">
        <v>60</v>
      </c>
      <c r="R412" s="4">
        <v>0</v>
      </c>
      <c r="S412" s="4" t="s">
        <v>361</v>
      </c>
      <c r="U412" s="4">
        <v>22</v>
      </c>
      <c r="V412" s="4">
        <v>0</v>
      </c>
      <c r="W412" s="4">
        <v>0</v>
      </c>
    </row>
    <row r="413" spans="1:23" ht="11.25" customHeight="1" x14ac:dyDescent="0.25">
      <c r="A413" s="4" t="s">
        <v>58</v>
      </c>
      <c r="B413" s="4" t="s">
        <v>41</v>
      </c>
      <c r="C413" s="4" t="s">
        <v>40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44682</v>
      </c>
      <c r="J413" s="6">
        <v>225</v>
      </c>
      <c r="K413" s="6">
        <v>225</v>
      </c>
      <c r="L413" s="6">
        <v>62.643000000000001</v>
      </c>
      <c r="M413" s="6">
        <v>62.643000000000001</v>
      </c>
      <c r="N413" s="6">
        <v>62.643000000000001</v>
      </c>
      <c r="O413" s="6">
        <v>62.643000000000001</v>
      </c>
      <c r="P413" s="6">
        <v>0</v>
      </c>
      <c r="Q413" s="4" t="s">
        <v>26</v>
      </c>
      <c r="R413" s="4">
        <v>0</v>
      </c>
      <c r="S413" s="4" t="s">
        <v>362</v>
      </c>
      <c r="T413" s="4" t="s">
        <v>718</v>
      </c>
      <c r="U413" s="4">
        <v>22</v>
      </c>
      <c r="V413" s="4">
        <v>23</v>
      </c>
      <c r="W413" s="4">
        <v>79</v>
      </c>
    </row>
    <row r="414" spans="1:23" ht="11.25" customHeight="1" x14ac:dyDescent="0.25">
      <c r="A414" s="4" t="s">
        <v>58</v>
      </c>
      <c r="B414" s="4" t="s">
        <v>41</v>
      </c>
      <c r="C414" s="4" t="s">
        <v>40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44682</v>
      </c>
      <c r="J414" s="6">
        <v>10182</v>
      </c>
      <c r="K414" s="6">
        <v>10182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4" t="s">
        <v>60</v>
      </c>
      <c r="R414" s="4">
        <v>0</v>
      </c>
      <c r="S414" s="4" t="s">
        <v>362</v>
      </c>
      <c r="U414" s="4">
        <v>22</v>
      </c>
      <c r="V414" s="4">
        <v>0</v>
      </c>
      <c r="W414" s="4">
        <v>0</v>
      </c>
    </row>
    <row r="415" spans="1:23" ht="11.25" customHeight="1" x14ac:dyDescent="0.25">
      <c r="A415" s="4" t="s">
        <v>21</v>
      </c>
      <c r="B415" s="4" t="s">
        <v>41</v>
      </c>
      <c r="C415" s="4" t="s">
        <v>40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44348</v>
      </c>
      <c r="J415" s="6">
        <v>0</v>
      </c>
      <c r="K415" s="6">
        <v>0</v>
      </c>
      <c r="L415" s="6">
        <v>2631.6010000000001</v>
      </c>
      <c r="M415" s="6">
        <v>2631.6010000000001</v>
      </c>
      <c r="N415" s="6">
        <v>0</v>
      </c>
      <c r="O415" s="6">
        <v>0</v>
      </c>
      <c r="P415" s="6">
        <v>1</v>
      </c>
      <c r="Q415" s="4" t="s">
        <v>60</v>
      </c>
      <c r="R415" s="4">
        <v>0</v>
      </c>
      <c r="S415" s="4" t="s">
        <v>375</v>
      </c>
      <c r="U415" s="4">
        <v>0</v>
      </c>
      <c r="V415" s="4">
        <v>23</v>
      </c>
      <c r="W415" s="4">
        <v>0</v>
      </c>
    </row>
    <row r="416" spans="1:23" ht="11.25" customHeight="1" x14ac:dyDescent="0.25">
      <c r="A416" s="4" t="s">
        <v>21</v>
      </c>
      <c r="B416" s="4" t="s">
        <v>41</v>
      </c>
      <c r="C416" s="4" t="s">
        <v>40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44378</v>
      </c>
      <c r="J416" s="6">
        <v>0</v>
      </c>
      <c r="K416" s="6">
        <v>0</v>
      </c>
      <c r="L416" s="6">
        <v>2554.1709999999998</v>
      </c>
      <c r="M416" s="6">
        <v>2554.1709999999998</v>
      </c>
      <c r="N416" s="6">
        <v>0</v>
      </c>
      <c r="O416" s="6">
        <v>0</v>
      </c>
      <c r="P416" s="6">
        <v>1</v>
      </c>
      <c r="Q416" s="4" t="s">
        <v>60</v>
      </c>
      <c r="R416" s="4">
        <v>0</v>
      </c>
      <c r="S416" s="4" t="s">
        <v>376</v>
      </c>
      <c r="U416" s="4">
        <v>0</v>
      </c>
      <c r="V416" s="4">
        <v>23</v>
      </c>
      <c r="W416" s="4">
        <v>0</v>
      </c>
    </row>
    <row r="417" spans="1:23" ht="11.25" customHeight="1" x14ac:dyDescent="0.25">
      <c r="A417" s="4" t="s">
        <v>21</v>
      </c>
      <c r="B417" s="4" t="s">
        <v>41</v>
      </c>
      <c r="C417" s="4" t="s">
        <v>40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4964.0550000000003</v>
      </c>
      <c r="M417" s="6">
        <v>4964.0550000000003</v>
      </c>
      <c r="N417" s="6">
        <v>0</v>
      </c>
      <c r="O417" s="6">
        <v>0</v>
      </c>
      <c r="P417" s="6">
        <v>2</v>
      </c>
      <c r="Q417" s="4" t="s">
        <v>60</v>
      </c>
      <c r="R417" s="4">
        <v>0</v>
      </c>
      <c r="S417" s="4" t="s">
        <v>377</v>
      </c>
      <c r="U417" s="4">
        <v>0</v>
      </c>
      <c r="V417" s="4">
        <v>23</v>
      </c>
      <c r="W417" s="4">
        <v>0</v>
      </c>
    </row>
    <row r="418" spans="1:23" ht="11.25" customHeight="1" x14ac:dyDescent="0.25">
      <c r="A418" s="4" t="s">
        <v>21</v>
      </c>
      <c r="B418" s="4" t="s">
        <v>41</v>
      </c>
      <c r="C418" s="4" t="s">
        <v>40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5222.1989999999996</v>
      </c>
      <c r="M418" s="6">
        <v>5222.1989999999996</v>
      </c>
      <c r="N418" s="6">
        <v>0</v>
      </c>
      <c r="O418" s="6">
        <v>0</v>
      </c>
      <c r="P418" s="6">
        <v>2</v>
      </c>
      <c r="Q418" s="4" t="s">
        <v>60</v>
      </c>
      <c r="R418" s="4">
        <v>0</v>
      </c>
      <c r="S418" s="4" t="s">
        <v>378</v>
      </c>
      <c r="U418" s="4">
        <v>0</v>
      </c>
      <c r="V418" s="4">
        <v>23</v>
      </c>
      <c r="W418" s="4">
        <v>0</v>
      </c>
    </row>
    <row r="419" spans="1:23" ht="11.25" customHeight="1" x14ac:dyDescent="0.25">
      <c r="A419" s="4" t="s">
        <v>21</v>
      </c>
      <c r="B419" s="4" t="s">
        <v>41</v>
      </c>
      <c r="C419" s="4" t="s">
        <v>40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0</v>
      </c>
      <c r="K419" s="6">
        <v>0</v>
      </c>
      <c r="L419" s="6">
        <v>5117.5439999999999</v>
      </c>
      <c r="M419" s="6">
        <v>5117.5439999999999</v>
      </c>
      <c r="N419" s="6">
        <v>0</v>
      </c>
      <c r="O419" s="6">
        <v>0</v>
      </c>
      <c r="P419" s="6">
        <v>2</v>
      </c>
      <c r="Q419" s="4" t="s">
        <v>60</v>
      </c>
      <c r="R419" s="4">
        <v>0</v>
      </c>
      <c r="S419" s="4" t="s">
        <v>379</v>
      </c>
      <c r="U419" s="4">
        <v>0</v>
      </c>
      <c r="V419" s="4">
        <v>23</v>
      </c>
      <c r="W419" s="4">
        <v>0</v>
      </c>
    </row>
    <row r="420" spans="1:23" ht="11.25" customHeight="1" x14ac:dyDescent="0.25">
      <c r="A420" s="4" t="s">
        <v>21</v>
      </c>
      <c r="B420" s="4" t="s">
        <v>41</v>
      </c>
      <c r="C420" s="4" t="s">
        <v>40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0</v>
      </c>
      <c r="K420" s="6">
        <v>0</v>
      </c>
      <c r="L420" s="6">
        <v>5419.8969999999999</v>
      </c>
      <c r="M420" s="6">
        <v>5419.8969999999999</v>
      </c>
      <c r="N420" s="6">
        <v>0</v>
      </c>
      <c r="O420" s="6">
        <v>0</v>
      </c>
      <c r="P420" s="6">
        <v>2</v>
      </c>
      <c r="Q420" s="4" t="s">
        <v>60</v>
      </c>
      <c r="R420" s="4">
        <v>0</v>
      </c>
      <c r="S420" s="4" t="s">
        <v>380</v>
      </c>
      <c r="U420" s="4">
        <v>0</v>
      </c>
      <c r="V420" s="4">
        <v>23</v>
      </c>
      <c r="W420" s="4">
        <v>0</v>
      </c>
    </row>
    <row r="421" spans="1:23" ht="11.25" customHeight="1" x14ac:dyDescent="0.25">
      <c r="A421" s="4" t="s">
        <v>21</v>
      </c>
      <c r="B421" s="4" t="s">
        <v>41</v>
      </c>
      <c r="C421" s="4" t="s">
        <v>40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44531</v>
      </c>
      <c r="J421" s="6">
        <v>0</v>
      </c>
      <c r="K421" s="6">
        <v>0</v>
      </c>
      <c r="L421" s="6">
        <v>5545.7979999999998</v>
      </c>
      <c r="M421" s="6">
        <v>5545.7979999999998</v>
      </c>
      <c r="N421" s="6">
        <v>0</v>
      </c>
      <c r="O421" s="6">
        <v>0</v>
      </c>
      <c r="P421" s="6">
        <v>2</v>
      </c>
      <c r="Q421" s="4" t="s">
        <v>60</v>
      </c>
      <c r="R421" s="4">
        <v>0</v>
      </c>
      <c r="S421" s="4" t="s">
        <v>381</v>
      </c>
      <c r="U421" s="4">
        <v>0</v>
      </c>
      <c r="V421" s="4">
        <v>23</v>
      </c>
      <c r="W421" s="4">
        <v>0</v>
      </c>
    </row>
    <row r="422" spans="1:23" ht="11.25" customHeight="1" x14ac:dyDescent="0.25">
      <c r="A422" s="4" t="s">
        <v>21</v>
      </c>
      <c r="B422" s="4" t="s">
        <v>41</v>
      </c>
      <c r="C422" s="4" t="s">
        <v>40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44562</v>
      </c>
      <c r="J422" s="6">
        <v>0</v>
      </c>
      <c r="K422" s="6">
        <v>0</v>
      </c>
      <c r="L422" s="6">
        <v>4888.43</v>
      </c>
      <c r="M422" s="6">
        <v>4888.43</v>
      </c>
      <c r="N422" s="6">
        <v>0</v>
      </c>
      <c r="O422" s="6">
        <v>0</v>
      </c>
      <c r="P422" s="6">
        <v>2</v>
      </c>
      <c r="Q422" s="4" t="s">
        <v>60</v>
      </c>
      <c r="R422" s="4">
        <v>0</v>
      </c>
      <c r="S422" s="4" t="s">
        <v>382</v>
      </c>
      <c r="U422" s="4">
        <v>0</v>
      </c>
      <c r="V422" s="4">
        <v>23</v>
      </c>
      <c r="W422" s="4">
        <v>0</v>
      </c>
    </row>
    <row r="423" spans="1:23" ht="11.25" customHeight="1" x14ac:dyDescent="0.25">
      <c r="A423" s="4" t="s">
        <v>21</v>
      </c>
      <c r="B423" s="4" t="s">
        <v>41</v>
      </c>
      <c r="C423" s="4" t="s">
        <v>40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44593</v>
      </c>
      <c r="J423" s="6">
        <v>0</v>
      </c>
      <c r="K423" s="6">
        <v>0</v>
      </c>
      <c r="L423" s="6">
        <v>4796.317</v>
      </c>
      <c r="M423" s="6">
        <v>4796.317</v>
      </c>
      <c r="N423" s="6">
        <v>0</v>
      </c>
      <c r="O423" s="6">
        <v>0</v>
      </c>
      <c r="P423" s="6">
        <v>2</v>
      </c>
      <c r="Q423" s="4" t="s">
        <v>60</v>
      </c>
      <c r="R423" s="4">
        <v>0</v>
      </c>
      <c r="S423" s="4" t="s">
        <v>383</v>
      </c>
      <c r="U423" s="4">
        <v>0</v>
      </c>
      <c r="V423" s="4">
        <v>23</v>
      </c>
      <c r="W423" s="4">
        <v>0</v>
      </c>
    </row>
    <row r="424" spans="1:23" ht="11.25" customHeight="1" x14ac:dyDescent="0.25">
      <c r="A424" s="4" t="s">
        <v>21</v>
      </c>
      <c r="B424" s="4" t="s">
        <v>41</v>
      </c>
      <c r="C424" s="4" t="s">
        <v>40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44621</v>
      </c>
      <c r="J424" s="6">
        <v>0</v>
      </c>
      <c r="K424" s="6">
        <v>0</v>
      </c>
      <c r="L424" s="6">
        <v>4949.9409999999998</v>
      </c>
      <c r="M424" s="6">
        <v>4949.9409999999998</v>
      </c>
      <c r="N424" s="6">
        <v>0</v>
      </c>
      <c r="O424" s="6">
        <v>0</v>
      </c>
      <c r="P424" s="6">
        <v>2</v>
      </c>
      <c r="Q424" s="4" t="s">
        <v>60</v>
      </c>
      <c r="R424" s="4">
        <v>0</v>
      </c>
      <c r="S424" s="4" t="s">
        <v>384</v>
      </c>
      <c r="U424" s="4">
        <v>0</v>
      </c>
      <c r="V424" s="4">
        <v>23</v>
      </c>
      <c r="W424" s="4">
        <v>0</v>
      </c>
    </row>
    <row r="425" spans="1:23" ht="11.25" customHeight="1" x14ac:dyDescent="0.25">
      <c r="A425" s="4" t="s">
        <v>21</v>
      </c>
      <c r="B425" s="4" t="s">
        <v>41</v>
      </c>
      <c r="C425" s="4" t="s">
        <v>40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44652</v>
      </c>
      <c r="J425" s="6">
        <v>0</v>
      </c>
      <c r="K425" s="6">
        <v>0</v>
      </c>
      <c r="L425" s="6">
        <v>5785.7730000000001</v>
      </c>
      <c r="M425" s="6">
        <v>5785.7730000000001</v>
      </c>
      <c r="N425" s="6">
        <v>0</v>
      </c>
      <c r="O425" s="6">
        <v>0</v>
      </c>
      <c r="P425" s="6">
        <v>2</v>
      </c>
      <c r="Q425" s="4" t="s">
        <v>60</v>
      </c>
      <c r="R425" s="4">
        <v>0</v>
      </c>
      <c r="S425" s="4" t="s">
        <v>385</v>
      </c>
      <c r="U425" s="4">
        <v>0</v>
      </c>
      <c r="V425" s="4">
        <v>23</v>
      </c>
      <c r="W425" s="4">
        <v>0</v>
      </c>
    </row>
    <row r="426" spans="1:23" ht="11.25" customHeight="1" x14ac:dyDescent="0.25">
      <c r="A426" s="4" t="s">
        <v>58</v>
      </c>
      <c r="B426" s="4" t="s">
        <v>41</v>
      </c>
      <c r="C426" s="4" t="s">
        <v>40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44682</v>
      </c>
      <c r="J426" s="6">
        <v>0</v>
      </c>
      <c r="K426" s="6">
        <v>0</v>
      </c>
      <c r="L426" s="6">
        <v>5785.7730000000001</v>
      </c>
      <c r="M426" s="6">
        <v>5785.7730000000001</v>
      </c>
      <c r="N426" s="6">
        <v>0</v>
      </c>
      <c r="O426" s="6">
        <v>0</v>
      </c>
      <c r="P426" s="6">
        <v>2</v>
      </c>
      <c r="Q426" s="4" t="s">
        <v>60</v>
      </c>
      <c r="R426" s="4">
        <v>0</v>
      </c>
      <c r="S426" s="4" t="s">
        <v>386</v>
      </c>
      <c r="U426" s="4">
        <v>0</v>
      </c>
      <c r="V426" s="4">
        <v>23</v>
      </c>
      <c r="W426" s="4">
        <v>0</v>
      </c>
    </row>
    <row r="427" spans="1:23" ht="11.25" customHeight="1" x14ac:dyDescent="0.25">
      <c r="A427" s="4" t="s">
        <v>21</v>
      </c>
      <c r="B427" s="4" t="s">
        <v>41</v>
      </c>
      <c r="C427" s="4" t="s">
        <v>40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44348</v>
      </c>
      <c r="J427" s="6">
        <v>185</v>
      </c>
      <c r="K427" s="6">
        <v>185</v>
      </c>
      <c r="L427" s="6">
        <v>5.09</v>
      </c>
      <c r="M427" s="6">
        <v>5.09</v>
      </c>
      <c r="N427" s="6">
        <v>5.09</v>
      </c>
      <c r="O427" s="6">
        <v>5.09</v>
      </c>
      <c r="P427" s="6">
        <v>0</v>
      </c>
      <c r="Q427" s="4" t="s">
        <v>26</v>
      </c>
      <c r="R427" s="4">
        <v>0</v>
      </c>
      <c r="S427" s="4" t="s">
        <v>363</v>
      </c>
      <c r="T427" s="4" t="s">
        <v>719</v>
      </c>
      <c r="U427" s="4">
        <v>21</v>
      </c>
      <c r="V427" s="4">
        <v>23</v>
      </c>
      <c r="W427" s="4">
        <v>78</v>
      </c>
    </row>
    <row r="428" spans="1:23" ht="11.25" customHeight="1" x14ac:dyDescent="0.25">
      <c r="A428" s="4" t="s">
        <v>28</v>
      </c>
      <c r="B428" s="4" t="s">
        <v>41</v>
      </c>
      <c r="C428" s="4" t="s">
        <v>40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44348</v>
      </c>
      <c r="J428" s="6">
        <v>110</v>
      </c>
      <c r="K428" s="6">
        <v>110</v>
      </c>
      <c r="L428" s="6">
        <v>4.92</v>
      </c>
      <c r="M428" s="6">
        <v>4.92</v>
      </c>
      <c r="N428" s="6">
        <v>4.92</v>
      </c>
      <c r="O428" s="6">
        <v>4.92</v>
      </c>
      <c r="P428" s="6">
        <v>0</v>
      </c>
      <c r="Q428" s="4" t="s">
        <v>26</v>
      </c>
      <c r="R428" s="4">
        <v>0</v>
      </c>
      <c r="S428" s="4" t="s">
        <v>363</v>
      </c>
      <c r="T428" s="4" t="s">
        <v>719</v>
      </c>
      <c r="U428" s="4">
        <v>21</v>
      </c>
      <c r="V428" s="4">
        <v>23</v>
      </c>
      <c r="W428" s="4">
        <v>78</v>
      </c>
    </row>
    <row r="429" spans="1:23" ht="11.25" customHeight="1" x14ac:dyDescent="0.25">
      <c r="A429" s="4" t="s">
        <v>21</v>
      </c>
      <c r="B429" s="4" t="s">
        <v>41</v>
      </c>
      <c r="C429" s="4" t="s">
        <v>40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44348</v>
      </c>
      <c r="J429" s="6">
        <v>4000</v>
      </c>
      <c r="K429" s="6">
        <v>4000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60</v>
      </c>
      <c r="R429" s="4">
        <v>0</v>
      </c>
      <c r="S429" s="4" t="s">
        <v>363</v>
      </c>
      <c r="U429" s="4">
        <v>21</v>
      </c>
      <c r="V429" s="4">
        <v>0</v>
      </c>
      <c r="W429" s="4">
        <v>0</v>
      </c>
    </row>
    <row r="430" spans="1:23" ht="11.25" customHeight="1" x14ac:dyDescent="0.25">
      <c r="A430" s="4" t="s">
        <v>21</v>
      </c>
      <c r="B430" s="4" t="s">
        <v>41</v>
      </c>
      <c r="C430" s="4" t="s">
        <v>40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44378</v>
      </c>
      <c r="J430" s="6">
        <v>115</v>
      </c>
      <c r="K430" s="6">
        <v>115</v>
      </c>
      <c r="L430" s="6">
        <v>4.2640000000000002</v>
      </c>
      <c r="M430" s="6">
        <v>4.2640000000000002</v>
      </c>
      <c r="N430" s="6">
        <v>4.2640000000000002</v>
      </c>
      <c r="O430" s="6">
        <v>4.2640000000000002</v>
      </c>
      <c r="P430" s="6">
        <v>0</v>
      </c>
      <c r="Q430" s="4" t="s">
        <v>26</v>
      </c>
      <c r="R430" s="4">
        <v>0</v>
      </c>
      <c r="S430" s="4" t="s">
        <v>364</v>
      </c>
      <c r="T430" s="4" t="s">
        <v>720</v>
      </c>
      <c r="U430" s="4">
        <v>21</v>
      </c>
      <c r="V430" s="4">
        <v>23</v>
      </c>
      <c r="W430" s="4">
        <v>78</v>
      </c>
    </row>
    <row r="431" spans="1:23" ht="11.25" customHeight="1" x14ac:dyDescent="0.25">
      <c r="A431" s="4" t="s">
        <v>28</v>
      </c>
      <c r="B431" s="4" t="s">
        <v>41</v>
      </c>
      <c r="C431" s="4" t="s">
        <v>40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44378</v>
      </c>
      <c r="J431" s="6">
        <v>106</v>
      </c>
      <c r="K431" s="6">
        <v>106</v>
      </c>
      <c r="L431" s="6">
        <v>5.6580000000000004</v>
      </c>
      <c r="M431" s="6">
        <v>5.6580000000000004</v>
      </c>
      <c r="N431" s="6">
        <v>5.6580000000000004</v>
      </c>
      <c r="O431" s="6">
        <v>5.6580000000000004</v>
      </c>
      <c r="P431" s="6">
        <v>0</v>
      </c>
      <c r="Q431" s="4" t="s">
        <v>26</v>
      </c>
      <c r="R431" s="4">
        <v>0</v>
      </c>
      <c r="S431" s="4" t="s">
        <v>364</v>
      </c>
      <c r="T431" s="4" t="s">
        <v>720</v>
      </c>
      <c r="U431" s="4">
        <v>21</v>
      </c>
      <c r="V431" s="4">
        <v>23</v>
      </c>
      <c r="W431" s="4">
        <v>78</v>
      </c>
    </row>
    <row r="432" spans="1:23" ht="11.25" customHeight="1" x14ac:dyDescent="0.25">
      <c r="A432" s="4" t="s">
        <v>21</v>
      </c>
      <c r="B432" s="4" t="s">
        <v>41</v>
      </c>
      <c r="C432" s="4" t="s">
        <v>40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44378</v>
      </c>
      <c r="J432" s="6">
        <v>4000</v>
      </c>
      <c r="K432" s="6">
        <v>4000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60</v>
      </c>
      <c r="R432" s="4">
        <v>0</v>
      </c>
      <c r="S432" s="4" t="s">
        <v>364</v>
      </c>
      <c r="U432" s="4">
        <v>21</v>
      </c>
      <c r="V432" s="4">
        <v>0</v>
      </c>
      <c r="W432" s="4">
        <v>0</v>
      </c>
    </row>
    <row r="433" spans="1:23" ht="11.25" customHeight="1" x14ac:dyDescent="0.25">
      <c r="A433" s="4" t="s">
        <v>21</v>
      </c>
      <c r="B433" s="4" t="s">
        <v>41</v>
      </c>
      <c r="C433" s="4" t="s">
        <v>40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44409</v>
      </c>
      <c r="J433" s="6">
        <v>115</v>
      </c>
      <c r="K433" s="6">
        <v>115</v>
      </c>
      <c r="L433" s="6">
        <v>4.0590000000000002</v>
      </c>
      <c r="M433" s="6">
        <v>4.0590000000000002</v>
      </c>
      <c r="N433" s="6">
        <v>4.0590000000000002</v>
      </c>
      <c r="O433" s="6">
        <v>4.0590000000000002</v>
      </c>
      <c r="P433" s="6">
        <v>0</v>
      </c>
      <c r="Q433" s="4" t="s">
        <v>26</v>
      </c>
      <c r="R433" s="4">
        <v>0</v>
      </c>
      <c r="S433" s="4" t="s">
        <v>365</v>
      </c>
      <c r="T433" s="4" t="s">
        <v>721</v>
      </c>
      <c r="U433" s="4">
        <v>21</v>
      </c>
      <c r="V433" s="4">
        <v>23</v>
      </c>
      <c r="W433" s="4">
        <v>78</v>
      </c>
    </row>
    <row r="434" spans="1:23" ht="11.25" customHeight="1" x14ac:dyDescent="0.25">
      <c r="A434" s="4" t="s">
        <v>28</v>
      </c>
      <c r="B434" s="4" t="s">
        <v>41</v>
      </c>
      <c r="C434" s="4" t="s">
        <v>40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44409</v>
      </c>
      <c r="J434" s="6">
        <v>106</v>
      </c>
      <c r="K434" s="6">
        <v>106</v>
      </c>
      <c r="L434" s="6">
        <v>5.7809999999999997</v>
      </c>
      <c r="M434" s="6">
        <v>5.7809999999999997</v>
      </c>
      <c r="N434" s="6">
        <v>5.7809999999999997</v>
      </c>
      <c r="O434" s="6">
        <v>5.7809999999999997</v>
      </c>
      <c r="P434" s="6">
        <v>0</v>
      </c>
      <c r="Q434" s="4" t="s">
        <v>26</v>
      </c>
      <c r="R434" s="4">
        <v>0</v>
      </c>
      <c r="S434" s="4" t="s">
        <v>365</v>
      </c>
      <c r="T434" s="4" t="s">
        <v>721</v>
      </c>
      <c r="U434" s="4">
        <v>21</v>
      </c>
      <c r="V434" s="4">
        <v>23</v>
      </c>
      <c r="W434" s="4">
        <v>78</v>
      </c>
    </row>
    <row r="435" spans="1:23" ht="11.25" customHeight="1" x14ac:dyDescent="0.25">
      <c r="A435" s="4" t="s">
        <v>21</v>
      </c>
      <c r="B435" s="4" t="s">
        <v>41</v>
      </c>
      <c r="C435" s="4" t="s">
        <v>40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44409</v>
      </c>
      <c r="J435" s="6">
        <v>9850</v>
      </c>
      <c r="K435" s="6">
        <v>9850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60</v>
      </c>
      <c r="R435" s="4">
        <v>0</v>
      </c>
      <c r="S435" s="4" t="s">
        <v>365</v>
      </c>
      <c r="U435" s="4">
        <v>21</v>
      </c>
      <c r="V435" s="4">
        <v>0</v>
      </c>
      <c r="W435" s="4">
        <v>0</v>
      </c>
    </row>
    <row r="436" spans="1:23" ht="11.25" customHeight="1" x14ac:dyDescent="0.25">
      <c r="A436" s="4" t="s">
        <v>28</v>
      </c>
      <c r="B436" s="4" t="s">
        <v>41</v>
      </c>
      <c r="C436" s="4" t="s">
        <v>40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44440</v>
      </c>
      <c r="J436" s="6">
        <v>215</v>
      </c>
      <c r="K436" s="6">
        <v>215</v>
      </c>
      <c r="L436" s="6">
        <v>8.5690000000000008</v>
      </c>
      <c r="M436" s="6">
        <v>8.5690000000000008</v>
      </c>
      <c r="N436" s="6">
        <v>8.5690000000000008</v>
      </c>
      <c r="O436" s="6">
        <v>8.5690000000000008</v>
      </c>
      <c r="P436" s="6">
        <v>0</v>
      </c>
      <c r="Q436" s="4" t="s">
        <v>26</v>
      </c>
      <c r="R436" s="4">
        <v>0</v>
      </c>
      <c r="S436" s="4" t="s">
        <v>366</v>
      </c>
      <c r="T436" s="4" t="s">
        <v>722</v>
      </c>
      <c r="U436" s="4">
        <v>21</v>
      </c>
      <c r="V436" s="4">
        <v>23</v>
      </c>
      <c r="W436" s="4">
        <v>78</v>
      </c>
    </row>
    <row r="437" spans="1:23" ht="11.25" customHeight="1" x14ac:dyDescent="0.25">
      <c r="A437" s="4" t="s">
        <v>21</v>
      </c>
      <c r="B437" s="4" t="s">
        <v>41</v>
      </c>
      <c r="C437" s="4" t="s">
        <v>40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44440</v>
      </c>
      <c r="J437" s="6">
        <v>9866</v>
      </c>
      <c r="K437" s="6">
        <v>9866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60</v>
      </c>
      <c r="R437" s="4">
        <v>0</v>
      </c>
      <c r="S437" s="4" t="s">
        <v>366</v>
      </c>
      <c r="U437" s="4">
        <v>21</v>
      </c>
      <c r="V437" s="4">
        <v>0</v>
      </c>
      <c r="W437" s="4">
        <v>0</v>
      </c>
    </row>
    <row r="438" spans="1:23" ht="11.25" customHeight="1" x14ac:dyDescent="0.25">
      <c r="A438" s="4" t="s">
        <v>28</v>
      </c>
      <c r="B438" s="4" t="s">
        <v>41</v>
      </c>
      <c r="C438" s="4" t="s">
        <v>40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44470</v>
      </c>
      <c r="J438" s="6">
        <v>215</v>
      </c>
      <c r="K438" s="6">
        <v>215</v>
      </c>
      <c r="L438" s="6">
        <v>7.7080000000000002</v>
      </c>
      <c r="M438" s="6">
        <v>7.7080000000000002</v>
      </c>
      <c r="N438" s="6">
        <v>7.7080000000000002</v>
      </c>
      <c r="O438" s="6">
        <v>7.7080000000000002</v>
      </c>
      <c r="P438" s="6">
        <v>0</v>
      </c>
      <c r="Q438" s="4" t="s">
        <v>26</v>
      </c>
      <c r="R438" s="4">
        <v>0</v>
      </c>
      <c r="S438" s="4" t="s">
        <v>367</v>
      </c>
      <c r="T438" s="4" t="s">
        <v>723</v>
      </c>
      <c r="U438" s="4">
        <v>21</v>
      </c>
      <c r="V438" s="4">
        <v>23</v>
      </c>
      <c r="W438" s="4">
        <v>78</v>
      </c>
    </row>
    <row r="439" spans="1:23" ht="11.25" customHeight="1" x14ac:dyDescent="0.25">
      <c r="A439" s="4" t="s">
        <v>21</v>
      </c>
      <c r="B439" s="4" t="s">
        <v>41</v>
      </c>
      <c r="C439" s="4" t="s">
        <v>40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44470</v>
      </c>
      <c r="J439" s="6">
        <v>9918</v>
      </c>
      <c r="K439" s="6">
        <v>9918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4" t="s">
        <v>60</v>
      </c>
      <c r="R439" s="4">
        <v>0</v>
      </c>
      <c r="S439" s="4" t="s">
        <v>367</v>
      </c>
      <c r="U439" s="4">
        <v>21</v>
      </c>
      <c r="V439" s="4">
        <v>0</v>
      </c>
      <c r="W439" s="4">
        <v>0</v>
      </c>
    </row>
    <row r="440" spans="1:23" ht="11.25" customHeight="1" x14ac:dyDescent="0.25">
      <c r="A440" s="4" t="s">
        <v>28</v>
      </c>
      <c r="B440" s="4" t="s">
        <v>41</v>
      </c>
      <c r="C440" s="4" t="s">
        <v>40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44501</v>
      </c>
      <c r="J440" s="6">
        <v>215</v>
      </c>
      <c r="K440" s="6">
        <v>215</v>
      </c>
      <c r="L440" s="6">
        <v>8.3230000000000004</v>
      </c>
      <c r="M440" s="6">
        <v>8.3230000000000004</v>
      </c>
      <c r="N440" s="6">
        <v>8.3230000000000004</v>
      </c>
      <c r="O440" s="6">
        <v>8.3230000000000004</v>
      </c>
      <c r="P440" s="6">
        <v>0</v>
      </c>
      <c r="Q440" s="4" t="s">
        <v>26</v>
      </c>
      <c r="R440" s="4">
        <v>0</v>
      </c>
      <c r="S440" s="4" t="s">
        <v>368</v>
      </c>
      <c r="T440" s="4" t="s">
        <v>724</v>
      </c>
      <c r="U440" s="4">
        <v>21</v>
      </c>
      <c r="V440" s="4">
        <v>23</v>
      </c>
      <c r="W440" s="4">
        <v>78</v>
      </c>
    </row>
    <row r="441" spans="1:23" ht="11.25" customHeight="1" x14ac:dyDescent="0.25">
      <c r="A441" s="4" t="s">
        <v>21</v>
      </c>
      <c r="B441" s="4" t="s">
        <v>41</v>
      </c>
      <c r="C441" s="4" t="s">
        <v>40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44501</v>
      </c>
      <c r="J441" s="6">
        <v>9850</v>
      </c>
      <c r="K441" s="6">
        <v>9850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4" t="s">
        <v>60</v>
      </c>
      <c r="R441" s="4">
        <v>0</v>
      </c>
      <c r="S441" s="4" t="s">
        <v>368</v>
      </c>
      <c r="U441" s="4">
        <v>21</v>
      </c>
      <c r="V441" s="4">
        <v>0</v>
      </c>
      <c r="W441" s="4">
        <v>0</v>
      </c>
    </row>
    <row r="442" spans="1:23" ht="11.25" customHeight="1" x14ac:dyDescent="0.25">
      <c r="A442" s="4" t="s">
        <v>28</v>
      </c>
      <c r="B442" s="4" t="s">
        <v>41</v>
      </c>
      <c r="C442" s="4" t="s">
        <v>40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44531</v>
      </c>
      <c r="J442" s="6">
        <v>215</v>
      </c>
      <c r="K442" s="6">
        <v>215</v>
      </c>
      <c r="L442" s="6">
        <v>7.9130000000000003</v>
      </c>
      <c r="M442" s="6">
        <v>7.9130000000000003</v>
      </c>
      <c r="N442" s="6">
        <v>7.9130000000000003</v>
      </c>
      <c r="O442" s="6">
        <v>7.9130000000000003</v>
      </c>
      <c r="P442" s="6">
        <v>0</v>
      </c>
      <c r="Q442" s="4" t="s">
        <v>26</v>
      </c>
      <c r="R442" s="4">
        <v>0</v>
      </c>
      <c r="S442" s="4" t="s">
        <v>369</v>
      </c>
      <c r="T442" s="4" t="s">
        <v>725</v>
      </c>
      <c r="U442" s="4">
        <v>21</v>
      </c>
      <c r="V442" s="4">
        <v>23</v>
      </c>
      <c r="W442" s="4">
        <v>78</v>
      </c>
    </row>
    <row r="443" spans="1:23" ht="11.25" customHeight="1" x14ac:dyDescent="0.25">
      <c r="A443" s="4" t="s">
        <v>21</v>
      </c>
      <c r="B443" s="4" t="s">
        <v>41</v>
      </c>
      <c r="C443" s="4" t="s">
        <v>40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44531</v>
      </c>
      <c r="J443" s="6">
        <v>9850</v>
      </c>
      <c r="K443" s="6">
        <v>9850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60</v>
      </c>
      <c r="R443" s="4">
        <v>0</v>
      </c>
      <c r="S443" s="4" t="s">
        <v>369</v>
      </c>
      <c r="U443" s="4">
        <v>21</v>
      </c>
      <c r="V443" s="4">
        <v>0</v>
      </c>
      <c r="W443" s="4">
        <v>0</v>
      </c>
    </row>
    <row r="444" spans="1:23" ht="11.25" customHeight="1" x14ac:dyDescent="0.25">
      <c r="A444" s="4" t="s">
        <v>28</v>
      </c>
      <c r="B444" s="4" t="s">
        <v>41</v>
      </c>
      <c r="C444" s="4" t="s">
        <v>40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44562</v>
      </c>
      <c r="J444" s="6">
        <v>215</v>
      </c>
      <c r="K444" s="6">
        <v>215</v>
      </c>
      <c r="L444" s="6">
        <v>9.3339999999999996</v>
      </c>
      <c r="M444" s="6">
        <v>9.3339999999999996</v>
      </c>
      <c r="N444" s="6">
        <v>9.3339999999999996</v>
      </c>
      <c r="O444" s="6">
        <v>9.3339999999999996</v>
      </c>
      <c r="P444" s="6">
        <v>0</v>
      </c>
      <c r="Q444" s="4" t="s">
        <v>26</v>
      </c>
      <c r="R444" s="4">
        <v>0</v>
      </c>
      <c r="S444" s="4" t="s">
        <v>370</v>
      </c>
      <c r="T444" s="4" t="s">
        <v>726</v>
      </c>
      <c r="U444" s="4">
        <v>21</v>
      </c>
      <c r="V444" s="4">
        <v>23</v>
      </c>
      <c r="W444" s="4">
        <v>78</v>
      </c>
    </row>
    <row r="445" spans="1:23" ht="11.25" customHeight="1" x14ac:dyDescent="0.25">
      <c r="A445" s="4" t="s">
        <v>21</v>
      </c>
      <c r="B445" s="4" t="s">
        <v>41</v>
      </c>
      <c r="C445" s="4" t="s">
        <v>40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44562</v>
      </c>
      <c r="J445" s="6">
        <v>9891</v>
      </c>
      <c r="K445" s="6">
        <v>9891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4" t="s">
        <v>60</v>
      </c>
      <c r="R445" s="4">
        <v>0</v>
      </c>
      <c r="S445" s="4" t="s">
        <v>370</v>
      </c>
      <c r="U445" s="4">
        <v>21</v>
      </c>
      <c r="V445" s="4">
        <v>0</v>
      </c>
      <c r="W445" s="4">
        <v>0</v>
      </c>
    </row>
    <row r="446" spans="1:23" ht="11.25" customHeight="1" x14ac:dyDescent="0.25">
      <c r="A446" s="4" t="s">
        <v>28</v>
      </c>
      <c r="B446" s="4" t="s">
        <v>41</v>
      </c>
      <c r="C446" s="4" t="s">
        <v>40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44593</v>
      </c>
      <c r="J446" s="6">
        <v>215</v>
      </c>
      <c r="K446" s="6">
        <v>215</v>
      </c>
      <c r="L446" s="6">
        <v>7.8120000000000003</v>
      </c>
      <c r="M446" s="6">
        <v>7.8120000000000003</v>
      </c>
      <c r="N446" s="6">
        <v>7.8120000000000003</v>
      </c>
      <c r="O446" s="6">
        <v>7.8120000000000003</v>
      </c>
      <c r="P446" s="6">
        <v>0</v>
      </c>
      <c r="Q446" s="4" t="s">
        <v>26</v>
      </c>
      <c r="R446" s="4">
        <v>0</v>
      </c>
      <c r="S446" s="4" t="s">
        <v>371</v>
      </c>
      <c r="T446" s="4" t="s">
        <v>727</v>
      </c>
      <c r="U446" s="4">
        <v>21</v>
      </c>
      <c r="V446" s="4">
        <v>23</v>
      </c>
      <c r="W446" s="4">
        <v>78</v>
      </c>
    </row>
    <row r="447" spans="1:23" ht="11.25" customHeight="1" x14ac:dyDescent="0.25">
      <c r="A447" s="4" t="s">
        <v>21</v>
      </c>
      <c r="B447" s="4" t="s">
        <v>41</v>
      </c>
      <c r="C447" s="4" t="s">
        <v>40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44593</v>
      </c>
      <c r="J447" s="6">
        <v>9969</v>
      </c>
      <c r="K447" s="6">
        <v>9969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4" t="s">
        <v>60</v>
      </c>
      <c r="R447" s="4">
        <v>0</v>
      </c>
      <c r="S447" s="4" t="s">
        <v>371</v>
      </c>
      <c r="U447" s="4">
        <v>21</v>
      </c>
      <c r="V447" s="4">
        <v>0</v>
      </c>
      <c r="W447" s="4">
        <v>0</v>
      </c>
    </row>
    <row r="448" spans="1:23" ht="11.25" customHeight="1" x14ac:dyDescent="0.25">
      <c r="A448" s="4" t="s">
        <v>28</v>
      </c>
      <c r="B448" s="4" t="s">
        <v>41</v>
      </c>
      <c r="C448" s="4" t="s">
        <v>40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44621</v>
      </c>
      <c r="J448" s="6">
        <v>216</v>
      </c>
      <c r="K448" s="6">
        <v>216</v>
      </c>
      <c r="L448" s="6">
        <v>10.337999999999999</v>
      </c>
      <c r="M448" s="6">
        <v>10.337999999999999</v>
      </c>
      <c r="N448" s="6">
        <v>10.337999999999999</v>
      </c>
      <c r="O448" s="6">
        <v>10.337999999999999</v>
      </c>
      <c r="P448" s="6">
        <v>0</v>
      </c>
      <c r="Q448" s="4" t="s">
        <v>26</v>
      </c>
      <c r="R448" s="4">
        <v>0</v>
      </c>
      <c r="S448" s="4" t="s">
        <v>372</v>
      </c>
      <c r="T448" s="4" t="s">
        <v>728</v>
      </c>
      <c r="U448" s="4">
        <v>21</v>
      </c>
      <c r="V448" s="4">
        <v>23</v>
      </c>
      <c r="W448" s="4">
        <v>78</v>
      </c>
    </row>
    <row r="449" spans="1:23" ht="11.25" customHeight="1" x14ac:dyDescent="0.25">
      <c r="A449" s="4" t="s">
        <v>21</v>
      </c>
      <c r="B449" s="4" t="s">
        <v>41</v>
      </c>
      <c r="C449" s="4" t="s">
        <v>40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44621</v>
      </c>
      <c r="J449" s="6">
        <v>10230</v>
      </c>
      <c r="K449" s="6">
        <v>10230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60</v>
      </c>
      <c r="R449" s="4">
        <v>0</v>
      </c>
      <c r="S449" s="4" t="s">
        <v>372</v>
      </c>
      <c r="U449" s="4">
        <v>21</v>
      </c>
      <c r="V449" s="4">
        <v>0</v>
      </c>
      <c r="W449" s="4">
        <v>0</v>
      </c>
    </row>
    <row r="450" spans="1:23" ht="11.25" customHeight="1" x14ac:dyDescent="0.25">
      <c r="A450" s="4" t="s">
        <v>28</v>
      </c>
      <c r="B450" s="4" t="s">
        <v>41</v>
      </c>
      <c r="C450" s="4" t="s">
        <v>40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44652</v>
      </c>
      <c r="J450" s="6">
        <v>220</v>
      </c>
      <c r="K450" s="6">
        <v>220</v>
      </c>
      <c r="L450" s="6">
        <v>8.6180000000000003</v>
      </c>
      <c r="M450" s="6">
        <v>8.6180000000000003</v>
      </c>
      <c r="N450" s="6">
        <v>8.6180000000000003</v>
      </c>
      <c r="O450" s="6">
        <v>8.6180000000000003</v>
      </c>
      <c r="P450" s="6">
        <v>0</v>
      </c>
      <c r="Q450" s="4" t="s">
        <v>26</v>
      </c>
      <c r="R450" s="4">
        <v>0</v>
      </c>
      <c r="S450" s="4" t="s">
        <v>373</v>
      </c>
      <c r="T450" s="4" t="s">
        <v>729</v>
      </c>
      <c r="U450" s="4">
        <v>21</v>
      </c>
      <c r="V450" s="4">
        <v>23</v>
      </c>
      <c r="W450" s="4">
        <v>78</v>
      </c>
    </row>
    <row r="451" spans="1:23" ht="11.25" customHeight="1" x14ac:dyDescent="0.25">
      <c r="A451" s="4" t="s">
        <v>21</v>
      </c>
      <c r="B451" s="4" t="s">
        <v>41</v>
      </c>
      <c r="C451" s="4" t="s">
        <v>40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44652</v>
      </c>
      <c r="J451" s="6">
        <v>10022</v>
      </c>
      <c r="K451" s="6">
        <v>10022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4" t="s">
        <v>60</v>
      </c>
      <c r="R451" s="4">
        <v>0</v>
      </c>
      <c r="S451" s="4" t="s">
        <v>373</v>
      </c>
      <c r="U451" s="4">
        <v>21</v>
      </c>
      <c r="V451" s="4">
        <v>0</v>
      </c>
      <c r="W451" s="4">
        <v>0</v>
      </c>
    </row>
    <row r="452" spans="1:23" ht="11.25" customHeight="1" x14ac:dyDescent="0.25">
      <c r="A452" s="4" t="s">
        <v>58</v>
      </c>
      <c r="B452" s="4" t="s">
        <v>41</v>
      </c>
      <c r="C452" s="4" t="s">
        <v>40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44682</v>
      </c>
      <c r="J452" s="6">
        <v>220</v>
      </c>
      <c r="K452" s="6">
        <v>220</v>
      </c>
      <c r="L452" s="6">
        <v>8.6180000000000003</v>
      </c>
      <c r="M452" s="6">
        <v>8.6180000000000003</v>
      </c>
      <c r="N452" s="6">
        <v>8.6180000000000003</v>
      </c>
      <c r="O452" s="6">
        <v>8.6180000000000003</v>
      </c>
      <c r="P452" s="6">
        <v>0</v>
      </c>
      <c r="Q452" s="4" t="s">
        <v>26</v>
      </c>
      <c r="R452" s="4">
        <v>0</v>
      </c>
      <c r="S452" s="4" t="s">
        <v>374</v>
      </c>
      <c r="T452" s="4" t="s">
        <v>730</v>
      </c>
      <c r="U452" s="4">
        <v>21</v>
      </c>
      <c r="V452" s="4">
        <v>23</v>
      </c>
      <c r="W452" s="4">
        <v>78</v>
      </c>
    </row>
    <row r="453" spans="1:23" ht="11.25" customHeight="1" x14ac:dyDescent="0.25">
      <c r="A453" s="4" t="s">
        <v>58</v>
      </c>
      <c r="B453" s="4" t="s">
        <v>41</v>
      </c>
      <c r="C453" s="4" t="s">
        <v>40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34</v>
      </c>
      <c r="I453" s="5">
        <v>44682</v>
      </c>
      <c r="J453" s="6">
        <v>10022</v>
      </c>
      <c r="K453" s="6">
        <v>10022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60</v>
      </c>
      <c r="R453" s="4">
        <v>0</v>
      </c>
      <c r="S453" s="4" t="s">
        <v>374</v>
      </c>
      <c r="U453" s="4">
        <v>21</v>
      </c>
      <c r="V453" s="4">
        <v>0</v>
      </c>
      <c r="W453" s="4">
        <v>0</v>
      </c>
    </row>
    <row r="454" spans="1:23" ht="11.25" customHeight="1" x14ac:dyDescent="0.25">
      <c r="A454" s="4" t="s">
        <v>21</v>
      </c>
      <c r="B454" s="4" t="s">
        <v>41</v>
      </c>
      <c r="C454" s="4" t="s">
        <v>40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44348</v>
      </c>
      <c r="J454" s="6">
        <v>229</v>
      </c>
      <c r="K454" s="6">
        <v>229</v>
      </c>
      <c r="L454" s="6">
        <v>36.975000000000001</v>
      </c>
      <c r="M454" s="6">
        <v>36.975000000000001</v>
      </c>
      <c r="N454" s="6">
        <v>36.975000000000001</v>
      </c>
      <c r="O454" s="6">
        <v>36.975000000000001</v>
      </c>
      <c r="P454" s="6">
        <v>0</v>
      </c>
      <c r="Q454" s="4" t="s">
        <v>26</v>
      </c>
      <c r="R454" s="4">
        <v>0</v>
      </c>
      <c r="S454" s="4" t="s">
        <v>351</v>
      </c>
      <c r="T454" s="4" t="s">
        <v>707</v>
      </c>
      <c r="U454" s="4">
        <v>22</v>
      </c>
      <c r="V454" s="4">
        <v>23</v>
      </c>
      <c r="W454" s="4">
        <v>79</v>
      </c>
    </row>
    <row r="455" spans="1:23" ht="11.25" customHeight="1" x14ac:dyDescent="0.25">
      <c r="A455" s="4" t="s">
        <v>28</v>
      </c>
      <c r="B455" s="4" t="s">
        <v>41</v>
      </c>
      <c r="C455" s="4" t="s">
        <v>40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44348</v>
      </c>
      <c r="J455" s="6">
        <v>290</v>
      </c>
      <c r="K455" s="6">
        <v>290</v>
      </c>
      <c r="L455" s="6">
        <v>74.34</v>
      </c>
      <c r="M455" s="6">
        <v>74.34</v>
      </c>
      <c r="N455" s="6">
        <v>74.34</v>
      </c>
      <c r="O455" s="6">
        <v>74.34</v>
      </c>
      <c r="P455" s="6">
        <v>0</v>
      </c>
      <c r="Q455" s="4" t="s">
        <v>26</v>
      </c>
      <c r="R455" s="4">
        <v>0</v>
      </c>
      <c r="S455" s="4" t="s">
        <v>351</v>
      </c>
      <c r="T455" s="4" t="s">
        <v>707</v>
      </c>
      <c r="U455" s="4">
        <v>22</v>
      </c>
      <c r="V455" s="4">
        <v>23</v>
      </c>
      <c r="W455" s="4">
        <v>79</v>
      </c>
    </row>
    <row r="456" spans="1:23" ht="11.25" customHeight="1" x14ac:dyDescent="0.25">
      <c r="A456" s="4" t="s">
        <v>28</v>
      </c>
      <c r="B456" s="4" t="s">
        <v>41</v>
      </c>
      <c r="C456" s="4" t="s">
        <v>40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44348</v>
      </c>
      <c r="J456" s="6">
        <v>0</v>
      </c>
      <c r="K456" s="6">
        <v>0</v>
      </c>
      <c r="L456" s="6">
        <v>-13.5</v>
      </c>
      <c r="M456" s="6">
        <v>-13.5</v>
      </c>
      <c r="N456" s="6">
        <v>-13.5</v>
      </c>
      <c r="O456" s="6">
        <v>-13.5</v>
      </c>
      <c r="P456" s="6">
        <v>0</v>
      </c>
      <c r="Q456" s="4" t="s">
        <v>26</v>
      </c>
      <c r="R456" s="4">
        <v>0</v>
      </c>
      <c r="S456" s="4" t="s">
        <v>351</v>
      </c>
      <c r="T456" s="4" t="s">
        <v>707</v>
      </c>
      <c r="U456" s="4">
        <v>0</v>
      </c>
      <c r="V456" s="4">
        <v>23</v>
      </c>
      <c r="W456" s="4">
        <v>79</v>
      </c>
    </row>
    <row r="457" spans="1:23" ht="11.25" customHeight="1" x14ac:dyDescent="0.25">
      <c r="A457" s="4" t="s">
        <v>21</v>
      </c>
      <c r="B457" s="4" t="s">
        <v>41</v>
      </c>
      <c r="C457" s="4" t="s">
        <v>40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44378</v>
      </c>
      <c r="J457" s="6">
        <v>229</v>
      </c>
      <c r="K457" s="6">
        <v>229</v>
      </c>
      <c r="L457" s="6">
        <v>36.781999999999996</v>
      </c>
      <c r="M457" s="6">
        <v>36.781999999999996</v>
      </c>
      <c r="N457" s="6">
        <v>36.781999999999996</v>
      </c>
      <c r="O457" s="6">
        <v>36.781999999999996</v>
      </c>
      <c r="P457" s="6">
        <v>0</v>
      </c>
      <c r="Q457" s="4" t="s">
        <v>26</v>
      </c>
      <c r="R457" s="4">
        <v>0</v>
      </c>
      <c r="S457" s="4" t="s">
        <v>352</v>
      </c>
      <c r="T457" s="4" t="s">
        <v>708</v>
      </c>
      <c r="U457" s="4">
        <v>22</v>
      </c>
      <c r="V457" s="4">
        <v>23</v>
      </c>
      <c r="W457" s="4">
        <v>79</v>
      </c>
    </row>
    <row r="458" spans="1:23" ht="11.25" customHeight="1" x14ac:dyDescent="0.25">
      <c r="A458" s="4" t="s">
        <v>28</v>
      </c>
      <c r="B458" s="4" t="s">
        <v>41</v>
      </c>
      <c r="C458" s="4" t="s">
        <v>40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44378</v>
      </c>
      <c r="J458" s="6">
        <v>290</v>
      </c>
      <c r="K458" s="6">
        <v>290</v>
      </c>
      <c r="L458" s="6">
        <v>74.34</v>
      </c>
      <c r="M458" s="6">
        <v>74.34</v>
      </c>
      <c r="N458" s="6">
        <v>74.34</v>
      </c>
      <c r="O458" s="6">
        <v>74.34</v>
      </c>
      <c r="P458" s="6">
        <v>0</v>
      </c>
      <c r="Q458" s="4" t="s">
        <v>26</v>
      </c>
      <c r="R458" s="4">
        <v>0</v>
      </c>
      <c r="S458" s="4" t="s">
        <v>352</v>
      </c>
      <c r="T458" s="4" t="s">
        <v>708</v>
      </c>
      <c r="U458" s="4">
        <v>22</v>
      </c>
      <c r="V458" s="4">
        <v>23</v>
      </c>
      <c r="W458" s="4">
        <v>79</v>
      </c>
    </row>
    <row r="459" spans="1:23" ht="11.25" customHeight="1" x14ac:dyDescent="0.25">
      <c r="A459" s="4" t="s">
        <v>21</v>
      </c>
      <c r="B459" s="4" t="s">
        <v>41</v>
      </c>
      <c r="C459" s="4" t="s">
        <v>40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44409</v>
      </c>
      <c r="J459" s="6">
        <v>229</v>
      </c>
      <c r="K459" s="6">
        <v>229</v>
      </c>
      <c r="L459" s="6">
        <v>38.847999999999999</v>
      </c>
      <c r="M459" s="6">
        <v>38.847999999999999</v>
      </c>
      <c r="N459" s="6">
        <v>38.847999999999999</v>
      </c>
      <c r="O459" s="6">
        <v>38.847999999999999</v>
      </c>
      <c r="P459" s="6">
        <v>0</v>
      </c>
      <c r="Q459" s="4" t="s">
        <v>26</v>
      </c>
      <c r="R459" s="4">
        <v>0</v>
      </c>
      <c r="S459" s="4" t="s">
        <v>353</v>
      </c>
      <c r="T459" s="4" t="s">
        <v>709</v>
      </c>
      <c r="U459" s="4">
        <v>22</v>
      </c>
      <c r="V459" s="4">
        <v>23</v>
      </c>
      <c r="W459" s="4">
        <v>79</v>
      </c>
    </row>
    <row r="460" spans="1:23" ht="11.25" customHeight="1" x14ac:dyDescent="0.25">
      <c r="A460" s="4" t="s">
        <v>28</v>
      </c>
      <c r="B460" s="4" t="s">
        <v>41</v>
      </c>
      <c r="C460" s="4" t="s">
        <v>40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44409</v>
      </c>
      <c r="J460" s="6">
        <v>290</v>
      </c>
      <c r="K460" s="6">
        <v>290</v>
      </c>
      <c r="L460" s="6">
        <v>79.92</v>
      </c>
      <c r="M460" s="6">
        <v>79.92</v>
      </c>
      <c r="N460" s="6">
        <v>79.92</v>
      </c>
      <c r="O460" s="6">
        <v>79.92</v>
      </c>
      <c r="P460" s="6">
        <v>0</v>
      </c>
      <c r="Q460" s="4" t="s">
        <v>26</v>
      </c>
      <c r="R460" s="4">
        <v>0</v>
      </c>
      <c r="S460" s="4" t="s">
        <v>353</v>
      </c>
      <c r="T460" s="4" t="s">
        <v>709</v>
      </c>
      <c r="U460" s="4">
        <v>22</v>
      </c>
      <c r="V460" s="4">
        <v>23</v>
      </c>
      <c r="W460" s="4">
        <v>79</v>
      </c>
    </row>
    <row r="461" spans="1:23" ht="11.25" customHeight="1" x14ac:dyDescent="0.25">
      <c r="A461" s="4" t="s">
        <v>21</v>
      </c>
      <c r="B461" s="4" t="s">
        <v>41</v>
      </c>
      <c r="C461" s="4" t="s">
        <v>40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44440</v>
      </c>
      <c r="J461" s="6">
        <v>229</v>
      </c>
      <c r="K461" s="6">
        <v>229</v>
      </c>
      <c r="L461" s="6">
        <v>41.85</v>
      </c>
      <c r="M461" s="6">
        <v>41.85</v>
      </c>
      <c r="N461" s="6">
        <v>41.85</v>
      </c>
      <c r="O461" s="6">
        <v>41.85</v>
      </c>
      <c r="P461" s="6">
        <v>0</v>
      </c>
      <c r="Q461" s="4" t="s">
        <v>26</v>
      </c>
      <c r="R461" s="4">
        <v>0</v>
      </c>
      <c r="S461" s="4" t="s">
        <v>354</v>
      </c>
      <c r="T461" s="4" t="s">
        <v>710</v>
      </c>
      <c r="U461" s="4">
        <v>22</v>
      </c>
      <c r="V461" s="4">
        <v>23</v>
      </c>
      <c r="W461" s="4">
        <v>79</v>
      </c>
    </row>
    <row r="462" spans="1:23" ht="11.25" customHeight="1" x14ac:dyDescent="0.25">
      <c r="A462" s="4" t="s">
        <v>28</v>
      </c>
      <c r="B462" s="4" t="s">
        <v>41</v>
      </c>
      <c r="C462" s="4" t="s">
        <v>40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44440</v>
      </c>
      <c r="J462" s="6">
        <v>290</v>
      </c>
      <c r="K462" s="6">
        <v>290</v>
      </c>
      <c r="L462" s="6">
        <v>91.44</v>
      </c>
      <c r="M462" s="6">
        <v>91.44</v>
      </c>
      <c r="N462" s="6">
        <v>91.44</v>
      </c>
      <c r="O462" s="6">
        <v>91.44</v>
      </c>
      <c r="P462" s="6">
        <v>0</v>
      </c>
      <c r="Q462" s="4" t="s">
        <v>26</v>
      </c>
      <c r="R462" s="4">
        <v>0</v>
      </c>
      <c r="S462" s="4" t="s">
        <v>354</v>
      </c>
      <c r="T462" s="4" t="s">
        <v>710</v>
      </c>
      <c r="U462" s="4">
        <v>22</v>
      </c>
      <c r="V462" s="4">
        <v>23</v>
      </c>
      <c r="W462" s="4">
        <v>79</v>
      </c>
    </row>
    <row r="463" spans="1:23" ht="11.25" customHeight="1" x14ac:dyDescent="0.25">
      <c r="A463" s="4" t="s">
        <v>21</v>
      </c>
      <c r="B463" s="4" t="s">
        <v>41</v>
      </c>
      <c r="C463" s="4" t="s">
        <v>40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44470</v>
      </c>
      <c r="J463" s="6">
        <v>229</v>
      </c>
      <c r="K463" s="6">
        <v>229</v>
      </c>
      <c r="L463" s="6">
        <v>39.979999999999997</v>
      </c>
      <c r="M463" s="6">
        <v>39.979999999999997</v>
      </c>
      <c r="N463" s="6">
        <v>39.979999999999997</v>
      </c>
      <c r="O463" s="6">
        <v>39.979999999999997</v>
      </c>
      <c r="P463" s="6">
        <v>0</v>
      </c>
      <c r="Q463" s="4" t="s">
        <v>26</v>
      </c>
      <c r="R463" s="4">
        <v>0</v>
      </c>
      <c r="S463" s="4" t="s">
        <v>355</v>
      </c>
      <c r="T463" s="4" t="s">
        <v>711</v>
      </c>
      <c r="U463" s="4">
        <v>22</v>
      </c>
      <c r="V463" s="4">
        <v>23</v>
      </c>
      <c r="W463" s="4">
        <v>79</v>
      </c>
    </row>
    <row r="464" spans="1:23" ht="11.25" customHeight="1" x14ac:dyDescent="0.25">
      <c r="A464" s="4" t="s">
        <v>28</v>
      </c>
      <c r="B464" s="4" t="s">
        <v>41</v>
      </c>
      <c r="C464" s="4" t="s">
        <v>40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44470</v>
      </c>
      <c r="J464" s="6">
        <v>290</v>
      </c>
      <c r="K464" s="6">
        <v>290</v>
      </c>
      <c r="L464" s="6">
        <v>97.56</v>
      </c>
      <c r="M464" s="6">
        <v>97.56</v>
      </c>
      <c r="N464" s="6">
        <v>97.56</v>
      </c>
      <c r="O464" s="6">
        <v>97.56</v>
      </c>
      <c r="P464" s="6">
        <v>0</v>
      </c>
      <c r="Q464" s="4" t="s">
        <v>26</v>
      </c>
      <c r="R464" s="4">
        <v>0</v>
      </c>
      <c r="S464" s="4" t="s">
        <v>355</v>
      </c>
      <c r="T464" s="4" t="s">
        <v>711</v>
      </c>
      <c r="U464" s="4">
        <v>22</v>
      </c>
      <c r="V464" s="4">
        <v>23</v>
      </c>
      <c r="W464" s="4">
        <v>79</v>
      </c>
    </row>
    <row r="465" spans="1:23" ht="11.25" customHeight="1" x14ac:dyDescent="0.25">
      <c r="A465" s="4" t="s">
        <v>21</v>
      </c>
      <c r="B465" s="4" t="s">
        <v>41</v>
      </c>
      <c r="C465" s="4" t="s">
        <v>40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44501</v>
      </c>
      <c r="J465" s="6">
        <v>229</v>
      </c>
      <c r="K465" s="6">
        <v>229</v>
      </c>
      <c r="L465" s="6">
        <v>39.335999999999999</v>
      </c>
      <c r="M465" s="6">
        <v>39.335999999999999</v>
      </c>
      <c r="N465" s="6">
        <v>39.335999999999999</v>
      </c>
      <c r="O465" s="6">
        <v>39.335999999999999</v>
      </c>
      <c r="P465" s="6">
        <v>0</v>
      </c>
      <c r="Q465" s="4" t="s">
        <v>26</v>
      </c>
      <c r="R465" s="4">
        <v>0</v>
      </c>
      <c r="S465" s="4" t="s">
        <v>356</v>
      </c>
      <c r="T465" s="4" t="s">
        <v>712</v>
      </c>
      <c r="U465" s="4">
        <v>22</v>
      </c>
      <c r="V465" s="4">
        <v>23</v>
      </c>
      <c r="W465" s="4">
        <v>79</v>
      </c>
    </row>
    <row r="466" spans="1:23" ht="11.25" customHeight="1" x14ac:dyDescent="0.25">
      <c r="A466" s="4" t="s">
        <v>28</v>
      </c>
      <c r="B466" s="4" t="s">
        <v>41</v>
      </c>
      <c r="C466" s="4" t="s">
        <v>40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44501</v>
      </c>
      <c r="J466" s="6">
        <v>290</v>
      </c>
      <c r="K466" s="6">
        <v>290</v>
      </c>
      <c r="L466" s="6">
        <v>95.4</v>
      </c>
      <c r="M466" s="6">
        <v>95.4</v>
      </c>
      <c r="N466" s="6">
        <v>95.4</v>
      </c>
      <c r="O466" s="6">
        <v>95.4</v>
      </c>
      <c r="P466" s="6">
        <v>0</v>
      </c>
      <c r="Q466" s="4" t="s">
        <v>26</v>
      </c>
      <c r="R466" s="4">
        <v>0</v>
      </c>
      <c r="S466" s="4" t="s">
        <v>356</v>
      </c>
      <c r="T466" s="4" t="s">
        <v>712</v>
      </c>
      <c r="U466" s="4">
        <v>22</v>
      </c>
      <c r="V466" s="4">
        <v>23</v>
      </c>
      <c r="W466" s="4">
        <v>79</v>
      </c>
    </row>
    <row r="467" spans="1:23" ht="11.25" customHeight="1" x14ac:dyDescent="0.25">
      <c r="A467" s="4" t="s">
        <v>21</v>
      </c>
      <c r="B467" s="4" t="s">
        <v>41</v>
      </c>
      <c r="C467" s="4" t="s">
        <v>40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44531</v>
      </c>
      <c r="J467" s="6">
        <v>229</v>
      </c>
      <c r="K467" s="6">
        <v>229</v>
      </c>
      <c r="L467" s="6">
        <v>47.404000000000003</v>
      </c>
      <c r="M467" s="6">
        <v>47.404000000000003</v>
      </c>
      <c r="N467" s="6">
        <v>47.404000000000003</v>
      </c>
      <c r="O467" s="6">
        <v>47.404000000000003</v>
      </c>
      <c r="P467" s="6">
        <v>0</v>
      </c>
      <c r="Q467" s="4" t="s">
        <v>26</v>
      </c>
      <c r="R467" s="4">
        <v>0</v>
      </c>
      <c r="S467" s="4" t="s">
        <v>357</v>
      </c>
      <c r="T467" s="4" t="s">
        <v>713</v>
      </c>
      <c r="U467" s="4">
        <v>22</v>
      </c>
      <c r="V467" s="4">
        <v>23</v>
      </c>
      <c r="W467" s="4">
        <v>79</v>
      </c>
    </row>
    <row r="468" spans="1:23" ht="11.25" customHeight="1" x14ac:dyDescent="0.25">
      <c r="A468" s="4" t="s">
        <v>28</v>
      </c>
      <c r="B468" s="4" t="s">
        <v>41</v>
      </c>
      <c r="C468" s="4" t="s">
        <v>40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44531</v>
      </c>
      <c r="J468" s="6">
        <v>290</v>
      </c>
      <c r="K468" s="6">
        <v>290</v>
      </c>
      <c r="L468" s="6">
        <v>104.04</v>
      </c>
      <c r="M468" s="6">
        <v>104.04</v>
      </c>
      <c r="N468" s="6">
        <v>104.04</v>
      </c>
      <c r="O468" s="6">
        <v>104.04</v>
      </c>
      <c r="P468" s="6">
        <v>0</v>
      </c>
      <c r="Q468" s="4" t="s">
        <v>26</v>
      </c>
      <c r="R468" s="4">
        <v>0</v>
      </c>
      <c r="S468" s="4" t="s">
        <v>357</v>
      </c>
      <c r="T468" s="4" t="s">
        <v>713</v>
      </c>
      <c r="U468" s="4">
        <v>22</v>
      </c>
      <c r="V468" s="4">
        <v>23</v>
      </c>
      <c r="W468" s="4">
        <v>79</v>
      </c>
    </row>
    <row r="469" spans="1:23" ht="11.25" customHeight="1" x14ac:dyDescent="0.25">
      <c r="A469" s="4" t="s">
        <v>21</v>
      </c>
      <c r="B469" s="4" t="s">
        <v>41</v>
      </c>
      <c r="C469" s="4" t="s">
        <v>40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44562</v>
      </c>
      <c r="J469" s="6">
        <v>229</v>
      </c>
      <c r="K469" s="6">
        <v>229</v>
      </c>
      <c r="L469" s="6">
        <v>45.441000000000003</v>
      </c>
      <c r="M469" s="6">
        <v>45.441000000000003</v>
      </c>
      <c r="N469" s="6">
        <v>45.441000000000003</v>
      </c>
      <c r="O469" s="6">
        <v>45.441000000000003</v>
      </c>
      <c r="P469" s="6">
        <v>0</v>
      </c>
      <c r="Q469" s="4" t="s">
        <v>26</v>
      </c>
      <c r="R469" s="4">
        <v>0</v>
      </c>
      <c r="S469" s="4" t="s">
        <v>358</v>
      </c>
      <c r="T469" s="4" t="s">
        <v>714</v>
      </c>
      <c r="U469" s="4">
        <v>22</v>
      </c>
      <c r="V469" s="4">
        <v>23</v>
      </c>
      <c r="W469" s="4">
        <v>79</v>
      </c>
    </row>
    <row r="470" spans="1:23" ht="11.25" customHeight="1" x14ac:dyDescent="0.25">
      <c r="A470" s="4" t="s">
        <v>28</v>
      </c>
      <c r="B470" s="4" t="s">
        <v>41</v>
      </c>
      <c r="C470" s="4" t="s">
        <v>40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44562</v>
      </c>
      <c r="J470" s="6">
        <v>290</v>
      </c>
      <c r="K470" s="6">
        <v>290</v>
      </c>
      <c r="L470" s="6">
        <v>113.774</v>
      </c>
      <c r="M470" s="6">
        <v>113.774</v>
      </c>
      <c r="N470" s="6">
        <v>113.774</v>
      </c>
      <c r="O470" s="6">
        <v>113.774</v>
      </c>
      <c r="P470" s="6">
        <v>0</v>
      </c>
      <c r="Q470" s="4" t="s">
        <v>26</v>
      </c>
      <c r="R470" s="4">
        <v>0</v>
      </c>
      <c r="S470" s="4" t="s">
        <v>358</v>
      </c>
      <c r="T470" s="4" t="s">
        <v>714</v>
      </c>
      <c r="U470" s="4">
        <v>22</v>
      </c>
      <c r="V470" s="4">
        <v>23</v>
      </c>
      <c r="W470" s="4">
        <v>79</v>
      </c>
    </row>
    <row r="471" spans="1:23" ht="11.25" customHeight="1" x14ac:dyDescent="0.25">
      <c r="A471" s="4" t="s">
        <v>21</v>
      </c>
      <c r="B471" s="4" t="s">
        <v>41</v>
      </c>
      <c r="C471" s="4" t="s">
        <v>40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44593</v>
      </c>
      <c r="J471" s="6">
        <v>229</v>
      </c>
      <c r="K471" s="6">
        <v>229</v>
      </c>
      <c r="L471" s="6">
        <v>41.381999999999998</v>
      </c>
      <c r="M471" s="6">
        <v>41.381999999999998</v>
      </c>
      <c r="N471" s="6">
        <v>41.381999999999998</v>
      </c>
      <c r="O471" s="6">
        <v>41.381999999999998</v>
      </c>
      <c r="P471" s="6">
        <v>0</v>
      </c>
      <c r="Q471" s="4" t="s">
        <v>26</v>
      </c>
      <c r="R471" s="4">
        <v>0</v>
      </c>
      <c r="S471" s="4" t="s">
        <v>359</v>
      </c>
      <c r="T471" s="4" t="s">
        <v>715</v>
      </c>
      <c r="U471" s="4">
        <v>22</v>
      </c>
      <c r="V471" s="4">
        <v>23</v>
      </c>
      <c r="W471" s="4">
        <v>79</v>
      </c>
    </row>
    <row r="472" spans="1:23" ht="11.25" customHeight="1" x14ac:dyDescent="0.25">
      <c r="A472" s="4" t="s">
        <v>28</v>
      </c>
      <c r="B472" s="4" t="s">
        <v>41</v>
      </c>
      <c r="C472" s="4" t="s">
        <v>40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44593</v>
      </c>
      <c r="J472" s="6">
        <v>290</v>
      </c>
      <c r="K472" s="6">
        <v>290</v>
      </c>
      <c r="L472" s="6">
        <v>99.95</v>
      </c>
      <c r="M472" s="6">
        <v>99.95</v>
      </c>
      <c r="N472" s="6">
        <v>99.95</v>
      </c>
      <c r="O472" s="6">
        <v>99.95</v>
      </c>
      <c r="P472" s="6">
        <v>0</v>
      </c>
      <c r="Q472" s="4" t="s">
        <v>26</v>
      </c>
      <c r="R472" s="4">
        <v>0</v>
      </c>
      <c r="S472" s="4" t="s">
        <v>359</v>
      </c>
      <c r="T472" s="4" t="s">
        <v>715</v>
      </c>
      <c r="U472" s="4">
        <v>22</v>
      </c>
      <c r="V472" s="4">
        <v>23</v>
      </c>
      <c r="W472" s="4">
        <v>79</v>
      </c>
    </row>
    <row r="473" spans="1:23" ht="11.25" customHeight="1" x14ac:dyDescent="0.25">
      <c r="A473" s="4" t="s">
        <v>21</v>
      </c>
      <c r="B473" s="4" t="s">
        <v>41</v>
      </c>
      <c r="C473" s="4" t="s">
        <v>40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44621</v>
      </c>
      <c r="J473" s="6">
        <v>229</v>
      </c>
      <c r="K473" s="6">
        <v>229</v>
      </c>
      <c r="L473" s="6">
        <v>47.046999999999997</v>
      </c>
      <c r="M473" s="6">
        <v>47.046999999999997</v>
      </c>
      <c r="N473" s="6">
        <v>47.046999999999997</v>
      </c>
      <c r="O473" s="6">
        <v>47.046999999999997</v>
      </c>
      <c r="P473" s="6">
        <v>0</v>
      </c>
      <c r="Q473" s="4" t="s">
        <v>26</v>
      </c>
      <c r="R473" s="4">
        <v>0</v>
      </c>
      <c r="S473" s="4" t="s">
        <v>360</v>
      </c>
      <c r="T473" s="4" t="s">
        <v>716</v>
      </c>
      <c r="U473" s="4">
        <v>22</v>
      </c>
      <c r="V473" s="4">
        <v>23</v>
      </c>
      <c r="W473" s="4">
        <v>79</v>
      </c>
    </row>
    <row r="474" spans="1:23" ht="11.25" customHeight="1" x14ac:dyDescent="0.25">
      <c r="A474" s="4" t="s">
        <v>28</v>
      </c>
      <c r="B474" s="4" t="s">
        <v>41</v>
      </c>
      <c r="C474" s="4" t="s">
        <v>40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44621</v>
      </c>
      <c r="J474" s="6">
        <v>290</v>
      </c>
      <c r="K474" s="6">
        <v>290</v>
      </c>
      <c r="L474" s="6">
        <v>122.509</v>
      </c>
      <c r="M474" s="6">
        <v>122.509</v>
      </c>
      <c r="N474" s="6">
        <v>122.509</v>
      </c>
      <c r="O474" s="6">
        <v>122.509</v>
      </c>
      <c r="P474" s="6">
        <v>0</v>
      </c>
      <c r="Q474" s="4" t="s">
        <v>26</v>
      </c>
      <c r="R474" s="4">
        <v>0</v>
      </c>
      <c r="S474" s="4" t="s">
        <v>360</v>
      </c>
      <c r="T474" s="4" t="s">
        <v>716</v>
      </c>
      <c r="U474" s="4">
        <v>22</v>
      </c>
      <c r="V474" s="4">
        <v>23</v>
      </c>
      <c r="W474" s="4">
        <v>79</v>
      </c>
    </row>
    <row r="475" spans="1:23" ht="11.25" customHeight="1" x14ac:dyDescent="0.25">
      <c r="A475" s="4" t="s">
        <v>21</v>
      </c>
      <c r="B475" s="4" t="s">
        <v>41</v>
      </c>
      <c r="C475" s="4" t="s">
        <v>40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35</v>
      </c>
      <c r="I475" s="5">
        <v>44652</v>
      </c>
      <c r="J475" s="6">
        <v>256</v>
      </c>
      <c r="K475" s="6">
        <v>256</v>
      </c>
      <c r="L475" s="6">
        <v>50.764000000000003</v>
      </c>
      <c r="M475" s="6">
        <v>50.764000000000003</v>
      </c>
      <c r="N475" s="6">
        <v>50.764000000000003</v>
      </c>
      <c r="O475" s="6">
        <v>50.764000000000003</v>
      </c>
      <c r="P475" s="6">
        <v>0</v>
      </c>
      <c r="Q475" s="4" t="s">
        <v>26</v>
      </c>
      <c r="R475" s="4">
        <v>0</v>
      </c>
      <c r="S475" s="4" t="s">
        <v>361</v>
      </c>
      <c r="T475" s="4" t="s">
        <v>717</v>
      </c>
      <c r="U475" s="4">
        <v>22</v>
      </c>
      <c r="V475" s="4">
        <v>23</v>
      </c>
      <c r="W475" s="4">
        <v>79</v>
      </c>
    </row>
    <row r="476" spans="1:23" ht="11.25" customHeight="1" x14ac:dyDescent="0.25">
      <c r="A476" s="4" t="s">
        <v>28</v>
      </c>
      <c r="B476" s="4" t="s">
        <v>41</v>
      </c>
      <c r="C476" s="4" t="s">
        <v>40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35</v>
      </c>
      <c r="I476" s="5">
        <v>44652</v>
      </c>
      <c r="J476" s="6">
        <v>290</v>
      </c>
      <c r="K476" s="6">
        <v>290</v>
      </c>
      <c r="L476" s="6">
        <v>103.602</v>
      </c>
      <c r="M476" s="6">
        <v>103.602</v>
      </c>
      <c r="N476" s="6">
        <v>103.602</v>
      </c>
      <c r="O476" s="6">
        <v>103.602</v>
      </c>
      <c r="P476" s="6">
        <v>0</v>
      </c>
      <c r="Q476" s="4" t="s">
        <v>26</v>
      </c>
      <c r="R476" s="4">
        <v>0</v>
      </c>
      <c r="S476" s="4" t="s">
        <v>361</v>
      </c>
      <c r="T476" s="4" t="s">
        <v>717</v>
      </c>
      <c r="U476" s="4">
        <v>22</v>
      </c>
      <c r="V476" s="4">
        <v>23</v>
      </c>
      <c r="W476" s="4">
        <v>79</v>
      </c>
    </row>
    <row r="477" spans="1:23" ht="11.25" customHeight="1" x14ac:dyDescent="0.25">
      <c r="A477" s="4" t="s">
        <v>58</v>
      </c>
      <c r="B477" s="4" t="s">
        <v>41</v>
      </c>
      <c r="C477" s="4" t="s">
        <v>40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44682</v>
      </c>
      <c r="J477" s="6">
        <v>256</v>
      </c>
      <c r="K477" s="6">
        <v>256</v>
      </c>
      <c r="L477" s="6">
        <v>50.764000000000003</v>
      </c>
      <c r="M477" s="6">
        <v>50.764000000000003</v>
      </c>
      <c r="N477" s="6">
        <v>50.764000000000003</v>
      </c>
      <c r="O477" s="6">
        <v>50.764000000000003</v>
      </c>
      <c r="P477" s="6">
        <v>0</v>
      </c>
      <c r="Q477" s="4" t="s">
        <v>26</v>
      </c>
      <c r="R477" s="4">
        <v>0</v>
      </c>
      <c r="S477" s="4" t="s">
        <v>362</v>
      </c>
      <c r="T477" s="4" t="s">
        <v>718</v>
      </c>
      <c r="U477" s="4">
        <v>22</v>
      </c>
      <c r="V477" s="4">
        <v>23</v>
      </c>
      <c r="W477" s="4">
        <v>79</v>
      </c>
    </row>
    <row r="478" spans="1:23" ht="11.25" customHeight="1" x14ac:dyDescent="0.25">
      <c r="A478" s="4" t="s">
        <v>58</v>
      </c>
      <c r="B478" s="4" t="s">
        <v>41</v>
      </c>
      <c r="C478" s="4" t="s">
        <v>40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44682</v>
      </c>
      <c r="J478" s="6">
        <v>290</v>
      </c>
      <c r="K478" s="6">
        <v>290</v>
      </c>
      <c r="L478" s="6">
        <v>103.602</v>
      </c>
      <c r="M478" s="6">
        <v>103.602</v>
      </c>
      <c r="N478" s="6">
        <v>103.602</v>
      </c>
      <c r="O478" s="6">
        <v>103.602</v>
      </c>
      <c r="P478" s="6">
        <v>0</v>
      </c>
      <c r="Q478" s="4" t="s">
        <v>26</v>
      </c>
      <c r="R478" s="4">
        <v>0</v>
      </c>
      <c r="S478" s="4" t="s">
        <v>362</v>
      </c>
      <c r="T478" s="4" t="s">
        <v>718</v>
      </c>
      <c r="U478" s="4">
        <v>22</v>
      </c>
      <c r="V478" s="4">
        <v>23</v>
      </c>
      <c r="W478" s="4">
        <v>79</v>
      </c>
    </row>
    <row r="479" spans="1:23" ht="11.25" customHeight="1" x14ac:dyDescent="0.25">
      <c r="A479" s="4" t="s">
        <v>21</v>
      </c>
      <c r="B479" s="4" t="s">
        <v>41</v>
      </c>
      <c r="C479" s="4" t="s">
        <v>40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44348</v>
      </c>
      <c r="J479" s="6">
        <v>184</v>
      </c>
      <c r="K479" s="6">
        <v>184</v>
      </c>
      <c r="L479" s="6">
        <v>5.08</v>
      </c>
      <c r="M479" s="6">
        <v>5.08</v>
      </c>
      <c r="N479" s="6">
        <v>5.08</v>
      </c>
      <c r="O479" s="6">
        <v>5.08</v>
      </c>
      <c r="P479" s="6">
        <v>0</v>
      </c>
      <c r="Q479" s="4" t="s">
        <v>26</v>
      </c>
      <c r="R479" s="4">
        <v>0</v>
      </c>
      <c r="S479" s="4" t="s">
        <v>363</v>
      </c>
      <c r="T479" s="4" t="s">
        <v>719</v>
      </c>
      <c r="U479" s="4">
        <v>21</v>
      </c>
      <c r="V479" s="4">
        <v>23</v>
      </c>
      <c r="W479" s="4">
        <v>78</v>
      </c>
    </row>
    <row r="480" spans="1:23" ht="11.25" customHeight="1" x14ac:dyDescent="0.25">
      <c r="A480" s="4" t="s">
        <v>28</v>
      </c>
      <c r="B480" s="4" t="s">
        <v>41</v>
      </c>
      <c r="C480" s="4" t="s">
        <v>40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44348</v>
      </c>
      <c r="J480" s="6">
        <v>290</v>
      </c>
      <c r="K480" s="6">
        <v>290</v>
      </c>
      <c r="L480" s="6">
        <v>12.96</v>
      </c>
      <c r="M480" s="6">
        <v>12.96</v>
      </c>
      <c r="N480" s="6">
        <v>12.96</v>
      </c>
      <c r="O480" s="6">
        <v>12.96</v>
      </c>
      <c r="P480" s="6">
        <v>0</v>
      </c>
      <c r="Q480" s="4" t="s">
        <v>26</v>
      </c>
      <c r="R480" s="4">
        <v>0</v>
      </c>
      <c r="S480" s="4" t="s">
        <v>363</v>
      </c>
      <c r="T480" s="4" t="s">
        <v>719</v>
      </c>
      <c r="U480" s="4">
        <v>21</v>
      </c>
      <c r="V480" s="4">
        <v>23</v>
      </c>
      <c r="W480" s="4">
        <v>78</v>
      </c>
    </row>
    <row r="481" spans="1:23" ht="11.25" customHeight="1" x14ac:dyDescent="0.25">
      <c r="A481" s="4" t="s">
        <v>28</v>
      </c>
      <c r="B481" s="4" t="s">
        <v>41</v>
      </c>
      <c r="C481" s="4" t="s">
        <v>40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44348</v>
      </c>
      <c r="J481" s="6">
        <v>0</v>
      </c>
      <c r="K481" s="6">
        <v>0</v>
      </c>
      <c r="L481" s="6">
        <v>-0.54</v>
      </c>
      <c r="M481" s="6">
        <v>-0.54</v>
      </c>
      <c r="N481" s="6">
        <v>-0.54</v>
      </c>
      <c r="O481" s="6">
        <v>-0.54</v>
      </c>
      <c r="P481" s="6">
        <v>0</v>
      </c>
      <c r="Q481" s="4" t="s">
        <v>26</v>
      </c>
      <c r="R481" s="4">
        <v>0</v>
      </c>
      <c r="S481" s="4" t="s">
        <v>363</v>
      </c>
      <c r="T481" s="4" t="s">
        <v>719</v>
      </c>
      <c r="U481" s="4">
        <v>0</v>
      </c>
      <c r="V481" s="4">
        <v>23</v>
      </c>
      <c r="W481" s="4">
        <v>78</v>
      </c>
    </row>
    <row r="482" spans="1:23" ht="11.25" customHeight="1" x14ac:dyDescent="0.25">
      <c r="A482" s="4" t="s">
        <v>21</v>
      </c>
      <c r="B482" s="4" t="s">
        <v>41</v>
      </c>
      <c r="C482" s="4" t="s">
        <v>40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34</v>
      </c>
      <c r="I482" s="5">
        <v>44378</v>
      </c>
      <c r="J482" s="6">
        <v>190</v>
      </c>
      <c r="K482" s="6">
        <v>190</v>
      </c>
      <c r="L482" s="6">
        <v>5.3929999999999998</v>
      </c>
      <c r="M482" s="6">
        <v>5.3929999999999998</v>
      </c>
      <c r="N482" s="6">
        <v>5.3929999999999998</v>
      </c>
      <c r="O482" s="6">
        <v>5.3929999999999998</v>
      </c>
      <c r="P482" s="6">
        <v>0</v>
      </c>
      <c r="Q482" s="4" t="s">
        <v>26</v>
      </c>
      <c r="R482" s="4">
        <v>0</v>
      </c>
      <c r="S482" s="4" t="s">
        <v>364</v>
      </c>
      <c r="T482" s="4" t="s">
        <v>720</v>
      </c>
      <c r="U482" s="4">
        <v>21</v>
      </c>
      <c r="V482" s="4">
        <v>23</v>
      </c>
      <c r="W482" s="4">
        <v>78</v>
      </c>
    </row>
    <row r="483" spans="1:23" ht="11.25" customHeight="1" x14ac:dyDescent="0.25">
      <c r="A483" s="4" t="s">
        <v>28</v>
      </c>
      <c r="B483" s="4" t="s">
        <v>41</v>
      </c>
      <c r="C483" s="4" t="s">
        <v>40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34</v>
      </c>
      <c r="I483" s="5">
        <v>44378</v>
      </c>
      <c r="J483" s="6">
        <v>290</v>
      </c>
      <c r="K483" s="6">
        <v>290</v>
      </c>
      <c r="L483" s="6">
        <v>13.86</v>
      </c>
      <c r="M483" s="6">
        <v>13.86</v>
      </c>
      <c r="N483" s="6">
        <v>13.86</v>
      </c>
      <c r="O483" s="6">
        <v>13.86</v>
      </c>
      <c r="P483" s="6">
        <v>0</v>
      </c>
      <c r="Q483" s="4" t="s">
        <v>26</v>
      </c>
      <c r="R483" s="4">
        <v>0</v>
      </c>
      <c r="S483" s="4" t="s">
        <v>364</v>
      </c>
      <c r="T483" s="4" t="s">
        <v>720</v>
      </c>
      <c r="U483" s="4">
        <v>21</v>
      </c>
      <c r="V483" s="4">
        <v>23</v>
      </c>
      <c r="W483" s="4">
        <v>78</v>
      </c>
    </row>
    <row r="484" spans="1:23" ht="11.25" customHeight="1" x14ac:dyDescent="0.25">
      <c r="A484" s="4" t="s">
        <v>21</v>
      </c>
      <c r="B484" s="4" t="s">
        <v>41</v>
      </c>
      <c r="C484" s="4" t="s">
        <v>40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34</v>
      </c>
      <c r="I484" s="5">
        <v>44409</v>
      </c>
      <c r="J484" s="6">
        <v>199</v>
      </c>
      <c r="K484" s="6">
        <v>199</v>
      </c>
      <c r="L484" s="6">
        <v>5.4470000000000001</v>
      </c>
      <c r="M484" s="6">
        <v>5.4470000000000001</v>
      </c>
      <c r="N484" s="6">
        <v>5.4470000000000001</v>
      </c>
      <c r="O484" s="6">
        <v>5.4470000000000001</v>
      </c>
      <c r="P484" s="6">
        <v>0</v>
      </c>
      <c r="Q484" s="4" t="s">
        <v>26</v>
      </c>
      <c r="R484" s="4">
        <v>0</v>
      </c>
      <c r="S484" s="4" t="s">
        <v>365</v>
      </c>
      <c r="T484" s="4" t="s">
        <v>721</v>
      </c>
      <c r="U484" s="4">
        <v>21</v>
      </c>
      <c r="V484" s="4">
        <v>23</v>
      </c>
      <c r="W484" s="4">
        <v>78</v>
      </c>
    </row>
    <row r="485" spans="1:23" ht="11.25" customHeight="1" x14ac:dyDescent="0.25">
      <c r="A485" s="4" t="s">
        <v>28</v>
      </c>
      <c r="B485" s="4" t="s">
        <v>41</v>
      </c>
      <c r="C485" s="4" t="s">
        <v>40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34</v>
      </c>
      <c r="I485" s="5">
        <v>44409</v>
      </c>
      <c r="J485" s="6">
        <v>290</v>
      </c>
      <c r="K485" s="6">
        <v>290</v>
      </c>
      <c r="L485" s="6">
        <v>13.86</v>
      </c>
      <c r="M485" s="6">
        <v>13.86</v>
      </c>
      <c r="N485" s="6">
        <v>13.86</v>
      </c>
      <c r="O485" s="6">
        <v>13.86</v>
      </c>
      <c r="P485" s="6">
        <v>0</v>
      </c>
      <c r="Q485" s="4" t="s">
        <v>26</v>
      </c>
      <c r="R485" s="4">
        <v>0</v>
      </c>
      <c r="S485" s="4" t="s">
        <v>365</v>
      </c>
      <c r="T485" s="4" t="s">
        <v>721</v>
      </c>
      <c r="U485" s="4">
        <v>21</v>
      </c>
      <c r="V485" s="4">
        <v>23</v>
      </c>
      <c r="W485" s="4">
        <v>78</v>
      </c>
    </row>
    <row r="486" spans="1:23" ht="11.25" customHeight="1" x14ac:dyDescent="0.25">
      <c r="A486" s="4" t="s">
        <v>21</v>
      </c>
      <c r="B486" s="4" t="s">
        <v>41</v>
      </c>
      <c r="C486" s="4" t="s">
        <v>40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34</v>
      </c>
      <c r="I486" s="5">
        <v>44440</v>
      </c>
      <c r="J486" s="6">
        <v>192</v>
      </c>
      <c r="K486" s="6">
        <v>192</v>
      </c>
      <c r="L486" s="6">
        <v>5.3630000000000004</v>
      </c>
      <c r="M486" s="6">
        <v>5.3630000000000004</v>
      </c>
      <c r="N486" s="6">
        <v>5.3630000000000004</v>
      </c>
      <c r="O486" s="6">
        <v>5.3630000000000004</v>
      </c>
      <c r="P486" s="6">
        <v>0</v>
      </c>
      <c r="Q486" s="4" t="s">
        <v>26</v>
      </c>
      <c r="R486" s="4">
        <v>0</v>
      </c>
      <c r="S486" s="4" t="s">
        <v>366</v>
      </c>
      <c r="T486" s="4" t="s">
        <v>722</v>
      </c>
      <c r="U486" s="4">
        <v>21</v>
      </c>
      <c r="V486" s="4">
        <v>23</v>
      </c>
      <c r="W486" s="4">
        <v>78</v>
      </c>
    </row>
    <row r="487" spans="1:23" ht="11.25" customHeight="1" x14ac:dyDescent="0.25">
      <c r="A487" s="4" t="s">
        <v>28</v>
      </c>
      <c r="B487" s="4" t="s">
        <v>41</v>
      </c>
      <c r="C487" s="4" t="s">
        <v>40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44440</v>
      </c>
      <c r="J487" s="6">
        <v>290</v>
      </c>
      <c r="K487" s="6">
        <v>290</v>
      </c>
      <c r="L487" s="6">
        <v>13.14</v>
      </c>
      <c r="M487" s="6">
        <v>13.14</v>
      </c>
      <c r="N487" s="6">
        <v>13.14</v>
      </c>
      <c r="O487" s="6">
        <v>13.14</v>
      </c>
      <c r="P487" s="6">
        <v>0</v>
      </c>
      <c r="Q487" s="4" t="s">
        <v>26</v>
      </c>
      <c r="R487" s="4">
        <v>0</v>
      </c>
      <c r="S487" s="4" t="s">
        <v>366</v>
      </c>
      <c r="T487" s="4" t="s">
        <v>722</v>
      </c>
      <c r="U487" s="4">
        <v>21</v>
      </c>
      <c r="V487" s="4">
        <v>23</v>
      </c>
      <c r="W487" s="4">
        <v>78</v>
      </c>
    </row>
    <row r="488" spans="1:23" ht="11.25" customHeight="1" x14ac:dyDescent="0.25">
      <c r="A488" s="4" t="s">
        <v>21</v>
      </c>
      <c r="B488" s="4" t="s">
        <v>41</v>
      </c>
      <c r="C488" s="4" t="s">
        <v>40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44470</v>
      </c>
      <c r="J488" s="6">
        <v>187</v>
      </c>
      <c r="K488" s="6">
        <v>187</v>
      </c>
      <c r="L488" s="6">
        <v>4.8689999999999998</v>
      </c>
      <c r="M488" s="6">
        <v>4.8689999999999998</v>
      </c>
      <c r="N488" s="6">
        <v>4.8689999999999998</v>
      </c>
      <c r="O488" s="6">
        <v>4.8689999999999998</v>
      </c>
      <c r="P488" s="6">
        <v>0</v>
      </c>
      <c r="Q488" s="4" t="s">
        <v>26</v>
      </c>
      <c r="R488" s="4">
        <v>0</v>
      </c>
      <c r="S488" s="4" t="s">
        <v>367</v>
      </c>
      <c r="T488" s="4" t="s">
        <v>723</v>
      </c>
      <c r="U488" s="4">
        <v>21</v>
      </c>
      <c r="V488" s="4">
        <v>23</v>
      </c>
      <c r="W488" s="4">
        <v>78</v>
      </c>
    </row>
    <row r="489" spans="1:23" ht="11.25" customHeight="1" x14ac:dyDescent="0.25">
      <c r="A489" s="4" t="s">
        <v>28</v>
      </c>
      <c r="B489" s="4" t="s">
        <v>41</v>
      </c>
      <c r="C489" s="4" t="s">
        <v>40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44470</v>
      </c>
      <c r="J489" s="6">
        <v>290</v>
      </c>
      <c r="K489" s="6">
        <v>290</v>
      </c>
      <c r="L489" s="6">
        <v>13.5</v>
      </c>
      <c r="M489" s="6">
        <v>13.5</v>
      </c>
      <c r="N489" s="6">
        <v>13.5</v>
      </c>
      <c r="O489" s="6">
        <v>13.5</v>
      </c>
      <c r="P489" s="6">
        <v>0</v>
      </c>
      <c r="Q489" s="4" t="s">
        <v>26</v>
      </c>
      <c r="R489" s="4">
        <v>0</v>
      </c>
      <c r="S489" s="4" t="s">
        <v>367</v>
      </c>
      <c r="T489" s="4" t="s">
        <v>723</v>
      </c>
      <c r="U489" s="4">
        <v>21</v>
      </c>
      <c r="V489" s="4">
        <v>23</v>
      </c>
      <c r="W489" s="4">
        <v>78</v>
      </c>
    </row>
    <row r="490" spans="1:23" ht="11.25" customHeight="1" x14ac:dyDescent="0.25">
      <c r="A490" s="4" t="s">
        <v>21</v>
      </c>
      <c r="B490" s="4" t="s">
        <v>41</v>
      </c>
      <c r="C490" s="4" t="s">
        <v>40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44501</v>
      </c>
      <c r="J490" s="6">
        <v>193</v>
      </c>
      <c r="K490" s="6">
        <v>193</v>
      </c>
      <c r="L490" s="6">
        <v>4.9379999999999997</v>
      </c>
      <c r="M490" s="6">
        <v>4.9379999999999997</v>
      </c>
      <c r="N490" s="6">
        <v>4.9379999999999997</v>
      </c>
      <c r="O490" s="6">
        <v>4.9379999999999997</v>
      </c>
      <c r="P490" s="6">
        <v>0</v>
      </c>
      <c r="Q490" s="4" t="s">
        <v>26</v>
      </c>
      <c r="R490" s="4">
        <v>0</v>
      </c>
      <c r="S490" s="4" t="s">
        <v>368</v>
      </c>
      <c r="T490" s="4" t="s">
        <v>724</v>
      </c>
      <c r="U490" s="4">
        <v>21</v>
      </c>
      <c r="V490" s="4">
        <v>23</v>
      </c>
      <c r="W490" s="4">
        <v>78</v>
      </c>
    </row>
    <row r="491" spans="1:23" ht="11.25" customHeight="1" x14ac:dyDescent="0.25">
      <c r="A491" s="4" t="s">
        <v>28</v>
      </c>
      <c r="B491" s="4" t="s">
        <v>41</v>
      </c>
      <c r="C491" s="4" t="s">
        <v>40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44501</v>
      </c>
      <c r="J491" s="6">
        <v>290</v>
      </c>
      <c r="K491" s="6">
        <v>290</v>
      </c>
      <c r="L491" s="6">
        <v>13.32</v>
      </c>
      <c r="M491" s="6">
        <v>13.32</v>
      </c>
      <c r="N491" s="6">
        <v>13.32</v>
      </c>
      <c r="O491" s="6">
        <v>13.32</v>
      </c>
      <c r="P491" s="6">
        <v>0</v>
      </c>
      <c r="Q491" s="4" t="s">
        <v>26</v>
      </c>
      <c r="R491" s="4">
        <v>0</v>
      </c>
      <c r="S491" s="4" t="s">
        <v>368</v>
      </c>
      <c r="T491" s="4" t="s">
        <v>724</v>
      </c>
      <c r="U491" s="4">
        <v>21</v>
      </c>
      <c r="V491" s="4">
        <v>23</v>
      </c>
      <c r="W491" s="4">
        <v>78</v>
      </c>
    </row>
    <row r="492" spans="1:23" ht="11.25" customHeight="1" x14ac:dyDescent="0.25">
      <c r="A492" s="4" t="s">
        <v>21</v>
      </c>
      <c r="B492" s="4" t="s">
        <v>41</v>
      </c>
      <c r="C492" s="4" t="s">
        <v>40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44531</v>
      </c>
      <c r="J492" s="6">
        <v>191</v>
      </c>
      <c r="K492" s="6">
        <v>191</v>
      </c>
      <c r="L492" s="6">
        <v>6.3630000000000004</v>
      </c>
      <c r="M492" s="6">
        <v>6.3630000000000004</v>
      </c>
      <c r="N492" s="6">
        <v>6.3630000000000004</v>
      </c>
      <c r="O492" s="6">
        <v>6.3630000000000004</v>
      </c>
      <c r="P492" s="6">
        <v>0</v>
      </c>
      <c r="Q492" s="4" t="s">
        <v>26</v>
      </c>
      <c r="R492" s="4">
        <v>0</v>
      </c>
      <c r="S492" s="4" t="s">
        <v>369</v>
      </c>
      <c r="T492" s="4" t="s">
        <v>725</v>
      </c>
      <c r="U492" s="4">
        <v>21</v>
      </c>
      <c r="V492" s="4">
        <v>23</v>
      </c>
      <c r="W492" s="4">
        <v>78</v>
      </c>
    </row>
    <row r="493" spans="1:23" ht="11.25" customHeight="1" x14ac:dyDescent="0.25">
      <c r="A493" s="4" t="s">
        <v>28</v>
      </c>
      <c r="B493" s="4" t="s">
        <v>41</v>
      </c>
      <c r="C493" s="4" t="s">
        <v>40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34</v>
      </c>
      <c r="I493" s="5">
        <v>44531</v>
      </c>
      <c r="J493" s="6">
        <v>290</v>
      </c>
      <c r="K493" s="6">
        <v>290</v>
      </c>
      <c r="L493" s="6">
        <v>15.12</v>
      </c>
      <c r="M493" s="6">
        <v>15.12</v>
      </c>
      <c r="N493" s="6">
        <v>15.12</v>
      </c>
      <c r="O493" s="6">
        <v>15.12</v>
      </c>
      <c r="P493" s="6">
        <v>0</v>
      </c>
      <c r="Q493" s="4" t="s">
        <v>26</v>
      </c>
      <c r="R493" s="4">
        <v>0</v>
      </c>
      <c r="S493" s="4" t="s">
        <v>369</v>
      </c>
      <c r="T493" s="4" t="s">
        <v>725</v>
      </c>
      <c r="U493" s="4">
        <v>21</v>
      </c>
      <c r="V493" s="4">
        <v>23</v>
      </c>
      <c r="W493" s="4">
        <v>78</v>
      </c>
    </row>
    <row r="494" spans="1:23" ht="11.25" customHeight="1" x14ac:dyDescent="0.25">
      <c r="A494" s="4" t="s">
        <v>21</v>
      </c>
      <c r="B494" s="4" t="s">
        <v>41</v>
      </c>
      <c r="C494" s="4" t="s">
        <v>40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34</v>
      </c>
      <c r="I494" s="5">
        <v>44562</v>
      </c>
      <c r="J494" s="6">
        <v>188</v>
      </c>
      <c r="K494" s="6">
        <v>188</v>
      </c>
      <c r="L494" s="6">
        <v>5.4550000000000001</v>
      </c>
      <c r="M494" s="6">
        <v>5.4550000000000001</v>
      </c>
      <c r="N494" s="6">
        <v>5.4550000000000001</v>
      </c>
      <c r="O494" s="6">
        <v>5.4550000000000001</v>
      </c>
      <c r="P494" s="6">
        <v>0</v>
      </c>
      <c r="Q494" s="4" t="s">
        <v>26</v>
      </c>
      <c r="R494" s="4">
        <v>0</v>
      </c>
      <c r="S494" s="4" t="s">
        <v>370</v>
      </c>
      <c r="T494" s="4" t="s">
        <v>726</v>
      </c>
      <c r="U494" s="4">
        <v>21</v>
      </c>
      <c r="V494" s="4">
        <v>23</v>
      </c>
      <c r="W494" s="4">
        <v>78</v>
      </c>
    </row>
    <row r="495" spans="1:23" ht="11.25" customHeight="1" x14ac:dyDescent="0.25">
      <c r="A495" s="4" t="s">
        <v>28</v>
      </c>
      <c r="B495" s="4" t="s">
        <v>41</v>
      </c>
      <c r="C495" s="4" t="s">
        <v>40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34</v>
      </c>
      <c r="I495" s="5">
        <v>44562</v>
      </c>
      <c r="J495" s="6">
        <v>290</v>
      </c>
      <c r="K495" s="6">
        <v>290</v>
      </c>
      <c r="L495" s="6">
        <v>14.131</v>
      </c>
      <c r="M495" s="6">
        <v>14.131</v>
      </c>
      <c r="N495" s="6">
        <v>14.131</v>
      </c>
      <c r="O495" s="6">
        <v>14.131</v>
      </c>
      <c r="P495" s="6">
        <v>0</v>
      </c>
      <c r="Q495" s="4" t="s">
        <v>26</v>
      </c>
      <c r="R495" s="4">
        <v>0</v>
      </c>
      <c r="S495" s="4" t="s">
        <v>370</v>
      </c>
      <c r="T495" s="4" t="s">
        <v>726</v>
      </c>
      <c r="U495" s="4">
        <v>21</v>
      </c>
      <c r="V495" s="4">
        <v>23</v>
      </c>
      <c r="W495" s="4">
        <v>78</v>
      </c>
    </row>
    <row r="496" spans="1:23" ht="11.25" customHeight="1" x14ac:dyDescent="0.25">
      <c r="A496" s="4" t="s">
        <v>21</v>
      </c>
      <c r="B496" s="4" t="s">
        <v>41</v>
      </c>
      <c r="C496" s="4" t="s">
        <v>40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34</v>
      </c>
      <c r="I496" s="5">
        <v>44593</v>
      </c>
      <c r="J496" s="6">
        <v>185</v>
      </c>
      <c r="K496" s="6">
        <v>185</v>
      </c>
      <c r="L496" s="6">
        <v>5.0919999999999996</v>
      </c>
      <c r="M496" s="6">
        <v>5.0919999999999996</v>
      </c>
      <c r="N496" s="6">
        <v>5.0919999999999996</v>
      </c>
      <c r="O496" s="6">
        <v>5.0919999999999996</v>
      </c>
      <c r="P496" s="6">
        <v>0</v>
      </c>
      <c r="Q496" s="4" t="s">
        <v>26</v>
      </c>
      <c r="R496" s="4">
        <v>0</v>
      </c>
      <c r="S496" s="4" t="s">
        <v>371</v>
      </c>
      <c r="T496" s="4" t="s">
        <v>727</v>
      </c>
      <c r="U496" s="4">
        <v>21</v>
      </c>
      <c r="V496" s="4">
        <v>23</v>
      </c>
      <c r="W496" s="4">
        <v>78</v>
      </c>
    </row>
    <row r="497" spans="1:23" ht="11.25" customHeight="1" x14ac:dyDescent="0.25">
      <c r="A497" s="4" t="s">
        <v>28</v>
      </c>
      <c r="B497" s="4" t="s">
        <v>41</v>
      </c>
      <c r="C497" s="4" t="s">
        <v>40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34</v>
      </c>
      <c r="I497" s="5">
        <v>44593</v>
      </c>
      <c r="J497" s="6">
        <v>290</v>
      </c>
      <c r="K497" s="6">
        <v>290</v>
      </c>
      <c r="L497" s="6">
        <v>13.39</v>
      </c>
      <c r="M497" s="6">
        <v>13.39</v>
      </c>
      <c r="N497" s="6">
        <v>13.39</v>
      </c>
      <c r="O497" s="6">
        <v>13.39</v>
      </c>
      <c r="P497" s="6">
        <v>0</v>
      </c>
      <c r="Q497" s="4" t="s">
        <v>26</v>
      </c>
      <c r="R497" s="4">
        <v>0</v>
      </c>
      <c r="S497" s="4" t="s">
        <v>371</v>
      </c>
      <c r="T497" s="4" t="s">
        <v>727</v>
      </c>
      <c r="U497" s="4">
        <v>21</v>
      </c>
      <c r="V497" s="4">
        <v>23</v>
      </c>
      <c r="W497" s="4">
        <v>78</v>
      </c>
    </row>
    <row r="498" spans="1:23" ht="11.25" customHeight="1" x14ac:dyDescent="0.25">
      <c r="A498" s="4" t="s">
        <v>21</v>
      </c>
      <c r="B498" s="4" t="s">
        <v>41</v>
      </c>
      <c r="C498" s="4" t="s">
        <v>40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44621</v>
      </c>
      <c r="J498" s="6">
        <v>193</v>
      </c>
      <c r="K498" s="6">
        <v>193</v>
      </c>
      <c r="L498" s="6">
        <v>5.7880000000000003</v>
      </c>
      <c r="M498" s="6">
        <v>5.7880000000000003</v>
      </c>
      <c r="N498" s="6">
        <v>5.7880000000000003</v>
      </c>
      <c r="O498" s="6">
        <v>5.7880000000000003</v>
      </c>
      <c r="P498" s="6">
        <v>0</v>
      </c>
      <c r="Q498" s="4" t="s">
        <v>26</v>
      </c>
      <c r="R498" s="4">
        <v>0</v>
      </c>
      <c r="S498" s="4" t="s">
        <v>372</v>
      </c>
      <c r="T498" s="4" t="s">
        <v>728</v>
      </c>
      <c r="U498" s="4">
        <v>21</v>
      </c>
      <c r="V498" s="4">
        <v>23</v>
      </c>
      <c r="W498" s="4">
        <v>78</v>
      </c>
    </row>
    <row r="499" spans="1:23" ht="11.25" customHeight="1" x14ac:dyDescent="0.25">
      <c r="A499" s="4" t="s">
        <v>28</v>
      </c>
      <c r="B499" s="4" t="s">
        <v>41</v>
      </c>
      <c r="C499" s="4" t="s">
        <v>40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34</v>
      </c>
      <c r="I499" s="5">
        <v>44621</v>
      </c>
      <c r="J499" s="6">
        <v>290</v>
      </c>
      <c r="K499" s="6">
        <v>290</v>
      </c>
      <c r="L499" s="6">
        <v>15.686</v>
      </c>
      <c r="M499" s="6">
        <v>15.686</v>
      </c>
      <c r="N499" s="6">
        <v>15.686</v>
      </c>
      <c r="O499" s="6">
        <v>15.686</v>
      </c>
      <c r="P499" s="6">
        <v>0</v>
      </c>
      <c r="Q499" s="4" t="s">
        <v>26</v>
      </c>
      <c r="R499" s="4">
        <v>0</v>
      </c>
      <c r="S499" s="4" t="s">
        <v>372</v>
      </c>
      <c r="T499" s="4" t="s">
        <v>728</v>
      </c>
      <c r="U499" s="4">
        <v>21</v>
      </c>
      <c r="V499" s="4">
        <v>23</v>
      </c>
      <c r="W499" s="4">
        <v>78</v>
      </c>
    </row>
    <row r="500" spans="1:23" ht="11.25" customHeight="1" x14ac:dyDescent="0.25">
      <c r="A500" s="4" t="s">
        <v>21</v>
      </c>
      <c r="B500" s="4" t="s">
        <v>41</v>
      </c>
      <c r="C500" s="4" t="s">
        <v>40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34</v>
      </c>
      <c r="I500" s="5">
        <v>44652</v>
      </c>
      <c r="J500" s="6">
        <v>196</v>
      </c>
      <c r="K500" s="6">
        <v>196</v>
      </c>
      <c r="L500" s="6">
        <v>6.157</v>
      </c>
      <c r="M500" s="6">
        <v>6.157</v>
      </c>
      <c r="N500" s="6">
        <v>6.157</v>
      </c>
      <c r="O500" s="6">
        <v>6.157</v>
      </c>
      <c r="P500" s="6">
        <v>0</v>
      </c>
      <c r="Q500" s="4" t="s">
        <v>26</v>
      </c>
      <c r="R500" s="4">
        <v>0</v>
      </c>
      <c r="S500" s="4" t="s">
        <v>373</v>
      </c>
      <c r="T500" s="4" t="s">
        <v>729</v>
      </c>
      <c r="U500" s="4">
        <v>21</v>
      </c>
      <c r="V500" s="4">
        <v>23</v>
      </c>
      <c r="W500" s="4">
        <v>78</v>
      </c>
    </row>
    <row r="501" spans="1:23" ht="11.25" customHeight="1" x14ac:dyDescent="0.25">
      <c r="A501" s="4" t="s">
        <v>28</v>
      </c>
      <c r="B501" s="4" t="s">
        <v>41</v>
      </c>
      <c r="C501" s="4" t="s">
        <v>40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34</v>
      </c>
      <c r="I501" s="5">
        <v>44652</v>
      </c>
      <c r="J501" s="6">
        <v>290</v>
      </c>
      <c r="K501" s="6">
        <v>290</v>
      </c>
      <c r="L501" s="6">
        <v>12.62</v>
      </c>
      <c r="M501" s="6">
        <v>12.62</v>
      </c>
      <c r="N501" s="6">
        <v>12.62</v>
      </c>
      <c r="O501" s="6">
        <v>12.62</v>
      </c>
      <c r="P501" s="6">
        <v>0</v>
      </c>
      <c r="Q501" s="4" t="s">
        <v>26</v>
      </c>
      <c r="R501" s="4">
        <v>0</v>
      </c>
      <c r="S501" s="4" t="s">
        <v>373</v>
      </c>
      <c r="T501" s="4" t="s">
        <v>729</v>
      </c>
      <c r="U501" s="4">
        <v>21</v>
      </c>
      <c r="V501" s="4">
        <v>23</v>
      </c>
      <c r="W501" s="4">
        <v>78</v>
      </c>
    </row>
    <row r="502" spans="1:23" ht="11.25" customHeight="1" x14ac:dyDescent="0.25">
      <c r="A502" s="4" t="s">
        <v>58</v>
      </c>
      <c r="B502" s="4" t="s">
        <v>41</v>
      </c>
      <c r="C502" s="4" t="s">
        <v>40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44682</v>
      </c>
      <c r="J502" s="6">
        <v>196</v>
      </c>
      <c r="K502" s="6">
        <v>196</v>
      </c>
      <c r="L502" s="6">
        <v>6.157</v>
      </c>
      <c r="M502" s="6">
        <v>6.157</v>
      </c>
      <c r="N502" s="6">
        <v>6.157</v>
      </c>
      <c r="O502" s="6">
        <v>6.157</v>
      </c>
      <c r="P502" s="6">
        <v>0</v>
      </c>
      <c r="Q502" s="4" t="s">
        <v>26</v>
      </c>
      <c r="R502" s="4">
        <v>0</v>
      </c>
      <c r="S502" s="4" t="s">
        <v>374</v>
      </c>
      <c r="T502" s="4" t="s">
        <v>730</v>
      </c>
      <c r="U502" s="4">
        <v>21</v>
      </c>
      <c r="V502" s="4">
        <v>23</v>
      </c>
      <c r="W502" s="4">
        <v>78</v>
      </c>
    </row>
    <row r="503" spans="1:23" ht="11.25" customHeight="1" x14ac:dyDescent="0.25">
      <c r="A503" s="4" t="s">
        <v>58</v>
      </c>
      <c r="B503" s="4" t="s">
        <v>41</v>
      </c>
      <c r="C503" s="4" t="s">
        <v>40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44682</v>
      </c>
      <c r="J503" s="6">
        <v>290</v>
      </c>
      <c r="K503" s="6">
        <v>290</v>
      </c>
      <c r="L503" s="6">
        <v>12.62</v>
      </c>
      <c r="M503" s="6">
        <v>12.62</v>
      </c>
      <c r="N503" s="6">
        <v>12.62</v>
      </c>
      <c r="O503" s="6">
        <v>12.62</v>
      </c>
      <c r="P503" s="6">
        <v>0</v>
      </c>
      <c r="Q503" s="4" t="s">
        <v>26</v>
      </c>
      <c r="R503" s="4">
        <v>0</v>
      </c>
      <c r="S503" s="4" t="s">
        <v>374</v>
      </c>
      <c r="T503" s="4" t="s">
        <v>730</v>
      </c>
      <c r="U503" s="4">
        <v>21</v>
      </c>
      <c r="V503" s="4">
        <v>23</v>
      </c>
      <c r="W503" s="4">
        <v>78</v>
      </c>
    </row>
    <row r="504" spans="1:23" ht="11.25" customHeight="1" x14ac:dyDescent="0.25">
      <c r="A504" s="4" t="s">
        <v>21</v>
      </c>
      <c r="B504" s="4" t="s">
        <v>41</v>
      </c>
      <c r="C504" s="4" t="s">
        <v>40</v>
      </c>
      <c r="D504" s="4" t="s">
        <v>45</v>
      </c>
      <c r="E504" s="4" t="s">
        <v>25</v>
      </c>
      <c r="F504" s="4" t="s">
        <v>25</v>
      </c>
      <c r="G504" s="4" t="s">
        <v>25</v>
      </c>
      <c r="H504" s="4" t="s">
        <v>35</v>
      </c>
      <c r="I504" s="5">
        <v>44348</v>
      </c>
      <c r="J504" s="6">
        <v>105</v>
      </c>
      <c r="K504" s="6">
        <v>100.8</v>
      </c>
      <c r="L504" s="6">
        <v>28.38</v>
      </c>
      <c r="M504" s="6">
        <v>27.244800000000001</v>
      </c>
      <c r="N504" s="6">
        <v>28.38</v>
      </c>
      <c r="O504" s="6">
        <v>27.244800000000001</v>
      </c>
      <c r="P504" s="6">
        <v>0</v>
      </c>
      <c r="Q504" s="4" t="s">
        <v>26</v>
      </c>
      <c r="R504" s="4">
        <v>0</v>
      </c>
      <c r="S504" s="4" t="s">
        <v>351</v>
      </c>
      <c r="T504" s="4" t="s">
        <v>707</v>
      </c>
      <c r="U504" s="4">
        <v>22</v>
      </c>
      <c r="V504" s="4">
        <v>23</v>
      </c>
      <c r="W504" s="4">
        <v>79</v>
      </c>
    </row>
    <row r="505" spans="1:23" ht="11.25" customHeight="1" x14ac:dyDescent="0.25">
      <c r="A505" s="4" t="s">
        <v>21</v>
      </c>
      <c r="B505" s="4" t="s">
        <v>41</v>
      </c>
      <c r="C505" s="4" t="s">
        <v>40</v>
      </c>
      <c r="D505" s="4" t="s">
        <v>45</v>
      </c>
      <c r="E505" s="4" t="s">
        <v>25</v>
      </c>
      <c r="F505" s="4" t="s">
        <v>25</v>
      </c>
      <c r="G505" s="4" t="s">
        <v>25</v>
      </c>
      <c r="H505" s="4" t="s">
        <v>35</v>
      </c>
      <c r="I505" s="5">
        <v>44378</v>
      </c>
      <c r="J505" s="6">
        <v>115</v>
      </c>
      <c r="K505" s="6">
        <v>110.4</v>
      </c>
      <c r="L505" s="6">
        <v>35.97</v>
      </c>
      <c r="M505" s="6">
        <v>34.531199999999998</v>
      </c>
      <c r="N505" s="6">
        <v>35.97</v>
      </c>
      <c r="O505" s="6">
        <v>34.531199999999998</v>
      </c>
      <c r="P505" s="6">
        <v>0</v>
      </c>
      <c r="Q505" s="4" t="s">
        <v>26</v>
      </c>
      <c r="R505" s="4">
        <v>0</v>
      </c>
      <c r="S505" s="4" t="s">
        <v>352</v>
      </c>
      <c r="T505" s="4" t="s">
        <v>708</v>
      </c>
      <c r="U505" s="4">
        <v>22</v>
      </c>
      <c r="V505" s="4">
        <v>23</v>
      </c>
      <c r="W505" s="4">
        <v>79</v>
      </c>
    </row>
    <row r="506" spans="1:23" ht="11.25" customHeight="1" x14ac:dyDescent="0.25">
      <c r="A506" s="4" t="s">
        <v>21</v>
      </c>
      <c r="B506" s="4" t="s">
        <v>41</v>
      </c>
      <c r="C506" s="4" t="s">
        <v>40</v>
      </c>
      <c r="D506" s="4" t="s">
        <v>45</v>
      </c>
      <c r="E506" s="4" t="s">
        <v>25</v>
      </c>
      <c r="F506" s="4" t="s">
        <v>25</v>
      </c>
      <c r="G506" s="4" t="s">
        <v>25</v>
      </c>
      <c r="H506" s="4" t="s">
        <v>35</v>
      </c>
      <c r="I506" s="5">
        <v>44409</v>
      </c>
      <c r="J506" s="6">
        <v>119</v>
      </c>
      <c r="K506" s="6">
        <v>114.24</v>
      </c>
      <c r="L506" s="6">
        <v>34.65</v>
      </c>
      <c r="M506" s="6">
        <v>33.264000000000003</v>
      </c>
      <c r="N506" s="6">
        <v>34.65</v>
      </c>
      <c r="O506" s="6">
        <v>33.264000000000003</v>
      </c>
      <c r="P506" s="6">
        <v>0</v>
      </c>
      <c r="Q506" s="4" t="s">
        <v>26</v>
      </c>
      <c r="R506" s="4">
        <v>0</v>
      </c>
      <c r="S506" s="4" t="s">
        <v>353</v>
      </c>
      <c r="T506" s="4" t="s">
        <v>709</v>
      </c>
      <c r="U506" s="4">
        <v>22</v>
      </c>
      <c r="V506" s="4">
        <v>23</v>
      </c>
      <c r="W506" s="4">
        <v>79</v>
      </c>
    </row>
    <row r="507" spans="1:23" ht="11.25" customHeight="1" x14ac:dyDescent="0.25">
      <c r="A507" s="4" t="s">
        <v>21</v>
      </c>
      <c r="B507" s="4" t="s">
        <v>41</v>
      </c>
      <c r="C507" s="4" t="s">
        <v>40</v>
      </c>
      <c r="D507" s="4" t="s">
        <v>45</v>
      </c>
      <c r="E507" s="4" t="s">
        <v>25</v>
      </c>
      <c r="F507" s="4" t="s">
        <v>25</v>
      </c>
      <c r="G507" s="4" t="s">
        <v>25</v>
      </c>
      <c r="H507" s="4" t="s">
        <v>35</v>
      </c>
      <c r="I507" s="5">
        <v>44440</v>
      </c>
      <c r="J507" s="6">
        <v>124</v>
      </c>
      <c r="K507" s="6">
        <v>119.04</v>
      </c>
      <c r="L507" s="6">
        <v>31.79</v>
      </c>
      <c r="M507" s="6">
        <v>30.5184</v>
      </c>
      <c r="N507" s="6">
        <v>31.79</v>
      </c>
      <c r="O507" s="6">
        <v>30.5184</v>
      </c>
      <c r="P507" s="6">
        <v>0</v>
      </c>
      <c r="Q507" s="4" t="s">
        <v>26</v>
      </c>
      <c r="R507" s="4">
        <v>0</v>
      </c>
      <c r="S507" s="4" t="s">
        <v>354</v>
      </c>
      <c r="T507" s="4" t="s">
        <v>710</v>
      </c>
      <c r="U507" s="4">
        <v>22</v>
      </c>
      <c r="V507" s="4">
        <v>23</v>
      </c>
      <c r="W507" s="4">
        <v>79</v>
      </c>
    </row>
    <row r="508" spans="1:23" ht="11.25" customHeight="1" x14ac:dyDescent="0.25">
      <c r="A508" s="4" t="s">
        <v>21</v>
      </c>
      <c r="B508" s="4" t="s">
        <v>41</v>
      </c>
      <c r="C508" s="4" t="s">
        <v>40</v>
      </c>
      <c r="D508" s="4" t="s">
        <v>45</v>
      </c>
      <c r="E508" s="4" t="s">
        <v>25</v>
      </c>
      <c r="F508" s="4" t="s">
        <v>25</v>
      </c>
      <c r="G508" s="4" t="s">
        <v>25</v>
      </c>
      <c r="H508" s="4" t="s">
        <v>35</v>
      </c>
      <c r="I508" s="5">
        <v>44470</v>
      </c>
      <c r="J508" s="6">
        <v>133</v>
      </c>
      <c r="K508" s="6">
        <v>127.68</v>
      </c>
      <c r="L508" s="6">
        <v>31.35</v>
      </c>
      <c r="M508" s="6">
        <v>30.096</v>
      </c>
      <c r="N508" s="6">
        <v>31.35</v>
      </c>
      <c r="O508" s="6">
        <v>30.096</v>
      </c>
      <c r="P508" s="6">
        <v>0</v>
      </c>
      <c r="Q508" s="4" t="s">
        <v>26</v>
      </c>
      <c r="R508" s="4">
        <v>0</v>
      </c>
      <c r="S508" s="4" t="s">
        <v>355</v>
      </c>
      <c r="T508" s="4" t="s">
        <v>711</v>
      </c>
      <c r="U508" s="4">
        <v>22</v>
      </c>
      <c r="V508" s="4">
        <v>23</v>
      </c>
      <c r="W508" s="4">
        <v>79</v>
      </c>
    </row>
    <row r="509" spans="1:23" ht="11.25" customHeight="1" x14ac:dyDescent="0.25">
      <c r="A509" s="4" t="s">
        <v>21</v>
      </c>
      <c r="B509" s="4" t="s">
        <v>41</v>
      </c>
      <c r="C509" s="4" t="s">
        <v>40</v>
      </c>
      <c r="D509" s="4" t="s">
        <v>45</v>
      </c>
      <c r="E509" s="4" t="s">
        <v>25</v>
      </c>
      <c r="F509" s="4" t="s">
        <v>25</v>
      </c>
      <c r="G509" s="4" t="s">
        <v>25</v>
      </c>
      <c r="H509" s="4" t="s">
        <v>35</v>
      </c>
      <c r="I509" s="5">
        <v>44501</v>
      </c>
      <c r="J509" s="6">
        <v>13</v>
      </c>
      <c r="K509" s="6">
        <v>12.48</v>
      </c>
      <c r="L509" s="6">
        <v>31.02</v>
      </c>
      <c r="M509" s="6">
        <v>29.779199999999999</v>
      </c>
      <c r="N509" s="6">
        <v>31.02</v>
      </c>
      <c r="O509" s="6">
        <v>29.779199999999999</v>
      </c>
      <c r="P509" s="6">
        <v>0</v>
      </c>
      <c r="Q509" s="4" t="s">
        <v>26</v>
      </c>
      <c r="R509" s="4">
        <v>0</v>
      </c>
      <c r="S509" s="4" t="s">
        <v>356</v>
      </c>
      <c r="T509" s="4" t="s">
        <v>712</v>
      </c>
      <c r="U509" s="4">
        <v>22</v>
      </c>
      <c r="V509" s="4">
        <v>23</v>
      </c>
      <c r="W509" s="4">
        <v>79</v>
      </c>
    </row>
    <row r="510" spans="1:23" ht="11.25" customHeight="1" x14ac:dyDescent="0.25">
      <c r="A510" s="4" t="s">
        <v>21</v>
      </c>
      <c r="B510" s="4" t="s">
        <v>41</v>
      </c>
      <c r="C510" s="4" t="s">
        <v>40</v>
      </c>
      <c r="D510" s="4" t="s">
        <v>45</v>
      </c>
      <c r="E510" s="4" t="s">
        <v>25</v>
      </c>
      <c r="F510" s="4" t="s">
        <v>25</v>
      </c>
      <c r="G510" s="4" t="s">
        <v>25</v>
      </c>
      <c r="H510" s="4" t="s">
        <v>35</v>
      </c>
      <c r="I510" s="5">
        <v>44531</v>
      </c>
      <c r="J510" s="6">
        <v>13</v>
      </c>
      <c r="K510" s="6">
        <v>12.48</v>
      </c>
      <c r="L510" s="6">
        <v>30.69</v>
      </c>
      <c r="M510" s="6">
        <v>29.462399999999999</v>
      </c>
      <c r="N510" s="6">
        <v>30.69</v>
      </c>
      <c r="O510" s="6">
        <v>29.462399999999999</v>
      </c>
      <c r="P510" s="6">
        <v>0</v>
      </c>
      <c r="Q510" s="4" t="s">
        <v>26</v>
      </c>
      <c r="R510" s="4">
        <v>0</v>
      </c>
      <c r="S510" s="4" t="s">
        <v>357</v>
      </c>
      <c r="T510" s="4" t="s">
        <v>713</v>
      </c>
      <c r="U510" s="4">
        <v>22</v>
      </c>
      <c r="V510" s="4">
        <v>23</v>
      </c>
      <c r="W510" s="4">
        <v>79</v>
      </c>
    </row>
    <row r="511" spans="1:23" ht="11.25" customHeight="1" x14ac:dyDescent="0.25">
      <c r="A511" s="4" t="s">
        <v>21</v>
      </c>
      <c r="B511" s="4" t="s">
        <v>41</v>
      </c>
      <c r="C511" s="4" t="s">
        <v>40</v>
      </c>
      <c r="D511" s="4" t="s">
        <v>45</v>
      </c>
      <c r="E511" s="4" t="s">
        <v>25</v>
      </c>
      <c r="F511" s="4" t="s">
        <v>25</v>
      </c>
      <c r="G511" s="4" t="s">
        <v>25</v>
      </c>
      <c r="H511" s="4" t="s">
        <v>35</v>
      </c>
      <c r="I511" s="5">
        <v>44562</v>
      </c>
      <c r="J511" s="6">
        <v>13</v>
      </c>
      <c r="K511" s="6">
        <v>12.48</v>
      </c>
      <c r="L511" s="6">
        <v>30.672000000000001</v>
      </c>
      <c r="M511" s="6">
        <v>29.445119999999999</v>
      </c>
      <c r="N511" s="6">
        <v>30.672000000000001</v>
      </c>
      <c r="O511" s="6">
        <v>29.445119999999999</v>
      </c>
      <c r="P511" s="6">
        <v>0</v>
      </c>
      <c r="Q511" s="4" t="s">
        <v>26</v>
      </c>
      <c r="R511" s="4">
        <v>0</v>
      </c>
      <c r="S511" s="4" t="s">
        <v>358</v>
      </c>
      <c r="T511" s="4" t="s">
        <v>714</v>
      </c>
      <c r="U511" s="4">
        <v>22</v>
      </c>
      <c r="V511" s="4">
        <v>23</v>
      </c>
      <c r="W511" s="4">
        <v>79</v>
      </c>
    </row>
    <row r="512" spans="1:23" ht="11.25" customHeight="1" x14ac:dyDescent="0.25">
      <c r="A512" s="4" t="s">
        <v>21</v>
      </c>
      <c r="B512" s="4" t="s">
        <v>41</v>
      </c>
      <c r="C512" s="4" t="s">
        <v>40</v>
      </c>
      <c r="D512" s="4" t="s">
        <v>45</v>
      </c>
      <c r="E512" s="4" t="s">
        <v>25</v>
      </c>
      <c r="F512" s="4" t="s">
        <v>25</v>
      </c>
      <c r="G512" s="4" t="s">
        <v>25</v>
      </c>
      <c r="H512" s="4" t="s">
        <v>35</v>
      </c>
      <c r="I512" s="5">
        <v>44593</v>
      </c>
      <c r="J512" s="6">
        <v>13</v>
      </c>
      <c r="K512" s="6">
        <v>12.48</v>
      </c>
      <c r="L512" s="6">
        <v>31.605</v>
      </c>
      <c r="M512" s="6">
        <v>30.340800000000002</v>
      </c>
      <c r="N512" s="6">
        <v>31.605</v>
      </c>
      <c r="O512" s="6">
        <v>30.340800000000002</v>
      </c>
      <c r="P512" s="6">
        <v>0</v>
      </c>
      <c r="Q512" s="4" t="s">
        <v>26</v>
      </c>
      <c r="R512" s="4">
        <v>0</v>
      </c>
      <c r="S512" s="4" t="s">
        <v>359</v>
      </c>
      <c r="T512" s="4" t="s">
        <v>715</v>
      </c>
      <c r="U512" s="4">
        <v>22</v>
      </c>
      <c r="V512" s="4">
        <v>23</v>
      </c>
      <c r="W512" s="4">
        <v>79</v>
      </c>
    </row>
    <row r="513" spans="1:23" ht="11.25" customHeight="1" x14ac:dyDescent="0.25">
      <c r="A513" s="4" t="s">
        <v>21</v>
      </c>
      <c r="B513" s="4" t="s">
        <v>41</v>
      </c>
      <c r="C513" s="4" t="s">
        <v>40</v>
      </c>
      <c r="D513" s="4" t="s">
        <v>45</v>
      </c>
      <c r="E513" s="4" t="s">
        <v>25</v>
      </c>
      <c r="F513" s="4" t="s">
        <v>25</v>
      </c>
      <c r="G513" s="4" t="s">
        <v>25</v>
      </c>
      <c r="H513" s="4" t="s">
        <v>35</v>
      </c>
      <c r="I513" s="5">
        <v>44621</v>
      </c>
      <c r="J513" s="6">
        <v>116</v>
      </c>
      <c r="K513" s="6">
        <v>111.36</v>
      </c>
      <c r="L513" s="6">
        <v>36.561</v>
      </c>
      <c r="M513" s="6">
        <v>35.098559999999999</v>
      </c>
      <c r="N513" s="6">
        <v>36.561</v>
      </c>
      <c r="O513" s="6">
        <v>35.098559999999999</v>
      </c>
      <c r="P513" s="6">
        <v>0</v>
      </c>
      <c r="Q513" s="4" t="s">
        <v>26</v>
      </c>
      <c r="R513" s="4">
        <v>0</v>
      </c>
      <c r="S513" s="4" t="s">
        <v>360</v>
      </c>
      <c r="T513" s="4" t="s">
        <v>716</v>
      </c>
      <c r="U513" s="4">
        <v>22</v>
      </c>
      <c r="V513" s="4">
        <v>23</v>
      </c>
      <c r="W513" s="4">
        <v>79</v>
      </c>
    </row>
    <row r="514" spans="1:23" ht="11.25" customHeight="1" x14ac:dyDescent="0.25">
      <c r="A514" s="4" t="s">
        <v>21</v>
      </c>
      <c r="B514" s="4" t="s">
        <v>41</v>
      </c>
      <c r="C514" s="4" t="s">
        <v>40</v>
      </c>
      <c r="D514" s="4" t="s">
        <v>45</v>
      </c>
      <c r="E514" s="4" t="s">
        <v>25</v>
      </c>
      <c r="F514" s="4" t="s">
        <v>25</v>
      </c>
      <c r="G514" s="4" t="s">
        <v>25</v>
      </c>
      <c r="H514" s="4" t="s">
        <v>35</v>
      </c>
      <c r="I514" s="5">
        <v>44652</v>
      </c>
      <c r="J514" s="6">
        <v>125</v>
      </c>
      <c r="K514" s="6">
        <v>120</v>
      </c>
      <c r="L514" s="6">
        <v>31.76</v>
      </c>
      <c r="M514" s="6">
        <v>30.489599999999999</v>
      </c>
      <c r="N514" s="6">
        <v>31.76</v>
      </c>
      <c r="O514" s="6">
        <v>30.489599999999999</v>
      </c>
      <c r="P514" s="6">
        <v>0</v>
      </c>
      <c r="Q514" s="4" t="s">
        <v>26</v>
      </c>
      <c r="R514" s="4">
        <v>0</v>
      </c>
      <c r="S514" s="4" t="s">
        <v>361</v>
      </c>
      <c r="T514" s="4" t="s">
        <v>717</v>
      </c>
      <c r="U514" s="4">
        <v>22</v>
      </c>
      <c r="V514" s="4">
        <v>23</v>
      </c>
      <c r="W514" s="4">
        <v>79</v>
      </c>
    </row>
    <row r="515" spans="1:23" ht="11.25" customHeight="1" x14ac:dyDescent="0.25">
      <c r="A515" s="4" t="s">
        <v>58</v>
      </c>
      <c r="B515" s="4" t="s">
        <v>41</v>
      </c>
      <c r="C515" s="4" t="s">
        <v>40</v>
      </c>
      <c r="D515" s="4" t="s">
        <v>45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44682</v>
      </c>
      <c r="J515" s="6">
        <v>125</v>
      </c>
      <c r="K515" s="6">
        <v>120</v>
      </c>
      <c r="L515" s="6">
        <v>31.76</v>
      </c>
      <c r="M515" s="6">
        <v>30.489599999999999</v>
      </c>
      <c r="N515" s="6">
        <v>31.76</v>
      </c>
      <c r="O515" s="6">
        <v>30.489599999999999</v>
      </c>
      <c r="P515" s="6">
        <v>0</v>
      </c>
      <c r="Q515" s="4" t="s">
        <v>26</v>
      </c>
      <c r="R515" s="4">
        <v>0</v>
      </c>
      <c r="S515" s="4" t="s">
        <v>362</v>
      </c>
      <c r="T515" s="4" t="s">
        <v>718</v>
      </c>
      <c r="U515" s="4">
        <v>22</v>
      </c>
      <c r="V515" s="4">
        <v>23</v>
      </c>
      <c r="W515" s="4">
        <v>79</v>
      </c>
    </row>
    <row r="516" spans="1:23" ht="11.25" customHeight="1" x14ac:dyDescent="0.25">
      <c r="A516" s="4" t="s">
        <v>21</v>
      </c>
      <c r="B516" s="4" t="s">
        <v>41</v>
      </c>
      <c r="C516" s="4" t="s">
        <v>40</v>
      </c>
      <c r="D516" s="4" t="s">
        <v>45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44348</v>
      </c>
      <c r="J516" s="6">
        <v>52</v>
      </c>
      <c r="K516" s="6">
        <v>49.92</v>
      </c>
      <c r="L516" s="6">
        <v>2.97</v>
      </c>
      <c r="M516" s="6">
        <v>2.8512</v>
      </c>
      <c r="N516" s="6">
        <v>2.97</v>
      </c>
      <c r="O516" s="6">
        <v>2.8512</v>
      </c>
      <c r="P516" s="6">
        <v>0</v>
      </c>
      <c r="Q516" s="4" t="s">
        <v>26</v>
      </c>
      <c r="R516" s="4">
        <v>0</v>
      </c>
      <c r="S516" s="4" t="s">
        <v>363</v>
      </c>
      <c r="T516" s="4" t="s">
        <v>719</v>
      </c>
      <c r="U516" s="4">
        <v>21</v>
      </c>
      <c r="V516" s="4">
        <v>23</v>
      </c>
      <c r="W516" s="4">
        <v>78</v>
      </c>
    </row>
    <row r="517" spans="1:23" ht="11.25" customHeight="1" x14ac:dyDescent="0.25">
      <c r="A517" s="4" t="s">
        <v>21</v>
      </c>
      <c r="B517" s="4" t="s">
        <v>41</v>
      </c>
      <c r="C517" s="4" t="s">
        <v>40</v>
      </c>
      <c r="D517" s="4" t="s">
        <v>45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44378</v>
      </c>
      <c r="J517" s="6">
        <v>55</v>
      </c>
      <c r="K517" s="6">
        <v>52.8</v>
      </c>
      <c r="L517" s="6">
        <v>2.42</v>
      </c>
      <c r="M517" s="6">
        <v>2.3231999999999999</v>
      </c>
      <c r="N517" s="6">
        <v>2.42</v>
      </c>
      <c r="O517" s="6">
        <v>2.3231999999999999</v>
      </c>
      <c r="P517" s="6">
        <v>0</v>
      </c>
      <c r="Q517" s="4" t="s">
        <v>26</v>
      </c>
      <c r="R517" s="4">
        <v>0</v>
      </c>
      <c r="S517" s="4" t="s">
        <v>364</v>
      </c>
      <c r="T517" s="4" t="s">
        <v>720</v>
      </c>
      <c r="U517" s="4">
        <v>21</v>
      </c>
      <c r="V517" s="4">
        <v>23</v>
      </c>
      <c r="W517" s="4">
        <v>78</v>
      </c>
    </row>
    <row r="518" spans="1:23" ht="11.25" customHeight="1" x14ac:dyDescent="0.25">
      <c r="A518" s="4" t="s">
        <v>21</v>
      </c>
      <c r="B518" s="4" t="s">
        <v>41</v>
      </c>
      <c r="C518" s="4" t="s">
        <v>40</v>
      </c>
      <c r="D518" s="4" t="s">
        <v>45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44409</v>
      </c>
      <c r="J518" s="6">
        <v>55</v>
      </c>
      <c r="K518" s="6">
        <v>52.8</v>
      </c>
      <c r="L518" s="6">
        <v>2.42</v>
      </c>
      <c r="M518" s="6">
        <v>2.3231999999999999</v>
      </c>
      <c r="N518" s="6">
        <v>2.42</v>
      </c>
      <c r="O518" s="6">
        <v>2.3231999999999999</v>
      </c>
      <c r="P518" s="6">
        <v>0</v>
      </c>
      <c r="Q518" s="4" t="s">
        <v>26</v>
      </c>
      <c r="R518" s="4">
        <v>0</v>
      </c>
      <c r="S518" s="4" t="s">
        <v>365</v>
      </c>
      <c r="T518" s="4" t="s">
        <v>721</v>
      </c>
      <c r="U518" s="4">
        <v>21</v>
      </c>
      <c r="V518" s="4">
        <v>23</v>
      </c>
      <c r="W518" s="4">
        <v>78</v>
      </c>
    </row>
    <row r="519" spans="1:23" ht="11.25" customHeight="1" x14ac:dyDescent="0.25">
      <c r="A519" s="4" t="s">
        <v>21</v>
      </c>
      <c r="B519" s="4" t="s">
        <v>41</v>
      </c>
      <c r="C519" s="4" t="s">
        <v>40</v>
      </c>
      <c r="D519" s="4" t="s">
        <v>45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44440</v>
      </c>
      <c r="J519" s="6">
        <v>55</v>
      </c>
      <c r="K519" s="6">
        <v>52.8</v>
      </c>
      <c r="L519" s="6">
        <v>2.09</v>
      </c>
      <c r="M519" s="6">
        <v>2.0064000000000002</v>
      </c>
      <c r="N519" s="6">
        <v>2.09</v>
      </c>
      <c r="O519" s="6">
        <v>2.0064000000000002</v>
      </c>
      <c r="P519" s="6">
        <v>0</v>
      </c>
      <c r="Q519" s="4" t="s">
        <v>26</v>
      </c>
      <c r="R519" s="4">
        <v>0</v>
      </c>
      <c r="S519" s="4" t="s">
        <v>366</v>
      </c>
      <c r="T519" s="4" t="s">
        <v>722</v>
      </c>
      <c r="U519" s="4">
        <v>21</v>
      </c>
      <c r="V519" s="4">
        <v>23</v>
      </c>
      <c r="W519" s="4">
        <v>78</v>
      </c>
    </row>
    <row r="520" spans="1:23" ht="11.25" customHeight="1" x14ac:dyDescent="0.25">
      <c r="A520" s="4" t="s">
        <v>21</v>
      </c>
      <c r="B520" s="4" t="s">
        <v>41</v>
      </c>
      <c r="C520" s="4" t="s">
        <v>40</v>
      </c>
      <c r="D520" s="4" t="s">
        <v>45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44470</v>
      </c>
      <c r="J520" s="6">
        <v>60</v>
      </c>
      <c r="K520" s="6">
        <v>57.6</v>
      </c>
      <c r="L520" s="6">
        <v>1.98</v>
      </c>
      <c r="M520" s="6">
        <v>1.9008</v>
      </c>
      <c r="N520" s="6">
        <v>1.98</v>
      </c>
      <c r="O520" s="6">
        <v>1.9008</v>
      </c>
      <c r="P520" s="6">
        <v>0</v>
      </c>
      <c r="Q520" s="4" t="s">
        <v>26</v>
      </c>
      <c r="R520" s="4">
        <v>0</v>
      </c>
      <c r="S520" s="4" t="s">
        <v>367</v>
      </c>
      <c r="T520" s="4" t="s">
        <v>723</v>
      </c>
      <c r="U520" s="4">
        <v>21</v>
      </c>
      <c r="V520" s="4">
        <v>23</v>
      </c>
      <c r="W520" s="4">
        <v>78</v>
      </c>
    </row>
    <row r="521" spans="1:23" ht="11.25" customHeight="1" x14ac:dyDescent="0.25">
      <c r="A521" s="4" t="s">
        <v>21</v>
      </c>
      <c r="B521" s="4" t="s">
        <v>41</v>
      </c>
      <c r="C521" s="4" t="s">
        <v>40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44501</v>
      </c>
      <c r="J521" s="6">
        <v>6</v>
      </c>
      <c r="K521" s="6">
        <v>5.76</v>
      </c>
      <c r="L521" s="6">
        <v>1.98</v>
      </c>
      <c r="M521" s="6">
        <v>1.9008</v>
      </c>
      <c r="N521" s="6">
        <v>1.98</v>
      </c>
      <c r="O521" s="6">
        <v>1.9008</v>
      </c>
      <c r="P521" s="6">
        <v>0</v>
      </c>
      <c r="Q521" s="4" t="s">
        <v>26</v>
      </c>
      <c r="R521" s="4">
        <v>0</v>
      </c>
      <c r="S521" s="4" t="s">
        <v>368</v>
      </c>
      <c r="T521" s="4" t="s">
        <v>724</v>
      </c>
      <c r="U521" s="4">
        <v>21</v>
      </c>
      <c r="V521" s="4">
        <v>23</v>
      </c>
      <c r="W521" s="4">
        <v>78</v>
      </c>
    </row>
    <row r="522" spans="1:23" ht="11.25" customHeight="1" x14ac:dyDescent="0.25">
      <c r="A522" s="4" t="s">
        <v>21</v>
      </c>
      <c r="B522" s="4" t="s">
        <v>41</v>
      </c>
      <c r="C522" s="4" t="s">
        <v>40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44531</v>
      </c>
      <c r="J522" s="6">
        <v>6</v>
      </c>
      <c r="K522" s="6">
        <v>5.76</v>
      </c>
      <c r="L522" s="6">
        <v>1.98</v>
      </c>
      <c r="M522" s="6">
        <v>1.9008</v>
      </c>
      <c r="N522" s="6">
        <v>1.98</v>
      </c>
      <c r="O522" s="6">
        <v>1.9008</v>
      </c>
      <c r="P522" s="6">
        <v>0</v>
      </c>
      <c r="Q522" s="4" t="s">
        <v>26</v>
      </c>
      <c r="R522" s="4">
        <v>0</v>
      </c>
      <c r="S522" s="4" t="s">
        <v>369</v>
      </c>
      <c r="T522" s="4" t="s">
        <v>725</v>
      </c>
      <c r="U522" s="4">
        <v>21</v>
      </c>
      <c r="V522" s="4">
        <v>23</v>
      </c>
      <c r="W522" s="4">
        <v>78</v>
      </c>
    </row>
    <row r="523" spans="1:23" ht="11.25" customHeight="1" x14ac:dyDescent="0.25">
      <c r="A523" s="4" t="s">
        <v>21</v>
      </c>
      <c r="B523" s="4" t="s">
        <v>41</v>
      </c>
      <c r="C523" s="4" t="s">
        <v>40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44562</v>
      </c>
      <c r="J523" s="6">
        <v>6</v>
      </c>
      <c r="K523" s="6">
        <v>5.76</v>
      </c>
      <c r="L523" s="6">
        <v>2.016</v>
      </c>
      <c r="M523" s="6">
        <v>1.93536</v>
      </c>
      <c r="N523" s="6">
        <v>2.016</v>
      </c>
      <c r="O523" s="6">
        <v>1.93536</v>
      </c>
      <c r="P523" s="6">
        <v>0</v>
      </c>
      <c r="Q523" s="4" t="s">
        <v>26</v>
      </c>
      <c r="R523" s="4">
        <v>0</v>
      </c>
      <c r="S523" s="4" t="s">
        <v>370</v>
      </c>
      <c r="T523" s="4" t="s">
        <v>726</v>
      </c>
      <c r="U523" s="4">
        <v>21</v>
      </c>
      <c r="V523" s="4">
        <v>23</v>
      </c>
      <c r="W523" s="4">
        <v>78</v>
      </c>
    </row>
    <row r="524" spans="1:23" ht="11.25" customHeight="1" x14ac:dyDescent="0.25">
      <c r="A524" s="4" t="s">
        <v>21</v>
      </c>
      <c r="B524" s="4" t="s">
        <v>41</v>
      </c>
      <c r="C524" s="4" t="s">
        <v>40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44593</v>
      </c>
      <c r="J524" s="6">
        <v>6</v>
      </c>
      <c r="K524" s="6">
        <v>5.76</v>
      </c>
      <c r="L524" s="6">
        <v>2.1019999999999999</v>
      </c>
      <c r="M524" s="6">
        <v>2.0179200000000002</v>
      </c>
      <c r="N524" s="6">
        <v>2.1019999999999999</v>
      </c>
      <c r="O524" s="6">
        <v>2.0179200000000002</v>
      </c>
      <c r="P524" s="6">
        <v>0</v>
      </c>
      <c r="Q524" s="4" t="s">
        <v>26</v>
      </c>
      <c r="R524" s="4">
        <v>0</v>
      </c>
      <c r="S524" s="4" t="s">
        <v>371</v>
      </c>
      <c r="T524" s="4" t="s">
        <v>727</v>
      </c>
      <c r="U524" s="4">
        <v>21</v>
      </c>
      <c r="V524" s="4">
        <v>23</v>
      </c>
      <c r="W524" s="4">
        <v>78</v>
      </c>
    </row>
    <row r="525" spans="1:23" ht="11.25" customHeight="1" x14ac:dyDescent="0.25">
      <c r="A525" s="4" t="s">
        <v>21</v>
      </c>
      <c r="B525" s="4" t="s">
        <v>41</v>
      </c>
      <c r="C525" s="4" t="s">
        <v>40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44621</v>
      </c>
      <c r="J525" s="6">
        <v>50</v>
      </c>
      <c r="K525" s="6">
        <v>48</v>
      </c>
      <c r="L525" s="6">
        <v>2.7410000000000001</v>
      </c>
      <c r="M525" s="6">
        <v>2.6313599999999999</v>
      </c>
      <c r="N525" s="6">
        <v>2.7410000000000001</v>
      </c>
      <c r="O525" s="6">
        <v>2.6313599999999999</v>
      </c>
      <c r="P525" s="6">
        <v>0</v>
      </c>
      <c r="Q525" s="4" t="s">
        <v>26</v>
      </c>
      <c r="R525" s="4">
        <v>0</v>
      </c>
      <c r="S525" s="4" t="s">
        <v>372</v>
      </c>
      <c r="T525" s="4" t="s">
        <v>728</v>
      </c>
      <c r="U525" s="4">
        <v>21</v>
      </c>
      <c r="V525" s="4">
        <v>23</v>
      </c>
      <c r="W525" s="4">
        <v>78</v>
      </c>
    </row>
    <row r="526" spans="1:23" ht="11.25" customHeight="1" x14ac:dyDescent="0.25">
      <c r="A526" s="4" t="s">
        <v>21</v>
      </c>
      <c r="B526" s="4" t="s">
        <v>41</v>
      </c>
      <c r="C526" s="4" t="s">
        <v>40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44652</v>
      </c>
      <c r="J526" s="6">
        <v>48</v>
      </c>
      <c r="K526" s="6">
        <v>46.08</v>
      </c>
      <c r="L526" s="6">
        <v>2.1459999999999999</v>
      </c>
      <c r="M526" s="6">
        <v>2.0601600000000002</v>
      </c>
      <c r="N526" s="6">
        <v>2.1459999999999999</v>
      </c>
      <c r="O526" s="6">
        <v>2.0601600000000002</v>
      </c>
      <c r="P526" s="6">
        <v>0</v>
      </c>
      <c r="Q526" s="4" t="s">
        <v>26</v>
      </c>
      <c r="R526" s="4">
        <v>0</v>
      </c>
      <c r="S526" s="4" t="s">
        <v>373</v>
      </c>
      <c r="T526" s="4" t="s">
        <v>729</v>
      </c>
      <c r="U526" s="4">
        <v>21</v>
      </c>
      <c r="V526" s="4">
        <v>23</v>
      </c>
      <c r="W526" s="4">
        <v>78</v>
      </c>
    </row>
    <row r="527" spans="1:23" ht="11.25" customHeight="1" x14ac:dyDescent="0.25">
      <c r="A527" s="4" t="s">
        <v>58</v>
      </c>
      <c r="B527" s="4" t="s">
        <v>41</v>
      </c>
      <c r="C527" s="4" t="s">
        <v>40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44682</v>
      </c>
      <c r="J527" s="6">
        <v>48</v>
      </c>
      <c r="K527" s="6">
        <v>46.08</v>
      </c>
      <c r="L527" s="6">
        <v>2.1459999999999999</v>
      </c>
      <c r="M527" s="6">
        <v>2.0601600000000002</v>
      </c>
      <c r="N527" s="6">
        <v>2.1459999999999999</v>
      </c>
      <c r="O527" s="6">
        <v>2.0601600000000002</v>
      </c>
      <c r="P527" s="6">
        <v>0</v>
      </c>
      <c r="Q527" s="4" t="s">
        <v>26</v>
      </c>
      <c r="R527" s="4">
        <v>0</v>
      </c>
      <c r="S527" s="4" t="s">
        <v>374</v>
      </c>
      <c r="T527" s="4" t="s">
        <v>730</v>
      </c>
      <c r="U527" s="4">
        <v>21</v>
      </c>
      <c r="V527" s="4">
        <v>23</v>
      </c>
      <c r="W527" s="4">
        <v>78</v>
      </c>
    </row>
    <row r="528" spans="1:23" ht="11.25" customHeight="1" x14ac:dyDescent="0.25">
      <c r="A528" s="4" t="s">
        <v>21</v>
      </c>
      <c r="B528" s="4" t="s">
        <v>41</v>
      </c>
      <c r="C528" s="4" t="s">
        <v>40</v>
      </c>
      <c r="D528" s="4" t="s">
        <v>51</v>
      </c>
      <c r="E528" s="4" t="s">
        <v>52</v>
      </c>
      <c r="F528" s="4" t="s">
        <v>25</v>
      </c>
      <c r="G528" s="4" t="s">
        <v>25</v>
      </c>
      <c r="H528" s="4" t="s">
        <v>35</v>
      </c>
      <c r="I528" s="5">
        <v>44348</v>
      </c>
      <c r="J528" s="6">
        <v>560</v>
      </c>
      <c r="K528" s="6">
        <v>526.4</v>
      </c>
      <c r="L528" s="6">
        <v>218.70099999999999</v>
      </c>
      <c r="M528" s="6">
        <v>205.57893999999999</v>
      </c>
      <c r="N528" s="6">
        <v>218.70099999999999</v>
      </c>
      <c r="O528" s="6">
        <v>205.57893999999999</v>
      </c>
      <c r="P528" s="6">
        <v>0</v>
      </c>
      <c r="Q528" s="4" t="s">
        <v>26</v>
      </c>
      <c r="R528" s="4">
        <v>0</v>
      </c>
      <c r="S528" s="4" t="s">
        <v>351</v>
      </c>
      <c r="T528" s="4" t="s">
        <v>707</v>
      </c>
      <c r="U528" s="4">
        <v>22</v>
      </c>
      <c r="V528" s="4">
        <v>23</v>
      </c>
      <c r="W528" s="4">
        <v>79</v>
      </c>
    </row>
    <row r="529" spans="1:23" ht="11.25" customHeight="1" x14ac:dyDescent="0.25">
      <c r="A529" s="4" t="s">
        <v>27</v>
      </c>
      <c r="B529" s="4" t="s">
        <v>41</v>
      </c>
      <c r="C529" s="4" t="s">
        <v>40</v>
      </c>
      <c r="D529" s="4" t="s">
        <v>51</v>
      </c>
      <c r="E529" s="4" t="s">
        <v>52</v>
      </c>
      <c r="F529" s="4" t="s">
        <v>25</v>
      </c>
      <c r="G529" s="4" t="s">
        <v>25</v>
      </c>
      <c r="H529" s="4" t="s">
        <v>35</v>
      </c>
      <c r="I529" s="5">
        <v>44348</v>
      </c>
      <c r="J529" s="6">
        <v>36</v>
      </c>
      <c r="K529" s="6">
        <v>33.840000000000003</v>
      </c>
      <c r="L529" s="6">
        <v>-2.16</v>
      </c>
      <c r="M529" s="6">
        <v>-2.0304000000000002</v>
      </c>
      <c r="N529" s="6">
        <v>-2.16</v>
      </c>
      <c r="O529" s="6">
        <v>-2.0304000000000002</v>
      </c>
      <c r="P529" s="6">
        <v>0</v>
      </c>
      <c r="Q529" s="4" t="s">
        <v>26</v>
      </c>
      <c r="R529" s="4">
        <v>0</v>
      </c>
      <c r="S529" s="4" t="s">
        <v>351</v>
      </c>
      <c r="T529" s="4" t="s">
        <v>707</v>
      </c>
      <c r="U529" s="4">
        <v>22</v>
      </c>
      <c r="V529" s="4">
        <v>23</v>
      </c>
      <c r="W529" s="4">
        <v>79</v>
      </c>
    </row>
    <row r="530" spans="1:23" ht="11.25" customHeight="1" x14ac:dyDescent="0.25">
      <c r="A530" s="4" t="s">
        <v>21</v>
      </c>
      <c r="B530" s="4" t="s">
        <v>41</v>
      </c>
      <c r="C530" s="4" t="s">
        <v>40</v>
      </c>
      <c r="D530" s="4" t="s">
        <v>51</v>
      </c>
      <c r="E530" s="4" t="s">
        <v>52</v>
      </c>
      <c r="F530" s="4" t="s">
        <v>25</v>
      </c>
      <c r="G530" s="4" t="s">
        <v>25</v>
      </c>
      <c r="H530" s="4" t="s">
        <v>35</v>
      </c>
      <c r="I530" s="5">
        <v>44378</v>
      </c>
      <c r="J530" s="6">
        <v>577</v>
      </c>
      <c r="K530" s="6">
        <v>542.38</v>
      </c>
      <c r="L530" s="6">
        <v>214.874</v>
      </c>
      <c r="M530" s="6">
        <v>201.98156</v>
      </c>
      <c r="N530" s="6">
        <v>214.874</v>
      </c>
      <c r="O530" s="6">
        <v>201.98156</v>
      </c>
      <c r="P530" s="6">
        <v>0</v>
      </c>
      <c r="Q530" s="4" t="s">
        <v>26</v>
      </c>
      <c r="R530" s="4">
        <v>0</v>
      </c>
      <c r="S530" s="4" t="s">
        <v>352</v>
      </c>
      <c r="T530" s="4" t="s">
        <v>708</v>
      </c>
      <c r="U530" s="4">
        <v>22</v>
      </c>
      <c r="V530" s="4">
        <v>23</v>
      </c>
      <c r="W530" s="4">
        <v>79</v>
      </c>
    </row>
    <row r="531" spans="1:23" ht="11.25" customHeight="1" x14ac:dyDescent="0.25">
      <c r="A531" s="4" t="s">
        <v>27</v>
      </c>
      <c r="B531" s="4" t="s">
        <v>41</v>
      </c>
      <c r="C531" s="4" t="s">
        <v>40</v>
      </c>
      <c r="D531" s="4" t="s">
        <v>51</v>
      </c>
      <c r="E531" s="4" t="s">
        <v>52</v>
      </c>
      <c r="F531" s="4" t="s">
        <v>25</v>
      </c>
      <c r="G531" s="4" t="s">
        <v>25</v>
      </c>
      <c r="H531" s="4" t="s">
        <v>35</v>
      </c>
      <c r="I531" s="5">
        <v>44378</v>
      </c>
      <c r="J531" s="6">
        <v>15</v>
      </c>
      <c r="K531" s="6">
        <v>14.1</v>
      </c>
      <c r="L531" s="6">
        <v>-6.3780000000000001</v>
      </c>
      <c r="M531" s="6">
        <v>-5.9953200000000004</v>
      </c>
      <c r="N531" s="6">
        <v>-6.3780000000000001</v>
      </c>
      <c r="O531" s="6">
        <v>-5.9953200000000004</v>
      </c>
      <c r="P531" s="6">
        <v>0</v>
      </c>
      <c r="Q531" s="4" t="s">
        <v>26</v>
      </c>
      <c r="R531" s="4">
        <v>0</v>
      </c>
      <c r="S531" s="4" t="s">
        <v>352</v>
      </c>
      <c r="T531" s="4" t="s">
        <v>708</v>
      </c>
      <c r="U531" s="4">
        <v>22</v>
      </c>
      <c r="V531" s="4">
        <v>23</v>
      </c>
      <c r="W531" s="4">
        <v>79</v>
      </c>
    </row>
    <row r="532" spans="1:23" ht="11.25" customHeight="1" x14ac:dyDescent="0.25">
      <c r="A532" s="4" t="s">
        <v>21</v>
      </c>
      <c r="B532" s="4" t="s">
        <v>41</v>
      </c>
      <c r="C532" s="4" t="s">
        <v>40</v>
      </c>
      <c r="D532" s="4" t="s">
        <v>51</v>
      </c>
      <c r="E532" s="4" t="s">
        <v>52</v>
      </c>
      <c r="F532" s="4" t="s">
        <v>25</v>
      </c>
      <c r="G532" s="4" t="s">
        <v>25</v>
      </c>
      <c r="H532" s="4" t="s">
        <v>35</v>
      </c>
      <c r="I532" s="5">
        <v>44409</v>
      </c>
      <c r="J532" s="6">
        <v>572</v>
      </c>
      <c r="K532" s="6">
        <v>537.67999999999995</v>
      </c>
      <c r="L532" s="6">
        <v>219.011</v>
      </c>
      <c r="M532" s="6">
        <v>205.87034</v>
      </c>
      <c r="N532" s="6">
        <v>219.011</v>
      </c>
      <c r="O532" s="6">
        <v>205.87034</v>
      </c>
      <c r="P532" s="6">
        <v>0</v>
      </c>
      <c r="Q532" s="4" t="s">
        <v>26</v>
      </c>
      <c r="R532" s="4">
        <v>0</v>
      </c>
      <c r="S532" s="4" t="s">
        <v>353</v>
      </c>
      <c r="T532" s="4" t="s">
        <v>709</v>
      </c>
      <c r="U532" s="4">
        <v>22</v>
      </c>
      <c r="V532" s="4">
        <v>23</v>
      </c>
      <c r="W532" s="4">
        <v>79</v>
      </c>
    </row>
    <row r="533" spans="1:23" ht="11.25" customHeight="1" x14ac:dyDescent="0.25">
      <c r="A533" s="4" t="s">
        <v>21</v>
      </c>
      <c r="B533" s="4" t="s">
        <v>41</v>
      </c>
      <c r="C533" s="4" t="s">
        <v>40</v>
      </c>
      <c r="D533" s="4" t="s">
        <v>51</v>
      </c>
      <c r="E533" s="4" t="s">
        <v>52</v>
      </c>
      <c r="F533" s="4" t="s">
        <v>25</v>
      </c>
      <c r="G533" s="4" t="s">
        <v>25</v>
      </c>
      <c r="H533" s="4" t="s">
        <v>35</v>
      </c>
      <c r="I533" s="5">
        <v>44440</v>
      </c>
      <c r="J533" s="6">
        <v>578</v>
      </c>
      <c r="K533" s="6">
        <v>543.32000000000005</v>
      </c>
      <c r="L533" s="6">
        <v>220.649</v>
      </c>
      <c r="M533" s="6">
        <v>207.41005999999999</v>
      </c>
      <c r="N533" s="6">
        <v>220.649</v>
      </c>
      <c r="O533" s="6">
        <v>207.41005999999999</v>
      </c>
      <c r="P533" s="6">
        <v>0</v>
      </c>
      <c r="Q533" s="4" t="s">
        <v>26</v>
      </c>
      <c r="R533" s="4">
        <v>0</v>
      </c>
      <c r="S533" s="4" t="s">
        <v>354</v>
      </c>
      <c r="T533" s="4" t="s">
        <v>710</v>
      </c>
      <c r="U533" s="4">
        <v>22</v>
      </c>
      <c r="V533" s="4">
        <v>23</v>
      </c>
      <c r="W533" s="4">
        <v>79</v>
      </c>
    </row>
    <row r="534" spans="1:23" ht="11.25" customHeight="1" x14ac:dyDescent="0.25">
      <c r="A534" s="4" t="s">
        <v>21</v>
      </c>
      <c r="B534" s="4" t="s">
        <v>41</v>
      </c>
      <c r="C534" s="4" t="s">
        <v>40</v>
      </c>
      <c r="D534" s="4" t="s">
        <v>51</v>
      </c>
      <c r="E534" s="4" t="s">
        <v>52</v>
      </c>
      <c r="F534" s="4" t="s">
        <v>25</v>
      </c>
      <c r="G534" s="4" t="s">
        <v>25</v>
      </c>
      <c r="H534" s="4" t="s">
        <v>35</v>
      </c>
      <c r="I534" s="5">
        <v>44470</v>
      </c>
      <c r="J534" s="6">
        <v>278</v>
      </c>
      <c r="K534" s="6">
        <v>261.32</v>
      </c>
      <c r="L534" s="6">
        <v>114.20699999999999</v>
      </c>
      <c r="M534" s="6">
        <v>107.35458</v>
      </c>
      <c r="N534" s="6">
        <v>114.20699999999999</v>
      </c>
      <c r="O534" s="6">
        <v>107.35458</v>
      </c>
      <c r="P534" s="6">
        <v>0</v>
      </c>
      <c r="Q534" s="4" t="s">
        <v>26</v>
      </c>
      <c r="R534" s="4">
        <v>0</v>
      </c>
      <c r="S534" s="4" t="s">
        <v>355</v>
      </c>
      <c r="T534" s="4" t="s">
        <v>711</v>
      </c>
      <c r="U534" s="4">
        <v>22</v>
      </c>
      <c r="V534" s="4">
        <v>23</v>
      </c>
      <c r="W534" s="4">
        <v>79</v>
      </c>
    </row>
    <row r="535" spans="1:23" ht="11.25" customHeight="1" x14ac:dyDescent="0.25">
      <c r="A535" s="4" t="s">
        <v>21</v>
      </c>
      <c r="B535" s="4" t="s">
        <v>41</v>
      </c>
      <c r="C535" s="4" t="s">
        <v>40</v>
      </c>
      <c r="D535" s="4" t="s">
        <v>51</v>
      </c>
      <c r="E535" s="4" t="s">
        <v>52</v>
      </c>
      <c r="F535" s="4" t="s">
        <v>25</v>
      </c>
      <c r="G535" s="4" t="s">
        <v>25</v>
      </c>
      <c r="H535" s="4" t="s">
        <v>35</v>
      </c>
      <c r="I535" s="5">
        <v>44501</v>
      </c>
      <c r="J535" s="6">
        <v>256</v>
      </c>
      <c r="K535" s="6">
        <v>240.64</v>
      </c>
      <c r="L535" s="6">
        <v>91.694999999999993</v>
      </c>
      <c r="M535" s="6">
        <v>86.193299999999994</v>
      </c>
      <c r="N535" s="6">
        <v>91.694999999999993</v>
      </c>
      <c r="O535" s="6">
        <v>86.193299999999994</v>
      </c>
      <c r="P535" s="6">
        <v>0</v>
      </c>
      <c r="Q535" s="4" t="s">
        <v>26</v>
      </c>
      <c r="R535" s="4">
        <v>0</v>
      </c>
      <c r="S535" s="4" t="s">
        <v>356</v>
      </c>
      <c r="T535" s="4" t="s">
        <v>712</v>
      </c>
      <c r="U535" s="4">
        <v>22</v>
      </c>
      <c r="V535" s="4">
        <v>23</v>
      </c>
      <c r="W535" s="4">
        <v>79</v>
      </c>
    </row>
    <row r="536" spans="1:23" ht="11.25" customHeight="1" x14ac:dyDescent="0.25">
      <c r="A536" s="4" t="s">
        <v>21</v>
      </c>
      <c r="B536" s="4" t="s">
        <v>41</v>
      </c>
      <c r="C536" s="4" t="s">
        <v>40</v>
      </c>
      <c r="D536" s="4" t="s">
        <v>51</v>
      </c>
      <c r="E536" s="4" t="s">
        <v>52</v>
      </c>
      <c r="F536" s="4" t="s">
        <v>25</v>
      </c>
      <c r="G536" s="4" t="s">
        <v>25</v>
      </c>
      <c r="H536" s="4" t="s">
        <v>35</v>
      </c>
      <c r="I536" s="5">
        <v>44531</v>
      </c>
      <c r="J536" s="6">
        <v>257</v>
      </c>
      <c r="K536" s="6">
        <v>241.58</v>
      </c>
      <c r="L536" s="6">
        <v>96.444000000000003</v>
      </c>
      <c r="M536" s="6">
        <v>90.657359999999997</v>
      </c>
      <c r="N536" s="6">
        <v>96.444000000000003</v>
      </c>
      <c r="O536" s="6">
        <v>90.657359999999997</v>
      </c>
      <c r="P536" s="6">
        <v>0</v>
      </c>
      <c r="Q536" s="4" t="s">
        <v>26</v>
      </c>
      <c r="R536" s="4">
        <v>0</v>
      </c>
      <c r="S536" s="4" t="s">
        <v>357</v>
      </c>
      <c r="T536" s="4" t="s">
        <v>713</v>
      </c>
      <c r="U536" s="4">
        <v>22</v>
      </c>
      <c r="V536" s="4">
        <v>23</v>
      </c>
      <c r="W536" s="4">
        <v>79</v>
      </c>
    </row>
    <row r="537" spans="1:23" ht="11.25" customHeight="1" x14ac:dyDescent="0.25">
      <c r="A537" s="4" t="s">
        <v>21</v>
      </c>
      <c r="B537" s="4" t="s">
        <v>41</v>
      </c>
      <c r="C537" s="4" t="s">
        <v>40</v>
      </c>
      <c r="D537" s="4" t="s">
        <v>51</v>
      </c>
      <c r="E537" s="4" t="s">
        <v>52</v>
      </c>
      <c r="F537" s="4" t="s">
        <v>25</v>
      </c>
      <c r="G537" s="4" t="s">
        <v>25</v>
      </c>
      <c r="H537" s="4" t="s">
        <v>35</v>
      </c>
      <c r="I537" s="5">
        <v>44562</v>
      </c>
      <c r="J537" s="6">
        <v>257</v>
      </c>
      <c r="K537" s="6">
        <v>241.58</v>
      </c>
      <c r="L537" s="6">
        <v>99.897000000000006</v>
      </c>
      <c r="M537" s="6">
        <v>93.903180000000006</v>
      </c>
      <c r="N537" s="6">
        <v>99.897000000000006</v>
      </c>
      <c r="O537" s="6">
        <v>93.903180000000006</v>
      </c>
      <c r="P537" s="6">
        <v>0</v>
      </c>
      <c r="Q537" s="4" t="s">
        <v>26</v>
      </c>
      <c r="R537" s="4">
        <v>0</v>
      </c>
      <c r="S537" s="4" t="s">
        <v>358</v>
      </c>
      <c r="T537" s="4" t="s">
        <v>714</v>
      </c>
      <c r="U537" s="4">
        <v>22</v>
      </c>
      <c r="V537" s="4">
        <v>23</v>
      </c>
      <c r="W537" s="4">
        <v>79</v>
      </c>
    </row>
    <row r="538" spans="1:23" ht="11.25" customHeight="1" x14ac:dyDescent="0.25">
      <c r="A538" s="4" t="s">
        <v>21</v>
      </c>
      <c r="B538" s="4" t="s">
        <v>41</v>
      </c>
      <c r="C538" s="4" t="s">
        <v>40</v>
      </c>
      <c r="D538" s="4" t="s">
        <v>51</v>
      </c>
      <c r="E538" s="4" t="s">
        <v>52</v>
      </c>
      <c r="F538" s="4" t="s">
        <v>25</v>
      </c>
      <c r="G538" s="4" t="s">
        <v>25</v>
      </c>
      <c r="H538" s="4" t="s">
        <v>35</v>
      </c>
      <c r="I538" s="5">
        <v>44593</v>
      </c>
      <c r="J538" s="6">
        <v>265</v>
      </c>
      <c r="K538" s="6">
        <v>249.1</v>
      </c>
      <c r="L538" s="6">
        <v>95.162000000000006</v>
      </c>
      <c r="M538" s="6">
        <v>89.452280000000002</v>
      </c>
      <c r="N538" s="6">
        <v>95.162000000000006</v>
      </c>
      <c r="O538" s="6">
        <v>89.452280000000002</v>
      </c>
      <c r="P538" s="6">
        <v>0</v>
      </c>
      <c r="Q538" s="4" t="s">
        <v>26</v>
      </c>
      <c r="R538" s="4">
        <v>0</v>
      </c>
      <c r="S538" s="4" t="s">
        <v>359</v>
      </c>
      <c r="T538" s="4" t="s">
        <v>715</v>
      </c>
      <c r="U538" s="4">
        <v>22</v>
      </c>
      <c r="V538" s="4">
        <v>23</v>
      </c>
      <c r="W538" s="4">
        <v>79</v>
      </c>
    </row>
    <row r="539" spans="1:23" ht="11.25" customHeight="1" x14ac:dyDescent="0.25">
      <c r="A539" s="4" t="s">
        <v>21</v>
      </c>
      <c r="B539" s="4" t="s">
        <v>41</v>
      </c>
      <c r="C539" s="4" t="s">
        <v>40</v>
      </c>
      <c r="D539" s="4" t="s">
        <v>51</v>
      </c>
      <c r="E539" s="4" t="s">
        <v>52</v>
      </c>
      <c r="F539" s="4" t="s">
        <v>25</v>
      </c>
      <c r="G539" s="4" t="s">
        <v>25</v>
      </c>
      <c r="H539" s="4" t="s">
        <v>35</v>
      </c>
      <c r="I539" s="5">
        <v>44621</v>
      </c>
      <c r="J539" s="6">
        <v>260</v>
      </c>
      <c r="K539" s="6">
        <v>244.4</v>
      </c>
      <c r="L539" s="6">
        <v>97.099000000000004</v>
      </c>
      <c r="M539" s="6">
        <v>91.273060000000001</v>
      </c>
      <c r="N539" s="6">
        <v>97.099000000000004</v>
      </c>
      <c r="O539" s="6">
        <v>91.273060000000001</v>
      </c>
      <c r="P539" s="6">
        <v>0</v>
      </c>
      <c r="Q539" s="4" t="s">
        <v>26</v>
      </c>
      <c r="R539" s="4">
        <v>0</v>
      </c>
      <c r="S539" s="4" t="s">
        <v>360</v>
      </c>
      <c r="T539" s="4" t="s">
        <v>716</v>
      </c>
      <c r="U539" s="4">
        <v>22</v>
      </c>
      <c r="V539" s="4">
        <v>23</v>
      </c>
      <c r="W539" s="4">
        <v>79</v>
      </c>
    </row>
    <row r="540" spans="1:23" ht="11.25" customHeight="1" x14ac:dyDescent="0.25">
      <c r="A540" s="4" t="s">
        <v>21</v>
      </c>
      <c r="B540" s="4" t="s">
        <v>41</v>
      </c>
      <c r="C540" s="4" t="s">
        <v>40</v>
      </c>
      <c r="D540" s="4" t="s">
        <v>51</v>
      </c>
      <c r="E540" s="4" t="s">
        <v>52</v>
      </c>
      <c r="F540" s="4" t="s">
        <v>25</v>
      </c>
      <c r="G540" s="4" t="s">
        <v>25</v>
      </c>
      <c r="H540" s="4" t="s">
        <v>35</v>
      </c>
      <c r="I540" s="5">
        <v>44652</v>
      </c>
      <c r="J540" s="6">
        <v>258</v>
      </c>
      <c r="K540" s="6">
        <v>242.52</v>
      </c>
      <c r="L540" s="6">
        <v>101.884</v>
      </c>
      <c r="M540" s="6">
        <v>95.770960000000002</v>
      </c>
      <c r="N540" s="6">
        <v>101.884</v>
      </c>
      <c r="O540" s="6">
        <v>95.770960000000002</v>
      </c>
      <c r="P540" s="6">
        <v>0</v>
      </c>
      <c r="Q540" s="4" t="s">
        <v>26</v>
      </c>
      <c r="R540" s="4">
        <v>0</v>
      </c>
      <c r="S540" s="4" t="s">
        <v>361</v>
      </c>
      <c r="T540" s="4" t="s">
        <v>717</v>
      </c>
      <c r="U540" s="4">
        <v>22</v>
      </c>
      <c r="V540" s="4">
        <v>23</v>
      </c>
      <c r="W540" s="4">
        <v>79</v>
      </c>
    </row>
    <row r="541" spans="1:23" ht="11.25" customHeight="1" x14ac:dyDescent="0.25">
      <c r="A541" s="4" t="s">
        <v>58</v>
      </c>
      <c r="B541" s="4" t="s">
        <v>41</v>
      </c>
      <c r="C541" s="4" t="s">
        <v>40</v>
      </c>
      <c r="D541" s="4" t="s">
        <v>51</v>
      </c>
      <c r="E541" s="4" t="s">
        <v>52</v>
      </c>
      <c r="F541" s="4" t="s">
        <v>25</v>
      </c>
      <c r="G541" s="4" t="s">
        <v>25</v>
      </c>
      <c r="H541" s="4" t="s">
        <v>35</v>
      </c>
      <c r="I541" s="5">
        <v>44682</v>
      </c>
      <c r="J541" s="6">
        <v>258</v>
      </c>
      <c r="K541" s="6">
        <v>242.52</v>
      </c>
      <c r="L541" s="6">
        <v>101.884</v>
      </c>
      <c r="M541" s="6">
        <v>95.770960000000002</v>
      </c>
      <c r="N541" s="6">
        <v>101.884</v>
      </c>
      <c r="O541" s="6">
        <v>95.770960000000002</v>
      </c>
      <c r="P541" s="6">
        <v>0</v>
      </c>
      <c r="Q541" s="4" t="s">
        <v>26</v>
      </c>
      <c r="R541" s="4">
        <v>0</v>
      </c>
      <c r="S541" s="4" t="s">
        <v>362</v>
      </c>
      <c r="T541" s="4" t="s">
        <v>718</v>
      </c>
      <c r="U541" s="4">
        <v>22</v>
      </c>
      <c r="V541" s="4">
        <v>23</v>
      </c>
      <c r="W541" s="4">
        <v>79</v>
      </c>
    </row>
    <row r="542" spans="1:23" ht="11.25" customHeight="1" x14ac:dyDescent="0.25">
      <c r="A542" s="4" t="s">
        <v>21</v>
      </c>
      <c r="B542" s="4" t="s">
        <v>41</v>
      </c>
      <c r="C542" s="4" t="s">
        <v>40</v>
      </c>
      <c r="D542" s="4" t="s">
        <v>51</v>
      </c>
      <c r="E542" s="4" t="s">
        <v>52</v>
      </c>
      <c r="F542" s="4" t="s">
        <v>25</v>
      </c>
      <c r="G542" s="4" t="s">
        <v>25</v>
      </c>
      <c r="H542" s="4" t="s">
        <v>34</v>
      </c>
      <c r="I542" s="5">
        <v>44348</v>
      </c>
      <c r="J542" s="6">
        <v>537</v>
      </c>
      <c r="K542" s="6">
        <v>504.78</v>
      </c>
      <c r="L542" s="6">
        <v>23.594999999999999</v>
      </c>
      <c r="M542" s="6">
        <v>22.179300000000001</v>
      </c>
      <c r="N542" s="6">
        <v>23.594999999999999</v>
      </c>
      <c r="O542" s="6">
        <v>22.179300000000001</v>
      </c>
      <c r="P542" s="6">
        <v>0</v>
      </c>
      <c r="Q542" s="4" t="s">
        <v>26</v>
      </c>
      <c r="R542" s="4">
        <v>0</v>
      </c>
      <c r="S542" s="4" t="s">
        <v>363</v>
      </c>
      <c r="T542" s="4" t="s">
        <v>719</v>
      </c>
      <c r="U542" s="4">
        <v>21</v>
      </c>
      <c r="V542" s="4">
        <v>23</v>
      </c>
      <c r="W542" s="4">
        <v>78</v>
      </c>
    </row>
    <row r="543" spans="1:23" ht="11.25" customHeight="1" x14ac:dyDescent="0.25">
      <c r="A543" s="4" t="s">
        <v>27</v>
      </c>
      <c r="B543" s="4" t="s">
        <v>41</v>
      </c>
      <c r="C543" s="4" t="s">
        <v>40</v>
      </c>
      <c r="D543" s="4" t="s">
        <v>51</v>
      </c>
      <c r="E543" s="4" t="s">
        <v>52</v>
      </c>
      <c r="F543" s="4" t="s">
        <v>25</v>
      </c>
      <c r="G543" s="4" t="s">
        <v>25</v>
      </c>
      <c r="H543" s="4" t="s">
        <v>34</v>
      </c>
      <c r="I543" s="5">
        <v>44348</v>
      </c>
      <c r="J543" s="6">
        <v>32</v>
      </c>
      <c r="K543" s="6">
        <v>30.08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4" t="s">
        <v>26</v>
      </c>
      <c r="R543" s="4">
        <v>0</v>
      </c>
      <c r="S543" s="4" t="s">
        <v>363</v>
      </c>
      <c r="T543" s="4" t="s">
        <v>719</v>
      </c>
      <c r="U543" s="4">
        <v>21</v>
      </c>
      <c r="V543" s="4">
        <v>0</v>
      </c>
      <c r="W543" s="4">
        <v>0</v>
      </c>
    </row>
    <row r="544" spans="1:23" ht="11.25" customHeight="1" x14ac:dyDescent="0.25">
      <c r="A544" s="4" t="s">
        <v>21</v>
      </c>
      <c r="B544" s="4" t="s">
        <v>41</v>
      </c>
      <c r="C544" s="4" t="s">
        <v>40</v>
      </c>
      <c r="D544" s="4" t="s">
        <v>51</v>
      </c>
      <c r="E544" s="4" t="s">
        <v>52</v>
      </c>
      <c r="F544" s="4" t="s">
        <v>25</v>
      </c>
      <c r="G544" s="4" t="s">
        <v>25</v>
      </c>
      <c r="H544" s="4" t="s">
        <v>34</v>
      </c>
      <c r="I544" s="5">
        <v>44378</v>
      </c>
      <c r="J544" s="6">
        <v>550</v>
      </c>
      <c r="K544" s="6">
        <v>517</v>
      </c>
      <c r="L544" s="6">
        <v>23.18</v>
      </c>
      <c r="M544" s="6">
        <v>21.789200000000001</v>
      </c>
      <c r="N544" s="6">
        <v>23.18</v>
      </c>
      <c r="O544" s="6">
        <v>21.789200000000001</v>
      </c>
      <c r="P544" s="6">
        <v>0</v>
      </c>
      <c r="Q544" s="4" t="s">
        <v>26</v>
      </c>
      <c r="R544" s="4">
        <v>0</v>
      </c>
      <c r="S544" s="4" t="s">
        <v>364</v>
      </c>
      <c r="T544" s="4" t="s">
        <v>720</v>
      </c>
      <c r="U544" s="4">
        <v>21</v>
      </c>
      <c r="V544" s="4">
        <v>23</v>
      </c>
      <c r="W544" s="4">
        <v>78</v>
      </c>
    </row>
    <row r="545" spans="1:23" ht="11.25" customHeight="1" x14ac:dyDescent="0.25">
      <c r="A545" s="4" t="s">
        <v>27</v>
      </c>
      <c r="B545" s="4" t="s">
        <v>41</v>
      </c>
      <c r="C545" s="4" t="s">
        <v>40</v>
      </c>
      <c r="D545" s="4" t="s">
        <v>51</v>
      </c>
      <c r="E545" s="4" t="s">
        <v>52</v>
      </c>
      <c r="F545" s="4" t="s">
        <v>25</v>
      </c>
      <c r="G545" s="4" t="s">
        <v>25</v>
      </c>
      <c r="H545" s="4" t="s">
        <v>34</v>
      </c>
      <c r="I545" s="5">
        <v>44378</v>
      </c>
      <c r="J545" s="6">
        <v>14</v>
      </c>
      <c r="K545" s="6">
        <v>13.16</v>
      </c>
      <c r="L545" s="6">
        <v>-0.438</v>
      </c>
      <c r="M545" s="6">
        <v>-0.41171999999999997</v>
      </c>
      <c r="N545" s="6">
        <v>-0.438</v>
      </c>
      <c r="O545" s="6">
        <v>-0.41171999999999997</v>
      </c>
      <c r="P545" s="6">
        <v>0</v>
      </c>
      <c r="Q545" s="4" t="s">
        <v>26</v>
      </c>
      <c r="R545" s="4">
        <v>0</v>
      </c>
      <c r="S545" s="4" t="s">
        <v>364</v>
      </c>
      <c r="T545" s="4" t="s">
        <v>720</v>
      </c>
      <c r="U545" s="4">
        <v>21</v>
      </c>
      <c r="V545" s="4">
        <v>23</v>
      </c>
      <c r="W545" s="4">
        <v>78</v>
      </c>
    </row>
    <row r="546" spans="1:23" ht="11.25" customHeight="1" x14ac:dyDescent="0.25">
      <c r="A546" s="4" t="s">
        <v>21</v>
      </c>
      <c r="B546" s="4" t="s">
        <v>41</v>
      </c>
      <c r="C546" s="4" t="s">
        <v>40</v>
      </c>
      <c r="D546" s="4" t="s">
        <v>51</v>
      </c>
      <c r="E546" s="4" t="s">
        <v>52</v>
      </c>
      <c r="F546" s="4" t="s">
        <v>25</v>
      </c>
      <c r="G546" s="4" t="s">
        <v>25</v>
      </c>
      <c r="H546" s="4" t="s">
        <v>34</v>
      </c>
      <c r="I546" s="5">
        <v>44409</v>
      </c>
      <c r="J546" s="6">
        <v>546</v>
      </c>
      <c r="K546" s="6">
        <v>513.24</v>
      </c>
      <c r="L546" s="6">
        <v>22.675999999999998</v>
      </c>
      <c r="M546" s="6">
        <v>21.315439999999999</v>
      </c>
      <c r="N546" s="6">
        <v>22.675999999999998</v>
      </c>
      <c r="O546" s="6">
        <v>21.315439999999999</v>
      </c>
      <c r="P546" s="6">
        <v>0</v>
      </c>
      <c r="Q546" s="4" t="s">
        <v>26</v>
      </c>
      <c r="R546" s="4">
        <v>0</v>
      </c>
      <c r="S546" s="4" t="s">
        <v>365</v>
      </c>
      <c r="T546" s="4" t="s">
        <v>721</v>
      </c>
      <c r="U546" s="4">
        <v>21</v>
      </c>
      <c r="V546" s="4">
        <v>23</v>
      </c>
      <c r="W546" s="4">
        <v>78</v>
      </c>
    </row>
    <row r="547" spans="1:23" ht="11.25" customHeight="1" x14ac:dyDescent="0.25">
      <c r="A547" s="4" t="s">
        <v>21</v>
      </c>
      <c r="B547" s="4" t="s">
        <v>41</v>
      </c>
      <c r="C547" s="4" t="s">
        <v>40</v>
      </c>
      <c r="D547" s="4" t="s">
        <v>51</v>
      </c>
      <c r="E547" s="4" t="s">
        <v>52</v>
      </c>
      <c r="F547" s="4" t="s">
        <v>25</v>
      </c>
      <c r="G547" s="4" t="s">
        <v>25</v>
      </c>
      <c r="H547" s="4" t="s">
        <v>34</v>
      </c>
      <c r="I547" s="5">
        <v>44440</v>
      </c>
      <c r="J547" s="6">
        <v>545</v>
      </c>
      <c r="K547" s="6">
        <v>512.29999999999995</v>
      </c>
      <c r="L547" s="6">
        <v>22.198</v>
      </c>
      <c r="M547" s="6">
        <v>20.866119999999999</v>
      </c>
      <c r="N547" s="6">
        <v>22.198</v>
      </c>
      <c r="O547" s="6">
        <v>20.866119999999999</v>
      </c>
      <c r="P547" s="6">
        <v>0</v>
      </c>
      <c r="Q547" s="4" t="s">
        <v>26</v>
      </c>
      <c r="R547" s="4">
        <v>0</v>
      </c>
      <c r="S547" s="4" t="s">
        <v>366</v>
      </c>
      <c r="T547" s="4" t="s">
        <v>722</v>
      </c>
      <c r="U547" s="4">
        <v>21</v>
      </c>
      <c r="V547" s="4">
        <v>23</v>
      </c>
      <c r="W547" s="4">
        <v>78</v>
      </c>
    </row>
    <row r="548" spans="1:23" ht="11.25" customHeight="1" x14ac:dyDescent="0.25">
      <c r="A548" s="4" t="s">
        <v>21</v>
      </c>
      <c r="B548" s="4" t="s">
        <v>41</v>
      </c>
      <c r="C548" s="4" t="s">
        <v>40</v>
      </c>
      <c r="D548" s="4" t="s">
        <v>51</v>
      </c>
      <c r="E548" s="4" t="s">
        <v>52</v>
      </c>
      <c r="F548" s="4" t="s">
        <v>25</v>
      </c>
      <c r="G548" s="4" t="s">
        <v>25</v>
      </c>
      <c r="H548" s="4" t="s">
        <v>34</v>
      </c>
      <c r="I548" s="5">
        <v>44470</v>
      </c>
      <c r="J548" s="6">
        <v>254</v>
      </c>
      <c r="K548" s="6">
        <v>238.76</v>
      </c>
      <c r="L548" s="6">
        <v>8.6609999999999996</v>
      </c>
      <c r="M548" s="6">
        <v>8.1413399999999996</v>
      </c>
      <c r="N548" s="6">
        <v>8.6609999999999996</v>
      </c>
      <c r="O548" s="6">
        <v>8.1413399999999996</v>
      </c>
      <c r="P548" s="6">
        <v>0</v>
      </c>
      <c r="Q548" s="4" t="s">
        <v>26</v>
      </c>
      <c r="R548" s="4">
        <v>0</v>
      </c>
      <c r="S548" s="4" t="s">
        <v>367</v>
      </c>
      <c r="T548" s="4" t="s">
        <v>723</v>
      </c>
      <c r="U548" s="4">
        <v>21</v>
      </c>
      <c r="V548" s="4">
        <v>23</v>
      </c>
      <c r="W548" s="4">
        <v>78</v>
      </c>
    </row>
    <row r="549" spans="1:23" ht="11.25" customHeight="1" x14ac:dyDescent="0.25">
      <c r="A549" s="4" t="s">
        <v>21</v>
      </c>
      <c r="B549" s="4" t="s">
        <v>41</v>
      </c>
      <c r="C549" s="4" t="s">
        <v>40</v>
      </c>
      <c r="D549" s="4" t="s">
        <v>51</v>
      </c>
      <c r="E549" s="4" t="s">
        <v>52</v>
      </c>
      <c r="F549" s="4" t="s">
        <v>25</v>
      </c>
      <c r="G549" s="4" t="s">
        <v>25</v>
      </c>
      <c r="H549" s="4" t="s">
        <v>34</v>
      </c>
      <c r="I549" s="5">
        <v>44501</v>
      </c>
      <c r="J549" s="6">
        <v>224</v>
      </c>
      <c r="K549" s="6">
        <v>210.56</v>
      </c>
      <c r="L549" s="6">
        <v>7.1050000000000004</v>
      </c>
      <c r="M549" s="6">
        <v>6.6787000000000001</v>
      </c>
      <c r="N549" s="6">
        <v>7.1050000000000004</v>
      </c>
      <c r="O549" s="6">
        <v>6.6787000000000001</v>
      </c>
      <c r="P549" s="6">
        <v>0</v>
      </c>
      <c r="Q549" s="4" t="s">
        <v>26</v>
      </c>
      <c r="R549" s="4">
        <v>0</v>
      </c>
      <c r="S549" s="4" t="s">
        <v>368</v>
      </c>
      <c r="T549" s="4" t="s">
        <v>724</v>
      </c>
      <c r="U549" s="4">
        <v>21</v>
      </c>
      <c r="V549" s="4">
        <v>23</v>
      </c>
      <c r="W549" s="4">
        <v>78</v>
      </c>
    </row>
    <row r="550" spans="1:23" ht="11.25" customHeight="1" x14ac:dyDescent="0.25">
      <c r="A550" s="4" t="s">
        <v>21</v>
      </c>
      <c r="B550" s="4" t="s">
        <v>41</v>
      </c>
      <c r="C550" s="4" t="s">
        <v>40</v>
      </c>
      <c r="D550" s="4" t="s">
        <v>51</v>
      </c>
      <c r="E550" s="4" t="s">
        <v>52</v>
      </c>
      <c r="F550" s="4" t="s">
        <v>25</v>
      </c>
      <c r="G550" s="4" t="s">
        <v>25</v>
      </c>
      <c r="H550" s="4" t="s">
        <v>34</v>
      </c>
      <c r="I550" s="5">
        <v>44531</v>
      </c>
      <c r="J550" s="6">
        <v>225</v>
      </c>
      <c r="K550" s="6">
        <v>211.5</v>
      </c>
      <c r="L550" s="6">
        <v>8.4120000000000008</v>
      </c>
      <c r="M550" s="6">
        <v>7.9072800000000001</v>
      </c>
      <c r="N550" s="6">
        <v>8.4120000000000008</v>
      </c>
      <c r="O550" s="6">
        <v>7.9072800000000001</v>
      </c>
      <c r="P550" s="6">
        <v>0</v>
      </c>
      <c r="Q550" s="4" t="s">
        <v>26</v>
      </c>
      <c r="R550" s="4">
        <v>0</v>
      </c>
      <c r="S550" s="4" t="s">
        <v>369</v>
      </c>
      <c r="T550" s="4" t="s">
        <v>725</v>
      </c>
      <c r="U550" s="4">
        <v>21</v>
      </c>
      <c r="V550" s="4">
        <v>23</v>
      </c>
      <c r="W550" s="4">
        <v>78</v>
      </c>
    </row>
    <row r="551" spans="1:23" ht="11.25" customHeight="1" x14ac:dyDescent="0.25">
      <c r="A551" s="4" t="s">
        <v>21</v>
      </c>
      <c r="B551" s="4" t="s">
        <v>41</v>
      </c>
      <c r="C551" s="4" t="s">
        <v>40</v>
      </c>
      <c r="D551" s="4" t="s">
        <v>51</v>
      </c>
      <c r="E551" s="4" t="s">
        <v>52</v>
      </c>
      <c r="F551" s="4" t="s">
        <v>25</v>
      </c>
      <c r="G551" s="4" t="s">
        <v>25</v>
      </c>
      <c r="H551" s="4" t="s">
        <v>34</v>
      </c>
      <c r="I551" s="5">
        <v>44562</v>
      </c>
      <c r="J551" s="6">
        <v>231</v>
      </c>
      <c r="K551" s="6">
        <v>217.14</v>
      </c>
      <c r="L551" s="6">
        <v>8.6790000000000003</v>
      </c>
      <c r="M551" s="6">
        <v>8.1582600000000003</v>
      </c>
      <c r="N551" s="6">
        <v>8.6790000000000003</v>
      </c>
      <c r="O551" s="6">
        <v>8.1582600000000003</v>
      </c>
      <c r="P551" s="6">
        <v>0</v>
      </c>
      <c r="Q551" s="4" t="s">
        <v>26</v>
      </c>
      <c r="R551" s="4">
        <v>0</v>
      </c>
      <c r="S551" s="4" t="s">
        <v>370</v>
      </c>
      <c r="T551" s="4" t="s">
        <v>726</v>
      </c>
      <c r="U551" s="4">
        <v>21</v>
      </c>
      <c r="V551" s="4">
        <v>23</v>
      </c>
      <c r="W551" s="4">
        <v>78</v>
      </c>
    </row>
    <row r="552" spans="1:23" ht="11.25" customHeight="1" x14ac:dyDescent="0.25">
      <c r="A552" s="4" t="s">
        <v>21</v>
      </c>
      <c r="B552" s="4" t="s">
        <v>41</v>
      </c>
      <c r="C552" s="4" t="s">
        <v>40</v>
      </c>
      <c r="D552" s="4" t="s">
        <v>51</v>
      </c>
      <c r="E552" s="4" t="s">
        <v>52</v>
      </c>
      <c r="F552" s="4" t="s">
        <v>25</v>
      </c>
      <c r="G552" s="4" t="s">
        <v>25</v>
      </c>
      <c r="H552" s="4" t="s">
        <v>34</v>
      </c>
      <c r="I552" s="5">
        <v>44593</v>
      </c>
      <c r="J552" s="6">
        <v>236</v>
      </c>
      <c r="K552" s="6">
        <v>221.84</v>
      </c>
      <c r="L552" s="6">
        <v>9.5060000000000002</v>
      </c>
      <c r="M552" s="6">
        <v>8.9356399999999994</v>
      </c>
      <c r="N552" s="6">
        <v>9.5060000000000002</v>
      </c>
      <c r="O552" s="6">
        <v>8.9356399999999994</v>
      </c>
      <c r="P552" s="6">
        <v>0</v>
      </c>
      <c r="Q552" s="4" t="s">
        <v>26</v>
      </c>
      <c r="R552" s="4">
        <v>0</v>
      </c>
      <c r="S552" s="4" t="s">
        <v>371</v>
      </c>
      <c r="T552" s="4" t="s">
        <v>727</v>
      </c>
      <c r="U552" s="4">
        <v>21</v>
      </c>
      <c r="V552" s="4">
        <v>23</v>
      </c>
      <c r="W552" s="4">
        <v>78</v>
      </c>
    </row>
    <row r="553" spans="1:23" ht="11.25" customHeight="1" x14ac:dyDescent="0.25">
      <c r="A553" s="4" t="s">
        <v>21</v>
      </c>
      <c r="B553" s="4" t="s">
        <v>41</v>
      </c>
      <c r="C553" s="4" t="s">
        <v>40</v>
      </c>
      <c r="D553" s="4" t="s">
        <v>51</v>
      </c>
      <c r="E553" s="4" t="s">
        <v>52</v>
      </c>
      <c r="F553" s="4" t="s">
        <v>25</v>
      </c>
      <c r="G553" s="4" t="s">
        <v>25</v>
      </c>
      <c r="H553" s="4" t="s">
        <v>34</v>
      </c>
      <c r="I553" s="5">
        <v>44621</v>
      </c>
      <c r="J553" s="6">
        <v>235</v>
      </c>
      <c r="K553" s="6">
        <v>220.9</v>
      </c>
      <c r="L553" s="6">
        <v>10.074</v>
      </c>
      <c r="M553" s="6">
        <v>9.4695599999999995</v>
      </c>
      <c r="N553" s="6">
        <v>10.074</v>
      </c>
      <c r="O553" s="6">
        <v>9.4695599999999995</v>
      </c>
      <c r="P553" s="6">
        <v>0</v>
      </c>
      <c r="Q553" s="4" t="s">
        <v>26</v>
      </c>
      <c r="R553" s="4">
        <v>0</v>
      </c>
      <c r="S553" s="4" t="s">
        <v>372</v>
      </c>
      <c r="T553" s="4" t="s">
        <v>728</v>
      </c>
      <c r="U553" s="4">
        <v>21</v>
      </c>
      <c r="V553" s="4">
        <v>23</v>
      </c>
      <c r="W553" s="4">
        <v>78</v>
      </c>
    </row>
    <row r="554" spans="1:23" ht="11.25" customHeight="1" x14ac:dyDescent="0.25">
      <c r="A554" s="4" t="s">
        <v>21</v>
      </c>
      <c r="B554" s="4" t="s">
        <v>41</v>
      </c>
      <c r="C554" s="4" t="s">
        <v>40</v>
      </c>
      <c r="D554" s="4" t="s">
        <v>51</v>
      </c>
      <c r="E554" s="4" t="s">
        <v>52</v>
      </c>
      <c r="F554" s="4" t="s">
        <v>25</v>
      </c>
      <c r="G554" s="4" t="s">
        <v>25</v>
      </c>
      <c r="H554" s="4" t="s">
        <v>34</v>
      </c>
      <c r="I554" s="5">
        <v>44652</v>
      </c>
      <c r="J554" s="6">
        <v>229</v>
      </c>
      <c r="K554" s="6">
        <v>215.26</v>
      </c>
      <c r="L554" s="6">
        <v>11.121</v>
      </c>
      <c r="M554" s="6">
        <v>10.45374</v>
      </c>
      <c r="N554" s="6">
        <v>11.121</v>
      </c>
      <c r="O554" s="6">
        <v>10.45374</v>
      </c>
      <c r="P554" s="6">
        <v>0</v>
      </c>
      <c r="Q554" s="4" t="s">
        <v>26</v>
      </c>
      <c r="R554" s="4">
        <v>0</v>
      </c>
      <c r="S554" s="4" t="s">
        <v>373</v>
      </c>
      <c r="T554" s="4" t="s">
        <v>729</v>
      </c>
      <c r="U554" s="4">
        <v>21</v>
      </c>
      <c r="V554" s="4">
        <v>23</v>
      </c>
      <c r="W554" s="4">
        <v>78</v>
      </c>
    </row>
    <row r="555" spans="1:23" ht="11.25" customHeight="1" x14ac:dyDescent="0.25">
      <c r="A555" s="4" t="s">
        <v>58</v>
      </c>
      <c r="B555" s="4" t="s">
        <v>41</v>
      </c>
      <c r="C555" s="4" t="s">
        <v>40</v>
      </c>
      <c r="D555" s="4" t="s">
        <v>51</v>
      </c>
      <c r="E555" s="4" t="s">
        <v>52</v>
      </c>
      <c r="F555" s="4" t="s">
        <v>25</v>
      </c>
      <c r="G555" s="4" t="s">
        <v>25</v>
      </c>
      <c r="H555" s="4" t="s">
        <v>34</v>
      </c>
      <c r="I555" s="5">
        <v>44682</v>
      </c>
      <c r="J555" s="6">
        <v>229</v>
      </c>
      <c r="K555" s="6">
        <v>215.26</v>
      </c>
      <c r="L555" s="6">
        <v>11.121</v>
      </c>
      <c r="M555" s="6">
        <v>10.45374</v>
      </c>
      <c r="N555" s="6">
        <v>11.121</v>
      </c>
      <c r="O555" s="6">
        <v>10.45374</v>
      </c>
      <c r="P555" s="6">
        <v>0</v>
      </c>
      <c r="Q555" s="4" t="s">
        <v>26</v>
      </c>
      <c r="R555" s="4">
        <v>0</v>
      </c>
      <c r="S555" s="4" t="s">
        <v>374</v>
      </c>
      <c r="T555" s="4" t="s">
        <v>730</v>
      </c>
      <c r="U555" s="4">
        <v>21</v>
      </c>
      <c r="V555" s="4">
        <v>23</v>
      </c>
      <c r="W555" s="4">
        <v>78</v>
      </c>
    </row>
    <row r="556" spans="1:23" ht="11.25" customHeight="1" x14ac:dyDescent="0.25">
      <c r="A556" s="4" t="s">
        <v>21</v>
      </c>
      <c r="B556" s="4" t="s">
        <v>41</v>
      </c>
      <c r="C556" s="4" t="s">
        <v>81</v>
      </c>
      <c r="D556" s="4" t="s">
        <v>25</v>
      </c>
      <c r="E556" s="4" t="s">
        <v>25</v>
      </c>
      <c r="F556" s="4" t="s">
        <v>25</v>
      </c>
      <c r="G556" s="4" t="s">
        <v>82</v>
      </c>
      <c r="H556" s="4" t="s">
        <v>35</v>
      </c>
      <c r="I556" s="5">
        <v>44348</v>
      </c>
      <c r="J556" s="6">
        <v>3500</v>
      </c>
      <c r="K556" s="6">
        <v>3500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4" t="s">
        <v>83</v>
      </c>
      <c r="R556" s="4">
        <v>4950</v>
      </c>
      <c r="S556" s="4" t="s">
        <v>387</v>
      </c>
      <c r="U556" s="4">
        <v>26</v>
      </c>
      <c r="V556" s="4">
        <v>0</v>
      </c>
      <c r="W556" s="4">
        <v>0</v>
      </c>
    </row>
    <row r="557" spans="1:23" ht="11.25" customHeight="1" x14ac:dyDescent="0.25">
      <c r="A557" s="4" t="s">
        <v>21</v>
      </c>
      <c r="B557" s="4" t="s">
        <v>41</v>
      </c>
      <c r="C557" s="4" t="s">
        <v>81</v>
      </c>
      <c r="D557" s="4" t="s">
        <v>25</v>
      </c>
      <c r="E557" s="4" t="s">
        <v>25</v>
      </c>
      <c r="F557" s="4" t="s">
        <v>25</v>
      </c>
      <c r="G557" s="4" t="s">
        <v>82</v>
      </c>
      <c r="H557" s="4" t="s">
        <v>35</v>
      </c>
      <c r="I557" s="5">
        <v>44378</v>
      </c>
      <c r="J557" s="6">
        <v>3500</v>
      </c>
      <c r="K557" s="6">
        <v>3500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4" t="s">
        <v>83</v>
      </c>
      <c r="R557" s="4">
        <v>4950</v>
      </c>
      <c r="S557" s="4" t="s">
        <v>388</v>
      </c>
      <c r="U557" s="4">
        <v>26</v>
      </c>
      <c r="V557" s="4">
        <v>0</v>
      </c>
      <c r="W557" s="4">
        <v>0</v>
      </c>
    </row>
    <row r="558" spans="1:23" ht="11.25" customHeight="1" x14ac:dyDescent="0.25">
      <c r="A558" s="4" t="s">
        <v>21</v>
      </c>
      <c r="B558" s="4" t="s">
        <v>41</v>
      </c>
      <c r="C558" s="4" t="s">
        <v>81</v>
      </c>
      <c r="D558" s="4" t="s">
        <v>25</v>
      </c>
      <c r="E558" s="4" t="s">
        <v>25</v>
      </c>
      <c r="F558" s="4" t="s">
        <v>25</v>
      </c>
      <c r="G558" s="4" t="s">
        <v>82</v>
      </c>
      <c r="H558" s="4" t="s">
        <v>35</v>
      </c>
      <c r="I558" s="5">
        <v>44409</v>
      </c>
      <c r="J558" s="6">
        <v>3500</v>
      </c>
      <c r="K558" s="6">
        <v>3500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4" t="s">
        <v>83</v>
      </c>
      <c r="R558" s="4">
        <v>4950</v>
      </c>
      <c r="S558" s="4" t="s">
        <v>389</v>
      </c>
      <c r="U558" s="4">
        <v>26</v>
      </c>
      <c r="V558" s="4">
        <v>0</v>
      </c>
      <c r="W558" s="4">
        <v>0</v>
      </c>
    </row>
    <row r="559" spans="1:23" ht="11.25" customHeight="1" x14ac:dyDescent="0.25">
      <c r="A559" s="4" t="s">
        <v>21</v>
      </c>
      <c r="B559" s="4" t="s">
        <v>41</v>
      </c>
      <c r="C559" s="4" t="s">
        <v>81</v>
      </c>
      <c r="D559" s="4" t="s">
        <v>25</v>
      </c>
      <c r="E559" s="4" t="s">
        <v>25</v>
      </c>
      <c r="F559" s="4" t="s">
        <v>25</v>
      </c>
      <c r="G559" s="4" t="s">
        <v>82</v>
      </c>
      <c r="H559" s="4" t="s">
        <v>35</v>
      </c>
      <c r="I559" s="5">
        <v>44440</v>
      </c>
      <c r="J559" s="6">
        <v>3500</v>
      </c>
      <c r="K559" s="6">
        <v>3500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4" t="s">
        <v>83</v>
      </c>
      <c r="R559" s="4">
        <v>4950</v>
      </c>
      <c r="S559" s="4" t="s">
        <v>390</v>
      </c>
      <c r="U559" s="4">
        <v>26</v>
      </c>
      <c r="V559" s="4">
        <v>0</v>
      </c>
      <c r="W559" s="4">
        <v>0</v>
      </c>
    </row>
    <row r="560" spans="1:23" ht="11.25" customHeight="1" x14ac:dyDescent="0.25">
      <c r="A560" s="4" t="s">
        <v>21</v>
      </c>
      <c r="B560" s="4" t="s">
        <v>41</v>
      </c>
      <c r="C560" s="4" t="s">
        <v>81</v>
      </c>
      <c r="D560" s="4" t="s">
        <v>25</v>
      </c>
      <c r="E560" s="4" t="s">
        <v>25</v>
      </c>
      <c r="F560" s="4" t="s">
        <v>25</v>
      </c>
      <c r="G560" s="4" t="s">
        <v>82</v>
      </c>
      <c r="H560" s="4" t="s">
        <v>35</v>
      </c>
      <c r="I560" s="5">
        <v>44470</v>
      </c>
      <c r="J560" s="6">
        <v>3500</v>
      </c>
      <c r="K560" s="6">
        <v>3500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4" t="s">
        <v>83</v>
      </c>
      <c r="R560" s="4">
        <v>4950</v>
      </c>
      <c r="S560" s="4" t="s">
        <v>391</v>
      </c>
      <c r="U560" s="4">
        <v>26</v>
      </c>
      <c r="V560" s="4">
        <v>0</v>
      </c>
      <c r="W560" s="4">
        <v>0</v>
      </c>
    </row>
    <row r="561" spans="1:23" ht="11.25" customHeight="1" x14ac:dyDescent="0.25">
      <c r="A561" s="4" t="s">
        <v>21</v>
      </c>
      <c r="B561" s="4" t="s">
        <v>41</v>
      </c>
      <c r="C561" s="4" t="s">
        <v>81</v>
      </c>
      <c r="D561" s="4" t="s">
        <v>25</v>
      </c>
      <c r="E561" s="4" t="s">
        <v>25</v>
      </c>
      <c r="F561" s="4" t="s">
        <v>25</v>
      </c>
      <c r="G561" s="4" t="s">
        <v>82</v>
      </c>
      <c r="H561" s="4" t="s">
        <v>35</v>
      </c>
      <c r="I561" s="5">
        <v>44501</v>
      </c>
      <c r="J561" s="6">
        <v>3500</v>
      </c>
      <c r="K561" s="6">
        <v>3500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4" t="s">
        <v>83</v>
      </c>
      <c r="R561" s="4">
        <v>4950</v>
      </c>
      <c r="S561" s="4" t="s">
        <v>392</v>
      </c>
      <c r="U561" s="4">
        <v>26</v>
      </c>
      <c r="V561" s="4">
        <v>0</v>
      </c>
      <c r="W561" s="4">
        <v>0</v>
      </c>
    </row>
    <row r="562" spans="1:23" ht="11.25" customHeight="1" x14ac:dyDescent="0.25">
      <c r="A562" s="4" t="s">
        <v>21</v>
      </c>
      <c r="B562" s="4" t="s">
        <v>41</v>
      </c>
      <c r="C562" s="4" t="s">
        <v>81</v>
      </c>
      <c r="D562" s="4" t="s">
        <v>25</v>
      </c>
      <c r="E562" s="4" t="s">
        <v>25</v>
      </c>
      <c r="F562" s="4" t="s">
        <v>25</v>
      </c>
      <c r="G562" s="4" t="s">
        <v>82</v>
      </c>
      <c r="H562" s="4" t="s">
        <v>35</v>
      </c>
      <c r="I562" s="5">
        <v>44531</v>
      </c>
      <c r="J562" s="6">
        <v>3500</v>
      </c>
      <c r="K562" s="6">
        <v>3500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4" t="s">
        <v>83</v>
      </c>
      <c r="R562" s="4">
        <v>4950</v>
      </c>
      <c r="S562" s="4" t="s">
        <v>393</v>
      </c>
      <c r="U562" s="4">
        <v>26</v>
      </c>
      <c r="V562" s="4">
        <v>0</v>
      </c>
      <c r="W562" s="4">
        <v>0</v>
      </c>
    </row>
    <row r="563" spans="1:23" ht="11.25" customHeight="1" x14ac:dyDescent="0.25">
      <c r="A563" s="4" t="s">
        <v>21</v>
      </c>
      <c r="B563" s="4" t="s">
        <v>41</v>
      </c>
      <c r="C563" s="4" t="s">
        <v>81</v>
      </c>
      <c r="D563" s="4" t="s">
        <v>25</v>
      </c>
      <c r="E563" s="4" t="s">
        <v>25</v>
      </c>
      <c r="F563" s="4" t="s">
        <v>25</v>
      </c>
      <c r="G563" s="4" t="s">
        <v>82</v>
      </c>
      <c r="H563" s="4" t="s">
        <v>35</v>
      </c>
      <c r="I563" s="5">
        <v>44562</v>
      </c>
      <c r="J563" s="6">
        <v>3500</v>
      </c>
      <c r="K563" s="6">
        <v>3500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4" t="s">
        <v>83</v>
      </c>
      <c r="R563" s="4">
        <v>4950</v>
      </c>
      <c r="S563" s="4" t="s">
        <v>394</v>
      </c>
      <c r="U563" s="4">
        <v>26</v>
      </c>
      <c r="V563" s="4">
        <v>0</v>
      </c>
      <c r="W563" s="4">
        <v>0</v>
      </c>
    </row>
    <row r="564" spans="1:23" ht="11.25" customHeight="1" x14ac:dyDescent="0.25">
      <c r="A564" s="4" t="s">
        <v>21</v>
      </c>
      <c r="B564" s="4" t="s">
        <v>41</v>
      </c>
      <c r="C564" s="4" t="s">
        <v>81</v>
      </c>
      <c r="D564" s="4" t="s">
        <v>25</v>
      </c>
      <c r="E564" s="4" t="s">
        <v>25</v>
      </c>
      <c r="F564" s="4" t="s">
        <v>25</v>
      </c>
      <c r="G564" s="4" t="s">
        <v>82</v>
      </c>
      <c r="H564" s="4" t="s">
        <v>35</v>
      </c>
      <c r="I564" s="5">
        <v>44593</v>
      </c>
      <c r="J564" s="6">
        <v>3500</v>
      </c>
      <c r="K564" s="6">
        <v>3500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4" t="s">
        <v>83</v>
      </c>
      <c r="R564" s="4">
        <v>4950</v>
      </c>
      <c r="S564" s="4" t="s">
        <v>395</v>
      </c>
      <c r="U564" s="4">
        <v>26</v>
      </c>
      <c r="V564" s="4">
        <v>0</v>
      </c>
      <c r="W564" s="4">
        <v>0</v>
      </c>
    </row>
    <row r="565" spans="1:23" ht="11.25" customHeight="1" x14ac:dyDescent="0.25">
      <c r="A565" s="4" t="s">
        <v>21</v>
      </c>
      <c r="B565" s="4" t="s">
        <v>41</v>
      </c>
      <c r="C565" s="4" t="s">
        <v>81</v>
      </c>
      <c r="D565" s="4" t="s">
        <v>25</v>
      </c>
      <c r="E565" s="4" t="s">
        <v>25</v>
      </c>
      <c r="F565" s="4" t="s">
        <v>25</v>
      </c>
      <c r="G565" s="4" t="s">
        <v>82</v>
      </c>
      <c r="H565" s="4" t="s">
        <v>35</v>
      </c>
      <c r="I565" s="5">
        <v>44621</v>
      </c>
      <c r="J565" s="6">
        <v>3500</v>
      </c>
      <c r="K565" s="6">
        <v>3500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4" t="s">
        <v>83</v>
      </c>
      <c r="R565" s="4">
        <v>4950</v>
      </c>
      <c r="S565" s="4" t="s">
        <v>396</v>
      </c>
      <c r="U565" s="4">
        <v>26</v>
      </c>
      <c r="V565" s="4">
        <v>0</v>
      </c>
      <c r="W565" s="4">
        <v>0</v>
      </c>
    </row>
    <row r="566" spans="1:23" ht="11.25" customHeight="1" x14ac:dyDescent="0.25">
      <c r="A566" s="4" t="s">
        <v>21</v>
      </c>
      <c r="B566" s="4" t="s">
        <v>41</v>
      </c>
      <c r="C566" s="4" t="s">
        <v>81</v>
      </c>
      <c r="D566" s="4" t="s">
        <v>25</v>
      </c>
      <c r="E566" s="4" t="s">
        <v>25</v>
      </c>
      <c r="F566" s="4" t="s">
        <v>25</v>
      </c>
      <c r="G566" s="4" t="s">
        <v>82</v>
      </c>
      <c r="H566" s="4" t="s">
        <v>35</v>
      </c>
      <c r="I566" s="5">
        <v>44652</v>
      </c>
      <c r="J566" s="6">
        <v>3500</v>
      </c>
      <c r="K566" s="6">
        <v>3500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4" t="s">
        <v>83</v>
      </c>
      <c r="R566" s="4">
        <v>4950</v>
      </c>
      <c r="S566" s="4" t="s">
        <v>397</v>
      </c>
      <c r="U566" s="4">
        <v>26</v>
      </c>
      <c r="V566" s="4">
        <v>0</v>
      </c>
      <c r="W566" s="4">
        <v>0</v>
      </c>
    </row>
    <row r="567" spans="1:23" ht="11.25" customHeight="1" x14ac:dyDescent="0.25">
      <c r="A567" s="4" t="s">
        <v>58</v>
      </c>
      <c r="B567" s="4" t="s">
        <v>41</v>
      </c>
      <c r="C567" s="4" t="s">
        <v>81</v>
      </c>
      <c r="D567" s="4" t="s">
        <v>25</v>
      </c>
      <c r="E567" s="4" t="s">
        <v>25</v>
      </c>
      <c r="F567" s="4" t="s">
        <v>25</v>
      </c>
      <c r="G567" s="4" t="s">
        <v>82</v>
      </c>
      <c r="H567" s="4" t="s">
        <v>35</v>
      </c>
      <c r="I567" s="5">
        <v>44682</v>
      </c>
      <c r="J567" s="6">
        <v>3500</v>
      </c>
      <c r="K567" s="6">
        <v>3500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4" t="s">
        <v>83</v>
      </c>
      <c r="R567" s="4">
        <v>4950</v>
      </c>
      <c r="S567" s="4" t="s">
        <v>398</v>
      </c>
      <c r="U567" s="4">
        <v>26</v>
      </c>
      <c r="V567" s="4">
        <v>0</v>
      </c>
      <c r="W567" s="4">
        <v>0</v>
      </c>
    </row>
    <row r="568" spans="1:23" ht="11.25" customHeight="1" x14ac:dyDescent="0.25">
      <c r="A568" s="4" t="s">
        <v>21</v>
      </c>
      <c r="B568" s="4" t="s">
        <v>41</v>
      </c>
      <c r="C568" s="4" t="s">
        <v>81</v>
      </c>
      <c r="D568" s="4" t="s">
        <v>25</v>
      </c>
      <c r="E568" s="4" t="s">
        <v>25</v>
      </c>
      <c r="F568" s="4" t="s">
        <v>25</v>
      </c>
      <c r="G568" s="4" t="s">
        <v>82</v>
      </c>
      <c r="H568" s="4" t="s">
        <v>25</v>
      </c>
      <c r="I568" s="5">
        <v>44348</v>
      </c>
      <c r="J568" s="6">
        <v>0</v>
      </c>
      <c r="K568" s="6">
        <v>0</v>
      </c>
      <c r="L568" s="6">
        <v>823.99800000000005</v>
      </c>
      <c r="M568" s="6">
        <v>823.99800000000005</v>
      </c>
      <c r="N568" s="6">
        <v>0</v>
      </c>
      <c r="O568" s="6">
        <v>0</v>
      </c>
      <c r="P568" s="6">
        <v>0</v>
      </c>
      <c r="Q568" s="4" t="s">
        <v>83</v>
      </c>
      <c r="R568" s="4">
        <v>4950</v>
      </c>
      <c r="S568" s="4" t="s">
        <v>399</v>
      </c>
      <c r="U568" s="4">
        <v>0</v>
      </c>
      <c r="V568" s="4">
        <v>27</v>
      </c>
      <c r="W568" s="4">
        <v>0</v>
      </c>
    </row>
    <row r="569" spans="1:23" ht="11.25" customHeight="1" x14ac:dyDescent="0.25">
      <c r="A569" s="4" t="s">
        <v>21</v>
      </c>
      <c r="B569" s="4" t="s">
        <v>41</v>
      </c>
      <c r="C569" s="4" t="s">
        <v>81</v>
      </c>
      <c r="D569" s="4" t="s">
        <v>25</v>
      </c>
      <c r="E569" s="4" t="s">
        <v>25</v>
      </c>
      <c r="F569" s="4" t="s">
        <v>25</v>
      </c>
      <c r="G569" s="4" t="s">
        <v>82</v>
      </c>
      <c r="H569" s="4" t="s">
        <v>25</v>
      </c>
      <c r="I569" s="5">
        <v>44378</v>
      </c>
      <c r="J569" s="6">
        <v>0</v>
      </c>
      <c r="K569" s="6">
        <v>0</v>
      </c>
      <c r="L569" s="6">
        <v>766.38300000000004</v>
      </c>
      <c r="M569" s="6">
        <v>766.38300000000004</v>
      </c>
      <c r="N569" s="6">
        <v>0</v>
      </c>
      <c r="O569" s="6">
        <v>0</v>
      </c>
      <c r="P569" s="6">
        <v>0</v>
      </c>
      <c r="Q569" s="4" t="s">
        <v>83</v>
      </c>
      <c r="R569" s="4">
        <v>4950</v>
      </c>
      <c r="S569" s="4" t="s">
        <v>400</v>
      </c>
      <c r="U569" s="4">
        <v>0</v>
      </c>
      <c r="V569" s="4">
        <v>27</v>
      </c>
      <c r="W569" s="4">
        <v>0</v>
      </c>
    </row>
    <row r="570" spans="1:23" ht="11.25" customHeight="1" x14ac:dyDescent="0.25">
      <c r="A570" s="4" t="s">
        <v>21</v>
      </c>
      <c r="B570" s="4" t="s">
        <v>41</v>
      </c>
      <c r="C570" s="4" t="s">
        <v>81</v>
      </c>
      <c r="D570" s="4" t="s">
        <v>25</v>
      </c>
      <c r="E570" s="4" t="s">
        <v>25</v>
      </c>
      <c r="F570" s="4" t="s">
        <v>25</v>
      </c>
      <c r="G570" s="4" t="s">
        <v>82</v>
      </c>
      <c r="H570" s="4" t="s">
        <v>25</v>
      </c>
      <c r="I570" s="5">
        <v>44409</v>
      </c>
      <c r="J570" s="6">
        <v>0</v>
      </c>
      <c r="K570" s="6">
        <v>0</v>
      </c>
      <c r="L570" s="6">
        <v>760.92100000000005</v>
      </c>
      <c r="M570" s="6">
        <v>760.92100000000005</v>
      </c>
      <c r="N570" s="6">
        <v>0</v>
      </c>
      <c r="O570" s="6">
        <v>0</v>
      </c>
      <c r="P570" s="6">
        <v>0</v>
      </c>
      <c r="Q570" s="4" t="s">
        <v>83</v>
      </c>
      <c r="R570" s="4">
        <v>4950</v>
      </c>
      <c r="S570" s="4" t="s">
        <v>401</v>
      </c>
      <c r="U570" s="4">
        <v>0</v>
      </c>
      <c r="V570" s="4">
        <v>27</v>
      </c>
      <c r="W570" s="4">
        <v>0</v>
      </c>
    </row>
    <row r="571" spans="1:23" ht="11.25" customHeight="1" x14ac:dyDescent="0.25">
      <c r="A571" s="4" t="s">
        <v>21</v>
      </c>
      <c r="B571" s="4" t="s">
        <v>41</v>
      </c>
      <c r="C571" s="4" t="s">
        <v>81</v>
      </c>
      <c r="D571" s="4" t="s">
        <v>25</v>
      </c>
      <c r="E571" s="4" t="s">
        <v>25</v>
      </c>
      <c r="F571" s="4" t="s">
        <v>25</v>
      </c>
      <c r="G571" s="4" t="s">
        <v>82</v>
      </c>
      <c r="H571" s="4" t="s">
        <v>25</v>
      </c>
      <c r="I571" s="5">
        <v>44440</v>
      </c>
      <c r="J571" s="6">
        <v>0</v>
      </c>
      <c r="K571" s="6">
        <v>0</v>
      </c>
      <c r="L571" s="6">
        <v>794.83</v>
      </c>
      <c r="M571" s="6">
        <v>794.83</v>
      </c>
      <c r="N571" s="6">
        <v>0</v>
      </c>
      <c r="O571" s="6">
        <v>0</v>
      </c>
      <c r="P571" s="6">
        <v>0</v>
      </c>
      <c r="Q571" s="4" t="s">
        <v>83</v>
      </c>
      <c r="R571" s="4">
        <v>4950</v>
      </c>
      <c r="S571" s="4" t="s">
        <v>402</v>
      </c>
      <c r="U571" s="4">
        <v>0</v>
      </c>
      <c r="V571" s="4">
        <v>27</v>
      </c>
      <c r="W571" s="4">
        <v>0</v>
      </c>
    </row>
    <row r="572" spans="1:23" ht="11.25" customHeight="1" x14ac:dyDescent="0.25">
      <c r="A572" s="4" t="s">
        <v>21</v>
      </c>
      <c r="B572" s="4" t="s">
        <v>41</v>
      </c>
      <c r="C572" s="4" t="s">
        <v>81</v>
      </c>
      <c r="D572" s="4" t="s">
        <v>25</v>
      </c>
      <c r="E572" s="4" t="s">
        <v>25</v>
      </c>
      <c r="F572" s="4" t="s">
        <v>25</v>
      </c>
      <c r="G572" s="4" t="s">
        <v>82</v>
      </c>
      <c r="H572" s="4" t="s">
        <v>25</v>
      </c>
      <c r="I572" s="5">
        <v>44470</v>
      </c>
      <c r="J572" s="6">
        <v>0</v>
      </c>
      <c r="K572" s="6">
        <v>0</v>
      </c>
      <c r="L572" s="6">
        <v>855.04399999999998</v>
      </c>
      <c r="M572" s="6">
        <v>855.04399999999998</v>
      </c>
      <c r="N572" s="6">
        <v>0</v>
      </c>
      <c r="O572" s="6">
        <v>0</v>
      </c>
      <c r="P572" s="6">
        <v>0</v>
      </c>
      <c r="Q572" s="4" t="s">
        <v>83</v>
      </c>
      <c r="R572" s="4">
        <v>4950</v>
      </c>
      <c r="S572" s="4" t="s">
        <v>403</v>
      </c>
      <c r="U572" s="4">
        <v>0</v>
      </c>
      <c r="V572" s="4">
        <v>27</v>
      </c>
      <c r="W572" s="4">
        <v>0</v>
      </c>
    </row>
    <row r="573" spans="1:23" ht="11.25" customHeight="1" x14ac:dyDescent="0.25">
      <c r="A573" s="4" t="s">
        <v>21</v>
      </c>
      <c r="B573" s="4" t="s">
        <v>41</v>
      </c>
      <c r="C573" s="4" t="s">
        <v>81</v>
      </c>
      <c r="D573" s="4" t="s">
        <v>25</v>
      </c>
      <c r="E573" s="4" t="s">
        <v>25</v>
      </c>
      <c r="F573" s="4" t="s">
        <v>25</v>
      </c>
      <c r="G573" s="4" t="s">
        <v>82</v>
      </c>
      <c r="H573" s="4" t="s">
        <v>25</v>
      </c>
      <c r="I573" s="5">
        <v>44501</v>
      </c>
      <c r="J573" s="6">
        <v>0</v>
      </c>
      <c r="K573" s="6">
        <v>0</v>
      </c>
      <c r="L573" s="6">
        <v>827.68399999999997</v>
      </c>
      <c r="M573" s="6">
        <v>827.68399999999997</v>
      </c>
      <c r="N573" s="6">
        <v>0</v>
      </c>
      <c r="O573" s="6">
        <v>0</v>
      </c>
      <c r="P573" s="6">
        <v>0</v>
      </c>
      <c r="Q573" s="4" t="s">
        <v>83</v>
      </c>
      <c r="R573" s="4">
        <v>4950</v>
      </c>
      <c r="S573" s="4" t="s">
        <v>404</v>
      </c>
      <c r="U573" s="4">
        <v>0</v>
      </c>
      <c r="V573" s="4">
        <v>27</v>
      </c>
      <c r="W573" s="4">
        <v>0</v>
      </c>
    </row>
    <row r="574" spans="1:23" ht="11.25" customHeight="1" x14ac:dyDescent="0.25">
      <c r="A574" s="4" t="s">
        <v>21</v>
      </c>
      <c r="B574" s="4" t="s">
        <v>41</v>
      </c>
      <c r="C574" s="4" t="s">
        <v>81</v>
      </c>
      <c r="D574" s="4" t="s">
        <v>25</v>
      </c>
      <c r="E574" s="4" t="s">
        <v>25</v>
      </c>
      <c r="F574" s="4" t="s">
        <v>25</v>
      </c>
      <c r="G574" s="4" t="s">
        <v>82</v>
      </c>
      <c r="H574" s="4" t="s">
        <v>25</v>
      </c>
      <c r="I574" s="5">
        <v>44531</v>
      </c>
      <c r="J574" s="6">
        <v>0</v>
      </c>
      <c r="K574" s="6">
        <v>0</v>
      </c>
      <c r="L574" s="6">
        <v>811.846</v>
      </c>
      <c r="M574" s="6">
        <v>811.846</v>
      </c>
      <c r="N574" s="6">
        <v>0</v>
      </c>
      <c r="O574" s="6">
        <v>0</v>
      </c>
      <c r="P574" s="6">
        <v>0</v>
      </c>
      <c r="Q574" s="4" t="s">
        <v>83</v>
      </c>
      <c r="R574" s="4">
        <v>4950</v>
      </c>
      <c r="S574" s="4" t="s">
        <v>405</v>
      </c>
      <c r="U574" s="4">
        <v>0</v>
      </c>
      <c r="V574" s="4">
        <v>27</v>
      </c>
      <c r="W574" s="4">
        <v>0</v>
      </c>
    </row>
    <row r="575" spans="1:23" ht="11.25" customHeight="1" x14ac:dyDescent="0.25">
      <c r="A575" s="4" t="s">
        <v>21</v>
      </c>
      <c r="B575" s="4" t="s">
        <v>41</v>
      </c>
      <c r="C575" s="4" t="s">
        <v>81</v>
      </c>
      <c r="D575" s="4" t="s">
        <v>25</v>
      </c>
      <c r="E575" s="4" t="s">
        <v>25</v>
      </c>
      <c r="F575" s="4" t="s">
        <v>25</v>
      </c>
      <c r="G575" s="4" t="s">
        <v>82</v>
      </c>
      <c r="H575" s="4" t="s">
        <v>25</v>
      </c>
      <c r="I575" s="5">
        <v>44562</v>
      </c>
      <c r="J575" s="6">
        <v>0</v>
      </c>
      <c r="K575" s="6">
        <v>0</v>
      </c>
      <c r="L575" s="6">
        <v>898.20899999999995</v>
      </c>
      <c r="M575" s="6">
        <v>898.20899999999995</v>
      </c>
      <c r="N575" s="6">
        <v>0</v>
      </c>
      <c r="O575" s="6">
        <v>0</v>
      </c>
      <c r="P575" s="6">
        <v>0</v>
      </c>
      <c r="Q575" s="4" t="s">
        <v>83</v>
      </c>
      <c r="R575" s="4">
        <v>4950</v>
      </c>
      <c r="S575" s="4" t="s">
        <v>406</v>
      </c>
      <c r="U575" s="4">
        <v>0</v>
      </c>
      <c r="V575" s="4">
        <v>27</v>
      </c>
      <c r="W575" s="4">
        <v>0</v>
      </c>
    </row>
    <row r="576" spans="1:23" ht="11.25" customHeight="1" x14ac:dyDescent="0.25">
      <c r="A576" s="4" t="s">
        <v>21</v>
      </c>
      <c r="B576" s="4" t="s">
        <v>41</v>
      </c>
      <c r="C576" s="4" t="s">
        <v>81</v>
      </c>
      <c r="D576" s="4" t="s">
        <v>25</v>
      </c>
      <c r="E576" s="4" t="s">
        <v>25</v>
      </c>
      <c r="F576" s="4" t="s">
        <v>25</v>
      </c>
      <c r="G576" s="4" t="s">
        <v>82</v>
      </c>
      <c r="H576" s="4" t="s">
        <v>25</v>
      </c>
      <c r="I576" s="5">
        <v>44593</v>
      </c>
      <c r="J576" s="6">
        <v>0</v>
      </c>
      <c r="K576" s="6">
        <v>0</v>
      </c>
      <c r="L576" s="6">
        <v>934.46799999999996</v>
      </c>
      <c r="M576" s="6">
        <v>934.46799999999996</v>
      </c>
      <c r="N576" s="6">
        <v>0</v>
      </c>
      <c r="O576" s="6">
        <v>0</v>
      </c>
      <c r="P576" s="6">
        <v>0</v>
      </c>
      <c r="Q576" s="4" t="s">
        <v>83</v>
      </c>
      <c r="R576" s="4">
        <v>4950</v>
      </c>
      <c r="S576" s="4" t="s">
        <v>407</v>
      </c>
      <c r="U576" s="4">
        <v>0</v>
      </c>
      <c r="V576" s="4">
        <v>27</v>
      </c>
      <c r="W576" s="4">
        <v>0</v>
      </c>
    </row>
    <row r="577" spans="1:23" ht="11.25" customHeight="1" x14ac:dyDescent="0.25">
      <c r="A577" s="4" t="s">
        <v>21</v>
      </c>
      <c r="B577" s="4" t="s">
        <v>41</v>
      </c>
      <c r="C577" s="4" t="s">
        <v>81</v>
      </c>
      <c r="D577" s="4" t="s">
        <v>25</v>
      </c>
      <c r="E577" s="4" t="s">
        <v>25</v>
      </c>
      <c r="F577" s="4" t="s">
        <v>25</v>
      </c>
      <c r="G577" s="4" t="s">
        <v>82</v>
      </c>
      <c r="H577" s="4" t="s">
        <v>25</v>
      </c>
      <c r="I577" s="5">
        <v>44621</v>
      </c>
      <c r="J577" s="6">
        <v>0</v>
      </c>
      <c r="K577" s="6">
        <v>0</v>
      </c>
      <c r="L577" s="6">
        <v>832.11099999999999</v>
      </c>
      <c r="M577" s="6">
        <v>832.11099999999999</v>
      </c>
      <c r="N577" s="6">
        <v>0</v>
      </c>
      <c r="O577" s="6">
        <v>0</v>
      </c>
      <c r="P577" s="6">
        <v>0</v>
      </c>
      <c r="Q577" s="4" t="s">
        <v>83</v>
      </c>
      <c r="R577" s="4">
        <v>4950</v>
      </c>
      <c r="S577" s="4" t="s">
        <v>408</v>
      </c>
      <c r="U577" s="4">
        <v>0</v>
      </c>
      <c r="V577" s="4">
        <v>27</v>
      </c>
      <c r="W577" s="4">
        <v>0</v>
      </c>
    </row>
    <row r="578" spans="1:23" ht="11.25" customHeight="1" x14ac:dyDescent="0.25">
      <c r="A578" s="4" t="s">
        <v>21</v>
      </c>
      <c r="B578" s="4" t="s">
        <v>41</v>
      </c>
      <c r="C578" s="4" t="s">
        <v>81</v>
      </c>
      <c r="D578" s="4" t="s">
        <v>25</v>
      </c>
      <c r="E578" s="4" t="s">
        <v>25</v>
      </c>
      <c r="F578" s="4" t="s">
        <v>25</v>
      </c>
      <c r="G578" s="4" t="s">
        <v>82</v>
      </c>
      <c r="H578" s="4" t="s">
        <v>25</v>
      </c>
      <c r="I578" s="5">
        <v>44652</v>
      </c>
      <c r="J578" s="6">
        <v>0</v>
      </c>
      <c r="K578" s="6">
        <v>0</v>
      </c>
      <c r="L578" s="6">
        <v>991.36300000000006</v>
      </c>
      <c r="M578" s="6">
        <v>991.36300000000006</v>
      </c>
      <c r="N578" s="6">
        <v>0</v>
      </c>
      <c r="O578" s="6">
        <v>0</v>
      </c>
      <c r="P578" s="6">
        <v>0</v>
      </c>
      <c r="Q578" s="4" t="s">
        <v>83</v>
      </c>
      <c r="R578" s="4">
        <v>4950</v>
      </c>
      <c r="S578" s="4" t="s">
        <v>409</v>
      </c>
      <c r="U578" s="4">
        <v>0</v>
      </c>
      <c r="V578" s="4">
        <v>27</v>
      </c>
      <c r="W578" s="4">
        <v>0</v>
      </c>
    </row>
    <row r="579" spans="1:23" ht="11.25" customHeight="1" x14ac:dyDescent="0.25">
      <c r="A579" s="4" t="s">
        <v>58</v>
      </c>
      <c r="B579" s="4" t="s">
        <v>41</v>
      </c>
      <c r="C579" s="4" t="s">
        <v>81</v>
      </c>
      <c r="D579" s="4" t="s">
        <v>25</v>
      </c>
      <c r="E579" s="4" t="s">
        <v>25</v>
      </c>
      <c r="F579" s="4" t="s">
        <v>25</v>
      </c>
      <c r="G579" s="4" t="s">
        <v>82</v>
      </c>
      <c r="H579" s="4" t="s">
        <v>25</v>
      </c>
      <c r="I579" s="5">
        <v>44682</v>
      </c>
      <c r="J579" s="6">
        <v>0</v>
      </c>
      <c r="K579" s="6">
        <v>0</v>
      </c>
      <c r="L579" s="6">
        <v>991.36300000000006</v>
      </c>
      <c r="M579" s="6">
        <v>991.36300000000006</v>
      </c>
      <c r="N579" s="6">
        <v>0</v>
      </c>
      <c r="O579" s="6">
        <v>0</v>
      </c>
      <c r="P579" s="6">
        <v>0</v>
      </c>
      <c r="Q579" s="4" t="s">
        <v>83</v>
      </c>
      <c r="R579" s="4">
        <v>4950</v>
      </c>
      <c r="S579" s="4" t="s">
        <v>410</v>
      </c>
      <c r="U579" s="4">
        <v>0</v>
      </c>
      <c r="V579" s="4">
        <v>27</v>
      </c>
      <c r="W579" s="4">
        <v>0</v>
      </c>
    </row>
    <row r="580" spans="1:23" ht="11.25" customHeight="1" x14ac:dyDescent="0.25">
      <c r="A580" s="4" t="s">
        <v>21</v>
      </c>
      <c r="B580" s="4" t="s">
        <v>41</v>
      </c>
      <c r="C580" s="4" t="s">
        <v>81</v>
      </c>
      <c r="D580" s="4" t="s">
        <v>25</v>
      </c>
      <c r="E580" s="4" t="s">
        <v>25</v>
      </c>
      <c r="F580" s="4" t="s">
        <v>25</v>
      </c>
      <c r="G580" s="4" t="s">
        <v>82</v>
      </c>
      <c r="H580" s="4" t="s">
        <v>34</v>
      </c>
      <c r="I580" s="5">
        <v>44348</v>
      </c>
      <c r="J580" s="6">
        <v>3500</v>
      </c>
      <c r="K580" s="6">
        <v>3500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4" t="s">
        <v>83</v>
      </c>
      <c r="R580" s="4">
        <v>4950</v>
      </c>
      <c r="S580" s="4" t="s">
        <v>411</v>
      </c>
      <c r="U580" s="4">
        <v>25</v>
      </c>
      <c r="V580" s="4">
        <v>0</v>
      </c>
      <c r="W580" s="4">
        <v>0</v>
      </c>
    </row>
    <row r="581" spans="1:23" ht="11.25" customHeight="1" x14ac:dyDescent="0.25">
      <c r="A581" s="4" t="s">
        <v>21</v>
      </c>
      <c r="B581" s="4" t="s">
        <v>41</v>
      </c>
      <c r="C581" s="4" t="s">
        <v>81</v>
      </c>
      <c r="D581" s="4" t="s">
        <v>25</v>
      </c>
      <c r="E581" s="4" t="s">
        <v>25</v>
      </c>
      <c r="F581" s="4" t="s">
        <v>25</v>
      </c>
      <c r="G581" s="4" t="s">
        <v>82</v>
      </c>
      <c r="H581" s="4" t="s">
        <v>34</v>
      </c>
      <c r="I581" s="5">
        <v>44378</v>
      </c>
      <c r="J581" s="6">
        <v>3500</v>
      </c>
      <c r="K581" s="6">
        <v>3500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4" t="s">
        <v>83</v>
      </c>
      <c r="R581" s="4">
        <v>4950</v>
      </c>
      <c r="S581" s="4" t="s">
        <v>412</v>
      </c>
      <c r="U581" s="4">
        <v>25</v>
      </c>
      <c r="V581" s="4">
        <v>0</v>
      </c>
      <c r="W581" s="4">
        <v>0</v>
      </c>
    </row>
    <row r="582" spans="1:23" ht="11.25" customHeight="1" x14ac:dyDescent="0.25">
      <c r="A582" s="4" t="s">
        <v>21</v>
      </c>
      <c r="B582" s="4" t="s">
        <v>41</v>
      </c>
      <c r="C582" s="4" t="s">
        <v>81</v>
      </c>
      <c r="D582" s="4" t="s">
        <v>25</v>
      </c>
      <c r="E582" s="4" t="s">
        <v>25</v>
      </c>
      <c r="F582" s="4" t="s">
        <v>25</v>
      </c>
      <c r="G582" s="4" t="s">
        <v>82</v>
      </c>
      <c r="H582" s="4" t="s">
        <v>34</v>
      </c>
      <c r="I582" s="5">
        <v>44409</v>
      </c>
      <c r="J582" s="6">
        <v>3500</v>
      </c>
      <c r="K582" s="6">
        <v>3500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4" t="s">
        <v>83</v>
      </c>
      <c r="R582" s="4">
        <v>4950</v>
      </c>
      <c r="S582" s="4" t="s">
        <v>413</v>
      </c>
      <c r="U582" s="4">
        <v>25</v>
      </c>
      <c r="V582" s="4">
        <v>0</v>
      </c>
      <c r="W582" s="4">
        <v>0</v>
      </c>
    </row>
    <row r="583" spans="1:23" ht="11.25" customHeight="1" x14ac:dyDescent="0.25">
      <c r="A583" s="4" t="s">
        <v>21</v>
      </c>
      <c r="B583" s="4" t="s">
        <v>41</v>
      </c>
      <c r="C583" s="4" t="s">
        <v>81</v>
      </c>
      <c r="D583" s="4" t="s">
        <v>25</v>
      </c>
      <c r="E583" s="4" t="s">
        <v>25</v>
      </c>
      <c r="F583" s="4" t="s">
        <v>25</v>
      </c>
      <c r="G583" s="4" t="s">
        <v>82</v>
      </c>
      <c r="H583" s="4" t="s">
        <v>34</v>
      </c>
      <c r="I583" s="5">
        <v>44440</v>
      </c>
      <c r="J583" s="6">
        <v>3500</v>
      </c>
      <c r="K583" s="6">
        <v>3500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4" t="s">
        <v>83</v>
      </c>
      <c r="R583" s="4">
        <v>4950</v>
      </c>
      <c r="S583" s="4" t="s">
        <v>414</v>
      </c>
      <c r="U583" s="4">
        <v>25</v>
      </c>
      <c r="V583" s="4">
        <v>0</v>
      </c>
      <c r="W583" s="4">
        <v>0</v>
      </c>
    </row>
    <row r="584" spans="1:23" ht="11.25" customHeight="1" x14ac:dyDescent="0.25">
      <c r="A584" s="4" t="s">
        <v>21</v>
      </c>
      <c r="B584" s="4" t="s">
        <v>41</v>
      </c>
      <c r="C584" s="4" t="s">
        <v>81</v>
      </c>
      <c r="D584" s="4" t="s">
        <v>25</v>
      </c>
      <c r="E584" s="4" t="s">
        <v>25</v>
      </c>
      <c r="F584" s="4" t="s">
        <v>25</v>
      </c>
      <c r="G584" s="4" t="s">
        <v>82</v>
      </c>
      <c r="H584" s="4" t="s">
        <v>34</v>
      </c>
      <c r="I584" s="5">
        <v>44470</v>
      </c>
      <c r="J584" s="6">
        <v>3500</v>
      </c>
      <c r="K584" s="6">
        <v>3500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4" t="s">
        <v>83</v>
      </c>
      <c r="R584" s="4">
        <v>4950</v>
      </c>
      <c r="S584" s="4" t="s">
        <v>415</v>
      </c>
      <c r="U584" s="4">
        <v>25</v>
      </c>
      <c r="V584" s="4">
        <v>0</v>
      </c>
      <c r="W584" s="4">
        <v>0</v>
      </c>
    </row>
    <row r="585" spans="1:23" ht="11.25" customHeight="1" x14ac:dyDescent="0.25">
      <c r="A585" s="4" t="s">
        <v>21</v>
      </c>
      <c r="B585" s="4" t="s">
        <v>41</v>
      </c>
      <c r="C585" s="4" t="s">
        <v>81</v>
      </c>
      <c r="D585" s="4" t="s">
        <v>25</v>
      </c>
      <c r="E585" s="4" t="s">
        <v>25</v>
      </c>
      <c r="F585" s="4" t="s">
        <v>25</v>
      </c>
      <c r="G585" s="4" t="s">
        <v>82</v>
      </c>
      <c r="H585" s="4" t="s">
        <v>34</v>
      </c>
      <c r="I585" s="5">
        <v>44501</v>
      </c>
      <c r="J585" s="6">
        <v>3500</v>
      </c>
      <c r="K585" s="6">
        <v>3500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4" t="s">
        <v>83</v>
      </c>
      <c r="R585" s="4">
        <v>4950</v>
      </c>
      <c r="S585" s="4" t="s">
        <v>416</v>
      </c>
      <c r="U585" s="4">
        <v>25</v>
      </c>
      <c r="V585" s="4">
        <v>0</v>
      </c>
      <c r="W585" s="4">
        <v>0</v>
      </c>
    </row>
    <row r="586" spans="1:23" ht="11.25" customHeight="1" x14ac:dyDescent="0.25">
      <c r="A586" s="4" t="s">
        <v>21</v>
      </c>
      <c r="B586" s="4" t="s">
        <v>41</v>
      </c>
      <c r="C586" s="4" t="s">
        <v>81</v>
      </c>
      <c r="D586" s="4" t="s">
        <v>25</v>
      </c>
      <c r="E586" s="4" t="s">
        <v>25</v>
      </c>
      <c r="F586" s="4" t="s">
        <v>25</v>
      </c>
      <c r="G586" s="4" t="s">
        <v>82</v>
      </c>
      <c r="H586" s="4" t="s">
        <v>34</v>
      </c>
      <c r="I586" s="5">
        <v>44531</v>
      </c>
      <c r="J586" s="6">
        <v>3500</v>
      </c>
      <c r="K586" s="6">
        <v>3500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4" t="s">
        <v>83</v>
      </c>
      <c r="R586" s="4">
        <v>4950</v>
      </c>
      <c r="S586" s="4" t="s">
        <v>417</v>
      </c>
      <c r="U586" s="4">
        <v>25</v>
      </c>
      <c r="V586" s="4">
        <v>0</v>
      </c>
      <c r="W586" s="4">
        <v>0</v>
      </c>
    </row>
    <row r="587" spans="1:23" ht="11.25" customHeight="1" x14ac:dyDescent="0.25">
      <c r="A587" s="4" t="s">
        <v>21</v>
      </c>
      <c r="B587" s="4" t="s">
        <v>41</v>
      </c>
      <c r="C587" s="4" t="s">
        <v>81</v>
      </c>
      <c r="D587" s="4" t="s">
        <v>25</v>
      </c>
      <c r="E587" s="4" t="s">
        <v>25</v>
      </c>
      <c r="F587" s="4" t="s">
        <v>25</v>
      </c>
      <c r="G587" s="4" t="s">
        <v>82</v>
      </c>
      <c r="H587" s="4" t="s">
        <v>34</v>
      </c>
      <c r="I587" s="5">
        <v>44562</v>
      </c>
      <c r="J587" s="6">
        <v>3500</v>
      </c>
      <c r="K587" s="6">
        <v>3500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4" t="s">
        <v>83</v>
      </c>
      <c r="R587" s="4">
        <v>4950</v>
      </c>
      <c r="S587" s="4" t="s">
        <v>418</v>
      </c>
      <c r="U587" s="4">
        <v>25</v>
      </c>
      <c r="V587" s="4">
        <v>0</v>
      </c>
      <c r="W587" s="4">
        <v>0</v>
      </c>
    </row>
    <row r="588" spans="1:23" ht="11.25" customHeight="1" x14ac:dyDescent="0.25">
      <c r="A588" s="4" t="s">
        <v>21</v>
      </c>
      <c r="B588" s="4" t="s">
        <v>41</v>
      </c>
      <c r="C588" s="4" t="s">
        <v>81</v>
      </c>
      <c r="D588" s="4" t="s">
        <v>25</v>
      </c>
      <c r="E588" s="4" t="s">
        <v>25</v>
      </c>
      <c r="F588" s="4" t="s">
        <v>25</v>
      </c>
      <c r="G588" s="4" t="s">
        <v>82</v>
      </c>
      <c r="H588" s="4" t="s">
        <v>34</v>
      </c>
      <c r="I588" s="5">
        <v>44593</v>
      </c>
      <c r="J588" s="6">
        <v>3500</v>
      </c>
      <c r="K588" s="6">
        <v>3500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4" t="s">
        <v>83</v>
      </c>
      <c r="R588" s="4">
        <v>4950</v>
      </c>
      <c r="S588" s="4" t="s">
        <v>419</v>
      </c>
      <c r="U588" s="4">
        <v>25</v>
      </c>
      <c r="V588" s="4">
        <v>0</v>
      </c>
      <c r="W588" s="4">
        <v>0</v>
      </c>
    </row>
    <row r="589" spans="1:23" ht="11.25" customHeight="1" x14ac:dyDescent="0.25">
      <c r="A589" s="4" t="s">
        <v>21</v>
      </c>
      <c r="B589" s="4" t="s">
        <v>41</v>
      </c>
      <c r="C589" s="4" t="s">
        <v>81</v>
      </c>
      <c r="D589" s="4" t="s">
        <v>25</v>
      </c>
      <c r="E589" s="4" t="s">
        <v>25</v>
      </c>
      <c r="F589" s="4" t="s">
        <v>25</v>
      </c>
      <c r="G589" s="4" t="s">
        <v>82</v>
      </c>
      <c r="H589" s="4" t="s">
        <v>34</v>
      </c>
      <c r="I589" s="5">
        <v>44621</v>
      </c>
      <c r="J589" s="6">
        <v>3500</v>
      </c>
      <c r="K589" s="6">
        <v>3500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4" t="s">
        <v>83</v>
      </c>
      <c r="R589" s="4">
        <v>4950</v>
      </c>
      <c r="S589" s="4" t="s">
        <v>420</v>
      </c>
      <c r="U589" s="4">
        <v>25</v>
      </c>
      <c r="V589" s="4">
        <v>0</v>
      </c>
      <c r="W589" s="4">
        <v>0</v>
      </c>
    </row>
    <row r="590" spans="1:23" ht="11.25" customHeight="1" x14ac:dyDescent="0.25">
      <c r="A590" s="4" t="s">
        <v>21</v>
      </c>
      <c r="B590" s="4" t="s">
        <v>41</v>
      </c>
      <c r="C590" s="4" t="s">
        <v>81</v>
      </c>
      <c r="D590" s="4" t="s">
        <v>25</v>
      </c>
      <c r="E590" s="4" t="s">
        <v>25</v>
      </c>
      <c r="F590" s="4" t="s">
        <v>25</v>
      </c>
      <c r="G590" s="4" t="s">
        <v>82</v>
      </c>
      <c r="H590" s="4" t="s">
        <v>34</v>
      </c>
      <c r="I590" s="5">
        <v>44652</v>
      </c>
      <c r="J590" s="6">
        <v>3500</v>
      </c>
      <c r="K590" s="6">
        <v>3500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4" t="s">
        <v>83</v>
      </c>
      <c r="R590" s="4">
        <v>4950</v>
      </c>
      <c r="S590" s="4" t="s">
        <v>421</v>
      </c>
      <c r="U590" s="4">
        <v>25</v>
      </c>
      <c r="V590" s="4">
        <v>0</v>
      </c>
      <c r="W590" s="4">
        <v>0</v>
      </c>
    </row>
    <row r="591" spans="1:23" ht="11.25" customHeight="1" x14ac:dyDescent="0.25">
      <c r="A591" s="4" t="s">
        <v>58</v>
      </c>
      <c r="B591" s="4" t="s">
        <v>41</v>
      </c>
      <c r="C591" s="4" t="s">
        <v>81</v>
      </c>
      <c r="D591" s="4" t="s">
        <v>25</v>
      </c>
      <c r="E591" s="4" t="s">
        <v>25</v>
      </c>
      <c r="F591" s="4" t="s">
        <v>25</v>
      </c>
      <c r="G591" s="4" t="s">
        <v>82</v>
      </c>
      <c r="H591" s="4" t="s">
        <v>34</v>
      </c>
      <c r="I591" s="5">
        <v>44682</v>
      </c>
      <c r="J591" s="6">
        <v>3500</v>
      </c>
      <c r="K591" s="6">
        <v>3500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4" t="s">
        <v>83</v>
      </c>
      <c r="R591" s="4">
        <v>4950</v>
      </c>
      <c r="S591" s="4" t="s">
        <v>422</v>
      </c>
      <c r="U591" s="4">
        <v>25</v>
      </c>
      <c r="V591" s="4">
        <v>0</v>
      </c>
      <c r="W591" s="4">
        <v>0</v>
      </c>
    </row>
    <row r="592" spans="1:23" ht="11.25" customHeight="1" x14ac:dyDescent="0.25">
      <c r="A592" s="4" t="s">
        <v>21</v>
      </c>
      <c r="B592" s="4" t="s">
        <v>41</v>
      </c>
      <c r="C592" s="4" t="s">
        <v>64</v>
      </c>
      <c r="D592" s="4" t="s">
        <v>25</v>
      </c>
      <c r="E592" s="4" t="s">
        <v>25</v>
      </c>
      <c r="F592" s="4" t="s">
        <v>25</v>
      </c>
      <c r="G592" s="4" t="s">
        <v>68</v>
      </c>
      <c r="H592" s="4" t="s">
        <v>25</v>
      </c>
      <c r="I592" s="5">
        <v>44348</v>
      </c>
      <c r="J592" s="6">
        <v>302</v>
      </c>
      <c r="K592" s="6">
        <v>302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4" t="s">
        <v>66</v>
      </c>
      <c r="R592" s="4">
        <v>404</v>
      </c>
      <c r="S592" s="4" t="s">
        <v>423</v>
      </c>
      <c r="U592" s="4">
        <v>28</v>
      </c>
      <c r="V592" s="4">
        <v>0</v>
      </c>
      <c r="W592" s="4">
        <v>0</v>
      </c>
    </row>
    <row r="593" spans="1:23" ht="11.25" customHeight="1" x14ac:dyDescent="0.25">
      <c r="A593" s="4" t="s">
        <v>21</v>
      </c>
      <c r="B593" s="4" t="s">
        <v>41</v>
      </c>
      <c r="C593" s="4" t="s">
        <v>64</v>
      </c>
      <c r="D593" s="4" t="s">
        <v>25</v>
      </c>
      <c r="E593" s="4" t="s">
        <v>25</v>
      </c>
      <c r="F593" s="4" t="s">
        <v>25</v>
      </c>
      <c r="G593" s="4" t="s">
        <v>70</v>
      </c>
      <c r="H593" s="4" t="s">
        <v>25</v>
      </c>
      <c r="I593" s="5">
        <v>44348</v>
      </c>
      <c r="J593" s="6">
        <v>5040</v>
      </c>
      <c r="K593" s="6">
        <v>5040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4" t="s">
        <v>66</v>
      </c>
      <c r="R593" s="4">
        <v>838</v>
      </c>
      <c r="S593" s="4" t="s">
        <v>423</v>
      </c>
      <c r="U593" s="4">
        <v>28</v>
      </c>
      <c r="V593" s="4">
        <v>0</v>
      </c>
      <c r="W593" s="4">
        <v>0</v>
      </c>
    </row>
    <row r="594" spans="1:23" ht="11.25" customHeight="1" x14ac:dyDescent="0.25">
      <c r="A594" s="4" t="s">
        <v>21</v>
      </c>
      <c r="B594" s="4" t="s">
        <v>41</v>
      </c>
      <c r="C594" s="4" t="s">
        <v>64</v>
      </c>
      <c r="D594" s="4" t="s">
        <v>25</v>
      </c>
      <c r="E594" s="4" t="s">
        <v>25</v>
      </c>
      <c r="F594" s="4" t="s">
        <v>25</v>
      </c>
      <c r="G594" s="4" t="s">
        <v>74</v>
      </c>
      <c r="H594" s="4" t="s">
        <v>25</v>
      </c>
      <c r="I594" s="5">
        <v>44348</v>
      </c>
      <c r="J594" s="6">
        <v>3800</v>
      </c>
      <c r="K594" s="6">
        <v>1900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4" t="s">
        <v>66</v>
      </c>
      <c r="R594" s="4">
        <v>1192</v>
      </c>
      <c r="S594" s="4" t="s">
        <v>423</v>
      </c>
      <c r="U594" s="4">
        <v>28</v>
      </c>
      <c r="V594" s="4">
        <v>0</v>
      </c>
      <c r="W594" s="4">
        <v>0</v>
      </c>
    </row>
    <row r="595" spans="1:23" ht="11.25" customHeight="1" x14ac:dyDescent="0.25">
      <c r="A595" s="4" t="s">
        <v>21</v>
      </c>
      <c r="B595" s="4" t="s">
        <v>41</v>
      </c>
      <c r="C595" s="4" t="s">
        <v>64</v>
      </c>
      <c r="D595" s="4" t="s">
        <v>25</v>
      </c>
      <c r="E595" s="4" t="s">
        <v>25</v>
      </c>
      <c r="F595" s="4" t="s">
        <v>25</v>
      </c>
      <c r="G595" s="4" t="s">
        <v>76</v>
      </c>
      <c r="H595" s="4" t="s">
        <v>25</v>
      </c>
      <c r="I595" s="5">
        <v>44348</v>
      </c>
      <c r="J595" s="6">
        <v>480</v>
      </c>
      <c r="K595" s="6">
        <v>480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4" t="s">
        <v>66</v>
      </c>
      <c r="R595" s="4">
        <v>1438</v>
      </c>
      <c r="S595" s="4" t="s">
        <v>423</v>
      </c>
      <c r="U595" s="4">
        <v>28</v>
      </c>
      <c r="V595" s="4">
        <v>0</v>
      </c>
      <c r="W595" s="4">
        <v>0</v>
      </c>
    </row>
    <row r="596" spans="1:23" ht="11.25" customHeight="1" x14ac:dyDescent="0.25">
      <c r="A596" s="4" t="s">
        <v>21</v>
      </c>
      <c r="B596" s="4" t="s">
        <v>41</v>
      </c>
      <c r="C596" s="4" t="s">
        <v>64</v>
      </c>
      <c r="D596" s="4" t="s">
        <v>25</v>
      </c>
      <c r="E596" s="4" t="s">
        <v>25</v>
      </c>
      <c r="F596" s="4" t="s">
        <v>25</v>
      </c>
      <c r="G596" s="4" t="s">
        <v>77</v>
      </c>
      <c r="H596" s="4" t="s">
        <v>25</v>
      </c>
      <c r="I596" s="5">
        <v>44348</v>
      </c>
      <c r="J596" s="6">
        <v>736</v>
      </c>
      <c r="K596" s="6">
        <v>736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4" t="s">
        <v>66</v>
      </c>
      <c r="R596" s="4">
        <v>1462</v>
      </c>
      <c r="S596" s="4" t="s">
        <v>423</v>
      </c>
      <c r="U596" s="4">
        <v>28</v>
      </c>
      <c r="V596" s="4">
        <v>0</v>
      </c>
      <c r="W596" s="4">
        <v>0</v>
      </c>
    </row>
    <row r="597" spans="1:23" ht="11.25" customHeight="1" x14ac:dyDescent="0.25">
      <c r="A597" s="4" t="s">
        <v>21</v>
      </c>
      <c r="B597" s="4" t="s">
        <v>41</v>
      </c>
      <c r="C597" s="4" t="s">
        <v>64</v>
      </c>
      <c r="D597" s="4" t="s">
        <v>25</v>
      </c>
      <c r="E597" s="4" t="s">
        <v>25</v>
      </c>
      <c r="F597" s="4" t="s">
        <v>25</v>
      </c>
      <c r="G597" s="4" t="s">
        <v>78</v>
      </c>
      <c r="H597" s="4" t="s">
        <v>25</v>
      </c>
      <c r="I597" s="5">
        <v>44348</v>
      </c>
      <c r="J597" s="6">
        <v>6460</v>
      </c>
      <c r="K597" s="6">
        <v>6460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4" t="s">
        <v>66</v>
      </c>
      <c r="R597" s="4">
        <v>1533</v>
      </c>
      <c r="S597" s="4" t="s">
        <v>423</v>
      </c>
      <c r="U597" s="4">
        <v>28</v>
      </c>
      <c r="V597" s="4">
        <v>0</v>
      </c>
      <c r="W597" s="4">
        <v>0</v>
      </c>
    </row>
    <row r="598" spans="1:23" ht="11.25" customHeight="1" x14ac:dyDescent="0.25">
      <c r="A598" s="4" t="s">
        <v>21</v>
      </c>
      <c r="B598" s="4" t="s">
        <v>41</v>
      </c>
      <c r="C598" s="4" t="s">
        <v>64</v>
      </c>
      <c r="D598" s="4" t="s">
        <v>25</v>
      </c>
      <c r="E598" s="4" t="s">
        <v>25</v>
      </c>
      <c r="F598" s="4" t="s">
        <v>25</v>
      </c>
      <c r="G598" s="4" t="s">
        <v>79</v>
      </c>
      <c r="H598" s="4" t="s">
        <v>25</v>
      </c>
      <c r="I598" s="5">
        <v>44348</v>
      </c>
      <c r="J598" s="6">
        <v>770</v>
      </c>
      <c r="K598" s="6">
        <v>770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4" t="s">
        <v>66</v>
      </c>
      <c r="R598" s="4">
        <v>2535</v>
      </c>
      <c r="S598" s="4" t="s">
        <v>423</v>
      </c>
      <c r="U598" s="4">
        <v>28</v>
      </c>
      <c r="V598" s="4">
        <v>0</v>
      </c>
      <c r="W598" s="4">
        <v>0</v>
      </c>
    </row>
    <row r="599" spans="1:23" ht="11.25" customHeight="1" x14ac:dyDescent="0.25">
      <c r="A599" s="4" t="s">
        <v>21</v>
      </c>
      <c r="B599" s="4" t="s">
        <v>41</v>
      </c>
      <c r="C599" s="4" t="s">
        <v>64</v>
      </c>
      <c r="D599" s="4" t="s">
        <v>25</v>
      </c>
      <c r="E599" s="4" t="s">
        <v>25</v>
      </c>
      <c r="F599" s="4" t="s">
        <v>25</v>
      </c>
      <c r="G599" s="4" t="s">
        <v>80</v>
      </c>
      <c r="H599" s="4" t="s">
        <v>25</v>
      </c>
      <c r="I599" s="5">
        <v>44348</v>
      </c>
      <c r="J599" s="6">
        <v>1416</v>
      </c>
      <c r="K599" s="6">
        <v>1416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4" t="s">
        <v>66</v>
      </c>
      <c r="R599" s="4">
        <v>2751</v>
      </c>
      <c r="S599" s="4" t="s">
        <v>423</v>
      </c>
      <c r="U599" s="4">
        <v>28</v>
      </c>
      <c r="V599" s="4">
        <v>0</v>
      </c>
      <c r="W599" s="4">
        <v>0</v>
      </c>
    </row>
    <row r="600" spans="1:23" ht="11.25" customHeight="1" x14ac:dyDescent="0.25">
      <c r="A600" s="4" t="s">
        <v>21</v>
      </c>
      <c r="B600" s="4" t="s">
        <v>41</v>
      </c>
      <c r="C600" s="4" t="s">
        <v>64</v>
      </c>
      <c r="D600" s="4" t="s">
        <v>25</v>
      </c>
      <c r="E600" s="4" t="s">
        <v>25</v>
      </c>
      <c r="F600" s="4" t="s">
        <v>25</v>
      </c>
      <c r="G600" s="4" t="s">
        <v>88</v>
      </c>
      <c r="H600" s="4" t="s">
        <v>25</v>
      </c>
      <c r="I600" s="5">
        <v>44348</v>
      </c>
      <c r="J600" s="6">
        <v>9500</v>
      </c>
      <c r="K600" s="6">
        <v>4750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4" t="s">
        <v>66</v>
      </c>
      <c r="R600" s="4">
        <v>27722</v>
      </c>
      <c r="S600" s="4" t="s">
        <v>423</v>
      </c>
      <c r="U600" s="4">
        <v>28</v>
      </c>
      <c r="V600" s="4">
        <v>0</v>
      </c>
      <c r="W600" s="4">
        <v>0</v>
      </c>
    </row>
    <row r="601" spans="1:23" ht="11.25" customHeight="1" x14ac:dyDescent="0.25">
      <c r="A601" s="4" t="s">
        <v>21</v>
      </c>
      <c r="B601" s="4" t="s">
        <v>41</v>
      </c>
      <c r="C601" s="4" t="s">
        <v>64</v>
      </c>
      <c r="D601" s="4" t="s">
        <v>25</v>
      </c>
      <c r="E601" s="4" t="s">
        <v>25</v>
      </c>
      <c r="F601" s="4" t="s">
        <v>25</v>
      </c>
      <c r="G601" s="4" t="s">
        <v>90</v>
      </c>
      <c r="H601" s="4" t="s">
        <v>25</v>
      </c>
      <c r="I601" s="5">
        <v>44348</v>
      </c>
      <c r="J601" s="6">
        <v>420</v>
      </c>
      <c r="K601" s="6">
        <v>420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4" t="s">
        <v>66</v>
      </c>
      <c r="R601" s="4">
        <v>27928</v>
      </c>
      <c r="S601" s="4" t="s">
        <v>423</v>
      </c>
      <c r="U601" s="4">
        <v>28</v>
      </c>
      <c r="V601" s="4">
        <v>0</v>
      </c>
      <c r="W601" s="4">
        <v>0</v>
      </c>
    </row>
    <row r="602" spans="1:23" ht="11.25" customHeight="1" x14ac:dyDescent="0.25">
      <c r="A602" s="4" t="s">
        <v>21</v>
      </c>
      <c r="B602" s="4" t="s">
        <v>41</v>
      </c>
      <c r="C602" s="4" t="s">
        <v>64</v>
      </c>
      <c r="D602" s="4" t="s">
        <v>25</v>
      </c>
      <c r="E602" s="4" t="s">
        <v>25</v>
      </c>
      <c r="F602" s="4" t="s">
        <v>25</v>
      </c>
      <c r="G602" s="4" t="s">
        <v>93</v>
      </c>
      <c r="H602" s="4" t="s">
        <v>25</v>
      </c>
      <c r="I602" s="5">
        <v>44348</v>
      </c>
      <c r="J602" s="6">
        <v>1300</v>
      </c>
      <c r="K602" s="6">
        <v>650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4" t="s">
        <v>66</v>
      </c>
      <c r="R602" s="4">
        <v>30847</v>
      </c>
      <c r="S602" s="4" t="s">
        <v>423</v>
      </c>
      <c r="U602" s="4">
        <v>28</v>
      </c>
      <c r="V602" s="4">
        <v>0</v>
      </c>
      <c r="W602" s="4">
        <v>0</v>
      </c>
    </row>
    <row r="603" spans="1:23" ht="11.25" customHeight="1" x14ac:dyDescent="0.25">
      <c r="A603" s="4" t="s">
        <v>21</v>
      </c>
      <c r="B603" s="4" t="s">
        <v>41</v>
      </c>
      <c r="C603" s="4" t="s">
        <v>64</v>
      </c>
      <c r="D603" s="4" t="s">
        <v>25</v>
      </c>
      <c r="E603" s="4" t="s">
        <v>25</v>
      </c>
      <c r="F603" s="4" t="s">
        <v>25</v>
      </c>
      <c r="G603" s="4" t="s">
        <v>94</v>
      </c>
      <c r="H603" s="4" t="s">
        <v>25</v>
      </c>
      <c r="I603" s="5">
        <v>44348</v>
      </c>
      <c r="J603" s="6">
        <v>1180</v>
      </c>
      <c r="K603" s="6">
        <v>590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4" t="s">
        <v>66</v>
      </c>
      <c r="R603" s="4">
        <v>30866</v>
      </c>
      <c r="S603" s="4" t="s">
        <v>423</v>
      </c>
      <c r="U603" s="4">
        <v>28</v>
      </c>
      <c r="V603" s="4">
        <v>0</v>
      </c>
      <c r="W603" s="4">
        <v>0</v>
      </c>
    </row>
    <row r="604" spans="1:23" ht="11.25" customHeight="1" x14ac:dyDescent="0.25">
      <c r="A604" s="4" t="s">
        <v>21</v>
      </c>
      <c r="B604" s="4" t="s">
        <v>41</v>
      </c>
      <c r="C604" s="4" t="s">
        <v>64</v>
      </c>
      <c r="D604" s="4" t="s">
        <v>25</v>
      </c>
      <c r="E604" s="4" t="s">
        <v>25</v>
      </c>
      <c r="F604" s="4" t="s">
        <v>25</v>
      </c>
      <c r="G604" s="4" t="s">
        <v>95</v>
      </c>
      <c r="H604" s="4" t="s">
        <v>25</v>
      </c>
      <c r="I604" s="5">
        <v>44348</v>
      </c>
      <c r="J604" s="6">
        <v>1180</v>
      </c>
      <c r="K604" s="6">
        <v>590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4" t="s">
        <v>66</v>
      </c>
      <c r="R604" s="4">
        <v>31051</v>
      </c>
      <c r="S604" s="4" t="s">
        <v>423</v>
      </c>
      <c r="U604" s="4">
        <v>28</v>
      </c>
      <c r="V604" s="4">
        <v>0</v>
      </c>
      <c r="W604" s="4">
        <v>0</v>
      </c>
    </row>
    <row r="605" spans="1:23" ht="11.25" customHeight="1" x14ac:dyDescent="0.25">
      <c r="A605" s="4" t="s">
        <v>21</v>
      </c>
      <c r="B605" s="4" t="s">
        <v>41</v>
      </c>
      <c r="C605" s="4" t="s">
        <v>64</v>
      </c>
      <c r="D605" s="4" t="s">
        <v>25</v>
      </c>
      <c r="E605" s="4" t="s">
        <v>25</v>
      </c>
      <c r="F605" s="4" t="s">
        <v>25</v>
      </c>
      <c r="G605" s="4" t="s">
        <v>96</v>
      </c>
      <c r="H605" s="4" t="s">
        <v>25</v>
      </c>
      <c r="I605" s="5">
        <v>44348</v>
      </c>
      <c r="J605" s="6">
        <v>1000</v>
      </c>
      <c r="K605" s="6">
        <v>500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4" t="s">
        <v>66</v>
      </c>
      <c r="R605" s="4">
        <v>31277</v>
      </c>
      <c r="S605" s="4" t="s">
        <v>423</v>
      </c>
      <c r="U605" s="4">
        <v>28</v>
      </c>
      <c r="V605" s="4">
        <v>0</v>
      </c>
      <c r="W605" s="4">
        <v>0</v>
      </c>
    </row>
    <row r="606" spans="1:23" ht="11.25" customHeight="1" x14ac:dyDescent="0.25">
      <c r="A606" s="4" t="s">
        <v>21</v>
      </c>
      <c r="B606" s="4" t="s">
        <v>41</v>
      </c>
      <c r="C606" s="4" t="s">
        <v>64</v>
      </c>
      <c r="D606" s="4" t="s">
        <v>25</v>
      </c>
      <c r="E606" s="4" t="s">
        <v>25</v>
      </c>
      <c r="F606" s="4" t="s">
        <v>25</v>
      </c>
      <c r="G606" s="4" t="s">
        <v>97</v>
      </c>
      <c r="H606" s="4" t="s">
        <v>25</v>
      </c>
      <c r="I606" s="5">
        <v>44348</v>
      </c>
      <c r="J606" s="6">
        <v>1180</v>
      </c>
      <c r="K606" s="6">
        <v>590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4" t="s">
        <v>66</v>
      </c>
      <c r="R606" s="4">
        <v>31318</v>
      </c>
      <c r="S606" s="4" t="s">
        <v>423</v>
      </c>
      <c r="U606" s="4">
        <v>28</v>
      </c>
      <c r="V606" s="4">
        <v>0</v>
      </c>
      <c r="W606" s="4">
        <v>0</v>
      </c>
    </row>
    <row r="607" spans="1:23" ht="11.25" customHeight="1" x14ac:dyDescent="0.25">
      <c r="A607" s="4" t="s">
        <v>21</v>
      </c>
      <c r="B607" s="4" t="s">
        <v>41</v>
      </c>
      <c r="C607" s="4" t="s">
        <v>64</v>
      </c>
      <c r="D607" s="4" t="s">
        <v>25</v>
      </c>
      <c r="E607" s="4" t="s">
        <v>25</v>
      </c>
      <c r="F607" s="4" t="s">
        <v>25</v>
      </c>
      <c r="G607" s="4" t="s">
        <v>98</v>
      </c>
      <c r="H607" s="4" t="s">
        <v>25</v>
      </c>
      <c r="I607" s="5">
        <v>44348</v>
      </c>
      <c r="J607" s="6">
        <v>3000</v>
      </c>
      <c r="K607" s="6">
        <v>1500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4" t="s">
        <v>66</v>
      </c>
      <c r="R607" s="4">
        <v>31334</v>
      </c>
      <c r="S607" s="4" t="s">
        <v>423</v>
      </c>
      <c r="U607" s="4">
        <v>28</v>
      </c>
      <c r="V607" s="4">
        <v>0</v>
      </c>
      <c r="W607" s="4">
        <v>0</v>
      </c>
    </row>
    <row r="608" spans="1:23" ht="11.25" customHeight="1" x14ac:dyDescent="0.25">
      <c r="A608" s="4" t="s">
        <v>21</v>
      </c>
      <c r="B608" s="4" t="s">
        <v>41</v>
      </c>
      <c r="C608" s="4" t="s">
        <v>64</v>
      </c>
      <c r="D608" s="4" t="s">
        <v>25</v>
      </c>
      <c r="E608" s="4" t="s">
        <v>25</v>
      </c>
      <c r="F608" s="4" t="s">
        <v>25</v>
      </c>
      <c r="G608" s="4" t="s">
        <v>99</v>
      </c>
      <c r="H608" s="4" t="s">
        <v>25</v>
      </c>
      <c r="I608" s="5">
        <v>44348</v>
      </c>
      <c r="J608" s="6">
        <v>1180</v>
      </c>
      <c r="K608" s="6">
        <v>590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4" t="s">
        <v>66</v>
      </c>
      <c r="R608" s="4">
        <v>31618</v>
      </c>
      <c r="S608" s="4" t="s">
        <v>423</v>
      </c>
      <c r="U608" s="4">
        <v>28</v>
      </c>
      <c r="V608" s="4">
        <v>0</v>
      </c>
      <c r="W608" s="4">
        <v>0</v>
      </c>
    </row>
    <row r="609" spans="1:23" ht="11.25" customHeight="1" x14ac:dyDescent="0.25">
      <c r="A609" s="4" t="s">
        <v>21</v>
      </c>
      <c r="B609" s="4" t="s">
        <v>41</v>
      </c>
      <c r="C609" s="4" t="s">
        <v>64</v>
      </c>
      <c r="D609" s="4" t="s">
        <v>25</v>
      </c>
      <c r="E609" s="4" t="s">
        <v>25</v>
      </c>
      <c r="F609" s="4" t="s">
        <v>25</v>
      </c>
      <c r="G609" s="4" t="s">
        <v>100</v>
      </c>
      <c r="H609" s="4" t="s">
        <v>25</v>
      </c>
      <c r="I609" s="5">
        <v>44348</v>
      </c>
      <c r="J609" s="6">
        <v>1180</v>
      </c>
      <c r="K609" s="6">
        <v>590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4" t="s">
        <v>66</v>
      </c>
      <c r="R609" s="4">
        <v>31677</v>
      </c>
      <c r="S609" s="4" t="s">
        <v>423</v>
      </c>
      <c r="U609" s="4">
        <v>28</v>
      </c>
      <c r="V609" s="4">
        <v>0</v>
      </c>
      <c r="W609" s="4">
        <v>0</v>
      </c>
    </row>
    <row r="610" spans="1:23" ht="11.25" customHeight="1" x14ac:dyDescent="0.25">
      <c r="A610" s="4" t="s">
        <v>21</v>
      </c>
      <c r="B610" s="4" t="s">
        <v>41</v>
      </c>
      <c r="C610" s="4" t="s">
        <v>64</v>
      </c>
      <c r="D610" s="4" t="s">
        <v>25</v>
      </c>
      <c r="E610" s="4" t="s">
        <v>25</v>
      </c>
      <c r="F610" s="4" t="s">
        <v>25</v>
      </c>
      <c r="G610" s="4" t="s">
        <v>68</v>
      </c>
      <c r="H610" s="4" t="s">
        <v>25</v>
      </c>
      <c r="I610" s="5">
        <v>44378</v>
      </c>
      <c r="J610" s="6">
        <v>302</v>
      </c>
      <c r="K610" s="6">
        <v>302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4" t="s">
        <v>66</v>
      </c>
      <c r="R610" s="4">
        <v>404</v>
      </c>
      <c r="S610" s="4" t="s">
        <v>424</v>
      </c>
      <c r="U610" s="4">
        <v>28</v>
      </c>
      <c r="V610" s="4">
        <v>0</v>
      </c>
      <c r="W610" s="4">
        <v>0</v>
      </c>
    </row>
    <row r="611" spans="1:23" ht="11.25" customHeight="1" x14ac:dyDescent="0.25">
      <c r="A611" s="4" t="s">
        <v>21</v>
      </c>
      <c r="B611" s="4" t="s">
        <v>41</v>
      </c>
      <c r="C611" s="4" t="s">
        <v>64</v>
      </c>
      <c r="D611" s="4" t="s">
        <v>25</v>
      </c>
      <c r="E611" s="4" t="s">
        <v>25</v>
      </c>
      <c r="F611" s="4" t="s">
        <v>25</v>
      </c>
      <c r="G611" s="4" t="s">
        <v>70</v>
      </c>
      <c r="H611" s="4" t="s">
        <v>25</v>
      </c>
      <c r="I611" s="5">
        <v>44378</v>
      </c>
      <c r="J611" s="6">
        <v>5040</v>
      </c>
      <c r="K611" s="6">
        <v>5040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4" t="s">
        <v>66</v>
      </c>
      <c r="R611" s="4">
        <v>838</v>
      </c>
      <c r="S611" s="4" t="s">
        <v>424</v>
      </c>
      <c r="U611" s="4">
        <v>28</v>
      </c>
      <c r="V611" s="4">
        <v>0</v>
      </c>
      <c r="W611" s="4">
        <v>0</v>
      </c>
    </row>
    <row r="612" spans="1:23" ht="11.25" customHeight="1" x14ac:dyDescent="0.25">
      <c r="A612" s="4" t="s">
        <v>21</v>
      </c>
      <c r="B612" s="4" t="s">
        <v>41</v>
      </c>
      <c r="C612" s="4" t="s">
        <v>64</v>
      </c>
      <c r="D612" s="4" t="s">
        <v>25</v>
      </c>
      <c r="E612" s="4" t="s">
        <v>25</v>
      </c>
      <c r="F612" s="4" t="s">
        <v>25</v>
      </c>
      <c r="G612" s="4" t="s">
        <v>74</v>
      </c>
      <c r="H612" s="4" t="s">
        <v>25</v>
      </c>
      <c r="I612" s="5">
        <v>44378</v>
      </c>
      <c r="J612" s="6">
        <v>3800</v>
      </c>
      <c r="K612" s="6">
        <v>1900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4" t="s">
        <v>66</v>
      </c>
      <c r="R612" s="4">
        <v>1192</v>
      </c>
      <c r="S612" s="4" t="s">
        <v>424</v>
      </c>
      <c r="U612" s="4">
        <v>28</v>
      </c>
      <c r="V612" s="4">
        <v>0</v>
      </c>
      <c r="W612" s="4">
        <v>0</v>
      </c>
    </row>
    <row r="613" spans="1:23" ht="11.25" customHeight="1" x14ac:dyDescent="0.25">
      <c r="A613" s="4" t="s">
        <v>21</v>
      </c>
      <c r="B613" s="4" t="s">
        <v>41</v>
      </c>
      <c r="C613" s="4" t="s">
        <v>64</v>
      </c>
      <c r="D613" s="4" t="s">
        <v>25</v>
      </c>
      <c r="E613" s="4" t="s">
        <v>25</v>
      </c>
      <c r="F613" s="4" t="s">
        <v>25</v>
      </c>
      <c r="G613" s="4" t="s">
        <v>76</v>
      </c>
      <c r="H613" s="4" t="s">
        <v>25</v>
      </c>
      <c r="I613" s="5">
        <v>44378</v>
      </c>
      <c r="J613" s="6">
        <v>480</v>
      </c>
      <c r="K613" s="6">
        <v>480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4" t="s">
        <v>66</v>
      </c>
      <c r="R613" s="4">
        <v>1438</v>
      </c>
      <c r="S613" s="4" t="s">
        <v>424</v>
      </c>
      <c r="U613" s="4">
        <v>28</v>
      </c>
      <c r="V613" s="4">
        <v>0</v>
      </c>
      <c r="W613" s="4">
        <v>0</v>
      </c>
    </row>
    <row r="614" spans="1:23" ht="11.25" customHeight="1" x14ac:dyDescent="0.25">
      <c r="A614" s="4" t="s">
        <v>21</v>
      </c>
      <c r="B614" s="4" t="s">
        <v>41</v>
      </c>
      <c r="C614" s="4" t="s">
        <v>64</v>
      </c>
      <c r="D614" s="4" t="s">
        <v>25</v>
      </c>
      <c r="E614" s="4" t="s">
        <v>25</v>
      </c>
      <c r="F614" s="4" t="s">
        <v>25</v>
      </c>
      <c r="G614" s="4" t="s">
        <v>77</v>
      </c>
      <c r="H614" s="4" t="s">
        <v>25</v>
      </c>
      <c r="I614" s="5">
        <v>44378</v>
      </c>
      <c r="J614" s="6">
        <v>736</v>
      </c>
      <c r="K614" s="6">
        <v>736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4" t="s">
        <v>66</v>
      </c>
      <c r="R614" s="4">
        <v>1462</v>
      </c>
      <c r="S614" s="4" t="s">
        <v>424</v>
      </c>
      <c r="U614" s="4">
        <v>28</v>
      </c>
      <c r="V614" s="4">
        <v>0</v>
      </c>
      <c r="W614" s="4">
        <v>0</v>
      </c>
    </row>
    <row r="615" spans="1:23" ht="11.25" customHeight="1" x14ac:dyDescent="0.25">
      <c r="A615" s="4" t="s">
        <v>21</v>
      </c>
      <c r="B615" s="4" t="s">
        <v>41</v>
      </c>
      <c r="C615" s="4" t="s">
        <v>64</v>
      </c>
      <c r="D615" s="4" t="s">
        <v>25</v>
      </c>
      <c r="E615" s="4" t="s">
        <v>25</v>
      </c>
      <c r="F615" s="4" t="s">
        <v>25</v>
      </c>
      <c r="G615" s="4" t="s">
        <v>78</v>
      </c>
      <c r="H615" s="4" t="s">
        <v>25</v>
      </c>
      <c r="I615" s="5">
        <v>44378</v>
      </c>
      <c r="J615" s="6">
        <v>6460</v>
      </c>
      <c r="K615" s="6">
        <v>6460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4" t="s">
        <v>66</v>
      </c>
      <c r="R615" s="4">
        <v>1533</v>
      </c>
      <c r="S615" s="4" t="s">
        <v>424</v>
      </c>
      <c r="U615" s="4">
        <v>28</v>
      </c>
      <c r="V615" s="4">
        <v>0</v>
      </c>
      <c r="W615" s="4">
        <v>0</v>
      </c>
    </row>
    <row r="616" spans="1:23" ht="11.25" customHeight="1" x14ac:dyDescent="0.25">
      <c r="A616" s="4" t="s">
        <v>21</v>
      </c>
      <c r="B616" s="4" t="s">
        <v>41</v>
      </c>
      <c r="C616" s="4" t="s">
        <v>64</v>
      </c>
      <c r="D616" s="4" t="s">
        <v>25</v>
      </c>
      <c r="E616" s="4" t="s">
        <v>25</v>
      </c>
      <c r="F616" s="4" t="s">
        <v>25</v>
      </c>
      <c r="G616" s="4" t="s">
        <v>79</v>
      </c>
      <c r="H616" s="4" t="s">
        <v>25</v>
      </c>
      <c r="I616" s="5">
        <v>44378</v>
      </c>
      <c r="J616" s="6">
        <v>770</v>
      </c>
      <c r="K616" s="6">
        <v>770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4" t="s">
        <v>66</v>
      </c>
      <c r="R616" s="4">
        <v>2535</v>
      </c>
      <c r="S616" s="4" t="s">
        <v>424</v>
      </c>
      <c r="U616" s="4">
        <v>28</v>
      </c>
      <c r="V616" s="4">
        <v>0</v>
      </c>
      <c r="W616" s="4">
        <v>0</v>
      </c>
    </row>
    <row r="617" spans="1:23" ht="11.25" customHeight="1" x14ac:dyDescent="0.25">
      <c r="A617" s="4" t="s">
        <v>21</v>
      </c>
      <c r="B617" s="4" t="s">
        <v>41</v>
      </c>
      <c r="C617" s="4" t="s">
        <v>64</v>
      </c>
      <c r="D617" s="4" t="s">
        <v>25</v>
      </c>
      <c r="E617" s="4" t="s">
        <v>25</v>
      </c>
      <c r="F617" s="4" t="s">
        <v>25</v>
      </c>
      <c r="G617" s="4" t="s">
        <v>80</v>
      </c>
      <c r="H617" s="4" t="s">
        <v>25</v>
      </c>
      <c r="I617" s="5">
        <v>44378</v>
      </c>
      <c r="J617" s="6">
        <v>1416</v>
      </c>
      <c r="K617" s="6">
        <v>1416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4" t="s">
        <v>66</v>
      </c>
      <c r="R617" s="4">
        <v>2751</v>
      </c>
      <c r="S617" s="4" t="s">
        <v>424</v>
      </c>
      <c r="U617" s="4">
        <v>28</v>
      </c>
      <c r="V617" s="4">
        <v>0</v>
      </c>
      <c r="W617" s="4">
        <v>0</v>
      </c>
    </row>
    <row r="618" spans="1:23" ht="11.25" customHeight="1" x14ac:dyDescent="0.25">
      <c r="A618" s="4" t="s">
        <v>21</v>
      </c>
      <c r="B618" s="4" t="s">
        <v>41</v>
      </c>
      <c r="C618" s="4" t="s">
        <v>64</v>
      </c>
      <c r="D618" s="4" t="s">
        <v>25</v>
      </c>
      <c r="E618" s="4" t="s">
        <v>25</v>
      </c>
      <c r="F618" s="4" t="s">
        <v>25</v>
      </c>
      <c r="G618" s="4" t="s">
        <v>88</v>
      </c>
      <c r="H618" s="4" t="s">
        <v>25</v>
      </c>
      <c r="I618" s="5">
        <v>44378</v>
      </c>
      <c r="J618" s="6">
        <v>9500</v>
      </c>
      <c r="K618" s="6">
        <v>4750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4" t="s">
        <v>66</v>
      </c>
      <c r="R618" s="4">
        <v>27722</v>
      </c>
      <c r="S618" s="4" t="s">
        <v>424</v>
      </c>
      <c r="U618" s="4">
        <v>28</v>
      </c>
      <c r="V618" s="4">
        <v>0</v>
      </c>
      <c r="W618" s="4">
        <v>0</v>
      </c>
    </row>
    <row r="619" spans="1:23" ht="11.25" customHeight="1" x14ac:dyDescent="0.25">
      <c r="A619" s="4" t="s">
        <v>21</v>
      </c>
      <c r="B619" s="4" t="s">
        <v>41</v>
      </c>
      <c r="C619" s="4" t="s">
        <v>64</v>
      </c>
      <c r="D619" s="4" t="s">
        <v>25</v>
      </c>
      <c r="E619" s="4" t="s">
        <v>25</v>
      </c>
      <c r="F619" s="4" t="s">
        <v>25</v>
      </c>
      <c r="G619" s="4" t="s">
        <v>90</v>
      </c>
      <c r="H619" s="4" t="s">
        <v>25</v>
      </c>
      <c r="I619" s="5">
        <v>44378</v>
      </c>
      <c r="J619" s="6">
        <v>420</v>
      </c>
      <c r="K619" s="6">
        <v>420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4" t="s">
        <v>66</v>
      </c>
      <c r="R619" s="4">
        <v>27928</v>
      </c>
      <c r="S619" s="4" t="s">
        <v>424</v>
      </c>
      <c r="U619" s="4">
        <v>28</v>
      </c>
      <c r="V619" s="4">
        <v>0</v>
      </c>
      <c r="W619" s="4">
        <v>0</v>
      </c>
    </row>
    <row r="620" spans="1:23" ht="11.25" customHeight="1" x14ac:dyDescent="0.25">
      <c r="A620" s="4" t="s">
        <v>21</v>
      </c>
      <c r="B620" s="4" t="s">
        <v>41</v>
      </c>
      <c r="C620" s="4" t="s">
        <v>64</v>
      </c>
      <c r="D620" s="4" t="s">
        <v>25</v>
      </c>
      <c r="E620" s="4" t="s">
        <v>25</v>
      </c>
      <c r="F620" s="4" t="s">
        <v>25</v>
      </c>
      <c r="G620" s="4" t="s">
        <v>93</v>
      </c>
      <c r="H620" s="4" t="s">
        <v>25</v>
      </c>
      <c r="I620" s="5">
        <v>44378</v>
      </c>
      <c r="J620" s="6">
        <v>1300</v>
      </c>
      <c r="K620" s="6">
        <v>650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4" t="s">
        <v>66</v>
      </c>
      <c r="R620" s="4">
        <v>30847</v>
      </c>
      <c r="S620" s="4" t="s">
        <v>424</v>
      </c>
      <c r="U620" s="4">
        <v>28</v>
      </c>
      <c r="V620" s="4">
        <v>0</v>
      </c>
      <c r="W620" s="4">
        <v>0</v>
      </c>
    </row>
    <row r="621" spans="1:23" ht="11.25" customHeight="1" x14ac:dyDescent="0.25">
      <c r="A621" s="4" t="s">
        <v>21</v>
      </c>
      <c r="B621" s="4" t="s">
        <v>41</v>
      </c>
      <c r="C621" s="4" t="s">
        <v>64</v>
      </c>
      <c r="D621" s="4" t="s">
        <v>25</v>
      </c>
      <c r="E621" s="4" t="s">
        <v>25</v>
      </c>
      <c r="F621" s="4" t="s">
        <v>25</v>
      </c>
      <c r="G621" s="4" t="s">
        <v>94</v>
      </c>
      <c r="H621" s="4" t="s">
        <v>25</v>
      </c>
      <c r="I621" s="5">
        <v>44378</v>
      </c>
      <c r="J621" s="6">
        <v>1180</v>
      </c>
      <c r="K621" s="6">
        <v>590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4" t="s">
        <v>66</v>
      </c>
      <c r="R621" s="4">
        <v>30866</v>
      </c>
      <c r="S621" s="4" t="s">
        <v>424</v>
      </c>
      <c r="U621" s="4">
        <v>28</v>
      </c>
      <c r="V621" s="4">
        <v>0</v>
      </c>
      <c r="W621" s="4">
        <v>0</v>
      </c>
    </row>
    <row r="622" spans="1:23" ht="11.25" customHeight="1" x14ac:dyDescent="0.25">
      <c r="A622" s="4" t="s">
        <v>21</v>
      </c>
      <c r="B622" s="4" t="s">
        <v>41</v>
      </c>
      <c r="C622" s="4" t="s">
        <v>64</v>
      </c>
      <c r="D622" s="4" t="s">
        <v>25</v>
      </c>
      <c r="E622" s="4" t="s">
        <v>25</v>
      </c>
      <c r="F622" s="4" t="s">
        <v>25</v>
      </c>
      <c r="G622" s="4" t="s">
        <v>95</v>
      </c>
      <c r="H622" s="4" t="s">
        <v>25</v>
      </c>
      <c r="I622" s="5">
        <v>44378</v>
      </c>
      <c r="J622" s="6">
        <v>1180</v>
      </c>
      <c r="K622" s="6">
        <v>590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4" t="s">
        <v>66</v>
      </c>
      <c r="R622" s="4">
        <v>31051</v>
      </c>
      <c r="S622" s="4" t="s">
        <v>424</v>
      </c>
      <c r="U622" s="4">
        <v>28</v>
      </c>
      <c r="V622" s="4">
        <v>0</v>
      </c>
      <c r="W622" s="4">
        <v>0</v>
      </c>
    </row>
    <row r="623" spans="1:23" ht="11.25" customHeight="1" x14ac:dyDescent="0.25">
      <c r="A623" s="4" t="s">
        <v>21</v>
      </c>
      <c r="B623" s="4" t="s">
        <v>41</v>
      </c>
      <c r="C623" s="4" t="s">
        <v>64</v>
      </c>
      <c r="D623" s="4" t="s">
        <v>25</v>
      </c>
      <c r="E623" s="4" t="s">
        <v>25</v>
      </c>
      <c r="F623" s="4" t="s">
        <v>25</v>
      </c>
      <c r="G623" s="4" t="s">
        <v>96</v>
      </c>
      <c r="H623" s="4" t="s">
        <v>25</v>
      </c>
      <c r="I623" s="5">
        <v>44378</v>
      </c>
      <c r="J623" s="6">
        <v>1000</v>
      </c>
      <c r="K623" s="6">
        <v>500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4" t="s">
        <v>66</v>
      </c>
      <c r="R623" s="4">
        <v>31277</v>
      </c>
      <c r="S623" s="4" t="s">
        <v>424</v>
      </c>
      <c r="U623" s="4">
        <v>28</v>
      </c>
      <c r="V623" s="4">
        <v>0</v>
      </c>
      <c r="W623" s="4">
        <v>0</v>
      </c>
    </row>
    <row r="624" spans="1:23" ht="11.25" customHeight="1" x14ac:dyDescent="0.25">
      <c r="A624" s="4" t="s">
        <v>21</v>
      </c>
      <c r="B624" s="4" t="s">
        <v>41</v>
      </c>
      <c r="C624" s="4" t="s">
        <v>64</v>
      </c>
      <c r="D624" s="4" t="s">
        <v>25</v>
      </c>
      <c r="E624" s="4" t="s">
        <v>25</v>
      </c>
      <c r="F624" s="4" t="s">
        <v>25</v>
      </c>
      <c r="G624" s="4" t="s">
        <v>97</v>
      </c>
      <c r="H624" s="4" t="s">
        <v>25</v>
      </c>
      <c r="I624" s="5">
        <v>44378</v>
      </c>
      <c r="J624" s="6">
        <v>1180</v>
      </c>
      <c r="K624" s="6">
        <v>590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4" t="s">
        <v>66</v>
      </c>
      <c r="R624" s="4">
        <v>31318</v>
      </c>
      <c r="S624" s="4" t="s">
        <v>424</v>
      </c>
      <c r="U624" s="4">
        <v>28</v>
      </c>
      <c r="V624" s="4">
        <v>0</v>
      </c>
      <c r="W624" s="4">
        <v>0</v>
      </c>
    </row>
    <row r="625" spans="1:23" ht="11.25" customHeight="1" x14ac:dyDescent="0.25">
      <c r="A625" s="4" t="s">
        <v>21</v>
      </c>
      <c r="B625" s="4" t="s">
        <v>41</v>
      </c>
      <c r="C625" s="4" t="s">
        <v>64</v>
      </c>
      <c r="D625" s="4" t="s">
        <v>25</v>
      </c>
      <c r="E625" s="4" t="s">
        <v>25</v>
      </c>
      <c r="F625" s="4" t="s">
        <v>25</v>
      </c>
      <c r="G625" s="4" t="s">
        <v>98</v>
      </c>
      <c r="H625" s="4" t="s">
        <v>25</v>
      </c>
      <c r="I625" s="5">
        <v>44378</v>
      </c>
      <c r="J625" s="6">
        <v>3000</v>
      </c>
      <c r="K625" s="6">
        <v>1500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4" t="s">
        <v>66</v>
      </c>
      <c r="R625" s="4">
        <v>31334</v>
      </c>
      <c r="S625" s="4" t="s">
        <v>424</v>
      </c>
      <c r="U625" s="4">
        <v>28</v>
      </c>
      <c r="V625" s="4">
        <v>0</v>
      </c>
      <c r="W625" s="4">
        <v>0</v>
      </c>
    </row>
    <row r="626" spans="1:23" ht="11.25" customHeight="1" x14ac:dyDescent="0.25">
      <c r="A626" s="4" t="s">
        <v>21</v>
      </c>
      <c r="B626" s="4" t="s">
        <v>41</v>
      </c>
      <c r="C626" s="4" t="s">
        <v>64</v>
      </c>
      <c r="D626" s="4" t="s">
        <v>25</v>
      </c>
      <c r="E626" s="4" t="s">
        <v>25</v>
      </c>
      <c r="F626" s="4" t="s">
        <v>25</v>
      </c>
      <c r="G626" s="4" t="s">
        <v>99</v>
      </c>
      <c r="H626" s="4" t="s">
        <v>25</v>
      </c>
      <c r="I626" s="5">
        <v>44378</v>
      </c>
      <c r="J626" s="6">
        <v>1180</v>
      </c>
      <c r="K626" s="6">
        <v>590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4" t="s">
        <v>66</v>
      </c>
      <c r="R626" s="4">
        <v>31618</v>
      </c>
      <c r="S626" s="4" t="s">
        <v>424</v>
      </c>
      <c r="U626" s="4">
        <v>28</v>
      </c>
      <c r="V626" s="4">
        <v>0</v>
      </c>
      <c r="W626" s="4">
        <v>0</v>
      </c>
    </row>
    <row r="627" spans="1:23" ht="11.25" customHeight="1" x14ac:dyDescent="0.25">
      <c r="A627" s="4" t="s">
        <v>21</v>
      </c>
      <c r="B627" s="4" t="s">
        <v>41</v>
      </c>
      <c r="C627" s="4" t="s">
        <v>64</v>
      </c>
      <c r="D627" s="4" t="s">
        <v>25</v>
      </c>
      <c r="E627" s="4" t="s">
        <v>25</v>
      </c>
      <c r="F627" s="4" t="s">
        <v>25</v>
      </c>
      <c r="G627" s="4" t="s">
        <v>100</v>
      </c>
      <c r="H627" s="4" t="s">
        <v>25</v>
      </c>
      <c r="I627" s="5">
        <v>44378</v>
      </c>
      <c r="J627" s="6">
        <v>1180</v>
      </c>
      <c r="K627" s="6">
        <v>590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4" t="s">
        <v>66</v>
      </c>
      <c r="R627" s="4">
        <v>31677</v>
      </c>
      <c r="S627" s="4" t="s">
        <v>424</v>
      </c>
      <c r="U627" s="4">
        <v>28</v>
      </c>
      <c r="V627" s="4">
        <v>0</v>
      </c>
      <c r="W627" s="4">
        <v>0</v>
      </c>
    </row>
    <row r="628" spans="1:23" ht="11.25" customHeight="1" x14ac:dyDescent="0.25">
      <c r="A628" s="4" t="s">
        <v>21</v>
      </c>
      <c r="B628" s="4" t="s">
        <v>41</v>
      </c>
      <c r="C628" s="4" t="s">
        <v>64</v>
      </c>
      <c r="D628" s="4" t="s">
        <v>25</v>
      </c>
      <c r="E628" s="4" t="s">
        <v>25</v>
      </c>
      <c r="F628" s="4" t="s">
        <v>25</v>
      </c>
      <c r="G628" s="4" t="s">
        <v>68</v>
      </c>
      <c r="H628" s="4" t="s">
        <v>25</v>
      </c>
      <c r="I628" s="5">
        <v>44409</v>
      </c>
      <c r="J628" s="6">
        <v>302</v>
      </c>
      <c r="K628" s="6">
        <v>302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4" t="s">
        <v>66</v>
      </c>
      <c r="R628" s="4">
        <v>404</v>
      </c>
      <c r="S628" s="4" t="s">
        <v>425</v>
      </c>
      <c r="U628" s="4">
        <v>28</v>
      </c>
      <c r="V628" s="4">
        <v>0</v>
      </c>
      <c r="W628" s="4">
        <v>0</v>
      </c>
    </row>
    <row r="629" spans="1:23" ht="11.25" customHeight="1" x14ac:dyDescent="0.25">
      <c r="A629" s="4" t="s">
        <v>21</v>
      </c>
      <c r="B629" s="4" t="s">
        <v>41</v>
      </c>
      <c r="C629" s="4" t="s">
        <v>64</v>
      </c>
      <c r="D629" s="4" t="s">
        <v>25</v>
      </c>
      <c r="E629" s="4" t="s">
        <v>25</v>
      </c>
      <c r="F629" s="4" t="s">
        <v>25</v>
      </c>
      <c r="G629" s="4" t="s">
        <v>70</v>
      </c>
      <c r="H629" s="4" t="s">
        <v>25</v>
      </c>
      <c r="I629" s="5">
        <v>44409</v>
      </c>
      <c r="J629" s="6">
        <v>5040</v>
      </c>
      <c r="K629" s="6">
        <v>5040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4" t="s">
        <v>66</v>
      </c>
      <c r="R629" s="4">
        <v>838</v>
      </c>
      <c r="S629" s="4" t="s">
        <v>425</v>
      </c>
      <c r="U629" s="4">
        <v>28</v>
      </c>
      <c r="V629" s="4">
        <v>0</v>
      </c>
      <c r="W629" s="4">
        <v>0</v>
      </c>
    </row>
    <row r="630" spans="1:23" ht="11.25" customHeight="1" x14ac:dyDescent="0.25">
      <c r="A630" s="4" t="s">
        <v>21</v>
      </c>
      <c r="B630" s="4" t="s">
        <v>41</v>
      </c>
      <c r="C630" s="4" t="s">
        <v>64</v>
      </c>
      <c r="D630" s="4" t="s">
        <v>25</v>
      </c>
      <c r="E630" s="4" t="s">
        <v>25</v>
      </c>
      <c r="F630" s="4" t="s">
        <v>25</v>
      </c>
      <c r="G630" s="4" t="s">
        <v>74</v>
      </c>
      <c r="H630" s="4" t="s">
        <v>25</v>
      </c>
      <c r="I630" s="5">
        <v>44409</v>
      </c>
      <c r="J630" s="6">
        <v>3800</v>
      </c>
      <c r="K630" s="6">
        <v>1900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4" t="s">
        <v>66</v>
      </c>
      <c r="R630" s="4">
        <v>1192</v>
      </c>
      <c r="S630" s="4" t="s">
        <v>425</v>
      </c>
      <c r="U630" s="4">
        <v>28</v>
      </c>
      <c r="V630" s="4">
        <v>0</v>
      </c>
      <c r="W630" s="4">
        <v>0</v>
      </c>
    </row>
    <row r="631" spans="1:23" ht="11.25" customHeight="1" x14ac:dyDescent="0.25">
      <c r="A631" s="4" t="s">
        <v>21</v>
      </c>
      <c r="B631" s="4" t="s">
        <v>41</v>
      </c>
      <c r="C631" s="4" t="s">
        <v>64</v>
      </c>
      <c r="D631" s="4" t="s">
        <v>25</v>
      </c>
      <c r="E631" s="4" t="s">
        <v>25</v>
      </c>
      <c r="F631" s="4" t="s">
        <v>25</v>
      </c>
      <c r="G631" s="4" t="s">
        <v>76</v>
      </c>
      <c r="H631" s="4" t="s">
        <v>25</v>
      </c>
      <c r="I631" s="5">
        <v>44409</v>
      </c>
      <c r="J631" s="6">
        <v>480</v>
      </c>
      <c r="K631" s="6">
        <v>480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4" t="s">
        <v>66</v>
      </c>
      <c r="R631" s="4">
        <v>1438</v>
      </c>
      <c r="S631" s="4" t="s">
        <v>425</v>
      </c>
      <c r="U631" s="4">
        <v>28</v>
      </c>
      <c r="V631" s="4">
        <v>0</v>
      </c>
      <c r="W631" s="4">
        <v>0</v>
      </c>
    </row>
    <row r="632" spans="1:23" ht="11.25" customHeight="1" x14ac:dyDescent="0.25">
      <c r="A632" s="4" t="s">
        <v>21</v>
      </c>
      <c r="B632" s="4" t="s">
        <v>41</v>
      </c>
      <c r="C632" s="4" t="s">
        <v>64</v>
      </c>
      <c r="D632" s="4" t="s">
        <v>25</v>
      </c>
      <c r="E632" s="4" t="s">
        <v>25</v>
      </c>
      <c r="F632" s="4" t="s">
        <v>25</v>
      </c>
      <c r="G632" s="4" t="s">
        <v>77</v>
      </c>
      <c r="H632" s="4" t="s">
        <v>25</v>
      </c>
      <c r="I632" s="5">
        <v>44409</v>
      </c>
      <c r="J632" s="6">
        <v>736</v>
      </c>
      <c r="K632" s="6">
        <v>736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4" t="s">
        <v>66</v>
      </c>
      <c r="R632" s="4">
        <v>1462</v>
      </c>
      <c r="S632" s="4" t="s">
        <v>425</v>
      </c>
      <c r="U632" s="4">
        <v>28</v>
      </c>
      <c r="V632" s="4">
        <v>0</v>
      </c>
      <c r="W632" s="4">
        <v>0</v>
      </c>
    </row>
    <row r="633" spans="1:23" ht="11.25" customHeight="1" x14ac:dyDescent="0.25">
      <c r="A633" s="4" t="s">
        <v>21</v>
      </c>
      <c r="B633" s="4" t="s">
        <v>41</v>
      </c>
      <c r="C633" s="4" t="s">
        <v>64</v>
      </c>
      <c r="D633" s="4" t="s">
        <v>25</v>
      </c>
      <c r="E633" s="4" t="s">
        <v>25</v>
      </c>
      <c r="F633" s="4" t="s">
        <v>25</v>
      </c>
      <c r="G633" s="4" t="s">
        <v>78</v>
      </c>
      <c r="H633" s="4" t="s">
        <v>25</v>
      </c>
      <c r="I633" s="5">
        <v>44409</v>
      </c>
      <c r="J633" s="6">
        <v>6460</v>
      </c>
      <c r="K633" s="6">
        <v>6460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4" t="s">
        <v>66</v>
      </c>
      <c r="R633" s="4">
        <v>1533</v>
      </c>
      <c r="S633" s="4" t="s">
        <v>425</v>
      </c>
      <c r="U633" s="4">
        <v>28</v>
      </c>
      <c r="V633" s="4">
        <v>0</v>
      </c>
      <c r="W633" s="4">
        <v>0</v>
      </c>
    </row>
    <row r="634" spans="1:23" ht="11.25" customHeight="1" x14ac:dyDescent="0.25">
      <c r="A634" s="4" t="s">
        <v>21</v>
      </c>
      <c r="B634" s="4" t="s">
        <v>41</v>
      </c>
      <c r="C634" s="4" t="s">
        <v>64</v>
      </c>
      <c r="D634" s="4" t="s">
        <v>25</v>
      </c>
      <c r="E634" s="4" t="s">
        <v>25</v>
      </c>
      <c r="F634" s="4" t="s">
        <v>25</v>
      </c>
      <c r="G634" s="4" t="s">
        <v>79</v>
      </c>
      <c r="H634" s="4" t="s">
        <v>25</v>
      </c>
      <c r="I634" s="5">
        <v>44409</v>
      </c>
      <c r="J634" s="6">
        <v>770</v>
      </c>
      <c r="K634" s="6">
        <v>770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4" t="s">
        <v>66</v>
      </c>
      <c r="R634" s="4">
        <v>2535</v>
      </c>
      <c r="S634" s="4" t="s">
        <v>425</v>
      </c>
      <c r="U634" s="4">
        <v>28</v>
      </c>
      <c r="V634" s="4">
        <v>0</v>
      </c>
      <c r="W634" s="4">
        <v>0</v>
      </c>
    </row>
    <row r="635" spans="1:23" ht="11.25" customHeight="1" x14ac:dyDescent="0.25">
      <c r="A635" s="4" t="s">
        <v>21</v>
      </c>
      <c r="B635" s="4" t="s">
        <v>41</v>
      </c>
      <c r="C635" s="4" t="s">
        <v>64</v>
      </c>
      <c r="D635" s="4" t="s">
        <v>25</v>
      </c>
      <c r="E635" s="4" t="s">
        <v>25</v>
      </c>
      <c r="F635" s="4" t="s">
        <v>25</v>
      </c>
      <c r="G635" s="4" t="s">
        <v>80</v>
      </c>
      <c r="H635" s="4" t="s">
        <v>25</v>
      </c>
      <c r="I635" s="5">
        <v>44409</v>
      </c>
      <c r="J635" s="6">
        <v>1416</v>
      </c>
      <c r="K635" s="6">
        <v>1416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4" t="s">
        <v>66</v>
      </c>
      <c r="R635" s="4">
        <v>2751</v>
      </c>
      <c r="S635" s="4" t="s">
        <v>425</v>
      </c>
      <c r="U635" s="4">
        <v>28</v>
      </c>
      <c r="V635" s="4">
        <v>0</v>
      </c>
      <c r="W635" s="4">
        <v>0</v>
      </c>
    </row>
    <row r="636" spans="1:23" ht="11.25" customHeight="1" x14ac:dyDescent="0.25">
      <c r="A636" s="4" t="s">
        <v>21</v>
      </c>
      <c r="B636" s="4" t="s">
        <v>41</v>
      </c>
      <c r="C636" s="4" t="s">
        <v>64</v>
      </c>
      <c r="D636" s="4" t="s">
        <v>25</v>
      </c>
      <c r="E636" s="4" t="s">
        <v>25</v>
      </c>
      <c r="F636" s="4" t="s">
        <v>25</v>
      </c>
      <c r="G636" s="4" t="s">
        <v>88</v>
      </c>
      <c r="H636" s="4" t="s">
        <v>25</v>
      </c>
      <c r="I636" s="5">
        <v>44409</v>
      </c>
      <c r="J636" s="6">
        <v>9500</v>
      </c>
      <c r="K636" s="6">
        <v>4750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4" t="s">
        <v>66</v>
      </c>
      <c r="R636" s="4">
        <v>27722</v>
      </c>
      <c r="S636" s="4" t="s">
        <v>425</v>
      </c>
      <c r="U636" s="4">
        <v>28</v>
      </c>
      <c r="V636" s="4">
        <v>0</v>
      </c>
      <c r="W636" s="4">
        <v>0</v>
      </c>
    </row>
    <row r="637" spans="1:23" ht="11.25" customHeight="1" x14ac:dyDescent="0.25">
      <c r="A637" s="4" t="s">
        <v>21</v>
      </c>
      <c r="B637" s="4" t="s">
        <v>41</v>
      </c>
      <c r="C637" s="4" t="s">
        <v>64</v>
      </c>
      <c r="D637" s="4" t="s">
        <v>25</v>
      </c>
      <c r="E637" s="4" t="s">
        <v>25</v>
      </c>
      <c r="F637" s="4" t="s">
        <v>25</v>
      </c>
      <c r="G637" s="4" t="s">
        <v>90</v>
      </c>
      <c r="H637" s="4" t="s">
        <v>25</v>
      </c>
      <c r="I637" s="5">
        <v>44409</v>
      </c>
      <c r="J637" s="6">
        <v>420</v>
      </c>
      <c r="K637" s="6">
        <v>420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4" t="s">
        <v>66</v>
      </c>
      <c r="R637" s="4">
        <v>27928</v>
      </c>
      <c r="S637" s="4" t="s">
        <v>425</v>
      </c>
      <c r="U637" s="4">
        <v>28</v>
      </c>
      <c r="V637" s="4">
        <v>0</v>
      </c>
      <c r="W637" s="4">
        <v>0</v>
      </c>
    </row>
    <row r="638" spans="1:23" ht="11.25" customHeight="1" x14ac:dyDescent="0.25">
      <c r="A638" s="4" t="s">
        <v>21</v>
      </c>
      <c r="B638" s="4" t="s">
        <v>41</v>
      </c>
      <c r="C638" s="4" t="s">
        <v>64</v>
      </c>
      <c r="D638" s="4" t="s">
        <v>25</v>
      </c>
      <c r="E638" s="4" t="s">
        <v>25</v>
      </c>
      <c r="F638" s="4" t="s">
        <v>25</v>
      </c>
      <c r="G638" s="4" t="s">
        <v>93</v>
      </c>
      <c r="H638" s="4" t="s">
        <v>25</v>
      </c>
      <c r="I638" s="5">
        <v>44409</v>
      </c>
      <c r="J638" s="6">
        <v>1300</v>
      </c>
      <c r="K638" s="6">
        <v>650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4" t="s">
        <v>66</v>
      </c>
      <c r="R638" s="4">
        <v>30847</v>
      </c>
      <c r="S638" s="4" t="s">
        <v>425</v>
      </c>
      <c r="U638" s="4">
        <v>28</v>
      </c>
      <c r="V638" s="4">
        <v>0</v>
      </c>
      <c r="W638" s="4">
        <v>0</v>
      </c>
    </row>
    <row r="639" spans="1:23" ht="11.25" customHeight="1" x14ac:dyDescent="0.25">
      <c r="A639" s="4" t="s">
        <v>21</v>
      </c>
      <c r="B639" s="4" t="s">
        <v>41</v>
      </c>
      <c r="C639" s="4" t="s">
        <v>64</v>
      </c>
      <c r="D639" s="4" t="s">
        <v>25</v>
      </c>
      <c r="E639" s="4" t="s">
        <v>25</v>
      </c>
      <c r="F639" s="4" t="s">
        <v>25</v>
      </c>
      <c r="G639" s="4" t="s">
        <v>94</v>
      </c>
      <c r="H639" s="4" t="s">
        <v>25</v>
      </c>
      <c r="I639" s="5">
        <v>44409</v>
      </c>
      <c r="J639" s="6">
        <v>1180</v>
      </c>
      <c r="K639" s="6">
        <v>590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4" t="s">
        <v>66</v>
      </c>
      <c r="R639" s="4">
        <v>30866</v>
      </c>
      <c r="S639" s="4" t="s">
        <v>425</v>
      </c>
      <c r="U639" s="4">
        <v>28</v>
      </c>
      <c r="V639" s="4">
        <v>0</v>
      </c>
      <c r="W639" s="4">
        <v>0</v>
      </c>
    </row>
    <row r="640" spans="1:23" ht="11.25" customHeight="1" x14ac:dyDescent="0.25">
      <c r="A640" s="4" t="s">
        <v>21</v>
      </c>
      <c r="B640" s="4" t="s">
        <v>41</v>
      </c>
      <c r="C640" s="4" t="s">
        <v>64</v>
      </c>
      <c r="D640" s="4" t="s">
        <v>25</v>
      </c>
      <c r="E640" s="4" t="s">
        <v>25</v>
      </c>
      <c r="F640" s="4" t="s">
        <v>25</v>
      </c>
      <c r="G640" s="4" t="s">
        <v>95</v>
      </c>
      <c r="H640" s="4" t="s">
        <v>25</v>
      </c>
      <c r="I640" s="5">
        <v>44409</v>
      </c>
      <c r="J640" s="6">
        <v>1180</v>
      </c>
      <c r="K640" s="6">
        <v>590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4" t="s">
        <v>66</v>
      </c>
      <c r="R640" s="4">
        <v>31051</v>
      </c>
      <c r="S640" s="4" t="s">
        <v>425</v>
      </c>
      <c r="U640" s="4">
        <v>28</v>
      </c>
      <c r="V640" s="4">
        <v>0</v>
      </c>
      <c r="W640" s="4">
        <v>0</v>
      </c>
    </row>
    <row r="641" spans="1:23" ht="11.25" customHeight="1" x14ac:dyDescent="0.25">
      <c r="A641" s="4" t="s">
        <v>21</v>
      </c>
      <c r="B641" s="4" t="s">
        <v>41</v>
      </c>
      <c r="C641" s="4" t="s">
        <v>64</v>
      </c>
      <c r="D641" s="4" t="s">
        <v>25</v>
      </c>
      <c r="E641" s="4" t="s">
        <v>25</v>
      </c>
      <c r="F641" s="4" t="s">
        <v>25</v>
      </c>
      <c r="G641" s="4" t="s">
        <v>96</v>
      </c>
      <c r="H641" s="4" t="s">
        <v>25</v>
      </c>
      <c r="I641" s="5">
        <v>44409</v>
      </c>
      <c r="J641" s="6">
        <v>1000</v>
      </c>
      <c r="K641" s="6">
        <v>500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4" t="s">
        <v>66</v>
      </c>
      <c r="R641" s="4">
        <v>31277</v>
      </c>
      <c r="S641" s="4" t="s">
        <v>425</v>
      </c>
      <c r="U641" s="4">
        <v>28</v>
      </c>
      <c r="V641" s="4">
        <v>0</v>
      </c>
      <c r="W641" s="4">
        <v>0</v>
      </c>
    </row>
    <row r="642" spans="1:23" ht="11.25" customHeight="1" x14ac:dyDescent="0.25">
      <c r="A642" s="4" t="s">
        <v>21</v>
      </c>
      <c r="B642" s="4" t="s">
        <v>41</v>
      </c>
      <c r="C642" s="4" t="s">
        <v>64</v>
      </c>
      <c r="D642" s="4" t="s">
        <v>25</v>
      </c>
      <c r="E642" s="4" t="s">
        <v>25</v>
      </c>
      <c r="F642" s="4" t="s">
        <v>25</v>
      </c>
      <c r="G642" s="4" t="s">
        <v>97</v>
      </c>
      <c r="H642" s="4" t="s">
        <v>25</v>
      </c>
      <c r="I642" s="5">
        <v>44409</v>
      </c>
      <c r="J642" s="6">
        <v>1180</v>
      </c>
      <c r="K642" s="6">
        <v>590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4" t="s">
        <v>66</v>
      </c>
      <c r="R642" s="4">
        <v>31318</v>
      </c>
      <c r="S642" s="4" t="s">
        <v>425</v>
      </c>
      <c r="U642" s="4">
        <v>28</v>
      </c>
      <c r="V642" s="4">
        <v>0</v>
      </c>
      <c r="W642" s="4">
        <v>0</v>
      </c>
    </row>
    <row r="643" spans="1:23" ht="11.25" customHeight="1" x14ac:dyDescent="0.25">
      <c r="A643" s="4" t="s">
        <v>21</v>
      </c>
      <c r="B643" s="4" t="s">
        <v>41</v>
      </c>
      <c r="C643" s="4" t="s">
        <v>64</v>
      </c>
      <c r="D643" s="4" t="s">
        <v>25</v>
      </c>
      <c r="E643" s="4" t="s">
        <v>25</v>
      </c>
      <c r="F643" s="4" t="s">
        <v>25</v>
      </c>
      <c r="G643" s="4" t="s">
        <v>98</v>
      </c>
      <c r="H643" s="4" t="s">
        <v>25</v>
      </c>
      <c r="I643" s="5">
        <v>44409</v>
      </c>
      <c r="J643" s="6">
        <v>3000</v>
      </c>
      <c r="K643" s="6">
        <v>1500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4" t="s">
        <v>66</v>
      </c>
      <c r="R643" s="4">
        <v>31334</v>
      </c>
      <c r="S643" s="4" t="s">
        <v>425</v>
      </c>
      <c r="U643" s="4">
        <v>28</v>
      </c>
      <c r="V643" s="4">
        <v>0</v>
      </c>
      <c r="W643" s="4">
        <v>0</v>
      </c>
    </row>
    <row r="644" spans="1:23" ht="11.25" customHeight="1" x14ac:dyDescent="0.25">
      <c r="A644" s="4" t="s">
        <v>21</v>
      </c>
      <c r="B644" s="4" t="s">
        <v>41</v>
      </c>
      <c r="C644" s="4" t="s">
        <v>64</v>
      </c>
      <c r="D644" s="4" t="s">
        <v>25</v>
      </c>
      <c r="E644" s="4" t="s">
        <v>25</v>
      </c>
      <c r="F644" s="4" t="s">
        <v>25</v>
      </c>
      <c r="G644" s="4" t="s">
        <v>99</v>
      </c>
      <c r="H644" s="4" t="s">
        <v>25</v>
      </c>
      <c r="I644" s="5">
        <v>44409</v>
      </c>
      <c r="J644" s="6">
        <v>1180</v>
      </c>
      <c r="K644" s="6">
        <v>590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4" t="s">
        <v>66</v>
      </c>
      <c r="R644" s="4">
        <v>31618</v>
      </c>
      <c r="S644" s="4" t="s">
        <v>425</v>
      </c>
      <c r="U644" s="4">
        <v>28</v>
      </c>
      <c r="V644" s="4">
        <v>0</v>
      </c>
      <c r="W644" s="4">
        <v>0</v>
      </c>
    </row>
    <row r="645" spans="1:23" ht="11.25" customHeight="1" x14ac:dyDescent="0.25">
      <c r="A645" s="4" t="s">
        <v>21</v>
      </c>
      <c r="B645" s="4" t="s">
        <v>41</v>
      </c>
      <c r="C645" s="4" t="s">
        <v>64</v>
      </c>
      <c r="D645" s="4" t="s">
        <v>25</v>
      </c>
      <c r="E645" s="4" t="s">
        <v>25</v>
      </c>
      <c r="F645" s="4" t="s">
        <v>25</v>
      </c>
      <c r="G645" s="4" t="s">
        <v>100</v>
      </c>
      <c r="H645" s="4" t="s">
        <v>25</v>
      </c>
      <c r="I645" s="5">
        <v>44409</v>
      </c>
      <c r="J645" s="6">
        <v>1180</v>
      </c>
      <c r="K645" s="6">
        <v>590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4" t="s">
        <v>66</v>
      </c>
      <c r="R645" s="4">
        <v>31677</v>
      </c>
      <c r="S645" s="4" t="s">
        <v>425</v>
      </c>
      <c r="U645" s="4">
        <v>28</v>
      </c>
      <c r="V645" s="4">
        <v>0</v>
      </c>
      <c r="W645" s="4">
        <v>0</v>
      </c>
    </row>
    <row r="646" spans="1:23" ht="11.25" customHeight="1" x14ac:dyDescent="0.25">
      <c r="A646" s="4" t="s">
        <v>21</v>
      </c>
      <c r="B646" s="4" t="s">
        <v>41</v>
      </c>
      <c r="C646" s="4" t="s">
        <v>64</v>
      </c>
      <c r="D646" s="4" t="s">
        <v>25</v>
      </c>
      <c r="E646" s="4" t="s">
        <v>25</v>
      </c>
      <c r="F646" s="4" t="s">
        <v>25</v>
      </c>
      <c r="G646" s="4" t="s">
        <v>68</v>
      </c>
      <c r="H646" s="4" t="s">
        <v>25</v>
      </c>
      <c r="I646" s="5">
        <v>44440</v>
      </c>
      <c r="J646" s="6">
        <v>302</v>
      </c>
      <c r="K646" s="6">
        <v>302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4" t="s">
        <v>66</v>
      </c>
      <c r="R646" s="4">
        <v>404</v>
      </c>
      <c r="S646" s="4" t="s">
        <v>426</v>
      </c>
      <c r="U646" s="4">
        <v>28</v>
      </c>
      <c r="V646" s="4">
        <v>0</v>
      </c>
      <c r="W646" s="4">
        <v>0</v>
      </c>
    </row>
    <row r="647" spans="1:23" ht="11.25" customHeight="1" x14ac:dyDescent="0.25">
      <c r="A647" s="4" t="s">
        <v>21</v>
      </c>
      <c r="B647" s="4" t="s">
        <v>41</v>
      </c>
      <c r="C647" s="4" t="s">
        <v>64</v>
      </c>
      <c r="D647" s="4" t="s">
        <v>25</v>
      </c>
      <c r="E647" s="4" t="s">
        <v>25</v>
      </c>
      <c r="F647" s="4" t="s">
        <v>25</v>
      </c>
      <c r="G647" s="4" t="s">
        <v>70</v>
      </c>
      <c r="H647" s="4" t="s">
        <v>25</v>
      </c>
      <c r="I647" s="5">
        <v>44440</v>
      </c>
      <c r="J647" s="6">
        <v>5040</v>
      </c>
      <c r="K647" s="6">
        <v>5040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4" t="s">
        <v>66</v>
      </c>
      <c r="R647" s="4">
        <v>838</v>
      </c>
      <c r="S647" s="4" t="s">
        <v>426</v>
      </c>
      <c r="U647" s="4">
        <v>28</v>
      </c>
      <c r="V647" s="4">
        <v>0</v>
      </c>
      <c r="W647" s="4">
        <v>0</v>
      </c>
    </row>
    <row r="648" spans="1:23" ht="11.25" customHeight="1" x14ac:dyDescent="0.25">
      <c r="A648" s="4" t="s">
        <v>21</v>
      </c>
      <c r="B648" s="4" t="s">
        <v>41</v>
      </c>
      <c r="C648" s="4" t="s">
        <v>64</v>
      </c>
      <c r="D648" s="4" t="s">
        <v>25</v>
      </c>
      <c r="E648" s="4" t="s">
        <v>25</v>
      </c>
      <c r="F648" s="4" t="s">
        <v>25</v>
      </c>
      <c r="G648" s="4" t="s">
        <v>74</v>
      </c>
      <c r="H648" s="4" t="s">
        <v>25</v>
      </c>
      <c r="I648" s="5">
        <v>44440</v>
      </c>
      <c r="J648" s="6">
        <v>3800</v>
      </c>
      <c r="K648" s="6">
        <v>1900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4" t="s">
        <v>66</v>
      </c>
      <c r="R648" s="4">
        <v>1192</v>
      </c>
      <c r="S648" s="4" t="s">
        <v>426</v>
      </c>
      <c r="U648" s="4">
        <v>28</v>
      </c>
      <c r="V648" s="4">
        <v>0</v>
      </c>
      <c r="W648" s="4">
        <v>0</v>
      </c>
    </row>
    <row r="649" spans="1:23" ht="11.25" customHeight="1" x14ac:dyDescent="0.25">
      <c r="A649" s="4" t="s">
        <v>21</v>
      </c>
      <c r="B649" s="4" t="s">
        <v>41</v>
      </c>
      <c r="C649" s="4" t="s">
        <v>64</v>
      </c>
      <c r="D649" s="4" t="s">
        <v>25</v>
      </c>
      <c r="E649" s="4" t="s">
        <v>25</v>
      </c>
      <c r="F649" s="4" t="s">
        <v>25</v>
      </c>
      <c r="G649" s="4" t="s">
        <v>76</v>
      </c>
      <c r="H649" s="4" t="s">
        <v>25</v>
      </c>
      <c r="I649" s="5">
        <v>44440</v>
      </c>
      <c r="J649" s="6">
        <v>480</v>
      </c>
      <c r="K649" s="6">
        <v>480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4" t="s">
        <v>66</v>
      </c>
      <c r="R649" s="4">
        <v>1438</v>
      </c>
      <c r="S649" s="4" t="s">
        <v>426</v>
      </c>
      <c r="U649" s="4">
        <v>28</v>
      </c>
      <c r="V649" s="4">
        <v>0</v>
      </c>
      <c r="W649" s="4">
        <v>0</v>
      </c>
    </row>
    <row r="650" spans="1:23" ht="11.25" customHeight="1" x14ac:dyDescent="0.25">
      <c r="A650" s="4" t="s">
        <v>21</v>
      </c>
      <c r="B650" s="4" t="s">
        <v>41</v>
      </c>
      <c r="C650" s="4" t="s">
        <v>64</v>
      </c>
      <c r="D650" s="4" t="s">
        <v>25</v>
      </c>
      <c r="E650" s="4" t="s">
        <v>25</v>
      </c>
      <c r="F650" s="4" t="s">
        <v>25</v>
      </c>
      <c r="G650" s="4" t="s">
        <v>77</v>
      </c>
      <c r="H650" s="4" t="s">
        <v>25</v>
      </c>
      <c r="I650" s="5">
        <v>44440</v>
      </c>
      <c r="J650" s="6">
        <v>736</v>
      </c>
      <c r="K650" s="6">
        <v>736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4" t="s">
        <v>66</v>
      </c>
      <c r="R650" s="4">
        <v>1462</v>
      </c>
      <c r="S650" s="4" t="s">
        <v>426</v>
      </c>
      <c r="U650" s="4">
        <v>28</v>
      </c>
      <c r="V650" s="4">
        <v>0</v>
      </c>
      <c r="W650" s="4">
        <v>0</v>
      </c>
    </row>
    <row r="651" spans="1:23" ht="11.25" customHeight="1" x14ac:dyDescent="0.25">
      <c r="A651" s="4" t="s">
        <v>21</v>
      </c>
      <c r="B651" s="4" t="s">
        <v>41</v>
      </c>
      <c r="C651" s="4" t="s">
        <v>64</v>
      </c>
      <c r="D651" s="4" t="s">
        <v>25</v>
      </c>
      <c r="E651" s="4" t="s">
        <v>25</v>
      </c>
      <c r="F651" s="4" t="s">
        <v>25</v>
      </c>
      <c r="G651" s="4" t="s">
        <v>78</v>
      </c>
      <c r="H651" s="4" t="s">
        <v>25</v>
      </c>
      <c r="I651" s="5">
        <v>44440</v>
      </c>
      <c r="J651" s="6">
        <v>6460</v>
      </c>
      <c r="K651" s="6">
        <v>6460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4" t="s">
        <v>66</v>
      </c>
      <c r="R651" s="4">
        <v>1533</v>
      </c>
      <c r="S651" s="4" t="s">
        <v>426</v>
      </c>
      <c r="U651" s="4">
        <v>28</v>
      </c>
      <c r="V651" s="4">
        <v>0</v>
      </c>
      <c r="W651" s="4">
        <v>0</v>
      </c>
    </row>
    <row r="652" spans="1:23" ht="11.25" customHeight="1" x14ac:dyDescent="0.25">
      <c r="A652" s="4" t="s">
        <v>21</v>
      </c>
      <c r="B652" s="4" t="s">
        <v>41</v>
      </c>
      <c r="C652" s="4" t="s">
        <v>64</v>
      </c>
      <c r="D652" s="4" t="s">
        <v>25</v>
      </c>
      <c r="E652" s="4" t="s">
        <v>25</v>
      </c>
      <c r="F652" s="4" t="s">
        <v>25</v>
      </c>
      <c r="G652" s="4" t="s">
        <v>79</v>
      </c>
      <c r="H652" s="4" t="s">
        <v>25</v>
      </c>
      <c r="I652" s="5">
        <v>44440</v>
      </c>
      <c r="J652" s="6">
        <v>770</v>
      </c>
      <c r="K652" s="6">
        <v>770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4" t="s">
        <v>66</v>
      </c>
      <c r="R652" s="4">
        <v>2535</v>
      </c>
      <c r="S652" s="4" t="s">
        <v>426</v>
      </c>
      <c r="U652" s="4">
        <v>28</v>
      </c>
      <c r="V652" s="4">
        <v>0</v>
      </c>
      <c r="W652" s="4">
        <v>0</v>
      </c>
    </row>
    <row r="653" spans="1:23" ht="11.25" customHeight="1" x14ac:dyDescent="0.25">
      <c r="A653" s="4" t="s">
        <v>21</v>
      </c>
      <c r="B653" s="4" t="s">
        <v>41</v>
      </c>
      <c r="C653" s="4" t="s">
        <v>64</v>
      </c>
      <c r="D653" s="4" t="s">
        <v>25</v>
      </c>
      <c r="E653" s="4" t="s">
        <v>25</v>
      </c>
      <c r="F653" s="4" t="s">
        <v>25</v>
      </c>
      <c r="G653" s="4" t="s">
        <v>80</v>
      </c>
      <c r="H653" s="4" t="s">
        <v>25</v>
      </c>
      <c r="I653" s="5">
        <v>44440</v>
      </c>
      <c r="J653" s="6">
        <v>1416</v>
      </c>
      <c r="K653" s="6">
        <v>1416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4" t="s">
        <v>66</v>
      </c>
      <c r="R653" s="4">
        <v>2751</v>
      </c>
      <c r="S653" s="4" t="s">
        <v>426</v>
      </c>
      <c r="U653" s="4">
        <v>28</v>
      </c>
      <c r="V653" s="4">
        <v>0</v>
      </c>
      <c r="W653" s="4">
        <v>0</v>
      </c>
    </row>
    <row r="654" spans="1:23" ht="11.25" customHeight="1" x14ac:dyDescent="0.25">
      <c r="A654" s="4" t="s">
        <v>21</v>
      </c>
      <c r="B654" s="4" t="s">
        <v>41</v>
      </c>
      <c r="C654" s="4" t="s">
        <v>64</v>
      </c>
      <c r="D654" s="4" t="s">
        <v>25</v>
      </c>
      <c r="E654" s="4" t="s">
        <v>25</v>
      </c>
      <c r="F654" s="4" t="s">
        <v>25</v>
      </c>
      <c r="G654" s="4" t="s">
        <v>88</v>
      </c>
      <c r="H654" s="4" t="s">
        <v>25</v>
      </c>
      <c r="I654" s="5">
        <v>44440</v>
      </c>
      <c r="J654" s="6">
        <v>9500</v>
      </c>
      <c r="K654" s="6">
        <v>4750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4" t="s">
        <v>66</v>
      </c>
      <c r="R654" s="4">
        <v>27722</v>
      </c>
      <c r="S654" s="4" t="s">
        <v>426</v>
      </c>
      <c r="U654" s="4">
        <v>28</v>
      </c>
      <c r="V654" s="4">
        <v>0</v>
      </c>
      <c r="W654" s="4">
        <v>0</v>
      </c>
    </row>
    <row r="655" spans="1:23" ht="11.25" customHeight="1" x14ac:dyDescent="0.25">
      <c r="A655" s="4" t="s">
        <v>21</v>
      </c>
      <c r="B655" s="4" t="s">
        <v>41</v>
      </c>
      <c r="C655" s="4" t="s">
        <v>64</v>
      </c>
      <c r="D655" s="4" t="s">
        <v>25</v>
      </c>
      <c r="E655" s="4" t="s">
        <v>25</v>
      </c>
      <c r="F655" s="4" t="s">
        <v>25</v>
      </c>
      <c r="G655" s="4" t="s">
        <v>90</v>
      </c>
      <c r="H655" s="4" t="s">
        <v>25</v>
      </c>
      <c r="I655" s="5">
        <v>44440</v>
      </c>
      <c r="J655" s="6">
        <v>420</v>
      </c>
      <c r="K655" s="6">
        <v>420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4" t="s">
        <v>66</v>
      </c>
      <c r="R655" s="4">
        <v>27928</v>
      </c>
      <c r="S655" s="4" t="s">
        <v>426</v>
      </c>
      <c r="U655" s="4">
        <v>28</v>
      </c>
      <c r="V655" s="4">
        <v>0</v>
      </c>
      <c r="W655" s="4">
        <v>0</v>
      </c>
    </row>
    <row r="656" spans="1:23" ht="11.25" customHeight="1" x14ac:dyDescent="0.25">
      <c r="A656" s="4" t="s">
        <v>21</v>
      </c>
      <c r="B656" s="4" t="s">
        <v>41</v>
      </c>
      <c r="C656" s="4" t="s">
        <v>64</v>
      </c>
      <c r="D656" s="4" t="s">
        <v>25</v>
      </c>
      <c r="E656" s="4" t="s">
        <v>25</v>
      </c>
      <c r="F656" s="4" t="s">
        <v>25</v>
      </c>
      <c r="G656" s="4" t="s">
        <v>93</v>
      </c>
      <c r="H656" s="4" t="s">
        <v>25</v>
      </c>
      <c r="I656" s="5">
        <v>44440</v>
      </c>
      <c r="J656" s="6">
        <v>1300</v>
      </c>
      <c r="K656" s="6">
        <v>650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4" t="s">
        <v>66</v>
      </c>
      <c r="R656" s="4">
        <v>30847</v>
      </c>
      <c r="S656" s="4" t="s">
        <v>426</v>
      </c>
      <c r="U656" s="4">
        <v>28</v>
      </c>
      <c r="V656" s="4">
        <v>0</v>
      </c>
      <c r="W656" s="4">
        <v>0</v>
      </c>
    </row>
    <row r="657" spans="1:23" ht="11.25" customHeight="1" x14ac:dyDescent="0.25">
      <c r="A657" s="4" t="s">
        <v>21</v>
      </c>
      <c r="B657" s="4" t="s">
        <v>41</v>
      </c>
      <c r="C657" s="4" t="s">
        <v>64</v>
      </c>
      <c r="D657" s="4" t="s">
        <v>25</v>
      </c>
      <c r="E657" s="4" t="s">
        <v>25</v>
      </c>
      <c r="F657" s="4" t="s">
        <v>25</v>
      </c>
      <c r="G657" s="4" t="s">
        <v>94</v>
      </c>
      <c r="H657" s="4" t="s">
        <v>25</v>
      </c>
      <c r="I657" s="5">
        <v>44440</v>
      </c>
      <c r="J657" s="6">
        <v>1180</v>
      </c>
      <c r="K657" s="6">
        <v>590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4" t="s">
        <v>66</v>
      </c>
      <c r="R657" s="4">
        <v>30866</v>
      </c>
      <c r="S657" s="4" t="s">
        <v>426</v>
      </c>
      <c r="U657" s="4">
        <v>28</v>
      </c>
      <c r="V657" s="4">
        <v>0</v>
      </c>
      <c r="W657" s="4">
        <v>0</v>
      </c>
    </row>
    <row r="658" spans="1:23" ht="11.25" customHeight="1" x14ac:dyDescent="0.25">
      <c r="A658" s="4" t="s">
        <v>21</v>
      </c>
      <c r="B658" s="4" t="s">
        <v>41</v>
      </c>
      <c r="C658" s="4" t="s">
        <v>64</v>
      </c>
      <c r="D658" s="4" t="s">
        <v>25</v>
      </c>
      <c r="E658" s="4" t="s">
        <v>25</v>
      </c>
      <c r="F658" s="4" t="s">
        <v>25</v>
      </c>
      <c r="G658" s="4" t="s">
        <v>95</v>
      </c>
      <c r="H658" s="4" t="s">
        <v>25</v>
      </c>
      <c r="I658" s="5">
        <v>44440</v>
      </c>
      <c r="J658" s="6">
        <v>1180</v>
      </c>
      <c r="K658" s="6">
        <v>590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4" t="s">
        <v>66</v>
      </c>
      <c r="R658" s="4">
        <v>31051</v>
      </c>
      <c r="S658" s="4" t="s">
        <v>426</v>
      </c>
      <c r="U658" s="4">
        <v>28</v>
      </c>
      <c r="V658" s="4">
        <v>0</v>
      </c>
      <c r="W658" s="4">
        <v>0</v>
      </c>
    </row>
    <row r="659" spans="1:23" ht="11.25" customHeight="1" x14ac:dyDescent="0.25">
      <c r="A659" s="4" t="s">
        <v>21</v>
      </c>
      <c r="B659" s="4" t="s">
        <v>41</v>
      </c>
      <c r="C659" s="4" t="s">
        <v>64</v>
      </c>
      <c r="D659" s="4" t="s">
        <v>25</v>
      </c>
      <c r="E659" s="4" t="s">
        <v>25</v>
      </c>
      <c r="F659" s="4" t="s">
        <v>25</v>
      </c>
      <c r="G659" s="4" t="s">
        <v>96</v>
      </c>
      <c r="H659" s="4" t="s">
        <v>25</v>
      </c>
      <c r="I659" s="5">
        <v>44440</v>
      </c>
      <c r="J659" s="6">
        <v>1000</v>
      </c>
      <c r="K659" s="6">
        <v>500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4" t="s">
        <v>66</v>
      </c>
      <c r="R659" s="4">
        <v>31277</v>
      </c>
      <c r="S659" s="4" t="s">
        <v>426</v>
      </c>
      <c r="U659" s="4">
        <v>28</v>
      </c>
      <c r="V659" s="4">
        <v>0</v>
      </c>
      <c r="W659" s="4">
        <v>0</v>
      </c>
    </row>
    <row r="660" spans="1:23" ht="11.25" customHeight="1" x14ac:dyDescent="0.25">
      <c r="A660" s="4" t="s">
        <v>21</v>
      </c>
      <c r="B660" s="4" t="s">
        <v>41</v>
      </c>
      <c r="C660" s="4" t="s">
        <v>64</v>
      </c>
      <c r="D660" s="4" t="s">
        <v>25</v>
      </c>
      <c r="E660" s="4" t="s">
        <v>25</v>
      </c>
      <c r="F660" s="4" t="s">
        <v>25</v>
      </c>
      <c r="G660" s="4" t="s">
        <v>97</v>
      </c>
      <c r="H660" s="4" t="s">
        <v>25</v>
      </c>
      <c r="I660" s="5">
        <v>44440</v>
      </c>
      <c r="J660" s="6">
        <v>1180</v>
      </c>
      <c r="K660" s="6">
        <v>590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4" t="s">
        <v>66</v>
      </c>
      <c r="R660" s="4">
        <v>31318</v>
      </c>
      <c r="S660" s="4" t="s">
        <v>426</v>
      </c>
      <c r="U660" s="4">
        <v>28</v>
      </c>
      <c r="V660" s="4">
        <v>0</v>
      </c>
      <c r="W660" s="4">
        <v>0</v>
      </c>
    </row>
    <row r="661" spans="1:23" ht="11.25" customHeight="1" x14ac:dyDescent="0.25">
      <c r="A661" s="4" t="s">
        <v>21</v>
      </c>
      <c r="B661" s="4" t="s">
        <v>41</v>
      </c>
      <c r="C661" s="4" t="s">
        <v>64</v>
      </c>
      <c r="D661" s="4" t="s">
        <v>25</v>
      </c>
      <c r="E661" s="4" t="s">
        <v>25</v>
      </c>
      <c r="F661" s="4" t="s">
        <v>25</v>
      </c>
      <c r="G661" s="4" t="s">
        <v>98</v>
      </c>
      <c r="H661" s="4" t="s">
        <v>25</v>
      </c>
      <c r="I661" s="5">
        <v>44440</v>
      </c>
      <c r="J661" s="6">
        <v>3000</v>
      </c>
      <c r="K661" s="6">
        <v>1500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4" t="s">
        <v>66</v>
      </c>
      <c r="R661" s="4">
        <v>31334</v>
      </c>
      <c r="S661" s="4" t="s">
        <v>426</v>
      </c>
      <c r="U661" s="4">
        <v>28</v>
      </c>
      <c r="V661" s="4">
        <v>0</v>
      </c>
      <c r="W661" s="4">
        <v>0</v>
      </c>
    </row>
    <row r="662" spans="1:23" ht="11.25" customHeight="1" x14ac:dyDescent="0.25">
      <c r="A662" s="4" t="s">
        <v>21</v>
      </c>
      <c r="B662" s="4" t="s">
        <v>41</v>
      </c>
      <c r="C662" s="4" t="s">
        <v>64</v>
      </c>
      <c r="D662" s="4" t="s">
        <v>25</v>
      </c>
      <c r="E662" s="4" t="s">
        <v>25</v>
      </c>
      <c r="F662" s="4" t="s">
        <v>25</v>
      </c>
      <c r="G662" s="4" t="s">
        <v>99</v>
      </c>
      <c r="H662" s="4" t="s">
        <v>25</v>
      </c>
      <c r="I662" s="5">
        <v>44440</v>
      </c>
      <c r="J662" s="6">
        <v>1180</v>
      </c>
      <c r="K662" s="6">
        <v>590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4" t="s">
        <v>66</v>
      </c>
      <c r="R662" s="4">
        <v>31618</v>
      </c>
      <c r="S662" s="4" t="s">
        <v>426</v>
      </c>
      <c r="U662" s="4">
        <v>28</v>
      </c>
      <c r="V662" s="4">
        <v>0</v>
      </c>
      <c r="W662" s="4">
        <v>0</v>
      </c>
    </row>
    <row r="663" spans="1:23" ht="11.25" customHeight="1" x14ac:dyDescent="0.25">
      <c r="A663" s="4" t="s">
        <v>21</v>
      </c>
      <c r="B663" s="4" t="s">
        <v>41</v>
      </c>
      <c r="C663" s="4" t="s">
        <v>64</v>
      </c>
      <c r="D663" s="4" t="s">
        <v>25</v>
      </c>
      <c r="E663" s="4" t="s">
        <v>25</v>
      </c>
      <c r="F663" s="4" t="s">
        <v>25</v>
      </c>
      <c r="G663" s="4" t="s">
        <v>100</v>
      </c>
      <c r="H663" s="4" t="s">
        <v>25</v>
      </c>
      <c r="I663" s="5">
        <v>44440</v>
      </c>
      <c r="J663" s="6">
        <v>1180</v>
      </c>
      <c r="K663" s="6">
        <v>590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4" t="s">
        <v>66</v>
      </c>
      <c r="R663" s="4">
        <v>31677</v>
      </c>
      <c r="S663" s="4" t="s">
        <v>426</v>
      </c>
      <c r="U663" s="4">
        <v>28</v>
      </c>
      <c r="V663" s="4">
        <v>0</v>
      </c>
      <c r="W663" s="4">
        <v>0</v>
      </c>
    </row>
    <row r="664" spans="1:23" ht="11.25" customHeight="1" x14ac:dyDescent="0.25">
      <c r="A664" s="4" t="s">
        <v>21</v>
      </c>
      <c r="B664" s="4" t="s">
        <v>41</v>
      </c>
      <c r="C664" s="4" t="s">
        <v>64</v>
      </c>
      <c r="D664" s="4" t="s">
        <v>25</v>
      </c>
      <c r="E664" s="4" t="s">
        <v>25</v>
      </c>
      <c r="F664" s="4" t="s">
        <v>25</v>
      </c>
      <c r="G664" s="4" t="s">
        <v>68</v>
      </c>
      <c r="H664" s="4" t="s">
        <v>25</v>
      </c>
      <c r="I664" s="5">
        <v>44470</v>
      </c>
      <c r="J664" s="6">
        <v>302</v>
      </c>
      <c r="K664" s="6">
        <v>302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4" t="s">
        <v>66</v>
      </c>
      <c r="R664" s="4">
        <v>404</v>
      </c>
      <c r="S664" s="4" t="s">
        <v>427</v>
      </c>
      <c r="U664" s="4">
        <v>28</v>
      </c>
      <c r="V664" s="4">
        <v>0</v>
      </c>
      <c r="W664" s="4">
        <v>0</v>
      </c>
    </row>
    <row r="665" spans="1:23" ht="11.25" customHeight="1" x14ac:dyDescent="0.25">
      <c r="A665" s="4" t="s">
        <v>21</v>
      </c>
      <c r="B665" s="4" t="s">
        <v>41</v>
      </c>
      <c r="C665" s="4" t="s">
        <v>64</v>
      </c>
      <c r="D665" s="4" t="s">
        <v>25</v>
      </c>
      <c r="E665" s="4" t="s">
        <v>25</v>
      </c>
      <c r="F665" s="4" t="s">
        <v>25</v>
      </c>
      <c r="G665" s="4" t="s">
        <v>70</v>
      </c>
      <c r="H665" s="4" t="s">
        <v>25</v>
      </c>
      <c r="I665" s="5">
        <v>44470</v>
      </c>
      <c r="J665" s="6">
        <v>5040</v>
      </c>
      <c r="K665" s="6">
        <v>5040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4" t="s">
        <v>66</v>
      </c>
      <c r="R665" s="4">
        <v>838</v>
      </c>
      <c r="S665" s="4" t="s">
        <v>427</v>
      </c>
      <c r="U665" s="4">
        <v>28</v>
      </c>
      <c r="V665" s="4">
        <v>0</v>
      </c>
      <c r="W665" s="4">
        <v>0</v>
      </c>
    </row>
    <row r="666" spans="1:23" ht="11.25" customHeight="1" x14ac:dyDescent="0.25">
      <c r="A666" s="4" t="s">
        <v>21</v>
      </c>
      <c r="B666" s="4" t="s">
        <v>41</v>
      </c>
      <c r="C666" s="4" t="s">
        <v>64</v>
      </c>
      <c r="D666" s="4" t="s">
        <v>25</v>
      </c>
      <c r="E666" s="4" t="s">
        <v>25</v>
      </c>
      <c r="F666" s="4" t="s">
        <v>25</v>
      </c>
      <c r="G666" s="4" t="s">
        <v>74</v>
      </c>
      <c r="H666" s="4" t="s">
        <v>25</v>
      </c>
      <c r="I666" s="5">
        <v>44470</v>
      </c>
      <c r="J666" s="6">
        <v>3800</v>
      </c>
      <c r="K666" s="6">
        <v>1900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4" t="s">
        <v>66</v>
      </c>
      <c r="R666" s="4">
        <v>1192</v>
      </c>
      <c r="S666" s="4" t="s">
        <v>427</v>
      </c>
      <c r="U666" s="4">
        <v>28</v>
      </c>
      <c r="V666" s="4">
        <v>0</v>
      </c>
      <c r="W666" s="4">
        <v>0</v>
      </c>
    </row>
    <row r="667" spans="1:23" ht="11.25" customHeight="1" x14ac:dyDescent="0.25">
      <c r="A667" s="4" t="s">
        <v>21</v>
      </c>
      <c r="B667" s="4" t="s">
        <v>41</v>
      </c>
      <c r="C667" s="4" t="s">
        <v>64</v>
      </c>
      <c r="D667" s="4" t="s">
        <v>25</v>
      </c>
      <c r="E667" s="4" t="s">
        <v>25</v>
      </c>
      <c r="F667" s="4" t="s">
        <v>25</v>
      </c>
      <c r="G667" s="4" t="s">
        <v>76</v>
      </c>
      <c r="H667" s="4" t="s">
        <v>25</v>
      </c>
      <c r="I667" s="5">
        <v>44470</v>
      </c>
      <c r="J667" s="6">
        <v>480</v>
      </c>
      <c r="K667" s="6">
        <v>480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4" t="s">
        <v>66</v>
      </c>
      <c r="R667" s="4">
        <v>1438</v>
      </c>
      <c r="S667" s="4" t="s">
        <v>427</v>
      </c>
      <c r="U667" s="4">
        <v>28</v>
      </c>
      <c r="V667" s="4">
        <v>0</v>
      </c>
      <c r="W667" s="4">
        <v>0</v>
      </c>
    </row>
    <row r="668" spans="1:23" ht="11.25" customHeight="1" x14ac:dyDescent="0.25">
      <c r="A668" s="4" t="s">
        <v>21</v>
      </c>
      <c r="B668" s="4" t="s">
        <v>41</v>
      </c>
      <c r="C668" s="4" t="s">
        <v>64</v>
      </c>
      <c r="D668" s="4" t="s">
        <v>25</v>
      </c>
      <c r="E668" s="4" t="s">
        <v>25</v>
      </c>
      <c r="F668" s="4" t="s">
        <v>25</v>
      </c>
      <c r="G668" s="4" t="s">
        <v>77</v>
      </c>
      <c r="H668" s="4" t="s">
        <v>25</v>
      </c>
      <c r="I668" s="5">
        <v>44470</v>
      </c>
      <c r="J668" s="6">
        <v>736</v>
      </c>
      <c r="K668" s="6">
        <v>736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4" t="s">
        <v>66</v>
      </c>
      <c r="R668" s="4">
        <v>1462</v>
      </c>
      <c r="S668" s="4" t="s">
        <v>427</v>
      </c>
      <c r="U668" s="4">
        <v>28</v>
      </c>
      <c r="V668" s="4">
        <v>0</v>
      </c>
      <c r="W668" s="4">
        <v>0</v>
      </c>
    </row>
    <row r="669" spans="1:23" ht="11.25" customHeight="1" x14ac:dyDescent="0.25">
      <c r="A669" s="4" t="s">
        <v>21</v>
      </c>
      <c r="B669" s="4" t="s">
        <v>41</v>
      </c>
      <c r="C669" s="4" t="s">
        <v>64</v>
      </c>
      <c r="D669" s="4" t="s">
        <v>25</v>
      </c>
      <c r="E669" s="4" t="s">
        <v>25</v>
      </c>
      <c r="F669" s="4" t="s">
        <v>25</v>
      </c>
      <c r="G669" s="4" t="s">
        <v>78</v>
      </c>
      <c r="H669" s="4" t="s">
        <v>25</v>
      </c>
      <c r="I669" s="5">
        <v>44470</v>
      </c>
      <c r="J669" s="6">
        <v>6460</v>
      </c>
      <c r="K669" s="6">
        <v>6460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4" t="s">
        <v>66</v>
      </c>
      <c r="R669" s="4">
        <v>1533</v>
      </c>
      <c r="S669" s="4" t="s">
        <v>427</v>
      </c>
      <c r="U669" s="4">
        <v>28</v>
      </c>
      <c r="V669" s="4">
        <v>0</v>
      </c>
      <c r="W669" s="4">
        <v>0</v>
      </c>
    </row>
    <row r="670" spans="1:23" ht="11.25" customHeight="1" x14ac:dyDescent="0.25">
      <c r="A670" s="4" t="s">
        <v>21</v>
      </c>
      <c r="B670" s="4" t="s">
        <v>41</v>
      </c>
      <c r="C670" s="4" t="s">
        <v>64</v>
      </c>
      <c r="D670" s="4" t="s">
        <v>25</v>
      </c>
      <c r="E670" s="4" t="s">
        <v>25</v>
      </c>
      <c r="F670" s="4" t="s">
        <v>25</v>
      </c>
      <c r="G670" s="4" t="s">
        <v>79</v>
      </c>
      <c r="H670" s="4" t="s">
        <v>25</v>
      </c>
      <c r="I670" s="5">
        <v>44470</v>
      </c>
      <c r="J670" s="6">
        <v>770</v>
      </c>
      <c r="K670" s="6">
        <v>770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4" t="s">
        <v>66</v>
      </c>
      <c r="R670" s="4">
        <v>2535</v>
      </c>
      <c r="S670" s="4" t="s">
        <v>427</v>
      </c>
      <c r="U670" s="4">
        <v>28</v>
      </c>
      <c r="V670" s="4">
        <v>0</v>
      </c>
      <c r="W670" s="4">
        <v>0</v>
      </c>
    </row>
    <row r="671" spans="1:23" ht="11.25" customHeight="1" x14ac:dyDescent="0.25">
      <c r="A671" s="4" t="s">
        <v>21</v>
      </c>
      <c r="B671" s="4" t="s">
        <v>41</v>
      </c>
      <c r="C671" s="4" t="s">
        <v>64</v>
      </c>
      <c r="D671" s="4" t="s">
        <v>25</v>
      </c>
      <c r="E671" s="4" t="s">
        <v>25</v>
      </c>
      <c r="F671" s="4" t="s">
        <v>25</v>
      </c>
      <c r="G671" s="4" t="s">
        <v>80</v>
      </c>
      <c r="H671" s="4" t="s">
        <v>25</v>
      </c>
      <c r="I671" s="5">
        <v>44470</v>
      </c>
      <c r="J671" s="6">
        <v>1416</v>
      </c>
      <c r="K671" s="6">
        <v>1416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4" t="s">
        <v>66</v>
      </c>
      <c r="R671" s="4">
        <v>2751</v>
      </c>
      <c r="S671" s="4" t="s">
        <v>427</v>
      </c>
      <c r="U671" s="4">
        <v>28</v>
      </c>
      <c r="V671" s="4">
        <v>0</v>
      </c>
      <c r="W671" s="4">
        <v>0</v>
      </c>
    </row>
    <row r="672" spans="1:23" ht="11.25" customHeight="1" x14ac:dyDescent="0.25">
      <c r="A672" s="4" t="s">
        <v>21</v>
      </c>
      <c r="B672" s="4" t="s">
        <v>41</v>
      </c>
      <c r="C672" s="4" t="s">
        <v>64</v>
      </c>
      <c r="D672" s="4" t="s">
        <v>25</v>
      </c>
      <c r="E672" s="4" t="s">
        <v>25</v>
      </c>
      <c r="F672" s="4" t="s">
        <v>25</v>
      </c>
      <c r="G672" s="4" t="s">
        <v>88</v>
      </c>
      <c r="H672" s="4" t="s">
        <v>25</v>
      </c>
      <c r="I672" s="5">
        <v>44470</v>
      </c>
      <c r="J672" s="6">
        <v>9500</v>
      </c>
      <c r="K672" s="6">
        <v>4750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4" t="s">
        <v>66</v>
      </c>
      <c r="R672" s="4">
        <v>27722</v>
      </c>
      <c r="S672" s="4" t="s">
        <v>427</v>
      </c>
      <c r="U672" s="4">
        <v>28</v>
      </c>
      <c r="V672" s="4">
        <v>0</v>
      </c>
      <c r="W672" s="4">
        <v>0</v>
      </c>
    </row>
    <row r="673" spans="1:23" ht="11.25" customHeight="1" x14ac:dyDescent="0.25">
      <c r="A673" s="4" t="s">
        <v>21</v>
      </c>
      <c r="B673" s="4" t="s">
        <v>41</v>
      </c>
      <c r="C673" s="4" t="s">
        <v>64</v>
      </c>
      <c r="D673" s="4" t="s">
        <v>25</v>
      </c>
      <c r="E673" s="4" t="s">
        <v>25</v>
      </c>
      <c r="F673" s="4" t="s">
        <v>25</v>
      </c>
      <c r="G673" s="4" t="s">
        <v>90</v>
      </c>
      <c r="H673" s="4" t="s">
        <v>25</v>
      </c>
      <c r="I673" s="5">
        <v>44470</v>
      </c>
      <c r="J673" s="6">
        <v>420</v>
      </c>
      <c r="K673" s="6">
        <v>420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4" t="s">
        <v>66</v>
      </c>
      <c r="R673" s="4">
        <v>27928</v>
      </c>
      <c r="S673" s="4" t="s">
        <v>427</v>
      </c>
      <c r="U673" s="4">
        <v>28</v>
      </c>
      <c r="V673" s="4">
        <v>0</v>
      </c>
      <c r="W673" s="4">
        <v>0</v>
      </c>
    </row>
    <row r="674" spans="1:23" ht="11.25" customHeight="1" x14ac:dyDescent="0.25">
      <c r="A674" s="4" t="s">
        <v>21</v>
      </c>
      <c r="B674" s="4" t="s">
        <v>41</v>
      </c>
      <c r="C674" s="4" t="s">
        <v>64</v>
      </c>
      <c r="D674" s="4" t="s">
        <v>25</v>
      </c>
      <c r="E674" s="4" t="s">
        <v>25</v>
      </c>
      <c r="F674" s="4" t="s">
        <v>25</v>
      </c>
      <c r="G674" s="4" t="s">
        <v>93</v>
      </c>
      <c r="H674" s="4" t="s">
        <v>25</v>
      </c>
      <c r="I674" s="5">
        <v>44470</v>
      </c>
      <c r="J674" s="6">
        <v>1300</v>
      </c>
      <c r="K674" s="6">
        <v>650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4" t="s">
        <v>66</v>
      </c>
      <c r="R674" s="4">
        <v>30847</v>
      </c>
      <c r="S674" s="4" t="s">
        <v>427</v>
      </c>
      <c r="U674" s="4">
        <v>28</v>
      </c>
      <c r="V674" s="4">
        <v>0</v>
      </c>
      <c r="W674" s="4">
        <v>0</v>
      </c>
    </row>
    <row r="675" spans="1:23" ht="11.25" customHeight="1" x14ac:dyDescent="0.25">
      <c r="A675" s="4" t="s">
        <v>21</v>
      </c>
      <c r="B675" s="4" t="s">
        <v>41</v>
      </c>
      <c r="C675" s="4" t="s">
        <v>64</v>
      </c>
      <c r="D675" s="4" t="s">
        <v>25</v>
      </c>
      <c r="E675" s="4" t="s">
        <v>25</v>
      </c>
      <c r="F675" s="4" t="s">
        <v>25</v>
      </c>
      <c r="G675" s="4" t="s">
        <v>94</v>
      </c>
      <c r="H675" s="4" t="s">
        <v>25</v>
      </c>
      <c r="I675" s="5">
        <v>44470</v>
      </c>
      <c r="J675" s="6">
        <v>1180</v>
      </c>
      <c r="K675" s="6">
        <v>590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4" t="s">
        <v>66</v>
      </c>
      <c r="R675" s="4">
        <v>30866</v>
      </c>
      <c r="S675" s="4" t="s">
        <v>427</v>
      </c>
      <c r="U675" s="4">
        <v>28</v>
      </c>
      <c r="V675" s="4">
        <v>0</v>
      </c>
      <c r="W675" s="4">
        <v>0</v>
      </c>
    </row>
    <row r="676" spans="1:23" ht="11.25" customHeight="1" x14ac:dyDescent="0.25">
      <c r="A676" s="4" t="s">
        <v>21</v>
      </c>
      <c r="B676" s="4" t="s">
        <v>41</v>
      </c>
      <c r="C676" s="4" t="s">
        <v>64</v>
      </c>
      <c r="D676" s="4" t="s">
        <v>25</v>
      </c>
      <c r="E676" s="4" t="s">
        <v>25</v>
      </c>
      <c r="F676" s="4" t="s">
        <v>25</v>
      </c>
      <c r="G676" s="4" t="s">
        <v>95</v>
      </c>
      <c r="H676" s="4" t="s">
        <v>25</v>
      </c>
      <c r="I676" s="5">
        <v>44470</v>
      </c>
      <c r="J676" s="6">
        <v>1180</v>
      </c>
      <c r="K676" s="6">
        <v>590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4" t="s">
        <v>66</v>
      </c>
      <c r="R676" s="4">
        <v>31051</v>
      </c>
      <c r="S676" s="4" t="s">
        <v>427</v>
      </c>
      <c r="U676" s="4">
        <v>28</v>
      </c>
      <c r="V676" s="4">
        <v>0</v>
      </c>
      <c r="W676" s="4">
        <v>0</v>
      </c>
    </row>
    <row r="677" spans="1:23" ht="11.25" customHeight="1" x14ac:dyDescent="0.25">
      <c r="A677" s="4" t="s">
        <v>21</v>
      </c>
      <c r="B677" s="4" t="s">
        <v>41</v>
      </c>
      <c r="C677" s="4" t="s">
        <v>64</v>
      </c>
      <c r="D677" s="4" t="s">
        <v>25</v>
      </c>
      <c r="E677" s="4" t="s">
        <v>25</v>
      </c>
      <c r="F677" s="4" t="s">
        <v>25</v>
      </c>
      <c r="G677" s="4" t="s">
        <v>96</v>
      </c>
      <c r="H677" s="4" t="s">
        <v>25</v>
      </c>
      <c r="I677" s="5">
        <v>44470</v>
      </c>
      <c r="J677" s="6">
        <v>1000</v>
      </c>
      <c r="K677" s="6">
        <v>500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4" t="s">
        <v>66</v>
      </c>
      <c r="R677" s="4">
        <v>31277</v>
      </c>
      <c r="S677" s="4" t="s">
        <v>427</v>
      </c>
      <c r="U677" s="4">
        <v>28</v>
      </c>
      <c r="V677" s="4">
        <v>0</v>
      </c>
      <c r="W677" s="4">
        <v>0</v>
      </c>
    </row>
    <row r="678" spans="1:23" ht="11.25" customHeight="1" x14ac:dyDescent="0.25">
      <c r="A678" s="4" t="s">
        <v>21</v>
      </c>
      <c r="B678" s="4" t="s">
        <v>41</v>
      </c>
      <c r="C678" s="4" t="s">
        <v>64</v>
      </c>
      <c r="D678" s="4" t="s">
        <v>25</v>
      </c>
      <c r="E678" s="4" t="s">
        <v>25</v>
      </c>
      <c r="F678" s="4" t="s">
        <v>25</v>
      </c>
      <c r="G678" s="4" t="s">
        <v>97</v>
      </c>
      <c r="H678" s="4" t="s">
        <v>25</v>
      </c>
      <c r="I678" s="5">
        <v>44470</v>
      </c>
      <c r="J678" s="6">
        <v>1180</v>
      </c>
      <c r="K678" s="6">
        <v>590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4" t="s">
        <v>66</v>
      </c>
      <c r="R678" s="4">
        <v>31318</v>
      </c>
      <c r="S678" s="4" t="s">
        <v>427</v>
      </c>
      <c r="U678" s="4">
        <v>28</v>
      </c>
      <c r="V678" s="4">
        <v>0</v>
      </c>
      <c r="W678" s="4">
        <v>0</v>
      </c>
    </row>
    <row r="679" spans="1:23" ht="11.25" customHeight="1" x14ac:dyDescent="0.25">
      <c r="A679" s="4" t="s">
        <v>21</v>
      </c>
      <c r="B679" s="4" t="s">
        <v>41</v>
      </c>
      <c r="C679" s="4" t="s">
        <v>64</v>
      </c>
      <c r="D679" s="4" t="s">
        <v>25</v>
      </c>
      <c r="E679" s="4" t="s">
        <v>25</v>
      </c>
      <c r="F679" s="4" t="s">
        <v>25</v>
      </c>
      <c r="G679" s="4" t="s">
        <v>98</v>
      </c>
      <c r="H679" s="4" t="s">
        <v>25</v>
      </c>
      <c r="I679" s="5">
        <v>44470</v>
      </c>
      <c r="J679" s="6">
        <v>3000</v>
      </c>
      <c r="K679" s="6">
        <v>1500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4" t="s">
        <v>66</v>
      </c>
      <c r="R679" s="4">
        <v>31334</v>
      </c>
      <c r="S679" s="4" t="s">
        <v>427</v>
      </c>
      <c r="U679" s="4">
        <v>28</v>
      </c>
      <c r="V679" s="4">
        <v>0</v>
      </c>
      <c r="W679" s="4">
        <v>0</v>
      </c>
    </row>
    <row r="680" spans="1:23" ht="11.25" customHeight="1" x14ac:dyDescent="0.25">
      <c r="A680" s="4" t="s">
        <v>21</v>
      </c>
      <c r="B680" s="4" t="s">
        <v>41</v>
      </c>
      <c r="C680" s="4" t="s">
        <v>64</v>
      </c>
      <c r="D680" s="4" t="s">
        <v>25</v>
      </c>
      <c r="E680" s="4" t="s">
        <v>25</v>
      </c>
      <c r="F680" s="4" t="s">
        <v>25</v>
      </c>
      <c r="G680" s="4" t="s">
        <v>99</v>
      </c>
      <c r="H680" s="4" t="s">
        <v>25</v>
      </c>
      <c r="I680" s="5">
        <v>44470</v>
      </c>
      <c r="J680" s="6">
        <v>1180</v>
      </c>
      <c r="K680" s="6">
        <v>590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4" t="s">
        <v>66</v>
      </c>
      <c r="R680" s="4">
        <v>31618</v>
      </c>
      <c r="S680" s="4" t="s">
        <v>427</v>
      </c>
      <c r="U680" s="4">
        <v>28</v>
      </c>
      <c r="V680" s="4">
        <v>0</v>
      </c>
      <c r="W680" s="4">
        <v>0</v>
      </c>
    </row>
    <row r="681" spans="1:23" ht="11.25" customHeight="1" x14ac:dyDescent="0.25">
      <c r="A681" s="4" t="s">
        <v>21</v>
      </c>
      <c r="B681" s="4" t="s">
        <v>41</v>
      </c>
      <c r="C681" s="4" t="s">
        <v>64</v>
      </c>
      <c r="D681" s="4" t="s">
        <v>25</v>
      </c>
      <c r="E681" s="4" t="s">
        <v>25</v>
      </c>
      <c r="F681" s="4" t="s">
        <v>25</v>
      </c>
      <c r="G681" s="4" t="s">
        <v>100</v>
      </c>
      <c r="H681" s="4" t="s">
        <v>25</v>
      </c>
      <c r="I681" s="5">
        <v>44470</v>
      </c>
      <c r="J681" s="6">
        <v>1180</v>
      </c>
      <c r="K681" s="6">
        <v>590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4" t="s">
        <v>66</v>
      </c>
      <c r="R681" s="4">
        <v>31677</v>
      </c>
      <c r="S681" s="4" t="s">
        <v>427</v>
      </c>
      <c r="U681" s="4">
        <v>28</v>
      </c>
      <c r="V681" s="4">
        <v>0</v>
      </c>
      <c r="W681" s="4">
        <v>0</v>
      </c>
    </row>
    <row r="682" spans="1:23" ht="11.25" customHeight="1" x14ac:dyDescent="0.25">
      <c r="A682" s="4" t="s">
        <v>21</v>
      </c>
      <c r="B682" s="4" t="s">
        <v>41</v>
      </c>
      <c r="C682" s="4" t="s">
        <v>64</v>
      </c>
      <c r="D682" s="4" t="s">
        <v>25</v>
      </c>
      <c r="E682" s="4" t="s">
        <v>25</v>
      </c>
      <c r="F682" s="4" t="s">
        <v>25</v>
      </c>
      <c r="G682" s="4" t="s">
        <v>68</v>
      </c>
      <c r="H682" s="4" t="s">
        <v>25</v>
      </c>
      <c r="I682" s="5">
        <v>44501</v>
      </c>
      <c r="J682" s="6">
        <v>302</v>
      </c>
      <c r="K682" s="6">
        <v>302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4" t="s">
        <v>66</v>
      </c>
      <c r="R682" s="4">
        <v>404</v>
      </c>
      <c r="S682" s="4" t="s">
        <v>428</v>
      </c>
      <c r="U682" s="4">
        <v>28</v>
      </c>
      <c r="V682" s="4">
        <v>0</v>
      </c>
      <c r="W682" s="4">
        <v>0</v>
      </c>
    </row>
    <row r="683" spans="1:23" ht="11.25" customHeight="1" x14ac:dyDescent="0.25">
      <c r="A683" s="4" t="s">
        <v>21</v>
      </c>
      <c r="B683" s="4" t="s">
        <v>41</v>
      </c>
      <c r="C683" s="4" t="s">
        <v>64</v>
      </c>
      <c r="D683" s="4" t="s">
        <v>25</v>
      </c>
      <c r="E683" s="4" t="s">
        <v>25</v>
      </c>
      <c r="F683" s="4" t="s">
        <v>25</v>
      </c>
      <c r="G683" s="4" t="s">
        <v>70</v>
      </c>
      <c r="H683" s="4" t="s">
        <v>25</v>
      </c>
      <c r="I683" s="5">
        <v>44501</v>
      </c>
      <c r="J683" s="6">
        <v>5040</v>
      </c>
      <c r="K683" s="6">
        <v>5040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4" t="s">
        <v>66</v>
      </c>
      <c r="R683" s="4">
        <v>838</v>
      </c>
      <c r="S683" s="4" t="s">
        <v>428</v>
      </c>
      <c r="U683" s="4">
        <v>28</v>
      </c>
      <c r="V683" s="4">
        <v>0</v>
      </c>
      <c r="W683" s="4">
        <v>0</v>
      </c>
    </row>
    <row r="684" spans="1:23" ht="11.25" customHeight="1" x14ac:dyDescent="0.25">
      <c r="A684" s="4" t="s">
        <v>21</v>
      </c>
      <c r="B684" s="4" t="s">
        <v>41</v>
      </c>
      <c r="C684" s="4" t="s">
        <v>64</v>
      </c>
      <c r="D684" s="4" t="s">
        <v>25</v>
      </c>
      <c r="E684" s="4" t="s">
        <v>25</v>
      </c>
      <c r="F684" s="4" t="s">
        <v>25</v>
      </c>
      <c r="G684" s="4" t="s">
        <v>74</v>
      </c>
      <c r="H684" s="4" t="s">
        <v>25</v>
      </c>
      <c r="I684" s="5">
        <v>44501</v>
      </c>
      <c r="J684" s="6">
        <v>3800</v>
      </c>
      <c r="K684" s="6">
        <v>1900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4" t="s">
        <v>66</v>
      </c>
      <c r="R684" s="4">
        <v>1192</v>
      </c>
      <c r="S684" s="4" t="s">
        <v>428</v>
      </c>
      <c r="U684" s="4">
        <v>28</v>
      </c>
      <c r="V684" s="4">
        <v>0</v>
      </c>
      <c r="W684" s="4">
        <v>0</v>
      </c>
    </row>
    <row r="685" spans="1:23" ht="11.25" customHeight="1" x14ac:dyDescent="0.25">
      <c r="A685" s="4" t="s">
        <v>21</v>
      </c>
      <c r="B685" s="4" t="s">
        <v>41</v>
      </c>
      <c r="C685" s="4" t="s">
        <v>64</v>
      </c>
      <c r="D685" s="4" t="s">
        <v>25</v>
      </c>
      <c r="E685" s="4" t="s">
        <v>25</v>
      </c>
      <c r="F685" s="4" t="s">
        <v>25</v>
      </c>
      <c r="G685" s="4" t="s">
        <v>76</v>
      </c>
      <c r="H685" s="4" t="s">
        <v>25</v>
      </c>
      <c r="I685" s="5">
        <v>44501</v>
      </c>
      <c r="J685" s="6">
        <v>480</v>
      </c>
      <c r="K685" s="6">
        <v>480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4" t="s">
        <v>66</v>
      </c>
      <c r="R685" s="4">
        <v>1438</v>
      </c>
      <c r="S685" s="4" t="s">
        <v>428</v>
      </c>
      <c r="U685" s="4">
        <v>28</v>
      </c>
      <c r="V685" s="4">
        <v>0</v>
      </c>
      <c r="W685" s="4">
        <v>0</v>
      </c>
    </row>
    <row r="686" spans="1:23" ht="11.25" customHeight="1" x14ac:dyDescent="0.25">
      <c r="A686" s="4" t="s">
        <v>21</v>
      </c>
      <c r="B686" s="4" t="s">
        <v>41</v>
      </c>
      <c r="C686" s="4" t="s">
        <v>64</v>
      </c>
      <c r="D686" s="4" t="s">
        <v>25</v>
      </c>
      <c r="E686" s="4" t="s">
        <v>25</v>
      </c>
      <c r="F686" s="4" t="s">
        <v>25</v>
      </c>
      <c r="G686" s="4" t="s">
        <v>77</v>
      </c>
      <c r="H686" s="4" t="s">
        <v>25</v>
      </c>
      <c r="I686" s="5">
        <v>44501</v>
      </c>
      <c r="J686" s="6">
        <v>736</v>
      </c>
      <c r="K686" s="6">
        <v>736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4" t="s">
        <v>66</v>
      </c>
      <c r="R686" s="4">
        <v>1462</v>
      </c>
      <c r="S686" s="4" t="s">
        <v>428</v>
      </c>
      <c r="U686" s="4">
        <v>28</v>
      </c>
      <c r="V686" s="4">
        <v>0</v>
      </c>
      <c r="W686" s="4">
        <v>0</v>
      </c>
    </row>
    <row r="687" spans="1:23" ht="11.25" customHeight="1" x14ac:dyDescent="0.25">
      <c r="A687" s="4" t="s">
        <v>21</v>
      </c>
      <c r="B687" s="4" t="s">
        <v>41</v>
      </c>
      <c r="C687" s="4" t="s">
        <v>64</v>
      </c>
      <c r="D687" s="4" t="s">
        <v>25</v>
      </c>
      <c r="E687" s="4" t="s">
        <v>25</v>
      </c>
      <c r="F687" s="4" t="s">
        <v>25</v>
      </c>
      <c r="G687" s="4" t="s">
        <v>78</v>
      </c>
      <c r="H687" s="4" t="s">
        <v>25</v>
      </c>
      <c r="I687" s="5">
        <v>44501</v>
      </c>
      <c r="J687" s="6">
        <v>6460</v>
      </c>
      <c r="K687" s="6">
        <v>6460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4" t="s">
        <v>66</v>
      </c>
      <c r="R687" s="4">
        <v>1533</v>
      </c>
      <c r="S687" s="4" t="s">
        <v>428</v>
      </c>
      <c r="U687" s="4">
        <v>28</v>
      </c>
      <c r="V687" s="4">
        <v>0</v>
      </c>
      <c r="W687" s="4">
        <v>0</v>
      </c>
    </row>
    <row r="688" spans="1:23" ht="11.25" customHeight="1" x14ac:dyDescent="0.25">
      <c r="A688" s="4" t="s">
        <v>21</v>
      </c>
      <c r="B688" s="4" t="s">
        <v>41</v>
      </c>
      <c r="C688" s="4" t="s">
        <v>64</v>
      </c>
      <c r="D688" s="4" t="s">
        <v>25</v>
      </c>
      <c r="E688" s="4" t="s">
        <v>25</v>
      </c>
      <c r="F688" s="4" t="s">
        <v>25</v>
      </c>
      <c r="G688" s="4" t="s">
        <v>79</v>
      </c>
      <c r="H688" s="4" t="s">
        <v>25</v>
      </c>
      <c r="I688" s="5">
        <v>44501</v>
      </c>
      <c r="J688" s="6">
        <v>770</v>
      </c>
      <c r="K688" s="6">
        <v>770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4" t="s">
        <v>66</v>
      </c>
      <c r="R688" s="4">
        <v>2535</v>
      </c>
      <c r="S688" s="4" t="s">
        <v>428</v>
      </c>
      <c r="U688" s="4">
        <v>28</v>
      </c>
      <c r="V688" s="4">
        <v>0</v>
      </c>
      <c r="W688" s="4">
        <v>0</v>
      </c>
    </row>
    <row r="689" spans="1:23" ht="11.25" customHeight="1" x14ac:dyDescent="0.25">
      <c r="A689" s="4" t="s">
        <v>21</v>
      </c>
      <c r="B689" s="4" t="s">
        <v>41</v>
      </c>
      <c r="C689" s="4" t="s">
        <v>64</v>
      </c>
      <c r="D689" s="4" t="s">
        <v>25</v>
      </c>
      <c r="E689" s="4" t="s">
        <v>25</v>
      </c>
      <c r="F689" s="4" t="s">
        <v>25</v>
      </c>
      <c r="G689" s="4" t="s">
        <v>80</v>
      </c>
      <c r="H689" s="4" t="s">
        <v>25</v>
      </c>
      <c r="I689" s="5">
        <v>44501</v>
      </c>
      <c r="J689" s="6">
        <v>1416</v>
      </c>
      <c r="K689" s="6">
        <v>1416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4" t="s">
        <v>66</v>
      </c>
      <c r="R689" s="4">
        <v>2751</v>
      </c>
      <c r="S689" s="4" t="s">
        <v>428</v>
      </c>
      <c r="U689" s="4">
        <v>28</v>
      </c>
      <c r="V689" s="4">
        <v>0</v>
      </c>
      <c r="W689" s="4">
        <v>0</v>
      </c>
    </row>
    <row r="690" spans="1:23" ht="11.25" customHeight="1" x14ac:dyDescent="0.25">
      <c r="A690" s="4" t="s">
        <v>21</v>
      </c>
      <c r="B690" s="4" t="s">
        <v>41</v>
      </c>
      <c r="C690" s="4" t="s">
        <v>64</v>
      </c>
      <c r="D690" s="4" t="s">
        <v>25</v>
      </c>
      <c r="E690" s="4" t="s">
        <v>25</v>
      </c>
      <c r="F690" s="4" t="s">
        <v>25</v>
      </c>
      <c r="G690" s="4" t="s">
        <v>88</v>
      </c>
      <c r="H690" s="4" t="s">
        <v>25</v>
      </c>
      <c r="I690" s="5">
        <v>44501</v>
      </c>
      <c r="J690" s="6">
        <v>9500</v>
      </c>
      <c r="K690" s="6">
        <v>4750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4" t="s">
        <v>66</v>
      </c>
      <c r="R690" s="4">
        <v>27722</v>
      </c>
      <c r="S690" s="4" t="s">
        <v>428</v>
      </c>
      <c r="U690" s="4">
        <v>28</v>
      </c>
      <c r="V690" s="4">
        <v>0</v>
      </c>
      <c r="W690" s="4">
        <v>0</v>
      </c>
    </row>
    <row r="691" spans="1:23" ht="11.25" customHeight="1" x14ac:dyDescent="0.25">
      <c r="A691" s="4" t="s">
        <v>21</v>
      </c>
      <c r="B691" s="4" t="s">
        <v>41</v>
      </c>
      <c r="C691" s="4" t="s">
        <v>64</v>
      </c>
      <c r="D691" s="4" t="s">
        <v>25</v>
      </c>
      <c r="E691" s="4" t="s">
        <v>25</v>
      </c>
      <c r="F691" s="4" t="s">
        <v>25</v>
      </c>
      <c r="G691" s="4" t="s">
        <v>90</v>
      </c>
      <c r="H691" s="4" t="s">
        <v>25</v>
      </c>
      <c r="I691" s="5">
        <v>44501</v>
      </c>
      <c r="J691" s="6">
        <v>420</v>
      </c>
      <c r="K691" s="6">
        <v>420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4" t="s">
        <v>66</v>
      </c>
      <c r="R691" s="4">
        <v>27928</v>
      </c>
      <c r="S691" s="4" t="s">
        <v>428</v>
      </c>
      <c r="U691" s="4">
        <v>28</v>
      </c>
      <c r="V691" s="4">
        <v>0</v>
      </c>
      <c r="W691" s="4">
        <v>0</v>
      </c>
    </row>
    <row r="692" spans="1:23" ht="11.25" customHeight="1" x14ac:dyDescent="0.25">
      <c r="A692" s="4" t="s">
        <v>21</v>
      </c>
      <c r="B692" s="4" t="s">
        <v>41</v>
      </c>
      <c r="C692" s="4" t="s">
        <v>64</v>
      </c>
      <c r="D692" s="4" t="s">
        <v>25</v>
      </c>
      <c r="E692" s="4" t="s">
        <v>25</v>
      </c>
      <c r="F692" s="4" t="s">
        <v>25</v>
      </c>
      <c r="G692" s="4" t="s">
        <v>93</v>
      </c>
      <c r="H692" s="4" t="s">
        <v>25</v>
      </c>
      <c r="I692" s="5">
        <v>44501</v>
      </c>
      <c r="J692" s="6">
        <v>1300</v>
      </c>
      <c r="K692" s="6">
        <v>650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4" t="s">
        <v>66</v>
      </c>
      <c r="R692" s="4">
        <v>30847</v>
      </c>
      <c r="S692" s="4" t="s">
        <v>428</v>
      </c>
      <c r="U692" s="4">
        <v>28</v>
      </c>
      <c r="V692" s="4">
        <v>0</v>
      </c>
      <c r="W692" s="4">
        <v>0</v>
      </c>
    </row>
    <row r="693" spans="1:23" ht="11.25" customHeight="1" x14ac:dyDescent="0.25">
      <c r="A693" s="4" t="s">
        <v>21</v>
      </c>
      <c r="B693" s="4" t="s">
        <v>41</v>
      </c>
      <c r="C693" s="4" t="s">
        <v>64</v>
      </c>
      <c r="D693" s="4" t="s">
        <v>25</v>
      </c>
      <c r="E693" s="4" t="s">
        <v>25</v>
      </c>
      <c r="F693" s="4" t="s">
        <v>25</v>
      </c>
      <c r="G693" s="4" t="s">
        <v>94</v>
      </c>
      <c r="H693" s="4" t="s">
        <v>25</v>
      </c>
      <c r="I693" s="5">
        <v>44501</v>
      </c>
      <c r="J693" s="6">
        <v>1180</v>
      </c>
      <c r="K693" s="6">
        <v>590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4" t="s">
        <v>66</v>
      </c>
      <c r="R693" s="4">
        <v>30866</v>
      </c>
      <c r="S693" s="4" t="s">
        <v>428</v>
      </c>
      <c r="U693" s="4">
        <v>28</v>
      </c>
      <c r="V693" s="4">
        <v>0</v>
      </c>
      <c r="W693" s="4">
        <v>0</v>
      </c>
    </row>
    <row r="694" spans="1:23" ht="11.25" customHeight="1" x14ac:dyDescent="0.25">
      <c r="A694" s="4" t="s">
        <v>21</v>
      </c>
      <c r="B694" s="4" t="s">
        <v>41</v>
      </c>
      <c r="C694" s="4" t="s">
        <v>64</v>
      </c>
      <c r="D694" s="4" t="s">
        <v>25</v>
      </c>
      <c r="E694" s="4" t="s">
        <v>25</v>
      </c>
      <c r="F694" s="4" t="s">
        <v>25</v>
      </c>
      <c r="G694" s="4" t="s">
        <v>95</v>
      </c>
      <c r="H694" s="4" t="s">
        <v>25</v>
      </c>
      <c r="I694" s="5">
        <v>44501</v>
      </c>
      <c r="J694" s="6">
        <v>1180</v>
      </c>
      <c r="K694" s="6">
        <v>590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4" t="s">
        <v>66</v>
      </c>
      <c r="R694" s="4">
        <v>31051</v>
      </c>
      <c r="S694" s="4" t="s">
        <v>428</v>
      </c>
      <c r="U694" s="4">
        <v>28</v>
      </c>
      <c r="V694" s="4">
        <v>0</v>
      </c>
      <c r="W694" s="4">
        <v>0</v>
      </c>
    </row>
    <row r="695" spans="1:23" ht="11.25" customHeight="1" x14ac:dyDescent="0.25">
      <c r="A695" s="4" t="s">
        <v>21</v>
      </c>
      <c r="B695" s="4" t="s">
        <v>41</v>
      </c>
      <c r="C695" s="4" t="s">
        <v>64</v>
      </c>
      <c r="D695" s="4" t="s">
        <v>25</v>
      </c>
      <c r="E695" s="4" t="s">
        <v>25</v>
      </c>
      <c r="F695" s="4" t="s">
        <v>25</v>
      </c>
      <c r="G695" s="4" t="s">
        <v>96</v>
      </c>
      <c r="H695" s="4" t="s">
        <v>25</v>
      </c>
      <c r="I695" s="5">
        <v>44501</v>
      </c>
      <c r="J695" s="6">
        <v>1000</v>
      </c>
      <c r="K695" s="6">
        <v>500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4" t="s">
        <v>66</v>
      </c>
      <c r="R695" s="4">
        <v>31277</v>
      </c>
      <c r="S695" s="4" t="s">
        <v>428</v>
      </c>
      <c r="U695" s="4">
        <v>28</v>
      </c>
      <c r="V695" s="4">
        <v>0</v>
      </c>
      <c r="W695" s="4">
        <v>0</v>
      </c>
    </row>
    <row r="696" spans="1:23" ht="11.25" customHeight="1" x14ac:dyDescent="0.25">
      <c r="A696" s="4" t="s">
        <v>21</v>
      </c>
      <c r="B696" s="4" t="s">
        <v>41</v>
      </c>
      <c r="C696" s="4" t="s">
        <v>64</v>
      </c>
      <c r="D696" s="4" t="s">
        <v>25</v>
      </c>
      <c r="E696" s="4" t="s">
        <v>25</v>
      </c>
      <c r="F696" s="4" t="s">
        <v>25</v>
      </c>
      <c r="G696" s="4" t="s">
        <v>97</v>
      </c>
      <c r="H696" s="4" t="s">
        <v>25</v>
      </c>
      <c r="I696" s="5">
        <v>44501</v>
      </c>
      <c r="J696" s="6">
        <v>1180</v>
      </c>
      <c r="K696" s="6">
        <v>590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4" t="s">
        <v>66</v>
      </c>
      <c r="R696" s="4">
        <v>31318</v>
      </c>
      <c r="S696" s="4" t="s">
        <v>428</v>
      </c>
      <c r="U696" s="4">
        <v>28</v>
      </c>
      <c r="V696" s="4">
        <v>0</v>
      </c>
      <c r="W696" s="4">
        <v>0</v>
      </c>
    </row>
    <row r="697" spans="1:23" ht="11.25" customHeight="1" x14ac:dyDescent="0.25">
      <c r="A697" s="4" t="s">
        <v>21</v>
      </c>
      <c r="B697" s="4" t="s">
        <v>41</v>
      </c>
      <c r="C697" s="4" t="s">
        <v>64</v>
      </c>
      <c r="D697" s="4" t="s">
        <v>25</v>
      </c>
      <c r="E697" s="4" t="s">
        <v>25</v>
      </c>
      <c r="F697" s="4" t="s">
        <v>25</v>
      </c>
      <c r="G697" s="4" t="s">
        <v>98</v>
      </c>
      <c r="H697" s="4" t="s">
        <v>25</v>
      </c>
      <c r="I697" s="5">
        <v>44501</v>
      </c>
      <c r="J697" s="6">
        <v>3000</v>
      </c>
      <c r="K697" s="6">
        <v>1500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4" t="s">
        <v>66</v>
      </c>
      <c r="R697" s="4">
        <v>31334</v>
      </c>
      <c r="S697" s="4" t="s">
        <v>428</v>
      </c>
      <c r="U697" s="4">
        <v>28</v>
      </c>
      <c r="V697" s="4">
        <v>0</v>
      </c>
      <c r="W697" s="4">
        <v>0</v>
      </c>
    </row>
    <row r="698" spans="1:23" ht="11.25" customHeight="1" x14ac:dyDescent="0.25">
      <c r="A698" s="4" t="s">
        <v>21</v>
      </c>
      <c r="B698" s="4" t="s">
        <v>41</v>
      </c>
      <c r="C698" s="4" t="s">
        <v>64</v>
      </c>
      <c r="D698" s="4" t="s">
        <v>25</v>
      </c>
      <c r="E698" s="4" t="s">
        <v>25</v>
      </c>
      <c r="F698" s="4" t="s">
        <v>25</v>
      </c>
      <c r="G698" s="4" t="s">
        <v>99</v>
      </c>
      <c r="H698" s="4" t="s">
        <v>25</v>
      </c>
      <c r="I698" s="5">
        <v>44501</v>
      </c>
      <c r="J698" s="6">
        <v>1180</v>
      </c>
      <c r="K698" s="6">
        <v>590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4" t="s">
        <v>66</v>
      </c>
      <c r="R698" s="4">
        <v>31618</v>
      </c>
      <c r="S698" s="4" t="s">
        <v>428</v>
      </c>
      <c r="U698" s="4">
        <v>28</v>
      </c>
      <c r="V698" s="4">
        <v>0</v>
      </c>
      <c r="W698" s="4">
        <v>0</v>
      </c>
    </row>
    <row r="699" spans="1:23" ht="11.25" customHeight="1" x14ac:dyDescent="0.25">
      <c r="A699" s="4" t="s">
        <v>21</v>
      </c>
      <c r="B699" s="4" t="s">
        <v>41</v>
      </c>
      <c r="C699" s="4" t="s">
        <v>64</v>
      </c>
      <c r="D699" s="4" t="s">
        <v>25</v>
      </c>
      <c r="E699" s="4" t="s">
        <v>25</v>
      </c>
      <c r="F699" s="4" t="s">
        <v>25</v>
      </c>
      <c r="G699" s="4" t="s">
        <v>100</v>
      </c>
      <c r="H699" s="4" t="s">
        <v>25</v>
      </c>
      <c r="I699" s="5">
        <v>44501</v>
      </c>
      <c r="J699" s="6">
        <v>1180</v>
      </c>
      <c r="K699" s="6">
        <v>590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4" t="s">
        <v>66</v>
      </c>
      <c r="R699" s="4">
        <v>31677</v>
      </c>
      <c r="S699" s="4" t="s">
        <v>428</v>
      </c>
      <c r="U699" s="4">
        <v>28</v>
      </c>
      <c r="V699" s="4">
        <v>0</v>
      </c>
      <c r="W699" s="4">
        <v>0</v>
      </c>
    </row>
    <row r="700" spans="1:23" ht="11.25" customHeight="1" x14ac:dyDescent="0.25">
      <c r="A700" s="4" t="s">
        <v>21</v>
      </c>
      <c r="B700" s="4" t="s">
        <v>41</v>
      </c>
      <c r="C700" s="4" t="s">
        <v>64</v>
      </c>
      <c r="D700" s="4" t="s">
        <v>25</v>
      </c>
      <c r="E700" s="4" t="s">
        <v>25</v>
      </c>
      <c r="F700" s="4" t="s">
        <v>25</v>
      </c>
      <c r="G700" s="4" t="s">
        <v>68</v>
      </c>
      <c r="H700" s="4" t="s">
        <v>25</v>
      </c>
      <c r="I700" s="5">
        <v>44531</v>
      </c>
      <c r="J700" s="6">
        <v>302</v>
      </c>
      <c r="K700" s="6">
        <v>302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4" t="s">
        <v>66</v>
      </c>
      <c r="R700" s="4">
        <v>404</v>
      </c>
      <c r="S700" s="4" t="s">
        <v>429</v>
      </c>
      <c r="U700" s="4">
        <v>28</v>
      </c>
      <c r="V700" s="4">
        <v>0</v>
      </c>
      <c r="W700" s="4">
        <v>0</v>
      </c>
    </row>
    <row r="701" spans="1:23" ht="11.25" customHeight="1" x14ac:dyDescent="0.25">
      <c r="A701" s="4" t="s">
        <v>21</v>
      </c>
      <c r="B701" s="4" t="s">
        <v>41</v>
      </c>
      <c r="C701" s="4" t="s">
        <v>64</v>
      </c>
      <c r="D701" s="4" t="s">
        <v>25</v>
      </c>
      <c r="E701" s="4" t="s">
        <v>25</v>
      </c>
      <c r="F701" s="4" t="s">
        <v>25</v>
      </c>
      <c r="G701" s="4" t="s">
        <v>70</v>
      </c>
      <c r="H701" s="4" t="s">
        <v>25</v>
      </c>
      <c r="I701" s="5">
        <v>44531</v>
      </c>
      <c r="J701" s="6">
        <v>5040</v>
      </c>
      <c r="K701" s="6">
        <v>5040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4" t="s">
        <v>66</v>
      </c>
      <c r="R701" s="4">
        <v>838</v>
      </c>
      <c r="S701" s="4" t="s">
        <v>429</v>
      </c>
      <c r="U701" s="4">
        <v>28</v>
      </c>
      <c r="V701" s="4">
        <v>0</v>
      </c>
      <c r="W701" s="4">
        <v>0</v>
      </c>
    </row>
    <row r="702" spans="1:23" ht="11.25" customHeight="1" x14ac:dyDescent="0.25">
      <c r="A702" s="4" t="s">
        <v>21</v>
      </c>
      <c r="B702" s="4" t="s">
        <v>41</v>
      </c>
      <c r="C702" s="4" t="s">
        <v>64</v>
      </c>
      <c r="D702" s="4" t="s">
        <v>25</v>
      </c>
      <c r="E702" s="4" t="s">
        <v>25</v>
      </c>
      <c r="F702" s="4" t="s">
        <v>25</v>
      </c>
      <c r="G702" s="4" t="s">
        <v>74</v>
      </c>
      <c r="H702" s="4" t="s">
        <v>25</v>
      </c>
      <c r="I702" s="5">
        <v>44531</v>
      </c>
      <c r="J702" s="6">
        <v>3800</v>
      </c>
      <c r="K702" s="6">
        <v>1900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4" t="s">
        <v>66</v>
      </c>
      <c r="R702" s="4">
        <v>1192</v>
      </c>
      <c r="S702" s="4" t="s">
        <v>429</v>
      </c>
      <c r="U702" s="4">
        <v>28</v>
      </c>
      <c r="V702" s="4">
        <v>0</v>
      </c>
      <c r="W702" s="4">
        <v>0</v>
      </c>
    </row>
    <row r="703" spans="1:23" ht="11.25" customHeight="1" x14ac:dyDescent="0.25">
      <c r="A703" s="4" t="s">
        <v>21</v>
      </c>
      <c r="B703" s="4" t="s">
        <v>41</v>
      </c>
      <c r="C703" s="4" t="s">
        <v>64</v>
      </c>
      <c r="D703" s="4" t="s">
        <v>25</v>
      </c>
      <c r="E703" s="4" t="s">
        <v>25</v>
      </c>
      <c r="F703" s="4" t="s">
        <v>25</v>
      </c>
      <c r="G703" s="4" t="s">
        <v>76</v>
      </c>
      <c r="H703" s="4" t="s">
        <v>25</v>
      </c>
      <c r="I703" s="5">
        <v>44531</v>
      </c>
      <c r="J703" s="6">
        <v>480</v>
      </c>
      <c r="K703" s="6">
        <v>480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4" t="s">
        <v>66</v>
      </c>
      <c r="R703" s="4">
        <v>1438</v>
      </c>
      <c r="S703" s="4" t="s">
        <v>429</v>
      </c>
      <c r="U703" s="4">
        <v>28</v>
      </c>
      <c r="V703" s="4">
        <v>0</v>
      </c>
      <c r="W703" s="4">
        <v>0</v>
      </c>
    </row>
    <row r="704" spans="1:23" ht="11.25" customHeight="1" x14ac:dyDescent="0.25">
      <c r="A704" s="4" t="s">
        <v>21</v>
      </c>
      <c r="B704" s="4" t="s">
        <v>41</v>
      </c>
      <c r="C704" s="4" t="s">
        <v>64</v>
      </c>
      <c r="D704" s="4" t="s">
        <v>25</v>
      </c>
      <c r="E704" s="4" t="s">
        <v>25</v>
      </c>
      <c r="F704" s="4" t="s">
        <v>25</v>
      </c>
      <c r="G704" s="4" t="s">
        <v>77</v>
      </c>
      <c r="H704" s="4" t="s">
        <v>25</v>
      </c>
      <c r="I704" s="5">
        <v>44531</v>
      </c>
      <c r="J704" s="6">
        <v>736</v>
      </c>
      <c r="K704" s="6">
        <v>736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4" t="s">
        <v>66</v>
      </c>
      <c r="R704" s="4">
        <v>1462</v>
      </c>
      <c r="S704" s="4" t="s">
        <v>429</v>
      </c>
      <c r="U704" s="4">
        <v>28</v>
      </c>
      <c r="V704" s="4">
        <v>0</v>
      </c>
      <c r="W704" s="4">
        <v>0</v>
      </c>
    </row>
    <row r="705" spans="1:23" ht="11.25" customHeight="1" x14ac:dyDescent="0.25">
      <c r="A705" s="4" t="s">
        <v>21</v>
      </c>
      <c r="B705" s="4" t="s">
        <v>41</v>
      </c>
      <c r="C705" s="4" t="s">
        <v>64</v>
      </c>
      <c r="D705" s="4" t="s">
        <v>25</v>
      </c>
      <c r="E705" s="4" t="s">
        <v>25</v>
      </c>
      <c r="F705" s="4" t="s">
        <v>25</v>
      </c>
      <c r="G705" s="4" t="s">
        <v>78</v>
      </c>
      <c r="H705" s="4" t="s">
        <v>25</v>
      </c>
      <c r="I705" s="5">
        <v>44531</v>
      </c>
      <c r="J705" s="6">
        <v>6460</v>
      </c>
      <c r="K705" s="6">
        <v>6460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4" t="s">
        <v>66</v>
      </c>
      <c r="R705" s="4">
        <v>1533</v>
      </c>
      <c r="S705" s="4" t="s">
        <v>429</v>
      </c>
      <c r="U705" s="4">
        <v>28</v>
      </c>
      <c r="V705" s="4">
        <v>0</v>
      </c>
      <c r="W705" s="4">
        <v>0</v>
      </c>
    </row>
    <row r="706" spans="1:23" ht="11.25" customHeight="1" x14ac:dyDescent="0.25">
      <c r="A706" s="4" t="s">
        <v>21</v>
      </c>
      <c r="B706" s="4" t="s">
        <v>41</v>
      </c>
      <c r="C706" s="4" t="s">
        <v>64</v>
      </c>
      <c r="D706" s="4" t="s">
        <v>25</v>
      </c>
      <c r="E706" s="4" t="s">
        <v>25</v>
      </c>
      <c r="F706" s="4" t="s">
        <v>25</v>
      </c>
      <c r="G706" s="4" t="s">
        <v>79</v>
      </c>
      <c r="H706" s="4" t="s">
        <v>25</v>
      </c>
      <c r="I706" s="5">
        <v>44531</v>
      </c>
      <c r="J706" s="6">
        <v>770</v>
      </c>
      <c r="K706" s="6">
        <v>770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4" t="s">
        <v>66</v>
      </c>
      <c r="R706" s="4">
        <v>2535</v>
      </c>
      <c r="S706" s="4" t="s">
        <v>429</v>
      </c>
      <c r="U706" s="4">
        <v>28</v>
      </c>
      <c r="V706" s="4">
        <v>0</v>
      </c>
      <c r="W706" s="4">
        <v>0</v>
      </c>
    </row>
    <row r="707" spans="1:23" ht="11.25" customHeight="1" x14ac:dyDescent="0.25">
      <c r="A707" s="4" t="s">
        <v>21</v>
      </c>
      <c r="B707" s="4" t="s">
        <v>41</v>
      </c>
      <c r="C707" s="4" t="s">
        <v>64</v>
      </c>
      <c r="D707" s="4" t="s">
        <v>25</v>
      </c>
      <c r="E707" s="4" t="s">
        <v>25</v>
      </c>
      <c r="F707" s="4" t="s">
        <v>25</v>
      </c>
      <c r="G707" s="4" t="s">
        <v>80</v>
      </c>
      <c r="H707" s="4" t="s">
        <v>25</v>
      </c>
      <c r="I707" s="5">
        <v>44531</v>
      </c>
      <c r="J707" s="6">
        <v>1416</v>
      </c>
      <c r="K707" s="6">
        <v>1416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4" t="s">
        <v>66</v>
      </c>
      <c r="R707" s="4">
        <v>2751</v>
      </c>
      <c r="S707" s="4" t="s">
        <v>429</v>
      </c>
      <c r="U707" s="4">
        <v>28</v>
      </c>
      <c r="V707" s="4">
        <v>0</v>
      </c>
      <c r="W707" s="4">
        <v>0</v>
      </c>
    </row>
    <row r="708" spans="1:23" ht="11.25" customHeight="1" x14ac:dyDescent="0.25">
      <c r="A708" s="4" t="s">
        <v>21</v>
      </c>
      <c r="B708" s="4" t="s">
        <v>41</v>
      </c>
      <c r="C708" s="4" t="s">
        <v>64</v>
      </c>
      <c r="D708" s="4" t="s">
        <v>25</v>
      </c>
      <c r="E708" s="4" t="s">
        <v>25</v>
      </c>
      <c r="F708" s="4" t="s">
        <v>25</v>
      </c>
      <c r="G708" s="4" t="s">
        <v>88</v>
      </c>
      <c r="H708" s="4" t="s">
        <v>25</v>
      </c>
      <c r="I708" s="5">
        <v>44531</v>
      </c>
      <c r="J708" s="6">
        <v>9500</v>
      </c>
      <c r="K708" s="6">
        <v>4750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4" t="s">
        <v>66</v>
      </c>
      <c r="R708" s="4">
        <v>27722</v>
      </c>
      <c r="S708" s="4" t="s">
        <v>429</v>
      </c>
      <c r="U708" s="4">
        <v>28</v>
      </c>
      <c r="V708" s="4">
        <v>0</v>
      </c>
      <c r="W708" s="4">
        <v>0</v>
      </c>
    </row>
    <row r="709" spans="1:23" ht="11.25" customHeight="1" x14ac:dyDescent="0.25">
      <c r="A709" s="4" t="s">
        <v>21</v>
      </c>
      <c r="B709" s="4" t="s">
        <v>41</v>
      </c>
      <c r="C709" s="4" t="s">
        <v>64</v>
      </c>
      <c r="D709" s="4" t="s">
        <v>25</v>
      </c>
      <c r="E709" s="4" t="s">
        <v>25</v>
      </c>
      <c r="F709" s="4" t="s">
        <v>25</v>
      </c>
      <c r="G709" s="4" t="s">
        <v>90</v>
      </c>
      <c r="H709" s="4" t="s">
        <v>25</v>
      </c>
      <c r="I709" s="5">
        <v>44531</v>
      </c>
      <c r="J709" s="6">
        <v>420</v>
      </c>
      <c r="K709" s="6">
        <v>420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4" t="s">
        <v>66</v>
      </c>
      <c r="R709" s="4">
        <v>27928</v>
      </c>
      <c r="S709" s="4" t="s">
        <v>429</v>
      </c>
      <c r="U709" s="4">
        <v>28</v>
      </c>
      <c r="V709" s="4">
        <v>0</v>
      </c>
      <c r="W709" s="4">
        <v>0</v>
      </c>
    </row>
    <row r="710" spans="1:23" ht="11.25" customHeight="1" x14ac:dyDescent="0.25">
      <c r="A710" s="4" t="s">
        <v>21</v>
      </c>
      <c r="B710" s="4" t="s">
        <v>41</v>
      </c>
      <c r="C710" s="4" t="s">
        <v>64</v>
      </c>
      <c r="D710" s="4" t="s">
        <v>25</v>
      </c>
      <c r="E710" s="4" t="s">
        <v>25</v>
      </c>
      <c r="F710" s="4" t="s">
        <v>25</v>
      </c>
      <c r="G710" s="4" t="s">
        <v>93</v>
      </c>
      <c r="H710" s="4" t="s">
        <v>25</v>
      </c>
      <c r="I710" s="5">
        <v>44531</v>
      </c>
      <c r="J710" s="6">
        <v>1300</v>
      </c>
      <c r="K710" s="6">
        <v>650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4" t="s">
        <v>66</v>
      </c>
      <c r="R710" s="4">
        <v>30847</v>
      </c>
      <c r="S710" s="4" t="s">
        <v>429</v>
      </c>
      <c r="U710" s="4">
        <v>28</v>
      </c>
      <c r="V710" s="4">
        <v>0</v>
      </c>
      <c r="W710" s="4">
        <v>0</v>
      </c>
    </row>
    <row r="711" spans="1:23" ht="11.25" customHeight="1" x14ac:dyDescent="0.25">
      <c r="A711" s="4" t="s">
        <v>21</v>
      </c>
      <c r="B711" s="4" t="s">
        <v>41</v>
      </c>
      <c r="C711" s="4" t="s">
        <v>64</v>
      </c>
      <c r="D711" s="4" t="s">
        <v>25</v>
      </c>
      <c r="E711" s="4" t="s">
        <v>25</v>
      </c>
      <c r="F711" s="4" t="s">
        <v>25</v>
      </c>
      <c r="G711" s="4" t="s">
        <v>94</v>
      </c>
      <c r="H711" s="4" t="s">
        <v>25</v>
      </c>
      <c r="I711" s="5">
        <v>44531</v>
      </c>
      <c r="J711" s="6">
        <v>1180</v>
      </c>
      <c r="K711" s="6">
        <v>590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4" t="s">
        <v>66</v>
      </c>
      <c r="R711" s="4">
        <v>30866</v>
      </c>
      <c r="S711" s="4" t="s">
        <v>429</v>
      </c>
      <c r="U711" s="4">
        <v>28</v>
      </c>
      <c r="V711" s="4">
        <v>0</v>
      </c>
      <c r="W711" s="4">
        <v>0</v>
      </c>
    </row>
    <row r="712" spans="1:23" ht="11.25" customHeight="1" x14ac:dyDescent="0.25">
      <c r="A712" s="4" t="s">
        <v>21</v>
      </c>
      <c r="B712" s="4" t="s">
        <v>41</v>
      </c>
      <c r="C712" s="4" t="s">
        <v>64</v>
      </c>
      <c r="D712" s="4" t="s">
        <v>25</v>
      </c>
      <c r="E712" s="4" t="s">
        <v>25</v>
      </c>
      <c r="F712" s="4" t="s">
        <v>25</v>
      </c>
      <c r="G712" s="4" t="s">
        <v>95</v>
      </c>
      <c r="H712" s="4" t="s">
        <v>25</v>
      </c>
      <c r="I712" s="5">
        <v>44531</v>
      </c>
      <c r="J712" s="6">
        <v>1180</v>
      </c>
      <c r="K712" s="6">
        <v>590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4" t="s">
        <v>66</v>
      </c>
      <c r="R712" s="4">
        <v>31051</v>
      </c>
      <c r="S712" s="4" t="s">
        <v>429</v>
      </c>
      <c r="U712" s="4">
        <v>28</v>
      </c>
      <c r="V712" s="4">
        <v>0</v>
      </c>
      <c r="W712" s="4">
        <v>0</v>
      </c>
    </row>
    <row r="713" spans="1:23" ht="11.25" customHeight="1" x14ac:dyDescent="0.25">
      <c r="A713" s="4" t="s">
        <v>21</v>
      </c>
      <c r="B713" s="4" t="s">
        <v>41</v>
      </c>
      <c r="C713" s="4" t="s">
        <v>64</v>
      </c>
      <c r="D713" s="4" t="s">
        <v>25</v>
      </c>
      <c r="E713" s="4" t="s">
        <v>25</v>
      </c>
      <c r="F713" s="4" t="s">
        <v>25</v>
      </c>
      <c r="G713" s="4" t="s">
        <v>96</v>
      </c>
      <c r="H713" s="4" t="s">
        <v>25</v>
      </c>
      <c r="I713" s="5">
        <v>44531</v>
      </c>
      <c r="J713" s="6">
        <v>1000</v>
      </c>
      <c r="K713" s="6">
        <v>500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4" t="s">
        <v>66</v>
      </c>
      <c r="R713" s="4">
        <v>31277</v>
      </c>
      <c r="S713" s="4" t="s">
        <v>429</v>
      </c>
      <c r="U713" s="4">
        <v>28</v>
      </c>
      <c r="V713" s="4">
        <v>0</v>
      </c>
      <c r="W713" s="4">
        <v>0</v>
      </c>
    </row>
    <row r="714" spans="1:23" ht="11.25" customHeight="1" x14ac:dyDescent="0.25">
      <c r="A714" s="4" t="s">
        <v>21</v>
      </c>
      <c r="B714" s="4" t="s">
        <v>41</v>
      </c>
      <c r="C714" s="4" t="s">
        <v>64</v>
      </c>
      <c r="D714" s="4" t="s">
        <v>25</v>
      </c>
      <c r="E714" s="4" t="s">
        <v>25</v>
      </c>
      <c r="F714" s="4" t="s">
        <v>25</v>
      </c>
      <c r="G714" s="4" t="s">
        <v>97</v>
      </c>
      <c r="H714" s="4" t="s">
        <v>25</v>
      </c>
      <c r="I714" s="5">
        <v>44531</v>
      </c>
      <c r="J714" s="6">
        <v>1180</v>
      </c>
      <c r="K714" s="6">
        <v>590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4" t="s">
        <v>66</v>
      </c>
      <c r="R714" s="4">
        <v>31318</v>
      </c>
      <c r="S714" s="4" t="s">
        <v>429</v>
      </c>
      <c r="U714" s="4">
        <v>28</v>
      </c>
      <c r="V714" s="4">
        <v>0</v>
      </c>
      <c r="W714" s="4">
        <v>0</v>
      </c>
    </row>
    <row r="715" spans="1:23" ht="11.25" customHeight="1" x14ac:dyDescent="0.25">
      <c r="A715" s="4" t="s">
        <v>21</v>
      </c>
      <c r="B715" s="4" t="s">
        <v>41</v>
      </c>
      <c r="C715" s="4" t="s">
        <v>64</v>
      </c>
      <c r="D715" s="4" t="s">
        <v>25</v>
      </c>
      <c r="E715" s="4" t="s">
        <v>25</v>
      </c>
      <c r="F715" s="4" t="s">
        <v>25</v>
      </c>
      <c r="G715" s="4" t="s">
        <v>98</v>
      </c>
      <c r="H715" s="4" t="s">
        <v>25</v>
      </c>
      <c r="I715" s="5">
        <v>44531</v>
      </c>
      <c r="J715" s="6">
        <v>3011</v>
      </c>
      <c r="K715" s="6">
        <v>1505.5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4" t="s">
        <v>66</v>
      </c>
      <c r="R715" s="4">
        <v>31334</v>
      </c>
      <c r="S715" s="4" t="s">
        <v>429</v>
      </c>
      <c r="U715" s="4">
        <v>28</v>
      </c>
      <c r="V715" s="4">
        <v>0</v>
      </c>
      <c r="W715" s="4">
        <v>0</v>
      </c>
    </row>
    <row r="716" spans="1:23" ht="11.25" customHeight="1" x14ac:dyDescent="0.25">
      <c r="A716" s="4" t="s">
        <v>21</v>
      </c>
      <c r="B716" s="4" t="s">
        <v>41</v>
      </c>
      <c r="C716" s="4" t="s">
        <v>64</v>
      </c>
      <c r="D716" s="4" t="s">
        <v>25</v>
      </c>
      <c r="E716" s="4" t="s">
        <v>25</v>
      </c>
      <c r="F716" s="4" t="s">
        <v>25</v>
      </c>
      <c r="G716" s="4" t="s">
        <v>99</v>
      </c>
      <c r="H716" s="4" t="s">
        <v>25</v>
      </c>
      <c r="I716" s="5">
        <v>44531</v>
      </c>
      <c r="J716" s="6">
        <v>1180</v>
      </c>
      <c r="K716" s="6">
        <v>590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4" t="s">
        <v>66</v>
      </c>
      <c r="R716" s="4">
        <v>31618</v>
      </c>
      <c r="S716" s="4" t="s">
        <v>429</v>
      </c>
      <c r="U716" s="4">
        <v>28</v>
      </c>
      <c r="V716" s="4">
        <v>0</v>
      </c>
      <c r="W716" s="4">
        <v>0</v>
      </c>
    </row>
    <row r="717" spans="1:23" ht="11.25" customHeight="1" x14ac:dyDescent="0.25">
      <c r="A717" s="4" t="s">
        <v>21</v>
      </c>
      <c r="B717" s="4" t="s">
        <v>41</v>
      </c>
      <c r="C717" s="4" t="s">
        <v>64</v>
      </c>
      <c r="D717" s="4" t="s">
        <v>25</v>
      </c>
      <c r="E717" s="4" t="s">
        <v>25</v>
      </c>
      <c r="F717" s="4" t="s">
        <v>25</v>
      </c>
      <c r="G717" s="4" t="s">
        <v>100</v>
      </c>
      <c r="H717" s="4" t="s">
        <v>25</v>
      </c>
      <c r="I717" s="5">
        <v>44531</v>
      </c>
      <c r="J717" s="6">
        <v>1180</v>
      </c>
      <c r="K717" s="6">
        <v>590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4" t="s">
        <v>66</v>
      </c>
      <c r="R717" s="4">
        <v>31677</v>
      </c>
      <c r="S717" s="4" t="s">
        <v>429</v>
      </c>
      <c r="U717" s="4">
        <v>28</v>
      </c>
      <c r="V717" s="4">
        <v>0</v>
      </c>
      <c r="W717" s="4">
        <v>0</v>
      </c>
    </row>
    <row r="718" spans="1:23" ht="11.25" customHeight="1" x14ac:dyDescent="0.25">
      <c r="A718" s="4" t="s">
        <v>21</v>
      </c>
      <c r="B718" s="4" t="s">
        <v>41</v>
      </c>
      <c r="C718" s="4" t="s">
        <v>64</v>
      </c>
      <c r="D718" s="4" t="s">
        <v>25</v>
      </c>
      <c r="E718" s="4" t="s">
        <v>25</v>
      </c>
      <c r="F718" s="4" t="s">
        <v>25</v>
      </c>
      <c r="G718" s="4" t="s">
        <v>68</v>
      </c>
      <c r="H718" s="4" t="s">
        <v>25</v>
      </c>
      <c r="I718" s="5">
        <v>44562</v>
      </c>
      <c r="J718" s="6">
        <v>302</v>
      </c>
      <c r="K718" s="6">
        <v>302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4" t="s">
        <v>66</v>
      </c>
      <c r="R718" s="4">
        <v>404</v>
      </c>
      <c r="S718" s="4" t="s">
        <v>430</v>
      </c>
      <c r="U718" s="4">
        <v>28</v>
      </c>
      <c r="V718" s="4">
        <v>0</v>
      </c>
      <c r="W718" s="4">
        <v>0</v>
      </c>
    </row>
    <row r="719" spans="1:23" ht="11.25" customHeight="1" x14ac:dyDescent="0.25">
      <c r="A719" s="4" t="s">
        <v>21</v>
      </c>
      <c r="B719" s="4" t="s">
        <v>41</v>
      </c>
      <c r="C719" s="4" t="s">
        <v>64</v>
      </c>
      <c r="D719" s="4" t="s">
        <v>25</v>
      </c>
      <c r="E719" s="4" t="s">
        <v>25</v>
      </c>
      <c r="F719" s="4" t="s">
        <v>25</v>
      </c>
      <c r="G719" s="4" t="s">
        <v>70</v>
      </c>
      <c r="H719" s="4" t="s">
        <v>25</v>
      </c>
      <c r="I719" s="5">
        <v>44562</v>
      </c>
      <c r="J719" s="6">
        <v>5040</v>
      </c>
      <c r="K719" s="6">
        <v>5040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4" t="s">
        <v>66</v>
      </c>
      <c r="R719" s="4">
        <v>838</v>
      </c>
      <c r="S719" s="4" t="s">
        <v>430</v>
      </c>
      <c r="U719" s="4">
        <v>28</v>
      </c>
      <c r="V719" s="4">
        <v>0</v>
      </c>
      <c r="W719" s="4">
        <v>0</v>
      </c>
    </row>
    <row r="720" spans="1:23" ht="11.25" customHeight="1" x14ac:dyDescent="0.25">
      <c r="A720" s="4" t="s">
        <v>21</v>
      </c>
      <c r="B720" s="4" t="s">
        <v>41</v>
      </c>
      <c r="C720" s="4" t="s">
        <v>64</v>
      </c>
      <c r="D720" s="4" t="s">
        <v>25</v>
      </c>
      <c r="E720" s="4" t="s">
        <v>25</v>
      </c>
      <c r="F720" s="4" t="s">
        <v>25</v>
      </c>
      <c r="G720" s="4" t="s">
        <v>74</v>
      </c>
      <c r="H720" s="4" t="s">
        <v>25</v>
      </c>
      <c r="I720" s="5">
        <v>44562</v>
      </c>
      <c r="J720" s="6">
        <v>3859</v>
      </c>
      <c r="K720" s="6">
        <v>1929.5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4" t="s">
        <v>66</v>
      </c>
      <c r="R720" s="4">
        <v>1192</v>
      </c>
      <c r="S720" s="4" t="s">
        <v>430</v>
      </c>
      <c r="U720" s="4">
        <v>28</v>
      </c>
      <c r="V720" s="4">
        <v>0</v>
      </c>
      <c r="W720" s="4">
        <v>0</v>
      </c>
    </row>
    <row r="721" spans="1:23" ht="11.25" customHeight="1" x14ac:dyDescent="0.25">
      <c r="A721" s="4" t="s">
        <v>21</v>
      </c>
      <c r="B721" s="4" t="s">
        <v>41</v>
      </c>
      <c r="C721" s="4" t="s">
        <v>64</v>
      </c>
      <c r="D721" s="4" t="s">
        <v>25</v>
      </c>
      <c r="E721" s="4" t="s">
        <v>25</v>
      </c>
      <c r="F721" s="4" t="s">
        <v>25</v>
      </c>
      <c r="G721" s="4" t="s">
        <v>76</v>
      </c>
      <c r="H721" s="4" t="s">
        <v>25</v>
      </c>
      <c r="I721" s="5">
        <v>44562</v>
      </c>
      <c r="J721" s="6">
        <v>480</v>
      </c>
      <c r="K721" s="6">
        <v>480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4" t="s">
        <v>66</v>
      </c>
      <c r="R721" s="4">
        <v>1438</v>
      </c>
      <c r="S721" s="4" t="s">
        <v>430</v>
      </c>
      <c r="U721" s="4">
        <v>28</v>
      </c>
      <c r="V721" s="4">
        <v>0</v>
      </c>
      <c r="W721" s="4">
        <v>0</v>
      </c>
    </row>
    <row r="722" spans="1:23" ht="11.25" customHeight="1" x14ac:dyDescent="0.25">
      <c r="A722" s="4" t="s">
        <v>21</v>
      </c>
      <c r="B722" s="4" t="s">
        <v>41</v>
      </c>
      <c r="C722" s="4" t="s">
        <v>64</v>
      </c>
      <c r="D722" s="4" t="s">
        <v>25</v>
      </c>
      <c r="E722" s="4" t="s">
        <v>25</v>
      </c>
      <c r="F722" s="4" t="s">
        <v>25</v>
      </c>
      <c r="G722" s="4" t="s">
        <v>77</v>
      </c>
      <c r="H722" s="4" t="s">
        <v>25</v>
      </c>
      <c r="I722" s="5">
        <v>44562</v>
      </c>
      <c r="J722" s="6">
        <v>736</v>
      </c>
      <c r="K722" s="6">
        <v>736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4" t="s">
        <v>66</v>
      </c>
      <c r="R722" s="4">
        <v>1462</v>
      </c>
      <c r="S722" s="4" t="s">
        <v>430</v>
      </c>
      <c r="U722" s="4">
        <v>28</v>
      </c>
      <c r="V722" s="4">
        <v>0</v>
      </c>
      <c r="W722" s="4">
        <v>0</v>
      </c>
    </row>
    <row r="723" spans="1:23" ht="11.25" customHeight="1" x14ac:dyDescent="0.25">
      <c r="A723" s="4" t="s">
        <v>21</v>
      </c>
      <c r="B723" s="4" t="s">
        <v>41</v>
      </c>
      <c r="C723" s="4" t="s">
        <v>64</v>
      </c>
      <c r="D723" s="4" t="s">
        <v>25</v>
      </c>
      <c r="E723" s="4" t="s">
        <v>25</v>
      </c>
      <c r="F723" s="4" t="s">
        <v>25</v>
      </c>
      <c r="G723" s="4" t="s">
        <v>78</v>
      </c>
      <c r="H723" s="4" t="s">
        <v>25</v>
      </c>
      <c r="I723" s="5">
        <v>44562</v>
      </c>
      <c r="J723" s="6">
        <v>6460</v>
      </c>
      <c r="K723" s="6">
        <v>6460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4" t="s">
        <v>66</v>
      </c>
      <c r="R723" s="4">
        <v>1533</v>
      </c>
      <c r="S723" s="4" t="s">
        <v>430</v>
      </c>
      <c r="U723" s="4">
        <v>28</v>
      </c>
      <c r="V723" s="4">
        <v>0</v>
      </c>
      <c r="W723" s="4">
        <v>0</v>
      </c>
    </row>
    <row r="724" spans="1:23" ht="11.25" customHeight="1" x14ac:dyDescent="0.25">
      <c r="A724" s="4" t="s">
        <v>21</v>
      </c>
      <c r="B724" s="4" t="s">
        <v>41</v>
      </c>
      <c r="C724" s="4" t="s">
        <v>64</v>
      </c>
      <c r="D724" s="4" t="s">
        <v>25</v>
      </c>
      <c r="E724" s="4" t="s">
        <v>25</v>
      </c>
      <c r="F724" s="4" t="s">
        <v>25</v>
      </c>
      <c r="G724" s="4" t="s">
        <v>79</v>
      </c>
      <c r="H724" s="4" t="s">
        <v>25</v>
      </c>
      <c r="I724" s="5">
        <v>44562</v>
      </c>
      <c r="J724" s="6">
        <v>770</v>
      </c>
      <c r="K724" s="6">
        <v>770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4" t="s">
        <v>66</v>
      </c>
      <c r="R724" s="4">
        <v>2535</v>
      </c>
      <c r="S724" s="4" t="s">
        <v>430</v>
      </c>
      <c r="U724" s="4">
        <v>28</v>
      </c>
      <c r="V724" s="4">
        <v>0</v>
      </c>
      <c r="W724" s="4">
        <v>0</v>
      </c>
    </row>
    <row r="725" spans="1:23" ht="11.25" customHeight="1" x14ac:dyDescent="0.25">
      <c r="A725" s="4" t="s">
        <v>21</v>
      </c>
      <c r="B725" s="4" t="s">
        <v>41</v>
      </c>
      <c r="C725" s="4" t="s">
        <v>64</v>
      </c>
      <c r="D725" s="4" t="s">
        <v>25</v>
      </c>
      <c r="E725" s="4" t="s">
        <v>25</v>
      </c>
      <c r="F725" s="4" t="s">
        <v>25</v>
      </c>
      <c r="G725" s="4" t="s">
        <v>80</v>
      </c>
      <c r="H725" s="4" t="s">
        <v>25</v>
      </c>
      <c r="I725" s="5">
        <v>44562</v>
      </c>
      <c r="J725" s="6">
        <v>1416</v>
      </c>
      <c r="K725" s="6">
        <v>1416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4" t="s">
        <v>66</v>
      </c>
      <c r="R725" s="4">
        <v>2751</v>
      </c>
      <c r="S725" s="4" t="s">
        <v>430</v>
      </c>
      <c r="U725" s="4">
        <v>28</v>
      </c>
      <c r="V725" s="4">
        <v>0</v>
      </c>
      <c r="W725" s="4">
        <v>0</v>
      </c>
    </row>
    <row r="726" spans="1:23" ht="11.25" customHeight="1" x14ac:dyDescent="0.25">
      <c r="A726" s="4" t="s">
        <v>21</v>
      </c>
      <c r="B726" s="4" t="s">
        <v>41</v>
      </c>
      <c r="C726" s="4" t="s">
        <v>64</v>
      </c>
      <c r="D726" s="4" t="s">
        <v>25</v>
      </c>
      <c r="E726" s="4" t="s">
        <v>25</v>
      </c>
      <c r="F726" s="4" t="s">
        <v>25</v>
      </c>
      <c r="G726" s="4" t="s">
        <v>88</v>
      </c>
      <c r="H726" s="4" t="s">
        <v>25</v>
      </c>
      <c r="I726" s="5">
        <v>44562</v>
      </c>
      <c r="J726" s="6">
        <v>9500</v>
      </c>
      <c r="K726" s="6">
        <v>4750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4" t="s">
        <v>66</v>
      </c>
      <c r="R726" s="4">
        <v>27722</v>
      </c>
      <c r="S726" s="4" t="s">
        <v>430</v>
      </c>
      <c r="U726" s="4">
        <v>28</v>
      </c>
      <c r="V726" s="4">
        <v>0</v>
      </c>
      <c r="W726" s="4">
        <v>0</v>
      </c>
    </row>
    <row r="727" spans="1:23" ht="11.25" customHeight="1" x14ac:dyDescent="0.25">
      <c r="A727" s="4" t="s">
        <v>21</v>
      </c>
      <c r="B727" s="4" t="s">
        <v>41</v>
      </c>
      <c r="C727" s="4" t="s">
        <v>64</v>
      </c>
      <c r="D727" s="4" t="s">
        <v>25</v>
      </c>
      <c r="E727" s="4" t="s">
        <v>25</v>
      </c>
      <c r="F727" s="4" t="s">
        <v>25</v>
      </c>
      <c r="G727" s="4" t="s">
        <v>90</v>
      </c>
      <c r="H727" s="4" t="s">
        <v>25</v>
      </c>
      <c r="I727" s="5">
        <v>44562</v>
      </c>
      <c r="J727" s="6">
        <v>420</v>
      </c>
      <c r="K727" s="6">
        <v>420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4" t="s">
        <v>66</v>
      </c>
      <c r="R727" s="4">
        <v>27928</v>
      </c>
      <c r="S727" s="4" t="s">
        <v>430</v>
      </c>
      <c r="U727" s="4">
        <v>28</v>
      </c>
      <c r="V727" s="4">
        <v>0</v>
      </c>
      <c r="W727" s="4">
        <v>0</v>
      </c>
    </row>
    <row r="728" spans="1:23" ht="11.25" customHeight="1" x14ac:dyDescent="0.25">
      <c r="A728" s="4" t="s">
        <v>21</v>
      </c>
      <c r="B728" s="4" t="s">
        <v>41</v>
      </c>
      <c r="C728" s="4" t="s">
        <v>64</v>
      </c>
      <c r="D728" s="4" t="s">
        <v>25</v>
      </c>
      <c r="E728" s="4" t="s">
        <v>25</v>
      </c>
      <c r="F728" s="4" t="s">
        <v>25</v>
      </c>
      <c r="G728" s="4" t="s">
        <v>93</v>
      </c>
      <c r="H728" s="4" t="s">
        <v>25</v>
      </c>
      <c r="I728" s="5">
        <v>44562</v>
      </c>
      <c r="J728" s="6">
        <v>1300</v>
      </c>
      <c r="K728" s="6">
        <v>650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4" t="s">
        <v>66</v>
      </c>
      <c r="R728" s="4">
        <v>30847</v>
      </c>
      <c r="S728" s="4" t="s">
        <v>430</v>
      </c>
      <c r="U728" s="4">
        <v>28</v>
      </c>
      <c r="V728" s="4">
        <v>0</v>
      </c>
      <c r="W728" s="4">
        <v>0</v>
      </c>
    </row>
    <row r="729" spans="1:23" ht="11.25" customHeight="1" x14ac:dyDescent="0.25">
      <c r="A729" s="4" t="s">
        <v>21</v>
      </c>
      <c r="B729" s="4" t="s">
        <v>41</v>
      </c>
      <c r="C729" s="4" t="s">
        <v>64</v>
      </c>
      <c r="D729" s="4" t="s">
        <v>25</v>
      </c>
      <c r="E729" s="4" t="s">
        <v>25</v>
      </c>
      <c r="F729" s="4" t="s">
        <v>25</v>
      </c>
      <c r="G729" s="4" t="s">
        <v>94</v>
      </c>
      <c r="H729" s="4" t="s">
        <v>25</v>
      </c>
      <c r="I729" s="5">
        <v>44562</v>
      </c>
      <c r="J729" s="6">
        <v>1180</v>
      </c>
      <c r="K729" s="6">
        <v>590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4" t="s">
        <v>66</v>
      </c>
      <c r="R729" s="4">
        <v>30866</v>
      </c>
      <c r="S729" s="4" t="s">
        <v>430</v>
      </c>
      <c r="U729" s="4">
        <v>28</v>
      </c>
      <c r="V729" s="4">
        <v>0</v>
      </c>
      <c r="W729" s="4">
        <v>0</v>
      </c>
    </row>
    <row r="730" spans="1:23" ht="11.25" customHeight="1" x14ac:dyDescent="0.25">
      <c r="A730" s="4" t="s">
        <v>21</v>
      </c>
      <c r="B730" s="4" t="s">
        <v>41</v>
      </c>
      <c r="C730" s="4" t="s">
        <v>64</v>
      </c>
      <c r="D730" s="4" t="s">
        <v>25</v>
      </c>
      <c r="E730" s="4" t="s">
        <v>25</v>
      </c>
      <c r="F730" s="4" t="s">
        <v>25</v>
      </c>
      <c r="G730" s="4" t="s">
        <v>95</v>
      </c>
      <c r="H730" s="4" t="s">
        <v>25</v>
      </c>
      <c r="I730" s="5">
        <v>44562</v>
      </c>
      <c r="J730" s="6">
        <v>1180</v>
      </c>
      <c r="K730" s="6">
        <v>590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4" t="s">
        <v>66</v>
      </c>
      <c r="R730" s="4">
        <v>31051</v>
      </c>
      <c r="S730" s="4" t="s">
        <v>430</v>
      </c>
      <c r="U730" s="4">
        <v>28</v>
      </c>
      <c r="V730" s="4">
        <v>0</v>
      </c>
      <c r="W730" s="4">
        <v>0</v>
      </c>
    </row>
    <row r="731" spans="1:23" ht="11.25" customHeight="1" x14ac:dyDescent="0.25">
      <c r="A731" s="4" t="s">
        <v>21</v>
      </c>
      <c r="B731" s="4" t="s">
        <v>41</v>
      </c>
      <c r="C731" s="4" t="s">
        <v>64</v>
      </c>
      <c r="D731" s="4" t="s">
        <v>25</v>
      </c>
      <c r="E731" s="4" t="s">
        <v>25</v>
      </c>
      <c r="F731" s="4" t="s">
        <v>25</v>
      </c>
      <c r="G731" s="4" t="s">
        <v>96</v>
      </c>
      <c r="H731" s="4" t="s">
        <v>25</v>
      </c>
      <c r="I731" s="5">
        <v>44562</v>
      </c>
      <c r="J731" s="6">
        <v>1000</v>
      </c>
      <c r="K731" s="6">
        <v>500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4" t="s">
        <v>66</v>
      </c>
      <c r="R731" s="4">
        <v>31277</v>
      </c>
      <c r="S731" s="4" t="s">
        <v>430</v>
      </c>
      <c r="U731" s="4">
        <v>28</v>
      </c>
      <c r="V731" s="4">
        <v>0</v>
      </c>
      <c r="W731" s="4">
        <v>0</v>
      </c>
    </row>
    <row r="732" spans="1:23" ht="11.25" customHeight="1" x14ac:dyDescent="0.25">
      <c r="A732" s="4" t="s">
        <v>21</v>
      </c>
      <c r="B732" s="4" t="s">
        <v>41</v>
      </c>
      <c r="C732" s="4" t="s">
        <v>64</v>
      </c>
      <c r="D732" s="4" t="s">
        <v>25</v>
      </c>
      <c r="E732" s="4" t="s">
        <v>25</v>
      </c>
      <c r="F732" s="4" t="s">
        <v>25</v>
      </c>
      <c r="G732" s="4" t="s">
        <v>97</v>
      </c>
      <c r="H732" s="4" t="s">
        <v>25</v>
      </c>
      <c r="I732" s="5">
        <v>44562</v>
      </c>
      <c r="J732" s="6">
        <v>1180</v>
      </c>
      <c r="K732" s="6">
        <v>590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4" t="s">
        <v>66</v>
      </c>
      <c r="R732" s="4">
        <v>31318</v>
      </c>
      <c r="S732" s="4" t="s">
        <v>430</v>
      </c>
      <c r="U732" s="4">
        <v>28</v>
      </c>
      <c r="V732" s="4">
        <v>0</v>
      </c>
      <c r="W732" s="4">
        <v>0</v>
      </c>
    </row>
    <row r="733" spans="1:23" ht="11.25" customHeight="1" x14ac:dyDescent="0.25">
      <c r="A733" s="4" t="s">
        <v>21</v>
      </c>
      <c r="B733" s="4" t="s">
        <v>41</v>
      </c>
      <c r="C733" s="4" t="s">
        <v>64</v>
      </c>
      <c r="D733" s="4" t="s">
        <v>25</v>
      </c>
      <c r="E733" s="4" t="s">
        <v>25</v>
      </c>
      <c r="F733" s="4" t="s">
        <v>25</v>
      </c>
      <c r="G733" s="4" t="s">
        <v>98</v>
      </c>
      <c r="H733" s="4" t="s">
        <v>25</v>
      </c>
      <c r="I733" s="5">
        <v>44562</v>
      </c>
      <c r="J733" s="6">
        <v>3025</v>
      </c>
      <c r="K733" s="6">
        <v>1512.5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4" t="s">
        <v>66</v>
      </c>
      <c r="R733" s="4">
        <v>31334</v>
      </c>
      <c r="S733" s="4" t="s">
        <v>430</v>
      </c>
      <c r="U733" s="4">
        <v>28</v>
      </c>
      <c r="V733" s="4">
        <v>0</v>
      </c>
      <c r="W733" s="4">
        <v>0</v>
      </c>
    </row>
    <row r="734" spans="1:23" ht="11.25" customHeight="1" x14ac:dyDescent="0.25">
      <c r="A734" s="4" t="s">
        <v>21</v>
      </c>
      <c r="B734" s="4" t="s">
        <v>41</v>
      </c>
      <c r="C734" s="4" t="s">
        <v>64</v>
      </c>
      <c r="D734" s="4" t="s">
        <v>25</v>
      </c>
      <c r="E734" s="4" t="s">
        <v>25</v>
      </c>
      <c r="F734" s="4" t="s">
        <v>25</v>
      </c>
      <c r="G734" s="4" t="s">
        <v>99</v>
      </c>
      <c r="H734" s="4" t="s">
        <v>25</v>
      </c>
      <c r="I734" s="5">
        <v>44562</v>
      </c>
      <c r="J734" s="6">
        <v>1180</v>
      </c>
      <c r="K734" s="6">
        <v>590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4" t="s">
        <v>66</v>
      </c>
      <c r="R734" s="4">
        <v>31618</v>
      </c>
      <c r="S734" s="4" t="s">
        <v>430</v>
      </c>
      <c r="U734" s="4">
        <v>28</v>
      </c>
      <c r="V734" s="4">
        <v>0</v>
      </c>
      <c r="W734" s="4">
        <v>0</v>
      </c>
    </row>
    <row r="735" spans="1:23" ht="11.25" customHeight="1" x14ac:dyDescent="0.25">
      <c r="A735" s="4" t="s">
        <v>21</v>
      </c>
      <c r="B735" s="4" t="s">
        <v>41</v>
      </c>
      <c r="C735" s="4" t="s">
        <v>64</v>
      </c>
      <c r="D735" s="4" t="s">
        <v>25</v>
      </c>
      <c r="E735" s="4" t="s">
        <v>25</v>
      </c>
      <c r="F735" s="4" t="s">
        <v>25</v>
      </c>
      <c r="G735" s="4" t="s">
        <v>100</v>
      </c>
      <c r="H735" s="4" t="s">
        <v>25</v>
      </c>
      <c r="I735" s="5">
        <v>44562</v>
      </c>
      <c r="J735" s="6">
        <v>1180</v>
      </c>
      <c r="K735" s="6">
        <v>590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4" t="s">
        <v>66</v>
      </c>
      <c r="R735" s="4">
        <v>31677</v>
      </c>
      <c r="S735" s="4" t="s">
        <v>430</v>
      </c>
      <c r="U735" s="4">
        <v>28</v>
      </c>
      <c r="V735" s="4">
        <v>0</v>
      </c>
      <c r="W735" s="4">
        <v>0</v>
      </c>
    </row>
    <row r="736" spans="1:23" ht="11.25" customHeight="1" x14ac:dyDescent="0.25">
      <c r="A736" s="4" t="s">
        <v>21</v>
      </c>
      <c r="B736" s="4" t="s">
        <v>41</v>
      </c>
      <c r="C736" s="4" t="s">
        <v>64</v>
      </c>
      <c r="D736" s="4" t="s">
        <v>25</v>
      </c>
      <c r="E736" s="4" t="s">
        <v>25</v>
      </c>
      <c r="F736" s="4" t="s">
        <v>25</v>
      </c>
      <c r="G736" s="4" t="s">
        <v>68</v>
      </c>
      <c r="H736" s="4" t="s">
        <v>25</v>
      </c>
      <c r="I736" s="5">
        <v>44593</v>
      </c>
      <c r="J736" s="6">
        <v>302</v>
      </c>
      <c r="K736" s="6">
        <v>302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4" t="s">
        <v>66</v>
      </c>
      <c r="R736" s="4">
        <v>404</v>
      </c>
      <c r="S736" s="4" t="s">
        <v>431</v>
      </c>
      <c r="U736" s="4">
        <v>28</v>
      </c>
      <c r="V736" s="4">
        <v>0</v>
      </c>
      <c r="W736" s="4">
        <v>0</v>
      </c>
    </row>
    <row r="737" spans="1:23" ht="11.25" customHeight="1" x14ac:dyDescent="0.25">
      <c r="A737" s="4" t="s">
        <v>21</v>
      </c>
      <c r="B737" s="4" t="s">
        <v>41</v>
      </c>
      <c r="C737" s="4" t="s">
        <v>64</v>
      </c>
      <c r="D737" s="4" t="s">
        <v>25</v>
      </c>
      <c r="E737" s="4" t="s">
        <v>25</v>
      </c>
      <c r="F737" s="4" t="s">
        <v>25</v>
      </c>
      <c r="G737" s="4" t="s">
        <v>70</v>
      </c>
      <c r="H737" s="4" t="s">
        <v>25</v>
      </c>
      <c r="I737" s="5">
        <v>44593</v>
      </c>
      <c r="J737" s="6">
        <v>5040</v>
      </c>
      <c r="K737" s="6">
        <v>5040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4" t="s">
        <v>66</v>
      </c>
      <c r="R737" s="4">
        <v>838</v>
      </c>
      <c r="S737" s="4" t="s">
        <v>431</v>
      </c>
      <c r="U737" s="4">
        <v>28</v>
      </c>
      <c r="V737" s="4">
        <v>0</v>
      </c>
      <c r="W737" s="4">
        <v>0</v>
      </c>
    </row>
    <row r="738" spans="1:23" ht="11.25" customHeight="1" x14ac:dyDescent="0.25">
      <c r="A738" s="4" t="s">
        <v>21</v>
      </c>
      <c r="B738" s="4" t="s">
        <v>41</v>
      </c>
      <c r="C738" s="4" t="s">
        <v>64</v>
      </c>
      <c r="D738" s="4" t="s">
        <v>25</v>
      </c>
      <c r="E738" s="4" t="s">
        <v>25</v>
      </c>
      <c r="F738" s="4" t="s">
        <v>25</v>
      </c>
      <c r="G738" s="4" t="s">
        <v>74</v>
      </c>
      <c r="H738" s="4" t="s">
        <v>25</v>
      </c>
      <c r="I738" s="5">
        <v>44593</v>
      </c>
      <c r="J738" s="6">
        <v>3800</v>
      </c>
      <c r="K738" s="6">
        <v>1900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4" t="s">
        <v>66</v>
      </c>
      <c r="R738" s="4">
        <v>1192</v>
      </c>
      <c r="S738" s="4" t="s">
        <v>431</v>
      </c>
      <c r="U738" s="4">
        <v>28</v>
      </c>
      <c r="V738" s="4">
        <v>0</v>
      </c>
      <c r="W738" s="4">
        <v>0</v>
      </c>
    </row>
    <row r="739" spans="1:23" ht="11.25" customHeight="1" x14ac:dyDescent="0.25">
      <c r="A739" s="4" t="s">
        <v>21</v>
      </c>
      <c r="B739" s="4" t="s">
        <v>41</v>
      </c>
      <c r="C739" s="4" t="s">
        <v>64</v>
      </c>
      <c r="D739" s="4" t="s">
        <v>25</v>
      </c>
      <c r="E739" s="4" t="s">
        <v>25</v>
      </c>
      <c r="F739" s="4" t="s">
        <v>25</v>
      </c>
      <c r="G739" s="4" t="s">
        <v>76</v>
      </c>
      <c r="H739" s="4" t="s">
        <v>25</v>
      </c>
      <c r="I739" s="5">
        <v>44593</v>
      </c>
      <c r="J739" s="6">
        <v>480</v>
      </c>
      <c r="K739" s="6">
        <v>480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4" t="s">
        <v>66</v>
      </c>
      <c r="R739" s="4">
        <v>1438</v>
      </c>
      <c r="S739" s="4" t="s">
        <v>431</v>
      </c>
      <c r="U739" s="4">
        <v>28</v>
      </c>
      <c r="V739" s="4">
        <v>0</v>
      </c>
      <c r="W739" s="4">
        <v>0</v>
      </c>
    </row>
    <row r="740" spans="1:23" ht="11.25" customHeight="1" x14ac:dyDescent="0.25">
      <c r="A740" s="4" t="s">
        <v>21</v>
      </c>
      <c r="B740" s="4" t="s">
        <v>41</v>
      </c>
      <c r="C740" s="4" t="s">
        <v>64</v>
      </c>
      <c r="D740" s="4" t="s">
        <v>25</v>
      </c>
      <c r="E740" s="4" t="s">
        <v>25</v>
      </c>
      <c r="F740" s="4" t="s">
        <v>25</v>
      </c>
      <c r="G740" s="4" t="s">
        <v>77</v>
      </c>
      <c r="H740" s="4" t="s">
        <v>25</v>
      </c>
      <c r="I740" s="5">
        <v>44593</v>
      </c>
      <c r="J740" s="6">
        <v>736</v>
      </c>
      <c r="K740" s="6">
        <v>736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4" t="s">
        <v>66</v>
      </c>
      <c r="R740" s="4">
        <v>1462</v>
      </c>
      <c r="S740" s="4" t="s">
        <v>431</v>
      </c>
      <c r="U740" s="4">
        <v>28</v>
      </c>
      <c r="V740" s="4">
        <v>0</v>
      </c>
      <c r="W740" s="4">
        <v>0</v>
      </c>
    </row>
    <row r="741" spans="1:23" ht="11.25" customHeight="1" x14ac:dyDescent="0.25">
      <c r="A741" s="4" t="s">
        <v>21</v>
      </c>
      <c r="B741" s="4" t="s">
        <v>41</v>
      </c>
      <c r="C741" s="4" t="s">
        <v>64</v>
      </c>
      <c r="D741" s="4" t="s">
        <v>25</v>
      </c>
      <c r="E741" s="4" t="s">
        <v>25</v>
      </c>
      <c r="F741" s="4" t="s">
        <v>25</v>
      </c>
      <c r="G741" s="4" t="s">
        <v>78</v>
      </c>
      <c r="H741" s="4" t="s">
        <v>25</v>
      </c>
      <c r="I741" s="5">
        <v>44593</v>
      </c>
      <c r="J741" s="6">
        <v>6460</v>
      </c>
      <c r="K741" s="6">
        <v>6460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4" t="s">
        <v>66</v>
      </c>
      <c r="R741" s="4">
        <v>1533</v>
      </c>
      <c r="S741" s="4" t="s">
        <v>431</v>
      </c>
      <c r="U741" s="4">
        <v>28</v>
      </c>
      <c r="V741" s="4">
        <v>0</v>
      </c>
      <c r="W741" s="4">
        <v>0</v>
      </c>
    </row>
    <row r="742" spans="1:23" ht="11.25" customHeight="1" x14ac:dyDescent="0.25">
      <c r="A742" s="4" t="s">
        <v>21</v>
      </c>
      <c r="B742" s="4" t="s">
        <v>41</v>
      </c>
      <c r="C742" s="4" t="s">
        <v>64</v>
      </c>
      <c r="D742" s="4" t="s">
        <v>25</v>
      </c>
      <c r="E742" s="4" t="s">
        <v>25</v>
      </c>
      <c r="F742" s="4" t="s">
        <v>25</v>
      </c>
      <c r="G742" s="4" t="s">
        <v>79</v>
      </c>
      <c r="H742" s="4" t="s">
        <v>25</v>
      </c>
      <c r="I742" s="5">
        <v>44593</v>
      </c>
      <c r="J742" s="6">
        <v>770</v>
      </c>
      <c r="K742" s="6">
        <v>770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4" t="s">
        <v>66</v>
      </c>
      <c r="R742" s="4">
        <v>2535</v>
      </c>
      <c r="S742" s="4" t="s">
        <v>431</v>
      </c>
      <c r="U742" s="4">
        <v>28</v>
      </c>
      <c r="V742" s="4">
        <v>0</v>
      </c>
      <c r="W742" s="4">
        <v>0</v>
      </c>
    </row>
    <row r="743" spans="1:23" ht="11.25" customHeight="1" x14ac:dyDescent="0.25">
      <c r="A743" s="4" t="s">
        <v>21</v>
      </c>
      <c r="B743" s="4" t="s">
        <v>41</v>
      </c>
      <c r="C743" s="4" t="s">
        <v>64</v>
      </c>
      <c r="D743" s="4" t="s">
        <v>25</v>
      </c>
      <c r="E743" s="4" t="s">
        <v>25</v>
      </c>
      <c r="F743" s="4" t="s">
        <v>25</v>
      </c>
      <c r="G743" s="4" t="s">
        <v>80</v>
      </c>
      <c r="H743" s="4" t="s">
        <v>25</v>
      </c>
      <c r="I743" s="5">
        <v>44593</v>
      </c>
      <c r="J743" s="6">
        <v>1416</v>
      </c>
      <c r="K743" s="6">
        <v>1416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4" t="s">
        <v>66</v>
      </c>
      <c r="R743" s="4">
        <v>2751</v>
      </c>
      <c r="S743" s="4" t="s">
        <v>431</v>
      </c>
      <c r="U743" s="4">
        <v>28</v>
      </c>
      <c r="V743" s="4">
        <v>0</v>
      </c>
      <c r="W743" s="4">
        <v>0</v>
      </c>
    </row>
    <row r="744" spans="1:23" ht="11.25" customHeight="1" x14ac:dyDescent="0.25">
      <c r="A744" s="4" t="s">
        <v>21</v>
      </c>
      <c r="B744" s="4" t="s">
        <v>41</v>
      </c>
      <c r="C744" s="4" t="s">
        <v>64</v>
      </c>
      <c r="D744" s="4" t="s">
        <v>25</v>
      </c>
      <c r="E744" s="4" t="s">
        <v>25</v>
      </c>
      <c r="F744" s="4" t="s">
        <v>25</v>
      </c>
      <c r="G744" s="4" t="s">
        <v>88</v>
      </c>
      <c r="H744" s="4" t="s">
        <v>25</v>
      </c>
      <c r="I744" s="5">
        <v>44593</v>
      </c>
      <c r="J744" s="6">
        <v>9500</v>
      </c>
      <c r="K744" s="6">
        <v>4750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4" t="s">
        <v>66</v>
      </c>
      <c r="R744" s="4">
        <v>27722</v>
      </c>
      <c r="S744" s="4" t="s">
        <v>431</v>
      </c>
      <c r="U744" s="4">
        <v>28</v>
      </c>
      <c r="V744" s="4">
        <v>0</v>
      </c>
      <c r="W744" s="4">
        <v>0</v>
      </c>
    </row>
    <row r="745" spans="1:23" ht="11.25" customHeight="1" x14ac:dyDescent="0.25">
      <c r="A745" s="4" t="s">
        <v>21</v>
      </c>
      <c r="B745" s="4" t="s">
        <v>41</v>
      </c>
      <c r="C745" s="4" t="s">
        <v>64</v>
      </c>
      <c r="D745" s="4" t="s">
        <v>25</v>
      </c>
      <c r="E745" s="4" t="s">
        <v>25</v>
      </c>
      <c r="F745" s="4" t="s">
        <v>25</v>
      </c>
      <c r="G745" s="4" t="s">
        <v>90</v>
      </c>
      <c r="H745" s="4" t="s">
        <v>25</v>
      </c>
      <c r="I745" s="5">
        <v>44593</v>
      </c>
      <c r="J745" s="6">
        <v>420</v>
      </c>
      <c r="K745" s="6">
        <v>420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4" t="s">
        <v>66</v>
      </c>
      <c r="R745" s="4">
        <v>27928</v>
      </c>
      <c r="S745" s="4" t="s">
        <v>431</v>
      </c>
      <c r="U745" s="4">
        <v>28</v>
      </c>
      <c r="V745" s="4">
        <v>0</v>
      </c>
      <c r="W745" s="4">
        <v>0</v>
      </c>
    </row>
    <row r="746" spans="1:23" ht="11.25" customHeight="1" x14ac:dyDescent="0.25">
      <c r="A746" s="4" t="s">
        <v>21</v>
      </c>
      <c r="B746" s="4" t="s">
        <v>41</v>
      </c>
      <c r="C746" s="4" t="s">
        <v>64</v>
      </c>
      <c r="D746" s="4" t="s">
        <v>25</v>
      </c>
      <c r="E746" s="4" t="s">
        <v>25</v>
      </c>
      <c r="F746" s="4" t="s">
        <v>25</v>
      </c>
      <c r="G746" s="4" t="s">
        <v>93</v>
      </c>
      <c r="H746" s="4" t="s">
        <v>25</v>
      </c>
      <c r="I746" s="5">
        <v>44593</v>
      </c>
      <c r="J746" s="6">
        <v>1300</v>
      </c>
      <c r="K746" s="6">
        <v>650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4" t="s">
        <v>66</v>
      </c>
      <c r="R746" s="4">
        <v>30847</v>
      </c>
      <c r="S746" s="4" t="s">
        <v>431</v>
      </c>
      <c r="U746" s="4">
        <v>28</v>
      </c>
      <c r="V746" s="4">
        <v>0</v>
      </c>
      <c r="W746" s="4">
        <v>0</v>
      </c>
    </row>
    <row r="747" spans="1:23" ht="11.25" customHeight="1" x14ac:dyDescent="0.25">
      <c r="A747" s="4" t="s">
        <v>21</v>
      </c>
      <c r="B747" s="4" t="s">
        <v>41</v>
      </c>
      <c r="C747" s="4" t="s">
        <v>64</v>
      </c>
      <c r="D747" s="4" t="s">
        <v>25</v>
      </c>
      <c r="E747" s="4" t="s">
        <v>25</v>
      </c>
      <c r="F747" s="4" t="s">
        <v>25</v>
      </c>
      <c r="G747" s="4" t="s">
        <v>94</v>
      </c>
      <c r="H747" s="4" t="s">
        <v>25</v>
      </c>
      <c r="I747" s="5">
        <v>44593</v>
      </c>
      <c r="J747" s="6">
        <v>1180</v>
      </c>
      <c r="K747" s="6">
        <v>590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4" t="s">
        <v>66</v>
      </c>
      <c r="R747" s="4">
        <v>30866</v>
      </c>
      <c r="S747" s="4" t="s">
        <v>431</v>
      </c>
      <c r="U747" s="4">
        <v>28</v>
      </c>
      <c r="V747" s="4">
        <v>0</v>
      </c>
      <c r="W747" s="4">
        <v>0</v>
      </c>
    </row>
    <row r="748" spans="1:23" ht="11.25" customHeight="1" x14ac:dyDescent="0.25">
      <c r="A748" s="4" t="s">
        <v>21</v>
      </c>
      <c r="B748" s="4" t="s">
        <v>41</v>
      </c>
      <c r="C748" s="4" t="s">
        <v>64</v>
      </c>
      <c r="D748" s="4" t="s">
        <v>25</v>
      </c>
      <c r="E748" s="4" t="s">
        <v>25</v>
      </c>
      <c r="F748" s="4" t="s">
        <v>25</v>
      </c>
      <c r="G748" s="4" t="s">
        <v>95</v>
      </c>
      <c r="H748" s="4" t="s">
        <v>25</v>
      </c>
      <c r="I748" s="5">
        <v>44593</v>
      </c>
      <c r="J748" s="6">
        <v>1180</v>
      </c>
      <c r="K748" s="6">
        <v>590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4" t="s">
        <v>66</v>
      </c>
      <c r="R748" s="4">
        <v>31051</v>
      </c>
      <c r="S748" s="4" t="s">
        <v>431</v>
      </c>
      <c r="U748" s="4">
        <v>28</v>
      </c>
      <c r="V748" s="4">
        <v>0</v>
      </c>
      <c r="W748" s="4">
        <v>0</v>
      </c>
    </row>
    <row r="749" spans="1:23" ht="11.25" customHeight="1" x14ac:dyDescent="0.25">
      <c r="A749" s="4" t="s">
        <v>21</v>
      </c>
      <c r="B749" s="4" t="s">
        <v>41</v>
      </c>
      <c r="C749" s="4" t="s">
        <v>64</v>
      </c>
      <c r="D749" s="4" t="s">
        <v>25</v>
      </c>
      <c r="E749" s="4" t="s">
        <v>25</v>
      </c>
      <c r="F749" s="4" t="s">
        <v>25</v>
      </c>
      <c r="G749" s="4" t="s">
        <v>96</v>
      </c>
      <c r="H749" s="4" t="s">
        <v>25</v>
      </c>
      <c r="I749" s="5">
        <v>44593</v>
      </c>
      <c r="J749" s="6">
        <v>1000</v>
      </c>
      <c r="K749" s="6">
        <v>500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4" t="s">
        <v>66</v>
      </c>
      <c r="R749" s="4">
        <v>31277</v>
      </c>
      <c r="S749" s="4" t="s">
        <v>431</v>
      </c>
      <c r="U749" s="4">
        <v>28</v>
      </c>
      <c r="V749" s="4">
        <v>0</v>
      </c>
      <c r="W749" s="4">
        <v>0</v>
      </c>
    </row>
    <row r="750" spans="1:23" ht="11.25" customHeight="1" x14ac:dyDescent="0.25">
      <c r="A750" s="4" t="s">
        <v>21</v>
      </c>
      <c r="B750" s="4" t="s">
        <v>41</v>
      </c>
      <c r="C750" s="4" t="s">
        <v>64</v>
      </c>
      <c r="D750" s="4" t="s">
        <v>25</v>
      </c>
      <c r="E750" s="4" t="s">
        <v>25</v>
      </c>
      <c r="F750" s="4" t="s">
        <v>25</v>
      </c>
      <c r="G750" s="4" t="s">
        <v>97</v>
      </c>
      <c r="H750" s="4" t="s">
        <v>25</v>
      </c>
      <c r="I750" s="5">
        <v>44593</v>
      </c>
      <c r="J750" s="6">
        <v>1180</v>
      </c>
      <c r="K750" s="6">
        <v>590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4" t="s">
        <v>66</v>
      </c>
      <c r="R750" s="4">
        <v>31318</v>
      </c>
      <c r="S750" s="4" t="s">
        <v>431</v>
      </c>
      <c r="U750" s="4">
        <v>28</v>
      </c>
      <c r="V750" s="4">
        <v>0</v>
      </c>
      <c r="W750" s="4">
        <v>0</v>
      </c>
    </row>
    <row r="751" spans="1:23" ht="11.25" customHeight="1" x14ac:dyDescent="0.25">
      <c r="A751" s="4" t="s">
        <v>21</v>
      </c>
      <c r="B751" s="4" t="s">
        <v>41</v>
      </c>
      <c r="C751" s="4" t="s">
        <v>64</v>
      </c>
      <c r="D751" s="4" t="s">
        <v>25</v>
      </c>
      <c r="E751" s="4" t="s">
        <v>25</v>
      </c>
      <c r="F751" s="4" t="s">
        <v>25</v>
      </c>
      <c r="G751" s="4" t="s">
        <v>98</v>
      </c>
      <c r="H751" s="4" t="s">
        <v>25</v>
      </c>
      <c r="I751" s="5">
        <v>44593</v>
      </c>
      <c r="J751" s="6">
        <v>3032</v>
      </c>
      <c r="K751" s="6">
        <v>1516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4" t="s">
        <v>66</v>
      </c>
      <c r="R751" s="4">
        <v>31334</v>
      </c>
      <c r="S751" s="4" t="s">
        <v>431</v>
      </c>
      <c r="U751" s="4">
        <v>28</v>
      </c>
      <c r="V751" s="4">
        <v>0</v>
      </c>
      <c r="W751" s="4">
        <v>0</v>
      </c>
    </row>
    <row r="752" spans="1:23" ht="11.25" customHeight="1" x14ac:dyDescent="0.25">
      <c r="A752" s="4" t="s">
        <v>21</v>
      </c>
      <c r="B752" s="4" t="s">
        <v>41</v>
      </c>
      <c r="C752" s="4" t="s">
        <v>64</v>
      </c>
      <c r="D752" s="4" t="s">
        <v>25</v>
      </c>
      <c r="E752" s="4" t="s">
        <v>25</v>
      </c>
      <c r="F752" s="4" t="s">
        <v>25</v>
      </c>
      <c r="G752" s="4" t="s">
        <v>99</v>
      </c>
      <c r="H752" s="4" t="s">
        <v>25</v>
      </c>
      <c r="I752" s="5">
        <v>44593</v>
      </c>
      <c r="J752" s="6">
        <v>1180</v>
      </c>
      <c r="K752" s="6">
        <v>590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4" t="s">
        <v>66</v>
      </c>
      <c r="R752" s="4">
        <v>31618</v>
      </c>
      <c r="S752" s="4" t="s">
        <v>431</v>
      </c>
      <c r="U752" s="4">
        <v>28</v>
      </c>
      <c r="V752" s="4">
        <v>0</v>
      </c>
      <c r="W752" s="4">
        <v>0</v>
      </c>
    </row>
    <row r="753" spans="1:23" ht="11.25" customHeight="1" x14ac:dyDescent="0.25">
      <c r="A753" s="4" t="s">
        <v>21</v>
      </c>
      <c r="B753" s="4" t="s">
        <v>41</v>
      </c>
      <c r="C753" s="4" t="s">
        <v>64</v>
      </c>
      <c r="D753" s="4" t="s">
        <v>25</v>
      </c>
      <c r="E753" s="4" t="s">
        <v>25</v>
      </c>
      <c r="F753" s="4" t="s">
        <v>25</v>
      </c>
      <c r="G753" s="4" t="s">
        <v>100</v>
      </c>
      <c r="H753" s="4" t="s">
        <v>25</v>
      </c>
      <c r="I753" s="5">
        <v>44593</v>
      </c>
      <c r="J753" s="6">
        <v>1180</v>
      </c>
      <c r="K753" s="6">
        <v>590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4" t="s">
        <v>66</v>
      </c>
      <c r="R753" s="4">
        <v>31677</v>
      </c>
      <c r="S753" s="4" t="s">
        <v>431</v>
      </c>
      <c r="U753" s="4">
        <v>28</v>
      </c>
      <c r="V753" s="4">
        <v>0</v>
      </c>
      <c r="W753" s="4">
        <v>0</v>
      </c>
    </row>
    <row r="754" spans="1:23" ht="11.25" customHeight="1" x14ac:dyDescent="0.25">
      <c r="A754" s="4" t="s">
        <v>21</v>
      </c>
      <c r="B754" s="4" t="s">
        <v>41</v>
      </c>
      <c r="C754" s="4" t="s">
        <v>64</v>
      </c>
      <c r="D754" s="4" t="s">
        <v>25</v>
      </c>
      <c r="E754" s="4" t="s">
        <v>25</v>
      </c>
      <c r="F754" s="4" t="s">
        <v>25</v>
      </c>
      <c r="G754" s="4" t="s">
        <v>68</v>
      </c>
      <c r="H754" s="4" t="s">
        <v>25</v>
      </c>
      <c r="I754" s="5">
        <v>44621</v>
      </c>
      <c r="J754" s="6">
        <v>302</v>
      </c>
      <c r="K754" s="6">
        <v>302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4" t="s">
        <v>66</v>
      </c>
      <c r="R754" s="4">
        <v>404</v>
      </c>
      <c r="S754" s="4" t="s">
        <v>432</v>
      </c>
      <c r="U754" s="4">
        <v>28</v>
      </c>
      <c r="V754" s="4">
        <v>0</v>
      </c>
      <c r="W754" s="4">
        <v>0</v>
      </c>
    </row>
    <row r="755" spans="1:23" ht="11.25" customHeight="1" x14ac:dyDescent="0.25">
      <c r="A755" s="4" t="s">
        <v>21</v>
      </c>
      <c r="B755" s="4" t="s">
        <v>41</v>
      </c>
      <c r="C755" s="4" t="s">
        <v>64</v>
      </c>
      <c r="D755" s="4" t="s">
        <v>25</v>
      </c>
      <c r="E755" s="4" t="s">
        <v>25</v>
      </c>
      <c r="F755" s="4" t="s">
        <v>25</v>
      </c>
      <c r="G755" s="4" t="s">
        <v>70</v>
      </c>
      <c r="H755" s="4" t="s">
        <v>25</v>
      </c>
      <c r="I755" s="5">
        <v>44621</v>
      </c>
      <c r="J755" s="6">
        <v>5040</v>
      </c>
      <c r="K755" s="6">
        <v>5040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4" t="s">
        <v>66</v>
      </c>
      <c r="R755" s="4">
        <v>838</v>
      </c>
      <c r="S755" s="4" t="s">
        <v>432</v>
      </c>
      <c r="U755" s="4">
        <v>28</v>
      </c>
      <c r="V755" s="4">
        <v>0</v>
      </c>
      <c r="W755" s="4">
        <v>0</v>
      </c>
    </row>
    <row r="756" spans="1:23" ht="11.25" customHeight="1" x14ac:dyDescent="0.25">
      <c r="A756" s="4" t="s">
        <v>21</v>
      </c>
      <c r="B756" s="4" t="s">
        <v>41</v>
      </c>
      <c r="C756" s="4" t="s">
        <v>64</v>
      </c>
      <c r="D756" s="4" t="s">
        <v>25</v>
      </c>
      <c r="E756" s="4" t="s">
        <v>25</v>
      </c>
      <c r="F756" s="4" t="s">
        <v>25</v>
      </c>
      <c r="G756" s="4" t="s">
        <v>74</v>
      </c>
      <c r="H756" s="4" t="s">
        <v>25</v>
      </c>
      <c r="I756" s="5">
        <v>44621</v>
      </c>
      <c r="J756" s="6">
        <v>3832</v>
      </c>
      <c r="K756" s="6">
        <v>1916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4" t="s">
        <v>66</v>
      </c>
      <c r="R756" s="4">
        <v>1192</v>
      </c>
      <c r="S756" s="4" t="s">
        <v>432</v>
      </c>
      <c r="U756" s="4">
        <v>28</v>
      </c>
      <c r="V756" s="4">
        <v>0</v>
      </c>
      <c r="W756" s="4">
        <v>0</v>
      </c>
    </row>
    <row r="757" spans="1:23" ht="11.25" customHeight="1" x14ac:dyDescent="0.25">
      <c r="A757" s="4" t="s">
        <v>21</v>
      </c>
      <c r="B757" s="4" t="s">
        <v>41</v>
      </c>
      <c r="C757" s="4" t="s">
        <v>64</v>
      </c>
      <c r="D757" s="4" t="s">
        <v>25</v>
      </c>
      <c r="E757" s="4" t="s">
        <v>25</v>
      </c>
      <c r="F757" s="4" t="s">
        <v>25</v>
      </c>
      <c r="G757" s="4" t="s">
        <v>76</v>
      </c>
      <c r="H757" s="4" t="s">
        <v>25</v>
      </c>
      <c r="I757" s="5">
        <v>44621</v>
      </c>
      <c r="J757" s="6">
        <v>480</v>
      </c>
      <c r="K757" s="6">
        <v>480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4" t="s">
        <v>66</v>
      </c>
      <c r="R757" s="4">
        <v>1438</v>
      </c>
      <c r="S757" s="4" t="s">
        <v>432</v>
      </c>
      <c r="U757" s="4">
        <v>28</v>
      </c>
      <c r="V757" s="4">
        <v>0</v>
      </c>
      <c r="W757" s="4">
        <v>0</v>
      </c>
    </row>
    <row r="758" spans="1:23" ht="11.25" customHeight="1" x14ac:dyDescent="0.25">
      <c r="A758" s="4" t="s">
        <v>21</v>
      </c>
      <c r="B758" s="4" t="s">
        <v>41</v>
      </c>
      <c r="C758" s="4" t="s">
        <v>64</v>
      </c>
      <c r="D758" s="4" t="s">
        <v>25</v>
      </c>
      <c r="E758" s="4" t="s">
        <v>25</v>
      </c>
      <c r="F758" s="4" t="s">
        <v>25</v>
      </c>
      <c r="G758" s="4" t="s">
        <v>77</v>
      </c>
      <c r="H758" s="4" t="s">
        <v>25</v>
      </c>
      <c r="I758" s="5">
        <v>44621</v>
      </c>
      <c r="J758" s="6">
        <v>736</v>
      </c>
      <c r="K758" s="6">
        <v>736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4" t="s">
        <v>66</v>
      </c>
      <c r="R758" s="4">
        <v>1462</v>
      </c>
      <c r="S758" s="4" t="s">
        <v>432</v>
      </c>
      <c r="U758" s="4">
        <v>28</v>
      </c>
      <c r="V758" s="4">
        <v>0</v>
      </c>
      <c r="W758" s="4">
        <v>0</v>
      </c>
    </row>
    <row r="759" spans="1:23" ht="11.25" customHeight="1" x14ac:dyDescent="0.25">
      <c r="A759" s="4" t="s">
        <v>21</v>
      </c>
      <c r="B759" s="4" t="s">
        <v>41</v>
      </c>
      <c r="C759" s="4" t="s">
        <v>64</v>
      </c>
      <c r="D759" s="4" t="s">
        <v>25</v>
      </c>
      <c r="E759" s="4" t="s">
        <v>25</v>
      </c>
      <c r="F759" s="4" t="s">
        <v>25</v>
      </c>
      <c r="G759" s="4" t="s">
        <v>78</v>
      </c>
      <c r="H759" s="4" t="s">
        <v>25</v>
      </c>
      <c r="I759" s="5">
        <v>44621</v>
      </c>
      <c r="J759" s="6">
        <v>6460</v>
      </c>
      <c r="K759" s="6">
        <v>6460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4" t="s">
        <v>66</v>
      </c>
      <c r="R759" s="4">
        <v>1533</v>
      </c>
      <c r="S759" s="4" t="s">
        <v>432</v>
      </c>
      <c r="U759" s="4">
        <v>28</v>
      </c>
      <c r="V759" s="4">
        <v>0</v>
      </c>
      <c r="W759" s="4">
        <v>0</v>
      </c>
    </row>
    <row r="760" spans="1:23" ht="11.25" customHeight="1" x14ac:dyDescent="0.25">
      <c r="A760" s="4" t="s">
        <v>21</v>
      </c>
      <c r="B760" s="4" t="s">
        <v>41</v>
      </c>
      <c r="C760" s="4" t="s">
        <v>64</v>
      </c>
      <c r="D760" s="4" t="s">
        <v>25</v>
      </c>
      <c r="E760" s="4" t="s">
        <v>25</v>
      </c>
      <c r="F760" s="4" t="s">
        <v>25</v>
      </c>
      <c r="G760" s="4" t="s">
        <v>79</v>
      </c>
      <c r="H760" s="4" t="s">
        <v>25</v>
      </c>
      <c r="I760" s="5">
        <v>44621</v>
      </c>
      <c r="J760" s="6">
        <v>770</v>
      </c>
      <c r="K760" s="6">
        <v>770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4" t="s">
        <v>66</v>
      </c>
      <c r="R760" s="4">
        <v>2535</v>
      </c>
      <c r="S760" s="4" t="s">
        <v>432</v>
      </c>
      <c r="U760" s="4">
        <v>28</v>
      </c>
      <c r="V760" s="4">
        <v>0</v>
      </c>
      <c r="W760" s="4">
        <v>0</v>
      </c>
    </row>
    <row r="761" spans="1:23" ht="11.25" customHeight="1" x14ac:dyDescent="0.25">
      <c r="A761" s="4" t="s">
        <v>21</v>
      </c>
      <c r="B761" s="4" t="s">
        <v>41</v>
      </c>
      <c r="C761" s="4" t="s">
        <v>64</v>
      </c>
      <c r="D761" s="4" t="s">
        <v>25</v>
      </c>
      <c r="E761" s="4" t="s">
        <v>25</v>
      </c>
      <c r="F761" s="4" t="s">
        <v>25</v>
      </c>
      <c r="G761" s="4" t="s">
        <v>80</v>
      </c>
      <c r="H761" s="4" t="s">
        <v>25</v>
      </c>
      <c r="I761" s="5">
        <v>44621</v>
      </c>
      <c r="J761" s="6">
        <v>1416</v>
      </c>
      <c r="K761" s="6">
        <v>1416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4" t="s">
        <v>66</v>
      </c>
      <c r="R761" s="4">
        <v>2751</v>
      </c>
      <c r="S761" s="4" t="s">
        <v>432</v>
      </c>
      <c r="U761" s="4">
        <v>28</v>
      </c>
      <c r="V761" s="4">
        <v>0</v>
      </c>
      <c r="W761" s="4">
        <v>0</v>
      </c>
    </row>
    <row r="762" spans="1:23" ht="11.25" customHeight="1" x14ac:dyDescent="0.25">
      <c r="A762" s="4" t="s">
        <v>21</v>
      </c>
      <c r="B762" s="4" t="s">
        <v>41</v>
      </c>
      <c r="C762" s="4" t="s">
        <v>64</v>
      </c>
      <c r="D762" s="4" t="s">
        <v>25</v>
      </c>
      <c r="E762" s="4" t="s">
        <v>25</v>
      </c>
      <c r="F762" s="4" t="s">
        <v>25</v>
      </c>
      <c r="G762" s="4" t="s">
        <v>88</v>
      </c>
      <c r="H762" s="4" t="s">
        <v>25</v>
      </c>
      <c r="I762" s="5">
        <v>44621</v>
      </c>
      <c r="J762" s="6">
        <v>9500</v>
      </c>
      <c r="K762" s="6">
        <v>4750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4" t="s">
        <v>66</v>
      </c>
      <c r="R762" s="4">
        <v>27722</v>
      </c>
      <c r="S762" s="4" t="s">
        <v>432</v>
      </c>
      <c r="U762" s="4">
        <v>28</v>
      </c>
      <c r="V762" s="4">
        <v>0</v>
      </c>
      <c r="W762" s="4">
        <v>0</v>
      </c>
    </row>
    <row r="763" spans="1:23" ht="11.25" customHeight="1" x14ac:dyDescent="0.25">
      <c r="A763" s="4" t="s">
        <v>21</v>
      </c>
      <c r="B763" s="4" t="s">
        <v>41</v>
      </c>
      <c r="C763" s="4" t="s">
        <v>64</v>
      </c>
      <c r="D763" s="4" t="s">
        <v>25</v>
      </c>
      <c r="E763" s="4" t="s">
        <v>25</v>
      </c>
      <c r="F763" s="4" t="s">
        <v>25</v>
      </c>
      <c r="G763" s="4" t="s">
        <v>90</v>
      </c>
      <c r="H763" s="4" t="s">
        <v>25</v>
      </c>
      <c r="I763" s="5">
        <v>44621</v>
      </c>
      <c r="J763" s="6">
        <v>420</v>
      </c>
      <c r="K763" s="6">
        <v>420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4" t="s">
        <v>66</v>
      </c>
      <c r="R763" s="4">
        <v>27928</v>
      </c>
      <c r="S763" s="4" t="s">
        <v>432</v>
      </c>
      <c r="U763" s="4">
        <v>28</v>
      </c>
      <c r="V763" s="4">
        <v>0</v>
      </c>
      <c r="W763" s="4">
        <v>0</v>
      </c>
    </row>
    <row r="764" spans="1:23" ht="11.25" customHeight="1" x14ac:dyDescent="0.25">
      <c r="A764" s="4" t="s">
        <v>21</v>
      </c>
      <c r="B764" s="4" t="s">
        <v>41</v>
      </c>
      <c r="C764" s="4" t="s">
        <v>64</v>
      </c>
      <c r="D764" s="4" t="s">
        <v>25</v>
      </c>
      <c r="E764" s="4" t="s">
        <v>25</v>
      </c>
      <c r="F764" s="4" t="s">
        <v>25</v>
      </c>
      <c r="G764" s="4" t="s">
        <v>93</v>
      </c>
      <c r="H764" s="4" t="s">
        <v>25</v>
      </c>
      <c r="I764" s="5">
        <v>44621</v>
      </c>
      <c r="J764" s="6">
        <v>1300</v>
      </c>
      <c r="K764" s="6">
        <v>650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4" t="s">
        <v>66</v>
      </c>
      <c r="R764" s="4">
        <v>30847</v>
      </c>
      <c r="S764" s="4" t="s">
        <v>432</v>
      </c>
      <c r="U764" s="4">
        <v>28</v>
      </c>
      <c r="V764" s="4">
        <v>0</v>
      </c>
      <c r="W764" s="4">
        <v>0</v>
      </c>
    </row>
    <row r="765" spans="1:23" ht="11.25" customHeight="1" x14ac:dyDescent="0.25">
      <c r="A765" s="4" t="s">
        <v>21</v>
      </c>
      <c r="B765" s="4" t="s">
        <v>41</v>
      </c>
      <c r="C765" s="4" t="s">
        <v>64</v>
      </c>
      <c r="D765" s="4" t="s">
        <v>25</v>
      </c>
      <c r="E765" s="4" t="s">
        <v>25</v>
      </c>
      <c r="F765" s="4" t="s">
        <v>25</v>
      </c>
      <c r="G765" s="4" t="s">
        <v>94</v>
      </c>
      <c r="H765" s="4" t="s">
        <v>25</v>
      </c>
      <c r="I765" s="5">
        <v>44621</v>
      </c>
      <c r="J765" s="6">
        <v>1180</v>
      </c>
      <c r="K765" s="6">
        <v>590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4" t="s">
        <v>66</v>
      </c>
      <c r="R765" s="4">
        <v>30866</v>
      </c>
      <c r="S765" s="4" t="s">
        <v>432</v>
      </c>
      <c r="U765" s="4">
        <v>28</v>
      </c>
      <c r="V765" s="4">
        <v>0</v>
      </c>
      <c r="W765" s="4">
        <v>0</v>
      </c>
    </row>
    <row r="766" spans="1:23" ht="11.25" customHeight="1" x14ac:dyDescent="0.25">
      <c r="A766" s="4" t="s">
        <v>21</v>
      </c>
      <c r="B766" s="4" t="s">
        <v>41</v>
      </c>
      <c r="C766" s="4" t="s">
        <v>64</v>
      </c>
      <c r="D766" s="4" t="s">
        <v>25</v>
      </c>
      <c r="E766" s="4" t="s">
        <v>25</v>
      </c>
      <c r="F766" s="4" t="s">
        <v>25</v>
      </c>
      <c r="G766" s="4" t="s">
        <v>95</v>
      </c>
      <c r="H766" s="4" t="s">
        <v>25</v>
      </c>
      <c r="I766" s="5">
        <v>44621</v>
      </c>
      <c r="J766" s="6">
        <v>1180</v>
      </c>
      <c r="K766" s="6">
        <v>590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4" t="s">
        <v>66</v>
      </c>
      <c r="R766" s="4">
        <v>31051</v>
      </c>
      <c r="S766" s="4" t="s">
        <v>432</v>
      </c>
      <c r="U766" s="4">
        <v>28</v>
      </c>
      <c r="V766" s="4">
        <v>0</v>
      </c>
      <c r="W766" s="4">
        <v>0</v>
      </c>
    </row>
    <row r="767" spans="1:23" ht="11.25" customHeight="1" x14ac:dyDescent="0.25">
      <c r="A767" s="4" t="s">
        <v>21</v>
      </c>
      <c r="B767" s="4" t="s">
        <v>41</v>
      </c>
      <c r="C767" s="4" t="s">
        <v>64</v>
      </c>
      <c r="D767" s="4" t="s">
        <v>25</v>
      </c>
      <c r="E767" s="4" t="s">
        <v>25</v>
      </c>
      <c r="F767" s="4" t="s">
        <v>25</v>
      </c>
      <c r="G767" s="4" t="s">
        <v>96</v>
      </c>
      <c r="H767" s="4" t="s">
        <v>25</v>
      </c>
      <c r="I767" s="5">
        <v>44621</v>
      </c>
      <c r="J767" s="6">
        <v>1000</v>
      </c>
      <c r="K767" s="6">
        <v>500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4" t="s">
        <v>66</v>
      </c>
      <c r="R767" s="4">
        <v>31277</v>
      </c>
      <c r="S767" s="4" t="s">
        <v>432</v>
      </c>
      <c r="U767" s="4">
        <v>28</v>
      </c>
      <c r="V767" s="4">
        <v>0</v>
      </c>
      <c r="W767" s="4">
        <v>0</v>
      </c>
    </row>
    <row r="768" spans="1:23" ht="11.25" customHeight="1" x14ac:dyDescent="0.25">
      <c r="A768" s="4" t="s">
        <v>21</v>
      </c>
      <c r="B768" s="4" t="s">
        <v>41</v>
      </c>
      <c r="C768" s="4" t="s">
        <v>64</v>
      </c>
      <c r="D768" s="4" t="s">
        <v>25</v>
      </c>
      <c r="E768" s="4" t="s">
        <v>25</v>
      </c>
      <c r="F768" s="4" t="s">
        <v>25</v>
      </c>
      <c r="G768" s="4" t="s">
        <v>97</v>
      </c>
      <c r="H768" s="4" t="s">
        <v>25</v>
      </c>
      <c r="I768" s="5">
        <v>44621</v>
      </c>
      <c r="J768" s="6">
        <v>1180</v>
      </c>
      <c r="K768" s="6">
        <v>590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4" t="s">
        <v>66</v>
      </c>
      <c r="R768" s="4">
        <v>31318</v>
      </c>
      <c r="S768" s="4" t="s">
        <v>432</v>
      </c>
      <c r="U768" s="4">
        <v>28</v>
      </c>
      <c r="V768" s="4">
        <v>0</v>
      </c>
      <c r="W768" s="4">
        <v>0</v>
      </c>
    </row>
    <row r="769" spans="1:23" ht="11.25" customHeight="1" x14ac:dyDescent="0.25">
      <c r="A769" s="4" t="s">
        <v>21</v>
      </c>
      <c r="B769" s="4" t="s">
        <v>41</v>
      </c>
      <c r="C769" s="4" t="s">
        <v>64</v>
      </c>
      <c r="D769" s="4" t="s">
        <v>25</v>
      </c>
      <c r="E769" s="4" t="s">
        <v>25</v>
      </c>
      <c r="F769" s="4" t="s">
        <v>25</v>
      </c>
      <c r="G769" s="4" t="s">
        <v>98</v>
      </c>
      <c r="H769" s="4" t="s">
        <v>25</v>
      </c>
      <c r="I769" s="5">
        <v>44621</v>
      </c>
      <c r="J769" s="6">
        <v>3000</v>
      </c>
      <c r="K769" s="6">
        <v>1500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4" t="s">
        <v>66</v>
      </c>
      <c r="R769" s="4">
        <v>31334</v>
      </c>
      <c r="S769" s="4" t="s">
        <v>432</v>
      </c>
      <c r="U769" s="4">
        <v>28</v>
      </c>
      <c r="V769" s="4">
        <v>0</v>
      </c>
      <c r="W769" s="4">
        <v>0</v>
      </c>
    </row>
    <row r="770" spans="1:23" ht="11.25" customHeight="1" x14ac:dyDescent="0.25">
      <c r="A770" s="4" t="s">
        <v>21</v>
      </c>
      <c r="B770" s="4" t="s">
        <v>41</v>
      </c>
      <c r="C770" s="4" t="s">
        <v>64</v>
      </c>
      <c r="D770" s="4" t="s">
        <v>25</v>
      </c>
      <c r="E770" s="4" t="s">
        <v>25</v>
      </c>
      <c r="F770" s="4" t="s">
        <v>25</v>
      </c>
      <c r="G770" s="4" t="s">
        <v>99</v>
      </c>
      <c r="H770" s="4" t="s">
        <v>25</v>
      </c>
      <c r="I770" s="5">
        <v>44621</v>
      </c>
      <c r="J770" s="6">
        <v>1208</v>
      </c>
      <c r="K770" s="6">
        <v>604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4" t="s">
        <v>66</v>
      </c>
      <c r="R770" s="4">
        <v>31618</v>
      </c>
      <c r="S770" s="4" t="s">
        <v>432</v>
      </c>
      <c r="U770" s="4">
        <v>28</v>
      </c>
      <c r="V770" s="4">
        <v>0</v>
      </c>
      <c r="W770" s="4">
        <v>0</v>
      </c>
    </row>
    <row r="771" spans="1:23" ht="11.25" customHeight="1" x14ac:dyDescent="0.25">
      <c r="A771" s="4" t="s">
        <v>21</v>
      </c>
      <c r="B771" s="4" t="s">
        <v>41</v>
      </c>
      <c r="C771" s="4" t="s">
        <v>64</v>
      </c>
      <c r="D771" s="4" t="s">
        <v>25</v>
      </c>
      <c r="E771" s="4" t="s">
        <v>25</v>
      </c>
      <c r="F771" s="4" t="s">
        <v>25</v>
      </c>
      <c r="G771" s="4" t="s">
        <v>100</v>
      </c>
      <c r="H771" s="4" t="s">
        <v>25</v>
      </c>
      <c r="I771" s="5">
        <v>44621</v>
      </c>
      <c r="J771" s="6">
        <v>1180</v>
      </c>
      <c r="K771" s="6">
        <v>590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4" t="s">
        <v>66</v>
      </c>
      <c r="R771" s="4">
        <v>31677</v>
      </c>
      <c r="S771" s="4" t="s">
        <v>432</v>
      </c>
      <c r="U771" s="4">
        <v>28</v>
      </c>
      <c r="V771" s="4">
        <v>0</v>
      </c>
      <c r="W771" s="4">
        <v>0</v>
      </c>
    </row>
    <row r="772" spans="1:23" ht="11.25" customHeight="1" x14ac:dyDescent="0.25">
      <c r="A772" s="4" t="s">
        <v>21</v>
      </c>
      <c r="B772" s="4" t="s">
        <v>41</v>
      </c>
      <c r="C772" s="4" t="s">
        <v>64</v>
      </c>
      <c r="D772" s="4" t="s">
        <v>25</v>
      </c>
      <c r="E772" s="4" t="s">
        <v>25</v>
      </c>
      <c r="F772" s="4" t="s">
        <v>25</v>
      </c>
      <c r="G772" s="4" t="s">
        <v>68</v>
      </c>
      <c r="H772" s="4" t="s">
        <v>25</v>
      </c>
      <c r="I772" s="5">
        <v>44652</v>
      </c>
      <c r="J772" s="6">
        <v>302</v>
      </c>
      <c r="K772" s="6">
        <v>302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4" t="s">
        <v>66</v>
      </c>
      <c r="R772" s="4">
        <v>404</v>
      </c>
      <c r="S772" s="4" t="s">
        <v>433</v>
      </c>
      <c r="U772" s="4">
        <v>28</v>
      </c>
      <c r="V772" s="4">
        <v>0</v>
      </c>
      <c r="W772" s="4">
        <v>0</v>
      </c>
    </row>
    <row r="773" spans="1:23" ht="11.25" customHeight="1" x14ac:dyDescent="0.25">
      <c r="A773" s="4" t="s">
        <v>21</v>
      </c>
      <c r="B773" s="4" t="s">
        <v>41</v>
      </c>
      <c r="C773" s="4" t="s">
        <v>64</v>
      </c>
      <c r="D773" s="4" t="s">
        <v>25</v>
      </c>
      <c r="E773" s="4" t="s">
        <v>25</v>
      </c>
      <c r="F773" s="4" t="s">
        <v>25</v>
      </c>
      <c r="G773" s="4" t="s">
        <v>70</v>
      </c>
      <c r="H773" s="4" t="s">
        <v>25</v>
      </c>
      <c r="I773" s="5">
        <v>44652</v>
      </c>
      <c r="J773" s="6">
        <v>5040</v>
      </c>
      <c r="K773" s="6">
        <v>5040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4" t="s">
        <v>66</v>
      </c>
      <c r="R773" s="4">
        <v>838</v>
      </c>
      <c r="S773" s="4" t="s">
        <v>433</v>
      </c>
      <c r="U773" s="4">
        <v>28</v>
      </c>
      <c r="V773" s="4">
        <v>0</v>
      </c>
      <c r="W773" s="4">
        <v>0</v>
      </c>
    </row>
    <row r="774" spans="1:23" ht="11.25" customHeight="1" x14ac:dyDescent="0.25">
      <c r="A774" s="4" t="s">
        <v>21</v>
      </c>
      <c r="B774" s="4" t="s">
        <v>41</v>
      </c>
      <c r="C774" s="4" t="s">
        <v>64</v>
      </c>
      <c r="D774" s="4" t="s">
        <v>25</v>
      </c>
      <c r="E774" s="4" t="s">
        <v>25</v>
      </c>
      <c r="F774" s="4" t="s">
        <v>25</v>
      </c>
      <c r="G774" s="4" t="s">
        <v>74</v>
      </c>
      <c r="H774" s="4" t="s">
        <v>25</v>
      </c>
      <c r="I774" s="5">
        <v>44652</v>
      </c>
      <c r="J774" s="6">
        <v>3800</v>
      </c>
      <c r="K774" s="6">
        <v>1900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4" t="s">
        <v>66</v>
      </c>
      <c r="R774" s="4">
        <v>1192</v>
      </c>
      <c r="S774" s="4" t="s">
        <v>433</v>
      </c>
      <c r="U774" s="4">
        <v>28</v>
      </c>
      <c r="V774" s="4">
        <v>0</v>
      </c>
      <c r="W774" s="4">
        <v>0</v>
      </c>
    </row>
    <row r="775" spans="1:23" ht="11.25" customHeight="1" x14ac:dyDescent="0.25">
      <c r="A775" s="4" t="s">
        <v>21</v>
      </c>
      <c r="B775" s="4" t="s">
        <v>41</v>
      </c>
      <c r="C775" s="4" t="s">
        <v>64</v>
      </c>
      <c r="D775" s="4" t="s">
        <v>25</v>
      </c>
      <c r="E775" s="4" t="s">
        <v>25</v>
      </c>
      <c r="F775" s="4" t="s">
        <v>25</v>
      </c>
      <c r="G775" s="4" t="s">
        <v>76</v>
      </c>
      <c r="H775" s="4" t="s">
        <v>25</v>
      </c>
      <c r="I775" s="5">
        <v>44652</v>
      </c>
      <c r="J775" s="6">
        <v>480</v>
      </c>
      <c r="K775" s="6">
        <v>480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4" t="s">
        <v>66</v>
      </c>
      <c r="R775" s="4">
        <v>1438</v>
      </c>
      <c r="S775" s="4" t="s">
        <v>433</v>
      </c>
      <c r="U775" s="4">
        <v>28</v>
      </c>
      <c r="V775" s="4">
        <v>0</v>
      </c>
      <c r="W775" s="4">
        <v>0</v>
      </c>
    </row>
    <row r="776" spans="1:23" ht="11.25" customHeight="1" x14ac:dyDescent="0.25">
      <c r="A776" s="4" t="s">
        <v>21</v>
      </c>
      <c r="B776" s="4" t="s">
        <v>41</v>
      </c>
      <c r="C776" s="4" t="s">
        <v>64</v>
      </c>
      <c r="D776" s="4" t="s">
        <v>25</v>
      </c>
      <c r="E776" s="4" t="s">
        <v>25</v>
      </c>
      <c r="F776" s="4" t="s">
        <v>25</v>
      </c>
      <c r="G776" s="4" t="s">
        <v>77</v>
      </c>
      <c r="H776" s="4" t="s">
        <v>25</v>
      </c>
      <c r="I776" s="5">
        <v>44652</v>
      </c>
      <c r="J776" s="6">
        <v>736</v>
      </c>
      <c r="K776" s="6">
        <v>736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4" t="s">
        <v>66</v>
      </c>
      <c r="R776" s="4">
        <v>1462</v>
      </c>
      <c r="S776" s="4" t="s">
        <v>433</v>
      </c>
      <c r="U776" s="4">
        <v>28</v>
      </c>
      <c r="V776" s="4">
        <v>0</v>
      </c>
      <c r="W776" s="4">
        <v>0</v>
      </c>
    </row>
    <row r="777" spans="1:23" ht="11.25" customHeight="1" x14ac:dyDescent="0.25">
      <c r="A777" s="4" t="s">
        <v>21</v>
      </c>
      <c r="B777" s="4" t="s">
        <v>41</v>
      </c>
      <c r="C777" s="4" t="s">
        <v>64</v>
      </c>
      <c r="D777" s="4" t="s">
        <v>25</v>
      </c>
      <c r="E777" s="4" t="s">
        <v>25</v>
      </c>
      <c r="F777" s="4" t="s">
        <v>25</v>
      </c>
      <c r="G777" s="4" t="s">
        <v>78</v>
      </c>
      <c r="H777" s="4" t="s">
        <v>25</v>
      </c>
      <c r="I777" s="5">
        <v>44652</v>
      </c>
      <c r="J777" s="6">
        <v>6460</v>
      </c>
      <c r="K777" s="6">
        <v>6460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4" t="s">
        <v>66</v>
      </c>
      <c r="R777" s="4">
        <v>1533</v>
      </c>
      <c r="S777" s="4" t="s">
        <v>433</v>
      </c>
      <c r="U777" s="4">
        <v>28</v>
      </c>
      <c r="V777" s="4">
        <v>0</v>
      </c>
      <c r="W777" s="4">
        <v>0</v>
      </c>
    </row>
    <row r="778" spans="1:23" ht="11.25" customHeight="1" x14ac:dyDescent="0.25">
      <c r="A778" s="4" t="s">
        <v>21</v>
      </c>
      <c r="B778" s="4" t="s">
        <v>41</v>
      </c>
      <c r="C778" s="4" t="s">
        <v>64</v>
      </c>
      <c r="D778" s="4" t="s">
        <v>25</v>
      </c>
      <c r="E778" s="4" t="s">
        <v>25</v>
      </c>
      <c r="F778" s="4" t="s">
        <v>25</v>
      </c>
      <c r="G778" s="4" t="s">
        <v>79</v>
      </c>
      <c r="H778" s="4" t="s">
        <v>25</v>
      </c>
      <c r="I778" s="5">
        <v>44652</v>
      </c>
      <c r="J778" s="6">
        <v>770</v>
      </c>
      <c r="K778" s="6">
        <v>770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4" t="s">
        <v>66</v>
      </c>
      <c r="R778" s="4">
        <v>2535</v>
      </c>
      <c r="S778" s="4" t="s">
        <v>433</v>
      </c>
      <c r="U778" s="4">
        <v>28</v>
      </c>
      <c r="V778" s="4">
        <v>0</v>
      </c>
      <c r="W778" s="4">
        <v>0</v>
      </c>
    </row>
    <row r="779" spans="1:23" ht="11.25" customHeight="1" x14ac:dyDescent="0.25">
      <c r="A779" s="4" t="s">
        <v>21</v>
      </c>
      <c r="B779" s="4" t="s">
        <v>41</v>
      </c>
      <c r="C779" s="4" t="s">
        <v>64</v>
      </c>
      <c r="D779" s="4" t="s">
        <v>25</v>
      </c>
      <c r="E779" s="4" t="s">
        <v>25</v>
      </c>
      <c r="F779" s="4" t="s">
        <v>25</v>
      </c>
      <c r="G779" s="4" t="s">
        <v>80</v>
      </c>
      <c r="H779" s="4" t="s">
        <v>25</v>
      </c>
      <c r="I779" s="5">
        <v>44652</v>
      </c>
      <c r="J779" s="6">
        <v>1416</v>
      </c>
      <c r="K779" s="6">
        <v>1416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4" t="s">
        <v>66</v>
      </c>
      <c r="R779" s="4">
        <v>2751</v>
      </c>
      <c r="S779" s="4" t="s">
        <v>433</v>
      </c>
      <c r="U779" s="4">
        <v>28</v>
      </c>
      <c r="V779" s="4">
        <v>0</v>
      </c>
      <c r="W779" s="4">
        <v>0</v>
      </c>
    </row>
    <row r="780" spans="1:23" ht="11.25" customHeight="1" x14ac:dyDescent="0.25">
      <c r="A780" s="4" t="s">
        <v>21</v>
      </c>
      <c r="B780" s="4" t="s">
        <v>41</v>
      </c>
      <c r="C780" s="4" t="s">
        <v>64</v>
      </c>
      <c r="D780" s="4" t="s">
        <v>25</v>
      </c>
      <c r="E780" s="4" t="s">
        <v>25</v>
      </c>
      <c r="F780" s="4" t="s">
        <v>25</v>
      </c>
      <c r="G780" s="4" t="s">
        <v>88</v>
      </c>
      <c r="H780" s="4" t="s">
        <v>25</v>
      </c>
      <c r="I780" s="5">
        <v>44652</v>
      </c>
      <c r="J780" s="6">
        <v>9500</v>
      </c>
      <c r="K780" s="6">
        <v>4750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4" t="s">
        <v>66</v>
      </c>
      <c r="R780" s="4">
        <v>27722</v>
      </c>
      <c r="S780" s="4" t="s">
        <v>433</v>
      </c>
      <c r="U780" s="4">
        <v>28</v>
      </c>
      <c r="V780" s="4">
        <v>0</v>
      </c>
      <c r="W780" s="4">
        <v>0</v>
      </c>
    </row>
    <row r="781" spans="1:23" ht="11.25" customHeight="1" x14ac:dyDescent="0.25">
      <c r="A781" s="4" t="s">
        <v>21</v>
      </c>
      <c r="B781" s="4" t="s">
        <v>41</v>
      </c>
      <c r="C781" s="4" t="s">
        <v>64</v>
      </c>
      <c r="D781" s="4" t="s">
        <v>25</v>
      </c>
      <c r="E781" s="4" t="s">
        <v>25</v>
      </c>
      <c r="F781" s="4" t="s">
        <v>25</v>
      </c>
      <c r="G781" s="4" t="s">
        <v>90</v>
      </c>
      <c r="H781" s="4" t="s">
        <v>25</v>
      </c>
      <c r="I781" s="5">
        <v>44652</v>
      </c>
      <c r="J781" s="6">
        <v>420</v>
      </c>
      <c r="K781" s="6">
        <v>420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4" t="s">
        <v>66</v>
      </c>
      <c r="R781" s="4">
        <v>27928</v>
      </c>
      <c r="S781" s="4" t="s">
        <v>433</v>
      </c>
      <c r="U781" s="4">
        <v>28</v>
      </c>
      <c r="V781" s="4">
        <v>0</v>
      </c>
      <c r="W781" s="4">
        <v>0</v>
      </c>
    </row>
    <row r="782" spans="1:23" ht="11.25" customHeight="1" x14ac:dyDescent="0.25">
      <c r="A782" s="4" t="s">
        <v>21</v>
      </c>
      <c r="B782" s="4" t="s">
        <v>41</v>
      </c>
      <c r="C782" s="4" t="s">
        <v>64</v>
      </c>
      <c r="D782" s="4" t="s">
        <v>25</v>
      </c>
      <c r="E782" s="4" t="s">
        <v>25</v>
      </c>
      <c r="F782" s="4" t="s">
        <v>25</v>
      </c>
      <c r="G782" s="4" t="s">
        <v>93</v>
      </c>
      <c r="H782" s="4" t="s">
        <v>25</v>
      </c>
      <c r="I782" s="5">
        <v>44652</v>
      </c>
      <c r="J782" s="6">
        <v>1300</v>
      </c>
      <c r="K782" s="6">
        <v>650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4" t="s">
        <v>66</v>
      </c>
      <c r="R782" s="4">
        <v>30847</v>
      </c>
      <c r="S782" s="4" t="s">
        <v>433</v>
      </c>
      <c r="U782" s="4">
        <v>28</v>
      </c>
      <c r="V782" s="4">
        <v>0</v>
      </c>
      <c r="W782" s="4">
        <v>0</v>
      </c>
    </row>
    <row r="783" spans="1:23" ht="11.25" customHeight="1" x14ac:dyDescent="0.25">
      <c r="A783" s="4" t="s">
        <v>21</v>
      </c>
      <c r="B783" s="4" t="s">
        <v>41</v>
      </c>
      <c r="C783" s="4" t="s">
        <v>64</v>
      </c>
      <c r="D783" s="4" t="s">
        <v>25</v>
      </c>
      <c r="E783" s="4" t="s">
        <v>25</v>
      </c>
      <c r="F783" s="4" t="s">
        <v>25</v>
      </c>
      <c r="G783" s="4" t="s">
        <v>94</v>
      </c>
      <c r="H783" s="4" t="s">
        <v>25</v>
      </c>
      <c r="I783" s="5">
        <v>44652</v>
      </c>
      <c r="J783" s="6">
        <v>1180</v>
      </c>
      <c r="K783" s="6">
        <v>590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4" t="s">
        <v>66</v>
      </c>
      <c r="R783" s="4">
        <v>30866</v>
      </c>
      <c r="S783" s="4" t="s">
        <v>433</v>
      </c>
      <c r="U783" s="4">
        <v>28</v>
      </c>
      <c r="V783" s="4">
        <v>0</v>
      </c>
      <c r="W783" s="4">
        <v>0</v>
      </c>
    </row>
    <row r="784" spans="1:23" ht="11.25" customHeight="1" x14ac:dyDescent="0.25">
      <c r="A784" s="4" t="s">
        <v>21</v>
      </c>
      <c r="B784" s="4" t="s">
        <v>41</v>
      </c>
      <c r="C784" s="4" t="s">
        <v>64</v>
      </c>
      <c r="D784" s="4" t="s">
        <v>25</v>
      </c>
      <c r="E784" s="4" t="s">
        <v>25</v>
      </c>
      <c r="F784" s="4" t="s">
        <v>25</v>
      </c>
      <c r="G784" s="4" t="s">
        <v>95</v>
      </c>
      <c r="H784" s="4" t="s">
        <v>25</v>
      </c>
      <c r="I784" s="5">
        <v>44652</v>
      </c>
      <c r="J784" s="6">
        <v>1180</v>
      </c>
      <c r="K784" s="6">
        <v>590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4" t="s">
        <v>66</v>
      </c>
      <c r="R784" s="4">
        <v>31051</v>
      </c>
      <c r="S784" s="4" t="s">
        <v>433</v>
      </c>
      <c r="U784" s="4">
        <v>28</v>
      </c>
      <c r="V784" s="4">
        <v>0</v>
      </c>
      <c r="W784" s="4">
        <v>0</v>
      </c>
    </row>
    <row r="785" spans="1:23" ht="11.25" customHeight="1" x14ac:dyDescent="0.25">
      <c r="A785" s="4" t="s">
        <v>21</v>
      </c>
      <c r="B785" s="4" t="s">
        <v>41</v>
      </c>
      <c r="C785" s="4" t="s">
        <v>64</v>
      </c>
      <c r="D785" s="4" t="s">
        <v>25</v>
      </c>
      <c r="E785" s="4" t="s">
        <v>25</v>
      </c>
      <c r="F785" s="4" t="s">
        <v>25</v>
      </c>
      <c r="G785" s="4" t="s">
        <v>96</v>
      </c>
      <c r="H785" s="4" t="s">
        <v>25</v>
      </c>
      <c r="I785" s="5">
        <v>44652</v>
      </c>
      <c r="J785" s="6">
        <v>1000</v>
      </c>
      <c r="K785" s="6">
        <v>500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4" t="s">
        <v>66</v>
      </c>
      <c r="R785" s="4">
        <v>31277</v>
      </c>
      <c r="S785" s="4" t="s">
        <v>433</v>
      </c>
      <c r="U785" s="4">
        <v>28</v>
      </c>
      <c r="V785" s="4">
        <v>0</v>
      </c>
      <c r="W785" s="4">
        <v>0</v>
      </c>
    </row>
    <row r="786" spans="1:23" ht="11.25" customHeight="1" x14ac:dyDescent="0.25">
      <c r="A786" s="4" t="s">
        <v>21</v>
      </c>
      <c r="B786" s="4" t="s">
        <v>41</v>
      </c>
      <c r="C786" s="4" t="s">
        <v>64</v>
      </c>
      <c r="D786" s="4" t="s">
        <v>25</v>
      </c>
      <c r="E786" s="4" t="s">
        <v>25</v>
      </c>
      <c r="F786" s="4" t="s">
        <v>25</v>
      </c>
      <c r="G786" s="4" t="s">
        <v>97</v>
      </c>
      <c r="H786" s="4" t="s">
        <v>25</v>
      </c>
      <c r="I786" s="5">
        <v>44652</v>
      </c>
      <c r="J786" s="6">
        <v>1180</v>
      </c>
      <c r="K786" s="6">
        <v>590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4" t="s">
        <v>66</v>
      </c>
      <c r="R786" s="4">
        <v>31318</v>
      </c>
      <c r="S786" s="4" t="s">
        <v>433</v>
      </c>
      <c r="U786" s="4">
        <v>28</v>
      </c>
      <c r="V786" s="4">
        <v>0</v>
      </c>
      <c r="W786" s="4">
        <v>0</v>
      </c>
    </row>
    <row r="787" spans="1:23" ht="11.25" customHeight="1" x14ac:dyDescent="0.25">
      <c r="A787" s="4" t="s">
        <v>21</v>
      </c>
      <c r="B787" s="4" t="s">
        <v>41</v>
      </c>
      <c r="C787" s="4" t="s">
        <v>64</v>
      </c>
      <c r="D787" s="4" t="s">
        <v>25</v>
      </c>
      <c r="E787" s="4" t="s">
        <v>25</v>
      </c>
      <c r="F787" s="4" t="s">
        <v>25</v>
      </c>
      <c r="G787" s="4" t="s">
        <v>98</v>
      </c>
      <c r="H787" s="4" t="s">
        <v>25</v>
      </c>
      <c r="I787" s="5">
        <v>44652</v>
      </c>
      <c r="J787" s="6">
        <v>3000</v>
      </c>
      <c r="K787" s="6">
        <v>1500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4" t="s">
        <v>66</v>
      </c>
      <c r="R787" s="4">
        <v>31334</v>
      </c>
      <c r="S787" s="4" t="s">
        <v>433</v>
      </c>
      <c r="U787" s="4">
        <v>28</v>
      </c>
      <c r="V787" s="4">
        <v>0</v>
      </c>
      <c r="W787" s="4">
        <v>0</v>
      </c>
    </row>
    <row r="788" spans="1:23" ht="11.25" customHeight="1" x14ac:dyDescent="0.25">
      <c r="A788" s="4" t="s">
        <v>21</v>
      </c>
      <c r="B788" s="4" t="s">
        <v>41</v>
      </c>
      <c r="C788" s="4" t="s">
        <v>64</v>
      </c>
      <c r="D788" s="4" t="s">
        <v>25</v>
      </c>
      <c r="E788" s="4" t="s">
        <v>25</v>
      </c>
      <c r="F788" s="4" t="s">
        <v>25</v>
      </c>
      <c r="G788" s="4" t="s">
        <v>99</v>
      </c>
      <c r="H788" s="4" t="s">
        <v>25</v>
      </c>
      <c r="I788" s="5">
        <v>44652</v>
      </c>
      <c r="J788" s="6">
        <v>1180</v>
      </c>
      <c r="K788" s="6">
        <v>590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4" t="s">
        <v>66</v>
      </c>
      <c r="R788" s="4">
        <v>31618</v>
      </c>
      <c r="S788" s="4" t="s">
        <v>433</v>
      </c>
      <c r="U788" s="4">
        <v>28</v>
      </c>
      <c r="V788" s="4">
        <v>0</v>
      </c>
      <c r="W788" s="4">
        <v>0</v>
      </c>
    </row>
    <row r="789" spans="1:23" ht="11.25" customHeight="1" x14ac:dyDescent="0.25">
      <c r="A789" s="4" t="s">
        <v>21</v>
      </c>
      <c r="B789" s="4" t="s">
        <v>41</v>
      </c>
      <c r="C789" s="4" t="s">
        <v>64</v>
      </c>
      <c r="D789" s="4" t="s">
        <v>25</v>
      </c>
      <c r="E789" s="4" t="s">
        <v>25</v>
      </c>
      <c r="F789" s="4" t="s">
        <v>25</v>
      </c>
      <c r="G789" s="4" t="s">
        <v>100</v>
      </c>
      <c r="H789" s="4" t="s">
        <v>25</v>
      </c>
      <c r="I789" s="5">
        <v>44652</v>
      </c>
      <c r="J789" s="6">
        <v>1180</v>
      </c>
      <c r="K789" s="6">
        <v>590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4" t="s">
        <v>66</v>
      </c>
      <c r="R789" s="4">
        <v>31677</v>
      </c>
      <c r="S789" s="4" t="s">
        <v>433</v>
      </c>
      <c r="U789" s="4">
        <v>28</v>
      </c>
      <c r="V789" s="4">
        <v>0</v>
      </c>
      <c r="W789" s="4">
        <v>0</v>
      </c>
    </row>
    <row r="790" spans="1:23" ht="11.25" customHeight="1" x14ac:dyDescent="0.25">
      <c r="A790" s="4" t="s">
        <v>58</v>
      </c>
      <c r="B790" s="4" t="s">
        <v>41</v>
      </c>
      <c r="C790" s="4" t="s">
        <v>64</v>
      </c>
      <c r="D790" s="4" t="s">
        <v>25</v>
      </c>
      <c r="E790" s="4" t="s">
        <v>25</v>
      </c>
      <c r="F790" s="4" t="s">
        <v>25</v>
      </c>
      <c r="G790" s="4" t="s">
        <v>68</v>
      </c>
      <c r="H790" s="4" t="s">
        <v>25</v>
      </c>
      <c r="I790" s="5">
        <v>44682</v>
      </c>
      <c r="J790" s="6">
        <v>302</v>
      </c>
      <c r="K790" s="6">
        <v>302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4" t="s">
        <v>66</v>
      </c>
      <c r="R790" s="4">
        <v>404</v>
      </c>
      <c r="S790" s="4" t="s">
        <v>434</v>
      </c>
      <c r="U790" s="4">
        <v>28</v>
      </c>
      <c r="V790" s="4">
        <v>0</v>
      </c>
      <c r="W790" s="4">
        <v>0</v>
      </c>
    </row>
    <row r="791" spans="1:23" ht="11.25" customHeight="1" x14ac:dyDescent="0.25">
      <c r="A791" s="4" t="s">
        <v>58</v>
      </c>
      <c r="B791" s="4" t="s">
        <v>41</v>
      </c>
      <c r="C791" s="4" t="s">
        <v>64</v>
      </c>
      <c r="D791" s="4" t="s">
        <v>25</v>
      </c>
      <c r="E791" s="4" t="s">
        <v>25</v>
      </c>
      <c r="F791" s="4" t="s">
        <v>25</v>
      </c>
      <c r="G791" s="4" t="s">
        <v>70</v>
      </c>
      <c r="H791" s="4" t="s">
        <v>25</v>
      </c>
      <c r="I791" s="5">
        <v>44682</v>
      </c>
      <c r="J791" s="6">
        <v>5040</v>
      </c>
      <c r="K791" s="6">
        <v>5040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4" t="s">
        <v>66</v>
      </c>
      <c r="R791" s="4">
        <v>838</v>
      </c>
      <c r="S791" s="4" t="s">
        <v>434</v>
      </c>
      <c r="U791" s="4">
        <v>28</v>
      </c>
      <c r="V791" s="4">
        <v>0</v>
      </c>
      <c r="W791" s="4">
        <v>0</v>
      </c>
    </row>
    <row r="792" spans="1:23" ht="11.25" customHeight="1" x14ac:dyDescent="0.25">
      <c r="A792" s="4" t="s">
        <v>58</v>
      </c>
      <c r="B792" s="4" t="s">
        <v>41</v>
      </c>
      <c r="C792" s="4" t="s">
        <v>64</v>
      </c>
      <c r="D792" s="4" t="s">
        <v>25</v>
      </c>
      <c r="E792" s="4" t="s">
        <v>25</v>
      </c>
      <c r="F792" s="4" t="s">
        <v>25</v>
      </c>
      <c r="G792" s="4" t="s">
        <v>74</v>
      </c>
      <c r="H792" s="4" t="s">
        <v>25</v>
      </c>
      <c r="I792" s="5">
        <v>44682</v>
      </c>
      <c r="J792" s="6">
        <v>3800</v>
      </c>
      <c r="K792" s="6">
        <v>1900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4" t="s">
        <v>66</v>
      </c>
      <c r="R792" s="4">
        <v>1192</v>
      </c>
      <c r="S792" s="4" t="s">
        <v>434</v>
      </c>
      <c r="U792" s="4">
        <v>28</v>
      </c>
      <c r="V792" s="4">
        <v>0</v>
      </c>
      <c r="W792" s="4">
        <v>0</v>
      </c>
    </row>
    <row r="793" spans="1:23" ht="11.25" customHeight="1" x14ac:dyDescent="0.25">
      <c r="A793" s="4" t="s">
        <v>58</v>
      </c>
      <c r="B793" s="4" t="s">
        <v>41</v>
      </c>
      <c r="C793" s="4" t="s">
        <v>64</v>
      </c>
      <c r="D793" s="4" t="s">
        <v>25</v>
      </c>
      <c r="E793" s="4" t="s">
        <v>25</v>
      </c>
      <c r="F793" s="4" t="s">
        <v>25</v>
      </c>
      <c r="G793" s="4" t="s">
        <v>76</v>
      </c>
      <c r="H793" s="4" t="s">
        <v>25</v>
      </c>
      <c r="I793" s="5">
        <v>44682</v>
      </c>
      <c r="J793" s="6">
        <v>480</v>
      </c>
      <c r="K793" s="6">
        <v>480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4" t="s">
        <v>66</v>
      </c>
      <c r="R793" s="4">
        <v>1438</v>
      </c>
      <c r="S793" s="4" t="s">
        <v>434</v>
      </c>
      <c r="U793" s="4">
        <v>28</v>
      </c>
      <c r="V793" s="4">
        <v>0</v>
      </c>
      <c r="W793" s="4">
        <v>0</v>
      </c>
    </row>
    <row r="794" spans="1:23" ht="11.25" customHeight="1" x14ac:dyDescent="0.25">
      <c r="A794" s="4" t="s">
        <v>58</v>
      </c>
      <c r="B794" s="4" t="s">
        <v>41</v>
      </c>
      <c r="C794" s="4" t="s">
        <v>64</v>
      </c>
      <c r="D794" s="4" t="s">
        <v>25</v>
      </c>
      <c r="E794" s="4" t="s">
        <v>25</v>
      </c>
      <c r="F794" s="4" t="s">
        <v>25</v>
      </c>
      <c r="G794" s="4" t="s">
        <v>77</v>
      </c>
      <c r="H794" s="4" t="s">
        <v>25</v>
      </c>
      <c r="I794" s="5">
        <v>44682</v>
      </c>
      <c r="J794" s="6">
        <v>736</v>
      </c>
      <c r="K794" s="6">
        <v>736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4" t="s">
        <v>66</v>
      </c>
      <c r="R794" s="4">
        <v>1462</v>
      </c>
      <c r="S794" s="4" t="s">
        <v>434</v>
      </c>
      <c r="U794" s="4">
        <v>28</v>
      </c>
      <c r="V794" s="4">
        <v>0</v>
      </c>
      <c r="W794" s="4">
        <v>0</v>
      </c>
    </row>
    <row r="795" spans="1:23" ht="11.25" customHeight="1" x14ac:dyDescent="0.25">
      <c r="A795" s="4" t="s">
        <v>58</v>
      </c>
      <c r="B795" s="4" t="s">
        <v>41</v>
      </c>
      <c r="C795" s="4" t="s">
        <v>64</v>
      </c>
      <c r="D795" s="4" t="s">
        <v>25</v>
      </c>
      <c r="E795" s="4" t="s">
        <v>25</v>
      </c>
      <c r="F795" s="4" t="s">
        <v>25</v>
      </c>
      <c r="G795" s="4" t="s">
        <v>78</v>
      </c>
      <c r="H795" s="4" t="s">
        <v>25</v>
      </c>
      <c r="I795" s="5">
        <v>44682</v>
      </c>
      <c r="J795" s="6">
        <v>6460</v>
      </c>
      <c r="K795" s="6">
        <v>6460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4" t="s">
        <v>66</v>
      </c>
      <c r="R795" s="4">
        <v>1533</v>
      </c>
      <c r="S795" s="4" t="s">
        <v>434</v>
      </c>
      <c r="U795" s="4">
        <v>28</v>
      </c>
      <c r="V795" s="4">
        <v>0</v>
      </c>
      <c r="W795" s="4">
        <v>0</v>
      </c>
    </row>
    <row r="796" spans="1:23" ht="11.25" customHeight="1" x14ac:dyDescent="0.25">
      <c r="A796" s="4" t="s">
        <v>58</v>
      </c>
      <c r="B796" s="4" t="s">
        <v>41</v>
      </c>
      <c r="C796" s="4" t="s">
        <v>64</v>
      </c>
      <c r="D796" s="4" t="s">
        <v>25</v>
      </c>
      <c r="E796" s="4" t="s">
        <v>25</v>
      </c>
      <c r="F796" s="4" t="s">
        <v>25</v>
      </c>
      <c r="G796" s="4" t="s">
        <v>79</v>
      </c>
      <c r="H796" s="4" t="s">
        <v>25</v>
      </c>
      <c r="I796" s="5">
        <v>44682</v>
      </c>
      <c r="J796" s="6">
        <v>770</v>
      </c>
      <c r="K796" s="6">
        <v>770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4" t="s">
        <v>66</v>
      </c>
      <c r="R796" s="4">
        <v>2535</v>
      </c>
      <c r="S796" s="4" t="s">
        <v>434</v>
      </c>
      <c r="U796" s="4">
        <v>28</v>
      </c>
      <c r="V796" s="4">
        <v>0</v>
      </c>
      <c r="W796" s="4">
        <v>0</v>
      </c>
    </row>
    <row r="797" spans="1:23" ht="11.25" customHeight="1" x14ac:dyDescent="0.25">
      <c r="A797" s="4" t="s">
        <v>58</v>
      </c>
      <c r="B797" s="4" t="s">
        <v>41</v>
      </c>
      <c r="C797" s="4" t="s">
        <v>64</v>
      </c>
      <c r="D797" s="4" t="s">
        <v>25</v>
      </c>
      <c r="E797" s="4" t="s">
        <v>25</v>
      </c>
      <c r="F797" s="4" t="s">
        <v>25</v>
      </c>
      <c r="G797" s="4" t="s">
        <v>80</v>
      </c>
      <c r="H797" s="4" t="s">
        <v>25</v>
      </c>
      <c r="I797" s="5">
        <v>44682</v>
      </c>
      <c r="J797" s="6">
        <v>1416</v>
      </c>
      <c r="K797" s="6">
        <v>1416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4" t="s">
        <v>66</v>
      </c>
      <c r="R797" s="4">
        <v>2751</v>
      </c>
      <c r="S797" s="4" t="s">
        <v>434</v>
      </c>
      <c r="U797" s="4">
        <v>28</v>
      </c>
      <c r="V797" s="4">
        <v>0</v>
      </c>
      <c r="W797" s="4">
        <v>0</v>
      </c>
    </row>
    <row r="798" spans="1:23" ht="11.25" customHeight="1" x14ac:dyDescent="0.25">
      <c r="A798" s="4" t="s">
        <v>58</v>
      </c>
      <c r="B798" s="4" t="s">
        <v>41</v>
      </c>
      <c r="C798" s="4" t="s">
        <v>64</v>
      </c>
      <c r="D798" s="4" t="s">
        <v>25</v>
      </c>
      <c r="E798" s="4" t="s">
        <v>25</v>
      </c>
      <c r="F798" s="4" t="s">
        <v>25</v>
      </c>
      <c r="G798" s="4" t="s">
        <v>88</v>
      </c>
      <c r="H798" s="4" t="s">
        <v>25</v>
      </c>
      <c r="I798" s="5">
        <v>44682</v>
      </c>
      <c r="J798" s="6">
        <v>9500</v>
      </c>
      <c r="K798" s="6">
        <v>4750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4" t="s">
        <v>66</v>
      </c>
      <c r="R798" s="4">
        <v>27722</v>
      </c>
      <c r="S798" s="4" t="s">
        <v>434</v>
      </c>
      <c r="U798" s="4">
        <v>28</v>
      </c>
      <c r="V798" s="4">
        <v>0</v>
      </c>
      <c r="W798" s="4">
        <v>0</v>
      </c>
    </row>
    <row r="799" spans="1:23" ht="11.25" customHeight="1" x14ac:dyDescent="0.25">
      <c r="A799" s="4" t="s">
        <v>58</v>
      </c>
      <c r="B799" s="4" t="s">
        <v>41</v>
      </c>
      <c r="C799" s="4" t="s">
        <v>64</v>
      </c>
      <c r="D799" s="4" t="s">
        <v>25</v>
      </c>
      <c r="E799" s="4" t="s">
        <v>25</v>
      </c>
      <c r="F799" s="4" t="s">
        <v>25</v>
      </c>
      <c r="G799" s="4" t="s">
        <v>90</v>
      </c>
      <c r="H799" s="4" t="s">
        <v>25</v>
      </c>
      <c r="I799" s="5">
        <v>44682</v>
      </c>
      <c r="J799" s="6">
        <v>420</v>
      </c>
      <c r="K799" s="6">
        <v>420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4" t="s">
        <v>66</v>
      </c>
      <c r="R799" s="4">
        <v>27928</v>
      </c>
      <c r="S799" s="4" t="s">
        <v>434</v>
      </c>
      <c r="U799" s="4">
        <v>28</v>
      </c>
      <c r="V799" s="4">
        <v>0</v>
      </c>
      <c r="W799" s="4">
        <v>0</v>
      </c>
    </row>
    <row r="800" spans="1:23" ht="11.25" customHeight="1" x14ac:dyDescent="0.25">
      <c r="A800" s="4" t="s">
        <v>58</v>
      </c>
      <c r="B800" s="4" t="s">
        <v>41</v>
      </c>
      <c r="C800" s="4" t="s">
        <v>64</v>
      </c>
      <c r="D800" s="4" t="s">
        <v>25</v>
      </c>
      <c r="E800" s="4" t="s">
        <v>25</v>
      </c>
      <c r="F800" s="4" t="s">
        <v>25</v>
      </c>
      <c r="G800" s="4" t="s">
        <v>93</v>
      </c>
      <c r="H800" s="4" t="s">
        <v>25</v>
      </c>
      <c r="I800" s="5">
        <v>44682</v>
      </c>
      <c r="J800" s="6">
        <v>1300</v>
      </c>
      <c r="K800" s="6">
        <v>650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4" t="s">
        <v>66</v>
      </c>
      <c r="R800" s="4">
        <v>30847</v>
      </c>
      <c r="S800" s="4" t="s">
        <v>434</v>
      </c>
      <c r="U800" s="4">
        <v>28</v>
      </c>
      <c r="V800" s="4">
        <v>0</v>
      </c>
      <c r="W800" s="4">
        <v>0</v>
      </c>
    </row>
    <row r="801" spans="1:23" ht="11.25" customHeight="1" x14ac:dyDescent="0.25">
      <c r="A801" s="4" t="s">
        <v>58</v>
      </c>
      <c r="B801" s="4" t="s">
        <v>41</v>
      </c>
      <c r="C801" s="4" t="s">
        <v>64</v>
      </c>
      <c r="D801" s="4" t="s">
        <v>25</v>
      </c>
      <c r="E801" s="4" t="s">
        <v>25</v>
      </c>
      <c r="F801" s="4" t="s">
        <v>25</v>
      </c>
      <c r="G801" s="4" t="s">
        <v>94</v>
      </c>
      <c r="H801" s="4" t="s">
        <v>25</v>
      </c>
      <c r="I801" s="5">
        <v>44682</v>
      </c>
      <c r="J801" s="6">
        <v>1180</v>
      </c>
      <c r="K801" s="6">
        <v>590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4" t="s">
        <v>66</v>
      </c>
      <c r="R801" s="4">
        <v>30866</v>
      </c>
      <c r="S801" s="4" t="s">
        <v>434</v>
      </c>
      <c r="U801" s="4">
        <v>28</v>
      </c>
      <c r="V801" s="4">
        <v>0</v>
      </c>
      <c r="W801" s="4">
        <v>0</v>
      </c>
    </row>
    <row r="802" spans="1:23" ht="11.25" customHeight="1" x14ac:dyDescent="0.25">
      <c r="A802" s="4" t="s">
        <v>58</v>
      </c>
      <c r="B802" s="4" t="s">
        <v>41</v>
      </c>
      <c r="C802" s="4" t="s">
        <v>64</v>
      </c>
      <c r="D802" s="4" t="s">
        <v>25</v>
      </c>
      <c r="E802" s="4" t="s">
        <v>25</v>
      </c>
      <c r="F802" s="4" t="s">
        <v>25</v>
      </c>
      <c r="G802" s="4" t="s">
        <v>95</v>
      </c>
      <c r="H802" s="4" t="s">
        <v>25</v>
      </c>
      <c r="I802" s="5">
        <v>44682</v>
      </c>
      <c r="J802" s="6">
        <v>1180</v>
      </c>
      <c r="K802" s="6">
        <v>590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4" t="s">
        <v>66</v>
      </c>
      <c r="R802" s="4">
        <v>31051</v>
      </c>
      <c r="S802" s="4" t="s">
        <v>434</v>
      </c>
      <c r="U802" s="4">
        <v>28</v>
      </c>
      <c r="V802" s="4">
        <v>0</v>
      </c>
      <c r="W802" s="4">
        <v>0</v>
      </c>
    </row>
    <row r="803" spans="1:23" ht="11.25" customHeight="1" x14ac:dyDescent="0.25">
      <c r="A803" s="4" t="s">
        <v>58</v>
      </c>
      <c r="B803" s="4" t="s">
        <v>41</v>
      </c>
      <c r="C803" s="4" t="s">
        <v>64</v>
      </c>
      <c r="D803" s="4" t="s">
        <v>25</v>
      </c>
      <c r="E803" s="4" t="s">
        <v>25</v>
      </c>
      <c r="F803" s="4" t="s">
        <v>25</v>
      </c>
      <c r="G803" s="4" t="s">
        <v>96</v>
      </c>
      <c r="H803" s="4" t="s">
        <v>25</v>
      </c>
      <c r="I803" s="5">
        <v>44682</v>
      </c>
      <c r="J803" s="6">
        <v>1000</v>
      </c>
      <c r="K803" s="6">
        <v>500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4" t="s">
        <v>66</v>
      </c>
      <c r="R803" s="4">
        <v>31277</v>
      </c>
      <c r="S803" s="4" t="s">
        <v>434</v>
      </c>
      <c r="U803" s="4">
        <v>28</v>
      </c>
      <c r="V803" s="4">
        <v>0</v>
      </c>
      <c r="W803" s="4">
        <v>0</v>
      </c>
    </row>
    <row r="804" spans="1:23" ht="11.25" customHeight="1" x14ac:dyDescent="0.25">
      <c r="A804" s="4" t="s">
        <v>58</v>
      </c>
      <c r="B804" s="4" t="s">
        <v>41</v>
      </c>
      <c r="C804" s="4" t="s">
        <v>64</v>
      </c>
      <c r="D804" s="4" t="s">
        <v>25</v>
      </c>
      <c r="E804" s="4" t="s">
        <v>25</v>
      </c>
      <c r="F804" s="4" t="s">
        <v>25</v>
      </c>
      <c r="G804" s="4" t="s">
        <v>97</v>
      </c>
      <c r="H804" s="4" t="s">
        <v>25</v>
      </c>
      <c r="I804" s="5">
        <v>44682</v>
      </c>
      <c r="J804" s="6">
        <v>1180</v>
      </c>
      <c r="K804" s="6">
        <v>590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4" t="s">
        <v>66</v>
      </c>
      <c r="R804" s="4">
        <v>31318</v>
      </c>
      <c r="S804" s="4" t="s">
        <v>434</v>
      </c>
      <c r="U804" s="4">
        <v>28</v>
      </c>
      <c r="V804" s="4">
        <v>0</v>
      </c>
      <c r="W804" s="4">
        <v>0</v>
      </c>
    </row>
    <row r="805" spans="1:23" ht="11.25" customHeight="1" x14ac:dyDescent="0.25">
      <c r="A805" s="4" t="s">
        <v>58</v>
      </c>
      <c r="B805" s="4" t="s">
        <v>41</v>
      </c>
      <c r="C805" s="4" t="s">
        <v>64</v>
      </c>
      <c r="D805" s="4" t="s">
        <v>25</v>
      </c>
      <c r="E805" s="4" t="s">
        <v>25</v>
      </c>
      <c r="F805" s="4" t="s">
        <v>25</v>
      </c>
      <c r="G805" s="4" t="s">
        <v>98</v>
      </c>
      <c r="H805" s="4" t="s">
        <v>25</v>
      </c>
      <c r="I805" s="5">
        <v>44682</v>
      </c>
      <c r="J805" s="6">
        <v>3000</v>
      </c>
      <c r="K805" s="6">
        <v>1500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4" t="s">
        <v>66</v>
      </c>
      <c r="R805" s="4">
        <v>31334</v>
      </c>
      <c r="S805" s="4" t="s">
        <v>434</v>
      </c>
      <c r="U805" s="4">
        <v>28</v>
      </c>
      <c r="V805" s="4">
        <v>0</v>
      </c>
      <c r="W805" s="4">
        <v>0</v>
      </c>
    </row>
    <row r="806" spans="1:23" ht="11.25" customHeight="1" x14ac:dyDescent="0.25">
      <c r="A806" s="4" t="s">
        <v>58</v>
      </c>
      <c r="B806" s="4" t="s">
        <v>41</v>
      </c>
      <c r="C806" s="4" t="s">
        <v>64</v>
      </c>
      <c r="D806" s="4" t="s">
        <v>25</v>
      </c>
      <c r="E806" s="4" t="s">
        <v>25</v>
      </c>
      <c r="F806" s="4" t="s">
        <v>25</v>
      </c>
      <c r="G806" s="4" t="s">
        <v>99</v>
      </c>
      <c r="H806" s="4" t="s">
        <v>25</v>
      </c>
      <c r="I806" s="5">
        <v>44682</v>
      </c>
      <c r="J806" s="6">
        <v>1180</v>
      </c>
      <c r="K806" s="6">
        <v>590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4" t="s">
        <v>66</v>
      </c>
      <c r="R806" s="4">
        <v>31618</v>
      </c>
      <c r="S806" s="4" t="s">
        <v>434</v>
      </c>
      <c r="U806" s="4">
        <v>28</v>
      </c>
      <c r="V806" s="4">
        <v>0</v>
      </c>
      <c r="W806" s="4">
        <v>0</v>
      </c>
    </row>
    <row r="807" spans="1:23" ht="11.25" customHeight="1" x14ac:dyDescent="0.25">
      <c r="A807" s="4" t="s">
        <v>58</v>
      </c>
      <c r="B807" s="4" t="s">
        <v>41</v>
      </c>
      <c r="C807" s="4" t="s">
        <v>64</v>
      </c>
      <c r="D807" s="4" t="s">
        <v>25</v>
      </c>
      <c r="E807" s="4" t="s">
        <v>25</v>
      </c>
      <c r="F807" s="4" t="s">
        <v>25</v>
      </c>
      <c r="G807" s="4" t="s">
        <v>100</v>
      </c>
      <c r="H807" s="4" t="s">
        <v>25</v>
      </c>
      <c r="I807" s="5">
        <v>44682</v>
      </c>
      <c r="J807" s="6">
        <v>1180</v>
      </c>
      <c r="K807" s="6">
        <v>590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4" t="s">
        <v>66</v>
      </c>
      <c r="R807" s="4">
        <v>31677</v>
      </c>
      <c r="S807" s="4" t="s">
        <v>434</v>
      </c>
      <c r="U807" s="4">
        <v>28</v>
      </c>
      <c r="V807" s="4">
        <v>0</v>
      </c>
      <c r="W807" s="4">
        <v>0</v>
      </c>
    </row>
    <row r="808" spans="1:23" ht="11.25" customHeight="1" x14ac:dyDescent="0.25">
      <c r="A808" s="4" t="s">
        <v>21</v>
      </c>
      <c r="B808" s="4" t="s">
        <v>41</v>
      </c>
      <c r="C808" s="4" t="s">
        <v>42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35</v>
      </c>
      <c r="I808" s="5">
        <v>44348</v>
      </c>
      <c r="J808" s="6">
        <v>0</v>
      </c>
      <c r="K808" s="6">
        <v>0</v>
      </c>
      <c r="L808" s="6">
        <v>2545.0259999999998</v>
      </c>
      <c r="M808" s="6">
        <v>2545.0259999999998</v>
      </c>
      <c r="N808" s="6">
        <v>2545.0259999999998</v>
      </c>
      <c r="O808" s="6">
        <v>2545.0259999999998</v>
      </c>
      <c r="P808" s="6">
        <v>0</v>
      </c>
      <c r="Q808" s="4" t="s">
        <v>26</v>
      </c>
      <c r="R808" s="4">
        <v>0</v>
      </c>
      <c r="S808" s="4" t="s">
        <v>435</v>
      </c>
      <c r="T808" s="4" t="s">
        <v>707</v>
      </c>
      <c r="U808" s="4">
        <v>0</v>
      </c>
      <c r="V808" s="4">
        <v>31</v>
      </c>
      <c r="W808" s="4">
        <v>79</v>
      </c>
    </row>
    <row r="809" spans="1:23" ht="11.25" customHeight="1" x14ac:dyDescent="0.25">
      <c r="A809" s="4" t="s">
        <v>27</v>
      </c>
      <c r="B809" s="4" t="s">
        <v>41</v>
      </c>
      <c r="C809" s="4" t="s">
        <v>42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35</v>
      </c>
      <c r="I809" s="5">
        <v>44348</v>
      </c>
      <c r="J809" s="6">
        <v>0</v>
      </c>
      <c r="K809" s="6">
        <v>0</v>
      </c>
      <c r="L809" s="6">
        <v>-26.4</v>
      </c>
      <c r="M809" s="6">
        <v>-26.4</v>
      </c>
      <c r="N809" s="6">
        <v>-26.4</v>
      </c>
      <c r="O809" s="6">
        <v>-26.4</v>
      </c>
      <c r="P809" s="6">
        <v>0</v>
      </c>
      <c r="Q809" s="4" t="s">
        <v>26</v>
      </c>
      <c r="R809" s="4">
        <v>0</v>
      </c>
      <c r="S809" s="4" t="s">
        <v>435</v>
      </c>
      <c r="T809" s="4" t="s">
        <v>707</v>
      </c>
      <c r="U809" s="4">
        <v>0</v>
      </c>
      <c r="V809" s="4">
        <v>31</v>
      </c>
      <c r="W809" s="4">
        <v>79</v>
      </c>
    </row>
    <row r="810" spans="1:23" ht="11.25" customHeight="1" x14ac:dyDescent="0.25">
      <c r="A810" s="4" t="s">
        <v>28</v>
      </c>
      <c r="B810" s="4" t="s">
        <v>41</v>
      </c>
      <c r="C810" s="4" t="s">
        <v>42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35</v>
      </c>
      <c r="I810" s="5">
        <v>44348</v>
      </c>
      <c r="J810" s="6">
        <v>0</v>
      </c>
      <c r="K810" s="6">
        <v>0</v>
      </c>
      <c r="L810" s="6">
        <v>148.38999999999999</v>
      </c>
      <c r="M810" s="6">
        <v>148.38999999999999</v>
      </c>
      <c r="N810" s="6">
        <v>148.38999999999999</v>
      </c>
      <c r="O810" s="6">
        <v>148.38999999999999</v>
      </c>
      <c r="P810" s="6">
        <v>0</v>
      </c>
      <c r="Q810" s="4" t="s">
        <v>26</v>
      </c>
      <c r="R810" s="4">
        <v>0</v>
      </c>
      <c r="S810" s="4" t="s">
        <v>435</v>
      </c>
      <c r="T810" s="4" t="s">
        <v>707</v>
      </c>
      <c r="U810" s="4">
        <v>0</v>
      </c>
      <c r="V810" s="4">
        <v>31</v>
      </c>
      <c r="W810" s="4">
        <v>79</v>
      </c>
    </row>
    <row r="811" spans="1:23" ht="11.25" customHeight="1" x14ac:dyDescent="0.25">
      <c r="A811" s="4" t="s">
        <v>28</v>
      </c>
      <c r="B811" s="4" t="s">
        <v>41</v>
      </c>
      <c r="C811" s="4" t="s">
        <v>42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35</v>
      </c>
      <c r="I811" s="5">
        <v>44348</v>
      </c>
      <c r="J811" s="6">
        <v>0</v>
      </c>
      <c r="K811" s="6">
        <v>0</v>
      </c>
      <c r="L811" s="6">
        <v>15.856999999999999</v>
      </c>
      <c r="M811" s="6">
        <v>15.856999999999999</v>
      </c>
      <c r="N811" s="6">
        <v>15.856999999999999</v>
      </c>
      <c r="O811" s="6">
        <v>15.856999999999999</v>
      </c>
      <c r="P811" s="6">
        <v>0</v>
      </c>
      <c r="Q811" s="4" t="s">
        <v>26</v>
      </c>
      <c r="R811" s="4">
        <v>0</v>
      </c>
      <c r="S811" s="4" t="s">
        <v>435</v>
      </c>
      <c r="T811" s="4" t="s">
        <v>707</v>
      </c>
      <c r="U811" s="4">
        <v>0</v>
      </c>
      <c r="V811" s="4">
        <v>31</v>
      </c>
      <c r="W811" s="4">
        <v>79</v>
      </c>
    </row>
    <row r="812" spans="1:23" ht="11.25" customHeight="1" x14ac:dyDescent="0.25">
      <c r="A812" s="4" t="s">
        <v>21</v>
      </c>
      <c r="B812" s="4" t="s">
        <v>41</v>
      </c>
      <c r="C812" s="4" t="s">
        <v>42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35</v>
      </c>
      <c r="I812" s="5">
        <v>44378</v>
      </c>
      <c r="J812" s="6">
        <v>0</v>
      </c>
      <c r="K812" s="6">
        <v>0</v>
      </c>
      <c r="L812" s="6">
        <v>2309.2550000000001</v>
      </c>
      <c r="M812" s="6">
        <v>2309.2550000000001</v>
      </c>
      <c r="N812" s="6">
        <v>2309.2550000000001</v>
      </c>
      <c r="O812" s="6">
        <v>2309.2550000000001</v>
      </c>
      <c r="P812" s="6">
        <v>0</v>
      </c>
      <c r="Q812" s="4" t="s">
        <v>26</v>
      </c>
      <c r="R812" s="4">
        <v>0</v>
      </c>
      <c r="S812" s="4" t="s">
        <v>436</v>
      </c>
      <c r="T812" s="4" t="s">
        <v>708</v>
      </c>
      <c r="U812" s="4">
        <v>0</v>
      </c>
      <c r="V812" s="4">
        <v>31</v>
      </c>
      <c r="W812" s="4">
        <v>79</v>
      </c>
    </row>
    <row r="813" spans="1:23" ht="11.25" customHeight="1" x14ac:dyDescent="0.25">
      <c r="A813" s="4" t="s">
        <v>27</v>
      </c>
      <c r="B813" s="4" t="s">
        <v>41</v>
      </c>
      <c r="C813" s="4" t="s">
        <v>42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35</v>
      </c>
      <c r="I813" s="5">
        <v>44378</v>
      </c>
      <c r="J813" s="6">
        <v>0</v>
      </c>
      <c r="K813" s="6">
        <v>0</v>
      </c>
      <c r="L813" s="6">
        <v>1.08</v>
      </c>
      <c r="M813" s="6">
        <v>1.08</v>
      </c>
      <c r="N813" s="6">
        <v>1.08</v>
      </c>
      <c r="O813" s="6">
        <v>1.08</v>
      </c>
      <c r="P813" s="6">
        <v>0</v>
      </c>
      <c r="Q813" s="4" t="s">
        <v>26</v>
      </c>
      <c r="R813" s="4">
        <v>0</v>
      </c>
      <c r="S813" s="4" t="s">
        <v>436</v>
      </c>
      <c r="T813" s="4" t="s">
        <v>708</v>
      </c>
      <c r="U813" s="4">
        <v>0</v>
      </c>
      <c r="V813" s="4">
        <v>31</v>
      </c>
      <c r="W813" s="4">
        <v>79</v>
      </c>
    </row>
    <row r="814" spans="1:23" ht="11.25" customHeight="1" x14ac:dyDescent="0.25">
      <c r="A814" s="4" t="s">
        <v>28</v>
      </c>
      <c r="B814" s="4" t="s">
        <v>41</v>
      </c>
      <c r="C814" s="4" t="s">
        <v>42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35</v>
      </c>
      <c r="I814" s="5">
        <v>44378</v>
      </c>
      <c r="J814" s="6">
        <v>0</v>
      </c>
      <c r="K814" s="6">
        <v>0</v>
      </c>
      <c r="L814" s="6">
        <v>211.88800000000001</v>
      </c>
      <c r="M814" s="6">
        <v>211.88800000000001</v>
      </c>
      <c r="N814" s="6">
        <v>211.88800000000001</v>
      </c>
      <c r="O814" s="6">
        <v>211.88800000000001</v>
      </c>
      <c r="P814" s="6">
        <v>0</v>
      </c>
      <c r="Q814" s="4" t="s">
        <v>26</v>
      </c>
      <c r="R814" s="4">
        <v>0</v>
      </c>
      <c r="S814" s="4" t="s">
        <v>436</v>
      </c>
      <c r="T814" s="4" t="s">
        <v>708</v>
      </c>
      <c r="U814" s="4">
        <v>0</v>
      </c>
      <c r="V814" s="4">
        <v>31</v>
      </c>
      <c r="W814" s="4">
        <v>79</v>
      </c>
    </row>
    <row r="815" spans="1:23" ht="11.25" customHeight="1" x14ac:dyDescent="0.25">
      <c r="A815" s="4" t="s">
        <v>21</v>
      </c>
      <c r="B815" s="4" t="s">
        <v>41</v>
      </c>
      <c r="C815" s="4" t="s">
        <v>42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35</v>
      </c>
      <c r="I815" s="5">
        <v>44409</v>
      </c>
      <c r="J815" s="6">
        <v>0</v>
      </c>
      <c r="K815" s="6">
        <v>0</v>
      </c>
      <c r="L815" s="6">
        <v>2631.7710000000002</v>
      </c>
      <c r="M815" s="6">
        <v>2631.7710000000002</v>
      </c>
      <c r="N815" s="6">
        <v>2631.7710000000002</v>
      </c>
      <c r="O815" s="6">
        <v>2631.7710000000002</v>
      </c>
      <c r="P815" s="6">
        <v>0</v>
      </c>
      <c r="Q815" s="4" t="s">
        <v>26</v>
      </c>
      <c r="R815" s="4">
        <v>0</v>
      </c>
      <c r="S815" s="4" t="s">
        <v>437</v>
      </c>
      <c r="T815" s="4" t="s">
        <v>709</v>
      </c>
      <c r="U815" s="4">
        <v>0</v>
      </c>
      <c r="V815" s="4">
        <v>31</v>
      </c>
      <c r="W815" s="4">
        <v>79</v>
      </c>
    </row>
    <row r="816" spans="1:23" ht="11.25" customHeight="1" x14ac:dyDescent="0.25">
      <c r="A816" s="4" t="s">
        <v>27</v>
      </c>
      <c r="B816" s="4" t="s">
        <v>41</v>
      </c>
      <c r="C816" s="4" t="s">
        <v>42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35</v>
      </c>
      <c r="I816" s="5">
        <v>44409</v>
      </c>
      <c r="J816" s="6">
        <v>0</v>
      </c>
      <c r="K816" s="6">
        <v>0</v>
      </c>
      <c r="L816" s="6">
        <v>-9.9</v>
      </c>
      <c r="M816" s="6">
        <v>-9.9</v>
      </c>
      <c r="N816" s="6">
        <v>-9.9</v>
      </c>
      <c r="O816" s="6">
        <v>-9.9</v>
      </c>
      <c r="P816" s="6">
        <v>0</v>
      </c>
      <c r="Q816" s="4" t="s">
        <v>26</v>
      </c>
      <c r="R816" s="4">
        <v>0</v>
      </c>
      <c r="S816" s="4" t="s">
        <v>437</v>
      </c>
      <c r="T816" s="4" t="s">
        <v>709</v>
      </c>
      <c r="U816" s="4">
        <v>0</v>
      </c>
      <c r="V816" s="4">
        <v>31</v>
      </c>
      <c r="W816" s="4">
        <v>79</v>
      </c>
    </row>
    <row r="817" spans="1:23" ht="11.25" customHeight="1" x14ac:dyDescent="0.25">
      <c r="A817" s="4" t="s">
        <v>28</v>
      </c>
      <c r="B817" s="4" t="s">
        <v>41</v>
      </c>
      <c r="C817" s="4" t="s">
        <v>42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35</v>
      </c>
      <c r="I817" s="5">
        <v>44409</v>
      </c>
      <c r="J817" s="6">
        <v>0</v>
      </c>
      <c r="K817" s="6">
        <v>0</v>
      </c>
      <c r="L817" s="6">
        <v>205.245</v>
      </c>
      <c r="M817" s="6">
        <v>205.245</v>
      </c>
      <c r="N817" s="6">
        <v>205.245</v>
      </c>
      <c r="O817" s="6">
        <v>205.245</v>
      </c>
      <c r="P817" s="6">
        <v>0</v>
      </c>
      <c r="Q817" s="4" t="s">
        <v>26</v>
      </c>
      <c r="R817" s="4">
        <v>0</v>
      </c>
      <c r="S817" s="4" t="s">
        <v>437</v>
      </c>
      <c r="T817" s="4" t="s">
        <v>709</v>
      </c>
      <c r="U817" s="4">
        <v>0</v>
      </c>
      <c r="V817" s="4">
        <v>31</v>
      </c>
      <c r="W817" s="4">
        <v>79</v>
      </c>
    </row>
    <row r="818" spans="1:23" ht="11.25" customHeight="1" x14ac:dyDescent="0.25">
      <c r="A818" s="4" t="s">
        <v>21</v>
      </c>
      <c r="B818" s="4" t="s">
        <v>41</v>
      </c>
      <c r="C818" s="4" t="s">
        <v>42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35</v>
      </c>
      <c r="I818" s="5">
        <v>44440</v>
      </c>
      <c r="J818" s="6">
        <v>0</v>
      </c>
      <c r="K818" s="6">
        <v>0</v>
      </c>
      <c r="L818" s="6">
        <v>2762.9679999999998</v>
      </c>
      <c r="M818" s="6">
        <v>2762.9679999999998</v>
      </c>
      <c r="N818" s="6">
        <v>2762.9679999999998</v>
      </c>
      <c r="O818" s="6">
        <v>2762.9679999999998</v>
      </c>
      <c r="P818" s="6">
        <v>0</v>
      </c>
      <c r="Q818" s="4" t="s">
        <v>26</v>
      </c>
      <c r="R818" s="4">
        <v>0</v>
      </c>
      <c r="S818" s="4" t="s">
        <v>438</v>
      </c>
      <c r="T818" s="4" t="s">
        <v>710</v>
      </c>
      <c r="U818" s="4">
        <v>0</v>
      </c>
      <c r="V818" s="4">
        <v>31</v>
      </c>
      <c r="W818" s="4">
        <v>79</v>
      </c>
    </row>
    <row r="819" spans="1:23" ht="11.25" customHeight="1" x14ac:dyDescent="0.25">
      <c r="A819" s="4" t="s">
        <v>28</v>
      </c>
      <c r="B819" s="4" t="s">
        <v>41</v>
      </c>
      <c r="C819" s="4" t="s">
        <v>42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35</v>
      </c>
      <c r="I819" s="5">
        <v>44440</v>
      </c>
      <c r="J819" s="6">
        <v>0</v>
      </c>
      <c r="K819" s="6">
        <v>0</v>
      </c>
      <c r="L819" s="6">
        <v>253.541</v>
      </c>
      <c r="M819" s="6">
        <v>253.541</v>
      </c>
      <c r="N819" s="6">
        <v>253.541</v>
      </c>
      <c r="O819" s="6">
        <v>253.541</v>
      </c>
      <c r="P819" s="6">
        <v>0</v>
      </c>
      <c r="Q819" s="4" t="s">
        <v>26</v>
      </c>
      <c r="R819" s="4">
        <v>0</v>
      </c>
      <c r="S819" s="4" t="s">
        <v>438</v>
      </c>
      <c r="T819" s="4" t="s">
        <v>710</v>
      </c>
      <c r="U819" s="4">
        <v>0</v>
      </c>
      <c r="V819" s="4">
        <v>31</v>
      </c>
      <c r="W819" s="4">
        <v>79</v>
      </c>
    </row>
    <row r="820" spans="1:23" ht="11.25" customHeight="1" x14ac:dyDescent="0.25">
      <c r="A820" s="4" t="s">
        <v>21</v>
      </c>
      <c r="B820" s="4" t="s">
        <v>41</v>
      </c>
      <c r="C820" s="4" t="s">
        <v>42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35</v>
      </c>
      <c r="I820" s="5">
        <v>44470</v>
      </c>
      <c r="J820" s="6">
        <v>0</v>
      </c>
      <c r="K820" s="6">
        <v>0</v>
      </c>
      <c r="L820" s="6">
        <v>2824.0230000000001</v>
      </c>
      <c r="M820" s="6">
        <v>2824.0230000000001</v>
      </c>
      <c r="N820" s="6">
        <v>2824.0230000000001</v>
      </c>
      <c r="O820" s="6">
        <v>2824.0230000000001</v>
      </c>
      <c r="P820" s="6">
        <v>0</v>
      </c>
      <c r="Q820" s="4" t="s">
        <v>26</v>
      </c>
      <c r="R820" s="4">
        <v>0</v>
      </c>
      <c r="S820" s="4" t="s">
        <v>439</v>
      </c>
      <c r="T820" s="4" t="s">
        <v>711</v>
      </c>
      <c r="U820" s="4">
        <v>0</v>
      </c>
      <c r="V820" s="4">
        <v>31</v>
      </c>
      <c r="W820" s="4">
        <v>79</v>
      </c>
    </row>
    <row r="821" spans="1:23" ht="11.25" customHeight="1" x14ac:dyDescent="0.25">
      <c r="A821" s="4" t="s">
        <v>27</v>
      </c>
      <c r="B821" s="4" t="s">
        <v>41</v>
      </c>
      <c r="C821" s="4" t="s">
        <v>42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35</v>
      </c>
      <c r="I821" s="5">
        <v>44470</v>
      </c>
      <c r="J821" s="6">
        <v>0</v>
      </c>
      <c r="K821" s="6">
        <v>0</v>
      </c>
      <c r="L821" s="6">
        <v>47.887999999999998</v>
      </c>
      <c r="M821" s="6">
        <v>47.887999999999998</v>
      </c>
      <c r="N821" s="6">
        <v>47.887999999999998</v>
      </c>
      <c r="O821" s="6">
        <v>47.887999999999998</v>
      </c>
      <c r="P821" s="6">
        <v>0</v>
      </c>
      <c r="Q821" s="4" t="s">
        <v>26</v>
      </c>
      <c r="R821" s="4">
        <v>0</v>
      </c>
      <c r="S821" s="4" t="s">
        <v>439</v>
      </c>
      <c r="T821" s="4" t="s">
        <v>711</v>
      </c>
      <c r="U821" s="4">
        <v>0</v>
      </c>
      <c r="V821" s="4">
        <v>31</v>
      </c>
      <c r="W821" s="4">
        <v>79</v>
      </c>
    </row>
    <row r="822" spans="1:23" ht="11.25" customHeight="1" x14ac:dyDescent="0.25">
      <c r="A822" s="4" t="s">
        <v>28</v>
      </c>
      <c r="B822" s="4" t="s">
        <v>41</v>
      </c>
      <c r="C822" s="4" t="s">
        <v>42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35</v>
      </c>
      <c r="I822" s="5">
        <v>44470</v>
      </c>
      <c r="J822" s="6">
        <v>0</v>
      </c>
      <c r="K822" s="6">
        <v>0</v>
      </c>
      <c r="L822" s="6">
        <v>206.09200000000001</v>
      </c>
      <c r="M822" s="6">
        <v>206.09200000000001</v>
      </c>
      <c r="N822" s="6">
        <v>206.09200000000001</v>
      </c>
      <c r="O822" s="6">
        <v>206.09200000000001</v>
      </c>
      <c r="P822" s="6">
        <v>0</v>
      </c>
      <c r="Q822" s="4" t="s">
        <v>26</v>
      </c>
      <c r="R822" s="4">
        <v>0</v>
      </c>
      <c r="S822" s="4" t="s">
        <v>439</v>
      </c>
      <c r="T822" s="4" t="s">
        <v>711</v>
      </c>
      <c r="U822" s="4">
        <v>0</v>
      </c>
      <c r="V822" s="4">
        <v>31</v>
      </c>
      <c r="W822" s="4">
        <v>79</v>
      </c>
    </row>
    <row r="823" spans="1:23" ht="11.25" customHeight="1" x14ac:dyDescent="0.25">
      <c r="A823" s="4" t="s">
        <v>21</v>
      </c>
      <c r="B823" s="4" t="s">
        <v>41</v>
      </c>
      <c r="C823" s="4" t="s">
        <v>42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35</v>
      </c>
      <c r="I823" s="5">
        <v>44501</v>
      </c>
      <c r="J823" s="6">
        <v>0</v>
      </c>
      <c r="K823" s="6">
        <v>0</v>
      </c>
      <c r="L823" s="6">
        <v>2775.433</v>
      </c>
      <c r="M823" s="6">
        <v>2775.433</v>
      </c>
      <c r="N823" s="6">
        <v>2775.433</v>
      </c>
      <c r="O823" s="6">
        <v>2775.433</v>
      </c>
      <c r="P823" s="6">
        <v>0</v>
      </c>
      <c r="Q823" s="4" t="s">
        <v>26</v>
      </c>
      <c r="R823" s="4">
        <v>0</v>
      </c>
      <c r="S823" s="4" t="s">
        <v>440</v>
      </c>
      <c r="T823" s="4" t="s">
        <v>712</v>
      </c>
      <c r="U823" s="4">
        <v>0</v>
      </c>
      <c r="V823" s="4">
        <v>31</v>
      </c>
      <c r="W823" s="4">
        <v>79</v>
      </c>
    </row>
    <row r="824" spans="1:23" ht="11.25" customHeight="1" x14ac:dyDescent="0.25">
      <c r="A824" s="4" t="s">
        <v>28</v>
      </c>
      <c r="B824" s="4" t="s">
        <v>41</v>
      </c>
      <c r="C824" s="4" t="s">
        <v>42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35</v>
      </c>
      <c r="I824" s="5">
        <v>44501</v>
      </c>
      <c r="J824" s="6">
        <v>0</v>
      </c>
      <c r="K824" s="6">
        <v>0</v>
      </c>
      <c r="L824" s="6">
        <v>234.851</v>
      </c>
      <c r="M824" s="6">
        <v>234.851</v>
      </c>
      <c r="N824" s="6">
        <v>234.851</v>
      </c>
      <c r="O824" s="6">
        <v>234.851</v>
      </c>
      <c r="P824" s="6">
        <v>0</v>
      </c>
      <c r="Q824" s="4" t="s">
        <v>26</v>
      </c>
      <c r="R824" s="4">
        <v>0</v>
      </c>
      <c r="S824" s="4" t="s">
        <v>440</v>
      </c>
      <c r="T824" s="4" t="s">
        <v>712</v>
      </c>
      <c r="U824" s="4">
        <v>0</v>
      </c>
      <c r="V824" s="4">
        <v>31</v>
      </c>
      <c r="W824" s="4">
        <v>79</v>
      </c>
    </row>
    <row r="825" spans="1:23" ht="11.25" customHeight="1" x14ac:dyDescent="0.25">
      <c r="A825" s="4" t="s">
        <v>21</v>
      </c>
      <c r="B825" s="4" t="s">
        <v>41</v>
      </c>
      <c r="C825" s="4" t="s">
        <v>42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35</v>
      </c>
      <c r="I825" s="5">
        <v>44531</v>
      </c>
      <c r="J825" s="6">
        <v>0</v>
      </c>
      <c r="K825" s="6">
        <v>0</v>
      </c>
      <c r="L825" s="6">
        <v>2776.625</v>
      </c>
      <c r="M825" s="6">
        <v>2776.625</v>
      </c>
      <c r="N825" s="6">
        <v>2776.625</v>
      </c>
      <c r="O825" s="6">
        <v>2776.625</v>
      </c>
      <c r="P825" s="6">
        <v>0</v>
      </c>
      <c r="Q825" s="4" t="s">
        <v>26</v>
      </c>
      <c r="R825" s="4">
        <v>0</v>
      </c>
      <c r="S825" s="4" t="s">
        <v>441</v>
      </c>
      <c r="T825" s="4" t="s">
        <v>713</v>
      </c>
      <c r="U825" s="4">
        <v>0</v>
      </c>
      <c r="V825" s="4">
        <v>31</v>
      </c>
      <c r="W825" s="4">
        <v>79</v>
      </c>
    </row>
    <row r="826" spans="1:23" ht="11.25" customHeight="1" x14ac:dyDescent="0.25">
      <c r="A826" s="4" t="s">
        <v>27</v>
      </c>
      <c r="B826" s="4" t="s">
        <v>41</v>
      </c>
      <c r="C826" s="4" t="s">
        <v>42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35</v>
      </c>
      <c r="I826" s="5">
        <v>44531</v>
      </c>
      <c r="J826" s="6">
        <v>0</v>
      </c>
      <c r="K826" s="6">
        <v>0</v>
      </c>
      <c r="L826" s="6">
        <v>4.08</v>
      </c>
      <c r="M826" s="6">
        <v>4.08</v>
      </c>
      <c r="N826" s="6">
        <v>4.08</v>
      </c>
      <c r="O826" s="6">
        <v>4.08</v>
      </c>
      <c r="P826" s="6">
        <v>0</v>
      </c>
      <c r="Q826" s="4" t="s">
        <v>26</v>
      </c>
      <c r="R826" s="4">
        <v>0</v>
      </c>
      <c r="S826" s="4" t="s">
        <v>441</v>
      </c>
      <c r="T826" s="4" t="s">
        <v>713</v>
      </c>
      <c r="U826" s="4">
        <v>0</v>
      </c>
      <c r="V826" s="4">
        <v>31</v>
      </c>
      <c r="W826" s="4">
        <v>79</v>
      </c>
    </row>
    <row r="827" spans="1:23" ht="11.25" customHeight="1" x14ac:dyDescent="0.25">
      <c r="A827" s="4" t="s">
        <v>28</v>
      </c>
      <c r="B827" s="4" t="s">
        <v>41</v>
      </c>
      <c r="C827" s="4" t="s">
        <v>42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44531</v>
      </c>
      <c r="J827" s="6">
        <v>0</v>
      </c>
      <c r="K827" s="6">
        <v>0</v>
      </c>
      <c r="L827" s="6">
        <v>287.18200000000002</v>
      </c>
      <c r="M827" s="6">
        <v>287.18200000000002</v>
      </c>
      <c r="N827" s="6">
        <v>287.18200000000002</v>
      </c>
      <c r="O827" s="6">
        <v>287.18200000000002</v>
      </c>
      <c r="P827" s="6">
        <v>0</v>
      </c>
      <c r="Q827" s="4" t="s">
        <v>26</v>
      </c>
      <c r="R827" s="4">
        <v>0</v>
      </c>
      <c r="S827" s="4" t="s">
        <v>441</v>
      </c>
      <c r="T827" s="4" t="s">
        <v>713</v>
      </c>
      <c r="U827" s="4">
        <v>0</v>
      </c>
      <c r="V827" s="4">
        <v>31</v>
      </c>
      <c r="W827" s="4">
        <v>79</v>
      </c>
    </row>
    <row r="828" spans="1:23" ht="11.25" customHeight="1" x14ac:dyDescent="0.25">
      <c r="A828" s="4" t="s">
        <v>21</v>
      </c>
      <c r="B828" s="4" t="s">
        <v>41</v>
      </c>
      <c r="C828" s="4" t="s">
        <v>42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44562</v>
      </c>
      <c r="J828" s="6">
        <v>0</v>
      </c>
      <c r="K828" s="6">
        <v>0</v>
      </c>
      <c r="L828" s="6">
        <v>2774.9029999999998</v>
      </c>
      <c r="M828" s="6">
        <v>2774.9029999999998</v>
      </c>
      <c r="N828" s="6">
        <v>2774.9029999999998</v>
      </c>
      <c r="O828" s="6">
        <v>2774.9029999999998</v>
      </c>
      <c r="P828" s="6">
        <v>0</v>
      </c>
      <c r="Q828" s="4" t="s">
        <v>26</v>
      </c>
      <c r="R828" s="4">
        <v>0</v>
      </c>
      <c r="S828" s="4" t="s">
        <v>442</v>
      </c>
      <c r="T828" s="4" t="s">
        <v>714</v>
      </c>
      <c r="U828" s="4">
        <v>0</v>
      </c>
      <c r="V828" s="4">
        <v>31</v>
      </c>
      <c r="W828" s="4">
        <v>79</v>
      </c>
    </row>
    <row r="829" spans="1:23" ht="11.25" customHeight="1" x14ac:dyDescent="0.25">
      <c r="A829" s="4" t="s">
        <v>28</v>
      </c>
      <c r="B829" s="4" t="s">
        <v>41</v>
      </c>
      <c r="C829" s="4" t="s">
        <v>42</v>
      </c>
      <c r="D829" s="4" t="s">
        <v>43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44562</v>
      </c>
      <c r="J829" s="6">
        <v>0</v>
      </c>
      <c r="K829" s="6">
        <v>0</v>
      </c>
      <c r="L829" s="6">
        <v>216.43299999999999</v>
      </c>
      <c r="M829" s="6">
        <v>216.43299999999999</v>
      </c>
      <c r="N829" s="6">
        <v>216.43299999999999</v>
      </c>
      <c r="O829" s="6">
        <v>216.43299999999999</v>
      </c>
      <c r="P829" s="6">
        <v>0</v>
      </c>
      <c r="Q829" s="4" t="s">
        <v>26</v>
      </c>
      <c r="R829" s="4">
        <v>0</v>
      </c>
      <c r="S829" s="4" t="s">
        <v>442</v>
      </c>
      <c r="T829" s="4" t="s">
        <v>714</v>
      </c>
      <c r="U829" s="4">
        <v>0</v>
      </c>
      <c r="V829" s="4">
        <v>31</v>
      </c>
      <c r="W829" s="4">
        <v>79</v>
      </c>
    </row>
    <row r="830" spans="1:23" ht="11.25" customHeight="1" x14ac:dyDescent="0.25">
      <c r="A830" s="4" t="s">
        <v>21</v>
      </c>
      <c r="B830" s="4" t="s">
        <v>41</v>
      </c>
      <c r="C830" s="4" t="s">
        <v>42</v>
      </c>
      <c r="D830" s="4" t="s">
        <v>43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44593</v>
      </c>
      <c r="J830" s="6">
        <v>0</v>
      </c>
      <c r="K830" s="6">
        <v>0</v>
      </c>
      <c r="L830" s="6">
        <v>2552.3000000000002</v>
      </c>
      <c r="M830" s="6">
        <v>2552.3000000000002</v>
      </c>
      <c r="N830" s="6">
        <v>2552.3000000000002</v>
      </c>
      <c r="O830" s="6">
        <v>2552.3000000000002</v>
      </c>
      <c r="P830" s="6">
        <v>0</v>
      </c>
      <c r="Q830" s="4" t="s">
        <v>26</v>
      </c>
      <c r="R830" s="4">
        <v>0</v>
      </c>
      <c r="S830" s="4" t="s">
        <v>443</v>
      </c>
      <c r="T830" s="4" t="s">
        <v>715</v>
      </c>
      <c r="U830" s="4">
        <v>0</v>
      </c>
      <c r="V830" s="4">
        <v>31</v>
      </c>
      <c r="W830" s="4">
        <v>79</v>
      </c>
    </row>
    <row r="831" spans="1:23" ht="11.25" customHeight="1" x14ac:dyDescent="0.25">
      <c r="A831" s="4" t="s">
        <v>28</v>
      </c>
      <c r="B831" s="4" t="s">
        <v>41</v>
      </c>
      <c r="C831" s="4" t="s">
        <v>42</v>
      </c>
      <c r="D831" s="4" t="s">
        <v>43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44593</v>
      </c>
      <c r="J831" s="6">
        <v>0</v>
      </c>
      <c r="K831" s="6">
        <v>0</v>
      </c>
      <c r="L831" s="6">
        <v>222.78299999999999</v>
      </c>
      <c r="M831" s="6">
        <v>222.78299999999999</v>
      </c>
      <c r="N831" s="6">
        <v>222.78299999999999</v>
      </c>
      <c r="O831" s="6">
        <v>222.78299999999999</v>
      </c>
      <c r="P831" s="6">
        <v>0</v>
      </c>
      <c r="Q831" s="4" t="s">
        <v>26</v>
      </c>
      <c r="R831" s="4">
        <v>0</v>
      </c>
      <c r="S831" s="4" t="s">
        <v>443</v>
      </c>
      <c r="T831" s="4" t="s">
        <v>715</v>
      </c>
      <c r="U831" s="4">
        <v>0</v>
      </c>
      <c r="V831" s="4">
        <v>31</v>
      </c>
      <c r="W831" s="4">
        <v>79</v>
      </c>
    </row>
    <row r="832" spans="1:23" ht="11.25" customHeight="1" x14ac:dyDescent="0.25">
      <c r="A832" s="4" t="s">
        <v>21</v>
      </c>
      <c r="B832" s="4" t="s">
        <v>41</v>
      </c>
      <c r="C832" s="4" t="s">
        <v>42</v>
      </c>
      <c r="D832" s="4" t="s">
        <v>43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44621</v>
      </c>
      <c r="J832" s="6">
        <v>0</v>
      </c>
      <c r="K832" s="6">
        <v>0</v>
      </c>
      <c r="L832" s="6">
        <v>2524.9879999999998</v>
      </c>
      <c r="M832" s="6">
        <v>2524.9879999999998</v>
      </c>
      <c r="N832" s="6">
        <v>2524.9879999999998</v>
      </c>
      <c r="O832" s="6">
        <v>2524.9879999999998</v>
      </c>
      <c r="P832" s="6">
        <v>0</v>
      </c>
      <c r="Q832" s="4" t="s">
        <v>26</v>
      </c>
      <c r="R832" s="4">
        <v>0</v>
      </c>
      <c r="S832" s="4" t="s">
        <v>444</v>
      </c>
      <c r="T832" s="4" t="s">
        <v>716</v>
      </c>
      <c r="U832" s="4">
        <v>0</v>
      </c>
      <c r="V832" s="4">
        <v>31</v>
      </c>
      <c r="W832" s="4">
        <v>79</v>
      </c>
    </row>
    <row r="833" spans="1:23" ht="11.25" customHeight="1" x14ac:dyDescent="0.25">
      <c r="A833" s="4" t="s">
        <v>27</v>
      </c>
      <c r="B833" s="4" t="s">
        <v>41</v>
      </c>
      <c r="C833" s="4" t="s">
        <v>42</v>
      </c>
      <c r="D833" s="4" t="s">
        <v>43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44621</v>
      </c>
      <c r="J833" s="6">
        <v>0</v>
      </c>
      <c r="K833" s="6">
        <v>0</v>
      </c>
      <c r="L833" s="6">
        <v>-36.244</v>
      </c>
      <c r="M833" s="6">
        <v>-36.244</v>
      </c>
      <c r="N833" s="6">
        <v>-36.244</v>
      </c>
      <c r="O833" s="6">
        <v>-36.244</v>
      </c>
      <c r="P833" s="6">
        <v>0</v>
      </c>
      <c r="Q833" s="4" t="s">
        <v>26</v>
      </c>
      <c r="R833" s="4">
        <v>0</v>
      </c>
      <c r="S833" s="4" t="s">
        <v>444</v>
      </c>
      <c r="T833" s="4" t="s">
        <v>716</v>
      </c>
      <c r="U833" s="4">
        <v>0</v>
      </c>
      <c r="V833" s="4">
        <v>31</v>
      </c>
      <c r="W833" s="4">
        <v>79</v>
      </c>
    </row>
    <row r="834" spans="1:23" ht="11.25" customHeight="1" x14ac:dyDescent="0.25">
      <c r="A834" s="4" t="s">
        <v>28</v>
      </c>
      <c r="B834" s="4" t="s">
        <v>41</v>
      </c>
      <c r="C834" s="4" t="s">
        <v>42</v>
      </c>
      <c r="D834" s="4" t="s">
        <v>43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44621</v>
      </c>
      <c r="J834" s="6">
        <v>0</v>
      </c>
      <c r="K834" s="6">
        <v>0</v>
      </c>
      <c r="L834" s="6">
        <v>308.76100000000002</v>
      </c>
      <c r="M834" s="6">
        <v>308.76100000000002</v>
      </c>
      <c r="N834" s="6">
        <v>308.76100000000002</v>
      </c>
      <c r="O834" s="6">
        <v>308.76100000000002</v>
      </c>
      <c r="P834" s="6">
        <v>0</v>
      </c>
      <c r="Q834" s="4" t="s">
        <v>26</v>
      </c>
      <c r="R834" s="4">
        <v>0</v>
      </c>
      <c r="S834" s="4" t="s">
        <v>444</v>
      </c>
      <c r="T834" s="4" t="s">
        <v>716</v>
      </c>
      <c r="U834" s="4">
        <v>0</v>
      </c>
      <c r="V834" s="4">
        <v>31</v>
      </c>
      <c r="W834" s="4">
        <v>79</v>
      </c>
    </row>
    <row r="835" spans="1:23" ht="11.25" customHeight="1" x14ac:dyDescent="0.25">
      <c r="A835" s="4" t="s">
        <v>21</v>
      </c>
      <c r="B835" s="4" t="s">
        <v>41</v>
      </c>
      <c r="C835" s="4" t="s">
        <v>42</v>
      </c>
      <c r="D835" s="4" t="s">
        <v>43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44652</v>
      </c>
      <c r="J835" s="6">
        <v>0</v>
      </c>
      <c r="K835" s="6">
        <v>0</v>
      </c>
      <c r="L835" s="6">
        <v>2412.4229999999998</v>
      </c>
      <c r="M835" s="6">
        <v>2412.4229999999998</v>
      </c>
      <c r="N835" s="6">
        <v>2412.4229999999998</v>
      </c>
      <c r="O835" s="6">
        <v>2412.4229999999998</v>
      </c>
      <c r="P835" s="6">
        <v>0</v>
      </c>
      <c r="Q835" s="4" t="s">
        <v>26</v>
      </c>
      <c r="R835" s="4">
        <v>0</v>
      </c>
      <c r="S835" s="4" t="s">
        <v>445</v>
      </c>
      <c r="T835" s="4" t="s">
        <v>717</v>
      </c>
      <c r="U835" s="4">
        <v>0</v>
      </c>
      <c r="V835" s="4">
        <v>31</v>
      </c>
      <c r="W835" s="4">
        <v>79</v>
      </c>
    </row>
    <row r="836" spans="1:23" ht="11.25" customHeight="1" x14ac:dyDescent="0.25">
      <c r="A836" s="4" t="s">
        <v>27</v>
      </c>
      <c r="B836" s="4" t="s">
        <v>41</v>
      </c>
      <c r="C836" s="4" t="s">
        <v>42</v>
      </c>
      <c r="D836" s="4" t="s">
        <v>43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44652</v>
      </c>
      <c r="J836" s="6">
        <v>0</v>
      </c>
      <c r="K836" s="6">
        <v>0</v>
      </c>
      <c r="L836" s="6">
        <v>11.64</v>
      </c>
      <c r="M836" s="6">
        <v>11.64</v>
      </c>
      <c r="N836" s="6">
        <v>11.64</v>
      </c>
      <c r="O836" s="6">
        <v>11.64</v>
      </c>
      <c r="P836" s="6">
        <v>0</v>
      </c>
      <c r="Q836" s="4" t="s">
        <v>26</v>
      </c>
      <c r="R836" s="4">
        <v>0</v>
      </c>
      <c r="S836" s="4" t="s">
        <v>445</v>
      </c>
      <c r="T836" s="4" t="s">
        <v>717</v>
      </c>
      <c r="U836" s="4">
        <v>0</v>
      </c>
      <c r="V836" s="4">
        <v>31</v>
      </c>
      <c r="W836" s="4">
        <v>79</v>
      </c>
    </row>
    <row r="837" spans="1:23" ht="11.25" customHeight="1" x14ac:dyDescent="0.25">
      <c r="A837" s="4" t="s">
        <v>28</v>
      </c>
      <c r="B837" s="4" t="s">
        <v>41</v>
      </c>
      <c r="C837" s="4" t="s">
        <v>42</v>
      </c>
      <c r="D837" s="4" t="s">
        <v>43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44652</v>
      </c>
      <c r="J837" s="6">
        <v>0</v>
      </c>
      <c r="K837" s="6">
        <v>0</v>
      </c>
      <c r="L837" s="6">
        <v>269.11500000000001</v>
      </c>
      <c r="M837" s="6">
        <v>269.11500000000001</v>
      </c>
      <c r="N837" s="6">
        <v>269.11500000000001</v>
      </c>
      <c r="O837" s="6">
        <v>269.11500000000001</v>
      </c>
      <c r="P837" s="6">
        <v>0</v>
      </c>
      <c r="Q837" s="4" t="s">
        <v>26</v>
      </c>
      <c r="R837" s="4">
        <v>0</v>
      </c>
      <c r="S837" s="4" t="s">
        <v>445</v>
      </c>
      <c r="T837" s="4" t="s">
        <v>717</v>
      </c>
      <c r="U837" s="4">
        <v>0</v>
      </c>
      <c r="V837" s="4">
        <v>31</v>
      </c>
      <c r="W837" s="4">
        <v>79</v>
      </c>
    </row>
    <row r="838" spans="1:23" ht="11.25" customHeight="1" x14ac:dyDescent="0.25">
      <c r="A838" s="4" t="s">
        <v>58</v>
      </c>
      <c r="B838" s="4" t="s">
        <v>41</v>
      </c>
      <c r="C838" s="4" t="s">
        <v>42</v>
      </c>
      <c r="D838" s="4" t="s">
        <v>43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44682</v>
      </c>
      <c r="J838" s="6">
        <v>0</v>
      </c>
      <c r="K838" s="6">
        <v>0</v>
      </c>
      <c r="L838" s="6">
        <v>2412.4229999999998</v>
      </c>
      <c r="M838" s="6">
        <v>2412.4229999999998</v>
      </c>
      <c r="N838" s="6">
        <v>2412.4229999999998</v>
      </c>
      <c r="O838" s="6">
        <v>2412.4229999999998</v>
      </c>
      <c r="P838" s="6">
        <v>0</v>
      </c>
      <c r="Q838" s="4" t="s">
        <v>26</v>
      </c>
      <c r="R838" s="4">
        <v>0</v>
      </c>
      <c r="S838" s="4" t="s">
        <v>446</v>
      </c>
      <c r="T838" s="4" t="s">
        <v>718</v>
      </c>
      <c r="U838" s="4">
        <v>0</v>
      </c>
      <c r="V838" s="4">
        <v>31</v>
      </c>
      <c r="W838" s="4">
        <v>79</v>
      </c>
    </row>
    <row r="839" spans="1:23" ht="11.25" customHeight="1" x14ac:dyDescent="0.25">
      <c r="A839" s="4" t="s">
        <v>58</v>
      </c>
      <c r="B839" s="4" t="s">
        <v>41</v>
      </c>
      <c r="C839" s="4" t="s">
        <v>42</v>
      </c>
      <c r="D839" s="4" t="s">
        <v>43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44682</v>
      </c>
      <c r="J839" s="6">
        <v>0</v>
      </c>
      <c r="K839" s="6">
        <v>0</v>
      </c>
      <c r="L839" s="6">
        <v>11.64</v>
      </c>
      <c r="M839" s="6">
        <v>11.64</v>
      </c>
      <c r="N839" s="6">
        <v>11.64</v>
      </c>
      <c r="O839" s="6">
        <v>11.64</v>
      </c>
      <c r="P839" s="6">
        <v>0</v>
      </c>
      <c r="Q839" s="4" t="s">
        <v>26</v>
      </c>
      <c r="R839" s="4">
        <v>0</v>
      </c>
      <c r="S839" s="4" t="s">
        <v>446</v>
      </c>
      <c r="T839" s="4" t="s">
        <v>718</v>
      </c>
      <c r="U839" s="4">
        <v>0</v>
      </c>
      <c r="V839" s="4">
        <v>31</v>
      </c>
      <c r="W839" s="4">
        <v>79</v>
      </c>
    </row>
    <row r="840" spans="1:23" ht="11.25" customHeight="1" x14ac:dyDescent="0.25">
      <c r="A840" s="4" t="s">
        <v>58</v>
      </c>
      <c r="B840" s="4" t="s">
        <v>41</v>
      </c>
      <c r="C840" s="4" t="s">
        <v>42</v>
      </c>
      <c r="D840" s="4" t="s">
        <v>43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44682</v>
      </c>
      <c r="J840" s="6">
        <v>0</v>
      </c>
      <c r="K840" s="6">
        <v>0</v>
      </c>
      <c r="L840" s="6">
        <v>269.11500000000001</v>
      </c>
      <c r="M840" s="6">
        <v>269.11500000000001</v>
      </c>
      <c r="N840" s="6">
        <v>269.11500000000001</v>
      </c>
      <c r="O840" s="6">
        <v>269.11500000000001</v>
      </c>
      <c r="P840" s="6">
        <v>0</v>
      </c>
      <c r="Q840" s="4" t="s">
        <v>26</v>
      </c>
      <c r="R840" s="4">
        <v>0</v>
      </c>
      <c r="S840" s="4" t="s">
        <v>446</v>
      </c>
      <c r="T840" s="4" t="s">
        <v>718</v>
      </c>
      <c r="U840" s="4">
        <v>0</v>
      </c>
      <c r="V840" s="4">
        <v>31</v>
      </c>
      <c r="W840" s="4">
        <v>79</v>
      </c>
    </row>
    <row r="841" spans="1:23" ht="11.25" customHeight="1" x14ac:dyDescent="0.25">
      <c r="A841" s="4" t="s">
        <v>21</v>
      </c>
      <c r="B841" s="4" t="s">
        <v>41</v>
      </c>
      <c r="C841" s="4" t="s">
        <v>42</v>
      </c>
      <c r="D841" s="4" t="s">
        <v>43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44348</v>
      </c>
      <c r="J841" s="6">
        <v>12342</v>
      </c>
      <c r="K841" s="6">
        <v>12342</v>
      </c>
      <c r="L841" s="6">
        <v>0</v>
      </c>
      <c r="M841" s="6">
        <v>0</v>
      </c>
      <c r="N841" s="6">
        <v>0</v>
      </c>
      <c r="O841" s="6">
        <v>0</v>
      </c>
      <c r="P841" s="6">
        <v>113</v>
      </c>
      <c r="Q841" s="4" t="s">
        <v>26</v>
      </c>
      <c r="R841" s="4">
        <v>0</v>
      </c>
      <c r="S841" s="4" t="s">
        <v>447</v>
      </c>
      <c r="U841" s="4">
        <v>29</v>
      </c>
      <c r="V841" s="4">
        <v>0</v>
      </c>
      <c r="W841" s="4">
        <v>0</v>
      </c>
    </row>
    <row r="842" spans="1:23" ht="11.25" customHeight="1" x14ac:dyDescent="0.25">
      <c r="A842" s="4" t="s">
        <v>28</v>
      </c>
      <c r="B842" s="4" t="s">
        <v>41</v>
      </c>
      <c r="C842" s="4" t="s">
        <v>42</v>
      </c>
      <c r="D842" s="4" t="s">
        <v>43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44348</v>
      </c>
      <c r="J842" s="6">
        <v>2331</v>
      </c>
      <c r="K842" s="6">
        <v>2331</v>
      </c>
      <c r="L842" s="6">
        <v>0</v>
      </c>
      <c r="M842" s="6">
        <v>0</v>
      </c>
      <c r="N842" s="6">
        <v>0</v>
      </c>
      <c r="O842" s="6">
        <v>0</v>
      </c>
      <c r="P842" s="6">
        <v>15</v>
      </c>
      <c r="Q842" s="4" t="s">
        <v>26</v>
      </c>
      <c r="R842" s="4">
        <v>0</v>
      </c>
      <c r="S842" s="4" t="s">
        <v>447</v>
      </c>
      <c r="U842" s="4">
        <v>29</v>
      </c>
      <c r="V842" s="4">
        <v>0</v>
      </c>
      <c r="W842" s="4">
        <v>0</v>
      </c>
    </row>
    <row r="843" spans="1:23" ht="11.25" customHeight="1" x14ac:dyDescent="0.25">
      <c r="A843" s="4" t="s">
        <v>28</v>
      </c>
      <c r="B843" s="4" t="s">
        <v>41</v>
      </c>
      <c r="C843" s="4" t="s">
        <v>42</v>
      </c>
      <c r="D843" s="4" t="s">
        <v>43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44348</v>
      </c>
      <c r="J843" s="6">
        <v>76</v>
      </c>
      <c r="K843" s="6">
        <v>76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4" t="s">
        <v>26</v>
      </c>
      <c r="R843" s="4">
        <v>0</v>
      </c>
      <c r="S843" s="4" t="s">
        <v>447</v>
      </c>
      <c r="U843" s="4">
        <v>29</v>
      </c>
      <c r="V843" s="4">
        <v>0</v>
      </c>
      <c r="W843" s="4">
        <v>0</v>
      </c>
    </row>
    <row r="844" spans="1:23" ht="11.25" customHeight="1" x14ac:dyDescent="0.25">
      <c r="A844" s="4" t="s">
        <v>21</v>
      </c>
      <c r="B844" s="4" t="s">
        <v>41</v>
      </c>
      <c r="C844" s="4" t="s">
        <v>42</v>
      </c>
      <c r="D844" s="4" t="s">
        <v>43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44378</v>
      </c>
      <c r="J844" s="6">
        <v>12049</v>
      </c>
      <c r="K844" s="6">
        <v>12049</v>
      </c>
      <c r="L844" s="6">
        <v>0</v>
      </c>
      <c r="M844" s="6">
        <v>0</v>
      </c>
      <c r="N844" s="6">
        <v>0</v>
      </c>
      <c r="O844" s="6">
        <v>0</v>
      </c>
      <c r="P844" s="6">
        <v>110</v>
      </c>
      <c r="Q844" s="4" t="s">
        <v>26</v>
      </c>
      <c r="R844" s="4">
        <v>0</v>
      </c>
      <c r="S844" s="4" t="s">
        <v>448</v>
      </c>
      <c r="U844" s="4">
        <v>29</v>
      </c>
      <c r="V844" s="4">
        <v>0</v>
      </c>
      <c r="W844" s="4">
        <v>0</v>
      </c>
    </row>
    <row r="845" spans="1:23" ht="11.25" customHeight="1" x14ac:dyDescent="0.25">
      <c r="A845" s="4" t="s">
        <v>28</v>
      </c>
      <c r="B845" s="4" t="s">
        <v>41</v>
      </c>
      <c r="C845" s="4" t="s">
        <v>42</v>
      </c>
      <c r="D845" s="4" t="s">
        <v>43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2603</v>
      </c>
      <c r="K845" s="6">
        <v>2603</v>
      </c>
      <c r="L845" s="6">
        <v>0</v>
      </c>
      <c r="M845" s="6">
        <v>0</v>
      </c>
      <c r="N845" s="6">
        <v>0</v>
      </c>
      <c r="O845" s="6">
        <v>0</v>
      </c>
      <c r="P845" s="6">
        <v>18</v>
      </c>
      <c r="Q845" s="4" t="s">
        <v>26</v>
      </c>
      <c r="R845" s="4">
        <v>0</v>
      </c>
      <c r="S845" s="4" t="s">
        <v>448</v>
      </c>
      <c r="U845" s="4">
        <v>29</v>
      </c>
      <c r="V845" s="4">
        <v>0</v>
      </c>
      <c r="W845" s="4">
        <v>0</v>
      </c>
    </row>
    <row r="846" spans="1:23" ht="11.25" customHeight="1" x14ac:dyDescent="0.25">
      <c r="A846" s="4" t="s">
        <v>21</v>
      </c>
      <c r="B846" s="4" t="s">
        <v>41</v>
      </c>
      <c r="C846" s="4" t="s">
        <v>42</v>
      </c>
      <c r="D846" s="4" t="s">
        <v>43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44409</v>
      </c>
      <c r="J846" s="6">
        <v>12014</v>
      </c>
      <c r="K846" s="6">
        <v>12014</v>
      </c>
      <c r="L846" s="6">
        <v>0</v>
      </c>
      <c r="M846" s="6">
        <v>0</v>
      </c>
      <c r="N846" s="6">
        <v>0</v>
      </c>
      <c r="O846" s="6">
        <v>0</v>
      </c>
      <c r="P846" s="6">
        <v>111</v>
      </c>
      <c r="Q846" s="4" t="s">
        <v>26</v>
      </c>
      <c r="R846" s="4">
        <v>0</v>
      </c>
      <c r="S846" s="4" t="s">
        <v>449</v>
      </c>
      <c r="U846" s="4">
        <v>29</v>
      </c>
      <c r="V846" s="4">
        <v>0</v>
      </c>
      <c r="W846" s="4">
        <v>0</v>
      </c>
    </row>
    <row r="847" spans="1:23" ht="11.25" customHeight="1" x14ac:dyDescent="0.25">
      <c r="A847" s="4" t="s">
        <v>27</v>
      </c>
      <c r="B847" s="4" t="s">
        <v>41</v>
      </c>
      <c r="C847" s="4" t="s">
        <v>42</v>
      </c>
      <c r="D847" s="4" t="s">
        <v>43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44409</v>
      </c>
      <c r="J847" s="6">
        <v>3</v>
      </c>
      <c r="K847" s="6">
        <v>3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4" t="s">
        <v>26</v>
      </c>
      <c r="R847" s="4">
        <v>0</v>
      </c>
      <c r="S847" s="4" t="s">
        <v>449</v>
      </c>
      <c r="U847" s="4">
        <v>29</v>
      </c>
      <c r="V847" s="4">
        <v>0</v>
      </c>
      <c r="W847" s="4">
        <v>0</v>
      </c>
    </row>
    <row r="848" spans="1:23" ht="11.25" customHeight="1" x14ac:dyDescent="0.25">
      <c r="A848" s="4" t="s">
        <v>28</v>
      </c>
      <c r="B848" s="4" t="s">
        <v>41</v>
      </c>
      <c r="C848" s="4" t="s">
        <v>42</v>
      </c>
      <c r="D848" s="4" t="s">
        <v>43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44409</v>
      </c>
      <c r="J848" s="6">
        <v>2669</v>
      </c>
      <c r="K848" s="6">
        <v>2669</v>
      </c>
      <c r="L848" s="6">
        <v>0</v>
      </c>
      <c r="M848" s="6">
        <v>0</v>
      </c>
      <c r="N848" s="6">
        <v>0</v>
      </c>
      <c r="O848" s="6">
        <v>0</v>
      </c>
      <c r="P848" s="6">
        <v>19</v>
      </c>
      <c r="Q848" s="4" t="s">
        <v>26</v>
      </c>
      <c r="R848" s="4">
        <v>0</v>
      </c>
      <c r="S848" s="4" t="s">
        <v>449</v>
      </c>
      <c r="U848" s="4">
        <v>29</v>
      </c>
      <c r="V848" s="4">
        <v>0</v>
      </c>
      <c r="W848" s="4">
        <v>0</v>
      </c>
    </row>
    <row r="849" spans="1:23" ht="11.25" customHeight="1" x14ac:dyDescent="0.25">
      <c r="A849" s="4" t="s">
        <v>21</v>
      </c>
      <c r="B849" s="4" t="s">
        <v>41</v>
      </c>
      <c r="C849" s="4" t="s">
        <v>42</v>
      </c>
      <c r="D849" s="4" t="s">
        <v>43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44440</v>
      </c>
      <c r="J849" s="6">
        <v>12191</v>
      </c>
      <c r="K849" s="6">
        <v>12191</v>
      </c>
      <c r="L849" s="6">
        <v>0</v>
      </c>
      <c r="M849" s="6">
        <v>0</v>
      </c>
      <c r="N849" s="6">
        <v>0</v>
      </c>
      <c r="O849" s="6">
        <v>0</v>
      </c>
      <c r="P849" s="6">
        <v>107</v>
      </c>
      <c r="Q849" s="4" t="s">
        <v>26</v>
      </c>
      <c r="R849" s="4">
        <v>0</v>
      </c>
      <c r="S849" s="4" t="s">
        <v>450</v>
      </c>
      <c r="U849" s="4">
        <v>29</v>
      </c>
      <c r="V849" s="4">
        <v>0</v>
      </c>
      <c r="W849" s="4">
        <v>0</v>
      </c>
    </row>
    <row r="850" spans="1:23" ht="11.25" customHeight="1" x14ac:dyDescent="0.25">
      <c r="A850" s="4" t="s">
        <v>28</v>
      </c>
      <c r="B850" s="4" t="s">
        <v>41</v>
      </c>
      <c r="C850" s="4" t="s">
        <v>42</v>
      </c>
      <c r="D850" s="4" t="s">
        <v>43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44440</v>
      </c>
      <c r="J850" s="6">
        <v>2969</v>
      </c>
      <c r="K850" s="6">
        <v>2969</v>
      </c>
      <c r="L850" s="6">
        <v>0</v>
      </c>
      <c r="M850" s="6">
        <v>0</v>
      </c>
      <c r="N850" s="6">
        <v>0</v>
      </c>
      <c r="O850" s="6">
        <v>0</v>
      </c>
      <c r="P850" s="6">
        <v>21</v>
      </c>
      <c r="Q850" s="4" t="s">
        <v>26</v>
      </c>
      <c r="R850" s="4">
        <v>0</v>
      </c>
      <c r="S850" s="4" t="s">
        <v>450</v>
      </c>
      <c r="U850" s="4">
        <v>29</v>
      </c>
      <c r="V850" s="4">
        <v>0</v>
      </c>
      <c r="W850" s="4">
        <v>0</v>
      </c>
    </row>
    <row r="851" spans="1:23" ht="11.25" customHeight="1" x14ac:dyDescent="0.25">
      <c r="A851" s="4" t="s">
        <v>21</v>
      </c>
      <c r="B851" s="4" t="s">
        <v>41</v>
      </c>
      <c r="C851" s="4" t="s">
        <v>42</v>
      </c>
      <c r="D851" s="4" t="s">
        <v>43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44470</v>
      </c>
      <c r="J851" s="6">
        <v>12052</v>
      </c>
      <c r="K851" s="6">
        <v>12052</v>
      </c>
      <c r="L851" s="6">
        <v>0</v>
      </c>
      <c r="M851" s="6">
        <v>0</v>
      </c>
      <c r="N851" s="6">
        <v>0</v>
      </c>
      <c r="O851" s="6">
        <v>0</v>
      </c>
      <c r="P851" s="6">
        <v>107</v>
      </c>
      <c r="Q851" s="4" t="s">
        <v>26</v>
      </c>
      <c r="R851" s="4">
        <v>0</v>
      </c>
      <c r="S851" s="4" t="s">
        <v>451</v>
      </c>
      <c r="U851" s="4">
        <v>29</v>
      </c>
      <c r="V851" s="4">
        <v>0</v>
      </c>
      <c r="W851" s="4">
        <v>0</v>
      </c>
    </row>
    <row r="852" spans="1:23" ht="11.25" customHeight="1" x14ac:dyDescent="0.25">
      <c r="A852" s="4" t="s">
        <v>27</v>
      </c>
      <c r="B852" s="4" t="s">
        <v>41</v>
      </c>
      <c r="C852" s="4" t="s">
        <v>42</v>
      </c>
      <c r="D852" s="4" t="s">
        <v>43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44470</v>
      </c>
      <c r="J852" s="6">
        <v>140</v>
      </c>
      <c r="K852" s="6">
        <v>140</v>
      </c>
      <c r="L852" s="6">
        <v>0</v>
      </c>
      <c r="M852" s="6">
        <v>0</v>
      </c>
      <c r="N852" s="6">
        <v>0</v>
      </c>
      <c r="O852" s="6">
        <v>0</v>
      </c>
      <c r="P852" s="6">
        <v>2</v>
      </c>
      <c r="Q852" s="4" t="s">
        <v>26</v>
      </c>
      <c r="R852" s="4">
        <v>0</v>
      </c>
      <c r="S852" s="4" t="s">
        <v>451</v>
      </c>
      <c r="U852" s="4">
        <v>29</v>
      </c>
      <c r="V852" s="4">
        <v>0</v>
      </c>
      <c r="W852" s="4">
        <v>0</v>
      </c>
    </row>
    <row r="853" spans="1:23" ht="11.25" customHeight="1" x14ac:dyDescent="0.25">
      <c r="A853" s="4" t="s">
        <v>28</v>
      </c>
      <c r="B853" s="4" t="s">
        <v>41</v>
      </c>
      <c r="C853" s="4" t="s">
        <v>42</v>
      </c>
      <c r="D853" s="4" t="s">
        <v>43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44470</v>
      </c>
      <c r="J853" s="6">
        <v>3018</v>
      </c>
      <c r="K853" s="6">
        <v>3018</v>
      </c>
      <c r="L853" s="6">
        <v>0</v>
      </c>
      <c r="M853" s="6">
        <v>0</v>
      </c>
      <c r="N853" s="6">
        <v>0</v>
      </c>
      <c r="O853" s="6">
        <v>0</v>
      </c>
      <c r="P853" s="6">
        <v>21</v>
      </c>
      <c r="Q853" s="4" t="s">
        <v>26</v>
      </c>
      <c r="R853" s="4">
        <v>0</v>
      </c>
      <c r="S853" s="4" t="s">
        <v>451</v>
      </c>
      <c r="U853" s="4">
        <v>29</v>
      </c>
      <c r="V853" s="4">
        <v>0</v>
      </c>
      <c r="W853" s="4">
        <v>0</v>
      </c>
    </row>
    <row r="854" spans="1:23" ht="11.25" customHeight="1" x14ac:dyDescent="0.25">
      <c r="A854" s="4" t="s">
        <v>21</v>
      </c>
      <c r="B854" s="4" t="s">
        <v>41</v>
      </c>
      <c r="C854" s="4" t="s">
        <v>42</v>
      </c>
      <c r="D854" s="4" t="s">
        <v>43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44501</v>
      </c>
      <c r="J854" s="6">
        <v>12080</v>
      </c>
      <c r="K854" s="6">
        <v>12080</v>
      </c>
      <c r="L854" s="6">
        <v>0</v>
      </c>
      <c r="M854" s="6">
        <v>0</v>
      </c>
      <c r="N854" s="6">
        <v>0</v>
      </c>
      <c r="O854" s="6">
        <v>0</v>
      </c>
      <c r="P854" s="6">
        <v>107</v>
      </c>
      <c r="Q854" s="4" t="s">
        <v>26</v>
      </c>
      <c r="R854" s="4">
        <v>0</v>
      </c>
      <c r="S854" s="4" t="s">
        <v>452</v>
      </c>
      <c r="U854" s="4">
        <v>29</v>
      </c>
      <c r="V854" s="4">
        <v>0</v>
      </c>
      <c r="W854" s="4">
        <v>0</v>
      </c>
    </row>
    <row r="855" spans="1:23" ht="11.25" customHeight="1" x14ac:dyDescent="0.25">
      <c r="A855" s="4" t="s">
        <v>28</v>
      </c>
      <c r="B855" s="4" t="s">
        <v>41</v>
      </c>
      <c r="C855" s="4" t="s">
        <v>42</v>
      </c>
      <c r="D855" s="4" t="s">
        <v>43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44501</v>
      </c>
      <c r="J855" s="6">
        <v>3048</v>
      </c>
      <c r="K855" s="6">
        <v>3048</v>
      </c>
      <c r="L855" s="6">
        <v>0</v>
      </c>
      <c r="M855" s="6">
        <v>0</v>
      </c>
      <c r="N855" s="6">
        <v>0</v>
      </c>
      <c r="O855" s="6">
        <v>0</v>
      </c>
      <c r="P855" s="6">
        <v>23</v>
      </c>
      <c r="Q855" s="4" t="s">
        <v>26</v>
      </c>
      <c r="R855" s="4">
        <v>0</v>
      </c>
      <c r="S855" s="4" t="s">
        <v>452</v>
      </c>
      <c r="U855" s="4">
        <v>29</v>
      </c>
      <c r="V855" s="4">
        <v>0</v>
      </c>
      <c r="W855" s="4">
        <v>0</v>
      </c>
    </row>
    <row r="856" spans="1:23" ht="11.25" customHeight="1" x14ac:dyDescent="0.25">
      <c r="A856" s="4" t="s">
        <v>21</v>
      </c>
      <c r="B856" s="4" t="s">
        <v>41</v>
      </c>
      <c r="C856" s="4" t="s">
        <v>42</v>
      </c>
      <c r="D856" s="4" t="s">
        <v>43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44531</v>
      </c>
      <c r="J856" s="6">
        <v>12018</v>
      </c>
      <c r="K856" s="6">
        <v>12018</v>
      </c>
      <c r="L856" s="6">
        <v>0</v>
      </c>
      <c r="M856" s="6">
        <v>0</v>
      </c>
      <c r="N856" s="6">
        <v>0</v>
      </c>
      <c r="O856" s="6">
        <v>0</v>
      </c>
      <c r="P856" s="6">
        <v>105</v>
      </c>
      <c r="Q856" s="4" t="s">
        <v>26</v>
      </c>
      <c r="R856" s="4">
        <v>0</v>
      </c>
      <c r="S856" s="4" t="s">
        <v>453</v>
      </c>
      <c r="U856" s="4">
        <v>29</v>
      </c>
      <c r="V856" s="4">
        <v>0</v>
      </c>
      <c r="W856" s="4">
        <v>0</v>
      </c>
    </row>
    <row r="857" spans="1:23" ht="11.25" customHeight="1" x14ac:dyDescent="0.25">
      <c r="A857" s="4" t="s">
        <v>28</v>
      </c>
      <c r="B857" s="4" t="s">
        <v>41</v>
      </c>
      <c r="C857" s="4" t="s">
        <v>42</v>
      </c>
      <c r="D857" s="4" t="s">
        <v>43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44531</v>
      </c>
      <c r="J857" s="6">
        <v>3344</v>
      </c>
      <c r="K857" s="6">
        <v>3344</v>
      </c>
      <c r="L857" s="6">
        <v>0</v>
      </c>
      <c r="M857" s="6">
        <v>0</v>
      </c>
      <c r="N857" s="6">
        <v>0</v>
      </c>
      <c r="O857" s="6">
        <v>0</v>
      </c>
      <c r="P857" s="6">
        <v>25</v>
      </c>
      <c r="Q857" s="4" t="s">
        <v>26</v>
      </c>
      <c r="R857" s="4">
        <v>0</v>
      </c>
      <c r="S857" s="4" t="s">
        <v>453</v>
      </c>
      <c r="U857" s="4">
        <v>29</v>
      </c>
      <c r="V857" s="4">
        <v>0</v>
      </c>
      <c r="W857" s="4">
        <v>0</v>
      </c>
    </row>
    <row r="858" spans="1:23" ht="11.25" customHeight="1" x14ac:dyDescent="0.25">
      <c r="A858" s="4" t="s">
        <v>21</v>
      </c>
      <c r="B858" s="4" t="s">
        <v>41</v>
      </c>
      <c r="C858" s="4" t="s">
        <v>42</v>
      </c>
      <c r="D858" s="4" t="s">
        <v>43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44562</v>
      </c>
      <c r="J858" s="6">
        <v>11491</v>
      </c>
      <c r="K858" s="6">
        <v>11491</v>
      </c>
      <c r="L858" s="6">
        <v>0</v>
      </c>
      <c r="M858" s="6">
        <v>0</v>
      </c>
      <c r="N858" s="6">
        <v>0</v>
      </c>
      <c r="O858" s="6">
        <v>0</v>
      </c>
      <c r="P858" s="6">
        <v>108</v>
      </c>
      <c r="Q858" s="4" t="s">
        <v>26</v>
      </c>
      <c r="R858" s="4">
        <v>0</v>
      </c>
      <c r="S858" s="4" t="s">
        <v>454</v>
      </c>
      <c r="U858" s="4">
        <v>29</v>
      </c>
      <c r="V858" s="4">
        <v>0</v>
      </c>
      <c r="W858" s="4">
        <v>0</v>
      </c>
    </row>
    <row r="859" spans="1:23" ht="11.25" customHeight="1" x14ac:dyDescent="0.25">
      <c r="A859" s="4" t="s">
        <v>28</v>
      </c>
      <c r="B859" s="4" t="s">
        <v>41</v>
      </c>
      <c r="C859" s="4" t="s">
        <v>42</v>
      </c>
      <c r="D859" s="4" t="s">
        <v>43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44562</v>
      </c>
      <c r="J859" s="6">
        <v>3355</v>
      </c>
      <c r="K859" s="6">
        <v>3355</v>
      </c>
      <c r="L859" s="6">
        <v>0</v>
      </c>
      <c r="M859" s="6">
        <v>0</v>
      </c>
      <c r="N859" s="6">
        <v>0</v>
      </c>
      <c r="O859" s="6">
        <v>0</v>
      </c>
      <c r="P859" s="6">
        <v>25</v>
      </c>
      <c r="Q859" s="4" t="s">
        <v>26</v>
      </c>
      <c r="R859" s="4">
        <v>0</v>
      </c>
      <c r="S859" s="4" t="s">
        <v>454</v>
      </c>
      <c r="U859" s="4">
        <v>29</v>
      </c>
      <c r="V859" s="4">
        <v>0</v>
      </c>
      <c r="W859" s="4">
        <v>0</v>
      </c>
    </row>
    <row r="860" spans="1:23" ht="11.25" customHeight="1" x14ac:dyDescent="0.25">
      <c r="A860" s="4" t="s">
        <v>21</v>
      </c>
      <c r="B860" s="4" t="s">
        <v>41</v>
      </c>
      <c r="C860" s="4" t="s">
        <v>42</v>
      </c>
      <c r="D860" s="4" t="s">
        <v>43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44593</v>
      </c>
      <c r="J860" s="6">
        <v>11599</v>
      </c>
      <c r="K860" s="6">
        <v>11599</v>
      </c>
      <c r="L860" s="6">
        <v>0</v>
      </c>
      <c r="M860" s="6">
        <v>0</v>
      </c>
      <c r="N860" s="6">
        <v>0</v>
      </c>
      <c r="O860" s="6">
        <v>0</v>
      </c>
      <c r="P860" s="6">
        <v>105</v>
      </c>
      <c r="Q860" s="4" t="s">
        <v>26</v>
      </c>
      <c r="R860" s="4">
        <v>0</v>
      </c>
      <c r="S860" s="4" t="s">
        <v>455</v>
      </c>
      <c r="U860" s="4">
        <v>29</v>
      </c>
      <c r="V860" s="4">
        <v>0</v>
      </c>
      <c r="W860" s="4">
        <v>0</v>
      </c>
    </row>
    <row r="861" spans="1:23" ht="11.25" customHeight="1" x14ac:dyDescent="0.25">
      <c r="A861" s="4" t="s">
        <v>28</v>
      </c>
      <c r="B861" s="4" t="s">
        <v>41</v>
      </c>
      <c r="C861" s="4" t="s">
        <v>42</v>
      </c>
      <c r="D861" s="4" t="s">
        <v>43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44593</v>
      </c>
      <c r="J861" s="6">
        <v>3418</v>
      </c>
      <c r="K861" s="6">
        <v>3418</v>
      </c>
      <c r="L861" s="6">
        <v>0</v>
      </c>
      <c r="M861" s="6">
        <v>0</v>
      </c>
      <c r="N861" s="6">
        <v>0</v>
      </c>
      <c r="O861" s="6">
        <v>0</v>
      </c>
      <c r="P861" s="6">
        <v>26</v>
      </c>
      <c r="Q861" s="4" t="s">
        <v>26</v>
      </c>
      <c r="R861" s="4">
        <v>0</v>
      </c>
      <c r="S861" s="4" t="s">
        <v>455</v>
      </c>
      <c r="U861" s="4">
        <v>29</v>
      </c>
      <c r="V861" s="4">
        <v>0</v>
      </c>
      <c r="W861" s="4">
        <v>0</v>
      </c>
    </row>
    <row r="862" spans="1:23" ht="11.25" customHeight="1" x14ac:dyDescent="0.25">
      <c r="A862" s="4" t="s">
        <v>21</v>
      </c>
      <c r="B862" s="4" t="s">
        <v>41</v>
      </c>
      <c r="C862" s="4" t="s">
        <v>42</v>
      </c>
      <c r="D862" s="4" t="s">
        <v>43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44621</v>
      </c>
      <c r="J862" s="6">
        <v>10912</v>
      </c>
      <c r="K862" s="6">
        <v>10912</v>
      </c>
      <c r="L862" s="6">
        <v>0</v>
      </c>
      <c r="M862" s="6">
        <v>0</v>
      </c>
      <c r="N862" s="6">
        <v>0</v>
      </c>
      <c r="O862" s="6">
        <v>0</v>
      </c>
      <c r="P862" s="6">
        <v>102</v>
      </c>
      <c r="Q862" s="4" t="s">
        <v>26</v>
      </c>
      <c r="R862" s="4">
        <v>0</v>
      </c>
      <c r="S862" s="4" t="s">
        <v>456</v>
      </c>
      <c r="U862" s="4">
        <v>29</v>
      </c>
      <c r="V862" s="4">
        <v>0</v>
      </c>
      <c r="W862" s="4">
        <v>0</v>
      </c>
    </row>
    <row r="863" spans="1:23" ht="11.25" customHeight="1" x14ac:dyDescent="0.25">
      <c r="A863" s="4" t="s">
        <v>27</v>
      </c>
      <c r="B863" s="4" t="s">
        <v>41</v>
      </c>
      <c r="C863" s="4" t="s">
        <v>42</v>
      </c>
      <c r="D863" s="4" t="s">
        <v>43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44621</v>
      </c>
      <c r="J863" s="6">
        <v>-436</v>
      </c>
      <c r="K863" s="6">
        <v>-436</v>
      </c>
      <c r="L863" s="6">
        <v>0</v>
      </c>
      <c r="M863" s="6">
        <v>0</v>
      </c>
      <c r="N863" s="6">
        <v>0</v>
      </c>
      <c r="O863" s="6">
        <v>0</v>
      </c>
      <c r="P863" s="6">
        <v>-1</v>
      </c>
      <c r="Q863" s="4" t="s">
        <v>26</v>
      </c>
      <c r="R863" s="4">
        <v>0</v>
      </c>
      <c r="S863" s="4" t="s">
        <v>456</v>
      </c>
      <c r="U863" s="4">
        <v>29</v>
      </c>
      <c r="V863" s="4">
        <v>0</v>
      </c>
      <c r="W863" s="4">
        <v>0</v>
      </c>
    </row>
    <row r="864" spans="1:23" ht="11.25" customHeight="1" x14ac:dyDescent="0.25">
      <c r="A864" s="4" t="s">
        <v>28</v>
      </c>
      <c r="B864" s="4" t="s">
        <v>41</v>
      </c>
      <c r="C864" s="4" t="s">
        <v>42</v>
      </c>
      <c r="D864" s="4" t="s">
        <v>43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44621</v>
      </c>
      <c r="J864" s="6">
        <v>3559</v>
      </c>
      <c r="K864" s="6">
        <v>3559</v>
      </c>
      <c r="L864" s="6">
        <v>0</v>
      </c>
      <c r="M864" s="6">
        <v>0</v>
      </c>
      <c r="N864" s="6">
        <v>0</v>
      </c>
      <c r="O864" s="6">
        <v>0</v>
      </c>
      <c r="P864" s="6">
        <v>27</v>
      </c>
      <c r="Q864" s="4" t="s">
        <v>26</v>
      </c>
      <c r="R864" s="4">
        <v>0</v>
      </c>
      <c r="S864" s="4" t="s">
        <v>456</v>
      </c>
      <c r="U864" s="4">
        <v>29</v>
      </c>
      <c r="V864" s="4">
        <v>0</v>
      </c>
      <c r="W864" s="4">
        <v>0</v>
      </c>
    </row>
    <row r="865" spans="1:23" ht="11.25" customHeight="1" x14ac:dyDescent="0.25">
      <c r="A865" s="4" t="s">
        <v>21</v>
      </c>
      <c r="B865" s="4" t="s">
        <v>41</v>
      </c>
      <c r="C865" s="4" t="s">
        <v>42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44652</v>
      </c>
      <c r="J865" s="6">
        <v>10478</v>
      </c>
      <c r="K865" s="6">
        <v>10478</v>
      </c>
      <c r="L865" s="6">
        <v>0</v>
      </c>
      <c r="M865" s="6">
        <v>0</v>
      </c>
      <c r="N865" s="6">
        <v>0</v>
      </c>
      <c r="O865" s="6">
        <v>0</v>
      </c>
      <c r="P865" s="6">
        <v>103</v>
      </c>
      <c r="Q865" s="4" t="s">
        <v>26</v>
      </c>
      <c r="R865" s="4">
        <v>0</v>
      </c>
      <c r="S865" s="4" t="s">
        <v>457</v>
      </c>
      <c r="U865" s="4">
        <v>29</v>
      </c>
      <c r="V865" s="4">
        <v>0</v>
      </c>
      <c r="W865" s="4">
        <v>0</v>
      </c>
    </row>
    <row r="866" spans="1:23" ht="11.25" customHeight="1" x14ac:dyDescent="0.25">
      <c r="A866" s="4" t="s">
        <v>28</v>
      </c>
      <c r="B866" s="4" t="s">
        <v>41</v>
      </c>
      <c r="C866" s="4" t="s">
        <v>42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44652</v>
      </c>
      <c r="J866" s="6">
        <v>3446</v>
      </c>
      <c r="K866" s="6">
        <v>3446</v>
      </c>
      <c r="L866" s="6">
        <v>0</v>
      </c>
      <c r="M866" s="6">
        <v>0</v>
      </c>
      <c r="N866" s="6">
        <v>0</v>
      </c>
      <c r="O866" s="6">
        <v>0</v>
      </c>
      <c r="P866" s="6">
        <v>26</v>
      </c>
      <c r="Q866" s="4" t="s">
        <v>26</v>
      </c>
      <c r="R866" s="4">
        <v>0</v>
      </c>
      <c r="S866" s="4" t="s">
        <v>457</v>
      </c>
      <c r="U866" s="4">
        <v>29</v>
      </c>
      <c r="V866" s="4">
        <v>0</v>
      </c>
      <c r="W866" s="4">
        <v>0</v>
      </c>
    </row>
    <row r="867" spans="1:23" ht="11.25" customHeight="1" x14ac:dyDescent="0.25">
      <c r="A867" s="4" t="s">
        <v>58</v>
      </c>
      <c r="B867" s="4" t="s">
        <v>41</v>
      </c>
      <c r="C867" s="4" t="s">
        <v>42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44682</v>
      </c>
      <c r="J867" s="6">
        <v>10478</v>
      </c>
      <c r="K867" s="6">
        <v>10478</v>
      </c>
      <c r="L867" s="6">
        <v>0</v>
      </c>
      <c r="M867" s="6">
        <v>0</v>
      </c>
      <c r="N867" s="6">
        <v>0</v>
      </c>
      <c r="O867" s="6">
        <v>0</v>
      </c>
      <c r="P867" s="6">
        <v>103</v>
      </c>
      <c r="Q867" s="4" t="s">
        <v>26</v>
      </c>
      <c r="R867" s="4">
        <v>0</v>
      </c>
      <c r="S867" s="4" t="s">
        <v>458</v>
      </c>
      <c r="U867" s="4">
        <v>29</v>
      </c>
      <c r="V867" s="4">
        <v>0</v>
      </c>
      <c r="W867" s="4">
        <v>0</v>
      </c>
    </row>
    <row r="868" spans="1:23" ht="11.25" customHeight="1" x14ac:dyDescent="0.25">
      <c r="A868" s="4" t="s">
        <v>58</v>
      </c>
      <c r="B868" s="4" t="s">
        <v>41</v>
      </c>
      <c r="C868" s="4" t="s">
        <v>42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44682</v>
      </c>
      <c r="J868" s="6">
        <v>3446</v>
      </c>
      <c r="K868" s="6">
        <v>3446</v>
      </c>
      <c r="L868" s="6">
        <v>0</v>
      </c>
      <c r="M868" s="6">
        <v>0</v>
      </c>
      <c r="N868" s="6">
        <v>0</v>
      </c>
      <c r="O868" s="6">
        <v>0</v>
      </c>
      <c r="P868" s="6">
        <v>26</v>
      </c>
      <c r="Q868" s="4" t="s">
        <v>26</v>
      </c>
      <c r="R868" s="4">
        <v>0</v>
      </c>
      <c r="S868" s="4" t="s">
        <v>458</v>
      </c>
      <c r="U868" s="4">
        <v>29</v>
      </c>
      <c r="V868" s="4">
        <v>0</v>
      </c>
      <c r="W868" s="4">
        <v>0</v>
      </c>
    </row>
    <row r="869" spans="1:23" ht="11.25" customHeight="1" x14ac:dyDescent="0.25">
      <c r="A869" s="4" t="s">
        <v>21</v>
      </c>
      <c r="B869" s="4" t="s">
        <v>41</v>
      </c>
      <c r="C869" s="4" t="s">
        <v>42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34</v>
      </c>
      <c r="I869" s="5">
        <v>44348</v>
      </c>
      <c r="J869" s="6">
        <v>0</v>
      </c>
      <c r="K869" s="6">
        <v>0</v>
      </c>
      <c r="L869" s="6">
        <v>153.61699999999999</v>
      </c>
      <c r="M869" s="6">
        <v>153.61699999999999</v>
      </c>
      <c r="N869" s="6">
        <v>153.61699999999999</v>
      </c>
      <c r="O869" s="6">
        <v>153.61699999999999</v>
      </c>
      <c r="P869" s="6">
        <v>0</v>
      </c>
      <c r="Q869" s="4" t="s">
        <v>26</v>
      </c>
      <c r="R869" s="4">
        <v>0</v>
      </c>
      <c r="S869" s="4" t="s">
        <v>459</v>
      </c>
      <c r="T869" s="4" t="s">
        <v>719</v>
      </c>
      <c r="U869" s="4">
        <v>0</v>
      </c>
      <c r="V869" s="4">
        <v>30</v>
      </c>
      <c r="W869" s="4">
        <v>78</v>
      </c>
    </row>
    <row r="870" spans="1:23" ht="11.25" customHeight="1" x14ac:dyDescent="0.25">
      <c r="A870" s="4" t="s">
        <v>27</v>
      </c>
      <c r="B870" s="4" t="s">
        <v>41</v>
      </c>
      <c r="C870" s="4" t="s">
        <v>42</v>
      </c>
      <c r="D870" s="4" t="s">
        <v>43</v>
      </c>
      <c r="E870" s="4" t="s">
        <v>25</v>
      </c>
      <c r="F870" s="4" t="s">
        <v>25</v>
      </c>
      <c r="G870" s="4" t="s">
        <v>25</v>
      </c>
      <c r="H870" s="4" t="s">
        <v>34</v>
      </c>
      <c r="I870" s="5">
        <v>44348</v>
      </c>
      <c r="J870" s="6">
        <v>0</v>
      </c>
      <c r="K870" s="6">
        <v>0</v>
      </c>
      <c r="L870" s="6">
        <v>-1.2</v>
      </c>
      <c r="M870" s="6">
        <v>-1.2</v>
      </c>
      <c r="N870" s="6">
        <v>-1.2</v>
      </c>
      <c r="O870" s="6">
        <v>-1.2</v>
      </c>
      <c r="P870" s="6">
        <v>0</v>
      </c>
      <c r="Q870" s="4" t="s">
        <v>26</v>
      </c>
      <c r="R870" s="4">
        <v>0</v>
      </c>
      <c r="S870" s="4" t="s">
        <v>459</v>
      </c>
      <c r="T870" s="4" t="s">
        <v>719</v>
      </c>
      <c r="U870" s="4">
        <v>0</v>
      </c>
      <c r="V870" s="4">
        <v>30</v>
      </c>
      <c r="W870" s="4">
        <v>78</v>
      </c>
    </row>
    <row r="871" spans="1:23" ht="11.25" customHeight="1" x14ac:dyDescent="0.25">
      <c r="A871" s="4" t="s">
        <v>28</v>
      </c>
      <c r="B871" s="4" t="s">
        <v>41</v>
      </c>
      <c r="C871" s="4" t="s">
        <v>42</v>
      </c>
      <c r="D871" s="4" t="s">
        <v>43</v>
      </c>
      <c r="E871" s="4" t="s">
        <v>25</v>
      </c>
      <c r="F871" s="4" t="s">
        <v>25</v>
      </c>
      <c r="G871" s="4" t="s">
        <v>25</v>
      </c>
      <c r="H871" s="4" t="s">
        <v>34</v>
      </c>
      <c r="I871" s="5">
        <v>44348</v>
      </c>
      <c r="J871" s="6">
        <v>0</v>
      </c>
      <c r="K871" s="6">
        <v>0</v>
      </c>
      <c r="L871" s="6">
        <v>14.44</v>
      </c>
      <c r="M871" s="6">
        <v>14.44</v>
      </c>
      <c r="N871" s="6">
        <v>14.44</v>
      </c>
      <c r="O871" s="6">
        <v>14.44</v>
      </c>
      <c r="P871" s="6">
        <v>0</v>
      </c>
      <c r="Q871" s="4" t="s">
        <v>26</v>
      </c>
      <c r="R871" s="4">
        <v>0</v>
      </c>
      <c r="S871" s="4" t="s">
        <v>459</v>
      </c>
      <c r="T871" s="4" t="s">
        <v>719</v>
      </c>
      <c r="U871" s="4">
        <v>0</v>
      </c>
      <c r="V871" s="4">
        <v>30</v>
      </c>
      <c r="W871" s="4">
        <v>78</v>
      </c>
    </row>
    <row r="872" spans="1:23" ht="11.25" customHeight="1" x14ac:dyDescent="0.25">
      <c r="A872" s="4" t="s">
        <v>28</v>
      </c>
      <c r="B872" s="4" t="s">
        <v>41</v>
      </c>
      <c r="C872" s="4" t="s">
        <v>42</v>
      </c>
      <c r="D872" s="4" t="s">
        <v>43</v>
      </c>
      <c r="E872" s="4" t="s">
        <v>25</v>
      </c>
      <c r="F872" s="4" t="s">
        <v>25</v>
      </c>
      <c r="G872" s="4" t="s">
        <v>25</v>
      </c>
      <c r="H872" s="4" t="s">
        <v>34</v>
      </c>
      <c r="I872" s="5">
        <v>44348</v>
      </c>
      <c r="J872" s="6">
        <v>0</v>
      </c>
      <c r="K872" s="6">
        <v>0</v>
      </c>
      <c r="L872" s="6">
        <v>1.38</v>
      </c>
      <c r="M872" s="6">
        <v>1.38</v>
      </c>
      <c r="N872" s="6">
        <v>1.38</v>
      </c>
      <c r="O872" s="6">
        <v>1.38</v>
      </c>
      <c r="P872" s="6">
        <v>0</v>
      </c>
      <c r="Q872" s="4" t="s">
        <v>26</v>
      </c>
      <c r="R872" s="4">
        <v>0</v>
      </c>
      <c r="S872" s="4" t="s">
        <v>459</v>
      </c>
      <c r="T872" s="4" t="s">
        <v>719</v>
      </c>
      <c r="U872" s="4">
        <v>0</v>
      </c>
      <c r="V872" s="4">
        <v>30</v>
      </c>
      <c r="W872" s="4">
        <v>78</v>
      </c>
    </row>
    <row r="873" spans="1:23" ht="11.25" customHeight="1" x14ac:dyDescent="0.25">
      <c r="A873" s="4" t="s">
        <v>21</v>
      </c>
      <c r="B873" s="4" t="s">
        <v>41</v>
      </c>
      <c r="C873" s="4" t="s">
        <v>42</v>
      </c>
      <c r="D873" s="4" t="s">
        <v>43</v>
      </c>
      <c r="E873" s="4" t="s">
        <v>25</v>
      </c>
      <c r="F873" s="4" t="s">
        <v>25</v>
      </c>
      <c r="G873" s="4" t="s">
        <v>25</v>
      </c>
      <c r="H873" s="4" t="s">
        <v>34</v>
      </c>
      <c r="I873" s="5">
        <v>44378</v>
      </c>
      <c r="J873" s="6">
        <v>0</v>
      </c>
      <c r="K873" s="6">
        <v>0</v>
      </c>
      <c r="L873" s="6">
        <v>136.13900000000001</v>
      </c>
      <c r="M873" s="6">
        <v>136.13900000000001</v>
      </c>
      <c r="N873" s="6">
        <v>136.13900000000001</v>
      </c>
      <c r="O873" s="6">
        <v>136.13900000000001</v>
      </c>
      <c r="P873" s="6">
        <v>0</v>
      </c>
      <c r="Q873" s="4" t="s">
        <v>26</v>
      </c>
      <c r="R873" s="4">
        <v>0</v>
      </c>
      <c r="S873" s="4" t="s">
        <v>460</v>
      </c>
      <c r="T873" s="4" t="s">
        <v>720</v>
      </c>
      <c r="U873" s="4">
        <v>0</v>
      </c>
      <c r="V873" s="4">
        <v>30</v>
      </c>
      <c r="W873" s="4">
        <v>78</v>
      </c>
    </row>
    <row r="874" spans="1:23" ht="11.25" customHeight="1" x14ac:dyDescent="0.25">
      <c r="A874" s="4" t="s">
        <v>27</v>
      </c>
      <c r="B874" s="4" t="s">
        <v>41</v>
      </c>
      <c r="C874" s="4" t="s">
        <v>42</v>
      </c>
      <c r="D874" s="4" t="s">
        <v>43</v>
      </c>
      <c r="E874" s="4" t="s">
        <v>25</v>
      </c>
      <c r="F874" s="4" t="s">
        <v>25</v>
      </c>
      <c r="G874" s="4" t="s">
        <v>25</v>
      </c>
      <c r="H874" s="4" t="s">
        <v>34</v>
      </c>
      <c r="I874" s="5">
        <v>44378</v>
      </c>
      <c r="J874" s="6">
        <v>0</v>
      </c>
      <c r="K874" s="6">
        <v>0</v>
      </c>
      <c r="L874" s="6">
        <v>0.36</v>
      </c>
      <c r="M874" s="6">
        <v>0.36</v>
      </c>
      <c r="N874" s="6">
        <v>0.36</v>
      </c>
      <c r="O874" s="6">
        <v>0.36</v>
      </c>
      <c r="P874" s="6">
        <v>0</v>
      </c>
      <c r="Q874" s="4" t="s">
        <v>26</v>
      </c>
      <c r="R874" s="4">
        <v>0</v>
      </c>
      <c r="S874" s="4" t="s">
        <v>460</v>
      </c>
      <c r="T874" s="4" t="s">
        <v>720</v>
      </c>
      <c r="U874" s="4">
        <v>0</v>
      </c>
      <c r="V874" s="4">
        <v>30</v>
      </c>
      <c r="W874" s="4">
        <v>78</v>
      </c>
    </row>
    <row r="875" spans="1:23" ht="11.25" customHeight="1" x14ac:dyDescent="0.25">
      <c r="A875" s="4" t="s">
        <v>28</v>
      </c>
      <c r="B875" s="4" t="s">
        <v>41</v>
      </c>
      <c r="C875" s="4" t="s">
        <v>42</v>
      </c>
      <c r="D875" s="4" t="s">
        <v>43</v>
      </c>
      <c r="E875" s="4" t="s">
        <v>25</v>
      </c>
      <c r="F875" s="4" t="s">
        <v>25</v>
      </c>
      <c r="G875" s="4" t="s">
        <v>25</v>
      </c>
      <c r="H875" s="4" t="s">
        <v>34</v>
      </c>
      <c r="I875" s="5">
        <v>44378</v>
      </c>
      <c r="J875" s="6">
        <v>0</v>
      </c>
      <c r="K875" s="6">
        <v>0</v>
      </c>
      <c r="L875" s="6">
        <v>21.082000000000001</v>
      </c>
      <c r="M875" s="6">
        <v>21.082000000000001</v>
      </c>
      <c r="N875" s="6">
        <v>21.082000000000001</v>
      </c>
      <c r="O875" s="6">
        <v>21.082000000000001</v>
      </c>
      <c r="P875" s="6">
        <v>0</v>
      </c>
      <c r="Q875" s="4" t="s">
        <v>26</v>
      </c>
      <c r="R875" s="4">
        <v>0</v>
      </c>
      <c r="S875" s="4" t="s">
        <v>460</v>
      </c>
      <c r="T875" s="4" t="s">
        <v>720</v>
      </c>
      <c r="U875" s="4">
        <v>0</v>
      </c>
      <c r="V875" s="4">
        <v>30</v>
      </c>
      <c r="W875" s="4">
        <v>78</v>
      </c>
    </row>
    <row r="876" spans="1:23" ht="11.25" customHeight="1" x14ac:dyDescent="0.25">
      <c r="A876" s="4" t="s">
        <v>21</v>
      </c>
      <c r="B876" s="4" t="s">
        <v>41</v>
      </c>
      <c r="C876" s="4" t="s">
        <v>42</v>
      </c>
      <c r="D876" s="4" t="s">
        <v>43</v>
      </c>
      <c r="E876" s="4" t="s">
        <v>25</v>
      </c>
      <c r="F876" s="4" t="s">
        <v>25</v>
      </c>
      <c r="G876" s="4" t="s">
        <v>25</v>
      </c>
      <c r="H876" s="4" t="s">
        <v>34</v>
      </c>
      <c r="I876" s="5">
        <v>44409</v>
      </c>
      <c r="J876" s="6">
        <v>0</v>
      </c>
      <c r="K876" s="6">
        <v>0</v>
      </c>
      <c r="L876" s="6">
        <v>171.22900000000001</v>
      </c>
      <c r="M876" s="6">
        <v>171.22900000000001</v>
      </c>
      <c r="N876" s="6">
        <v>171.22900000000001</v>
      </c>
      <c r="O876" s="6">
        <v>171.22900000000001</v>
      </c>
      <c r="P876" s="6">
        <v>0</v>
      </c>
      <c r="Q876" s="4" t="s">
        <v>26</v>
      </c>
      <c r="R876" s="4">
        <v>0</v>
      </c>
      <c r="S876" s="4" t="s">
        <v>461</v>
      </c>
      <c r="T876" s="4" t="s">
        <v>721</v>
      </c>
      <c r="U876" s="4">
        <v>0</v>
      </c>
      <c r="V876" s="4">
        <v>30</v>
      </c>
      <c r="W876" s="4">
        <v>78</v>
      </c>
    </row>
    <row r="877" spans="1:23" ht="11.25" customHeight="1" x14ac:dyDescent="0.25">
      <c r="A877" s="4" t="s">
        <v>28</v>
      </c>
      <c r="B877" s="4" t="s">
        <v>41</v>
      </c>
      <c r="C877" s="4" t="s">
        <v>42</v>
      </c>
      <c r="D877" s="4" t="s">
        <v>43</v>
      </c>
      <c r="E877" s="4" t="s">
        <v>25</v>
      </c>
      <c r="F877" s="4" t="s">
        <v>25</v>
      </c>
      <c r="G877" s="4" t="s">
        <v>25</v>
      </c>
      <c r="H877" s="4" t="s">
        <v>34</v>
      </c>
      <c r="I877" s="5">
        <v>44409</v>
      </c>
      <c r="J877" s="6">
        <v>0</v>
      </c>
      <c r="K877" s="6">
        <v>0</v>
      </c>
      <c r="L877" s="6">
        <v>19.434000000000001</v>
      </c>
      <c r="M877" s="6">
        <v>19.434000000000001</v>
      </c>
      <c r="N877" s="6">
        <v>19.434000000000001</v>
      </c>
      <c r="O877" s="6">
        <v>19.434000000000001</v>
      </c>
      <c r="P877" s="6">
        <v>0</v>
      </c>
      <c r="Q877" s="4" t="s">
        <v>26</v>
      </c>
      <c r="R877" s="4">
        <v>0</v>
      </c>
      <c r="S877" s="4" t="s">
        <v>461</v>
      </c>
      <c r="T877" s="4" t="s">
        <v>721</v>
      </c>
      <c r="U877" s="4">
        <v>0</v>
      </c>
      <c r="V877" s="4">
        <v>30</v>
      </c>
      <c r="W877" s="4">
        <v>78</v>
      </c>
    </row>
    <row r="878" spans="1:23" ht="11.25" customHeight="1" x14ac:dyDescent="0.25">
      <c r="A878" s="4" t="s">
        <v>21</v>
      </c>
      <c r="B878" s="4" t="s">
        <v>41</v>
      </c>
      <c r="C878" s="4" t="s">
        <v>42</v>
      </c>
      <c r="D878" s="4" t="s">
        <v>43</v>
      </c>
      <c r="E878" s="4" t="s">
        <v>25</v>
      </c>
      <c r="F878" s="4" t="s">
        <v>25</v>
      </c>
      <c r="G878" s="4" t="s">
        <v>25</v>
      </c>
      <c r="H878" s="4" t="s">
        <v>34</v>
      </c>
      <c r="I878" s="5">
        <v>44440</v>
      </c>
      <c r="J878" s="6">
        <v>0</v>
      </c>
      <c r="K878" s="6">
        <v>0</v>
      </c>
      <c r="L878" s="6">
        <v>188.268</v>
      </c>
      <c r="M878" s="6">
        <v>188.268</v>
      </c>
      <c r="N878" s="6">
        <v>188.268</v>
      </c>
      <c r="O878" s="6">
        <v>188.268</v>
      </c>
      <c r="P878" s="6">
        <v>0</v>
      </c>
      <c r="Q878" s="4" t="s">
        <v>26</v>
      </c>
      <c r="R878" s="4">
        <v>0</v>
      </c>
      <c r="S878" s="4" t="s">
        <v>462</v>
      </c>
      <c r="T878" s="4" t="s">
        <v>722</v>
      </c>
      <c r="U878" s="4">
        <v>0</v>
      </c>
      <c r="V878" s="4">
        <v>30</v>
      </c>
      <c r="W878" s="4">
        <v>78</v>
      </c>
    </row>
    <row r="879" spans="1:23" ht="11.25" customHeight="1" x14ac:dyDescent="0.25">
      <c r="A879" s="4" t="s">
        <v>28</v>
      </c>
      <c r="B879" s="4" t="s">
        <v>41</v>
      </c>
      <c r="C879" s="4" t="s">
        <v>42</v>
      </c>
      <c r="D879" s="4" t="s">
        <v>43</v>
      </c>
      <c r="E879" s="4" t="s">
        <v>25</v>
      </c>
      <c r="F879" s="4" t="s">
        <v>25</v>
      </c>
      <c r="G879" s="4" t="s">
        <v>25</v>
      </c>
      <c r="H879" s="4" t="s">
        <v>34</v>
      </c>
      <c r="I879" s="5">
        <v>44440</v>
      </c>
      <c r="J879" s="6">
        <v>0</v>
      </c>
      <c r="K879" s="6">
        <v>0</v>
      </c>
      <c r="L879" s="6">
        <v>25.936</v>
      </c>
      <c r="M879" s="6">
        <v>25.936</v>
      </c>
      <c r="N879" s="6">
        <v>25.936</v>
      </c>
      <c r="O879" s="6">
        <v>25.936</v>
      </c>
      <c r="P879" s="6">
        <v>0</v>
      </c>
      <c r="Q879" s="4" t="s">
        <v>26</v>
      </c>
      <c r="R879" s="4">
        <v>0</v>
      </c>
      <c r="S879" s="4" t="s">
        <v>462</v>
      </c>
      <c r="T879" s="4" t="s">
        <v>722</v>
      </c>
      <c r="U879" s="4">
        <v>0</v>
      </c>
      <c r="V879" s="4">
        <v>30</v>
      </c>
      <c r="W879" s="4">
        <v>78</v>
      </c>
    </row>
    <row r="880" spans="1:23" ht="11.25" customHeight="1" x14ac:dyDescent="0.25">
      <c r="A880" s="4" t="s">
        <v>21</v>
      </c>
      <c r="B880" s="4" t="s">
        <v>41</v>
      </c>
      <c r="C880" s="4" t="s">
        <v>42</v>
      </c>
      <c r="D880" s="4" t="s">
        <v>43</v>
      </c>
      <c r="E880" s="4" t="s">
        <v>25</v>
      </c>
      <c r="F880" s="4" t="s">
        <v>25</v>
      </c>
      <c r="G880" s="4" t="s">
        <v>25</v>
      </c>
      <c r="H880" s="4" t="s">
        <v>34</v>
      </c>
      <c r="I880" s="5">
        <v>44470</v>
      </c>
      <c r="J880" s="6">
        <v>0</v>
      </c>
      <c r="K880" s="6">
        <v>0</v>
      </c>
      <c r="L880" s="6">
        <v>165.982</v>
      </c>
      <c r="M880" s="6">
        <v>165.982</v>
      </c>
      <c r="N880" s="6">
        <v>165.982</v>
      </c>
      <c r="O880" s="6">
        <v>165.982</v>
      </c>
      <c r="P880" s="6">
        <v>0</v>
      </c>
      <c r="Q880" s="4" t="s">
        <v>26</v>
      </c>
      <c r="R880" s="4">
        <v>0</v>
      </c>
      <c r="S880" s="4" t="s">
        <v>463</v>
      </c>
      <c r="T880" s="4" t="s">
        <v>723</v>
      </c>
      <c r="U880" s="4">
        <v>0</v>
      </c>
      <c r="V880" s="4">
        <v>30</v>
      </c>
      <c r="W880" s="4">
        <v>78</v>
      </c>
    </row>
    <row r="881" spans="1:23" ht="11.25" customHeight="1" x14ac:dyDescent="0.25">
      <c r="A881" s="4" t="s">
        <v>27</v>
      </c>
      <c r="B881" s="4" t="s">
        <v>41</v>
      </c>
      <c r="C881" s="4" t="s">
        <v>42</v>
      </c>
      <c r="D881" s="4" t="s">
        <v>43</v>
      </c>
      <c r="E881" s="4" t="s">
        <v>25</v>
      </c>
      <c r="F881" s="4" t="s">
        <v>25</v>
      </c>
      <c r="G881" s="4" t="s">
        <v>25</v>
      </c>
      <c r="H881" s="4" t="s">
        <v>34</v>
      </c>
      <c r="I881" s="5">
        <v>44470</v>
      </c>
      <c r="J881" s="6">
        <v>0</v>
      </c>
      <c r="K881" s="6">
        <v>0</v>
      </c>
      <c r="L881" s="6">
        <v>5.4530000000000003</v>
      </c>
      <c r="M881" s="6">
        <v>5.4530000000000003</v>
      </c>
      <c r="N881" s="6">
        <v>5.4530000000000003</v>
      </c>
      <c r="O881" s="6">
        <v>5.4530000000000003</v>
      </c>
      <c r="P881" s="6">
        <v>0</v>
      </c>
      <c r="Q881" s="4" t="s">
        <v>26</v>
      </c>
      <c r="R881" s="4">
        <v>0</v>
      </c>
      <c r="S881" s="4" t="s">
        <v>463</v>
      </c>
      <c r="T881" s="4" t="s">
        <v>723</v>
      </c>
      <c r="U881" s="4">
        <v>0</v>
      </c>
      <c r="V881" s="4">
        <v>30</v>
      </c>
      <c r="W881" s="4">
        <v>78</v>
      </c>
    </row>
    <row r="882" spans="1:23" ht="11.25" customHeight="1" x14ac:dyDescent="0.25">
      <c r="A882" s="4" t="s">
        <v>28</v>
      </c>
      <c r="B882" s="4" t="s">
        <v>41</v>
      </c>
      <c r="C882" s="4" t="s">
        <v>42</v>
      </c>
      <c r="D882" s="4" t="s">
        <v>43</v>
      </c>
      <c r="E882" s="4" t="s">
        <v>25</v>
      </c>
      <c r="F882" s="4" t="s">
        <v>25</v>
      </c>
      <c r="G882" s="4" t="s">
        <v>25</v>
      </c>
      <c r="H882" s="4" t="s">
        <v>34</v>
      </c>
      <c r="I882" s="5">
        <v>44470</v>
      </c>
      <c r="J882" s="6">
        <v>0</v>
      </c>
      <c r="K882" s="6">
        <v>0</v>
      </c>
      <c r="L882" s="6">
        <v>17.966000000000001</v>
      </c>
      <c r="M882" s="6">
        <v>17.966000000000001</v>
      </c>
      <c r="N882" s="6">
        <v>17.966000000000001</v>
      </c>
      <c r="O882" s="6">
        <v>17.966000000000001</v>
      </c>
      <c r="P882" s="6">
        <v>0</v>
      </c>
      <c r="Q882" s="4" t="s">
        <v>26</v>
      </c>
      <c r="R882" s="4">
        <v>0</v>
      </c>
      <c r="S882" s="4" t="s">
        <v>463</v>
      </c>
      <c r="T882" s="4" t="s">
        <v>723</v>
      </c>
      <c r="U882" s="4">
        <v>0</v>
      </c>
      <c r="V882" s="4">
        <v>30</v>
      </c>
      <c r="W882" s="4">
        <v>78</v>
      </c>
    </row>
    <row r="883" spans="1:23" ht="11.25" customHeight="1" x14ac:dyDescent="0.25">
      <c r="A883" s="4" t="s">
        <v>21</v>
      </c>
      <c r="B883" s="4" t="s">
        <v>41</v>
      </c>
      <c r="C883" s="4" t="s">
        <v>42</v>
      </c>
      <c r="D883" s="4" t="s">
        <v>43</v>
      </c>
      <c r="E883" s="4" t="s">
        <v>25</v>
      </c>
      <c r="F883" s="4" t="s">
        <v>25</v>
      </c>
      <c r="G883" s="4" t="s">
        <v>25</v>
      </c>
      <c r="H883" s="4" t="s">
        <v>34</v>
      </c>
      <c r="I883" s="5">
        <v>44501</v>
      </c>
      <c r="J883" s="6">
        <v>0</v>
      </c>
      <c r="K883" s="6">
        <v>0</v>
      </c>
      <c r="L883" s="6">
        <v>178.50800000000001</v>
      </c>
      <c r="M883" s="6">
        <v>178.50800000000001</v>
      </c>
      <c r="N883" s="6">
        <v>178.50800000000001</v>
      </c>
      <c r="O883" s="6">
        <v>178.50800000000001</v>
      </c>
      <c r="P883" s="6">
        <v>0</v>
      </c>
      <c r="Q883" s="4" t="s">
        <v>26</v>
      </c>
      <c r="R883" s="4">
        <v>0</v>
      </c>
      <c r="S883" s="4" t="s">
        <v>464</v>
      </c>
      <c r="T883" s="4" t="s">
        <v>724</v>
      </c>
      <c r="U883" s="4">
        <v>0</v>
      </c>
      <c r="V883" s="4">
        <v>30</v>
      </c>
      <c r="W883" s="4">
        <v>78</v>
      </c>
    </row>
    <row r="884" spans="1:23" ht="11.25" customHeight="1" x14ac:dyDescent="0.25">
      <c r="A884" s="4" t="s">
        <v>28</v>
      </c>
      <c r="B884" s="4" t="s">
        <v>41</v>
      </c>
      <c r="C884" s="4" t="s">
        <v>42</v>
      </c>
      <c r="D884" s="4" t="s">
        <v>43</v>
      </c>
      <c r="E884" s="4" t="s">
        <v>25</v>
      </c>
      <c r="F884" s="4" t="s">
        <v>25</v>
      </c>
      <c r="G884" s="4" t="s">
        <v>25</v>
      </c>
      <c r="H884" s="4" t="s">
        <v>34</v>
      </c>
      <c r="I884" s="5">
        <v>44501</v>
      </c>
      <c r="J884" s="6">
        <v>0</v>
      </c>
      <c r="K884" s="6">
        <v>0</v>
      </c>
      <c r="L884" s="6">
        <v>19.062999999999999</v>
      </c>
      <c r="M884" s="6">
        <v>19.062999999999999</v>
      </c>
      <c r="N884" s="6">
        <v>19.062999999999999</v>
      </c>
      <c r="O884" s="6">
        <v>19.062999999999999</v>
      </c>
      <c r="P884" s="6">
        <v>0</v>
      </c>
      <c r="Q884" s="4" t="s">
        <v>26</v>
      </c>
      <c r="R884" s="4">
        <v>0</v>
      </c>
      <c r="S884" s="4" t="s">
        <v>464</v>
      </c>
      <c r="T884" s="4" t="s">
        <v>724</v>
      </c>
      <c r="U884" s="4">
        <v>0</v>
      </c>
      <c r="V884" s="4">
        <v>30</v>
      </c>
      <c r="W884" s="4">
        <v>78</v>
      </c>
    </row>
    <row r="885" spans="1:23" ht="11.25" customHeight="1" x14ac:dyDescent="0.25">
      <c r="A885" s="4" t="s">
        <v>21</v>
      </c>
      <c r="B885" s="4" t="s">
        <v>41</v>
      </c>
      <c r="C885" s="4" t="s">
        <v>42</v>
      </c>
      <c r="D885" s="4" t="s">
        <v>43</v>
      </c>
      <c r="E885" s="4" t="s">
        <v>25</v>
      </c>
      <c r="F885" s="4" t="s">
        <v>25</v>
      </c>
      <c r="G885" s="4" t="s">
        <v>25</v>
      </c>
      <c r="H885" s="4" t="s">
        <v>34</v>
      </c>
      <c r="I885" s="5">
        <v>44531</v>
      </c>
      <c r="J885" s="6">
        <v>0</v>
      </c>
      <c r="K885" s="6">
        <v>0</v>
      </c>
      <c r="L885" s="6">
        <v>181.67500000000001</v>
      </c>
      <c r="M885" s="6">
        <v>181.67500000000001</v>
      </c>
      <c r="N885" s="6">
        <v>181.67500000000001</v>
      </c>
      <c r="O885" s="6">
        <v>181.67500000000001</v>
      </c>
      <c r="P885" s="6">
        <v>0</v>
      </c>
      <c r="Q885" s="4" t="s">
        <v>26</v>
      </c>
      <c r="R885" s="4">
        <v>0</v>
      </c>
      <c r="S885" s="4" t="s">
        <v>465</v>
      </c>
      <c r="T885" s="4" t="s">
        <v>725</v>
      </c>
      <c r="U885" s="4">
        <v>0</v>
      </c>
      <c r="V885" s="4">
        <v>30</v>
      </c>
      <c r="W885" s="4">
        <v>78</v>
      </c>
    </row>
    <row r="886" spans="1:23" ht="11.25" customHeight="1" x14ac:dyDescent="0.25">
      <c r="A886" s="4" t="s">
        <v>27</v>
      </c>
      <c r="B886" s="4" t="s">
        <v>41</v>
      </c>
      <c r="C886" s="4" t="s">
        <v>42</v>
      </c>
      <c r="D886" s="4" t="s">
        <v>43</v>
      </c>
      <c r="E886" s="4" t="s">
        <v>25</v>
      </c>
      <c r="F886" s="4" t="s">
        <v>25</v>
      </c>
      <c r="G886" s="4" t="s">
        <v>25</v>
      </c>
      <c r="H886" s="4" t="s">
        <v>34</v>
      </c>
      <c r="I886" s="5">
        <v>44531</v>
      </c>
      <c r="J886" s="6">
        <v>0</v>
      </c>
      <c r="K886" s="6">
        <v>0</v>
      </c>
      <c r="L886" s="6">
        <v>1.92</v>
      </c>
      <c r="M886" s="6">
        <v>1.92</v>
      </c>
      <c r="N886" s="6">
        <v>1.92</v>
      </c>
      <c r="O886" s="6">
        <v>1.92</v>
      </c>
      <c r="P886" s="6">
        <v>0</v>
      </c>
      <c r="Q886" s="4" t="s">
        <v>26</v>
      </c>
      <c r="R886" s="4">
        <v>0</v>
      </c>
      <c r="S886" s="4" t="s">
        <v>465</v>
      </c>
      <c r="T886" s="4" t="s">
        <v>725</v>
      </c>
      <c r="U886" s="4">
        <v>0</v>
      </c>
      <c r="V886" s="4">
        <v>30</v>
      </c>
      <c r="W886" s="4">
        <v>78</v>
      </c>
    </row>
    <row r="887" spans="1:23" ht="11.25" customHeight="1" x14ac:dyDescent="0.25">
      <c r="A887" s="4" t="s">
        <v>28</v>
      </c>
      <c r="B887" s="4" t="s">
        <v>41</v>
      </c>
      <c r="C887" s="4" t="s">
        <v>42</v>
      </c>
      <c r="D887" s="4" t="s">
        <v>43</v>
      </c>
      <c r="E887" s="4" t="s">
        <v>25</v>
      </c>
      <c r="F887" s="4" t="s">
        <v>25</v>
      </c>
      <c r="G887" s="4" t="s">
        <v>25</v>
      </c>
      <c r="H887" s="4" t="s">
        <v>34</v>
      </c>
      <c r="I887" s="5">
        <v>44531</v>
      </c>
      <c r="J887" s="6">
        <v>0</v>
      </c>
      <c r="K887" s="6">
        <v>0</v>
      </c>
      <c r="L887" s="6">
        <v>27.459</v>
      </c>
      <c r="M887" s="6">
        <v>27.459</v>
      </c>
      <c r="N887" s="6">
        <v>27.459</v>
      </c>
      <c r="O887" s="6">
        <v>27.459</v>
      </c>
      <c r="P887" s="6">
        <v>0</v>
      </c>
      <c r="Q887" s="4" t="s">
        <v>26</v>
      </c>
      <c r="R887" s="4">
        <v>0</v>
      </c>
      <c r="S887" s="4" t="s">
        <v>465</v>
      </c>
      <c r="T887" s="4" t="s">
        <v>725</v>
      </c>
      <c r="U887" s="4">
        <v>0</v>
      </c>
      <c r="V887" s="4">
        <v>30</v>
      </c>
      <c r="W887" s="4">
        <v>78</v>
      </c>
    </row>
    <row r="888" spans="1:23" ht="11.25" customHeight="1" x14ac:dyDescent="0.25">
      <c r="A888" s="4" t="s">
        <v>21</v>
      </c>
      <c r="B888" s="4" t="s">
        <v>41</v>
      </c>
      <c r="C888" s="4" t="s">
        <v>42</v>
      </c>
      <c r="D888" s="4" t="s">
        <v>43</v>
      </c>
      <c r="E888" s="4" t="s">
        <v>25</v>
      </c>
      <c r="F888" s="4" t="s">
        <v>25</v>
      </c>
      <c r="G888" s="4" t="s">
        <v>25</v>
      </c>
      <c r="H888" s="4" t="s">
        <v>34</v>
      </c>
      <c r="I888" s="5">
        <v>44562</v>
      </c>
      <c r="J888" s="6">
        <v>0</v>
      </c>
      <c r="K888" s="6">
        <v>0</v>
      </c>
      <c r="L888" s="6">
        <v>176.92400000000001</v>
      </c>
      <c r="M888" s="6">
        <v>176.92400000000001</v>
      </c>
      <c r="N888" s="6">
        <v>176.92400000000001</v>
      </c>
      <c r="O888" s="6">
        <v>176.92400000000001</v>
      </c>
      <c r="P888" s="6">
        <v>0</v>
      </c>
      <c r="Q888" s="4" t="s">
        <v>26</v>
      </c>
      <c r="R888" s="4">
        <v>0</v>
      </c>
      <c r="S888" s="4" t="s">
        <v>466</v>
      </c>
      <c r="T888" s="4" t="s">
        <v>726</v>
      </c>
      <c r="U888" s="4">
        <v>0</v>
      </c>
      <c r="V888" s="4">
        <v>30</v>
      </c>
      <c r="W888" s="4">
        <v>78</v>
      </c>
    </row>
    <row r="889" spans="1:23" ht="11.25" customHeight="1" x14ac:dyDescent="0.25">
      <c r="A889" s="4" t="s">
        <v>28</v>
      </c>
      <c r="B889" s="4" t="s">
        <v>41</v>
      </c>
      <c r="C889" s="4" t="s">
        <v>42</v>
      </c>
      <c r="D889" s="4" t="s">
        <v>43</v>
      </c>
      <c r="E889" s="4" t="s">
        <v>25</v>
      </c>
      <c r="F889" s="4" t="s">
        <v>25</v>
      </c>
      <c r="G889" s="4" t="s">
        <v>25</v>
      </c>
      <c r="H889" s="4" t="s">
        <v>34</v>
      </c>
      <c r="I889" s="5">
        <v>44562</v>
      </c>
      <c r="J889" s="6">
        <v>0</v>
      </c>
      <c r="K889" s="6">
        <v>0</v>
      </c>
      <c r="L889" s="6">
        <v>22.359000000000002</v>
      </c>
      <c r="M889" s="6">
        <v>22.359000000000002</v>
      </c>
      <c r="N889" s="6">
        <v>22.359000000000002</v>
      </c>
      <c r="O889" s="6">
        <v>22.359000000000002</v>
      </c>
      <c r="P889" s="6">
        <v>0</v>
      </c>
      <c r="Q889" s="4" t="s">
        <v>26</v>
      </c>
      <c r="R889" s="4">
        <v>0</v>
      </c>
      <c r="S889" s="4" t="s">
        <v>466</v>
      </c>
      <c r="T889" s="4" t="s">
        <v>726</v>
      </c>
      <c r="U889" s="4">
        <v>0</v>
      </c>
      <c r="V889" s="4">
        <v>30</v>
      </c>
      <c r="W889" s="4">
        <v>78</v>
      </c>
    </row>
    <row r="890" spans="1:23" ht="11.25" customHeight="1" x14ac:dyDescent="0.25">
      <c r="A890" s="4" t="s">
        <v>21</v>
      </c>
      <c r="B890" s="4" t="s">
        <v>41</v>
      </c>
      <c r="C890" s="4" t="s">
        <v>42</v>
      </c>
      <c r="D890" s="4" t="s">
        <v>43</v>
      </c>
      <c r="E890" s="4" t="s">
        <v>25</v>
      </c>
      <c r="F890" s="4" t="s">
        <v>25</v>
      </c>
      <c r="G890" s="4" t="s">
        <v>25</v>
      </c>
      <c r="H890" s="4" t="s">
        <v>34</v>
      </c>
      <c r="I890" s="5">
        <v>44593</v>
      </c>
      <c r="J890" s="6">
        <v>0</v>
      </c>
      <c r="K890" s="6">
        <v>0</v>
      </c>
      <c r="L890" s="6">
        <v>163.41800000000001</v>
      </c>
      <c r="M890" s="6">
        <v>163.41800000000001</v>
      </c>
      <c r="N890" s="6">
        <v>163.41800000000001</v>
      </c>
      <c r="O890" s="6">
        <v>163.41800000000001</v>
      </c>
      <c r="P890" s="6">
        <v>0</v>
      </c>
      <c r="Q890" s="4" t="s">
        <v>26</v>
      </c>
      <c r="R890" s="4">
        <v>0</v>
      </c>
      <c r="S890" s="4" t="s">
        <v>467</v>
      </c>
      <c r="T890" s="4" t="s">
        <v>727</v>
      </c>
      <c r="U890" s="4">
        <v>0</v>
      </c>
      <c r="V890" s="4">
        <v>30</v>
      </c>
      <c r="W890" s="4">
        <v>78</v>
      </c>
    </row>
    <row r="891" spans="1:23" ht="11.25" customHeight="1" x14ac:dyDescent="0.25">
      <c r="A891" s="4" t="s">
        <v>28</v>
      </c>
      <c r="B891" s="4" t="s">
        <v>41</v>
      </c>
      <c r="C891" s="4" t="s">
        <v>42</v>
      </c>
      <c r="D891" s="4" t="s">
        <v>43</v>
      </c>
      <c r="E891" s="4" t="s">
        <v>25</v>
      </c>
      <c r="F891" s="4" t="s">
        <v>25</v>
      </c>
      <c r="G891" s="4" t="s">
        <v>25</v>
      </c>
      <c r="H891" s="4" t="s">
        <v>34</v>
      </c>
      <c r="I891" s="5">
        <v>44593</v>
      </c>
      <c r="J891" s="6">
        <v>0</v>
      </c>
      <c r="K891" s="6">
        <v>0</v>
      </c>
      <c r="L891" s="6">
        <v>23.030999999999999</v>
      </c>
      <c r="M891" s="6">
        <v>23.030999999999999</v>
      </c>
      <c r="N891" s="6">
        <v>23.030999999999999</v>
      </c>
      <c r="O891" s="6">
        <v>23.030999999999999</v>
      </c>
      <c r="P891" s="6">
        <v>0</v>
      </c>
      <c r="Q891" s="4" t="s">
        <v>26</v>
      </c>
      <c r="R891" s="4">
        <v>0</v>
      </c>
      <c r="S891" s="4" t="s">
        <v>467</v>
      </c>
      <c r="T891" s="4" t="s">
        <v>727</v>
      </c>
      <c r="U891" s="4">
        <v>0</v>
      </c>
      <c r="V891" s="4">
        <v>30</v>
      </c>
      <c r="W891" s="4">
        <v>78</v>
      </c>
    </row>
    <row r="892" spans="1:23" ht="11.25" customHeight="1" x14ac:dyDescent="0.25">
      <c r="A892" s="4" t="s">
        <v>21</v>
      </c>
      <c r="B892" s="4" t="s">
        <v>41</v>
      </c>
      <c r="C892" s="4" t="s">
        <v>42</v>
      </c>
      <c r="D892" s="4" t="s">
        <v>43</v>
      </c>
      <c r="E892" s="4" t="s">
        <v>25</v>
      </c>
      <c r="F892" s="4" t="s">
        <v>25</v>
      </c>
      <c r="G892" s="4" t="s">
        <v>25</v>
      </c>
      <c r="H892" s="4" t="s">
        <v>34</v>
      </c>
      <c r="I892" s="5">
        <v>44621</v>
      </c>
      <c r="J892" s="6">
        <v>0</v>
      </c>
      <c r="K892" s="6">
        <v>0</v>
      </c>
      <c r="L892" s="6">
        <v>159.893</v>
      </c>
      <c r="M892" s="6">
        <v>159.893</v>
      </c>
      <c r="N892" s="6">
        <v>159.893</v>
      </c>
      <c r="O892" s="6">
        <v>159.893</v>
      </c>
      <c r="P892" s="6">
        <v>0</v>
      </c>
      <c r="Q892" s="4" t="s">
        <v>26</v>
      </c>
      <c r="R892" s="4">
        <v>0</v>
      </c>
      <c r="S892" s="4" t="s">
        <v>468</v>
      </c>
      <c r="T892" s="4" t="s">
        <v>728</v>
      </c>
      <c r="U892" s="4">
        <v>0</v>
      </c>
      <c r="V892" s="4">
        <v>30</v>
      </c>
      <c r="W892" s="4">
        <v>78</v>
      </c>
    </row>
    <row r="893" spans="1:23" ht="11.25" customHeight="1" x14ac:dyDescent="0.25">
      <c r="A893" s="4" t="s">
        <v>27</v>
      </c>
      <c r="B893" s="4" t="s">
        <v>41</v>
      </c>
      <c r="C893" s="4" t="s">
        <v>42</v>
      </c>
      <c r="D893" s="4" t="s">
        <v>43</v>
      </c>
      <c r="E893" s="4" t="s">
        <v>25</v>
      </c>
      <c r="F893" s="4" t="s">
        <v>25</v>
      </c>
      <c r="G893" s="4" t="s">
        <v>25</v>
      </c>
      <c r="H893" s="4" t="s">
        <v>34</v>
      </c>
      <c r="I893" s="5">
        <v>44621</v>
      </c>
      <c r="J893" s="6">
        <v>0</v>
      </c>
      <c r="K893" s="6">
        <v>0</v>
      </c>
      <c r="L893" s="6">
        <v>-3.9020000000000001</v>
      </c>
      <c r="M893" s="6">
        <v>-3.9020000000000001</v>
      </c>
      <c r="N893" s="6">
        <v>-3.9020000000000001</v>
      </c>
      <c r="O893" s="6">
        <v>-3.9020000000000001</v>
      </c>
      <c r="P893" s="6">
        <v>0</v>
      </c>
      <c r="Q893" s="4" t="s">
        <v>26</v>
      </c>
      <c r="R893" s="4">
        <v>0</v>
      </c>
      <c r="S893" s="4" t="s">
        <v>468</v>
      </c>
      <c r="T893" s="4" t="s">
        <v>728</v>
      </c>
      <c r="U893" s="4">
        <v>0</v>
      </c>
      <c r="V893" s="4">
        <v>30</v>
      </c>
      <c r="W893" s="4">
        <v>78</v>
      </c>
    </row>
    <row r="894" spans="1:23" ht="11.25" customHeight="1" x14ac:dyDescent="0.25">
      <c r="A894" s="4" t="s">
        <v>28</v>
      </c>
      <c r="B894" s="4" t="s">
        <v>41</v>
      </c>
      <c r="C894" s="4" t="s">
        <v>42</v>
      </c>
      <c r="D894" s="4" t="s">
        <v>43</v>
      </c>
      <c r="E894" s="4" t="s">
        <v>25</v>
      </c>
      <c r="F894" s="4" t="s">
        <v>25</v>
      </c>
      <c r="G894" s="4" t="s">
        <v>25</v>
      </c>
      <c r="H894" s="4" t="s">
        <v>34</v>
      </c>
      <c r="I894" s="5">
        <v>44621</v>
      </c>
      <c r="J894" s="6">
        <v>0</v>
      </c>
      <c r="K894" s="6">
        <v>0</v>
      </c>
      <c r="L894" s="6">
        <v>27.92</v>
      </c>
      <c r="M894" s="6">
        <v>27.92</v>
      </c>
      <c r="N894" s="6">
        <v>27.92</v>
      </c>
      <c r="O894" s="6">
        <v>27.92</v>
      </c>
      <c r="P894" s="6">
        <v>0</v>
      </c>
      <c r="Q894" s="4" t="s">
        <v>26</v>
      </c>
      <c r="R894" s="4">
        <v>0</v>
      </c>
      <c r="S894" s="4" t="s">
        <v>468</v>
      </c>
      <c r="T894" s="4" t="s">
        <v>728</v>
      </c>
      <c r="U894" s="4">
        <v>0</v>
      </c>
      <c r="V894" s="4">
        <v>30</v>
      </c>
      <c r="W894" s="4">
        <v>78</v>
      </c>
    </row>
    <row r="895" spans="1:23" ht="11.25" customHeight="1" x14ac:dyDescent="0.25">
      <c r="A895" s="4" t="s">
        <v>21</v>
      </c>
      <c r="B895" s="4" t="s">
        <v>41</v>
      </c>
      <c r="C895" s="4" t="s">
        <v>42</v>
      </c>
      <c r="D895" s="4" t="s">
        <v>43</v>
      </c>
      <c r="E895" s="4" t="s">
        <v>25</v>
      </c>
      <c r="F895" s="4" t="s">
        <v>25</v>
      </c>
      <c r="G895" s="4" t="s">
        <v>25</v>
      </c>
      <c r="H895" s="4" t="s">
        <v>34</v>
      </c>
      <c r="I895" s="5">
        <v>44652</v>
      </c>
      <c r="J895" s="6">
        <v>0</v>
      </c>
      <c r="K895" s="6">
        <v>0</v>
      </c>
      <c r="L895" s="6">
        <v>152.511</v>
      </c>
      <c r="M895" s="6">
        <v>152.511</v>
      </c>
      <c r="N895" s="6">
        <v>152.511</v>
      </c>
      <c r="O895" s="6">
        <v>152.511</v>
      </c>
      <c r="P895" s="6">
        <v>0</v>
      </c>
      <c r="Q895" s="4" t="s">
        <v>26</v>
      </c>
      <c r="R895" s="4">
        <v>0</v>
      </c>
      <c r="S895" s="4" t="s">
        <v>469</v>
      </c>
      <c r="T895" s="4" t="s">
        <v>729</v>
      </c>
      <c r="U895" s="4">
        <v>0</v>
      </c>
      <c r="V895" s="4">
        <v>30</v>
      </c>
      <c r="W895" s="4">
        <v>78</v>
      </c>
    </row>
    <row r="896" spans="1:23" ht="11.25" customHeight="1" x14ac:dyDescent="0.25">
      <c r="A896" s="4" t="s">
        <v>27</v>
      </c>
      <c r="B896" s="4" t="s">
        <v>41</v>
      </c>
      <c r="C896" s="4" t="s">
        <v>42</v>
      </c>
      <c r="D896" s="4" t="s">
        <v>43</v>
      </c>
      <c r="E896" s="4" t="s">
        <v>25</v>
      </c>
      <c r="F896" s="4" t="s">
        <v>25</v>
      </c>
      <c r="G896" s="4" t="s">
        <v>25</v>
      </c>
      <c r="H896" s="4" t="s">
        <v>34</v>
      </c>
      <c r="I896" s="5">
        <v>44652</v>
      </c>
      <c r="J896" s="6">
        <v>0</v>
      </c>
      <c r="K896" s="6">
        <v>0</v>
      </c>
      <c r="L896" s="6">
        <v>-1.6839999999999999</v>
      </c>
      <c r="M896" s="6">
        <v>-1.6839999999999999</v>
      </c>
      <c r="N896" s="6">
        <v>-1.6839999999999999</v>
      </c>
      <c r="O896" s="6">
        <v>-1.6839999999999999</v>
      </c>
      <c r="P896" s="6">
        <v>0</v>
      </c>
      <c r="Q896" s="4" t="s">
        <v>26</v>
      </c>
      <c r="R896" s="4">
        <v>0</v>
      </c>
      <c r="S896" s="4" t="s">
        <v>469</v>
      </c>
      <c r="T896" s="4" t="s">
        <v>729</v>
      </c>
      <c r="U896" s="4">
        <v>0</v>
      </c>
      <c r="V896" s="4">
        <v>30</v>
      </c>
      <c r="W896" s="4">
        <v>78</v>
      </c>
    </row>
    <row r="897" spans="1:23" ht="11.25" customHeight="1" x14ac:dyDescent="0.25">
      <c r="A897" s="4" t="s">
        <v>28</v>
      </c>
      <c r="B897" s="4" t="s">
        <v>41</v>
      </c>
      <c r="C897" s="4" t="s">
        <v>42</v>
      </c>
      <c r="D897" s="4" t="s">
        <v>43</v>
      </c>
      <c r="E897" s="4" t="s">
        <v>25</v>
      </c>
      <c r="F897" s="4" t="s">
        <v>25</v>
      </c>
      <c r="G897" s="4" t="s">
        <v>25</v>
      </c>
      <c r="H897" s="4" t="s">
        <v>34</v>
      </c>
      <c r="I897" s="5">
        <v>44652</v>
      </c>
      <c r="J897" s="6">
        <v>0</v>
      </c>
      <c r="K897" s="6">
        <v>0</v>
      </c>
      <c r="L897" s="6">
        <v>23.071999999999999</v>
      </c>
      <c r="M897" s="6">
        <v>23.071999999999999</v>
      </c>
      <c r="N897" s="6">
        <v>23.071999999999999</v>
      </c>
      <c r="O897" s="6">
        <v>23.071999999999999</v>
      </c>
      <c r="P897" s="6">
        <v>0</v>
      </c>
      <c r="Q897" s="4" t="s">
        <v>26</v>
      </c>
      <c r="R897" s="4">
        <v>0</v>
      </c>
      <c r="S897" s="4" t="s">
        <v>469</v>
      </c>
      <c r="T897" s="4" t="s">
        <v>729</v>
      </c>
      <c r="U897" s="4">
        <v>0</v>
      </c>
      <c r="V897" s="4">
        <v>30</v>
      </c>
      <c r="W897" s="4">
        <v>78</v>
      </c>
    </row>
    <row r="898" spans="1:23" ht="11.25" customHeight="1" x14ac:dyDescent="0.25">
      <c r="A898" s="4" t="s">
        <v>58</v>
      </c>
      <c r="B898" s="4" t="s">
        <v>41</v>
      </c>
      <c r="C898" s="4" t="s">
        <v>42</v>
      </c>
      <c r="D898" s="4" t="s">
        <v>43</v>
      </c>
      <c r="E898" s="4" t="s">
        <v>25</v>
      </c>
      <c r="F898" s="4" t="s">
        <v>25</v>
      </c>
      <c r="G898" s="4" t="s">
        <v>25</v>
      </c>
      <c r="H898" s="4" t="s">
        <v>34</v>
      </c>
      <c r="I898" s="5">
        <v>44682</v>
      </c>
      <c r="J898" s="6">
        <v>0</v>
      </c>
      <c r="K898" s="6">
        <v>0</v>
      </c>
      <c r="L898" s="6">
        <v>152.511</v>
      </c>
      <c r="M898" s="6">
        <v>152.511</v>
      </c>
      <c r="N898" s="6">
        <v>152.511</v>
      </c>
      <c r="O898" s="6">
        <v>152.511</v>
      </c>
      <c r="P898" s="6">
        <v>0</v>
      </c>
      <c r="Q898" s="4" t="s">
        <v>26</v>
      </c>
      <c r="R898" s="4">
        <v>0</v>
      </c>
      <c r="S898" s="4" t="s">
        <v>470</v>
      </c>
      <c r="T898" s="4" t="s">
        <v>730</v>
      </c>
      <c r="U898" s="4">
        <v>0</v>
      </c>
      <c r="V898" s="4">
        <v>30</v>
      </c>
      <c r="W898" s="4">
        <v>78</v>
      </c>
    </row>
    <row r="899" spans="1:23" ht="11.25" customHeight="1" x14ac:dyDescent="0.25">
      <c r="A899" s="4" t="s">
        <v>58</v>
      </c>
      <c r="B899" s="4" t="s">
        <v>41</v>
      </c>
      <c r="C899" s="4" t="s">
        <v>42</v>
      </c>
      <c r="D899" s="4" t="s">
        <v>43</v>
      </c>
      <c r="E899" s="4" t="s">
        <v>25</v>
      </c>
      <c r="F899" s="4" t="s">
        <v>25</v>
      </c>
      <c r="G899" s="4" t="s">
        <v>25</v>
      </c>
      <c r="H899" s="4" t="s">
        <v>34</v>
      </c>
      <c r="I899" s="5">
        <v>44682</v>
      </c>
      <c r="J899" s="6">
        <v>0</v>
      </c>
      <c r="K899" s="6">
        <v>0</v>
      </c>
      <c r="L899" s="6">
        <v>-1.6839999999999999</v>
      </c>
      <c r="M899" s="6">
        <v>-1.6839999999999999</v>
      </c>
      <c r="N899" s="6">
        <v>-1.6839999999999999</v>
      </c>
      <c r="O899" s="6">
        <v>-1.6839999999999999</v>
      </c>
      <c r="P899" s="6">
        <v>0</v>
      </c>
      <c r="Q899" s="4" t="s">
        <v>26</v>
      </c>
      <c r="R899" s="4">
        <v>0</v>
      </c>
      <c r="S899" s="4" t="s">
        <v>470</v>
      </c>
      <c r="T899" s="4" t="s">
        <v>730</v>
      </c>
      <c r="U899" s="4">
        <v>0</v>
      </c>
      <c r="V899" s="4">
        <v>30</v>
      </c>
      <c r="W899" s="4">
        <v>78</v>
      </c>
    </row>
    <row r="900" spans="1:23" ht="11.25" customHeight="1" x14ac:dyDescent="0.25">
      <c r="A900" s="4" t="s">
        <v>58</v>
      </c>
      <c r="B900" s="4" t="s">
        <v>41</v>
      </c>
      <c r="C900" s="4" t="s">
        <v>42</v>
      </c>
      <c r="D900" s="4" t="s">
        <v>43</v>
      </c>
      <c r="E900" s="4" t="s">
        <v>25</v>
      </c>
      <c r="F900" s="4" t="s">
        <v>25</v>
      </c>
      <c r="G900" s="4" t="s">
        <v>25</v>
      </c>
      <c r="H900" s="4" t="s">
        <v>34</v>
      </c>
      <c r="I900" s="5">
        <v>44682</v>
      </c>
      <c r="J900" s="6">
        <v>0</v>
      </c>
      <c r="K900" s="6">
        <v>0</v>
      </c>
      <c r="L900" s="6">
        <v>23.071999999999999</v>
      </c>
      <c r="M900" s="6">
        <v>23.071999999999999</v>
      </c>
      <c r="N900" s="6">
        <v>23.071999999999999</v>
      </c>
      <c r="O900" s="6">
        <v>23.071999999999999</v>
      </c>
      <c r="P900" s="6">
        <v>0</v>
      </c>
      <c r="Q900" s="4" t="s">
        <v>26</v>
      </c>
      <c r="R900" s="4">
        <v>0</v>
      </c>
      <c r="S900" s="4" t="s">
        <v>470</v>
      </c>
      <c r="T900" s="4" t="s">
        <v>730</v>
      </c>
      <c r="U900" s="4">
        <v>0</v>
      </c>
      <c r="V900" s="4">
        <v>30</v>
      </c>
      <c r="W900" s="4">
        <v>78</v>
      </c>
    </row>
    <row r="901" spans="1:23" ht="11.25" customHeight="1" x14ac:dyDescent="0.25">
      <c r="A901" s="4" t="s">
        <v>21</v>
      </c>
      <c r="B901" s="4" t="s">
        <v>41</v>
      </c>
      <c r="C901" s="4" t="s">
        <v>42</v>
      </c>
      <c r="D901" s="4" t="s">
        <v>53</v>
      </c>
      <c r="E901" s="4" t="s">
        <v>25</v>
      </c>
      <c r="F901" s="4" t="s">
        <v>25</v>
      </c>
      <c r="G901" s="4" t="s">
        <v>25</v>
      </c>
      <c r="H901" s="4" t="s">
        <v>35</v>
      </c>
      <c r="I901" s="5">
        <v>44348</v>
      </c>
      <c r="J901" s="6">
        <v>0</v>
      </c>
      <c r="K901" s="6">
        <v>0</v>
      </c>
      <c r="L901" s="6">
        <v>34.799999999999997</v>
      </c>
      <c r="M901" s="6">
        <v>34.799999999999997</v>
      </c>
      <c r="N901" s="6">
        <v>34.799999999999997</v>
      </c>
      <c r="O901" s="6">
        <v>34.799999999999997</v>
      </c>
      <c r="P901" s="6">
        <v>0</v>
      </c>
      <c r="Q901" s="4" t="s">
        <v>26</v>
      </c>
      <c r="R901" s="4">
        <v>0</v>
      </c>
      <c r="S901" s="4" t="s">
        <v>435</v>
      </c>
      <c r="T901" s="4" t="s">
        <v>707</v>
      </c>
      <c r="U901" s="4">
        <v>0</v>
      </c>
      <c r="V901" s="4">
        <v>31</v>
      </c>
      <c r="W901" s="4">
        <v>79</v>
      </c>
    </row>
    <row r="902" spans="1:23" ht="11.25" customHeight="1" x14ac:dyDescent="0.25">
      <c r="A902" s="4" t="s">
        <v>21</v>
      </c>
      <c r="B902" s="4" t="s">
        <v>41</v>
      </c>
      <c r="C902" s="4" t="s">
        <v>42</v>
      </c>
      <c r="D902" s="4" t="s">
        <v>53</v>
      </c>
      <c r="E902" s="4" t="s">
        <v>25</v>
      </c>
      <c r="F902" s="4" t="s">
        <v>25</v>
      </c>
      <c r="G902" s="4" t="s">
        <v>25</v>
      </c>
      <c r="H902" s="4" t="s">
        <v>35</v>
      </c>
      <c r="I902" s="5">
        <v>44378</v>
      </c>
      <c r="J902" s="6">
        <v>0</v>
      </c>
      <c r="K902" s="6">
        <v>0</v>
      </c>
      <c r="L902" s="6">
        <v>33.6</v>
      </c>
      <c r="M902" s="6">
        <v>33.6</v>
      </c>
      <c r="N902" s="6">
        <v>33.6</v>
      </c>
      <c r="O902" s="6">
        <v>33.6</v>
      </c>
      <c r="P902" s="6">
        <v>0</v>
      </c>
      <c r="Q902" s="4" t="s">
        <v>26</v>
      </c>
      <c r="R902" s="4">
        <v>0</v>
      </c>
      <c r="S902" s="4" t="s">
        <v>436</v>
      </c>
      <c r="T902" s="4" t="s">
        <v>708</v>
      </c>
      <c r="U902" s="4">
        <v>0</v>
      </c>
      <c r="V902" s="4">
        <v>31</v>
      </c>
      <c r="W902" s="4">
        <v>79</v>
      </c>
    </row>
    <row r="903" spans="1:23" ht="11.25" customHeight="1" x14ac:dyDescent="0.25">
      <c r="A903" s="4" t="s">
        <v>21</v>
      </c>
      <c r="B903" s="4" t="s">
        <v>41</v>
      </c>
      <c r="C903" s="4" t="s">
        <v>42</v>
      </c>
      <c r="D903" s="4" t="s">
        <v>53</v>
      </c>
      <c r="E903" s="4" t="s">
        <v>25</v>
      </c>
      <c r="F903" s="4" t="s">
        <v>25</v>
      </c>
      <c r="G903" s="4" t="s">
        <v>25</v>
      </c>
      <c r="H903" s="4" t="s">
        <v>35</v>
      </c>
      <c r="I903" s="5">
        <v>44409</v>
      </c>
      <c r="J903" s="6">
        <v>0</v>
      </c>
      <c r="K903" s="6">
        <v>0</v>
      </c>
      <c r="L903" s="6">
        <v>38.4</v>
      </c>
      <c r="M903" s="6">
        <v>38.4</v>
      </c>
      <c r="N903" s="6">
        <v>38.4</v>
      </c>
      <c r="O903" s="6">
        <v>38.4</v>
      </c>
      <c r="P903" s="6">
        <v>0</v>
      </c>
      <c r="Q903" s="4" t="s">
        <v>26</v>
      </c>
      <c r="R903" s="4">
        <v>0</v>
      </c>
      <c r="S903" s="4" t="s">
        <v>437</v>
      </c>
      <c r="T903" s="4" t="s">
        <v>709</v>
      </c>
      <c r="U903" s="4">
        <v>0</v>
      </c>
      <c r="V903" s="4">
        <v>31</v>
      </c>
      <c r="W903" s="4">
        <v>79</v>
      </c>
    </row>
    <row r="904" spans="1:23" ht="11.25" customHeight="1" x14ac:dyDescent="0.25">
      <c r="A904" s="4" t="s">
        <v>21</v>
      </c>
      <c r="B904" s="4" t="s">
        <v>41</v>
      </c>
      <c r="C904" s="4" t="s">
        <v>42</v>
      </c>
      <c r="D904" s="4" t="s">
        <v>53</v>
      </c>
      <c r="E904" s="4" t="s">
        <v>25</v>
      </c>
      <c r="F904" s="4" t="s">
        <v>25</v>
      </c>
      <c r="G904" s="4" t="s">
        <v>25</v>
      </c>
      <c r="H904" s="4" t="s">
        <v>35</v>
      </c>
      <c r="I904" s="5">
        <v>44440</v>
      </c>
      <c r="J904" s="6">
        <v>0</v>
      </c>
      <c r="K904" s="6">
        <v>0</v>
      </c>
      <c r="L904" s="6">
        <v>51.6</v>
      </c>
      <c r="M904" s="6">
        <v>51.6</v>
      </c>
      <c r="N904" s="6">
        <v>51.6</v>
      </c>
      <c r="O904" s="6">
        <v>51.6</v>
      </c>
      <c r="P904" s="6">
        <v>0</v>
      </c>
      <c r="Q904" s="4" t="s">
        <v>26</v>
      </c>
      <c r="R904" s="4">
        <v>0</v>
      </c>
      <c r="S904" s="4" t="s">
        <v>438</v>
      </c>
      <c r="T904" s="4" t="s">
        <v>710</v>
      </c>
      <c r="U904" s="4">
        <v>0</v>
      </c>
      <c r="V904" s="4">
        <v>31</v>
      </c>
      <c r="W904" s="4">
        <v>79</v>
      </c>
    </row>
    <row r="905" spans="1:23" ht="11.25" customHeight="1" x14ac:dyDescent="0.25">
      <c r="A905" s="4" t="s">
        <v>21</v>
      </c>
      <c r="B905" s="4" t="s">
        <v>41</v>
      </c>
      <c r="C905" s="4" t="s">
        <v>42</v>
      </c>
      <c r="D905" s="4" t="s">
        <v>53</v>
      </c>
      <c r="E905" s="4" t="s">
        <v>25</v>
      </c>
      <c r="F905" s="4" t="s">
        <v>25</v>
      </c>
      <c r="G905" s="4" t="s">
        <v>25</v>
      </c>
      <c r="H905" s="4" t="s">
        <v>35</v>
      </c>
      <c r="I905" s="5">
        <v>44470</v>
      </c>
      <c r="J905" s="6">
        <v>0</v>
      </c>
      <c r="K905" s="6">
        <v>0</v>
      </c>
      <c r="L905" s="6">
        <v>44.4</v>
      </c>
      <c r="M905" s="6">
        <v>44.4</v>
      </c>
      <c r="N905" s="6">
        <v>44.4</v>
      </c>
      <c r="O905" s="6">
        <v>44.4</v>
      </c>
      <c r="P905" s="6">
        <v>0</v>
      </c>
      <c r="Q905" s="4" t="s">
        <v>26</v>
      </c>
      <c r="R905" s="4">
        <v>0</v>
      </c>
      <c r="S905" s="4" t="s">
        <v>439</v>
      </c>
      <c r="T905" s="4" t="s">
        <v>711</v>
      </c>
      <c r="U905" s="4">
        <v>0</v>
      </c>
      <c r="V905" s="4">
        <v>31</v>
      </c>
      <c r="W905" s="4">
        <v>79</v>
      </c>
    </row>
    <row r="906" spans="1:23" ht="11.25" customHeight="1" x14ac:dyDescent="0.25">
      <c r="A906" s="4" t="s">
        <v>21</v>
      </c>
      <c r="B906" s="4" t="s">
        <v>41</v>
      </c>
      <c r="C906" s="4" t="s">
        <v>42</v>
      </c>
      <c r="D906" s="4" t="s">
        <v>53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44501</v>
      </c>
      <c r="J906" s="6">
        <v>0</v>
      </c>
      <c r="K906" s="6">
        <v>0</v>
      </c>
      <c r="L906" s="6">
        <v>44.4</v>
      </c>
      <c r="M906" s="6">
        <v>44.4</v>
      </c>
      <c r="N906" s="6">
        <v>44.4</v>
      </c>
      <c r="O906" s="6">
        <v>44.4</v>
      </c>
      <c r="P906" s="6">
        <v>0</v>
      </c>
      <c r="Q906" s="4" t="s">
        <v>26</v>
      </c>
      <c r="R906" s="4">
        <v>0</v>
      </c>
      <c r="S906" s="4" t="s">
        <v>440</v>
      </c>
      <c r="T906" s="4" t="s">
        <v>712</v>
      </c>
      <c r="U906" s="4">
        <v>0</v>
      </c>
      <c r="V906" s="4">
        <v>31</v>
      </c>
      <c r="W906" s="4">
        <v>79</v>
      </c>
    </row>
    <row r="907" spans="1:23" ht="11.25" customHeight="1" x14ac:dyDescent="0.25">
      <c r="A907" s="4" t="s">
        <v>21</v>
      </c>
      <c r="B907" s="4" t="s">
        <v>41</v>
      </c>
      <c r="C907" s="4" t="s">
        <v>42</v>
      </c>
      <c r="D907" s="4" t="s">
        <v>53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44531</v>
      </c>
      <c r="J907" s="6">
        <v>0</v>
      </c>
      <c r="K907" s="6">
        <v>0</v>
      </c>
      <c r="L907" s="6">
        <v>50.4</v>
      </c>
      <c r="M907" s="6">
        <v>50.4</v>
      </c>
      <c r="N907" s="6">
        <v>50.4</v>
      </c>
      <c r="O907" s="6">
        <v>50.4</v>
      </c>
      <c r="P907" s="6">
        <v>0</v>
      </c>
      <c r="Q907" s="4" t="s">
        <v>26</v>
      </c>
      <c r="R907" s="4">
        <v>0</v>
      </c>
      <c r="S907" s="4" t="s">
        <v>441</v>
      </c>
      <c r="T907" s="4" t="s">
        <v>713</v>
      </c>
      <c r="U907" s="4">
        <v>0</v>
      </c>
      <c r="V907" s="4">
        <v>31</v>
      </c>
      <c r="W907" s="4">
        <v>79</v>
      </c>
    </row>
    <row r="908" spans="1:23" ht="11.25" customHeight="1" x14ac:dyDescent="0.25">
      <c r="A908" s="4" t="s">
        <v>21</v>
      </c>
      <c r="B908" s="4" t="s">
        <v>41</v>
      </c>
      <c r="C908" s="4" t="s">
        <v>42</v>
      </c>
      <c r="D908" s="4" t="s">
        <v>53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44562</v>
      </c>
      <c r="J908" s="6">
        <v>0</v>
      </c>
      <c r="K908" s="6">
        <v>0</v>
      </c>
      <c r="L908" s="6">
        <v>51.832999999999998</v>
      </c>
      <c r="M908" s="6">
        <v>51.832999999999998</v>
      </c>
      <c r="N908" s="6">
        <v>51.832999999999998</v>
      </c>
      <c r="O908" s="6">
        <v>51.832999999999998</v>
      </c>
      <c r="P908" s="6">
        <v>0</v>
      </c>
      <c r="Q908" s="4" t="s">
        <v>26</v>
      </c>
      <c r="R908" s="4">
        <v>0</v>
      </c>
      <c r="S908" s="4" t="s">
        <v>442</v>
      </c>
      <c r="T908" s="4" t="s">
        <v>714</v>
      </c>
      <c r="U908" s="4">
        <v>0</v>
      </c>
      <c r="V908" s="4">
        <v>31</v>
      </c>
      <c r="W908" s="4">
        <v>79</v>
      </c>
    </row>
    <row r="909" spans="1:23" ht="11.25" customHeight="1" x14ac:dyDescent="0.25">
      <c r="A909" s="4" t="s">
        <v>21</v>
      </c>
      <c r="B909" s="4" t="s">
        <v>41</v>
      </c>
      <c r="C909" s="4" t="s">
        <v>42</v>
      </c>
      <c r="D909" s="4" t="s">
        <v>53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44593</v>
      </c>
      <c r="J909" s="6">
        <v>0</v>
      </c>
      <c r="K909" s="6">
        <v>0</v>
      </c>
      <c r="L909" s="6">
        <v>48.14</v>
      </c>
      <c r="M909" s="6">
        <v>48.14</v>
      </c>
      <c r="N909" s="6">
        <v>48.14</v>
      </c>
      <c r="O909" s="6">
        <v>48.14</v>
      </c>
      <c r="P909" s="6">
        <v>0</v>
      </c>
      <c r="Q909" s="4" t="s">
        <v>26</v>
      </c>
      <c r="R909" s="4">
        <v>0</v>
      </c>
      <c r="S909" s="4" t="s">
        <v>443</v>
      </c>
      <c r="T909" s="4" t="s">
        <v>715</v>
      </c>
      <c r="U909" s="4">
        <v>0</v>
      </c>
      <c r="V909" s="4">
        <v>31</v>
      </c>
      <c r="W909" s="4">
        <v>79</v>
      </c>
    </row>
    <row r="910" spans="1:23" ht="11.25" customHeight="1" x14ac:dyDescent="0.25">
      <c r="A910" s="4" t="s">
        <v>21</v>
      </c>
      <c r="B910" s="4" t="s">
        <v>41</v>
      </c>
      <c r="C910" s="4" t="s">
        <v>42</v>
      </c>
      <c r="D910" s="4" t="s">
        <v>53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44621</v>
      </c>
      <c r="J910" s="6">
        <v>0</v>
      </c>
      <c r="K910" s="6">
        <v>0</v>
      </c>
      <c r="L910" s="6">
        <v>60.338000000000001</v>
      </c>
      <c r="M910" s="6">
        <v>60.338000000000001</v>
      </c>
      <c r="N910" s="6">
        <v>60.338000000000001</v>
      </c>
      <c r="O910" s="6">
        <v>60.338000000000001</v>
      </c>
      <c r="P910" s="6">
        <v>0</v>
      </c>
      <c r="Q910" s="4" t="s">
        <v>26</v>
      </c>
      <c r="R910" s="4">
        <v>0</v>
      </c>
      <c r="S910" s="4" t="s">
        <v>444</v>
      </c>
      <c r="T910" s="4" t="s">
        <v>716</v>
      </c>
      <c r="U910" s="4">
        <v>0</v>
      </c>
      <c r="V910" s="4">
        <v>31</v>
      </c>
      <c r="W910" s="4">
        <v>79</v>
      </c>
    </row>
    <row r="911" spans="1:23" ht="11.25" customHeight="1" x14ac:dyDescent="0.25">
      <c r="A911" s="4" t="s">
        <v>28</v>
      </c>
      <c r="B911" s="4" t="s">
        <v>41</v>
      </c>
      <c r="C911" s="4" t="s">
        <v>42</v>
      </c>
      <c r="D911" s="4" t="s">
        <v>53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44652</v>
      </c>
      <c r="J911" s="6">
        <v>0</v>
      </c>
      <c r="K911" s="6">
        <v>0</v>
      </c>
      <c r="L911" s="6">
        <v>48.17</v>
      </c>
      <c r="M911" s="6">
        <v>48.17</v>
      </c>
      <c r="N911" s="6">
        <v>48.17</v>
      </c>
      <c r="O911" s="6">
        <v>48.17</v>
      </c>
      <c r="P911" s="6">
        <v>0</v>
      </c>
      <c r="Q911" s="4" t="s">
        <v>26</v>
      </c>
      <c r="R911" s="4">
        <v>0</v>
      </c>
      <c r="S911" s="4" t="s">
        <v>445</v>
      </c>
      <c r="T911" s="4" t="s">
        <v>717</v>
      </c>
      <c r="U911" s="4">
        <v>0</v>
      </c>
      <c r="V911" s="4">
        <v>31</v>
      </c>
      <c r="W911" s="4">
        <v>79</v>
      </c>
    </row>
    <row r="912" spans="1:23" ht="11.25" customHeight="1" x14ac:dyDescent="0.25">
      <c r="A912" s="4" t="s">
        <v>58</v>
      </c>
      <c r="B912" s="4" t="s">
        <v>41</v>
      </c>
      <c r="C912" s="4" t="s">
        <v>42</v>
      </c>
      <c r="D912" s="4" t="s">
        <v>53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44682</v>
      </c>
      <c r="J912" s="6">
        <v>0</v>
      </c>
      <c r="K912" s="6">
        <v>0</v>
      </c>
      <c r="L912" s="6">
        <v>48.17</v>
      </c>
      <c r="M912" s="6">
        <v>48.17</v>
      </c>
      <c r="N912" s="6">
        <v>48.17</v>
      </c>
      <c r="O912" s="6">
        <v>48.17</v>
      </c>
      <c r="P912" s="6">
        <v>0</v>
      </c>
      <c r="Q912" s="4" t="s">
        <v>26</v>
      </c>
      <c r="R912" s="4">
        <v>0</v>
      </c>
      <c r="S912" s="4" t="s">
        <v>446</v>
      </c>
      <c r="T912" s="4" t="s">
        <v>718</v>
      </c>
      <c r="U912" s="4">
        <v>0</v>
      </c>
      <c r="V912" s="4">
        <v>31</v>
      </c>
      <c r="W912" s="4">
        <v>79</v>
      </c>
    </row>
    <row r="913" spans="1:23" ht="11.25" customHeight="1" x14ac:dyDescent="0.25">
      <c r="A913" s="4" t="s">
        <v>21</v>
      </c>
      <c r="B913" s="4" t="s">
        <v>41</v>
      </c>
      <c r="C913" s="4" t="s">
        <v>42</v>
      </c>
      <c r="D913" s="4" t="s">
        <v>53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44348</v>
      </c>
      <c r="J913" s="6">
        <v>160</v>
      </c>
      <c r="K913" s="6">
        <v>160</v>
      </c>
      <c r="L913" s="6">
        <v>0</v>
      </c>
      <c r="M913" s="6">
        <v>0</v>
      </c>
      <c r="N913" s="6">
        <v>0</v>
      </c>
      <c r="O913" s="6">
        <v>0</v>
      </c>
      <c r="P913" s="6">
        <v>1</v>
      </c>
      <c r="Q913" s="4" t="s">
        <v>26</v>
      </c>
      <c r="R913" s="4">
        <v>0</v>
      </c>
      <c r="S913" s="4" t="s">
        <v>447</v>
      </c>
      <c r="U913" s="4">
        <v>29</v>
      </c>
      <c r="V913" s="4">
        <v>0</v>
      </c>
      <c r="W913" s="4">
        <v>0</v>
      </c>
    </row>
    <row r="914" spans="1:23" ht="11.25" customHeight="1" x14ac:dyDescent="0.25">
      <c r="A914" s="4" t="s">
        <v>21</v>
      </c>
      <c r="B914" s="4" t="s">
        <v>41</v>
      </c>
      <c r="C914" s="4" t="s">
        <v>42</v>
      </c>
      <c r="D914" s="4" t="s">
        <v>53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44378</v>
      </c>
      <c r="J914" s="6">
        <v>160</v>
      </c>
      <c r="K914" s="6">
        <v>160</v>
      </c>
      <c r="L914" s="6">
        <v>0</v>
      </c>
      <c r="M914" s="6">
        <v>0</v>
      </c>
      <c r="N914" s="6">
        <v>0</v>
      </c>
      <c r="O914" s="6">
        <v>0</v>
      </c>
      <c r="P914" s="6">
        <v>1</v>
      </c>
      <c r="Q914" s="4" t="s">
        <v>26</v>
      </c>
      <c r="R914" s="4">
        <v>0</v>
      </c>
      <c r="S914" s="4" t="s">
        <v>448</v>
      </c>
      <c r="U914" s="4">
        <v>29</v>
      </c>
      <c r="V914" s="4">
        <v>0</v>
      </c>
      <c r="W914" s="4">
        <v>0</v>
      </c>
    </row>
    <row r="915" spans="1:23" ht="11.25" customHeight="1" x14ac:dyDescent="0.25">
      <c r="A915" s="4" t="s">
        <v>21</v>
      </c>
      <c r="B915" s="4" t="s">
        <v>41</v>
      </c>
      <c r="C915" s="4" t="s">
        <v>42</v>
      </c>
      <c r="D915" s="4" t="s">
        <v>53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44409</v>
      </c>
      <c r="J915" s="6">
        <v>160</v>
      </c>
      <c r="K915" s="6">
        <v>160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4" t="s">
        <v>26</v>
      </c>
      <c r="R915" s="4">
        <v>0</v>
      </c>
      <c r="S915" s="4" t="s">
        <v>449</v>
      </c>
      <c r="U915" s="4">
        <v>29</v>
      </c>
      <c r="V915" s="4">
        <v>0</v>
      </c>
      <c r="W915" s="4">
        <v>0</v>
      </c>
    </row>
    <row r="916" spans="1:23" ht="11.25" customHeight="1" x14ac:dyDescent="0.25">
      <c r="A916" s="4" t="s">
        <v>21</v>
      </c>
      <c r="B916" s="4" t="s">
        <v>41</v>
      </c>
      <c r="C916" s="4" t="s">
        <v>42</v>
      </c>
      <c r="D916" s="4" t="s">
        <v>53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44440</v>
      </c>
      <c r="J916" s="6">
        <v>264</v>
      </c>
      <c r="K916" s="6">
        <v>264</v>
      </c>
      <c r="L916" s="6">
        <v>0</v>
      </c>
      <c r="M916" s="6">
        <v>0</v>
      </c>
      <c r="N916" s="6">
        <v>0</v>
      </c>
      <c r="O916" s="6">
        <v>0</v>
      </c>
      <c r="P916" s="6">
        <v>1</v>
      </c>
      <c r="Q916" s="4" t="s">
        <v>26</v>
      </c>
      <c r="R916" s="4">
        <v>0</v>
      </c>
      <c r="S916" s="4" t="s">
        <v>450</v>
      </c>
      <c r="U916" s="4">
        <v>29</v>
      </c>
      <c r="V916" s="4">
        <v>0</v>
      </c>
      <c r="W916" s="4">
        <v>0</v>
      </c>
    </row>
    <row r="917" spans="1:23" ht="11.25" customHeight="1" x14ac:dyDescent="0.25">
      <c r="A917" s="4" t="s">
        <v>21</v>
      </c>
      <c r="B917" s="4" t="s">
        <v>41</v>
      </c>
      <c r="C917" s="4" t="s">
        <v>42</v>
      </c>
      <c r="D917" s="4" t="s">
        <v>53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44470</v>
      </c>
      <c r="J917" s="6">
        <v>204</v>
      </c>
      <c r="K917" s="6">
        <v>204</v>
      </c>
      <c r="L917" s="6">
        <v>0</v>
      </c>
      <c r="M917" s="6">
        <v>0</v>
      </c>
      <c r="N917" s="6">
        <v>0</v>
      </c>
      <c r="O917" s="6">
        <v>0</v>
      </c>
      <c r="P917" s="6">
        <v>1</v>
      </c>
      <c r="Q917" s="4" t="s">
        <v>26</v>
      </c>
      <c r="R917" s="4">
        <v>0</v>
      </c>
      <c r="S917" s="4" t="s">
        <v>451</v>
      </c>
      <c r="U917" s="4">
        <v>29</v>
      </c>
      <c r="V917" s="4">
        <v>0</v>
      </c>
      <c r="W917" s="4">
        <v>0</v>
      </c>
    </row>
    <row r="918" spans="1:23" ht="11.25" customHeight="1" x14ac:dyDescent="0.25">
      <c r="A918" s="4" t="s">
        <v>21</v>
      </c>
      <c r="B918" s="4" t="s">
        <v>41</v>
      </c>
      <c r="C918" s="4" t="s">
        <v>42</v>
      </c>
      <c r="D918" s="4" t="s">
        <v>53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44501</v>
      </c>
      <c r="J918" s="6">
        <v>240</v>
      </c>
      <c r="K918" s="6">
        <v>240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4" t="s">
        <v>26</v>
      </c>
      <c r="R918" s="4">
        <v>0</v>
      </c>
      <c r="S918" s="4" t="s">
        <v>452</v>
      </c>
      <c r="U918" s="4">
        <v>29</v>
      </c>
      <c r="V918" s="4">
        <v>0</v>
      </c>
      <c r="W918" s="4">
        <v>0</v>
      </c>
    </row>
    <row r="919" spans="1:23" ht="11.25" customHeight="1" x14ac:dyDescent="0.25">
      <c r="A919" s="4" t="s">
        <v>21</v>
      </c>
      <c r="B919" s="4" t="s">
        <v>41</v>
      </c>
      <c r="C919" s="4" t="s">
        <v>42</v>
      </c>
      <c r="D919" s="4" t="s">
        <v>53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44531</v>
      </c>
      <c r="J919" s="6">
        <v>276</v>
      </c>
      <c r="K919" s="6">
        <v>276</v>
      </c>
      <c r="L919" s="6">
        <v>0</v>
      </c>
      <c r="M919" s="6">
        <v>0</v>
      </c>
      <c r="N919" s="6">
        <v>0</v>
      </c>
      <c r="O919" s="6">
        <v>0</v>
      </c>
      <c r="P919" s="6">
        <v>1</v>
      </c>
      <c r="Q919" s="4" t="s">
        <v>26</v>
      </c>
      <c r="R919" s="4">
        <v>0</v>
      </c>
      <c r="S919" s="4" t="s">
        <v>453</v>
      </c>
      <c r="U919" s="4">
        <v>29</v>
      </c>
      <c r="V919" s="4">
        <v>0</v>
      </c>
      <c r="W919" s="4">
        <v>0</v>
      </c>
    </row>
    <row r="920" spans="1:23" ht="11.25" customHeight="1" x14ac:dyDescent="0.25">
      <c r="A920" s="4" t="s">
        <v>21</v>
      </c>
      <c r="B920" s="4" t="s">
        <v>41</v>
      </c>
      <c r="C920" s="4" t="s">
        <v>42</v>
      </c>
      <c r="D920" s="4" t="s">
        <v>53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44562</v>
      </c>
      <c r="J920" s="6">
        <v>208</v>
      </c>
      <c r="K920" s="6">
        <v>208</v>
      </c>
      <c r="L920" s="6">
        <v>0</v>
      </c>
      <c r="M920" s="6">
        <v>0</v>
      </c>
      <c r="N920" s="6">
        <v>0</v>
      </c>
      <c r="O920" s="6">
        <v>0</v>
      </c>
      <c r="P920" s="6">
        <v>1</v>
      </c>
      <c r="Q920" s="4" t="s">
        <v>26</v>
      </c>
      <c r="R920" s="4">
        <v>0</v>
      </c>
      <c r="S920" s="4" t="s">
        <v>454</v>
      </c>
      <c r="U920" s="4">
        <v>29</v>
      </c>
      <c r="V920" s="4">
        <v>0</v>
      </c>
      <c r="W920" s="4">
        <v>0</v>
      </c>
    </row>
    <row r="921" spans="1:23" ht="11.25" customHeight="1" x14ac:dyDescent="0.25">
      <c r="A921" s="4" t="s">
        <v>21</v>
      </c>
      <c r="B921" s="4" t="s">
        <v>41</v>
      </c>
      <c r="C921" s="4" t="s">
        <v>42</v>
      </c>
      <c r="D921" s="4" t="s">
        <v>53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44593</v>
      </c>
      <c r="J921" s="6">
        <v>218</v>
      </c>
      <c r="K921" s="6">
        <v>218</v>
      </c>
      <c r="L921" s="6">
        <v>0</v>
      </c>
      <c r="M921" s="6">
        <v>0</v>
      </c>
      <c r="N921" s="6">
        <v>0</v>
      </c>
      <c r="O921" s="6">
        <v>0</v>
      </c>
      <c r="P921" s="6">
        <v>1</v>
      </c>
      <c r="Q921" s="4" t="s">
        <v>26</v>
      </c>
      <c r="R921" s="4">
        <v>0</v>
      </c>
      <c r="S921" s="4" t="s">
        <v>455</v>
      </c>
      <c r="U921" s="4">
        <v>29</v>
      </c>
      <c r="V921" s="4">
        <v>0</v>
      </c>
      <c r="W921" s="4">
        <v>0</v>
      </c>
    </row>
    <row r="922" spans="1:23" ht="11.25" customHeight="1" x14ac:dyDescent="0.25">
      <c r="A922" s="4" t="s">
        <v>21</v>
      </c>
      <c r="B922" s="4" t="s">
        <v>41</v>
      </c>
      <c r="C922" s="4" t="s">
        <v>42</v>
      </c>
      <c r="D922" s="4" t="s">
        <v>53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44621</v>
      </c>
      <c r="J922" s="6">
        <v>241</v>
      </c>
      <c r="K922" s="6">
        <v>241</v>
      </c>
      <c r="L922" s="6">
        <v>0</v>
      </c>
      <c r="M922" s="6">
        <v>0</v>
      </c>
      <c r="N922" s="6">
        <v>0</v>
      </c>
      <c r="O922" s="6">
        <v>0</v>
      </c>
      <c r="P922" s="6">
        <v>1</v>
      </c>
      <c r="Q922" s="4" t="s">
        <v>26</v>
      </c>
      <c r="R922" s="4">
        <v>0</v>
      </c>
      <c r="S922" s="4" t="s">
        <v>456</v>
      </c>
      <c r="U922" s="4">
        <v>29</v>
      </c>
      <c r="V922" s="4">
        <v>0</v>
      </c>
      <c r="W922" s="4">
        <v>0</v>
      </c>
    </row>
    <row r="923" spans="1:23" ht="11.25" customHeight="1" x14ac:dyDescent="0.25">
      <c r="A923" s="4" t="s">
        <v>28</v>
      </c>
      <c r="B923" s="4" t="s">
        <v>41</v>
      </c>
      <c r="C923" s="4" t="s">
        <v>42</v>
      </c>
      <c r="D923" s="4" t="s">
        <v>53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44652</v>
      </c>
      <c r="J923" s="6">
        <v>205</v>
      </c>
      <c r="K923" s="6">
        <v>205</v>
      </c>
      <c r="L923" s="6">
        <v>0</v>
      </c>
      <c r="M923" s="6">
        <v>0</v>
      </c>
      <c r="N923" s="6">
        <v>0</v>
      </c>
      <c r="O923" s="6">
        <v>0</v>
      </c>
      <c r="P923" s="6">
        <v>1</v>
      </c>
      <c r="Q923" s="4" t="s">
        <v>26</v>
      </c>
      <c r="R923" s="4">
        <v>0</v>
      </c>
      <c r="S923" s="4" t="s">
        <v>457</v>
      </c>
      <c r="U923" s="4">
        <v>29</v>
      </c>
      <c r="V923" s="4">
        <v>0</v>
      </c>
      <c r="W923" s="4">
        <v>0</v>
      </c>
    </row>
    <row r="924" spans="1:23" ht="11.25" customHeight="1" x14ac:dyDescent="0.25">
      <c r="A924" s="4" t="s">
        <v>58</v>
      </c>
      <c r="B924" s="4" t="s">
        <v>41</v>
      </c>
      <c r="C924" s="4" t="s">
        <v>42</v>
      </c>
      <c r="D924" s="4" t="s">
        <v>53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44682</v>
      </c>
      <c r="J924" s="6">
        <v>205</v>
      </c>
      <c r="K924" s="6">
        <v>205</v>
      </c>
      <c r="L924" s="6">
        <v>0</v>
      </c>
      <c r="M924" s="6">
        <v>0</v>
      </c>
      <c r="N924" s="6">
        <v>0</v>
      </c>
      <c r="O924" s="6">
        <v>0</v>
      </c>
      <c r="P924" s="6">
        <v>1</v>
      </c>
      <c r="Q924" s="4" t="s">
        <v>26</v>
      </c>
      <c r="R924" s="4">
        <v>0</v>
      </c>
      <c r="S924" s="4" t="s">
        <v>458</v>
      </c>
      <c r="U924" s="4">
        <v>29</v>
      </c>
      <c r="V924" s="4">
        <v>0</v>
      </c>
      <c r="W924" s="4">
        <v>0</v>
      </c>
    </row>
    <row r="925" spans="1:23" ht="11.25" customHeight="1" x14ac:dyDescent="0.25">
      <c r="A925" s="4" t="s">
        <v>21</v>
      </c>
      <c r="B925" s="4" t="s">
        <v>41</v>
      </c>
      <c r="C925" s="4" t="s">
        <v>42</v>
      </c>
      <c r="D925" s="4" t="s">
        <v>53</v>
      </c>
      <c r="E925" s="4" t="s">
        <v>25</v>
      </c>
      <c r="F925" s="4" t="s">
        <v>25</v>
      </c>
      <c r="G925" s="4" t="s">
        <v>25</v>
      </c>
      <c r="H925" s="4" t="s">
        <v>34</v>
      </c>
      <c r="I925" s="5">
        <v>44348</v>
      </c>
      <c r="J925" s="6">
        <v>0</v>
      </c>
      <c r="K925" s="6">
        <v>0</v>
      </c>
      <c r="L925" s="6">
        <v>3.6</v>
      </c>
      <c r="M925" s="6">
        <v>3.6</v>
      </c>
      <c r="N925" s="6">
        <v>3.6</v>
      </c>
      <c r="O925" s="6">
        <v>3.6</v>
      </c>
      <c r="P925" s="6">
        <v>0</v>
      </c>
      <c r="Q925" s="4" t="s">
        <v>26</v>
      </c>
      <c r="R925" s="4">
        <v>0</v>
      </c>
      <c r="S925" s="4" t="s">
        <v>459</v>
      </c>
      <c r="T925" s="4" t="s">
        <v>719</v>
      </c>
      <c r="U925" s="4">
        <v>0</v>
      </c>
      <c r="V925" s="4">
        <v>30</v>
      </c>
      <c r="W925" s="4">
        <v>78</v>
      </c>
    </row>
    <row r="926" spans="1:23" ht="11.25" customHeight="1" x14ac:dyDescent="0.25">
      <c r="A926" s="4" t="s">
        <v>21</v>
      </c>
      <c r="B926" s="4" t="s">
        <v>41</v>
      </c>
      <c r="C926" s="4" t="s">
        <v>42</v>
      </c>
      <c r="D926" s="4" t="s">
        <v>53</v>
      </c>
      <c r="E926" s="4" t="s">
        <v>25</v>
      </c>
      <c r="F926" s="4" t="s">
        <v>25</v>
      </c>
      <c r="G926" s="4" t="s">
        <v>25</v>
      </c>
      <c r="H926" s="4" t="s">
        <v>34</v>
      </c>
      <c r="I926" s="5">
        <v>44378</v>
      </c>
      <c r="J926" s="6">
        <v>0</v>
      </c>
      <c r="K926" s="6">
        <v>0</v>
      </c>
      <c r="L926" s="6">
        <v>3.6</v>
      </c>
      <c r="M926" s="6">
        <v>3.6</v>
      </c>
      <c r="N926" s="6">
        <v>3.6</v>
      </c>
      <c r="O926" s="6">
        <v>3.6</v>
      </c>
      <c r="P926" s="6">
        <v>0</v>
      </c>
      <c r="Q926" s="4" t="s">
        <v>26</v>
      </c>
      <c r="R926" s="4">
        <v>0</v>
      </c>
      <c r="S926" s="4" t="s">
        <v>460</v>
      </c>
      <c r="T926" s="4" t="s">
        <v>720</v>
      </c>
      <c r="U926" s="4">
        <v>0</v>
      </c>
      <c r="V926" s="4">
        <v>30</v>
      </c>
      <c r="W926" s="4">
        <v>78</v>
      </c>
    </row>
    <row r="927" spans="1:23" ht="11.25" customHeight="1" x14ac:dyDescent="0.25">
      <c r="A927" s="4" t="s">
        <v>21</v>
      </c>
      <c r="B927" s="4" t="s">
        <v>41</v>
      </c>
      <c r="C927" s="4" t="s">
        <v>42</v>
      </c>
      <c r="D927" s="4" t="s">
        <v>53</v>
      </c>
      <c r="E927" s="4" t="s">
        <v>25</v>
      </c>
      <c r="F927" s="4" t="s">
        <v>25</v>
      </c>
      <c r="G927" s="4" t="s">
        <v>25</v>
      </c>
      <c r="H927" s="4" t="s">
        <v>34</v>
      </c>
      <c r="I927" s="5">
        <v>44409</v>
      </c>
      <c r="J927" s="6">
        <v>0</v>
      </c>
      <c r="K927" s="6">
        <v>0</v>
      </c>
      <c r="L927" s="6">
        <v>3.6</v>
      </c>
      <c r="M927" s="6">
        <v>3.6</v>
      </c>
      <c r="N927" s="6">
        <v>3.6</v>
      </c>
      <c r="O927" s="6">
        <v>3.6</v>
      </c>
      <c r="P927" s="6">
        <v>0</v>
      </c>
      <c r="Q927" s="4" t="s">
        <v>26</v>
      </c>
      <c r="R927" s="4">
        <v>0</v>
      </c>
      <c r="S927" s="4" t="s">
        <v>461</v>
      </c>
      <c r="T927" s="4" t="s">
        <v>721</v>
      </c>
      <c r="U927" s="4">
        <v>0</v>
      </c>
      <c r="V927" s="4">
        <v>30</v>
      </c>
      <c r="W927" s="4">
        <v>78</v>
      </c>
    </row>
    <row r="928" spans="1:23" ht="11.25" customHeight="1" x14ac:dyDescent="0.25">
      <c r="A928" s="4" t="s">
        <v>21</v>
      </c>
      <c r="B928" s="4" t="s">
        <v>41</v>
      </c>
      <c r="C928" s="4" t="s">
        <v>42</v>
      </c>
      <c r="D928" s="4" t="s">
        <v>53</v>
      </c>
      <c r="E928" s="4" t="s">
        <v>25</v>
      </c>
      <c r="F928" s="4" t="s">
        <v>25</v>
      </c>
      <c r="G928" s="4" t="s">
        <v>25</v>
      </c>
      <c r="H928" s="4" t="s">
        <v>34</v>
      </c>
      <c r="I928" s="5">
        <v>44440</v>
      </c>
      <c r="J928" s="6">
        <v>0</v>
      </c>
      <c r="K928" s="6">
        <v>0</v>
      </c>
      <c r="L928" s="6">
        <v>4.8</v>
      </c>
      <c r="M928" s="6">
        <v>4.8</v>
      </c>
      <c r="N928" s="6">
        <v>4.8</v>
      </c>
      <c r="O928" s="6">
        <v>4.8</v>
      </c>
      <c r="P928" s="6">
        <v>0</v>
      </c>
      <c r="Q928" s="4" t="s">
        <v>26</v>
      </c>
      <c r="R928" s="4">
        <v>0</v>
      </c>
      <c r="S928" s="4" t="s">
        <v>462</v>
      </c>
      <c r="T928" s="4" t="s">
        <v>722</v>
      </c>
      <c r="U928" s="4">
        <v>0</v>
      </c>
      <c r="V928" s="4">
        <v>30</v>
      </c>
      <c r="W928" s="4">
        <v>78</v>
      </c>
    </row>
    <row r="929" spans="1:23" ht="11.25" customHeight="1" x14ac:dyDescent="0.25">
      <c r="A929" s="4" t="s">
        <v>21</v>
      </c>
      <c r="B929" s="4" t="s">
        <v>41</v>
      </c>
      <c r="C929" s="4" t="s">
        <v>42</v>
      </c>
      <c r="D929" s="4" t="s">
        <v>53</v>
      </c>
      <c r="E929" s="4" t="s">
        <v>25</v>
      </c>
      <c r="F929" s="4" t="s">
        <v>25</v>
      </c>
      <c r="G929" s="4" t="s">
        <v>25</v>
      </c>
      <c r="H929" s="4" t="s">
        <v>34</v>
      </c>
      <c r="I929" s="5">
        <v>44470</v>
      </c>
      <c r="J929" s="6">
        <v>0</v>
      </c>
      <c r="K929" s="6">
        <v>0</v>
      </c>
      <c r="L929" s="6">
        <v>3.6</v>
      </c>
      <c r="M929" s="6">
        <v>3.6</v>
      </c>
      <c r="N929" s="6">
        <v>3.6</v>
      </c>
      <c r="O929" s="6">
        <v>3.6</v>
      </c>
      <c r="P929" s="6">
        <v>0</v>
      </c>
      <c r="Q929" s="4" t="s">
        <v>26</v>
      </c>
      <c r="R929" s="4">
        <v>0</v>
      </c>
      <c r="S929" s="4" t="s">
        <v>463</v>
      </c>
      <c r="T929" s="4" t="s">
        <v>723</v>
      </c>
      <c r="U929" s="4">
        <v>0</v>
      </c>
      <c r="V929" s="4">
        <v>30</v>
      </c>
      <c r="W929" s="4">
        <v>78</v>
      </c>
    </row>
    <row r="930" spans="1:23" ht="11.25" customHeight="1" x14ac:dyDescent="0.25">
      <c r="A930" s="4" t="s">
        <v>21</v>
      </c>
      <c r="B930" s="4" t="s">
        <v>41</v>
      </c>
      <c r="C930" s="4" t="s">
        <v>42</v>
      </c>
      <c r="D930" s="4" t="s">
        <v>53</v>
      </c>
      <c r="E930" s="4" t="s">
        <v>25</v>
      </c>
      <c r="F930" s="4" t="s">
        <v>25</v>
      </c>
      <c r="G930" s="4" t="s">
        <v>25</v>
      </c>
      <c r="H930" s="4" t="s">
        <v>34</v>
      </c>
      <c r="I930" s="5">
        <v>44501</v>
      </c>
      <c r="J930" s="6">
        <v>0</v>
      </c>
      <c r="K930" s="6">
        <v>0</v>
      </c>
      <c r="L930" s="6">
        <v>3.6</v>
      </c>
      <c r="M930" s="6">
        <v>3.6</v>
      </c>
      <c r="N930" s="6">
        <v>3.6</v>
      </c>
      <c r="O930" s="6">
        <v>3.6</v>
      </c>
      <c r="P930" s="6">
        <v>0</v>
      </c>
      <c r="Q930" s="4" t="s">
        <v>26</v>
      </c>
      <c r="R930" s="4">
        <v>0</v>
      </c>
      <c r="S930" s="4" t="s">
        <v>464</v>
      </c>
      <c r="T930" s="4" t="s">
        <v>724</v>
      </c>
      <c r="U930" s="4">
        <v>0</v>
      </c>
      <c r="V930" s="4">
        <v>30</v>
      </c>
      <c r="W930" s="4">
        <v>78</v>
      </c>
    </row>
    <row r="931" spans="1:23" ht="11.25" customHeight="1" x14ac:dyDescent="0.25">
      <c r="A931" s="4" t="s">
        <v>21</v>
      </c>
      <c r="B931" s="4" t="s">
        <v>41</v>
      </c>
      <c r="C931" s="4" t="s">
        <v>42</v>
      </c>
      <c r="D931" s="4" t="s">
        <v>53</v>
      </c>
      <c r="E931" s="4" t="s">
        <v>25</v>
      </c>
      <c r="F931" s="4" t="s">
        <v>25</v>
      </c>
      <c r="G931" s="4" t="s">
        <v>25</v>
      </c>
      <c r="H931" s="4" t="s">
        <v>34</v>
      </c>
      <c r="I931" s="5">
        <v>44531</v>
      </c>
      <c r="J931" s="6">
        <v>0</v>
      </c>
      <c r="K931" s="6">
        <v>0</v>
      </c>
      <c r="L931" s="6">
        <v>3.6</v>
      </c>
      <c r="M931" s="6">
        <v>3.6</v>
      </c>
      <c r="N931" s="6">
        <v>3.6</v>
      </c>
      <c r="O931" s="6">
        <v>3.6</v>
      </c>
      <c r="P931" s="6">
        <v>0</v>
      </c>
      <c r="Q931" s="4" t="s">
        <v>26</v>
      </c>
      <c r="R931" s="4">
        <v>0</v>
      </c>
      <c r="S931" s="4" t="s">
        <v>465</v>
      </c>
      <c r="T931" s="4" t="s">
        <v>725</v>
      </c>
      <c r="U931" s="4">
        <v>0</v>
      </c>
      <c r="V931" s="4">
        <v>30</v>
      </c>
      <c r="W931" s="4">
        <v>78</v>
      </c>
    </row>
    <row r="932" spans="1:23" ht="11.25" customHeight="1" x14ac:dyDescent="0.25">
      <c r="A932" s="4" t="s">
        <v>21</v>
      </c>
      <c r="B932" s="4" t="s">
        <v>41</v>
      </c>
      <c r="C932" s="4" t="s">
        <v>42</v>
      </c>
      <c r="D932" s="4" t="s">
        <v>53</v>
      </c>
      <c r="E932" s="4" t="s">
        <v>25</v>
      </c>
      <c r="F932" s="4" t="s">
        <v>25</v>
      </c>
      <c r="G932" s="4" t="s">
        <v>25</v>
      </c>
      <c r="H932" s="4" t="s">
        <v>34</v>
      </c>
      <c r="I932" s="5">
        <v>44562</v>
      </c>
      <c r="J932" s="6">
        <v>0</v>
      </c>
      <c r="K932" s="6">
        <v>0</v>
      </c>
      <c r="L932" s="6">
        <v>4.4610000000000003</v>
      </c>
      <c r="M932" s="6">
        <v>4.4610000000000003</v>
      </c>
      <c r="N932" s="6">
        <v>4.4610000000000003</v>
      </c>
      <c r="O932" s="6">
        <v>4.4610000000000003</v>
      </c>
      <c r="P932" s="6">
        <v>0</v>
      </c>
      <c r="Q932" s="4" t="s">
        <v>26</v>
      </c>
      <c r="R932" s="4">
        <v>0</v>
      </c>
      <c r="S932" s="4" t="s">
        <v>466</v>
      </c>
      <c r="T932" s="4" t="s">
        <v>726</v>
      </c>
      <c r="U932" s="4">
        <v>0</v>
      </c>
      <c r="V932" s="4">
        <v>30</v>
      </c>
      <c r="W932" s="4">
        <v>78</v>
      </c>
    </row>
    <row r="933" spans="1:23" ht="11.25" customHeight="1" x14ac:dyDescent="0.25">
      <c r="A933" s="4" t="s">
        <v>21</v>
      </c>
      <c r="B933" s="4" t="s">
        <v>41</v>
      </c>
      <c r="C933" s="4" t="s">
        <v>42</v>
      </c>
      <c r="D933" s="4" t="s">
        <v>53</v>
      </c>
      <c r="E933" s="4" t="s">
        <v>25</v>
      </c>
      <c r="F933" s="4" t="s">
        <v>25</v>
      </c>
      <c r="G933" s="4" t="s">
        <v>25</v>
      </c>
      <c r="H933" s="4" t="s">
        <v>34</v>
      </c>
      <c r="I933" s="5">
        <v>44593</v>
      </c>
      <c r="J933" s="6">
        <v>0</v>
      </c>
      <c r="K933" s="6">
        <v>0</v>
      </c>
      <c r="L933" s="6">
        <v>3.8260000000000001</v>
      </c>
      <c r="M933" s="6">
        <v>3.8260000000000001</v>
      </c>
      <c r="N933" s="6">
        <v>3.8260000000000001</v>
      </c>
      <c r="O933" s="6">
        <v>3.8260000000000001</v>
      </c>
      <c r="P933" s="6">
        <v>0</v>
      </c>
      <c r="Q933" s="4" t="s">
        <v>26</v>
      </c>
      <c r="R933" s="4">
        <v>0</v>
      </c>
      <c r="S933" s="4" t="s">
        <v>467</v>
      </c>
      <c r="T933" s="4" t="s">
        <v>727</v>
      </c>
      <c r="U933" s="4">
        <v>0</v>
      </c>
      <c r="V933" s="4">
        <v>30</v>
      </c>
      <c r="W933" s="4">
        <v>78</v>
      </c>
    </row>
    <row r="934" spans="1:23" ht="11.25" customHeight="1" x14ac:dyDescent="0.25">
      <c r="A934" s="4" t="s">
        <v>21</v>
      </c>
      <c r="B934" s="4" t="s">
        <v>41</v>
      </c>
      <c r="C934" s="4" t="s">
        <v>42</v>
      </c>
      <c r="D934" s="4" t="s">
        <v>53</v>
      </c>
      <c r="E934" s="4" t="s">
        <v>25</v>
      </c>
      <c r="F934" s="4" t="s">
        <v>25</v>
      </c>
      <c r="G934" s="4" t="s">
        <v>25</v>
      </c>
      <c r="H934" s="4" t="s">
        <v>34</v>
      </c>
      <c r="I934" s="5">
        <v>44621</v>
      </c>
      <c r="J934" s="6">
        <v>0</v>
      </c>
      <c r="K934" s="6">
        <v>0</v>
      </c>
      <c r="L934" s="6">
        <v>4.8369999999999997</v>
      </c>
      <c r="M934" s="6">
        <v>4.8369999999999997</v>
      </c>
      <c r="N934" s="6">
        <v>4.8369999999999997</v>
      </c>
      <c r="O934" s="6">
        <v>4.8369999999999997</v>
      </c>
      <c r="P934" s="6">
        <v>0</v>
      </c>
      <c r="Q934" s="4" t="s">
        <v>26</v>
      </c>
      <c r="R934" s="4">
        <v>0</v>
      </c>
      <c r="S934" s="4" t="s">
        <v>468</v>
      </c>
      <c r="T934" s="4" t="s">
        <v>728</v>
      </c>
      <c r="U934" s="4">
        <v>0</v>
      </c>
      <c r="V934" s="4">
        <v>30</v>
      </c>
      <c r="W934" s="4">
        <v>78</v>
      </c>
    </row>
    <row r="935" spans="1:23" ht="11.25" customHeight="1" x14ac:dyDescent="0.25">
      <c r="A935" s="4" t="s">
        <v>28</v>
      </c>
      <c r="B935" s="4" t="s">
        <v>41</v>
      </c>
      <c r="C935" s="4" t="s">
        <v>42</v>
      </c>
      <c r="D935" s="4" t="s">
        <v>53</v>
      </c>
      <c r="E935" s="4" t="s">
        <v>25</v>
      </c>
      <c r="F935" s="4" t="s">
        <v>25</v>
      </c>
      <c r="G935" s="4" t="s">
        <v>25</v>
      </c>
      <c r="H935" s="4" t="s">
        <v>34</v>
      </c>
      <c r="I935" s="5">
        <v>44652</v>
      </c>
      <c r="J935" s="6">
        <v>0</v>
      </c>
      <c r="K935" s="6">
        <v>0</v>
      </c>
      <c r="L935" s="6">
        <v>3.4319999999999999</v>
      </c>
      <c r="M935" s="6">
        <v>3.4319999999999999</v>
      </c>
      <c r="N935" s="6">
        <v>3.4319999999999999</v>
      </c>
      <c r="O935" s="6">
        <v>3.4319999999999999</v>
      </c>
      <c r="P935" s="6">
        <v>0</v>
      </c>
      <c r="Q935" s="4" t="s">
        <v>26</v>
      </c>
      <c r="R935" s="4">
        <v>0</v>
      </c>
      <c r="S935" s="4" t="s">
        <v>469</v>
      </c>
      <c r="T935" s="4" t="s">
        <v>729</v>
      </c>
      <c r="U935" s="4">
        <v>0</v>
      </c>
      <c r="V935" s="4">
        <v>30</v>
      </c>
      <c r="W935" s="4">
        <v>78</v>
      </c>
    </row>
    <row r="936" spans="1:23" ht="11.25" customHeight="1" x14ac:dyDescent="0.25">
      <c r="A936" s="4" t="s">
        <v>58</v>
      </c>
      <c r="B936" s="4" t="s">
        <v>41</v>
      </c>
      <c r="C936" s="4" t="s">
        <v>42</v>
      </c>
      <c r="D936" s="4" t="s">
        <v>53</v>
      </c>
      <c r="E936" s="4" t="s">
        <v>25</v>
      </c>
      <c r="F936" s="4" t="s">
        <v>25</v>
      </c>
      <c r="G936" s="4" t="s">
        <v>25</v>
      </c>
      <c r="H936" s="4" t="s">
        <v>34</v>
      </c>
      <c r="I936" s="5">
        <v>44682</v>
      </c>
      <c r="J936" s="6">
        <v>0</v>
      </c>
      <c r="K936" s="6">
        <v>0</v>
      </c>
      <c r="L936" s="6">
        <v>3.4319999999999999</v>
      </c>
      <c r="M936" s="6">
        <v>3.4319999999999999</v>
      </c>
      <c r="N936" s="6">
        <v>3.4319999999999999</v>
      </c>
      <c r="O936" s="6">
        <v>3.4319999999999999</v>
      </c>
      <c r="P936" s="6">
        <v>0</v>
      </c>
      <c r="Q936" s="4" t="s">
        <v>26</v>
      </c>
      <c r="R936" s="4">
        <v>0</v>
      </c>
      <c r="S936" s="4" t="s">
        <v>470</v>
      </c>
      <c r="T936" s="4" t="s">
        <v>730</v>
      </c>
      <c r="U936" s="4">
        <v>0</v>
      </c>
      <c r="V936" s="4">
        <v>30</v>
      </c>
      <c r="W936" s="4">
        <v>78</v>
      </c>
    </row>
    <row r="937" spans="1:23" ht="11.25" customHeight="1" x14ac:dyDescent="0.25">
      <c r="A937" s="4" t="s">
        <v>21</v>
      </c>
      <c r="B937" s="4" t="s">
        <v>41</v>
      </c>
      <c r="C937" s="4" t="s">
        <v>42</v>
      </c>
      <c r="D937" s="4" t="s">
        <v>38</v>
      </c>
      <c r="E937" s="4" t="s">
        <v>25</v>
      </c>
      <c r="F937" s="4" t="s">
        <v>63</v>
      </c>
      <c r="G937" s="4" t="s">
        <v>25</v>
      </c>
      <c r="H937" s="4" t="s">
        <v>35</v>
      </c>
      <c r="I937" s="5">
        <v>44348</v>
      </c>
      <c r="J937" s="6">
        <v>0</v>
      </c>
      <c r="K937" s="6">
        <v>0</v>
      </c>
      <c r="L937" s="6">
        <v>8131.9930000000004</v>
      </c>
      <c r="M937" s="6">
        <v>8131.9930000000004</v>
      </c>
      <c r="N937" s="6">
        <v>0</v>
      </c>
      <c r="O937" s="6">
        <v>0</v>
      </c>
      <c r="P937" s="6">
        <v>0</v>
      </c>
      <c r="Q937" s="4" t="s">
        <v>60</v>
      </c>
      <c r="R937" s="4">
        <v>0</v>
      </c>
      <c r="S937" s="4" t="s">
        <v>435</v>
      </c>
      <c r="U937" s="4">
        <v>0</v>
      </c>
      <c r="V937" s="4">
        <v>31</v>
      </c>
      <c r="W937" s="4">
        <v>0</v>
      </c>
    </row>
    <row r="938" spans="1:23" ht="11.25" customHeight="1" x14ac:dyDescent="0.25">
      <c r="A938" s="4" t="s">
        <v>21</v>
      </c>
      <c r="B938" s="4" t="s">
        <v>41</v>
      </c>
      <c r="C938" s="4" t="s">
        <v>42</v>
      </c>
      <c r="D938" s="4" t="s">
        <v>38</v>
      </c>
      <c r="E938" s="4" t="s">
        <v>25</v>
      </c>
      <c r="F938" s="4" t="s">
        <v>63</v>
      </c>
      <c r="G938" s="4" t="s">
        <v>25</v>
      </c>
      <c r="H938" s="4" t="s">
        <v>35</v>
      </c>
      <c r="I938" s="5">
        <v>44378</v>
      </c>
      <c r="J938" s="6">
        <v>0</v>
      </c>
      <c r="K938" s="6">
        <v>0</v>
      </c>
      <c r="L938" s="6">
        <v>8315.268</v>
      </c>
      <c r="M938" s="6">
        <v>8315.268</v>
      </c>
      <c r="N938" s="6">
        <v>0</v>
      </c>
      <c r="O938" s="6">
        <v>0</v>
      </c>
      <c r="P938" s="6">
        <v>0</v>
      </c>
      <c r="Q938" s="4" t="s">
        <v>60</v>
      </c>
      <c r="R938" s="4">
        <v>0</v>
      </c>
      <c r="S938" s="4" t="s">
        <v>436</v>
      </c>
      <c r="U938" s="4">
        <v>0</v>
      </c>
      <c r="V938" s="4">
        <v>31</v>
      </c>
      <c r="W938" s="4">
        <v>0</v>
      </c>
    </row>
    <row r="939" spans="1:23" ht="11.25" customHeight="1" x14ac:dyDescent="0.25">
      <c r="A939" s="4" t="s">
        <v>21</v>
      </c>
      <c r="B939" s="4" t="s">
        <v>41</v>
      </c>
      <c r="C939" s="4" t="s">
        <v>42</v>
      </c>
      <c r="D939" s="4" t="s">
        <v>38</v>
      </c>
      <c r="E939" s="4" t="s">
        <v>25</v>
      </c>
      <c r="F939" s="4" t="s">
        <v>63</v>
      </c>
      <c r="G939" s="4" t="s">
        <v>25</v>
      </c>
      <c r="H939" s="4" t="s">
        <v>35</v>
      </c>
      <c r="I939" s="5">
        <v>44409</v>
      </c>
      <c r="J939" s="6">
        <v>0</v>
      </c>
      <c r="K939" s="6">
        <v>0</v>
      </c>
      <c r="L939" s="6">
        <v>9395.1239999999998</v>
      </c>
      <c r="M939" s="6">
        <v>9395.1239999999998</v>
      </c>
      <c r="N939" s="6">
        <v>0</v>
      </c>
      <c r="O939" s="6">
        <v>0</v>
      </c>
      <c r="P939" s="6">
        <v>0</v>
      </c>
      <c r="Q939" s="4" t="s">
        <v>60</v>
      </c>
      <c r="R939" s="4">
        <v>0</v>
      </c>
      <c r="S939" s="4" t="s">
        <v>437</v>
      </c>
      <c r="U939" s="4">
        <v>0</v>
      </c>
      <c r="V939" s="4">
        <v>31</v>
      </c>
      <c r="W939" s="4">
        <v>0</v>
      </c>
    </row>
    <row r="940" spans="1:23" ht="11.25" customHeight="1" x14ac:dyDescent="0.25">
      <c r="A940" s="4" t="s">
        <v>21</v>
      </c>
      <c r="B940" s="4" t="s">
        <v>41</v>
      </c>
      <c r="C940" s="4" t="s">
        <v>42</v>
      </c>
      <c r="D940" s="4" t="s">
        <v>38</v>
      </c>
      <c r="E940" s="4" t="s">
        <v>25</v>
      </c>
      <c r="F940" s="4" t="s">
        <v>63</v>
      </c>
      <c r="G940" s="4" t="s">
        <v>25</v>
      </c>
      <c r="H940" s="4" t="s">
        <v>35</v>
      </c>
      <c r="I940" s="5">
        <v>44440</v>
      </c>
      <c r="J940" s="6">
        <v>0</v>
      </c>
      <c r="K940" s="6">
        <v>0</v>
      </c>
      <c r="L940" s="6">
        <v>9668.259</v>
      </c>
      <c r="M940" s="6">
        <v>9668.259</v>
      </c>
      <c r="N940" s="6">
        <v>0</v>
      </c>
      <c r="O940" s="6">
        <v>0</v>
      </c>
      <c r="P940" s="6">
        <v>0</v>
      </c>
      <c r="Q940" s="4" t="s">
        <v>60</v>
      </c>
      <c r="R940" s="4">
        <v>0</v>
      </c>
      <c r="S940" s="4" t="s">
        <v>438</v>
      </c>
      <c r="U940" s="4">
        <v>0</v>
      </c>
      <c r="V940" s="4">
        <v>31</v>
      </c>
      <c r="W940" s="4">
        <v>0</v>
      </c>
    </row>
    <row r="941" spans="1:23" ht="11.25" customHeight="1" x14ac:dyDescent="0.25">
      <c r="A941" s="4" t="s">
        <v>21</v>
      </c>
      <c r="B941" s="4" t="s">
        <v>41</v>
      </c>
      <c r="C941" s="4" t="s">
        <v>42</v>
      </c>
      <c r="D941" s="4" t="s">
        <v>38</v>
      </c>
      <c r="E941" s="4" t="s">
        <v>25</v>
      </c>
      <c r="F941" s="4" t="s">
        <v>63</v>
      </c>
      <c r="G941" s="4" t="s">
        <v>25</v>
      </c>
      <c r="H941" s="4" t="s">
        <v>35</v>
      </c>
      <c r="I941" s="5">
        <v>44470</v>
      </c>
      <c r="J941" s="6">
        <v>0</v>
      </c>
      <c r="K941" s="6">
        <v>0</v>
      </c>
      <c r="L941" s="6">
        <v>9934.5319999999992</v>
      </c>
      <c r="M941" s="6">
        <v>9934.5319999999992</v>
      </c>
      <c r="N941" s="6">
        <v>0</v>
      </c>
      <c r="O941" s="6">
        <v>0</v>
      </c>
      <c r="P941" s="6">
        <v>0</v>
      </c>
      <c r="Q941" s="4" t="s">
        <v>60</v>
      </c>
      <c r="R941" s="4">
        <v>0</v>
      </c>
      <c r="S941" s="4" t="s">
        <v>439</v>
      </c>
      <c r="U941" s="4">
        <v>0</v>
      </c>
      <c r="V941" s="4">
        <v>31</v>
      </c>
      <c r="W941" s="4">
        <v>0</v>
      </c>
    </row>
    <row r="942" spans="1:23" ht="11.25" customHeight="1" x14ac:dyDescent="0.25">
      <c r="A942" s="4" t="s">
        <v>21</v>
      </c>
      <c r="B942" s="4" t="s">
        <v>41</v>
      </c>
      <c r="C942" s="4" t="s">
        <v>42</v>
      </c>
      <c r="D942" s="4" t="s">
        <v>38</v>
      </c>
      <c r="E942" s="4" t="s">
        <v>25</v>
      </c>
      <c r="F942" s="4" t="s">
        <v>63</v>
      </c>
      <c r="G942" s="4" t="s">
        <v>25</v>
      </c>
      <c r="H942" s="4" t="s">
        <v>35</v>
      </c>
      <c r="I942" s="5">
        <v>44501</v>
      </c>
      <c r="J942" s="6">
        <v>0</v>
      </c>
      <c r="K942" s="6">
        <v>0</v>
      </c>
      <c r="L942" s="6">
        <v>10098.861999999999</v>
      </c>
      <c r="M942" s="6">
        <v>10098.861999999999</v>
      </c>
      <c r="N942" s="6">
        <v>0</v>
      </c>
      <c r="O942" s="6">
        <v>0</v>
      </c>
      <c r="P942" s="6">
        <v>0</v>
      </c>
      <c r="Q942" s="4" t="s">
        <v>60</v>
      </c>
      <c r="R942" s="4">
        <v>0</v>
      </c>
      <c r="S942" s="4" t="s">
        <v>440</v>
      </c>
      <c r="U942" s="4">
        <v>0</v>
      </c>
      <c r="V942" s="4">
        <v>31</v>
      </c>
      <c r="W942" s="4">
        <v>0</v>
      </c>
    </row>
    <row r="943" spans="1:23" ht="11.25" customHeight="1" x14ac:dyDescent="0.25">
      <c r="A943" s="4" t="s">
        <v>21</v>
      </c>
      <c r="B943" s="4" t="s">
        <v>41</v>
      </c>
      <c r="C943" s="4" t="s">
        <v>42</v>
      </c>
      <c r="D943" s="4" t="s">
        <v>38</v>
      </c>
      <c r="E943" s="4" t="s">
        <v>25</v>
      </c>
      <c r="F943" s="4" t="s">
        <v>63</v>
      </c>
      <c r="G943" s="4" t="s">
        <v>25</v>
      </c>
      <c r="H943" s="4" t="s">
        <v>35</v>
      </c>
      <c r="I943" s="5">
        <v>44531</v>
      </c>
      <c r="J943" s="6">
        <v>0</v>
      </c>
      <c r="K943" s="6">
        <v>0</v>
      </c>
      <c r="L943" s="6">
        <v>9983.5329999999994</v>
      </c>
      <c r="M943" s="6">
        <v>9983.5329999999994</v>
      </c>
      <c r="N943" s="6">
        <v>0</v>
      </c>
      <c r="O943" s="6">
        <v>0</v>
      </c>
      <c r="P943" s="6">
        <v>0</v>
      </c>
      <c r="Q943" s="4" t="s">
        <v>60</v>
      </c>
      <c r="R943" s="4">
        <v>0</v>
      </c>
      <c r="S943" s="4" t="s">
        <v>441</v>
      </c>
      <c r="U943" s="4">
        <v>0</v>
      </c>
      <c r="V943" s="4">
        <v>31</v>
      </c>
      <c r="W943" s="4">
        <v>0</v>
      </c>
    </row>
    <row r="944" spans="1:23" ht="11.25" customHeight="1" x14ac:dyDescent="0.25">
      <c r="A944" s="4" t="s">
        <v>21</v>
      </c>
      <c r="B944" s="4" t="s">
        <v>41</v>
      </c>
      <c r="C944" s="4" t="s">
        <v>42</v>
      </c>
      <c r="D944" s="4" t="s">
        <v>38</v>
      </c>
      <c r="E944" s="4" t="s">
        <v>25</v>
      </c>
      <c r="F944" s="4" t="s">
        <v>63</v>
      </c>
      <c r="G944" s="4" t="s">
        <v>25</v>
      </c>
      <c r="H944" s="4" t="s">
        <v>35</v>
      </c>
      <c r="I944" s="5">
        <v>44562</v>
      </c>
      <c r="J944" s="6">
        <v>0</v>
      </c>
      <c r="K944" s="6">
        <v>0</v>
      </c>
      <c r="L944" s="6">
        <v>8848.39</v>
      </c>
      <c r="M944" s="6">
        <v>8848.39</v>
      </c>
      <c r="N944" s="6">
        <v>0</v>
      </c>
      <c r="O944" s="6">
        <v>0</v>
      </c>
      <c r="P944" s="6">
        <v>0</v>
      </c>
      <c r="Q944" s="4" t="s">
        <v>60</v>
      </c>
      <c r="R944" s="4">
        <v>0</v>
      </c>
      <c r="S944" s="4" t="s">
        <v>442</v>
      </c>
      <c r="U944" s="4">
        <v>0</v>
      </c>
      <c r="V944" s="4">
        <v>31</v>
      </c>
      <c r="W944" s="4">
        <v>0</v>
      </c>
    </row>
    <row r="945" spans="1:23" ht="11.25" customHeight="1" x14ac:dyDescent="0.25">
      <c r="A945" s="4" t="s">
        <v>21</v>
      </c>
      <c r="B945" s="4" t="s">
        <v>41</v>
      </c>
      <c r="C945" s="4" t="s">
        <v>42</v>
      </c>
      <c r="D945" s="4" t="s">
        <v>38</v>
      </c>
      <c r="E945" s="4" t="s">
        <v>25</v>
      </c>
      <c r="F945" s="4" t="s">
        <v>63</v>
      </c>
      <c r="G945" s="4" t="s">
        <v>25</v>
      </c>
      <c r="H945" s="4" t="s">
        <v>35</v>
      </c>
      <c r="I945" s="5">
        <v>44593</v>
      </c>
      <c r="J945" s="6">
        <v>0</v>
      </c>
      <c r="K945" s="6">
        <v>0</v>
      </c>
      <c r="L945" s="6">
        <v>10698.968999999999</v>
      </c>
      <c r="M945" s="6">
        <v>10698.968999999999</v>
      </c>
      <c r="N945" s="6">
        <v>0</v>
      </c>
      <c r="O945" s="6">
        <v>0</v>
      </c>
      <c r="P945" s="6">
        <v>0</v>
      </c>
      <c r="Q945" s="4" t="s">
        <v>60</v>
      </c>
      <c r="R945" s="4">
        <v>0</v>
      </c>
      <c r="S945" s="4" t="s">
        <v>443</v>
      </c>
      <c r="U945" s="4">
        <v>0</v>
      </c>
      <c r="V945" s="4">
        <v>31</v>
      </c>
      <c r="W945" s="4">
        <v>0</v>
      </c>
    </row>
    <row r="946" spans="1:23" ht="11.25" customHeight="1" x14ac:dyDescent="0.25">
      <c r="A946" s="4" t="s">
        <v>21</v>
      </c>
      <c r="B946" s="4" t="s">
        <v>41</v>
      </c>
      <c r="C946" s="4" t="s">
        <v>42</v>
      </c>
      <c r="D946" s="4" t="s">
        <v>38</v>
      </c>
      <c r="E946" s="4" t="s">
        <v>25</v>
      </c>
      <c r="F946" s="4" t="s">
        <v>63</v>
      </c>
      <c r="G946" s="4" t="s">
        <v>25</v>
      </c>
      <c r="H946" s="4" t="s">
        <v>35</v>
      </c>
      <c r="I946" s="5">
        <v>44621</v>
      </c>
      <c r="J946" s="6">
        <v>0</v>
      </c>
      <c r="K946" s="6">
        <v>0</v>
      </c>
      <c r="L946" s="6">
        <v>10571.866</v>
      </c>
      <c r="M946" s="6">
        <v>10571.866</v>
      </c>
      <c r="N946" s="6">
        <v>0</v>
      </c>
      <c r="O946" s="6">
        <v>0</v>
      </c>
      <c r="P946" s="6">
        <v>0</v>
      </c>
      <c r="Q946" s="4" t="s">
        <v>60</v>
      </c>
      <c r="R946" s="4">
        <v>0</v>
      </c>
      <c r="S946" s="4" t="s">
        <v>444</v>
      </c>
      <c r="U946" s="4">
        <v>0</v>
      </c>
      <c r="V946" s="4">
        <v>31</v>
      </c>
      <c r="W946" s="4">
        <v>0</v>
      </c>
    </row>
    <row r="947" spans="1:23" ht="11.25" customHeight="1" x14ac:dyDescent="0.25">
      <c r="A947" s="4" t="s">
        <v>21</v>
      </c>
      <c r="B947" s="4" t="s">
        <v>41</v>
      </c>
      <c r="C947" s="4" t="s">
        <v>42</v>
      </c>
      <c r="D947" s="4" t="s">
        <v>38</v>
      </c>
      <c r="E947" s="4" t="s">
        <v>25</v>
      </c>
      <c r="F947" s="4" t="s">
        <v>63</v>
      </c>
      <c r="G947" s="4" t="s">
        <v>25</v>
      </c>
      <c r="H947" s="4" t="s">
        <v>35</v>
      </c>
      <c r="I947" s="5">
        <v>44652</v>
      </c>
      <c r="J947" s="6">
        <v>0</v>
      </c>
      <c r="K947" s="6">
        <v>0</v>
      </c>
      <c r="L947" s="6">
        <v>12207.191999999999</v>
      </c>
      <c r="M947" s="6">
        <v>12207.191999999999</v>
      </c>
      <c r="N947" s="6">
        <v>0</v>
      </c>
      <c r="O947" s="6">
        <v>0</v>
      </c>
      <c r="P947" s="6">
        <v>0</v>
      </c>
      <c r="Q947" s="4" t="s">
        <v>60</v>
      </c>
      <c r="R947" s="4">
        <v>0</v>
      </c>
      <c r="S947" s="4" t="s">
        <v>445</v>
      </c>
      <c r="U947" s="4">
        <v>0</v>
      </c>
      <c r="V947" s="4">
        <v>31</v>
      </c>
      <c r="W947" s="4">
        <v>0</v>
      </c>
    </row>
    <row r="948" spans="1:23" ht="11.25" customHeight="1" x14ac:dyDescent="0.25">
      <c r="A948" s="4" t="s">
        <v>58</v>
      </c>
      <c r="B948" s="4" t="s">
        <v>41</v>
      </c>
      <c r="C948" s="4" t="s">
        <v>42</v>
      </c>
      <c r="D948" s="4" t="s">
        <v>38</v>
      </c>
      <c r="E948" s="4" t="s">
        <v>25</v>
      </c>
      <c r="F948" s="4" t="s">
        <v>63</v>
      </c>
      <c r="G948" s="4" t="s">
        <v>25</v>
      </c>
      <c r="H948" s="4" t="s">
        <v>35</v>
      </c>
      <c r="I948" s="5">
        <v>44682</v>
      </c>
      <c r="J948" s="6">
        <v>0</v>
      </c>
      <c r="K948" s="6">
        <v>0</v>
      </c>
      <c r="L948" s="6">
        <v>12207.191999999999</v>
      </c>
      <c r="M948" s="6">
        <v>12207.191999999999</v>
      </c>
      <c r="N948" s="6">
        <v>0</v>
      </c>
      <c r="O948" s="6">
        <v>0</v>
      </c>
      <c r="P948" s="6">
        <v>0</v>
      </c>
      <c r="Q948" s="4" t="s">
        <v>60</v>
      </c>
      <c r="R948" s="4">
        <v>0</v>
      </c>
      <c r="S948" s="4" t="s">
        <v>446</v>
      </c>
      <c r="U948" s="4">
        <v>0</v>
      </c>
      <c r="V948" s="4">
        <v>31</v>
      </c>
      <c r="W948" s="4">
        <v>0</v>
      </c>
    </row>
    <row r="949" spans="1:23" ht="11.25" customHeight="1" x14ac:dyDescent="0.25">
      <c r="A949" s="4" t="s">
        <v>21</v>
      </c>
      <c r="B949" s="4" t="s">
        <v>41</v>
      </c>
      <c r="C949" s="4" t="s">
        <v>42</v>
      </c>
      <c r="D949" s="4" t="s">
        <v>38</v>
      </c>
      <c r="E949" s="4" t="s">
        <v>25</v>
      </c>
      <c r="F949" s="4" t="s">
        <v>63</v>
      </c>
      <c r="G949" s="4" t="s">
        <v>25</v>
      </c>
      <c r="H949" s="4" t="s">
        <v>25</v>
      </c>
      <c r="I949" s="5">
        <v>44348</v>
      </c>
      <c r="J949" s="6">
        <v>41181</v>
      </c>
      <c r="K949" s="6">
        <v>19220.616505860002</v>
      </c>
      <c r="L949" s="6">
        <v>0</v>
      </c>
      <c r="M949" s="6">
        <v>0</v>
      </c>
      <c r="N949" s="6">
        <v>0</v>
      </c>
      <c r="O949" s="6">
        <v>0</v>
      </c>
      <c r="P949" s="6">
        <v>57</v>
      </c>
      <c r="Q949" s="4" t="s">
        <v>60</v>
      </c>
      <c r="R949" s="4">
        <v>0</v>
      </c>
      <c r="S949" s="4" t="s">
        <v>447</v>
      </c>
      <c r="U949" s="4">
        <v>29</v>
      </c>
      <c r="V949" s="4">
        <v>0</v>
      </c>
      <c r="W949" s="4">
        <v>0</v>
      </c>
    </row>
    <row r="950" spans="1:23" ht="11.25" customHeight="1" x14ac:dyDescent="0.25">
      <c r="A950" s="4" t="s">
        <v>21</v>
      </c>
      <c r="B950" s="4" t="s">
        <v>41</v>
      </c>
      <c r="C950" s="4" t="s">
        <v>42</v>
      </c>
      <c r="D950" s="4" t="s">
        <v>38</v>
      </c>
      <c r="E950" s="4" t="s">
        <v>25</v>
      </c>
      <c r="F950" s="4" t="s">
        <v>63</v>
      </c>
      <c r="G950" s="4" t="s">
        <v>25</v>
      </c>
      <c r="H950" s="4" t="s">
        <v>25</v>
      </c>
      <c r="I950" s="5">
        <v>44378</v>
      </c>
      <c r="J950" s="6">
        <v>41170</v>
      </c>
      <c r="K950" s="6">
        <v>16880.3500743</v>
      </c>
      <c r="L950" s="6">
        <v>0</v>
      </c>
      <c r="M950" s="6">
        <v>0</v>
      </c>
      <c r="N950" s="6">
        <v>0</v>
      </c>
      <c r="O950" s="6">
        <v>0</v>
      </c>
      <c r="P950" s="6">
        <v>58</v>
      </c>
      <c r="Q950" s="4" t="s">
        <v>60</v>
      </c>
      <c r="R950" s="4">
        <v>0</v>
      </c>
      <c r="S950" s="4" t="s">
        <v>448</v>
      </c>
      <c r="U950" s="4">
        <v>29</v>
      </c>
      <c r="V950" s="4">
        <v>0</v>
      </c>
      <c r="W950" s="4">
        <v>0</v>
      </c>
    </row>
    <row r="951" spans="1:23" ht="11.25" customHeight="1" x14ac:dyDescent="0.25">
      <c r="A951" s="4" t="s">
        <v>21</v>
      </c>
      <c r="B951" s="4" t="s">
        <v>41</v>
      </c>
      <c r="C951" s="4" t="s">
        <v>42</v>
      </c>
      <c r="D951" s="4" t="s">
        <v>38</v>
      </c>
      <c r="E951" s="4" t="s">
        <v>25</v>
      </c>
      <c r="F951" s="4" t="s">
        <v>63</v>
      </c>
      <c r="G951" s="4" t="s">
        <v>25</v>
      </c>
      <c r="H951" s="4" t="s">
        <v>25</v>
      </c>
      <c r="I951" s="5">
        <v>44409</v>
      </c>
      <c r="J951" s="6">
        <v>42740</v>
      </c>
      <c r="K951" s="6">
        <v>19377.588992600002</v>
      </c>
      <c r="L951" s="6">
        <v>0</v>
      </c>
      <c r="M951" s="6">
        <v>0</v>
      </c>
      <c r="N951" s="6">
        <v>0</v>
      </c>
      <c r="O951" s="6">
        <v>0</v>
      </c>
      <c r="P951" s="6">
        <v>59</v>
      </c>
      <c r="Q951" s="4" t="s">
        <v>60</v>
      </c>
      <c r="R951" s="4">
        <v>0</v>
      </c>
      <c r="S951" s="4" t="s">
        <v>449</v>
      </c>
      <c r="U951" s="4">
        <v>29</v>
      </c>
      <c r="V951" s="4">
        <v>0</v>
      </c>
      <c r="W951" s="4">
        <v>0</v>
      </c>
    </row>
    <row r="952" spans="1:23" ht="11.25" customHeight="1" x14ac:dyDescent="0.25">
      <c r="A952" s="4" t="s">
        <v>21</v>
      </c>
      <c r="B952" s="4" t="s">
        <v>41</v>
      </c>
      <c r="C952" s="4" t="s">
        <v>42</v>
      </c>
      <c r="D952" s="4" t="s">
        <v>38</v>
      </c>
      <c r="E952" s="4" t="s">
        <v>25</v>
      </c>
      <c r="F952" s="4" t="s">
        <v>63</v>
      </c>
      <c r="G952" s="4" t="s">
        <v>25</v>
      </c>
      <c r="H952" s="4" t="s">
        <v>25</v>
      </c>
      <c r="I952" s="5">
        <v>44440</v>
      </c>
      <c r="J952" s="6">
        <v>43623</v>
      </c>
      <c r="K952" s="6">
        <v>19310.943266459999</v>
      </c>
      <c r="L952" s="6">
        <v>0</v>
      </c>
      <c r="M952" s="6">
        <v>0</v>
      </c>
      <c r="N952" s="6">
        <v>0</v>
      </c>
      <c r="O952" s="6">
        <v>0</v>
      </c>
      <c r="P952" s="6">
        <v>58</v>
      </c>
      <c r="Q952" s="4" t="s">
        <v>60</v>
      </c>
      <c r="R952" s="4">
        <v>0</v>
      </c>
      <c r="S952" s="4" t="s">
        <v>450</v>
      </c>
      <c r="U952" s="4">
        <v>29</v>
      </c>
      <c r="V952" s="4">
        <v>0</v>
      </c>
      <c r="W952" s="4">
        <v>0</v>
      </c>
    </row>
    <row r="953" spans="1:23" ht="11.25" customHeight="1" x14ac:dyDescent="0.25">
      <c r="A953" s="4" t="s">
        <v>21</v>
      </c>
      <c r="B953" s="4" t="s">
        <v>41</v>
      </c>
      <c r="C953" s="4" t="s">
        <v>42</v>
      </c>
      <c r="D953" s="4" t="s">
        <v>38</v>
      </c>
      <c r="E953" s="4" t="s">
        <v>25</v>
      </c>
      <c r="F953" s="4" t="s">
        <v>63</v>
      </c>
      <c r="G953" s="4" t="s">
        <v>25</v>
      </c>
      <c r="H953" s="4" t="s">
        <v>25</v>
      </c>
      <c r="I953" s="5">
        <v>44470</v>
      </c>
      <c r="J953" s="6">
        <v>44541</v>
      </c>
      <c r="K953" s="6">
        <v>20529.41636214</v>
      </c>
      <c r="L953" s="6">
        <v>0</v>
      </c>
      <c r="M953" s="6">
        <v>0</v>
      </c>
      <c r="N953" s="6">
        <v>0</v>
      </c>
      <c r="O953" s="6">
        <v>0</v>
      </c>
      <c r="P953" s="6">
        <v>60</v>
      </c>
      <c r="Q953" s="4" t="s">
        <v>60</v>
      </c>
      <c r="R953" s="4">
        <v>0</v>
      </c>
      <c r="S953" s="4" t="s">
        <v>451</v>
      </c>
      <c r="U953" s="4">
        <v>29</v>
      </c>
      <c r="V953" s="4">
        <v>0</v>
      </c>
      <c r="W953" s="4">
        <v>0</v>
      </c>
    </row>
    <row r="954" spans="1:23" ht="11.25" customHeight="1" x14ac:dyDescent="0.25">
      <c r="A954" s="4" t="s">
        <v>21</v>
      </c>
      <c r="B954" s="4" t="s">
        <v>41</v>
      </c>
      <c r="C954" s="4" t="s">
        <v>42</v>
      </c>
      <c r="D954" s="4" t="s">
        <v>38</v>
      </c>
      <c r="E954" s="4" t="s">
        <v>25</v>
      </c>
      <c r="F954" s="4" t="s">
        <v>63</v>
      </c>
      <c r="G954" s="4" t="s">
        <v>25</v>
      </c>
      <c r="H954" s="4" t="s">
        <v>25</v>
      </c>
      <c r="I954" s="5">
        <v>44501</v>
      </c>
      <c r="J954" s="6">
        <v>45888</v>
      </c>
      <c r="K954" s="6">
        <v>20296.62812736</v>
      </c>
      <c r="L954" s="6">
        <v>0</v>
      </c>
      <c r="M954" s="6">
        <v>0</v>
      </c>
      <c r="N954" s="6">
        <v>0</v>
      </c>
      <c r="O954" s="6">
        <v>0</v>
      </c>
      <c r="P954" s="6">
        <v>63</v>
      </c>
      <c r="Q954" s="4" t="s">
        <v>60</v>
      </c>
      <c r="R954" s="4">
        <v>0</v>
      </c>
      <c r="S954" s="4" t="s">
        <v>452</v>
      </c>
      <c r="U954" s="4">
        <v>29</v>
      </c>
      <c r="V954" s="4">
        <v>0</v>
      </c>
      <c r="W954" s="4">
        <v>0</v>
      </c>
    </row>
    <row r="955" spans="1:23" ht="11.25" customHeight="1" x14ac:dyDescent="0.25">
      <c r="A955" s="4" t="s">
        <v>21</v>
      </c>
      <c r="B955" s="4" t="s">
        <v>41</v>
      </c>
      <c r="C955" s="4" t="s">
        <v>42</v>
      </c>
      <c r="D955" s="4" t="s">
        <v>38</v>
      </c>
      <c r="E955" s="4" t="s">
        <v>25</v>
      </c>
      <c r="F955" s="4" t="s">
        <v>63</v>
      </c>
      <c r="G955" s="4" t="s">
        <v>25</v>
      </c>
      <c r="H955" s="4" t="s">
        <v>25</v>
      </c>
      <c r="I955" s="5">
        <v>44531</v>
      </c>
      <c r="J955" s="6">
        <v>46627</v>
      </c>
      <c r="K955" s="6">
        <v>20866.83863138</v>
      </c>
      <c r="L955" s="6">
        <v>0</v>
      </c>
      <c r="M955" s="6">
        <v>0</v>
      </c>
      <c r="N955" s="6">
        <v>0</v>
      </c>
      <c r="O955" s="6">
        <v>0</v>
      </c>
      <c r="P955" s="6">
        <v>66</v>
      </c>
      <c r="Q955" s="4" t="s">
        <v>60</v>
      </c>
      <c r="R955" s="4">
        <v>0</v>
      </c>
      <c r="S955" s="4" t="s">
        <v>453</v>
      </c>
      <c r="U955" s="4">
        <v>29</v>
      </c>
      <c r="V955" s="4">
        <v>0</v>
      </c>
      <c r="W955" s="4">
        <v>0</v>
      </c>
    </row>
    <row r="956" spans="1:23" ht="11.25" customHeight="1" x14ac:dyDescent="0.25">
      <c r="A956" s="4" t="s">
        <v>21</v>
      </c>
      <c r="B956" s="4" t="s">
        <v>41</v>
      </c>
      <c r="C956" s="4" t="s">
        <v>42</v>
      </c>
      <c r="D956" s="4" t="s">
        <v>38</v>
      </c>
      <c r="E956" s="4" t="s">
        <v>25</v>
      </c>
      <c r="F956" s="4" t="s">
        <v>63</v>
      </c>
      <c r="G956" s="4" t="s">
        <v>25</v>
      </c>
      <c r="H956" s="4" t="s">
        <v>25</v>
      </c>
      <c r="I956" s="5">
        <v>44562</v>
      </c>
      <c r="J956" s="6">
        <v>46548</v>
      </c>
      <c r="K956" s="6">
        <v>20991.48297804</v>
      </c>
      <c r="L956" s="6">
        <v>0</v>
      </c>
      <c r="M956" s="6">
        <v>0</v>
      </c>
      <c r="N956" s="6">
        <v>0</v>
      </c>
      <c r="O956" s="6">
        <v>0</v>
      </c>
      <c r="P956" s="6">
        <v>66</v>
      </c>
      <c r="Q956" s="4" t="s">
        <v>60</v>
      </c>
      <c r="R956" s="4">
        <v>0</v>
      </c>
      <c r="S956" s="4" t="s">
        <v>454</v>
      </c>
      <c r="U956" s="4">
        <v>29</v>
      </c>
      <c r="V956" s="4">
        <v>0</v>
      </c>
      <c r="W956" s="4">
        <v>0</v>
      </c>
    </row>
    <row r="957" spans="1:23" ht="11.25" customHeight="1" x14ac:dyDescent="0.25">
      <c r="A957" s="4" t="s">
        <v>21</v>
      </c>
      <c r="B957" s="4" t="s">
        <v>41</v>
      </c>
      <c r="C957" s="4" t="s">
        <v>42</v>
      </c>
      <c r="D957" s="4" t="s">
        <v>38</v>
      </c>
      <c r="E957" s="4" t="s">
        <v>25</v>
      </c>
      <c r="F957" s="4" t="s">
        <v>63</v>
      </c>
      <c r="G957" s="4" t="s">
        <v>25</v>
      </c>
      <c r="H957" s="4" t="s">
        <v>25</v>
      </c>
      <c r="I957" s="5">
        <v>44593</v>
      </c>
      <c r="J957" s="6">
        <v>49961</v>
      </c>
      <c r="K957" s="6">
        <v>22546.725825720001</v>
      </c>
      <c r="L957" s="6">
        <v>0</v>
      </c>
      <c r="M957" s="6">
        <v>0</v>
      </c>
      <c r="N957" s="6">
        <v>0</v>
      </c>
      <c r="O957" s="6">
        <v>0</v>
      </c>
      <c r="P957" s="6">
        <v>71</v>
      </c>
      <c r="Q957" s="4" t="s">
        <v>60</v>
      </c>
      <c r="R957" s="4">
        <v>0</v>
      </c>
      <c r="S957" s="4" t="s">
        <v>455</v>
      </c>
      <c r="U957" s="4">
        <v>29</v>
      </c>
      <c r="V957" s="4">
        <v>0</v>
      </c>
      <c r="W957" s="4">
        <v>0</v>
      </c>
    </row>
    <row r="958" spans="1:23" ht="11.25" customHeight="1" x14ac:dyDescent="0.25">
      <c r="A958" s="4" t="s">
        <v>21</v>
      </c>
      <c r="B958" s="4" t="s">
        <v>41</v>
      </c>
      <c r="C958" s="4" t="s">
        <v>42</v>
      </c>
      <c r="D958" s="4" t="s">
        <v>38</v>
      </c>
      <c r="E958" s="4" t="s">
        <v>25</v>
      </c>
      <c r="F958" s="4" t="s">
        <v>63</v>
      </c>
      <c r="G958" s="4" t="s">
        <v>25</v>
      </c>
      <c r="H958" s="4" t="s">
        <v>25</v>
      </c>
      <c r="I958" s="5">
        <v>44621</v>
      </c>
      <c r="J958" s="6">
        <v>50562</v>
      </c>
      <c r="K958" s="6">
        <v>22860.607172399999</v>
      </c>
      <c r="L958" s="6">
        <v>0</v>
      </c>
      <c r="M958" s="6">
        <v>0</v>
      </c>
      <c r="N958" s="6">
        <v>0</v>
      </c>
      <c r="O958" s="6">
        <v>0</v>
      </c>
      <c r="P958" s="6">
        <v>72</v>
      </c>
      <c r="Q958" s="4" t="s">
        <v>60</v>
      </c>
      <c r="R958" s="4">
        <v>0</v>
      </c>
      <c r="S958" s="4" t="s">
        <v>456</v>
      </c>
      <c r="U958" s="4">
        <v>29</v>
      </c>
      <c r="V958" s="4">
        <v>0</v>
      </c>
      <c r="W958" s="4">
        <v>0</v>
      </c>
    </row>
    <row r="959" spans="1:23" ht="11.25" customHeight="1" x14ac:dyDescent="0.25">
      <c r="A959" s="4" t="s">
        <v>21</v>
      </c>
      <c r="B959" s="4" t="s">
        <v>41</v>
      </c>
      <c r="C959" s="4" t="s">
        <v>42</v>
      </c>
      <c r="D959" s="4" t="s">
        <v>38</v>
      </c>
      <c r="E959" s="4" t="s">
        <v>25</v>
      </c>
      <c r="F959" s="4" t="s">
        <v>63</v>
      </c>
      <c r="G959" s="4" t="s">
        <v>25</v>
      </c>
      <c r="H959" s="4" t="s">
        <v>25</v>
      </c>
      <c r="I959" s="5">
        <v>44652</v>
      </c>
      <c r="J959" s="6">
        <v>51418</v>
      </c>
      <c r="K959" s="6">
        <v>24840.067164979999</v>
      </c>
      <c r="L959" s="6">
        <v>0</v>
      </c>
      <c r="M959" s="6">
        <v>0</v>
      </c>
      <c r="N959" s="6">
        <v>0</v>
      </c>
      <c r="O959" s="6">
        <v>0</v>
      </c>
      <c r="P959" s="6">
        <v>73</v>
      </c>
      <c r="Q959" s="4" t="s">
        <v>60</v>
      </c>
      <c r="R959" s="4">
        <v>0</v>
      </c>
      <c r="S959" s="4" t="s">
        <v>457</v>
      </c>
      <c r="U959" s="4">
        <v>29</v>
      </c>
      <c r="V959" s="4">
        <v>0</v>
      </c>
      <c r="W959" s="4">
        <v>0</v>
      </c>
    </row>
    <row r="960" spans="1:23" ht="11.25" customHeight="1" x14ac:dyDescent="0.25">
      <c r="A960" s="4" t="s">
        <v>58</v>
      </c>
      <c r="B960" s="4" t="s">
        <v>41</v>
      </c>
      <c r="C960" s="4" t="s">
        <v>42</v>
      </c>
      <c r="D960" s="4" t="s">
        <v>38</v>
      </c>
      <c r="E960" s="4" t="s">
        <v>25</v>
      </c>
      <c r="F960" s="4" t="s">
        <v>63</v>
      </c>
      <c r="G960" s="4" t="s">
        <v>25</v>
      </c>
      <c r="H960" s="4" t="s">
        <v>25</v>
      </c>
      <c r="I960" s="5">
        <v>44682</v>
      </c>
      <c r="J960" s="6">
        <v>51418</v>
      </c>
      <c r="K960" s="6">
        <v>24840.067164979999</v>
      </c>
      <c r="L960" s="6">
        <v>0</v>
      </c>
      <c r="M960" s="6">
        <v>0</v>
      </c>
      <c r="N960" s="6">
        <v>0</v>
      </c>
      <c r="O960" s="6">
        <v>0</v>
      </c>
      <c r="P960" s="6">
        <v>73</v>
      </c>
      <c r="Q960" s="4" t="s">
        <v>60</v>
      </c>
      <c r="R960" s="4">
        <v>0</v>
      </c>
      <c r="S960" s="4" t="s">
        <v>458</v>
      </c>
      <c r="U960" s="4">
        <v>29</v>
      </c>
      <c r="V960" s="4">
        <v>0</v>
      </c>
      <c r="W960" s="4">
        <v>0</v>
      </c>
    </row>
    <row r="961" spans="1:23" ht="11.25" customHeight="1" x14ac:dyDescent="0.25">
      <c r="A961" s="4" t="s">
        <v>21</v>
      </c>
      <c r="B961" s="4" t="s">
        <v>41</v>
      </c>
      <c r="C961" s="4" t="s">
        <v>42</v>
      </c>
      <c r="D961" s="4" t="s">
        <v>38</v>
      </c>
      <c r="E961" s="4" t="s">
        <v>25</v>
      </c>
      <c r="F961" s="4" t="s">
        <v>63</v>
      </c>
      <c r="G961" s="4" t="s">
        <v>25</v>
      </c>
      <c r="H961" s="4" t="s">
        <v>34</v>
      </c>
      <c r="I961" s="5">
        <v>44348</v>
      </c>
      <c r="J961" s="6">
        <v>0</v>
      </c>
      <c r="K961" s="6">
        <v>0</v>
      </c>
      <c r="L961" s="6">
        <v>521.98800000000006</v>
      </c>
      <c r="M961" s="6">
        <v>284.31180946607998</v>
      </c>
      <c r="N961" s="6">
        <v>0</v>
      </c>
      <c r="O961" s="6">
        <v>0</v>
      </c>
      <c r="P961" s="6">
        <v>0</v>
      </c>
      <c r="Q961" s="4" t="s">
        <v>60</v>
      </c>
      <c r="R961" s="4">
        <v>0</v>
      </c>
      <c r="S961" s="4" t="s">
        <v>459</v>
      </c>
      <c r="U961" s="4">
        <v>0</v>
      </c>
      <c r="V961" s="4">
        <v>30</v>
      </c>
      <c r="W961" s="4">
        <v>0</v>
      </c>
    </row>
    <row r="962" spans="1:23" ht="11.25" customHeight="1" x14ac:dyDescent="0.25">
      <c r="A962" s="4" t="s">
        <v>21</v>
      </c>
      <c r="B962" s="4" t="s">
        <v>41</v>
      </c>
      <c r="C962" s="4" t="s">
        <v>42</v>
      </c>
      <c r="D962" s="4" t="s">
        <v>38</v>
      </c>
      <c r="E962" s="4" t="s">
        <v>25</v>
      </c>
      <c r="F962" s="4" t="s">
        <v>63</v>
      </c>
      <c r="G962" s="4" t="s">
        <v>25</v>
      </c>
      <c r="H962" s="4" t="s">
        <v>34</v>
      </c>
      <c r="I962" s="5">
        <v>44378</v>
      </c>
      <c r="J962" s="6">
        <v>0</v>
      </c>
      <c r="K962" s="6">
        <v>0</v>
      </c>
      <c r="L962" s="6">
        <v>529.19000000000005</v>
      </c>
      <c r="M962" s="6">
        <v>234.49005826320001</v>
      </c>
      <c r="N962" s="6">
        <v>0</v>
      </c>
      <c r="O962" s="6">
        <v>0</v>
      </c>
      <c r="P962" s="6">
        <v>0</v>
      </c>
      <c r="Q962" s="4" t="s">
        <v>60</v>
      </c>
      <c r="R962" s="4">
        <v>0</v>
      </c>
      <c r="S962" s="4" t="s">
        <v>460</v>
      </c>
      <c r="U962" s="4">
        <v>0</v>
      </c>
      <c r="V962" s="4">
        <v>30</v>
      </c>
      <c r="W962" s="4">
        <v>0</v>
      </c>
    </row>
    <row r="963" spans="1:23" ht="11.25" customHeight="1" x14ac:dyDescent="0.25">
      <c r="A963" s="4" t="s">
        <v>21</v>
      </c>
      <c r="B963" s="4" t="s">
        <v>41</v>
      </c>
      <c r="C963" s="4" t="s">
        <v>42</v>
      </c>
      <c r="D963" s="4" t="s">
        <v>38</v>
      </c>
      <c r="E963" s="4" t="s">
        <v>25</v>
      </c>
      <c r="F963" s="4" t="s">
        <v>63</v>
      </c>
      <c r="G963" s="4" t="s">
        <v>25</v>
      </c>
      <c r="H963" s="4" t="s">
        <v>34</v>
      </c>
      <c r="I963" s="5">
        <v>44409</v>
      </c>
      <c r="J963" s="6">
        <v>0</v>
      </c>
      <c r="K963" s="6">
        <v>0</v>
      </c>
      <c r="L963" s="6">
        <v>595.07899999999995</v>
      </c>
      <c r="M963" s="6">
        <v>282.61363926015002</v>
      </c>
      <c r="N963" s="6">
        <v>0</v>
      </c>
      <c r="O963" s="6">
        <v>0</v>
      </c>
      <c r="P963" s="6">
        <v>0</v>
      </c>
      <c r="Q963" s="4" t="s">
        <v>60</v>
      </c>
      <c r="R963" s="4">
        <v>0</v>
      </c>
      <c r="S963" s="4" t="s">
        <v>461</v>
      </c>
      <c r="U963" s="4">
        <v>0</v>
      </c>
      <c r="V963" s="4">
        <v>30</v>
      </c>
      <c r="W963" s="4">
        <v>0</v>
      </c>
    </row>
    <row r="964" spans="1:23" ht="11.25" customHeight="1" x14ac:dyDescent="0.25">
      <c r="A964" s="4" t="s">
        <v>21</v>
      </c>
      <c r="B964" s="4" t="s">
        <v>41</v>
      </c>
      <c r="C964" s="4" t="s">
        <v>42</v>
      </c>
      <c r="D964" s="4" t="s">
        <v>38</v>
      </c>
      <c r="E964" s="4" t="s">
        <v>25</v>
      </c>
      <c r="F964" s="4" t="s">
        <v>63</v>
      </c>
      <c r="G964" s="4" t="s">
        <v>25</v>
      </c>
      <c r="H964" s="4" t="s">
        <v>34</v>
      </c>
      <c r="I964" s="5">
        <v>44440</v>
      </c>
      <c r="J964" s="6">
        <v>0</v>
      </c>
      <c r="K964" s="6">
        <v>0</v>
      </c>
      <c r="L964" s="6">
        <v>635.16800000000001</v>
      </c>
      <c r="M964" s="6">
        <v>290.33099271264001</v>
      </c>
      <c r="N964" s="6">
        <v>0</v>
      </c>
      <c r="O964" s="6">
        <v>0</v>
      </c>
      <c r="P964" s="6">
        <v>0</v>
      </c>
      <c r="Q964" s="4" t="s">
        <v>60</v>
      </c>
      <c r="R964" s="4">
        <v>0</v>
      </c>
      <c r="S964" s="4" t="s">
        <v>462</v>
      </c>
      <c r="U964" s="4">
        <v>0</v>
      </c>
      <c r="V964" s="4">
        <v>30</v>
      </c>
      <c r="W964" s="4">
        <v>0</v>
      </c>
    </row>
    <row r="965" spans="1:23" ht="11.25" customHeight="1" x14ac:dyDescent="0.25">
      <c r="A965" s="4" t="s">
        <v>21</v>
      </c>
      <c r="B965" s="4" t="s">
        <v>41</v>
      </c>
      <c r="C965" s="4" t="s">
        <v>42</v>
      </c>
      <c r="D965" s="4" t="s">
        <v>38</v>
      </c>
      <c r="E965" s="4" t="s">
        <v>25</v>
      </c>
      <c r="F965" s="4" t="s">
        <v>63</v>
      </c>
      <c r="G965" s="4" t="s">
        <v>25</v>
      </c>
      <c r="H965" s="4" t="s">
        <v>34</v>
      </c>
      <c r="I965" s="5">
        <v>44470</v>
      </c>
      <c r="J965" s="6">
        <v>0</v>
      </c>
      <c r="K965" s="6">
        <v>0</v>
      </c>
      <c r="L965" s="6">
        <v>633.26</v>
      </c>
      <c r="M965" s="6">
        <v>311.25540839320001</v>
      </c>
      <c r="N965" s="6">
        <v>0</v>
      </c>
      <c r="O965" s="6">
        <v>0</v>
      </c>
      <c r="P965" s="6">
        <v>0</v>
      </c>
      <c r="Q965" s="4" t="s">
        <v>60</v>
      </c>
      <c r="R965" s="4">
        <v>0</v>
      </c>
      <c r="S965" s="4" t="s">
        <v>463</v>
      </c>
      <c r="U965" s="4">
        <v>0</v>
      </c>
      <c r="V965" s="4">
        <v>30</v>
      </c>
      <c r="W965" s="4">
        <v>0</v>
      </c>
    </row>
    <row r="966" spans="1:23" ht="11.25" customHeight="1" x14ac:dyDescent="0.25">
      <c r="A966" s="4" t="s">
        <v>21</v>
      </c>
      <c r="B966" s="4" t="s">
        <v>41</v>
      </c>
      <c r="C966" s="4" t="s">
        <v>42</v>
      </c>
      <c r="D966" s="4" t="s">
        <v>38</v>
      </c>
      <c r="E966" s="4" t="s">
        <v>25</v>
      </c>
      <c r="F966" s="4" t="s">
        <v>63</v>
      </c>
      <c r="G966" s="4" t="s">
        <v>25</v>
      </c>
      <c r="H966" s="4" t="s">
        <v>34</v>
      </c>
      <c r="I966" s="5">
        <v>44501</v>
      </c>
      <c r="J966" s="6">
        <v>0</v>
      </c>
      <c r="K966" s="6">
        <v>0</v>
      </c>
      <c r="L966" s="6">
        <v>603.77200000000005</v>
      </c>
      <c r="M966" s="6">
        <v>272.93737863183998</v>
      </c>
      <c r="N966" s="6">
        <v>0</v>
      </c>
      <c r="O966" s="6">
        <v>0</v>
      </c>
      <c r="P966" s="6">
        <v>0</v>
      </c>
      <c r="Q966" s="4" t="s">
        <v>60</v>
      </c>
      <c r="R966" s="4">
        <v>0</v>
      </c>
      <c r="S966" s="4" t="s">
        <v>464</v>
      </c>
      <c r="U966" s="4">
        <v>0</v>
      </c>
      <c r="V966" s="4">
        <v>30</v>
      </c>
      <c r="W966" s="4">
        <v>0</v>
      </c>
    </row>
    <row r="967" spans="1:23" ht="11.25" customHeight="1" x14ac:dyDescent="0.25">
      <c r="A967" s="4" t="s">
        <v>21</v>
      </c>
      <c r="B967" s="4" t="s">
        <v>41</v>
      </c>
      <c r="C967" s="4" t="s">
        <v>42</v>
      </c>
      <c r="D967" s="4" t="s">
        <v>38</v>
      </c>
      <c r="E967" s="4" t="s">
        <v>25</v>
      </c>
      <c r="F967" s="4" t="s">
        <v>63</v>
      </c>
      <c r="G967" s="4" t="s">
        <v>25</v>
      </c>
      <c r="H967" s="4" t="s">
        <v>34</v>
      </c>
      <c r="I967" s="5">
        <v>44531</v>
      </c>
      <c r="J967" s="6">
        <v>0</v>
      </c>
      <c r="K967" s="6">
        <v>0</v>
      </c>
      <c r="L967" s="6">
        <v>581.6</v>
      </c>
      <c r="M967" s="6">
        <v>262.41905412</v>
      </c>
      <c r="N967" s="6">
        <v>0</v>
      </c>
      <c r="O967" s="6">
        <v>0</v>
      </c>
      <c r="P967" s="6">
        <v>0</v>
      </c>
      <c r="Q967" s="4" t="s">
        <v>60</v>
      </c>
      <c r="R967" s="4">
        <v>0</v>
      </c>
      <c r="S967" s="4" t="s">
        <v>465</v>
      </c>
      <c r="U967" s="4">
        <v>0</v>
      </c>
      <c r="V967" s="4">
        <v>30</v>
      </c>
      <c r="W967" s="4">
        <v>0</v>
      </c>
    </row>
    <row r="968" spans="1:23" ht="11.25" customHeight="1" x14ac:dyDescent="0.25">
      <c r="A968" s="4" t="s">
        <v>21</v>
      </c>
      <c r="B968" s="4" t="s">
        <v>41</v>
      </c>
      <c r="C968" s="4" t="s">
        <v>42</v>
      </c>
      <c r="D968" s="4" t="s">
        <v>38</v>
      </c>
      <c r="E968" s="4" t="s">
        <v>25</v>
      </c>
      <c r="F968" s="4" t="s">
        <v>63</v>
      </c>
      <c r="G968" s="4" t="s">
        <v>25</v>
      </c>
      <c r="H968" s="4" t="s">
        <v>34</v>
      </c>
      <c r="I968" s="5">
        <v>44562</v>
      </c>
      <c r="J968" s="6">
        <v>0</v>
      </c>
      <c r="K968" s="6">
        <v>0</v>
      </c>
      <c r="L968" s="6">
        <v>594.10199999999998</v>
      </c>
      <c r="M968" s="6">
        <v>282.09268796196</v>
      </c>
      <c r="N968" s="6">
        <v>0</v>
      </c>
      <c r="O968" s="6">
        <v>0</v>
      </c>
      <c r="P968" s="6">
        <v>0</v>
      </c>
      <c r="Q968" s="4" t="s">
        <v>60</v>
      </c>
      <c r="R968" s="4">
        <v>0</v>
      </c>
      <c r="S968" s="4" t="s">
        <v>466</v>
      </c>
      <c r="U968" s="4">
        <v>0</v>
      </c>
      <c r="V968" s="4">
        <v>30</v>
      </c>
      <c r="W968" s="4">
        <v>0</v>
      </c>
    </row>
    <row r="969" spans="1:23" ht="11.25" customHeight="1" x14ac:dyDescent="0.25">
      <c r="A969" s="4" t="s">
        <v>21</v>
      </c>
      <c r="B969" s="4" t="s">
        <v>41</v>
      </c>
      <c r="C969" s="4" t="s">
        <v>42</v>
      </c>
      <c r="D969" s="4" t="s">
        <v>38</v>
      </c>
      <c r="E969" s="4" t="s">
        <v>25</v>
      </c>
      <c r="F969" s="4" t="s">
        <v>63</v>
      </c>
      <c r="G969" s="4" t="s">
        <v>25</v>
      </c>
      <c r="H969" s="4" t="s">
        <v>34</v>
      </c>
      <c r="I969" s="5">
        <v>44593</v>
      </c>
      <c r="J969" s="6">
        <v>0</v>
      </c>
      <c r="K969" s="6">
        <v>0</v>
      </c>
      <c r="L969" s="6">
        <v>684.048</v>
      </c>
      <c r="M969" s="6">
        <v>332.65037396783998</v>
      </c>
      <c r="N969" s="6">
        <v>0</v>
      </c>
      <c r="O969" s="6">
        <v>0</v>
      </c>
      <c r="P969" s="6">
        <v>0</v>
      </c>
      <c r="Q969" s="4" t="s">
        <v>60</v>
      </c>
      <c r="R969" s="4">
        <v>0</v>
      </c>
      <c r="S969" s="4" t="s">
        <v>467</v>
      </c>
      <c r="U969" s="4">
        <v>0</v>
      </c>
      <c r="V969" s="4">
        <v>30</v>
      </c>
      <c r="W969" s="4">
        <v>0</v>
      </c>
    </row>
    <row r="970" spans="1:23" ht="11.25" customHeight="1" x14ac:dyDescent="0.25">
      <c r="A970" s="4" t="s">
        <v>21</v>
      </c>
      <c r="B970" s="4" t="s">
        <v>41</v>
      </c>
      <c r="C970" s="4" t="s">
        <v>42</v>
      </c>
      <c r="D970" s="4" t="s">
        <v>38</v>
      </c>
      <c r="E970" s="4" t="s">
        <v>25</v>
      </c>
      <c r="F970" s="4" t="s">
        <v>63</v>
      </c>
      <c r="G970" s="4" t="s">
        <v>25</v>
      </c>
      <c r="H970" s="4" t="s">
        <v>34</v>
      </c>
      <c r="I970" s="5">
        <v>44621</v>
      </c>
      <c r="J970" s="6">
        <v>0</v>
      </c>
      <c r="K970" s="6">
        <v>0</v>
      </c>
      <c r="L970" s="6">
        <v>699.726</v>
      </c>
      <c r="M970" s="6">
        <v>344.76040208472</v>
      </c>
      <c r="N970" s="6">
        <v>0</v>
      </c>
      <c r="O970" s="6">
        <v>0</v>
      </c>
      <c r="P970" s="6">
        <v>0</v>
      </c>
      <c r="Q970" s="4" t="s">
        <v>60</v>
      </c>
      <c r="R970" s="4">
        <v>0</v>
      </c>
      <c r="S970" s="4" t="s">
        <v>468</v>
      </c>
      <c r="U970" s="4">
        <v>0</v>
      </c>
      <c r="V970" s="4">
        <v>30</v>
      </c>
      <c r="W970" s="4">
        <v>0</v>
      </c>
    </row>
    <row r="971" spans="1:23" ht="11.25" customHeight="1" x14ac:dyDescent="0.25">
      <c r="A971" s="4" t="s">
        <v>21</v>
      </c>
      <c r="B971" s="4" t="s">
        <v>41</v>
      </c>
      <c r="C971" s="4" t="s">
        <v>42</v>
      </c>
      <c r="D971" s="4" t="s">
        <v>38</v>
      </c>
      <c r="E971" s="4" t="s">
        <v>25</v>
      </c>
      <c r="F971" s="4" t="s">
        <v>63</v>
      </c>
      <c r="G971" s="4" t="s">
        <v>25</v>
      </c>
      <c r="H971" s="4" t="s">
        <v>34</v>
      </c>
      <c r="I971" s="5">
        <v>44652</v>
      </c>
      <c r="J971" s="6">
        <v>0</v>
      </c>
      <c r="K971" s="6">
        <v>0</v>
      </c>
      <c r="L971" s="6">
        <v>821.54499999999996</v>
      </c>
      <c r="M971" s="6">
        <v>414.78320875095</v>
      </c>
      <c r="N971" s="6">
        <v>0</v>
      </c>
      <c r="O971" s="6">
        <v>0</v>
      </c>
      <c r="P971" s="6">
        <v>0</v>
      </c>
      <c r="Q971" s="4" t="s">
        <v>60</v>
      </c>
      <c r="R971" s="4">
        <v>0</v>
      </c>
      <c r="S971" s="4" t="s">
        <v>469</v>
      </c>
      <c r="U971" s="4">
        <v>0</v>
      </c>
      <c r="V971" s="4">
        <v>30</v>
      </c>
      <c r="W971" s="4">
        <v>0</v>
      </c>
    </row>
    <row r="972" spans="1:23" ht="11.25" customHeight="1" x14ac:dyDescent="0.25">
      <c r="A972" s="4" t="s">
        <v>58</v>
      </c>
      <c r="B972" s="4" t="s">
        <v>41</v>
      </c>
      <c r="C972" s="4" t="s">
        <v>42</v>
      </c>
      <c r="D972" s="4" t="s">
        <v>38</v>
      </c>
      <c r="E972" s="4" t="s">
        <v>25</v>
      </c>
      <c r="F972" s="4" t="s">
        <v>63</v>
      </c>
      <c r="G972" s="4" t="s">
        <v>25</v>
      </c>
      <c r="H972" s="4" t="s">
        <v>34</v>
      </c>
      <c r="I972" s="5">
        <v>44682</v>
      </c>
      <c r="J972" s="6">
        <v>0</v>
      </c>
      <c r="K972" s="6">
        <v>0</v>
      </c>
      <c r="L972" s="6">
        <v>821.54499999999996</v>
      </c>
      <c r="M972" s="6">
        <v>414.78320875095</v>
      </c>
      <c r="N972" s="6">
        <v>0</v>
      </c>
      <c r="O972" s="6">
        <v>0</v>
      </c>
      <c r="P972" s="6">
        <v>0</v>
      </c>
      <c r="Q972" s="4" t="s">
        <v>60</v>
      </c>
      <c r="R972" s="4">
        <v>0</v>
      </c>
      <c r="S972" s="4" t="s">
        <v>470</v>
      </c>
      <c r="U972" s="4">
        <v>0</v>
      </c>
      <c r="V972" s="4">
        <v>30</v>
      </c>
      <c r="W972" s="4">
        <v>0</v>
      </c>
    </row>
    <row r="973" spans="1:23" ht="11.25" customHeight="1" x14ac:dyDescent="0.25">
      <c r="A973" s="4" t="s">
        <v>21</v>
      </c>
      <c r="B973" s="4" t="s">
        <v>41</v>
      </c>
      <c r="C973" s="4" t="s">
        <v>42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44348</v>
      </c>
      <c r="J973" s="6">
        <v>0</v>
      </c>
      <c r="K973" s="6">
        <v>0</v>
      </c>
      <c r="L973" s="6">
        <v>5339.1469999999999</v>
      </c>
      <c r="M973" s="6">
        <v>5339.1469999999999</v>
      </c>
      <c r="N973" s="6">
        <v>5339.1469999999999</v>
      </c>
      <c r="O973" s="6">
        <v>5339.1469999999999</v>
      </c>
      <c r="P973" s="6">
        <v>0</v>
      </c>
      <c r="Q973" s="4" t="s">
        <v>26</v>
      </c>
      <c r="R973" s="4">
        <v>0</v>
      </c>
      <c r="S973" s="4" t="s">
        <v>435</v>
      </c>
      <c r="T973" s="4" t="s">
        <v>707</v>
      </c>
      <c r="U973" s="4">
        <v>0</v>
      </c>
      <c r="V973" s="4">
        <v>31</v>
      </c>
      <c r="W973" s="4">
        <v>79</v>
      </c>
    </row>
    <row r="974" spans="1:23" ht="11.25" customHeight="1" x14ac:dyDescent="0.25">
      <c r="A974" s="4" t="s">
        <v>27</v>
      </c>
      <c r="B974" s="4" t="s">
        <v>41</v>
      </c>
      <c r="C974" s="4" t="s">
        <v>42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44348</v>
      </c>
      <c r="J974" s="6">
        <v>0</v>
      </c>
      <c r="K974" s="6">
        <v>0</v>
      </c>
      <c r="L974" s="6">
        <v>-14.879</v>
      </c>
      <c r="M974" s="6">
        <v>-14.879</v>
      </c>
      <c r="N974" s="6">
        <v>-14.879</v>
      </c>
      <c r="O974" s="6">
        <v>-14.879</v>
      </c>
      <c r="P974" s="6">
        <v>0</v>
      </c>
      <c r="Q974" s="4" t="s">
        <v>26</v>
      </c>
      <c r="R974" s="4">
        <v>0</v>
      </c>
      <c r="S974" s="4" t="s">
        <v>435</v>
      </c>
      <c r="T974" s="4" t="s">
        <v>707</v>
      </c>
      <c r="U974" s="4">
        <v>0</v>
      </c>
      <c r="V974" s="4">
        <v>31</v>
      </c>
      <c r="W974" s="4">
        <v>79</v>
      </c>
    </row>
    <row r="975" spans="1:23" ht="11.25" customHeight="1" x14ac:dyDescent="0.25">
      <c r="A975" s="4" t="s">
        <v>28</v>
      </c>
      <c r="B975" s="4" t="s">
        <v>41</v>
      </c>
      <c r="C975" s="4" t="s">
        <v>42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44348</v>
      </c>
      <c r="J975" s="6">
        <v>0</v>
      </c>
      <c r="K975" s="6">
        <v>0</v>
      </c>
      <c r="L975" s="6">
        <v>224.738</v>
      </c>
      <c r="M975" s="6">
        <v>224.738</v>
      </c>
      <c r="N975" s="6">
        <v>224.738</v>
      </c>
      <c r="O975" s="6">
        <v>224.738</v>
      </c>
      <c r="P975" s="6">
        <v>0</v>
      </c>
      <c r="Q975" s="4" t="s">
        <v>26</v>
      </c>
      <c r="R975" s="4">
        <v>0</v>
      </c>
      <c r="S975" s="4" t="s">
        <v>435</v>
      </c>
      <c r="T975" s="4" t="s">
        <v>707</v>
      </c>
      <c r="U975" s="4">
        <v>0</v>
      </c>
      <c r="V975" s="4">
        <v>31</v>
      </c>
      <c r="W975" s="4">
        <v>79</v>
      </c>
    </row>
    <row r="976" spans="1:23" ht="11.25" customHeight="1" x14ac:dyDescent="0.25">
      <c r="A976" s="4" t="s">
        <v>21</v>
      </c>
      <c r="B976" s="4" t="s">
        <v>41</v>
      </c>
      <c r="C976" s="4" t="s">
        <v>42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44378</v>
      </c>
      <c r="J976" s="6">
        <v>0</v>
      </c>
      <c r="K976" s="6">
        <v>0</v>
      </c>
      <c r="L976" s="6">
        <v>5372.21</v>
      </c>
      <c r="M976" s="6">
        <v>5372.21</v>
      </c>
      <c r="N976" s="6">
        <v>5372.21</v>
      </c>
      <c r="O976" s="6">
        <v>5372.21</v>
      </c>
      <c r="P976" s="6">
        <v>0</v>
      </c>
      <c r="Q976" s="4" t="s">
        <v>26</v>
      </c>
      <c r="R976" s="4">
        <v>0</v>
      </c>
      <c r="S976" s="4" t="s">
        <v>436</v>
      </c>
      <c r="T976" s="4" t="s">
        <v>708</v>
      </c>
      <c r="U976" s="4">
        <v>0</v>
      </c>
      <c r="V976" s="4">
        <v>31</v>
      </c>
      <c r="W976" s="4">
        <v>79</v>
      </c>
    </row>
    <row r="977" spans="1:23" ht="11.25" customHeight="1" x14ac:dyDescent="0.25">
      <c r="A977" s="4" t="s">
        <v>27</v>
      </c>
      <c r="B977" s="4" t="s">
        <v>41</v>
      </c>
      <c r="C977" s="4" t="s">
        <v>42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44378</v>
      </c>
      <c r="J977" s="6">
        <v>0</v>
      </c>
      <c r="K977" s="6">
        <v>0</v>
      </c>
      <c r="L977" s="6">
        <v>1.351</v>
      </c>
      <c r="M977" s="6">
        <v>1.351</v>
      </c>
      <c r="N977" s="6">
        <v>1.351</v>
      </c>
      <c r="O977" s="6">
        <v>1.351</v>
      </c>
      <c r="P977" s="6">
        <v>0</v>
      </c>
      <c r="Q977" s="4" t="s">
        <v>26</v>
      </c>
      <c r="R977" s="4">
        <v>0</v>
      </c>
      <c r="S977" s="4" t="s">
        <v>436</v>
      </c>
      <c r="T977" s="4" t="s">
        <v>708</v>
      </c>
      <c r="U977" s="4">
        <v>0</v>
      </c>
      <c r="V977" s="4">
        <v>31</v>
      </c>
      <c r="W977" s="4">
        <v>79</v>
      </c>
    </row>
    <row r="978" spans="1:23" ht="11.25" customHeight="1" x14ac:dyDescent="0.25">
      <c r="A978" s="4" t="s">
        <v>28</v>
      </c>
      <c r="B978" s="4" t="s">
        <v>41</v>
      </c>
      <c r="C978" s="4" t="s">
        <v>42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44378</v>
      </c>
      <c r="J978" s="6">
        <v>0</v>
      </c>
      <c r="K978" s="6">
        <v>0</v>
      </c>
      <c r="L978" s="6">
        <v>321.89100000000002</v>
      </c>
      <c r="M978" s="6">
        <v>321.89100000000002</v>
      </c>
      <c r="N978" s="6">
        <v>321.89100000000002</v>
      </c>
      <c r="O978" s="6">
        <v>321.89100000000002</v>
      </c>
      <c r="P978" s="6">
        <v>0</v>
      </c>
      <c r="Q978" s="4" t="s">
        <v>26</v>
      </c>
      <c r="R978" s="4">
        <v>0</v>
      </c>
      <c r="S978" s="4" t="s">
        <v>436</v>
      </c>
      <c r="T978" s="4" t="s">
        <v>708</v>
      </c>
      <c r="U978" s="4">
        <v>0</v>
      </c>
      <c r="V978" s="4">
        <v>31</v>
      </c>
      <c r="W978" s="4">
        <v>79</v>
      </c>
    </row>
    <row r="979" spans="1:23" ht="11.25" customHeight="1" x14ac:dyDescent="0.25">
      <c r="A979" s="4" t="s">
        <v>21</v>
      </c>
      <c r="B979" s="4" t="s">
        <v>41</v>
      </c>
      <c r="C979" s="4" t="s">
        <v>42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44409</v>
      </c>
      <c r="J979" s="6">
        <v>0</v>
      </c>
      <c r="K979" s="6">
        <v>0</v>
      </c>
      <c r="L979" s="6">
        <v>5235.54</v>
      </c>
      <c r="M979" s="6">
        <v>5235.54</v>
      </c>
      <c r="N979" s="6">
        <v>5235.54</v>
      </c>
      <c r="O979" s="6">
        <v>5235.54</v>
      </c>
      <c r="P979" s="6">
        <v>0</v>
      </c>
      <c r="Q979" s="4" t="s">
        <v>26</v>
      </c>
      <c r="R979" s="4">
        <v>0</v>
      </c>
      <c r="S979" s="4" t="s">
        <v>437</v>
      </c>
      <c r="T979" s="4" t="s">
        <v>709</v>
      </c>
      <c r="U979" s="4">
        <v>0</v>
      </c>
      <c r="V979" s="4">
        <v>31</v>
      </c>
      <c r="W979" s="4">
        <v>79</v>
      </c>
    </row>
    <row r="980" spans="1:23" ht="11.25" customHeight="1" x14ac:dyDescent="0.25">
      <c r="A980" s="4" t="s">
        <v>27</v>
      </c>
      <c r="B980" s="4" t="s">
        <v>41</v>
      </c>
      <c r="C980" s="4" t="s">
        <v>42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44409</v>
      </c>
      <c r="J980" s="6">
        <v>0</v>
      </c>
      <c r="K980" s="6">
        <v>0</v>
      </c>
      <c r="L980" s="6">
        <v>-38.170999999999999</v>
      </c>
      <c r="M980" s="6">
        <v>-38.170999999999999</v>
      </c>
      <c r="N980" s="6">
        <v>-38.170999999999999</v>
      </c>
      <c r="O980" s="6">
        <v>-38.170999999999999</v>
      </c>
      <c r="P980" s="6">
        <v>0</v>
      </c>
      <c r="Q980" s="4" t="s">
        <v>26</v>
      </c>
      <c r="R980" s="4">
        <v>0</v>
      </c>
      <c r="S980" s="4" t="s">
        <v>437</v>
      </c>
      <c r="T980" s="4" t="s">
        <v>709</v>
      </c>
      <c r="U980" s="4">
        <v>0</v>
      </c>
      <c r="V980" s="4">
        <v>31</v>
      </c>
      <c r="W980" s="4">
        <v>79</v>
      </c>
    </row>
    <row r="981" spans="1:23" ht="11.25" customHeight="1" x14ac:dyDescent="0.25">
      <c r="A981" s="4" t="s">
        <v>28</v>
      </c>
      <c r="B981" s="4" t="s">
        <v>41</v>
      </c>
      <c r="C981" s="4" t="s">
        <v>42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44409</v>
      </c>
      <c r="J981" s="6">
        <v>0</v>
      </c>
      <c r="K981" s="6">
        <v>0</v>
      </c>
      <c r="L981" s="6">
        <v>280.16800000000001</v>
      </c>
      <c r="M981" s="6">
        <v>280.16800000000001</v>
      </c>
      <c r="N981" s="6">
        <v>280.16800000000001</v>
      </c>
      <c r="O981" s="6">
        <v>280.16800000000001</v>
      </c>
      <c r="P981" s="6">
        <v>0</v>
      </c>
      <c r="Q981" s="4" t="s">
        <v>26</v>
      </c>
      <c r="R981" s="4">
        <v>0</v>
      </c>
      <c r="S981" s="4" t="s">
        <v>437</v>
      </c>
      <c r="T981" s="4" t="s">
        <v>709</v>
      </c>
      <c r="U981" s="4">
        <v>0</v>
      </c>
      <c r="V981" s="4">
        <v>31</v>
      </c>
      <c r="W981" s="4">
        <v>79</v>
      </c>
    </row>
    <row r="982" spans="1:23" ht="11.25" customHeight="1" x14ac:dyDescent="0.25">
      <c r="A982" s="4" t="s">
        <v>21</v>
      </c>
      <c r="B982" s="4" t="s">
        <v>41</v>
      </c>
      <c r="C982" s="4" t="s">
        <v>42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44440</v>
      </c>
      <c r="J982" s="6">
        <v>0</v>
      </c>
      <c r="K982" s="6">
        <v>0</v>
      </c>
      <c r="L982" s="6">
        <v>5235.0050000000001</v>
      </c>
      <c r="M982" s="6">
        <v>5235.0050000000001</v>
      </c>
      <c r="N982" s="6">
        <v>5235.0050000000001</v>
      </c>
      <c r="O982" s="6">
        <v>5235.0050000000001</v>
      </c>
      <c r="P982" s="6">
        <v>0</v>
      </c>
      <c r="Q982" s="4" t="s">
        <v>26</v>
      </c>
      <c r="R982" s="4">
        <v>0</v>
      </c>
      <c r="S982" s="4" t="s">
        <v>438</v>
      </c>
      <c r="T982" s="4" t="s">
        <v>710</v>
      </c>
      <c r="U982" s="4">
        <v>0</v>
      </c>
      <c r="V982" s="4">
        <v>31</v>
      </c>
      <c r="W982" s="4">
        <v>79</v>
      </c>
    </row>
    <row r="983" spans="1:23" ht="11.25" customHeight="1" x14ac:dyDescent="0.25">
      <c r="A983" s="4" t="s">
        <v>28</v>
      </c>
      <c r="B983" s="4" t="s">
        <v>41</v>
      </c>
      <c r="C983" s="4" t="s">
        <v>42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44440</v>
      </c>
      <c r="J983" s="6">
        <v>0</v>
      </c>
      <c r="K983" s="6">
        <v>0</v>
      </c>
      <c r="L983" s="6">
        <v>290.33600000000001</v>
      </c>
      <c r="M983" s="6">
        <v>290.33600000000001</v>
      </c>
      <c r="N983" s="6">
        <v>290.33600000000001</v>
      </c>
      <c r="O983" s="6">
        <v>290.33600000000001</v>
      </c>
      <c r="P983" s="6">
        <v>0</v>
      </c>
      <c r="Q983" s="4" t="s">
        <v>26</v>
      </c>
      <c r="R983" s="4">
        <v>0</v>
      </c>
      <c r="S983" s="4" t="s">
        <v>438</v>
      </c>
      <c r="T983" s="4" t="s">
        <v>710</v>
      </c>
      <c r="U983" s="4">
        <v>0</v>
      </c>
      <c r="V983" s="4">
        <v>31</v>
      </c>
      <c r="W983" s="4">
        <v>79</v>
      </c>
    </row>
    <row r="984" spans="1:23" ht="11.25" customHeight="1" x14ac:dyDescent="0.25">
      <c r="A984" s="4" t="s">
        <v>21</v>
      </c>
      <c r="B984" s="4" t="s">
        <v>41</v>
      </c>
      <c r="C984" s="4" t="s">
        <v>42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44470</v>
      </c>
      <c r="J984" s="6">
        <v>0</v>
      </c>
      <c r="K984" s="6">
        <v>0</v>
      </c>
      <c r="L984" s="6">
        <v>5054.7309999999998</v>
      </c>
      <c r="M984" s="6">
        <v>5054.7309999999998</v>
      </c>
      <c r="N984" s="6">
        <v>5054.7309999999998</v>
      </c>
      <c r="O984" s="6">
        <v>5054.7309999999998</v>
      </c>
      <c r="P984" s="6">
        <v>0</v>
      </c>
      <c r="Q984" s="4" t="s">
        <v>26</v>
      </c>
      <c r="R984" s="4">
        <v>0</v>
      </c>
      <c r="S984" s="4" t="s">
        <v>439</v>
      </c>
      <c r="T984" s="4" t="s">
        <v>711</v>
      </c>
      <c r="U984" s="4">
        <v>0</v>
      </c>
      <c r="V984" s="4">
        <v>31</v>
      </c>
      <c r="W984" s="4">
        <v>79</v>
      </c>
    </row>
    <row r="985" spans="1:23" ht="11.25" customHeight="1" x14ac:dyDescent="0.25">
      <c r="A985" s="4" t="s">
        <v>28</v>
      </c>
      <c r="B985" s="4" t="s">
        <v>41</v>
      </c>
      <c r="C985" s="4" t="s">
        <v>42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35</v>
      </c>
      <c r="I985" s="5">
        <v>44470</v>
      </c>
      <c r="J985" s="6">
        <v>0</v>
      </c>
      <c r="K985" s="6">
        <v>0</v>
      </c>
      <c r="L985" s="6">
        <v>281.50299999999999</v>
      </c>
      <c r="M985" s="6">
        <v>281.50299999999999</v>
      </c>
      <c r="N985" s="6">
        <v>281.50299999999999</v>
      </c>
      <c r="O985" s="6">
        <v>281.50299999999999</v>
      </c>
      <c r="P985" s="6">
        <v>0</v>
      </c>
      <c r="Q985" s="4" t="s">
        <v>26</v>
      </c>
      <c r="R985" s="4">
        <v>0</v>
      </c>
      <c r="S985" s="4" t="s">
        <v>439</v>
      </c>
      <c r="T985" s="4" t="s">
        <v>711</v>
      </c>
      <c r="U985" s="4">
        <v>0</v>
      </c>
      <c r="V985" s="4">
        <v>31</v>
      </c>
      <c r="W985" s="4">
        <v>79</v>
      </c>
    </row>
    <row r="986" spans="1:23" ht="11.25" customHeight="1" x14ac:dyDescent="0.25">
      <c r="A986" s="4" t="s">
        <v>21</v>
      </c>
      <c r="B986" s="4" t="s">
        <v>41</v>
      </c>
      <c r="C986" s="4" t="s">
        <v>42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35</v>
      </c>
      <c r="I986" s="5">
        <v>44501</v>
      </c>
      <c r="J986" s="6">
        <v>0</v>
      </c>
      <c r="K986" s="6">
        <v>0</v>
      </c>
      <c r="L986" s="6">
        <v>4938.0870000000004</v>
      </c>
      <c r="M986" s="6">
        <v>4938.0870000000004</v>
      </c>
      <c r="N986" s="6">
        <v>4938.0870000000004</v>
      </c>
      <c r="O986" s="6">
        <v>4938.0870000000004</v>
      </c>
      <c r="P986" s="6">
        <v>0</v>
      </c>
      <c r="Q986" s="4" t="s">
        <v>26</v>
      </c>
      <c r="R986" s="4">
        <v>0</v>
      </c>
      <c r="S986" s="4" t="s">
        <v>440</v>
      </c>
      <c r="T986" s="4" t="s">
        <v>712</v>
      </c>
      <c r="U986" s="4">
        <v>0</v>
      </c>
      <c r="V986" s="4">
        <v>31</v>
      </c>
      <c r="W986" s="4">
        <v>79</v>
      </c>
    </row>
    <row r="987" spans="1:23" ht="11.25" customHeight="1" x14ac:dyDescent="0.25">
      <c r="A987" s="4" t="s">
        <v>28</v>
      </c>
      <c r="B987" s="4" t="s">
        <v>41</v>
      </c>
      <c r="C987" s="4" t="s">
        <v>42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35</v>
      </c>
      <c r="I987" s="5">
        <v>44501</v>
      </c>
      <c r="J987" s="6">
        <v>0</v>
      </c>
      <c r="K987" s="6">
        <v>0</v>
      </c>
      <c r="L987" s="6">
        <v>289.91399999999999</v>
      </c>
      <c r="M987" s="6">
        <v>289.91399999999999</v>
      </c>
      <c r="N987" s="6">
        <v>289.91399999999999</v>
      </c>
      <c r="O987" s="6">
        <v>289.91399999999999</v>
      </c>
      <c r="P987" s="6">
        <v>0</v>
      </c>
      <c r="Q987" s="4" t="s">
        <v>26</v>
      </c>
      <c r="R987" s="4">
        <v>0</v>
      </c>
      <c r="S987" s="4" t="s">
        <v>440</v>
      </c>
      <c r="T987" s="4" t="s">
        <v>712</v>
      </c>
      <c r="U987" s="4">
        <v>0</v>
      </c>
      <c r="V987" s="4">
        <v>31</v>
      </c>
      <c r="W987" s="4">
        <v>79</v>
      </c>
    </row>
    <row r="988" spans="1:23" ht="11.25" customHeight="1" x14ac:dyDescent="0.25">
      <c r="A988" s="4" t="s">
        <v>21</v>
      </c>
      <c r="B988" s="4" t="s">
        <v>41</v>
      </c>
      <c r="C988" s="4" t="s">
        <v>42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35</v>
      </c>
      <c r="I988" s="5">
        <v>44531</v>
      </c>
      <c r="J988" s="6">
        <v>0</v>
      </c>
      <c r="K988" s="6">
        <v>0</v>
      </c>
      <c r="L988" s="6">
        <v>4622.7139999999999</v>
      </c>
      <c r="M988" s="6">
        <v>4622.7139999999999</v>
      </c>
      <c r="N988" s="6">
        <v>4622.7139999999999</v>
      </c>
      <c r="O988" s="6">
        <v>4622.7139999999999</v>
      </c>
      <c r="P988" s="6">
        <v>0</v>
      </c>
      <c r="Q988" s="4" t="s">
        <v>26</v>
      </c>
      <c r="R988" s="4">
        <v>0</v>
      </c>
      <c r="S988" s="4" t="s">
        <v>441</v>
      </c>
      <c r="T988" s="4" t="s">
        <v>713</v>
      </c>
      <c r="U988" s="4">
        <v>0</v>
      </c>
      <c r="V988" s="4">
        <v>31</v>
      </c>
      <c r="W988" s="4">
        <v>79</v>
      </c>
    </row>
    <row r="989" spans="1:23" ht="11.25" customHeight="1" x14ac:dyDescent="0.25">
      <c r="A989" s="4" t="s">
        <v>27</v>
      </c>
      <c r="B989" s="4" t="s">
        <v>41</v>
      </c>
      <c r="C989" s="4" t="s">
        <v>42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35</v>
      </c>
      <c r="I989" s="5">
        <v>44531</v>
      </c>
      <c r="J989" s="6">
        <v>0</v>
      </c>
      <c r="K989" s="6">
        <v>0</v>
      </c>
      <c r="L989" s="6">
        <v>-15.18</v>
      </c>
      <c r="M989" s="6">
        <v>-15.18</v>
      </c>
      <c r="N989" s="6">
        <v>-15.18</v>
      </c>
      <c r="O989" s="6">
        <v>-15.18</v>
      </c>
      <c r="P989" s="6">
        <v>0</v>
      </c>
      <c r="Q989" s="4" t="s">
        <v>26</v>
      </c>
      <c r="R989" s="4">
        <v>0</v>
      </c>
      <c r="S989" s="4" t="s">
        <v>441</v>
      </c>
      <c r="T989" s="4" t="s">
        <v>713</v>
      </c>
      <c r="U989" s="4">
        <v>0</v>
      </c>
      <c r="V989" s="4">
        <v>31</v>
      </c>
      <c r="W989" s="4">
        <v>79</v>
      </c>
    </row>
    <row r="990" spans="1:23" ht="11.25" customHeight="1" x14ac:dyDescent="0.25">
      <c r="A990" s="4" t="s">
        <v>28</v>
      </c>
      <c r="B990" s="4" t="s">
        <v>41</v>
      </c>
      <c r="C990" s="4" t="s">
        <v>42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35</v>
      </c>
      <c r="I990" s="5">
        <v>44531</v>
      </c>
      <c r="J990" s="6">
        <v>0</v>
      </c>
      <c r="K990" s="6">
        <v>0</v>
      </c>
      <c r="L990" s="6">
        <v>276.041</v>
      </c>
      <c r="M990" s="6">
        <v>276.041</v>
      </c>
      <c r="N990" s="6">
        <v>276.041</v>
      </c>
      <c r="O990" s="6">
        <v>276.041</v>
      </c>
      <c r="P990" s="6">
        <v>0</v>
      </c>
      <c r="Q990" s="4" t="s">
        <v>26</v>
      </c>
      <c r="R990" s="4">
        <v>0</v>
      </c>
      <c r="S990" s="4" t="s">
        <v>441</v>
      </c>
      <c r="T990" s="4" t="s">
        <v>713</v>
      </c>
      <c r="U990" s="4">
        <v>0</v>
      </c>
      <c r="V990" s="4">
        <v>31</v>
      </c>
      <c r="W990" s="4">
        <v>79</v>
      </c>
    </row>
    <row r="991" spans="1:23" ht="11.25" customHeight="1" x14ac:dyDescent="0.25">
      <c r="A991" s="4" t="s">
        <v>21</v>
      </c>
      <c r="B991" s="4" t="s">
        <v>41</v>
      </c>
      <c r="C991" s="4" t="s">
        <v>42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35</v>
      </c>
      <c r="I991" s="5">
        <v>44562</v>
      </c>
      <c r="J991" s="6">
        <v>0</v>
      </c>
      <c r="K991" s="6">
        <v>0</v>
      </c>
      <c r="L991" s="6">
        <v>4516.6760000000004</v>
      </c>
      <c r="M991" s="6">
        <v>4516.6760000000004</v>
      </c>
      <c r="N991" s="6">
        <v>4516.6760000000004</v>
      </c>
      <c r="O991" s="6">
        <v>4516.6760000000004</v>
      </c>
      <c r="P991" s="6">
        <v>0</v>
      </c>
      <c r="Q991" s="4" t="s">
        <v>26</v>
      </c>
      <c r="R991" s="4">
        <v>0</v>
      </c>
      <c r="S991" s="4" t="s">
        <v>442</v>
      </c>
      <c r="T991" s="4" t="s">
        <v>714</v>
      </c>
      <c r="U991" s="4">
        <v>0</v>
      </c>
      <c r="V991" s="4">
        <v>31</v>
      </c>
      <c r="W991" s="4">
        <v>79</v>
      </c>
    </row>
    <row r="992" spans="1:23" ht="11.25" customHeight="1" x14ac:dyDescent="0.25">
      <c r="A992" s="4" t="s">
        <v>28</v>
      </c>
      <c r="B992" s="4" t="s">
        <v>41</v>
      </c>
      <c r="C992" s="4" t="s">
        <v>42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35</v>
      </c>
      <c r="I992" s="5">
        <v>44562</v>
      </c>
      <c r="J992" s="6">
        <v>0</v>
      </c>
      <c r="K992" s="6">
        <v>0</v>
      </c>
      <c r="L992" s="6">
        <v>259.95299999999997</v>
      </c>
      <c r="M992" s="6">
        <v>259.95299999999997</v>
      </c>
      <c r="N992" s="6">
        <v>259.95299999999997</v>
      </c>
      <c r="O992" s="6">
        <v>259.95299999999997</v>
      </c>
      <c r="P992" s="6">
        <v>0</v>
      </c>
      <c r="Q992" s="4" t="s">
        <v>26</v>
      </c>
      <c r="R992" s="4">
        <v>0</v>
      </c>
      <c r="S992" s="4" t="s">
        <v>442</v>
      </c>
      <c r="T992" s="4" t="s">
        <v>714</v>
      </c>
      <c r="U992" s="4">
        <v>0</v>
      </c>
      <c r="V992" s="4">
        <v>31</v>
      </c>
      <c r="W992" s="4">
        <v>79</v>
      </c>
    </row>
    <row r="993" spans="1:23" ht="11.25" customHeight="1" x14ac:dyDescent="0.25">
      <c r="A993" s="4" t="s">
        <v>21</v>
      </c>
      <c r="B993" s="4" t="s">
        <v>41</v>
      </c>
      <c r="C993" s="4" t="s">
        <v>42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35</v>
      </c>
      <c r="I993" s="5">
        <v>44593</v>
      </c>
      <c r="J993" s="6">
        <v>0</v>
      </c>
      <c r="K993" s="6">
        <v>0</v>
      </c>
      <c r="L993" s="6">
        <v>4008.799</v>
      </c>
      <c r="M993" s="6">
        <v>4008.799</v>
      </c>
      <c r="N993" s="6">
        <v>4008.799</v>
      </c>
      <c r="O993" s="6">
        <v>4008.799</v>
      </c>
      <c r="P993" s="6">
        <v>0</v>
      </c>
      <c r="Q993" s="4" t="s">
        <v>26</v>
      </c>
      <c r="R993" s="4">
        <v>0</v>
      </c>
      <c r="S993" s="4" t="s">
        <v>443</v>
      </c>
      <c r="T993" s="4" t="s">
        <v>715</v>
      </c>
      <c r="U993" s="4">
        <v>0</v>
      </c>
      <c r="V993" s="4">
        <v>31</v>
      </c>
      <c r="W993" s="4">
        <v>79</v>
      </c>
    </row>
    <row r="994" spans="1:23" ht="11.25" customHeight="1" x14ac:dyDescent="0.25">
      <c r="A994" s="4" t="s">
        <v>27</v>
      </c>
      <c r="B994" s="4" t="s">
        <v>41</v>
      </c>
      <c r="C994" s="4" t="s">
        <v>42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35</v>
      </c>
      <c r="I994" s="5">
        <v>44593</v>
      </c>
      <c r="J994" s="6">
        <v>0</v>
      </c>
      <c r="K994" s="6">
        <v>0</v>
      </c>
      <c r="L994" s="6">
        <v>2.0659999999999998</v>
      </c>
      <c r="M994" s="6">
        <v>2.0659999999999998</v>
      </c>
      <c r="N994" s="6">
        <v>2.0659999999999998</v>
      </c>
      <c r="O994" s="6">
        <v>2.0659999999999998</v>
      </c>
      <c r="P994" s="6">
        <v>0</v>
      </c>
      <c r="Q994" s="4" t="s">
        <v>26</v>
      </c>
      <c r="R994" s="4">
        <v>0</v>
      </c>
      <c r="S994" s="4" t="s">
        <v>443</v>
      </c>
      <c r="T994" s="4" t="s">
        <v>715</v>
      </c>
      <c r="U994" s="4">
        <v>0</v>
      </c>
      <c r="V994" s="4">
        <v>31</v>
      </c>
      <c r="W994" s="4">
        <v>79</v>
      </c>
    </row>
    <row r="995" spans="1:23" ht="11.25" customHeight="1" x14ac:dyDescent="0.25">
      <c r="A995" s="4" t="s">
        <v>28</v>
      </c>
      <c r="B995" s="4" t="s">
        <v>41</v>
      </c>
      <c r="C995" s="4" t="s">
        <v>42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35</v>
      </c>
      <c r="I995" s="5">
        <v>44593</v>
      </c>
      <c r="J995" s="6">
        <v>0</v>
      </c>
      <c r="K995" s="6">
        <v>0</v>
      </c>
      <c r="L995" s="6">
        <v>344.95600000000002</v>
      </c>
      <c r="M995" s="6">
        <v>344.95600000000002</v>
      </c>
      <c r="N995" s="6">
        <v>344.95600000000002</v>
      </c>
      <c r="O995" s="6">
        <v>344.95600000000002</v>
      </c>
      <c r="P995" s="6">
        <v>0</v>
      </c>
      <c r="Q995" s="4" t="s">
        <v>26</v>
      </c>
      <c r="R995" s="4">
        <v>0</v>
      </c>
      <c r="S995" s="4" t="s">
        <v>443</v>
      </c>
      <c r="T995" s="4" t="s">
        <v>715</v>
      </c>
      <c r="U995" s="4">
        <v>0</v>
      </c>
      <c r="V995" s="4">
        <v>31</v>
      </c>
      <c r="W995" s="4">
        <v>79</v>
      </c>
    </row>
    <row r="996" spans="1:23" ht="11.25" customHeight="1" x14ac:dyDescent="0.25">
      <c r="A996" s="4" t="s">
        <v>21</v>
      </c>
      <c r="B996" s="4" t="s">
        <v>41</v>
      </c>
      <c r="C996" s="4" t="s">
        <v>42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35</v>
      </c>
      <c r="I996" s="5">
        <v>44621</v>
      </c>
      <c r="J996" s="6">
        <v>0</v>
      </c>
      <c r="K996" s="6">
        <v>0</v>
      </c>
      <c r="L996" s="6">
        <v>4132.9440000000004</v>
      </c>
      <c r="M996" s="6">
        <v>4132.9440000000004</v>
      </c>
      <c r="N996" s="6">
        <v>4132.9440000000004</v>
      </c>
      <c r="O996" s="6">
        <v>4132.9440000000004</v>
      </c>
      <c r="P996" s="6">
        <v>0</v>
      </c>
      <c r="Q996" s="4" t="s">
        <v>26</v>
      </c>
      <c r="R996" s="4">
        <v>0</v>
      </c>
      <c r="S996" s="4" t="s">
        <v>444</v>
      </c>
      <c r="T996" s="4" t="s">
        <v>716</v>
      </c>
      <c r="U996" s="4">
        <v>0</v>
      </c>
      <c r="V996" s="4">
        <v>31</v>
      </c>
      <c r="W996" s="4">
        <v>79</v>
      </c>
    </row>
    <row r="997" spans="1:23" ht="11.25" customHeight="1" x14ac:dyDescent="0.25">
      <c r="A997" s="4" t="s">
        <v>28</v>
      </c>
      <c r="B997" s="4" t="s">
        <v>41</v>
      </c>
      <c r="C997" s="4" t="s">
        <v>42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35</v>
      </c>
      <c r="I997" s="5">
        <v>44621</v>
      </c>
      <c r="J997" s="6">
        <v>0</v>
      </c>
      <c r="K997" s="6">
        <v>0</v>
      </c>
      <c r="L997" s="6">
        <v>209.024</v>
      </c>
      <c r="M997" s="6">
        <v>209.024</v>
      </c>
      <c r="N997" s="6">
        <v>209.024</v>
      </c>
      <c r="O997" s="6">
        <v>209.024</v>
      </c>
      <c r="P997" s="6">
        <v>0</v>
      </c>
      <c r="Q997" s="4" t="s">
        <v>26</v>
      </c>
      <c r="R997" s="4">
        <v>0</v>
      </c>
      <c r="S997" s="4" t="s">
        <v>444</v>
      </c>
      <c r="T997" s="4" t="s">
        <v>716</v>
      </c>
      <c r="U997" s="4">
        <v>0</v>
      </c>
      <c r="V997" s="4">
        <v>31</v>
      </c>
      <c r="W997" s="4">
        <v>79</v>
      </c>
    </row>
    <row r="998" spans="1:23" ht="11.25" customHeight="1" x14ac:dyDescent="0.25">
      <c r="A998" s="4" t="s">
        <v>28</v>
      </c>
      <c r="B998" s="4" t="s">
        <v>41</v>
      </c>
      <c r="C998" s="4" t="s">
        <v>42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35</v>
      </c>
      <c r="I998" s="5">
        <v>44621</v>
      </c>
      <c r="J998" s="6">
        <v>0</v>
      </c>
      <c r="K998" s="6">
        <v>0</v>
      </c>
      <c r="L998" s="6">
        <v>-6.0369999999999999</v>
      </c>
      <c r="M998" s="6">
        <v>-6.0369999999999999</v>
      </c>
      <c r="N998" s="6">
        <v>-6.0369999999999999</v>
      </c>
      <c r="O998" s="6">
        <v>-6.0369999999999999</v>
      </c>
      <c r="P998" s="6">
        <v>0</v>
      </c>
      <c r="Q998" s="4" t="s">
        <v>26</v>
      </c>
      <c r="R998" s="4">
        <v>0</v>
      </c>
      <c r="S998" s="4" t="s">
        <v>444</v>
      </c>
      <c r="T998" s="4" t="s">
        <v>716</v>
      </c>
      <c r="U998" s="4">
        <v>0</v>
      </c>
      <c r="V998" s="4">
        <v>31</v>
      </c>
      <c r="W998" s="4">
        <v>79</v>
      </c>
    </row>
    <row r="999" spans="1:23" ht="11.25" customHeight="1" x14ac:dyDescent="0.25">
      <c r="A999" s="4" t="s">
        <v>21</v>
      </c>
      <c r="B999" s="4" t="s">
        <v>41</v>
      </c>
      <c r="C999" s="4" t="s">
        <v>42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35</v>
      </c>
      <c r="I999" s="5">
        <v>44652</v>
      </c>
      <c r="J999" s="6">
        <v>0</v>
      </c>
      <c r="K999" s="6">
        <v>0</v>
      </c>
      <c r="L999" s="6">
        <v>4005.3629999999998</v>
      </c>
      <c r="M999" s="6">
        <v>4005.3629999999998</v>
      </c>
      <c r="N999" s="6">
        <v>4005.3629999999998</v>
      </c>
      <c r="O999" s="6">
        <v>4005.3629999999998</v>
      </c>
      <c r="P999" s="6">
        <v>0</v>
      </c>
      <c r="Q999" s="4" t="s">
        <v>26</v>
      </c>
      <c r="R999" s="4">
        <v>0</v>
      </c>
      <c r="S999" s="4" t="s">
        <v>445</v>
      </c>
      <c r="T999" s="4" t="s">
        <v>717</v>
      </c>
      <c r="U999" s="4">
        <v>0</v>
      </c>
      <c r="V999" s="4">
        <v>31</v>
      </c>
      <c r="W999" s="4">
        <v>79</v>
      </c>
    </row>
    <row r="1000" spans="1:23" ht="11.25" customHeight="1" x14ac:dyDescent="0.25">
      <c r="A1000" s="4" t="s">
        <v>27</v>
      </c>
      <c r="B1000" s="4" t="s">
        <v>41</v>
      </c>
      <c r="C1000" s="4" t="s">
        <v>42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35</v>
      </c>
      <c r="I1000" s="5">
        <v>44652</v>
      </c>
      <c r="J1000" s="6">
        <v>0</v>
      </c>
      <c r="K1000" s="6">
        <v>0</v>
      </c>
      <c r="L1000" s="6">
        <v>3.5950000000000002</v>
      </c>
      <c r="M1000" s="6">
        <v>3.5950000000000002</v>
      </c>
      <c r="N1000" s="6">
        <v>3.5950000000000002</v>
      </c>
      <c r="O1000" s="6">
        <v>3.5950000000000002</v>
      </c>
      <c r="P1000" s="6">
        <v>0</v>
      </c>
      <c r="Q1000" s="4" t="s">
        <v>26</v>
      </c>
      <c r="R1000" s="4">
        <v>0</v>
      </c>
      <c r="S1000" s="4" t="s">
        <v>445</v>
      </c>
      <c r="T1000" s="4" t="s">
        <v>717</v>
      </c>
      <c r="U1000" s="4">
        <v>0</v>
      </c>
      <c r="V1000" s="4">
        <v>31</v>
      </c>
      <c r="W1000" s="4">
        <v>79</v>
      </c>
    </row>
    <row r="1001" spans="1:23" ht="11.25" customHeight="1" x14ac:dyDescent="0.25">
      <c r="A1001" s="4" t="s">
        <v>28</v>
      </c>
      <c r="B1001" s="4" t="s">
        <v>41</v>
      </c>
      <c r="C1001" s="4" t="s">
        <v>42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35</v>
      </c>
      <c r="I1001" s="5">
        <v>44652</v>
      </c>
      <c r="J1001" s="6">
        <v>0</v>
      </c>
      <c r="K1001" s="6">
        <v>0</v>
      </c>
      <c r="L1001" s="6">
        <v>209.95500000000001</v>
      </c>
      <c r="M1001" s="6">
        <v>209.95500000000001</v>
      </c>
      <c r="N1001" s="6">
        <v>209.95500000000001</v>
      </c>
      <c r="O1001" s="6">
        <v>209.95500000000001</v>
      </c>
      <c r="P1001" s="6">
        <v>0</v>
      </c>
      <c r="Q1001" s="4" t="s">
        <v>26</v>
      </c>
      <c r="R1001" s="4">
        <v>0</v>
      </c>
      <c r="S1001" s="4" t="s">
        <v>445</v>
      </c>
      <c r="T1001" s="4" t="s">
        <v>717</v>
      </c>
      <c r="U1001" s="4">
        <v>0</v>
      </c>
      <c r="V1001" s="4">
        <v>31</v>
      </c>
      <c r="W1001" s="4">
        <v>79</v>
      </c>
    </row>
    <row r="1002" spans="1:23" ht="11.25" customHeight="1" x14ac:dyDescent="0.25">
      <c r="A1002" s="4" t="s">
        <v>58</v>
      </c>
      <c r="B1002" s="4" t="s">
        <v>41</v>
      </c>
      <c r="C1002" s="4" t="s">
        <v>42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35</v>
      </c>
      <c r="I1002" s="5">
        <v>44682</v>
      </c>
      <c r="J1002" s="6">
        <v>0</v>
      </c>
      <c r="K1002" s="6">
        <v>0</v>
      </c>
      <c r="L1002" s="6">
        <v>4005.3629999999998</v>
      </c>
      <c r="M1002" s="6">
        <v>4005.3629999999998</v>
      </c>
      <c r="N1002" s="6">
        <v>4005.3629999999998</v>
      </c>
      <c r="O1002" s="6">
        <v>4005.3629999999998</v>
      </c>
      <c r="P1002" s="6">
        <v>0</v>
      </c>
      <c r="Q1002" s="4" t="s">
        <v>26</v>
      </c>
      <c r="R1002" s="4">
        <v>0</v>
      </c>
      <c r="S1002" s="4" t="s">
        <v>446</v>
      </c>
      <c r="T1002" s="4" t="s">
        <v>718</v>
      </c>
      <c r="U1002" s="4">
        <v>0</v>
      </c>
      <c r="V1002" s="4">
        <v>31</v>
      </c>
      <c r="W1002" s="4">
        <v>79</v>
      </c>
    </row>
    <row r="1003" spans="1:23" ht="11.25" customHeight="1" x14ac:dyDescent="0.25">
      <c r="A1003" s="4" t="s">
        <v>58</v>
      </c>
      <c r="B1003" s="4" t="s">
        <v>41</v>
      </c>
      <c r="C1003" s="4" t="s">
        <v>42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35</v>
      </c>
      <c r="I1003" s="5">
        <v>44682</v>
      </c>
      <c r="J1003" s="6">
        <v>0</v>
      </c>
      <c r="K1003" s="6">
        <v>0</v>
      </c>
      <c r="L1003" s="6">
        <v>3.5950000000000002</v>
      </c>
      <c r="M1003" s="6">
        <v>3.5950000000000002</v>
      </c>
      <c r="N1003" s="6">
        <v>3.5950000000000002</v>
      </c>
      <c r="O1003" s="6">
        <v>3.5950000000000002</v>
      </c>
      <c r="P1003" s="6">
        <v>0</v>
      </c>
      <c r="Q1003" s="4" t="s">
        <v>26</v>
      </c>
      <c r="R1003" s="4">
        <v>0</v>
      </c>
      <c r="S1003" s="4" t="s">
        <v>446</v>
      </c>
      <c r="T1003" s="4" t="s">
        <v>718</v>
      </c>
      <c r="U1003" s="4">
        <v>0</v>
      </c>
      <c r="V1003" s="4">
        <v>31</v>
      </c>
      <c r="W1003" s="4">
        <v>79</v>
      </c>
    </row>
    <row r="1004" spans="1:23" ht="11.25" customHeight="1" x14ac:dyDescent="0.25">
      <c r="A1004" s="4" t="s">
        <v>58</v>
      </c>
      <c r="B1004" s="4" t="s">
        <v>41</v>
      </c>
      <c r="C1004" s="4" t="s">
        <v>42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35</v>
      </c>
      <c r="I1004" s="5">
        <v>44682</v>
      </c>
      <c r="J1004" s="6">
        <v>0</v>
      </c>
      <c r="K1004" s="6">
        <v>0</v>
      </c>
      <c r="L1004" s="6">
        <v>209.95500000000001</v>
      </c>
      <c r="M1004" s="6">
        <v>209.95500000000001</v>
      </c>
      <c r="N1004" s="6">
        <v>209.95500000000001</v>
      </c>
      <c r="O1004" s="6">
        <v>209.95500000000001</v>
      </c>
      <c r="P1004" s="6">
        <v>0</v>
      </c>
      <c r="Q1004" s="4" t="s">
        <v>26</v>
      </c>
      <c r="R1004" s="4">
        <v>0</v>
      </c>
      <c r="S1004" s="4" t="s">
        <v>446</v>
      </c>
      <c r="T1004" s="4" t="s">
        <v>718</v>
      </c>
      <c r="U1004" s="4">
        <v>0</v>
      </c>
      <c r="V1004" s="4">
        <v>31</v>
      </c>
      <c r="W1004" s="4">
        <v>79</v>
      </c>
    </row>
    <row r="1005" spans="1:23" ht="11.25" customHeight="1" x14ac:dyDescent="0.25">
      <c r="A1005" s="4" t="s">
        <v>21</v>
      </c>
      <c r="B1005" s="4" t="s">
        <v>41</v>
      </c>
      <c r="C1005" s="4" t="s">
        <v>42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44348</v>
      </c>
      <c r="J1005" s="6">
        <v>34567</v>
      </c>
      <c r="K1005" s="6">
        <v>34567</v>
      </c>
      <c r="L1005" s="6">
        <v>0</v>
      </c>
      <c r="M1005" s="6">
        <v>0</v>
      </c>
      <c r="N1005" s="6">
        <v>0</v>
      </c>
      <c r="O1005" s="6">
        <v>0</v>
      </c>
      <c r="P1005" s="6">
        <v>192</v>
      </c>
      <c r="Q1005" s="4" t="s">
        <v>26</v>
      </c>
      <c r="R1005" s="4">
        <v>0</v>
      </c>
      <c r="S1005" s="4" t="s">
        <v>447</v>
      </c>
      <c r="U1005" s="4">
        <v>29</v>
      </c>
      <c r="V1005" s="4">
        <v>0</v>
      </c>
      <c r="W1005" s="4">
        <v>0</v>
      </c>
    </row>
    <row r="1006" spans="1:23" ht="11.25" customHeight="1" x14ac:dyDescent="0.25">
      <c r="A1006" s="4" t="s">
        <v>28</v>
      </c>
      <c r="B1006" s="4" t="s">
        <v>41</v>
      </c>
      <c r="C1006" s="4" t="s">
        <v>42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44348</v>
      </c>
      <c r="J1006" s="6">
        <v>2982</v>
      </c>
      <c r="K1006" s="6">
        <v>2982</v>
      </c>
      <c r="L1006" s="6">
        <v>0</v>
      </c>
      <c r="M1006" s="6">
        <v>0</v>
      </c>
      <c r="N1006" s="6">
        <v>0</v>
      </c>
      <c r="O1006" s="6">
        <v>0</v>
      </c>
      <c r="P1006" s="6">
        <v>10</v>
      </c>
      <c r="Q1006" s="4" t="s">
        <v>26</v>
      </c>
      <c r="R1006" s="4">
        <v>0</v>
      </c>
      <c r="S1006" s="4" t="s">
        <v>447</v>
      </c>
      <c r="U1006" s="4">
        <v>29</v>
      </c>
      <c r="V1006" s="4">
        <v>0</v>
      </c>
      <c r="W1006" s="4">
        <v>0</v>
      </c>
    </row>
    <row r="1007" spans="1:23" ht="11.25" customHeight="1" x14ac:dyDescent="0.25">
      <c r="A1007" s="4" t="s">
        <v>21</v>
      </c>
      <c r="B1007" s="4" t="s">
        <v>41</v>
      </c>
      <c r="C1007" s="4" t="s">
        <v>42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44378</v>
      </c>
      <c r="J1007" s="6">
        <v>33785</v>
      </c>
      <c r="K1007" s="6">
        <v>33785</v>
      </c>
      <c r="L1007" s="6">
        <v>0</v>
      </c>
      <c r="M1007" s="6">
        <v>0</v>
      </c>
      <c r="N1007" s="6">
        <v>0</v>
      </c>
      <c r="O1007" s="6">
        <v>0</v>
      </c>
      <c r="P1007" s="6">
        <v>188</v>
      </c>
      <c r="Q1007" s="4" t="s">
        <v>26</v>
      </c>
      <c r="R1007" s="4">
        <v>0</v>
      </c>
      <c r="S1007" s="4" t="s">
        <v>448</v>
      </c>
      <c r="U1007" s="4">
        <v>29</v>
      </c>
      <c r="V1007" s="4">
        <v>0</v>
      </c>
      <c r="W1007" s="4">
        <v>0</v>
      </c>
    </row>
    <row r="1008" spans="1:23" ht="11.25" customHeight="1" x14ac:dyDescent="0.25">
      <c r="A1008" s="4" t="s">
        <v>27</v>
      </c>
      <c r="B1008" s="4" t="s">
        <v>41</v>
      </c>
      <c r="C1008" s="4" t="s">
        <v>42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44378</v>
      </c>
      <c r="J1008" s="6">
        <v>143</v>
      </c>
      <c r="K1008" s="6">
        <v>143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4" t="s">
        <v>26</v>
      </c>
      <c r="R1008" s="4">
        <v>0</v>
      </c>
      <c r="S1008" s="4" t="s">
        <v>448</v>
      </c>
      <c r="U1008" s="4">
        <v>29</v>
      </c>
      <c r="V1008" s="4">
        <v>0</v>
      </c>
      <c r="W1008" s="4">
        <v>0</v>
      </c>
    </row>
    <row r="1009" spans="1:23" ht="11.25" customHeight="1" x14ac:dyDescent="0.25">
      <c r="A1009" s="4" t="s">
        <v>28</v>
      </c>
      <c r="B1009" s="4" t="s">
        <v>41</v>
      </c>
      <c r="C1009" s="4" t="s">
        <v>42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44378</v>
      </c>
      <c r="J1009" s="6">
        <v>5760</v>
      </c>
      <c r="K1009" s="6">
        <v>5760</v>
      </c>
      <c r="L1009" s="6">
        <v>0</v>
      </c>
      <c r="M1009" s="6">
        <v>0</v>
      </c>
      <c r="N1009" s="6">
        <v>0</v>
      </c>
      <c r="O1009" s="6">
        <v>0</v>
      </c>
      <c r="P1009" s="6">
        <v>12</v>
      </c>
      <c r="Q1009" s="4" t="s">
        <v>26</v>
      </c>
      <c r="R1009" s="4">
        <v>0</v>
      </c>
      <c r="S1009" s="4" t="s">
        <v>448</v>
      </c>
      <c r="U1009" s="4">
        <v>29</v>
      </c>
      <c r="V1009" s="4">
        <v>0</v>
      </c>
      <c r="W1009" s="4">
        <v>0</v>
      </c>
    </row>
    <row r="1010" spans="1:23" ht="11.25" customHeight="1" x14ac:dyDescent="0.25">
      <c r="A1010" s="4" t="s">
        <v>28</v>
      </c>
      <c r="B1010" s="4" t="s">
        <v>41</v>
      </c>
      <c r="C1010" s="4" t="s">
        <v>42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44378</v>
      </c>
      <c r="J1010" s="6">
        <v>-1557</v>
      </c>
      <c r="K1010" s="6">
        <v>-1557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4" t="s">
        <v>26</v>
      </c>
      <c r="R1010" s="4">
        <v>0</v>
      </c>
      <c r="S1010" s="4" t="s">
        <v>448</v>
      </c>
      <c r="U1010" s="4">
        <v>29</v>
      </c>
      <c r="V1010" s="4">
        <v>0</v>
      </c>
      <c r="W1010" s="4">
        <v>0</v>
      </c>
    </row>
    <row r="1011" spans="1:23" ht="11.25" customHeight="1" x14ac:dyDescent="0.25">
      <c r="A1011" s="4" t="s">
        <v>21</v>
      </c>
      <c r="B1011" s="4" t="s">
        <v>41</v>
      </c>
      <c r="C1011" s="4" t="s">
        <v>42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44409</v>
      </c>
      <c r="J1011" s="6">
        <v>32965</v>
      </c>
      <c r="K1011" s="6">
        <v>32965</v>
      </c>
      <c r="L1011" s="6">
        <v>0</v>
      </c>
      <c r="M1011" s="6">
        <v>0</v>
      </c>
      <c r="N1011" s="6">
        <v>0</v>
      </c>
      <c r="O1011" s="6">
        <v>0</v>
      </c>
      <c r="P1011" s="6">
        <v>188</v>
      </c>
      <c r="Q1011" s="4" t="s">
        <v>26</v>
      </c>
      <c r="R1011" s="4">
        <v>0</v>
      </c>
      <c r="S1011" s="4" t="s">
        <v>449</v>
      </c>
      <c r="U1011" s="4">
        <v>29</v>
      </c>
      <c r="V1011" s="4">
        <v>0</v>
      </c>
      <c r="W1011" s="4">
        <v>0</v>
      </c>
    </row>
    <row r="1012" spans="1:23" ht="11.25" customHeight="1" x14ac:dyDescent="0.25">
      <c r="A1012" s="4" t="s">
        <v>27</v>
      </c>
      <c r="B1012" s="4" t="s">
        <v>41</v>
      </c>
      <c r="C1012" s="4" t="s">
        <v>42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44409</v>
      </c>
      <c r="J1012" s="6">
        <v>132</v>
      </c>
      <c r="K1012" s="6">
        <v>132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4" t="s">
        <v>26</v>
      </c>
      <c r="R1012" s="4">
        <v>0</v>
      </c>
      <c r="S1012" s="4" t="s">
        <v>449</v>
      </c>
      <c r="U1012" s="4">
        <v>29</v>
      </c>
      <c r="V1012" s="4">
        <v>0</v>
      </c>
      <c r="W1012" s="4">
        <v>0</v>
      </c>
    </row>
    <row r="1013" spans="1:23" ht="11.25" customHeight="1" x14ac:dyDescent="0.25">
      <c r="A1013" s="4" t="s">
        <v>28</v>
      </c>
      <c r="B1013" s="4" t="s">
        <v>41</v>
      </c>
      <c r="C1013" s="4" t="s">
        <v>42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44409</v>
      </c>
      <c r="J1013" s="6">
        <v>5759</v>
      </c>
      <c r="K1013" s="6">
        <v>5759</v>
      </c>
      <c r="L1013" s="6">
        <v>0</v>
      </c>
      <c r="M1013" s="6">
        <v>0</v>
      </c>
      <c r="N1013" s="6">
        <v>0</v>
      </c>
      <c r="O1013" s="6">
        <v>0</v>
      </c>
      <c r="P1013" s="6">
        <v>12</v>
      </c>
      <c r="Q1013" s="4" t="s">
        <v>26</v>
      </c>
      <c r="R1013" s="4">
        <v>0</v>
      </c>
      <c r="S1013" s="4" t="s">
        <v>449</v>
      </c>
      <c r="U1013" s="4">
        <v>29</v>
      </c>
      <c r="V1013" s="4">
        <v>0</v>
      </c>
      <c r="W1013" s="4">
        <v>0</v>
      </c>
    </row>
    <row r="1014" spans="1:23" ht="11.25" customHeight="1" x14ac:dyDescent="0.25">
      <c r="A1014" s="4" t="s">
        <v>21</v>
      </c>
      <c r="B1014" s="4" t="s">
        <v>41</v>
      </c>
      <c r="C1014" s="4" t="s">
        <v>42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44440</v>
      </c>
      <c r="J1014" s="6">
        <v>32923</v>
      </c>
      <c r="K1014" s="6">
        <v>32923</v>
      </c>
      <c r="L1014" s="6">
        <v>0</v>
      </c>
      <c r="M1014" s="6">
        <v>0</v>
      </c>
      <c r="N1014" s="6">
        <v>0</v>
      </c>
      <c r="O1014" s="6">
        <v>0</v>
      </c>
      <c r="P1014" s="6">
        <v>188</v>
      </c>
      <c r="Q1014" s="4" t="s">
        <v>26</v>
      </c>
      <c r="R1014" s="4">
        <v>0</v>
      </c>
      <c r="S1014" s="4" t="s">
        <v>450</v>
      </c>
      <c r="U1014" s="4">
        <v>29</v>
      </c>
      <c r="V1014" s="4">
        <v>0</v>
      </c>
      <c r="W1014" s="4">
        <v>0</v>
      </c>
    </row>
    <row r="1015" spans="1:23" ht="11.25" customHeight="1" x14ac:dyDescent="0.25">
      <c r="A1015" s="4" t="s">
        <v>28</v>
      </c>
      <c r="B1015" s="4" t="s">
        <v>41</v>
      </c>
      <c r="C1015" s="4" t="s">
        <v>42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44440</v>
      </c>
      <c r="J1015" s="6">
        <v>5902</v>
      </c>
      <c r="K1015" s="6">
        <v>5902</v>
      </c>
      <c r="L1015" s="6">
        <v>0</v>
      </c>
      <c r="M1015" s="6">
        <v>0</v>
      </c>
      <c r="N1015" s="6">
        <v>0</v>
      </c>
      <c r="O1015" s="6">
        <v>0</v>
      </c>
      <c r="P1015" s="6">
        <v>13</v>
      </c>
      <c r="Q1015" s="4" t="s">
        <v>26</v>
      </c>
      <c r="R1015" s="4">
        <v>0</v>
      </c>
      <c r="S1015" s="4" t="s">
        <v>450</v>
      </c>
      <c r="U1015" s="4">
        <v>29</v>
      </c>
      <c r="V1015" s="4">
        <v>0</v>
      </c>
      <c r="W1015" s="4">
        <v>0</v>
      </c>
    </row>
    <row r="1016" spans="1:23" ht="11.25" customHeight="1" x14ac:dyDescent="0.25">
      <c r="A1016" s="4" t="s">
        <v>21</v>
      </c>
      <c r="B1016" s="4" t="s">
        <v>41</v>
      </c>
      <c r="C1016" s="4" t="s">
        <v>42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44470</v>
      </c>
      <c r="J1016" s="6">
        <v>31821</v>
      </c>
      <c r="K1016" s="6">
        <v>31821</v>
      </c>
      <c r="L1016" s="6">
        <v>0</v>
      </c>
      <c r="M1016" s="6">
        <v>0</v>
      </c>
      <c r="N1016" s="6">
        <v>0</v>
      </c>
      <c r="O1016" s="6">
        <v>0</v>
      </c>
      <c r="P1016" s="6">
        <v>186</v>
      </c>
      <c r="Q1016" s="4" t="s">
        <v>26</v>
      </c>
      <c r="R1016" s="4">
        <v>0</v>
      </c>
      <c r="S1016" s="4" t="s">
        <v>451</v>
      </c>
      <c r="U1016" s="4">
        <v>29</v>
      </c>
      <c r="V1016" s="4">
        <v>0</v>
      </c>
      <c r="W1016" s="4">
        <v>0</v>
      </c>
    </row>
    <row r="1017" spans="1:23" ht="11.25" customHeight="1" x14ac:dyDescent="0.25">
      <c r="A1017" s="4" t="s">
        <v>28</v>
      </c>
      <c r="B1017" s="4" t="s">
        <v>41</v>
      </c>
      <c r="C1017" s="4" t="s">
        <v>42</v>
      </c>
      <c r="D1017" s="4" t="s">
        <v>38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44470</v>
      </c>
      <c r="J1017" s="6">
        <v>5971</v>
      </c>
      <c r="K1017" s="6">
        <v>5971</v>
      </c>
      <c r="L1017" s="6">
        <v>0</v>
      </c>
      <c r="M1017" s="6">
        <v>0</v>
      </c>
      <c r="N1017" s="6">
        <v>0</v>
      </c>
      <c r="O1017" s="6">
        <v>0</v>
      </c>
      <c r="P1017" s="6">
        <v>14</v>
      </c>
      <c r="Q1017" s="4" t="s">
        <v>26</v>
      </c>
      <c r="R1017" s="4">
        <v>0</v>
      </c>
      <c r="S1017" s="4" t="s">
        <v>451</v>
      </c>
      <c r="U1017" s="4">
        <v>29</v>
      </c>
      <c r="V1017" s="4">
        <v>0</v>
      </c>
      <c r="W1017" s="4">
        <v>0</v>
      </c>
    </row>
    <row r="1018" spans="1:23" ht="11.25" customHeight="1" x14ac:dyDescent="0.25">
      <c r="A1018" s="4" t="s">
        <v>21</v>
      </c>
      <c r="B1018" s="4" t="s">
        <v>41</v>
      </c>
      <c r="C1018" s="4" t="s">
        <v>42</v>
      </c>
      <c r="D1018" s="4" t="s">
        <v>38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44501</v>
      </c>
      <c r="J1018" s="6">
        <v>31246</v>
      </c>
      <c r="K1018" s="6">
        <v>31246</v>
      </c>
      <c r="L1018" s="6">
        <v>0</v>
      </c>
      <c r="M1018" s="6">
        <v>0</v>
      </c>
      <c r="N1018" s="6">
        <v>0</v>
      </c>
      <c r="O1018" s="6">
        <v>0</v>
      </c>
      <c r="P1018" s="6">
        <v>182</v>
      </c>
      <c r="Q1018" s="4" t="s">
        <v>26</v>
      </c>
      <c r="R1018" s="4">
        <v>0</v>
      </c>
      <c r="S1018" s="4" t="s">
        <v>452</v>
      </c>
      <c r="U1018" s="4">
        <v>29</v>
      </c>
      <c r="V1018" s="4">
        <v>0</v>
      </c>
      <c r="W1018" s="4">
        <v>0</v>
      </c>
    </row>
    <row r="1019" spans="1:23" ht="11.25" customHeight="1" x14ac:dyDescent="0.25">
      <c r="A1019" s="4" t="s">
        <v>27</v>
      </c>
      <c r="B1019" s="4" t="s">
        <v>41</v>
      </c>
      <c r="C1019" s="4" t="s">
        <v>42</v>
      </c>
      <c r="D1019" s="4" t="s">
        <v>38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44501</v>
      </c>
      <c r="J1019" s="6">
        <v>-85</v>
      </c>
      <c r="K1019" s="6">
        <v>-85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4" t="s">
        <v>26</v>
      </c>
      <c r="R1019" s="4">
        <v>0</v>
      </c>
      <c r="S1019" s="4" t="s">
        <v>452</v>
      </c>
      <c r="U1019" s="4">
        <v>29</v>
      </c>
      <c r="V1019" s="4">
        <v>0</v>
      </c>
      <c r="W1019" s="4">
        <v>0</v>
      </c>
    </row>
    <row r="1020" spans="1:23" ht="11.25" customHeight="1" x14ac:dyDescent="0.25">
      <c r="A1020" s="4" t="s">
        <v>28</v>
      </c>
      <c r="B1020" s="4" t="s">
        <v>41</v>
      </c>
      <c r="C1020" s="4" t="s">
        <v>42</v>
      </c>
      <c r="D1020" s="4" t="s">
        <v>38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44501</v>
      </c>
      <c r="J1020" s="6">
        <v>6262</v>
      </c>
      <c r="K1020" s="6">
        <v>6262</v>
      </c>
      <c r="L1020" s="6">
        <v>0</v>
      </c>
      <c r="M1020" s="6">
        <v>0</v>
      </c>
      <c r="N1020" s="6">
        <v>0</v>
      </c>
      <c r="O1020" s="6">
        <v>0</v>
      </c>
      <c r="P1020" s="6">
        <v>16</v>
      </c>
      <c r="Q1020" s="4" t="s">
        <v>26</v>
      </c>
      <c r="R1020" s="4">
        <v>0</v>
      </c>
      <c r="S1020" s="4" t="s">
        <v>452</v>
      </c>
      <c r="U1020" s="4">
        <v>29</v>
      </c>
      <c r="V1020" s="4">
        <v>0</v>
      </c>
      <c r="W1020" s="4">
        <v>0</v>
      </c>
    </row>
    <row r="1021" spans="1:23" ht="11.25" customHeight="1" x14ac:dyDescent="0.25">
      <c r="A1021" s="4" t="s">
        <v>21</v>
      </c>
      <c r="B1021" s="4" t="s">
        <v>41</v>
      </c>
      <c r="C1021" s="4" t="s">
        <v>42</v>
      </c>
      <c r="D1021" s="4" t="s">
        <v>38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44531</v>
      </c>
      <c r="J1021" s="6">
        <v>31182</v>
      </c>
      <c r="K1021" s="6">
        <v>31182</v>
      </c>
      <c r="L1021" s="6">
        <v>0</v>
      </c>
      <c r="M1021" s="6">
        <v>0</v>
      </c>
      <c r="N1021" s="6">
        <v>0</v>
      </c>
      <c r="O1021" s="6">
        <v>0</v>
      </c>
      <c r="P1021" s="6">
        <v>180</v>
      </c>
      <c r="Q1021" s="4" t="s">
        <v>26</v>
      </c>
      <c r="R1021" s="4">
        <v>0</v>
      </c>
      <c r="S1021" s="4" t="s">
        <v>453</v>
      </c>
      <c r="U1021" s="4">
        <v>29</v>
      </c>
      <c r="V1021" s="4">
        <v>0</v>
      </c>
      <c r="W1021" s="4">
        <v>0</v>
      </c>
    </row>
    <row r="1022" spans="1:23" ht="11.25" customHeight="1" x14ac:dyDescent="0.25">
      <c r="A1022" s="4" t="s">
        <v>28</v>
      </c>
      <c r="B1022" s="4" t="s">
        <v>41</v>
      </c>
      <c r="C1022" s="4" t="s">
        <v>42</v>
      </c>
      <c r="D1022" s="4" t="s">
        <v>38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44531</v>
      </c>
      <c r="J1022" s="6">
        <v>6329</v>
      </c>
      <c r="K1022" s="6">
        <v>6329</v>
      </c>
      <c r="L1022" s="6">
        <v>0</v>
      </c>
      <c r="M1022" s="6">
        <v>0</v>
      </c>
      <c r="N1022" s="6">
        <v>0</v>
      </c>
      <c r="O1022" s="6">
        <v>0</v>
      </c>
      <c r="P1022" s="6">
        <v>18</v>
      </c>
      <c r="Q1022" s="4" t="s">
        <v>26</v>
      </c>
      <c r="R1022" s="4">
        <v>0</v>
      </c>
      <c r="S1022" s="4" t="s">
        <v>453</v>
      </c>
      <c r="U1022" s="4">
        <v>29</v>
      </c>
      <c r="V1022" s="4">
        <v>0</v>
      </c>
      <c r="W1022" s="4">
        <v>0</v>
      </c>
    </row>
    <row r="1023" spans="1:23" ht="11.25" customHeight="1" x14ac:dyDescent="0.25">
      <c r="A1023" s="4" t="s">
        <v>21</v>
      </c>
      <c r="B1023" s="4" t="s">
        <v>41</v>
      </c>
      <c r="C1023" s="4" t="s">
        <v>42</v>
      </c>
      <c r="D1023" s="4" t="s">
        <v>38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44562</v>
      </c>
      <c r="J1023" s="6">
        <v>30886</v>
      </c>
      <c r="K1023" s="6">
        <v>30886</v>
      </c>
      <c r="L1023" s="6">
        <v>0</v>
      </c>
      <c r="M1023" s="6">
        <v>0</v>
      </c>
      <c r="N1023" s="6">
        <v>0</v>
      </c>
      <c r="O1023" s="6">
        <v>0</v>
      </c>
      <c r="P1023" s="6">
        <v>179</v>
      </c>
      <c r="Q1023" s="4" t="s">
        <v>26</v>
      </c>
      <c r="R1023" s="4">
        <v>0</v>
      </c>
      <c r="S1023" s="4" t="s">
        <v>454</v>
      </c>
      <c r="U1023" s="4">
        <v>29</v>
      </c>
      <c r="V1023" s="4">
        <v>0</v>
      </c>
      <c r="W1023" s="4">
        <v>0</v>
      </c>
    </row>
    <row r="1024" spans="1:23" ht="11.25" customHeight="1" x14ac:dyDescent="0.25">
      <c r="A1024" s="4" t="s">
        <v>28</v>
      </c>
      <c r="B1024" s="4" t="s">
        <v>41</v>
      </c>
      <c r="C1024" s="4" t="s">
        <v>42</v>
      </c>
      <c r="D1024" s="4" t="s">
        <v>38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44562</v>
      </c>
      <c r="J1024" s="6">
        <v>8860</v>
      </c>
      <c r="K1024" s="6">
        <v>8860</v>
      </c>
      <c r="L1024" s="6">
        <v>0</v>
      </c>
      <c r="M1024" s="6">
        <v>0</v>
      </c>
      <c r="N1024" s="6">
        <v>0</v>
      </c>
      <c r="O1024" s="6">
        <v>0</v>
      </c>
      <c r="P1024" s="6">
        <v>20</v>
      </c>
      <c r="Q1024" s="4" t="s">
        <v>26</v>
      </c>
      <c r="R1024" s="4">
        <v>0</v>
      </c>
      <c r="S1024" s="4" t="s">
        <v>454</v>
      </c>
      <c r="U1024" s="4">
        <v>29</v>
      </c>
      <c r="V1024" s="4">
        <v>0</v>
      </c>
      <c r="W1024" s="4">
        <v>0</v>
      </c>
    </row>
    <row r="1025" spans="1:23" ht="11.25" customHeight="1" x14ac:dyDescent="0.25">
      <c r="A1025" s="4" t="s">
        <v>21</v>
      </c>
      <c r="B1025" s="4" t="s">
        <v>41</v>
      </c>
      <c r="C1025" s="4" t="s">
        <v>42</v>
      </c>
      <c r="D1025" s="4" t="s">
        <v>38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44593</v>
      </c>
      <c r="J1025" s="6">
        <v>29685</v>
      </c>
      <c r="K1025" s="6">
        <v>29685</v>
      </c>
      <c r="L1025" s="6">
        <v>0</v>
      </c>
      <c r="M1025" s="6">
        <v>0</v>
      </c>
      <c r="N1025" s="6">
        <v>0</v>
      </c>
      <c r="O1025" s="6">
        <v>0</v>
      </c>
      <c r="P1025" s="6">
        <v>177</v>
      </c>
      <c r="Q1025" s="4" t="s">
        <v>26</v>
      </c>
      <c r="R1025" s="4">
        <v>0</v>
      </c>
      <c r="S1025" s="4" t="s">
        <v>455</v>
      </c>
      <c r="U1025" s="4">
        <v>29</v>
      </c>
      <c r="V1025" s="4">
        <v>0</v>
      </c>
      <c r="W1025" s="4">
        <v>0</v>
      </c>
    </row>
    <row r="1026" spans="1:23" ht="11.25" customHeight="1" x14ac:dyDescent="0.25">
      <c r="A1026" s="4" t="s">
        <v>28</v>
      </c>
      <c r="B1026" s="4" t="s">
        <v>41</v>
      </c>
      <c r="C1026" s="4" t="s">
        <v>42</v>
      </c>
      <c r="D1026" s="4" t="s">
        <v>38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44593</v>
      </c>
      <c r="J1026" s="6">
        <v>9316</v>
      </c>
      <c r="K1026" s="6">
        <v>9316</v>
      </c>
      <c r="L1026" s="6">
        <v>0</v>
      </c>
      <c r="M1026" s="6">
        <v>0</v>
      </c>
      <c r="N1026" s="6">
        <v>0</v>
      </c>
      <c r="O1026" s="6">
        <v>0</v>
      </c>
      <c r="P1026" s="6">
        <v>21</v>
      </c>
      <c r="Q1026" s="4" t="s">
        <v>26</v>
      </c>
      <c r="R1026" s="4">
        <v>0</v>
      </c>
      <c r="S1026" s="4" t="s">
        <v>455</v>
      </c>
      <c r="U1026" s="4">
        <v>29</v>
      </c>
      <c r="V1026" s="4">
        <v>0</v>
      </c>
      <c r="W1026" s="4">
        <v>0</v>
      </c>
    </row>
    <row r="1027" spans="1:23" ht="11.25" customHeight="1" x14ac:dyDescent="0.25">
      <c r="A1027" s="4" t="s">
        <v>21</v>
      </c>
      <c r="B1027" s="4" t="s">
        <v>41</v>
      </c>
      <c r="C1027" s="4" t="s">
        <v>42</v>
      </c>
      <c r="D1027" s="4" t="s">
        <v>38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44621</v>
      </c>
      <c r="J1027" s="6">
        <v>29244</v>
      </c>
      <c r="K1027" s="6">
        <v>29244</v>
      </c>
      <c r="L1027" s="6">
        <v>0</v>
      </c>
      <c r="M1027" s="6">
        <v>0</v>
      </c>
      <c r="N1027" s="6">
        <v>0</v>
      </c>
      <c r="O1027" s="6">
        <v>0</v>
      </c>
      <c r="P1027" s="6">
        <v>176</v>
      </c>
      <c r="Q1027" s="4" t="s">
        <v>26</v>
      </c>
      <c r="R1027" s="4">
        <v>0</v>
      </c>
      <c r="S1027" s="4" t="s">
        <v>456</v>
      </c>
      <c r="U1027" s="4">
        <v>29</v>
      </c>
      <c r="V1027" s="4">
        <v>0</v>
      </c>
      <c r="W1027" s="4">
        <v>0</v>
      </c>
    </row>
    <row r="1028" spans="1:23" ht="11.25" customHeight="1" x14ac:dyDescent="0.25">
      <c r="A1028" s="4" t="s">
        <v>28</v>
      </c>
      <c r="B1028" s="4" t="s">
        <v>41</v>
      </c>
      <c r="C1028" s="4" t="s">
        <v>42</v>
      </c>
      <c r="D1028" s="4" t="s">
        <v>38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44621</v>
      </c>
      <c r="J1028" s="6">
        <v>9155</v>
      </c>
      <c r="K1028" s="6">
        <v>9155</v>
      </c>
      <c r="L1028" s="6">
        <v>0</v>
      </c>
      <c r="M1028" s="6">
        <v>0</v>
      </c>
      <c r="N1028" s="6">
        <v>0</v>
      </c>
      <c r="O1028" s="6">
        <v>0</v>
      </c>
      <c r="P1028" s="6">
        <v>21</v>
      </c>
      <c r="Q1028" s="4" t="s">
        <v>26</v>
      </c>
      <c r="R1028" s="4">
        <v>0</v>
      </c>
      <c r="S1028" s="4" t="s">
        <v>456</v>
      </c>
      <c r="U1028" s="4">
        <v>29</v>
      </c>
      <c r="V1028" s="4">
        <v>0</v>
      </c>
      <c r="W1028" s="4">
        <v>0</v>
      </c>
    </row>
    <row r="1029" spans="1:23" ht="11.25" customHeight="1" x14ac:dyDescent="0.25">
      <c r="A1029" s="4" t="s">
        <v>21</v>
      </c>
      <c r="B1029" s="4" t="s">
        <v>41</v>
      </c>
      <c r="C1029" s="4" t="s">
        <v>42</v>
      </c>
      <c r="D1029" s="4" t="s">
        <v>38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44652</v>
      </c>
      <c r="J1029" s="6">
        <v>29095</v>
      </c>
      <c r="K1029" s="6">
        <v>29095</v>
      </c>
      <c r="L1029" s="6">
        <v>0</v>
      </c>
      <c r="M1029" s="6">
        <v>0</v>
      </c>
      <c r="N1029" s="6">
        <v>0</v>
      </c>
      <c r="O1029" s="6">
        <v>0</v>
      </c>
      <c r="P1029" s="6">
        <v>176</v>
      </c>
      <c r="Q1029" s="4" t="s">
        <v>26</v>
      </c>
      <c r="R1029" s="4">
        <v>0</v>
      </c>
      <c r="S1029" s="4" t="s">
        <v>457</v>
      </c>
      <c r="U1029" s="4">
        <v>29</v>
      </c>
      <c r="V1029" s="4">
        <v>0</v>
      </c>
      <c r="W1029" s="4">
        <v>0</v>
      </c>
    </row>
    <row r="1030" spans="1:23" ht="11.25" customHeight="1" x14ac:dyDescent="0.25">
      <c r="A1030" s="4" t="s">
        <v>27</v>
      </c>
      <c r="B1030" s="4" t="s">
        <v>41</v>
      </c>
      <c r="C1030" s="4" t="s">
        <v>42</v>
      </c>
      <c r="D1030" s="4" t="s">
        <v>38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44652</v>
      </c>
      <c r="J1030" s="6">
        <v>1</v>
      </c>
      <c r="K1030" s="6">
        <v>1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4" t="s">
        <v>26</v>
      </c>
      <c r="R1030" s="4">
        <v>0</v>
      </c>
      <c r="S1030" s="4" t="s">
        <v>457</v>
      </c>
      <c r="U1030" s="4">
        <v>29</v>
      </c>
      <c r="V1030" s="4">
        <v>0</v>
      </c>
      <c r="W1030" s="4">
        <v>0</v>
      </c>
    </row>
    <row r="1031" spans="1:23" ht="11.25" customHeight="1" x14ac:dyDescent="0.25">
      <c r="A1031" s="4" t="s">
        <v>28</v>
      </c>
      <c r="B1031" s="4" t="s">
        <v>41</v>
      </c>
      <c r="C1031" s="4" t="s">
        <v>42</v>
      </c>
      <c r="D1031" s="4" t="s">
        <v>38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44652</v>
      </c>
      <c r="J1031" s="6">
        <v>11395</v>
      </c>
      <c r="K1031" s="6">
        <v>11395</v>
      </c>
      <c r="L1031" s="6">
        <v>0</v>
      </c>
      <c r="M1031" s="6">
        <v>0</v>
      </c>
      <c r="N1031" s="6">
        <v>0</v>
      </c>
      <c r="O1031" s="6">
        <v>0</v>
      </c>
      <c r="P1031" s="6">
        <v>21</v>
      </c>
      <c r="Q1031" s="4" t="s">
        <v>26</v>
      </c>
      <c r="R1031" s="4">
        <v>0</v>
      </c>
      <c r="S1031" s="4" t="s">
        <v>457</v>
      </c>
      <c r="U1031" s="4">
        <v>29</v>
      </c>
      <c r="V1031" s="4">
        <v>0</v>
      </c>
      <c r="W1031" s="4">
        <v>0</v>
      </c>
    </row>
    <row r="1032" spans="1:23" ht="11.25" customHeight="1" x14ac:dyDescent="0.25">
      <c r="A1032" s="4" t="s">
        <v>58</v>
      </c>
      <c r="B1032" s="4" t="s">
        <v>41</v>
      </c>
      <c r="C1032" s="4" t="s">
        <v>42</v>
      </c>
      <c r="D1032" s="4" t="s">
        <v>38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44682</v>
      </c>
      <c r="J1032" s="6">
        <v>29095</v>
      </c>
      <c r="K1032" s="6">
        <v>29095</v>
      </c>
      <c r="L1032" s="6">
        <v>0</v>
      </c>
      <c r="M1032" s="6">
        <v>0</v>
      </c>
      <c r="N1032" s="6">
        <v>0</v>
      </c>
      <c r="O1032" s="6">
        <v>0</v>
      </c>
      <c r="P1032" s="6">
        <v>176</v>
      </c>
      <c r="Q1032" s="4" t="s">
        <v>26</v>
      </c>
      <c r="R1032" s="4">
        <v>0</v>
      </c>
      <c r="S1032" s="4" t="s">
        <v>458</v>
      </c>
      <c r="U1032" s="4">
        <v>29</v>
      </c>
      <c r="V1032" s="4">
        <v>0</v>
      </c>
      <c r="W1032" s="4">
        <v>0</v>
      </c>
    </row>
    <row r="1033" spans="1:23" ht="11.25" customHeight="1" x14ac:dyDescent="0.25">
      <c r="A1033" s="4" t="s">
        <v>58</v>
      </c>
      <c r="B1033" s="4" t="s">
        <v>41</v>
      </c>
      <c r="C1033" s="4" t="s">
        <v>42</v>
      </c>
      <c r="D1033" s="4" t="s">
        <v>38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44682</v>
      </c>
      <c r="J1033" s="6">
        <v>1</v>
      </c>
      <c r="K1033" s="6">
        <v>1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4" t="s">
        <v>26</v>
      </c>
      <c r="R1033" s="4">
        <v>0</v>
      </c>
      <c r="S1033" s="4" t="s">
        <v>458</v>
      </c>
      <c r="U1033" s="4">
        <v>29</v>
      </c>
      <c r="V1033" s="4">
        <v>0</v>
      </c>
      <c r="W1033" s="4">
        <v>0</v>
      </c>
    </row>
    <row r="1034" spans="1:23" ht="11.25" customHeight="1" x14ac:dyDescent="0.25">
      <c r="A1034" s="4" t="s">
        <v>58</v>
      </c>
      <c r="B1034" s="4" t="s">
        <v>41</v>
      </c>
      <c r="C1034" s="4" t="s">
        <v>42</v>
      </c>
      <c r="D1034" s="4" t="s">
        <v>38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44682</v>
      </c>
      <c r="J1034" s="6">
        <v>11395</v>
      </c>
      <c r="K1034" s="6">
        <v>11395</v>
      </c>
      <c r="L1034" s="6">
        <v>0</v>
      </c>
      <c r="M1034" s="6">
        <v>0</v>
      </c>
      <c r="N1034" s="6">
        <v>0</v>
      </c>
      <c r="O1034" s="6">
        <v>0</v>
      </c>
      <c r="P1034" s="6">
        <v>21</v>
      </c>
      <c r="Q1034" s="4" t="s">
        <v>26</v>
      </c>
      <c r="R1034" s="4">
        <v>0</v>
      </c>
      <c r="S1034" s="4" t="s">
        <v>458</v>
      </c>
      <c r="U1034" s="4">
        <v>29</v>
      </c>
      <c r="V1034" s="4">
        <v>0</v>
      </c>
      <c r="W1034" s="4">
        <v>0</v>
      </c>
    </row>
    <row r="1035" spans="1:23" ht="11.25" customHeight="1" x14ac:dyDescent="0.25">
      <c r="A1035" s="4" t="s">
        <v>21</v>
      </c>
      <c r="B1035" s="4" t="s">
        <v>41</v>
      </c>
      <c r="C1035" s="4" t="s">
        <v>42</v>
      </c>
      <c r="D1035" s="4" t="s">
        <v>38</v>
      </c>
      <c r="E1035" s="4" t="s">
        <v>25</v>
      </c>
      <c r="F1035" s="4" t="s">
        <v>25</v>
      </c>
      <c r="G1035" s="4" t="s">
        <v>25</v>
      </c>
      <c r="H1035" s="4" t="s">
        <v>34</v>
      </c>
      <c r="I1035" s="5">
        <v>44348</v>
      </c>
      <c r="J1035" s="6">
        <v>0</v>
      </c>
      <c r="K1035" s="6">
        <v>0</v>
      </c>
      <c r="L1035" s="6">
        <v>148.22200000000001</v>
      </c>
      <c r="M1035" s="6">
        <v>148.22200000000001</v>
      </c>
      <c r="N1035" s="6">
        <v>148.22200000000001</v>
      </c>
      <c r="O1035" s="6">
        <v>148.22200000000001</v>
      </c>
      <c r="P1035" s="6">
        <v>0</v>
      </c>
      <c r="Q1035" s="4" t="s">
        <v>26</v>
      </c>
      <c r="R1035" s="4">
        <v>0</v>
      </c>
      <c r="S1035" s="4" t="s">
        <v>459</v>
      </c>
      <c r="T1035" s="4" t="s">
        <v>719</v>
      </c>
      <c r="U1035" s="4">
        <v>0</v>
      </c>
      <c r="V1035" s="4">
        <v>30</v>
      </c>
      <c r="W1035" s="4">
        <v>78</v>
      </c>
    </row>
    <row r="1036" spans="1:23" ht="11.25" customHeight="1" x14ac:dyDescent="0.25">
      <c r="A1036" s="4" t="s">
        <v>27</v>
      </c>
      <c r="B1036" s="4" t="s">
        <v>41</v>
      </c>
      <c r="C1036" s="4" t="s">
        <v>42</v>
      </c>
      <c r="D1036" s="4" t="s">
        <v>38</v>
      </c>
      <c r="E1036" s="4" t="s">
        <v>25</v>
      </c>
      <c r="F1036" s="4" t="s">
        <v>25</v>
      </c>
      <c r="G1036" s="4" t="s">
        <v>25</v>
      </c>
      <c r="H1036" s="4" t="s">
        <v>34</v>
      </c>
      <c r="I1036" s="5">
        <v>44348</v>
      </c>
      <c r="J1036" s="6">
        <v>0</v>
      </c>
      <c r="K1036" s="6">
        <v>0</v>
      </c>
      <c r="L1036" s="6">
        <v>-1.73</v>
      </c>
      <c r="M1036" s="6">
        <v>-1.73</v>
      </c>
      <c r="N1036" s="6">
        <v>-1.73</v>
      </c>
      <c r="O1036" s="6">
        <v>-1.73</v>
      </c>
      <c r="P1036" s="6">
        <v>0</v>
      </c>
      <c r="Q1036" s="4" t="s">
        <v>26</v>
      </c>
      <c r="R1036" s="4">
        <v>0</v>
      </c>
      <c r="S1036" s="4" t="s">
        <v>459</v>
      </c>
      <c r="T1036" s="4" t="s">
        <v>719</v>
      </c>
      <c r="U1036" s="4">
        <v>0</v>
      </c>
      <c r="V1036" s="4">
        <v>30</v>
      </c>
      <c r="W1036" s="4">
        <v>78</v>
      </c>
    </row>
    <row r="1037" spans="1:23" ht="11.25" customHeight="1" x14ac:dyDescent="0.25">
      <c r="A1037" s="4" t="s">
        <v>28</v>
      </c>
      <c r="B1037" s="4" t="s">
        <v>41</v>
      </c>
      <c r="C1037" s="4" t="s">
        <v>42</v>
      </c>
      <c r="D1037" s="4" t="s">
        <v>38</v>
      </c>
      <c r="E1037" s="4" t="s">
        <v>25</v>
      </c>
      <c r="F1037" s="4" t="s">
        <v>25</v>
      </c>
      <c r="G1037" s="4" t="s">
        <v>25</v>
      </c>
      <c r="H1037" s="4" t="s">
        <v>34</v>
      </c>
      <c r="I1037" s="5">
        <v>44348</v>
      </c>
      <c r="J1037" s="6">
        <v>0</v>
      </c>
      <c r="K1037" s="6">
        <v>0</v>
      </c>
      <c r="L1037" s="6">
        <v>11.97</v>
      </c>
      <c r="M1037" s="6">
        <v>11.97</v>
      </c>
      <c r="N1037" s="6">
        <v>11.97</v>
      </c>
      <c r="O1037" s="6">
        <v>11.97</v>
      </c>
      <c r="P1037" s="6">
        <v>0</v>
      </c>
      <c r="Q1037" s="4" t="s">
        <v>26</v>
      </c>
      <c r="R1037" s="4">
        <v>0</v>
      </c>
      <c r="S1037" s="4" t="s">
        <v>459</v>
      </c>
      <c r="T1037" s="4" t="s">
        <v>719</v>
      </c>
      <c r="U1037" s="4">
        <v>0</v>
      </c>
      <c r="V1037" s="4">
        <v>30</v>
      </c>
      <c r="W1037" s="4">
        <v>78</v>
      </c>
    </row>
    <row r="1038" spans="1:23" ht="11.25" customHeight="1" x14ac:dyDescent="0.25">
      <c r="A1038" s="4" t="s">
        <v>21</v>
      </c>
      <c r="B1038" s="4" t="s">
        <v>41</v>
      </c>
      <c r="C1038" s="4" t="s">
        <v>42</v>
      </c>
      <c r="D1038" s="4" t="s">
        <v>38</v>
      </c>
      <c r="E1038" s="4" t="s">
        <v>25</v>
      </c>
      <c r="F1038" s="4" t="s">
        <v>25</v>
      </c>
      <c r="G1038" s="4" t="s">
        <v>25</v>
      </c>
      <c r="H1038" s="4" t="s">
        <v>34</v>
      </c>
      <c r="I1038" s="5">
        <v>44378</v>
      </c>
      <c r="J1038" s="6">
        <v>0</v>
      </c>
      <c r="K1038" s="6">
        <v>0</v>
      </c>
      <c r="L1038" s="6">
        <v>150.67400000000001</v>
      </c>
      <c r="M1038" s="6">
        <v>150.67400000000001</v>
      </c>
      <c r="N1038" s="6">
        <v>150.67400000000001</v>
      </c>
      <c r="O1038" s="6">
        <v>150.67400000000001</v>
      </c>
      <c r="P1038" s="6">
        <v>0</v>
      </c>
      <c r="Q1038" s="4" t="s">
        <v>26</v>
      </c>
      <c r="R1038" s="4">
        <v>0</v>
      </c>
      <c r="S1038" s="4" t="s">
        <v>460</v>
      </c>
      <c r="T1038" s="4" t="s">
        <v>720</v>
      </c>
      <c r="U1038" s="4">
        <v>0</v>
      </c>
      <c r="V1038" s="4">
        <v>30</v>
      </c>
      <c r="W1038" s="4">
        <v>78</v>
      </c>
    </row>
    <row r="1039" spans="1:23" ht="11.25" customHeight="1" x14ac:dyDescent="0.25">
      <c r="A1039" s="4" t="s">
        <v>27</v>
      </c>
      <c r="B1039" s="4" t="s">
        <v>41</v>
      </c>
      <c r="C1039" s="4" t="s">
        <v>42</v>
      </c>
      <c r="D1039" s="4" t="s">
        <v>38</v>
      </c>
      <c r="E1039" s="4" t="s">
        <v>25</v>
      </c>
      <c r="F1039" s="4" t="s">
        <v>25</v>
      </c>
      <c r="G1039" s="4" t="s">
        <v>25</v>
      </c>
      <c r="H1039" s="4" t="s">
        <v>34</v>
      </c>
      <c r="I1039" s="5">
        <v>44378</v>
      </c>
      <c r="J1039" s="6">
        <v>0</v>
      </c>
      <c r="K1039" s="6">
        <v>0</v>
      </c>
      <c r="L1039" s="6">
        <v>-1.468</v>
      </c>
      <c r="M1039" s="6">
        <v>-1.468</v>
      </c>
      <c r="N1039" s="6">
        <v>-1.468</v>
      </c>
      <c r="O1039" s="6">
        <v>-1.468</v>
      </c>
      <c r="P1039" s="6">
        <v>0</v>
      </c>
      <c r="Q1039" s="4" t="s">
        <v>26</v>
      </c>
      <c r="R1039" s="4">
        <v>0</v>
      </c>
      <c r="S1039" s="4" t="s">
        <v>460</v>
      </c>
      <c r="T1039" s="4" t="s">
        <v>720</v>
      </c>
      <c r="U1039" s="4">
        <v>0</v>
      </c>
      <c r="V1039" s="4">
        <v>30</v>
      </c>
      <c r="W1039" s="4">
        <v>78</v>
      </c>
    </row>
    <row r="1040" spans="1:23" ht="11.25" customHeight="1" x14ac:dyDescent="0.25">
      <c r="A1040" s="4" t="s">
        <v>28</v>
      </c>
      <c r="B1040" s="4" t="s">
        <v>41</v>
      </c>
      <c r="C1040" s="4" t="s">
        <v>42</v>
      </c>
      <c r="D1040" s="4" t="s">
        <v>38</v>
      </c>
      <c r="E1040" s="4" t="s">
        <v>25</v>
      </c>
      <c r="F1040" s="4" t="s">
        <v>25</v>
      </c>
      <c r="G1040" s="4" t="s">
        <v>25</v>
      </c>
      <c r="H1040" s="4" t="s">
        <v>34</v>
      </c>
      <c r="I1040" s="5">
        <v>44378</v>
      </c>
      <c r="J1040" s="6">
        <v>0</v>
      </c>
      <c r="K1040" s="6">
        <v>0</v>
      </c>
      <c r="L1040" s="6">
        <v>18.704999999999998</v>
      </c>
      <c r="M1040" s="6">
        <v>18.704999999999998</v>
      </c>
      <c r="N1040" s="6">
        <v>18.704999999999998</v>
      </c>
      <c r="O1040" s="6">
        <v>18.704999999999998</v>
      </c>
      <c r="P1040" s="6">
        <v>0</v>
      </c>
      <c r="Q1040" s="4" t="s">
        <v>26</v>
      </c>
      <c r="R1040" s="4">
        <v>0</v>
      </c>
      <c r="S1040" s="4" t="s">
        <v>460</v>
      </c>
      <c r="T1040" s="4" t="s">
        <v>720</v>
      </c>
      <c r="U1040" s="4">
        <v>0</v>
      </c>
      <c r="V1040" s="4">
        <v>30</v>
      </c>
      <c r="W1040" s="4">
        <v>78</v>
      </c>
    </row>
    <row r="1041" spans="1:23" ht="11.25" customHeight="1" x14ac:dyDescent="0.25">
      <c r="A1041" s="4" t="s">
        <v>21</v>
      </c>
      <c r="B1041" s="4" t="s">
        <v>41</v>
      </c>
      <c r="C1041" s="4" t="s">
        <v>42</v>
      </c>
      <c r="D1041" s="4" t="s">
        <v>38</v>
      </c>
      <c r="E1041" s="4" t="s">
        <v>25</v>
      </c>
      <c r="F1041" s="4" t="s">
        <v>25</v>
      </c>
      <c r="G1041" s="4" t="s">
        <v>25</v>
      </c>
      <c r="H1041" s="4" t="s">
        <v>34</v>
      </c>
      <c r="I1041" s="5">
        <v>44409</v>
      </c>
      <c r="J1041" s="6">
        <v>0</v>
      </c>
      <c r="K1041" s="6">
        <v>0</v>
      </c>
      <c r="L1041" s="6">
        <v>158.90199999999999</v>
      </c>
      <c r="M1041" s="6">
        <v>158.90199999999999</v>
      </c>
      <c r="N1041" s="6">
        <v>158.90199999999999</v>
      </c>
      <c r="O1041" s="6">
        <v>158.90199999999999</v>
      </c>
      <c r="P1041" s="6">
        <v>0</v>
      </c>
      <c r="Q1041" s="4" t="s">
        <v>26</v>
      </c>
      <c r="R1041" s="4">
        <v>0</v>
      </c>
      <c r="S1041" s="4" t="s">
        <v>461</v>
      </c>
      <c r="T1041" s="4" t="s">
        <v>721</v>
      </c>
      <c r="U1041" s="4">
        <v>0</v>
      </c>
      <c r="V1041" s="4">
        <v>30</v>
      </c>
      <c r="W1041" s="4">
        <v>78</v>
      </c>
    </row>
    <row r="1042" spans="1:23" ht="11.25" customHeight="1" x14ac:dyDescent="0.25">
      <c r="A1042" s="4" t="s">
        <v>27</v>
      </c>
      <c r="B1042" s="4" t="s">
        <v>41</v>
      </c>
      <c r="C1042" s="4" t="s">
        <v>42</v>
      </c>
      <c r="D1042" s="4" t="s">
        <v>38</v>
      </c>
      <c r="E1042" s="4" t="s">
        <v>25</v>
      </c>
      <c r="F1042" s="4" t="s">
        <v>25</v>
      </c>
      <c r="G1042" s="4" t="s">
        <v>25</v>
      </c>
      <c r="H1042" s="4" t="s">
        <v>34</v>
      </c>
      <c r="I1042" s="5">
        <v>44409</v>
      </c>
      <c r="J1042" s="6">
        <v>0</v>
      </c>
      <c r="K1042" s="6">
        <v>0</v>
      </c>
      <c r="L1042" s="6">
        <v>-1.462</v>
      </c>
      <c r="M1042" s="6">
        <v>-1.462</v>
      </c>
      <c r="N1042" s="6">
        <v>-1.462</v>
      </c>
      <c r="O1042" s="6">
        <v>-1.462</v>
      </c>
      <c r="P1042" s="6">
        <v>0</v>
      </c>
      <c r="Q1042" s="4" t="s">
        <v>26</v>
      </c>
      <c r="R1042" s="4">
        <v>0</v>
      </c>
      <c r="S1042" s="4" t="s">
        <v>461</v>
      </c>
      <c r="T1042" s="4" t="s">
        <v>721</v>
      </c>
      <c r="U1042" s="4">
        <v>0</v>
      </c>
      <c r="V1042" s="4">
        <v>30</v>
      </c>
      <c r="W1042" s="4">
        <v>78</v>
      </c>
    </row>
    <row r="1043" spans="1:23" ht="11.25" customHeight="1" x14ac:dyDescent="0.25">
      <c r="A1043" s="4" t="s">
        <v>28</v>
      </c>
      <c r="B1043" s="4" t="s">
        <v>41</v>
      </c>
      <c r="C1043" s="4" t="s">
        <v>42</v>
      </c>
      <c r="D1043" s="4" t="s">
        <v>38</v>
      </c>
      <c r="E1043" s="4" t="s">
        <v>25</v>
      </c>
      <c r="F1043" s="4" t="s">
        <v>25</v>
      </c>
      <c r="G1043" s="4" t="s">
        <v>25</v>
      </c>
      <c r="H1043" s="4" t="s">
        <v>34</v>
      </c>
      <c r="I1043" s="5">
        <v>44409</v>
      </c>
      <c r="J1043" s="6">
        <v>0</v>
      </c>
      <c r="K1043" s="6">
        <v>0</v>
      </c>
      <c r="L1043" s="6">
        <v>16.384</v>
      </c>
      <c r="M1043" s="6">
        <v>16.384</v>
      </c>
      <c r="N1043" s="6">
        <v>16.384</v>
      </c>
      <c r="O1043" s="6">
        <v>16.384</v>
      </c>
      <c r="P1043" s="6">
        <v>0</v>
      </c>
      <c r="Q1043" s="4" t="s">
        <v>26</v>
      </c>
      <c r="R1043" s="4">
        <v>0</v>
      </c>
      <c r="S1043" s="4" t="s">
        <v>461</v>
      </c>
      <c r="T1043" s="4" t="s">
        <v>721</v>
      </c>
      <c r="U1043" s="4">
        <v>0</v>
      </c>
      <c r="V1043" s="4">
        <v>30</v>
      </c>
      <c r="W1043" s="4">
        <v>78</v>
      </c>
    </row>
    <row r="1044" spans="1:23" ht="11.25" customHeight="1" x14ac:dyDescent="0.25">
      <c r="A1044" s="4" t="s">
        <v>21</v>
      </c>
      <c r="B1044" s="4" t="s">
        <v>41</v>
      </c>
      <c r="C1044" s="4" t="s">
        <v>42</v>
      </c>
      <c r="D1044" s="4" t="s">
        <v>38</v>
      </c>
      <c r="E1044" s="4" t="s">
        <v>25</v>
      </c>
      <c r="F1044" s="4" t="s">
        <v>25</v>
      </c>
      <c r="G1044" s="4" t="s">
        <v>25</v>
      </c>
      <c r="H1044" s="4" t="s">
        <v>34</v>
      </c>
      <c r="I1044" s="5">
        <v>44440</v>
      </c>
      <c r="J1044" s="6">
        <v>0</v>
      </c>
      <c r="K1044" s="6">
        <v>0</v>
      </c>
      <c r="L1044" s="6">
        <v>173.30500000000001</v>
      </c>
      <c r="M1044" s="6">
        <v>173.30500000000001</v>
      </c>
      <c r="N1044" s="6">
        <v>173.30500000000001</v>
      </c>
      <c r="O1044" s="6">
        <v>173.30500000000001</v>
      </c>
      <c r="P1044" s="6">
        <v>0</v>
      </c>
      <c r="Q1044" s="4" t="s">
        <v>26</v>
      </c>
      <c r="R1044" s="4">
        <v>0</v>
      </c>
      <c r="S1044" s="4" t="s">
        <v>462</v>
      </c>
      <c r="T1044" s="4" t="s">
        <v>722</v>
      </c>
      <c r="U1044" s="4">
        <v>0</v>
      </c>
      <c r="V1044" s="4">
        <v>30</v>
      </c>
      <c r="W1044" s="4">
        <v>78</v>
      </c>
    </row>
    <row r="1045" spans="1:23" ht="11.25" customHeight="1" x14ac:dyDescent="0.25">
      <c r="A1045" s="4" t="s">
        <v>28</v>
      </c>
      <c r="B1045" s="4" t="s">
        <v>41</v>
      </c>
      <c r="C1045" s="4" t="s">
        <v>42</v>
      </c>
      <c r="D1045" s="4" t="s">
        <v>38</v>
      </c>
      <c r="E1045" s="4" t="s">
        <v>25</v>
      </c>
      <c r="F1045" s="4" t="s">
        <v>25</v>
      </c>
      <c r="G1045" s="4" t="s">
        <v>25</v>
      </c>
      <c r="H1045" s="4" t="s">
        <v>34</v>
      </c>
      <c r="I1045" s="5">
        <v>44440</v>
      </c>
      <c r="J1045" s="6">
        <v>0</v>
      </c>
      <c r="K1045" s="6">
        <v>0</v>
      </c>
      <c r="L1045" s="6">
        <v>18.305</v>
      </c>
      <c r="M1045" s="6">
        <v>18.305</v>
      </c>
      <c r="N1045" s="6">
        <v>18.305</v>
      </c>
      <c r="O1045" s="6">
        <v>18.305</v>
      </c>
      <c r="P1045" s="6">
        <v>0</v>
      </c>
      <c r="Q1045" s="4" t="s">
        <v>26</v>
      </c>
      <c r="R1045" s="4">
        <v>0</v>
      </c>
      <c r="S1045" s="4" t="s">
        <v>462</v>
      </c>
      <c r="T1045" s="4" t="s">
        <v>722</v>
      </c>
      <c r="U1045" s="4">
        <v>0</v>
      </c>
      <c r="V1045" s="4">
        <v>30</v>
      </c>
      <c r="W1045" s="4">
        <v>78</v>
      </c>
    </row>
    <row r="1046" spans="1:23" ht="11.25" customHeight="1" x14ac:dyDescent="0.25">
      <c r="A1046" s="4" t="s">
        <v>21</v>
      </c>
      <c r="B1046" s="4" t="s">
        <v>41</v>
      </c>
      <c r="C1046" s="4" t="s">
        <v>42</v>
      </c>
      <c r="D1046" s="4" t="s">
        <v>38</v>
      </c>
      <c r="E1046" s="4" t="s">
        <v>25</v>
      </c>
      <c r="F1046" s="4" t="s">
        <v>25</v>
      </c>
      <c r="G1046" s="4" t="s">
        <v>25</v>
      </c>
      <c r="H1046" s="4" t="s">
        <v>34</v>
      </c>
      <c r="I1046" s="5">
        <v>44470</v>
      </c>
      <c r="J1046" s="6">
        <v>0</v>
      </c>
      <c r="K1046" s="6">
        <v>0</v>
      </c>
      <c r="L1046" s="6">
        <v>165.173</v>
      </c>
      <c r="M1046" s="6">
        <v>165.173</v>
      </c>
      <c r="N1046" s="6">
        <v>165.173</v>
      </c>
      <c r="O1046" s="6">
        <v>165.173</v>
      </c>
      <c r="P1046" s="6">
        <v>0</v>
      </c>
      <c r="Q1046" s="4" t="s">
        <v>26</v>
      </c>
      <c r="R1046" s="4">
        <v>0</v>
      </c>
      <c r="S1046" s="4" t="s">
        <v>463</v>
      </c>
      <c r="T1046" s="4" t="s">
        <v>723</v>
      </c>
      <c r="U1046" s="4">
        <v>0</v>
      </c>
      <c r="V1046" s="4">
        <v>30</v>
      </c>
      <c r="W1046" s="4">
        <v>78</v>
      </c>
    </row>
    <row r="1047" spans="1:23" ht="11.25" customHeight="1" x14ac:dyDescent="0.25">
      <c r="A1047" s="4" t="s">
        <v>28</v>
      </c>
      <c r="B1047" s="4" t="s">
        <v>41</v>
      </c>
      <c r="C1047" s="4" t="s">
        <v>42</v>
      </c>
      <c r="D1047" s="4" t="s">
        <v>38</v>
      </c>
      <c r="E1047" s="4" t="s">
        <v>25</v>
      </c>
      <c r="F1047" s="4" t="s">
        <v>25</v>
      </c>
      <c r="G1047" s="4" t="s">
        <v>25</v>
      </c>
      <c r="H1047" s="4" t="s">
        <v>34</v>
      </c>
      <c r="I1047" s="5">
        <v>44470</v>
      </c>
      <c r="J1047" s="6">
        <v>0</v>
      </c>
      <c r="K1047" s="6">
        <v>0</v>
      </c>
      <c r="L1047" s="6">
        <v>12.903</v>
      </c>
      <c r="M1047" s="6">
        <v>12.903</v>
      </c>
      <c r="N1047" s="6">
        <v>12.903</v>
      </c>
      <c r="O1047" s="6">
        <v>12.903</v>
      </c>
      <c r="P1047" s="6">
        <v>0</v>
      </c>
      <c r="Q1047" s="4" t="s">
        <v>26</v>
      </c>
      <c r="R1047" s="4">
        <v>0</v>
      </c>
      <c r="S1047" s="4" t="s">
        <v>463</v>
      </c>
      <c r="T1047" s="4" t="s">
        <v>723</v>
      </c>
      <c r="U1047" s="4">
        <v>0</v>
      </c>
      <c r="V1047" s="4">
        <v>30</v>
      </c>
      <c r="W1047" s="4">
        <v>78</v>
      </c>
    </row>
    <row r="1048" spans="1:23" ht="11.25" customHeight="1" x14ac:dyDescent="0.25">
      <c r="A1048" s="4" t="s">
        <v>21</v>
      </c>
      <c r="B1048" s="4" t="s">
        <v>41</v>
      </c>
      <c r="C1048" s="4" t="s">
        <v>42</v>
      </c>
      <c r="D1048" s="4" t="s">
        <v>38</v>
      </c>
      <c r="E1048" s="4" t="s">
        <v>25</v>
      </c>
      <c r="F1048" s="4" t="s">
        <v>25</v>
      </c>
      <c r="G1048" s="4" t="s">
        <v>25</v>
      </c>
      <c r="H1048" s="4" t="s">
        <v>34</v>
      </c>
      <c r="I1048" s="5">
        <v>44501</v>
      </c>
      <c r="J1048" s="6">
        <v>0</v>
      </c>
      <c r="K1048" s="6">
        <v>0</v>
      </c>
      <c r="L1048" s="6">
        <v>161.58500000000001</v>
      </c>
      <c r="M1048" s="6">
        <v>161.58500000000001</v>
      </c>
      <c r="N1048" s="6">
        <v>161.58500000000001</v>
      </c>
      <c r="O1048" s="6">
        <v>161.58500000000001</v>
      </c>
      <c r="P1048" s="6">
        <v>0</v>
      </c>
      <c r="Q1048" s="4" t="s">
        <v>26</v>
      </c>
      <c r="R1048" s="4">
        <v>0</v>
      </c>
      <c r="S1048" s="4" t="s">
        <v>464</v>
      </c>
      <c r="T1048" s="4" t="s">
        <v>724</v>
      </c>
      <c r="U1048" s="4">
        <v>0</v>
      </c>
      <c r="V1048" s="4">
        <v>30</v>
      </c>
      <c r="W1048" s="4">
        <v>78</v>
      </c>
    </row>
    <row r="1049" spans="1:23" ht="11.25" customHeight="1" x14ac:dyDescent="0.25">
      <c r="A1049" s="4" t="s">
        <v>28</v>
      </c>
      <c r="B1049" s="4" t="s">
        <v>41</v>
      </c>
      <c r="C1049" s="4" t="s">
        <v>42</v>
      </c>
      <c r="D1049" s="4" t="s">
        <v>38</v>
      </c>
      <c r="E1049" s="4" t="s">
        <v>25</v>
      </c>
      <c r="F1049" s="4" t="s">
        <v>25</v>
      </c>
      <c r="G1049" s="4" t="s">
        <v>25</v>
      </c>
      <c r="H1049" s="4" t="s">
        <v>34</v>
      </c>
      <c r="I1049" s="5">
        <v>44501</v>
      </c>
      <c r="J1049" s="6">
        <v>0</v>
      </c>
      <c r="K1049" s="6">
        <v>0</v>
      </c>
      <c r="L1049" s="6">
        <v>13.750999999999999</v>
      </c>
      <c r="M1049" s="6">
        <v>13.750999999999999</v>
      </c>
      <c r="N1049" s="6">
        <v>13.750999999999999</v>
      </c>
      <c r="O1049" s="6">
        <v>13.750999999999999</v>
      </c>
      <c r="P1049" s="6">
        <v>0</v>
      </c>
      <c r="Q1049" s="4" t="s">
        <v>26</v>
      </c>
      <c r="R1049" s="4">
        <v>0</v>
      </c>
      <c r="S1049" s="4" t="s">
        <v>464</v>
      </c>
      <c r="T1049" s="4" t="s">
        <v>724</v>
      </c>
      <c r="U1049" s="4">
        <v>0</v>
      </c>
      <c r="V1049" s="4">
        <v>30</v>
      </c>
      <c r="W1049" s="4">
        <v>78</v>
      </c>
    </row>
    <row r="1050" spans="1:23" ht="11.25" customHeight="1" x14ac:dyDescent="0.25">
      <c r="A1050" s="4" t="s">
        <v>21</v>
      </c>
      <c r="B1050" s="4" t="s">
        <v>41</v>
      </c>
      <c r="C1050" s="4" t="s">
        <v>42</v>
      </c>
      <c r="D1050" s="4" t="s">
        <v>38</v>
      </c>
      <c r="E1050" s="4" t="s">
        <v>25</v>
      </c>
      <c r="F1050" s="4" t="s">
        <v>25</v>
      </c>
      <c r="G1050" s="4" t="s">
        <v>25</v>
      </c>
      <c r="H1050" s="4" t="s">
        <v>34</v>
      </c>
      <c r="I1050" s="5">
        <v>44531</v>
      </c>
      <c r="J1050" s="6">
        <v>0</v>
      </c>
      <c r="K1050" s="6">
        <v>0</v>
      </c>
      <c r="L1050" s="6">
        <v>157.63900000000001</v>
      </c>
      <c r="M1050" s="6">
        <v>157.63900000000001</v>
      </c>
      <c r="N1050" s="6">
        <v>157.63900000000001</v>
      </c>
      <c r="O1050" s="6">
        <v>157.63900000000001</v>
      </c>
      <c r="P1050" s="6">
        <v>0</v>
      </c>
      <c r="Q1050" s="4" t="s">
        <v>26</v>
      </c>
      <c r="R1050" s="4">
        <v>0</v>
      </c>
      <c r="S1050" s="4" t="s">
        <v>465</v>
      </c>
      <c r="T1050" s="4" t="s">
        <v>725</v>
      </c>
      <c r="U1050" s="4">
        <v>0</v>
      </c>
      <c r="V1050" s="4">
        <v>30</v>
      </c>
      <c r="W1050" s="4">
        <v>78</v>
      </c>
    </row>
    <row r="1051" spans="1:23" ht="11.25" customHeight="1" x14ac:dyDescent="0.25">
      <c r="A1051" s="4" t="s">
        <v>27</v>
      </c>
      <c r="B1051" s="4" t="s">
        <v>41</v>
      </c>
      <c r="C1051" s="4" t="s">
        <v>42</v>
      </c>
      <c r="D1051" s="4" t="s">
        <v>38</v>
      </c>
      <c r="E1051" s="4" t="s">
        <v>25</v>
      </c>
      <c r="F1051" s="4" t="s">
        <v>25</v>
      </c>
      <c r="G1051" s="4" t="s">
        <v>25</v>
      </c>
      <c r="H1051" s="4" t="s">
        <v>34</v>
      </c>
      <c r="I1051" s="5">
        <v>44531</v>
      </c>
      <c r="J1051" s="6">
        <v>0</v>
      </c>
      <c r="K1051" s="6">
        <v>0</v>
      </c>
      <c r="L1051" s="6">
        <v>-0.66</v>
      </c>
      <c r="M1051" s="6">
        <v>-0.66</v>
      </c>
      <c r="N1051" s="6">
        <v>-0.66</v>
      </c>
      <c r="O1051" s="6">
        <v>-0.66</v>
      </c>
      <c r="P1051" s="6">
        <v>0</v>
      </c>
      <c r="Q1051" s="4" t="s">
        <v>26</v>
      </c>
      <c r="R1051" s="4">
        <v>0</v>
      </c>
      <c r="S1051" s="4" t="s">
        <v>465</v>
      </c>
      <c r="T1051" s="4" t="s">
        <v>725</v>
      </c>
      <c r="U1051" s="4">
        <v>0</v>
      </c>
      <c r="V1051" s="4">
        <v>30</v>
      </c>
      <c r="W1051" s="4">
        <v>78</v>
      </c>
    </row>
    <row r="1052" spans="1:23" ht="11.25" customHeight="1" x14ac:dyDescent="0.25">
      <c r="A1052" s="4" t="s">
        <v>28</v>
      </c>
      <c r="B1052" s="4" t="s">
        <v>41</v>
      </c>
      <c r="C1052" s="4" t="s">
        <v>42</v>
      </c>
      <c r="D1052" s="4" t="s">
        <v>38</v>
      </c>
      <c r="E1052" s="4" t="s">
        <v>25</v>
      </c>
      <c r="F1052" s="4" t="s">
        <v>25</v>
      </c>
      <c r="G1052" s="4" t="s">
        <v>25</v>
      </c>
      <c r="H1052" s="4" t="s">
        <v>34</v>
      </c>
      <c r="I1052" s="5">
        <v>44531</v>
      </c>
      <c r="J1052" s="6">
        <v>0</v>
      </c>
      <c r="K1052" s="6">
        <v>0</v>
      </c>
      <c r="L1052" s="6">
        <v>14.978999999999999</v>
      </c>
      <c r="M1052" s="6">
        <v>14.978999999999999</v>
      </c>
      <c r="N1052" s="6">
        <v>14.978999999999999</v>
      </c>
      <c r="O1052" s="6">
        <v>14.978999999999999</v>
      </c>
      <c r="P1052" s="6">
        <v>0</v>
      </c>
      <c r="Q1052" s="4" t="s">
        <v>26</v>
      </c>
      <c r="R1052" s="4">
        <v>0</v>
      </c>
      <c r="S1052" s="4" t="s">
        <v>465</v>
      </c>
      <c r="T1052" s="4" t="s">
        <v>725</v>
      </c>
      <c r="U1052" s="4">
        <v>0</v>
      </c>
      <c r="V1052" s="4">
        <v>30</v>
      </c>
      <c r="W1052" s="4">
        <v>78</v>
      </c>
    </row>
    <row r="1053" spans="1:23" ht="11.25" customHeight="1" x14ac:dyDescent="0.25">
      <c r="A1053" s="4" t="s">
        <v>21</v>
      </c>
      <c r="B1053" s="4" t="s">
        <v>41</v>
      </c>
      <c r="C1053" s="4" t="s">
        <v>42</v>
      </c>
      <c r="D1053" s="4" t="s">
        <v>38</v>
      </c>
      <c r="E1053" s="4" t="s">
        <v>25</v>
      </c>
      <c r="F1053" s="4" t="s">
        <v>25</v>
      </c>
      <c r="G1053" s="4" t="s">
        <v>25</v>
      </c>
      <c r="H1053" s="4" t="s">
        <v>34</v>
      </c>
      <c r="I1053" s="5">
        <v>44562</v>
      </c>
      <c r="J1053" s="6">
        <v>0</v>
      </c>
      <c r="K1053" s="6">
        <v>0</v>
      </c>
      <c r="L1053" s="6">
        <v>177.64699999999999</v>
      </c>
      <c r="M1053" s="6">
        <v>177.64699999999999</v>
      </c>
      <c r="N1053" s="6">
        <v>177.64699999999999</v>
      </c>
      <c r="O1053" s="6">
        <v>177.64699999999999</v>
      </c>
      <c r="P1053" s="6">
        <v>0</v>
      </c>
      <c r="Q1053" s="4" t="s">
        <v>26</v>
      </c>
      <c r="R1053" s="4">
        <v>0</v>
      </c>
      <c r="S1053" s="4" t="s">
        <v>466</v>
      </c>
      <c r="T1053" s="4" t="s">
        <v>726</v>
      </c>
      <c r="U1053" s="4">
        <v>0</v>
      </c>
      <c r="V1053" s="4">
        <v>30</v>
      </c>
      <c r="W1053" s="4">
        <v>78</v>
      </c>
    </row>
    <row r="1054" spans="1:23" ht="11.25" customHeight="1" x14ac:dyDescent="0.25">
      <c r="A1054" s="4" t="s">
        <v>28</v>
      </c>
      <c r="B1054" s="4" t="s">
        <v>41</v>
      </c>
      <c r="C1054" s="4" t="s">
        <v>42</v>
      </c>
      <c r="D1054" s="4" t="s">
        <v>38</v>
      </c>
      <c r="E1054" s="4" t="s">
        <v>25</v>
      </c>
      <c r="F1054" s="4" t="s">
        <v>25</v>
      </c>
      <c r="G1054" s="4" t="s">
        <v>25</v>
      </c>
      <c r="H1054" s="4" t="s">
        <v>34</v>
      </c>
      <c r="I1054" s="5">
        <v>44562</v>
      </c>
      <c r="J1054" s="6">
        <v>0</v>
      </c>
      <c r="K1054" s="6">
        <v>0</v>
      </c>
      <c r="L1054" s="6">
        <v>17.033000000000001</v>
      </c>
      <c r="M1054" s="6">
        <v>17.033000000000001</v>
      </c>
      <c r="N1054" s="6">
        <v>17.033000000000001</v>
      </c>
      <c r="O1054" s="6">
        <v>17.033000000000001</v>
      </c>
      <c r="P1054" s="6">
        <v>0</v>
      </c>
      <c r="Q1054" s="4" t="s">
        <v>26</v>
      </c>
      <c r="R1054" s="4">
        <v>0</v>
      </c>
      <c r="S1054" s="4" t="s">
        <v>466</v>
      </c>
      <c r="T1054" s="4" t="s">
        <v>726</v>
      </c>
      <c r="U1054" s="4">
        <v>0</v>
      </c>
      <c r="V1054" s="4">
        <v>30</v>
      </c>
      <c r="W1054" s="4">
        <v>78</v>
      </c>
    </row>
    <row r="1055" spans="1:23" ht="11.25" customHeight="1" x14ac:dyDescent="0.25">
      <c r="A1055" s="4" t="s">
        <v>21</v>
      </c>
      <c r="B1055" s="4" t="s">
        <v>41</v>
      </c>
      <c r="C1055" s="4" t="s">
        <v>42</v>
      </c>
      <c r="D1055" s="4" t="s">
        <v>38</v>
      </c>
      <c r="E1055" s="4" t="s">
        <v>25</v>
      </c>
      <c r="F1055" s="4" t="s">
        <v>25</v>
      </c>
      <c r="G1055" s="4" t="s">
        <v>25</v>
      </c>
      <c r="H1055" s="4" t="s">
        <v>34</v>
      </c>
      <c r="I1055" s="5">
        <v>44593</v>
      </c>
      <c r="J1055" s="6">
        <v>0</v>
      </c>
      <c r="K1055" s="6">
        <v>0</v>
      </c>
      <c r="L1055" s="6">
        <v>121.672</v>
      </c>
      <c r="M1055" s="6">
        <v>121.672</v>
      </c>
      <c r="N1055" s="6">
        <v>121.672</v>
      </c>
      <c r="O1055" s="6">
        <v>121.672</v>
      </c>
      <c r="P1055" s="6">
        <v>0</v>
      </c>
      <c r="Q1055" s="4" t="s">
        <v>26</v>
      </c>
      <c r="R1055" s="4">
        <v>0</v>
      </c>
      <c r="S1055" s="4" t="s">
        <v>467</v>
      </c>
      <c r="T1055" s="4" t="s">
        <v>727</v>
      </c>
      <c r="U1055" s="4">
        <v>0</v>
      </c>
      <c r="V1055" s="4">
        <v>30</v>
      </c>
      <c r="W1055" s="4">
        <v>78</v>
      </c>
    </row>
    <row r="1056" spans="1:23" ht="11.25" customHeight="1" x14ac:dyDescent="0.25">
      <c r="A1056" s="4" t="s">
        <v>27</v>
      </c>
      <c r="B1056" s="4" t="s">
        <v>41</v>
      </c>
      <c r="C1056" s="4" t="s">
        <v>42</v>
      </c>
      <c r="D1056" s="4" t="s">
        <v>38</v>
      </c>
      <c r="E1056" s="4" t="s">
        <v>25</v>
      </c>
      <c r="F1056" s="4" t="s">
        <v>25</v>
      </c>
      <c r="G1056" s="4" t="s">
        <v>25</v>
      </c>
      <c r="H1056" s="4" t="s">
        <v>34</v>
      </c>
      <c r="I1056" s="5">
        <v>44593</v>
      </c>
      <c r="J1056" s="6">
        <v>0</v>
      </c>
      <c r="K1056" s="6">
        <v>0</v>
      </c>
      <c r="L1056" s="6">
        <v>-3.53</v>
      </c>
      <c r="M1056" s="6">
        <v>-3.53</v>
      </c>
      <c r="N1056" s="6">
        <v>-3.53</v>
      </c>
      <c r="O1056" s="6">
        <v>-3.53</v>
      </c>
      <c r="P1056" s="6">
        <v>0</v>
      </c>
      <c r="Q1056" s="4" t="s">
        <v>26</v>
      </c>
      <c r="R1056" s="4">
        <v>0</v>
      </c>
      <c r="S1056" s="4" t="s">
        <v>467</v>
      </c>
      <c r="T1056" s="4" t="s">
        <v>727</v>
      </c>
      <c r="U1056" s="4">
        <v>0</v>
      </c>
      <c r="V1056" s="4">
        <v>30</v>
      </c>
      <c r="W1056" s="4">
        <v>78</v>
      </c>
    </row>
    <row r="1057" spans="1:23" ht="11.25" customHeight="1" x14ac:dyDescent="0.25">
      <c r="A1057" s="4" t="s">
        <v>28</v>
      </c>
      <c r="B1057" s="4" t="s">
        <v>41</v>
      </c>
      <c r="C1057" s="4" t="s">
        <v>42</v>
      </c>
      <c r="D1057" s="4" t="s">
        <v>38</v>
      </c>
      <c r="E1057" s="4" t="s">
        <v>25</v>
      </c>
      <c r="F1057" s="4" t="s">
        <v>25</v>
      </c>
      <c r="G1057" s="4" t="s">
        <v>25</v>
      </c>
      <c r="H1057" s="4" t="s">
        <v>34</v>
      </c>
      <c r="I1057" s="5">
        <v>44593</v>
      </c>
      <c r="J1057" s="6">
        <v>0</v>
      </c>
      <c r="K1057" s="6">
        <v>0</v>
      </c>
      <c r="L1057" s="6">
        <v>13.725</v>
      </c>
      <c r="M1057" s="6">
        <v>13.725</v>
      </c>
      <c r="N1057" s="6">
        <v>13.725</v>
      </c>
      <c r="O1057" s="6">
        <v>13.725</v>
      </c>
      <c r="P1057" s="6">
        <v>0</v>
      </c>
      <c r="Q1057" s="4" t="s">
        <v>26</v>
      </c>
      <c r="R1057" s="4">
        <v>0</v>
      </c>
      <c r="S1057" s="4" t="s">
        <v>467</v>
      </c>
      <c r="T1057" s="4" t="s">
        <v>727</v>
      </c>
      <c r="U1057" s="4">
        <v>0</v>
      </c>
      <c r="V1057" s="4">
        <v>30</v>
      </c>
      <c r="W1057" s="4">
        <v>78</v>
      </c>
    </row>
    <row r="1058" spans="1:23" ht="11.25" customHeight="1" x14ac:dyDescent="0.25">
      <c r="A1058" s="4" t="s">
        <v>21</v>
      </c>
      <c r="B1058" s="4" t="s">
        <v>41</v>
      </c>
      <c r="C1058" s="4" t="s">
        <v>42</v>
      </c>
      <c r="D1058" s="4" t="s">
        <v>38</v>
      </c>
      <c r="E1058" s="4" t="s">
        <v>25</v>
      </c>
      <c r="F1058" s="4" t="s">
        <v>25</v>
      </c>
      <c r="G1058" s="4" t="s">
        <v>25</v>
      </c>
      <c r="H1058" s="4" t="s">
        <v>34</v>
      </c>
      <c r="I1058" s="5">
        <v>44621</v>
      </c>
      <c r="J1058" s="6">
        <v>0</v>
      </c>
      <c r="K1058" s="6">
        <v>0</v>
      </c>
      <c r="L1058" s="6">
        <v>117.474</v>
      </c>
      <c r="M1058" s="6">
        <v>117.474</v>
      </c>
      <c r="N1058" s="6">
        <v>117.474</v>
      </c>
      <c r="O1058" s="6">
        <v>117.474</v>
      </c>
      <c r="P1058" s="6">
        <v>0</v>
      </c>
      <c r="Q1058" s="4" t="s">
        <v>26</v>
      </c>
      <c r="R1058" s="4">
        <v>0</v>
      </c>
      <c r="S1058" s="4" t="s">
        <v>468</v>
      </c>
      <c r="T1058" s="4" t="s">
        <v>728</v>
      </c>
      <c r="U1058" s="4">
        <v>0</v>
      </c>
      <c r="V1058" s="4">
        <v>30</v>
      </c>
      <c r="W1058" s="4">
        <v>78</v>
      </c>
    </row>
    <row r="1059" spans="1:23" ht="11.25" customHeight="1" x14ac:dyDescent="0.25">
      <c r="A1059" s="4" t="s">
        <v>28</v>
      </c>
      <c r="B1059" s="4" t="s">
        <v>41</v>
      </c>
      <c r="C1059" s="4" t="s">
        <v>42</v>
      </c>
      <c r="D1059" s="4" t="s">
        <v>38</v>
      </c>
      <c r="E1059" s="4" t="s">
        <v>25</v>
      </c>
      <c r="F1059" s="4" t="s">
        <v>25</v>
      </c>
      <c r="G1059" s="4" t="s">
        <v>25</v>
      </c>
      <c r="H1059" s="4" t="s">
        <v>34</v>
      </c>
      <c r="I1059" s="5">
        <v>44621</v>
      </c>
      <c r="J1059" s="6">
        <v>0</v>
      </c>
      <c r="K1059" s="6">
        <v>0</v>
      </c>
      <c r="L1059" s="6">
        <v>9.4659999999999993</v>
      </c>
      <c r="M1059" s="6">
        <v>9.4659999999999993</v>
      </c>
      <c r="N1059" s="6">
        <v>9.4659999999999993</v>
      </c>
      <c r="O1059" s="6">
        <v>9.4659999999999993</v>
      </c>
      <c r="P1059" s="6">
        <v>0</v>
      </c>
      <c r="Q1059" s="4" t="s">
        <v>26</v>
      </c>
      <c r="R1059" s="4">
        <v>0</v>
      </c>
      <c r="S1059" s="4" t="s">
        <v>468</v>
      </c>
      <c r="T1059" s="4" t="s">
        <v>728</v>
      </c>
      <c r="U1059" s="4">
        <v>0</v>
      </c>
      <c r="V1059" s="4">
        <v>30</v>
      </c>
      <c r="W1059" s="4">
        <v>78</v>
      </c>
    </row>
    <row r="1060" spans="1:23" ht="11.25" customHeight="1" x14ac:dyDescent="0.25">
      <c r="A1060" s="4" t="s">
        <v>28</v>
      </c>
      <c r="B1060" s="4" t="s">
        <v>41</v>
      </c>
      <c r="C1060" s="4" t="s">
        <v>42</v>
      </c>
      <c r="D1060" s="4" t="s">
        <v>38</v>
      </c>
      <c r="E1060" s="4" t="s">
        <v>25</v>
      </c>
      <c r="F1060" s="4" t="s">
        <v>25</v>
      </c>
      <c r="G1060" s="4" t="s">
        <v>25</v>
      </c>
      <c r="H1060" s="4" t="s">
        <v>34</v>
      </c>
      <c r="I1060" s="5">
        <v>44621</v>
      </c>
      <c r="J1060" s="6">
        <v>0</v>
      </c>
      <c r="K1060" s="6">
        <v>0</v>
      </c>
      <c r="L1060" s="6">
        <v>0.187</v>
      </c>
      <c r="M1060" s="6">
        <v>0.187</v>
      </c>
      <c r="N1060" s="6">
        <v>0.187</v>
      </c>
      <c r="O1060" s="6">
        <v>0.187</v>
      </c>
      <c r="P1060" s="6">
        <v>0</v>
      </c>
      <c r="Q1060" s="4" t="s">
        <v>26</v>
      </c>
      <c r="R1060" s="4">
        <v>0</v>
      </c>
      <c r="S1060" s="4" t="s">
        <v>468</v>
      </c>
      <c r="T1060" s="4" t="s">
        <v>728</v>
      </c>
      <c r="U1060" s="4">
        <v>0</v>
      </c>
      <c r="V1060" s="4">
        <v>30</v>
      </c>
      <c r="W1060" s="4">
        <v>78</v>
      </c>
    </row>
    <row r="1061" spans="1:23" ht="11.25" customHeight="1" x14ac:dyDescent="0.25">
      <c r="A1061" s="4" t="s">
        <v>21</v>
      </c>
      <c r="B1061" s="4" t="s">
        <v>41</v>
      </c>
      <c r="C1061" s="4" t="s">
        <v>42</v>
      </c>
      <c r="D1061" s="4" t="s">
        <v>38</v>
      </c>
      <c r="E1061" s="4" t="s">
        <v>25</v>
      </c>
      <c r="F1061" s="4" t="s">
        <v>25</v>
      </c>
      <c r="G1061" s="4" t="s">
        <v>25</v>
      </c>
      <c r="H1061" s="4" t="s">
        <v>34</v>
      </c>
      <c r="I1061" s="5">
        <v>44652</v>
      </c>
      <c r="J1061" s="6">
        <v>0</v>
      </c>
      <c r="K1061" s="6">
        <v>0</v>
      </c>
      <c r="L1061" s="6">
        <v>113.342</v>
      </c>
      <c r="M1061" s="6">
        <v>113.342</v>
      </c>
      <c r="N1061" s="6">
        <v>113.342</v>
      </c>
      <c r="O1061" s="6">
        <v>113.342</v>
      </c>
      <c r="P1061" s="6">
        <v>0</v>
      </c>
      <c r="Q1061" s="4" t="s">
        <v>26</v>
      </c>
      <c r="R1061" s="4">
        <v>0</v>
      </c>
      <c r="S1061" s="4" t="s">
        <v>469</v>
      </c>
      <c r="T1061" s="4" t="s">
        <v>729</v>
      </c>
      <c r="U1061" s="4">
        <v>0</v>
      </c>
      <c r="V1061" s="4">
        <v>30</v>
      </c>
      <c r="W1061" s="4">
        <v>78</v>
      </c>
    </row>
    <row r="1062" spans="1:23" ht="11.25" customHeight="1" x14ac:dyDescent="0.25">
      <c r="A1062" s="4" t="s">
        <v>27</v>
      </c>
      <c r="B1062" s="4" t="s">
        <v>41</v>
      </c>
      <c r="C1062" s="4" t="s">
        <v>42</v>
      </c>
      <c r="D1062" s="4" t="s">
        <v>38</v>
      </c>
      <c r="E1062" s="4" t="s">
        <v>25</v>
      </c>
      <c r="F1062" s="4" t="s">
        <v>25</v>
      </c>
      <c r="G1062" s="4" t="s">
        <v>25</v>
      </c>
      <c r="H1062" s="4" t="s">
        <v>34</v>
      </c>
      <c r="I1062" s="5">
        <v>44652</v>
      </c>
      <c r="J1062" s="6">
        <v>0</v>
      </c>
      <c r="K1062" s="6">
        <v>0</v>
      </c>
      <c r="L1062" s="6">
        <v>2.1480000000000001</v>
      </c>
      <c r="M1062" s="6">
        <v>2.1480000000000001</v>
      </c>
      <c r="N1062" s="6">
        <v>2.1480000000000001</v>
      </c>
      <c r="O1062" s="6">
        <v>2.1480000000000001</v>
      </c>
      <c r="P1062" s="6">
        <v>0</v>
      </c>
      <c r="Q1062" s="4" t="s">
        <v>26</v>
      </c>
      <c r="R1062" s="4">
        <v>0</v>
      </c>
      <c r="S1062" s="4" t="s">
        <v>469</v>
      </c>
      <c r="T1062" s="4" t="s">
        <v>729</v>
      </c>
      <c r="U1062" s="4">
        <v>0</v>
      </c>
      <c r="V1062" s="4">
        <v>30</v>
      </c>
      <c r="W1062" s="4">
        <v>78</v>
      </c>
    </row>
    <row r="1063" spans="1:23" ht="11.25" customHeight="1" x14ac:dyDescent="0.25">
      <c r="A1063" s="4" t="s">
        <v>28</v>
      </c>
      <c r="B1063" s="4" t="s">
        <v>41</v>
      </c>
      <c r="C1063" s="4" t="s">
        <v>42</v>
      </c>
      <c r="D1063" s="4" t="s">
        <v>38</v>
      </c>
      <c r="E1063" s="4" t="s">
        <v>25</v>
      </c>
      <c r="F1063" s="4" t="s">
        <v>25</v>
      </c>
      <c r="G1063" s="4" t="s">
        <v>25</v>
      </c>
      <c r="H1063" s="4" t="s">
        <v>34</v>
      </c>
      <c r="I1063" s="5">
        <v>44652</v>
      </c>
      <c r="J1063" s="6">
        <v>0</v>
      </c>
      <c r="K1063" s="6">
        <v>0</v>
      </c>
      <c r="L1063" s="6">
        <v>6.9279999999999999</v>
      </c>
      <c r="M1063" s="6">
        <v>6.9279999999999999</v>
      </c>
      <c r="N1063" s="6">
        <v>6.9279999999999999</v>
      </c>
      <c r="O1063" s="6">
        <v>6.9279999999999999</v>
      </c>
      <c r="P1063" s="6">
        <v>0</v>
      </c>
      <c r="Q1063" s="4" t="s">
        <v>26</v>
      </c>
      <c r="R1063" s="4">
        <v>0</v>
      </c>
      <c r="S1063" s="4" t="s">
        <v>469</v>
      </c>
      <c r="T1063" s="4" t="s">
        <v>729</v>
      </c>
      <c r="U1063" s="4">
        <v>0</v>
      </c>
      <c r="V1063" s="4">
        <v>30</v>
      </c>
      <c r="W1063" s="4">
        <v>78</v>
      </c>
    </row>
    <row r="1064" spans="1:23" ht="11.25" customHeight="1" x14ac:dyDescent="0.25">
      <c r="A1064" s="4" t="s">
        <v>58</v>
      </c>
      <c r="B1064" s="4" t="s">
        <v>41</v>
      </c>
      <c r="C1064" s="4" t="s">
        <v>42</v>
      </c>
      <c r="D1064" s="4" t="s">
        <v>38</v>
      </c>
      <c r="E1064" s="4" t="s">
        <v>25</v>
      </c>
      <c r="F1064" s="4" t="s">
        <v>25</v>
      </c>
      <c r="G1064" s="4" t="s">
        <v>25</v>
      </c>
      <c r="H1064" s="4" t="s">
        <v>34</v>
      </c>
      <c r="I1064" s="5">
        <v>44682</v>
      </c>
      <c r="J1064" s="6">
        <v>0</v>
      </c>
      <c r="K1064" s="6">
        <v>0</v>
      </c>
      <c r="L1064" s="6">
        <v>113.342</v>
      </c>
      <c r="M1064" s="6">
        <v>113.342</v>
      </c>
      <c r="N1064" s="6">
        <v>113.342</v>
      </c>
      <c r="O1064" s="6">
        <v>113.342</v>
      </c>
      <c r="P1064" s="6">
        <v>0</v>
      </c>
      <c r="Q1064" s="4" t="s">
        <v>26</v>
      </c>
      <c r="R1064" s="4">
        <v>0</v>
      </c>
      <c r="S1064" s="4" t="s">
        <v>470</v>
      </c>
      <c r="T1064" s="4" t="s">
        <v>730</v>
      </c>
      <c r="U1064" s="4">
        <v>0</v>
      </c>
      <c r="V1064" s="4">
        <v>30</v>
      </c>
      <c r="W1064" s="4">
        <v>78</v>
      </c>
    </row>
    <row r="1065" spans="1:23" ht="11.25" customHeight="1" x14ac:dyDescent="0.25">
      <c r="A1065" s="4" t="s">
        <v>58</v>
      </c>
      <c r="B1065" s="4" t="s">
        <v>41</v>
      </c>
      <c r="C1065" s="4" t="s">
        <v>42</v>
      </c>
      <c r="D1065" s="4" t="s">
        <v>38</v>
      </c>
      <c r="E1065" s="4" t="s">
        <v>25</v>
      </c>
      <c r="F1065" s="4" t="s">
        <v>25</v>
      </c>
      <c r="G1065" s="4" t="s">
        <v>25</v>
      </c>
      <c r="H1065" s="4" t="s">
        <v>34</v>
      </c>
      <c r="I1065" s="5">
        <v>44682</v>
      </c>
      <c r="J1065" s="6">
        <v>0</v>
      </c>
      <c r="K1065" s="6">
        <v>0</v>
      </c>
      <c r="L1065" s="6">
        <v>2.1480000000000001</v>
      </c>
      <c r="M1065" s="6">
        <v>2.1480000000000001</v>
      </c>
      <c r="N1065" s="6">
        <v>2.1480000000000001</v>
      </c>
      <c r="O1065" s="6">
        <v>2.1480000000000001</v>
      </c>
      <c r="P1065" s="6">
        <v>0</v>
      </c>
      <c r="Q1065" s="4" t="s">
        <v>26</v>
      </c>
      <c r="R1065" s="4">
        <v>0</v>
      </c>
      <c r="S1065" s="4" t="s">
        <v>470</v>
      </c>
      <c r="T1065" s="4" t="s">
        <v>730</v>
      </c>
      <c r="U1065" s="4">
        <v>0</v>
      </c>
      <c r="V1065" s="4">
        <v>30</v>
      </c>
      <c r="W1065" s="4">
        <v>78</v>
      </c>
    </row>
    <row r="1066" spans="1:23" ht="11.25" customHeight="1" x14ac:dyDescent="0.25">
      <c r="A1066" s="4" t="s">
        <v>58</v>
      </c>
      <c r="B1066" s="4" t="s">
        <v>41</v>
      </c>
      <c r="C1066" s="4" t="s">
        <v>42</v>
      </c>
      <c r="D1066" s="4" t="s">
        <v>38</v>
      </c>
      <c r="E1066" s="4" t="s">
        <v>25</v>
      </c>
      <c r="F1066" s="4" t="s">
        <v>25</v>
      </c>
      <c r="G1066" s="4" t="s">
        <v>25</v>
      </c>
      <c r="H1066" s="4" t="s">
        <v>34</v>
      </c>
      <c r="I1066" s="5">
        <v>44682</v>
      </c>
      <c r="J1066" s="6">
        <v>0</v>
      </c>
      <c r="K1066" s="6">
        <v>0</v>
      </c>
      <c r="L1066" s="6">
        <v>6.9279999999999999</v>
      </c>
      <c r="M1066" s="6">
        <v>6.9279999999999999</v>
      </c>
      <c r="N1066" s="6">
        <v>6.9279999999999999</v>
      </c>
      <c r="O1066" s="6">
        <v>6.9279999999999999</v>
      </c>
      <c r="P1066" s="6">
        <v>0</v>
      </c>
      <c r="Q1066" s="4" t="s">
        <v>26</v>
      </c>
      <c r="R1066" s="4">
        <v>0</v>
      </c>
      <c r="S1066" s="4" t="s">
        <v>470</v>
      </c>
      <c r="T1066" s="4" t="s">
        <v>730</v>
      </c>
      <c r="U1066" s="4">
        <v>0</v>
      </c>
      <c r="V1066" s="4">
        <v>30</v>
      </c>
      <c r="W1066" s="4">
        <v>78</v>
      </c>
    </row>
    <row r="1067" spans="1:23" ht="11.25" customHeight="1" x14ac:dyDescent="0.25">
      <c r="A1067" s="4" t="s">
        <v>21</v>
      </c>
      <c r="B1067" s="4" t="s">
        <v>41</v>
      </c>
      <c r="C1067" s="4" t="s">
        <v>42</v>
      </c>
      <c r="D1067" s="4" t="s">
        <v>46</v>
      </c>
      <c r="E1067" s="4" t="s">
        <v>25</v>
      </c>
      <c r="F1067" s="4" t="s">
        <v>25</v>
      </c>
      <c r="G1067" s="4" t="s">
        <v>25</v>
      </c>
      <c r="H1067" s="4" t="s">
        <v>35</v>
      </c>
      <c r="I1067" s="5">
        <v>44348</v>
      </c>
      <c r="J1067" s="6">
        <v>0</v>
      </c>
      <c r="K1067" s="6">
        <v>0</v>
      </c>
      <c r="L1067" s="6">
        <v>187.01599999999999</v>
      </c>
      <c r="M1067" s="6">
        <v>187.01599999999999</v>
      </c>
      <c r="N1067" s="6">
        <v>187.01599999999999</v>
      </c>
      <c r="O1067" s="6">
        <v>187.01599999999999</v>
      </c>
      <c r="P1067" s="6">
        <v>0</v>
      </c>
      <c r="Q1067" s="4" t="s">
        <v>26</v>
      </c>
      <c r="R1067" s="4">
        <v>0</v>
      </c>
      <c r="S1067" s="4" t="s">
        <v>435</v>
      </c>
      <c r="T1067" s="4" t="s">
        <v>707</v>
      </c>
      <c r="U1067" s="4">
        <v>0</v>
      </c>
      <c r="V1067" s="4">
        <v>31</v>
      </c>
      <c r="W1067" s="4">
        <v>79</v>
      </c>
    </row>
    <row r="1068" spans="1:23" ht="11.25" customHeight="1" x14ac:dyDescent="0.25">
      <c r="A1068" s="4" t="s">
        <v>28</v>
      </c>
      <c r="B1068" s="4" t="s">
        <v>41</v>
      </c>
      <c r="C1068" s="4" t="s">
        <v>42</v>
      </c>
      <c r="D1068" s="4" t="s">
        <v>46</v>
      </c>
      <c r="E1068" s="4" t="s">
        <v>25</v>
      </c>
      <c r="F1068" s="4" t="s">
        <v>25</v>
      </c>
      <c r="G1068" s="4" t="s">
        <v>25</v>
      </c>
      <c r="H1068" s="4" t="s">
        <v>35</v>
      </c>
      <c r="I1068" s="5">
        <v>44348</v>
      </c>
      <c r="J1068" s="6">
        <v>0</v>
      </c>
      <c r="K1068" s="6">
        <v>0</v>
      </c>
      <c r="L1068" s="6">
        <v>12.58</v>
      </c>
      <c r="M1068" s="6">
        <v>12.58</v>
      </c>
      <c r="N1068" s="6">
        <v>12.58</v>
      </c>
      <c r="O1068" s="6">
        <v>12.58</v>
      </c>
      <c r="P1068" s="6">
        <v>0</v>
      </c>
      <c r="Q1068" s="4" t="s">
        <v>26</v>
      </c>
      <c r="R1068" s="4">
        <v>0</v>
      </c>
      <c r="S1068" s="4" t="s">
        <v>435</v>
      </c>
      <c r="T1068" s="4" t="s">
        <v>707</v>
      </c>
      <c r="U1068" s="4">
        <v>0</v>
      </c>
      <c r="V1068" s="4">
        <v>31</v>
      </c>
      <c r="W1068" s="4">
        <v>79</v>
      </c>
    </row>
    <row r="1069" spans="1:23" ht="11.25" customHeight="1" x14ac:dyDescent="0.25">
      <c r="A1069" s="4" t="s">
        <v>21</v>
      </c>
      <c r="B1069" s="4" t="s">
        <v>41</v>
      </c>
      <c r="C1069" s="4" t="s">
        <v>42</v>
      </c>
      <c r="D1069" s="4" t="s">
        <v>46</v>
      </c>
      <c r="E1069" s="4" t="s">
        <v>25</v>
      </c>
      <c r="F1069" s="4" t="s">
        <v>25</v>
      </c>
      <c r="G1069" s="4" t="s">
        <v>25</v>
      </c>
      <c r="H1069" s="4" t="s">
        <v>35</v>
      </c>
      <c r="I1069" s="5">
        <v>44378</v>
      </c>
      <c r="J1069" s="6">
        <v>0</v>
      </c>
      <c r="K1069" s="6">
        <v>0</v>
      </c>
      <c r="L1069" s="6">
        <v>158.22499999999999</v>
      </c>
      <c r="M1069" s="6">
        <v>158.22499999999999</v>
      </c>
      <c r="N1069" s="6">
        <v>158.22499999999999</v>
      </c>
      <c r="O1069" s="6">
        <v>158.22499999999999</v>
      </c>
      <c r="P1069" s="6">
        <v>0</v>
      </c>
      <c r="Q1069" s="4" t="s">
        <v>26</v>
      </c>
      <c r="R1069" s="4">
        <v>0</v>
      </c>
      <c r="S1069" s="4" t="s">
        <v>436</v>
      </c>
      <c r="T1069" s="4" t="s">
        <v>708</v>
      </c>
      <c r="U1069" s="4">
        <v>0</v>
      </c>
      <c r="V1069" s="4">
        <v>31</v>
      </c>
      <c r="W1069" s="4">
        <v>79</v>
      </c>
    </row>
    <row r="1070" spans="1:23" ht="11.25" customHeight="1" x14ac:dyDescent="0.25">
      <c r="A1070" s="4" t="s">
        <v>28</v>
      </c>
      <c r="B1070" s="4" t="s">
        <v>41</v>
      </c>
      <c r="C1070" s="4" t="s">
        <v>42</v>
      </c>
      <c r="D1070" s="4" t="s">
        <v>46</v>
      </c>
      <c r="E1070" s="4" t="s">
        <v>25</v>
      </c>
      <c r="F1070" s="4" t="s">
        <v>25</v>
      </c>
      <c r="G1070" s="4" t="s">
        <v>25</v>
      </c>
      <c r="H1070" s="4" t="s">
        <v>35</v>
      </c>
      <c r="I1070" s="5">
        <v>44378</v>
      </c>
      <c r="J1070" s="6">
        <v>0</v>
      </c>
      <c r="K1070" s="6">
        <v>0</v>
      </c>
      <c r="L1070" s="6">
        <v>9.4220000000000006</v>
      </c>
      <c r="M1070" s="6">
        <v>9.4220000000000006</v>
      </c>
      <c r="N1070" s="6">
        <v>9.4220000000000006</v>
      </c>
      <c r="O1070" s="6">
        <v>9.4220000000000006</v>
      </c>
      <c r="P1070" s="6">
        <v>0</v>
      </c>
      <c r="Q1070" s="4" t="s">
        <v>26</v>
      </c>
      <c r="R1070" s="4">
        <v>0</v>
      </c>
      <c r="S1070" s="4" t="s">
        <v>436</v>
      </c>
      <c r="T1070" s="4" t="s">
        <v>708</v>
      </c>
      <c r="U1070" s="4">
        <v>0</v>
      </c>
      <c r="V1070" s="4">
        <v>31</v>
      </c>
      <c r="W1070" s="4">
        <v>79</v>
      </c>
    </row>
    <row r="1071" spans="1:23" ht="11.25" customHeight="1" x14ac:dyDescent="0.25">
      <c r="A1071" s="4" t="s">
        <v>21</v>
      </c>
      <c r="B1071" s="4" t="s">
        <v>41</v>
      </c>
      <c r="C1071" s="4" t="s">
        <v>42</v>
      </c>
      <c r="D1071" s="4" t="s">
        <v>46</v>
      </c>
      <c r="E1071" s="4" t="s">
        <v>25</v>
      </c>
      <c r="F1071" s="4" t="s">
        <v>25</v>
      </c>
      <c r="G1071" s="4" t="s">
        <v>25</v>
      </c>
      <c r="H1071" s="4" t="s">
        <v>35</v>
      </c>
      <c r="I1071" s="5">
        <v>44409</v>
      </c>
      <c r="J1071" s="6">
        <v>0</v>
      </c>
      <c r="K1071" s="6">
        <v>0</v>
      </c>
      <c r="L1071" s="6">
        <v>164.51300000000001</v>
      </c>
      <c r="M1071" s="6">
        <v>164.51300000000001</v>
      </c>
      <c r="N1071" s="6">
        <v>164.51300000000001</v>
      </c>
      <c r="O1071" s="6">
        <v>164.51300000000001</v>
      </c>
      <c r="P1071" s="6">
        <v>0</v>
      </c>
      <c r="Q1071" s="4" t="s">
        <v>26</v>
      </c>
      <c r="R1071" s="4">
        <v>0</v>
      </c>
      <c r="S1071" s="4" t="s">
        <v>437</v>
      </c>
      <c r="T1071" s="4" t="s">
        <v>709</v>
      </c>
      <c r="U1071" s="4">
        <v>0</v>
      </c>
      <c r="V1071" s="4">
        <v>31</v>
      </c>
      <c r="W1071" s="4">
        <v>79</v>
      </c>
    </row>
    <row r="1072" spans="1:23" ht="11.25" customHeight="1" x14ac:dyDescent="0.25">
      <c r="A1072" s="4" t="s">
        <v>28</v>
      </c>
      <c r="B1072" s="4" t="s">
        <v>41</v>
      </c>
      <c r="C1072" s="4" t="s">
        <v>42</v>
      </c>
      <c r="D1072" s="4" t="s">
        <v>46</v>
      </c>
      <c r="E1072" s="4" t="s">
        <v>25</v>
      </c>
      <c r="F1072" s="4" t="s">
        <v>25</v>
      </c>
      <c r="G1072" s="4" t="s">
        <v>25</v>
      </c>
      <c r="H1072" s="4" t="s">
        <v>35</v>
      </c>
      <c r="I1072" s="5">
        <v>44409</v>
      </c>
      <c r="J1072" s="6">
        <v>0</v>
      </c>
      <c r="K1072" s="6">
        <v>0</v>
      </c>
      <c r="L1072" s="6">
        <v>7.5289999999999999</v>
      </c>
      <c r="M1072" s="6">
        <v>7.5289999999999999</v>
      </c>
      <c r="N1072" s="6">
        <v>7.5289999999999999</v>
      </c>
      <c r="O1072" s="6">
        <v>7.5289999999999999</v>
      </c>
      <c r="P1072" s="6">
        <v>0</v>
      </c>
      <c r="Q1072" s="4" t="s">
        <v>26</v>
      </c>
      <c r="R1072" s="4">
        <v>0</v>
      </c>
      <c r="S1072" s="4" t="s">
        <v>437</v>
      </c>
      <c r="T1072" s="4" t="s">
        <v>709</v>
      </c>
      <c r="U1072" s="4">
        <v>0</v>
      </c>
      <c r="V1072" s="4">
        <v>31</v>
      </c>
      <c r="W1072" s="4">
        <v>79</v>
      </c>
    </row>
    <row r="1073" spans="1:23" ht="11.25" customHeight="1" x14ac:dyDescent="0.25">
      <c r="A1073" s="4" t="s">
        <v>21</v>
      </c>
      <c r="B1073" s="4" t="s">
        <v>41</v>
      </c>
      <c r="C1073" s="4" t="s">
        <v>42</v>
      </c>
      <c r="D1073" s="4" t="s">
        <v>46</v>
      </c>
      <c r="E1073" s="4" t="s">
        <v>25</v>
      </c>
      <c r="F1073" s="4" t="s">
        <v>25</v>
      </c>
      <c r="G1073" s="4" t="s">
        <v>25</v>
      </c>
      <c r="H1073" s="4" t="s">
        <v>35</v>
      </c>
      <c r="I1073" s="5">
        <v>44440</v>
      </c>
      <c r="J1073" s="6">
        <v>0</v>
      </c>
      <c r="K1073" s="6">
        <v>0</v>
      </c>
      <c r="L1073" s="6">
        <v>174.09299999999999</v>
      </c>
      <c r="M1073" s="6">
        <v>174.09299999999999</v>
      </c>
      <c r="N1073" s="6">
        <v>174.09299999999999</v>
      </c>
      <c r="O1073" s="6">
        <v>174.09299999999999</v>
      </c>
      <c r="P1073" s="6">
        <v>0</v>
      </c>
      <c r="Q1073" s="4" t="s">
        <v>26</v>
      </c>
      <c r="R1073" s="4">
        <v>0</v>
      </c>
      <c r="S1073" s="4" t="s">
        <v>438</v>
      </c>
      <c r="T1073" s="4" t="s">
        <v>710</v>
      </c>
      <c r="U1073" s="4">
        <v>0</v>
      </c>
      <c r="V1073" s="4">
        <v>31</v>
      </c>
      <c r="W1073" s="4">
        <v>79</v>
      </c>
    </row>
    <row r="1074" spans="1:23" ht="11.25" customHeight="1" x14ac:dyDescent="0.25">
      <c r="A1074" s="4" t="s">
        <v>28</v>
      </c>
      <c r="B1074" s="4" t="s">
        <v>41</v>
      </c>
      <c r="C1074" s="4" t="s">
        <v>42</v>
      </c>
      <c r="D1074" s="4" t="s">
        <v>46</v>
      </c>
      <c r="E1074" s="4" t="s">
        <v>25</v>
      </c>
      <c r="F1074" s="4" t="s">
        <v>25</v>
      </c>
      <c r="G1074" s="4" t="s">
        <v>25</v>
      </c>
      <c r="H1074" s="4" t="s">
        <v>35</v>
      </c>
      <c r="I1074" s="5">
        <v>44440</v>
      </c>
      <c r="J1074" s="6">
        <v>0</v>
      </c>
      <c r="K1074" s="6">
        <v>0</v>
      </c>
      <c r="L1074" s="6">
        <v>5.3230000000000004</v>
      </c>
      <c r="M1074" s="6">
        <v>5.3230000000000004</v>
      </c>
      <c r="N1074" s="6">
        <v>5.3230000000000004</v>
      </c>
      <c r="O1074" s="6">
        <v>5.3230000000000004</v>
      </c>
      <c r="P1074" s="6">
        <v>0</v>
      </c>
      <c r="Q1074" s="4" t="s">
        <v>26</v>
      </c>
      <c r="R1074" s="4">
        <v>0</v>
      </c>
      <c r="S1074" s="4" t="s">
        <v>438</v>
      </c>
      <c r="T1074" s="4" t="s">
        <v>710</v>
      </c>
      <c r="U1074" s="4">
        <v>0</v>
      </c>
      <c r="V1074" s="4">
        <v>31</v>
      </c>
      <c r="W1074" s="4">
        <v>79</v>
      </c>
    </row>
    <row r="1075" spans="1:23" ht="11.25" customHeight="1" x14ac:dyDescent="0.25">
      <c r="A1075" s="4" t="s">
        <v>21</v>
      </c>
      <c r="B1075" s="4" t="s">
        <v>41</v>
      </c>
      <c r="C1075" s="4" t="s">
        <v>42</v>
      </c>
      <c r="D1075" s="4" t="s">
        <v>46</v>
      </c>
      <c r="E1075" s="4" t="s">
        <v>25</v>
      </c>
      <c r="F1075" s="4" t="s">
        <v>25</v>
      </c>
      <c r="G1075" s="4" t="s">
        <v>25</v>
      </c>
      <c r="H1075" s="4" t="s">
        <v>35</v>
      </c>
      <c r="I1075" s="5">
        <v>44470</v>
      </c>
      <c r="J1075" s="6">
        <v>0</v>
      </c>
      <c r="K1075" s="6">
        <v>0</v>
      </c>
      <c r="L1075" s="6">
        <v>201.80699999999999</v>
      </c>
      <c r="M1075" s="6">
        <v>201.80699999999999</v>
      </c>
      <c r="N1075" s="6">
        <v>201.80699999999999</v>
      </c>
      <c r="O1075" s="6">
        <v>201.80699999999999</v>
      </c>
      <c r="P1075" s="6">
        <v>0</v>
      </c>
      <c r="Q1075" s="4" t="s">
        <v>26</v>
      </c>
      <c r="R1075" s="4">
        <v>0</v>
      </c>
      <c r="S1075" s="4" t="s">
        <v>439</v>
      </c>
      <c r="T1075" s="4" t="s">
        <v>711</v>
      </c>
      <c r="U1075" s="4">
        <v>0</v>
      </c>
      <c r="V1075" s="4">
        <v>31</v>
      </c>
      <c r="W1075" s="4">
        <v>79</v>
      </c>
    </row>
    <row r="1076" spans="1:23" ht="11.25" customHeight="1" x14ac:dyDescent="0.25">
      <c r="A1076" s="4" t="s">
        <v>28</v>
      </c>
      <c r="B1076" s="4" t="s">
        <v>41</v>
      </c>
      <c r="C1076" s="4" t="s">
        <v>42</v>
      </c>
      <c r="D1076" s="4" t="s">
        <v>46</v>
      </c>
      <c r="E1076" s="4" t="s">
        <v>25</v>
      </c>
      <c r="F1076" s="4" t="s">
        <v>25</v>
      </c>
      <c r="G1076" s="4" t="s">
        <v>25</v>
      </c>
      <c r="H1076" s="4" t="s">
        <v>35</v>
      </c>
      <c r="I1076" s="5">
        <v>44470</v>
      </c>
      <c r="J1076" s="6">
        <v>0</v>
      </c>
      <c r="K1076" s="6">
        <v>0</v>
      </c>
      <c r="L1076" s="6">
        <v>4.9870000000000001</v>
      </c>
      <c r="M1076" s="6">
        <v>4.9870000000000001</v>
      </c>
      <c r="N1076" s="6">
        <v>4.9870000000000001</v>
      </c>
      <c r="O1076" s="6">
        <v>4.9870000000000001</v>
      </c>
      <c r="P1076" s="6">
        <v>0</v>
      </c>
      <c r="Q1076" s="4" t="s">
        <v>26</v>
      </c>
      <c r="R1076" s="4">
        <v>0</v>
      </c>
      <c r="S1076" s="4" t="s">
        <v>439</v>
      </c>
      <c r="T1076" s="4" t="s">
        <v>711</v>
      </c>
      <c r="U1076" s="4">
        <v>0</v>
      </c>
      <c r="V1076" s="4">
        <v>31</v>
      </c>
      <c r="W1076" s="4">
        <v>79</v>
      </c>
    </row>
    <row r="1077" spans="1:23" ht="11.25" customHeight="1" x14ac:dyDescent="0.25">
      <c r="A1077" s="4" t="s">
        <v>21</v>
      </c>
      <c r="B1077" s="4" t="s">
        <v>41</v>
      </c>
      <c r="C1077" s="4" t="s">
        <v>42</v>
      </c>
      <c r="D1077" s="4" t="s">
        <v>46</v>
      </c>
      <c r="E1077" s="4" t="s">
        <v>25</v>
      </c>
      <c r="F1077" s="4" t="s">
        <v>25</v>
      </c>
      <c r="G1077" s="4" t="s">
        <v>25</v>
      </c>
      <c r="H1077" s="4" t="s">
        <v>35</v>
      </c>
      <c r="I1077" s="5">
        <v>44501</v>
      </c>
      <c r="J1077" s="6">
        <v>0</v>
      </c>
      <c r="K1077" s="6">
        <v>0</v>
      </c>
      <c r="L1077" s="6">
        <v>193.036</v>
      </c>
      <c r="M1077" s="6">
        <v>193.036</v>
      </c>
      <c r="N1077" s="6">
        <v>193.036</v>
      </c>
      <c r="O1077" s="6">
        <v>193.036</v>
      </c>
      <c r="P1077" s="6">
        <v>0</v>
      </c>
      <c r="Q1077" s="4" t="s">
        <v>26</v>
      </c>
      <c r="R1077" s="4">
        <v>0</v>
      </c>
      <c r="S1077" s="4" t="s">
        <v>440</v>
      </c>
      <c r="T1077" s="4" t="s">
        <v>712</v>
      </c>
      <c r="U1077" s="4">
        <v>0</v>
      </c>
      <c r="V1077" s="4">
        <v>31</v>
      </c>
      <c r="W1077" s="4">
        <v>79</v>
      </c>
    </row>
    <row r="1078" spans="1:23" ht="11.25" customHeight="1" x14ac:dyDescent="0.25">
      <c r="A1078" s="4" t="s">
        <v>28</v>
      </c>
      <c r="B1078" s="4" t="s">
        <v>41</v>
      </c>
      <c r="C1078" s="4" t="s">
        <v>42</v>
      </c>
      <c r="D1078" s="4" t="s">
        <v>46</v>
      </c>
      <c r="E1078" s="4" t="s">
        <v>25</v>
      </c>
      <c r="F1078" s="4" t="s">
        <v>25</v>
      </c>
      <c r="G1078" s="4" t="s">
        <v>25</v>
      </c>
      <c r="H1078" s="4" t="s">
        <v>35</v>
      </c>
      <c r="I1078" s="5">
        <v>44501</v>
      </c>
      <c r="J1078" s="6">
        <v>0</v>
      </c>
      <c r="K1078" s="6">
        <v>0</v>
      </c>
      <c r="L1078" s="6">
        <v>8.5860000000000003</v>
      </c>
      <c r="M1078" s="6">
        <v>8.5860000000000003</v>
      </c>
      <c r="N1078" s="6">
        <v>8.5860000000000003</v>
      </c>
      <c r="O1078" s="6">
        <v>8.5860000000000003</v>
      </c>
      <c r="P1078" s="6">
        <v>0</v>
      </c>
      <c r="Q1078" s="4" t="s">
        <v>26</v>
      </c>
      <c r="R1078" s="4">
        <v>0</v>
      </c>
      <c r="S1078" s="4" t="s">
        <v>440</v>
      </c>
      <c r="T1078" s="4" t="s">
        <v>712</v>
      </c>
      <c r="U1078" s="4">
        <v>0</v>
      </c>
      <c r="V1078" s="4">
        <v>31</v>
      </c>
      <c r="W1078" s="4">
        <v>79</v>
      </c>
    </row>
    <row r="1079" spans="1:23" ht="11.25" customHeight="1" x14ac:dyDescent="0.25">
      <c r="A1079" s="4" t="s">
        <v>21</v>
      </c>
      <c r="B1079" s="4" t="s">
        <v>41</v>
      </c>
      <c r="C1079" s="4" t="s">
        <v>42</v>
      </c>
      <c r="D1079" s="4" t="s">
        <v>46</v>
      </c>
      <c r="E1079" s="4" t="s">
        <v>25</v>
      </c>
      <c r="F1079" s="4" t="s">
        <v>25</v>
      </c>
      <c r="G1079" s="4" t="s">
        <v>25</v>
      </c>
      <c r="H1079" s="4" t="s">
        <v>35</v>
      </c>
      <c r="I1079" s="5">
        <v>44531</v>
      </c>
      <c r="J1079" s="6">
        <v>0</v>
      </c>
      <c r="K1079" s="6">
        <v>0</v>
      </c>
      <c r="L1079" s="6">
        <v>219.78299999999999</v>
      </c>
      <c r="M1079" s="6">
        <v>219.78299999999999</v>
      </c>
      <c r="N1079" s="6">
        <v>219.78299999999999</v>
      </c>
      <c r="O1079" s="6">
        <v>219.78299999999999</v>
      </c>
      <c r="P1079" s="6">
        <v>0</v>
      </c>
      <c r="Q1079" s="4" t="s">
        <v>26</v>
      </c>
      <c r="R1079" s="4">
        <v>0</v>
      </c>
      <c r="S1079" s="4" t="s">
        <v>441</v>
      </c>
      <c r="T1079" s="4" t="s">
        <v>713</v>
      </c>
      <c r="U1079" s="4">
        <v>0</v>
      </c>
      <c r="V1079" s="4">
        <v>31</v>
      </c>
      <c r="W1079" s="4">
        <v>79</v>
      </c>
    </row>
    <row r="1080" spans="1:23" ht="11.25" customHeight="1" x14ac:dyDescent="0.25">
      <c r="A1080" s="4" t="s">
        <v>28</v>
      </c>
      <c r="B1080" s="4" t="s">
        <v>41</v>
      </c>
      <c r="C1080" s="4" t="s">
        <v>42</v>
      </c>
      <c r="D1080" s="4" t="s">
        <v>46</v>
      </c>
      <c r="E1080" s="4" t="s">
        <v>25</v>
      </c>
      <c r="F1080" s="4" t="s">
        <v>25</v>
      </c>
      <c r="G1080" s="4" t="s">
        <v>25</v>
      </c>
      <c r="H1080" s="4" t="s">
        <v>35</v>
      </c>
      <c r="I1080" s="5">
        <v>44531</v>
      </c>
      <c r="J1080" s="6">
        <v>0</v>
      </c>
      <c r="K1080" s="6">
        <v>0</v>
      </c>
      <c r="L1080" s="6">
        <v>6.83</v>
      </c>
      <c r="M1080" s="6">
        <v>6.83</v>
      </c>
      <c r="N1080" s="6">
        <v>6.83</v>
      </c>
      <c r="O1080" s="6">
        <v>6.83</v>
      </c>
      <c r="P1080" s="6">
        <v>0</v>
      </c>
      <c r="Q1080" s="4" t="s">
        <v>26</v>
      </c>
      <c r="R1080" s="4">
        <v>0</v>
      </c>
      <c r="S1080" s="4" t="s">
        <v>441</v>
      </c>
      <c r="T1080" s="4" t="s">
        <v>713</v>
      </c>
      <c r="U1080" s="4">
        <v>0</v>
      </c>
      <c r="V1080" s="4">
        <v>31</v>
      </c>
      <c r="W1080" s="4">
        <v>79</v>
      </c>
    </row>
    <row r="1081" spans="1:23" ht="11.25" customHeight="1" x14ac:dyDescent="0.25">
      <c r="A1081" s="4" t="s">
        <v>21</v>
      </c>
      <c r="B1081" s="4" t="s">
        <v>41</v>
      </c>
      <c r="C1081" s="4" t="s">
        <v>42</v>
      </c>
      <c r="D1081" s="4" t="s">
        <v>46</v>
      </c>
      <c r="E1081" s="4" t="s">
        <v>25</v>
      </c>
      <c r="F1081" s="4" t="s">
        <v>25</v>
      </c>
      <c r="G1081" s="4" t="s">
        <v>25</v>
      </c>
      <c r="H1081" s="4" t="s">
        <v>35</v>
      </c>
      <c r="I1081" s="5">
        <v>44562</v>
      </c>
      <c r="J1081" s="6">
        <v>0</v>
      </c>
      <c r="K1081" s="6">
        <v>0</v>
      </c>
      <c r="L1081" s="6">
        <v>227.084</v>
      </c>
      <c r="M1081" s="6">
        <v>227.084</v>
      </c>
      <c r="N1081" s="6">
        <v>227.084</v>
      </c>
      <c r="O1081" s="6">
        <v>227.084</v>
      </c>
      <c r="P1081" s="6">
        <v>0</v>
      </c>
      <c r="Q1081" s="4" t="s">
        <v>26</v>
      </c>
      <c r="R1081" s="4">
        <v>0</v>
      </c>
      <c r="S1081" s="4" t="s">
        <v>442</v>
      </c>
      <c r="T1081" s="4" t="s">
        <v>714</v>
      </c>
      <c r="U1081" s="4">
        <v>0</v>
      </c>
      <c r="V1081" s="4">
        <v>31</v>
      </c>
      <c r="W1081" s="4">
        <v>79</v>
      </c>
    </row>
    <row r="1082" spans="1:23" ht="11.25" customHeight="1" x14ac:dyDescent="0.25">
      <c r="A1082" s="4" t="s">
        <v>28</v>
      </c>
      <c r="B1082" s="4" t="s">
        <v>41</v>
      </c>
      <c r="C1082" s="4" t="s">
        <v>42</v>
      </c>
      <c r="D1082" s="4" t="s">
        <v>46</v>
      </c>
      <c r="E1082" s="4" t="s">
        <v>25</v>
      </c>
      <c r="F1082" s="4" t="s">
        <v>25</v>
      </c>
      <c r="G1082" s="4" t="s">
        <v>25</v>
      </c>
      <c r="H1082" s="4" t="s">
        <v>35</v>
      </c>
      <c r="I1082" s="5">
        <v>44562</v>
      </c>
      <c r="J1082" s="6">
        <v>0</v>
      </c>
      <c r="K1082" s="6">
        <v>0</v>
      </c>
      <c r="L1082" s="6">
        <v>6.3840000000000003</v>
      </c>
      <c r="M1082" s="6">
        <v>6.3840000000000003</v>
      </c>
      <c r="N1082" s="6">
        <v>6.3840000000000003</v>
      </c>
      <c r="O1082" s="6">
        <v>6.3840000000000003</v>
      </c>
      <c r="P1082" s="6">
        <v>0</v>
      </c>
      <c r="Q1082" s="4" t="s">
        <v>26</v>
      </c>
      <c r="R1082" s="4">
        <v>0</v>
      </c>
      <c r="S1082" s="4" t="s">
        <v>442</v>
      </c>
      <c r="T1082" s="4" t="s">
        <v>714</v>
      </c>
      <c r="U1082" s="4">
        <v>0</v>
      </c>
      <c r="V1082" s="4">
        <v>31</v>
      </c>
      <c r="W1082" s="4">
        <v>79</v>
      </c>
    </row>
    <row r="1083" spans="1:23" ht="11.25" customHeight="1" x14ac:dyDescent="0.25">
      <c r="A1083" s="4" t="s">
        <v>21</v>
      </c>
      <c r="B1083" s="4" t="s">
        <v>41</v>
      </c>
      <c r="C1083" s="4" t="s">
        <v>42</v>
      </c>
      <c r="D1083" s="4" t="s">
        <v>46</v>
      </c>
      <c r="E1083" s="4" t="s">
        <v>25</v>
      </c>
      <c r="F1083" s="4" t="s">
        <v>25</v>
      </c>
      <c r="G1083" s="4" t="s">
        <v>25</v>
      </c>
      <c r="H1083" s="4" t="s">
        <v>35</v>
      </c>
      <c r="I1083" s="5">
        <v>44593</v>
      </c>
      <c r="J1083" s="6">
        <v>0</v>
      </c>
      <c r="K1083" s="6">
        <v>0</v>
      </c>
      <c r="L1083" s="6">
        <v>233.30799999999999</v>
      </c>
      <c r="M1083" s="6">
        <v>233.30799999999999</v>
      </c>
      <c r="N1083" s="6">
        <v>233.30799999999999</v>
      </c>
      <c r="O1083" s="6">
        <v>233.30799999999999</v>
      </c>
      <c r="P1083" s="6">
        <v>0</v>
      </c>
      <c r="Q1083" s="4" t="s">
        <v>26</v>
      </c>
      <c r="R1083" s="4">
        <v>0</v>
      </c>
      <c r="S1083" s="4" t="s">
        <v>443</v>
      </c>
      <c r="T1083" s="4" t="s">
        <v>715</v>
      </c>
      <c r="U1083" s="4">
        <v>0</v>
      </c>
      <c r="V1083" s="4">
        <v>31</v>
      </c>
      <c r="W1083" s="4">
        <v>79</v>
      </c>
    </row>
    <row r="1084" spans="1:23" ht="11.25" customHeight="1" x14ac:dyDescent="0.25">
      <c r="A1084" s="4" t="s">
        <v>28</v>
      </c>
      <c r="B1084" s="4" t="s">
        <v>41</v>
      </c>
      <c r="C1084" s="4" t="s">
        <v>42</v>
      </c>
      <c r="D1084" s="4" t="s">
        <v>46</v>
      </c>
      <c r="E1084" s="4" t="s">
        <v>25</v>
      </c>
      <c r="F1084" s="4" t="s">
        <v>25</v>
      </c>
      <c r="G1084" s="4" t="s">
        <v>25</v>
      </c>
      <c r="H1084" s="4" t="s">
        <v>35</v>
      </c>
      <c r="I1084" s="5">
        <v>44593</v>
      </c>
      <c r="J1084" s="6">
        <v>0</v>
      </c>
      <c r="K1084" s="6">
        <v>0</v>
      </c>
      <c r="L1084" s="6">
        <v>12.997999999999999</v>
      </c>
      <c r="M1084" s="6">
        <v>12.997999999999999</v>
      </c>
      <c r="N1084" s="6">
        <v>12.997999999999999</v>
      </c>
      <c r="O1084" s="6">
        <v>12.997999999999999</v>
      </c>
      <c r="P1084" s="6">
        <v>0</v>
      </c>
      <c r="Q1084" s="4" t="s">
        <v>26</v>
      </c>
      <c r="R1084" s="4">
        <v>0</v>
      </c>
      <c r="S1084" s="4" t="s">
        <v>443</v>
      </c>
      <c r="T1084" s="4" t="s">
        <v>715</v>
      </c>
      <c r="U1084" s="4">
        <v>0</v>
      </c>
      <c r="V1084" s="4">
        <v>31</v>
      </c>
      <c r="W1084" s="4">
        <v>79</v>
      </c>
    </row>
    <row r="1085" spans="1:23" ht="11.25" customHeight="1" x14ac:dyDescent="0.25">
      <c r="A1085" s="4" t="s">
        <v>21</v>
      </c>
      <c r="B1085" s="4" t="s">
        <v>41</v>
      </c>
      <c r="C1085" s="4" t="s">
        <v>42</v>
      </c>
      <c r="D1085" s="4" t="s">
        <v>46</v>
      </c>
      <c r="E1085" s="4" t="s">
        <v>25</v>
      </c>
      <c r="F1085" s="4" t="s">
        <v>25</v>
      </c>
      <c r="G1085" s="4" t="s">
        <v>25</v>
      </c>
      <c r="H1085" s="4" t="s">
        <v>35</v>
      </c>
      <c r="I1085" s="5">
        <v>44621</v>
      </c>
      <c r="J1085" s="6">
        <v>0</v>
      </c>
      <c r="K1085" s="6">
        <v>0</v>
      </c>
      <c r="L1085" s="6">
        <v>300.39699999999999</v>
      </c>
      <c r="M1085" s="6">
        <v>300.39699999999999</v>
      </c>
      <c r="N1085" s="6">
        <v>300.39699999999999</v>
      </c>
      <c r="O1085" s="6">
        <v>300.39699999999999</v>
      </c>
      <c r="P1085" s="6">
        <v>0</v>
      </c>
      <c r="Q1085" s="4" t="s">
        <v>26</v>
      </c>
      <c r="R1085" s="4">
        <v>0</v>
      </c>
      <c r="S1085" s="4" t="s">
        <v>444</v>
      </c>
      <c r="T1085" s="4" t="s">
        <v>716</v>
      </c>
      <c r="U1085" s="4">
        <v>0</v>
      </c>
      <c r="V1085" s="4">
        <v>31</v>
      </c>
      <c r="W1085" s="4">
        <v>79</v>
      </c>
    </row>
    <row r="1086" spans="1:23" ht="11.25" customHeight="1" x14ac:dyDescent="0.25">
      <c r="A1086" s="4" t="s">
        <v>27</v>
      </c>
      <c r="B1086" s="4" t="s">
        <v>41</v>
      </c>
      <c r="C1086" s="4" t="s">
        <v>42</v>
      </c>
      <c r="D1086" s="4" t="s">
        <v>46</v>
      </c>
      <c r="E1086" s="4" t="s">
        <v>25</v>
      </c>
      <c r="F1086" s="4" t="s">
        <v>25</v>
      </c>
      <c r="G1086" s="4" t="s">
        <v>25</v>
      </c>
      <c r="H1086" s="4" t="s">
        <v>35</v>
      </c>
      <c r="I1086" s="5">
        <v>44621</v>
      </c>
      <c r="J1086" s="6">
        <v>0</v>
      </c>
      <c r="K1086" s="6">
        <v>0</v>
      </c>
      <c r="L1086" s="6">
        <v>36.244</v>
      </c>
      <c r="M1086" s="6">
        <v>36.244</v>
      </c>
      <c r="N1086" s="6">
        <v>36.244</v>
      </c>
      <c r="O1086" s="6">
        <v>36.244</v>
      </c>
      <c r="P1086" s="6">
        <v>0</v>
      </c>
      <c r="Q1086" s="4" t="s">
        <v>26</v>
      </c>
      <c r="R1086" s="4">
        <v>0</v>
      </c>
      <c r="S1086" s="4" t="s">
        <v>444</v>
      </c>
      <c r="T1086" s="4" t="s">
        <v>716</v>
      </c>
      <c r="U1086" s="4">
        <v>0</v>
      </c>
      <c r="V1086" s="4">
        <v>31</v>
      </c>
      <c r="W1086" s="4">
        <v>79</v>
      </c>
    </row>
    <row r="1087" spans="1:23" ht="11.25" customHeight="1" x14ac:dyDescent="0.25">
      <c r="A1087" s="4" t="s">
        <v>28</v>
      </c>
      <c r="B1087" s="4" t="s">
        <v>41</v>
      </c>
      <c r="C1087" s="4" t="s">
        <v>42</v>
      </c>
      <c r="D1087" s="4" t="s">
        <v>46</v>
      </c>
      <c r="E1087" s="4" t="s">
        <v>25</v>
      </c>
      <c r="F1087" s="4" t="s">
        <v>25</v>
      </c>
      <c r="G1087" s="4" t="s">
        <v>25</v>
      </c>
      <c r="H1087" s="4" t="s">
        <v>35</v>
      </c>
      <c r="I1087" s="5">
        <v>44621</v>
      </c>
      <c r="J1087" s="6">
        <v>0</v>
      </c>
      <c r="K1087" s="6">
        <v>0</v>
      </c>
      <c r="L1087" s="6">
        <v>10.294</v>
      </c>
      <c r="M1087" s="6">
        <v>10.294</v>
      </c>
      <c r="N1087" s="6">
        <v>10.294</v>
      </c>
      <c r="O1087" s="6">
        <v>10.294</v>
      </c>
      <c r="P1087" s="6">
        <v>0</v>
      </c>
      <c r="Q1087" s="4" t="s">
        <v>26</v>
      </c>
      <c r="R1087" s="4">
        <v>0</v>
      </c>
      <c r="S1087" s="4" t="s">
        <v>444</v>
      </c>
      <c r="T1087" s="4" t="s">
        <v>716</v>
      </c>
      <c r="U1087" s="4">
        <v>0</v>
      </c>
      <c r="V1087" s="4">
        <v>31</v>
      </c>
      <c r="W1087" s="4">
        <v>79</v>
      </c>
    </row>
    <row r="1088" spans="1:23" ht="11.25" customHeight="1" x14ac:dyDescent="0.25">
      <c r="A1088" s="4" t="s">
        <v>21</v>
      </c>
      <c r="B1088" s="4" t="s">
        <v>41</v>
      </c>
      <c r="C1088" s="4" t="s">
        <v>42</v>
      </c>
      <c r="D1088" s="4" t="s">
        <v>46</v>
      </c>
      <c r="E1088" s="4" t="s">
        <v>25</v>
      </c>
      <c r="F1088" s="4" t="s">
        <v>25</v>
      </c>
      <c r="G1088" s="4" t="s">
        <v>25</v>
      </c>
      <c r="H1088" s="4" t="s">
        <v>35</v>
      </c>
      <c r="I1088" s="5">
        <v>44652</v>
      </c>
      <c r="J1088" s="6">
        <v>0</v>
      </c>
      <c r="K1088" s="6">
        <v>0</v>
      </c>
      <c r="L1088" s="6">
        <v>337.90699999999998</v>
      </c>
      <c r="M1088" s="6">
        <v>337.90699999999998</v>
      </c>
      <c r="N1088" s="6">
        <v>337.90699999999998</v>
      </c>
      <c r="O1088" s="6">
        <v>337.90699999999998</v>
      </c>
      <c r="P1088" s="6">
        <v>0</v>
      </c>
      <c r="Q1088" s="4" t="s">
        <v>26</v>
      </c>
      <c r="R1088" s="4">
        <v>0</v>
      </c>
      <c r="S1088" s="4" t="s">
        <v>445</v>
      </c>
      <c r="T1088" s="4" t="s">
        <v>717</v>
      </c>
      <c r="U1088" s="4">
        <v>0</v>
      </c>
      <c r="V1088" s="4">
        <v>31</v>
      </c>
      <c r="W1088" s="4">
        <v>79</v>
      </c>
    </row>
    <row r="1089" spans="1:23" ht="11.25" customHeight="1" x14ac:dyDescent="0.25">
      <c r="A1089" s="4" t="s">
        <v>28</v>
      </c>
      <c r="B1089" s="4" t="s">
        <v>41</v>
      </c>
      <c r="C1089" s="4" t="s">
        <v>42</v>
      </c>
      <c r="D1089" s="4" t="s">
        <v>46</v>
      </c>
      <c r="E1089" s="4" t="s">
        <v>25</v>
      </c>
      <c r="F1089" s="4" t="s">
        <v>25</v>
      </c>
      <c r="G1089" s="4" t="s">
        <v>25</v>
      </c>
      <c r="H1089" s="4" t="s">
        <v>35</v>
      </c>
      <c r="I1089" s="5">
        <v>44652</v>
      </c>
      <c r="J1089" s="6">
        <v>0</v>
      </c>
      <c r="K1089" s="6">
        <v>0</v>
      </c>
      <c r="L1089" s="6">
        <v>15.243</v>
      </c>
      <c r="M1089" s="6">
        <v>15.243</v>
      </c>
      <c r="N1089" s="6">
        <v>15.243</v>
      </c>
      <c r="O1089" s="6">
        <v>15.243</v>
      </c>
      <c r="P1089" s="6">
        <v>0</v>
      </c>
      <c r="Q1089" s="4" t="s">
        <v>26</v>
      </c>
      <c r="R1089" s="4">
        <v>0</v>
      </c>
      <c r="S1089" s="4" t="s">
        <v>445</v>
      </c>
      <c r="T1089" s="4" t="s">
        <v>717</v>
      </c>
      <c r="U1089" s="4">
        <v>0</v>
      </c>
      <c r="V1089" s="4">
        <v>31</v>
      </c>
      <c r="W1089" s="4">
        <v>79</v>
      </c>
    </row>
    <row r="1090" spans="1:23" ht="11.25" customHeight="1" x14ac:dyDescent="0.25">
      <c r="A1090" s="4" t="s">
        <v>58</v>
      </c>
      <c r="B1090" s="4" t="s">
        <v>41</v>
      </c>
      <c r="C1090" s="4" t="s">
        <v>42</v>
      </c>
      <c r="D1090" s="4" t="s">
        <v>46</v>
      </c>
      <c r="E1090" s="4" t="s">
        <v>25</v>
      </c>
      <c r="F1090" s="4" t="s">
        <v>25</v>
      </c>
      <c r="G1090" s="4" t="s">
        <v>25</v>
      </c>
      <c r="H1090" s="4" t="s">
        <v>35</v>
      </c>
      <c r="I1090" s="5">
        <v>44682</v>
      </c>
      <c r="J1090" s="6">
        <v>0</v>
      </c>
      <c r="K1090" s="6">
        <v>0</v>
      </c>
      <c r="L1090" s="6">
        <v>337.90699999999998</v>
      </c>
      <c r="M1090" s="6">
        <v>337.90699999999998</v>
      </c>
      <c r="N1090" s="6">
        <v>337.90699999999998</v>
      </c>
      <c r="O1090" s="6">
        <v>337.90699999999998</v>
      </c>
      <c r="P1090" s="6">
        <v>0</v>
      </c>
      <c r="Q1090" s="4" t="s">
        <v>26</v>
      </c>
      <c r="R1090" s="4">
        <v>0</v>
      </c>
      <c r="S1090" s="4" t="s">
        <v>446</v>
      </c>
      <c r="T1090" s="4" t="s">
        <v>718</v>
      </c>
      <c r="U1090" s="4">
        <v>0</v>
      </c>
      <c r="V1090" s="4">
        <v>31</v>
      </c>
      <c r="W1090" s="4">
        <v>79</v>
      </c>
    </row>
    <row r="1091" spans="1:23" ht="11.25" customHeight="1" x14ac:dyDescent="0.25">
      <c r="A1091" s="4" t="s">
        <v>58</v>
      </c>
      <c r="B1091" s="4" t="s">
        <v>41</v>
      </c>
      <c r="C1091" s="4" t="s">
        <v>42</v>
      </c>
      <c r="D1091" s="4" t="s">
        <v>46</v>
      </c>
      <c r="E1091" s="4" t="s">
        <v>25</v>
      </c>
      <c r="F1091" s="4" t="s">
        <v>25</v>
      </c>
      <c r="G1091" s="4" t="s">
        <v>25</v>
      </c>
      <c r="H1091" s="4" t="s">
        <v>35</v>
      </c>
      <c r="I1091" s="5">
        <v>44682</v>
      </c>
      <c r="J1091" s="6">
        <v>0</v>
      </c>
      <c r="K1091" s="6">
        <v>0</v>
      </c>
      <c r="L1091" s="6">
        <v>15.243</v>
      </c>
      <c r="M1091" s="6">
        <v>15.243</v>
      </c>
      <c r="N1091" s="6">
        <v>15.243</v>
      </c>
      <c r="O1091" s="6">
        <v>15.243</v>
      </c>
      <c r="P1091" s="6">
        <v>0</v>
      </c>
      <c r="Q1091" s="4" t="s">
        <v>26</v>
      </c>
      <c r="R1091" s="4">
        <v>0</v>
      </c>
      <c r="S1091" s="4" t="s">
        <v>446</v>
      </c>
      <c r="T1091" s="4" t="s">
        <v>718</v>
      </c>
      <c r="U1091" s="4">
        <v>0</v>
      </c>
      <c r="V1091" s="4">
        <v>31</v>
      </c>
      <c r="W1091" s="4">
        <v>79</v>
      </c>
    </row>
    <row r="1092" spans="1:23" ht="11.25" customHeight="1" x14ac:dyDescent="0.25">
      <c r="A1092" s="4" t="s">
        <v>21</v>
      </c>
      <c r="B1092" s="4" t="s">
        <v>41</v>
      </c>
      <c r="C1092" s="4" t="s">
        <v>42</v>
      </c>
      <c r="D1092" s="4" t="s">
        <v>46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44348</v>
      </c>
      <c r="J1092" s="6">
        <v>2364</v>
      </c>
      <c r="K1092" s="6">
        <v>2364</v>
      </c>
      <c r="L1092" s="6">
        <v>0</v>
      </c>
      <c r="M1092" s="6">
        <v>0</v>
      </c>
      <c r="N1092" s="6">
        <v>0</v>
      </c>
      <c r="O1092" s="6">
        <v>0</v>
      </c>
      <c r="P1092" s="6">
        <v>31</v>
      </c>
      <c r="Q1092" s="4" t="s">
        <v>26</v>
      </c>
      <c r="R1092" s="4">
        <v>0</v>
      </c>
      <c r="S1092" s="4" t="s">
        <v>447</v>
      </c>
      <c r="U1092" s="4">
        <v>29</v>
      </c>
      <c r="V1092" s="4">
        <v>0</v>
      </c>
      <c r="W1092" s="4">
        <v>0</v>
      </c>
    </row>
    <row r="1093" spans="1:23" ht="11.25" customHeight="1" x14ac:dyDescent="0.25">
      <c r="A1093" s="4" t="s">
        <v>28</v>
      </c>
      <c r="B1093" s="4" t="s">
        <v>41</v>
      </c>
      <c r="C1093" s="4" t="s">
        <v>42</v>
      </c>
      <c r="D1093" s="4" t="s">
        <v>46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44348</v>
      </c>
      <c r="J1093" s="6">
        <v>277</v>
      </c>
      <c r="K1093" s="6">
        <v>277</v>
      </c>
      <c r="L1093" s="6">
        <v>0</v>
      </c>
      <c r="M1093" s="6">
        <v>0</v>
      </c>
      <c r="N1093" s="6">
        <v>0</v>
      </c>
      <c r="O1093" s="6">
        <v>0</v>
      </c>
      <c r="P1093" s="6">
        <v>4</v>
      </c>
      <c r="Q1093" s="4" t="s">
        <v>26</v>
      </c>
      <c r="R1093" s="4">
        <v>0</v>
      </c>
      <c r="S1093" s="4" t="s">
        <v>447</v>
      </c>
      <c r="U1093" s="4">
        <v>29</v>
      </c>
      <c r="V1093" s="4">
        <v>0</v>
      </c>
      <c r="W1093" s="4">
        <v>0</v>
      </c>
    </row>
    <row r="1094" spans="1:23" ht="11.25" customHeight="1" x14ac:dyDescent="0.25">
      <c r="A1094" s="4" t="s">
        <v>21</v>
      </c>
      <c r="B1094" s="4" t="s">
        <v>41</v>
      </c>
      <c r="C1094" s="4" t="s">
        <v>42</v>
      </c>
      <c r="D1094" s="4" t="s">
        <v>46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44378</v>
      </c>
      <c r="J1094" s="6">
        <v>2127</v>
      </c>
      <c r="K1094" s="6">
        <v>2127</v>
      </c>
      <c r="L1094" s="6">
        <v>0</v>
      </c>
      <c r="M1094" s="6">
        <v>0</v>
      </c>
      <c r="N1094" s="6">
        <v>0</v>
      </c>
      <c r="O1094" s="6">
        <v>0</v>
      </c>
      <c r="P1094" s="6">
        <v>30</v>
      </c>
      <c r="Q1094" s="4" t="s">
        <v>26</v>
      </c>
      <c r="R1094" s="4">
        <v>0</v>
      </c>
      <c r="S1094" s="4" t="s">
        <v>448</v>
      </c>
      <c r="U1094" s="4">
        <v>29</v>
      </c>
      <c r="V1094" s="4">
        <v>0</v>
      </c>
      <c r="W1094" s="4">
        <v>0</v>
      </c>
    </row>
    <row r="1095" spans="1:23" ht="11.25" customHeight="1" x14ac:dyDescent="0.25">
      <c r="A1095" s="4" t="s">
        <v>28</v>
      </c>
      <c r="B1095" s="4" t="s">
        <v>41</v>
      </c>
      <c r="C1095" s="4" t="s">
        <v>42</v>
      </c>
      <c r="D1095" s="4" t="s">
        <v>46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44378</v>
      </c>
      <c r="J1095" s="6">
        <v>277</v>
      </c>
      <c r="K1095" s="6">
        <v>277</v>
      </c>
      <c r="L1095" s="6">
        <v>0</v>
      </c>
      <c r="M1095" s="6">
        <v>0</v>
      </c>
      <c r="N1095" s="6">
        <v>0</v>
      </c>
      <c r="O1095" s="6">
        <v>0</v>
      </c>
      <c r="P1095" s="6">
        <v>4</v>
      </c>
      <c r="Q1095" s="4" t="s">
        <v>26</v>
      </c>
      <c r="R1095" s="4">
        <v>0</v>
      </c>
      <c r="S1095" s="4" t="s">
        <v>448</v>
      </c>
      <c r="U1095" s="4">
        <v>29</v>
      </c>
      <c r="V1095" s="4">
        <v>0</v>
      </c>
      <c r="W1095" s="4">
        <v>0</v>
      </c>
    </row>
    <row r="1096" spans="1:23" ht="11.25" customHeight="1" x14ac:dyDescent="0.25">
      <c r="A1096" s="4" t="s">
        <v>21</v>
      </c>
      <c r="B1096" s="4" t="s">
        <v>41</v>
      </c>
      <c r="C1096" s="4" t="s">
        <v>42</v>
      </c>
      <c r="D1096" s="4" t="s">
        <v>46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44409</v>
      </c>
      <c r="J1096" s="6">
        <v>2127</v>
      </c>
      <c r="K1096" s="6">
        <v>2127</v>
      </c>
      <c r="L1096" s="6">
        <v>0</v>
      </c>
      <c r="M1096" s="6">
        <v>0</v>
      </c>
      <c r="N1096" s="6">
        <v>0</v>
      </c>
      <c r="O1096" s="6">
        <v>0</v>
      </c>
      <c r="P1096" s="6">
        <v>30</v>
      </c>
      <c r="Q1096" s="4" t="s">
        <v>26</v>
      </c>
      <c r="R1096" s="4">
        <v>0</v>
      </c>
      <c r="S1096" s="4" t="s">
        <v>449</v>
      </c>
      <c r="U1096" s="4">
        <v>29</v>
      </c>
      <c r="V1096" s="4">
        <v>0</v>
      </c>
      <c r="W1096" s="4">
        <v>0</v>
      </c>
    </row>
    <row r="1097" spans="1:23" ht="11.25" customHeight="1" x14ac:dyDescent="0.25">
      <c r="A1097" s="4" t="s">
        <v>28</v>
      </c>
      <c r="B1097" s="4" t="s">
        <v>41</v>
      </c>
      <c r="C1097" s="4" t="s">
        <v>42</v>
      </c>
      <c r="D1097" s="4" t="s">
        <v>46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44409</v>
      </c>
      <c r="J1097" s="6">
        <v>277</v>
      </c>
      <c r="K1097" s="6">
        <v>277</v>
      </c>
      <c r="L1097" s="6">
        <v>0</v>
      </c>
      <c r="M1097" s="6">
        <v>0</v>
      </c>
      <c r="N1097" s="6">
        <v>0</v>
      </c>
      <c r="O1097" s="6">
        <v>0</v>
      </c>
      <c r="P1097" s="6">
        <v>4</v>
      </c>
      <c r="Q1097" s="4" t="s">
        <v>26</v>
      </c>
      <c r="R1097" s="4">
        <v>0</v>
      </c>
      <c r="S1097" s="4" t="s">
        <v>449</v>
      </c>
      <c r="U1097" s="4">
        <v>29</v>
      </c>
      <c r="V1097" s="4">
        <v>0</v>
      </c>
      <c r="W1097" s="4">
        <v>0</v>
      </c>
    </row>
    <row r="1098" spans="1:23" ht="11.25" customHeight="1" x14ac:dyDescent="0.25">
      <c r="A1098" s="4" t="s">
        <v>21</v>
      </c>
      <c r="B1098" s="4" t="s">
        <v>41</v>
      </c>
      <c r="C1098" s="4" t="s">
        <v>42</v>
      </c>
      <c r="D1098" s="4" t="s">
        <v>46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44440</v>
      </c>
      <c r="J1098" s="6">
        <v>2125</v>
      </c>
      <c r="K1098" s="6">
        <v>2125</v>
      </c>
      <c r="L1098" s="6">
        <v>0</v>
      </c>
      <c r="M1098" s="6">
        <v>0</v>
      </c>
      <c r="N1098" s="6">
        <v>0</v>
      </c>
      <c r="O1098" s="6">
        <v>0</v>
      </c>
      <c r="P1098" s="6">
        <v>29</v>
      </c>
      <c r="Q1098" s="4" t="s">
        <v>26</v>
      </c>
      <c r="R1098" s="4">
        <v>0</v>
      </c>
      <c r="S1098" s="4" t="s">
        <v>450</v>
      </c>
      <c r="U1098" s="4">
        <v>29</v>
      </c>
      <c r="V1098" s="4">
        <v>0</v>
      </c>
      <c r="W1098" s="4">
        <v>0</v>
      </c>
    </row>
    <row r="1099" spans="1:23" ht="11.25" customHeight="1" x14ac:dyDescent="0.25">
      <c r="A1099" s="4" t="s">
        <v>28</v>
      </c>
      <c r="B1099" s="4" t="s">
        <v>41</v>
      </c>
      <c r="C1099" s="4" t="s">
        <v>42</v>
      </c>
      <c r="D1099" s="4" t="s">
        <v>46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44440</v>
      </c>
      <c r="J1099" s="6">
        <v>277</v>
      </c>
      <c r="K1099" s="6">
        <v>277</v>
      </c>
      <c r="L1099" s="6">
        <v>0</v>
      </c>
      <c r="M1099" s="6">
        <v>0</v>
      </c>
      <c r="N1099" s="6">
        <v>0</v>
      </c>
      <c r="O1099" s="6">
        <v>0</v>
      </c>
      <c r="P1099" s="6">
        <v>4</v>
      </c>
      <c r="Q1099" s="4" t="s">
        <v>26</v>
      </c>
      <c r="R1099" s="4">
        <v>0</v>
      </c>
      <c r="S1099" s="4" t="s">
        <v>450</v>
      </c>
      <c r="U1099" s="4">
        <v>29</v>
      </c>
      <c r="V1099" s="4">
        <v>0</v>
      </c>
      <c r="W1099" s="4">
        <v>0</v>
      </c>
    </row>
    <row r="1100" spans="1:23" ht="11.25" customHeight="1" x14ac:dyDescent="0.25">
      <c r="A1100" s="4" t="s">
        <v>21</v>
      </c>
      <c r="B1100" s="4" t="s">
        <v>41</v>
      </c>
      <c r="C1100" s="4" t="s">
        <v>42</v>
      </c>
      <c r="D1100" s="4" t="s">
        <v>46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44470</v>
      </c>
      <c r="J1100" s="6">
        <v>2128</v>
      </c>
      <c r="K1100" s="6">
        <v>2128</v>
      </c>
      <c r="L1100" s="6">
        <v>0</v>
      </c>
      <c r="M1100" s="6">
        <v>0</v>
      </c>
      <c r="N1100" s="6">
        <v>0</v>
      </c>
      <c r="O1100" s="6">
        <v>0</v>
      </c>
      <c r="P1100" s="6">
        <v>29</v>
      </c>
      <c r="Q1100" s="4" t="s">
        <v>26</v>
      </c>
      <c r="R1100" s="4">
        <v>0</v>
      </c>
      <c r="S1100" s="4" t="s">
        <v>451</v>
      </c>
      <c r="U1100" s="4">
        <v>29</v>
      </c>
      <c r="V1100" s="4">
        <v>0</v>
      </c>
      <c r="W1100" s="4">
        <v>0</v>
      </c>
    </row>
    <row r="1101" spans="1:23" ht="11.25" customHeight="1" x14ac:dyDescent="0.25">
      <c r="A1101" s="4" t="s">
        <v>28</v>
      </c>
      <c r="B1101" s="4" t="s">
        <v>41</v>
      </c>
      <c r="C1101" s="4" t="s">
        <v>42</v>
      </c>
      <c r="D1101" s="4" t="s">
        <v>46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44470</v>
      </c>
      <c r="J1101" s="6">
        <v>277</v>
      </c>
      <c r="K1101" s="6">
        <v>277</v>
      </c>
      <c r="L1101" s="6">
        <v>0</v>
      </c>
      <c r="M1101" s="6">
        <v>0</v>
      </c>
      <c r="N1101" s="6">
        <v>0</v>
      </c>
      <c r="O1101" s="6">
        <v>0</v>
      </c>
      <c r="P1101" s="6">
        <v>4</v>
      </c>
      <c r="Q1101" s="4" t="s">
        <v>26</v>
      </c>
      <c r="R1101" s="4">
        <v>0</v>
      </c>
      <c r="S1101" s="4" t="s">
        <v>451</v>
      </c>
      <c r="U1101" s="4">
        <v>29</v>
      </c>
      <c r="V1101" s="4">
        <v>0</v>
      </c>
      <c r="W1101" s="4">
        <v>0</v>
      </c>
    </row>
    <row r="1102" spans="1:23" ht="11.25" customHeight="1" x14ac:dyDescent="0.25">
      <c r="A1102" s="4" t="s">
        <v>21</v>
      </c>
      <c r="B1102" s="4" t="s">
        <v>41</v>
      </c>
      <c r="C1102" s="4" t="s">
        <v>42</v>
      </c>
      <c r="D1102" s="4" t="s">
        <v>46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44501</v>
      </c>
      <c r="J1102" s="6">
        <v>2094</v>
      </c>
      <c r="K1102" s="6">
        <v>2094</v>
      </c>
      <c r="L1102" s="6">
        <v>0</v>
      </c>
      <c r="M1102" s="6">
        <v>0</v>
      </c>
      <c r="N1102" s="6">
        <v>0</v>
      </c>
      <c r="O1102" s="6">
        <v>0</v>
      </c>
      <c r="P1102" s="6">
        <v>30</v>
      </c>
      <c r="Q1102" s="4" t="s">
        <v>26</v>
      </c>
      <c r="R1102" s="4">
        <v>0</v>
      </c>
      <c r="S1102" s="4" t="s">
        <v>452</v>
      </c>
      <c r="U1102" s="4">
        <v>29</v>
      </c>
      <c r="V1102" s="4">
        <v>0</v>
      </c>
      <c r="W1102" s="4">
        <v>0</v>
      </c>
    </row>
    <row r="1103" spans="1:23" ht="11.25" customHeight="1" x14ac:dyDescent="0.25">
      <c r="A1103" s="4" t="s">
        <v>28</v>
      </c>
      <c r="B1103" s="4" t="s">
        <v>41</v>
      </c>
      <c r="C1103" s="4" t="s">
        <v>42</v>
      </c>
      <c r="D1103" s="4" t="s">
        <v>46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44501</v>
      </c>
      <c r="J1103" s="6">
        <v>277</v>
      </c>
      <c r="K1103" s="6">
        <v>277</v>
      </c>
      <c r="L1103" s="6">
        <v>0</v>
      </c>
      <c r="M1103" s="6">
        <v>0</v>
      </c>
      <c r="N1103" s="6">
        <v>0</v>
      </c>
      <c r="O1103" s="6">
        <v>0</v>
      </c>
      <c r="P1103" s="6">
        <v>4</v>
      </c>
      <c r="Q1103" s="4" t="s">
        <v>26</v>
      </c>
      <c r="R1103" s="4">
        <v>0</v>
      </c>
      <c r="S1103" s="4" t="s">
        <v>452</v>
      </c>
      <c r="U1103" s="4">
        <v>29</v>
      </c>
      <c r="V1103" s="4">
        <v>0</v>
      </c>
      <c r="W1103" s="4">
        <v>0</v>
      </c>
    </row>
    <row r="1104" spans="1:23" ht="11.25" customHeight="1" x14ac:dyDescent="0.25">
      <c r="A1104" s="4" t="s">
        <v>21</v>
      </c>
      <c r="B1104" s="4" t="s">
        <v>41</v>
      </c>
      <c r="C1104" s="4" t="s">
        <v>42</v>
      </c>
      <c r="D1104" s="4" t="s">
        <v>46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44531</v>
      </c>
      <c r="J1104" s="6">
        <v>2083</v>
      </c>
      <c r="K1104" s="6">
        <v>2083</v>
      </c>
      <c r="L1104" s="6">
        <v>0</v>
      </c>
      <c r="M1104" s="6">
        <v>0</v>
      </c>
      <c r="N1104" s="6">
        <v>0</v>
      </c>
      <c r="O1104" s="6">
        <v>0</v>
      </c>
      <c r="P1104" s="6">
        <v>30</v>
      </c>
      <c r="Q1104" s="4" t="s">
        <v>26</v>
      </c>
      <c r="R1104" s="4">
        <v>0</v>
      </c>
      <c r="S1104" s="4" t="s">
        <v>453</v>
      </c>
      <c r="U1104" s="4">
        <v>29</v>
      </c>
      <c r="V1104" s="4">
        <v>0</v>
      </c>
      <c r="W1104" s="4">
        <v>0</v>
      </c>
    </row>
    <row r="1105" spans="1:23" ht="11.25" customHeight="1" x14ac:dyDescent="0.25">
      <c r="A1105" s="4" t="s">
        <v>28</v>
      </c>
      <c r="B1105" s="4" t="s">
        <v>41</v>
      </c>
      <c r="C1105" s="4" t="s">
        <v>42</v>
      </c>
      <c r="D1105" s="4" t="s">
        <v>46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44531</v>
      </c>
      <c r="J1105" s="6">
        <v>277</v>
      </c>
      <c r="K1105" s="6">
        <v>277</v>
      </c>
      <c r="L1105" s="6">
        <v>0</v>
      </c>
      <c r="M1105" s="6">
        <v>0</v>
      </c>
      <c r="N1105" s="6">
        <v>0</v>
      </c>
      <c r="O1105" s="6">
        <v>0</v>
      </c>
      <c r="P1105" s="6">
        <v>4</v>
      </c>
      <c r="Q1105" s="4" t="s">
        <v>26</v>
      </c>
      <c r="R1105" s="4">
        <v>0</v>
      </c>
      <c r="S1105" s="4" t="s">
        <v>453</v>
      </c>
      <c r="U1105" s="4">
        <v>29</v>
      </c>
      <c r="V1105" s="4">
        <v>0</v>
      </c>
      <c r="W1105" s="4">
        <v>0</v>
      </c>
    </row>
    <row r="1106" spans="1:23" ht="11.25" customHeight="1" x14ac:dyDescent="0.25">
      <c r="A1106" s="4" t="s">
        <v>21</v>
      </c>
      <c r="B1106" s="4" t="s">
        <v>41</v>
      </c>
      <c r="C1106" s="4" t="s">
        <v>42</v>
      </c>
      <c r="D1106" s="4" t="s">
        <v>46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44562</v>
      </c>
      <c r="J1106" s="6">
        <v>2068</v>
      </c>
      <c r="K1106" s="6">
        <v>2068</v>
      </c>
      <c r="L1106" s="6">
        <v>0</v>
      </c>
      <c r="M1106" s="6">
        <v>0</v>
      </c>
      <c r="N1106" s="6">
        <v>0</v>
      </c>
      <c r="O1106" s="6">
        <v>0</v>
      </c>
      <c r="P1106" s="6">
        <v>30</v>
      </c>
      <c r="Q1106" s="4" t="s">
        <v>26</v>
      </c>
      <c r="R1106" s="4">
        <v>0</v>
      </c>
      <c r="S1106" s="4" t="s">
        <v>454</v>
      </c>
      <c r="U1106" s="4">
        <v>29</v>
      </c>
      <c r="V1106" s="4">
        <v>0</v>
      </c>
      <c r="W1106" s="4">
        <v>0</v>
      </c>
    </row>
    <row r="1107" spans="1:23" ht="11.25" customHeight="1" x14ac:dyDescent="0.25">
      <c r="A1107" s="4" t="s">
        <v>28</v>
      </c>
      <c r="B1107" s="4" t="s">
        <v>41</v>
      </c>
      <c r="C1107" s="4" t="s">
        <v>42</v>
      </c>
      <c r="D1107" s="4" t="s">
        <v>46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44562</v>
      </c>
      <c r="J1107" s="6">
        <v>277</v>
      </c>
      <c r="K1107" s="6">
        <v>277</v>
      </c>
      <c r="L1107" s="6">
        <v>0</v>
      </c>
      <c r="M1107" s="6">
        <v>0</v>
      </c>
      <c r="N1107" s="6">
        <v>0</v>
      </c>
      <c r="O1107" s="6">
        <v>0</v>
      </c>
      <c r="P1107" s="6">
        <v>4</v>
      </c>
      <c r="Q1107" s="4" t="s">
        <v>26</v>
      </c>
      <c r="R1107" s="4">
        <v>0</v>
      </c>
      <c r="S1107" s="4" t="s">
        <v>454</v>
      </c>
      <c r="U1107" s="4">
        <v>29</v>
      </c>
      <c r="V1107" s="4">
        <v>0</v>
      </c>
      <c r="W1107" s="4">
        <v>0</v>
      </c>
    </row>
    <row r="1108" spans="1:23" ht="11.25" customHeight="1" x14ac:dyDescent="0.25">
      <c r="A1108" s="4" t="s">
        <v>21</v>
      </c>
      <c r="B1108" s="4" t="s">
        <v>41</v>
      </c>
      <c r="C1108" s="4" t="s">
        <v>42</v>
      </c>
      <c r="D1108" s="4" t="s">
        <v>46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44593</v>
      </c>
      <c r="J1108" s="6">
        <v>2118</v>
      </c>
      <c r="K1108" s="6">
        <v>2118</v>
      </c>
      <c r="L1108" s="6">
        <v>0</v>
      </c>
      <c r="M1108" s="6">
        <v>0</v>
      </c>
      <c r="N1108" s="6">
        <v>0</v>
      </c>
      <c r="O1108" s="6">
        <v>0</v>
      </c>
      <c r="P1108" s="6">
        <v>30</v>
      </c>
      <c r="Q1108" s="4" t="s">
        <v>26</v>
      </c>
      <c r="R1108" s="4">
        <v>0</v>
      </c>
      <c r="S1108" s="4" t="s">
        <v>455</v>
      </c>
      <c r="U1108" s="4">
        <v>29</v>
      </c>
      <c r="V1108" s="4">
        <v>0</v>
      </c>
      <c r="W1108" s="4">
        <v>0</v>
      </c>
    </row>
    <row r="1109" spans="1:23" ht="11.25" customHeight="1" x14ac:dyDescent="0.25">
      <c r="A1109" s="4" t="s">
        <v>28</v>
      </c>
      <c r="B1109" s="4" t="s">
        <v>41</v>
      </c>
      <c r="C1109" s="4" t="s">
        <v>42</v>
      </c>
      <c r="D1109" s="4" t="s">
        <v>46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44593</v>
      </c>
      <c r="J1109" s="6">
        <v>407</v>
      </c>
      <c r="K1109" s="6">
        <v>407</v>
      </c>
      <c r="L1109" s="6">
        <v>0</v>
      </c>
      <c r="M1109" s="6">
        <v>0</v>
      </c>
      <c r="N1109" s="6">
        <v>0</v>
      </c>
      <c r="O1109" s="6">
        <v>0</v>
      </c>
      <c r="P1109" s="6">
        <v>4</v>
      </c>
      <c r="Q1109" s="4" t="s">
        <v>26</v>
      </c>
      <c r="R1109" s="4">
        <v>0</v>
      </c>
      <c r="S1109" s="4" t="s">
        <v>455</v>
      </c>
      <c r="U1109" s="4">
        <v>29</v>
      </c>
      <c r="V1109" s="4">
        <v>0</v>
      </c>
      <c r="W1109" s="4">
        <v>0</v>
      </c>
    </row>
    <row r="1110" spans="1:23" ht="11.25" customHeight="1" x14ac:dyDescent="0.25">
      <c r="A1110" s="4" t="s">
        <v>21</v>
      </c>
      <c r="B1110" s="4" t="s">
        <v>41</v>
      </c>
      <c r="C1110" s="4" t="s">
        <v>42</v>
      </c>
      <c r="D1110" s="4" t="s">
        <v>46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44621</v>
      </c>
      <c r="J1110" s="6">
        <v>2309</v>
      </c>
      <c r="K1110" s="6">
        <v>2309</v>
      </c>
      <c r="L1110" s="6">
        <v>0</v>
      </c>
      <c r="M1110" s="6">
        <v>0</v>
      </c>
      <c r="N1110" s="6">
        <v>0</v>
      </c>
      <c r="O1110" s="6">
        <v>0</v>
      </c>
      <c r="P1110" s="6">
        <v>31</v>
      </c>
      <c r="Q1110" s="4" t="s">
        <v>26</v>
      </c>
      <c r="R1110" s="4">
        <v>0</v>
      </c>
      <c r="S1110" s="4" t="s">
        <v>456</v>
      </c>
      <c r="U1110" s="4">
        <v>29</v>
      </c>
      <c r="V1110" s="4">
        <v>0</v>
      </c>
      <c r="W1110" s="4">
        <v>0</v>
      </c>
    </row>
    <row r="1111" spans="1:23" ht="11.25" customHeight="1" x14ac:dyDescent="0.25">
      <c r="A1111" s="4" t="s">
        <v>27</v>
      </c>
      <c r="B1111" s="4" t="s">
        <v>41</v>
      </c>
      <c r="C1111" s="4" t="s">
        <v>42</v>
      </c>
      <c r="D1111" s="4" t="s">
        <v>46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44621</v>
      </c>
      <c r="J1111" s="6">
        <v>220</v>
      </c>
      <c r="K1111" s="6">
        <v>220</v>
      </c>
      <c r="L1111" s="6">
        <v>0</v>
      </c>
      <c r="M1111" s="6">
        <v>0</v>
      </c>
      <c r="N1111" s="6">
        <v>0</v>
      </c>
      <c r="O1111" s="6">
        <v>0</v>
      </c>
      <c r="P1111" s="6">
        <v>1</v>
      </c>
      <c r="Q1111" s="4" t="s">
        <v>26</v>
      </c>
      <c r="R1111" s="4">
        <v>0</v>
      </c>
      <c r="S1111" s="4" t="s">
        <v>456</v>
      </c>
      <c r="U1111" s="4">
        <v>29</v>
      </c>
      <c r="V1111" s="4">
        <v>0</v>
      </c>
      <c r="W1111" s="4">
        <v>0</v>
      </c>
    </row>
    <row r="1112" spans="1:23" ht="11.25" customHeight="1" x14ac:dyDescent="0.25">
      <c r="A1112" s="4" t="s">
        <v>28</v>
      </c>
      <c r="B1112" s="4" t="s">
        <v>41</v>
      </c>
      <c r="C1112" s="4" t="s">
        <v>42</v>
      </c>
      <c r="D1112" s="4" t="s">
        <v>46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44621</v>
      </c>
      <c r="J1112" s="6">
        <v>407</v>
      </c>
      <c r="K1112" s="6">
        <v>407</v>
      </c>
      <c r="L1112" s="6">
        <v>0</v>
      </c>
      <c r="M1112" s="6">
        <v>0</v>
      </c>
      <c r="N1112" s="6">
        <v>0</v>
      </c>
      <c r="O1112" s="6">
        <v>0</v>
      </c>
      <c r="P1112" s="6">
        <v>4</v>
      </c>
      <c r="Q1112" s="4" t="s">
        <v>26</v>
      </c>
      <c r="R1112" s="4">
        <v>0</v>
      </c>
      <c r="S1112" s="4" t="s">
        <v>456</v>
      </c>
      <c r="U1112" s="4">
        <v>29</v>
      </c>
      <c r="V1112" s="4">
        <v>0</v>
      </c>
      <c r="W1112" s="4">
        <v>0</v>
      </c>
    </row>
    <row r="1113" spans="1:23" ht="11.25" customHeight="1" x14ac:dyDescent="0.25">
      <c r="A1113" s="4" t="s">
        <v>21</v>
      </c>
      <c r="B1113" s="4" t="s">
        <v>41</v>
      </c>
      <c r="C1113" s="4" t="s">
        <v>42</v>
      </c>
      <c r="D1113" s="4" t="s">
        <v>46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44652</v>
      </c>
      <c r="J1113" s="6">
        <v>2371</v>
      </c>
      <c r="K1113" s="6">
        <v>2371</v>
      </c>
      <c r="L1113" s="6">
        <v>0</v>
      </c>
      <c r="M1113" s="6">
        <v>0</v>
      </c>
      <c r="N1113" s="6">
        <v>0</v>
      </c>
      <c r="O1113" s="6">
        <v>0</v>
      </c>
      <c r="P1113" s="6">
        <v>31</v>
      </c>
      <c r="Q1113" s="4" t="s">
        <v>26</v>
      </c>
      <c r="R1113" s="4">
        <v>0</v>
      </c>
      <c r="S1113" s="4" t="s">
        <v>457</v>
      </c>
      <c r="U1113" s="4">
        <v>29</v>
      </c>
      <c r="V1113" s="4">
        <v>0</v>
      </c>
      <c r="W1113" s="4">
        <v>0</v>
      </c>
    </row>
    <row r="1114" spans="1:23" ht="11.25" customHeight="1" x14ac:dyDescent="0.25">
      <c r="A1114" s="4" t="s">
        <v>28</v>
      </c>
      <c r="B1114" s="4" t="s">
        <v>41</v>
      </c>
      <c r="C1114" s="4" t="s">
        <v>42</v>
      </c>
      <c r="D1114" s="4" t="s">
        <v>46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44652</v>
      </c>
      <c r="J1114" s="6">
        <v>407</v>
      </c>
      <c r="K1114" s="6">
        <v>407</v>
      </c>
      <c r="L1114" s="6">
        <v>0</v>
      </c>
      <c r="M1114" s="6">
        <v>0</v>
      </c>
      <c r="N1114" s="6">
        <v>0</v>
      </c>
      <c r="O1114" s="6">
        <v>0</v>
      </c>
      <c r="P1114" s="6">
        <v>4</v>
      </c>
      <c r="Q1114" s="4" t="s">
        <v>26</v>
      </c>
      <c r="R1114" s="4">
        <v>0</v>
      </c>
      <c r="S1114" s="4" t="s">
        <v>457</v>
      </c>
      <c r="U1114" s="4">
        <v>29</v>
      </c>
      <c r="V1114" s="4">
        <v>0</v>
      </c>
      <c r="W1114" s="4">
        <v>0</v>
      </c>
    </row>
    <row r="1115" spans="1:23" ht="11.25" customHeight="1" x14ac:dyDescent="0.25">
      <c r="A1115" s="4" t="s">
        <v>58</v>
      </c>
      <c r="B1115" s="4" t="s">
        <v>41</v>
      </c>
      <c r="C1115" s="4" t="s">
        <v>42</v>
      </c>
      <c r="D1115" s="4" t="s">
        <v>46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44682</v>
      </c>
      <c r="J1115" s="6">
        <v>2371</v>
      </c>
      <c r="K1115" s="6">
        <v>2371</v>
      </c>
      <c r="L1115" s="6">
        <v>0</v>
      </c>
      <c r="M1115" s="6">
        <v>0</v>
      </c>
      <c r="N1115" s="6">
        <v>0</v>
      </c>
      <c r="O1115" s="6">
        <v>0</v>
      </c>
      <c r="P1115" s="6">
        <v>31</v>
      </c>
      <c r="Q1115" s="4" t="s">
        <v>26</v>
      </c>
      <c r="R1115" s="4">
        <v>0</v>
      </c>
      <c r="S1115" s="4" t="s">
        <v>458</v>
      </c>
      <c r="U1115" s="4">
        <v>29</v>
      </c>
      <c r="V1115" s="4">
        <v>0</v>
      </c>
      <c r="W1115" s="4">
        <v>0</v>
      </c>
    </row>
    <row r="1116" spans="1:23" ht="11.25" customHeight="1" x14ac:dyDescent="0.25">
      <c r="A1116" s="4" t="s">
        <v>58</v>
      </c>
      <c r="B1116" s="4" t="s">
        <v>41</v>
      </c>
      <c r="C1116" s="4" t="s">
        <v>42</v>
      </c>
      <c r="D1116" s="4" t="s">
        <v>46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44682</v>
      </c>
      <c r="J1116" s="6">
        <v>407</v>
      </c>
      <c r="K1116" s="6">
        <v>407</v>
      </c>
      <c r="L1116" s="6">
        <v>0</v>
      </c>
      <c r="M1116" s="6">
        <v>0</v>
      </c>
      <c r="N1116" s="6">
        <v>0</v>
      </c>
      <c r="O1116" s="6">
        <v>0</v>
      </c>
      <c r="P1116" s="6">
        <v>4</v>
      </c>
      <c r="Q1116" s="4" t="s">
        <v>26</v>
      </c>
      <c r="R1116" s="4">
        <v>0</v>
      </c>
      <c r="S1116" s="4" t="s">
        <v>458</v>
      </c>
      <c r="U1116" s="4">
        <v>29</v>
      </c>
      <c r="V1116" s="4">
        <v>0</v>
      </c>
      <c r="W1116" s="4">
        <v>0</v>
      </c>
    </row>
    <row r="1117" spans="1:23" ht="11.25" customHeight="1" x14ac:dyDescent="0.25">
      <c r="A1117" s="4" t="s">
        <v>21</v>
      </c>
      <c r="B1117" s="4" t="s">
        <v>41</v>
      </c>
      <c r="C1117" s="4" t="s">
        <v>42</v>
      </c>
      <c r="D1117" s="4" t="s">
        <v>46</v>
      </c>
      <c r="E1117" s="4" t="s">
        <v>25</v>
      </c>
      <c r="F1117" s="4" t="s">
        <v>25</v>
      </c>
      <c r="G1117" s="4" t="s">
        <v>25</v>
      </c>
      <c r="H1117" s="4" t="s">
        <v>34</v>
      </c>
      <c r="I1117" s="5">
        <v>44348</v>
      </c>
      <c r="J1117" s="6">
        <v>0</v>
      </c>
      <c r="K1117" s="6">
        <v>0</v>
      </c>
      <c r="L1117" s="6">
        <v>19.97</v>
      </c>
      <c r="M1117" s="6">
        <v>19.97</v>
      </c>
      <c r="N1117" s="6">
        <v>19.97</v>
      </c>
      <c r="O1117" s="6">
        <v>19.97</v>
      </c>
      <c r="P1117" s="6">
        <v>0</v>
      </c>
      <c r="Q1117" s="4" t="s">
        <v>26</v>
      </c>
      <c r="R1117" s="4">
        <v>0</v>
      </c>
      <c r="S1117" s="4" t="s">
        <v>459</v>
      </c>
      <c r="T1117" s="4" t="s">
        <v>719</v>
      </c>
      <c r="U1117" s="4">
        <v>0</v>
      </c>
      <c r="V1117" s="4">
        <v>30</v>
      </c>
      <c r="W1117" s="4">
        <v>78</v>
      </c>
    </row>
    <row r="1118" spans="1:23" ht="11.25" customHeight="1" x14ac:dyDescent="0.25">
      <c r="A1118" s="4" t="s">
        <v>28</v>
      </c>
      <c r="B1118" s="4" t="s">
        <v>41</v>
      </c>
      <c r="C1118" s="4" t="s">
        <v>42</v>
      </c>
      <c r="D1118" s="4" t="s">
        <v>46</v>
      </c>
      <c r="E1118" s="4" t="s">
        <v>25</v>
      </c>
      <c r="F1118" s="4" t="s">
        <v>25</v>
      </c>
      <c r="G1118" s="4" t="s">
        <v>25</v>
      </c>
      <c r="H1118" s="4" t="s">
        <v>34</v>
      </c>
      <c r="I1118" s="5">
        <v>44348</v>
      </c>
      <c r="J1118" s="6">
        <v>0</v>
      </c>
      <c r="K1118" s="6">
        <v>0</v>
      </c>
      <c r="L1118" s="6">
        <v>1.909</v>
      </c>
      <c r="M1118" s="6">
        <v>1.909</v>
      </c>
      <c r="N1118" s="6">
        <v>1.909</v>
      </c>
      <c r="O1118" s="6">
        <v>1.909</v>
      </c>
      <c r="P1118" s="6">
        <v>0</v>
      </c>
      <c r="Q1118" s="4" t="s">
        <v>26</v>
      </c>
      <c r="R1118" s="4">
        <v>0</v>
      </c>
      <c r="S1118" s="4" t="s">
        <v>459</v>
      </c>
      <c r="T1118" s="4" t="s">
        <v>719</v>
      </c>
      <c r="U1118" s="4">
        <v>0</v>
      </c>
      <c r="V1118" s="4">
        <v>30</v>
      </c>
      <c r="W1118" s="4">
        <v>78</v>
      </c>
    </row>
    <row r="1119" spans="1:23" ht="11.25" customHeight="1" x14ac:dyDescent="0.25">
      <c r="A1119" s="4" t="s">
        <v>21</v>
      </c>
      <c r="B1119" s="4" t="s">
        <v>41</v>
      </c>
      <c r="C1119" s="4" t="s">
        <v>42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34</v>
      </c>
      <c r="I1119" s="5">
        <v>44378</v>
      </c>
      <c r="J1119" s="6">
        <v>0</v>
      </c>
      <c r="K1119" s="6">
        <v>0</v>
      </c>
      <c r="L1119" s="6">
        <v>18.664000000000001</v>
      </c>
      <c r="M1119" s="6">
        <v>18.664000000000001</v>
      </c>
      <c r="N1119" s="6">
        <v>18.664000000000001</v>
      </c>
      <c r="O1119" s="6">
        <v>18.664000000000001</v>
      </c>
      <c r="P1119" s="6">
        <v>0</v>
      </c>
      <c r="Q1119" s="4" t="s">
        <v>26</v>
      </c>
      <c r="R1119" s="4">
        <v>0</v>
      </c>
      <c r="S1119" s="4" t="s">
        <v>460</v>
      </c>
      <c r="T1119" s="4" t="s">
        <v>720</v>
      </c>
      <c r="U1119" s="4">
        <v>0</v>
      </c>
      <c r="V1119" s="4">
        <v>30</v>
      </c>
      <c r="W1119" s="4">
        <v>78</v>
      </c>
    </row>
    <row r="1120" spans="1:23" ht="11.25" customHeight="1" x14ac:dyDescent="0.25">
      <c r="A1120" s="4" t="s">
        <v>28</v>
      </c>
      <c r="B1120" s="4" t="s">
        <v>41</v>
      </c>
      <c r="C1120" s="4" t="s">
        <v>42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34</v>
      </c>
      <c r="I1120" s="5">
        <v>44378</v>
      </c>
      <c r="J1120" s="6">
        <v>0</v>
      </c>
      <c r="K1120" s="6">
        <v>0</v>
      </c>
      <c r="L1120" s="6">
        <v>1.7350000000000001</v>
      </c>
      <c r="M1120" s="6">
        <v>1.7350000000000001</v>
      </c>
      <c r="N1120" s="6">
        <v>1.7350000000000001</v>
      </c>
      <c r="O1120" s="6">
        <v>1.7350000000000001</v>
      </c>
      <c r="P1120" s="6">
        <v>0</v>
      </c>
      <c r="Q1120" s="4" t="s">
        <v>26</v>
      </c>
      <c r="R1120" s="4">
        <v>0</v>
      </c>
      <c r="S1120" s="4" t="s">
        <v>460</v>
      </c>
      <c r="T1120" s="4" t="s">
        <v>720</v>
      </c>
      <c r="U1120" s="4">
        <v>0</v>
      </c>
      <c r="V1120" s="4">
        <v>30</v>
      </c>
      <c r="W1120" s="4">
        <v>78</v>
      </c>
    </row>
    <row r="1121" spans="1:23" ht="11.25" customHeight="1" x14ac:dyDescent="0.25">
      <c r="A1121" s="4" t="s">
        <v>21</v>
      </c>
      <c r="B1121" s="4" t="s">
        <v>41</v>
      </c>
      <c r="C1121" s="4" t="s">
        <v>42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34</v>
      </c>
      <c r="I1121" s="5">
        <v>44409</v>
      </c>
      <c r="J1121" s="6">
        <v>0</v>
      </c>
      <c r="K1121" s="6">
        <v>0</v>
      </c>
      <c r="L1121" s="6">
        <v>19.614999999999998</v>
      </c>
      <c r="M1121" s="6">
        <v>19.614999999999998</v>
      </c>
      <c r="N1121" s="6">
        <v>19.614999999999998</v>
      </c>
      <c r="O1121" s="6">
        <v>19.614999999999998</v>
      </c>
      <c r="P1121" s="6">
        <v>0</v>
      </c>
      <c r="Q1121" s="4" t="s">
        <v>26</v>
      </c>
      <c r="R1121" s="4">
        <v>0</v>
      </c>
      <c r="S1121" s="4" t="s">
        <v>461</v>
      </c>
      <c r="T1121" s="4" t="s">
        <v>721</v>
      </c>
      <c r="U1121" s="4">
        <v>0</v>
      </c>
      <c r="V1121" s="4">
        <v>30</v>
      </c>
      <c r="W1121" s="4">
        <v>78</v>
      </c>
    </row>
    <row r="1122" spans="1:23" ht="11.25" customHeight="1" x14ac:dyDescent="0.25">
      <c r="A1122" s="4" t="s">
        <v>28</v>
      </c>
      <c r="B1122" s="4" t="s">
        <v>41</v>
      </c>
      <c r="C1122" s="4" t="s">
        <v>42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34</v>
      </c>
      <c r="I1122" s="5">
        <v>44409</v>
      </c>
      <c r="J1122" s="6">
        <v>0</v>
      </c>
      <c r="K1122" s="6">
        <v>0</v>
      </c>
      <c r="L1122" s="6">
        <v>1.6220000000000001</v>
      </c>
      <c r="M1122" s="6">
        <v>1.6220000000000001</v>
      </c>
      <c r="N1122" s="6">
        <v>1.6220000000000001</v>
      </c>
      <c r="O1122" s="6">
        <v>1.6220000000000001</v>
      </c>
      <c r="P1122" s="6">
        <v>0</v>
      </c>
      <c r="Q1122" s="4" t="s">
        <v>26</v>
      </c>
      <c r="R1122" s="4">
        <v>0</v>
      </c>
      <c r="S1122" s="4" t="s">
        <v>461</v>
      </c>
      <c r="T1122" s="4" t="s">
        <v>721</v>
      </c>
      <c r="U1122" s="4">
        <v>0</v>
      </c>
      <c r="V1122" s="4">
        <v>30</v>
      </c>
      <c r="W1122" s="4">
        <v>78</v>
      </c>
    </row>
    <row r="1123" spans="1:23" ht="11.25" customHeight="1" x14ac:dyDescent="0.25">
      <c r="A1123" s="4" t="s">
        <v>21</v>
      </c>
      <c r="B1123" s="4" t="s">
        <v>41</v>
      </c>
      <c r="C1123" s="4" t="s">
        <v>42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34</v>
      </c>
      <c r="I1123" s="5">
        <v>44440</v>
      </c>
      <c r="J1123" s="6">
        <v>0</v>
      </c>
      <c r="K1123" s="6">
        <v>0</v>
      </c>
      <c r="L1123" s="6">
        <v>18.852</v>
      </c>
      <c r="M1123" s="6">
        <v>18.852</v>
      </c>
      <c r="N1123" s="6">
        <v>18.852</v>
      </c>
      <c r="O1123" s="6">
        <v>18.852</v>
      </c>
      <c r="P1123" s="6">
        <v>0</v>
      </c>
      <c r="Q1123" s="4" t="s">
        <v>26</v>
      </c>
      <c r="R1123" s="4">
        <v>0</v>
      </c>
      <c r="S1123" s="4" t="s">
        <v>462</v>
      </c>
      <c r="T1123" s="4" t="s">
        <v>722</v>
      </c>
      <c r="U1123" s="4">
        <v>0</v>
      </c>
      <c r="V1123" s="4">
        <v>30</v>
      </c>
      <c r="W1123" s="4">
        <v>78</v>
      </c>
    </row>
    <row r="1124" spans="1:23" ht="11.25" customHeight="1" x14ac:dyDescent="0.25">
      <c r="A1124" s="4" t="s">
        <v>28</v>
      </c>
      <c r="B1124" s="4" t="s">
        <v>41</v>
      </c>
      <c r="C1124" s="4" t="s">
        <v>42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34</v>
      </c>
      <c r="I1124" s="5">
        <v>44440</v>
      </c>
      <c r="J1124" s="6">
        <v>0</v>
      </c>
      <c r="K1124" s="6">
        <v>0</v>
      </c>
      <c r="L1124" s="6">
        <v>1.7450000000000001</v>
      </c>
      <c r="M1124" s="6">
        <v>1.7450000000000001</v>
      </c>
      <c r="N1124" s="6">
        <v>1.7450000000000001</v>
      </c>
      <c r="O1124" s="6">
        <v>1.7450000000000001</v>
      </c>
      <c r="P1124" s="6">
        <v>0</v>
      </c>
      <c r="Q1124" s="4" t="s">
        <v>26</v>
      </c>
      <c r="R1124" s="4">
        <v>0</v>
      </c>
      <c r="S1124" s="4" t="s">
        <v>462</v>
      </c>
      <c r="T1124" s="4" t="s">
        <v>722</v>
      </c>
      <c r="U1124" s="4">
        <v>0</v>
      </c>
      <c r="V1124" s="4">
        <v>30</v>
      </c>
      <c r="W1124" s="4">
        <v>78</v>
      </c>
    </row>
    <row r="1125" spans="1:23" ht="11.25" customHeight="1" x14ac:dyDescent="0.25">
      <c r="A1125" s="4" t="s">
        <v>21</v>
      </c>
      <c r="B1125" s="4" t="s">
        <v>41</v>
      </c>
      <c r="C1125" s="4" t="s">
        <v>42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34</v>
      </c>
      <c r="I1125" s="5">
        <v>44470</v>
      </c>
      <c r="J1125" s="6">
        <v>0</v>
      </c>
      <c r="K1125" s="6">
        <v>0</v>
      </c>
      <c r="L1125" s="6">
        <v>18.603999999999999</v>
      </c>
      <c r="M1125" s="6">
        <v>18.603999999999999</v>
      </c>
      <c r="N1125" s="6">
        <v>18.603999999999999</v>
      </c>
      <c r="O1125" s="6">
        <v>18.603999999999999</v>
      </c>
      <c r="P1125" s="6">
        <v>0</v>
      </c>
      <c r="Q1125" s="4" t="s">
        <v>26</v>
      </c>
      <c r="R1125" s="4">
        <v>0</v>
      </c>
      <c r="S1125" s="4" t="s">
        <v>463</v>
      </c>
      <c r="T1125" s="4" t="s">
        <v>723</v>
      </c>
      <c r="U1125" s="4">
        <v>0</v>
      </c>
      <c r="V1125" s="4">
        <v>30</v>
      </c>
      <c r="W1125" s="4">
        <v>78</v>
      </c>
    </row>
    <row r="1126" spans="1:23" ht="11.25" customHeight="1" x14ac:dyDescent="0.25">
      <c r="A1126" s="4" t="s">
        <v>28</v>
      </c>
      <c r="B1126" s="4" t="s">
        <v>41</v>
      </c>
      <c r="C1126" s="4" t="s">
        <v>42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34</v>
      </c>
      <c r="I1126" s="5">
        <v>44470</v>
      </c>
      <c r="J1126" s="6">
        <v>0</v>
      </c>
      <c r="K1126" s="6">
        <v>0</v>
      </c>
      <c r="L1126" s="6">
        <v>2.0529999999999999</v>
      </c>
      <c r="M1126" s="6">
        <v>2.0529999999999999</v>
      </c>
      <c r="N1126" s="6">
        <v>2.0529999999999999</v>
      </c>
      <c r="O1126" s="6">
        <v>2.0529999999999999</v>
      </c>
      <c r="P1126" s="6">
        <v>0</v>
      </c>
      <c r="Q1126" s="4" t="s">
        <v>26</v>
      </c>
      <c r="R1126" s="4">
        <v>0</v>
      </c>
      <c r="S1126" s="4" t="s">
        <v>463</v>
      </c>
      <c r="T1126" s="4" t="s">
        <v>723</v>
      </c>
      <c r="U1126" s="4">
        <v>0</v>
      </c>
      <c r="V1126" s="4">
        <v>30</v>
      </c>
      <c r="W1126" s="4">
        <v>78</v>
      </c>
    </row>
    <row r="1127" spans="1:23" ht="11.25" customHeight="1" x14ac:dyDescent="0.25">
      <c r="A1127" s="4" t="s">
        <v>21</v>
      </c>
      <c r="B1127" s="4" t="s">
        <v>41</v>
      </c>
      <c r="C1127" s="4" t="s">
        <v>42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34</v>
      </c>
      <c r="I1127" s="5">
        <v>44501</v>
      </c>
      <c r="J1127" s="6">
        <v>0</v>
      </c>
      <c r="K1127" s="6">
        <v>0</v>
      </c>
      <c r="L1127" s="6">
        <v>16.614000000000001</v>
      </c>
      <c r="M1127" s="6">
        <v>16.614000000000001</v>
      </c>
      <c r="N1127" s="6">
        <v>16.614000000000001</v>
      </c>
      <c r="O1127" s="6">
        <v>16.614000000000001</v>
      </c>
      <c r="P1127" s="6">
        <v>0</v>
      </c>
      <c r="Q1127" s="4" t="s">
        <v>26</v>
      </c>
      <c r="R1127" s="4">
        <v>0</v>
      </c>
      <c r="S1127" s="4" t="s">
        <v>464</v>
      </c>
      <c r="T1127" s="4" t="s">
        <v>724</v>
      </c>
      <c r="U1127" s="4">
        <v>0</v>
      </c>
      <c r="V1127" s="4">
        <v>30</v>
      </c>
      <c r="W1127" s="4">
        <v>78</v>
      </c>
    </row>
    <row r="1128" spans="1:23" ht="11.25" customHeight="1" x14ac:dyDescent="0.25">
      <c r="A1128" s="4" t="s">
        <v>28</v>
      </c>
      <c r="B1128" s="4" t="s">
        <v>41</v>
      </c>
      <c r="C1128" s="4" t="s">
        <v>42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34</v>
      </c>
      <c r="I1128" s="5">
        <v>44501</v>
      </c>
      <c r="J1128" s="6">
        <v>0</v>
      </c>
      <c r="K1128" s="6">
        <v>0</v>
      </c>
      <c r="L1128" s="6">
        <v>1.786</v>
      </c>
      <c r="M1128" s="6">
        <v>1.786</v>
      </c>
      <c r="N1128" s="6">
        <v>1.786</v>
      </c>
      <c r="O1128" s="6">
        <v>1.786</v>
      </c>
      <c r="P1128" s="6">
        <v>0</v>
      </c>
      <c r="Q1128" s="4" t="s">
        <v>26</v>
      </c>
      <c r="R1128" s="4">
        <v>0</v>
      </c>
      <c r="S1128" s="4" t="s">
        <v>464</v>
      </c>
      <c r="T1128" s="4" t="s">
        <v>724</v>
      </c>
      <c r="U1128" s="4">
        <v>0</v>
      </c>
      <c r="V1128" s="4">
        <v>30</v>
      </c>
      <c r="W1128" s="4">
        <v>78</v>
      </c>
    </row>
    <row r="1129" spans="1:23" ht="11.25" customHeight="1" x14ac:dyDescent="0.25">
      <c r="A1129" s="4" t="s">
        <v>21</v>
      </c>
      <c r="B1129" s="4" t="s">
        <v>41</v>
      </c>
      <c r="C1129" s="4" t="s">
        <v>42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34</v>
      </c>
      <c r="I1129" s="5">
        <v>44531</v>
      </c>
      <c r="J1129" s="6">
        <v>0</v>
      </c>
      <c r="K1129" s="6">
        <v>0</v>
      </c>
      <c r="L1129" s="6">
        <v>18.533000000000001</v>
      </c>
      <c r="M1129" s="6">
        <v>18.533000000000001</v>
      </c>
      <c r="N1129" s="6">
        <v>18.533000000000001</v>
      </c>
      <c r="O1129" s="6">
        <v>18.533000000000001</v>
      </c>
      <c r="P1129" s="6">
        <v>0</v>
      </c>
      <c r="Q1129" s="4" t="s">
        <v>26</v>
      </c>
      <c r="R1129" s="4">
        <v>0</v>
      </c>
      <c r="S1129" s="4" t="s">
        <v>465</v>
      </c>
      <c r="T1129" s="4" t="s">
        <v>725</v>
      </c>
      <c r="U1129" s="4">
        <v>0</v>
      </c>
      <c r="V1129" s="4">
        <v>30</v>
      </c>
      <c r="W1129" s="4">
        <v>78</v>
      </c>
    </row>
    <row r="1130" spans="1:23" ht="11.25" customHeight="1" x14ac:dyDescent="0.25">
      <c r="A1130" s="4" t="s">
        <v>28</v>
      </c>
      <c r="B1130" s="4" t="s">
        <v>41</v>
      </c>
      <c r="C1130" s="4" t="s">
        <v>42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34</v>
      </c>
      <c r="I1130" s="5">
        <v>44531</v>
      </c>
      <c r="J1130" s="6">
        <v>0</v>
      </c>
      <c r="K1130" s="6">
        <v>0</v>
      </c>
      <c r="L1130" s="6">
        <v>1.9650000000000001</v>
      </c>
      <c r="M1130" s="6">
        <v>1.9650000000000001</v>
      </c>
      <c r="N1130" s="6">
        <v>1.9650000000000001</v>
      </c>
      <c r="O1130" s="6">
        <v>1.9650000000000001</v>
      </c>
      <c r="P1130" s="6">
        <v>0</v>
      </c>
      <c r="Q1130" s="4" t="s">
        <v>26</v>
      </c>
      <c r="R1130" s="4">
        <v>0</v>
      </c>
      <c r="S1130" s="4" t="s">
        <v>465</v>
      </c>
      <c r="T1130" s="4" t="s">
        <v>725</v>
      </c>
      <c r="U1130" s="4">
        <v>0</v>
      </c>
      <c r="V1130" s="4">
        <v>30</v>
      </c>
      <c r="W1130" s="4">
        <v>78</v>
      </c>
    </row>
    <row r="1131" spans="1:23" ht="11.25" customHeight="1" x14ac:dyDescent="0.25">
      <c r="A1131" s="4" t="s">
        <v>21</v>
      </c>
      <c r="B1131" s="4" t="s">
        <v>41</v>
      </c>
      <c r="C1131" s="4" t="s">
        <v>42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34</v>
      </c>
      <c r="I1131" s="5">
        <v>44562</v>
      </c>
      <c r="J1131" s="6">
        <v>0</v>
      </c>
      <c r="K1131" s="6">
        <v>0</v>
      </c>
      <c r="L1131" s="6">
        <v>19.271000000000001</v>
      </c>
      <c r="M1131" s="6">
        <v>19.271000000000001</v>
      </c>
      <c r="N1131" s="6">
        <v>19.271000000000001</v>
      </c>
      <c r="O1131" s="6">
        <v>19.271000000000001</v>
      </c>
      <c r="P1131" s="6">
        <v>0</v>
      </c>
      <c r="Q1131" s="4" t="s">
        <v>26</v>
      </c>
      <c r="R1131" s="4">
        <v>0</v>
      </c>
      <c r="S1131" s="4" t="s">
        <v>466</v>
      </c>
      <c r="T1131" s="4" t="s">
        <v>726</v>
      </c>
      <c r="U1131" s="4">
        <v>0</v>
      </c>
      <c r="V1131" s="4">
        <v>30</v>
      </c>
      <c r="W1131" s="4">
        <v>78</v>
      </c>
    </row>
    <row r="1132" spans="1:23" ht="11.25" customHeight="1" x14ac:dyDescent="0.25">
      <c r="A1132" s="4" t="s">
        <v>28</v>
      </c>
      <c r="B1132" s="4" t="s">
        <v>41</v>
      </c>
      <c r="C1132" s="4" t="s">
        <v>42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34</v>
      </c>
      <c r="I1132" s="5">
        <v>44562</v>
      </c>
      <c r="J1132" s="6">
        <v>0</v>
      </c>
      <c r="K1132" s="6">
        <v>0</v>
      </c>
      <c r="L1132" s="6">
        <v>2.3039999999999998</v>
      </c>
      <c r="M1132" s="6">
        <v>2.3039999999999998</v>
      </c>
      <c r="N1132" s="6">
        <v>2.3039999999999998</v>
      </c>
      <c r="O1132" s="6">
        <v>2.3039999999999998</v>
      </c>
      <c r="P1132" s="6">
        <v>0</v>
      </c>
      <c r="Q1132" s="4" t="s">
        <v>26</v>
      </c>
      <c r="R1132" s="4">
        <v>0</v>
      </c>
      <c r="S1132" s="4" t="s">
        <v>466</v>
      </c>
      <c r="T1132" s="4" t="s">
        <v>726</v>
      </c>
      <c r="U1132" s="4">
        <v>0</v>
      </c>
      <c r="V1132" s="4">
        <v>30</v>
      </c>
      <c r="W1132" s="4">
        <v>78</v>
      </c>
    </row>
    <row r="1133" spans="1:23" ht="11.25" customHeight="1" x14ac:dyDescent="0.25">
      <c r="A1133" s="4" t="s">
        <v>21</v>
      </c>
      <c r="B1133" s="4" t="s">
        <v>41</v>
      </c>
      <c r="C1133" s="4" t="s">
        <v>42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34</v>
      </c>
      <c r="I1133" s="5">
        <v>44593</v>
      </c>
      <c r="J1133" s="6">
        <v>0</v>
      </c>
      <c r="K1133" s="6">
        <v>0</v>
      </c>
      <c r="L1133" s="6">
        <v>19.042999999999999</v>
      </c>
      <c r="M1133" s="6">
        <v>19.042999999999999</v>
      </c>
      <c r="N1133" s="6">
        <v>19.042999999999999</v>
      </c>
      <c r="O1133" s="6">
        <v>19.042999999999999</v>
      </c>
      <c r="P1133" s="6">
        <v>0</v>
      </c>
      <c r="Q1133" s="4" t="s">
        <v>26</v>
      </c>
      <c r="R1133" s="4">
        <v>0</v>
      </c>
      <c r="S1133" s="4" t="s">
        <v>467</v>
      </c>
      <c r="T1133" s="4" t="s">
        <v>727</v>
      </c>
      <c r="U1133" s="4">
        <v>0</v>
      </c>
      <c r="V1133" s="4">
        <v>30</v>
      </c>
      <c r="W1133" s="4">
        <v>78</v>
      </c>
    </row>
    <row r="1134" spans="1:23" ht="11.25" customHeight="1" x14ac:dyDescent="0.25">
      <c r="A1134" s="4" t="s">
        <v>28</v>
      </c>
      <c r="B1134" s="4" t="s">
        <v>41</v>
      </c>
      <c r="C1134" s="4" t="s">
        <v>42</v>
      </c>
      <c r="D1134" s="4" t="s">
        <v>46</v>
      </c>
      <c r="E1134" s="4" t="s">
        <v>25</v>
      </c>
      <c r="F1134" s="4" t="s">
        <v>25</v>
      </c>
      <c r="G1134" s="4" t="s">
        <v>25</v>
      </c>
      <c r="H1134" s="4" t="s">
        <v>34</v>
      </c>
      <c r="I1134" s="5">
        <v>44593</v>
      </c>
      <c r="J1134" s="6">
        <v>0</v>
      </c>
      <c r="K1134" s="6">
        <v>0</v>
      </c>
      <c r="L1134" s="6">
        <v>3.4279999999999999</v>
      </c>
      <c r="M1134" s="6">
        <v>3.4279999999999999</v>
      </c>
      <c r="N1134" s="6">
        <v>3.4279999999999999</v>
      </c>
      <c r="O1134" s="6">
        <v>3.4279999999999999</v>
      </c>
      <c r="P1134" s="6">
        <v>0</v>
      </c>
      <c r="Q1134" s="4" t="s">
        <v>26</v>
      </c>
      <c r="R1134" s="4">
        <v>0</v>
      </c>
      <c r="S1134" s="4" t="s">
        <v>467</v>
      </c>
      <c r="T1134" s="4" t="s">
        <v>727</v>
      </c>
      <c r="U1134" s="4">
        <v>0</v>
      </c>
      <c r="V1134" s="4">
        <v>30</v>
      </c>
      <c r="W1134" s="4">
        <v>78</v>
      </c>
    </row>
    <row r="1135" spans="1:23" ht="11.25" customHeight="1" x14ac:dyDescent="0.25">
      <c r="A1135" s="4" t="s">
        <v>21</v>
      </c>
      <c r="B1135" s="4" t="s">
        <v>41</v>
      </c>
      <c r="C1135" s="4" t="s">
        <v>42</v>
      </c>
      <c r="D1135" s="4" t="s">
        <v>46</v>
      </c>
      <c r="E1135" s="4" t="s">
        <v>25</v>
      </c>
      <c r="F1135" s="4" t="s">
        <v>25</v>
      </c>
      <c r="G1135" s="4" t="s">
        <v>25</v>
      </c>
      <c r="H1135" s="4" t="s">
        <v>34</v>
      </c>
      <c r="I1135" s="5">
        <v>44621</v>
      </c>
      <c r="J1135" s="6">
        <v>0</v>
      </c>
      <c r="K1135" s="6">
        <v>0</v>
      </c>
      <c r="L1135" s="6">
        <v>25.324999999999999</v>
      </c>
      <c r="M1135" s="6">
        <v>25.324999999999999</v>
      </c>
      <c r="N1135" s="6">
        <v>25.324999999999999</v>
      </c>
      <c r="O1135" s="6">
        <v>25.324999999999999</v>
      </c>
      <c r="P1135" s="6">
        <v>0</v>
      </c>
      <c r="Q1135" s="4" t="s">
        <v>26</v>
      </c>
      <c r="R1135" s="4">
        <v>0</v>
      </c>
      <c r="S1135" s="4" t="s">
        <v>468</v>
      </c>
      <c r="T1135" s="4" t="s">
        <v>728</v>
      </c>
      <c r="U1135" s="4">
        <v>0</v>
      </c>
      <c r="V1135" s="4">
        <v>30</v>
      </c>
      <c r="W1135" s="4">
        <v>78</v>
      </c>
    </row>
    <row r="1136" spans="1:23" ht="11.25" customHeight="1" x14ac:dyDescent="0.25">
      <c r="A1136" s="4" t="s">
        <v>27</v>
      </c>
      <c r="B1136" s="4" t="s">
        <v>41</v>
      </c>
      <c r="C1136" s="4" t="s">
        <v>42</v>
      </c>
      <c r="D1136" s="4" t="s">
        <v>46</v>
      </c>
      <c r="E1136" s="4" t="s">
        <v>25</v>
      </c>
      <c r="F1136" s="4" t="s">
        <v>25</v>
      </c>
      <c r="G1136" s="4" t="s">
        <v>25</v>
      </c>
      <c r="H1136" s="4" t="s">
        <v>34</v>
      </c>
      <c r="I1136" s="5">
        <v>44621</v>
      </c>
      <c r="J1136" s="6">
        <v>0</v>
      </c>
      <c r="K1136" s="6">
        <v>0</v>
      </c>
      <c r="L1136" s="6">
        <v>3.9020000000000001</v>
      </c>
      <c r="M1136" s="6">
        <v>3.9020000000000001</v>
      </c>
      <c r="N1136" s="6">
        <v>3.9020000000000001</v>
      </c>
      <c r="O1136" s="6">
        <v>3.9020000000000001</v>
      </c>
      <c r="P1136" s="6">
        <v>0</v>
      </c>
      <c r="Q1136" s="4" t="s">
        <v>26</v>
      </c>
      <c r="R1136" s="4">
        <v>0</v>
      </c>
      <c r="S1136" s="4" t="s">
        <v>468</v>
      </c>
      <c r="T1136" s="4" t="s">
        <v>728</v>
      </c>
      <c r="U1136" s="4">
        <v>0</v>
      </c>
      <c r="V1136" s="4">
        <v>30</v>
      </c>
      <c r="W1136" s="4">
        <v>78</v>
      </c>
    </row>
    <row r="1137" spans="1:23" ht="11.25" customHeight="1" x14ac:dyDescent="0.25">
      <c r="A1137" s="4" t="s">
        <v>28</v>
      </c>
      <c r="B1137" s="4" t="s">
        <v>41</v>
      </c>
      <c r="C1137" s="4" t="s">
        <v>42</v>
      </c>
      <c r="D1137" s="4" t="s">
        <v>46</v>
      </c>
      <c r="E1137" s="4" t="s">
        <v>25</v>
      </c>
      <c r="F1137" s="4" t="s">
        <v>25</v>
      </c>
      <c r="G1137" s="4" t="s">
        <v>25</v>
      </c>
      <c r="H1137" s="4" t="s">
        <v>34</v>
      </c>
      <c r="I1137" s="5">
        <v>44621</v>
      </c>
      <c r="J1137" s="6">
        <v>0</v>
      </c>
      <c r="K1137" s="6">
        <v>0</v>
      </c>
      <c r="L1137" s="6">
        <v>2.6030000000000002</v>
      </c>
      <c r="M1137" s="6">
        <v>2.6030000000000002</v>
      </c>
      <c r="N1137" s="6">
        <v>2.6030000000000002</v>
      </c>
      <c r="O1137" s="6">
        <v>2.6030000000000002</v>
      </c>
      <c r="P1137" s="6">
        <v>0</v>
      </c>
      <c r="Q1137" s="4" t="s">
        <v>26</v>
      </c>
      <c r="R1137" s="4">
        <v>0</v>
      </c>
      <c r="S1137" s="4" t="s">
        <v>468</v>
      </c>
      <c r="T1137" s="4" t="s">
        <v>728</v>
      </c>
      <c r="U1137" s="4">
        <v>0</v>
      </c>
      <c r="V1137" s="4">
        <v>30</v>
      </c>
      <c r="W1137" s="4">
        <v>78</v>
      </c>
    </row>
    <row r="1138" spans="1:23" ht="11.25" customHeight="1" x14ac:dyDescent="0.25">
      <c r="A1138" s="4" t="s">
        <v>21</v>
      </c>
      <c r="B1138" s="4" t="s">
        <v>41</v>
      </c>
      <c r="C1138" s="4" t="s">
        <v>42</v>
      </c>
      <c r="D1138" s="4" t="s">
        <v>46</v>
      </c>
      <c r="E1138" s="4" t="s">
        <v>25</v>
      </c>
      <c r="F1138" s="4" t="s">
        <v>25</v>
      </c>
      <c r="G1138" s="4" t="s">
        <v>25</v>
      </c>
      <c r="H1138" s="4" t="s">
        <v>34</v>
      </c>
      <c r="I1138" s="5">
        <v>44652</v>
      </c>
      <c r="J1138" s="6">
        <v>0</v>
      </c>
      <c r="K1138" s="6">
        <v>0</v>
      </c>
      <c r="L1138" s="6">
        <v>27.417999999999999</v>
      </c>
      <c r="M1138" s="6">
        <v>27.417999999999999</v>
      </c>
      <c r="N1138" s="6">
        <v>27.417999999999999</v>
      </c>
      <c r="O1138" s="6">
        <v>27.417999999999999</v>
      </c>
      <c r="P1138" s="6">
        <v>0</v>
      </c>
      <c r="Q1138" s="4" t="s">
        <v>26</v>
      </c>
      <c r="R1138" s="4">
        <v>0</v>
      </c>
      <c r="S1138" s="4" t="s">
        <v>469</v>
      </c>
      <c r="T1138" s="4" t="s">
        <v>729</v>
      </c>
      <c r="U1138" s="4">
        <v>0</v>
      </c>
      <c r="V1138" s="4">
        <v>30</v>
      </c>
      <c r="W1138" s="4">
        <v>78</v>
      </c>
    </row>
    <row r="1139" spans="1:23" ht="11.25" customHeight="1" x14ac:dyDescent="0.25">
      <c r="A1139" s="4" t="s">
        <v>28</v>
      </c>
      <c r="B1139" s="4" t="s">
        <v>41</v>
      </c>
      <c r="C1139" s="4" t="s">
        <v>42</v>
      </c>
      <c r="D1139" s="4" t="s">
        <v>46</v>
      </c>
      <c r="E1139" s="4" t="s">
        <v>25</v>
      </c>
      <c r="F1139" s="4" t="s">
        <v>25</v>
      </c>
      <c r="G1139" s="4" t="s">
        <v>25</v>
      </c>
      <c r="H1139" s="4" t="s">
        <v>34</v>
      </c>
      <c r="I1139" s="5">
        <v>44652</v>
      </c>
      <c r="J1139" s="6">
        <v>0</v>
      </c>
      <c r="K1139" s="6">
        <v>0</v>
      </c>
      <c r="L1139" s="6">
        <v>3.7389999999999999</v>
      </c>
      <c r="M1139" s="6">
        <v>3.7389999999999999</v>
      </c>
      <c r="N1139" s="6">
        <v>3.7389999999999999</v>
      </c>
      <c r="O1139" s="6">
        <v>3.7389999999999999</v>
      </c>
      <c r="P1139" s="6">
        <v>0</v>
      </c>
      <c r="Q1139" s="4" t="s">
        <v>26</v>
      </c>
      <c r="R1139" s="4">
        <v>0</v>
      </c>
      <c r="S1139" s="4" t="s">
        <v>469</v>
      </c>
      <c r="T1139" s="4" t="s">
        <v>729</v>
      </c>
      <c r="U1139" s="4">
        <v>0</v>
      </c>
      <c r="V1139" s="4">
        <v>30</v>
      </c>
      <c r="W1139" s="4">
        <v>78</v>
      </c>
    </row>
    <row r="1140" spans="1:23" ht="11.25" customHeight="1" x14ac:dyDescent="0.25">
      <c r="A1140" s="4" t="s">
        <v>58</v>
      </c>
      <c r="B1140" s="4" t="s">
        <v>41</v>
      </c>
      <c r="C1140" s="4" t="s">
        <v>42</v>
      </c>
      <c r="D1140" s="4" t="s">
        <v>46</v>
      </c>
      <c r="E1140" s="4" t="s">
        <v>25</v>
      </c>
      <c r="F1140" s="4" t="s">
        <v>25</v>
      </c>
      <c r="G1140" s="4" t="s">
        <v>25</v>
      </c>
      <c r="H1140" s="4" t="s">
        <v>34</v>
      </c>
      <c r="I1140" s="5">
        <v>44682</v>
      </c>
      <c r="J1140" s="6">
        <v>0</v>
      </c>
      <c r="K1140" s="6">
        <v>0</v>
      </c>
      <c r="L1140" s="6">
        <v>27.417999999999999</v>
      </c>
      <c r="M1140" s="6">
        <v>27.417999999999999</v>
      </c>
      <c r="N1140" s="6">
        <v>27.417999999999999</v>
      </c>
      <c r="O1140" s="6">
        <v>27.417999999999999</v>
      </c>
      <c r="P1140" s="6">
        <v>0</v>
      </c>
      <c r="Q1140" s="4" t="s">
        <v>26</v>
      </c>
      <c r="R1140" s="4">
        <v>0</v>
      </c>
      <c r="S1140" s="4" t="s">
        <v>470</v>
      </c>
      <c r="T1140" s="4" t="s">
        <v>730</v>
      </c>
      <c r="U1140" s="4">
        <v>0</v>
      </c>
      <c r="V1140" s="4">
        <v>30</v>
      </c>
      <c r="W1140" s="4">
        <v>78</v>
      </c>
    </row>
    <row r="1141" spans="1:23" ht="11.25" customHeight="1" x14ac:dyDescent="0.25">
      <c r="A1141" s="4" t="s">
        <v>58</v>
      </c>
      <c r="B1141" s="4" t="s">
        <v>41</v>
      </c>
      <c r="C1141" s="4" t="s">
        <v>42</v>
      </c>
      <c r="D1141" s="4" t="s">
        <v>46</v>
      </c>
      <c r="E1141" s="4" t="s">
        <v>25</v>
      </c>
      <c r="F1141" s="4" t="s">
        <v>25</v>
      </c>
      <c r="G1141" s="4" t="s">
        <v>25</v>
      </c>
      <c r="H1141" s="4" t="s">
        <v>34</v>
      </c>
      <c r="I1141" s="5">
        <v>44682</v>
      </c>
      <c r="J1141" s="6">
        <v>0</v>
      </c>
      <c r="K1141" s="6">
        <v>0</v>
      </c>
      <c r="L1141" s="6">
        <v>3.7389999999999999</v>
      </c>
      <c r="M1141" s="6">
        <v>3.7389999999999999</v>
      </c>
      <c r="N1141" s="6">
        <v>3.7389999999999999</v>
      </c>
      <c r="O1141" s="6">
        <v>3.7389999999999999</v>
      </c>
      <c r="P1141" s="6">
        <v>0</v>
      </c>
      <c r="Q1141" s="4" t="s">
        <v>26</v>
      </c>
      <c r="R1141" s="4">
        <v>0</v>
      </c>
      <c r="S1141" s="4" t="s">
        <v>470</v>
      </c>
      <c r="T1141" s="4" t="s">
        <v>730</v>
      </c>
      <c r="U1141" s="4">
        <v>0</v>
      </c>
      <c r="V1141" s="4">
        <v>30</v>
      </c>
      <c r="W1141" s="4">
        <v>78</v>
      </c>
    </row>
    <row r="1142" spans="1:23" ht="11.25" customHeight="1" x14ac:dyDescent="0.25">
      <c r="A1142" s="4" t="s">
        <v>21</v>
      </c>
      <c r="B1142" s="4" t="s">
        <v>41</v>
      </c>
      <c r="C1142" s="4" t="s">
        <v>42</v>
      </c>
      <c r="D1142" s="4" t="s">
        <v>45</v>
      </c>
      <c r="E1142" s="4" t="s">
        <v>25</v>
      </c>
      <c r="F1142" s="4" t="s">
        <v>25</v>
      </c>
      <c r="G1142" s="4" t="s">
        <v>25</v>
      </c>
      <c r="H1142" s="4" t="s">
        <v>35</v>
      </c>
      <c r="I1142" s="5">
        <v>44348</v>
      </c>
      <c r="J1142" s="6">
        <v>0</v>
      </c>
      <c r="K1142" s="6">
        <v>0</v>
      </c>
      <c r="L1142" s="6">
        <v>212.03899999999999</v>
      </c>
      <c r="M1142" s="6">
        <v>203.55744000000001</v>
      </c>
      <c r="N1142" s="6">
        <v>212.03899999999999</v>
      </c>
      <c r="O1142" s="6">
        <v>203.55744000000001</v>
      </c>
      <c r="P1142" s="6">
        <v>0</v>
      </c>
      <c r="Q1142" s="4" t="s">
        <v>26</v>
      </c>
      <c r="R1142" s="4">
        <v>0</v>
      </c>
      <c r="S1142" s="4" t="s">
        <v>435</v>
      </c>
      <c r="T1142" s="4" t="s">
        <v>707</v>
      </c>
      <c r="U1142" s="4">
        <v>0</v>
      </c>
      <c r="V1142" s="4">
        <v>31</v>
      </c>
      <c r="W1142" s="4">
        <v>79</v>
      </c>
    </row>
    <row r="1143" spans="1:23" ht="11.25" customHeight="1" x14ac:dyDescent="0.25">
      <c r="A1143" s="4" t="s">
        <v>27</v>
      </c>
      <c r="B1143" s="4" t="s">
        <v>41</v>
      </c>
      <c r="C1143" s="4" t="s">
        <v>42</v>
      </c>
      <c r="D1143" s="4" t="s">
        <v>45</v>
      </c>
      <c r="E1143" s="4" t="s">
        <v>25</v>
      </c>
      <c r="F1143" s="4" t="s">
        <v>25</v>
      </c>
      <c r="G1143" s="4" t="s">
        <v>25</v>
      </c>
      <c r="H1143" s="4" t="s">
        <v>35</v>
      </c>
      <c r="I1143" s="5">
        <v>44348</v>
      </c>
      <c r="J1143" s="6">
        <v>0</v>
      </c>
      <c r="K1143" s="6">
        <v>0</v>
      </c>
      <c r="L1143" s="6">
        <v>6.12</v>
      </c>
      <c r="M1143" s="6">
        <v>5.8752000000000004</v>
      </c>
      <c r="N1143" s="6">
        <v>6.12</v>
      </c>
      <c r="O1143" s="6">
        <v>5.8752000000000004</v>
      </c>
      <c r="P1143" s="6">
        <v>0</v>
      </c>
      <c r="Q1143" s="4" t="s">
        <v>26</v>
      </c>
      <c r="R1143" s="4">
        <v>0</v>
      </c>
      <c r="S1143" s="4" t="s">
        <v>435</v>
      </c>
      <c r="T1143" s="4" t="s">
        <v>707</v>
      </c>
      <c r="U1143" s="4">
        <v>0</v>
      </c>
      <c r="V1143" s="4">
        <v>31</v>
      </c>
      <c r="W1143" s="4">
        <v>79</v>
      </c>
    </row>
    <row r="1144" spans="1:23" ht="11.25" customHeight="1" x14ac:dyDescent="0.25">
      <c r="A1144" s="4" t="s">
        <v>21</v>
      </c>
      <c r="B1144" s="4" t="s">
        <v>41</v>
      </c>
      <c r="C1144" s="4" t="s">
        <v>42</v>
      </c>
      <c r="D1144" s="4" t="s">
        <v>45</v>
      </c>
      <c r="E1144" s="4" t="s">
        <v>25</v>
      </c>
      <c r="F1144" s="4" t="s">
        <v>25</v>
      </c>
      <c r="G1144" s="4" t="s">
        <v>25</v>
      </c>
      <c r="H1144" s="4" t="s">
        <v>35</v>
      </c>
      <c r="I1144" s="5">
        <v>44378</v>
      </c>
      <c r="J1144" s="6">
        <v>0</v>
      </c>
      <c r="K1144" s="6">
        <v>0</v>
      </c>
      <c r="L1144" s="6">
        <v>233.19399999999999</v>
      </c>
      <c r="M1144" s="6">
        <v>223.86624</v>
      </c>
      <c r="N1144" s="6">
        <v>233.19399999999999</v>
      </c>
      <c r="O1144" s="6">
        <v>223.86624</v>
      </c>
      <c r="P1144" s="6">
        <v>0</v>
      </c>
      <c r="Q1144" s="4" t="s">
        <v>26</v>
      </c>
      <c r="R1144" s="4">
        <v>0</v>
      </c>
      <c r="S1144" s="4" t="s">
        <v>436</v>
      </c>
      <c r="T1144" s="4" t="s">
        <v>708</v>
      </c>
      <c r="U1144" s="4">
        <v>0</v>
      </c>
      <c r="V1144" s="4">
        <v>31</v>
      </c>
      <c r="W1144" s="4">
        <v>79</v>
      </c>
    </row>
    <row r="1145" spans="1:23" ht="11.25" customHeight="1" x14ac:dyDescent="0.25">
      <c r="A1145" s="4" t="s">
        <v>21</v>
      </c>
      <c r="B1145" s="4" t="s">
        <v>41</v>
      </c>
      <c r="C1145" s="4" t="s">
        <v>42</v>
      </c>
      <c r="D1145" s="4" t="s">
        <v>45</v>
      </c>
      <c r="E1145" s="4" t="s">
        <v>25</v>
      </c>
      <c r="F1145" s="4" t="s">
        <v>25</v>
      </c>
      <c r="G1145" s="4" t="s">
        <v>25</v>
      </c>
      <c r="H1145" s="4" t="s">
        <v>35</v>
      </c>
      <c r="I1145" s="5">
        <v>44409</v>
      </c>
      <c r="J1145" s="6">
        <v>0</v>
      </c>
      <c r="K1145" s="6">
        <v>0</v>
      </c>
      <c r="L1145" s="6">
        <v>216.571</v>
      </c>
      <c r="M1145" s="6">
        <v>207.90816000000001</v>
      </c>
      <c r="N1145" s="6">
        <v>216.571</v>
      </c>
      <c r="O1145" s="6">
        <v>207.90816000000001</v>
      </c>
      <c r="P1145" s="6">
        <v>0</v>
      </c>
      <c r="Q1145" s="4" t="s">
        <v>26</v>
      </c>
      <c r="R1145" s="4">
        <v>0</v>
      </c>
      <c r="S1145" s="4" t="s">
        <v>437</v>
      </c>
      <c r="T1145" s="4" t="s">
        <v>709</v>
      </c>
      <c r="U1145" s="4">
        <v>0</v>
      </c>
      <c r="V1145" s="4">
        <v>31</v>
      </c>
      <c r="W1145" s="4">
        <v>79</v>
      </c>
    </row>
    <row r="1146" spans="1:23" ht="11.25" customHeight="1" x14ac:dyDescent="0.25">
      <c r="A1146" s="4" t="s">
        <v>21</v>
      </c>
      <c r="B1146" s="4" t="s">
        <v>41</v>
      </c>
      <c r="C1146" s="4" t="s">
        <v>42</v>
      </c>
      <c r="D1146" s="4" t="s">
        <v>45</v>
      </c>
      <c r="E1146" s="4" t="s">
        <v>25</v>
      </c>
      <c r="F1146" s="4" t="s">
        <v>25</v>
      </c>
      <c r="G1146" s="4" t="s">
        <v>25</v>
      </c>
      <c r="H1146" s="4" t="s">
        <v>35</v>
      </c>
      <c r="I1146" s="5">
        <v>44440</v>
      </c>
      <c r="J1146" s="6">
        <v>0</v>
      </c>
      <c r="K1146" s="6">
        <v>0</v>
      </c>
      <c r="L1146" s="6">
        <v>222.245</v>
      </c>
      <c r="M1146" s="6">
        <v>213.3552</v>
      </c>
      <c r="N1146" s="6">
        <v>222.245</v>
      </c>
      <c r="O1146" s="6">
        <v>213.3552</v>
      </c>
      <c r="P1146" s="6">
        <v>0</v>
      </c>
      <c r="Q1146" s="4" t="s">
        <v>26</v>
      </c>
      <c r="R1146" s="4">
        <v>0</v>
      </c>
      <c r="S1146" s="4" t="s">
        <v>438</v>
      </c>
      <c r="T1146" s="4" t="s">
        <v>710</v>
      </c>
      <c r="U1146" s="4">
        <v>0</v>
      </c>
      <c r="V1146" s="4">
        <v>31</v>
      </c>
      <c r="W1146" s="4">
        <v>79</v>
      </c>
    </row>
    <row r="1147" spans="1:23" ht="11.25" customHeight="1" x14ac:dyDescent="0.25">
      <c r="A1147" s="4" t="s">
        <v>21</v>
      </c>
      <c r="B1147" s="4" t="s">
        <v>41</v>
      </c>
      <c r="C1147" s="4" t="s">
        <v>42</v>
      </c>
      <c r="D1147" s="4" t="s">
        <v>45</v>
      </c>
      <c r="E1147" s="4" t="s">
        <v>25</v>
      </c>
      <c r="F1147" s="4" t="s">
        <v>25</v>
      </c>
      <c r="G1147" s="4" t="s">
        <v>25</v>
      </c>
      <c r="H1147" s="4" t="s">
        <v>35</v>
      </c>
      <c r="I1147" s="5">
        <v>44470</v>
      </c>
      <c r="J1147" s="6">
        <v>0</v>
      </c>
      <c r="K1147" s="6">
        <v>0</v>
      </c>
      <c r="L1147" s="6">
        <v>233.876</v>
      </c>
      <c r="M1147" s="6">
        <v>224.52096</v>
      </c>
      <c r="N1147" s="6">
        <v>233.876</v>
      </c>
      <c r="O1147" s="6">
        <v>224.52096</v>
      </c>
      <c r="P1147" s="6">
        <v>0</v>
      </c>
      <c r="Q1147" s="4" t="s">
        <v>26</v>
      </c>
      <c r="R1147" s="4">
        <v>0</v>
      </c>
      <c r="S1147" s="4" t="s">
        <v>439</v>
      </c>
      <c r="T1147" s="4" t="s">
        <v>711</v>
      </c>
      <c r="U1147" s="4">
        <v>0</v>
      </c>
      <c r="V1147" s="4">
        <v>31</v>
      </c>
      <c r="W1147" s="4">
        <v>79</v>
      </c>
    </row>
    <row r="1148" spans="1:23" ht="11.25" customHeight="1" x14ac:dyDescent="0.25">
      <c r="A1148" s="4" t="s">
        <v>21</v>
      </c>
      <c r="B1148" s="4" t="s">
        <v>41</v>
      </c>
      <c r="C1148" s="4" t="s">
        <v>42</v>
      </c>
      <c r="D1148" s="4" t="s">
        <v>45</v>
      </c>
      <c r="E1148" s="4" t="s">
        <v>25</v>
      </c>
      <c r="F1148" s="4" t="s">
        <v>25</v>
      </c>
      <c r="G1148" s="4" t="s">
        <v>25</v>
      </c>
      <c r="H1148" s="4" t="s">
        <v>35</v>
      </c>
      <c r="I1148" s="5">
        <v>44501</v>
      </c>
      <c r="J1148" s="6">
        <v>0</v>
      </c>
      <c r="K1148" s="6">
        <v>0</v>
      </c>
      <c r="L1148" s="6">
        <v>222.655</v>
      </c>
      <c r="M1148" s="6">
        <v>213.74879999999999</v>
      </c>
      <c r="N1148" s="6">
        <v>222.655</v>
      </c>
      <c r="O1148" s="6">
        <v>213.74879999999999</v>
      </c>
      <c r="P1148" s="6">
        <v>0</v>
      </c>
      <c r="Q1148" s="4" t="s">
        <v>26</v>
      </c>
      <c r="R1148" s="4">
        <v>0</v>
      </c>
      <c r="S1148" s="4" t="s">
        <v>440</v>
      </c>
      <c r="T1148" s="4" t="s">
        <v>712</v>
      </c>
      <c r="U1148" s="4">
        <v>0</v>
      </c>
      <c r="V1148" s="4">
        <v>31</v>
      </c>
      <c r="W1148" s="4">
        <v>79</v>
      </c>
    </row>
    <row r="1149" spans="1:23" ht="11.25" customHeight="1" x14ac:dyDescent="0.25">
      <c r="A1149" s="4" t="s">
        <v>21</v>
      </c>
      <c r="B1149" s="4" t="s">
        <v>41</v>
      </c>
      <c r="C1149" s="4" t="s">
        <v>42</v>
      </c>
      <c r="D1149" s="4" t="s">
        <v>45</v>
      </c>
      <c r="E1149" s="4" t="s">
        <v>25</v>
      </c>
      <c r="F1149" s="4" t="s">
        <v>25</v>
      </c>
      <c r="G1149" s="4" t="s">
        <v>25</v>
      </c>
      <c r="H1149" s="4" t="s">
        <v>35</v>
      </c>
      <c r="I1149" s="5">
        <v>44531</v>
      </c>
      <c r="J1149" s="6">
        <v>0</v>
      </c>
      <c r="K1149" s="6">
        <v>0</v>
      </c>
      <c r="L1149" s="6">
        <v>244.85599999999999</v>
      </c>
      <c r="M1149" s="6">
        <v>235.06175999999999</v>
      </c>
      <c r="N1149" s="6">
        <v>244.85599999999999</v>
      </c>
      <c r="O1149" s="6">
        <v>235.06175999999999</v>
      </c>
      <c r="P1149" s="6">
        <v>0</v>
      </c>
      <c r="Q1149" s="4" t="s">
        <v>26</v>
      </c>
      <c r="R1149" s="4">
        <v>0</v>
      </c>
      <c r="S1149" s="4" t="s">
        <v>441</v>
      </c>
      <c r="T1149" s="4" t="s">
        <v>713</v>
      </c>
      <c r="U1149" s="4">
        <v>0</v>
      </c>
      <c r="V1149" s="4">
        <v>31</v>
      </c>
      <c r="W1149" s="4">
        <v>79</v>
      </c>
    </row>
    <row r="1150" spans="1:23" ht="11.25" customHeight="1" x14ac:dyDescent="0.25">
      <c r="A1150" s="4" t="s">
        <v>21</v>
      </c>
      <c r="B1150" s="4" t="s">
        <v>41</v>
      </c>
      <c r="C1150" s="4" t="s">
        <v>42</v>
      </c>
      <c r="D1150" s="4" t="s">
        <v>45</v>
      </c>
      <c r="E1150" s="4" t="s">
        <v>25</v>
      </c>
      <c r="F1150" s="4" t="s">
        <v>25</v>
      </c>
      <c r="G1150" s="4" t="s">
        <v>25</v>
      </c>
      <c r="H1150" s="4" t="s">
        <v>35</v>
      </c>
      <c r="I1150" s="5">
        <v>44562</v>
      </c>
      <c r="J1150" s="6">
        <v>0</v>
      </c>
      <c r="K1150" s="6">
        <v>0</v>
      </c>
      <c r="L1150" s="6">
        <v>210.94300000000001</v>
      </c>
      <c r="M1150" s="6">
        <v>202.50528</v>
      </c>
      <c r="N1150" s="6">
        <v>210.94300000000001</v>
      </c>
      <c r="O1150" s="6">
        <v>202.50528</v>
      </c>
      <c r="P1150" s="6">
        <v>0</v>
      </c>
      <c r="Q1150" s="4" t="s">
        <v>26</v>
      </c>
      <c r="R1150" s="4">
        <v>0</v>
      </c>
      <c r="S1150" s="4" t="s">
        <v>442</v>
      </c>
      <c r="T1150" s="4" t="s">
        <v>714</v>
      </c>
      <c r="U1150" s="4">
        <v>0</v>
      </c>
      <c r="V1150" s="4">
        <v>31</v>
      </c>
      <c r="W1150" s="4">
        <v>79</v>
      </c>
    </row>
    <row r="1151" spans="1:23" ht="11.25" customHeight="1" x14ac:dyDescent="0.25">
      <c r="A1151" s="4" t="s">
        <v>21</v>
      </c>
      <c r="B1151" s="4" t="s">
        <v>41</v>
      </c>
      <c r="C1151" s="4" t="s">
        <v>42</v>
      </c>
      <c r="D1151" s="4" t="s">
        <v>45</v>
      </c>
      <c r="E1151" s="4" t="s">
        <v>25</v>
      </c>
      <c r="F1151" s="4" t="s">
        <v>25</v>
      </c>
      <c r="G1151" s="4" t="s">
        <v>25</v>
      </c>
      <c r="H1151" s="4" t="s">
        <v>35</v>
      </c>
      <c r="I1151" s="5">
        <v>44593</v>
      </c>
      <c r="J1151" s="6">
        <v>0</v>
      </c>
      <c r="K1151" s="6">
        <v>0</v>
      </c>
      <c r="L1151" s="6">
        <v>190.81700000000001</v>
      </c>
      <c r="M1151" s="6">
        <v>183.18432000000001</v>
      </c>
      <c r="N1151" s="6">
        <v>190.81700000000001</v>
      </c>
      <c r="O1151" s="6">
        <v>183.18432000000001</v>
      </c>
      <c r="P1151" s="6">
        <v>0</v>
      </c>
      <c r="Q1151" s="4" t="s">
        <v>26</v>
      </c>
      <c r="R1151" s="4">
        <v>0</v>
      </c>
      <c r="S1151" s="4" t="s">
        <v>443</v>
      </c>
      <c r="T1151" s="4" t="s">
        <v>715</v>
      </c>
      <c r="U1151" s="4">
        <v>0</v>
      </c>
      <c r="V1151" s="4">
        <v>31</v>
      </c>
      <c r="W1151" s="4">
        <v>79</v>
      </c>
    </row>
    <row r="1152" spans="1:23" ht="11.25" customHeight="1" x14ac:dyDescent="0.25">
      <c r="A1152" s="4" t="s">
        <v>21</v>
      </c>
      <c r="B1152" s="4" t="s">
        <v>41</v>
      </c>
      <c r="C1152" s="4" t="s">
        <v>42</v>
      </c>
      <c r="D1152" s="4" t="s">
        <v>45</v>
      </c>
      <c r="E1152" s="4" t="s">
        <v>25</v>
      </c>
      <c r="F1152" s="4" t="s">
        <v>25</v>
      </c>
      <c r="G1152" s="4" t="s">
        <v>25</v>
      </c>
      <c r="H1152" s="4" t="s">
        <v>35</v>
      </c>
      <c r="I1152" s="5">
        <v>44621</v>
      </c>
      <c r="J1152" s="6">
        <v>0</v>
      </c>
      <c r="K1152" s="6">
        <v>0</v>
      </c>
      <c r="L1152" s="6">
        <v>200.46600000000001</v>
      </c>
      <c r="M1152" s="6">
        <v>192.44736</v>
      </c>
      <c r="N1152" s="6">
        <v>200.46600000000001</v>
      </c>
      <c r="O1152" s="6">
        <v>192.44736</v>
      </c>
      <c r="P1152" s="6">
        <v>0</v>
      </c>
      <c r="Q1152" s="4" t="s">
        <v>26</v>
      </c>
      <c r="R1152" s="4">
        <v>0</v>
      </c>
      <c r="S1152" s="4" t="s">
        <v>444</v>
      </c>
      <c r="T1152" s="4" t="s">
        <v>716</v>
      </c>
      <c r="U1152" s="4">
        <v>0</v>
      </c>
      <c r="V1152" s="4">
        <v>31</v>
      </c>
      <c r="W1152" s="4">
        <v>79</v>
      </c>
    </row>
    <row r="1153" spans="1:23" ht="11.25" customHeight="1" x14ac:dyDescent="0.25">
      <c r="A1153" s="4" t="s">
        <v>21</v>
      </c>
      <c r="B1153" s="4" t="s">
        <v>41</v>
      </c>
      <c r="C1153" s="4" t="s">
        <v>42</v>
      </c>
      <c r="D1153" s="4" t="s">
        <v>45</v>
      </c>
      <c r="E1153" s="4" t="s">
        <v>25</v>
      </c>
      <c r="F1153" s="4" t="s">
        <v>25</v>
      </c>
      <c r="G1153" s="4" t="s">
        <v>25</v>
      </c>
      <c r="H1153" s="4" t="s">
        <v>35</v>
      </c>
      <c r="I1153" s="5">
        <v>44652</v>
      </c>
      <c r="J1153" s="6">
        <v>0</v>
      </c>
      <c r="K1153" s="6">
        <v>0</v>
      </c>
      <c r="L1153" s="6">
        <v>192.44200000000001</v>
      </c>
      <c r="M1153" s="6">
        <v>184.74431999999999</v>
      </c>
      <c r="N1153" s="6">
        <v>192.44200000000001</v>
      </c>
      <c r="O1153" s="6">
        <v>184.74431999999999</v>
      </c>
      <c r="P1153" s="6">
        <v>0</v>
      </c>
      <c r="Q1153" s="4" t="s">
        <v>26</v>
      </c>
      <c r="R1153" s="4">
        <v>0</v>
      </c>
      <c r="S1153" s="4" t="s">
        <v>445</v>
      </c>
      <c r="T1153" s="4" t="s">
        <v>717</v>
      </c>
      <c r="U1153" s="4">
        <v>0</v>
      </c>
      <c r="V1153" s="4">
        <v>31</v>
      </c>
      <c r="W1153" s="4">
        <v>79</v>
      </c>
    </row>
    <row r="1154" spans="1:23" ht="11.25" customHeight="1" x14ac:dyDescent="0.25">
      <c r="A1154" s="4" t="s">
        <v>58</v>
      </c>
      <c r="B1154" s="4" t="s">
        <v>41</v>
      </c>
      <c r="C1154" s="4" t="s">
        <v>42</v>
      </c>
      <c r="D1154" s="4" t="s">
        <v>45</v>
      </c>
      <c r="E1154" s="4" t="s">
        <v>25</v>
      </c>
      <c r="F1154" s="4" t="s">
        <v>25</v>
      </c>
      <c r="G1154" s="4" t="s">
        <v>25</v>
      </c>
      <c r="H1154" s="4" t="s">
        <v>35</v>
      </c>
      <c r="I1154" s="5">
        <v>44682</v>
      </c>
      <c r="J1154" s="6">
        <v>0</v>
      </c>
      <c r="K1154" s="6">
        <v>0</v>
      </c>
      <c r="L1154" s="6">
        <v>192.44200000000001</v>
      </c>
      <c r="M1154" s="6">
        <v>184.74431999999999</v>
      </c>
      <c r="N1154" s="6">
        <v>192.44200000000001</v>
      </c>
      <c r="O1154" s="6">
        <v>184.74431999999999</v>
      </c>
      <c r="P1154" s="6">
        <v>0</v>
      </c>
      <c r="Q1154" s="4" t="s">
        <v>26</v>
      </c>
      <c r="R1154" s="4">
        <v>0</v>
      </c>
      <c r="S1154" s="4" t="s">
        <v>446</v>
      </c>
      <c r="T1154" s="4" t="s">
        <v>718</v>
      </c>
      <c r="U1154" s="4">
        <v>0</v>
      </c>
      <c r="V1154" s="4">
        <v>31</v>
      </c>
      <c r="W1154" s="4">
        <v>79</v>
      </c>
    </row>
    <row r="1155" spans="1:23" ht="11.25" customHeight="1" x14ac:dyDescent="0.25">
      <c r="A1155" s="4" t="s">
        <v>21</v>
      </c>
      <c r="B1155" s="4" t="s">
        <v>41</v>
      </c>
      <c r="C1155" s="4" t="s">
        <v>42</v>
      </c>
      <c r="D1155" s="4" t="s">
        <v>45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5">
        <v>44348</v>
      </c>
      <c r="J1155" s="6">
        <v>1062</v>
      </c>
      <c r="K1155" s="6">
        <v>1019.52</v>
      </c>
      <c r="L1155" s="6">
        <v>0</v>
      </c>
      <c r="M1155" s="6">
        <v>0</v>
      </c>
      <c r="N1155" s="6">
        <v>0</v>
      </c>
      <c r="O1155" s="6">
        <v>0</v>
      </c>
      <c r="P1155" s="6">
        <v>11</v>
      </c>
      <c r="Q1155" s="4" t="s">
        <v>26</v>
      </c>
      <c r="R1155" s="4">
        <v>0</v>
      </c>
      <c r="S1155" s="4" t="s">
        <v>447</v>
      </c>
      <c r="U1155" s="4">
        <v>29</v>
      </c>
      <c r="V1155" s="4">
        <v>0</v>
      </c>
      <c r="W1155" s="4">
        <v>0</v>
      </c>
    </row>
    <row r="1156" spans="1:23" ht="11.25" customHeight="1" x14ac:dyDescent="0.25">
      <c r="A1156" s="4" t="s">
        <v>27</v>
      </c>
      <c r="B1156" s="4" t="s">
        <v>41</v>
      </c>
      <c r="C1156" s="4" t="s">
        <v>42</v>
      </c>
      <c r="D1156" s="4" t="s">
        <v>45</v>
      </c>
      <c r="E1156" s="4" t="s">
        <v>25</v>
      </c>
      <c r="F1156" s="4" t="s">
        <v>25</v>
      </c>
      <c r="G1156" s="4" t="s">
        <v>25</v>
      </c>
      <c r="H1156" s="4" t="s">
        <v>25</v>
      </c>
      <c r="I1156" s="5">
        <v>44348</v>
      </c>
      <c r="J1156" s="6">
        <v>349</v>
      </c>
      <c r="K1156" s="6">
        <v>335.04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4" t="s">
        <v>26</v>
      </c>
      <c r="R1156" s="4">
        <v>0</v>
      </c>
      <c r="S1156" s="4" t="s">
        <v>447</v>
      </c>
      <c r="U1156" s="4">
        <v>29</v>
      </c>
      <c r="V1156" s="4">
        <v>0</v>
      </c>
      <c r="W1156" s="4">
        <v>0</v>
      </c>
    </row>
    <row r="1157" spans="1:23" ht="11.25" customHeight="1" x14ac:dyDescent="0.25">
      <c r="A1157" s="4" t="s">
        <v>21</v>
      </c>
      <c r="B1157" s="4" t="s">
        <v>41</v>
      </c>
      <c r="C1157" s="4" t="s">
        <v>42</v>
      </c>
      <c r="D1157" s="4" t="s">
        <v>45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5">
        <v>44378</v>
      </c>
      <c r="J1157" s="6">
        <v>1072</v>
      </c>
      <c r="K1157" s="6">
        <v>1029.1199999999999</v>
      </c>
      <c r="L1157" s="6">
        <v>0</v>
      </c>
      <c r="M1157" s="6">
        <v>0</v>
      </c>
      <c r="N1157" s="6">
        <v>0</v>
      </c>
      <c r="O1157" s="6">
        <v>0</v>
      </c>
      <c r="P1157" s="6">
        <v>11</v>
      </c>
      <c r="Q1157" s="4" t="s">
        <v>26</v>
      </c>
      <c r="R1157" s="4">
        <v>0</v>
      </c>
      <c r="S1157" s="4" t="s">
        <v>448</v>
      </c>
      <c r="U1157" s="4">
        <v>29</v>
      </c>
      <c r="V1157" s="4">
        <v>0</v>
      </c>
      <c r="W1157" s="4">
        <v>0</v>
      </c>
    </row>
    <row r="1158" spans="1:23" ht="11.25" customHeight="1" x14ac:dyDescent="0.25">
      <c r="A1158" s="4" t="s">
        <v>21</v>
      </c>
      <c r="B1158" s="4" t="s">
        <v>41</v>
      </c>
      <c r="C1158" s="4" t="s">
        <v>42</v>
      </c>
      <c r="D1158" s="4" t="s">
        <v>45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44409</v>
      </c>
      <c r="J1158" s="6">
        <v>959</v>
      </c>
      <c r="K1158" s="6">
        <v>920.64</v>
      </c>
      <c r="L1158" s="6">
        <v>0</v>
      </c>
      <c r="M1158" s="6">
        <v>0</v>
      </c>
      <c r="N1158" s="6">
        <v>0</v>
      </c>
      <c r="O1158" s="6">
        <v>0</v>
      </c>
      <c r="P1158" s="6">
        <v>11</v>
      </c>
      <c r="Q1158" s="4" t="s">
        <v>26</v>
      </c>
      <c r="R1158" s="4">
        <v>0</v>
      </c>
      <c r="S1158" s="4" t="s">
        <v>449</v>
      </c>
      <c r="U1158" s="4">
        <v>29</v>
      </c>
      <c r="V1158" s="4">
        <v>0</v>
      </c>
      <c r="W1158" s="4">
        <v>0</v>
      </c>
    </row>
    <row r="1159" spans="1:23" ht="11.25" customHeight="1" x14ac:dyDescent="0.25">
      <c r="A1159" s="4" t="s">
        <v>21</v>
      </c>
      <c r="B1159" s="4" t="s">
        <v>41</v>
      </c>
      <c r="C1159" s="4" t="s">
        <v>42</v>
      </c>
      <c r="D1159" s="4" t="s">
        <v>45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44440</v>
      </c>
      <c r="J1159" s="6">
        <v>925</v>
      </c>
      <c r="K1159" s="6">
        <v>888</v>
      </c>
      <c r="L1159" s="6">
        <v>0</v>
      </c>
      <c r="M1159" s="6">
        <v>0</v>
      </c>
      <c r="N1159" s="6">
        <v>0</v>
      </c>
      <c r="O1159" s="6">
        <v>0</v>
      </c>
      <c r="P1159" s="6">
        <v>11</v>
      </c>
      <c r="Q1159" s="4" t="s">
        <v>26</v>
      </c>
      <c r="R1159" s="4">
        <v>0</v>
      </c>
      <c r="S1159" s="4" t="s">
        <v>450</v>
      </c>
      <c r="U1159" s="4">
        <v>29</v>
      </c>
      <c r="V1159" s="4">
        <v>0</v>
      </c>
      <c r="W1159" s="4">
        <v>0</v>
      </c>
    </row>
    <row r="1160" spans="1:23" ht="11.25" customHeight="1" x14ac:dyDescent="0.25">
      <c r="A1160" s="4" t="s">
        <v>21</v>
      </c>
      <c r="B1160" s="4" t="s">
        <v>41</v>
      </c>
      <c r="C1160" s="4" t="s">
        <v>42</v>
      </c>
      <c r="D1160" s="4" t="s">
        <v>45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44470</v>
      </c>
      <c r="J1160" s="6">
        <v>907</v>
      </c>
      <c r="K1160" s="6">
        <v>870.72</v>
      </c>
      <c r="L1160" s="6">
        <v>0</v>
      </c>
      <c r="M1160" s="6">
        <v>0</v>
      </c>
      <c r="N1160" s="6">
        <v>0</v>
      </c>
      <c r="O1160" s="6">
        <v>0</v>
      </c>
      <c r="P1160" s="6">
        <v>11</v>
      </c>
      <c r="Q1160" s="4" t="s">
        <v>26</v>
      </c>
      <c r="R1160" s="4">
        <v>0</v>
      </c>
      <c r="S1160" s="4" t="s">
        <v>451</v>
      </c>
      <c r="U1160" s="4">
        <v>29</v>
      </c>
      <c r="V1160" s="4">
        <v>0</v>
      </c>
      <c r="W1160" s="4">
        <v>0</v>
      </c>
    </row>
    <row r="1161" spans="1:23" ht="11.25" customHeight="1" x14ac:dyDescent="0.25">
      <c r="A1161" s="4" t="s">
        <v>21</v>
      </c>
      <c r="B1161" s="4" t="s">
        <v>41</v>
      </c>
      <c r="C1161" s="4" t="s">
        <v>42</v>
      </c>
      <c r="D1161" s="4" t="s">
        <v>45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44501</v>
      </c>
      <c r="J1161" s="6">
        <v>881</v>
      </c>
      <c r="K1161" s="6">
        <v>845.76</v>
      </c>
      <c r="L1161" s="6">
        <v>0</v>
      </c>
      <c r="M1161" s="6">
        <v>0</v>
      </c>
      <c r="N1161" s="6">
        <v>0</v>
      </c>
      <c r="O1161" s="6">
        <v>0</v>
      </c>
      <c r="P1161" s="6">
        <v>11</v>
      </c>
      <c r="Q1161" s="4" t="s">
        <v>26</v>
      </c>
      <c r="R1161" s="4">
        <v>0</v>
      </c>
      <c r="S1161" s="4" t="s">
        <v>452</v>
      </c>
      <c r="U1161" s="4">
        <v>29</v>
      </c>
      <c r="V1161" s="4">
        <v>0</v>
      </c>
      <c r="W1161" s="4">
        <v>0</v>
      </c>
    </row>
    <row r="1162" spans="1:23" ht="11.25" customHeight="1" x14ac:dyDescent="0.25">
      <c r="A1162" s="4" t="s">
        <v>21</v>
      </c>
      <c r="B1162" s="4" t="s">
        <v>41</v>
      </c>
      <c r="C1162" s="4" t="s">
        <v>42</v>
      </c>
      <c r="D1162" s="4" t="s">
        <v>45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44531</v>
      </c>
      <c r="J1162" s="6">
        <v>900</v>
      </c>
      <c r="K1162" s="6">
        <v>864</v>
      </c>
      <c r="L1162" s="6">
        <v>0</v>
      </c>
      <c r="M1162" s="6">
        <v>0</v>
      </c>
      <c r="N1162" s="6">
        <v>0</v>
      </c>
      <c r="O1162" s="6">
        <v>0</v>
      </c>
      <c r="P1162" s="6">
        <v>11</v>
      </c>
      <c r="Q1162" s="4" t="s">
        <v>26</v>
      </c>
      <c r="R1162" s="4">
        <v>0</v>
      </c>
      <c r="S1162" s="4" t="s">
        <v>453</v>
      </c>
      <c r="U1162" s="4">
        <v>29</v>
      </c>
      <c r="V1162" s="4">
        <v>0</v>
      </c>
      <c r="W1162" s="4">
        <v>0</v>
      </c>
    </row>
    <row r="1163" spans="1:23" ht="11.25" customHeight="1" x14ac:dyDescent="0.25">
      <c r="A1163" s="4" t="s">
        <v>21</v>
      </c>
      <c r="B1163" s="4" t="s">
        <v>41</v>
      </c>
      <c r="C1163" s="4" t="s">
        <v>42</v>
      </c>
      <c r="D1163" s="4" t="s">
        <v>45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44562</v>
      </c>
      <c r="J1163" s="6">
        <v>774</v>
      </c>
      <c r="K1163" s="6">
        <v>743.04</v>
      </c>
      <c r="L1163" s="6">
        <v>0</v>
      </c>
      <c r="M1163" s="6">
        <v>0</v>
      </c>
      <c r="N1163" s="6">
        <v>0</v>
      </c>
      <c r="O1163" s="6">
        <v>0</v>
      </c>
      <c r="P1163" s="6">
        <v>10</v>
      </c>
      <c r="Q1163" s="4" t="s">
        <v>26</v>
      </c>
      <c r="R1163" s="4">
        <v>0</v>
      </c>
      <c r="S1163" s="4" t="s">
        <v>454</v>
      </c>
      <c r="U1163" s="4">
        <v>29</v>
      </c>
      <c r="V1163" s="4">
        <v>0</v>
      </c>
      <c r="W1163" s="4">
        <v>0</v>
      </c>
    </row>
    <row r="1164" spans="1:23" ht="11.25" customHeight="1" x14ac:dyDescent="0.25">
      <c r="A1164" s="4" t="s">
        <v>21</v>
      </c>
      <c r="B1164" s="4" t="s">
        <v>41</v>
      </c>
      <c r="C1164" s="4" t="s">
        <v>42</v>
      </c>
      <c r="D1164" s="4" t="s">
        <v>45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44593</v>
      </c>
      <c r="J1164" s="6">
        <v>836</v>
      </c>
      <c r="K1164" s="6">
        <v>802.56</v>
      </c>
      <c r="L1164" s="6">
        <v>0</v>
      </c>
      <c r="M1164" s="6">
        <v>0</v>
      </c>
      <c r="N1164" s="6">
        <v>0</v>
      </c>
      <c r="O1164" s="6">
        <v>0</v>
      </c>
      <c r="P1164" s="6">
        <v>10</v>
      </c>
      <c r="Q1164" s="4" t="s">
        <v>26</v>
      </c>
      <c r="R1164" s="4">
        <v>0</v>
      </c>
      <c r="S1164" s="4" t="s">
        <v>455</v>
      </c>
      <c r="U1164" s="4">
        <v>29</v>
      </c>
      <c r="V1164" s="4">
        <v>0</v>
      </c>
      <c r="W1164" s="4">
        <v>0</v>
      </c>
    </row>
    <row r="1165" spans="1:23" ht="11.25" customHeight="1" x14ac:dyDescent="0.25">
      <c r="A1165" s="4" t="s">
        <v>21</v>
      </c>
      <c r="B1165" s="4" t="s">
        <v>41</v>
      </c>
      <c r="C1165" s="4" t="s">
        <v>42</v>
      </c>
      <c r="D1165" s="4" t="s">
        <v>45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44621</v>
      </c>
      <c r="J1165" s="6">
        <v>789</v>
      </c>
      <c r="K1165" s="6">
        <v>757.44</v>
      </c>
      <c r="L1165" s="6">
        <v>0</v>
      </c>
      <c r="M1165" s="6">
        <v>0</v>
      </c>
      <c r="N1165" s="6">
        <v>0</v>
      </c>
      <c r="O1165" s="6">
        <v>0</v>
      </c>
      <c r="P1165" s="6">
        <v>10</v>
      </c>
      <c r="Q1165" s="4" t="s">
        <v>26</v>
      </c>
      <c r="R1165" s="4">
        <v>0</v>
      </c>
      <c r="S1165" s="4" t="s">
        <v>456</v>
      </c>
      <c r="U1165" s="4">
        <v>29</v>
      </c>
      <c r="V1165" s="4">
        <v>0</v>
      </c>
      <c r="W1165" s="4">
        <v>0</v>
      </c>
    </row>
    <row r="1166" spans="1:23" ht="11.25" customHeight="1" x14ac:dyDescent="0.25">
      <c r="A1166" s="4" t="s">
        <v>21</v>
      </c>
      <c r="B1166" s="4" t="s">
        <v>41</v>
      </c>
      <c r="C1166" s="4" t="s">
        <v>42</v>
      </c>
      <c r="D1166" s="4" t="s">
        <v>45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44652</v>
      </c>
      <c r="J1166" s="6">
        <v>790</v>
      </c>
      <c r="K1166" s="6">
        <v>758.4</v>
      </c>
      <c r="L1166" s="6">
        <v>0</v>
      </c>
      <c r="M1166" s="6">
        <v>0</v>
      </c>
      <c r="N1166" s="6">
        <v>0</v>
      </c>
      <c r="O1166" s="6">
        <v>0</v>
      </c>
      <c r="P1166" s="6">
        <v>10</v>
      </c>
      <c r="Q1166" s="4" t="s">
        <v>26</v>
      </c>
      <c r="R1166" s="4">
        <v>0</v>
      </c>
      <c r="S1166" s="4" t="s">
        <v>457</v>
      </c>
      <c r="U1166" s="4">
        <v>29</v>
      </c>
      <c r="V1166" s="4">
        <v>0</v>
      </c>
      <c r="W1166" s="4">
        <v>0</v>
      </c>
    </row>
    <row r="1167" spans="1:23" ht="11.25" customHeight="1" x14ac:dyDescent="0.25">
      <c r="A1167" s="4" t="s">
        <v>58</v>
      </c>
      <c r="B1167" s="4" t="s">
        <v>41</v>
      </c>
      <c r="C1167" s="4" t="s">
        <v>42</v>
      </c>
      <c r="D1167" s="4" t="s">
        <v>45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44682</v>
      </c>
      <c r="J1167" s="6">
        <v>790</v>
      </c>
      <c r="K1167" s="6">
        <v>758.4</v>
      </c>
      <c r="L1167" s="6">
        <v>0</v>
      </c>
      <c r="M1167" s="6">
        <v>0</v>
      </c>
      <c r="N1167" s="6">
        <v>0</v>
      </c>
      <c r="O1167" s="6">
        <v>0</v>
      </c>
      <c r="P1167" s="6">
        <v>10</v>
      </c>
      <c r="Q1167" s="4" t="s">
        <v>26</v>
      </c>
      <c r="R1167" s="4">
        <v>0</v>
      </c>
      <c r="S1167" s="4" t="s">
        <v>458</v>
      </c>
      <c r="U1167" s="4">
        <v>29</v>
      </c>
      <c r="V1167" s="4">
        <v>0</v>
      </c>
      <c r="W1167" s="4">
        <v>0</v>
      </c>
    </row>
    <row r="1168" spans="1:23" ht="11.25" customHeight="1" x14ac:dyDescent="0.25">
      <c r="A1168" s="4" t="s">
        <v>21</v>
      </c>
      <c r="B1168" s="4" t="s">
        <v>41</v>
      </c>
      <c r="C1168" s="4" t="s">
        <v>42</v>
      </c>
      <c r="D1168" s="4" t="s">
        <v>45</v>
      </c>
      <c r="E1168" s="4" t="s">
        <v>25</v>
      </c>
      <c r="F1168" s="4" t="s">
        <v>25</v>
      </c>
      <c r="G1168" s="4" t="s">
        <v>25</v>
      </c>
      <c r="H1168" s="4" t="s">
        <v>34</v>
      </c>
      <c r="I1168" s="5">
        <v>44348</v>
      </c>
      <c r="J1168" s="6">
        <v>0</v>
      </c>
      <c r="K1168" s="6">
        <v>0</v>
      </c>
      <c r="L1168" s="6">
        <v>16.259</v>
      </c>
      <c r="M1168" s="6">
        <v>15.608639999999999</v>
      </c>
      <c r="N1168" s="6">
        <v>16.259</v>
      </c>
      <c r="O1168" s="6">
        <v>15.608639999999999</v>
      </c>
      <c r="P1168" s="6">
        <v>0</v>
      </c>
      <c r="Q1168" s="4" t="s">
        <v>26</v>
      </c>
      <c r="R1168" s="4">
        <v>0</v>
      </c>
      <c r="S1168" s="4" t="s">
        <v>459</v>
      </c>
      <c r="T1168" s="4" t="s">
        <v>719</v>
      </c>
      <c r="U1168" s="4">
        <v>0</v>
      </c>
      <c r="V1168" s="4">
        <v>30</v>
      </c>
      <c r="W1168" s="4">
        <v>78</v>
      </c>
    </row>
    <row r="1169" spans="1:23" ht="11.25" customHeight="1" x14ac:dyDescent="0.25">
      <c r="A1169" s="4" t="s">
        <v>27</v>
      </c>
      <c r="B1169" s="4" t="s">
        <v>41</v>
      </c>
      <c r="C1169" s="4" t="s">
        <v>42</v>
      </c>
      <c r="D1169" s="4" t="s">
        <v>45</v>
      </c>
      <c r="E1169" s="4" t="s">
        <v>25</v>
      </c>
      <c r="F1169" s="4" t="s">
        <v>25</v>
      </c>
      <c r="G1169" s="4" t="s">
        <v>25</v>
      </c>
      <c r="H1169" s="4" t="s">
        <v>34</v>
      </c>
      <c r="I1169" s="5">
        <v>44348</v>
      </c>
      <c r="J1169" s="6">
        <v>0</v>
      </c>
      <c r="K1169" s="6">
        <v>0</v>
      </c>
      <c r="L1169" s="6">
        <v>1.08</v>
      </c>
      <c r="M1169" s="6">
        <v>1.0367999999999999</v>
      </c>
      <c r="N1169" s="6">
        <v>1.08</v>
      </c>
      <c r="O1169" s="6">
        <v>1.0367999999999999</v>
      </c>
      <c r="P1169" s="6">
        <v>0</v>
      </c>
      <c r="Q1169" s="4" t="s">
        <v>26</v>
      </c>
      <c r="R1169" s="4">
        <v>0</v>
      </c>
      <c r="S1169" s="4" t="s">
        <v>459</v>
      </c>
      <c r="T1169" s="4" t="s">
        <v>719</v>
      </c>
      <c r="U1169" s="4">
        <v>0</v>
      </c>
      <c r="V1169" s="4">
        <v>30</v>
      </c>
      <c r="W1169" s="4">
        <v>78</v>
      </c>
    </row>
    <row r="1170" spans="1:23" ht="11.25" customHeight="1" x14ac:dyDescent="0.25">
      <c r="A1170" s="4" t="s">
        <v>21</v>
      </c>
      <c r="B1170" s="4" t="s">
        <v>41</v>
      </c>
      <c r="C1170" s="4" t="s">
        <v>42</v>
      </c>
      <c r="D1170" s="4" t="s">
        <v>45</v>
      </c>
      <c r="E1170" s="4" t="s">
        <v>25</v>
      </c>
      <c r="F1170" s="4" t="s">
        <v>25</v>
      </c>
      <c r="G1170" s="4" t="s">
        <v>25</v>
      </c>
      <c r="H1170" s="4" t="s">
        <v>34</v>
      </c>
      <c r="I1170" s="5">
        <v>44378</v>
      </c>
      <c r="J1170" s="6">
        <v>0</v>
      </c>
      <c r="K1170" s="6">
        <v>0</v>
      </c>
      <c r="L1170" s="6">
        <v>18.390999999999998</v>
      </c>
      <c r="M1170" s="6">
        <v>17.655360000000002</v>
      </c>
      <c r="N1170" s="6">
        <v>18.390999999999998</v>
      </c>
      <c r="O1170" s="6">
        <v>17.655360000000002</v>
      </c>
      <c r="P1170" s="6">
        <v>0</v>
      </c>
      <c r="Q1170" s="4" t="s">
        <v>26</v>
      </c>
      <c r="R1170" s="4">
        <v>0</v>
      </c>
      <c r="S1170" s="4" t="s">
        <v>460</v>
      </c>
      <c r="T1170" s="4" t="s">
        <v>720</v>
      </c>
      <c r="U1170" s="4">
        <v>0</v>
      </c>
      <c r="V1170" s="4">
        <v>30</v>
      </c>
      <c r="W1170" s="4">
        <v>78</v>
      </c>
    </row>
    <row r="1171" spans="1:23" ht="11.25" customHeight="1" x14ac:dyDescent="0.25">
      <c r="A1171" s="4" t="s">
        <v>21</v>
      </c>
      <c r="B1171" s="4" t="s">
        <v>41</v>
      </c>
      <c r="C1171" s="4" t="s">
        <v>42</v>
      </c>
      <c r="D1171" s="4" t="s">
        <v>45</v>
      </c>
      <c r="E1171" s="4" t="s">
        <v>25</v>
      </c>
      <c r="F1171" s="4" t="s">
        <v>25</v>
      </c>
      <c r="G1171" s="4" t="s">
        <v>25</v>
      </c>
      <c r="H1171" s="4" t="s">
        <v>34</v>
      </c>
      <c r="I1171" s="5">
        <v>44409</v>
      </c>
      <c r="J1171" s="6">
        <v>0</v>
      </c>
      <c r="K1171" s="6">
        <v>0</v>
      </c>
      <c r="L1171" s="6">
        <v>14.849</v>
      </c>
      <c r="M1171" s="6">
        <v>14.255039999999999</v>
      </c>
      <c r="N1171" s="6">
        <v>14.849</v>
      </c>
      <c r="O1171" s="6">
        <v>14.255039999999999</v>
      </c>
      <c r="P1171" s="6">
        <v>0</v>
      </c>
      <c r="Q1171" s="4" t="s">
        <v>26</v>
      </c>
      <c r="R1171" s="4">
        <v>0</v>
      </c>
      <c r="S1171" s="4" t="s">
        <v>461</v>
      </c>
      <c r="T1171" s="4" t="s">
        <v>721</v>
      </c>
      <c r="U1171" s="4">
        <v>0</v>
      </c>
      <c r="V1171" s="4">
        <v>30</v>
      </c>
      <c r="W1171" s="4">
        <v>78</v>
      </c>
    </row>
    <row r="1172" spans="1:23" ht="11.25" customHeight="1" x14ac:dyDescent="0.25">
      <c r="A1172" s="4" t="s">
        <v>21</v>
      </c>
      <c r="B1172" s="4" t="s">
        <v>41</v>
      </c>
      <c r="C1172" s="4" t="s">
        <v>42</v>
      </c>
      <c r="D1172" s="4" t="s">
        <v>45</v>
      </c>
      <c r="E1172" s="4" t="s">
        <v>25</v>
      </c>
      <c r="F1172" s="4" t="s">
        <v>25</v>
      </c>
      <c r="G1172" s="4" t="s">
        <v>25</v>
      </c>
      <c r="H1172" s="4" t="s">
        <v>34</v>
      </c>
      <c r="I1172" s="5">
        <v>44440</v>
      </c>
      <c r="J1172" s="6">
        <v>0</v>
      </c>
      <c r="K1172" s="6">
        <v>0</v>
      </c>
      <c r="L1172" s="6">
        <v>14.545999999999999</v>
      </c>
      <c r="M1172" s="6">
        <v>13.96416</v>
      </c>
      <c r="N1172" s="6">
        <v>14.545999999999999</v>
      </c>
      <c r="O1172" s="6">
        <v>13.96416</v>
      </c>
      <c r="P1172" s="6">
        <v>0</v>
      </c>
      <c r="Q1172" s="4" t="s">
        <v>26</v>
      </c>
      <c r="R1172" s="4">
        <v>0</v>
      </c>
      <c r="S1172" s="4" t="s">
        <v>462</v>
      </c>
      <c r="T1172" s="4" t="s">
        <v>722</v>
      </c>
      <c r="U1172" s="4">
        <v>0</v>
      </c>
      <c r="V1172" s="4">
        <v>30</v>
      </c>
      <c r="W1172" s="4">
        <v>78</v>
      </c>
    </row>
    <row r="1173" spans="1:23" ht="11.25" customHeight="1" x14ac:dyDescent="0.25">
      <c r="A1173" s="4" t="s">
        <v>21</v>
      </c>
      <c r="B1173" s="4" t="s">
        <v>41</v>
      </c>
      <c r="C1173" s="4" t="s">
        <v>42</v>
      </c>
      <c r="D1173" s="4" t="s">
        <v>45</v>
      </c>
      <c r="E1173" s="4" t="s">
        <v>25</v>
      </c>
      <c r="F1173" s="4" t="s">
        <v>25</v>
      </c>
      <c r="G1173" s="4" t="s">
        <v>25</v>
      </c>
      <c r="H1173" s="4" t="s">
        <v>34</v>
      </c>
      <c r="I1173" s="5">
        <v>44470</v>
      </c>
      <c r="J1173" s="6">
        <v>0</v>
      </c>
      <c r="K1173" s="6">
        <v>0</v>
      </c>
      <c r="L1173" s="6">
        <v>15.673999999999999</v>
      </c>
      <c r="M1173" s="6">
        <v>15.047040000000001</v>
      </c>
      <c r="N1173" s="6">
        <v>15.673999999999999</v>
      </c>
      <c r="O1173" s="6">
        <v>15.047040000000001</v>
      </c>
      <c r="P1173" s="6">
        <v>0</v>
      </c>
      <c r="Q1173" s="4" t="s">
        <v>26</v>
      </c>
      <c r="R1173" s="4">
        <v>0</v>
      </c>
      <c r="S1173" s="4" t="s">
        <v>463</v>
      </c>
      <c r="T1173" s="4" t="s">
        <v>723</v>
      </c>
      <c r="U1173" s="4">
        <v>0</v>
      </c>
      <c r="V1173" s="4">
        <v>30</v>
      </c>
      <c r="W1173" s="4">
        <v>78</v>
      </c>
    </row>
    <row r="1174" spans="1:23" ht="11.25" customHeight="1" x14ac:dyDescent="0.25">
      <c r="A1174" s="4" t="s">
        <v>21</v>
      </c>
      <c r="B1174" s="4" t="s">
        <v>41</v>
      </c>
      <c r="C1174" s="4" t="s">
        <v>42</v>
      </c>
      <c r="D1174" s="4" t="s">
        <v>45</v>
      </c>
      <c r="E1174" s="4" t="s">
        <v>25</v>
      </c>
      <c r="F1174" s="4" t="s">
        <v>25</v>
      </c>
      <c r="G1174" s="4" t="s">
        <v>25</v>
      </c>
      <c r="H1174" s="4" t="s">
        <v>34</v>
      </c>
      <c r="I1174" s="5">
        <v>44501</v>
      </c>
      <c r="J1174" s="6">
        <v>0</v>
      </c>
      <c r="K1174" s="6">
        <v>0</v>
      </c>
      <c r="L1174" s="6">
        <v>14.475</v>
      </c>
      <c r="M1174" s="6">
        <v>13.896000000000001</v>
      </c>
      <c r="N1174" s="6">
        <v>14.475</v>
      </c>
      <c r="O1174" s="6">
        <v>13.896000000000001</v>
      </c>
      <c r="P1174" s="6">
        <v>0</v>
      </c>
      <c r="Q1174" s="4" t="s">
        <v>26</v>
      </c>
      <c r="R1174" s="4">
        <v>0</v>
      </c>
      <c r="S1174" s="4" t="s">
        <v>464</v>
      </c>
      <c r="T1174" s="4" t="s">
        <v>724</v>
      </c>
      <c r="U1174" s="4">
        <v>0</v>
      </c>
      <c r="V1174" s="4">
        <v>30</v>
      </c>
      <c r="W1174" s="4">
        <v>78</v>
      </c>
    </row>
    <row r="1175" spans="1:23" ht="11.25" customHeight="1" x14ac:dyDescent="0.25">
      <c r="A1175" s="4" t="s">
        <v>21</v>
      </c>
      <c r="B1175" s="4" t="s">
        <v>41</v>
      </c>
      <c r="C1175" s="4" t="s">
        <v>42</v>
      </c>
      <c r="D1175" s="4" t="s">
        <v>45</v>
      </c>
      <c r="E1175" s="4" t="s">
        <v>25</v>
      </c>
      <c r="F1175" s="4" t="s">
        <v>25</v>
      </c>
      <c r="G1175" s="4" t="s">
        <v>25</v>
      </c>
      <c r="H1175" s="4" t="s">
        <v>34</v>
      </c>
      <c r="I1175" s="5">
        <v>44531</v>
      </c>
      <c r="J1175" s="6">
        <v>0</v>
      </c>
      <c r="K1175" s="6">
        <v>0</v>
      </c>
      <c r="L1175" s="6">
        <v>16.393999999999998</v>
      </c>
      <c r="M1175" s="6">
        <v>15.738239999999999</v>
      </c>
      <c r="N1175" s="6">
        <v>16.393999999999998</v>
      </c>
      <c r="O1175" s="6">
        <v>15.738239999999999</v>
      </c>
      <c r="P1175" s="6">
        <v>0</v>
      </c>
      <c r="Q1175" s="4" t="s">
        <v>26</v>
      </c>
      <c r="R1175" s="4">
        <v>0</v>
      </c>
      <c r="S1175" s="4" t="s">
        <v>465</v>
      </c>
      <c r="T1175" s="4" t="s">
        <v>725</v>
      </c>
      <c r="U1175" s="4">
        <v>0</v>
      </c>
      <c r="V1175" s="4">
        <v>30</v>
      </c>
      <c r="W1175" s="4">
        <v>78</v>
      </c>
    </row>
    <row r="1176" spans="1:23" ht="11.25" customHeight="1" x14ac:dyDescent="0.25">
      <c r="A1176" s="4" t="s">
        <v>21</v>
      </c>
      <c r="B1176" s="4" t="s">
        <v>41</v>
      </c>
      <c r="C1176" s="4" t="s">
        <v>42</v>
      </c>
      <c r="D1176" s="4" t="s">
        <v>45</v>
      </c>
      <c r="E1176" s="4" t="s">
        <v>25</v>
      </c>
      <c r="F1176" s="4" t="s">
        <v>25</v>
      </c>
      <c r="G1176" s="4" t="s">
        <v>25</v>
      </c>
      <c r="H1176" s="4" t="s">
        <v>34</v>
      </c>
      <c r="I1176" s="5">
        <v>44562</v>
      </c>
      <c r="J1176" s="6">
        <v>0</v>
      </c>
      <c r="K1176" s="6">
        <v>0</v>
      </c>
      <c r="L1176" s="6">
        <v>11.942</v>
      </c>
      <c r="M1176" s="6">
        <v>11.464320000000001</v>
      </c>
      <c r="N1176" s="6">
        <v>11.942</v>
      </c>
      <c r="O1176" s="6">
        <v>11.464320000000001</v>
      </c>
      <c r="P1176" s="6">
        <v>0</v>
      </c>
      <c r="Q1176" s="4" t="s">
        <v>26</v>
      </c>
      <c r="R1176" s="4">
        <v>0</v>
      </c>
      <c r="S1176" s="4" t="s">
        <v>466</v>
      </c>
      <c r="T1176" s="4" t="s">
        <v>726</v>
      </c>
      <c r="U1176" s="4">
        <v>0</v>
      </c>
      <c r="V1176" s="4">
        <v>30</v>
      </c>
      <c r="W1176" s="4">
        <v>78</v>
      </c>
    </row>
    <row r="1177" spans="1:23" ht="11.25" customHeight="1" x14ac:dyDescent="0.25">
      <c r="A1177" s="4" t="s">
        <v>21</v>
      </c>
      <c r="B1177" s="4" t="s">
        <v>41</v>
      </c>
      <c r="C1177" s="4" t="s">
        <v>42</v>
      </c>
      <c r="D1177" s="4" t="s">
        <v>45</v>
      </c>
      <c r="E1177" s="4" t="s">
        <v>25</v>
      </c>
      <c r="F1177" s="4" t="s">
        <v>25</v>
      </c>
      <c r="G1177" s="4" t="s">
        <v>25</v>
      </c>
      <c r="H1177" s="4" t="s">
        <v>34</v>
      </c>
      <c r="I1177" s="5">
        <v>44593</v>
      </c>
      <c r="J1177" s="6">
        <v>0</v>
      </c>
      <c r="K1177" s="6">
        <v>0</v>
      </c>
      <c r="L1177" s="6">
        <v>11.489000000000001</v>
      </c>
      <c r="M1177" s="6">
        <v>11.029439999999999</v>
      </c>
      <c r="N1177" s="6">
        <v>11.489000000000001</v>
      </c>
      <c r="O1177" s="6">
        <v>11.029439999999999</v>
      </c>
      <c r="P1177" s="6">
        <v>0</v>
      </c>
      <c r="Q1177" s="4" t="s">
        <v>26</v>
      </c>
      <c r="R1177" s="4">
        <v>0</v>
      </c>
      <c r="S1177" s="4" t="s">
        <v>467</v>
      </c>
      <c r="T1177" s="4" t="s">
        <v>727</v>
      </c>
      <c r="U1177" s="4">
        <v>0</v>
      </c>
      <c r="V1177" s="4">
        <v>30</v>
      </c>
      <c r="W1177" s="4">
        <v>78</v>
      </c>
    </row>
    <row r="1178" spans="1:23" ht="11.25" customHeight="1" x14ac:dyDescent="0.25">
      <c r="A1178" s="4" t="s">
        <v>21</v>
      </c>
      <c r="B1178" s="4" t="s">
        <v>41</v>
      </c>
      <c r="C1178" s="4" t="s">
        <v>42</v>
      </c>
      <c r="D1178" s="4" t="s">
        <v>45</v>
      </c>
      <c r="E1178" s="4" t="s">
        <v>25</v>
      </c>
      <c r="F1178" s="4" t="s">
        <v>25</v>
      </c>
      <c r="G1178" s="4" t="s">
        <v>25</v>
      </c>
      <c r="H1178" s="4" t="s">
        <v>34</v>
      </c>
      <c r="I1178" s="5">
        <v>44621</v>
      </c>
      <c r="J1178" s="6">
        <v>0</v>
      </c>
      <c r="K1178" s="6">
        <v>0</v>
      </c>
      <c r="L1178" s="6">
        <v>11.153</v>
      </c>
      <c r="M1178" s="6">
        <v>10.70688</v>
      </c>
      <c r="N1178" s="6">
        <v>11.153</v>
      </c>
      <c r="O1178" s="6">
        <v>10.70688</v>
      </c>
      <c r="P1178" s="6">
        <v>0</v>
      </c>
      <c r="Q1178" s="4" t="s">
        <v>26</v>
      </c>
      <c r="R1178" s="4">
        <v>0</v>
      </c>
      <c r="S1178" s="4" t="s">
        <v>468</v>
      </c>
      <c r="T1178" s="4" t="s">
        <v>728</v>
      </c>
      <c r="U1178" s="4">
        <v>0</v>
      </c>
      <c r="V1178" s="4">
        <v>30</v>
      </c>
      <c r="W1178" s="4">
        <v>78</v>
      </c>
    </row>
    <row r="1179" spans="1:23" ht="11.25" customHeight="1" x14ac:dyDescent="0.25">
      <c r="A1179" s="4" t="s">
        <v>21</v>
      </c>
      <c r="B1179" s="4" t="s">
        <v>41</v>
      </c>
      <c r="C1179" s="4" t="s">
        <v>42</v>
      </c>
      <c r="D1179" s="4" t="s">
        <v>45</v>
      </c>
      <c r="E1179" s="4" t="s">
        <v>25</v>
      </c>
      <c r="F1179" s="4" t="s">
        <v>25</v>
      </c>
      <c r="G1179" s="4" t="s">
        <v>25</v>
      </c>
      <c r="H1179" s="4" t="s">
        <v>34</v>
      </c>
      <c r="I1179" s="5">
        <v>44652</v>
      </c>
      <c r="J1179" s="6">
        <v>0</v>
      </c>
      <c r="K1179" s="6">
        <v>0</v>
      </c>
      <c r="L1179" s="6">
        <v>10.262</v>
      </c>
      <c r="M1179" s="6">
        <v>9.8515200000000007</v>
      </c>
      <c r="N1179" s="6">
        <v>10.262</v>
      </c>
      <c r="O1179" s="6">
        <v>9.8515200000000007</v>
      </c>
      <c r="P1179" s="6">
        <v>0</v>
      </c>
      <c r="Q1179" s="4" t="s">
        <v>26</v>
      </c>
      <c r="R1179" s="4">
        <v>0</v>
      </c>
      <c r="S1179" s="4" t="s">
        <v>469</v>
      </c>
      <c r="T1179" s="4" t="s">
        <v>729</v>
      </c>
      <c r="U1179" s="4">
        <v>0</v>
      </c>
      <c r="V1179" s="4">
        <v>30</v>
      </c>
      <c r="W1179" s="4">
        <v>78</v>
      </c>
    </row>
    <row r="1180" spans="1:23" ht="11.25" customHeight="1" x14ac:dyDescent="0.25">
      <c r="A1180" s="4" t="s">
        <v>58</v>
      </c>
      <c r="B1180" s="4" t="s">
        <v>41</v>
      </c>
      <c r="C1180" s="4" t="s">
        <v>42</v>
      </c>
      <c r="D1180" s="4" t="s">
        <v>45</v>
      </c>
      <c r="E1180" s="4" t="s">
        <v>25</v>
      </c>
      <c r="F1180" s="4" t="s">
        <v>25</v>
      </c>
      <c r="G1180" s="4" t="s">
        <v>25</v>
      </c>
      <c r="H1180" s="4" t="s">
        <v>34</v>
      </c>
      <c r="I1180" s="5">
        <v>44682</v>
      </c>
      <c r="J1180" s="6">
        <v>0</v>
      </c>
      <c r="K1180" s="6">
        <v>0</v>
      </c>
      <c r="L1180" s="6">
        <v>10.262</v>
      </c>
      <c r="M1180" s="6">
        <v>9.8515200000000007</v>
      </c>
      <c r="N1180" s="6">
        <v>10.262</v>
      </c>
      <c r="O1180" s="6">
        <v>9.8515200000000007</v>
      </c>
      <c r="P1180" s="6">
        <v>0</v>
      </c>
      <c r="Q1180" s="4" t="s">
        <v>26</v>
      </c>
      <c r="R1180" s="4">
        <v>0</v>
      </c>
      <c r="S1180" s="4" t="s">
        <v>470</v>
      </c>
      <c r="T1180" s="4" t="s">
        <v>730</v>
      </c>
      <c r="U1180" s="4">
        <v>0</v>
      </c>
      <c r="V1180" s="4">
        <v>30</v>
      </c>
      <c r="W1180" s="4">
        <v>78</v>
      </c>
    </row>
    <row r="1181" spans="1:23" ht="11.25" customHeight="1" x14ac:dyDescent="0.25">
      <c r="A1181" s="4" t="s">
        <v>21</v>
      </c>
      <c r="B1181" s="4" t="s">
        <v>41</v>
      </c>
      <c r="C1181" s="4" t="s">
        <v>42</v>
      </c>
      <c r="D1181" s="4" t="s">
        <v>51</v>
      </c>
      <c r="E1181" s="4" t="s">
        <v>52</v>
      </c>
      <c r="F1181" s="4" t="s">
        <v>25</v>
      </c>
      <c r="G1181" s="4" t="s">
        <v>25</v>
      </c>
      <c r="H1181" s="4" t="s">
        <v>35</v>
      </c>
      <c r="I1181" s="5">
        <v>44348</v>
      </c>
      <c r="J1181" s="6">
        <v>0</v>
      </c>
      <c r="K1181" s="6">
        <v>0</v>
      </c>
      <c r="L1181" s="6">
        <v>1663.22</v>
      </c>
      <c r="M1181" s="6">
        <v>1563.4268</v>
      </c>
      <c r="N1181" s="6">
        <v>1663.22</v>
      </c>
      <c r="O1181" s="6">
        <v>1563.4268</v>
      </c>
      <c r="P1181" s="6">
        <v>0</v>
      </c>
      <c r="Q1181" s="4" t="s">
        <v>26</v>
      </c>
      <c r="R1181" s="4">
        <v>0</v>
      </c>
      <c r="S1181" s="4" t="s">
        <v>435</v>
      </c>
      <c r="T1181" s="4" t="s">
        <v>707</v>
      </c>
      <c r="U1181" s="4">
        <v>0</v>
      </c>
      <c r="V1181" s="4">
        <v>31</v>
      </c>
      <c r="W1181" s="4">
        <v>79</v>
      </c>
    </row>
    <row r="1182" spans="1:23" ht="11.25" customHeight="1" x14ac:dyDescent="0.25">
      <c r="A1182" s="4" t="s">
        <v>21</v>
      </c>
      <c r="B1182" s="4" t="s">
        <v>41</v>
      </c>
      <c r="C1182" s="4" t="s">
        <v>42</v>
      </c>
      <c r="D1182" s="4" t="s">
        <v>51</v>
      </c>
      <c r="E1182" s="4" t="s">
        <v>52</v>
      </c>
      <c r="F1182" s="4" t="s">
        <v>25</v>
      </c>
      <c r="G1182" s="4" t="s">
        <v>25</v>
      </c>
      <c r="H1182" s="4" t="s">
        <v>35</v>
      </c>
      <c r="I1182" s="5">
        <v>44378</v>
      </c>
      <c r="J1182" s="6">
        <v>0</v>
      </c>
      <c r="K1182" s="6">
        <v>0</v>
      </c>
      <c r="L1182" s="6">
        <v>1732.1310000000001</v>
      </c>
      <c r="M1182" s="6">
        <v>1628.2031400000001</v>
      </c>
      <c r="N1182" s="6">
        <v>1732.1310000000001</v>
      </c>
      <c r="O1182" s="6">
        <v>1628.2031400000001</v>
      </c>
      <c r="P1182" s="6">
        <v>0</v>
      </c>
      <c r="Q1182" s="4" t="s">
        <v>26</v>
      </c>
      <c r="R1182" s="4">
        <v>0</v>
      </c>
      <c r="S1182" s="4" t="s">
        <v>436</v>
      </c>
      <c r="T1182" s="4" t="s">
        <v>708</v>
      </c>
      <c r="U1182" s="4">
        <v>0</v>
      </c>
      <c r="V1182" s="4">
        <v>31</v>
      </c>
      <c r="W1182" s="4">
        <v>79</v>
      </c>
    </row>
    <row r="1183" spans="1:23" ht="11.25" customHeight="1" x14ac:dyDescent="0.25">
      <c r="A1183" s="4" t="s">
        <v>21</v>
      </c>
      <c r="B1183" s="4" t="s">
        <v>41</v>
      </c>
      <c r="C1183" s="4" t="s">
        <v>42</v>
      </c>
      <c r="D1183" s="4" t="s">
        <v>51</v>
      </c>
      <c r="E1183" s="4" t="s">
        <v>52</v>
      </c>
      <c r="F1183" s="4" t="s">
        <v>25</v>
      </c>
      <c r="G1183" s="4" t="s">
        <v>25</v>
      </c>
      <c r="H1183" s="4" t="s">
        <v>35</v>
      </c>
      <c r="I1183" s="5">
        <v>44409</v>
      </c>
      <c r="J1183" s="6">
        <v>0</v>
      </c>
      <c r="K1183" s="6">
        <v>0</v>
      </c>
      <c r="L1183" s="6">
        <v>1735.712</v>
      </c>
      <c r="M1183" s="6">
        <v>1631.5692799999999</v>
      </c>
      <c r="N1183" s="6">
        <v>1735.712</v>
      </c>
      <c r="O1183" s="6">
        <v>1631.5692799999999</v>
      </c>
      <c r="P1183" s="6">
        <v>0</v>
      </c>
      <c r="Q1183" s="4" t="s">
        <v>26</v>
      </c>
      <c r="R1183" s="4">
        <v>0</v>
      </c>
      <c r="S1183" s="4" t="s">
        <v>437</v>
      </c>
      <c r="T1183" s="4" t="s">
        <v>709</v>
      </c>
      <c r="U1183" s="4">
        <v>0</v>
      </c>
      <c r="V1183" s="4">
        <v>31</v>
      </c>
      <c r="W1183" s="4">
        <v>79</v>
      </c>
    </row>
    <row r="1184" spans="1:23" ht="11.25" customHeight="1" x14ac:dyDescent="0.25">
      <c r="A1184" s="4" t="s">
        <v>21</v>
      </c>
      <c r="B1184" s="4" t="s">
        <v>41</v>
      </c>
      <c r="C1184" s="4" t="s">
        <v>42</v>
      </c>
      <c r="D1184" s="4" t="s">
        <v>51</v>
      </c>
      <c r="E1184" s="4" t="s">
        <v>52</v>
      </c>
      <c r="F1184" s="4" t="s">
        <v>25</v>
      </c>
      <c r="G1184" s="4" t="s">
        <v>25</v>
      </c>
      <c r="H1184" s="4" t="s">
        <v>35</v>
      </c>
      <c r="I1184" s="5">
        <v>44440</v>
      </c>
      <c r="J1184" s="6">
        <v>0</v>
      </c>
      <c r="K1184" s="6">
        <v>0</v>
      </c>
      <c r="L1184" s="6">
        <v>1740.075</v>
      </c>
      <c r="M1184" s="6">
        <v>1635.6704999999999</v>
      </c>
      <c r="N1184" s="6">
        <v>1740.075</v>
      </c>
      <c r="O1184" s="6">
        <v>1635.6704999999999</v>
      </c>
      <c r="P1184" s="6">
        <v>0</v>
      </c>
      <c r="Q1184" s="4" t="s">
        <v>26</v>
      </c>
      <c r="R1184" s="4">
        <v>0</v>
      </c>
      <c r="S1184" s="4" t="s">
        <v>438</v>
      </c>
      <c r="T1184" s="4" t="s">
        <v>710</v>
      </c>
      <c r="U1184" s="4">
        <v>0</v>
      </c>
      <c r="V1184" s="4">
        <v>31</v>
      </c>
      <c r="W1184" s="4">
        <v>79</v>
      </c>
    </row>
    <row r="1185" spans="1:23" ht="11.25" customHeight="1" x14ac:dyDescent="0.25">
      <c r="A1185" s="4" t="s">
        <v>21</v>
      </c>
      <c r="B1185" s="4" t="s">
        <v>41</v>
      </c>
      <c r="C1185" s="4" t="s">
        <v>42</v>
      </c>
      <c r="D1185" s="4" t="s">
        <v>51</v>
      </c>
      <c r="E1185" s="4" t="s">
        <v>52</v>
      </c>
      <c r="F1185" s="4" t="s">
        <v>25</v>
      </c>
      <c r="G1185" s="4" t="s">
        <v>25</v>
      </c>
      <c r="H1185" s="4" t="s">
        <v>35</v>
      </c>
      <c r="I1185" s="5">
        <v>44470</v>
      </c>
      <c r="J1185" s="6">
        <v>0</v>
      </c>
      <c r="K1185" s="6">
        <v>0</v>
      </c>
      <c r="L1185" s="6">
        <v>1820.239</v>
      </c>
      <c r="M1185" s="6">
        <v>1711.02466</v>
      </c>
      <c r="N1185" s="6">
        <v>1820.239</v>
      </c>
      <c r="O1185" s="6">
        <v>1711.02466</v>
      </c>
      <c r="P1185" s="6">
        <v>0</v>
      </c>
      <c r="Q1185" s="4" t="s">
        <v>26</v>
      </c>
      <c r="R1185" s="4">
        <v>0</v>
      </c>
      <c r="S1185" s="4" t="s">
        <v>439</v>
      </c>
      <c r="T1185" s="4" t="s">
        <v>711</v>
      </c>
      <c r="U1185" s="4">
        <v>0</v>
      </c>
      <c r="V1185" s="4">
        <v>31</v>
      </c>
      <c r="W1185" s="4">
        <v>79</v>
      </c>
    </row>
    <row r="1186" spans="1:23" ht="11.25" customHeight="1" x14ac:dyDescent="0.25">
      <c r="A1186" s="4" t="s">
        <v>21</v>
      </c>
      <c r="B1186" s="4" t="s">
        <v>41</v>
      </c>
      <c r="C1186" s="4" t="s">
        <v>42</v>
      </c>
      <c r="D1186" s="4" t="s">
        <v>51</v>
      </c>
      <c r="E1186" s="4" t="s">
        <v>52</v>
      </c>
      <c r="F1186" s="4" t="s">
        <v>25</v>
      </c>
      <c r="G1186" s="4" t="s">
        <v>25</v>
      </c>
      <c r="H1186" s="4" t="s">
        <v>35</v>
      </c>
      <c r="I1186" s="5">
        <v>44501</v>
      </c>
      <c r="J1186" s="6">
        <v>0</v>
      </c>
      <c r="K1186" s="6">
        <v>0</v>
      </c>
      <c r="L1186" s="6">
        <v>1795.0060000000001</v>
      </c>
      <c r="M1186" s="6">
        <v>1687.30564</v>
      </c>
      <c r="N1186" s="6">
        <v>1795.0060000000001</v>
      </c>
      <c r="O1186" s="6">
        <v>1687.30564</v>
      </c>
      <c r="P1186" s="6">
        <v>0</v>
      </c>
      <c r="Q1186" s="4" t="s">
        <v>26</v>
      </c>
      <c r="R1186" s="4">
        <v>0</v>
      </c>
      <c r="S1186" s="4" t="s">
        <v>440</v>
      </c>
      <c r="T1186" s="4" t="s">
        <v>712</v>
      </c>
      <c r="U1186" s="4">
        <v>0</v>
      </c>
      <c r="V1186" s="4">
        <v>31</v>
      </c>
      <c r="W1186" s="4">
        <v>79</v>
      </c>
    </row>
    <row r="1187" spans="1:23" ht="11.25" customHeight="1" x14ac:dyDescent="0.25">
      <c r="A1187" s="4" t="s">
        <v>21</v>
      </c>
      <c r="B1187" s="4" t="s">
        <v>41</v>
      </c>
      <c r="C1187" s="4" t="s">
        <v>42</v>
      </c>
      <c r="D1187" s="4" t="s">
        <v>51</v>
      </c>
      <c r="E1187" s="4" t="s">
        <v>52</v>
      </c>
      <c r="F1187" s="4" t="s">
        <v>25</v>
      </c>
      <c r="G1187" s="4" t="s">
        <v>25</v>
      </c>
      <c r="H1187" s="4" t="s">
        <v>35</v>
      </c>
      <c r="I1187" s="5">
        <v>44531</v>
      </c>
      <c r="J1187" s="6">
        <v>0</v>
      </c>
      <c r="K1187" s="6">
        <v>0</v>
      </c>
      <c r="L1187" s="6">
        <v>1827.7429999999999</v>
      </c>
      <c r="M1187" s="6">
        <v>1718.0784200000001</v>
      </c>
      <c r="N1187" s="6">
        <v>1827.7429999999999</v>
      </c>
      <c r="O1187" s="6">
        <v>1718.0784200000001</v>
      </c>
      <c r="P1187" s="6">
        <v>0</v>
      </c>
      <c r="Q1187" s="4" t="s">
        <v>26</v>
      </c>
      <c r="R1187" s="4">
        <v>0</v>
      </c>
      <c r="S1187" s="4" t="s">
        <v>441</v>
      </c>
      <c r="T1187" s="4" t="s">
        <v>713</v>
      </c>
      <c r="U1187" s="4">
        <v>0</v>
      </c>
      <c r="V1187" s="4">
        <v>31</v>
      </c>
      <c r="W1187" s="4">
        <v>79</v>
      </c>
    </row>
    <row r="1188" spans="1:23" ht="11.25" customHeight="1" x14ac:dyDescent="0.25">
      <c r="A1188" s="4" t="s">
        <v>21</v>
      </c>
      <c r="B1188" s="4" t="s">
        <v>41</v>
      </c>
      <c r="C1188" s="4" t="s">
        <v>42</v>
      </c>
      <c r="D1188" s="4" t="s">
        <v>51</v>
      </c>
      <c r="E1188" s="4" t="s">
        <v>52</v>
      </c>
      <c r="F1188" s="4" t="s">
        <v>25</v>
      </c>
      <c r="G1188" s="4" t="s">
        <v>25</v>
      </c>
      <c r="H1188" s="4" t="s">
        <v>35</v>
      </c>
      <c r="I1188" s="5">
        <v>44562</v>
      </c>
      <c r="J1188" s="6">
        <v>0</v>
      </c>
      <c r="K1188" s="6">
        <v>0</v>
      </c>
      <c r="L1188" s="6">
        <v>1866.038</v>
      </c>
      <c r="M1188" s="6">
        <v>1754.07572</v>
      </c>
      <c r="N1188" s="6">
        <v>1866.038</v>
      </c>
      <c r="O1188" s="6">
        <v>1754.07572</v>
      </c>
      <c r="P1188" s="6">
        <v>0</v>
      </c>
      <c r="Q1188" s="4" t="s">
        <v>26</v>
      </c>
      <c r="R1188" s="4">
        <v>0</v>
      </c>
      <c r="S1188" s="4" t="s">
        <v>442</v>
      </c>
      <c r="T1188" s="4" t="s">
        <v>714</v>
      </c>
      <c r="U1188" s="4">
        <v>0</v>
      </c>
      <c r="V1188" s="4">
        <v>31</v>
      </c>
      <c r="W1188" s="4">
        <v>79</v>
      </c>
    </row>
    <row r="1189" spans="1:23" ht="11.25" customHeight="1" x14ac:dyDescent="0.25">
      <c r="A1189" s="4" t="s">
        <v>21</v>
      </c>
      <c r="B1189" s="4" t="s">
        <v>41</v>
      </c>
      <c r="C1189" s="4" t="s">
        <v>42</v>
      </c>
      <c r="D1189" s="4" t="s">
        <v>51</v>
      </c>
      <c r="E1189" s="4" t="s">
        <v>52</v>
      </c>
      <c r="F1189" s="4" t="s">
        <v>25</v>
      </c>
      <c r="G1189" s="4" t="s">
        <v>25</v>
      </c>
      <c r="H1189" s="4" t="s">
        <v>35</v>
      </c>
      <c r="I1189" s="5">
        <v>44593</v>
      </c>
      <c r="J1189" s="6">
        <v>0</v>
      </c>
      <c r="K1189" s="6">
        <v>0</v>
      </c>
      <c r="L1189" s="6">
        <v>1782.2</v>
      </c>
      <c r="M1189" s="6">
        <v>1675.268</v>
      </c>
      <c r="N1189" s="6">
        <v>1782.2</v>
      </c>
      <c r="O1189" s="6">
        <v>1675.268</v>
      </c>
      <c r="P1189" s="6">
        <v>0</v>
      </c>
      <c r="Q1189" s="4" t="s">
        <v>26</v>
      </c>
      <c r="R1189" s="4">
        <v>0</v>
      </c>
      <c r="S1189" s="4" t="s">
        <v>443</v>
      </c>
      <c r="T1189" s="4" t="s">
        <v>715</v>
      </c>
      <c r="U1189" s="4">
        <v>0</v>
      </c>
      <c r="V1189" s="4">
        <v>31</v>
      </c>
      <c r="W1189" s="4">
        <v>79</v>
      </c>
    </row>
    <row r="1190" spans="1:23" ht="11.25" customHeight="1" x14ac:dyDescent="0.25">
      <c r="A1190" s="4" t="s">
        <v>21</v>
      </c>
      <c r="B1190" s="4" t="s">
        <v>41</v>
      </c>
      <c r="C1190" s="4" t="s">
        <v>42</v>
      </c>
      <c r="D1190" s="4" t="s">
        <v>51</v>
      </c>
      <c r="E1190" s="4" t="s">
        <v>52</v>
      </c>
      <c r="F1190" s="4" t="s">
        <v>25</v>
      </c>
      <c r="G1190" s="4" t="s">
        <v>25</v>
      </c>
      <c r="H1190" s="4" t="s">
        <v>35</v>
      </c>
      <c r="I1190" s="5">
        <v>44621</v>
      </c>
      <c r="J1190" s="6">
        <v>0</v>
      </c>
      <c r="K1190" s="6">
        <v>0</v>
      </c>
      <c r="L1190" s="6">
        <v>1955.2739999999999</v>
      </c>
      <c r="M1190" s="6">
        <v>1837.9575600000001</v>
      </c>
      <c r="N1190" s="6">
        <v>1955.2739999999999</v>
      </c>
      <c r="O1190" s="6">
        <v>1837.9575600000001</v>
      </c>
      <c r="P1190" s="6">
        <v>0</v>
      </c>
      <c r="Q1190" s="4" t="s">
        <v>26</v>
      </c>
      <c r="R1190" s="4">
        <v>0</v>
      </c>
      <c r="S1190" s="4" t="s">
        <v>444</v>
      </c>
      <c r="T1190" s="4" t="s">
        <v>716</v>
      </c>
      <c r="U1190" s="4">
        <v>0</v>
      </c>
      <c r="V1190" s="4">
        <v>31</v>
      </c>
      <c r="W1190" s="4">
        <v>79</v>
      </c>
    </row>
    <row r="1191" spans="1:23" ht="11.25" customHeight="1" x14ac:dyDescent="0.25">
      <c r="A1191" s="4" t="s">
        <v>21</v>
      </c>
      <c r="B1191" s="4" t="s">
        <v>41</v>
      </c>
      <c r="C1191" s="4" t="s">
        <v>42</v>
      </c>
      <c r="D1191" s="4" t="s">
        <v>51</v>
      </c>
      <c r="E1191" s="4" t="s">
        <v>52</v>
      </c>
      <c r="F1191" s="4" t="s">
        <v>25</v>
      </c>
      <c r="G1191" s="4" t="s">
        <v>25</v>
      </c>
      <c r="H1191" s="4" t="s">
        <v>35</v>
      </c>
      <c r="I1191" s="5">
        <v>44652</v>
      </c>
      <c r="J1191" s="6">
        <v>0</v>
      </c>
      <c r="K1191" s="6">
        <v>0</v>
      </c>
      <c r="L1191" s="6">
        <v>1900.193</v>
      </c>
      <c r="M1191" s="6">
        <v>1786.1814199999999</v>
      </c>
      <c r="N1191" s="6">
        <v>1900.193</v>
      </c>
      <c r="O1191" s="6">
        <v>1786.1814199999999</v>
      </c>
      <c r="P1191" s="6">
        <v>0</v>
      </c>
      <c r="Q1191" s="4" t="s">
        <v>26</v>
      </c>
      <c r="R1191" s="4">
        <v>0</v>
      </c>
      <c r="S1191" s="4" t="s">
        <v>445</v>
      </c>
      <c r="T1191" s="4" t="s">
        <v>717</v>
      </c>
      <c r="U1191" s="4">
        <v>0</v>
      </c>
      <c r="V1191" s="4">
        <v>31</v>
      </c>
      <c r="W1191" s="4">
        <v>79</v>
      </c>
    </row>
    <row r="1192" spans="1:23" ht="11.25" customHeight="1" x14ac:dyDescent="0.25">
      <c r="A1192" s="4" t="s">
        <v>58</v>
      </c>
      <c r="B1192" s="4" t="s">
        <v>41</v>
      </c>
      <c r="C1192" s="4" t="s">
        <v>42</v>
      </c>
      <c r="D1192" s="4" t="s">
        <v>51</v>
      </c>
      <c r="E1192" s="4" t="s">
        <v>52</v>
      </c>
      <c r="F1192" s="4" t="s">
        <v>25</v>
      </c>
      <c r="G1192" s="4" t="s">
        <v>25</v>
      </c>
      <c r="H1192" s="4" t="s">
        <v>35</v>
      </c>
      <c r="I1192" s="5">
        <v>44682</v>
      </c>
      <c r="J1192" s="6">
        <v>0</v>
      </c>
      <c r="K1192" s="6">
        <v>0</v>
      </c>
      <c r="L1192" s="6">
        <v>1900.193</v>
      </c>
      <c r="M1192" s="6">
        <v>1786.1814199999999</v>
      </c>
      <c r="N1192" s="6">
        <v>1900.193</v>
      </c>
      <c r="O1192" s="6">
        <v>1786.1814199999999</v>
      </c>
      <c r="P1192" s="6">
        <v>0</v>
      </c>
      <c r="Q1192" s="4" t="s">
        <v>26</v>
      </c>
      <c r="R1192" s="4">
        <v>0</v>
      </c>
      <c r="S1192" s="4" t="s">
        <v>446</v>
      </c>
      <c r="T1192" s="4" t="s">
        <v>718</v>
      </c>
      <c r="U1192" s="4">
        <v>0</v>
      </c>
      <c r="V1192" s="4">
        <v>31</v>
      </c>
      <c r="W1192" s="4">
        <v>79</v>
      </c>
    </row>
    <row r="1193" spans="1:23" ht="11.25" customHeight="1" x14ac:dyDescent="0.25">
      <c r="A1193" s="4" t="s">
        <v>21</v>
      </c>
      <c r="B1193" s="4" t="s">
        <v>41</v>
      </c>
      <c r="C1193" s="4" t="s">
        <v>42</v>
      </c>
      <c r="D1193" s="4" t="s">
        <v>51</v>
      </c>
      <c r="E1193" s="4" t="s">
        <v>52</v>
      </c>
      <c r="F1193" s="4" t="s">
        <v>25</v>
      </c>
      <c r="G1193" s="4" t="s">
        <v>25</v>
      </c>
      <c r="H1193" s="4" t="s">
        <v>25</v>
      </c>
      <c r="I1193" s="5">
        <v>44348</v>
      </c>
      <c r="J1193" s="6">
        <v>4021</v>
      </c>
      <c r="K1193" s="6">
        <v>3779.74</v>
      </c>
      <c r="L1193" s="6">
        <v>0</v>
      </c>
      <c r="M1193" s="6">
        <v>0</v>
      </c>
      <c r="N1193" s="6">
        <v>0</v>
      </c>
      <c r="O1193" s="6">
        <v>0</v>
      </c>
      <c r="P1193" s="6">
        <v>50</v>
      </c>
      <c r="Q1193" s="4" t="s">
        <v>26</v>
      </c>
      <c r="R1193" s="4">
        <v>0</v>
      </c>
      <c r="S1193" s="4" t="s">
        <v>447</v>
      </c>
      <c r="U1193" s="4">
        <v>29</v>
      </c>
      <c r="V1193" s="4">
        <v>0</v>
      </c>
      <c r="W1193" s="4">
        <v>0</v>
      </c>
    </row>
    <row r="1194" spans="1:23" ht="11.25" customHeight="1" x14ac:dyDescent="0.25">
      <c r="A1194" s="4" t="s">
        <v>21</v>
      </c>
      <c r="B1194" s="4" t="s">
        <v>41</v>
      </c>
      <c r="C1194" s="4" t="s">
        <v>42</v>
      </c>
      <c r="D1194" s="4" t="s">
        <v>51</v>
      </c>
      <c r="E1194" s="4" t="s">
        <v>52</v>
      </c>
      <c r="F1194" s="4" t="s">
        <v>25</v>
      </c>
      <c r="G1194" s="4" t="s">
        <v>25</v>
      </c>
      <c r="H1194" s="4" t="s">
        <v>25</v>
      </c>
      <c r="I1194" s="5">
        <v>44378</v>
      </c>
      <c r="J1194" s="6">
        <v>4034</v>
      </c>
      <c r="K1194" s="6">
        <v>3791.96</v>
      </c>
      <c r="L1194" s="6">
        <v>0</v>
      </c>
      <c r="M1194" s="6">
        <v>0</v>
      </c>
      <c r="N1194" s="6">
        <v>0</v>
      </c>
      <c r="O1194" s="6">
        <v>0</v>
      </c>
      <c r="P1194" s="6">
        <v>51</v>
      </c>
      <c r="Q1194" s="4" t="s">
        <v>26</v>
      </c>
      <c r="R1194" s="4">
        <v>0</v>
      </c>
      <c r="S1194" s="4" t="s">
        <v>448</v>
      </c>
      <c r="U1194" s="4">
        <v>29</v>
      </c>
      <c r="V1194" s="4">
        <v>0</v>
      </c>
      <c r="W1194" s="4">
        <v>0</v>
      </c>
    </row>
    <row r="1195" spans="1:23" ht="11.25" customHeight="1" x14ac:dyDescent="0.25">
      <c r="A1195" s="4" t="s">
        <v>21</v>
      </c>
      <c r="B1195" s="4" t="s">
        <v>41</v>
      </c>
      <c r="C1195" s="4" t="s">
        <v>42</v>
      </c>
      <c r="D1195" s="4" t="s">
        <v>51</v>
      </c>
      <c r="E1195" s="4" t="s">
        <v>52</v>
      </c>
      <c r="F1195" s="4" t="s">
        <v>25</v>
      </c>
      <c r="G1195" s="4" t="s">
        <v>25</v>
      </c>
      <c r="H1195" s="4" t="s">
        <v>25</v>
      </c>
      <c r="I1195" s="5">
        <v>44409</v>
      </c>
      <c r="J1195" s="6">
        <v>4039</v>
      </c>
      <c r="K1195" s="6">
        <v>3796.66</v>
      </c>
      <c r="L1195" s="6">
        <v>0</v>
      </c>
      <c r="M1195" s="6">
        <v>0</v>
      </c>
      <c r="N1195" s="6">
        <v>0</v>
      </c>
      <c r="O1195" s="6">
        <v>0</v>
      </c>
      <c r="P1195" s="6">
        <v>50</v>
      </c>
      <c r="Q1195" s="4" t="s">
        <v>26</v>
      </c>
      <c r="R1195" s="4">
        <v>0</v>
      </c>
      <c r="S1195" s="4" t="s">
        <v>449</v>
      </c>
      <c r="U1195" s="4">
        <v>29</v>
      </c>
      <c r="V1195" s="4">
        <v>0</v>
      </c>
      <c r="W1195" s="4">
        <v>0</v>
      </c>
    </row>
    <row r="1196" spans="1:23" ht="11.25" customHeight="1" x14ac:dyDescent="0.25">
      <c r="A1196" s="4" t="s">
        <v>21</v>
      </c>
      <c r="B1196" s="4" t="s">
        <v>41</v>
      </c>
      <c r="C1196" s="4" t="s">
        <v>42</v>
      </c>
      <c r="D1196" s="4" t="s">
        <v>51</v>
      </c>
      <c r="E1196" s="4" t="s">
        <v>52</v>
      </c>
      <c r="F1196" s="4" t="s">
        <v>25</v>
      </c>
      <c r="G1196" s="4" t="s">
        <v>25</v>
      </c>
      <c r="H1196" s="4" t="s">
        <v>25</v>
      </c>
      <c r="I1196" s="5">
        <v>44440</v>
      </c>
      <c r="J1196" s="6">
        <v>4051</v>
      </c>
      <c r="K1196" s="6">
        <v>3807.94</v>
      </c>
      <c r="L1196" s="6">
        <v>0</v>
      </c>
      <c r="M1196" s="6">
        <v>0</v>
      </c>
      <c r="N1196" s="6">
        <v>0</v>
      </c>
      <c r="O1196" s="6">
        <v>0</v>
      </c>
      <c r="P1196" s="6">
        <v>50</v>
      </c>
      <c r="Q1196" s="4" t="s">
        <v>26</v>
      </c>
      <c r="R1196" s="4">
        <v>0</v>
      </c>
      <c r="S1196" s="4" t="s">
        <v>450</v>
      </c>
      <c r="U1196" s="4">
        <v>29</v>
      </c>
      <c r="V1196" s="4">
        <v>0</v>
      </c>
      <c r="W1196" s="4">
        <v>0</v>
      </c>
    </row>
    <row r="1197" spans="1:23" ht="11.25" customHeight="1" x14ac:dyDescent="0.25">
      <c r="A1197" s="4" t="s">
        <v>21</v>
      </c>
      <c r="B1197" s="4" t="s">
        <v>41</v>
      </c>
      <c r="C1197" s="4" t="s">
        <v>42</v>
      </c>
      <c r="D1197" s="4" t="s">
        <v>51</v>
      </c>
      <c r="E1197" s="4" t="s">
        <v>52</v>
      </c>
      <c r="F1197" s="4" t="s">
        <v>25</v>
      </c>
      <c r="G1197" s="4" t="s">
        <v>25</v>
      </c>
      <c r="H1197" s="4" t="s">
        <v>25</v>
      </c>
      <c r="I1197" s="5">
        <v>44470</v>
      </c>
      <c r="J1197" s="6">
        <v>4378</v>
      </c>
      <c r="K1197" s="6">
        <v>4115.32</v>
      </c>
      <c r="L1197" s="6">
        <v>0</v>
      </c>
      <c r="M1197" s="6">
        <v>0</v>
      </c>
      <c r="N1197" s="6">
        <v>0</v>
      </c>
      <c r="O1197" s="6">
        <v>0</v>
      </c>
      <c r="P1197" s="6">
        <v>53</v>
      </c>
      <c r="Q1197" s="4" t="s">
        <v>26</v>
      </c>
      <c r="R1197" s="4">
        <v>0</v>
      </c>
      <c r="S1197" s="4" t="s">
        <v>451</v>
      </c>
      <c r="U1197" s="4">
        <v>29</v>
      </c>
      <c r="V1197" s="4">
        <v>0</v>
      </c>
      <c r="W1197" s="4">
        <v>0</v>
      </c>
    </row>
    <row r="1198" spans="1:23" ht="11.25" customHeight="1" x14ac:dyDescent="0.25">
      <c r="A1198" s="4" t="s">
        <v>21</v>
      </c>
      <c r="B1198" s="4" t="s">
        <v>41</v>
      </c>
      <c r="C1198" s="4" t="s">
        <v>42</v>
      </c>
      <c r="D1198" s="4" t="s">
        <v>51</v>
      </c>
      <c r="E1198" s="4" t="s">
        <v>52</v>
      </c>
      <c r="F1198" s="4" t="s">
        <v>25</v>
      </c>
      <c r="G1198" s="4" t="s">
        <v>25</v>
      </c>
      <c r="H1198" s="4" t="s">
        <v>25</v>
      </c>
      <c r="I1198" s="5">
        <v>44501</v>
      </c>
      <c r="J1198" s="6">
        <v>4376</v>
      </c>
      <c r="K1198" s="6">
        <v>4113.4399999999996</v>
      </c>
      <c r="L1198" s="6">
        <v>0</v>
      </c>
      <c r="M1198" s="6">
        <v>0</v>
      </c>
      <c r="N1198" s="6">
        <v>0</v>
      </c>
      <c r="O1198" s="6">
        <v>0</v>
      </c>
      <c r="P1198" s="6">
        <v>54</v>
      </c>
      <c r="Q1198" s="4" t="s">
        <v>26</v>
      </c>
      <c r="R1198" s="4">
        <v>0</v>
      </c>
      <c r="S1198" s="4" t="s">
        <v>452</v>
      </c>
      <c r="U1198" s="4">
        <v>29</v>
      </c>
      <c r="V1198" s="4">
        <v>0</v>
      </c>
      <c r="W1198" s="4">
        <v>0</v>
      </c>
    </row>
    <row r="1199" spans="1:23" ht="11.25" customHeight="1" x14ac:dyDescent="0.25">
      <c r="A1199" s="4" t="s">
        <v>21</v>
      </c>
      <c r="B1199" s="4" t="s">
        <v>41</v>
      </c>
      <c r="C1199" s="4" t="s">
        <v>42</v>
      </c>
      <c r="D1199" s="4" t="s">
        <v>51</v>
      </c>
      <c r="E1199" s="4" t="s">
        <v>52</v>
      </c>
      <c r="F1199" s="4" t="s">
        <v>25</v>
      </c>
      <c r="G1199" s="4" t="s">
        <v>25</v>
      </c>
      <c r="H1199" s="4" t="s">
        <v>25</v>
      </c>
      <c r="I1199" s="5">
        <v>44531</v>
      </c>
      <c r="J1199" s="6">
        <v>4415</v>
      </c>
      <c r="K1199" s="6">
        <v>4150.1000000000004</v>
      </c>
      <c r="L1199" s="6">
        <v>0</v>
      </c>
      <c r="M1199" s="6">
        <v>0</v>
      </c>
      <c r="N1199" s="6">
        <v>0</v>
      </c>
      <c r="O1199" s="6">
        <v>0</v>
      </c>
      <c r="P1199" s="6">
        <v>54</v>
      </c>
      <c r="Q1199" s="4" t="s">
        <v>26</v>
      </c>
      <c r="R1199" s="4">
        <v>0</v>
      </c>
      <c r="S1199" s="4" t="s">
        <v>453</v>
      </c>
      <c r="U1199" s="4">
        <v>29</v>
      </c>
      <c r="V1199" s="4">
        <v>0</v>
      </c>
      <c r="W1199" s="4">
        <v>0</v>
      </c>
    </row>
    <row r="1200" spans="1:23" ht="11.25" customHeight="1" x14ac:dyDescent="0.25">
      <c r="A1200" s="4" t="s">
        <v>21</v>
      </c>
      <c r="B1200" s="4" t="s">
        <v>41</v>
      </c>
      <c r="C1200" s="4" t="s">
        <v>42</v>
      </c>
      <c r="D1200" s="4" t="s">
        <v>51</v>
      </c>
      <c r="E1200" s="4" t="s">
        <v>52</v>
      </c>
      <c r="F1200" s="4" t="s">
        <v>25</v>
      </c>
      <c r="G1200" s="4" t="s">
        <v>25</v>
      </c>
      <c r="H1200" s="4" t="s">
        <v>25</v>
      </c>
      <c r="I1200" s="5">
        <v>44562</v>
      </c>
      <c r="J1200" s="6">
        <v>4426</v>
      </c>
      <c r="K1200" s="6">
        <v>4160.4399999999996</v>
      </c>
      <c r="L1200" s="6">
        <v>0</v>
      </c>
      <c r="M1200" s="6">
        <v>0</v>
      </c>
      <c r="N1200" s="6">
        <v>0</v>
      </c>
      <c r="O1200" s="6">
        <v>0</v>
      </c>
      <c r="P1200" s="6">
        <v>54</v>
      </c>
      <c r="Q1200" s="4" t="s">
        <v>26</v>
      </c>
      <c r="R1200" s="4">
        <v>0</v>
      </c>
      <c r="S1200" s="4" t="s">
        <v>454</v>
      </c>
      <c r="U1200" s="4">
        <v>29</v>
      </c>
      <c r="V1200" s="4">
        <v>0</v>
      </c>
      <c r="W1200" s="4">
        <v>0</v>
      </c>
    </row>
    <row r="1201" spans="1:23" ht="11.25" customHeight="1" x14ac:dyDescent="0.25">
      <c r="A1201" s="4" t="s">
        <v>21</v>
      </c>
      <c r="B1201" s="4" t="s">
        <v>41</v>
      </c>
      <c r="C1201" s="4" t="s">
        <v>42</v>
      </c>
      <c r="D1201" s="4" t="s">
        <v>51</v>
      </c>
      <c r="E1201" s="4" t="s">
        <v>52</v>
      </c>
      <c r="F1201" s="4" t="s">
        <v>25</v>
      </c>
      <c r="G1201" s="4" t="s">
        <v>25</v>
      </c>
      <c r="H1201" s="4" t="s">
        <v>25</v>
      </c>
      <c r="I1201" s="5">
        <v>44593</v>
      </c>
      <c r="J1201" s="6">
        <v>4417</v>
      </c>
      <c r="K1201" s="6">
        <v>4151.9799999999996</v>
      </c>
      <c r="L1201" s="6">
        <v>0</v>
      </c>
      <c r="M1201" s="6">
        <v>0</v>
      </c>
      <c r="N1201" s="6">
        <v>0</v>
      </c>
      <c r="O1201" s="6">
        <v>0</v>
      </c>
      <c r="P1201" s="6">
        <v>54</v>
      </c>
      <c r="Q1201" s="4" t="s">
        <v>26</v>
      </c>
      <c r="R1201" s="4">
        <v>0</v>
      </c>
      <c r="S1201" s="4" t="s">
        <v>455</v>
      </c>
      <c r="U1201" s="4">
        <v>29</v>
      </c>
      <c r="V1201" s="4">
        <v>0</v>
      </c>
      <c r="W1201" s="4">
        <v>0</v>
      </c>
    </row>
    <row r="1202" spans="1:23" ht="11.25" customHeight="1" x14ac:dyDescent="0.25">
      <c r="A1202" s="4" t="s">
        <v>21</v>
      </c>
      <c r="B1202" s="4" t="s">
        <v>41</v>
      </c>
      <c r="C1202" s="4" t="s">
        <v>42</v>
      </c>
      <c r="D1202" s="4" t="s">
        <v>51</v>
      </c>
      <c r="E1202" s="4" t="s">
        <v>52</v>
      </c>
      <c r="F1202" s="4" t="s">
        <v>25</v>
      </c>
      <c r="G1202" s="4" t="s">
        <v>25</v>
      </c>
      <c r="H1202" s="4" t="s">
        <v>25</v>
      </c>
      <c r="I1202" s="5">
        <v>44621</v>
      </c>
      <c r="J1202" s="6">
        <v>4545</v>
      </c>
      <c r="K1202" s="6">
        <v>4272.3</v>
      </c>
      <c r="L1202" s="6">
        <v>0</v>
      </c>
      <c r="M1202" s="6">
        <v>0</v>
      </c>
      <c r="N1202" s="6">
        <v>0</v>
      </c>
      <c r="O1202" s="6">
        <v>0</v>
      </c>
      <c r="P1202" s="6">
        <v>54</v>
      </c>
      <c r="Q1202" s="4" t="s">
        <v>26</v>
      </c>
      <c r="R1202" s="4">
        <v>0</v>
      </c>
      <c r="S1202" s="4" t="s">
        <v>456</v>
      </c>
      <c r="U1202" s="4">
        <v>29</v>
      </c>
      <c r="V1202" s="4">
        <v>0</v>
      </c>
      <c r="W1202" s="4">
        <v>0</v>
      </c>
    </row>
    <row r="1203" spans="1:23" ht="11.25" customHeight="1" x14ac:dyDescent="0.25">
      <c r="A1203" s="4" t="s">
        <v>21</v>
      </c>
      <c r="B1203" s="4" t="s">
        <v>41</v>
      </c>
      <c r="C1203" s="4" t="s">
        <v>42</v>
      </c>
      <c r="D1203" s="4" t="s">
        <v>51</v>
      </c>
      <c r="E1203" s="4" t="s">
        <v>52</v>
      </c>
      <c r="F1203" s="4" t="s">
        <v>25</v>
      </c>
      <c r="G1203" s="4" t="s">
        <v>25</v>
      </c>
      <c r="H1203" s="4" t="s">
        <v>25</v>
      </c>
      <c r="I1203" s="5">
        <v>44652</v>
      </c>
      <c r="J1203" s="6">
        <v>4566</v>
      </c>
      <c r="K1203" s="6">
        <v>4292.04</v>
      </c>
      <c r="L1203" s="6">
        <v>0</v>
      </c>
      <c r="M1203" s="6">
        <v>0</v>
      </c>
      <c r="N1203" s="6">
        <v>0</v>
      </c>
      <c r="O1203" s="6">
        <v>0</v>
      </c>
      <c r="P1203" s="6">
        <v>54</v>
      </c>
      <c r="Q1203" s="4" t="s">
        <v>26</v>
      </c>
      <c r="R1203" s="4">
        <v>0</v>
      </c>
      <c r="S1203" s="4" t="s">
        <v>457</v>
      </c>
      <c r="U1203" s="4">
        <v>29</v>
      </c>
      <c r="V1203" s="4">
        <v>0</v>
      </c>
      <c r="W1203" s="4">
        <v>0</v>
      </c>
    </row>
    <row r="1204" spans="1:23" ht="11.25" customHeight="1" x14ac:dyDescent="0.25">
      <c r="A1204" s="4" t="s">
        <v>58</v>
      </c>
      <c r="B1204" s="4" t="s">
        <v>41</v>
      </c>
      <c r="C1204" s="4" t="s">
        <v>42</v>
      </c>
      <c r="D1204" s="4" t="s">
        <v>51</v>
      </c>
      <c r="E1204" s="4" t="s">
        <v>52</v>
      </c>
      <c r="F1204" s="4" t="s">
        <v>25</v>
      </c>
      <c r="G1204" s="4" t="s">
        <v>25</v>
      </c>
      <c r="H1204" s="4" t="s">
        <v>25</v>
      </c>
      <c r="I1204" s="5">
        <v>44682</v>
      </c>
      <c r="J1204" s="6">
        <v>4566</v>
      </c>
      <c r="K1204" s="6">
        <v>4292.04</v>
      </c>
      <c r="L1204" s="6">
        <v>0</v>
      </c>
      <c r="M1204" s="6">
        <v>0</v>
      </c>
      <c r="N1204" s="6">
        <v>0</v>
      </c>
      <c r="O1204" s="6">
        <v>0</v>
      </c>
      <c r="P1204" s="6">
        <v>54</v>
      </c>
      <c r="Q1204" s="4" t="s">
        <v>26</v>
      </c>
      <c r="R1204" s="4">
        <v>0</v>
      </c>
      <c r="S1204" s="4" t="s">
        <v>458</v>
      </c>
      <c r="U1204" s="4">
        <v>29</v>
      </c>
      <c r="V1204" s="4">
        <v>0</v>
      </c>
      <c r="W1204" s="4">
        <v>0</v>
      </c>
    </row>
    <row r="1205" spans="1:23" ht="11.25" customHeight="1" x14ac:dyDescent="0.25">
      <c r="A1205" s="4" t="s">
        <v>21</v>
      </c>
      <c r="B1205" s="4" t="s">
        <v>41</v>
      </c>
      <c r="C1205" s="4" t="s">
        <v>42</v>
      </c>
      <c r="D1205" s="4" t="s">
        <v>51</v>
      </c>
      <c r="E1205" s="4" t="s">
        <v>52</v>
      </c>
      <c r="F1205" s="4" t="s">
        <v>25</v>
      </c>
      <c r="G1205" s="4" t="s">
        <v>25</v>
      </c>
      <c r="H1205" s="4" t="s">
        <v>34</v>
      </c>
      <c r="I1205" s="5">
        <v>44348</v>
      </c>
      <c r="J1205" s="6">
        <v>0</v>
      </c>
      <c r="K1205" s="6">
        <v>0</v>
      </c>
      <c r="L1205" s="6">
        <v>105.333</v>
      </c>
      <c r="M1205" s="6">
        <v>99.013019999999997</v>
      </c>
      <c r="N1205" s="6">
        <v>105.333</v>
      </c>
      <c r="O1205" s="6">
        <v>99.013019999999997</v>
      </c>
      <c r="P1205" s="6">
        <v>0</v>
      </c>
      <c r="Q1205" s="4" t="s">
        <v>26</v>
      </c>
      <c r="R1205" s="4">
        <v>0</v>
      </c>
      <c r="S1205" s="4" t="s">
        <v>459</v>
      </c>
      <c r="T1205" s="4" t="s">
        <v>719</v>
      </c>
      <c r="U1205" s="4">
        <v>0</v>
      </c>
      <c r="V1205" s="4">
        <v>30</v>
      </c>
      <c r="W1205" s="4">
        <v>78</v>
      </c>
    </row>
    <row r="1206" spans="1:23" ht="11.25" customHeight="1" x14ac:dyDescent="0.25">
      <c r="A1206" s="4" t="s">
        <v>21</v>
      </c>
      <c r="B1206" s="4" t="s">
        <v>41</v>
      </c>
      <c r="C1206" s="4" t="s">
        <v>42</v>
      </c>
      <c r="D1206" s="4" t="s">
        <v>51</v>
      </c>
      <c r="E1206" s="4" t="s">
        <v>52</v>
      </c>
      <c r="F1206" s="4" t="s">
        <v>25</v>
      </c>
      <c r="G1206" s="4" t="s">
        <v>25</v>
      </c>
      <c r="H1206" s="4" t="s">
        <v>34</v>
      </c>
      <c r="I1206" s="5">
        <v>44378</v>
      </c>
      <c r="J1206" s="6">
        <v>0</v>
      </c>
      <c r="K1206" s="6">
        <v>0</v>
      </c>
      <c r="L1206" s="6">
        <v>117.941</v>
      </c>
      <c r="M1206" s="6">
        <v>110.86454000000001</v>
      </c>
      <c r="N1206" s="6">
        <v>117.941</v>
      </c>
      <c r="O1206" s="6">
        <v>110.86454000000001</v>
      </c>
      <c r="P1206" s="6">
        <v>0</v>
      </c>
      <c r="Q1206" s="4" t="s">
        <v>26</v>
      </c>
      <c r="R1206" s="4">
        <v>0</v>
      </c>
      <c r="S1206" s="4" t="s">
        <v>460</v>
      </c>
      <c r="T1206" s="4" t="s">
        <v>720</v>
      </c>
      <c r="U1206" s="4">
        <v>0</v>
      </c>
      <c r="V1206" s="4">
        <v>30</v>
      </c>
      <c r="W1206" s="4">
        <v>78</v>
      </c>
    </row>
    <row r="1207" spans="1:23" ht="11.25" customHeight="1" x14ac:dyDescent="0.25">
      <c r="A1207" s="4" t="s">
        <v>21</v>
      </c>
      <c r="B1207" s="4" t="s">
        <v>41</v>
      </c>
      <c r="C1207" s="4" t="s">
        <v>42</v>
      </c>
      <c r="D1207" s="4" t="s">
        <v>51</v>
      </c>
      <c r="E1207" s="4" t="s">
        <v>52</v>
      </c>
      <c r="F1207" s="4" t="s">
        <v>25</v>
      </c>
      <c r="G1207" s="4" t="s">
        <v>25</v>
      </c>
      <c r="H1207" s="4" t="s">
        <v>34</v>
      </c>
      <c r="I1207" s="5">
        <v>44409</v>
      </c>
      <c r="J1207" s="6">
        <v>0</v>
      </c>
      <c r="K1207" s="6">
        <v>0</v>
      </c>
      <c r="L1207" s="6">
        <v>125.121</v>
      </c>
      <c r="M1207" s="6">
        <v>117.61374000000001</v>
      </c>
      <c r="N1207" s="6">
        <v>125.121</v>
      </c>
      <c r="O1207" s="6">
        <v>117.61374000000001</v>
      </c>
      <c r="P1207" s="6">
        <v>0</v>
      </c>
      <c r="Q1207" s="4" t="s">
        <v>26</v>
      </c>
      <c r="R1207" s="4">
        <v>0</v>
      </c>
      <c r="S1207" s="4" t="s">
        <v>461</v>
      </c>
      <c r="T1207" s="4" t="s">
        <v>721</v>
      </c>
      <c r="U1207" s="4">
        <v>0</v>
      </c>
      <c r="V1207" s="4">
        <v>30</v>
      </c>
      <c r="W1207" s="4">
        <v>78</v>
      </c>
    </row>
    <row r="1208" spans="1:23" ht="11.25" customHeight="1" x14ac:dyDescent="0.25">
      <c r="A1208" s="4" t="s">
        <v>21</v>
      </c>
      <c r="B1208" s="4" t="s">
        <v>41</v>
      </c>
      <c r="C1208" s="4" t="s">
        <v>42</v>
      </c>
      <c r="D1208" s="4" t="s">
        <v>51</v>
      </c>
      <c r="E1208" s="4" t="s">
        <v>52</v>
      </c>
      <c r="F1208" s="4" t="s">
        <v>25</v>
      </c>
      <c r="G1208" s="4" t="s">
        <v>25</v>
      </c>
      <c r="H1208" s="4" t="s">
        <v>34</v>
      </c>
      <c r="I1208" s="5">
        <v>44440</v>
      </c>
      <c r="J1208" s="6">
        <v>0</v>
      </c>
      <c r="K1208" s="6">
        <v>0</v>
      </c>
      <c r="L1208" s="6">
        <v>141.72900000000001</v>
      </c>
      <c r="M1208" s="6">
        <v>133.22525999999999</v>
      </c>
      <c r="N1208" s="6">
        <v>141.72900000000001</v>
      </c>
      <c r="O1208" s="6">
        <v>133.22525999999999</v>
      </c>
      <c r="P1208" s="6">
        <v>0</v>
      </c>
      <c r="Q1208" s="4" t="s">
        <v>26</v>
      </c>
      <c r="R1208" s="4">
        <v>0</v>
      </c>
      <c r="S1208" s="4" t="s">
        <v>462</v>
      </c>
      <c r="T1208" s="4" t="s">
        <v>722</v>
      </c>
      <c r="U1208" s="4">
        <v>0</v>
      </c>
      <c r="V1208" s="4">
        <v>30</v>
      </c>
      <c r="W1208" s="4">
        <v>78</v>
      </c>
    </row>
    <row r="1209" spans="1:23" ht="11.25" customHeight="1" x14ac:dyDescent="0.25">
      <c r="A1209" s="4" t="s">
        <v>21</v>
      </c>
      <c r="B1209" s="4" t="s">
        <v>41</v>
      </c>
      <c r="C1209" s="4" t="s">
        <v>42</v>
      </c>
      <c r="D1209" s="4" t="s">
        <v>51</v>
      </c>
      <c r="E1209" s="4" t="s">
        <v>52</v>
      </c>
      <c r="F1209" s="4" t="s">
        <v>25</v>
      </c>
      <c r="G1209" s="4" t="s">
        <v>25</v>
      </c>
      <c r="H1209" s="4" t="s">
        <v>34</v>
      </c>
      <c r="I1209" s="5">
        <v>44470</v>
      </c>
      <c r="J1209" s="6">
        <v>0</v>
      </c>
      <c r="K1209" s="6">
        <v>0</v>
      </c>
      <c r="L1209" s="6">
        <v>136.21299999999999</v>
      </c>
      <c r="M1209" s="6">
        <v>128.04022000000001</v>
      </c>
      <c r="N1209" s="6">
        <v>136.21299999999999</v>
      </c>
      <c r="O1209" s="6">
        <v>128.04022000000001</v>
      </c>
      <c r="P1209" s="6">
        <v>0</v>
      </c>
      <c r="Q1209" s="4" t="s">
        <v>26</v>
      </c>
      <c r="R1209" s="4">
        <v>0</v>
      </c>
      <c r="S1209" s="4" t="s">
        <v>463</v>
      </c>
      <c r="T1209" s="4" t="s">
        <v>723</v>
      </c>
      <c r="U1209" s="4">
        <v>0</v>
      </c>
      <c r="V1209" s="4">
        <v>30</v>
      </c>
      <c r="W1209" s="4">
        <v>78</v>
      </c>
    </row>
    <row r="1210" spans="1:23" ht="11.25" customHeight="1" x14ac:dyDescent="0.25">
      <c r="A1210" s="4" t="s">
        <v>21</v>
      </c>
      <c r="B1210" s="4" t="s">
        <v>41</v>
      </c>
      <c r="C1210" s="4" t="s">
        <v>42</v>
      </c>
      <c r="D1210" s="4" t="s">
        <v>51</v>
      </c>
      <c r="E1210" s="4" t="s">
        <v>52</v>
      </c>
      <c r="F1210" s="4" t="s">
        <v>25</v>
      </c>
      <c r="G1210" s="4" t="s">
        <v>25</v>
      </c>
      <c r="H1210" s="4" t="s">
        <v>34</v>
      </c>
      <c r="I1210" s="5">
        <v>44501</v>
      </c>
      <c r="J1210" s="6">
        <v>0</v>
      </c>
      <c r="K1210" s="6">
        <v>0</v>
      </c>
      <c r="L1210" s="6">
        <v>136.42500000000001</v>
      </c>
      <c r="M1210" s="6">
        <v>128.23949999999999</v>
      </c>
      <c r="N1210" s="6">
        <v>136.42500000000001</v>
      </c>
      <c r="O1210" s="6">
        <v>128.23949999999999</v>
      </c>
      <c r="P1210" s="6">
        <v>0</v>
      </c>
      <c r="Q1210" s="4" t="s">
        <v>26</v>
      </c>
      <c r="R1210" s="4">
        <v>0</v>
      </c>
      <c r="S1210" s="4" t="s">
        <v>464</v>
      </c>
      <c r="T1210" s="4" t="s">
        <v>724</v>
      </c>
      <c r="U1210" s="4">
        <v>0</v>
      </c>
      <c r="V1210" s="4">
        <v>30</v>
      </c>
      <c r="W1210" s="4">
        <v>78</v>
      </c>
    </row>
    <row r="1211" spans="1:23" ht="11.25" customHeight="1" x14ac:dyDescent="0.25">
      <c r="A1211" s="4" t="s">
        <v>21</v>
      </c>
      <c r="B1211" s="4" t="s">
        <v>41</v>
      </c>
      <c r="C1211" s="4" t="s">
        <v>42</v>
      </c>
      <c r="D1211" s="4" t="s">
        <v>51</v>
      </c>
      <c r="E1211" s="4" t="s">
        <v>52</v>
      </c>
      <c r="F1211" s="4" t="s">
        <v>25</v>
      </c>
      <c r="G1211" s="4" t="s">
        <v>25</v>
      </c>
      <c r="H1211" s="4" t="s">
        <v>34</v>
      </c>
      <c r="I1211" s="5">
        <v>44531</v>
      </c>
      <c r="J1211" s="6">
        <v>0</v>
      </c>
      <c r="K1211" s="6">
        <v>0</v>
      </c>
      <c r="L1211" s="6">
        <v>155.38999999999999</v>
      </c>
      <c r="M1211" s="6">
        <v>146.06659999999999</v>
      </c>
      <c r="N1211" s="6">
        <v>155.38999999999999</v>
      </c>
      <c r="O1211" s="6">
        <v>146.06659999999999</v>
      </c>
      <c r="P1211" s="6">
        <v>0</v>
      </c>
      <c r="Q1211" s="4" t="s">
        <v>26</v>
      </c>
      <c r="R1211" s="4">
        <v>0</v>
      </c>
      <c r="S1211" s="4" t="s">
        <v>465</v>
      </c>
      <c r="T1211" s="4" t="s">
        <v>725</v>
      </c>
      <c r="U1211" s="4">
        <v>0</v>
      </c>
      <c r="V1211" s="4">
        <v>30</v>
      </c>
      <c r="W1211" s="4">
        <v>78</v>
      </c>
    </row>
    <row r="1212" spans="1:23" ht="11.25" customHeight="1" x14ac:dyDescent="0.25">
      <c r="A1212" s="4" t="s">
        <v>21</v>
      </c>
      <c r="B1212" s="4" t="s">
        <v>41</v>
      </c>
      <c r="C1212" s="4" t="s">
        <v>42</v>
      </c>
      <c r="D1212" s="4" t="s">
        <v>51</v>
      </c>
      <c r="E1212" s="4" t="s">
        <v>52</v>
      </c>
      <c r="F1212" s="4" t="s">
        <v>25</v>
      </c>
      <c r="G1212" s="4" t="s">
        <v>25</v>
      </c>
      <c r="H1212" s="4" t="s">
        <v>34</v>
      </c>
      <c r="I1212" s="5">
        <v>44562</v>
      </c>
      <c r="J1212" s="6">
        <v>0</v>
      </c>
      <c r="K1212" s="6">
        <v>0</v>
      </c>
      <c r="L1212" s="6">
        <v>157.398</v>
      </c>
      <c r="M1212" s="6">
        <v>147.95411999999999</v>
      </c>
      <c r="N1212" s="6">
        <v>157.398</v>
      </c>
      <c r="O1212" s="6">
        <v>147.95411999999999</v>
      </c>
      <c r="P1212" s="6">
        <v>0</v>
      </c>
      <c r="Q1212" s="4" t="s">
        <v>26</v>
      </c>
      <c r="R1212" s="4">
        <v>0</v>
      </c>
      <c r="S1212" s="4" t="s">
        <v>466</v>
      </c>
      <c r="T1212" s="4" t="s">
        <v>726</v>
      </c>
      <c r="U1212" s="4">
        <v>0</v>
      </c>
      <c r="V1212" s="4">
        <v>30</v>
      </c>
      <c r="W1212" s="4">
        <v>78</v>
      </c>
    </row>
    <row r="1213" spans="1:23" ht="11.25" customHeight="1" x14ac:dyDescent="0.25">
      <c r="A1213" s="4" t="s">
        <v>21</v>
      </c>
      <c r="B1213" s="4" t="s">
        <v>41</v>
      </c>
      <c r="C1213" s="4" t="s">
        <v>42</v>
      </c>
      <c r="D1213" s="4" t="s">
        <v>51</v>
      </c>
      <c r="E1213" s="4" t="s">
        <v>52</v>
      </c>
      <c r="F1213" s="4" t="s">
        <v>25</v>
      </c>
      <c r="G1213" s="4" t="s">
        <v>25</v>
      </c>
      <c r="H1213" s="4" t="s">
        <v>34</v>
      </c>
      <c r="I1213" s="5">
        <v>44593</v>
      </c>
      <c r="J1213" s="6">
        <v>0</v>
      </c>
      <c r="K1213" s="6">
        <v>0</v>
      </c>
      <c r="L1213" s="6">
        <v>144.5</v>
      </c>
      <c r="M1213" s="6">
        <v>135.83000000000001</v>
      </c>
      <c r="N1213" s="6">
        <v>144.5</v>
      </c>
      <c r="O1213" s="6">
        <v>135.83000000000001</v>
      </c>
      <c r="P1213" s="6">
        <v>0</v>
      </c>
      <c r="Q1213" s="4" t="s">
        <v>26</v>
      </c>
      <c r="R1213" s="4">
        <v>0</v>
      </c>
      <c r="S1213" s="4" t="s">
        <v>467</v>
      </c>
      <c r="T1213" s="4" t="s">
        <v>727</v>
      </c>
      <c r="U1213" s="4">
        <v>0</v>
      </c>
      <c r="V1213" s="4">
        <v>30</v>
      </c>
      <c r="W1213" s="4">
        <v>78</v>
      </c>
    </row>
    <row r="1214" spans="1:23" ht="11.25" customHeight="1" x14ac:dyDescent="0.25">
      <c r="A1214" s="4" t="s">
        <v>21</v>
      </c>
      <c r="B1214" s="4" t="s">
        <v>41</v>
      </c>
      <c r="C1214" s="4" t="s">
        <v>42</v>
      </c>
      <c r="D1214" s="4" t="s">
        <v>51</v>
      </c>
      <c r="E1214" s="4" t="s">
        <v>52</v>
      </c>
      <c r="F1214" s="4" t="s">
        <v>25</v>
      </c>
      <c r="G1214" s="4" t="s">
        <v>25</v>
      </c>
      <c r="H1214" s="4" t="s">
        <v>34</v>
      </c>
      <c r="I1214" s="5">
        <v>44621</v>
      </c>
      <c r="J1214" s="6">
        <v>0</v>
      </c>
      <c r="K1214" s="6">
        <v>0</v>
      </c>
      <c r="L1214" s="6">
        <v>148.15700000000001</v>
      </c>
      <c r="M1214" s="6">
        <v>139.26758000000001</v>
      </c>
      <c r="N1214" s="6">
        <v>148.15700000000001</v>
      </c>
      <c r="O1214" s="6">
        <v>139.26758000000001</v>
      </c>
      <c r="P1214" s="6">
        <v>0</v>
      </c>
      <c r="Q1214" s="4" t="s">
        <v>26</v>
      </c>
      <c r="R1214" s="4">
        <v>0</v>
      </c>
      <c r="S1214" s="4" t="s">
        <v>468</v>
      </c>
      <c r="T1214" s="4" t="s">
        <v>728</v>
      </c>
      <c r="U1214" s="4">
        <v>0</v>
      </c>
      <c r="V1214" s="4">
        <v>30</v>
      </c>
      <c r="W1214" s="4">
        <v>78</v>
      </c>
    </row>
    <row r="1215" spans="1:23" ht="11.25" customHeight="1" x14ac:dyDescent="0.25">
      <c r="A1215" s="4" t="s">
        <v>21</v>
      </c>
      <c r="B1215" s="4" t="s">
        <v>41</v>
      </c>
      <c r="C1215" s="4" t="s">
        <v>42</v>
      </c>
      <c r="D1215" s="4" t="s">
        <v>51</v>
      </c>
      <c r="E1215" s="4" t="s">
        <v>52</v>
      </c>
      <c r="F1215" s="4" t="s">
        <v>25</v>
      </c>
      <c r="G1215" s="4" t="s">
        <v>25</v>
      </c>
      <c r="H1215" s="4" t="s">
        <v>34</v>
      </c>
      <c r="I1215" s="5">
        <v>44652</v>
      </c>
      <c r="J1215" s="6">
        <v>0</v>
      </c>
      <c r="K1215" s="6">
        <v>0</v>
      </c>
      <c r="L1215" s="6">
        <v>144.87200000000001</v>
      </c>
      <c r="M1215" s="6">
        <v>136.17967999999999</v>
      </c>
      <c r="N1215" s="6">
        <v>144.87200000000001</v>
      </c>
      <c r="O1215" s="6">
        <v>136.17967999999999</v>
      </c>
      <c r="P1215" s="6">
        <v>0</v>
      </c>
      <c r="Q1215" s="4" t="s">
        <v>26</v>
      </c>
      <c r="R1215" s="4">
        <v>0</v>
      </c>
      <c r="S1215" s="4" t="s">
        <v>469</v>
      </c>
      <c r="T1215" s="4" t="s">
        <v>729</v>
      </c>
      <c r="U1215" s="4">
        <v>0</v>
      </c>
      <c r="V1215" s="4">
        <v>30</v>
      </c>
      <c r="W1215" s="4">
        <v>78</v>
      </c>
    </row>
    <row r="1216" spans="1:23" ht="11.25" customHeight="1" x14ac:dyDescent="0.25">
      <c r="A1216" s="4" t="s">
        <v>58</v>
      </c>
      <c r="B1216" s="4" t="s">
        <v>41</v>
      </c>
      <c r="C1216" s="4" t="s">
        <v>42</v>
      </c>
      <c r="D1216" s="4" t="s">
        <v>51</v>
      </c>
      <c r="E1216" s="4" t="s">
        <v>52</v>
      </c>
      <c r="F1216" s="4" t="s">
        <v>25</v>
      </c>
      <c r="G1216" s="4" t="s">
        <v>25</v>
      </c>
      <c r="H1216" s="4" t="s">
        <v>34</v>
      </c>
      <c r="I1216" s="5">
        <v>44682</v>
      </c>
      <c r="J1216" s="6">
        <v>0</v>
      </c>
      <c r="K1216" s="6">
        <v>0</v>
      </c>
      <c r="L1216" s="6">
        <v>144.87200000000001</v>
      </c>
      <c r="M1216" s="6">
        <v>136.17967999999999</v>
      </c>
      <c r="N1216" s="6">
        <v>144.87200000000001</v>
      </c>
      <c r="O1216" s="6">
        <v>136.17967999999999</v>
      </c>
      <c r="P1216" s="6">
        <v>0</v>
      </c>
      <c r="Q1216" s="4" t="s">
        <v>26</v>
      </c>
      <c r="R1216" s="4">
        <v>0</v>
      </c>
      <c r="S1216" s="4" t="s">
        <v>470</v>
      </c>
      <c r="T1216" s="4" t="s">
        <v>730</v>
      </c>
      <c r="U1216" s="4">
        <v>0</v>
      </c>
      <c r="V1216" s="4">
        <v>30</v>
      </c>
      <c r="W1216" s="4">
        <v>78</v>
      </c>
    </row>
    <row r="1217" spans="1:23" ht="11.25" customHeight="1" x14ac:dyDescent="0.25">
      <c r="A1217" s="4" t="s">
        <v>21</v>
      </c>
      <c r="B1217" s="4" t="s">
        <v>22</v>
      </c>
      <c r="C1217" s="4" t="s">
        <v>33</v>
      </c>
      <c r="D1217" s="4" t="s">
        <v>24</v>
      </c>
      <c r="E1217" s="4" t="s">
        <v>24</v>
      </c>
      <c r="F1217" s="4" t="s">
        <v>25</v>
      </c>
      <c r="G1217" s="4" t="s">
        <v>25</v>
      </c>
      <c r="H1217" s="4" t="s">
        <v>35</v>
      </c>
      <c r="I1217" s="5">
        <v>44348</v>
      </c>
      <c r="J1217" s="6">
        <v>0</v>
      </c>
      <c r="K1217" s="6">
        <v>0</v>
      </c>
      <c r="L1217" s="6">
        <v>8.6929999999999996</v>
      </c>
      <c r="M1217" s="6">
        <v>8.6929999999999996</v>
      </c>
      <c r="N1217" s="6">
        <v>8.6929999999999996</v>
      </c>
      <c r="O1217" s="6">
        <v>8.6929999999999996</v>
      </c>
      <c r="P1217" s="6">
        <v>0</v>
      </c>
      <c r="Q1217" s="4" t="s">
        <v>26</v>
      </c>
      <c r="R1217" s="4">
        <v>0</v>
      </c>
      <c r="S1217" s="4" t="s">
        <v>471</v>
      </c>
      <c r="T1217" s="4" t="s">
        <v>735</v>
      </c>
      <c r="U1217" s="4">
        <v>0</v>
      </c>
      <c r="V1217" s="4">
        <v>40</v>
      </c>
      <c r="W1217" s="4">
        <v>83</v>
      </c>
    </row>
    <row r="1218" spans="1:23" ht="11.25" customHeight="1" x14ac:dyDescent="0.25">
      <c r="A1218" s="4" t="s">
        <v>28</v>
      </c>
      <c r="B1218" s="4" t="s">
        <v>22</v>
      </c>
      <c r="C1218" s="4" t="s">
        <v>33</v>
      </c>
      <c r="D1218" s="4" t="s">
        <v>24</v>
      </c>
      <c r="E1218" s="4" t="s">
        <v>24</v>
      </c>
      <c r="F1218" s="4" t="s">
        <v>25</v>
      </c>
      <c r="G1218" s="4" t="s">
        <v>25</v>
      </c>
      <c r="H1218" s="4" t="s">
        <v>35</v>
      </c>
      <c r="I1218" s="5">
        <v>44348</v>
      </c>
      <c r="J1218" s="6">
        <v>0</v>
      </c>
      <c r="K1218" s="6">
        <v>0</v>
      </c>
      <c r="L1218" s="6">
        <v>0.42499999999999999</v>
      </c>
      <c r="M1218" s="6">
        <v>0.42499999999999999</v>
      </c>
      <c r="N1218" s="6">
        <v>0.42499999999999999</v>
      </c>
      <c r="O1218" s="6">
        <v>0.42499999999999999</v>
      </c>
      <c r="P1218" s="6">
        <v>0</v>
      </c>
      <c r="Q1218" s="4" t="s">
        <v>26</v>
      </c>
      <c r="R1218" s="4">
        <v>0</v>
      </c>
      <c r="S1218" s="4" t="s">
        <v>471</v>
      </c>
      <c r="T1218" s="4" t="s">
        <v>735</v>
      </c>
      <c r="U1218" s="4">
        <v>0</v>
      </c>
      <c r="V1218" s="4">
        <v>40</v>
      </c>
      <c r="W1218" s="4">
        <v>83</v>
      </c>
    </row>
    <row r="1219" spans="1:23" ht="11.25" customHeight="1" x14ac:dyDescent="0.25">
      <c r="A1219" s="4" t="s">
        <v>21</v>
      </c>
      <c r="B1219" s="4" t="s">
        <v>22</v>
      </c>
      <c r="C1219" s="4" t="s">
        <v>33</v>
      </c>
      <c r="D1219" s="4" t="s">
        <v>24</v>
      </c>
      <c r="E1219" s="4" t="s">
        <v>24</v>
      </c>
      <c r="F1219" s="4" t="s">
        <v>25</v>
      </c>
      <c r="G1219" s="4" t="s">
        <v>25</v>
      </c>
      <c r="H1219" s="4" t="s">
        <v>35</v>
      </c>
      <c r="I1219" s="5">
        <v>44378</v>
      </c>
      <c r="J1219" s="6">
        <v>0</v>
      </c>
      <c r="K1219" s="6">
        <v>0</v>
      </c>
      <c r="L1219" s="6">
        <v>8.1649999999999991</v>
      </c>
      <c r="M1219" s="6">
        <v>8.1649999999999991</v>
      </c>
      <c r="N1219" s="6">
        <v>8.1649999999999991</v>
      </c>
      <c r="O1219" s="6">
        <v>8.1649999999999991</v>
      </c>
      <c r="P1219" s="6">
        <v>0</v>
      </c>
      <c r="Q1219" s="4" t="s">
        <v>26</v>
      </c>
      <c r="R1219" s="4">
        <v>0</v>
      </c>
      <c r="S1219" s="4" t="s">
        <v>472</v>
      </c>
      <c r="T1219" s="4" t="s">
        <v>736</v>
      </c>
      <c r="U1219" s="4">
        <v>0</v>
      </c>
      <c r="V1219" s="4">
        <v>40</v>
      </c>
      <c r="W1219" s="4">
        <v>83</v>
      </c>
    </row>
    <row r="1220" spans="1:23" ht="11.25" customHeight="1" x14ac:dyDescent="0.25">
      <c r="A1220" s="4" t="s">
        <v>28</v>
      </c>
      <c r="B1220" s="4" t="s">
        <v>22</v>
      </c>
      <c r="C1220" s="4" t="s">
        <v>33</v>
      </c>
      <c r="D1220" s="4" t="s">
        <v>24</v>
      </c>
      <c r="E1220" s="4" t="s">
        <v>24</v>
      </c>
      <c r="F1220" s="4" t="s">
        <v>25</v>
      </c>
      <c r="G1220" s="4" t="s">
        <v>25</v>
      </c>
      <c r="H1220" s="4" t="s">
        <v>35</v>
      </c>
      <c r="I1220" s="5">
        <v>44378</v>
      </c>
      <c r="J1220" s="6">
        <v>0</v>
      </c>
      <c r="K1220" s="6">
        <v>0</v>
      </c>
      <c r="L1220" s="6">
        <v>0.86899999999999999</v>
      </c>
      <c r="M1220" s="6">
        <v>0.86899999999999999</v>
      </c>
      <c r="N1220" s="6">
        <v>0.86899999999999999</v>
      </c>
      <c r="O1220" s="6">
        <v>0.86899999999999999</v>
      </c>
      <c r="P1220" s="6">
        <v>0</v>
      </c>
      <c r="Q1220" s="4" t="s">
        <v>26</v>
      </c>
      <c r="R1220" s="4">
        <v>0</v>
      </c>
      <c r="S1220" s="4" t="s">
        <v>472</v>
      </c>
      <c r="T1220" s="4" t="s">
        <v>736</v>
      </c>
      <c r="U1220" s="4">
        <v>0</v>
      </c>
      <c r="V1220" s="4">
        <v>40</v>
      </c>
      <c r="W1220" s="4">
        <v>83</v>
      </c>
    </row>
    <row r="1221" spans="1:23" ht="11.25" customHeight="1" x14ac:dyDescent="0.25">
      <c r="A1221" s="4" t="s">
        <v>28</v>
      </c>
      <c r="B1221" s="4" t="s">
        <v>22</v>
      </c>
      <c r="C1221" s="4" t="s">
        <v>33</v>
      </c>
      <c r="D1221" s="4" t="s">
        <v>24</v>
      </c>
      <c r="E1221" s="4" t="s">
        <v>24</v>
      </c>
      <c r="F1221" s="4" t="s">
        <v>25</v>
      </c>
      <c r="G1221" s="4" t="s">
        <v>25</v>
      </c>
      <c r="H1221" s="4" t="s">
        <v>35</v>
      </c>
      <c r="I1221" s="5">
        <v>44378</v>
      </c>
      <c r="J1221" s="6">
        <v>0</v>
      </c>
      <c r="K1221" s="6">
        <v>0</v>
      </c>
      <c r="L1221" s="6">
        <v>-9.4E-2</v>
      </c>
      <c r="M1221" s="6">
        <v>-9.4E-2</v>
      </c>
      <c r="N1221" s="6">
        <v>-9.4E-2</v>
      </c>
      <c r="O1221" s="6">
        <v>-9.4E-2</v>
      </c>
      <c r="P1221" s="6">
        <v>0</v>
      </c>
      <c r="Q1221" s="4" t="s">
        <v>26</v>
      </c>
      <c r="R1221" s="4">
        <v>0</v>
      </c>
      <c r="S1221" s="4" t="s">
        <v>472</v>
      </c>
      <c r="T1221" s="4" t="s">
        <v>736</v>
      </c>
      <c r="U1221" s="4">
        <v>0</v>
      </c>
      <c r="V1221" s="4">
        <v>40</v>
      </c>
      <c r="W1221" s="4">
        <v>83</v>
      </c>
    </row>
    <row r="1222" spans="1:23" ht="11.25" customHeight="1" x14ac:dyDescent="0.25">
      <c r="A1222" s="4" t="s">
        <v>21</v>
      </c>
      <c r="B1222" s="4" t="s">
        <v>22</v>
      </c>
      <c r="C1222" s="4" t="s">
        <v>33</v>
      </c>
      <c r="D1222" s="4" t="s">
        <v>24</v>
      </c>
      <c r="E1222" s="4" t="s">
        <v>24</v>
      </c>
      <c r="F1222" s="4" t="s">
        <v>25</v>
      </c>
      <c r="G1222" s="4" t="s">
        <v>25</v>
      </c>
      <c r="H1222" s="4" t="s">
        <v>35</v>
      </c>
      <c r="I1222" s="5">
        <v>44409</v>
      </c>
      <c r="J1222" s="6">
        <v>0</v>
      </c>
      <c r="K1222" s="6">
        <v>0</v>
      </c>
      <c r="L1222" s="6">
        <v>9.9710000000000001</v>
      </c>
      <c r="M1222" s="6">
        <v>9.9710000000000001</v>
      </c>
      <c r="N1222" s="6">
        <v>9.9710000000000001</v>
      </c>
      <c r="O1222" s="6">
        <v>9.9710000000000001</v>
      </c>
      <c r="P1222" s="6">
        <v>0</v>
      </c>
      <c r="Q1222" s="4" t="s">
        <v>26</v>
      </c>
      <c r="R1222" s="4">
        <v>0</v>
      </c>
      <c r="S1222" s="4" t="s">
        <v>473</v>
      </c>
      <c r="T1222" s="4" t="s">
        <v>737</v>
      </c>
      <c r="U1222" s="4">
        <v>0</v>
      </c>
      <c r="V1222" s="4">
        <v>40</v>
      </c>
      <c r="W1222" s="4">
        <v>83</v>
      </c>
    </row>
    <row r="1223" spans="1:23" ht="11.25" customHeight="1" x14ac:dyDescent="0.25">
      <c r="A1223" s="4" t="s">
        <v>28</v>
      </c>
      <c r="B1223" s="4" t="s">
        <v>22</v>
      </c>
      <c r="C1223" s="4" t="s">
        <v>33</v>
      </c>
      <c r="D1223" s="4" t="s">
        <v>24</v>
      </c>
      <c r="E1223" s="4" t="s">
        <v>24</v>
      </c>
      <c r="F1223" s="4" t="s">
        <v>25</v>
      </c>
      <c r="G1223" s="4" t="s">
        <v>25</v>
      </c>
      <c r="H1223" s="4" t="s">
        <v>35</v>
      </c>
      <c r="I1223" s="5">
        <v>44409</v>
      </c>
      <c r="J1223" s="6">
        <v>0</v>
      </c>
      <c r="K1223" s="6">
        <v>0</v>
      </c>
      <c r="L1223" s="6">
        <v>0.62</v>
      </c>
      <c r="M1223" s="6">
        <v>0.62</v>
      </c>
      <c r="N1223" s="6">
        <v>0.62</v>
      </c>
      <c r="O1223" s="6">
        <v>0.62</v>
      </c>
      <c r="P1223" s="6">
        <v>0</v>
      </c>
      <c r="Q1223" s="4" t="s">
        <v>26</v>
      </c>
      <c r="R1223" s="4">
        <v>0</v>
      </c>
      <c r="S1223" s="4" t="s">
        <v>473</v>
      </c>
      <c r="T1223" s="4" t="s">
        <v>737</v>
      </c>
      <c r="U1223" s="4">
        <v>0</v>
      </c>
      <c r="V1223" s="4">
        <v>40</v>
      </c>
      <c r="W1223" s="4">
        <v>83</v>
      </c>
    </row>
    <row r="1224" spans="1:23" ht="11.25" customHeight="1" x14ac:dyDescent="0.25">
      <c r="A1224" s="4" t="s">
        <v>21</v>
      </c>
      <c r="B1224" s="4" t="s">
        <v>22</v>
      </c>
      <c r="C1224" s="4" t="s">
        <v>33</v>
      </c>
      <c r="D1224" s="4" t="s">
        <v>24</v>
      </c>
      <c r="E1224" s="4" t="s">
        <v>24</v>
      </c>
      <c r="F1224" s="4" t="s">
        <v>25</v>
      </c>
      <c r="G1224" s="4" t="s">
        <v>25</v>
      </c>
      <c r="H1224" s="4" t="s">
        <v>35</v>
      </c>
      <c r="I1224" s="5">
        <v>44440</v>
      </c>
      <c r="J1224" s="6">
        <v>0</v>
      </c>
      <c r="K1224" s="6">
        <v>0</v>
      </c>
      <c r="L1224" s="6">
        <v>10.641</v>
      </c>
      <c r="M1224" s="6">
        <v>10.641</v>
      </c>
      <c r="N1224" s="6">
        <v>10.641</v>
      </c>
      <c r="O1224" s="6">
        <v>10.641</v>
      </c>
      <c r="P1224" s="6">
        <v>0</v>
      </c>
      <c r="Q1224" s="4" t="s">
        <v>26</v>
      </c>
      <c r="R1224" s="4">
        <v>0</v>
      </c>
      <c r="S1224" s="4" t="s">
        <v>474</v>
      </c>
      <c r="T1224" s="4" t="s">
        <v>738</v>
      </c>
      <c r="U1224" s="4">
        <v>0</v>
      </c>
      <c r="V1224" s="4">
        <v>40</v>
      </c>
      <c r="W1224" s="4">
        <v>83</v>
      </c>
    </row>
    <row r="1225" spans="1:23" ht="11.25" customHeight="1" x14ac:dyDescent="0.25">
      <c r="A1225" s="4" t="s">
        <v>28</v>
      </c>
      <c r="B1225" s="4" t="s">
        <v>22</v>
      </c>
      <c r="C1225" s="4" t="s">
        <v>33</v>
      </c>
      <c r="D1225" s="4" t="s">
        <v>24</v>
      </c>
      <c r="E1225" s="4" t="s">
        <v>24</v>
      </c>
      <c r="F1225" s="4" t="s">
        <v>25</v>
      </c>
      <c r="G1225" s="4" t="s">
        <v>25</v>
      </c>
      <c r="H1225" s="4" t="s">
        <v>35</v>
      </c>
      <c r="I1225" s="5">
        <v>44440</v>
      </c>
      <c r="J1225" s="6">
        <v>0</v>
      </c>
      <c r="K1225" s="6">
        <v>0</v>
      </c>
      <c r="L1225" s="6">
        <v>0.85299999999999998</v>
      </c>
      <c r="M1225" s="6">
        <v>0.85299999999999998</v>
      </c>
      <c r="N1225" s="6">
        <v>0.85299999999999998</v>
      </c>
      <c r="O1225" s="6">
        <v>0.85299999999999998</v>
      </c>
      <c r="P1225" s="6">
        <v>0</v>
      </c>
      <c r="Q1225" s="4" t="s">
        <v>26</v>
      </c>
      <c r="R1225" s="4">
        <v>0</v>
      </c>
      <c r="S1225" s="4" t="s">
        <v>474</v>
      </c>
      <c r="T1225" s="4" t="s">
        <v>738</v>
      </c>
      <c r="U1225" s="4">
        <v>0</v>
      </c>
      <c r="V1225" s="4">
        <v>40</v>
      </c>
      <c r="W1225" s="4">
        <v>83</v>
      </c>
    </row>
    <row r="1226" spans="1:23" ht="11.25" customHeight="1" x14ac:dyDescent="0.25">
      <c r="A1226" s="4" t="s">
        <v>21</v>
      </c>
      <c r="B1226" s="4" t="s">
        <v>22</v>
      </c>
      <c r="C1226" s="4" t="s">
        <v>33</v>
      </c>
      <c r="D1226" s="4" t="s">
        <v>24</v>
      </c>
      <c r="E1226" s="4" t="s">
        <v>24</v>
      </c>
      <c r="F1226" s="4" t="s">
        <v>25</v>
      </c>
      <c r="G1226" s="4" t="s">
        <v>25</v>
      </c>
      <c r="H1226" s="4" t="s">
        <v>35</v>
      </c>
      <c r="I1226" s="5">
        <v>44470</v>
      </c>
      <c r="J1226" s="6">
        <v>0</v>
      </c>
      <c r="K1226" s="6">
        <v>0</v>
      </c>
      <c r="L1226" s="6">
        <v>9.1449999999999996</v>
      </c>
      <c r="M1226" s="6">
        <v>9.1449999999999996</v>
      </c>
      <c r="N1226" s="6">
        <v>9.1449999999999996</v>
      </c>
      <c r="O1226" s="6">
        <v>9.1449999999999996</v>
      </c>
      <c r="P1226" s="6">
        <v>0</v>
      </c>
      <c r="Q1226" s="4" t="s">
        <v>26</v>
      </c>
      <c r="R1226" s="4">
        <v>0</v>
      </c>
      <c r="S1226" s="4" t="s">
        <v>475</v>
      </c>
      <c r="T1226" s="4" t="s">
        <v>739</v>
      </c>
      <c r="U1226" s="4">
        <v>0</v>
      </c>
      <c r="V1226" s="4">
        <v>40</v>
      </c>
      <c r="W1226" s="4">
        <v>83</v>
      </c>
    </row>
    <row r="1227" spans="1:23" ht="11.25" customHeight="1" x14ac:dyDescent="0.25">
      <c r="A1227" s="4" t="s">
        <v>28</v>
      </c>
      <c r="B1227" s="4" t="s">
        <v>22</v>
      </c>
      <c r="C1227" s="4" t="s">
        <v>33</v>
      </c>
      <c r="D1227" s="4" t="s">
        <v>24</v>
      </c>
      <c r="E1227" s="4" t="s">
        <v>24</v>
      </c>
      <c r="F1227" s="4" t="s">
        <v>25</v>
      </c>
      <c r="G1227" s="4" t="s">
        <v>25</v>
      </c>
      <c r="H1227" s="4" t="s">
        <v>35</v>
      </c>
      <c r="I1227" s="5">
        <v>44470</v>
      </c>
      <c r="J1227" s="6">
        <v>0</v>
      </c>
      <c r="K1227" s="6">
        <v>0</v>
      </c>
      <c r="L1227" s="6">
        <v>0.27900000000000003</v>
      </c>
      <c r="M1227" s="6">
        <v>0.27900000000000003</v>
      </c>
      <c r="N1227" s="6">
        <v>0.27900000000000003</v>
      </c>
      <c r="O1227" s="6">
        <v>0.27900000000000003</v>
      </c>
      <c r="P1227" s="6">
        <v>0</v>
      </c>
      <c r="Q1227" s="4" t="s">
        <v>26</v>
      </c>
      <c r="R1227" s="4">
        <v>0</v>
      </c>
      <c r="S1227" s="4" t="s">
        <v>475</v>
      </c>
      <c r="T1227" s="4" t="s">
        <v>739</v>
      </c>
      <c r="U1227" s="4">
        <v>0</v>
      </c>
      <c r="V1227" s="4">
        <v>40</v>
      </c>
      <c r="W1227" s="4">
        <v>83</v>
      </c>
    </row>
    <row r="1228" spans="1:23" ht="11.25" customHeight="1" x14ac:dyDescent="0.25">
      <c r="A1228" s="4" t="s">
        <v>28</v>
      </c>
      <c r="B1228" s="4" t="s">
        <v>22</v>
      </c>
      <c r="C1228" s="4" t="s">
        <v>33</v>
      </c>
      <c r="D1228" s="4" t="s">
        <v>24</v>
      </c>
      <c r="E1228" s="4" t="s">
        <v>24</v>
      </c>
      <c r="F1228" s="4" t="s">
        <v>25</v>
      </c>
      <c r="G1228" s="4" t="s">
        <v>25</v>
      </c>
      <c r="H1228" s="4" t="s">
        <v>35</v>
      </c>
      <c r="I1228" s="5">
        <v>44470</v>
      </c>
      <c r="J1228" s="6">
        <v>0</v>
      </c>
      <c r="K1228" s="6">
        <v>0</v>
      </c>
      <c r="L1228" s="6">
        <v>-0.154</v>
      </c>
      <c r="M1228" s="6">
        <v>-0.154</v>
      </c>
      <c r="N1228" s="6">
        <v>-0.154</v>
      </c>
      <c r="O1228" s="6">
        <v>-0.154</v>
      </c>
      <c r="P1228" s="6">
        <v>0</v>
      </c>
      <c r="Q1228" s="4" t="s">
        <v>26</v>
      </c>
      <c r="R1228" s="4">
        <v>0</v>
      </c>
      <c r="S1228" s="4" t="s">
        <v>475</v>
      </c>
      <c r="T1228" s="4" t="s">
        <v>739</v>
      </c>
      <c r="U1228" s="4">
        <v>0</v>
      </c>
      <c r="V1228" s="4">
        <v>40</v>
      </c>
      <c r="W1228" s="4">
        <v>83</v>
      </c>
    </row>
    <row r="1229" spans="1:23" ht="11.25" customHeight="1" x14ac:dyDescent="0.25">
      <c r="A1229" s="4" t="s">
        <v>21</v>
      </c>
      <c r="B1229" s="4" t="s">
        <v>22</v>
      </c>
      <c r="C1229" s="4" t="s">
        <v>33</v>
      </c>
      <c r="D1229" s="4" t="s">
        <v>24</v>
      </c>
      <c r="E1229" s="4" t="s">
        <v>24</v>
      </c>
      <c r="F1229" s="4" t="s">
        <v>25</v>
      </c>
      <c r="G1229" s="4" t="s">
        <v>25</v>
      </c>
      <c r="H1229" s="4" t="s">
        <v>35</v>
      </c>
      <c r="I1229" s="5">
        <v>44501</v>
      </c>
      <c r="J1229" s="6">
        <v>0</v>
      </c>
      <c r="K1229" s="6">
        <v>0</v>
      </c>
      <c r="L1229" s="6">
        <v>9.7889999999999997</v>
      </c>
      <c r="M1229" s="6">
        <v>9.7889999999999997</v>
      </c>
      <c r="N1229" s="6">
        <v>9.7889999999999997</v>
      </c>
      <c r="O1229" s="6">
        <v>9.7889999999999997</v>
      </c>
      <c r="P1229" s="6">
        <v>0</v>
      </c>
      <c r="Q1229" s="4" t="s">
        <v>26</v>
      </c>
      <c r="R1229" s="4">
        <v>0</v>
      </c>
      <c r="S1229" s="4" t="s">
        <v>476</v>
      </c>
      <c r="T1229" s="4" t="s">
        <v>740</v>
      </c>
      <c r="U1229" s="4">
        <v>0</v>
      </c>
      <c r="V1229" s="4">
        <v>40</v>
      </c>
      <c r="W1229" s="4">
        <v>83</v>
      </c>
    </row>
    <row r="1230" spans="1:23" ht="11.25" customHeight="1" x14ac:dyDescent="0.25">
      <c r="A1230" s="4" t="s">
        <v>28</v>
      </c>
      <c r="B1230" s="4" t="s">
        <v>22</v>
      </c>
      <c r="C1230" s="4" t="s">
        <v>33</v>
      </c>
      <c r="D1230" s="4" t="s">
        <v>24</v>
      </c>
      <c r="E1230" s="4" t="s">
        <v>24</v>
      </c>
      <c r="F1230" s="4" t="s">
        <v>25</v>
      </c>
      <c r="G1230" s="4" t="s">
        <v>25</v>
      </c>
      <c r="H1230" s="4" t="s">
        <v>35</v>
      </c>
      <c r="I1230" s="5">
        <v>44501</v>
      </c>
      <c r="J1230" s="6">
        <v>0</v>
      </c>
      <c r="K1230" s="6">
        <v>0</v>
      </c>
      <c r="L1230" s="6">
        <v>0.96399999999999997</v>
      </c>
      <c r="M1230" s="6">
        <v>0.96399999999999997</v>
      </c>
      <c r="N1230" s="6">
        <v>0.96399999999999997</v>
      </c>
      <c r="O1230" s="6">
        <v>0.96399999999999997</v>
      </c>
      <c r="P1230" s="6">
        <v>0</v>
      </c>
      <c r="Q1230" s="4" t="s">
        <v>26</v>
      </c>
      <c r="R1230" s="4">
        <v>0</v>
      </c>
      <c r="S1230" s="4" t="s">
        <v>476</v>
      </c>
      <c r="T1230" s="4" t="s">
        <v>740</v>
      </c>
      <c r="U1230" s="4">
        <v>0</v>
      </c>
      <c r="V1230" s="4">
        <v>40</v>
      </c>
      <c r="W1230" s="4">
        <v>83</v>
      </c>
    </row>
    <row r="1231" spans="1:23" ht="11.25" customHeight="1" x14ac:dyDescent="0.25">
      <c r="A1231" s="4" t="s">
        <v>21</v>
      </c>
      <c r="B1231" s="4" t="s">
        <v>22</v>
      </c>
      <c r="C1231" s="4" t="s">
        <v>33</v>
      </c>
      <c r="D1231" s="4" t="s">
        <v>24</v>
      </c>
      <c r="E1231" s="4" t="s">
        <v>24</v>
      </c>
      <c r="F1231" s="4" t="s">
        <v>25</v>
      </c>
      <c r="G1231" s="4" t="s">
        <v>25</v>
      </c>
      <c r="H1231" s="4" t="s">
        <v>35</v>
      </c>
      <c r="I1231" s="5">
        <v>44531</v>
      </c>
      <c r="J1231" s="6">
        <v>0</v>
      </c>
      <c r="K1231" s="6">
        <v>0</v>
      </c>
      <c r="L1231" s="6">
        <v>9.9890000000000008</v>
      </c>
      <c r="M1231" s="6">
        <v>9.9890000000000008</v>
      </c>
      <c r="N1231" s="6">
        <v>9.9890000000000008</v>
      </c>
      <c r="O1231" s="6">
        <v>9.9890000000000008</v>
      </c>
      <c r="P1231" s="6">
        <v>0</v>
      </c>
      <c r="Q1231" s="4" t="s">
        <v>26</v>
      </c>
      <c r="R1231" s="4">
        <v>0</v>
      </c>
      <c r="S1231" s="4" t="s">
        <v>477</v>
      </c>
      <c r="T1231" s="4" t="s">
        <v>741</v>
      </c>
      <c r="U1231" s="4">
        <v>0</v>
      </c>
      <c r="V1231" s="4">
        <v>40</v>
      </c>
      <c r="W1231" s="4">
        <v>83</v>
      </c>
    </row>
    <row r="1232" spans="1:23" ht="11.25" customHeight="1" x14ac:dyDescent="0.25">
      <c r="A1232" s="4" t="s">
        <v>27</v>
      </c>
      <c r="B1232" s="4" t="s">
        <v>22</v>
      </c>
      <c r="C1232" s="4" t="s">
        <v>33</v>
      </c>
      <c r="D1232" s="4" t="s">
        <v>24</v>
      </c>
      <c r="E1232" s="4" t="s">
        <v>24</v>
      </c>
      <c r="F1232" s="4" t="s">
        <v>25</v>
      </c>
      <c r="G1232" s="4" t="s">
        <v>25</v>
      </c>
      <c r="H1232" s="4" t="s">
        <v>35</v>
      </c>
      <c r="I1232" s="5">
        <v>44531</v>
      </c>
      <c r="J1232" s="6">
        <v>0</v>
      </c>
      <c r="K1232" s="6">
        <v>0</v>
      </c>
      <c r="L1232" s="6">
        <v>-0.69599999999999995</v>
      </c>
      <c r="M1232" s="6">
        <v>-0.69599999999999995</v>
      </c>
      <c r="N1232" s="6">
        <v>-0.69599999999999995</v>
      </c>
      <c r="O1232" s="6">
        <v>-0.69599999999999995</v>
      </c>
      <c r="P1232" s="6">
        <v>0</v>
      </c>
      <c r="Q1232" s="4" t="s">
        <v>26</v>
      </c>
      <c r="R1232" s="4">
        <v>0</v>
      </c>
      <c r="S1232" s="4" t="s">
        <v>477</v>
      </c>
      <c r="T1232" s="4" t="s">
        <v>741</v>
      </c>
      <c r="U1232" s="4">
        <v>0</v>
      </c>
      <c r="V1232" s="4">
        <v>40</v>
      </c>
      <c r="W1232" s="4">
        <v>83</v>
      </c>
    </row>
    <row r="1233" spans="1:23" ht="11.25" customHeight="1" x14ac:dyDescent="0.25">
      <c r="A1233" s="4" t="s">
        <v>28</v>
      </c>
      <c r="B1233" s="4" t="s">
        <v>22</v>
      </c>
      <c r="C1233" s="4" t="s">
        <v>33</v>
      </c>
      <c r="D1233" s="4" t="s">
        <v>24</v>
      </c>
      <c r="E1233" s="4" t="s">
        <v>24</v>
      </c>
      <c r="F1233" s="4" t="s">
        <v>25</v>
      </c>
      <c r="G1233" s="4" t="s">
        <v>25</v>
      </c>
      <c r="H1233" s="4" t="s">
        <v>35</v>
      </c>
      <c r="I1233" s="5">
        <v>44531</v>
      </c>
      <c r="J1233" s="6">
        <v>0</v>
      </c>
      <c r="K1233" s="6">
        <v>0</v>
      </c>
      <c r="L1233" s="6">
        <v>0.22</v>
      </c>
      <c r="M1233" s="6">
        <v>0.22</v>
      </c>
      <c r="N1233" s="6">
        <v>0.22</v>
      </c>
      <c r="O1233" s="6">
        <v>0.22</v>
      </c>
      <c r="P1233" s="6">
        <v>0</v>
      </c>
      <c r="Q1233" s="4" t="s">
        <v>26</v>
      </c>
      <c r="R1233" s="4">
        <v>0</v>
      </c>
      <c r="S1233" s="4" t="s">
        <v>477</v>
      </c>
      <c r="T1233" s="4" t="s">
        <v>741</v>
      </c>
      <c r="U1233" s="4">
        <v>0</v>
      </c>
      <c r="V1233" s="4">
        <v>40</v>
      </c>
      <c r="W1233" s="4">
        <v>83</v>
      </c>
    </row>
    <row r="1234" spans="1:23" ht="11.25" customHeight="1" x14ac:dyDescent="0.25">
      <c r="A1234" s="4" t="s">
        <v>28</v>
      </c>
      <c r="B1234" s="4" t="s">
        <v>22</v>
      </c>
      <c r="C1234" s="4" t="s">
        <v>33</v>
      </c>
      <c r="D1234" s="4" t="s">
        <v>24</v>
      </c>
      <c r="E1234" s="4" t="s">
        <v>24</v>
      </c>
      <c r="F1234" s="4" t="s">
        <v>25</v>
      </c>
      <c r="G1234" s="4" t="s">
        <v>25</v>
      </c>
      <c r="H1234" s="4" t="s">
        <v>35</v>
      </c>
      <c r="I1234" s="5">
        <v>44531</v>
      </c>
      <c r="J1234" s="6">
        <v>0</v>
      </c>
      <c r="K1234" s="6">
        <v>0</v>
      </c>
      <c r="L1234" s="6">
        <v>-0.23699999999999999</v>
      </c>
      <c r="M1234" s="6">
        <v>-0.23699999999999999</v>
      </c>
      <c r="N1234" s="6">
        <v>-0.23699999999999999</v>
      </c>
      <c r="O1234" s="6">
        <v>-0.23699999999999999</v>
      </c>
      <c r="P1234" s="6">
        <v>0</v>
      </c>
      <c r="Q1234" s="4" t="s">
        <v>26</v>
      </c>
      <c r="R1234" s="4">
        <v>0</v>
      </c>
      <c r="S1234" s="4" t="s">
        <v>477</v>
      </c>
      <c r="T1234" s="4" t="s">
        <v>741</v>
      </c>
      <c r="U1234" s="4">
        <v>0</v>
      </c>
      <c r="V1234" s="4">
        <v>40</v>
      </c>
      <c r="W1234" s="4">
        <v>83</v>
      </c>
    </row>
    <row r="1235" spans="1:23" ht="11.25" customHeight="1" x14ac:dyDescent="0.25">
      <c r="A1235" s="4" t="s">
        <v>21</v>
      </c>
      <c r="B1235" s="4" t="s">
        <v>22</v>
      </c>
      <c r="C1235" s="4" t="s">
        <v>33</v>
      </c>
      <c r="D1235" s="4" t="s">
        <v>24</v>
      </c>
      <c r="E1235" s="4" t="s">
        <v>24</v>
      </c>
      <c r="F1235" s="4" t="s">
        <v>25</v>
      </c>
      <c r="G1235" s="4" t="s">
        <v>25</v>
      </c>
      <c r="H1235" s="4" t="s">
        <v>35</v>
      </c>
      <c r="I1235" s="5">
        <v>44562</v>
      </c>
      <c r="J1235" s="6">
        <v>0</v>
      </c>
      <c r="K1235" s="6">
        <v>0</v>
      </c>
      <c r="L1235" s="6">
        <v>9.3889999999999993</v>
      </c>
      <c r="M1235" s="6">
        <v>9.3889999999999993</v>
      </c>
      <c r="N1235" s="6">
        <v>9.3889999999999993</v>
      </c>
      <c r="O1235" s="6">
        <v>9.3889999999999993</v>
      </c>
      <c r="P1235" s="6">
        <v>0</v>
      </c>
      <c r="Q1235" s="4" t="s">
        <v>26</v>
      </c>
      <c r="R1235" s="4">
        <v>0</v>
      </c>
      <c r="S1235" s="4" t="s">
        <v>478</v>
      </c>
      <c r="T1235" s="4" t="s">
        <v>742</v>
      </c>
      <c r="U1235" s="4">
        <v>0</v>
      </c>
      <c r="V1235" s="4">
        <v>40</v>
      </c>
      <c r="W1235" s="4">
        <v>83</v>
      </c>
    </row>
    <row r="1236" spans="1:23" ht="11.25" customHeight="1" x14ac:dyDescent="0.25">
      <c r="A1236" s="4" t="s">
        <v>28</v>
      </c>
      <c r="B1236" s="4" t="s">
        <v>22</v>
      </c>
      <c r="C1236" s="4" t="s">
        <v>33</v>
      </c>
      <c r="D1236" s="4" t="s">
        <v>24</v>
      </c>
      <c r="E1236" s="4" t="s">
        <v>24</v>
      </c>
      <c r="F1236" s="4" t="s">
        <v>25</v>
      </c>
      <c r="G1236" s="4" t="s">
        <v>25</v>
      </c>
      <c r="H1236" s="4" t="s">
        <v>35</v>
      </c>
      <c r="I1236" s="5">
        <v>44562</v>
      </c>
      <c r="J1236" s="6">
        <v>0</v>
      </c>
      <c r="K1236" s="6">
        <v>0</v>
      </c>
      <c r="L1236" s="6">
        <v>0.51800000000000002</v>
      </c>
      <c r="M1236" s="6">
        <v>0.51800000000000002</v>
      </c>
      <c r="N1236" s="6">
        <v>0.51800000000000002</v>
      </c>
      <c r="O1236" s="6">
        <v>0.51800000000000002</v>
      </c>
      <c r="P1236" s="6">
        <v>0</v>
      </c>
      <c r="Q1236" s="4" t="s">
        <v>26</v>
      </c>
      <c r="R1236" s="4">
        <v>0</v>
      </c>
      <c r="S1236" s="4" t="s">
        <v>478</v>
      </c>
      <c r="T1236" s="4" t="s">
        <v>742</v>
      </c>
      <c r="U1236" s="4">
        <v>0</v>
      </c>
      <c r="V1236" s="4">
        <v>40</v>
      </c>
      <c r="W1236" s="4">
        <v>83</v>
      </c>
    </row>
    <row r="1237" spans="1:23" ht="11.25" customHeight="1" x14ac:dyDescent="0.25">
      <c r="A1237" s="4" t="s">
        <v>21</v>
      </c>
      <c r="B1237" s="4" t="s">
        <v>22</v>
      </c>
      <c r="C1237" s="4" t="s">
        <v>33</v>
      </c>
      <c r="D1237" s="4" t="s">
        <v>24</v>
      </c>
      <c r="E1237" s="4" t="s">
        <v>24</v>
      </c>
      <c r="F1237" s="4" t="s">
        <v>25</v>
      </c>
      <c r="G1237" s="4" t="s">
        <v>25</v>
      </c>
      <c r="H1237" s="4" t="s">
        <v>35</v>
      </c>
      <c r="I1237" s="5">
        <v>44593</v>
      </c>
      <c r="J1237" s="6">
        <v>0</v>
      </c>
      <c r="K1237" s="6">
        <v>0</v>
      </c>
      <c r="L1237" s="6">
        <v>10.298999999999999</v>
      </c>
      <c r="M1237" s="6">
        <v>10.298999999999999</v>
      </c>
      <c r="N1237" s="6">
        <v>10.298999999999999</v>
      </c>
      <c r="O1237" s="6">
        <v>10.298999999999999</v>
      </c>
      <c r="P1237" s="6">
        <v>0</v>
      </c>
      <c r="Q1237" s="4" t="s">
        <v>26</v>
      </c>
      <c r="R1237" s="4">
        <v>0</v>
      </c>
      <c r="S1237" s="4" t="s">
        <v>479</v>
      </c>
      <c r="T1237" s="4" t="s">
        <v>743</v>
      </c>
      <c r="U1237" s="4">
        <v>0</v>
      </c>
      <c r="V1237" s="4">
        <v>40</v>
      </c>
      <c r="W1237" s="4">
        <v>83</v>
      </c>
    </row>
    <row r="1238" spans="1:23" ht="11.25" customHeight="1" x14ac:dyDescent="0.25">
      <c r="A1238" s="4" t="s">
        <v>28</v>
      </c>
      <c r="B1238" s="4" t="s">
        <v>22</v>
      </c>
      <c r="C1238" s="4" t="s">
        <v>33</v>
      </c>
      <c r="D1238" s="4" t="s">
        <v>24</v>
      </c>
      <c r="E1238" s="4" t="s">
        <v>24</v>
      </c>
      <c r="F1238" s="4" t="s">
        <v>25</v>
      </c>
      <c r="G1238" s="4" t="s">
        <v>25</v>
      </c>
      <c r="H1238" s="4" t="s">
        <v>35</v>
      </c>
      <c r="I1238" s="5">
        <v>44593</v>
      </c>
      <c r="J1238" s="6">
        <v>0</v>
      </c>
      <c r="K1238" s="6">
        <v>0</v>
      </c>
      <c r="L1238" s="6">
        <v>0.70199999999999996</v>
      </c>
      <c r="M1238" s="6">
        <v>0.70199999999999996</v>
      </c>
      <c r="N1238" s="6">
        <v>0.70199999999999996</v>
      </c>
      <c r="O1238" s="6">
        <v>0.70199999999999996</v>
      </c>
      <c r="P1238" s="6">
        <v>0</v>
      </c>
      <c r="Q1238" s="4" t="s">
        <v>26</v>
      </c>
      <c r="R1238" s="4">
        <v>0</v>
      </c>
      <c r="S1238" s="4" t="s">
        <v>479</v>
      </c>
      <c r="T1238" s="4" t="s">
        <v>743</v>
      </c>
      <c r="U1238" s="4">
        <v>0</v>
      </c>
      <c r="V1238" s="4">
        <v>40</v>
      </c>
      <c r="W1238" s="4">
        <v>83</v>
      </c>
    </row>
    <row r="1239" spans="1:23" ht="11.25" customHeight="1" x14ac:dyDescent="0.25">
      <c r="A1239" s="4" t="s">
        <v>28</v>
      </c>
      <c r="B1239" s="4" t="s">
        <v>22</v>
      </c>
      <c r="C1239" s="4" t="s">
        <v>33</v>
      </c>
      <c r="D1239" s="4" t="s">
        <v>24</v>
      </c>
      <c r="E1239" s="4" t="s">
        <v>24</v>
      </c>
      <c r="F1239" s="4" t="s">
        <v>25</v>
      </c>
      <c r="G1239" s="4" t="s">
        <v>25</v>
      </c>
      <c r="H1239" s="4" t="s">
        <v>35</v>
      </c>
      <c r="I1239" s="5">
        <v>44593</v>
      </c>
      <c r="J1239" s="6">
        <v>0</v>
      </c>
      <c r="K1239" s="6">
        <v>0</v>
      </c>
      <c r="L1239" s="6">
        <v>-0.22900000000000001</v>
      </c>
      <c r="M1239" s="6">
        <v>-0.22900000000000001</v>
      </c>
      <c r="N1239" s="6">
        <v>-0.22900000000000001</v>
      </c>
      <c r="O1239" s="6">
        <v>-0.22900000000000001</v>
      </c>
      <c r="P1239" s="6">
        <v>0</v>
      </c>
      <c r="Q1239" s="4" t="s">
        <v>26</v>
      </c>
      <c r="R1239" s="4">
        <v>0</v>
      </c>
      <c r="S1239" s="4" t="s">
        <v>479</v>
      </c>
      <c r="T1239" s="4" t="s">
        <v>743</v>
      </c>
      <c r="U1239" s="4">
        <v>0</v>
      </c>
      <c r="V1239" s="4">
        <v>40</v>
      </c>
      <c r="W1239" s="4">
        <v>83</v>
      </c>
    </row>
    <row r="1240" spans="1:23" ht="11.25" customHeight="1" x14ac:dyDescent="0.25">
      <c r="A1240" s="4" t="s">
        <v>21</v>
      </c>
      <c r="B1240" s="4" t="s">
        <v>22</v>
      </c>
      <c r="C1240" s="4" t="s">
        <v>33</v>
      </c>
      <c r="D1240" s="4" t="s">
        <v>24</v>
      </c>
      <c r="E1240" s="4" t="s">
        <v>24</v>
      </c>
      <c r="F1240" s="4" t="s">
        <v>25</v>
      </c>
      <c r="G1240" s="4" t="s">
        <v>25</v>
      </c>
      <c r="H1240" s="4" t="s">
        <v>35</v>
      </c>
      <c r="I1240" s="5">
        <v>44621</v>
      </c>
      <c r="J1240" s="6">
        <v>0</v>
      </c>
      <c r="K1240" s="6">
        <v>0</v>
      </c>
      <c r="L1240" s="6">
        <v>11.012</v>
      </c>
      <c r="M1240" s="6">
        <v>11.012</v>
      </c>
      <c r="N1240" s="6">
        <v>11.012</v>
      </c>
      <c r="O1240" s="6">
        <v>11.012</v>
      </c>
      <c r="P1240" s="6">
        <v>0</v>
      </c>
      <c r="Q1240" s="4" t="s">
        <v>26</v>
      </c>
      <c r="R1240" s="4">
        <v>0</v>
      </c>
      <c r="S1240" s="4" t="s">
        <v>480</v>
      </c>
      <c r="T1240" s="4" t="s">
        <v>744</v>
      </c>
      <c r="U1240" s="4">
        <v>0</v>
      </c>
      <c r="V1240" s="4">
        <v>40</v>
      </c>
      <c r="W1240" s="4">
        <v>83</v>
      </c>
    </row>
    <row r="1241" spans="1:23" ht="11.25" customHeight="1" x14ac:dyDescent="0.25">
      <c r="A1241" s="4" t="s">
        <v>28</v>
      </c>
      <c r="B1241" s="4" t="s">
        <v>22</v>
      </c>
      <c r="C1241" s="4" t="s">
        <v>33</v>
      </c>
      <c r="D1241" s="4" t="s">
        <v>24</v>
      </c>
      <c r="E1241" s="4" t="s">
        <v>24</v>
      </c>
      <c r="F1241" s="4" t="s">
        <v>25</v>
      </c>
      <c r="G1241" s="4" t="s">
        <v>25</v>
      </c>
      <c r="H1241" s="4" t="s">
        <v>35</v>
      </c>
      <c r="I1241" s="5">
        <v>44621</v>
      </c>
      <c r="J1241" s="6">
        <v>0</v>
      </c>
      <c r="K1241" s="6">
        <v>0</v>
      </c>
      <c r="L1241" s="6">
        <v>0.69399999999999995</v>
      </c>
      <c r="M1241" s="6">
        <v>0.69399999999999995</v>
      </c>
      <c r="N1241" s="6">
        <v>0.69399999999999995</v>
      </c>
      <c r="O1241" s="6">
        <v>0.69399999999999995</v>
      </c>
      <c r="P1241" s="6">
        <v>0</v>
      </c>
      <c r="Q1241" s="4" t="s">
        <v>26</v>
      </c>
      <c r="R1241" s="4">
        <v>0</v>
      </c>
      <c r="S1241" s="4" t="s">
        <v>480</v>
      </c>
      <c r="T1241" s="4" t="s">
        <v>744</v>
      </c>
      <c r="U1241" s="4">
        <v>0</v>
      </c>
      <c r="V1241" s="4">
        <v>40</v>
      </c>
      <c r="W1241" s="4">
        <v>83</v>
      </c>
    </row>
    <row r="1242" spans="1:23" ht="11.25" customHeight="1" x14ac:dyDescent="0.25">
      <c r="A1242" s="4" t="s">
        <v>21</v>
      </c>
      <c r="B1242" s="4" t="s">
        <v>22</v>
      </c>
      <c r="C1242" s="4" t="s">
        <v>33</v>
      </c>
      <c r="D1242" s="4" t="s">
        <v>24</v>
      </c>
      <c r="E1242" s="4" t="s">
        <v>24</v>
      </c>
      <c r="F1242" s="4" t="s">
        <v>25</v>
      </c>
      <c r="G1242" s="4" t="s">
        <v>25</v>
      </c>
      <c r="H1242" s="4" t="s">
        <v>35</v>
      </c>
      <c r="I1242" s="5">
        <v>44652</v>
      </c>
      <c r="J1242" s="6">
        <v>0</v>
      </c>
      <c r="K1242" s="6">
        <v>0</v>
      </c>
      <c r="L1242" s="6">
        <v>8.8420000000000005</v>
      </c>
      <c r="M1242" s="6">
        <v>8.8420000000000005</v>
      </c>
      <c r="N1242" s="6">
        <v>8.8420000000000005</v>
      </c>
      <c r="O1242" s="6">
        <v>8.8420000000000005</v>
      </c>
      <c r="P1242" s="6">
        <v>0</v>
      </c>
      <c r="Q1242" s="4" t="s">
        <v>26</v>
      </c>
      <c r="R1242" s="4">
        <v>0</v>
      </c>
      <c r="S1242" s="4" t="s">
        <v>481</v>
      </c>
      <c r="T1242" s="4" t="s">
        <v>745</v>
      </c>
      <c r="U1242" s="4">
        <v>0</v>
      </c>
      <c r="V1242" s="4">
        <v>40</v>
      </c>
      <c r="W1242" s="4">
        <v>83</v>
      </c>
    </row>
    <row r="1243" spans="1:23" ht="11.25" customHeight="1" x14ac:dyDescent="0.25">
      <c r="A1243" s="4" t="s">
        <v>28</v>
      </c>
      <c r="B1243" s="4" t="s">
        <v>22</v>
      </c>
      <c r="C1243" s="4" t="s">
        <v>33</v>
      </c>
      <c r="D1243" s="4" t="s">
        <v>24</v>
      </c>
      <c r="E1243" s="4" t="s">
        <v>24</v>
      </c>
      <c r="F1243" s="4" t="s">
        <v>25</v>
      </c>
      <c r="G1243" s="4" t="s">
        <v>25</v>
      </c>
      <c r="H1243" s="4" t="s">
        <v>35</v>
      </c>
      <c r="I1243" s="5">
        <v>44652</v>
      </c>
      <c r="J1243" s="6">
        <v>0</v>
      </c>
      <c r="K1243" s="6">
        <v>0</v>
      </c>
      <c r="L1243" s="6">
        <v>0.52200000000000002</v>
      </c>
      <c r="M1243" s="6">
        <v>0.52200000000000002</v>
      </c>
      <c r="N1243" s="6">
        <v>0.52200000000000002</v>
      </c>
      <c r="O1243" s="6">
        <v>0.52200000000000002</v>
      </c>
      <c r="P1243" s="6">
        <v>0</v>
      </c>
      <c r="Q1243" s="4" t="s">
        <v>26</v>
      </c>
      <c r="R1243" s="4">
        <v>0</v>
      </c>
      <c r="S1243" s="4" t="s">
        <v>481</v>
      </c>
      <c r="T1243" s="4" t="s">
        <v>745</v>
      </c>
      <c r="U1243" s="4">
        <v>0</v>
      </c>
      <c r="V1243" s="4">
        <v>40</v>
      </c>
      <c r="W1243" s="4">
        <v>83</v>
      </c>
    </row>
    <row r="1244" spans="1:23" ht="11.25" customHeight="1" x14ac:dyDescent="0.25">
      <c r="A1244" s="4" t="s">
        <v>58</v>
      </c>
      <c r="B1244" s="4" t="s">
        <v>22</v>
      </c>
      <c r="C1244" s="4" t="s">
        <v>33</v>
      </c>
      <c r="D1244" s="4" t="s">
        <v>24</v>
      </c>
      <c r="E1244" s="4" t="s">
        <v>24</v>
      </c>
      <c r="F1244" s="4" t="s">
        <v>25</v>
      </c>
      <c r="G1244" s="4" t="s">
        <v>25</v>
      </c>
      <c r="H1244" s="4" t="s">
        <v>35</v>
      </c>
      <c r="I1244" s="5">
        <v>44682</v>
      </c>
      <c r="J1244" s="6">
        <v>0</v>
      </c>
      <c r="K1244" s="6">
        <v>0</v>
      </c>
      <c r="L1244" s="6">
        <v>8.8420000000000005</v>
      </c>
      <c r="M1244" s="6">
        <v>8.8420000000000005</v>
      </c>
      <c r="N1244" s="6">
        <v>8.8420000000000005</v>
      </c>
      <c r="O1244" s="6">
        <v>8.8420000000000005</v>
      </c>
      <c r="P1244" s="6">
        <v>0</v>
      </c>
      <c r="Q1244" s="4" t="s">
        <v>26</v>
      </c>
      <c r="R1244" s="4">
        <v>0</v>
      </c>
      <c r="S1244" s="4" t="s">
        <v>482</v>
      </c>
      <c r="T1244" s="4" t="s">
        <v>746</v>
      </c>
      <c r="U1244" s="4">
        <v>0</v>
      </c>
      <c r="V1244" s="4">
        <v>40</v>
      </c>
      <c r="W1244" s="4">
        <v>83</v>
      </c>
    </row>
    <row r="1245" spans="1:23" ht="11.25" customHeight="1" x14ac:dyDescent="0.25">
      <c r="A1245" s="4" t="s">
        <v>58</v>
      </c>
      <c r="B1245" s="4" t="s">
        <v>22</v>
      </c>
      <c r="C1245" s="4" t="s">
        <v>33</v>
      </c>
      <c r="D1245" s="4" t="s">
        <v>24</v>
      </c>
      <c r="E1245" s="4" t="s">
        <v>24</v>
      </c>
      <c r="F1245" s="4" t="s">
        <v>25</v>
      </c>
      <c r="G1245" s="4" t="s">
        <v>25</v>
      </c>
      <c r="H1245" s="4" t="s">
        <v>35</v>
      </c>
      <c r="I1245" s="5">
        <v>44682</v>
      </c>
      <c r="J1245" s="6">
        <v>0</v>
      </c>
      <c r="K1245" s="6">
        <v>0</v>
      </c>
      <c r="L1245" s="6">
        <v>0.52200000000000002</v>
      </c>
      <c r="M1245" s="6">
        <v>0.52200000000000002</v>
      </c>
      <c r="N1245" s="6">
        <v>0.52200000000000002</v>
      </c>
      <c r="O1245" s="6">
        <v>0.52200000000000002</v>
      </c>
      <c r="P1245" s="6">
        <v>0</v>
      </c>
      <c r="Q1245" s="4" t="s">
        <v>26</v>
      </c>
      <c r="R1245" s="4">
        <v>0</v>
      </c>
      <c r="S1245" s="4" t="s">
        <v>482</v>
      </c>
      <c r="T1245" s="4" t="s">
        <v>746</v>
      </c>
      <c r="U1245" s="4">
        <v>0</v>
      </c>
      <c r="V1245" s="4">
        <v>40</v>
      </c>
      <c r="W1245" s="4">
        <v>83</v>
      </c>
    </row>
    <row r="1246" spans="1:23" ht="11.25" customHeight="1" x14ac:dyDescent="0.25">
      <c r="A1246" s="4" t="s">
        <v>21</v>
      </c>
      <c r="B1246" s="4" t="s">
        <v>22</v>
      </c>
      <c r="C1246" s="4" t="s">
        <v>33</v>
      </c>
      <c r="D1246" s="4" t="s">
        <v>24</v>
      </c>
      <c r="E1246" s="4" t="s">
        <v>24</v>
      </c>
      <c r="F1246" s="4" t="s">
        <v>25</v>
      </c>
      <c r="G1246" s="4" t="s">
        <v>25</v>
      </c>
      <c r="H1246" s="4" t="s">
        <v>36</v>
      </c>
      <c r="I1246" s="5">
        <v>44348</v>
      </c>
      <c r="J1246" s="6">
        <v>0</v>
      </c>
      <c r="K1246" s="6">
        <v>0</v>
      </c>
      <c r="L1246" s="6">
        <v>0.79800000000000004</v>
      </c>
      <c r="M1246" s="6">
        <v>0.79800000000000004</v>
      </c>
      <c r="N1246" s="6">
        <v>0.79800000000000004</v>
      </c>
      <c r="O1246" s="6">
        <v>0.79800000000000004</v>
      </c>
      <c r="P1246" s="6">
        <v>0</v>
      </c>
      <c r="Q1246" s="4" t="s">
        <v>26</v>
      </c>
      <c r="R1246" s="4">
        <v>0</v>
      </c>
      <c r="S1246" s="4" t="s">
        <v>483</v>
      </c>
      <c r="T1246" s="4" t="s">
        <v>747</v>
      </c>
      <c r="U1246" s="4">
        <v>0</v>
      </c>
      <c r="V1246" s="4">
        <v>39</v>
      </c>
      <c r="W1246" s="4">
        <v>82</v>
      </c>
    </row>
    <row r="1247" spans="1:23" ht="11.25" customHeight="1" x14ac:dyDescent="0.25">
      <c r="A1247" s="4" t="s">
        <v>28</v>
      </c>
      <c r="B1247" s="4" t="s">
        <v>22</v>
      </c>
      <c r="C1247" s="4" t="s">
        <v>33</v>
      </c>
      <c r="D1247" s="4" t="s">
        <v>24</v>
      </c>
      <c r="E1247" s="4" t="s">
        <v>24</v>
      </c>
      <c r="F1247" s="4" t="s">
        <v>25</v>
      </c>
      <c r="G1247" s="4" t="s">
        <v>25</v>
      </c>
      <c r="H1247" s="4" t="s">
        <v>36</v>
      </c>
      <c r="I1247" s="5">
        <v>44348</v>
      </c>
      <c r="J1247" s="6">
        <v>0</v>
      </c>
      <c r="K1247" s="6">
        <v>0</v>
      </c>
      <c r="L1247" s="6">
        <v>0.12</v>
      </c>
      <c r="M1247" s="6">
        <v>0.12</v>
      </c>
      <c r="N1247" s="6">
        <v>0.12</v>
      </c>
      <c r="O1247" s="6">
        <v>0.12</v>
      </c>
      <c r="P1247" s="6">
        <v>0</v>
      </c>
      <c r="Q1247" s="4" t="s">
        <v>26</v>
      </c>
      <c r="R1247" s="4">
        <v>0</v>
      </c>
      <c r="S1247" s="4" t="s">
        <v>483</v>
      </c>
      <c r="T1247" s="4" t="s">
        <v>747</v>
      </c>
      <c r="U1247" s="4">
        <v>0</v>
      </c>
      <c r="V1247" s="4">
        <v>39</v>
      </c>
      <c r="W1247" s="4">
        <v>82</v>
      </c>
    </row>
    <row r="1248" spans="1:23" ht="11.25" customHeight="1" x14ac:dyDescent="0.25">
      <c r="A1248" s="4" t="s">
        <v>21</v>
      </c>
      <c r="B1248" s="4" t="s">
        <v>22</v>
      </c>
      <c r="C1248" s="4" t="s">
        <v>33</v>
      </c>
      <c r="D1248" s="4" t="s">
        <v>24</v>
      </c>
      <c r="E1248" s="4" t="s">
        <v>24</v>
      </c>
      <c r="F1248" s="4" t="s">
        <v>25</v>
      </c>
      <c r="G1248" s="4" t="s">
        <v>25</v>
      </c>
      <c r="H1248" s="4" t="s">
        <v>36</v>
      </c>
      <c r="I1248" s="5">
        <v>44378</v>
      </c>
      <c r="J1248" s="6">
        <v>0</v>
      </c>
      <c r="K1248" s="6">
        <v>0</v>
      </c>
      <c r="L1248" s="6">
        <v>0.79300000000000004</v>
      </c>
      <c r="M1248" s="6">
        <v>0.79300000000000004</v>
      </c>
      <c r="N1248" s="6">
        <v>0.79300000000000004</v>
      </c>
      <c r="O1248" s="6">
        <v>0.79300000000000004</v>
      </c>
      <c r="P1248" s="6">
        <v>0</v>
      </c>
      <c r="Q1248" s="4" t="s">
        <v>26</v>
      </c>
      <c r="R1248" s="4">
        <v>0</v>
      </c>
      <c r="S1248" s="4" t="s">
        <v>484</v>
      </c>
      <c r="T1248" s="4" t="s">
        <v>748</v>
      </c>
      <c r="U1248" s="4">
        <v>0</v>
      </c>
      <c r="V1248" s="4">
        <v>39</v>
      </c>
      <c r="W1248" s="4">
        <v>82</v>
      </c>
    </row>
    <row r="1249" spans="1:23" ht="11.25" customHeight="1" x14ac:dyDescent="0.25">
      <c r="A1249" s="4" t="s">
        <v>28</v>
      </c>
      <c r="B1249" s="4" t="s">
        <v>22</v>
      </c>
      <c r="C1249" s="4" t="s">
        <v>33</v>
      </c>
      <c r="D1249" s="4" t="s">
        <v>24</v>
      </c>
      <c r="E1249" s="4" t="s">
        <v>24</v>
      </c>
      <c r="F1249" s="4" t="s">
        <v>25</v>
      </c>
      <c r="G1249" s="4" t="s">
        <v>25</v>
      </c>
      <c r="H1249" s="4" t="s">
        <v>36</v>
      </c>
      <c r="I1249" s="5">
        <v>44378</v>
      </c>
      <c r="J1249" s="6">
        <v>0</v>
      </c>
      <c r="K1249" s="6">
        <v>0</v>
      </c>
      <c r="L1249" s="6">
        <v>0.154</v>
      </c>
      <c r="M1249" s="6">
        <v>0.154</v>
      </c>
      <c r="N1249" s="6">
        <v>0.154</v>
      </c>
      <c r="O1249" s="6">
        <v>0.154</v>
      </c>
      <c r="P1249" s="6">
        <v>0</v>
      </c>
      <c r="Q1249" s="4" t="s">
        <v>26</v>
      </c>
      <c r="R1249" s="4">
        <v>0</v>
      </c>
      <c r="S1249" s="4" t="s">
        <v>484</v>
      </c>
      <c r="T1249" s="4" t="s">
        <v>748</v>
      </c>
      <c r="U1249" s="4">
        <v>0</v>
      </c>
      <c r="V1249" s="4">
        <v>39</v>
      </c>
      <c r="W1249" s="4">
        <v>82</v>
      </c>
    </row>
    <row r="1250" spans="1:23" ht="11.25" customHeight="1" x14ac:dyDescent="0.25">
      <c r="A1250" s="4" t="s">
        <v>28</v>
      </c>
      <c r="B1250" s="4" t="s">
        <v>22</v>
      </c>
      <c r="C1250" s="4" t="s">
        <v>33</v>
      </c>
      <c r="D1250" s="4" t="s">
        <v>24</v>
      </c>
      <c r="E1250" s="4" t="s">
        <v>24</v>
      </c>
      <c r="F1250" s="4" t="s">
        <v>25</v>
      </c>
      <c r="G1250" s="4" t="s">
        <v>25</v>
      </c>
      <c r="H1250" s="4" t="s">
        <v>36</v>
      </c>
      <c r="I1250" s="5">
        <v>44378</v>
      </c>
      <c r="J1250" s="6">
        <v>0</v>
      </c>
      <c r="K1250" s="6">
        <v>0</v>
      </c>
      <c r="L1250" s="6">
        <v>-5.0000000000000001E-3</v>
      </c>
      <c r="M1250" s="6">
        <v>-5.0000000000000001E-3</v>
      </c>
      <c r="N1250" s="6">
        <v>-5.0000000000000001E-3</v>
      </c>
      <c r="O1250" s="6">
        <v>-5.0000000000000001E-3</v>
      </c>
      <c r="P1250" s="6">
        <v>0</v>
      </c>
      <c r="Q1250" s="4" t="s">
        <v>26</v>
      </c>
      <c r="R1250" s="4">
        <v>0</v>
      </c>
      <c r="S1250" s="4" t="s">
        <v>484</v>
      </c>
      <c r="T1250" s="4" t="s">
        <v>748</v>
      </c>
      <c r="U1250" s="4">
        <v>0</v>
      </c>
      <c r="V1250" s="4">
        <v>39</v>
      </c>
      <c r="W1250" s="4">
        <v>82</v>
      </c>
    </row>
    <row r="1251" spans="1:23" ht="11.25" customHeight="1" x14ac:dyDescent="0.25">
      <c r="A1251" s="4" t="s">
        <v>21</v>
      </c>
      <c r="B1251" s="4" t="s">
        <v>22</v>
      </c>
      <c r="C1251" s="4" t="s">
        <v>33</v>
      </c>
      <c r="D1251" s="4" t="s">
        <v>24</v>
      </c>
      <c r="E1251" s="4" t="s">
        <v>24</v>
      </c>
      <c r="F1251" s="4" t="s">
        <v>25</v>
      </c>
      <c r="G1251" s="4" t="s">
        <v>25</v>
      </c>
      <c r="H1251" s="4" t="s">
        <v>36</v>
      </c>
      <c r="I1251" s="5">
        <v>44409</v>
      </c>
      <c r="J1251" s="6">
        <v>0</v>
      </c>
      <c r="K1251" s="6">
        <v>0</v>
      </c>
      <c r="L1251" s="6">
        <v>0.86499999999999999</v>
      </c>
      <c r="M1251" s="6">
        <v>0.86499999999999999</v>
      </c>
      <c r="N1251" s="6">
        <v>0.86499999999999999</v>
      </c>
      <c r="O1251" s="6">
        <v>0.86499999999999999</v>
      </c>
      <c r="P1251" s="6">
        <v>0</v>
      </c>
      <c r="Q1251" s="4" t="s">
        <v>26</v>
      </c>
      <c r="R1251" s="4">
        <v>0</v>
      </c>
      <c r="S1251" s="4" t="s">
        <v>485</v>
      </c>
      <c r="T1251" s="4" t="s">
        <v>749</v>
      </c>
      <c r="U1251" s="4">
        <v>0</v>
      </c>
      <c r="V1251" s="4">
        <v>39</v>
      </c>
      <c r="W1251" s="4">
        <v>82</v>
      </c>
    </row>
    <row r="1252" spans="1:23" ht="11.25" customHeight="1" x14ac:dyDescent="0.25">
      <c r="A1252" s="4" t="s">
        <v>28</v>
      </c>
      <c r="B1252" s="4" t="s">
        <v>22</v>
      </c>
      <c r="C1252" s="4" t="s">
        <v>33</v>
      </c>
      <c r="D1252" s="4" t="s">
        <v>24</v>
      </c>
      <c r="E1252" s="4" t="s">
        <v>24</v>
      </c>
      <c r="F1252" s="4" t="s">
        <v>25</v>
      </c>
      <c r="G1252" s="4" t="s">
        <v>25</v>
      </c>
      <c r="H1252" s="4" t="s">
        <v>36</v>
      </c>
      <c r="I1252" s="5">
        <v>44409</v>
      </c>
      <c r="J1252" s="6">
        <v>0</v>
      </c>
      <c r="K1252" s="6">
        <v>0</v>
      </c>
      <c r="L1252" s="6">
        <v>0.107</v>
      </c>
      <c r="M1252" s="6">
        <v>0.107</v>
      </c>
      <c r="N1252" s="6">
        <v>0.107</v>
      </c>
      <c r="O1252" s="6">
        <v>0.107</v>
      </c>
      <c r="P1252" s="6">
        <v>0</v>
      </c>
      <c r="Q1252" s="4" t="s">
        <v>26</v>
      </c>
      <c r="R1252" s="4">
        <v>0</v>
      </c>
      <c r="S1252" s="4" t="s">
        <v>485</v>
      </c>
      <c r="T1252" s="4" t="s">
        <v>749</v>
      </c>
      <c r="U1252" s="4">
        <v>0</v>
      </c>
      <c r="V1252" s="4">
        <v>39</v>
      </c>
      <c r="W1252" s="4">
        <v>82</v>
      </c>
    </row>
    <row r="1253" spans="1:23" ht="11.25" customHeight="1" x14ac:dyDescent="0.25">
      <c r="A1253" s="4" t="s">
        <v>21</v>
      </c>
      <c r="B1253" s="4" t="s">
        <v>22</v>
      </c>
      <c r="C1253" s="4" t="s">
        <v>33</v>
      </c>
      <c r="D1253" s="4" t="s">
        <v>24</v>
      </c>
      <c r="E1253" s="4" t="s">
        <v>24</v>
      </c>
      <c r="F1253" s="4" t="s">
        <v>25</v>
      </c>
      <c r="G1253" s="4" t="s">
        <v>25</v>
      </c>
      <c r="H1253" s="4" t="s">
        <v>36</v>
      </c>
      <c r="I1253" s="5">
        <v>44440</v>
      </c>
      <c r="J1253" s="6">
        <v>0</v>
      </c>
      <c r="K1253" s="6">
        <v>0</v>
      </c>
      <c r="L1253" s="6">
        <v>0.84899999999999998</v>
      </c>
      <c r="M1253" s="6">
        <v>0.84899999999999998</v>
      </c>
      <c r="N1253" s="6">
        <v>0.84899999999999998</v>
      </c>
      <c r="O1253" s="6">
        <v>0.84899999999999998</v>
      </c>
      <c r="P1253" s="6">
        <v>0</v>
      </c>
      <c r="Q1253" s="4" t="s">
        <v>26</v>
      </c>
      <c r="R1253" s="4">
        <v>0</v>
      </c>
      <c r="S1253" s="4" t="s">
        <v>486</v>
      </c>
      <c r="T1253" s="4" t="s">
        <v>750</v>
      </c>
      <c r="U1253" s="4">
        <v>0</v>
      </c>
      <c r="V1253" s="4">
        <v>39</v>
      </c>
      <c r="W1253" s="4">
        <v>82</v>
      </c>
    </row>
    <row r="1254" spans="1:23" ht="11.25" customHeight="1" x14ac:dyDescent="0.25">
      <c r="A1254" s="4" t="s">
        <v>28</v>
      </c>
      <c r="B1254" s="4" t="s">
        <v>22</v>
      </c>
      <c r="C1254" s="4" t="s">
        <v>33</v>
      </c>
      <c r="D1254" s="4" t="s">
        <v>24</v>
      </c>
      <c r="E1254" s="4" t="s">
        <v>24</v>
      </c>
      <c r="F1254" s="4" t="s">
        <v>25</v>
      </c>
      <c r="G1254" s="4" t="s">
        <v>25</v>
      </c>
      <c r="H1254" s="4" t="s">
        <v>36</v>
      </c>
      <c r="I1254" s="5">
        <v>44440</v>
      </c>
      <c r="J1254" s="6">
        <v>0</v>
      </c>
      <c r="K1254" s="6">
        <v>0</v>
      </c>
      <c r="L1254" s="6">
        <v>0.14899999999999999</v>
      </c>
      <c r="M1254" s="6">
        <v>0.14899999999999999</v>
      </c>
      <c r="N1254" s="6">
        <v>0.14899999999999999</v>
      </c>
      <c r="O1254" s="6">
        <v>0.14899999999999999</v>
      </c>
      <c r="P1254" s="6">
        <v>0</v>
      </c>
      <c r="Q1254" s="4" t="s">
        <v>26</v>
      </c>
      <c r="R1254" s="4">
        <v>0</v>
      </c>
      <c r="S1254" s="4" t="s">
        <v>486</v>
      </c>
      <c r="T1254" s="4" t="s">
        <v>750</v>
      </c>
      <c r="U1254" s="4">
        <v>0</v>
      </c>
      <c r="V1254" s="4">
        <v>39</v>
      </c>
      <c r="W1254" s="4">
        <v>82</v>
      </c>
    </row>
    <row r="1255" spans="1:23" ht="11.25" customHeight="1" x14ac:dyDescent="0.25">
      <c r="A1255" s="4" t="s">
        <v>21</v>
      </c>
      <c r="B1255" s="4" t="s">
        <v>22</v>
      </c>
      <c r="C1255" s="4" t="s">
        <v>33</v>
      </c>
      <c r="D1255" s="4" t="s">
        <v>24</v>
      </c>
      <c r="E1255" s="4" t="s">
        <v>24</v>
      </c>
      <c r="F1255" s="4" t="s">
        <v>25</v>
      </c>
      <c r="G1255" s="4" t="s">
        <v>25</v>
      </c>
      <c r="H1255" s="4" t="s">
        <v>36</v>
      </c>
      <c r="I1255" s="5">
        <v>44470</v>
      </c>
      <c r="J1255" s="6">
        <v>0</v>
      </c>
      <c r="K1255" s="6">
        <v>0</v>
      </c>
      <c r="L1255" s="6">
        <v>0.73199999999999998</v>
      </c>
      <c r="M1255" s="6">
        <v>0.73199999999999998</v>
      </c>
      <c r="N1255" s="6">
        <v>0.73199999999999998</v>
      </c>
      <c r="O1255" s="6">
        <v>0.73199999999999998</v>
      </c>
      <c r="P1255" s="6">
        <v>0</v>
      </c>
      <c r="Q1255" s="4" t="s">
        <v>26</v>
      </c>
      <c r="R1255" s="4">
        <v>0</v>
      </c>
      <c r="S1255" s="4" t="s">
        <v>487</v>
      </c>
      <c r="T1255" s="4" t="s">
        <v>751</v>
      </c>
      <c r="U1255" s="4">
        <v>0</v>
      </c>
      <c r="V1255" s="4">
        <v>39</v>
      </c>
      <c r="W1255" s="4">
        <v>82</v>
      </c>
    </row>
    <row r="1256" spans="1:23" ht="11.25" customHeight="1" x14ac:dyDescent="0.25">
      <c r="A1256" s="4" t="s">
        <v>28</v>
      </c>
      <c r="B1256" s="4" t="s">
        <v>22</v>
      </c>
      <c r="C1256" s="4" t="s">
        <v>33</v>
      </c>
      <c r="D1256" s="4" t="s">
        <v>24</v>
      </c>
      <c r="E1256" s="4" t="s">
        <v>24</v>
      </c>
      <c r="F1256" s="4" t="s">
        <v>25</v>
      </c>
      <c r="G1256" s="4" t="s">
        <v>25</v>
      </c>
      <c r="H1256" s="4" t="s">
        <v>36</v>
      </c>
      <c r="I1256" s="5">
        <v>44470</v>
      </c>
      <c r="J1256" s="6">
        <v>0</v>
      </c>
      <c r="K1256" s="6">
        <v>0</v>
      </c>
      <c r="L1256" s="6">
        <v>6.4000000000000001E-2</v>
      </c>
      <c r="M1256" s="6">
        <v>6.4000000000000001E-2</v>
      </c>
      <c r="N1256" s="6">
        <v>6.4000000000000001E-2</v>
      </c>
      <c r="O1256" s="6">
        <v>6.4000000000000001E-2</v>
      </c>
      <c r="P1256" s="6">
        <v>0</v>
      </c>
      <c r="Q1256" s="4" t="s">
        <v>26</v>
      </c>
      <c r="R1256" s="4">
        <v>0</v>
      </c>
      <c r="S1256" s="4" t="s">
        <v>487</v>
      </c>
      <c r="T1256" s="4" t="s">
        <v>751</v>
      </c>
      <c r="U1256" s="4">
        <v>0</v>
      </c>
      <c r="V1256" s="4">
        <v>39</v>
      </c>
      <c r="W1256" s="4">
        <v>82</v>
      </c>
    </row>
    <row r="1257" spans="1:23" ht="11.25" customHeight="1" x14ac:dyDescent="0.25">
      <c r="A1257" s="4" t="s">
        <v>28</v>
      </c>
      <c r="B1257" s="4" t="s">
        <v>22</v>
      </c>
      <c r="C1257" s="4" t="s">
        <v>33</v>
      </c>
      <c r="D1257" s="4" t="s">
        <v>24</v>
      </c>
      <c r="E1257" s="4" t="s">
        <v>24</v>
      </c>
      <c r="F1257" s="4" t="s">
        <v>25</v>
      </c>
      <c r="G1257" s="4" t="s">
        <v>25</v>
      </c>
      <c r="H1257" s="4" t="s">
        <v>36</v>
      </c>
      <c r="I1257" s="5">
        <v>44470</v>
      </c>
      <c r="J1257" s="6">
        <v>0</v>
      </c>
      <c r="K1257" s="6">
        <v>0</v>
      </c>
      <c r="L1257" s="6">
        <v>-1.4E-2</v>
      </c>
      <c r="M1257" s="6">
        <v>-1.4E-2</v>
      </c>
      <c r="N1257" s="6">
        <v>-1.4E-2</v>
      </c>
      <c r="O1257" s="6">
        <v>-1.4E-2</v>
      </c>
      <c r="P1257" s="6">
        <v>0</v>
      </c>
      <c r="Q1257" s="4" t="s">
        <v>26</v>
      </c>
      <c r="R1257" s="4">
        <v>0</v>
      </c>
      <c r="S1257" s="4" t="s">
        <v>487</v>
      </c>
      <c r="T1257" s="4" t="s">
        <v>751</v>
      </c>
      <c r="U1257" s="4">
        <v>0</v>
      </c>
      <c r="V1257" s="4">
        <v>39</v>
      </c>
      <c r="W1257" s="4">
        <v>82</v>
      </c>
    </row>
    <row r="1258" spans="1:23" ht="11.25" customHeight="1" x14ac:dyDescent="0.25">
      <c r="A1258" s="4" t="s">
        <v>21</v>
      </c>
      <c r="B1258" s="4" t="s">
        <v>22</v>
      </c>
      <c r="C1258" s="4" t="s">
        <v>33</v>
      </c>
      <c r="D1258" s="4" t="s">
        <v>24</v>
      </c>
      <c r="E1258" s="4" t="s">
        <v>24</v>
      </c>
      <c r="F1258" s="4" t="s">
        <v>25</v>
      </c>
      <c r="G1258" s="4" t="s">
        <v>25</v>
      </c>
      <c r="H1258" s="4" t="s">
        <v>36</v>
      </c>
      <c r="I1258" s="5">
        <v>44501</v>
      </c>
      <c r="J1258" s="6">
        <v>0</v>
      </c>
      <c r="K1258" s="6">
        <v>0</v>
      </c>
      <c r="L1258" s="6">
        <v>0.70899999999999996</v>
      </c>
      <c r="M1258" s="6">
        <v>0.70899999999999996</v>
      </c>
      <c r="N1258" s="6">
        <v>0.70899999999999996</v>
      </c>
      <c r="O1258" s="6">
        <v>0.70899999999999996</v>
      </c>
      <c r="P1258" s="6">
        <v>0</v>
      </c>
      <c r="Q1258" s="4" t="s">
        <v>26</v>
      </c>
      <c r="R1258" s="4">
        <v>0</v>
      </c>
      <c r="S1258" s="4" t="s">
        <v>488</v>
      </c>
      <c r="T1258" s="4" t="s">
        <v>752</v>
      </c>
      <c r="U1258" s="4">
        <v>0</v>
      </c>
      <c r="V1258" s="4">
        <v>39</v>
      </c>
      <c r="W1258" s="4">
        <v>82</v>
      </c>
    </row>
    <row r="1259" spans="1:23" ht="11.25" customHeight="1" x14ac:dyDescent="0.25">
      <c r="A1259" s="4" t="s">
        <v>28</v>
      </c>
      <c r="B1259" s="4" t="s">
        <v>22</v>
      </c>
      <c r="C1259" s="4" t="s">
        <v>33</v>
      </c>
      <c r="D1259" s="4" t="s">
        <v>24</v>
      </c>
      <c r="E1259" s="4" t="s">
        <v>24</v>
      </c>
      <c r="F1259" s="4" t="s">
        <v>25</v>
      </c>
      <c r="G1259" s="4" t="s">
        <v>25</v>
      </c>
      <c r="H1259" s="4" t="s">
        <v>36</v>
      </c>
      <c r="I1259" s="5">
        <v>44501</v>
      </c>
      <c r="J1259" s="6">
        <v>0</v>
      </c>
      <c r="K1259" s="6">
        <v>0</v>
      </c>
      <c r="L1259" s="6">
        <v>0.14000000000000001</v>
      </c>
      <c r="M1259" s="6">
        <v>0.14000000000000001</v>
      </c>
      <c r="N1259" s="6">
        <v>0.14000000000000001</v>
      </c>
      <c r="O1259" s="6">
        <v>0.14000000000000001</v>
      </c>
      <c r="P1259" s="6">
        <v>0</v>
      </c>
      <c r="Q1259" s="4" t="s">
        <v>26</v>
      </c>
      <c r="R1259" s="4">
        <v>0</v>
      </c>
      <c r="S1259" s="4" t="s">
        <v>488</v>
      </c>
      <c r="T1259" s="4" t="s">
        <v>752</v>
      </c>
      <c r="U1259" s="4">
        <v>0</v>
      </c>
      <c r="V1259" s="4">
        <v>39</v>
      </c>
      <c r="W1259" s="4">
        <v>82</v>
      </c>
    </row>
    <row r="1260" spans="1:23" ht="11.25" customHeight="1" x14ac:dyDescent="0.25">
      <c r="A1260" s="4" t="s">
        <v>21</v>
      </c>
      <c r="B1260" s="4" t="s">
        <v>22</v>
      </c>
      <c r="C1260" s="4" t="s">
        <v>33</v>
      </c>
      <c r="D1260" s="4" t="s">
        <v>24</v>
      </c>
      <c r="E1260" s="4" t="s">
        <v>24</v>
      </c>
      <c r="F1260" s="4" t="s">
        <v>25</v>
      </c>
      <c r="G1260" s="4" t="s">
        <v>25</v>
      </c>
      <c r="H1260" s="4" t="s">
        <v>36</v>
      </c>
      <c r="I1260" s="5">
        <v>44531</v>
      </c>
      <c r="J1260" s="6">
        <v>0</v>
      </c>
      <c r="K1260" s="6">
        <v>0</v>
      </c>
      <c r="L1260" s="6">
        <v>0.78500000000000003</v>
      </c>
      <c r="M1260" s="6">
        <v>0.78500000000000003</v>
      </c>
      <c r="N1260" s="6">
        <v>0.78500000000000003</v>
      </c>
      <c r="O1260" s="6">
        <v>0.78500000000000003</v>
      </c>
      <c r="P1260" s="6">
        <v>0</v>
      </c>
      <c r="Q1260" s="4" t="s">
        <v>26</v>
      </c>
      <c r="R1260" s="4">
        <v>0</v>
      </c>
      <c r="S1260" s="4" t="s">
        <v>489</v>
      </c>
      <c r="T1260" s="4" t="s">
        <v>753</v>
      </c>
      <c r="U1260" s="4">
        <v>0</v>
      </c>
      <c r="V1260" s="4">
        <v>39</v>
      </c>
      <c r="W1260" s="4">
        <v>82</v>
      </c>
    </row>
    <row r="1261" spans="1:23" ht="11.25" customHeight="1" x14ac:dyDescent="0.25">
      <c r="A1261" s="4" t="s">
        <v>28</v>
      </c>
      <c r="B1261" s="4" t="s">
        <v>22</v>
      </c>
      <c r="C1261" s="4" t="s">
        <v>33</v>
      </c>
      <c r="D1261" s="4" t="s">
        <v>24</v>
      </c>
      <c r="E1261" s="4" t="s">
        <v>24</v>
      </c>
      <c r="F1261" s="4" t="s">
        <v>25</v>
      </c>
      <c r="G1261" s="4" t="s">
        <v>25</v>
      </c>
      <c r="H1261" s="4" t="s">
        <v>36</v>
      </c>
      <c r="I1261" s="5">
        <v>44531</v>
      </c>
      <c r="J1261" s="6">
        <v>0</v>
      </c>
      <c r="K1261" s="6">
        <v>0</v>
      </c>
      <c r="L1261" s="6">
        <v>8.8999999999999996E-2</v>
      </c>
      <c r="M1261" s="6">
        <v>8.8999999999999996E-2</v>
      </c>
      <c r="N1261" s="6">
        <v>8.8999999999999996E-2</v>
      </c>
      <c r="O1261" s="6">
        <v>8.8999999999999996E-2</v>
      </c>
      <c r="P1261" s="6">
        <v>0</v>
      </c>
      <c r="Q1261" s="4" t="s">
        <v>26</v>
      </c>
      <c r="R1261" s="4">
        <v>0</v>
      </c>
      <c r="S1261" s="4" t="s">
        <v>489</v>
      </c>
      <c r="T1261" s="4" t="s">
        <v>753</v>
      </c>
      <c r="U1261" s="4">
        <v>0</v>
      </c>
      <c r="V1261" s="4">
        <v>39</v>
      </c>
      <c r="W1261" s="4">
        <v>82</v>
      </c>
    </row>
    <row r="1262" spans="1:23" ht="11.25" customHeight="1" x14ac:dyDescent="0.25">
      <c r="A1262" s="4" t="s">
        <v>28</v>
      </c>
      <c r="B1262" s="4" t="s">
        <v>22</v>
      </c>
      <c r="C1262" s="4" t="s">
        <v>33</v>
      </c>
      <c r="D1262" s="4" t="s">
        <v>24</v>
      </c>
      <c r="E1262" s="4" t="s">
        <v>24</v>
      </c>
      <c r="F1262" s="4" t="s">
        <v>25</v>
      </c>
      <c r="G1262" s="4" t="s">
        <v>25</v>
      </c>
      <c r="H1262" s="4" t="s">
        <v>36</v>
      </c>
      <c r="I1262" s="5">
        <v>44531</v>
      </c>
      <c r="J1262" s="6">
        <v>0</v>
      </c>
      <c r="K1262" s="6">
        <v>0</v>
      </c>
      <c r="L1262" s="6">
        <v>-1.9E-2</v>
      </c>
      <c r="M1262" s="6">
        <v>-1.9E-2</v>
      </c>
      <c r="N1262" s="6">
        <v>-1.9E-2</v>
      </c>
      <c r="O1262" s="6">
        <v>-1.9E-2</v>
      </c>
      <c r="P1262" s="6">
        <v>0</v>
      </c>
      <c r="Q1262" s="4" t="s">
        <v>26</v>
      </c>
      <c r="R1262" s="4">
        <v>0</v>
      </c>
      <c r="S1262" s="4" t="s">
        <v>489</v>
      </c>
      <c r="T1262" s="4" t="s">
        <v>753</v>
      </c>
      <c r="U1262" s="4">
        <v>0</v>
      </c>
      <c r="V1262" s="4">
        <v>39</v>
      </c>
      <c r="W1262" s="4">
        <v>82</v>
      </c>
    </row>
    <row r="1263" spans="1:23" ht="11.25" customHeight="1" x14ac:dyDescent="0.25">
      <c r="A1263" s="4" t="s">
        <v>21</v>
      </c>
      <c r="B1263" s="4" t="s">
        <v>22</v>
      </c>
      <c r="C1263" s="4" t="s">
        <v>33</v>
      </c>
      <c r="D1263" s="4" t="s">
        <v>24</v>
      </c>
      <c r="E1263" s="4" t="s">
        <v>24</v>
      </c>
      <c r="F1263" s="4" t="s">
        <v>25</v>
      </c>
      <c r="G1263" s="4" t="s">
        <v>25</v>
      </c>
      <c r="H1263" s="4" t="s">
        <v>36</v>
      </c>
      <c r="I1263" s="5">
        <v>44562</v>
      </c>
      <c r="J1263" s="6">
        <v>0</v>
      </c>
      <c r="K1263" s="6">
        <v>0</v>
      </c>
      <c r="L1263" s="6">
        <v>0.80900000000000005</v>
      </c>
      <c r="M1263" s="6">
        <v>0.80900000000000005</v>
      </c>
      <c r="N1263" s="6">
        <v>0.80900000000000005</v>
      </c>
      <c r="O1263" s="6">
        <v>0.80900000000000005</v>
      </c>
      <c r="P1263" s="6">
        <v>0</v>
      </c>
      <c r="Q1263" s="4" t="s">
        <v>26</v>
      </c>
      <c r="R1263" s="4">
        <v>0</v>
      </c>
      <c r="S1263" s="4" t="s">
        <v>490</v>
      </c>
      <c r="T1263" s="4" t="s">
        <v>754</v>
      </c>
      <c r="U1263" s="4">
        <v>0</v>
      </c>
      <c r="V1263" s="4">
        <v>39</v>
      </c>
      <c r="W1263" s="4">
        <v>82</v>
      </c>
    </row>
    <row r="1264" spans="1:23" ht="11.25" customHeight="1" x14ac:dyDescent="0.25">
      <c r="A1264" s="4" t="s">
        <v>28</v>
      </c>
      <c r="B1264" s="4" t="s">
        <v>22</v>
      </c>
      <c r="C1264" s="4" t="s">
        <v>33</v>
      </c>
      <c r="D1264" s="4" t="s">
        <v>24</v>
      </c>
      <c r="E1264" s="4" t="s">
        <v>24</v>
      </c>
      <c r="F1264" s="4" t="s">
        <v>25</v>
      </c>
      <c r="G1264" s="4" t="s">
        <v>25</v>
      </c>
      <c r="H1264" s="4" t="s">
        <v>36</v>
      </c>
      <c r="I1264" s="5">
        <v>44562</v>
      </c>
      <c r="J1264" s="6">
        <v>0</v>
      </c>
      <c r="K1264" s="6">
        <v>0</v>
      </c>
      <c r="L1264" s="6">
        <v>0.13200000000000001</v>
      </c>
      <c r="M1264" s="6">
        <v>0.13200000000000001</v>
      </c>
      <c r="N1264" s="6">
        <v>0.13200000000000001</v>
      </c>
      <c r="O1264" s="6">
        <v>0.13200000000000001</v>
      </c>
      <c r="P1264" s="6">
        <v>0</v>
      </c>
      <c r="Q1264" s="4" t="s">
        <v>26</v>
      </c>
      <c r="R1264" s="4">
        <v>0</v>
      </c>
      <c r="S1264" s="4" t="s">
        <v>490</v>
      </c>
      <c r="T1264" s="4" t="s">
        <v>754</v>
      </c>
      <c r="U1264" s="4">
        <v>0</v>
      </c>
      <c r="V1264" s="4">
        <v>39</v>
      </c>
      <c r="W1264" s="4">
        <v>82</v>
      </c>
    </row>
    <row r="1265" spans="1:23" ht="11.25" customHeight="1" x14ac:dyDescent="0.25">
      <c r="A1265" s="4" t="s">
        <v>21</v>
      </c>
      <c r="B1265" s="4" t="s">
        <v>22</v>
      </c>
      <c r="C1265" s="4" t="s">
        <v>33</v>
      </c>
      <c r="D1265" s="4" t="s">
        <v>24</v>
      </c>
      <c r="E1265" s="4" t="s">
        <v>24</v>
      </c>
      <c r="F1265" s="4" t="s">
        <v>25</v>
      </c>
      <c r="G1265" s="4" t="s">
        <v>25</v>
      </c>
      <c r="H1265" s="4" t="s">
        <v>36</v>
      </c>
      <c r="I1265" s="5">
        <v>44593</v>
      </c>
      <c r="J1265" s="6">
        <v>0</v>
      </c>
      <c r="K1265" s="6">
        <v>0</v>
      </c>
      <c r="L1265" s="6">
        <v>0.79900000000000004</v>
      </c>
      <c r="M1265" s="6">
        <v>0.79900000000000004</v>
      </c>
      <c r="N1265" s="6">
        <v>0.79900000000000004</v>
      </c>
      <c r="O1265" s="6">
        <v>0.79900000000000004</v>
      </c>
      <c r="P1265" s="6">
        <v>0</v>
      </c>
      <c r="Q1265" s="4" t="s">
        <v>26</v>
      </c>
      <c r="R1265" s="4">
        <v>0</v>
      </c>
      <c r="S1265" s="4" t="s">
        <v>491</v>
      </c>
      <c r="T1265" s="4" t="s">
        <v>755</v>
      </c>
      <c r="U1265" s="4">
        <v>0</v>
      </c>
      <c r="V1265" s="4">
        <v>39</v>
      </c>
      <c r="W1265" s="4">
        <v>82</v>
      </c>
    </row>
    <row r="1266" spans="1:23" ht="11.25" customHeight="1" x14ac:dyDescent="0.25">
      <c r="A1266" s="4" t="s">
        <v>28</v>
      </c>
      <c r="B1266" s="4" t="s">
        <v>22</v>
      </c>
      <c r="C1266" s="4" t="s">
        <v>33</v>
      </c>
      <c r="D1266" s="4" t="s">
        <v>24</v>
      </c>
      <c r="E1266" s="4" t="s">
        <v>24</v>
      </c>
      <c r="F1266" s="4" t="s">
        <v>25</v>
      </c>
      <c r="G1266" s="4" t="s">
        <v>25</v>
      </c>
      <c r="H1266" s="4" t="s">
        <v>36</v>
      </c>
      <c r="I1266" s="5">
        <v>44593</v>
      </c>
      <c r="J1266" s="6">
        <v>0</v>
      </c>
      <c r="K1266" s="6">
        <v>0</v>
      </c>
      <c r="L1266" s="6">
        <v>0.188</v>
      </c>
      <c r="M1266" s="6">
        <v>0.188</v>
      </c>
      <c r="N1266" s="6">
        <v>0.188</v>
      </c>
      <c r="O1266" s="6">
        <v>0.188</v>
      </c>
      <c r="P1266" s="6">
        <v>0</v>
      </c>
      <c r="Q1266" s="4" t="s">
        <v>26</v>
      </c>
      <c r="R1266" s="4">
        <v>0</v>
      </c>
      <c r="S1266" s="4" t="s">
        <v>491</v>
      </c>
      <c r="T1266" s="4" t="s">
        <v>755</v>
      </c>
      <c r="U1266" s="4">
        <v>0</v>
      </c>
      <c r="V1266" s="4">
        <v>39</v>
      </c>
      <c r="W1266" s="4">
        <v>82</v>
      </c>
    </row>
    <row r="1267" spans="1:23" ht="11.25" customHeight="1" x14ac:dyDescent="0.25">
      <c r="A1267" s="4" t="s">
        <v>28</v>
      </c>
      <c r="B1267" s="4" t="s">
        <v>22</v>
      </c>
      <c r="C1267" s="4" t="s">
        <v>33</v>
      </c>
      <c r="D1267" s="4" t="s">
        <v>24</v>
      </c>
      <c r="E1267" s="4" t="s">
        <v>24</v>
      </c>
      <c r="F1267" s="4" t="s">
        <v>25</v>
      </c>
      <c r="G1267" s="4" t="s">
        <v>25</v>
      </c>
      <c r="H1267" s="4" t="s">
        <v>36</v>
      </c>
      <c r="I1267" s="5">
        <v>44593</v>
      </c>
      <c r="J1267" s="6">
        <v>0</v>
      </c>
      <c r="K1267" s="6">
        <v>0</v>
      </c>
      <c r="L1267" s="6">
        <v>-1.7999999999999999E-2</v>
      </c>
      <c r="M1267" s="6">
        <v>-1.7999999999999999E-2</v>
      </c>
      <c r="N1267" s="6">
        <v>-1.7999999999999999E-2</v>
      </c>
      <c r="O1267" s="6">
        <v>-1.7999999999999999E-2</v>
      </c>
      <c r="P1267" s="6">
        <v>0</v>
      </c>
      <c r="Q1267" s="4" t="s">
        <v>26</v>
      </c>
      <c r="R1267" s="4">
        <v>0</v>
      </c>
      <c r="S1267" s="4" t="s">
        <v>491</v>
      </c>
      <c r="T1267" s="4" t="s">
        <v>755</v>
      </c>
      <c r="U1267" s="4">
        <v>0</v>
      </c>
      <c r="V1267" s="4">
        <v>39</v>
      </c>
      <c r="W1267" s="4">
        <v>82</v>
      </c>
    </row>
    <row r="1268" spans="1:23" ht="11.25" customHeight="1" x14ac:dyDescent="0.25">
      <c r="A1268" s="4" t="s">
        <v>21</v>
      </c>
      <c r="B1268" s="4" t="s">
        <v>22</v>
      </c>
      <c r="C1268" s="4" t="s">
        <v>33</v>
      </c>
      <c r="D1268" s="4" t="s">
        <v>24</v>
      </c>
      <c r="E1268" s="4" t="s">
        <v>24</v>
      </c>
      <c r="F1268" s="4" t="s">
        <v>25</v>
      </c>
      <c r="G1268" s="4" t="s">
        <v>25</v>
      </c>
      <c r="H1268" s="4" t="s">
        <v>36</v>
      </c>
      <c r="I1268" s="5">
        <v>44621</v>
      </c>
      <c r="J1268" s="6">
        <v>0</v>
      </c>
      <c r="K1268" s="6">
        <v>0</v>
      </c>
      <c r="L1268" s="6">
        <v>0.85099999999999998</v>
      </c>
      <c r="M1268" s="6">
        <v>0.85099999999999998</v>
      </c>
      <c r="N1268" s="6">
        <v>0.85099999999999998</v>
      </c>
      <c r="O1268" s="6">
        <v>0.85099999999999998</v>
      </c>
      <c r="P1268" s="6">
        <v>0</v>
      </c>
      <c r="Q1268" s="4" t="s">
        <v>26</v>
      </c>
      <c r="R1268" s="4">
        <v>0</v>
      </c>
      <c r="S1268" s="4" t="s">
        <v>492</v>
      </c>
      <c r="T1268" s="4" t="s">
        <v>756</v>
      </c>
      <c r="U1268" s="4">
        <v>0</v>
      </c>
      <c r="V1268" s="4">
        <v>39</v>
      </c>
      <c r="W1268" s="4">
        <v>82</v>
      </c>
    </row>
    <row r="1269" spans="1:23" ht="11.25" customHeight="1" x14ac:dyDescent="0.25">
      <c r="A1269" s="4" t="s">
        <v>28</v>
      </c>
      <c r="B1269" s="4" t="s">
        <v>22</v>
      </c>
      <c r="C1269" s="4" t="s">
        <v>33</v>
      </c>
      <c r="D1269" s="4" t="s">
        <v>24</v>
      </c>
      <c r="E1269" s="4" t="s">
        <v>24</v>
      </c>
      <c r="F1269" s="4" t="s">
        <v>25</v>
      </c>
      <c r="G1269" s="4" t="s">
        <v>25</v>
      </c>
      <c r="H1269" s="4" t="s">
        <v>36</v>
      </c>
      <c r="I1269" s="5">
        <v>44621</v>
      </c>
      <c r="J1269" s="6">
        <v>0</v>
      </c>
      <c r="K1269" s="6">
        <v>0</v>
      </c>
      <c r="L1269" s="6">
        <v>0.11</v>
      </c>
      <c r="M1269" s="6">
        <v>0.11</v>
      </c>
      <c r="N1269" s="6">
        <v>0.11</v>
      </c>
      <c r="O1269" s="6">
        <v>0.11</v>
      </c>
      <c r="P1269" s="6">
        <v>0</v>
      </c>
      <c r="Q1269" s="4" t="s">
        <v>26</v>
      </c>
      <c r="R1269" s="4">
        <v>0</v>
      </c>
      <c r="S1269" s="4" t="s">
        <v>492</v>
      </c>
      <c r="T1269" s="4" t="s">
        <v>756</v>
      </c>
      <c r="U1269" s="4">
        <v>0</v>
      </c>
      <c r="V1269" s="4">
        <v>39</v>
      </c>
      <c r="W1269" s="4">
        <v>82</v>
      </c>
    </row>
    <row r="1270" spans="1:23" ht="11.25" customHeight="1" x14ac:dyDescent="0.25">
      <c r="A1270" s="4" t="s">
        <v>21</v>
      </c>
      <c r="B1270" s="4" t="s">
        <v>22</v>
      </c>
      <c r="C1270" s="4" t="s">
        <v>33</v>
      </c>
      <c r="D1270" s="4" t="s">
        <v>24</v>
      </c>
      <c r="E1270" s="4" t="s">
        <v>24</v>
      </c>
      <c r="F1270" s="4" t="s">
        <v>25</v>
      </c>
      <c r="G1270" s="4" t="s">
        <v>25</v>
      </c>
      <c r="H1270" s="4" t="s">
        <v>36</v>
      </c>
      <c r="I1270" s="5">
        <v>44652</v>
      </c>
      <c r="J1270" s="6">
        <v>0</v>
      </c>
      <c r="K1270" s="6">
        <v>0</v>
      </c>
      <c r="L1270" s="6">
        <v>0.70099999999999996</v>
      </c>
      <c r="M1270" s="6">
        <v>0.70099999999999996</v>
      </c>
      <c r="N1270" s="6">
        <v>0.70099999999999996</v>
      </c>
      <c r="O1270" s="6">
        <v>0.70099999999999996</v>
      </c>
      <c r="P1270" s="6">
        <v>0</v>
      </c>
      <c r="Q1270" s="4" t="s">
        <v>26</v>
      </c>
      <c r="R1270" s="4">
        <v>0</v>
      </c>
      <c r="S1270" s="4" t="s">
        <v>493</v>
      </c>
      <c r="T1270" s="4" t="s">
        <v>757</v>
      </c>
      <c r="U1270" s="4">
        <v>0</v>
      </c>
      <c r="V1270" s="4">
        <v>39</v>
      </c>
      <c r="W1270" s="4">
        <v>82</v>
      </c>
    </row>
    <row r="1271" spans="1:23" ht="11.25" customHeight="1" x14ac:dyDescent="0.25">
      <c r="A1271" s="4" t="s">
        <v>28</v>
      </c>
      <c r="B1271" s="4" t="s">
        <v>22</v>
      </c>
      <c r="C1271" s="4" t="s">
        <v>33</v>
      </c>
      <c r="D1271" s="4" t="s">
        <v>24</v>
      </c>
      <c r="E1271" s="4" t="s">
        <v>24</v>
      </c>
      <c r="F1271" s="4" t="s">
        <v>25</v>
      </c>
      <c r="G1271" s="4" t="s">
        <v>25</v>
      </c>
      <c r="H1271" s="4" t="s">
        <v>36</v>
      </c>
      <c r="I1271" s="5">
        <v>44652</v>
      </c>
      <c r="J1271" s="6">
        <v>0</v>
      </c>
      <c r="K1271" s="6">
        <v>0</v>
      </c>
      <c r="L1271" s="6">
        <v>0.109</v>
      </c>
      <c r="M1271" s="6">
        <v>0.109</v>
      </c>
      <c r="N1271" s="6">
        <v>0.109</v>
      </c>
      <c r="O1271" s="6">
        <v>0.109</v>
      </c>
      <c r="P1271" s="6">
        <v>0</v>
      </c>
      <c r="Q1271" s="4" t="s">
        <v>26</v>
      </c>
      <c r="R1271" s="4">
        <v>0</v>
      </c>
      <c r="S1271" s="4" t="s">
        <v>493</v>
      </c>
      <c r="T1271" s="4" t="s">
        <v>757</v>
      </c>
      <c r="U1271" s="4">
        <v>0</v>
      </c>
      <c r="V1271" s="4">
        <v>39</v>
      </c>
      <c r="W1271" s="4">
        <v>82</v>
      </c>
    </row>
    <row r="1272" spans="1:23" ht="11.25" customHeight="1" x14ac:dyDescent="0.25">
      <c r="A1272" s="4" t="s">
        <v>58</v>
      </c>
      <c r="B1272" s="4" t="s">
        <v>22</v>
      </c>
      <c r="C1272" s="4" t="s">
        <v>33</v>
      </c>
      <c r="D1272" s="4" t="s">
        <v>24</v>
      </c>
      <c r="E1272" s="4" t="s">
        <v>24</v>
      </c>
      <c r="F1272" s="4" t="s">
        <v>25</v>
      </c>
      <c r="G1272" s="4" t="s">
        <v>25</v>
      </c>
      <c r="H1272" s="4" t="s">
        <v>36</v>
      </c>
      <c r="I1272" s="5">
        <v>44682</v>
      </c>
      <c r="J1272" s="6">
        <v>0</v>
      </c>
      <c r="K1272" s="6">
        <v>0</v>
      </c>
      <c r="L1272" s="6">
        <v>0.70099999999999996</v>
      </c>
      <c r="M1272" s="6">
        <v>0.70099999999999996</v>
      </c>
      <c r="N1272" s="6">
        <v>0.70099999999999996</v>
      </c>
      <c r="O1272" s="6">
        <v>0.70099999999999996</v>
      </c>
      <c r="P1272" s="6">
        <v>0</v>
      </c>
      <c r="Q1272" s="4" t="s">
        <v>26</v>
      </c>
      <c r="R1272" s="4">
        <v>0</v>
      </c>
      <c r="S1272" s="4" t="s">
        <v>494</v>
      </c>
      <c r="T1272" s="4" t="s">
        <v>758</v>
      </c>
      <c r="U1272" s="4">
        <v>0</v>
      </c>
      <c r="V1272" s="4">
        <v>39</v>
      </c>
      <c r="W1272" s="4">
        <v>82</v>
      </c>
    </row>
    <row r="1273" spans="1:23" ht="11.25" customHeight="1" x14ac:dyDescent="0.25">
      <c r="A1273" s="4" t="s">
        <v>58</v>
      </c>
      <c r="B1273" s="4" t="s">
        <v>22</v>
      </c>
      <c r="C1273" s="4" t="s">
        <v>33</v>
      </c>
      <c r="D1273" s="4" t="s">
        <v>24</v>
      </c>
      <c r="E1273" s="4" t="s">
        <v>24</v>
      </c>
      <c r="F1273" s="4" t="s">
        <v>25</v>
      </c>
      <c r="G1273" s="4" t="s">
        <v>25</v>
      </c>
      <c r="H1273" s="4" t="s">
        <v>36</v>
      </c>
      <c r="I1273" s="5">
        <v>44682</v>
      </c>
      <c r="J1273" s="6">
        <v>0</v>
      </c>
      <c r="K1273" s="6">
        <v>0</v>
      </c>
      <c r="L1273" s="6">
        <v>0.109</v>
      </c>
      <c r="M1273" s="6">
        <v>0.109</v>
      </c>
      <c r="N1273" s="6">
        <v>0.109</v>
      </c>
      <c r="O1273" s="6">
        <v>0.109</v>
      </c>
      <c r="P1273" s="6">
        <v>0</v>
      </c>
      <c r="Q1273" s="4" t="s">
        <v>26</v>
      </c>
      <c r="R1273" s="4">
        <v>0</v>
      </c>
      <c r="S1273" s="4" t="s">
        <v>494</v>
      </c>
      <c r="T1273" s="4" t="s">
        <v>758</v>
      </c>
      <c r="U1273" s="4">
        <v>0</v>
      </c>
      <c r="V1273" s="4">
        <v>39</v>
      </c>
      <c r="W1273" s="4">
        <v>82</v>
      </c>
    </row>
    <row r="1274" spans="1:23" ht="11.25" customHeight="1" x14ac:dyDescent="0.25">
      <c r="A1274" s="4" t="s">
        <v>21</v>
      </c>
      <c r="B1274" s="4" t="s">
        <v>22</v>
      </c>
      <c r="C1274" s="4" t="s">
        <v>33</v>
      </c>
      <c r="D1274" s="4" t="s">
        <v>24</v>
      </c>
      <c r="E1274" s="4" t="s">
        <v>24</v>
      </c>
      <c r="F1274" s="4" t="s">
        <v>25</v>
      </c>
      <c r="G1274" s="4" t="s">
        <v>25</v>
      </c>
      <c r="H1274" s="4" t="s">
        <v>34</v>
      </c>
      <c r="I1274" s="5">
        <v>44348</v>
      </c>
      <c r="J1274" s="6">
        <v>0</v>
      </c>
      <c r="K1274" s="6">
        <v>0</v>
      </c>
      <c r="L1274" s="6">
        <v>1.4550000000000001</v>
      </c>
      <c r="M1274" s="6">
        <v>1.4550000000000001</v>
      </c>
      <c r="N1274" s="6">
        <v>1.4550000000000001</v>
      </c>
      <c r="O1274" s="6">
        <v>1.4550000000000001</v>
      </c>
      <c r="P1274" s="6">
        <v>0</v>
      </c>
      <c r="Q1274" s="4" t="s">
        <v>26</v>
      </c>
      <c r="R1274" s="4">
        <v>0</v>
      </c>
      <c r="S1274" s="4" t="s">
        <v>495</v>
      </c>
      <c r="T1274" s="4" t="s">
        <v>759</v>
      </c>
      <c r="U1274" s="4">
        <v>0</v>
      </c>
      <c r="V1274" s="4">
        <v>38</v>
      </c>
      <c r="W1274" s="4">
        <v>81</v>
      </c>
    </row>
    <row r="1275" spans="1:23" ht="11.25" customHeight="1" x14ac:dyDescent="0.25">
      <c r="A1275" s="4" t="s">
        <v>28</v>
      </c>
      <c r="B1275" s="4" t="s">
        <v>22</v>
      </c>
      <c r="C1275" s="4" t="s">
        <v>33</v>
      </c>
      <c r="D1275" s="4" t="s">
        <v>24</v>
      </c>
      <c r="E1275" s="4" t="s">
        <v>24</v>
      </c>
      <c r="F1275" s="4" t="s">
        <v>25</v>
      </c>
      <c r="G1275" s="4" t="s">
        <v>25</v>
      </c>
      <c r="H1275" s="4" t="s">
        <v>34</v>
      </c>
      <c r="I1275" s="5">
        <v>44348</v>
      </c>
      <c r="J1275" s="6">
        <v>0</v>
      </c>
      <c r="K1275" s="6">
        <v>0</v>
      </c>
      <c r="L1275" s="6">
        <v>0.20699999999999999</v>
      </c>
      <c r="M1275" s="6">
        <v>0.20699999999999999</v>
      </c>
      <c r="N1275" s="6">
        <v>0.20699999999999999</v>
      </c>
      <c r="O1275" s="6">
        <v>0.20699999999999999</v>
      </c>
      <c r="P1275" s="6">
        <v>0</v>
      </c>
      <c r="Q1275" s="4" t="s">
        <v>26</v>
      </c>
      <c r="R1275" s="4">
        <v>0</v>
      </c>
      <c r="S1275" s="4" t="s">
        <v>495</v>
      </c>
      <c r="T1275" s="4" t="s">
        <v>759</v>
      </c>
      <c r="U1275" s="4">
        <v>0</v>
      </c>
      <c r="V1275" s="4">
        <v>38</v>
      </c>
      <c r="W1275" s="4">
        <v>81</v>
      </c>
    </row>
    <row r="1276" spans="1:23" ht="11.25" customHeight="1" x14ac:dyDescent="0.25">
      <c r="A1276" s="4" t="s">
        <v>21</v>
      </c>
      <c r="B1276" s="4" t="s">
        <v>22</v>
      </c>
      <c r="C1276" s="4" t="s">
        <v>33</v>
      </c>
      <c r="D1276" s="4" t="s">
        <v>24</v>
      </c>
      <c r="E1276" s="4" t="s">
        <v>24</v>
      </c>
      <c r="F1276" s="4" t="s">
        <v>25</v>
      </c>
      <c r="G1276" s="4" t="s">
        <v>25</v>
      </c>
      <c r="H1276" s="4" t="s">
        <v>34</v>
      </c>
      <c r="I1276" s="5">
        <v>44378</v>
      </c>
      <c r="J1276" s="6">
        <v>0</v>
      </c>
      <c r="K1276" s="6">
        <v>0</v>
      </c>
      <c r="L1276" s="6">
        <v>1.3779999999999999</v>
      </c>
      <c r="M1276" s="6">
        <v>1.3779999999999999</v>
      </c>
      <c r="N1276" s="6">
        <v>1.3779999999999999</v>
      </c>
      <c r="O1276" s="6">
        <v>1.3779999999999999</v>
      </c>
      <c r="P1276" s="6">
        <v>0</v>
      </c>
      <c r="Q1276" s="4" t="s">
        <v>26</v>
      </c>
      <c r="R1276" s="4">
        <v>0</v>
      </c>
      <c r="S1276" s="4" t="s">
        <v>496</v>
      </c>
      <c r="T1276" s="4" t="s">
        <v>760</v>
      </c>
      <c r="U1276" s="4">
        <v>0</v>
      </c>
      <c r="V1276" s="4">
        <v>38</v>
      </c>
      <c r="W1276" s="4">
        <v>81</v>
      </c>
    </row>
    <row r="1277" spans="1:23" ht="11.25" customHeight="1" x14ac:dyDescent="0.25">
      <c r="A1277" s="4" t="s">
        <v>28</v>
      </c>
      <c r="B1277" s="4" t="s">
        <v>22</v>
      </c>
      <c r="C1277" s="4" t="s">
        <v>33</v>
      </c>
      <c r="D1277" s="4" t="s">
        <v>24</v>
      </c>
      <c r="E1277" s="4" t="s">
        <v>24</v>
      </c>
      <c r="F1277" s="4" t="s">
        <v>25</v>
      </c>
      <c r="G1277" s="4" t="s">
        <v>25</v>
      </c>
      <c r="H1277" s="4" t="s">
        <v>34</v>
      </c>
      <c r="I1277" s="5">
        <v>44378</v>
      </c>
      <c r="J1277" s="6">
        <v>0</v>
      </c>
      <c r="K1277" s="6">
        <v>0</v>
      </c>
      <c r="L1277" s="6">
        <v>0.33500000000000002</v>
      </c>
      <c r="M1277" s="6">
        <v>0.33500000000000002</v>
      </c>
      <c r="N1277" s="6">
        <v>0.33500000000000002</v>
      </c>
      <c r="O1277" s="6">
        <v>0.33500000000000002</v>
      </c>
      <c r="P1277" s="6">
        <v>0</v>
      </c>
      <c r="Q1277" s="4" t="s">
        <v>26</v>
      </c>
      <c r="R1277" s="4">
        <v>0</v>
      </c>
      <c r="S1277" s="4" t="s">
        <v>496</v>
      </c>
      <c r="T1277" s="4" t="s">
        <v>760</v>
      </c>
      <c r="U1277" s="4">
        <v>0</v>
      </c>
      <c r="V1277" s="4">
        <v>38</v>
      </c>
      <c r="W1277" s="4">
        <v>81</v>
      </c>
    </row>
    <row r="1278" spans="1:23" ht="11.25" customHeight="1" x14ac:dyDescent="0.25">
      <c r="A1278" s="4" t="s">
        <v>28</v>
      </c>
      <c r="B1278" s="4" t="s">
        <v>22</v>
      </c>
      <c r="C1278" s="4" t="s">
        <v>33</v>
      </c>
      <c r="D1278" s="4" t="s">
        <v>24</v>
      </c>
      <c r="E1278" s="4" t="s">
        <v>24</v>
      </c>
      <c r="F1278" s="4" t="s">
        <v>25</v>
      </c>
      <c r="G1278" s="4" t="s">
        <v>25</v>
      </c>
      <c r="H1278" s="4" t="s">
        <v>34</v>
      </c>
      <c r="I1278" s="5">
        <v>44378</v>
      </c>
      <c r="J1278" s="6">
        <v>0</v>
      </c>
      <c r="K1278" s="6">
        <v>0</v>
      </c>
      <c r="L1278" s="6">
        <v>-8.0000000000000002E-3</v>
      </c>
      <c r="M1278" s="6">
        <v>-8.0000000000000002E-3</v>
      </c>
      <c r="N1278" s="6">
        <v>-8.0000000000000002E-3</v>
      </c>
      <c r="O1278" s="6">
        <v>-8.0000000000000002E-3</v>
      </c>
      <c r="P1278" s="6">
        <v>0</v>
      </c>
      <c r="Q1278" s="4" t="s">
        <v>26</v>
      </c>
      <c r="R1278" s="4">
        <v>0</v>
      </c>
      <c r="S1278" s="4" t="s">
        <v>496</v>
      </c>
      <c r="T1278" s="4" t="s">
        <v>760</v>
      </c>
      <c r="U1278" s="4">
        <v>0</v>
      </c>
      <c r="V1278" s="4">
        <v>38</v>
      </c>
      <c r="W1278" s="4">
        <v>81</v>
      </c>
    </row>
    <row r="1279" spans="1:23" ht="11.25" customHeight="1" x14ac:dyDescent="0.25">
      <c r="A1279" s="4" t="s">
        <v>21</v>
      </c>
      <c r="B1279" s="4" t="s">
        <v>22</v>
      </c>
      <c r="C1279" s="4" t="s">
        <v>33</v>
      </c>
      <c r="D1279" s="4" t="s">
        <v>24</v>
      </c>
      <c r="E1279" s="4" t="s">
        <v>24</v>
      </c>
      <c r="F1279" s="4" t="s">
        <v>25</v>
      </c>
      <c r="G1279" s="4" t="s">
        <v>25</v>
      </c>
      <c r="H1279" s="4" t="s">
        <v>34</v>
      </c>
      <c r="I1279" s="5">
        <v>44409</v>
      </c>
      <c r="J1279" s="6">
        <v>0</v>
      </c>
      <c r="K1279" s="6">
        <v>0</v>
      </c>
      <c r="L1279" s="6">
        <v>1.48</v>
      </c>
      <c r="M1279" s="6">
        <v>1.48</v>
      </c>
      <c r="N1279" s="6">
        <v>1.48</v>
      </c>
      <c r="O1279" s="6">
        <v>1.48</v>
      </c>
      <c r="P1279" s="6">
        <v>0</v>
      </c>
      <c r="Q1279" s="4" t="s">
        <v>26</v>
      </c>
      <c r="R1279" s="4">
        <v>0</v>
      </c>
      <c r="S1279" s="4" t="s">
        <v>497</v>
      </c>
      <c r="T1279" s="4" t="s">
        <v>761</v>
      </c>
      <c r="U1279" s="4">
        <v>0</v>
      </c>
      <c r="V1279" s="4">
        <v>38</v>
      </c>
      <c r="W1279" s="4">
        <v>81</v>
      </c>
    </row>
    <row r="1280" spans="1:23" ht="11.25" customHeight="1" x14ac:dyDescent="0.25">
      <c r="A1280" s="4" t="s">
        <v>28</v>
      </c>
      <c r="B1280" s="4" t="s">
        <v>22</v>
      </c>
      <c r="C1280" s="4" t="s">
        <v>33</v>
      </c>
      <c r="D1280" s="4" t="s">
        <v>24</v>
      </c>
      <c r="E1280" s="4" t="s">
        <v>24</v>
      </c>
      <c r="F1280" s="4" t="s">
        <v>25</v>
      </c>
      <c r="G1280" s="4" t="s">
        <v>25</v>
      </c>
      <c r="H1280" s="4" t="s">
        <v>34</v>
      </c>
      <c r="I1280" s="5">
        <v>44409</v>
      </c>
      <c r="J1280" s="6">
        <v>0</v>
      </c>
      <c r="K1280" s="6">
        <v>0</v>
      </c>
      <c r="L1280" s="6">
        <v>0.25</v>
      </c>
      <c r="M1280" s="6">
        <v>0.25</v>
      </c>
      <c r="N1280" s="6">
        <v>0.25</v>
      </c>
      <c r="O1280" s="6">
        <v>0.25</v>
      </c>
      <c r="P1280" s="6">
        <v>0</v>
      </c>
      <c r="Q1280" s="4" t="s">
        <v>26</v>
      </c>
      <c r="R1280" s="4">
        <v>0</v>
      </c>
      <c r="S1280" s="4" t="s">
        <v>497</v>
      </c>
      <c r="T1280" s="4" t="s">
        <v>761</v>
      </c>
      <c r="U1280" s="4">
        <v>0</v>
      </c>
      <c r="V1280" s="4">
        <v>38</v>
      </c>
      <c r="W1280" s="4">
        <v>81</v>
      </c>
    </row>
    <row r="1281" spans="1:23" ht="11.25" customHeight="1" x14ac:dyDescent="0.25">
      <c r="A1281" s="4" t="s">
        <v>21</v>
      </c>
      <c r="B1281" s="4" t="s">
        <v>22</v>
      </c>
      <c r="C1281" s="4" t="s">
        <v>33</v>
      </c>
      <c r="D1281" s="4" t="s">
        <v>24</v>
      </c>
      <c r="E1281" s="4" t="s">
        <v>24</v>
      </c>
      <c r="F1281" s="4" t="s">
        <v>25</v>
      </c>
      <c r="G1281" s="4" t="s">
        <v>25</v>
      </c>
      <c r="H1281" s="4" t="s">
        <v>34</v>
      </c>
      <c r="I1281" s="5">
        <v>44440</v>
      </c>
      <c r="J1281" s="6">
        <v>0</v>
      </c>
      <c r="K1281" s="6">
        <v>0</v>
      </c>
      <c r="L1281" s="6">
        <v>1.423</v>
      </c>
      <c r="M1281" s="6">
        <v>1.423</v>
      </c>
      <c r="N1281" s="6">
        <v>1.423</v>
      </c>
      <c r="O1281" s="6">
        <v>1.423</v>
      </c>
      <c r="P1281" s="6">
        <v>0</v>
      </c>
      <c r="Q1281" s="4" t="s">
        <v>26</v>
      </c>
      <c r="R1281" s="4">
        <v>0</v>
      </c>
      <c r="S1281" s="4" t="s">
        <v>498</v>
      </c>
      <c r="T1281" s="4" t="s">
        <v>762</v>
      </c>
      <c r="U1281" s="4">
        <v>0</v>
      </c>
      <c r="V1281" s="4">
        <v>38</v>
      </c>
      <c r="W1281" s="4">
        <v>81</v>
      </c>
    </row>
    <row r="1282" spans="1:23" ht="11.25" customHeight="1" x14ac:dyDescent="0.25">
      <c r="A1282" s="4" t="s">
        <v>28</v>
      </c>
      <c r="B1282" s="4" t="s">
        <v>22</v>
      </c>
      <c r="C1282" s="4" t="s">
        <v>33</v>
      </c>
      <c r="D1282" s="4" t="s">
        <v>24</v>
      </c>
      <c r="E1282" s="4" t="s">
        <v>24</v>
      </c>
      <c r="F1282" s="4" t="s">
        <v>25</v>
      </c>
      <c r="G1282" s="4" t="s">
        <v>25</v>
      </c>
      <c r="H1282" s="4" t="s">
        <v>34</v>
      </c>
      <c r="I1282" s="5">
        <v>44440</v>
      </c>
      <c r="J1282" s="6">
        <v>0</v>
      </c>
      <c r="K1282" s="6">
        <v>0</v>
      </c>
      <c r="L1282" s="6">
        <v>0.26500000000000001</v>
      </c>
      <c r="M1282" s="6">
        <v>0.26500000000000001</v>
      </c>
      <c r="N1282" s="6">
        <v>0.26500000000000001</v>
      </c>
      <c r="O1282" s="6">
        <v>0.26500000000000001</v>
      </c>
      <c r="P1282" s="6">
        <v>0</v>
      </c>
      <c r="Q1282" s="4" t="s">
        <v>26</v>
      </c>
      <c r="R1282" s="4">
        <v>0</v>
      </c>
      <c r="S1282" s="4" t="s">
        <v>498</v>
      </c>
      <c r="T1282" s="4" t="s">
        <v>762</v>
      </c>
      <c r="U1282" s="4">
        <v>0</v>
      </c>
      <c r="V1282" s="4">
        <v>38</v>
      </c>
      <c r="W1282" s="4">
        <v>81</v>
      </c>
    </row>
    <row r="1283" spans="1:23" ht="11.25" customHeight="1" x14ac:dyDescent="0.25">
      <c r="A1283" s="4" t="s">
        <v>21</v>
      </c>
      <c r="B1283" s="4" t="s">
        <v>22</v>
      </c>
      <c r="C1283" s="4" t="s">
        <v>33</v>
      </c>
      <c r="D1283" s="4" t="s">
        <v>24</v>
      </c>
      <c r="E1283" s="4" t="s">
        <v>24</v>
      </c>
      <c r="F1283" s="4" t="s">
        <v>25</v>
      </c>
      <c r="G1283" s="4" t="s">
        <v>25</v>
      </c>
      <c r="H1283" s="4" t="s">
        <v>34</v>
      </c>
      <c r="I1283" s="5">
        <v>44470</v>
      </c>
      <c r="J1283" s="6">
        <v>0</v>
      </c>
      <c r="K1283" s="6">
        <v>0</v>
      </c>
      <c r="L1283" s="6">
        <v>1.0409999999999999</v>
      </c>
      <c r="M1283" s="6">
        <v>1.0409999999999999</v>
      </c>
      <c r="N1283" s="6">
        <v>1.0409999999999999</v>
      </c>
      <c r="O1283" s="6">
        <v>1.0409999999999999</v>
      </c>
      <c r="P1283" s="6">
        <v>0</v>
      </c>
      <c r="Q1283" s="4" t="s">
        <v>26</v>
      </c>
      <c r="R1283" s="4">
        <v>0</v>
      </c>
      <c r="S1283" s="4" t="s">
        <v>499</v>
      </c>
      <c r="T1283" s="4" t="s">
        <v>763</v>
      </c>
      <c r="U1283" s="4">
        <v>0</v>
      </c>
      <c r="V1283" s="4">
        <v>38</v>
      </c>
      <c r="W1283" s="4">
        <v>81</v>
      </c>
    </row>
    <row r="1284" spans="1:23" ht="11.25" customHeight="1" x14ac:dyDescent="0.25">
      <c r="A1284" s="4" t="s">
        <v>28</v>
      </c>
      <c r="B1284" s="4" t="s">
        <v>22</v>
      </c>
      <c r="C1284" s="4" t="s">
        <v>33</v>
      </c>
      <c r="D1284" s="4" t="s">
        <v>24</v>
      </c>
      <c r="E1284" s="4" t="s">
        <v>24</v>
      </c>
      <c r="F1284" s="4" t="s">
        <v>25</v>
      </c>
      <c r="G1284" s="4" t="s">
        <v>25</v>
      </c>
      <c r="H1284" s="4" t="s">
        <v>34</v>
      </c>
      <c r="I1284" s="5">
        <v>44470</v>
      </c>
      <c r="J1284" s="6">
        <v>0</v>
      </c>
      <c r="K1284" s="6">
        <v>0</v>
      </c>
      <c r="L1284" s="6">
        <v>7.4999999999999997E-2</v>
      </c>
      <c r="M1284" s="6">
        <v>7.4999999999999997E-2</v>
      </c>
      <c r="N1284" s="6">
        <v>7.4999999999999997E-2</v>
      </c>
      <c r="O1284" s="6">
        <v>7.4999999999999997E-2</v>
      </c>
      <c r="P1284" s="6">
        <v>0</v>
      </c>
      <c r="Q1284" s="4" t="s">
        <v>26</v>
      </c>
      <c r="R1284" s="4">
        <v>0</v>
      </c>
      <c r="S1284" s="4" t="s">
        <v>499</v>
      </c>
      <c r="T1284" s="4" t="s">
        <v>763</v>
      </c>
      <c r="U1284" s="4">
        <v>0</v>
      </c>
      <c r="V1284" s="4">
        <v>38</v>
      </c>
      <c r="W1284" s="4">
        <v>81</v>
      </c>
    </row>
    <row r="1285" spans="1:23" ht="11.25" customHeight="1" x14ac:dyDescent="0.25">
      <c r="A1285" s="4" t="s">
        <v>28</v>
      </c>
      <c r="B1285" s="4" t="s">
        <v>22</v>
      </c>
      <c r="C1285" s="4" t="s">
        <v>33</v>
      </c>
      <c r="D1285" s="4" t="s">
        <v>24</v>
      </c>
      <c r="E1285" s="4" t="s">
        <v>24</v>
      </c>
      <c r="F1285" s="4" t="s">
        <v>25</v>
      </c>
      <c r="G1285" s="4" t="s">
        <v>25</v>
      </c>
      <c r="H1285" s="4" t="s">
        <v>34</v>
      </c>
      <c r="I1285" s="5">
        <v>44470</v>
      </c>
      <c r="J1285" s="6">
        <v>0</v>
      </c>
      <c r="K1285" s="6">
        <v>0</v>
      </c>
      <c r="L1285" s="6">
        <v>-3.3000000000000002E-2</v>
      </c>
      <c r="M1285" s="6">
        <v>-3.3000000000000002E-2</v>
      </c>
      <c r="N1285" s="6">
        <v>-3.3000000000000002E-2</v>
      </c>
      <c r="O1285" s="6">
        <v>-3.3000000000000002E-2</v>
      </c>
      <c r="P1285" s="6">
        <v>0</v>
      </c>
      <c r="Q1285" s="4" t="s">
        <v>26</v>
      </c>
      <c r="R1285" s="4">
        <v>0</v>
      </c>
      <c r="S1285" s="4" t="s">
        <v>499</v>
      </c>
      <c r="T1285" s="4" t="s">
        <v>763</v>
      </c>
      <c r="U1285" s="4">
        <v>0</v>
      </c>
      <c r="V1285" s="4">
        <v>38</v>
      </c>
      <c r="W1285" s="4">
        <v>81</v>
      </c>
    </row>
    <row r="1286" spans="1:23" ht="11.25" customHeight="1" x14ac:dyDescent="0.25">
      <c r="A1286" s="4" t="s">
        <v>21</v>
      </c>
      <c r="B1286" s="4" t="s">
        <v>22</v>
      </c>
      <c r="C1286" s="4" t="s">
        <v>33</v>
      </c>
      <c r="D1286" s="4" t="s">
        <v>24</v>
      </c>
      <c r="E1286" s="4" t="s">
        <v>24</v>
      </c>
      <c r="F1286" s="4" t="s">
        <v>25</v>
      </c>
      <c r="G1286" s="4" t="s">
        <v>25</v>
      </c>
      <c r="H1286" s="4" t="s">
        <v>34</v>
      </c>
      <c r="I1286" s="5">
        <v>44501</v>
      </c>
      <c r="J1286" s="6">
        <v>0</v>
      </c>
      <c r="K1286" s="6">
        <v>0</v>
      </c>
      <c r="L1286" s="6">
        <v>1.2869999999999999</v>
      </c>
      <c r="M1286" s="6">
        <v>1.2869999999999999</v>
      </c>
      <c r="N1286" s="6">
        <v>1.2869999999999999</v>
      </c>
      <c r="O1286" s="6">
        <v>1.2869999999999999</v>
      </c>
      <c r="P1286" s="6">
        <v>0</v>
      </c>
      <c r="Q1286" s="4" t="s">
        <v>26</v>
      </c>
      <c r="R1286" s="4">
        <v>0</v>
      </c>
      <c r="S1286" s="4" t="s">
        <v>500</v>
      </c>
      <c r="T1286" s="4" t="s">
        <v>764</v>
      </c>
      <c r="U1286" s="4">
        <v>0</v>
      </c>
      <c r="V1286" s="4">
        <v>38</v>
      </c>
      <c r="W1286" s="4">
        <v>81</v>
      </c>
    </row>
    <row r="1287" spans="1:23" ht="11.25" customHeight="1" x14ac:dyDescent="0.25">
      <c r="A1287" s="4" t="s">
        <v>28</v>
      </c>
      <c r="B1287" s="4" t="s">
        <v>22</v>
      </c>
      <c r="C1287" s="4" t="s">
        <v>33</v>
      </c>
      <c r="D1287" s="4" t="s">
        <v>24</v>
      </c>
      <c r="E1287" s="4" t="s">
        <v>24</v>
      </c>
      <c r="F1287" s="4" t="s">
        <v>25</v>
      </c>
      <c r="G1287" s="4" t="s">
        <v>25</v>
      </c>
      <c r="H1287" s="4" t="s">
        <v>34</v>
      </c>
      <c r="I1287" s="5">
        <v>44501</v>
      </c>
      <c r="J1287" s="6">
        <v>0</v>
      </c>
      <c r="K1287" s="6">
        <v>0</v>
      </c>
      <c r="L1287" s="6">
        <v>0.34899999999999998</v>
      </c>
      <c r="M1287" s="6">
        <v>0.34899999999999998</v>
      </c>
      <c r="N1287" s="6">
        <v>0.34899999999999998</v>
      </c>
      <c r="O1287" s="6">
        <v>0.34899999999999998</v>
      </c>
      <c r="P1287" s="6">
        <v>0</v>
      </c>
      <c r="Q1287" s="4" t="s">
        <v>26</v>
      </c>
      <c r="R1287" s="4">
        <v>0</v>
      </c>
      <c r="S1287" s="4" t="s">
        <v>500</v>
      </c>
      <c r="T1287" s="4" t="s">
        <v>764</v>
      </c>
      <c r="U1287" s="4">
        <v>0</v>
      </c>
      <c r="V1287" s="4">
        <v>38</v>
      </c>
      <c r="W1287" s="4">
        <v>81</v>
      </c>
    </row>
    <row r="1288" spans="1:23" ht="11.25" customHeight="1" x14ac:dyDescent="0.25">
      <c r="A1288" s="4" t="s">
        <v>21</v>
      </c>
      <c r="B1288" s="4" t="s">
        <v>22</v>
      </c>
      <c r="C1288" s="4" t="s">
        <v>33</v>
      </c>
      <c r="D1288" s="4" t="s">
        <v>24</v>
      </c>
      <c r="E1288" s="4" t="s">
        <v>24</v>
      </c>
      <c r="F1288" s="4" t="s">
        <v>25</v>
      </c>
      <c r="G1288" s="4" t="s">
        <v>25</v>
      </c>
      <c r="H1288" s="4" t="s">
        <v>34</v>
      </c>
      <c r="I1288" s="5">
        <v>44531</v>
      </c>
      <c r="J1288" s="6">
        <v>0</v>
      </c>
      <c r="K1288" s="6">
        <v>0</v>
      </c>
      <c r="L1288" s="6">
        <v>1.2250000000000001</v>
      </c>
      <c r="M1288" s="6">
        <v>1.2250000000000001</v>
      </c>
      <c r="N1288" s="6">
        <v>1.2250000000000001</v>
      </c>
      <c r="O1288" s="6">
        <v>1.2250000000000001</v>
      </c>
      <c r="P1288" s="6">
        <v>0</v>
      </c>
      <c r="Q1288" s="4" t="s">
        <v>26</v>
      </c>
      <c r="R1288" s="4">
        <v>0</v>
      </c>
      <c r="S1288" s="4" t="s">
        <v>501</v>
      </c>
      <c r="T1288" s="4" t="s">
        <v>765</v>
      </c>
      <c r="U1288" s="4">
        <v>0</v>
      </c>
      <c r="V1288" s="4">
        <v>38</v>
      </c>
      <c r="W1288" s="4">
        <v>81</v>
      </c>
    </row>
    <row r="1289" spans="1:23" ht="11.25" customHeight="1" x14ac:dyDescent="0.25">
      <c r="A1289" s="4" t="s">
        <v>27</v>
      </c>
      <c r="B1289" s="4" t="s">
        <v>22</v>
      </c>
      <c r="C1289" s="4" t="s">
        <v>33</v>
      </c>
      <c r="D1289" s="4" t="s">
        <v>24</v>
      </c>
      <c r="E1289" s="4" t="s">
        <v>24</v>
      </c>
      <c r="F1289" s="4" t="s">
        <v>25</v>
      </c>
      <c r="G1289" s="4" t="s">
        <v>25</v>
      </c>
      <c r="H1289" s="4" t="s">
        <v>34</v>
      </c>
      <c r="I1289" s="5">
        <v>44531</v>
      </c>
      <c r="J1289" s="6">
        <v>0</v>
      </c>
      <c r="K1289" s="6">
        <v>0</v>
      </c>
      <c r="L1289" s="6">
        <v>-0.159</v>
      </c>
      <c r="M1289" s="6">
        <v>-0.159</v>
      </c>
      <c r="N1289" s="6">
        <v>-0.159</v>
      </c>
      <c r="O1289" s="6">
        <v>-0.159</v>
      </c>
      <c r="P1289" s="6">
        <v>0</v>
      </c>
      <c r="Q1289" s="4" t="s">
        <v>26</v>
      </c>
      <c r="R1289" s="4">
        <v>0</v>
      </c>
      <c r="S1289" s="4" t="s">
        <v>501</v>
      </c>
      <c r="T1289" s="4" t="s">
        <v>765</v>
      </c>
      <c r="U1289" s="4">
        <v>0</v>
      </c>
      <c r="V1289" s="4">
        <v>38</v>
      </c>
      <c r="W1289" s="4">
        <v>81</v>
      </c>
    </row>
    <row r="1290" spans="1:23" ht="11.25" customHeight="1" x14ac:dyDescent="0.25">
      <c r="A1290" s="4" t="s">
        <v>28</v>
      </c>
      <c r="B1290" s="4" t="s">
        <v>22</v>
      </c>
      <c r="C1290" s="4" t="s">
        <v>33</v>
      </c>
      <c r="D1290" s="4" t="s">
        <v>24</v>
      </c>
      <c r="E1290" s="4" t="s">
        <v>24</v>
      </c>
      <c r="F1290" s="4" t="s">
        <v>25</v>
      </c>
      <c r="G1290" s="4" t="s">
        <v>25</v>
      </c>
      <c r="H1290" s="4" t="s">
        <v>34</v>
      </c>
      <c r="I1290" s="5">
        <v>44531</v>
      </c>
      <c r="J1290" s="6">
        <v>0</v>
      </c>
      <c r="K1290" s="6">
        <v>0</v>
      </c>
      <c r="L1290" s="6">
        <v>0.129</v>
      </c>
      <c r="M1290" s="6">
        <v>0.129</v>
      </c>
      <c r="N1290" s="6">
        <v>0.129</v>
      </c>
      <c r="O1290" s="6">
        <v>0.129</v>
      </c>
      <c r="P1290" s="6">
        <v>0</v>
      </c>
      <c r="Q1290" s="4" t="s">
        <v>26</v>
      </c>
      <c r="R1290" s="4">
        <v>0</v>
      </c>
      <c r="S1290" s="4" t="s">
        <v>501</v>
      </c>
      <c r="T1290" s="4" t="s">
        <v>765</v>
      </c>
      <c r="U1290" s="4">
        <v>0</v>
      </c>
      <c r="V1290" s="4">
        <v>38</v>
      </c>
      <c r="W1290" s="4">
        <v>81</v>
      </c>
    </row>
    <row r="1291" spans="1:23" ht="11.25" customHeight="1" x14ac:dyDescent="0.25">
      <c r="A1291" s="4" t="s">
        <v>28</v>
      </c>
      <c r="B1291" s="4" t="s">
        <v>22</v>
      </c>
      <c r="C1291" s="4" t="s">
        <v>33</v>
      </c>
      <c r="D1291" s="4" t="s">
        <v>24</v>
      </c>
      <c r="E1291" s="4" t="s">
        <v>24</v>
      </c>
      <c r="F1291" s="4" t="s">
        <v>25</v>
      </c>
      <c r="G1291" s="4" t="s">
        <v>25</v>
      </c>
      <c r="H1291" s="4" t="s">
        <v>34</v>
      </c>
      <c r="I1291" s="5">
        <v>44531</v>
      </c>
      <c r="J1291" s="6">
        <v>0</v>
      </c>
      <c r="K1291" s="6">
        <v>0</v>
      </c>
      <c r="L1291" s="6">
        <v>-2.9000000000000001E-2</v>
      </c>
      <c r="M1291" s="6">
        <v>-2.9000000000000001E-2</v>
      </c>
      <c r="N1291" s="6">
        <v>-2.9000000000000001E-2</v>
      </c>
      <c r="O1291" s="6">
        <v>-2.9000000000000001E-2</v>
      </c>
      <c r="P1291" s="6">
        <v>0</v>
      </c>
      <c r="Q1291" s="4" t="s">
        <v>26</v>
      </c>
      <c r="R1291" s="4">
        <v>0</v>
      </c>
      <c r="S1291" s="4" t="s">
        <v>501</v>
      </c>
      <c r="T1291" s="4" t="s">
        <v>765</v>
      </c>
      <c r="U1291" s="4">
        <v>0</v>
      </c>
      <c r="V1291" s="4">
        <v>38</v>
      </c>
      <c r="W1291" s="4">
        <v>81</v>
      </c>
    </row>
    <row r="1292" spans="1:23" ht="11.25" customHeight="1" x14ac:dyDescent="0.25">
      <c r="A1292" s="4" t="s">
        <v>21</v>
      </c>
      <c r="B1292" s="4" t="s">
        <v>22</v>
      </c>
      <c r="C1292" s="4" t="s">
        <v>33</v>
      </c>
      <c r="D1292" s="4" t="s">
        <v>24</v>
      </c>
      <c r="E1292" s="4" t="s">
        <v>24</v>
      </c>
      <c r="F1292" s="4" t="s">
        <v>25</v>
      </c>
      <c r="G1292" s="4" t="s">
        <v>25</v>
      </c>
      <c r="H1292" s="4" t="s">
        <v>34</v>
      </c>
      <c r="I1292" s="5">
        <v>44562</v>
      </c>
      <c r="J1292" s="6">
        <v>0</v>
      </c>
      <c r="K1292" s="6">
        <v>0</v>
      </c>
      <c r="L1292" s="6">
        <v>1.1299999999999999</v>
      </c>
      <c r="M1292" s="6">
        <v>1.1299999999999999</v>
      </c>
      <c r="N1292" s="6">
        <v>1.1299999999999999</v>
      </c>
      <c r="O1292" s="6">
        <v>1.1299999999999999</v>
      </c>
      <c r="P1292" s="6">
        <v>0</v>
      </c>
      <c r="Q1292" s="4" t="s">
        <v>26</v>
      </c>
      <c r="R1292" s="4">
        <v>0</v>
      </c>
      <c r="S1292" s="4" t="s">
        <v>502</v>
      </c>
      <c r="T1292" s="4" t="s">
        <v>766</v>
      </c>
      <c r="U1292" s="4">
        <v>0</v>
      </c>
      <c r="V1292" s="4">
        <v>38</v>
      </c>
      <c r="W1292" s="4">
        <v>81</v>
      </c>
    </row>
    <row r="1293" spans="1:23" ht="11.25" customHeight="1" x14ac:dyDescent="0.25">
      <c r="A1293" s="4" t="s">
        <v>28</v>
      </c>
      <c r="B1293" s="4" t="s">
        <v>22</v>
      </c>
      <c r="C1293" s="4" t="s">
        <v>33</v>
      </c>
      <c r="D1293" s="4" t="s">
        <v>24</v>
      </c>
      <c r="E1293" s="4" t="s">
        <v>24</v>
      </c>
      <c r="F1293" s="4" t="s">
        <v>25</v>
      </c>
      <c r="G1293" s="4" t="s">
        <v>25</v>
      </c>
      <c r="H1293" s="4" t="s">
        <v>34</v>
      </c>
      <c r="I1293" s="5">
        <v>44562</v>
      </c>
      <c r="J1293" s="6">
        <v>0</v>
      </c>
      <c r="K1293" s="6">
        <v>0</v>
      </c>
      <c r="L1293" s="6">
        <v>0.28299999999999997</v>
      </c>
      <c r="M1293" s="6">
        <v>0.28299999999999997</v>
      </c>
      <c r="N1293" s="6">
        <v>0.28299999999999997</v>
      </c>
      <c r="O1293" s="6">
        <v>0.28299999999999997</v>
      </c>
      <c r="P1293" s="6">
        <v>0</v>
      </c>
      <c r="Q1293" s="4" t="s">
        <v>26</v>
      </c>
      <c r="R1293" s="4">
        <v>0</v>
      </c>
      <c r="S1293" s="4" t="s">
        <v>502</v>
      </c>
      <c r="T1293" s="4" t="s">
        <v>766</v>
      </c>
      <c r="U1293" s="4">
        <v>0</v>
      </c>
      <c r="V1293" s="4">
        <v>38</v>
      </c>
      <c r="W1293" s="4">
        <v>81</v>
      </c>
    </row>
    <row r="1294" spans="1:23" ht="11.25" customHeight="1" x14ac:dyDescent="0.25">
      <c r="A1294" s="4" t="s">
        <v>21</v>
      </c>
      <c r="B1294" s="4" t="s">
        <v>22</v>
      </c>
      <c r="C1294" s="4" t="s">
        <v>33</v>
      </c>
      <c r="D1294" s="4" t="s">
        <v>24</v>
      </c>
      <c r="E1294" s="4" t="s">
        <v>24</v>
      </c>
      <c r="F1294" s="4" t="s">
        <v>25</v>
      </c>
      <c r="G1294" s="4" t="s">
        <v>25</v>
      </c>
      <c r="H1294" s="4" t="s">
        <v>34</v>
      </c>
      <c r="I1294" s="5">
        <v>44593</v>
      </c>
      <c r="J1294" s="6">
        <v>0</v>
      </c>
      <c r="K1294" s="6">
        <v>0</v>
      </c>
      <c r="L1294" s="6">
        <v>1.26</v>
      </c>
      <c r="M1294" s="6">
        <v>1.26</v>
      </c>
      <c r="N1294" s="6">
        <v>1.26</v>
      </c>
      <c r="O1294" s="6">
        <v>1.26</v>
      </c>
      <c r="P1294" s="6">
        <v>0</v>
      </c>
      <c r="Q1294" s="4" t="s">
        <v>26</v>
      </c>
      <c r="R1294" s="4">
        <v>0</v>
      </c>
      <c r="S1294" s="4" t="s">
        <v>503</v>
      </c>
      <c r="T1294" s="4" t="s">
        <v>767</v>
      </c>
      <c r="U1294" s="4">
        <v>0</v>
      </c>
      <c r="V1294" s="4">
        <v>38</v>
      </c>
      <c r="W1294" s="4">
        <v>81</v>
      </c>
    </row>
    <row r="1295" spans="1:23" ht="11.25" customHeight="1" x14ac:dyDescent="0.25">
      <c r="A1295" s="4" t="s">
        <v>28</v>
      </c>
      <c r="B1295" s="4" t="s">
        <v>22</v>
      </c>
      <c r="C1295" s="4" t="s">
        <v>33</v>
      </c>
      <c r="D1295" s="4" t="s">
        <v>24</v>
      </c>
      <c r="E1295" s="4" t="s">
        <v>24</v>
      </c>
      <c r="F1295" s="4" t="s">
        <v>25</v>
      </c>
      <c r="G1295" s="4" t="s">
        <v>25</v>
      </c>
      <c r="H1295" s="4" t="s">
        <v>34</v>
      </c>
      <c r="I1295" s="5">
        <v>44593</v>
      </c>
      <c r="J1295" s="6">
        <v>0</v>
      </c>
      <c r="K1295" s="6">
        <v>0</v>
      </c>
      <c r="L1295" s="6">
        <v>0.311</v>
      </c>
      <c r="M1295" s="6">
        <v>0.311</v>
      </c>
      <c r="N1295" s="6">
        <v>0.311</v>
      </c>
      <c r="O1295" s="6">
        <v>0.311</v>
      </c>
      <c r="P1295" s="6">
        <v>0</v>
      </c>
      <c r="Q1295" s="4" t="s">
        <v>26</v>
      </c>
      <c r="R1295" s="4">
        <v>0</v>
      </c>
      <c r="S1295" s="4" t="s">
        <v>503</v>
      </c>
      <c r="T1295" s="4" t="s">
        <v>767</v>
      </c>
      <c r="U1295" s="4">
        <v>0</v>
      </c>
      <c r="V1295" s="4">
        <v>38</v>
      </c>
      <c r="W1295" s="4">
        <v>81</v>
      </c>
    </row>
    <row r="1296" spans="1:23" ht="11.25" customHeight="1" x14ac:dyDescent="0.25">
      <c r="A1296" s="4" t="s">
        <v>28</v>
      </c>
      <c r="B1296" s="4" t="s">
        <v>22</v>
      </c>
      <c r="C1296" s="4" t="s">
        <v>33</v>
      </c>
      <c r="D1296" s="4" t="s">
        <v>24</v>
      </c>
      <c r="E1296" s="4" t="s">
        <v>24</v>
      </c>
      <c r="F1296" s="4" t="s">
        <v>25</v>
      </c>
      <c r="G1296" s="4" t="s">
        <v>25</v>
      </c>
      <c r="H1296" s="4" t="s">
        <v>34</v>
      </c>
      <c r="I1296" s="5">
        <v>44593</v>
      </c>
      <c r="J1296" s="6">
        <v>0</v>
      </c>
      <c r="K1296" s="6">
        <v>0</v>
      </c>
      <c r="L1296" s="6">
        <v>-2.8000000000000001E-2</v>
      </c>
      <c r="M1296" s="6">
        <v>-2.8000000000000001E-2</v>
      </c>
      <c r="N1296" s="6">
        <v>-2.8000000000000001E-2</v>
      </c>
      <c r="O1296" s="6">
        <v>-2.8000000000000001E-2</v>
      </c>
      <c r="P1296" s="6">
        <v>0</v>
      </c>
      <c r="Q1296" s="4" t="s">
        <v>26</v>
      </c>
      <c r="R1296" s="4">
        <v>0</v>
      </c>
      <c r="S1296" s="4" t="s">
        <v>503</v>
      </c>
      <c r="T1296" s="4" t="s">
        <v>767</v>
      </c>
      <c r="U1296" s="4">
        <v>0</v>
      </c>
      <c r="V1296" s="4">
        <v>38</v>
      </c>
      <c r="W1296" s="4">
        <v>81</v>
      </c>
    </row>
    <row r="1297" spans="1:23" ht="11.25" customHeight="1" x14ac:dyDescent="0.25">
      <c r="A1297" s="4" t="s">
        <v>21</v>
      </c>
      <c r="B1297" s="4" t="s">
        <v>22</v>
      </c>
      <c r="C1297" s="4" t="s">
        <v>33</v>
      </c>
      <c r="D1297" s="4" t="s">
        <v>24</v>
      </c>
      <c r="E1297" s="4" t="s">
        <v>24</v>
      </c>
      <c r="F1297" s="4" t="s">
        <v>25</v>
      </c>
      <c r="G1297" s="4" t="s">
        <v>25</v>
      </c>
      <c r="H1297" s="4" t="s">
        <v>34</v>
      </c>
      <c r="I1297" s="5">
        <v>44621</v>
      </c>
      <c r="J1297" s="6">
        <v>0</v>
      </c>
      <c r="K1297" s="6">
        <v>0</v>
      </c>
      <c r="L1297" s="6">
        <v>1.369</v>
      </c>
      <c r="M1297" s="6">
        <v>1.369</v>
      </c>
      <c r="N1297" s="6">
        <v>1.369</v>
      </c>
      <c r="O1297" s="6">
        <v>1.369</v>
      </c>
      <c r="P1297" s="6">
        <v>0</v>
      </c>
      <c r="Q1297" s="4" t="s">
        <v>26</v>
      </c>
      <c r="R1297" s="4">
        <v>0</v>
      </c>
      <c r="S1297" s="4" t="s">
        <v>504</v>
      </c>
      <c r="T1297" s="4" t="s">
        <v>768</v>
      </c>
      <c r="U1297" s="4">
        <v>0</v>
      </c>
      <c r="V1297" s="4">
        <v>38</v>
      </c>
      <c r="W1297" s="4">
        <v>81</v>
      </c>
    </row>
    <row r="1298" spans="1:23" ht="11.25" customHeight="1" x14ac:dyDescent="0.25">
      <c r="A1298" s="4" t="s">
        <v>28</v>
      </c>
      <c r="B1298" s="4" t="s">
        <v>22</v>
      </c>
      <c r="C1298" s="4" t="s">
        <v>33</v>
      </c>
      <c r="D1298" s="4" t="s">
        <v>24</v>
      </c>
      <c r="E1298" s="4" t="s">
        <v>24</v>
      </c>
      <c r="F1298" s="4" t="s">
        <v>25</v>
      </c>
      <c r="G1298" s="4" t="s">
        <v>25</v>
      </c>
      <c r="H1298" s="4" t="s">
        <v>34</v>
      </c>
      <c r="I1298" s="5">
        <v>44621</v>
      </c>
      <c r="J1298" s="6">
        <v>0</v>
      </c>
      <c r="K1298" s="6">
        <v>0</v>
      </c>
      <c r="L1298" s="6">
        <v>0.17799999999999999</v>
      </c>
      <c r="M1298" s="6">
        <v>0.17799999999999999</v>
      </c>
      <c r="N1298" s="6">
        <v>0.17799999999999999</v>
      </c>
      <c r="O1298" s="6">
        <v>0.17799999999999999</v>
      </c>
      <c r="P1298" s="6">
        <v>0</v>
      </c>
      <c r="Q1298" s="4" t="s">
        <v>26</v>
      </c>
      <c r="R1298" s="4">
        <v>0</v>
      </c>
      <c r="S1298" s="4" t="s">
        <v>504</v>
      </c>
      <c r="T1298" s="4" t="s">
        <v>768</v>
      </c>
      <c r="U1298" s="4">
        <v>0</v>
      </c>
      <c r="V1298" s="4">
        <v>38</v>
      </c>
      <c r="W1298" s="4">
        <v>81</v>
      </c>
    </row>
    <row r="1299" spans="1:23" ht="11.25" customHeight="1" x14ac:dyDescent="0.25">
      <c r="A1299" s="4" t="s">
        <v>21</v>
      </c>
      <c r="B1299" s="4" t="s">
        <v>22</v>
      </c>
      <c r="C1299" s="4" t="s">
        <v>33</v>
      </c>
      <c r="D1299" s="4" t="s">
        <v>24</v>
      </c>
      <c r="E1299" s="4" t="s">
        <v>24</v>
      </c>
      <c r="F1299" s="4" t="s">
        <v>25</v>
      </c>
      <c r="G1299" s="4" t="s">
        <v>25</v>
      </c>
      <c r="H1299" s="4" t="s">
        <v>34</v>
      </c>
      <c r="I1299" s="5">
        <v>44652</v>
      </c>
      <c r="J1299" s="6">
        <v>0</v>
      </c>
      <c r="K1299" s="6">
        <v>0</v>
      </c>
      <c r="L1299" s="6">
        <v>0.93500000000000005</v>
      </c>
      <c r="M1299" s="6">
        <v>0.93500000000000005</v>
      </c>
      <c r="N1299" s="6">
        <v>0.93500000000000005</v>
      </c>
      <c r="O1299" s="6">
        <v>0.93500000000000005</v>
      </c>
      <c r="P1299" s="6">
        <v>0</v>
      </c>
      <c r="Q1299" s="4" t="s">
        <v>26</v>
      </c>
      <c r="R1299" s="4">
        <v>0</v>
      </c>
      <c r="S1299" s="4" t="s">
        <v>505</v>
      </c>
      <c r="T1299" s="4" t="s">
        <v>769</v>
      </c>
      <c r="U1299" s="4">
        <v>0</v>
      </c>
      <c r="V1299" s="4">
        <v>38</v>
      </c>
      <c r="W1299" s="4">
        <v>81</v>
      </c>
    </row>
    <row r="1300" spans="1:23" ht="11.25" customHeight="1" x14ac:dyDescent="0.25">
      <c r="A1300" s="4" t="s">
        <v>28</v>
      </c>
      <c r="B1300" s="4" t="s">
        <v>22</v>
      </c>
      <c r="C1300" s="4" t="s">
        <v>33</v>
      </c>
      <c r="D1300" s="4" t="s">
        <v>24</v>
      </c>
      <c r="E1300" s="4" t="s">
        <v>24</v>
      </c>
      <c r="F1300" s="4" t="s">
        <v>25</v>
      </c>
      <c r="G1300" s="4" t="s">
        <v>25</v>
      </c>
      <c r="H1300" s="4" t="s">
        <v>34</v>
      </c>
      <c r="I1300" s="5">
        <v>44652</v>
      </c>
      <c r="J1300" s="6">
        <v>0</v>
      </c>
      <c r="K1300" s="6">
        <v>0</v>
      </c>
      <c r="L1300" s="6">
        <v>0.193</v>
      </c>
      <c r="M1300" s="6">
        <v>0.193</v>
      </c>
      <c r="N1300" s="6">
        <v>0.193</v>
      </c>
      <c r="O1300" s="6">
        <v>0.193</v>
      </c>
      <c r="P1300" s="6">
        <v>0</v>
      </c>
      <c r="Q1300" s="4" t="s">
        <v>26</v>
      </c>
      <c r="R1300" s="4">
        <v>0</v>
      </c>
      <c r="S1300" s="4" t="s">
        <v>505</v>
      </c>
      <c r="T1300" s="4" t="s">
        <v>769</v>
      </c>
      <c r="U1300" s="4">
        <v>0</v>
      </c>
      <c r="V1300" s="4">
        <v>38</v>
      </c>
      <c r="W1300" s="4">
        <v>81</v>
      </c>
    </row>
    <row r="1301" spans="1:23" ht="11.25" customHeight="1" x14ac:dyDescent="0.25">
      <c r="A1301" s="4" t="s">
        <v>58</v>
      </c>
      <c r="B1301" s="4" t="s">
        <v>22</v>
      </c>
      <c r="C1301" s="4" t="s">
        <v>33</v>
      </c>
      <c r="D1301" s="4" t="s">
        <v>24</v>
      </c>
      <c r="E1301" s="4" t="s">
        <v>24</v>
      </c>
      <c r="F1301" s="4" t="s">
        <v>25</v>
      </c>
      <c r="G1301" s="4" t="s">
        <v>25</v>
      </c>
      <c r="H1301" s="4" t="s">
        <v>34</v>
      </c>
      <c r="I1301" s="5">
        <v>44682</v>
      </c>
      <c r="J1301" s="6">
        <v>0</v>
      </c>
      <c r="K1301" s="6">
        <v>0</v>
      </c>
      <c r="L1301" s="6">
        <v>0.93500000000000005</v>
      </c>
      <c r="M1301" s="6">
        <v>0.93500000000000005</v>
      </c>
      <c r="N1301" s="6">
        <v>0.93500000000000005</v>
      </c>
      <c r="O1301" s="6">
        <v>0.93500000000000005</v>
      </c>
      <c r="P1301" s="6">
        <v>0</v>
      </c>
      <c r="Q1301" s="4" t="s">
        <v>26</v>
      </c>
      <c r="R1301" s="4">
        <v>0</v>
      </c>
      <c r="S1301" s="4" t="s">
        <v>506</v>
      </c>
      <c r="T1301" s="4" t="s">
        <v>770</v>
      </c>
      <c r="U1301" s="4">
        <v>0</v>
      </c>
      <c r="V1301" s="4">
        <v>38</v>
      </c>
      <c r="W1301" s="4">
        <v>81</v>
      </c>
    </row>
    <row r="1302" spans="1:23" ht="11.25" customHeight="1" x14ac:dyDescent="0.25">
      <c r="A1302" s="4" t="s">
        <v>58</v>
      </c>
      <c r="B1302" s="4" t="s">
        <v>22</v>
      </c>
      <c r="C1302" s="4" t="s">
        <v>33</v>
      </c>
      <c r="D1302" s="4" t="s">
        <v>24</v>
      </c>
      <c r="E1302" s="4" t="s">
        <v>24</v>
      </c>
      <c r="F1302" s="4" t="s">
        <v>25</v>
      </c>
      <c r="G1302" s="4" t="s">
        <v>25</v>
      </c>
      <c r="H1302" s="4" t="s">
        <v>34</v>
      </c>
      <c r="I1302" s="5">
        <v>44682</v>
      </c>
      <c r="J1302" s="6">
        <v>0</v>
      </c>
      <c r="K1302" s="6">
        <v>0</v>
      </c>
      <c r="L1302" s="6">
        <v>0.193</v>
      </c>
      <c r="M1302" s="6">
        <v>0.193</v>
      </c>
      <c r="N1302" s="6">
        <v>0.193</v>
      </c>
      <c r="O1302" s="6">
        <v>0.193</v>
      </c>
      <c r="P1302" s="6">
        <v>0</v>
      </c>
      <c r="Q1302" s="4" t="s">
        <v>26</v>
      </c>
      <c r="R1302" s="4">
        <v>0</v>
      </c>
      <c r="S1302" s="4" t="s">
        <v>506</v>
      </c>
      <c r="T1302" s="4" t="s">
        <v>770</v>
      </c>
      <c r="U1302" s="4">
        <v>0</v>
      </c>
      <c r="V1302" s="4">
        <v>38</v>
      </c>
      <c r="W1302" s="4">
        <v>81</v>
      </c>
    </row>
    <row r="1303" spans="1:23" ht="11.25" customHeight="1" x14ac:dyDescent="0.25">
      <c r="A1303" s="4" t="s">
        <v>21</v>
      </c>
      <c r="B1303" s="4" t="s">
        <v>22</v>
      </c>
      <c r="C1303" s="4" t="s">
        <v>23</v>
      </c>
      <c r="D1303" s="4" t="s">
        <v>24</v>
      </c>
      <c r="E1303" s="4" t="s">
        <v>24</v>
      </c>
      <c r="F1303" s="4" t="s">
        <v>25</v>
      </c>
      <c r="G1303" s="4" t="s">
        <v>25</v>
      </c>
      <c r="H1303" s="4" t="s">
        <v>25</v>
      </c>
      <c r="I1303" s="5">
        <v>44348</v>
      </c>
      <c r="J1303" s="6">
        <v>0</v>
      </c>
      <c r="K1303" s="6">
        <v>0</v>
      </c>
      <c r="L1303" s="6">
        <v>32508.238000000001</v>
      </c>
      <c r="M1303" s="6">
        <v>32508.238000000001</v>
      </c>
      <c r="N1303" s="6">
        <v>32508.238000000001</v>
      </c>
      <c r="O1303" s="6">
        <v>32508.238000000001</v>
      </c>
      <c r="P1303" s="6">
        <v>269381</v>
      </c>
      <c r="Q1303" s="4" t="s">
        <v>26</v>
      </c>
      <c r="R1303" s="4">
        <v>0</v>
      </c>
      <c r="S1303" s="4" t="s">
        <v>507</v>
      </c>
      <c r="T1303" s="4" t="s">
        <v>771</v>
      </c>
      <c r="U1303" s="4">
        <v>0</v>
      </c>
      <c r="V1303" s="4">
        <v>41</v>
      </c>
      <c r="W1303" s="4">
        <v>84</v>
      </c>
    </row>
    <row r="1304" spans="1:23" ht="11.25" customHeight="1" x14ac:dyDescent="0.25">
      <c r="A1304" s="4" t="s">
        <v>27</v>
      </c>
      <c r="B1304" s="4" t="s">
        <v>22</v>
      </c>
      <c r="C1304" s="4" t="s">
        <v>23</v>
      </c>
      <c r="D1304" s="4" t="s">
        <v>24</v>
      </c>
      <c r="E1304" s="4" t="s">
        <v>24</v>
      </c>
      <c r="F1304" s="4" t="s">
        <v>25</v>
      </c>
      <c r="G1304" s="4" t="s">
        <v>25</v>
      </c>
      <c r="H1304" s="4" t="s">
        <v>25</v>
      </c>
      <c r="I1304" s="5">
        <v>44348</v>
      </c>
      <c r="J1304" s="6">
        <v>0</v>
      </c>
      <c r="K1304" s="6">
        <v>0</v>
      </c>
      <c r="L1304" s="6">
        <v>-18.876000000000001</v>
      </c>
      <c r="M1304" s="6">
        <v>-18.876000000000001</v>
      </c>
      <c r="N1304" s="6">
        <v>-18.876000000000001</v>
      </c>
      <c r="O1304" s="6">
        <v>-18.876000000000001</v>
      </c>
      <c r="P1304" s="6">
        <v>-23</v>
      </c>
      <c r="Q1304" s="4" t="s">
        <v>26</v>
      </c>
      <c r="R1304" s="4">
        <v>0</v>
      </c>
      <c r="S1304" s="4" t="s">
        <v>507</v>
      </c>
      <c r="T1304" s="4" t="s">
        <v>771</v>
      </c>
      <c r="U1304" s="4">
        <v>0</v>
      </c>
      <c r="V1304" s="4">
        <v>41</v>
      </c>
      <c r="W1304" s="4">
        <v>84</v>
      </c>
    </row>
    <row r="1305" spans="1:23" ht="11.25" customHeight="1" x14ac:dyDescent="0.25">
      <c r="A1305" s="4" t="s">
        <v>28</v>
      </c>
      <c r="B1305" s="4" t="s">
        <v>22</v>
      </c>
      <c r="C1305" s="4" t="s">
        <v>23</v>
      </c>
      <c r="D1305" s="4" t="s">
        <v>24</v>
      </c>
      <c r="E1305" s="4" t="s">
        <v>24</v>
      </c>
      <c r="F1305" s="4" t="s">
        <v>25</v>
      </c>
      <c r="G1305" s="4" t="s">
        <v>25</v>
      </c>
      <c r="H1305" s="4" t="s">
        <v>25</v>
      </c>
      <c r="I1305" s="5">
        <v>44348</v>
      </c>
      <c r="J1305" s="6">
        <v>0</v>
      </c>
      <c r="K1305" s="6">
        <v>0</v>
      </c>
      <c r="L1305" s="6">
        <v>642.15300000000002</v>
      </c>
      <c r="M1305" s="6">
        <v>642.15300000000002</v>
      </c>
      <c r="N1305" s="6">
        <v>642.15300000000002</v>
      </c>
      <c r="O1305" s="6">
        <v>642.15300000000002</v>
      </c>
      <c r="P1305" s="6">
        <v>5658</v>
      </c>
      <c r="Q1305" s="4" t="s">
        <v>26</v>
      </c>
      <c r="R1305" s="4">
        <v>0</v>
      </c>
      <c r="S1305" s="4" t="s">
        <v>507</v>
      </c>
      <c r="T1305" s="4" t="s">
        <v>771</v>
      </c>
      <c r="U1305" s="4">
        <v>0</v>
      </c>
      <c r="V1305" s="4">
        <v>41</v>
      </c>
      <c r="W1305" s="4">
        <v>84</v>
      </c>
    </row>
    <row r="1306" spans="1:23" ht="11.25" customHeight="1" x14ac:dyDescent="0.25">
      <c r="A1306" s="4" t="s">
        <v>28</v>
      </c>
      <c r="B1306" s="4" t="s">
        <v>22</v>
      </c>
      <c r="C1306" s="4" t="s">
        <v>23</v>
      </c>
      <c r="D1306" s="4" t="s">
        <v>24</v>
      </c>
      <c r="E1306" s="4" t="s">
        <v>24</v>
      </c>
      <c r="F1306" s="4" t="s">
        <v>25</v>
      </c>
      <c r="G1306" s="4" t="s">
        <v>25</v>
      </c>
      <c r="H1306" s="4" t="s">
        <v>25</v>
      </c>
      <c r="I1306" s="5">
        <v>44348</v>
      </c>
      <c r="J1306" s="6">
        <v>0</v>
      </c>
      <c r="K1306" s="6">
        <v>0</v>
      </c>
      <c r="L1306" s="6">
        <v>-1.004</v>
      </c>
      <c r="M1306" s="6">
        <v>-1.004</v>
      </c>
      <c r="N1306" s="6">
        <v>-1.004</v>
      </c>
      <c r="O1306" s="6">
        <v>-1.004</v>
      </c>
      <c r="P1306" s="6">
        <v>0</v>
      </c>
      <c r="Q1306" s="4" t="s">
        <v>26</v>
      </c>
      <c r="R1306" s="4">
        <v>0</v>
      </c>
      <c r="S1306" s="4" t="s">
        <v>507</v>
      </c>
      <c r="T1306" s="4" t="s">
        <v>771</v>
      </c>
      <c r="U1306" s="4">
        <v>0</v>
      </c>
      <c r="V1306" s="4">
        <v>41</v>
      </c>
      <c r="W1306" s="4">
        <v>84</v>
      </c>
    </row>
    <row r="1307" spans="1:23" ht="11.25" customHeight="1" x14ac:dyDescent="0.25">
      <c r="A1307" s="4" t="s">
        <v>21</v>
      </c>
      <c r="B1307" s="4" t="s">
        <v>22</v>
      </c>
      <c r="C1307" s="4" t="s">
        <v>23</v>
      </c>
      <c r="D1307" s="4" t="s">
        <v>24</v>
      </c>
      <c r="E1307" s="4" t="s">
        <v>24</v>
      </c>
      <c r="F1307" s="4" t="s">
        <v>25</v>
      </c>
      <c r="G1307" s="4" t="s">
        <v>25</v>
      </c>
      <c r="H1307" s="4" t="s">
        <v>25</v>
      </c>
      <c r="I1307" s="5">
        <v>44378</v>
      </c>
      <c r="J1307" s="6">
        <v>0</v>
      </c>
      <c r="K1307" s="6">
        <v>0</v>
      </c>
      <c r="L1307" s="6">
        <v>31785.352999999999</v>
      </c>
      <c r="M1307" s="6">
        <v>31785.352999999999</v>
      </c>
      <c r="N1307" s="6">
        <v>31785.352999999999</v>
      </c>
      <c r="O1307" s="6">
        <v>31785.352999999999</v>
      </c>
      <c r="P1307" s="6">
        <v>267954</v>
      </c>
      <c r="Q1307" s="4" t="s">
        <v>26</v>
      </c>
      <c r="R1307" s="4">
        <v>0</v>
      </c>
      <c r="S1307" s="4" t="s">
        <v>508</v>
      </c>
      <c r="T1307" s="4" t="s">
        <v>772</v>
      </c>
      <c r="U1307" s="4">
        <v>0</v>
      </c>
      <c r="V1307" s="4">
        <v>41</v>
      </c>
      <c r="W1307" s="4">
        <v>84</v>
      </c>
    </row>
    <row r="1308" spans="1:23" ht="11.25" customHeight="1" x14ac:dyDescent="0.25">
      <c r="A1308" s="4" t="s">
        <v>27</v>
      </c>
      <c r="B1308" s="4" t="s">
        <v>22</v>
      </c>
      <c r="C1308" s="4" t="s">
        <v>23</v>
      </c>
      <c r="D1308" s="4" t="s">
        <v>24</v>
      </c>
      <c r="E1308" s="4" t="s">
        <v>24</v>
      </c>
      <c r="F1308" s="4" t="s">
        <v>25</v>
      </c>
      <c r="G1308" s="4" t="s">
        <v>25</v>
      </c>
      <c r="H1308" s="4" t="s">
        <v>25</v>
      </c>
      <c r="I1308" s="5">
        <v>44378</v>
      </c>
      <c r="J1308" s="6">
        <v>0</v>
      </c>
      <c r="K1308" s="6">
        <v>0</v>
      </c>
      <c r="L1308" s="6">
        <v>-30.484999999999999</v>
      </c>
      <c r="M1308" s="6">
        <v>-30.484999999999999</v>
      </c>
      <c r="N1308" s="6">
        <v>-30.484999999999999</v>
      </c>
      <c r="O1308" s="6">
        <v>-30.484999999999999</v>
      </c>
      <c r="P1308" s="6">
        <v>-29</v>
      </c>
      <c r="Q1308" s="4" t="s">
        <v>26</v>
      </c>
      <c r="R1308" s="4">
        <v>0</v>
      </c>
      <c r="S1308" s="4" t="s">
        <v>508</v>
      </c>
      <c r="T1308" s="4" t="s">
        <v>772</v>
      </c>
      <c r="U1308" s="4">
        <v>0</v>
      </c>
      <c r="V1308" s="4">
        <v>41</v>
      </c>
      <c r="W1308" s="4">
        <v>84</v>
      </c>
    </row>
    <row r="1309" spans="1:23" ht="11.25" customHeight="1" x14ac:dyDescent="0.25">
      <c r="A1309" s="4" t="s">
        <v>28</v>
      </c>
      <c r="B1309" s="4" t="s">
        <v>22</v>
      </c>
      <c r="C1309" s="4" t="s">
        <v>23</v>
      </c>
      <c r="D1309" s="4" t="s">
        <v>24</v>
      </c>
      <c r="E1309" s="4" t="s">
        <v>24</v>
      </c>
      <c r="F1309" s="4" t="s">
        <v>25</v>
      </c>
      <c r="G1309" s="4" t="s">
        <v>25</v>
      </c>
      <c r="H1309" s="4" t="s">
        <v>25</v>
      </c>
      <c r="I1309" s="5">
        <v>44378</v>
      </c>
      <c r="J1309" s="6">
        <v>0</v>
      </c>
      <c r="K1309" s="6">
        <v>0</v>
      </c>
      <c r="L1309" s="6">
        <v>654.73400000000004</v>
      </c>
      <c r="M1309" s="6">
        <v>654.73400000000004</v>
      </c>
      <c r="N1309" s="6">
        <v>654.73400000000004</v>
      </c>
      <c r="O1309" s="6">
        <v>654.73400000000004</v>
      </c>
      <c r="P1309" s="6">
        <v>6055</v>
      </c>
      <c r="Q1309" s="4" t="s">
        <v>26</v>
      </c>
      <c r="R1309" s="4">
        <v>0</v>
      </c>
      <c r="S1309" s="4" t="s">
        <v>508</v>
      </c>
      <c r="T1309" s="4" t="s">
        <v>772</v>
      </c>
      <c r="U1309" s="4">
        <v>0</v>
      </c>
      <c r="V1309" s="4">
        <v>41</v>
      </c>
      <c r="W1309" s="4">
        <v>84</v>
      </c>
    </row>
    <row r="1310" spans="1:23" ht="11.25" customHeight="1" x14ac:dyDescent="0.25">
      <c r="A1310" s="4" t="s">
        <v>28</v>
      </c>
      <c r="B1310" s="4" t="s">
        <v>22</v>
      </c>
      <c r="C1310" s="4" t="s">
        <v>23</v>
      </c>
      <c r="D1310" s="4" t="s">
        <v>24</v>
      </c>
      <c r="E1310" s="4" t="s">
        <v>24</v>
      </c>
      <c r="F1310" s="4" t="s">
        <v>25</v>
      </c>
      <c r="G1310" s="4" t="s">
        <v>25</v>
      </c>
      <c r="H1310" s="4" t="s">
        <v>25</v>
      </c>
      <c r="I1310" s="5">
        <v>44378</v>
      </c>
      <c r="J1310" s="6">
        <v>0</v>
      </c>
      <c r="K1310" s="6">
        <v>0</v>
      </c>
      <c r="L1310" s="6">
        <v>-1.9650000000000001</v>
      </c>
      <c r="M1310" s="6">
        <v>-1.9650000000000001</v>
      </c>
      <c r="N1310" s="6">
        <v>-1.9650000000000001</v>
      </c>
      <c r="O1310" s="6">
        <v>-1.9650000000000001</v>
      </c>
      <c r="P1310" s="6">
        <v>1</v>
      </c>
      <c r="Q1310" s="4" t="s">
        <v>26</v>
      </c>
      <c r="R1310" s="4">
        <v>0</v>
      </c>
      <c r="S1310" s="4" t="s">
        <v>508</v>
      </c>
      <c r="T1310" s="4" t="s">
        <v>772</v>
      </c>
      <c r="U1310" s="4">
        <v>0</v>
      </c>
      <c r="V1310" s="4">
        <v>41</v>
      </c>
      <c r="W1310" s="4">
        <v>84</v>
      </c>
    </row>
    <row r="1311" spans="1:23" ht="11.25" customHeight="1" x14ac:dyDescent="0.25">
      <c r="A1311" s="4" t="s">
        <v>21</v>
      </c>
      <c r="B1311" s="4" t="s">
        <v>22</v>
      </c>
      <c r="C1311" s="4" t="s">
        <v>23</v>
      </c>
      <c r="D1311" s="4" t="s">
        <v>24</v>
      </c>
      <c r="E1311" s="4" t="s">
        <v>24</v>
      </c>
      <c r="F1311" s="4" t="s">
        <v>25</v>
      </c>
      <c r="G1311" s="4" t="s">
        <v>25</v>
      </c>
      <c r="H1311" s="4" t="s">
        <v>25</v>
      </c>
      <c r="I1311" s="5">
        <v>44409</v>
      </c>
      <c r="J1311" s="6">
        <v>0</v>
      </c>
      <c r="K1311" s="6">
        <v>0</v>
      </c>
      <c r="L1311" s="6">
        <v>31834.105</v>
      </c>
      <c r="M1311" s="6">
        <v>31834.105</v>
      </c>
      <c r="N1311" s="6">
        <v>31834.105</v>
      </c>
      <c r="O1311" s="6">
        <v>31834.105</v>
      </c>
      <c r="P1311" s="6">
        <v>267357</v>
      </c>
      <c r="Q1311" s="4" t="s">
        <v>26</v>
      </c>
      <c r="R1311" s="4">
        <v>0</v>
      </c>
      <c r="S1311" s="4" t="s">
        <v>509</v>
      </c>
      <c r="T1311" s="4" t="s">
        <v>773</v>
      </c>
      <c r="U1311" s="4">
        <v>0</v>
      </c>
      <c r="V1311" s="4">
        <v>41</v>
      </c>
      <c r="W1311" s="4">
        <v>84</v>
      </c>
    </row>
    <row r="1312" spans="1:23" ht="11.25" customHeight="1" x14ac:dyDescent="0.25">
      <c r="A1312" s="4" t="s">
        <v>27</v>
      </c>
      <c r="B1312" s="4" t="s">
        <v>22</v>
      </c>
      <c r="C1312" s="4" t="s">
        <v>23</v>
      </c>
      <c r="D1312" s="4" t="s">
        <v>24</v>
      </c>
      <c r="E1312" s="4" t="s">
        <v>24</v>
      </c>
      <c r="F1312" s="4" t="s">
        <v>25</v>
      </c>
      <c r="G1312" s="4" t="s">
        <v>25</v>
      </c>
      <c r="H1312" s="4" t="s">
        <v>25</v>
      </c>
      <c r="I1312" s="5">
        <v>44409</v>
      </c>
      <c r="J1312" s="6">
        <v>0</v>
      </c>
      <c r="K1312" s="6">
        <v>0</v>
      </c>
      <c r="L1312" s="6">
        <v>-66.760999999999996</v>
      </c>
      <c r="M1312" s="6">
        <v>-66.760999999999996</v>
      </c>
      <c r="N1312" s="6">
        <v>-66.760999999999996</v>
      </c>
      <c r="O1312" s="6">
        <v>-66.760999999999996</v>
      </c>
      <c r="P1312" s="6">
        <v>-39</v>
      </c>
      <c r="Q1312" s="4" t="s">
        <v>26</v>
      </c>
      <c r="R1312" s="4">
        <v>0</v>
      </c>
      <c r="S1312" s="4" t="s">
        <v>509</v>
      </c>
      <c r="T1312" s="4" t="s">
        <v>773</v>
      </c>
      <c r="U1312" s="4">
        <v>0</v>
      </c>
      <c r="V1312" s="4">
        <v>41</v>
      </c>
      <c r="W1312" s="4">
        <v>84</v>
      </c>
    </row>
    <row r="1313" spans="1:23" ht="11.25" customHeight="1" x14ac:dyDescent="0.25">
      <c r="A1313" s="4" t="s">
        <v>28</v>
      </c>
      <c r="B1313" s="4" t="s">
        <v>22</v>
      </c>
      <c r="C1313" s="4" t="s">
        <v>23</v>
      </c>
      <c r="D1313" s="4" t="s">
        <v>24</v>
      </c>
      <c r="E1313" s="4" t="s">
        <v>24</v>
      </c>
      <c r="F1313" s="4" t="s">
        <v>25</v>
      </c>
      <c r="G1313" s="4" t="s">
        <v>25</v>
      </c>
      <c r="H1313" s="4" t="s">
        <v>25</v>
      </c>
      <c r="I1313" s="5">
        <v>44409</v>
      </c>
      <c r="J1313" s="6">
        <v>0</v>
      </c>
      <c r="K1313" s="6">
        <v>0</v>
      </c>
      <c r="L1313" s="6">
        <v>689.13199999999995</v>
      </c>
      <c r="M1313" s="6">
        <v>689.13199999999995</v>
      </c>
      <c r="N1313" s="6">
        <v>689.13199999999995</v>
      </c>
      <c r="O1313" s="6">
        <v>689.13199999999995</v>
      </c>
      <c r="P1313" s="6">
        <v>6451</v>
      </c>
      <c r="Q1313" s="4" t="s">
        <v>26</v>
      </c>
      <c r="R1313" s="4">
        <v>0</v>
      </c>
      <c r="S1313" s="4" t="s">
        <v>509</v>
      </c>
      <c r="T1313" s="4" t="s">
        <v>773</v>
      </c>
      <c r="U1313" s="4">
        <v>0</v>
      </c>
      <c r="V1313" s="4">
        <v>41</v>
      </c>
      <c r="W1313" s="4">
        <v>84</v>
      </c>
    </row>
    <row r="1314" spans="1:23" ht="11.25" customHeight="1" x14ac:dyDescent="0.25">
      <c r="A1314" s="4" t="s">
        <v>28</v>
      </c>
      <c r="B1314" s="4" t="s">
        <v>22</v>
      </c>
      <c r="C1314" s="4" t="s">
        <v>23</v>
      </c>
      <c r="D1314" s="4" t="s">
        <v>24</v>
      </c>
      <c r="E1314" s="4" t="s">
        <v>24</v>
      </c>
      <c r="F1314" s="4" t="s">
        <v>25</v>
      </c>
      <c r="G1314" s="4" t="s">
        <v>25</v>
      </c>
      <c r="H1314" s="4" t="s">
        <v>25</v>
      </c>
      <c r="I1314" s="5">
        <v>44409</v>
      </c>
      <c r="J1314" s="6">
        <v>0</v>
      </c>
      <c r="K1314" s="6">
        <v>0</v>
      </c>
      <c r="L1314" s="6">
        <v>-0.91300000000000003</v>
      </c>
      <c r="M1314" s="6">
        <v>-0.91300000000000003</v>
      </c>
      <c r="N1314" s="6">
        <v>-0.91300000000000003</v>
      </c>
      <c r="O1314" s="6">
        <v>-0.91300000000000003</v>
      </c>
      <c r="P1314" s="6">
        <v>0</v>
      </c>
      <c r="Q1314" s="4" t="s">
        <v>26</v>
      </c>
      <c r="R1314" s="4">
        <v>0</v>
      </c>
      <c r="S1314" s="4" t="s">
        <v>509</v>
      </c>
      <c r="T1314" s="4" t="s">
        <v>773</v>
      </c>
      <c r="U1314" s="4">
        <v>0</v>
      </c>
      <c r="V1314" s="4">
        <v>41</v>
      </c>
      <c r="W1314" s="4">
        <v>84</v>
      </c>
    </row>
    <row r="1315" spans="1:23" ht="11.25" customHeight="1" x14ac:dyDescent="0.25">
      <c r="A1315" s="4" t="s">
        <v>21</v>
      </c>
      <c r="B1315" s="4" t="s">
        <v>22</v>
      </c>
      <c r="C1315" s="4" t="s">
        <v>23</v>
      </c>
      <c r="D1315" s="4" t="s">
        <v>24</v>
      </c>
      <c r="E1315" s="4" t="s">
        <v>24</v>
      </c>
      <c r="F1315" s="4" t="s">
        <v>25</v>
      </c>
      <c r="G1315" s="4" t="s">
        <v>25</v>
      </c>
      <c r="H1315" s="4" t="s">
        <v>25</v>
      </c>
      <c r="I1315" s="5">
        <v>44440</v>
      </c>
      <c r="J1315" s="6">
        <v>0</v>
      </c>
      <c r="K1315" s="6">
        <v>0</v>
      </c>
      <c r="L1315" s="6">
        <v>35522.057999999997</v>
      </c>
      <c r="M1315" s="6">
        <v>35522.057999999997</v>
      </c>
      <c r="N1315" s="6">
        <v>35522.057999999997</v>
      </c>
      <c r="O1315" s="6">
        <v>35522.057999999997</v>
      </c>
      <c r="P1315" s="6">
        <v>269596</v>
      </c>
      <c r="Q1315" s="4" t="s">
        <v>26</v>
      </c>
      <c r="R1315" s="4">
        <v>0</v>
      </c>
      <c r="S1315" s="4" t="s">
        <v>510</v>
      </c>
      <c r="T1315" s="4" t="s">
        <v>774</v>
      </c>
      <c r="U1315" s="4">
        <v>0</v>
      </c>
      <c r="V1315" s="4">
        <v>41</v>
      </c>
      <c r="W1315" s="4">
        <v>84</v>
      </c>
    </row>
    <row r="1316" spans="1:23" ht="11.25" customHeight="1" x14ac:dyDescent="0.25">
      <c r="A1316" s="4" t="s">
        <v>27</v>
      </c>
      <c r="B1316" s="4" t="s">
        <v>22</v>
      </c>
      <c r="C1316" s="4" t="s">
        <v>23</v>
      </c>
      <c r="D1316" s="4" t="s">
        <v>24</v>
      </c>
      <c r="E1316" s="4" t="s">
        <v>24</v>
      </c>
      <c r="F1316" s="4" t="s">
        <v>25</v>
      </c>
      <c r="G1316" s="4" t="s">
        <v>25</v>
      </c>
      <c r="H1316" s="4" t="s">
        <v>25</v>
      </c>
      <c r="I1316" s="5">
        <v>44440</v>
      </c>
      <c r="J1316" s="6">
        <v>0</v>
      </c>
      <c r="K1316" s="6">
        <v>0</v>
      </c>
      <c r="L1316" s="6">
        <v>-8.7919999999999998</v>
      </c>
      <c r="M1316" s="6">
        <v>-8.7919999999999998</v>
      </c>
      <c r="N1316" s="6">
        <v>-8.7919999999999998</v>
      </c>
      <c r="O1316" s="6">
        <v>-8.7919999999999998</v>
      </c>
      <c r="P1316" s="6">
        <v>-11</v>
      </c>
      <c r="Q1316" s="4" t="s">
        <v>26</v>
      </c>
      <c r="R1316" s="4">
        <v>0</v>
      </c>
      <c r="S1316" s="4" t="s">
        <v>510</v>
      </c>
      <c r="T1316" s="4" t="s">
        <v>774</v>
      </c>
      <c r="U1316" s="4">
        <v>0</v>
      </c>
      <c r="V1316" s="4">
        <v>41</v>
      </c>
      <c r="W1316" s="4">
        <v>84</v>
      </c>
    </row>
    <row r="1317" spans="1:23" ht="11.25" customHeight="1" x14ac:dyDescent="0.25">
      <c r="A1317" s="4" t="s">
        <v>28</v>
      </c>
      <c r="B1317" s="4" t="s">
        <v>22</v>
      </c>
      <c r="C1317" s="4" t="s">
        <v>23</v>
      </c>
      <c r="D1317" s="4" t="s">
        <v>24</v>
      </c>
      <c r="E1317" s="4" t="s">
        <v>24</v>
      </c>
      <c r="F1317" s="4" t="s">
        <v>25</v>
      </c>
      <c r="G1317" s="4" t="s">
        <v>25</v>
      </c>
      <c r="H1317" s="4" t="s">
        <v>25</v>
      </c>
      <c r="I1317" s="5">
        <v>44440</v>
      </c>
      <c r="J1317" s="6">
        <v>0</v>
      </c>
      <c r="K1317" s="6">
        <v>0</v>
      </c>
      <c r="L1317" s="6">
        <v>750.84</v>
      </c>
      <c r="M1317" s="6">
        <v>750.84</v>
      </c>
      <c r="N1317" s="6">
        <v>750.84</v>
      </c>
      <c r="O1317" s="6">
        <v>750.84</v>
      </c>
      <c r="P1317" s="6">
        <v>6903</v>
      </c>
      <c r="Q1317" s="4" t="s">
        <v>26</v>
      </c>
      <c r="R1317" s="4">
        <v>0</v>
      </c>
      <c r="S1317" s="4" t="s">
        <v>510</v>
      </c>
      <c r="T1317" s="4" t="s">
        <v>774</v>
      </c>
      <c r="U1317" s="4">
        <v>0</v>
      </c>
      <c r="V1317" s="4">
        <v>41</v>
      </c>
      <c r="W1317" s="4">
        <v>84</v>
      </c>
    </row>
    <row r="1318" spans="1:23" ht="11.25" customHeight="1" x14ac:dyDescent="0.25">
      <c r="A1318" s="4" t="s">
        <v>28</v>
      </c>
      <c r="B1318" s="4" t="s">
        <v>22</v>
      </c>
      <c r="C1318" s="4" t="s">
        <v>23</v>
      </c>
      <c r="D1318" s="4" t="s">
        <v>24</v>
      </c>
      <c r="E1318" s="4" t="s">
        <v>24</v>
      </c>
      <c r="F1318" s="4" t="s">
        <v>25</v>
      </c>
      <c r="G1318" s="4" t="s">
        <v>25</v>
      </c>
      <c r="H1318" s="4" t="s">
        <v>25</v>
      </c>
      <c r="I1318" s="5">
        <v>44440</v>
      </c>
      <c r="J1318" s="6">
        <v>0</v>
      </c>
      <c r="K1318" s="6">
        <v>0</v>
      </c>
      <c r="L1318" s="6">
        <v>-11.977</v>
      </c>
      <c r="M1318" s="6">
        <v>-11.977</v>
      </c>
      <c r="N1318" s="6">
        <v>-11.977</v>
      </c>
      <c r="O1318" s="6">
        <v>-11.977</v>
      </c>
      <c r="P1318" s="6">
        <v>0</v>
      </c>
      <c r="Q1318" s="4" t="s">
        <v>26</v>
      </c>
      <c r="R1318" s="4">
        <v>0</v>
      </c>
      <c r="S1318" s="4" t="s">
        <v>510</v>
      </c>
      <c r="T1318" s="4" t="s">
        <v>774</v>
      </c>
      <c r="U1318" s="4">
        <v>0</v>
      </c>
      <c r="V1318" s="4">
        <v>41</v>
      </c>
      <c r="W1318" s="4">
        <v>84</v>
      </c>
    </row>
    <row r="1319" spans="1:23" ht="11.25" customHeight="1" x14ac:dyDescent="0.25">
      <c r="A1319" s="4" t="s">
        <v>21</v>
      </c>
      <c r="B1319" s="4" t="s">
        <v>22</v>
      </c>
      <c r="C1319" s="4" t="s">
        <v>23</v>
      </c>
      <c r="D1319" s="4" t="s">
        <v>24</v>
      </c>
      <c r="E1319" s="4" t="s">
        <v>24</v>
      </c>
      <c r="F1319" s="4" t="s">
        <v>25</v>
      </c>
      <c r="G1319" s="4" t="s">
        <v>25</v>
      </c>
      <c r="H1319" s="4" t="s">
        <v>25</v>
      </c>
      <c r="I1319" s="5">
        <v>44470</v>
      </c>
      <c r="J1319" s="6">
        <v>0</v>
      </c>
      <c r="K1319" s="6">
        <v>0</v>
      </c>
      <c r="L1319" s="6">
        <v>33917.345999999998</v>
      </c>
      <c r="M1319" s="6">
        <v>33917.345999999998</v>
      </c>
      <c r="N1319" s="6">
        <v>33917.345999999998</v>
      </c>
      <c r="O1319" s="6">
        <v>33917.345999999998</v>
      </c>
      <c r="P1319" s="6">
        <v>268131</v>
      </c>
      <c r="Q1319" s="4" t="s">
        <v>26</v>
      </c>
      <c r="R1319" s="4">
        <v>0</v>
      </c>
      <c r="S1319" s="4" t="s">
        <v>511</v>
      </c>
      <c r="T1319" s="4" t="s">
        <v>775</v>
      </c>
      <c r="U1319" s="4">
        <v>0</v>
      </c>
      <c r="V1319" s="4">
        <v>41</v>
      </c>
      <c r="W1319" s="4">
        <v>84</v>
      </c>
    </row>
    <row r="1320" spans="1:23" ht="11.25" customHeight="1" x14ac:dyDescent="0.25">
      <c r="A1320" s="4" t="s">
        <v>27</v>
      </c>
      <c r="B1320" s="4" t="s">
        <v>22</v>
      </c>
      <c r="C1320" s="4" t="s">
        <v>23</v>
      </c>
      <c r="D1320" s="4" t="s">
        <v>24</v>
      </c>
      <c r="E1320" s="4" t="s">
        <v>24</v>
      </c>
      <c r="F1320" s="4" t="s">
        <v>25</v>
      </c>
      <c r="G1320" s="4" t="s">
        <v>25</v>
      </c>
      <c r="H1320" s="4" t="s">
        <v>25</v>
      </c>
      <c r="I1320" s="5">
        <v>44470</v>
      </c>
      <c r="J1320" s="6">
        <v>0</v>
      </c>
      <c r="K1320" s="6">
        <v>0</v>
      </c>
      <c r="L1320" s="6">
        <v>-27.29</v>
      </c>
      <c r="M1320" s="6">
        <v>-27.29</v>
      </c>
      <c r="N1320" s="6">
        <v>-27.29</v>
      </c>
      <c r="O1320" s="6">
        <v>-27.29</v>
      </c>
      <c r="P1320" s="6">
        <v>-19</v>
      </c>
      <c r="Q1320" s="4" t="s">
        <v>26</v>
      </c>
      <c r="R1320" s="4">
        <v>0</v>
      </c>
      <c r="S1320" s="4" t="s">
        <v>511</v>
      </c>
      <c r="T1320" s="4" t="s">
        <v>775</v>
      </c>
      <c r="U1320" s="4">
        <v>0</v>
      </c>
      <c r="V1320" s="4">
        <v>41</v>
      </c>
      <c r="W1320" s="4">
        <v>84</v>
      </c>
    </row>
    <row r="1321" spans="1:23" ht="11.25" customHeight="1" x14ac:dyDescent="0.25">
      <c r="A1321" s="4" t="s">
        <v>28</v>
      </c>
      <c r="B1321" s="4" t="s">
        <v>22</v>
      </c>
      <c r="C1321" s="4" t="s">
        <v>23</v>
      </c>
      <c r="D1321" s="4" t="s">
        <v>24</v>
      </c>
      <c r="E1321" s="4" t="s">
        <v>24</v>
      </c>
      <c r="F1321" s="4" t="s">
        <v>25</v>
      </c>
      <c r="G1321" s="4" t="s">
        <v>25</v>
      </c>
      <c r="H1321" s="4" t="s">
        <v>25</v>
      </c>
      <c r="I1321" s="5">
        <v>44470</v>
      </c>
      <c r="J1321" s="6">
        <v>0</v>
      </c>
      <c r="K1321" s="6">
        <v>0</v>
      </c>
      <c r="L1321" s="6">
        <v>817.02099999999996</v>
      </c>
      <c r="M1321" s="6">
        <v>817.02099999999996</v>
      </c>
      <c r="N1321" s="6">
        <v>817.02099999999996</v>
      </c>
      <c r="O1321" s="6">
        <v>817.02099999999996</v>
      </c>
      <c r="P1321" s="6">
        <v>7249</v>
      </c>
      <c r="Q1321" s="4" t="s">
        <v>26</v>
      </c>
      <c r="R1321" s="4">
        <v>0</v>
      </c>
      <c r="S1321" s="4" t="s">
        <v>511</v>
      </c>
      <c r="T1321" s="4" t="s">
        <v>775</v>
      </c>
      <c r="U1321" s="4">
        <v>0</v>
      </c>
      <c r="V1321" s="4">
        <v>41</v>
      </c>
      <c r="W1321" s="4">
        <v>84</v>
      </c>
    </row>
    <row r="1322" spans="1:23" ht="11.25" customHeight="1" x14ac:dyDescent="0.25">
      <c r="A1322" s="4" t="s">
        <v>28</v>
      </c>
      <c r="B1322" s="4" t="s">
        <v>22</v>
      </c>
      <c r="C1322" s="4" t="s">
        <v>23</v>
      </c>
      <c r="D1322" s="4" t="s">
        <v>24</v>
      </c>
      <c r="E1322" s="4" t="s">
        <v>24</v>
      </c>
      <c r="F1322" s="4" t="s">
        <v>25</v>
      </c>
      <c r="G1322" s="4" t="s">
        <v>25</v>
      </c>
      <c r="H1322" s="4" t="s">
        <v>25</v>
      </c>
      <c r="I1322" s="5">
        <v>44470</v>
      </c>
      <c r="J1322" s="6">
        <v>0</v>
      </c>
      <c r="K1322" s="6">
        <v>0</v>
      </c>
      <c r="L1322" s="6">
        <v>-3.5920000000000001</v>
      </c>
      <c r="M1322" s="6">
        <v>-3.5920000000000001</v>
      </c>
      <c r="N1322" s="6">
        <v>-3.5920000000000001</v>
      </c>
      <c r="O1322" s="6">
        <v>-3.5920000000000001</v>
      </c>
      <c r="P1322" s="6">
        <v>1</v>
      </c>
      <c r="Q1322" s="4" t="s">
        <v>26</v>
      </c>
      <c r="R1322" s="4">
        <v>0</v>
      </c>
      <c r="S1322" s="4" t="s">
        <v>511</v>
      </c>
      <c r="T1322" s="4" t="s">
        <v>775</v>
      </c>
      <c r="U1322" s="4">
        <v>0</v>
      </c>
      <c r="V1322" s="4">
        <v>41</v>
      </c>
      <c r="W1322" s="4">
        <v>84</v>
      </c>
    </row>
    <row r="1323" spans="1:23" ht="11.25" customHeight="1" x14ac:dyDescent="0.25">
      <c r="A1323" s="4" t="s">
        <v>21</v>
      </c>
      <c r="B1323" s="4" t="s">
        <v>22</v>
      </c>
      <c r="C1323" s="4" t="s">
        <v>23</v>
      </c>
      <c r="D1323" s="4" t="s">
        <v>24</v>
      </c>
      <c r="E1323" s="4" t="s">
        <v>24</v>
      </c>
      <c r="F1323" s="4" t="s">
        <v>25</v>
      </c>
      <c r="G1323" s="4" t="s">
        <v>25</v>
      </c>
      <c r="H1323" s="4" t="s">
        <v>25</v>
      </c>
      <c r="I1323" s="5">
        <v>44501</v>
      </c>
      <c r="J1323" s="6">
        <v>0</v>
      </c>
      <c r="K1323" s="6">
        <v>0</v>
      </c>
      <c r="L1323" s="6">
        <v>33626.442000000003</v>
      </c>
      <c r="M1323" s="6">
        <v>33626.442000000003</v>
      </c>
      <c r="N1323" s="6">
        <v>33626.442000000003</v>
      </c>
      <c r="O1323" s="6">
        <v>33626.442000000003</v>
      </c>
      <c r="P1323" s="6">
        <v>266917</v>
      </c>
      <c r="Q1323" s="4" t="s">
        <v>26</v>
      </c>
      <c r="R1323" s="4">
        <v>0</v>
      </c>
      <c r="S1323" s="4" t="s">
        <v>512</v>
      </c>
      <c r="T1323" s="4" t="s">
        <v>776</v>
      </c>
      <c r="U1323" s="4">
        <v>0</v>
      </c>
      <c r="V1323" s="4">
        <v>41</v>
      </c>
      <c r="W1323" s="4">
        <v>84</v>
      </c>
    </row>
    <row r="1324" spans="1:23" ht="11.25" customHeight="1" x14ac:dyDescent="0.25">
      <c r="A1324" s="4" t="s">
        <v>27</v>
      </c>
      <c r="B1324" s="4" t="s">
        <v>22</v>
      </c>
      <c r="C1324" s="4" t="s">
        <v>23</v>
      </c>
      <c r="D1324" s="4" t="s">
        <v>24</v>
      </c>
      <c r="E1324" s="4" t="s">
        <v>24</v>
      </c>
      <c r="F1324" s="4" t="s">
        <v>25</v>
      </c>
      <c r="G1324" s="4" t="s">
        <v>25</v>
      </c>
      <c r="H1324" s="4" t="s">
        <v>25</v>
      </c>
      <c r="I1324" s="5">
        <v>44501</v>
      </c>
      <c r="J1324" s="6">
        <v>0</v>
      </c>
      <c r="K1324" s="6">
        <v>0</v>
      </c>
      <c r="L1324" s="6">
        <v>-14.246</v>
      </c>
      <c r="M1324" s="6">
        <v>-14.246</v>
      </c>
      <c r="N1324" s="6">
        <v>-14.246</v>
      </c>
      <c r="O1324" s="6">
        <v>-14.246</v>
      </c>
      <c r="P1324" s="6">
        <v>-27</v>
      </c>
      <c r="Q1324" s="4" t="s">
        <v>26</v>
      </c>
      <c r="R1324" s="4">
        <v>0</v>
      </c>
      <c r="S1324" s="4" t="s">
        <v>512</v>
      </c>
      <c r="T1324" s="4" t="s">
        <v>776</v>
      </c>
      <c r="U1324" s="4">
        <v>0</v>
      </c>
      <c r="V1324" s="4">
        <v>41</v>
      </c>
      <c r="W1324" s="4">
        <v>84</v>
      </c>
    </row>
    <row r="1325" spans="1:23" ht="11.25" customHeight="1" x14ac:dyDescent="0.25">
      <c r="A1325" s="4" t="s">
        <v>28</v>
      </c>
      <c r="B1325" s="4" t="s">
        <v>22</v>
      </c>
      <c r="C1325" s="4" t="s">
        <v>23</v>
      </c>
      <c r="D1325" s="4" t="s">
        <v>24</v>
      </c>
      <c r="E1325" s="4" t="s">
        <v>24</v>
      </c>
      <c r="F1325" s="4" t="s">
        <v>25</v>
      </c>
      <c r="G1325" s="4" t="s">
        <v>25</v>
      </c>
      <c r="H1325" s="4" t="s">
        <v>25</v>
      </c>
      <c r="I1325" s="5">
        <v>44501</v>
      </c>
      <c r="J1325" s="6">
        <v>0</v>
      </c>
      <c r="K1325" s="6">
        <v>0</v>
      </c>
      <c r="L1325" s="6">
        <v>842.05799999999999</v>
      </c>
      <c r="M1325" s="6">
        <v>842.05799999999999</v>
      </c>
      <c r="N1325" s="6">
        <v>842.05799999999999</v>
      </c>
      <c r="O1325" s="6">
        <v>842.05799999999999</v>
      </c>
      <c r="P1325" s="6">
        <v>7716</v>
      </c>
      <c r="Q1325" s="4" t="s">
        <v>26</v>
      </c>
      <c r="R1325" s="4">
        <v>0</v>
      </c>
      <c r="S1325" s="4" t="s">
        <v>512</v>
      </c>
      <c r="T1325" s="4" t="s">
        <v>776</v>
      </c>
      <c r="U1325" s="4">
        <v>0</v>
      </c>
      <c r="V1325" s="4">
        <v>41</v>
      </c>
      <c r="W1325" s="4">
        <v>84</v>
      </c>
    </row>
    <row r="1326" spans="1:23" ht="11.25" customHeight="1" x14ac:dyDescent="0.25">
      <c r="A1326" s="4" t="s">
        <v>28</v>
      </c>
      <c r="B1326" s="4" t="s">
        <v>22</v>
      </c>
      <c r="C1326" s="4" t="s">
        <v>23</v>
      </c>
      <c r="D1326" s="4" t="s">
        <v>24</v>
      </c>
      <c r="E1326" s="4" t="s">
        <v>24</v>
      </c>
      <c r="F1326" s="4" t="s">
        <v>25</v>
      </c>
      <c r="G1326" s="4" t="s">
        <v>25</v>
      </c>
      <c r="H1326" s="4" t="s">
        <v>25</v>
      </c>
      <c r="I1326" s="5">
        <v>44501</v>
      </c>
      <c r="J1326" s="6">
        <v>0</v>
      </c>
      <c r="K1326" s="6">
        <v>0</v>
      </c>
      <c r="L1326" s="6">
        <v>-3.1080000000000001</v>
      </c>
      <c r="M1326" s="6">
        <v>-3.1080000000000001</v>
      </c>
      <c r="N1326" s="6">
        <v>-3.1080000000000001</v>
      </c>
      <c r="O1326" s="6">
        <v>-3.1080000000000001</v>
      </c>
      <c r="P1326" s="6">
        <v>1</v>
      </c>
      <c r="Q1326" s="4" t="s">
        <v>26</v>
      </c>
      <c r="R1326" s="4">
        <v>0</v>
      </c>
      <c r="S1326" s="4" t="s">
        <v>512</v>
      </c>
      <c r="T1326" s="4" t="s">
        <v>776</v>
      </c>
      <c r="U1326" s="4">
        <v>0</v>
      </c>
      <c r="V1326" s="4">
        <v>41</v>
      </c>
      <c r="W1326" s="4">
        <v>84</v>
      </c>
    </row>
    <row r="1327" spans="1:23" ht="11.25" customHeight="1" x14ac:dyDescent="0.25">
      <c r="A1327" s="4" t="s">
        <v>21</v>
      </c>
      <c r="B1327" s="4" t="s">
        <v>22</v>
      </c>
      <c r="C1327" s="4" t="s">
        <v>23</v>
      </c>
      <c r="D1327" s="4" t="s">
        <v>24</v>
      </c>
      <c r="E1327" s="4" t="s">
        <v>24</v>
      </c>
      <c r="F1327" s="4" t="s">
        <v>25</v>
      </c>
      <c r="G1327" s="4" t="s">
        <v>25</v>
      </c>
      <c r="H1327" s="4" t="s">
        <v>25</v>
      </c>
      <c r="I1327" s="5">
        <v>44531</v>
      </c>
      <c r="J1327" s="6">
        <v>0</v>
      </c>
      <c r="K1327" s="6">
        <v>0</v>
      </c>
      <c r="L1327" s="6">
        <v>36130.078999999998</v>
      </c>
      <c r="M1327" s="6">
        <v>36130.078999999998</v>
      </c>
      <c r="N1327" s="6">
        <v>36130.078999999998</v>
      </c>
      <c r="O1327" s="6">
        <v>36130.078999999998</v>
      </c>
      <c r="P1327" s="6">
        <v>265913</v>
      </c>
      <c r="Q1327" s="4" t="s">
        <v>26</v>
      </c>
      <c r="R1327" s="4">
        <v>0</v>
      </c>
      <c r="S1327" s="4" t="s">
        <v>513</v>
      </c>
      <c r="T1327" s="4" t="s">
        <v>777</v>
      </c>
      <c r="U1327" s="4">
        <v>0</v>
      </c>
      <c r="V1327" s="4">
        <v>41</v>
      </c>
      <c r="W1327" s="4">
        <v>84</v>
      </c>
    </row>
    <row r="1328" spans="1:23" ht="11.25" customHeight="1" x14ac:dyDescent="0.25">
      <c r="A1328" s="4" t="s">
        <v>27</v>
      </c>
      <c r="B1328" s="4" t="s">
        <v>22</v>
      </c>
      <c r="C1328" s="4" t="s">
        <v>23</v>
      </c>
      <c r="D1328" s="4" t="s">
        <v>24</v>
      </c>
      <c r="E1328" s="4" t="s">
        <v>24</v>
      </c>
      <c r="F1328" s="4" t="s">
        <v>25</v>
      </c>
      <c r="G1328" s="4" t="s">
        <v>25</v>
      </c>
      <c r="H1328" s="4" t="s">
        <v>25</v>
      </c>
      <c r="I1328" s="5">
        <v>44531</v>
      </c>
      <c r="J1328" s="6">
        <v>0</v>
      </c>
      <c r="K1328" s="6">
        <v>0</v>
      </c>
      <c r="L1328" s="6">
        <v>-34.533999999999999</v>
      </c>
      <c r="M1328" s="6">
        <v>-34.533999999999999</v>
      </c>
      <c r="N1328" s="6">
        <v>-34.533999999999999</v>
      </c>
      <c r="O1328" s="6">
        <v>-34.533999999999999</v>
      </c>
      <c r="P1328" s="6">
        <v>-21</v>
      </c>
      <c r="Q1328" s="4" t="s">
        <v>26</v>
      </c>
      <c r="R1328" s="4">
        <v>0</v>
      </c>
      <c r="S1328" s="4" t="s">
        <v>513</v>
      </c>
      <c r="T1328" s="4" t="s">
        <v>777</v>
      </c>
      <c r="U1328" s="4">
        <v>0</v>
      </c>
      <c r="V1328" s="4">
        <v>41</v>
      </c>
      <c r="W1328" s="4">
        <v>84</v>
      </c>
    </row>
    <row r="1329" spans="1:23" ht="11.25" customHeight="1" x14ac:dyDescent="0.25">
      <c r="A1329" s="4" t="s">
        <v>28</v>
      </c>
      <c r="B1329" s="4" t="s">
        <v>22</v>
      </c>
      <c r="C1329" s="4" t="s">
        <v>23</v>
      </c>
      <c r="D1329" s="4" t="s">
        <v>24</v>
      </c>
      <c r="E1329" s="4" t="s">
        <v>24</v>
      </c>
      <c r="F1329" s="4" t="s">
        <v>25</v>
      </c>
      <c r="G1329" s="4" t="s">
        <v>25</v>
      </c>
      <c r="H1329" s="4" t="s">
        <v>25</v>
      </c>
      <c r="I1329" s="5">
        <v>44531</v>
      </c>
      <c r="J1329" s="6">
        <v>0</v>
      </c>
      <c r="K1329" s="6">
        <v>0</v>
      </c>
      <c r="L1329" s="6">
        <v>912.05399999999997</v>
      </c>
      <c r="M1329" s="6">
        <v>912.05399999999997</v>
      </c>
      <c r="N1329" s="6">
        <v>912.05399999999997</v>
      </c>
      <c r="O1329" s="6">
        <v>912.05399999999997</v>
      </c>
      <c r="P1329" s="6">
        <v>8285</v>
      </c>
      <c r="Q1329" s="4" t="s">
        <v>26</v>
      </c>
      <c r="R1329" s="4">
        <v>0</v>
      </c>
      <c r="S1329" s="4" t="s">
        <v>513</v>
      </c>
      <c r="T1329" s="4" t="s">
        <v>777</v>
      </c>
      <c r="U1329" s="4">
        <v>0</v>
      </c>
      <c r="V1329" s="4">
        <v>41</v>
      </c>
      <c r="W1329" s="4">
        <v>84</v>
      </c>
    </row>
    <row r="1330" spans="1:23" ht="11.25" customHeight="1" x14ac:dyDescent="0.25">
      <c r="A1330" s="4" t="s">
        <v>28</v>
      </c>
      <c r="B1330" s="4" t="s">
        <v>22</v>
      </c>
      <c r="C1330" s="4" t="s">
        <v>23</v>
      </c>
      <c r="D1330" s="4" t="s">
        <v>24</v>
      </c>
      <c r="E1330" s="4" t="s">
        <v>24</v>
      </c>
      <c r="F1330" s="4" t="s">
        <v>25</v>
      </c>
      <c r="G1330" s="4" t="s">
        <v>25</v>
      </c>
      <c r="H1330" s="4" t="s">
        <v>25</v>
      </c>
      <c r="I1330" s="5">
        <v>44531</v>
      </c>
      <c r="J1330" s="6">
        <v>0</v>
      </c>
      <c r="K1330" s="6">
        <v>0</v>
      </c>
      <c r="L1330" s="6">
        <v>-1.2070000000000001</v>
      </c>
      <c r="M1330" s="6">
        <v>-1.2070000000000001</v>
      </c>
      <c r="N1330" s="6">
        <v>-1.2070000000000001</v>
      </c>
      <c r="O1330" s="6">
        <v>-1.2070000000000001</v>
      </c>
      <c r="P1330" s="6">
        <v>0</v>
      </c>
      <c r="Q1330" s="4" t="s">
        <v>26</v>
      </c>
      <c r="R1330" s="4">
        <v>0</v>
      </c>
      <c r="S1330" s="4" t="s">
        <v>513</v>
      </c>
      <c r="T1330" s="4" t="s">
        <v>777</v>
      </c>
      <c r="U1330" s="4">
        <v>0</v>
      </c>
      <c r="V1330" s="4">
        <v>41</v>
      </c>
      <c r="W1330" s="4">
        <v>84</v>
      </c>
    </row>
    <row r="1331" spans="1:23" ht="11.25" customHeight="1" x14ac:dyDescent="0.25">
      <c r="A1331" s="4" t="s">
        <v>21</v>
      </c>
      <c r="B1331" s="4" t="s">
        <v>22</v>
      </c>
      <c r="C1331" s="4" t="s">
        <v>23</v>
      </c>
      <c r="D1331" s="4" t="s">
        <v>24</v>
      </c>
      <c r="E1331" s="4" t="s">
        <v>24</v>
      </c>
      <c r="F1331" s="4" t="s">
        <v>25</v>
      </c>
      <c r="G1331" s="4" t="s">
        <v>25</v>
      </c>
      <c r="H1331" s="4" t="s">
        <v>25</v>
      </c>
      <c r="I1331" s="5">
        <v>44562</v>
      </c>
      <c r="J1331" s="6">
        <v>0</v>
      </c>
      <c r="K1331" s="6">
        <v>0</v>
      </c>
      <c r="L1331" s="6">
        <v>35688.838000000003</v>
      </c>
      <c r="M1331" s="6">
        <v>35688.838000000003</v>
      </c>
      <c r="N1331" s="6">
        <v>35688.838000000003</v>
      </c>
      <c r="O1331" s="6">
        <v>35688.838000000003</v>
      </c>
      <c r="P1331" s="6">
        <v>265539</v>
      </c>
      <c r="Q1331" s="4" t="s">
        <v>26</v>
      </c>
      <c r="R1331" s="4">
        <v>0</v>
      </c>
      <c r="S1331" s="4" t="s">
        <v>514</v>
      </c>
      <c r="T1331" s="4" t="s">
        <v>778</v>
      </c>
      <c r="U1331" s="4">
        <v>0</v>
      </c>
      <c r="V1331" s="4">
        <v>41</v>
      </c>
      <c r="W1331" s="4">
        <v>84</v>
      </c>
    </row>
    <row r="1332" spans="1:23" ht="11.25" customHeight="1" x14ac:dyDescent="0.25">
      <c r="A1332" s="4" t="s">
        <v>27</v>
      </c>
      <c r="B1332" s="4" t="s">
        <v>22</v>
      </c>
      <c r="C1332" s="4" t="s">
        <v>23</v>
      </c>
      <c r="D1332" s="4" t="s">
        <v>24</v>
      </c>
      <c r="E1332" s="4" t="s">
        <v>24</v>
      </c>
      <c r="F1332" s="4" t="s">
        <v>25</v>
      </c>
      <c r="G1332" s="4" t="s">
        <v>25</v>
      </c>
      <c r="H1332" s="4" t="s">
        <v>25</v>
      </c>
      <c r="I1332" s="5">
        <v>44562</v>
      </c>
      <c r="J1332" s="6">
        <v>0</v>
      </c>
      <c r="K1332" s="6">
        <v>0</v>
      </c>
      <c r="L1332" s="6">
        <v>-11.483000000000001</v>
      </c>
      <c r="M1332" s="6">
        <v>-11.483000000000001</v>
      </c>
      <c r="N1332" s="6">
        <v>-11.483000000000001</v>
      </c>
      <c r="O1332" s="6">
        <v>-11.483000000000001</v>
      </c>
      <c r="P1332" s="6">
        <v>-12</v>
      </c>
      <c r="Q1332" s="4" t="s">
        <v>26</v>
      </c>
      <c r="R1332" s="4">
        <v>0</v>
      </c>
      <c r="S1332" s="4" t="s">
        <v>514</v>
      </c>
      <c r="T1332" s="4" t="s">
        <v>778</v>
      </c>
      <c r="U1332" s="4">
        <v>0</v>
      </c>
      <c r="V1332" s="4">
        <v>41</v>
      </c>
      <c r="W1332" s="4">
        <v>84</v>
      </c>
    </row>
    <row r="1333" spans="1:23" ht="11.25" customHeight="1" x14ac:dyDescent="0.25">
      <c r="A1333" s="4" t="s">
        <v>28</v>
      </c>
      <c r="B1333" s="4" t="s">
        <v>22</v>
      </c>
      <c r="C1333" s="4" t="s">
        <v>23</v>
      </c>
      <c r="D1333" s="4" t="s">
        <v>24</v>
      </c>
      <c r="E1333" s="4" t="s">
        <v>24</v>
      </c>
      <c r="F1333" s="4" t="s">
        <v>25</v>
      </c>
      <c r="G1333" s="4" t="s">
        <v>25</v>
      </c>
      <c r="H1333" s="4" t="s">
        <v>25</v>
      </c>
      <c r="I1333" s="5">
        <v>44562</v>
      </c>
      <c r="J1333" s="6">
        <v>0</v>
      </c>
      <c r="K1333" s="6">
        <v>0</v>
      </c>
      <c r="L1333" s="6">
        <v>982.96199999999999</v>
      </c>
      <c r="M1333" s="6">
        <v>982.96199999999999</v>
      </c>
      <c r="N1333" s="6">
        <v>982.96199999999999</v>
      </c>
      <c r="O1333" s="6">
        <v>982.96199999999999</v>
      </c>
      <c r="P1333" s="6">
        <v>8861</v>
      </c>
      <c r="Q1333" s="4" t="s">
        <v>26</v>
      </c>
      <c r="R1333" s="4">
        <v>0</v>
      </c>
      <c r="S1333" s="4" t="s">
        <v>514</v>
      </c>
      <c r="T1333" s="4" t="s">
        <v>778</v>
      </c>
      <c r="U1333" s="4">
        <v>0</v>
      </c>
      <c r="V1333" s="4">
        <v>41</v>
      </c>
      <c r="W1333" s="4">
        <v>84</v>
      </c>
    </row>
    <row r="1334" spans="1:23" ht="11.25" customHeight="1" x14ac:dyDescent="0.25">
      <c r="A1334" s="4" t="s">
        <v>28</v>
      </c>
      <c r="B1334" s="4" t="s">
        <v>22</v>
      </c>
      <c r="C1334" s="4" t="s">
        <v>23</v>
      </c>
      <c r="D1334" s="4" t="s">
        <v>24</v>
      </c>
      <c r="E1334" s="4" t="s">
        <v>24</v>
      </c>
      <c r="F1334" s="4" t="s">
        <v>25</v>
      </c>
      <c r="G1334" s="4" t="s">
        <v>25</v>
      </c>
      <c r="H1334" s="4" t="s">
        <v>25</v>
      </c>
      <c r="I1334" s="5">
        <v>44562</v>
      </c>
      <c r="J1334" s="6">
        <v>0</v>
      </c>
      <c r="K1334" s="6">
        <v>0</v>
      </c>
      <c r="L1334" s="6">
        <v>-2.952</v>
      </c>
      <c r="M1334" s="6">
        <v>-2.952</v>
      </c>
      <c r="N1334" s="6">
        <v>-2.952</v>
      </c>
      <c r="O1334" s="6">
        <v>-2.952</v>
      </c>
      <c r="P1334" s="6">
        <v>-1</v>
      </c>
      <c r="Q1334" s="4" t="s">
        <v>26</v>
      </c>
      <c r="R1334" s="4">
        <v>0</v>
      </c>
      <c r="S1334" s="4" t="s">
        <v>514</v>
      </c>
      <c r="T1334" s="4" t="s">
        <v>778</v>
      </c>
      <c r="U1334" s="4">
        <v>0</v>
      </c>
      <c r="V1334" s="4">
        <v>41</v>
      </c>
      <c r="W1334" s="4">
        <v>84</v>
      </c>
    </row>
    <row r="1335" spans="1:23" ht="11.25" customHeight="1" x14ac:dyDescent="0.25">
      <c r="A1335" s="4" t="s">
        <v>21</v>
      </c>
      <c r="B1335" s="4" t="s">
        <v>22</v>
      </c>
      <c r="C1335" s="4" t="s">
        <v>23</v>
      </c>
      <c r="D1335" s="4" t="s">
        <v>24</v>
      </c>
      <c r="E1335" s="4" t="s">
        <v>24</v>
      </c>
      <c r="F1335" s="4" t="s">
        <v>25</v>
      </c>
      <c r="G1335" s="4" t="s">
        <v>25</v>
      </c>
      <c r="H1335" s="4" t="s">
        <v>25</v>
      </c>
      <c r="I1335" s="5">
        <v>44593</v>
      </c>
      <c r="J1335" s="6">
        <v>0</v>
      </c>
      <c r="K1335" s="6">
        <v>0</v>
      </c>
      <c r="L1335" s="6">
        <v>35119.839</v>
      </c>
      <c r="M1335" s="6">
        <v>35119.839</v>
      </c>
      <c r="N1335" s="6">
        <v>35119.839</v>
      </c>
      <c r="O1335" s="6">
        <v>35119.839</v>
      </c>
      <c r="P1335" s="6">
        <v>269267</v>
      </c>
      <c r="Q1335" s="4" t="s">
        <v>26</v>
      </c>
      <c r="R1335" s="4">
        <v>0</v>
      </c>
      <c r="S1335" s="4" t="s">
        <v>515</v>
      </c>
      <c r="T1335" s="4" t="s">
        <v>779</v>
      </c>
      <c r="U1335" s="4">
        <v>0</v>
      </c>
      <c r="V1335" s="4">
        <v>41</v>
      </c>
      <c r="W1335" s="4">
        <v>84</v>
      </c>
    </row>
    <row r="1336" spans="1:23" ht="11.25" customHeight="1" x14ac:dyDescent="0.25">
      <c r="A1336" s="4" t="s">
        <v>27</v>
      </c>
      <c r="B1336" s="4" t="s">
        <v>22</v>
      </c>
      <c r="C1336" s="4" t="s">
        <v>23</v>
      </c>
      <c r="D1336" s="4" t="s">
        <v>24</v>
      </c>
      <c r="E1336" s="4" t="s">
        <v>24</v>
      </c>
      <c r="F1336" s="4" t="s">
        <v>25</v>
      </c>
      <c r="G1336" s="4" t="s">
        <v>25</v>
      </c>
      <c r="H1336" s="4" t="s">
        <v>25</v>
      </c>
      <c r="I1336" s="5">
        <v>44593</v>
      </c>
      <c r="J1336" s="6">
        <v>0</v>
      </c>
      <c r="K1336" s="6">
        <v>0</v>
      </c>
      <c r="L1336" s="6">
        <v>-21.84</v>
      </c>
      <c r="M1336" s="6">
        <v>-21.84</v>
      </c>
      <c r="N1336" s="6">
        <v>-21.84</v>
      </c>
      <c r="O1336" s="6">
        <v>-21.84</v>
      </c>
      <c r="P1336" s="6">
        <v>-40</v>
      </c>
      <c r="Q1336" s="4" t="s">
        <v>26</v>
      </c>
      <c r="R1336" s="4">
        <v>0</v>
      </c>
      <c r="S1336" s="4" t="s">
        <v>515</v>
      </c>
      <c r="T1336" s="4" t="s">
        <v>779</v>
      </c>
      <c r="U1336" s="4">
        <v>0</v>
      </c>
      <c r="V1336" s="4">
        <v>41</v>
      </c>
      <c r="W1336" s="4">
        <v>84</v>
      </c>
    </row>
    <row r="1337" spans="1:23" ht="11.25" customHeight="1" x14ac:dyDescent="0.25">
      <c r="A1337" s="4" t="s">
        <v>28</v>
      </c>
      <c r="B1337" s="4" t="s">
        <v>22</v>
      </c>
      <c r="C1337" s="4" t="s">
        <v>23</v>
      </c>
      <c r="D1337" s="4" t="s">
        <v>24</v>
      </c>
      <c r="E1337" s="4" t="s">
        <v>24</v>
      </c>
      <c r="F1337" s="4" t="s">
        <v>25</v>
      </c>
      <c r="G1337" s="4" t="s">
        <v>25</v>
      </c>
      <c r="H1337" s="4" t="s">
        <v>25</v>
      </c>
      <c r="I1337" s="5">
        <v>44593</v>
      </c>
      <c r="J1337" s="6">
        <v>0</v>
      </c>
      <c r="K1337" s="6">
        <v>0</v>
      </c>
      <c r="L1337" s="6">
        <v>1091.241</v>
      </c>
      <c r="M1337" s="6">
        <v>1091.241</v>
      </c>
      <c r="N1337" s="6">
        <v>1091.241</v>
      </c>
      <c r="O1337" s="6">
        <v>1091.241</v>
      </c>
      <c r="P1337" s="6">
        <v>9657</v>
      </c>
      <c r="Q1337" s="4" t="s">
        <v>26</v>
      </c>
      <c r="R1337" s="4">
        <v>0</v>
      </c>
      <c r="S1337" s="4" t="s">
        <v>515</v>
      </c>
      <c r="T1337" s="4" t="s">
        <v>779</v>
      </c>
      <c r="U1337" s="4">
        <v>0</v>
      </c>
      <c r="V1337" s="4">
        <v>41</v>
      </c>
      <c r="W1337" s="4">
        <v>84</v>
      </c>
    </row>
    <row r="1338" spans="1:23" ht="11.25" customHeight="1" x14ac:dyDescent="0.25">
      <c r="A1338" s="4" t="s">
        <v>28</v>
      </c>
      <c r="B1338" s="4" t="s">
        <v>22</v>
      </c>
      <c r="C1338" s="4" t="s">
        <v>23</v>
      </c>
      <c r="D1338" s="4" t="s">
        <v>24</v>
      </c>
      <c r="E1338" s="4" t="s">
        <v>24</v>
      </c>
      <c r="F1338" s="4" t="s">
        <v>25</v>
      </c>
      <c r="G1338" s="4" t="s">
        <v>25</v>
      </c>
      <c r="H1338" s="4" t="s">
        <v>25</v>
      </c>
      <c r="I1338" s="5">
        <v>44593</v>
      </c>
      <c r="J1338" s="6">
        <v>0</v>
      </c>
      <c r="K1338" s="6">
        <v>0</v>
      </c>
      <c r="L1338" s="6">
        <v>-0.72799999999999998</v>
      </c>
      <c r="M1338" s="6">
        <v>-0.72799999999999998</v>
      </c>
      <c r="N1338" s="6">
        <v>-0.72799999999999998</v>
      </c>
      <c r="O1338" s="6">
        <v>-0.72799999999999998</v>
      </c>
      <c r="P1338" s="6">
        <v>1</v>
      </c>
      <c r="Q1338" s="4" t="s">
        <v>26</v>
      </c>
      <c r="R1338" s="4">
        <v>0</v>
      </c>
      <c r="S1338" s="4" t="s">
        <v>515</v>
      </c>
      <c r="T1338" s="4" t="s">
        <v>779</v>
      </c>
      <c r="U1338" s="4">
        <v>0</v>
      </c>
      <c r="V1338" s="4">
        <v>41</v>
      </c>
      <c r="W1338" s="4">
        <v>84</v>
      </c>
    </row>
    <row r="1339" spans="1:23" ht="11.25" customHeight="1" x14ac:dyDescent="0.25">
      <c r="A1339" s="4" t="s">
        <v>21</v>
      </c>
      <c r="B1339" s="4" t="s">
        <v>22</v>
      </c>
      <c r="C1339" s="4" t="s">
        <v>23</v>
      </c>
      <c r="D1339" s="4" t="s">
        <v>24</v>
      </c>
      <c r="E1339" s="4" t="s">
        <v>24</v>
      </c>
      <c r="F1339" s="4" t="s">
        <v>25</v>
      </c>
      <c r="G1339" s="4" t="s">
        <v>25</v>
      </c>
      <c r="H1339" s="4" t="s">
        <v>25</v>
      </c>
      <c r="I1339" s="5">
        <v>44621</v>
      </c>
      <c r="J1339" s="6">
        <v>0</v>
      </c>
      <c r="K1339" s="6">
        <v>0</v>
      </c>
      <c r="L1339" s="6">
        <v>38289.932999999997</v>
      </c>
      <c r="M1339" s="6">
        <v>38289.932999999997</v>
      </c>
      <c r="N1339" s="6">
        <v>38289.932999999997</v>
      </c>
      <c r="O1339" s="6">
        <v>38289.932999999997</v>
      </c>
      <c r="P1339" s="6">
        <v>268101</v>
      </c>
      <c r="Q1339" s="4" t="s">
        <v>26</v>
      </c>
      <c r="R1339" s="4">
        <v>0</v>
      </c>
      <c r="S1339" s="4" t="s">
        <v>516</v>
      </c>
      <c r="T1339" s="4" t="s">
        <v>780</v>
      </c>
      <c r="U1339" s="4">
        <v>0</v>
      </c>
      <c r="V1339" s="4">
        <v>41</v>
      </c>
      <c r="W1339" s="4">
        <v>84</v>
      </c>
    </row>
    <row r="1340" spans="1:23" ht="11.25" customHeight="1" x14ac:dyDescent="0.25">
      <c r="A1340" s="4" t="s">
        <v>27</v>
      </c>
      <c r="B1340" s="4" t="s">
        <v>22</v>
      </c>
      <c r="C1340" s="4" t="s">
        <v>23</v>
      </c>
      <c r="D1340" s="4" t="s">
        <v>24</v>
      </c>
      <c r="E1340" s="4" t="s">
        <v>24</v>
      </c>
      <c r="F1340" s="4" t="s">
        <v>25</v>
      </c>
      <c r="G1340" s="4" t="s">
        <v>25</v>
      </c>
      <c r="H1340" s="4" t="s">
        <v>25</v>
      </c>
      <c r="I1340" s="5">
        <v>44621</v>
      </c>
      <c r="J1340" s="6">
        <v>0</v>
      </c>
      <c r="K1340" s="6">
        <v>0</v>
      </c>
      <c r="L1340" s="6">
        <v>-41.625</v>
      </c>
      <c r="M1340" s="6">
        <v>-41.625</v>
      </c>
      <c r="N1340" s="6">
        <v>-41.625</v>
      </c>
      <c r="O1340" s="6">
        <v>-41.625</v>
      </c>
      <c r="P1340" s="6">
        <v>-46</v>
      </c>
      <c r="Q1340" s="4" t="s">
        <v>26</v>
      </c>
      <c r="R1340" s="4">
        <v>0</v>
      </c>
      <c r="S1340" s="4" t="s">
        <v>516</v>
      </c>
      <c r="T1340" s="4" t="s">
        <v>780</v>
      </c>
      <c r="U1340" s="4">
        <v>0</v>
      </c>
      <c r="V1340" s="4">
        <v>41</v>
      </c>
      <c r="W1340" s="4">
        <v>84</v>
      </c>
    </row>
    <row r="1341" spans="1:23" ht="11.25" customHeight="1" x14ac:dyDescent="0.25">
      <c r="A1341" s="4" t="s">
        <v>28</v>
      </c>
      <c r="B1341" s="4" t="s">
        <v>22</v>
      </c>
      <c r="C1341" s="4" t="s">
        <v>23</v>
      </c>
      <c r="D1341" s="4" t="s">
        <v>24</v>
      </c>
      <c r="E1341" s="4" t="s">
        <v>24</v>
      </c>
      <c r="F1341" s="4" t="s">
        <v>25</v>
      </c>
      <c r="G1341" s="4" t="s">
        <v>25</v>
      </c>
      <c r="H1341" s="4" t="s">
        <v>25</v>
      </c>
      <c r="I1341" s="5">
        <v>44621</v>
      </c>
      <c r="J1341" s="6">
        <v>0</v>
      </c>
      <c r="K1341" s="6">
        <v>0</v>
      </c>
      <c r="L1341" s="6">
        <v>1163.3230000000001</v>
      </c>
      <c r="M1341" s="6">
        <v>1163.3230000000001</v>
      </c>
      <c r="N1341" s="6">
        <v>1163.3230000000001</v>
      </c>
      <c r="O1341" s="6">
        <v>1163.3230000000001</v>
      </c>
      <c r="P1341" s="6">
        <v>10298</v>
      </c>
      <c r="Q1341" s="4" t="s">
        <v>26</v>
      </c>
      <c r="R1341" s="4">
        <v>0</v>
      </c>
      <c r="S1341" s="4" t="s">
        <v>516</v>
      </c>
      <c r="T1341" s="4" t="s">
        <v>780</v>
      </c>
      <c r="U1341" s="4">
        <v>0</v>
      </c>
      <c r="V1341" s="4">
        <v>41</v>
      </c>
      <c r="W1341" s="4">
        <v>84</v>
      </c>
    </row>
    <row r="1342" spans="1:23" ht="11.25" customHeight="1" x14ac:dyDescent="0.25">
      <c r="A1342" s="4" t="s">
        <v>28</v>
      </c>
      <c r="B1342" s="4" t="s">
        <v>22</v>
      </c>
      <c r="C1342" s="4" t="s">
        <v>23</v>
      </c>
      <c r="D1342" s="4" t="s">
        <v>24</v>
      </c>
      <c r="E1342" s="4" t="s">
        <v>24</v>
      </c>
      <c r="F1342" s="4" t="s">
        <v>25</v>
      </c>
      <c r="G1342" s="4" t="s">
        <v>25</v>
      </c>
      <c r="H1342" s="4" t="s">
        <v>25</v>
      </c>
      <c r="I1342" s="5">
        <v>44621</v>
      </c>
      <c r="J1342" s="6">
        <v>0</v>
      </c>
      <c r="K1342" s="6">
        <v>0</v>
      </c>
      <c r="L1342" s="6">
        <v>-2.4279999999999999</v>
      </c>
      <c r="M1342" s="6">
        <v>-2.4279999999999999</v>
      </c>
      <c r="N1342" s="6">
        <v>-2.4279999999999999</v>
      </c>
      <c r="O1342" s="6">
        <v>-2.4279999999999999</v>
      </c>
      <c r="P1342" s="6">
        <v>0</v>
      </c>
      <c r="Q1342" s="4" t="s">
        <v>26</v>
      </c>
      <c r="R1342" s="4">
        <v>0</v>
      </c>
      <c r="S1342" s="4" t="s">
        <v>516</v>
      </c>
      <c r="T1342" s="4" t="s">
        <v>780</v>
      </c>
      <c r="U1342" s="4">
        <v>0</v>
      </c>
      <c r="V1342" s="4">
        <v>41</v>
      </c>
      <c r="W1342" s="4">
        <v>84</v>
      </c>
    </row>
    <row r="1343" spans="1:23" ht="11.25" customHeight="1" x14ac:dyDescent="0.25">
      <c r="A1343" s="4" t="s">
        <v>21</v>
      </c>
      <c r="B1343" s="4" t="s">
        <v>22</v>
      </c>
      <c r="C1343" s="4" t="s">
        <v>23</v>
      </c>
      <c r="D1343" s="4" t="s">
        <v>24</v>
      </c>
      <c r="E1343" s="4" t="s">
        <v>24</v>
      </c>
      <c r="F1343" s="4" t="s">
        <v>25</v>
      </c>
      <c r="G1343" s="4" t="s">
        <v>25</v>
      </c>
      <c r="H1343" s="4" t="s">
        <v>25</v>
      </c>
      <c r="I1343" s="5">
        <v>44652</v>
      </c>
      <c r="J1343" s="6">
        <v>0</v>
      </c>
      <c r="K1343" s="6">
        <v>0</v>
      </c>
      <c r="L1343" s="6">
        <v>35722.485999999997</v>
      </c>
      <c r="M1343" s="6">
        <v>35722.485999999997</v>
      </c>
      <c r="N1343" s="6">
        <v>35722.485999999997</v>
      </c>
      <c r="O1343" s="6">
        <v>35722.485999999997</v>
      </c>
      <c r="P1343" s="6">
        <v>265728</v>
      </c>
      <c r="Q1343" s="4" t="s">
        <v>26</v>
      </c>
      <c r="R1343" s="4">
        <v>0</v>
      </c>
      <c r="S1343" s="4" t="s">
        <v>517</v>
      </c>
      <c r="T1343" s="4" t="s">
        <v>781</v>
      </c>
      <c r="U1343" s="4">
        <v>0</v>
      </c>
      <c r="V1343" s="4">
        <v>41</v>
      </c>
      <c r="W1343" s="4">
        <v>84</v>
      </c>
    </row>
    <row r="1344" spans="1:23" ht="11.25" customHeight="1" x14ac:dyDescent="0.25">
      <c r="A1344" s="4" t="s">
        <v>27</v>
      </c>
      <c r="B1344" s="4" t="s">
        <v>22</v>
      </c>
      <c r="C1344" s="4" t="s">
        <v>23</v>
      </c>
      <c r="D1344" s="4" t="s">
        <v>24</v>
      </c>
      <c r="E1344" s="4" t="s">
        <v>24</v>
      </c>
      <c r="F1344" s="4" t="s">
        <v>25</v>
      </c>
      <c r="G1344" s="4" t="s">
        <v>25</v>
      </c>
      <c r="H1344" s="4" t="s">
        <v>25</v>
      </c>
      <c r="I1344" s="5">
        <v>44652</v>
      </c>
      <c r="J1344" s="6">
        <v>0</v>
      </c>
      <c r="K1344" s="6">
        <v>0</v>
      </c>
      <c r="L1344" s="6">
        <v>-35.234000000000002</v>
      </c>
      <c r="M1344" s="6">
        <v>-35.234000000000002</v>
      </c>
      <c r="N1344" s="6">
        <v>-35.234000000000002</v>
      </c>
      <c r="O1344" s="6">
        <v>-35.234000000000002</v>
      </c>
      <c r="P1344" s="6">
        <v>-37</v>
      </c>
      <c r="Q1344" s="4" t="s">
        <v>26</v>
      </c>
      <c r="R1344" s="4">
        <v>0</v>
      </c>
      <c r="S1344" s="4" t="s">
        <v>517</v>
      </c>
      <c r="T1344" s="4" t="s">
        <v>781</v>
      </c>
      <c r="U1344" s="4">
        <v>0</v>
      </c>
      <c r="V1344" s="4">
        <v>41</v>
      </c>
      <c r="W1344" s="4">
        <v>84</v>
      </c>
    </row>
    <row r="1345" spans="1:23" ht="11.25" customHeight="1" x14ac:dyDescent="0.25">
      <c r="A1345" s="4" t="s">
        <v>28</v>
      </c>
      <c r="B1345" s="4" t="s">
        <v>22</v>
      </c>
      <c r="C1345" s="4" t="s">
        <v>23</v>
      </c>
      <c r="D1345" s="4" t="s">
        <v>24</v>
      </c>
      <c r="E1345" s="4" t="s">
        <v>24</v>
      </c>
      <c r="F1345" s="4" t="s">
        <v>25</v>
      </c>
      <c r="G1345" s="4" t="s">
        <v>25</v>
      </c>
      <c r="H1345" s="4" t="s">
        <v>25</v>
      </c>
      <c r="I1345" s="5">
        <v>44652</v>
      </c>
      <c r="J1345" s="6">
        <v>0</v>
      </c>
      <c r="K1345" s="6">
        <v>0</v>
      </c>
      <c r="L1345" s="6">
        <v>1211.3109999999999</v>
      </c>
      <c r="M1345" s="6">
        <v>1211.3109999999999</v>
      </c>
      <c r="N1345" s="6">
        <v>1211.3109999999999</v>
      </c>
      <c r="O1345" s="6">
        <v>1211.3109999999999</v>
      </c>
      <c r="P1345" s="6">
        <v>10846</v>
      </c>
      <c r="Q1345" s="4" t="s">
        <v>26</v>
      </c>
      <c r="R1345" s="4">
        <v>0</v>
      </c>
      <c r="S1345" s="4" t="s">
        <v>517</v>
      </c>
      <c r="T1345" s="4" t="s">
        <v>781</v>
      </c>
      <c r="U1345" s="4">
        <v>0</v>
      </c>
      <c r="V1345" s="4">
        <v>41</v>
      </c>
      <c r="W1345" s="4">
        <v>84</v>
      </c>
    </row>
    <row r="1346" spans="1:23" ht="11.25" customHeight="1" x14ac:dyDescent="0.25">
      <c r="A1346" s="4" t="s">
        <v>28</v>
      </c>
      <c r="B1346" s="4" t="s">
        <v>22</v>
      </c>
      <c r="C1346" s="4" t="s">
        <v>23</v>
      </c>
      <c r="D1346" s="4" t="s">
        <v>24</v>
      </c>
      <c r="E1346" s="4" t="s">
        <v>24</v>
      </c>
      <c r="F1346" s="4" t="s">
        <v>25</v>
      </c>
      <c r="G1346" s="4" t="s">
        <v>25</v>
      </c>
      <c r="H1346" s="4" t="s">
        <v>25</v>
      </c>
      <c r="I1346" s="5">
        <v>44652</v>
      </c>
      <c r="J1346" s="6">
        <v>0</v>
      </c>
      <c r="K1346" s="6">
        <v>0</v>
      </c>
      <c r="L1346" s="6">
        <v>-5.9240000000000004</v>
      </c>
      <c r="M1346" s="6">
        <v>-5.9240000000000004</v>
      </c>
      <c r="N1346" s="6">
        <v>-5.9240000000000004</v>
      </c>
      <c r="O1346" s="6">
        <v>-5.9240000000000004</v>
      </c>
      <c r="P1346" s="6">
        <v>0</v>
      </c>
      <c r="Q1346" s="4" t="s">
        <v>26</v>
      </c>
      <c r="R1346" s="4">
        <v>0</v>
      </c>
      <c r="S1346" s="4" t="s">
        <v>517</v>
      </c>
      <c r="T1346" s="4" t="s">
        <v>781</v>
      </c>
      <c r="U1346" s="4">
        <v>0</v>
      </c>
      <c r="V1346" s="4">
        <v>41</v>
      </c>
      <c r="W1346" s="4">
        <v>84</v>
      </c>
    </row>
    <row r="1347" spans="1:23" ht="11.25" customHeight="1" x14ac:dyDescent="0.25">
      <c r="A1347" s="4" t="s">
        <v>58</v>
      </c>
      <c r="B1347" s="4" t="s">
        <v>22</v>
      </c>
      <c r="C1347" s="4" t="s">
        <v>23</v>
      </c>
      <c r="D1347" s="4" t="s">
        <v>24</v>
      </c>
      <c r="E1347" s="4" t="s">
        <v>24</v>
      </c>
      <c r="F1347" s="4" t="s">
        <v>25</v>
      </c>
      <c r="G1347" s="4" t="s">
        <v>25</v>
      </c>
      <c r="H1347" s="4" t="s">
        <v>25</v>
      </c>
      <c r="I1347" s="5">
        <v>44682</v>
      </c>
      <c r="J1347" s="6">
        <v>0</v>
      </c>
      <c r="K1347" s="6">
        <v>0</v>
      </c>
      <c r="L1347" s="6">
        <v>35722.485999999997</v>
      </c>
      <c r="M1347" s="6">
        <v>35722.485999999997</v>
      </c>
      <c r="N1347" s="6">
        <v>35722.485999999997</v>
      </c>
      <c r="O1347" s="6">
        <v>35722.485999999997</v>
      </c>
      <c r="P1347" s="6">
        <v>265728</v>
      </c>
      <c r="Q1347" s="4" t="s">
        <v>26</v>
      </c>
      <c r="R1347" s="4">
        <v>0</v>
      </c>
      <c r="S1347" s="4" t="s">
        <v>518</v>
      </c>
      <c r="T1347" s="4" t="s">
        <v>782</v>
      </c>
      <c r="U1347" s="4">
        <v>0</v>
      </c>
      <c r="V1347" s="4">
        <v>41</v>
      </c>
      <c r="W1347" s="4">
        <v>84</v>
      </c>
    </row>
    <row r="1348" spans="1:23" ht="11.25" customHeight="1" x14ac:dyDescent="0.25">
      <c r="A1348" s="4" t="s">
        <v>58</v>
      </c>
      <c r="B1348" s="4" t="s">
        <v>22</v>
      </c>
      <c r="C1348" s="4" t="s">
        <v>23</v>
      </c>
      <c r="D1348" s="4" t="s">
        <v>24</v>
      </c>
      <c r="E1348" s="4" t="s">
        <v>24</v>
      </c>
      <c r="F1348" s="4" t="s">
        <v>25</v>
      </c>
      <c r="G1348" s="4" t="s">
        <v>25</v>
      </c>
      <c r="H1348" s="4" t="s">
        <v>25</v>
      </c>
      <c r="I1348" s="5">
        <v>44682</v>
      </c>
      <c r="J1348" s="6">
        <v>0</v>
      </c>
      <c r="K1348" s="6">
        <v>0</v>
      </c>
      <c r="L1348" s="6">
        <v>-35.234000000000002</v>
      </c>
      <c r="M1348" s="6">
        <v>-35.234000000000002</v>
      </c>
      <c r="N1348" s="6">
        <v>-35.234000000000002</v>
      </c>
      <c r="O1348" s="6">
        <v>-35.234000000000002</v>
      </c>
      <c r="P1348" s="6">
        <v>-37</v>
      </c>
      <c r="Q1348" s="4" t="s">
        <v>26</v>
      </c>
      <c r="R1348" s="4">
        <v>0</v>
      </c>
      <c r="S1348" s="4" t="s">
        <v>518</v>
      </c>
      <c r="T1348" s="4" t="s">
        <v>782</v>
      </c>
      <c r="U1348" s="4">
        <v>0</v>
      </c>
      <c r="V1348" s="4">
        <v>41</v>
      </c>
      <c r="W1348" s="4">
        <v>84</v>
      </c>
    </row>
    <row r="1349" spans="1:23" ht="11.25" customHeight="1" x14ac:dyDescent="0.25">
      <c r="A1349" s="4" t="s">
        <v>58</v>
      </c>
      <c r="B1349" s="4" t="s">
        <v>22</v>
      </c>
      <c r="C1349" s="4" t="s">
        <v>23</v>
      </c>
      <c r="D1349" s="4" t="s">
        <v>24</v>
      </c>
      <c r="E1349" s="4" t="s">
        <v>24</v>
      </c>
      <c r="F1349" s="4" t="s">
        <v>25</v>
      </c>
      <c r="G1349" s="4" t="s">
        <v>25</v>
      </c>
      <c r="H1349" s="4" t="s">
        <v>25</v>
      </c>
      <c r="I1349" s="5">
        <v>44682</v>
      </c>
      <c r="J1349" s="6">
        <v>0</v>
      </c>
      <c r="K1349" s="6">
        <v>0</v>
      </c>
      <c r="L1349" s="6">
        <v>1211.3109999999999</v>
      </c>
      <c r="M1349" s="6">
        <v>1211.3109999999999</v>
      </c>
      <c r="N1349" s="6">
        <v>1211.3109999999999</v>
      </c>
      <c r="O1349" s="6">
        <v>1211.3109999999999</v>
      </c>
      <c r="P1349" s="6">
        <v>10846</v>
      </c>
      <c r="Q1349" s="4" t="s">
        <v>26</v>
      </c>
      <c r="R1349" s="4">
        <v>0</v>
      </c>
      <c r="S1349" s="4" t="s">
        <v>518</v>
      </c>
      <c r="T1349" s="4" t="s">
        <v>782</v>
      </c>
      <c r="U1349" s="4">
        <v>0</v>
      </c>
      <c r="V1349" s="4">
        <v>41</v>
      </c>
      <c r="W1349" s="4">
        <v>84</v>
      </c>
    </row>
    <row r="1350" spans="1:23" ht="11.25" customHeight="1" x14ac:dyDescent="0.25">
      <c r="A1350" s="4" t="s">
        <v>58</v>
      </c>
      <c r="B1350" s="4" t="s">
        <v>22</v>
      </c>
      <c r="C1350" s="4" t="s">
        <v>23</v>
      </c>
      <c r="D1350" s="4" t="s">
        <v>24</v>
      </c>
      <c r="E1350" s="4" t="s">
        <v>24</v>
      </c>
      <c r="F1350" s="4" t="s">
        <v>25</v>
      </c>
      <c r="G1350" s="4" t="s">
        <v>25</v>
      </c>
      <c r="H1350" s="4" t="s">
        <v>25</v>
      </c>
      <c r="I1350" s="5">
        <v>44682</v>
      </c>
      <c r="J1350" s="6">
        <v>0</v>
      </c>
      <c r="K1350" s="6">
        <v>0</v>
      </c>
      <c r="L1350" s="6">
        <v>-5.9240000000000004</v>
      </c>
      <c r="M1350" s="6">
        <v>-5.9240000000000004</v>
      </c>
      <c r="N1350" s="6">
        <v>-5.9240000000000004</v>
      </c>
      <c r="O1350" s="6">
        <v>-5.9240000000000004</v>
      </c>
      <c r="P1350" s="6">
        <v>0</v>
      </c>
      <c r="Q1350" s="4" t="s">
        <v>26</v>
      </c>
      <c r="R1350" s="4">
        <v>0</v>
      </c>
      <c r="S1350" s="4" t="s">
        <v>518</v>
      </c>
      <c r="T1350" s="4" t="s">
        <v>782</v>
      </c>
      <c r="U1350" s="4">
        <v>0</v>
      </c>
      <c r="V1350" s="4">
        <v>41</v>
      </c>
      <c r="W1350" s="4">
        <v>84</v>
      </c>
    </row>
    <row r="1351" spans="1:23" ht="11.25" customHeight="1" x14ac:dyDescent="0.25">
      <c r="A1351" s="4" t="s">
        <v>21</v>
      </c>
      <c r="B1351" s="4" t="s">
        <v>22</v>
      </c>
      <c r="C1351" s="4" t="s">
        <v>23</v>
      </c>
      <c r="D1351" s="4" t="s">
        <v>24</v>
      </c>
      <c r="E1351" s="4" t="s">
        <v>29</v>
      </c>
      <c r="F1351" s="4" t="s">
        <v>25</v>
      </c>
      <c r="G1351" s="4" t="s">
        <v>25</v>
      </c>
      <c r="H1351" s="4" t="s">
        <v>25</v>
      </c>
      <c r="I1351" s="5">
        <v>44348</v>
      </c>
      <c r="J1351" s="6">
        <v>0</v>
      </c>
      <c r="K1351" s="6">
        <v>0</v>
      </c>
      <c r="L1351" s="6">
        <v>2446.7080000000001</v>
      </c>
      <c r="M1351" s="6">
        <v>2446.7080000000001</v>
      </c>
      <c r="N1351" s="6">
        <v>2446.7080000000001</v>
      </c>
      <c r="O1351" s="6">
        <v>2446.7080000000001</v>
      </c>
      <c r="P1351" s="6">
        <v>4473</v>
      </c>
      <c r="Q1351" s="4" t="s">
        <v>26</v>
      </c>
      <c r="R1351" s="4">
        <v>0</v>
      </c>
      <c r="S1351" s="4" t="s">
        <v>519</v>
      </c>
      <c r="T1351" s="4" t="s">
        <v>783</v>
      </c>
      <c r="U1351" s="4">
        <v>0</v>
      </c>
      <c r="V1351" s="4">
        <v>42</v>
      </c>
      <c r="W1351" s="4">
        <v>85</v>
      </c>
    </row>
    <row r="1352" spans="1:23" ht="11.25" customHeight="1" x14ac:dyDescent="0.25">
      <c r="A1352" s="4" t="s">
        <v>27</v>
      </c>
      <c r="B1352" s="4" t="s">
        <v>22</v>
      </c>
      <c r="C1352" s="4" t="s">
        <v>23</v>
      </c>
      <c r="D1352" s="4" t="s">
        <v>24</v>
      </c>
      <c r="E1352" s="4" t="s">
        <v>29</v>
      </c>
      <c r="F1352" s="4" t="s">
        <v>25</v>
      </c>
      <c r="G1352" s="4" t="s">
        <v>25</v>
      </c>
      <c r="H1352" s="4" t="s">
        <v>25</v>
      </c>
      <c r="I1352" s="5">
        <v>44348</v>
      </c>
      <c r="J1352" s="6">
        <v>0</v>
      </c>
      <c r="K1352" s="6">
        <v>0</v>
      </c>
      <c r="L1352" s="6">
        <v>0.76600000000000001</v>
      </c>
      <c r="M1352" s="6">
        <v>0.76600000000000001</v>
      </c>
      <c r="N1352" s="6">
        <v>0.76600000000000001</v>
      </c>
      <c r="O1352" s="6">
        <v>0.76600000000000001</v>
      </c>
      <c r="P1352" s="6">
        <v>12</v>
      </c>
      <c r="Q1352" s="4" t="s">
        <v>26</v>
      </c>
      <c r="R1352" s="4">
        <v>0</v>
      </c>
      <c r="S1352" s="4" t="s">
        <v>519</v>
      </c>
      <c r="T1352" s="4" t="s">
        <v>783</v>
      </c>
      <c r="U1352" s="4">
        <v>0</v>
      </c>
      <c r="V1352" s="4">
        <v>42</v>
      </c>
      <c r="W1352" s="4">
        <v>85</v>
      </c>
    </row>
    <row r="1353" spans="1:23" ht="11.25" customHeight="1" x14ac:dyDescent="0.25">
      <c r="A1353" s="4" t="s">
        <v>28</v>
      </c>
      <c r="B1353" s="4" t="s">
        <v>22</v>
      </c>
      <c r="C1353" s="4" t="s">
        <v>23</v>
      </c>
      <c r="D1353" s="4" t="s">
        <v>24</v>
      </c>
      <c r="E1353" s="4" t="s">
        <v>29</v>
      </c>
      <c r="F1353" s="4" t="s">
        <v>25</v>
      </c>
      <c r="G1353" s="4" t="s">
        <v>25</v>
      </c>
      <c r="H1353" s="4" t="s">
        <v>25</v>
      </c>
      <c r="I1353" s="5">
        <v>44348</v>
      </c>
      <c r="J1353" s="6">
        <v>0</v>
      </c>
      <c r="K1353" s="6">
        <v>0</v>
      </c>
      <c r="L1353" s="6">
        <v>2.31</v>
      </c>
      <c r="M1353" s="6">
        <v>2.31</v>
      </c>
      <c r="N1353" s="6">
        <v>2.31</v>
      </c>
      <c r="O1353" s="6">
        <v>2.31</v>
      </c>
      <c r="P1353" s="6">
        <v>4</v>
      </c>
      <c r="Q1353" s="4" t="s">
        <v>26</v>
      </c>
      <c r="R1353" s="4">
        <v>0</v>
      </c>
      <c r="S1353" s="4" t="s">
        <v>519</v>
      </c>
      <c r="T1353" s="4" t="s">
        <v>783</v>
      </c>
      <c r="U1353" s="4">
        <v>0</v>
      </c>
      <c r="V1353" s="4">
        <v>42</v>
      </c>
      <c r="W1353" s="4">
        <v>85</v>
      </c>
    </row>
    <row r="1354" spans="1:23" ht="11.25" customHeight="1" x14ac:dyDescent="0.25">
      <c r="A1354" s="4" t="s">
        <v>21</v>
      </c>
      <c r="B1354" s="4" t="s">
        <v>22</v>
      </c>
      <c r="C1354" s="4" t="s">
        <v>23</v>
      </c>
      <c r="D1354" s="4" t="s">
        <v>24</v>
      </c>
      <c r="E1354" s="4" t="s">
        <v>29</v>
      </c>
      <c r="F1354" s="4" t="s">
        <v>25</v>
      </c>
      <c r="G1354" s="4" t="s">
        <v>25</v>
      </c>
      <c r="H1354" s="4" t="s">
        <v>25</v>
      </c>
      <c r="I1354" s="5">
        <v>44378</v>
      </c>
      <c r="J1354" s="6">
        <v>0</v>
      </c>
      <c r="K1354" s="6">
        <v>0</v>
      </c>
      <c r="L1354" s="6">
        <v>2485.9389999999999</v>
      </c>
      <c r="M1354" s="6">
        <v>2485.9389999999999</v>
      </c>
      <c r="N1354" s="6">
        <v>2485.9389999999999</v>
      </c>
      <c r="O1354" s="6">
        <v>2485.9389999999999</v>
      </c>
      <c r="P1354" s="6">
        <v>4892</v>
      </c>
      <c r="Q1354" s="4" t="s">
        <v>26</v>
      </c>
      <c r="R1354" s="4">
        <v>0</v>
      </c>
      <c r="S1354" s="4" t="s">
        <v>520</v>
      </c>
      <c r="T1354" s="4" t="s">
        <v>784</v>
      </c>
      <c r="U1354" s="4">
        <v>0</v>
      </c>
      <c r="V1354" s="4">
        <v>42</v>
      </c>
      <c r="W1354" s="4">
        <v>85</v>
      </c>
    </row>
    <row r="1355" spans="1:23" ht="11.25" customHeight="1" x14ac:dyDescent="0.25">
      <c r="A1355" s="4" t="s">
        <v>27</v>
      </c>
      <c r="B1355" s="4" t="s">
        <v>22</v>
      </c>
      <c r="C1355" s="4" t="s">
        <v>23</v>
      </c>
      <c r="D1355" s="4" t="s">
        <v>24</v>
      </c>
      <c r="E1355" s="4" t="s">
        <v>29</v>
      </c>
      <c r="F1355" s="4" t="s">
        <v>25</v>
      </c>
      <c r="G1355" s="4" t="s">
        <v>25</v>
      </c>
      <c r="H1355" s="4" t="s">
        <v>25</v>
      </c>
      <c r="I1355" s="5">
        <v>44378</v>
      </c>
      <c r="J1355" s="6">
        <v>0</v>
      </c>
      <c r="K1355" s="6">
        <v>0</v>
      </c>
      <c r="L1355" s="6">
        <v>0.74199999999999999</v>
      </c>
      <c r="M1355" s="6">
        <v>0.74199999999999999</v>
      </c>
      <c r="N1355" s="6">
        <v>0.74199999999999999</v>
      </c>
      <c r="O1355" s="6">
        <v>0.74199999999999999</v>
      </c>
      <c r="P1355" s="6">
        <v>8</v>
      </c>
      <c r="Q1355" s="4" t="s">
        <v>26</v>
      </c>
      <c r="R1355" s="4">
        <v>0</v>
      </c>
      <c r="S1355" s="4" t="s">
        <v>520</v>
      </c>
      <c r="T1355" s="4" t="s">
        <v>784</v>
      </c>
      <c r="U1355" s="4">
        <v>0</v>
      </c>
      <c r="V1355" s="4">
        <v>42</v>
      </c>
      <c r="W1355" s="4">
        <v>85</v>
      </c>
    </row>
    <row r="1356" spans="1:23" ht="11.25" customHeight="1" x14ac:dyDescent="0.25">
      <c r="A1356" s="4" t="s">
        <v>28</v>
      </c>
      <c r="B1356" s="4" t="s">
        <v>22</v>
      </c>
      <c r="C1356" s="4" t="s">
        <v>23</v>
      </c>
      <c r="D1356" s="4" t="s">
        <v>24</v>
      </c>
      <c r="E1356" s="4" t="s">
        <v>29</v>
      </c>
      <c r="F1356" s="4" t="s">
        <v>25</v>
      </c>
      <c r="G1356" s="4" t="s">
        <v>25</v>
      </c>
      <c r="H1356" s="4" t="s">
        <v>25</v>
      </c>
      <c r="I1356" s="5">
        <v>44378</v>
      </c>
      <c r="J1356" s="6">
        <v>0</v>
      </c>
      <c r="K1356" s="6">
        <v>0</v>
      </c>
      <c r="L1356" s="6">
        <v>2.58</v>
      </c>
      <c r="M1356" s="6">
        <v>2.58</v>
      </c>
      <c r="N1356" s="6">
        <v>2.58</v>
      </c>
      <c r="O1356" s="6">
        <v>2.58</v>
      </c>
      <c r="P1356" s="6">
        <v>5</v>
      </c>
      <c r="Q1356" s="4" t="s">
        <v>26</v>
      </c>
      <c r="R1356" s="4">
        <v>0</v>
      </c>
      <c r="S1356" s="4" t="s">
        <v>520</v>
      </c>
      <c r="T1356" s="4" t="s">
        <v>784</v>
      </c>
      <c r="U1356" s="4">
        <v>0</v>
      </c>
      <c r="V1356" s="4">
        <v>42</v>
      </c>
      <c r="W1356" s="4">
        <v>85</v>
      </c>
    </row>
    <row r="1357" spans="1:23" ht="11.25" customHeight="1" x14ac:dyDescent="0.25">
      <c r="A1357" s="4" t="s">
        <v>21</v>
      </c>
      <c r="B1357" s="4" t="s">
        <v>22</v>
      </c>
      <c r="C1357" s="4" t="s">
        <v>23</v>
      </c>
      <c r="D1357" s="4" t="s">
        <v>24</v>
      </c>
      <c r="E1357" s="4" t="s">
        <v>29</v>
      </c>
      <c r="F1357" s="4" t="s">
        <v>25</v>
      </c>
      <c r="G1357" s="4" t="s">
        <v>25</v>
      </c>
      <c r="H1357" s="4" t="s">
        <v>25</v>
      </c>
      <c r="I1357" s="5">
        <v>44409</v>
      </c>
      <c r="J1357" s="6">
        <v>0</v>
      </c>
      <c r="K1357" s="6">
        <v>0</v>
      </c>
      <c r="L1357" s="6">
        <v>2510.7620000000002</v>
      </c>
      <c r="M1357" s="6">
        <v>2510.7620000000002</v>
      </c>
      <c r="N1357" s="6">
        <v>2510.7620000000002</v>
      </c>
      <c r="O1357" s="6">
        <v>2510.7620000000002</v>
      </c>
      <c r="P1357" s="6">
        <v>4861</v>
      </c>
      <c r="Q1357" s="4" t="s">
        <v>26</v>
      </c>
      <c r="R1357" s="4">
        <v>0</v>
      </c>
      <c r="S1357" s="4" t="s">
        <v>521</v>
      </c>
      <c r="T1357" s="4" t="s">
        <v>785</v>
      </c>
      <c r="U1357" s="4">
        <v>0</v>
      </c>
      <c r="V1357" s="4">
        <v>42</v>
      </c>
      <c r="W1357" s="4">
        <v>85</v>
      </c>
    </row>
    <row r="1358" spans="1:23" ht="11.25" customHeight="1" x14ac:dyDescent="0.25">
      <c r="A1358" s="4" t="s">
        <v>27</v>
      </c>
      <c r="B1358" s="4" t="s">
        <v>22</v>
      </c>
      <c r="C1358" s="4" t="s">
        <v>23</v>
      </c>
      <c r="D1358" s="4" t="s">
        <v>24</v>
      </c>
      <c r="E1358" s="4" t="s">
        <v>29</v>
      </c>
      <c r="F1358" s="4" t="s">
        <v>25</v>
      </c>
      <c r="G1358" s="4" t="s">
        <v>25</v>
      </c>
      <c r="H1358" s="4" t="s">
        <v>25</v>
      </c>
      <c r="I1358" s="5">
        <v>44409</v>
      </c>
      <c r="J1358" s="6">
        <v>0</v>
      </c>
      <c r="K1358" s="6">
        <v>0</v>
      </c>
      <c r="L1358" s="6">
        <v>0.93799999999999994</v>
      </c>
      <c r="M1358" s="6">
        <v>0.93799999999999994</v>
      </c>
      <c r="N1358" s="6">
        <v>0.93799999999999994</v>
      </c>
      <c r="O1358" s="6">
        <v>0.93799999999999994</v>
      </c>
      <c r="P1358" s="6">
        <v>10</v>
      </c>
      <c r="Q1358" s="4" t="s">
        <v>26</v>
      </c>
      <c r="R1358" s="4">
        <v>0</v>
      </c>
      <c r="S1358" s="4" t="s">
        <v>521</v>
      </c>
      <c r="T1358" s="4" t="s">
        <v>785</v>
      </c>
      <c r="U1358" s="4">
        <v>0</v>
      </c>
      <c r="V1358" s="4">
        <v>42</v>
      </c>
      <c r="W1358" s="4">
        <v>85</v>
      </c>
    </row>
    <row r="1359" spans="1:23" ht="11.25" customHeight="1" x14ac:dyDescent="0.25">
      <c r="A1359" s="4" t="s">
        <v>28</v>
      </c>
      <c r="B1359" s="4" t="s">
        <v>22</v>
      </c>
      <c r="C1359" s="4" t="s">
        <v>23</v>
      </c>
      <c r="D1359" s="4" t="s">
        <v>24</v>
      </c>
      <c r="E1359" s="4" t="s">
        <v>29</v>
      </c>
      <c r="F1359" s="4" t="s">
        <v>25</v>
      </c>
      <c r="G1359" s="4" t="s">
        <v>25</v>
      </c>
      <c r="H1359" s="4" t="s">
        <v>25</v>
      </c>
      <c r="I1359" s="5">
        <v>44409</v>
      </c>
      <c r="J1359" s="6">
        <v>0</v>
      </c>
      <c r="K1359" s="6">
        <v>0</v>
      </c>
      <c r="L1359" s="6">
        <v>2.91</v>
      </c>
      <c r="M1359" s="6">
        <v>2.91</v>
      </c>
      <c r="N1359" s="6">
        <v>2.91</v>
      </c>
      <c r="O1359" s="6">
        <v>2.91</v>
      </c>
      <c r="P1359" s="6">
        <v>4</v>
      </c>
      <c r="Q1359" s="4" t="s">
        <v>26</v>
      </c>
      <c r="R1359" s="4">
        <v>0</v>
      </c>
      <c r="S1359" s="4" t="s">
        <v>521</v>
      </c>
      <c r="T1359" s="4" t="s">
        <v>785</v>
      </c>
      <c r="U1359" s="4">
        <v>0</v>
      </c>
      <c r="V1359" s="4">
        <v>42</v>
      </c>
      <c r="W1359" s="4">
        <v>85</v>
      </c>
    </row>
    <row r="1360" spans="1:23" ht="11.25" customHeight="1" x14ac:dyDescent="0.25">
      <c r="A1360" s="4" t="s">
        <v>21</v>
      </c>
      <c r="B1360" s="4" t="s">
        <v>22</v>
      </c>
      <c r="C1360" s="4" t="s">
        <v>23</v>
      </c>
      <c r="D1360" s="4" t="s">
        <v>24</v>
      </c>
      <c r="E1360" s="4" t="s">
        <v>29</v>
      </c>
      <c r="F1360" s="4" t="s">
        <v>25</v>
      </c>
      <c r="G1360" s="4" t="s">
        <v>25</v>
      </c>
      <c r="H1360" s="4" t="s">
        <v>25</v>
      </c>
      <c r="I1360" s="5">
        <v>44440</v>
      </c>
      <c r="J1360" s="6">
        <v>0</v>
      </c>
      <c r="K1360" s="6">
        <v>0</v>
      </c>
      <c r="L1360" s="6">
        <v>2452.0520000000001</v>
      </c>
      <c r="M1360" s="6">
        <v>2452.0520000000001</v>
      </c>
      <c r="N1360" s="6">
        <v>2452.0520000000001</v>
      </c>
      <c r="O1360" s="6">
        <v>2452.0520000000001</v>
      </c>
      <c r="P1360" s="6">
        <v>4131</v>
      </c>
      <c r="Q1360" s="4" t="s">
        <v>26</v>
      </c>
      <c r="R1360" s="4">
        <v>0</v>
      </c>
      <c r="S1360" s="4" t="s">
        <v>522</v>
      </c>
      <c r="T1360" s="4" t="s">
        <v>786</v>
      </c>
      <c r="U1360" s="4">
        <v>0</v>
      </c>
      <c r="V1360" s="4">
        <v>42</v>
      </c>
      <c r="W1360" s="4">
        <v>85</v>
      </c>
    </row>
    <row r="1361" spans="1:23" ht="11.25" customHeight="1" x14ac:dyDescent="0.25">
      <c r="A1361" s="4" t="s">
        <v>27</v>
      </c>
      <c r="B1361" s="4" t="s">
        <v>22</v>
      </c>
      <c r="C1361" s="4" t="s">
        <v>23</v>
      </c>
      <c r="D1361" s="4" t="s">
        <v>24</v>
      </c>
      <c r="E1361" s="4" t="s">
        <v>29</v>
      </c>
      <c r="F1361" s="4" t="s">
        <v>25</v>
      </c>
      <c r="G1361" s="4" t="s">
        <v>25</v>
      </c>
      <c r="H1361" s="4" t="s">
        <v>25</v>
      </c>
      <c r="I1361" s="5">
        <v>44440</v>
      </c>
      <c r="J1361" s="6">
        <v>0</v>
      </c>
      <c r="K1361" s="6">
        <v>0</v>
      </c>
      <c r="L1361" s="6">
        <v>2.2200000000000002</v>
      </c>
      <c r="M1361" s="6">
        <v>2.2200000000000002</v>
      </c>
      <c r="N1361" s="6">
        <v>2.2200000000000002</v>
      </c>
      <c r="O1361" s="6">
        <v>2.2200000000000002</v>
      </c>
      <c r="P1361" s="6">
        <v>16</v>
      </c>
      <c r="Q1361" s="4" t="s">
        <v>26</v>
      </c>
      <c r="R1361" s="4">
        <v>0</v>
      </c>
      <c r="S1361" s="4" t="s">
        <v>522</v>
      </c>
      <c r="T1361" s="4" t="s">
        <v>786</v>
      </c>
      <c r="U1361" s="4">
        <v>0</v>
      </c>
      <c r="V1361" s="4">
        <v>42</v>
      </c>
      <c r="W1361" s="4">
        <v>85</v>
      </c>
    </row>
    <row r="1362" spans="1:23" ht="11.25" customHeight="1" x14ac:dyDescent="0.25">
      <c r="A1362" s="4" t="s">
        <v>28</v>
      </c>
      <c r="B1362" s="4" t="s">
        <v>22</v>
      </c>
      <c r="C1362" s="4" t="s">
        <v>23</v>
      </c>
      <c r="D1362" s="4" t="s">
        <v>24</v>
      </c>
      <c r="E1362" s="4" t="s">
        <v>29</v>
      </c>
      <c r="F1362" s="4" t="s">
        <v>25</v>
      </c>
      <c r="G1362" s="4" t="s">
        <v>25</v>
      </c>
      <c r="H1362" s="4" t="s">
        <v>25</v>
      </c>
      <c r="I1362" s="5">
        <v>44440</v>
      </c>
      <c r="J1362" s="6">
        <v>0</v>
      </c>
      <c r="K1362" s="6">
        <v>0</v>
      </c>
      <c r="L1362" s="6">
        <v>3.03</v>
      </c>
      <c r="M1362" s="6">
        <v>3.03</v>
      </c>
      <c r="N1362" s="6">
        <v>3.03</v>
      </c>
      <c r="O1362" s="6">
        <v>3.03</v>
      </c>
      <c r="P1362" s="6">
        <v>7</v>
      </c>
      <c r="Q1362" s="4" t="s">
        <v>26</v>
      </c>
      <c r="R1362" s="4">
        <v>0</v>
      </c>
      <c r="S1362" s="4" t="s">
        <v>522</v>
      </c>
      <c r="T1362" s="4" t="s">
        <v>786</v>
      </c>
      <c r="U1362" s="4">
        <v>0</v>
      </c>
      <c r="V1362" s="4">
        <v>42</v>
      </c>
      <c r="W1362" s="4">
        <v>85</v>
      </c>
    </row>
    <row r="1363" spans="1:23" ht="11.25" customHeight="1" x14ac:dyDescent="0.25">
      <c r="A1363" s="4" t="s">
        <v>21</v>
      </c>
      <c r="B1363" s="4" t="s">
        <v>22</v>
      </c>
      <c r="C1363" s="4" t="s">
        <v>23</v>
      </c>
      <c r="D1363" s="4" t="s">
        <v>24</v>
      </c>
      <c r="E1363" s="4" t="s">
        <v>29</v>
      </c>
      <c r="F1363" s="4" t="s">
        <v>25</v>
      </c>
      <c r="G1363" s="4" t="s">
        <v>25</v>
      </c>
      <c r="H1363" s="4" t="s">
        <v>25</v>
      </c>
      <c r="I1363" s="5">
        <v>44470</v>
      </c>
      <c r="J1363" s="6">
        <v>0</v>
      </c>
      <c r="K1363" s="6">
        <v>0</v>
      </c>
      <c r="L1363" s="6">
        <v>2498.9279999999999</v>
      </c>
      <c r="M1363" s="6">
        <v>2498.9279999999999</v>
      </c>
      <c r="N1363" s="6">
        <v>2498.9279999999999</v>
      </c>
      <c r="O1363" s="6">
        <v>2498.9279999999999</v>
      </c>
      <c r="P1363" s="6">
        <v>4308</v>
      </c>
      <c r="Q1363" s="4" t="s">
        <v>26</v>
      </c>
      <c r="R1363" s="4">
        <v>0</v>
      </c>
      <c r="S1363" s="4" t="s">
        <v>523</v>
      </c>
      <c r="T1363" s="4" t="s">
        <v>787</v>
      </c>
      <c r="U1363" s="4">
        <v>0</v>
      </c>
      <c r="V1363" s="4">
        <v>42</v>
      </c>
      <c r="W1363" s="4">
        <v>85</v>
      </c>
    </row>
    <row r="1364" spans="1:23" ht="11.25" customHeight="1" x14ac:dyDescent="0.25">
      <c r="A1364" s="4" t="s">
        <v>27</v>
      </c>
      <c r="B1364" s="4" t="s">
        <v>22</v>
      </c>
      <c r="C1364" s="4" t="s">
        <v>23</v>
      </c>
      <c r="D1364" s="4" t="s">
        <v>24</v>
      </c>
      <c r="E1364" s="4" t="s">
        <v>29</v>
      </c>
      <c r="F1364" s="4" t="s">
        <v>25</v>
      </c>
      <c r="G1364" s="4" t="s">
        <v>25</v>
      </c>
      <c r="H1364" s="4" t="s">
        <v>25</v>
      </c>
      <c r="I1364" s="5">
        <v>44470</v>
      </c>
      <c r="J1364" s="6">
        <v>0</v>
      </c>
      <c r="K1364" s="6">
        <v>0</v>
      </c>
      <c r="L1364" s="6">
        <v>1.587</v>
      </c>
      <c r="M1364" s="6">
        <v>1.587</v>
      </c>
      <c r="N1364" s="6">
        <v>1.587</v>
      </c>
      <c r="O1364" s="6">
        <v>1.587</v>
      </c>
      <c r="P1364" s="6">
        <v>19</v>
      </c>
      <c r="Q1364" s="4" t="s">
        <v>26</v>
      </c>
      <c r="R1364" s="4">
        <v>0</v>
      </c>
      <c r="S1364" s="4" t="s">
        <v>523</v>
      </c>
      <c r="T1364" s="4" t="s">
        <v>787</v>
      </c>
      <c r="U1364" s="4">
        <v>0</v>
      </c>
      <c r="V1364" s="4">
        <v>42</v>
      </c>
      <c r="W1364" s="4">
        <v>85</v>
      </c>
    </row>
    <row r="1365" spans="1:23" ht="11.25" customHeight="1" x14ac:dyDescent="0.25">
      <c r="A1365" s="4" t="s">
        <v>28</v>
      </c>
      <c r="B1365" s="4" t="s">
        <v>22</v>
      </c>
      <c r="C1365" s="4" t="s">
        <v>23</v>
      </c>
      <c r="D1365" s="4" t="s">
        <v>24</v>
      </c>
      <c r="E1365" s="4" t="s">
        <v>29</v>
      </c>
      <c r="F1365" s="4" t="s">
        <v>25</v>
      </c>
      <c r="G1365" s="4" t="s">
        <v>25</v>
      </c>
      <c r="H1365" s="4" t="s">
        <v>25</v>
      </c>
      <c r="I1365" s="5">
        <v>44470</v>
      </c>
      <c r="J1365" s="6">
        <v>0</v>
      </c>
      <c r="K1365" s="6">
        <v>0</v>
      </c>
      <c r="L1365" s="6">
        <v>3.36</v>
      </c>
      <c r="M1365" s="6">
        <v>3.36</v>
      </c>
      <c r="N1365" s="6">
        <v>3.36</v>
      </c>
      <c r="O1365" s="6">
        <v>3.36</v>
      </c>
      <c r="P1365" s="6">
        <v>7</v>
      </c>
      <c r="Q1365" s="4" t="s">
        <v>26</v>
      </c>
      <c r="R1365" s="4">
        <v>0</v>
      </c>
      <c r="S1365" s="4" t="s">
        <v>523</v>
      </c>
      <c r="T1365" s="4" t="s">
        <v>787</v>
      </c>
      <c r="U1365" s="4">
        <v>0</v>
      </c>
      <c r="V1365" s="4">
        <v>42</v>
      </c>
      <c r="W1365" s="4">
        <v>85</v>
      </c>
    </row>
    <row r="1366" spans="1:23" ht="11.25" customHeight="1" x14ac:dyDescent="0.25">
      <c r="A1366" s="4" t="s">
        <v>21</v>
      </c>
      <c r="B1366" s="4" t="s">
        <v>22</v>
      </c>
      <c r="C1366" s="4" t="s">
        <v>23</v>
      </c>
      <c r="D1366" s="4" t="s">
        <v>24</v>
      </c>
      <c r="E1366" s="4" t="s">
        <v>29</v>
      </c>
      <c r="F1366" s="4" t="s">
        <v>25</v>
      </c>
      <c r="G1366" s="4" t="s">
        <v>25</v>
      </c>
      <c r="H1366" s="4" t="s">
        <v>25</v>
      </c>
      <c r="I1366" s="5">
        <v>44501</v>
      </c>
      <c r="J1366" s="6">
        <v>0</v>
      </c>
      <c r="K1366" s="6">
        <v>0</v>
      </c>
      <c r="L1366" s="6">
        <v>2525.6060000000002</v>
      </c>
      <c r="M1366" s="6">
        <v>2525.6060000000002</v>
      </c>
      <c r="N1366" s="6">
        <v>2525.6060000000002</v>
      </c>
      <c r="O1366" s="6">
        <v>2525.6060000000002</v>
      </c>
      <c r="P1366" s="6">
        <v>4518</v>
      </c>
      <c r="Q1366" s="4" t="s">
        <v>26</v>
      </c>
      <c r="R1366" s="4">
        <v>0</v>
      </c>
      <c r="S1366" s="4" t="s">
        <v>524</v>
      </c>
      <c r="T1366" s="4" t="s">
        <v>788</v>
      </c>
      <c r="U1366" s="4">
        <v>0</v>
      </c>
      <c r="V1366" s="4">
        <v>42</v>
      </c>
      <c r="W1366" s="4">
        <v>85</v>
      </c>
    </row>
    <row r="1367" spans="1:23" ht="11.25" customHeight="1" x14ac:dyDescent="0.25">
      <c r="A1367" s="4" t="s">
        <v>27</v>
      </c>
      <c r="B1367" s="4" t="s">
        <v>22</v>
      </c>
      <c r="C1367" s="4" t="s">
        <v>23</v>
      </c>
      <c r="D1367" s="4" t="s">
        <v>24</v>
      </c>
      <c r="E1367" s="4" t="s">
        <v>29</v>
      </c>
      <c r="F1367" s="4" t="s">
        <v>25</v>
      </c>
      <c r="G1367" s="4" t="s">
        <v>25</v>
      </c>
      <c r="H1367" s="4" t="s">
        <v>25</v>
      </c>
      <c r="I1367" s="5">
        <v>44501</v>
      </c>
      <c r="J1367" s="6">
        <v>0</v>
      </c>
      <c r="K1367" s="6">
        <v>0</v>
      </c>
      <c r="L1367" s="6">
        <v>3.2290000000000001</v>
      </c>
      <c r="M1367" s="6">
        <v>3.2290000000000001</v>
      </c>
      <c r="N1367" s="6">
        <v>3.2290000000000001</v>
      </c>
      <c r="O1367" s="6">
        <v>3.2290000000000001</v>
      </c>
      <c r="P1367" s="6">
        <v>39</v>
      </c>
      <c r="Q1367" s="4" t="s">
        <v>26</v>
      </c>
      <c r="R1367" s="4">
        <v>0</v>
      </c>
      <c r="S1367" s="4" t="s">
        <v>524</v>
      </c>
      <c r="T1367" s="4" t="s">
        <v>788</v>
      </c>
      <c r="U1367" s="4">
        <v>0</v>
      </c>
      <c r="V1367" s="4">
        <v>42</v>
      </c>
      <c r="W1367" s="4">
        <v>85</v>
      </c>
    </row>
    <row r="1368" spans="1:23" ht="11.25" customHeight="1" x14ac:dyDescent="0.25">
      <c r="A1368" s="4" t="s">
        <v>28</v>
      </c>
      <c r="B1368" s="4" t="s">
        <v>22</v>
      </c>
      <c r="C1368" s="4" t="s">
        <v>23</v>
      </c>
      <c r="D1368" s="4" t="s">
        <v>24</v>
      </c>
      <c r="E1368" s="4" t="s">
        <v>29</v>
      </c>
      <c r="F1368" s="4" t="s">
        <v>25</v>
      </c>
      <c r="G1368" s="4" t="s">
        <v>25</v>
      </c>
      <c r="H1368" s="4" t="s">
        <v>25</v>
      </c>
      <c r="I1368" s="5">
        <v>44501</v>
      </c>
      <c r="J1368" s="6">
        <v>0</v>
      </c>
      <c r="K1368" s="6">
        <v>0</v>
      </c>
      <c r="L1368" s="6">
        <v>3.93</v>
      </c>
      <c r="M1368" s="6">
        <v>3.93</v>
      </c>
      <c r="N1368" s="6">
        <v>3.93</v>
      </c>
      <c r="O1368" s="6">
        <v>3.93</v>
      </c>
      <c r="P1368" s="6">
        <v>11</v>
      </c>
      <c r="Q1368" s="4" t="s">
        <v>26</v>
      </c>
      <c r="R1368" s="4">
        <v>0</v>
      </c>
      <c r="S1368" s="4" t="s">
        <v>524</v>
      </c>
      <c r="T1368" s="4" t="s">
        <v>788</v>
      </c>
      <c r="U1368" s="4">
        <v>0</v>
      </c>
      <c r="V1368" s="4">
        <v>42</v>
      </c>
      <c r="W1368" s="4">
        <v>85</v>
      </c>
    </row>
    <row r="1369" spans="1:23" ht="11.25" customHeight="1" x14ac:dyDescent="0.25">
      <c r="A1369" s="4" t="s">
        <v>21</v>
      </c>
      <c r="B1369" s="4" t="s">
        <v>22</v>
      </c>
      <c r="C1369" s="4" t="s">
        <v>23</v>
      </c>
      <c r="D1369" s="4" t="s">
        <v>24</v>
      </c>
      <c r="E1369" s="4" t="s">
        <v>29</v>
      </c>
      <c r="F1369" s="4" t="s">
        <v>25</v>
      </c>
      <c r="G1369" s="4" t="s">
        <v>25</v>
      </c>
      <c r="H1369" s="4" t="s">
        <v>25</v>
      </c>
      <c r="I1369" s="5">
        <v>44531</v>
      </c>
      <c r="J1369" s="6">
        <v>0</v>
      </c>
      <c r="K1369" s="6">
        <v>0</v>
      </c>
      <c r="L1369" s="6">
        <v>2547.518</v>
      </c>
      <c r="M1369" s="6">
        <v>2547.518</v>
      </c>
      <c r="N1369" s="6">
        <v>2547.518</v>
      </c>
      <c r="O1369" s="6">
        <v>2547.518</v>
      </c>
      <c r="P1369" s="6">
        <v>4089</v>
      </c>
      <c r="Q1369" s="4" t="s">
        <v>26</v>
      </c>
      <c r="R1369" s="4">
        <v>0</v>
      </c>
      <c r="S1369" s="4" t="s">
        <v>525</v>
      </c>
      <c r="T1369" s="4" t="s">
        <v>789</v>
      </c>
      <c r="U1369" s="4">
        <v>0</v>
      </c>
      <c r="V1369" s="4">
        <v>42</v>
      </c>
      <c r="W1369" s="4">
        <v>85</v>
      </c>
    </row>
    <row r="1370" spans="1:23" ht="11.25" customHeight="1" x14ac:dyDescent="0.25">
      <c r="A1370" s="4" t="s">
        <v>27</v>
      </c>
      <c r="B1370" s="4" t="s">
        <v>22</v>
      </c>
      <c r="C1370" s="4" t="s">
        <v>23</v>
      </c>
      <c r="D1370" s="4" t="s">
        <v>24</v>
      </c>
      <c r="E1370" s="4" t="s">
        <v>29</v>
      </c>
      <c r="F1370" s="4" t="s">
        <v>25</v>
      </c>
      <c r="G1370" s="4" t="s">
        <v>25</v>
      </c>
      <c r="H1370" s="4" t="s">
        <v>25</v>
      </c>
      <c r="I1370" s="5">
        <v>44531</v>
      </c>
      <c r="J1370" s="6">
        <v>0</v>
      </c>
      <c r="K1370" s="6">
        <v>0</v>
      </c>
      <c r="L1370" s="6">
        <v>1.921</v>
      </c>
      <c r="M1370" s="6">
        <v>1.921</v>
      </c>
      <c r="N1370" s="6">
        <v>1.921</v>
      </c>
      <c r="O1370" s="6">
        <v>1.921</v>
      </c>
      <c r="P1370" s="6">
        <v>20</v>
      </c>
      <c r="Q1370" s="4" t="s">
        <v>26</v>
      </c>
      <c r="R1370" s="4">
        <v>0</v>
      </c>
      <c r="S1370" s="4" t="s">
        <v>525</v>
      </c>
      <c r="T1370" s="4" t="s">
        <v>789</v>
      </c>
      <c r="U1370" s="4">
        <v>0</v>
      </c>
      <c r="V1370" s="4">
        <v>42</v>
      </c>
      <c r="W1370" s="4">
        <v>85</v>
      </c>
    </row>
    <row r="1371" spans="1:23" ht="11.25" customHeight="1" x14ac:dyDescent="0.25">
      <c r="A1371" s="4" t="s">
        <v>28</v>
      </c>
      <c r="B1371" s="4" t="s">
        <v>22</v>
      </c>
      <c r="C1371" s="4" t="s">
        <v>23</v>
      </c>
      <c r="D1371" s="4" t="s">
        <v>24</v>
      </c>
      <c r="E1371" s="4" t="s">
        <v>29</v>
      </c>
      <c r="F1371" s="4" t="s">
        <v>25</v>
      </c>
      <c r="G1371" s="4" t="s">
        <v>25</v>
      </c>
      <c r="H1371" s="4" t="s">
        <v>25</v>
      </c>
      <c r="I1371" s="5">
        <v>44531</v>
      </c>
      <c r="J1371" s="6">
        <v>0</v>
      </c>
      <c r="K1371" s="6">
        <v>0</v>
      </c>
      <c r="L1371" s="6">
        <v>4.2300000000000004</v>
      </c>
      <c r="M1371" s="6">
        <v>4.2300000000000004</v>
      </c>
      <c r="N1371" s="6">
        <v>4.2300000000000004</v>
      </c>
      <c r="O1371" s="6">
        <v>4.2300000000000004</v>
      </c>
      <c r="P1371" s="6">
        <v>4</v>
      </c>
      <c r="Q1371" s="4" t="s">
        <v>26</v>
      </c>
      <c r="R1371" s="4">
        <v>0</v>
      </c>
      <c r="S1371" s="4" t="s">
        <v>525</v>
      </c>
      <c r="T1371" s="4" t="s">
        <v>789</v>
      </c>
      <c r="U1371" s="4">
        <v>0</v>
      </c>
      <c r="V1371" s="4">
        <v>42</v>
      </c>
      <c r="W1371" s="4">
        <v>85</v>
      </c>
    </row>
    <row r="1372" spans="1:23" ht="11.25" customHeight="1" x14ac:dyDescent="0.25">
      <c r="A1372" s="4" t="s">
        <v>21</v>
      </c>
      <c r="B1372" s="4" t="s">
        <v>22</v>
      </c>
      <c r="C1372" s="4" t="s">
        <v>23</v>
      </c>
      <c r="D1372" s="4" t="s">
        <v>24</v>
      </c>
      <c r="E1372" s="4" t="s">
        <v>29</v>
      </c>
      <c r="F1372" s="4" t="s">
        <v>25</v>
      </c>
      <c r="G1372" s="4" t="s">
        <v>25</v>
      </c>
      <c r="H1372" s="4" t="s">
        <v>25</v>
      </c>
      <c r="I1372" s="5">
        <v>44562</v>
      </c>
      <c r="J1372" s="6">
        <v>0</v>
      </c>
      <c r="K1372" s="6">
        <v>0</v>
      </c>
      <c r="L1372" s="6">
        <v>2632.6669999999999</v>
      </c>
      <c r="M1372" s="6">
        <v>2632.6669999999999</v>
      </c>
      <c r="N1372" s="6">
        <v>2632.6669999999999</v>
      </c>
      <c r="O1372" s="6">
        <v>2632.6669999999999</v>
      </c>
      <c r="P1372" s="6">
        <v>4075</v>
      </c>
      <c r="Q1372" s="4" t="s">
        <v>26</v>
      </c>
      <c r="R1372" s="4">
        <v>0</v>
      </c>
      <c r="S1372" s="4" t="s">
        <v>526</v>
      </c>
      <c r="T1372" s="4" t="s">
        <v>790</v>
      </c>
      <c r="U1372" s="4">
        <v>0</v>
      </c>
      <c r="V1372" s="4">
        <v>42</v>
      </c>
      <c r="W1372" s="4">
        <v>85</v>
      </c>
    </row>
    <row r="1373" spans="1:23" ht="11.25" customHeight="1" x14ac:dyDescent="0.25">
      <c r="A1373" s="4" t="s">
        <v>27</v>
      </c>
      <c r="B1373" s="4" t="s">
        <v>22</v>
      </c>
      <c r="C1373" s="4" t="s">
        <v>23</v>
      </c>
      <c r="D1373" s="4" t="s">
        <v>24</v>
      </c>
      <c r="E1373" s="4" t="s">
        <v>29</v>
      </c>
      <c r="F1373" s="4" t="s">
        <v>25</v>
      </c>
      <c r="G1373" s="4" t="s">
        <v>25</v>
      </c>
      <c r="H1373" s="4" t="s">
        <v>25</v>
      </c>
      <c r="I1373" s="5">
        <v>44562</v>
      </c>
      <c r="J1373" s="6">
        <v>0</v>
      </c>
      <c r="K1373" s="6">
        <v>0</v>
      </c>
      <c r="L1373" s="6">
        <v>0.79100000000000004</v>
      </c>
      <c r="M1373" s="6">
        <v>0.79100000000000004</v>
      </c>
      <c r="N1373" s="6">
        <v>0.79100000000000004</v>
      </c>
      <c r="O1373" s="6">
        <v>0.79100000000000004</v>
      </c>
      <c r="P1373" s="6">
        <v>9</v>
      </c>
      <c r="Q1373" s="4" t="s">
        <v>26</v>
      </c>
      <c r="R1373" s="4">
        <v>0</v>
      </c>
      <c r="S1373" s="4" t="s">
        <v>526</v>
      </c>
      <c r="T1373" s="4" t="s">
        <v>790</v>
      </c>
      <c r="U1373" s="4">
        <v>0</v>
      </c>
      <c r="V1373" s="4">
        <v>42</v>
      </c>
      <c r="W1373" s="4">
        <v>85</v>
      </c>
    </row>
    <row r="1374" spans="1:23" ht="11.25" customHeight="1" x14ac:dyDescent="0.25">
      <c r="A1374" s="4" t="s">
        <v>28</v>
      </c>
      <c r="B1374" s="4" t="s">
        <v>22</v>
      </c>
      <c r="C1374" s="4" t="s">
        <v>23</v>
      </c>
      <c r="D1374" s="4" t="s">
        <v>24</v>
      </c>
      <c r="E1374" s="4" t="s">
        <v>29</v>
      </c>
      <c r="F1374" s="4" t="s">
        <v>25</v>
      </c>
      <c r="G1374" s="4" t="s">
        <v>25</v>
      </c>
      <c r="H1374" s="4" t="s">
        <v>25</v>
      </c>
      <c r="I1374" s="5">
        <v>44562</v>
      </c>
      <c r="J1374" s="6">
        <v>0</v>
      </c>
      <c r="K1374" s="6">
        <v>0</v>
      </c>
      <c r="L1374" s="6">
        <v>5.07</v>
      </c>
      <c r="M1374" s="6">
        <v>5.07</v>
      </c>
      <c r="N1374" s="6">
        <v>5.07</v>
      </c>
      <c r="O1374" s="6">
        <v>5.07</v>
      </c>
      <c r="P1374" s="6">
        <v>11</v>
      </c>
      <c r="Q1374" s="4" t="s">
        <v>26</v>
      </c>
      <c r="R1374" s="4">
        <v>0</v>
      </c>
      <c r="S1374" s="4" t="s">
        <v>526</v>
      </c>
      <c r="T1374" s="4" t="s">
        <v>790</v>
      </c>
      <c r="U1374" s="4">
        <v>0</v>
      </c>
      <c r="V1374" s="4">
        <v>42</v>
      </c>
      <c r="W1374" s="4">
        <v>85</v>
      </c>
    </row>
    <row r="1375" spans="1:23" ht="11.25" customHeight="1" x14ac:dyDescent="0.25">
      <c r="A1375" s="4" t="s">
        <v>21</v>
      </c>
      <c r="B1375" s="4" t="s">
        <v>22</v>
      </c>
      <c r="C1375" s="4" t="s">
        <v>23</v>
      </c>
      <c r="D1375" s="4" t="s">
        <v>24</v>
      </c>
      <c r="E1375" s="4" t="s">
        <v>29</v>
      </c>
      <c r="F1375" s="4" t="s">
        <v>25</v>
      </c>
      <c r="G1375" s="4" t="s">
        <v>25</v>
      </c>
      <c r="H1375" s="4" t="s">
        <v>25</v>
      </c>
      <c r="I1375" s="5">
        <v>44593</v>
      </c>
      <c r="J1375" s="6">
        <v>0</v>
      </c>
      <c r="K1375" s="6">
        <v>0</v>
      </c>
      <c r="L1375" s="6">
        <v>2839.06</v>
      </c>
      <c r="M1375" s="6">
        <v>2839.06</v>
      </c>
      <c r="N1375" s="6">
        <v>2839.06</v>
      </c>
      <c r="O1375" s="6">
        <v>2839.06</v>
      </c>
      <c r="P1375" s="6">
        <v>4631</v>
      </c>
      <c r="Q1375" s="4" t="s">
        <v>26</v>
      </c>
      <c r="R1375" s="4">
        <v>0</v>
      </c>
      <c r="S1375" s="4" t="s">
        <v>527</v>
      </c>
      <c r="T1375" s="4" t="s">
        <v>791</v>
      </c>
      <c r="U1375" s="4">
        <v>0</v>
      </c>
      <c r="V1375" s="4">
        <v>42</v>
      </c>
      <c r="W1375" s="4">
        <v>85</v>
      </c>
    </row>
    <row r="1376" spans="1:23" ht="11.25" customHeight="1" x14ac:dyDescent="0.25">
      <c r="A1376" s="4" t="s">
        <v>27</v>
      </c>
      <c r="B1376" s="4" t="s">
        <v>22</v>
      </c>
      <c r="C1376" s="4" t="s">
        <v>23</v>
      </c>
      <c r="D1376" s="4" t="s">
        <v>24</v>
      </c>
      <c r="E1376" s="4" t="s">
        <v>29</v>
      </c>
      <c r="F1376" s="4" t="s">
        <v>25</v>
      </c>
      <c r="G1376" s="4" t="s">
        <v>25</v>
      </c>
      <c r="H1376" s="4" t="s">
        <v>25</v>
      </c>
      <c r="I1376" s="5">
        <v>44593</v>
      </c>
      <c r="J1376" s="6">
        <v>0</v>
      </c>
      <c r="K1376" s="6">
        <v>0</v>
      </c>
      <c r="L1376" s="6">
        <v>8.6690000000000005</v>
      </c>
      <c r="M1376" s="6">
        <v>8.6690000000000005</v>
      </c>
      <c r="N1376" s="6">
        <v>8.6690000000000005</v>
      </c>
      <c r="O1376" s="6">
        <v>8.6690000000000005</v>
      </c>
      <c r="P1376" s="6">
        <v>61</v>
      </c>
      <c r="Q1376" s="4" t="s">
        <v>26</v>
      </c>
      <c r="R1376" s="4">
        <v>0</v>
      </c>
      <c r="S1376" s="4" t="s">
        <v>527</v>
      </c>
      <c r="T1376" s="4" t="s">
        <v>791</v>
      </c>
      <c r="U1376" s="4">
        <v>0</v>
      </c>
      <c r="V1376" s="4">
        <v>42</v>
      </c>
      <c r="W1376" s="4">
        <v>85</v>
      </c>
    </row>
    <row r="1377" spans="1:23" ht="11.25" customHeight="1" x14ac:dyDescent="0.25">
      <c r="A1377" s="4" t="s">
        <v>28</v>
      </c>
      <c r="B1377" s="4" t="s">
        <v>22</v>
      </c>
      <c r="C1377" s="4" t="s">
        <v>23</v>
      </c>
      <c r="D1377" s="4" t="s">
        <v>24</v>
      </c>
      <c r="E1377" s="4" t="s">
        <v>29</v>
      </c>
      <c r="F1377" s="4" t="s">
        <v>25</v>
      </c>
      <c r="G1377" s="4" t="s">
        <v>25</v>
      </c>
      <c r="H1377" s="4" t="s">
        <v>25</v>
      </c>
      <c r="I1377" s="5">
        <v>44593</v>
      </c>
      <c r="J1377" s="6">
        <v>0</v>
      </c>
      <c r="K1377" s="6">
        <v>0</v>
      </c>
      <c r="L1377" s="6">
        <v>6.03</v>
      </c>
      <c r="M1377" s="6">
        <v>6.03</v>
      </c>
      <c r="N1377" s="6">
        <v>6.03</v>
      </c>
      <c r="O1377" s="6">
        <v>6.03</v>
      </c>
      <c r="P1377" s="6">
        <v>12</v>
      </c>
      <c r="Q1377" s="4" t="s">
        <v>26</v>
      </c>
      <c r="R1377" s="4">
        <v>0</v>
      </c>
      <c r="S1377" s="4" t="s">
        <v>527</v>
      </c>
      <c r="T1377" s="4" t="s">
        <v>791</v>
      </c>
      <c r="U1377" s="4">
        <v>0</v>
      </c>
      <c r="V1377" s="4">
        <v>42</v>
      </c>
      <c r="W1377" s="4">
        <v>85</v>
      </c>
    </row>
    <row r="1378" spans="1:23" ht="11.25" customHeight="1" x14ac:dyDescent="0.25">
      <c r="A1378" s="4" t="s">
        <v>28</v>
      </c>
      <c r="B1378" s="4" t="s">
        <v>22</v>
      </c>
      <c r="C1378" s="4" t="s">
        <v>23</v>
      </c>
      <c r="D1378" s="4" t="s">
        <v>24</v>
      </c>
      <c r="E1378" s="4" t="s">
        <v>29</v>
      </c>
      <c r="F1378" s="4" t="s">
        <v>25</v>
      </c>
      <c r="G1378" s="4" t="s">
        <v>25</v>
      </c>
      <c r="H1378" s="4" t="s">
        <v>25</v>
      </c>
      <c r="I1378" s="5">
        <v>44593</v>
      </c>
      <c r="J1378" s="6">
        <v>0</v>
      </c>
      <c r="K1378" s="6">
        <v>0</v>
      </c>
      <c r="L1378" s="6">
        <v>0.41699999999999998</v>
      </c>
      <c r="M1378" s="6">
        <v>0.41699999999999998</v>
      </c>
      <c r="N1378" s="6">
        <v>0.41699999999999998</v>
      </c>
      <c r="O1378" s="6">
        <v>0.41699999999999998</v>
      </c>
      <c r="P1378" s="6">
        <v>1</v>
      </c>
      <c r="Q1378" s="4" t="s">
        <v>26</v>
      </c>
      <c r="R1378" s="4">
        <v>0</v>
      </c>
      <c r="S1378" s="4" t="s">
        <v>527</v>
      </c>
      <c r="T1378" s="4" t="s">
        <v>791</v>
      </c>
      <c r="U1378" s="4">
        <v>0</v>
      </c>
      <c r="V1378" s="4">
        <v>42</v>
      </c>
      <c r="W1378" s="4">
        <v>85</v>
      </c>
    </row>
    <row r="1379" spans="1:23" ht="11.25" customHeight="1" x14ac:dyDescent="0.25">
      <c r="A1379" s="4" t="s">
        <v>21</v>
      </c>
      <c r="B1379" s="4" t="s">
        <v>22</v>
      </c>
      <c r="C1379" s="4" t="s">
        <v>23</v>
      </c>
      <c r="D1379" s="4" t="s">
        <v>24</v>
      </c>
      <c r="E1379" s="4" t="s">
        <v>29</v>
      </c>
      <c r="F1379" s="4" t="s">
        <v>25</v>
      </c>
      <c r="G1379" s="4" t="s">
        <v>25</v>
      </c>
      <c r="H1379" s="4" t="s">
        <v>25</v>
      </c>
      <c r="I1379" s="5">
        <v>44621</v>
      </c>
      <c r="J1379" s="6">
        <v>0</v>
      </c>
      <c r="K1379" s="6">
        <v>0</v>
      </c>
      <c r="L1379" s="6">
        <v>2906.2240000000002</v>
      </c>
      <c r="M1379" s="6">
        <v>2906.2240000000002</v>
      </c>
      <c r="N1379" s="6">
        <v>2906.2240000000002</v>
      </c>
      <c r="O1379" s="6">
        <v>2906.2240000000002</v>
      </c>
      <c r="P1379" s="6">
        <v>4400</v>
      </c>
      <c r="Q1379" s="4" t="s">
        <v>26</v>
      </c>
      <c r="R1379" s="4">
        <v>0</v>
      </c>
      <c r="S1379" s="4" t="s">
        <v>528</v>
      </c>
      <c r="T1379" s="4" t="s">
        <v>792</v>
      </c>
      <c r="U1379" s="4">
        <v>0</v>
      </c>
      <c r="V1379" s="4">
        <v>42</v>
      </c>
      <c r="W1379" s="4">
        <v>85</v>
      </c>
    </row>
    <row r="1380" spans="1:23" ht="11.25" customHeight="1" x14ac:dyDescent="0.25">
      <c r="A1380" s="4" t="s">
        <v>27</v>
      </c>
      <c r="B1380" s="4" t="s">
        <v>22</v>
      </c>
      <c r="C1380" s="4" t="s">
        <v>23</v>
      </c>
      <c r="D1380" s="4" t="s">
        <v>24</v>
      </c>
      <c r="E1380" s="4" t="s">
        <v>29</v>
      </c>
      <c r="F1380" s="4" t="s">
        <v>25</v>
      </c>
      <c r="G1380" s="4" t="s">
        <v>25</v>
      </c>
      <c r="H1380" s="4" t="s">
        <v>25</v>
      </c>
      <c r="I1380" s="5">
        <v>44621</v>
      </c>
      <c r="J1380" s="6">
        <v>0</v>
      </c>
      <c r="K1380" s="6">
        <v>0</v>
      </c>
      <c r="L1380" s="6">
        <v>1.173</v>
      </c>
      <c r="M1380" s="6">
        <v>1.173</v>
      </c>
      <c r="N1380" s="6">
        <v>1.173</v>
      </c>
      <c r="O1380" s="6">
        <v>1.173</v>
      </c>
      <c r="P1380" s="6">
        <v>15</v>
      </c>
      <c r="Q1380" s="4" t="s">
        <v>26</v>
      </c>
      <c r="R1380" s="4">
        <v>0</v>
      </c>
      <c r="S1380" s="4" t="s">
        <v>528</v>
      </c>
      <c r="T1380" s="4" t="s">
        <v>792</v>
      </c>
      <c r="U1380" s="4">
        <v>0</v>
      </c>
      <c r="V1380" s="4">
        <v>42</v>
      </c>
      <c r="W1380" s="4">
        <v>85</v>
      </c>
    </row>
    <row r="1381" spans="1:23" ht="11.25" customHeight="1" x14ac:dyDescent="0.25">
      <c r="A1381" s="4" t="s">
        <v>28</v>
      </c>
      <c r="B1381" s="4" t="s">
        <v>22</v>
      </c>
      <c r="C1381" s="4" t="s">
        <v>23</v>
      </c>
      <c r="D1381" s="4" t="s">
        <v>24</v>
      </c>
      <c r="E1381" s="4" t="s">
        <v>29</v>
      </c>
      <c r="F1381" s="4" t="s">
        <v>25</v>
      </c>
      <c r="G1381" s="4" t="s">
        <v>25</v>
      </c>
      <c r="H1381" s="4" t="s">
        <v>25</v>
      </c>
      <c r="I1381" s="5">
        <v>44621</v>
      </c>
      <c r="J1381" s="6">
        <v>0</v>
      </c>
      <c r="K1381" s="6">
        <v>0</v>
      </c>
      <c r="L1381" s="6">
        <v>6.75</v>
      </c>
      <c r="M1381" s="6">
        <v>6.75</v>
      </c>
      <c r="N1381" s="6">
        <v>6.75</v>
      </c>
      <c r="O1381" s="6">
        <v>6.75</v>
      </c>
      <c r="P1381" s="6">
        <v>17</v>
      </c>
      <c r="Q1381" s="4" t="s">
        <v>26</v>
      </c>
      <c r="R1381" s="4">
        <v>0</v>
      </c>
      <c r="S1381" s="4" t="s">
        <v>528</v>
      </c>
      <c r="T1381" s="4" t="s">
        <v>792</v>
      </c>
      <c r="U1381" s="4">
        <v>0</v>
      </c>
      <c r="V1381" s="4">
        <v>42</v>
      </c>
      <c r="W1381" s="4">
        <v>85</v>
      </c>
    </row>
    <row r="1382" spans="1:23" ht="11.25" customHeight="1" x14ac:dyDescent="0.25">
      <c r="A1382" s="4" t="s">
        <v>28</v>
      </c>
      <c r="B1382" s="4" t="s">
        <v>22</v>
      </c>
      <c r="C1382" s="4" t="s">
        <v>23</v>
      </c>
      <c r="D1382" s="4" t="s">
        <v>24</v>
      </c>
      <c r="E1382" s="4" t="s">
        <v>29</v>
      </c>
      <c r="F1382" s="4" t="s">
        <v>25</v>
      </c>
      <c r="G1382" s="4" t="s">
        <v>25</v>
      </c>
      <c r="H1382" s="4" t="s">
        <v>25</v>
      </c>
      <c r="I1382" s="5">
        <v>44621</v>
      </c>
      <c r="J1382" s="6">
        <v>0</v>
      </c>
      <c r="K1382" s="6">
        <v>0</v>
      </c>
      <c r="L1382" s="6">
        <v>-0.03</v>
      </c>
      <c r="M1382" s="6">
        <v>-0.03</v>
      </c>
      <c r="N1382" s="6">
        <v>-0.03</v>
      </c>
      <c r="O1382" s="6">
        <v>-0.03</v>
      </c>
      <c r="P1382" s="6">
        <v>0</v>
      </c>
      <c r="Q1382" s="4" t="s">
        <v>26</v>
      </c>
      <c r="R1382" s="4">
        <v>0</v>
      </c>
      <c r="S1382" s="4" t="s">
        <v>528</v>
      </c>
      <c r="T1382" s="4" t="s">
        <v>792</v>
      </c>
      <c r="U1382" s="4">
        <v>0</v>
      </c>
      <c r="V1382" s="4">
        <v>42</v>
      </c>
      <c r="W1382" s="4">
        <v>85</v>
      </c>
    </row>
    <row r="1383" spans="1:23" ht="11.25" customHeight="1" x14ac:dyDescent="0.25">
      <c r="A1383" s="4" t="s">
        <v>21</v>
      </c>
      <c r="B1383" s="4" t="s">
        <v>22</v>
      </c>
      <c r="C1383" s="4" t="s">
        <v>23</v>
      </c>
      <c r="D1383" s="4" t="s">
        <v>24</v>
      </c>
      <c r="E1383" s="4" t="s">
        <v>29</v>
      </c>
      <c r="F1383" s="4" t="s">
        <v>25</v>
      </c>
      <c r="G1383" s="4" t="s">
        <v>25</v>
      </c>
      <c r="H1383" s="4" t="s">
        <v>25</v>
      </c>
      <c r="I1383" s="5">
        <v>44652</v>
      </c>
      <c r="J1383" s="6">
        <v>0</v>
      </c>
      <c r="K1383" s="6">
        <v>0</v>
      </c>
      <c r="L1383" s="6">
        <v>2949.163</v>
      </c>
      <c r="M1383" s="6">
        <v>2949.163</v>
      </c>
      <c r="N1383" s="6">
        <v>2949.163</v>
      </c>
      <c r="O1383" s="6">
        <v>2949.163</v>
      </c>
      <c r="P1383" s="6">
        <v>4589</v>
      </c>
      <c r="Q1383" s="4" t="s">
        <v>26</v>
      </c>
      <c r="R1383" s="4">
        <v>0</v>
      </c>
      <c r="S1383" s="4" t="s">
        <v>529</v>
      </c>
      <c r="T1383" s="4" t="s">
        <v>793</v>
      </c>
      <c r="U1383" s="4">
        <v>0</v>
      </c>
      <c r="V1383" s="4">
        <v>42</v>
      </c>
      <c r="W1383" s="4">
        <v>85</v>
      </c>
    </row>
    <row r="1384" spans="1:23" ht="11.25" customHeight="1" x14ac:dyDescent="0.25">
      <c r="A1384" s="4" t="s">
        <v>27</v>
      </c>
      <c r="B1384" s="4" t="s">
        <v>22</v>
      </c>
      <c r="C1384" s="4" t="s">
        <v>23</v>
      </c>
      <c r="D1384" s="4" t="s">
        <v>24</v>
      </c>
      <c r="E1384" s="4" t="s">
        <v>29</v>
      </c>
      <c r="F1384" s="4" t="s">
        <v>25</v>
      </c>
      <c r="G1384" s="4" t="s">
        <v>25</v>
      </c>
      <c r="H1384" s="4" t="s">
        <v>25</v>
      </c>
      <c r="I1384" s="5">
        <v>44652</v>
      </c>
      <c r="J1384" s="6">
        <v>0</v>
      </c>
      <c r="K1384" s="6">
        <v>0</v>
      </c>
      <c r="L1384" s="6">
        <v>0.88900000000000001</v>
      </c>
      <c r="M1384" s="6">
        <v>0.88900000000000001</v>
      </c>
      <c r="N1384" s="6">
        <v>0.88900000000000001</v>
      </c>
      <c r="O1384" s="6">
        <v>0.88900000000000001</v>
      </c>
      <c r="P1384" s="6">
        <v>11</v>
      </c>
      <c r="Q1384" s="4" t="s">
        <v>26</v>
      </c>
      <c r="R1384" s="4">
        <v>0</v>
      </c>
      <c r="S1384" s="4" t="s">
        <v>529</v>
      </c>
      <c r="T1384" s="4" t="s">
        <v>793</v>
      </c>
      <c r="U1384" s="4">
        <v>0</v>
      </c>
      <c r="V1384" s="4">
        <v>42</v>
      </c>
      <c r="W1384" s="4">
        <v>85</v>
      </c>
    </row>
    <row r="1385" spans="1:23" ht="11.25" customHeight="1" x14ac:dyDescent="0.25">
      <c r="A1385" s="4" t="s">
        <v>28</v>
      </c>
      <c r="B1385" s="4" t="s">
        <v>22</v>
      </c>
      <c r="C1385" s="4" t="s">
        <v>23</v>
      </c>
      <c r="D1385" s="4" t="s">
        <v>24</v>
      </c>
      <c r="E1385" s="4" t="s">
        <v>29</v>
      </c>
      <c r="F1385" s="4" t="s">
        <v>25</v>
      </c>
      <c r="G1385" s="4" t="s">
        <v>25</v>
      </c>
      <c r="H1385" s="4" t="s">
        <v>25</v>
      </c>
      <c r="I1385" s="5">
        <v>44652</v>
      </c>
      <c r="J1385" s="6">
        <v>0</v>
      </c>
      <c r="K1385" s="6">
        <v>0</v>
      </c>
      <c r="L1385" s="6">
        <v>7.23</v>
      </c>
      <c r="M1385" s="6">
        <v>7.23</v>
      </c>
      <c r="N1385" s="6">
        <v>7.23</v>
      </c>
      <c r="O1385" s="6">
        <v>7.23</v>
      </c>
      <c r="P1385" s="6">
        <v>10</v>
      </c>
      <c r="Q1385" s="4" t="s">
        <v>26</v>
      </c>
      <c r="R1385" s="4">
        <v>0</v>
      </c>
      <c r="S1385" s="4" t="s">
        <v>529</v>
      </c>
      <c r="T1385" s="4" t="s">
        <v>793</v>
      </c>
      <c r="U1385" s="4">
        <v>0</v>
      </c>
      <c r="V1385" s="4">
        <v>42</v>
      </c>
      <c r="W1385" s="4">
        <v>85</v>
      </c>
    </row>
    <row r="1386" spans="1:23" ht="11.25" customHeight="1" x14ac:dyDescent="0.25">
      <c r="A1386" s="4" t="s">
        <v>58</v>
      </c>
      <c r="B1386" s="4" t="s">
        <v>22</v>
      </c>
      <c r="C1386" s="4" t="s">
        <v>23</v>
      </c>
      <c r="D1386" s="4" t="s">
        <v>24</v>
      </c>
      <c r="E1386" s="4" t="s">
        <v>29</v>
      </c>
      <c r="F1386" s="4" t="s">
        <v>25</v>
      </c>
      <c r="G1386" s="4" t="s">
        <v>25</v>
      </c>
      <c r="H1386" s="4" t="s">
        <v>25</v>
      </c>
      <c r="I1386" s="5">
        <v>44682</v>
      </c>
      <c r="J1386" s="6">
        <v>0</v>
      </c>
      <c r="K1386" s="6">
        <v>0</v>
      </c>
      <c r="L1386" s="6">
        <v>2949.163</v>
      </c>
      <c r="M1386" s="6">
        <v>2949.163</v>
      </c>
      <c r="N1386" s="6">
        <v>2949.163</v>
      </c>
      <c r="O1386" s="6">
        <v>2949.163</v>
      </c>
      <c r="P1386" s="6">
        <v>4589</v>
      </c>
      <c r="Q1386" s="4" t="s">
        <v>26</v>
      </c>
      <c r="R1386" s="4">
        <v>0</v>
      </c>
      <c r="S1386" s="4" t="s">
        <v>530</v>
      </c>
      <c r="T1386" s="4" t="s">
        <v>794</v>
      </c>
      <c r="U1386" s="4">
        <v>0</v>
      </c>
      <c r="V1386" s="4">
        <v>42</v>
      </c>
      <c r="W1386" s="4">
        <v>85</v>
      </c>
    </row>
    <row r="1387" spans="1:23" ht="11.25" customHeight="1" x14ac:dyDescent="0.25">
      <c r="A1387" s="4" t="s">
        <v>58</v>
      </c>
      <c r="B1387" s="4" t="s">
        <v>22</v>
      </c>
      <c r="C1387" s="4" t="s">
        <v>23</v>
      </c>
      <c r="D1387" s="4" t="s">
        <v>24</v>
      </c>
      <c r="E1387" s="4" t="s">
        <v>29</v>
      </c>
      <c r="F1387" s="4" t="s">
        <v>25</v>
      </c>
      <c r="G1387" s="4" t="s">
        <v>25</v>
      </c>
      <c r="H1387" s="4" t="s">
        <v>25</v>
      </c>
      <c r="I1387" s="5">
        <v>44682</v>
      </c>
      <c r="J1387" s="6">
        <v>0</v>
      </c>
      <c r="K1387" s="6">
        <v>0</v>
      </c>
      <c r="L1387" s="6">
        <v>0.88900000000000001</v>
      </c>
      <c r="M1387" s="6">
        <v>0.88900000000000001</v>
      </c>
      <c r="N1387" s="6">
        <v>0.88900000000000001</v>
      </c>
      <c r="O1387" s="6">
        <v>0.88900000000000001</v>
      </c>
      <c r="P1387" s="6">
        <v>11</v>
      </c>
      <c r="Q1387" s="4" t="s">
        <v>26</v>
      </c>
      <c r="R1387" s="4">
        <v>0</v>
      </c>
      <c r="S1387" s="4" t="s">
        <v>530</v>
      </c>
      <c r="T1387" s="4" t="s">
        <v>794</v>
      </c>
      <c r="U1387" s="4">
        <v>0</v>
      </c>
      <c r="V1387" s="4">
        <v>42</v>
      </c>
      <c r="W1387" s="4">
        <v>85</v>
      </c>
    </row>
    <row r="1388" spans="1:23" ht="11.25" customHeight="1" x14ac:dyDescent="0.25">
      <c r="A1388" s="4" t="s">
        <v>58</v>
      </c>
      <c r="B1388" s="4" t="s">
        <v>22</v>
      </c>
      <c r="C1388" s="4" t="s">
        <v>23</v>
      </c>
      <c r="D1388" s="4" t="s">
        <v>24</v>
      </c>
      <c r="E1388" s="4" t="s">
        <v>29</v>
      </c>
      <c r="F1388" s="4" t="s">
        <v>25</v>
      </c>
      <c r="G1388" s="4" t="s">
        <v>25</v>
      </c>
      <c r="H1388" s="4" t="s">
        <v>25</v>
      </c>
      <c r="I1388" s="5">
        <v>44682</v>
      </c>
      <c r="J1388" s="6">
        <v>0</v>
      </c>
      <c r="K1388" s="6">
        <v>0</v>
      </c>
      <c r="L1388" s="6">
        <v>7.23</v>
      </c>
      <c r="M1388" s="6">
        <v>7.23</v>
      </c>
      <c r="N1388" s="6">
        <v>7.23</v>
      </c>
      <c r="O1388" s="6">
        <v>7.23</v>
      </c>
      <c r="P1388" s="6">
        <v>10</v>
      </c>
      <c r="Q1388" s="4" t="s">
        <v>26</v>
      </c>
      <c r="R1388" s="4">
        <v>0</v>
      </c>
      <c r="S1388" s="4" t="s">
        <v>530</v>
      </c>
      <c r="T1388" s="4" t="s">
        <v>794</v>
      </c>
      <c r="U1388" s="4">
        <v>0</v>
      </c>
      <c r="V1388" s="4">
        <v>42</v>
      </c>
      <c r="W1388" s="4">
        <v>85</v>
      </c>
    </row>
    <row r="1389" spans="1:23" ht="11.25" customHeight="1" x14ac:dyDescent="0.25">
      <c r="A1389" s="4" t="s">
        <v>21</v>
      </c>
      <c r="B1389" s="4" t="s">
        <v>22</v>
      </c>
      <c r="C1389" s="4" t="s">
        <v>23</v>
      </c>
      <c r="D1389" s="4" t="s">
        <v>24</v>
      </c>
      <c r="E1389" s="4" t="s">
        <v>30</v>
      </c>
      <c r="F1389" s="4" t="s">
        <v>25</v>
      </c>
      <c r="G1389" s="4" t="s">
        <v>25</v>
      </c>
      <c r="H1389" s="4" t="s">
        <v>25</v>
      </c>
      <c r="I1389" s="5">
        <v>44348</v>
      </c>
      <c r="J1389" s="6">
        <v>0</v>
      </c>
      <c r="K1389" s="6">
        <v>0</v>
      </c>
      <c r="L1389" s="6">
        <v>4617.2920000000004</v>
      </c>
      <c r="M1389" s="6">
        <v>4617.2920000000004</v>
      </c>
      <c r="N1389" s="6">
        <v>4617.2920000000004</v>
      </c>
      <c r="O1389" s="6">
        <v>4617.2920000000004</v>
      </c>
      <c r="P1389" s="6">
        <v>28380</v>
      </c>
      <c r="Q1389" s="4" t="s">
        <v>26</v>
      </c>
      <c r="R1389" s="4">
        <v>0</v>
      </c>
      <c r="S1389" s="4" t="s">
        <v>531</v>
      </c>
      <c r="T1389" s="4" t="s">
        <v>795</v>
      </c>
      <c r="U1389" s="4">
        <v>0</v>
      </c>
      <c r="V1389" s="4">
        <v>43</v>
      </c>
      <c r="W1389" s="4">
        <v>86</v>
      </c>
    </row>
    <row r="1390" spans="1:23" ht="11.25" customHeight="1" x14ac:dyDescent="0.25">
      <c r="A1390" s="4" t="s">
        <v>27</v>
      </c>
      <c r="B1390" s="4" t="s">
        <v>22</v>
      </c>
      <c r="C1390" s="4" t="s">
        <v>23</v>
      </c>
      <c r="D1390" s="4" t="s">
        <v>24</v>
      </c>
      <c r="E1390" s="4" t="s">
        <v>30</v>
      </c>
      <c r="F1390" s="4" t="s">
        <v>25</v>
      </c>
      <c r="G1390" s="4" t="s">
        <v>25</v>
      </c>
      <c r="H1390" s="4" t="s">
        <v>25</v>
      </c>
      <c r="I1390" s="5">
        <v>44348</v>
      </c>
      <c r="J1390" s="6">
        <v>0</v>
      </c>
      <c r="K1390" s="6">
        <v>0</v>
      </c>
      <c r="L1390" s="6">
        <v>-0.80700000000000005</v>
      </c>
      <c r="M1390" s="6">
        <v>-0.80700000000000005</v>
      </c>
      <c r="N1390" s="6">
        <v>-0.80700000000000005</v>
      </c>
      <c r="O1390" s="6">
        <v>-0.80700000000000005</v>
      </c>
      <c r="P1390" s="6">
        <v>-1</v>
      </c>
      <c r="Q1390" s="4" t="s">
        <v>26</v>
      </c>
      <c r="R1390" s="4">
        <v>0</v>
      </c>
      <c r="S1390" s="4" t="s">
        <v>531</v>
      </c>
      <c r="T1390" s="4" t="s">
        <v>795</v>
      </c>
      <c r="U1390" s="4">
        <v>0</v>
      </c>
      <c r="V1390" s="4">
        <v>43</v>
      </c>
      <c r="W1390" s="4">
        <v>86</v>
      </c>
    </row>
    <row r="1391" spans="1:23" ht="11.25" customHeight="1" x14ac:dyDescent="0.25">
      <c r="A1391" s="4" t="s">
        <v>28</v>
      </c>
      <c r="B1391" s="4" t="s">
        <v>22</v>
      </c>
      <c r="C1391" s="4" t="s">
        <v>23</v>
      </c>
      <c r="D1391" s="4" t="s">
        <v>24</v>
      </c>
      <c r="E1391" s="4" t="s">
        <v>30</v>
      </c>
      <c r="F1391" s="4" t="s">
        <v>25</v>
      </c>
      <c r="G1391" s="4" t="s">
        <v>25</v>
      </c>
      <c r="H1391" s="4" t="s">
        <v>25</v>
      </c>
      <c r="I1391" s="5">
        <v>44348</v>
      </c>
      <c r="J1391" s="6">
        <v>0</v>
      </c>
      <c r="K1391" s="6">
        <v>0</v>
      </c>
      <c r="L1391" s="6">
        <v>2.9750000000000001</v>
      </c>
      <c r="M1391" s="6">
        <v>2.9750000000000001</v>
      </c>
      <c r="N1391" s="6">
        <v>2.9750000000000001</v>
      </c>
      <c r="O1391" s="6">
        <v>2.9750000000000001</v>
      </c>
      <c r="P1391" s="6">
        <v>6</v>
      </c>
      <c r="Q1391" s="4" t="s">
        <v>26</v>
      </c>
      <c r="R1391" s="4">
        <v>0</v>
      </c>
      <c r="S1391" s="4" t="s">
        <v>531</v>
      </c>
      <c r="T1391" s="4" t="s">
        <v>795</v>
      </c>
      <c r="U1391" s="4">
        <v>0</v>
      </c>
      <c r="V1391" s="4">
        <v>43</v>
      </c>
      <c r="W1391" s="4">
        <v>86</v>
      </c>
    </row>
    <row r="1392" spans="1:23" ht="11.25" customHeight="1" x14ac:dyDescent="0.25">
      <c r="A1392" s="4" t="s">
        <v>21</v>
      </c>
      <c r="B1392" s="4" t="s">
        <v>22</v>
      </c>
      <c r="C1392" s="4" t="s">
        <v>23</v>
      </c>
      <c r="D1392" s="4" t="s">
        <v>24</v>
      </c>
      <c r="E1392" s="4" t="s">
        <v>30</v>
      </c>
      <c r="F1392" s="4" t="s">
        <v>25</v>
      </c>
      <c r="G1392" s="4" t="s">
        <v>25</v>
      </c>
      <c r="H1392" s="4" t="s">
        <v>25</v>
      </c>
      <c r="I1392" s="5">
        <v>44378</v>
      </c>
      <c r="J1392" s="6">
        <v>0</v>
      </c>
      <c r="K1392" s="6">
        <v>0</v>
      </c>
      <c r="L1392" s="6">
        <v>4621.8729999999996</v>
      </c>
      <c r="M1392" s="6">
        <v>4621.8729999999996</v>
      </c>
      <c r="N1392" s="6">
        <v>4621.8729999999996</v>
      </c>
      <c r="O1392" s="6">
        <v>4621.8729999999996</v>
      </c>
      <c r="P1392" s="6">
        <v>29844</v>
      </c>
      <c r="Q1392" s="4" t="s">
        <v>26</v>
      </c>
      <c r="R1392" s="4">
        <v>0</v>
      </c>
      <c r="S1392" s="4" t="s">
        <v>532</v>
      </c>
      <c r="T1392" s="4" t="s">
        <v>796</v>
      </c>
      <c r="U1392" s="4">
        <v>0</v>
      </c>
      <c r="V1392" s="4">
        <v>43</v>
      </c>
      <c r="W1392" s="4">
        <v>86</v>
      </c>
    </row>
    <row r="1393" spans="1:23" ht="11.25" customHeight="1" x14ac:dyDescent="0.25">
      <c r="A1393" s="4" t="s">
        <v>27</v>
      </c>
      <c r="B1393" s="4" t="s">
        <v>22</v>
      </c>
      <c r="C1393" s="4" t="s">
        <v>23</v>
      </c>
      <c r="D1393" s="4" t="s">
        <v>24</v>
      </c>
      <c r="E1393" s="4" t="s">
        <v>30</v>
      </c>
      <c r="F1393" s="4" t="s">
        <v>25</v>
      </c>
      <c r="G1393" s="4" t="s">
        <v>25</v>
      </c>
      <c r="H1393" s="4" t="s">
        <v>25</v>
      </c>
      <c r="I1393" s="5">
        <v>44378</v>
      </c>
      <c r="J1393" s="6">
        <v>0</v>
      </c>
      <c r="K1393" s="6">
        <v>0</v>
      </c>
      <c r="L1393" s="6">
        <v>-0.42</v>
      </c>
      <c r="M1393" s="6">
        <v>-0.42</v>
      </c>
      <c r="N1393" s="6">
        <v>-0.42</v>
      </c>
      <c r="O1393" s="6">
        <v>-0.42</v>
      </c>
      <c r="P1393" s="6">
        <v>0</v>
      </c>
      <c r="Q1393" s="4" t="s">
        <v>26</v>
      </c>
      <c r="R1393" s="4">
        <v>0</v>
      </c>
      <c r="S1393" s="4" t="s">
        <v>532</v>
      </c>
      <c r="T1393" s="4" t="s">
        <v>796</v>
      </c>
      <c r="U1393" s="4">
        <v>0</v>
      </c>
      <c r="V1393" s="4">
        <v>43</v>
      </c>
      <c r="W1393" s="4">
        <v>86</v>
      </c>
    </row>
    <row r="1394" spans="1:23" ht="11.25" customHeight="1" x14ac:dyDescent="0.25">
      <c r="A1394" s="4" t="s">
        <v>28</v>
      </c>
      <c r="B1394" s="4" t="s">
        <v>22</v>
      </c>
      <c r="C1394" s="4" t="s">
        <v>23</v>
      </c>
      <c r="D1394" s="4" t="s">
        <v>24</v>
      </c>
      <c r="E1394" s="4" t="s">
        <v>30</v>
      </c>
      <c r="F1394" s="4" t="s">
        <v>25</v>
      </c>
      <c r="G1394" s="4" t="s">
        <v>25</v>
      </c>
      <c r="H1394" s="4" t="s">
        <v>25</v>
      </c>
      <c r="I1394" s="5">
        <v>44378</v>
      </c>
      <c r="J1394" s="6">
        <v>0</v>
      </c>
      <c r="K1394" s="6">
        <v>0</v>
      </c>
      <c r="L1394" s="6">
        <v>3.081</v>
      </c>
      <c r="M1394" s="6">
        <v>3.081</v>
      </c>
      <c r="N1394" s="6">
        <v>3.081</v>
      </c>
      <c r="O1394" s="6">
        <v>3.081</v>
      </c>
      <c r="P1394" s="6">
        <v>9</v>
      </c>
      <c r="Q1394" s="4" t="s">
        <v>26</v>
      </c>
      <c r="R1394" s="4">
        <v>0</v>
      </c>
      <c r="S1394" s="4" t="s">
        <v>532</v>
      </c>
      <c r="T1394" s="4" t="s">
        <v>796</v>
      </c>
      <c r="U1394" s="4">
        <v>0</v>
      </c>
      <c r="V1394" s="4">
        <v>43</v>
      </c>
      <c r="W1394" s="4">
        <v>86</v>
      </c>
    </row>
    <row r="1395" spans="1:23" ht="11.25" customHeight="1" x14ac:dyDescent="0.25">
      <c r="A1395" s="4" t="s">
        <v>21</v>
      </c>
      <c r="B1395" s="4" t="s">
        <v>22</v>
      </c>
      <c r="C1395" s="4" t="s">
        <v>23</v>
      </c>
      <c r="D1395" s="4" t="s">
        <v>24</v>
      </c>
      <c r="E1395" s="4" t="s">
        <v>30</v>
      </c>
      <c r="F1395" s="4" t="s">
        <v>25</v>
      </c>
      <c r="G1395" s="4" t="s">
        <v>25</v>
      </c>
      <c r="H1395" s="4" t="s">
        <v>25</v>
      </c>
      <c r="I1395" s="5">
        <v>44409</v>
      </c>
      <c r="J1395" s="6">
        <v>0</v>
      </c>
      <c r="K1395" s="6">
        <v>0</v>
      </c>
      <c r="L1395" s="6">
        <v>4693.6400000000003</v>
      </c>
      <c r="M1395" s="6">
        <v>4693.6400000000003</v>
      </c>
      <c r="N1395" s="6">
        <v>4693.6400000000003</v>
      </c>
      <c r="O1395" s="6">
        <v>4693.6400000000003</v>
      </c>
      <c r="P1395" s="6">
        <v>29496</v>
      </c>
      <c r="Q1395" s="4" t="s">
        <v>26</v>
      </c>
      <c r="R1395" s="4">
        <v>0</v>
      </c>
      <c r="S1395" s="4" t="s">
        <v>533</v>
      </c>
      <c r="T1395" s="4" t="s">
        <v>797</v>
      </c>
      <c r="U1395" s="4">
        <v>0</v>
      </c>
      <c r="V1395" s="4">
        <v>43</v>
      </c>
      <c r="W1395" s="4">
        <v>86</v>
      </c>
    </row>
    <row r="1396" spans="1:23" ht="11.25" customHeight="1" x14ac:dyDescent="0.25">
      <c r="A1396" s="4" t="s">
        <v>27</v>
      </c>
      <c r="B1396" s="4" t="s">
        <v>22</v>
      </c>
      <c r="C1396" s="4" t="s">
        <v>23</v>
      </c>
      <c r="D1396" s="4" t="s">
        <v>24</v>
      </c>
      <c r="E1396" s="4" t="s">
        <v>30</v>
      </c>
      <c r="F1396" s="4" t="s">
        <v>25</v>
      </c>
      <c r="G1396" s="4" t="s">
        <v>25</v>
      </c>
      <c r="H1396" s="4" t="s">
        <v>25</v>
      </c>
      <c r="I1396" s="5">
        <v>44409</v>
      </c>
      <c r="J1396" s="6">
        <v>0</v>
      </c>
      <c r="K1396" s="6">
        <v>0</v>
      </c>
      <c r="L1396" s="6">
        <v>-1.2050000000000001</v>
      </c>
      <c r="M1396" s="6">
        <v>-1.2050000000000001</v>
      </c>
      <c r="N1396" s="6">
        <v>-1.2050000000000001</v>
      </c>
      <c r="O1396" s="6">
        <v>-1.2050000000000001</v>
      </c>
      <c r="P1396" s="6">
        <v>-3</v>
      </c>
      <c r="Q1396" s="4" t="s">
        <v>26</v>
      </c>
      <c r="R1396" s="4">
        <v>0</v>
      </c>
      <c r="S1396" s="4" t="s">
        <v>533</v>
      </c>
      <c r="T1396" s="4" t="s">
        <v>797</v>
      </c>
      <c r="U1396" s="4">
        <v>0</v>
      </c>
      <c r="V1396" s="4">
        <v>43</v>
      </c>
      <c r="W1396" s="4">
        <v>86</v>
      </c>
    </row>
    <row r="1397" spans="1:23" ht="11.25" customHeight="1" x14ac:dyDescent="0.25">
      <c r="A1397" s="4" t="s">
        <v>28</v>
      </c>
      <c r="B1397" s="4" t="s">
        <v>22</v>
      </c>
      <c r="C1397" s="4" t="s">
        <v>23</v>
      </c>
      <c r="D1397" s="4" t="s">
        <v>24</v>
      </c>
      <c r="E1397" s="4" t="s">
        <v>30</v>
      </c>
      <c r="F1397" s="4" t="s">
        <v>25</v>
      </c>
      <c r="G1397" s="4" t="s">
        <v>25</v>
      </c>
      <c r="H1397" s="4" t="s">
        <v>25</v>
      </c>
      <c r="I1397" s="5">
        <v>44409</v>
      </c>
      <c r="J1397" s="6">
        <v>0</v>
      </c>
      <c r="K1397" s="6">
        <v>0</v>
      </c>
      <c r="L1397" s="6">
        <v>3.3479999999999999</v>
      </c>
      <c r="M1397" s="6">
        <v>3.3479999999999999</v>
      </c>
      <c r="N1397" s="6">
        <v>3.3479999999999999</v>
      </c>
      <c r="O1397" s="6">
        <v>3.3479999999999999</v>
      </c>
      <c r="P1397" s="6">
        <v>10</v>
      </c>
      <c r="Q1397" s="4" t="s">
        <v>26</v>
      </c>
      <c r="R1397" s="4">
        <v>0</v>
      </c>
      <c r="S1397" s="4" t="s">
        <v>533</v>
      </c>
      <c r="T1397" s="4" t="s">
        <v>797</v>
      </c>
      <c r="U1397" s="4">
        <v>0</v>
      </c>
      <c r="V1397" s="4">
        <v>43</v>
      </c>
      <c r="W1397" s="4">
        <v>86</v>
      </c>
    </row>
    <row r="1398" spans="1:23" ht="11.25" customHeight="1" x14ac:dyDescent="0.25">
      <c r="A1398" s="4" t="s">
        <v>21</v>
      </c>
      <c r="B1398" s="4" t="s">
        <v>22</v>
      </c>
      <c r="C1398" s="4" t="s">
        <v>23</v>
      </c>
      <c r="D1398" s="4" t="s">
        <v>24</v>
      </c>
      <c r="E1398" s="4" t="s">
        <v>30</v>
      </c>
      <c r="F1398" s="4" t="s">
        <v>25</v>
      </c>
      <c r="G1398" s="4" t="s">
        <v>25</v>
      </c>
      <c r="H1398" s="4" t="s">
        <v>25</v>
      </c>
      <c r="I1398" s="5">
        <v>44440</v>
      </c>
      <c r="J1398" s="6">
        <v>0</v>
      </c>
      <c r="K1398" s="6">
        <v>0</v>
      </c>
      <c r="L1398" s="6">
        <v>4801.6289999999999</v>
      </c>
      <c r="M1398" s="6">
        <v>4801.6289999999999</v>
      </c>
      <c r="N1398" s="6">
        <v>4801.6289999999999</v>
      </c>
      <c r="O1398" s="6">
        <v>4801.6289999999999</v>
      </c>
      <c r="P1398" s="6">
        <v>23540</v>
      </c>
      <c r="Q1398" s="4" t="s">
        <v>26</v>
      </c>
      <c r="R1398" s="4">
        <v>0</v>
      </c>
      <c r="S1398" s="4" t="s">
        <v>534</v>
      </c>
      <c r="T1398" s="4" t="s">
        <v>798</v>
      </c>
      <c r="U1398" s="4">
        <v>0</v>
      </c>
      <c r="V1398" s="4">
        <v>43</v>
      </c>
      <c r="W1398" s="4">
        <v>86</v>
      </c>
    </row>
    <row r="1399" spans="1:23" ht="11.25" customHeight="1" x14ac:dyDescent="0.25">
      <c r="A1399" s="4" t="s">
        <v>27</v>
      </c>
      <c r="B1399" s="4" t="s">
        <v>22</v>
      </c>
      <c r="C1399" s="4" t="s">
        <v>23</v>
      </c>
      <c r="D1399" s="4" t="s">
        <v>24</v>
      </c>
      <c r="E1399" s="4" t="s">
        <v>30</v>
      </c>
      <c r="F1399" s="4" t="s">
        <v>25</v>
      </c>
      <c r="G1399" s="4" t="s">
        <v>25</v>
      </c>
      <c r="H1399" s="4" t="s">
        <v>25</v>
      </c>
      <c r="I1399" s="5">
        <v>44440</v>
      </c>
      <c r="J1399" s="6">
        <v>0</v>
      </c>
      <c r="K1399" s="6">
        <v>0</v>
      </c>
      <c r="L1399" s="6">
        <v>-1.07</v>
      </c>
      <c r="M1399" s="6">
        <v>-1.07</v>
      </c>
      <c r="N1399" s="6">
        <v>-1.07</v>
      </c>
      <c r="O1399" s="6">
        <v>-1.07</v>
      </c>
      <c r="P1399" s="6">
        <v>-1</v>
      </c>
      <c r="Q1399" s="4" t="s">
        <v>26</v>
      </c>
      <c r="R1399" s="4">
        <v>0</v>
      </c>
      <c r="S1399" s="4" t="s">
        <v>534</v>
      </c>
      <c r="T1399" s="4" t="s">
        <v>798</v>
      </c>
      <c r="U1399" s="4">
        <v>0</v>
      </c>
      <c r="V1399" s="4">
        <v>43</v>
      </c>
      <c r="W1399" s="4">
        <v>86</v>
      </c>
    </row>
    <row r="1400" spans="1:23" ht="11.25" customHeight="1" x14ac:dyDescent="0.25">
      <c r="A1400" s="4" t="s">
        <v>28</v>
      </c>
      <c r="B1400" s="4" t="s">
        <v>22</v>
      </c>
      <c r="C1400" s="4" t="s">
        <v>23</v>
      </c>
      <c r="D1400" s="4" t="s">
        <v>24</v>
      </c>
      <c r="E1400" s="4" t="s">
        <v>30</v>
      </c>
      <c r="F1400" s="4" t="s">
        <v>25</v>
      </c>
      <c r="G1400" s="4" t="s">
        <v>25</v>
      </c>
      <c r="H1400" s="4" t="s">
        <v>25</v>
      </c>
      <c r="I1400" s="5">
        <v>44440</v>
      </c>
      <c r="J1400" s="6">
        <v>0</v>
      </c>
      <c r="K1400" s="6">
        <v>0</v>
      </c>
      <c r="L1400" s="6">
        <v>3.45</v>
      </c>
      <c r="M1400" s="6">
        <v>3.45</v>
      </c>
      <c r="N1400" s="6">
        <v>3.45</v>
      </c>
      <c r="O1400" s="6">
        <v>3.45</v>
      </c>
      <c r="P1400" s="6">
        <v>6</v>
      </c>
      <c r="Q1400" s="4" t="s">
        <v>26</v>
      </c>
      <c r="R1400" s="4">
        <v>0</v>
      </c>
      <c r="S1400" s="4" t="s">
        <v>534</v>
      </c>
      <c r="T1400" s="4" t="s">
        <v>798</v>
      </c>
      <c r="U1400" s="4">
        <v>0</v>
      </c>
      <c r="V1400" s="4">
        <v>43</v>
      </c>
      <c r="W1400" s="4">
        <v>86</v>
      </c>
    </row>
    <row r="1401" spans="1:23" ht="11.25" customHeight="1" x14ac:dyDescent="0.25">
      <c r="A1401" s="4" t="s">
        <v>21</v>
      </c>
      <c r="B1401" s="4" t="s">
        <v>22</v>
      </c>
      <c r="C1401" s="4" t="s">
        <v>23</v>
      </c>
      <c r="D1401" s="4" t="s">
        <v>24</v>
      </c>
      <c r="E1401" s="4" t="s">
        <v>30</v>
      </c>
      <c r="F1401" s="4" t="s">
        <v>25</v>
      </c>
      <c r="G1401" s="4" t="s">
        <v>25</v>
      </c>
      <c r="H1401" s="4" t="s">
        <v>25</v>
      </c>
      <c r="I1401" s="5">
        <v>44470</v>
      </c>
      <c r="J1401" s="6">
        <v>0</v>
      </c>
      <c r="K1401" s="6">
        <v>0</v>
      </c>
      <c r="L1401" s="6">
        <v>4794.1509999999998</v>
      </c>
      <c r="M1401" s="6">
        <v>4794.1509999999998</v>
      </c>
      <c r="N1401" s="6">
        <v>4794.1509999999998</v>
      </c>
      <c r="O1401" s="6">
        <v>4794.1509999999998</v>
      </c>
      <c r="P1401" s="6">
        <v>27366</v>
      </c>
      <c r="Q1401" s="4" t="s">
        <v>26</v>
      </c>
      <c r="R1401" s="4">
        <v>0</v>
      </c>
      <c r="S1401" s="4" t="s">
        <v>535</v>
      </c>
      <c r="T1401" s="4" t="s">
        <v>799</v>
      </c>
      <c r="U1401" s="4">
        <v>0</v>
      </c>
      <c r="V1401" s="4">
        <v>43</v>
      </c>
      <c r="W1401" s="4">
        <v>86</v>
      </c>
    </row>
    <row r="1402" spans="1:23" ht="11.25" customHeight="1" x14ac:dyDescent="0.25">
      <c r="A1402" s="4" t="s">
        <v>27</v>
      </c>
      <c r="B1402" s="4" t="s">
        <v>22</v>
      </c>
      <c r="C1402" s="4" t="s">
        <v>23</v>
      </c>
      <c r="D1402" s="4" t="s">
        <v>24</v>
      </c>
      <c r="E1402" s="4" t="s">
        <v>30</v>
      </c>
      <c r="F1402" s="4" t="s">
        <v>25</v>
      </c>
      <c r="G1402" s="4" t="s">
        <v>25</v>
      </c>
      <c r="H1402" s="4" t="s">
        <v>25</v>
      </c>
      <c r="I1402" s="5">
        <v>44470</v>
      </c>
      <c r="J1402" s="6">
        <v>0</v>
      </c>
      <c r="K1402" s="6">
        <v>0</v>
      </c>
      <c r="L1402" s="6">
        <v>-0.88600000000000001</v>
      </c>
      <c r="M1402" s="6">
        <v>-0.88600000000000001</v>
      </c>
      <c r="N1402" s="6">
        <v>-0.88600000000000001</v>
      </c>
      <c r="O1402" s="6">
        <v>-0.88600000000000001</v>
      </c>
      <c r="P1402" s="6">
        <v>-4</v>
      </c>
      <c r="Q1402" s="4" t="s">
        <v>26</v>
      </c>
      <c r="R1402" s="4">
        <v>0</v>
      </c>
      <c r="S1402" s="4" t="s">
        <v>535</v>
      </c>
      <c r="T1402" s="4" t="s">
        <v>799</v>
      </c>
      <c r="U1402" s="4">
        <v>0</v>
      </c>
      <c r="V1402" s="4">
        <v>43</v>
      </c>
      <c r="W1402" s="4">
        <v>86</v>
      </c>
    </row>
    <row r="1403" spans="1:23" ht="11.25" customHeight="1" x14ac:dyDescent="0.25">
      <c r="A1403" s="4" t="s">
        <v>28</v>
      </c>
      <c r="B1403" s="4" t="s">
        <v>22</v>
      </c>
      <c r="C1403" s="4" t="s">
        <v>23</v>
      </c>
      <c r="D1403" s="4" t="s">
        <v>24</v>
      </c>
      <c r="E1403" s="4" t="s">
        <v>30</v>
      </c>
      <c r="F1403" s="4" t="s">
        <v>25</v>
      </c>
      <c r="G1403" s="4" t="s">
        <v>25</v>
      </c>
      <c r="H1403" s="4" t="s">
        <v>25</v>
      </c>
      <c r="I1403" s="5">
        <v>44470</v>
      </c>
      <c r="J1403" s="6">
        <v>0</v>
      </c>
      <c r="K1403" s="6">
        <v>0</v>
      </c>
      <c r="L1403" s="6">
        <v>3.9369999999999998</v>
      </c>
      <c r="M1403" s="6">
        <v>3.9369999999999998</v>
      </c>
      <c r="N1403" s="6">
        <v>3.9369999999999998</v>
      </c>
      <c r="O1403" s="6">
        <v>3.9369999999999998</v>
      </c>
      <c r="P1403" s="6">
        <v>8</v>
      </c>
      <c r="Q1403" s="4" t="s">
        <v>26</v>
      </c>
      <c r="R1403" s="4">
        <v>0</v>
      </c>
      <c r="S1403" s="4" t="s">
        <v>535</v>
      </c>
      <c r="T1403" s="4" t="s">
        <v>799</v>
      </c>
      <c r="U1403" s="4">
        <v>0</v>
      </c>
      <c r="V1403" s="4">
        <v>43</v>
      </c>
      <c r="W1403" s="4">
        <v>86</v>
      </c>
    </row>
    <row r="1404" spans="1:23" ht="11.25" customHeight="1" x14ac:dyDescent="0.25">
      <c r="A1404" s="4" t="s">
        <v>21</v>
      </c>
      <c r="B1404" s="4" t="s">
        <v>22</v>
      </c>
      <c r="C1404" s="4" t="s">
        <v>23</v>
      </c>
      <c r="D1404" s="4" t="s">
        <v>24</v>
      </c>
      <c r="E1404" s="4" t="s">
        <v>30</v>
      </c>
      <c r="F1404" s="4" t="s">
        <v>25</v>
      </c>
      <c r="G1404" s="4" t="s">
        <v>25</v>
      </c>
      <c r="H1404" s="4" t="s">
        <v>25</v>
      </c>
      <c r="I1404" s="5">
        <v>44501</v>
      </c>
      <c r="J1404" s="6">
        <v>0</v>
      </c>
      <c r="K1404" s="6">
        <v>0</v>
      </c>
      <c r="L1404" s="6">
        <v>4867.0839999999998</v>
      </c>
      <c r="M1404" s="6">
        <v>4867.0839999999998</v>
      </c>
      <c r="N1404" s="6">
        <v>4867.0839999999998</v>
      </c>
      <c r="O1404" s="6">
        <v>4867.0839999999998</v>
      </c>
      <c r="P1404" s="6">
        <v>26621</v>
      </c>
      <c r="Q1404" s="4" t="s">
        <v>26</v>
      </c>
      <c r="R1404" s="4">
        <v>0</v>
      </c>
      <c r="S1404" s="4" t="s">
        <v>536</v>
      </c>
      <c r="T1404" s="4" t="s">
        <v>800</v>
      </c>
      <c r="U1404" s="4">
        <v>0</v>
      </c>
      <c r="V1404" s="4">
        <v>43</v>
      </c>
      <c r="W1404" s="4">
        <v>86</v>
      </c>
    </row>
    <row r="1405" spans="1:23" ht="11.25" customHeight="1" x14ac:dyDescent="0.25">
      <c r="A1405" s="4" t="s">
        <v>27</v>
      </c>
      <c r="B1405" s="4" t="s">
        <v>22</v>
      </c>
      <c r="C1405" s="4" t="s">
        <v>23</v>
      </c>
      <c r="D1405" s="4" t="s">
        <v>24</v>
      </c>
      <c r="E1405" s="4" t="s">
        <v>30</v>
      </c>
      <c r="F1405" s="4" t="s">
        <v>25</v>
      </c>
      <c r="G1405" s="4" t="s">
        <v>25</v>
      </c>
      <c r="H1405" s="4" t="s">
        <v>25</v>
      </c>
      <c r="I1405" s="5">
        <v>44501</v>
      </c>
      <c r="J1405" s="6">
        <v>0</v>
      </c>
      <c r="K1405" s="6">
        <v>0</v>
      </c>
      <c r="L1405" s="6">
        <v>-2.38</v>
      </c>
      <c r="M1405" s="6">
        <v>-2.38</v>
      </c>
      <c r="N1405" s="6">
        <v>-2.38</v>
      </c>
      <c r="O1405" s="6">
        <v>-2.38</v>
      </c>
      <c r="P1405" s="6">
        <v>-15</v>
      </c>
      <c r="Q1405" s="4" t="s">
        <v>26</v>
      </c>
      <c r="R1405" s="4">
        <v>0</v>
      </c>
      <c r="S1405" s="4" t="s">
        <v>536</v>
      </c>
      <c r="T1405" s="4" t="s">
        <v>800</v>
      </c>
      <c r="U1405" s="4">
        <v>0</v>
      </c>
      <c r="V1405" s="4">
        <v>43</v>
      </c>
      <c r="W1405" s="4">
        <v>86</v>
      </c>
    </row>
    <row r="1406" spans="1:23" ht="11.25" customHeight="1" x14ac:dyDescent="0.25">
      <c r="A1406" s="4" t="s">
        <v>28</v>
      </c>
      <c r="B1406" s="4" t="s">
        <v>22</v>
      </c>
      <c r="C1406" s="4" t="s">
        <v>23</v>
      </c>
      <c r="D1406" s="4" t="s">
        <v>24</v>
      </c>
      <c r="E1406" s="4" t="s">
        <v>30</v>
      </c>
      <c r="F1406" s="4" t="s">
        <v>25</v>
      </c>
      <c r="G1406" s="4" t="s">
        <v>25</v>
      </c>
      <c r="H1406" s="4" t="s">
        <v>25</v>
      </c>
      <c r="I1406" s="5">
        <v>44501</v>
      </c>
      <c r="J1406" s="6">
        <v>0</v>
      </c>
      <c r="K1406" s="6">
        <v>0</v>
      </c>
      <c r="L1406" s="6">
        <v>4.782</v>
      </c>
      <c r="M1406" s="6">
        <v>4.782</v>
      </c>
      <c r="N1406" s="6">
        <v>4.782</v>
      </c>
      <c r="O1406" s="6">
        <v>4.782</v>
      </c>
      <c r="P1406" s="6">
        <v>11</v>
      </c>
      <c r="Q1406" s="4" t="s">
        <v>26</v>
      </c>
      <c r="R1406" s="4">
        <v>0</v>
      </c>
      <c r="S1406" s="4" t="s">
        <v>536</v>
      </c>
      <c r="T1406" s="4" t="s">
        <v>800</v>
      </c>
      <c r="U1406" s="4">
        <v>0</v>
      </c>
      <c r="V1406" s="4">
        <v>43</v>
      </c>
      <c r="W1406" s="4">
        <v>86</v>
      </c>
    </row>
    <row r="1407" spans="1:23" ht="11.25" customHeight="1" x14ac:dyDescent="0.25">
      <c r="A1407" s="4" t="s">
        <v>21</v>
      </c>
      <c r="B1407" s="4" t="s">
        <v>22</v>
      </c>
      <c r="C1407" s="4" t="s">
        <v>23</v>
      </c>
      <c r="D1407" s="4" t="s">
        <v>24</v>
      </c>
      <c r="E1407" s="4" t="s">
        <v>30</v>
      </c>
      <c r="F1407" s="4" t="s">
        <v>25</v>
      </c>
      <c r="G1407" s="4" t="s">
        <v>25</v>
      </c>
      <c r="H1407" s="4" t="s">
        <v>25</v>
      </c>
      <c r="I1407" s="5">
        <v>44531</v>
      </c>
      <c r="J1407" s="6">
        <v>0</v>
      </c>
      <c r="K1407" s="6">
        <v>0</v>
      </c>
      <c r="L1407" s="6">
        <v>5031.3389999999999</v>
      </c>
      <c r="M1407" s="6">
        <v>5031.3389999999999</v>
      </c>
      <c r="N1407" s="6">
        <v>5031.3389999999999</v>
      </c>
      <c r="O1407" s="6">
        <v>5031.3389999999999</v>
      </c>
      <c r="P1407" s="6">
        <v>23910</v>
      </c>
      <c r="Q1407" s="4" t="s">
        <v>26</v>
      </c>
      <c r="R1407" s="4">
        <v>0</v>
      </c>
      <c r="S1407" s="4" t="s">
        <v>537</v>
      </c>
      <c r="T1407" s="4" t="s">
        <v>801</v>
      </c>
      <c r="U1407" s="4">
        <v>0</v>
      </c>
      <c r="V1407" s="4">
        <v>43</v>
      </c>
      <c r="W1407" s="4">
        <v>86</v>
      </c>
    </row>
    <row r="1408" spans="1:23" ht="11.25" customHeight="1" x14ac:dyDescent="0.25">
      <c r="A1408" s="4" t="s">
        <v>27</v>
      </c>
      <c r="B1408" s="4" t="s">
        <v>22</v>
      </c>
      <c r="C1408" s="4" t="s">
        <v>23</v>
      </c>
      <c r="D1408" s="4" t="s">
        <v>24</v>
      </c>
      <c r="E1408" s="4" t="s">
        <v>30</v>
      </c>
      <c r="F1408" s="4" t="s">
        <v>25</v>
      </c>
      <c r="G1408" s="4" t="s">
        <v>25</v>
      </c>
      <c r="H1408" s="4" t="s">
        <v>25</v>
      </c>
      <c r="I1408" s="5">
        <v>44531</v>
      </c>
      <c r="J1408" s="6">
        <v>0</v>
      </c>
      <c r="K1408" s="6">
        <v>0</v>
      </c>
      <c r="L1408" s="6">
        <v>-1.5660000000000001</v>
      </c>
      <c r="M1408" s="6">
        <v>-1.5660000000000001</v>
      </c>
      <c r="N1408" s="6">
        <v>-1.5660000000000001</v>
      </c>
      <c r="O1408" s="6">
        <v>-1.5660000000000001</v>
      </c>
      <c r="P1408" s="6">
        <v>-9</v>
      </c>
      <c r="Q1408" s="4" t="s">
        <v>26</v>
      </c>
      <c r="R1408" s="4">
        <v>0</v>
      </c>
      <c r="S1408" s="4" t="s">
        <v>537</v>
      </c>
      <c r="T1408" s="4" t="s">
        <v>801</v>
      </c>
      <c r="U1408" s="4">
        <v>0</v>
      </c>
      <c r="V1408" s="4">
        <v>43</v>
      </c>
      <c r="W1408" s="4">
        <v>86</v>
      </c>
    </row>
    <row r="1409" spans="1:23" ht="11.25" customHeight="1" x14ac:dyDescent="0.25">
      <c r="A1409" s="4" t="s">
        <v>28</v>
      </c>
      <c r="B1409" s="4" t="s">
        <v>22</v>
      </c>
      <c r="C1409" s="4" t="s">
        <v>23</v>
      </c>
      <c r="D1409" s="4" t="s">
        <v>24</v>
      </c>
      <c r="E1409" s="4" t="s">
        <v>30</v>
      </c>
      <c r="F1409" s="4" t="s">
        <v>25</v>
      </c>
      <c r="G1409" s="4" t="s">
        <v>25</v>
      </c>
      <c r="H1409" s="4" t="s">
        <v>25</v>
      </c>
      <c r="I1409" s="5">
        <v>44531</v>
      </c>
      <c r="J1409" s="6">
        <v>0</v>
      </c>
      <c r="K1409" s="6">
        <v>0</v>
      </c>
      <c r="L1409" s="6">
        <v>4.2110000000000003</v>
      </c>
      <c r="M1409" s="6">
        <v>4.2110000000000003</v>
      </c>
      <c r="N1409" s="6">
        <v>4.2110000000000003</v>
      </c>
      <c r="O1409" s="6">
        <v>4.2110000000000003</v>
      </c>
      <c r="P1409" s="6">
        <v>7</v>
      </c>
      <c r="Q1409" s="4" t="s">
        <v>26</v>
      </c>
      <c r="R1409" s="4">
        <v>0</v>
      </c>
      <c r="S1409" s="4" t="s">
        <v>537</v>
      </c>
      <c r="T1409" s="4" t="s">
        <v>801</v>
      </c>
      <c r="U1409" s="4">
        <v>0</v>
      </c>
      <c r="V1409" s="4">
        <v>43</v>
      </c>
      <c r="W1409" s="4">
        <v>86</v>
      </c>
    </row>
    <row r="1410" spans="1:23" ht="11.25" customHeight="1" x14ac:dyDescent="0.25">
      <c r="A1410" s="4" t="s">
        <v>21</v>
      </c>
      <c r="B1410" s="4" t="s">
        <v>22</v>
      </c>
      <c r="C1410" s="4" t="s">
        <v>23</v>
      </c>
      <c r="D1410" s="4" t="s">
        <v>24</v>
      </c>
      <c r="E1410" s="4" t="s">
        <v>30</v>
      </c>
      <c r="F1410" s="4" t="s">
        <v>25</v>
      </c>
      <c r="G1410" s="4" t="s">
        <v>25</v>
      </c>
      <c r="H1410" s="4" t="s">
        <v>25</v>
      </c>
      <c r="I1410" s="5">
        <v>44562</v>
      </c>
      <c r="J1410" s="6">
        <v>0</v>
      </c>
      <c r="K1410" s="6">
        <v>0</v>
      </c>
      <c r="L1410" s="6">
        <v>5165.143</v>
      </c>
      <c r="M1410" s="6">
        <v>5165.143</v>
      </c>
      <c r="N1410" s="6">
        <v>5165.143</v>
      </c>
      <c r="O1410" s="6">
        <v>5165.143</v>
      </c>
      <c r="P1410" s="6">
        <v>26001</v>
      </c>
      <c r="Q1410" s="4" t="s">
        <v>26</v>
      </c>
      <c r="R1410" s="4">
        <v>0</v>
      </c>
      <c r="S1410" s="4" t="s">
        <v>538</v>
      </c>
      <c r="T1410" s="4" t="s">
        <v>802</v>
      </c>
      <c r="U1410" s="4">
        <v>0</v>
      </c>
      <c r="V1410" s="4">
        <v>43</v>
      </c>
      <c r="W1410" s="4">
        <v>86</v>
      </c>
    </row>
    <row r="1411" spans="1:23" ht="11.25" customHeight="1" x14ac:dyDescent="0.25">
      <c r="A1411" s="4" t="s">
        <v>27</v>
      </c>
      <c r="B1411" s="4" t="s">
        <v>22</v>
      </c>
      <c r="C1411" s="4" t="s">
        <v>23</v>
      </c>
      <c r="D1411" s="4" t="s">
        <v>24</v>
      </c>
      <c r="E1411" s="4" t="s">
        <v>30</v>
      </c>
      <c r="F1411" s="4" t="s">
        <v>25</v>
      </c>
      <c r="G1411" s="4" t="s">
        <v>25</v>
      </c>
      <c r="H1411" s="4" t="s">
        <v>25</v>
      </c>
      <c r="I1411" s="5">
        <v>44562</v>
      </c>
      <c r="J1411" s="6">
        <v>0</v>
      </c>
      <c r="K1411" s="6">
        <v>0</v>
      </c>
      <c r="L1411" s="6">
        <v>-0.629</v>
      </c>
      <c r="M1411" s="6">
        <v>-0.629</v>
      </c>
      <c r="N1411" s="6">
        <v>-0.629</v>
      </c>
      <c r="O1411" s="6">
        <v>-0.629</v>
      </c>
      <c r="P1411" s="6">
        <v>-1</v>
      </c>
      <c r="Q1411" s="4" t="s">
        <v>26</v>
      </c>
      <c r="R1411" s="4">
        <v>0</v>
      </c>
      <c r="S1411" s="4" t="s">
        <v>538</v>
      </c>
      <c r="T1411" s="4" t="s">
        <v>802</v>
      </c>
      <c r="U1411" s="4">
        <v>0</v>
      </c>
      <c r="V1411" s="4">
        <v>43</v>
      </c>
      <c r="W1411" s="4">
        <v>86</v>
      </c>
    </row>
    <row r="1412" spans="1:23" ht="11.25" customHeight="1" x14ac:dyDescent="0.25">
      <c r="A1412" s="4" t="s">
        <v>28</v>
      </c>
      <c r="B1412" s="4" t="s">
        <v>22</v>
      </c>
      <c r="C1412" s="4" t="s">
        <v>23</v>
      </c>
      <c r="D1412" s="4" t="s">
        <v>24</v>
      </c>
      <c r="E1412" s="4" t="s">
        <v>30</v>
      </c>
      <c r="F1412" s="4" t="s">
        <v>25</v>
      </c>
      <c r="G1412" s="4" t="s">
        <v>25</v>
      </c>
      <c r="H1412" s="4" t="s">
        <v>25</v>
      </c>
      <c r="I1412" s="5">
        <v>44562</v>
      </c>
      <c r="J1412" s="6">
        <v>0</v>
      </c>
      <c r="K1412" s="6">
        <v>0</v>
      </c>
      <c r="L1412" s="6">
        <v>5.484</v>
      </c>
      <c r="M1412" s="6">
        <v>5.484</v>
      </c>
      <c r="N1412" s="6">
        <v>5.484</v>
      </c>
      <c r="O1412" s="6">
        <v>5.484</v>
      </c>
      <c r="P1412" s="6">
        <v>12</v>
      </c>
      <c r="Q1412" s="4" t="s">
        <v>26</v>
      </c>
      <c r="R1412" s="4">
        <v>0</v>
      </c>
      <c r="S1412" s="4" t="s">
        <v>538</v>
      </c>
      <c r="T1412" s="4" t="s">
        <v>802</v>
      </c>
      <c r="U1412" s="4">
        <v>0</v>
      </c>
      <c r="V1412" s="4">
        <v>43</v>
      </c>
      <c r="W1412" s="4">
        <v>86</v>
      </c>
    </row>
    <row r="1413" spans="1:23" ht="11.25" customHeight="1" x14ac:dyDescent="0.25">
      <c r="A1413" s="4" t="s">
        <v>21</v>
      </c>
      <c r="B1413" s="4" t="s">
        <v>22</v>
      </c>
      <c r="C1413" s="4" t="s">
        <v>23</v>
      </c>
      <c r="D1413" s="4" t="s">
        <v>24</v>
      </c>
      <c r="E1413" s="4" t="s">
        <v>30</v>
      </c>
      <c r="F1413" s="4" t="s">
        <v>25</v>
      </c>
      <c r="G1413" s="4" t="s">
        <v>25</v>
      </c>
      <c r="H1413" s="4" t="s">
        <v>25</v>
      </c>
      <c r="I1413" s="5">
        <v>44593</v>
      </c>
      <c r="J1413" s="6">
        <v>0</v>
      </c>
      <c r="K1413" s="6">
        <v>0</v>
      </c>
      <c r="L1413" s="6">
        <v>5405.2929999999997</v>
      </c>
      <c r="M1413" s="6">
        <v>5405.2929999999997</v>
      </c>
      <c r="N1413" s="6">
        <v>5405.2929999999997</v>
      </c>
      <c r="O1413" s="6">
        <v>5405.2929999999997</v>
      </c>
      <c r="P1413" s="6">
        <v>32715</v>
      </c>
      <c r="Q1413" s="4" t="s">
        <v>26</v>
      </c>
      <c r="R1413" s="4">
        <v>0</v>
      </c>
      <c r="S1413" s="4" t="s">
        <v>539</v>
      </c>
      <c r="T1413" s="4" t="s">
        <v>803</v>
      </c>
      <c r="U1413" s="4">
        <v>0</v>
      </c>
      <c r="V1413" s="4">
        <v>43</v>
      </c>
      <c r="W1413" s="4">
        <v>86</v>
      </c>
    </row>
    <row r="1414" spans="1:23" ht="11.25" customHeight="1" x14ac:dyDescent="0.25">
      <c r="A1414" s="4" t="s">
        <v>27</v>
      </c>
      <c r="B1414" s="4" t="s">
        <v>22</v>
      </c>
      <c r="C1414" s="4" t="s">
        <v>23</v>
      </c>
      <c r="D1414" s="4" t="s">
        <v>24</v>
      </c>
      <c r="E1414" s="4" t="s">
        <v>30</v>
      </c>
      <c r="F1414" s="4" t="s">
        <v>25</v>
      </c>
      <c r="G1414" s="4" t="s">
        <v>25</v>
      </c>
      <c r="H1414" s="4" t="s">
        <v>25</v>
      </c>
      <c r="I1414" s="5">
        <v>44593</v>
      </c>
      <c r="J1414" s="6">
        <v>0</v>
      </c>
      <c r="K1414" s="6">
        <v>0</v>
      </c>
      <c r="L1414" s="6">
        <v>-3.387</v>
      </c>
      <c r="M1414" s="6">
        <v>-3.387</v>
      </c>
      <c r="N1414" s="6">
        <v>-3.387</v>
      </c>
      <c r="O1414" s="6">
        <v>-3.387</v>
      </c>
      <c r="P1414" s="6">
        <v>-17</v>
      </c>
      <c r="Q1414" s="4" t="s">
        <v>26</v>
      </c>
      <c r="R1414" s="4">
        <v>0</v>
      </c>
      <c r="S1414" s="4" t="s">
        <v>539</v>
      </c>
      <c r="T1414" s="4" t="s">
        <v>803</v>
      </c>
      <c r="U1414" s="4">
        <v>0</v>
      </c>
      <c r="V1414" s="4">
        <v>43</v>
      </c>
      <c r="W1414" s="4">
        <v>86</v>
      </c>
    </row>
    <row r="1415" spans="1:23" ht="11.25" customHeight="1" x14ac:dyDescent="0.25">
      <c r="A1415" s="4" t="s">
        <v>28</v>
      </c>
      <c r="B1415" s="4" t="s">
        <v>22</v>
      </c>
      <c r="C1415" s="4" t="s">
        <v>23</v>
      </c>
      <c r="D1415" s="4" t="s">
        <v>24</v>
      </c>
      <c r="E1415" s="4" t="s">
        <v>30</v>
      </c>
      <c r="F1415" s="4" t="s">
        <v>25</v>
      </c>
      <c r="G1415" s="4" t="s">
        <v>25</v>
      </c>
      <c r="H1415" s="4" t="s">
        <v>25</v>
      </c>
      <c r="I1415" s="5">
        <v>44593</v>
      </c>
      <c r="J1415" s="6">
        <v>0</v>
      </c>
      <c r="K1415" s="6">
        <v>0</v>
      </c>
      <c r="L1415" s="6">
        <v>5.9039999999999999</v>
      </c>
      <c r="M1415" s="6">
        <v>5.9039999999999999</v>
      </c>
      <c r="N1415" s="6">
        <v>5.9039999999999999</v>
      </c>
      <c r="O1415" s="6">
        <v>5.9039999999999999</v>
      </c>
      <c r="P1415" s="6">
        <v>17</v>
      </c>
      <c r="Q1415" s="4" t="s">
        <v>26</v>
      </c>
      <c r="R1415" s="4">
        <v>0</v>
      </c>
      <c r="S1415" s="4" t="s">
        <v>539</v>
      </c>
      <c r="T1415" s="4" t="s">
        <v>803</v>
      </c>
      <c r="U1415" s="4">
        <v>0</v>
      </c>
      <c r="V1415" s="4">
        <v>43</v>
      </c>
      <c r="W1415" s="4">
        <v>86</v>
      </c>
    </row>
    <row r="1416" spans="1:23" ht="11.25" customHeight="1" x14ac:dyDescent="0.25">
      <c r="A1416" s="4" t="s">
        <v>28</v>
      </c>
      <c r="B1416" s="4" t="s">
        <v>22</v>
      </c>
      <c r="C1416" s="4" t="s">
        <v>23</v>
      </c>
      <c r="D1416" s="4" t="s">
        <v>24</v>
      </c>
      <c r="E1416" s="4" t="s">
        <v>30</v>
      </c>
      <c r="F1416" s="4" t="s">
        <v>25</v>
      </c>
      <c r="G1416" s="4" t="s">
        <v>25</v>
      </c>
      <c r="H1416" s="4" t="s">
        <v>25</v>
      </c>
      <c r="I1416" s="5">
        <v>44593</v>
      </c>
      <c r="J1416" s="6">
        <v>0</v>
      </c>
      <c r="K1416" s="6">
        <v>0</v>
      </c>
      <c r="L1416" s="6">
        <v>-0.02</v>
      </c>
      <c r="M1416" s="6">
        <v>-0.02</v>
      </c>
      <c r="N1416" s="6">
        <v>-0.02</v>
      </c>
      <c r="O1416" s="6">
        <v>-0.02</v>
      </c>
      <c r="P1416" s="6">
        <v>0</v>
      </c>
      <c r="Q1416" s="4" t="s">
        <v>26</v>
      </c>
      <c r="R1416" s="4">
        <v>0</v>
      </c>
      <c r="S1416" s="4" t="s">
        <v>539</v>
      </c>
      <c r="T1416" s="4" t="s">
        <v>803</v>
      </c>
      <c r="U1416" s="4">
        <v>0</v>
      </c>
      <c r="V1416" s="4">
        <v>43</v>
      </c>
      <c r="W1416" s="4">
        <v>86</v>
      </c>
    </row>
    <row r="1417" spans="1:23" ht="11.25" customHeight="1" x14ac:dyDescent="0.25">
      <c r="A1417" s="4" t="s">
        <v>21</v>
      </c>
      <c r="B1417" s="4" t="s">
        <v>22</v>
      </c>
      <c r="C1417" s="4" t="s">
        <v>23</v>
      </c>
      <c r="D1417" s="4" t="s">
        <v>24</v>
      </c>
      <c r="E1417" s="4" t="s">
        <v>30</v>
      </c>
      <c r="F1417" s="4" t="s">
        <v>25</v>
      </c>
      <c r="G1417" s="4" t="s">
        <v>25</v>
      </c>
      <c r="H1417" s="4" t="s">
        <v>25</v>
      </c>
      <c r="I1417" s="5">
        <v>44621</v>
      </c>
      <c r="J1417" s="6">
        <v>0</v>
      </c>
      <c r="K1417" s="6">
        <v>0</v>
      </c>
      <c r="L1417" s="6">
        <v>5734.58</v>
      </c>
      <c r="M1417" s="6">
        <v>5734.58</v>
      </c>
      <c r="N1417" s="6">
        <v>5734.58</v>
      </c>
      <c r="O1417" s="6">
        <v>5734.58</v>
      </c>
      <c r="P1417" s="6">
        <v>27892</v>
      </c>
      <c r="Q1417" s="4" t="s">
        <v>26</v>
      </c>
      <c r="R1417" s="4">
        <v>0</v>
      </c>
      <c r="S1417" s="4" t="s">
        <v>540</v>
      </c>
      <c r="T1417" s="4" t="s">
        <v>804</v>
      </c>
      <c r="U1417" s="4">
        <v>0</v>
      </c>
      <c r="V1417" s="4">
        <v>43</v>
      </c>
      <c r="W1417" s="4">
        <v>86</v>
      </c>
    </row>
    <row r="1418" spans="1:23" ht="11.25" customHeight="1" x14ac:dyDescent="0.25">
      <c r="A1418" s="4" t="s">
        <v>27</v>
      </c>
      <c r="B1418" s="4" t="s">
        <v>22</v>
      </c>
      <c r="C1418" s="4" t="s">
        <v>23</v>
      </c>
      <c r="D1418" s="4" t="s">
        <v>24</v>
      </c>
      <c r="E1418" s="4" t="s">
        <v>30</v>
      </c>
      <c r="F1418" s="4" t="s">
        <v>25</v>
      </c>
      <c r="G1418" s="4" t="s">
        <v>25</v>
      </c>
      <c r="H1418" s="4" t="s">
        <v>25</v>
      </c>
      <c r="I1418" s="5">
        <v>44621</v>
      </c>
      <c r="J1418" s="6">
        <v>0</v>
      </c>
      <c r="K1418" s="6">
        <v>0</v>
      </c>
      <c r="L1418" s="6">
        <v>-0.98899999999999999</v>
      </c>
      <c r="M1418" s="6">
        <v>-0.98899999999999999</v>
      </c>
      <c r="N1418" s="6">
        <v>-0.98899999999999999</v>
      </c>
      <c r="O1418" s="6">
        <v>-0.98899999999999999</v>
      </c>
      <c r="P1418" s="6">
        <v>-2</v>
      </c>
      <c r="Q1418" s="4" t="s">
        <v>26</v>
      </c>
      <c r="R1418" s="4">
        <v>0</v>
      </c>
      <c r="S1418" s="4" t="s">
        <v>540</v>
      </c>
      <c r="T1418" s="4" t="s">
        <v>804</v>
      </c>
      <c r="U1418" s="4">
        <v>0</v>
      </c>
      <c r="V1418" s="4">
        <v>43</v>
      </c>
      <c r="W1418" s="4">
        <v>86</v>
      </c>
    </row>
    <row r="1419" spans="1:23" ht="11.25" customHeight="1" x14ac:dyDescent="0.25">
      <c r="A1419" s="4" t="s">
        <v>28</v>
      </c>
      <c r="B1419" s="4" t="s">
        <v>22</v>
      </c>
      <c r="C1419" s="4" t="s">
        <v>23</v>
      </c>
      <c r="D1419" s="4" t="s">
        <v>24</v>
      </c>
      <c r="E1419" s="4" t="s">
        <v>30</v>
      </c>
      <c r="F1419" s="4" t="s">
        <v>25</v>
      </c>
      <c r="G1419" s="4" t="s">
        <v>25</v>
      </c>
      <c r="H1419" s="4" t="s">
        <v>25</v>
      </c>
      <c r="I1419" s="5">
        <v>44621</v>
      </c>
      <c r="J1419" s="6">
        <v>0</v>
      </c>
      <c r="K1419" s="6">
        <v>0</v>
      </c>
      <c r="L1419" s="6">
        <v>7.0460000000000003</v>
      </c>
      <c r="M1419" s="6">
        <v>7.0460000000000003</v>
      </c>
      <c r="N1419" s="6">
        <v>7.0460000000000003</v>
      </c>
      <c r="O1419" s="6">
        <v>7.0460000000000003</v>
      </c>
      <c r="P1419" s="6">
        <v>15</v>
      </c>
      <c r="Q1419" s="4" t="s">
        <v>26</v>
      </c>
      <c r="R1419" s="4">
        <v>0</v>
      </c>
      <c r="S1419" s="4" t="s">
        <v>540</v>
      </c>
      <c r="T1419" s="4" t="s">
        <v>804</v>
      </c>
      <c r="U1419" s="4">
        <v>0</v>
      </c>
      <c r="V1419" s="4">
        <v>43</v>
      </c>
      <c r="W1419" s="4">
        <v>86</v>
      </c>
    </row>
    <row r="1420" spans="1:23" ht="11.25" customHeight="1" x14ac:dyDescent="0.25">
      <c r="A1420" s="4" t="s">
        <v>28</v>
      </c>
      <c r="B1420" s="4" t="s">
        <v>22</v>
      </c>
      <c r="C1420" s="4" t="s">
        <v>23</v>
      </c>
      <c r="D1420" s="4" t="s">
        <v>24</v>
      </c>
      <c r="E1420" s="4" t="s">
        <v>30</v>
      </c>
      <c r="F1420" s="4" t="s">
        <v>25</v>
      </c>
      <c r="G1420" s="4" t="s">
        <v>25</v>
      </c>
      <c r="H1420" s="4" t="s">
        <v>25</v>
      </c>
      <c r="I1420" s="5">
        <v>44621</v>
      </c>
      <c r="J1420" s="6">
        <v>0</v>
      </c>
      <c r="K1420" s="6">
        <v>0</v>
      </c>
      <c r="L1420" s="6">
        <v>-7.0000000000000007E-2</v>
      </c>
      <c r="M1420" s="6">
        <v>-7.0000000000000007E-2</v>
      </c>
      <c r="N1420" s="6">
        <v>-7.0000000000000007E-2</v>
      </c>
      <c r="O1420" s="6">
        <v>-7.0000000000000007E-2</v>
      </c>
      <c r="P1420" s="6">
        <v>0</v>
      </c>
      <c r="Q1420" s="4" t="s">
        <v>26</v>
      </c>
      <c r="R1420" s="4">
        <v>0</v>
      </c>
      <c r="S1420" s="4" t="s">
        <v>540</v>
      </c>
      <c r="T1420" s="4" t="s">
        <v>804</v>
      </c>
      <c r="U1420" s="4">
        <v>0</v>
      </c>
      <c r="V1420" s="4">
        <v>43</v>
      </c>
      <c r="W1420" s="4">
        <v>86</v>
      </c>
    </row>
    <row r="1421" spans="1:23" ht="11.25" customHeight="1" x14ac:dyDescent="0.25">
      <c r="A1421" s="4" t="s">
        <v>21</v>
      </c>
      <c r="B1421" s="4" t="s">
        <v>22</v>
      </c>
      <c r="C1421" s="4" t="s">
        <v>23</v>
      </c>
      <c r="D1421" s="4" t="s">
        <v>24</v>
      </c>
      <c r="E1421" s="4" t="s">
        <v>30</v>
      </c>
      <c r="F1421" s="4" t="s">
        <v>25</v>
      </c>
      <c r="G1421" s="4" t="s">
        <v>25</v>
      </c>
      <c r="H1421" s="4" t="s">
        <v>25</v>
      </c>
      <c r="I1421" s="5">
        <v>44652</v>
      </c>
      <c r="J1421" s="6">
        <v>0</v>
      </c>
      <c r="K1421" s="6">
        <v>0</v>
      </c>
      <c r="L1421" s="6">
        <v>5716.9080000000004</v>
      </c>
      <c r="M1421" s="6">
        <v>5716.9080000000004</v>
      </c>
      <c r="N1421" s="6">
        <v>5716.9080000000004</v>
      </c>
      <c r="O1421" s="6">
        <v>5716.9080000000004</v>
      </c>
      <c r="P1421" s="6">
        <v>31306</v>
      </c>
      <c r="Q1421" s="4" t="s">
        <v>26</v>
      </c>
      <c r="R1421" s="4">
        <v>0</v>
      </c>
      <c r="S1421" s="4" t="s">
        <v>541</v>
      </c>
      <c r="T1421" s="4" t="s">
        <v>805</v>
      </c>
      <c r="U1421" s="4">
        <v>0</v>
      </c>
      <c r="V1421" s="4">
        <v>43</v>
      </c>
      <c r="W1421" s="4">
        <v>86</v>
      </c>
    </row>
    <row r="1422" spans="1:23" ht="11.25" customHeight="1" x14ac:dyDescent="0.25">
      <c r="A1422" s="4" t="s">
        <v>27</v>
      </c>
      <c r="B1422" s="4" t="s">
        <v>22</v>
      </c>
      <c r="C1422" s="4" t="s">
        <v>23</v>
      </c>
      <c r="D1422" s="4" t="s">
        <v>24</v>
      </c>
      <c r="E1422" s="4" t="s">
        <v>30</v>
      </c>
      <c r="F1422" s="4" t="s">
        <v>25</v>
      </c>
      <c r="G1422" s="4" t="s">
        <v>25</v>
      </c>
      <c r="H1422" s="4" t="s">
        <v>25</v>
      </c>
      <c r="I1422" s="5">
        <v>44652</v>
      </c>
      <c r="J1422" s="6">
        <v>0</v>
      </c>
      <c r="K1422" s="6">
        <v>0</v>
      </c>
      <c r="L1422" s="6">
        <v>-1.19</v>
      </c>
      <c r="M1422" s="6">
        <v>-1.19</v>
      </c>
      <c r="N1422" s="6">
        <v>-1.19</v>
      </c>
      <c r="O1422" s="6">
        <v>-1.19</v>
      </c>
      <c r="P1422" s="6">
        <v>-1</v>
      </c>
      <c r="Q1422" s="4" t="s">
        <v>26</v>
      </c>
      <c r="R1422" s="4">
        <v>0</v>
      </c>
      <c r="S1422" s="4" t="s">
        <v>541</v>
      </c>
      <c r="T1422" s="4" t="s">
        <v>805</v>
      </c>
      <c r="U1422" s="4">
        <v>0</v>
      </c>
      <c r="V1422" s="4">
        <v>43</v>
      </c>
      <c r="W1422" s="4">
        <v>86</v>
      </c>
    </row>
    <row r="1423" spans="1:23" ht="11.25" customHeight="1" x14ac:dyDescent="0.25">
      <c r="A1423" s="4" t="s">
        <v>28</v>
      </c>
      <c r="B1423" s="4" t="s">
        <v>22</v>
      </c>
      <c r="C1423" s="4" t="s">
        <v>23</v>
      </c>
      <c r="D1423" s="4" t="s">
        <v>24</v>
      </c>
      <c r="E1423" s="4" t="s">
        <v>30</v>
      </c>
      <c r="F1423" s="4" t="s">
        <v>25</v>
      </c>
      <c r="G1423" s="4" t="s">
        <v>25</v>
      </c>
      <c r="H1423" s="4" t="s">
        <v>25</v>
      </c>
      <c r="I1423" s="5">
        <v>44652</v>
      </c>
      <c r="J1423" s="6">
        <v>0</v>
      </c>
      <c r="K1423" s="6">
        <v>0</v>
      </c>
      <c r="L1423" s="6">
        <v>7.681</v>
      </c>
      <c r="M1423" s="6">
        <v>7.681</v>
      </c>
      <c r="N1423" s="6">
        <v>7.681</v>
      </c>
      <c r="O1423" s="6">
        <v>7.681</v>
      </c>
      <c r="P1423" s="6">
        <v>15</v>
      </c>
      <c r="Q1423" s="4" t="s">
        <v>26</v>
      </c>
      <c r="R1423" s="4">
        <v>0</v>
      </c>
      <c r="S1423" s="4" t="s">
        <v>541</v>
      </c>
      <c r="T1423" s="4" t="s">
        <v>805</v>
      </c>
      <c r="U1423" s="4">
        <v>0</v>
      </c>
      <c r="V1423" s="4">
        <v>43</v>
      </c>
      <c r="W1423" s="4">
        <v>86</v>
      </c>
    </row>
    <row r="1424" spans="1:23" ht="11.25" customHeight="1" x14ac:dyDescent="0.25">
      <c r="A1424" s="4" t="s">
        <v>58</v>
      </c>
      <c r="B1424" s="4" t="s">
        <v>22</v>
      </c>
      <c r="C1424" s="4" t="s">
        <v>23</v>
      </c>
      <c r="D1424" s="4" t="s">
        <v>24</v>
      </c>
      <c r="E1424" s="4" t="s">
        <v>30</v>
      </c>
      <c r="F1424" s="4" t="s">
        <v>25</v>
      </c>
      <c r="G1424" s="4" t="s">
        <v>25</v>
      </c>
      <c r="H1424" s="4" t="s">
        <v>25</v>
      </c>
      <c r="I1424" s="5">
        <v>44682</v>
      </c>
      <c r="J1424" s="6">
        <v>0</v>
      </c>
      <c r="K1424" s="6">
        <v>0</v>
      </c>
      <c r="L1424" s="6">
        <v>5716.9080000000004</v>
      </c>
      <c r="M1424" s="6">
        <v>5716.9080000000004</v>
      </c>
      <c r="N1424" s="6">
        <v>5716.9080000000004</v>
      </c>
      <c r="O1424" s="6">
        <v>5716.9080000000004</v>
      </c>
      <c r="P1424" s="6">
        <v>31306</v>
      </c>
      <c r="Q1424" s="4" t="s">
        <v>26</v>
      </c>
      <c r="R1424" s="4">
        <v>0</v>
      </c>
      <c r="S1424" s="4" t="s">
        <v>542</v>
      </c>
      <c r="T1424" s="4" t="s">
        <v>806</v>
      </c>
      <c r="U1424" s="4">
        <v>0</v>
      </c>
      <c r="V1424" s="4">
        <v>43</v>
      </c>
      <c r="W1424" s="4">
        <v>86</v>
      </c>
    </row>
    <row r="1425" spans="1:23" ht="11.25" customHeight="1" x14ac:dyDescent="0.25">
      <c r="A1425" s="4" t="s">
        <v>58</v>
      </c>
      <c r="B1425" s="4" t="s">
        <v>22</v>
      </c>
      <c r="C1425" s="4" t="s">
        <v>23</v>
      </c>
      <c r="D1425" s="4" t="s">
        <v>24</v>
      </c>
      <c r="E1425" s="4" t="s">
        <v>30</v>
      </c>
      <c r="F1425" s="4" t="s">
        <v>25</v>
      </c>
      <c r="G1425" s="4" t="s">
        <v>25</v>
      </c>
      <c r="H1425" s="4" t="s">
        <v>25</v>
      </c>
      <c r="I1425" s="5">
        <v>44682</v>
      </c>
      <c r="J1425" s="6">
        <v>0</v>
      </c>
      <c r="K1425" s="6">
        <v>0</v>
      </c>
      <c r="L1425" s="6">
        <v>-1.19</v>
      </c>
      <c r="M1425" s="6">
        <v>-1.19</v>
      </c>
      <c r="N1425" s="6">
        <v>-1.19</v>
      </c>
      <c r="O1425" s="6">
        <v>-1.19</v>
      </c>
      <c r="P1425" s="6">
        <v>-1</v>
      </c>
      <c r="Q1425" s="4" t="s">
        <v>26</v>
      </c>
      <c r="R1425" s="4">
        <v>0</v>
      </c>
      <c r="S1425" s="4" t="s">
        <v>542</v>
      </c>
      <c r="T1425" s="4" t="s">
        <v>806</v>
      </c>
      <c r="U1425" s="4">
        <v>0</v>
      </c>
      <c r="V1425" s="4">
        <v>43</v>
      </c>
      <c r="W1425" s="4">
        <v>86</v>
      </c>
    </row>
    <row r="1426" spans="1:23" ht="11.25" customHeight="1" x14ac:dyDescent="0.25">
      <c r="A1426" s="4" t="s">
        <v>58</v>
      </c>
      <c r="B1426" s="4" t="s">
        <v>22</v>
      </c>
      <c r="C1426" s="4" t="s">
        <v>23</v>
      </c>
      <c r="D1426" s="4" t="s">
        <v>24</v>
      </c>
      <c r="E1426" s="4" t="s">
        <v>30</v>
      </c>
      <c r="F1426" s="4" t="s">
        <v>25</v>
      </c>
      <c r="G1426" s="4" t="s">
        <v>25</v>
      </c>
      <c r="H1426" s="4" t="s">
        <v>25</v>
      </c>
      <c r="I1426" s="5">
        <v>44682</v>
      </c>
      <c r="J1426" s="6">
        <v>0</v>
      </c>
      <c r="K1426" s="6">
        <v>0</v>
      </c>
      <c r="L1426" s="6">
        <v>7.681</v>
      </c>
      <c r="M1426" s="6">
        <v>7.681</v>
      </c>
      <c r="N1426" s="6">
        <v>7.681</v>
      </c>
      <c r="O1426" s="6">
        <v>7.681</v>
      </c>
      <c r="P1426" s="6">
        <v>15</v>
      </c>
      <c r="Q1426" s="4" t="s">
        <v>26</v>
      </c>
      <c r="R1426" s="4">
        <v>0</v>
      </c>
      <c r="S1426" s="4" t="s">
        <v>542</v>
      </c>
      <c r="T1426" s="4" t="s">
        <v>806</v>
      </c>
      <c r="U1426" s="4">
        <v>0</v>
      </c>
      <c r="V1426" s="4">
        <v>43</v>
      </c>
      <c r="W1426" s="4">
        <v>86</v>
      </c>
    </row>
    <row r="1427" spans="1:23" ht="11.25" customHeight="1" x14ac:dyDescent="0.25">
      <c r="A1427" s="4" t="s">
        <v>21</v>
      </c>
      <c r="B1427" s="4" t="s">
        <v>22</v>
      </c>
      <c r="C1427" s="4" t="s">
        <v>23</v>
      </c>
      <c r="D1427" s="4" t="s">
        <v>24</v>
      </c>
      <c r="E1427" s="4" t="s">
        <v>31</v>
      </c>
      <c r="F1427" s="4" t="s">
        <v>25</v>
      </c>
      <c r="G1427" s="4" t="s">
        <v>25</v>
      </c>
      <c r="H1427" s="4" t="s">
        <v>25</v>
      </c>
      <c r="I1427" s="5">
        <v>44348</v>
      </c>
      <c r="J1427" s="6">
        <v>0</v>
      </c>
      <c r="K1427" s="6">
        <v>0</v>
      </c>
      <c r="L1427" s="6">
        <v>2711.098</v>
      </c>
      <c r="M1427" s="6">
        <v>2711.098</v>
      </c>
      <c r="N1427" s="6">
        <v>2711.098</v>
      </c>
      <c r="O1427" s="6">
        <v>2711.098</v>
      </c>
      <c r="P1427" s="6">
        <v>42605</v>
      </c>
      <c r="Q1427" s="4" t="s">
        <v>26</v>
      </c>
      <c r="R1427" s="4">
        <v>0</v>
      </c>
      <c r="S1427" s="4" t="s">
        <v>543</v>
      </c>
      <c r="T1427" s="4" t="s">
        <v>807</v>
      </c>
      <c r="U1427" s="4">
        <v>0</v>
      </c>
      <c r="V1427" s="4">
        <v>44</v>
      </c>
      <c r="W1427" s="4">
        <v>87</v>
      </c>
    </row>
    <row r="1428" spans="1:23" ht="11.25" customHeight="1" x14ac:dyDescent="0.25">
      <c r="A1428" s="4" t="s">
        <v>27</v>
      </c>
      <c r="B1428" s="4" t="s">
        <v>22</v>
      </c>
      <c r="C1428" s="4" t="s">
        <v>23</v>
      </c>
      <c r="D1428" s="4" t="s">
        <v>24</v>
      </c>
      <c r="E1428" s="4" t="s">
        <v>31</v>
      </c>
      <c r="F1428" s="4" t="s">
        <v>25</v>
      </c>
      <c r="G1428" s="4" t="s">
        <v>25</v>
      </c>
      <c r="H1428" s="4" t="s">
        <v>25</v>
      </c>
      <c r="I1428" s="5">
        <v>44348</v>
      </c>
      <c r="J1428" s="6">
        <v>0</v>
      </c>
      <c r="K1428" s="6">
        <v>0</v>
      </c>
      <c r="L1428" s="6">
        <v>-0.65300000000000002</v>
      </c>
      <c r="M1428" s="6">
        <v>-0.65300000000000002</v>
      </c>
      <c r="N1428" s="6">
        <v>-0.65300000000000002</v>
      </c>
      <c r="O1428" s="6">
        <v>-0.65300000000000002</v>
      </c>
      <c r="P1428" s="6">
        <v>-10</v>
      </c>
      <c r="Q1428" s="4" t="s">
        <v>26</v>
      </c>
      <c r="R1428" s="4">
        <v>0</v>
      </c>
      <c r="S1428" s="4" t="s">
        <v>543</v>
      </c>
      <c r="T1428" s="4" t="s">
        <v>807</v>
      </c>
      <c r="U1428" s="4">
        <v>0</v>
      </c>
      <c r="V1428" s="4">
        <v>44</v>
      </c>
      <c r="W1428" s="4">
        <v>87</v>
      </c>
    </row>
    <row r="1429" spans="1:23" ht="11.25" customHeight="1" x14ac:dyDescent="0.25">
      <c r="A1429" s="4" t="s">
        <v>28</v>
      </c>
      <c r="B1429" s="4" t="s">
        <v>22</v>
      </c>
      <c r="C1429" s="4" t="s">
        <v>23</v>
      </c>
      <c r="D1429" s="4" t="s">
        <v>24</v>
      </c>
      <c r="E1429" s="4" t="s">
        <v>31</v>
      </c>
      <c r="F1429" s="4" t="s">
        <v>25</v>
      </c>
      <c r="G1429" s="4" t="s">
        <v>25</v>
      </c>
      <c r="H1429" s="4" t="s">
        <v>25</v>
      </c>
      <c r="I1429" s="5">
        <v>44348</v>
      </c>
      <c r="J1429" s="6">
        <v>0</v>
      </c>
      <c r="K1429" s="6">
        <v>0</v>
      </c>
      <c r="L1429" s="6">
        <v>2.3570000000000002</v>
      </c>
      <c r="M1429" s="6">
        <v>2.3570000000000002</v>
      </c>
      <c r="N1429" s="6">
        <v>2.3570000000000002</v>
      </c>
      <c r="O1429" s="6">
        <v>2.3570000000000002</v>
      </c>
      <c r="P1429" s="6">
        <v>36</v>
      </c>
      <c r="Q1429" s="4" t="s">
        <v>26</v>
      </c>
      <c r="R1429" s="4">
        <v>0</v>
      </c>
      <c r="S1429" s="4" t="s">
        <v>543</v>
      </c>
      <c r="T1429" s="4" t="s">
        <v>807</v>
      </c>
      <c r="U1429" s="4">
        <v>0</v>
      </c>
      <c r="V1429" s="4">
        <v>44</v>
      </c>
      <c r="W1429" s="4">
        <v>87</v>
      </c>
    </row>
    <row r="1430" spans="1:23" ht="11.25" customHeight="1" x14ac:dyDescent="0.25">
      <c r="A1430" s="4" t="s">
        <v>21</v>
      </c>
      <c r="B1430" s="4" t="s">
        <v>22</v>
      </c>
      <c r="C1430" s="4" t="s">
        <v>23</v>
      </c>
      <c r="D1430" s="4" t="s">
        <v>24</v>
      </c>
      <c r="E1430" s="4" t="s">
        <v>31</v>
      </c>
      <c r="F1430" s="4" t="s">
        <v>25</v>
      </c>
      <c r="G1430" s="4" t="s">
        <v>25</v>
      </c>
      <c r="H1430" s="4" t="s">
        <v>25</v>
      </c>
      <c r="I1430" s="5">
        <v>44378</v>
      </c>
      <c r="J1430" s="6">
        <v>0</v>
      </c>
      <c r="K1430" s="6">
        <v>0</v>
      </c>
      <c r="L1430" s="6">
        <v>2669.2820000000002</v>
      </c>
      <c r="M1430" s="6">
        <v>2669.2820000000002</v>
      </c>
      <c r="N1430" s="6">
        <v>2669.2820000000002</v>
      </c>
      <c r="O1430" s="6">
        <v>2669.2820000000002</v>
      </c>
      <c r="P1430" s="6">
        <v>42079</v>
      </c>
      <c r="Q1430" s="4" t="s">
        <v>26</v>
      </c>
      <c r="R1430" s="4">
        <v>0</v>
      </c>
      <c r="S1430" s="4" t="s">
        <v>544</v>
      </c>
      <c r="T1430" s="4" t="s">
        <v>808</v>
      </c>
      <c r="U1430" s="4">
        <v>0</v>
      </c>
      <c r="V1430" s="4">
        <v>44</v>
      </c>
      <c r="W1430" s="4">
        <v>87</v>
      </c>
    </row>
    <row r="1431" spans="1:23" ht="11.25" customHeight="1" x14ac:dyDescent="0.25">
      <c r="A1431" s="4" t="s">
        <v>27</v>
      </c>
      <c r="B1431" s="4" t="s">
        <v>22</v>
      </c>
      <c r="C1431" s="4" t="s">
        <v>23</v>
      </c>
      <c r="D1431" s="4" t="s">
        <v>24</v>
      </c>
      <c r="E1431" s="4" t="s">
        <v>31</v>
      </c>
      <c r="F1431" s="4" t="s">
        <v>25</v>
      </c>
      <c r="G1431" s="4" t="s">
        <v>25</v>
      </c>
      <c r="H1431" s="4" t="s">
        <v>25</v>
      </c>
      <c r="I1431" s="5">
        <v>44378</v>
      </c>
      <c r="J1431" s="6">
        <v>0</v>
      </c>
      <c r="K1431" s="6">
        <v>0</v>
      </c>
      <c r="L1431" s="6">
        <v>-0.42399999999999999</v>
      </c>
      <c r="M1431" s="6">
        <v>-0.42399999999999999</v>
      </c>
      <c r="N1431" s="6">
        <v>-0.42399999999999999</v>
      </c>
      <c r="O1431" s="6">
        <v>-0.42399999999999999</v>
      </c>
      <c r="P1431" s="6">
        <v>-5</v>
      </c>
      <c r="Q1431" s="4" t="s">
        <v>26</v>
      </c>
      <c r="R1431" s="4">
        <v>0</v>
      </c>
      <c r="S1431" s="4" t="s">
        <v>544</v>
      </c>
      <c r="T1431" s="4" t="s">
        <v>808</v>
      </c>
      <c r="U1431" s="4">
        <v>0</v>
      </c>
      <c r="V1431" s="4">
        <v>44</v>
      </c>
      <c r="W1431" s="4">
        <v>87</v>
      </c>
    </row>
    <row r="1432" spans="1:23" ht="11.25" customHeight="1" x14ac:dyDescent="0.25">
      <c r="A1432" s="4" t="s">
        <v>28</v>
      </c>
      <c r="B1432" s="4" t="s">
        <v>22</v>
      </c>
      <c r="C1432" s="4" t="s">
        <v>23</v>
      </c>
      <c r="D1432" s="4" t="s">
        <v>24</v>
      </c>
      <c r="E1432" s="4" t="s">
        <v>31</v>
      </c>
      <c r="F1432" s="4" t="s">
        <v>25</v>
      </c>
      <c r="G1432" s="4" t="s">
        <v>25</v>
      </c>
      <c r="H1432" s="4" t="s">
        <v>25</v>
      </c>
      <c r="I1432" s="5">
        <v>44378</v>
      </c>
      <c r="J1432" s="6">
        <v>0</v>
      </c>
      <c r="K1432" s="6">
        <v>0</v>
      </c>
      <c r="L1432" s="6">
        <v>2.7730000000000001</v>
      </c>
      <c r="M1432" s="6">
        <v>2.7730000000000001</v>
      </c>
      <c r="N1432" s="6">
        <v>2.7730000000000001</v>
      </c>
      <c r="O1432" s="6">
        <v>2.7730000000000001</v>
      </c>
      <c r="P1432" s="6">
        <v>41</v>
      </c>
      <c r="Q1432" s="4" t="s">
        <v>26</v>
      </c>
      <c r="R1432" s="4">
        <v>0</v>
      </c>
      <c r="S1432" s="4" t="s">
        <v>544</v>
      </c>
      <c r="T1432" s="4" t="s">
        <v>808</v>
      </c>
      <c r="U1432" s="4">
        <v>0</v>
      </c>
      <c r="V1432" s="4">
        <v>44</v>
      </c>
      <c r="W1432" s="4">
        <v>87</v>
      </c>
    </row>
    <row r="1433" spans="1:23" ht="11.25" customHeight="1" x14ac:dyDescent="0.25">
      <c r="A1433" s="4" t="s">
        <v>21</v>
      </c>
      <c r="B1433" s="4" t="s">
        <v>22</v>
      </c>
      <c r="C1433" s="4" t="s">
        <v>23</v>
      </c>
      <c r="D1433" s="4" t="s">
        <v>24</v>
      </c>
      <c r="E1433" s="4" t="s">
        <v>31</v>
      </c>
      <c r="F1433" s="4" t="s">
        <v>25</v>
      </c>
      <c r="G1433" s="4" t="s">
        <v>25</v>
      </c>
      <c r="H1433" s="4" t="s">
        <v>25</v>
      </c>
      <c r="I1433" s="5">
        <v>44409</v>
      </c>
      <c r="J1433" s="6">
        <v>0</v>
      </c>
      <c r="K1433" s="6">
        <v>0</v>
      </c>
      <c r="L1433" s="6">
        <v>2759.5949999999998</v>
      </c>
      <c r="M1433" s="6">
        <v>2759.5949999999998</v>
      </c>
      <c r="N1433" s="6">
        <v>2759.5949999999998</v>
      </c>
      <c r="O1433" s="6">
        <v>2759.5949999999998</v>
      </c>
      <c r="P1433" s="6">
        <v>42968</v>
      </c>
      <c r="Q1433" s="4" t="s">
        <v>26</v>
      </c>
      <c r="R1433" s="4">
        <v>0</v>
      </c>
      <c r="S1433" s="4" t="s">
        <v>545</v>
      </c>
      <c r="T1433" s="4" t="s">
        <v>809</v>
      </c>
      <c r="U1433" s="4">
        <v>0</v>
      </c>
      <c r="V1433" s="4">
        <v>44</v>
      </c>
      <c r="W1433" s="4">
        <v>87</v>
      </c>
    </row>
    <row r="1434" spans="1:23" ht="11.25" customHeight="1" x14ac:dyDescent="0.25">
      <c r="A1434" s="4" t="s">
        <v>27</v>
      </c>
      <c r="B1434" s="4" t="s">
        <v>22</v>
      </c>
      <c r="C1434" s="4" t="s">
        <v>23</v>
      </c>
      <c r="D1434" s="4" t="s">
        <v>24</v>
      </c>
      <c r="E1434" s="4" t="s">
        <v>31</v>
      </c>
      <c r="F1434" s="4" t="s">
        <v>25</v>
      </c>
      <c r="G1434" s="4" t="s">
        <v>25</v>
      </c>
      <c r="H1434" s="4" t="s">
        <v>25</v>
      </c>
      <c r="I1434" s="5">
        <v>44409</v>
      </c>
      <c r="J1434" s="6">
        <v>0</v>
      </c>
      <c r="K1434" s="6">
        <v>0</v>
      </c>
      <c r="L1434" s="6">
        <v>-1.3959999999999999</v>
      </c>
      <c r="M1434" s="6">
        <v>-1.3959999999999999</v>
      </c>
      <c r="N1434" s="6">
        <v>-1.3959999999999999</v>
      </c>
      <c r="O1434" s="6">
        <v>-1.3959999999999999</v>
      </c>
      <c r="P1434" s="6">
        <v>-7</v>
      </c>
      <c r="Q1434" s="4" t="s">
        <v>26</v>
      </c>
      <c r="R1434" s="4">
        <v>0</v>
      </c>
      <c r="S1434" s="4" t="s">
        <v>545</v>
      </c>
      <c r="T1434" s="4" t="s">
        <v>809</v>
      </c>
      <c r="U1434" s="4">
        <v>0</v>
      </c>
      <c r="V1434" s="4">
        <v>44</v>
      </c>
      <c r="W1434" s="4">
        <v>87</v>
      </c>
    </row>
    <row r="1435" spans="1:23" ht="11.25" customHeight="1" x14ac:dyDescent="0.25">
      <c r="A1435" s="4" t="s">
        <v>28</v>
      </c>
      <c r="B1435" s="4" t="s">
        <v>22</v>
      </c>
      <c r="C1435" s="4" t="s">
        <v>23</v>
      </c>
      <c r="D1435" s="4" t="s">
        <v>24</v>
      </c>
      <c r="E1435" s="4" t="s">
        <v>31</v>
      </c>
      <c r="F1435" s="4" t="s">
        <v>25</v>
      </c>
      <c r="G1435" s="4" t="s">
        <v>25</v>
      </c>
      <c r="H1435" s="4" t="s">
        <v>25</v>
      </c>
      <c r="I1435" s="5">
        <v>44409</v>
      </c>
      <c r="J1435" s="6">
        <v>0</v>
      </c>
      <c r="K1435" s="6">
        <v>0</v>
      </c>
      <c r="L1435" s="6">
        <v>3.17</v>
      </c>
      <c r="M1435" s="6">
        <v>3.17</v>
      </c>
      <c r="N1435" s="6">
        <v>3.17</v>
      </c>
      <c r="O1435" s="6">
        <v>3.17</v>
      </c>
      <c r="P1435" s="6">
        <v>43</v>
      </c>
      <c r="Q1435" s="4" t="s">
        <v>26</v>
      </c>
      <c r="R1435" s="4">
        <v>0</v>
      </c>
      <c r="S1435" s="4" t="s">
        <v>545</v>
      </c>
      <c r="T1435" s="4" t="s">
        <v>809</v>
      </c>
      <c r="U1435" s="4">
        <v>0</v>
      </c>
      <c r="V1435" s="4">
        <v>44</v>
      </c>
      <c r="W1435" s="4">
        <v>87</v>
      </c>
    </row>
    <row r="1436" spans="1:23" ht="11.25" customHeight="1" x14ac:dyDescent="0.25">
      <c r="A1436" s="4" t="s">
        <v>21</v>
      </c>
      <c r="B1436" s="4" t="s">
        <v>22</v>
      </c>
      <c r="C1436" s="4" t="s">
        <v>23</v>
      </c>
      <c r="D1436" s="4" t="s">
        <v>24</v>
      </c>
      <c r="E1436" s="4" t="s">
        <v>31</v>
      </c>
      <c r="F1436" s="4" t="s">
        <v>25</v>
      </c>
      <c r="G1436" s="4" t="s">
        <v>25</v>
      </c>
      <c r="H1436" s="4" t="s">
        <v>25</v>
      </c>
      <c r="I1436" s="5">
        <v>44440</v>
      </c>
      <c r="J1436" s="6">
        <v>0</v>
      </c>
      <c r="K1436" s="6">
        <v>0</v>
      </c>
      <c r="L1436" s="6">
        <v>3327.1289999999999</v>
      </c>
      <c r="M1436" s="6">
        <v>3327.1289999999999</v>
      </c>
      <c r="N1436" s="6">
        <v>3327.1289999999999</v>
      </c>
      <c r="O1436" s="6">
        <v>3327.1289999999999</v>
      </c>
      <c r="P1436" s="6">
        <v>44946</v>
      </c>
      <c r="Q1436" s="4" t="s">
        <v>26</v>
      </c>
      <c r="R1436" s="4">
        <v>0</v>
      </c>
      <c r="S1436" s="4" t="s">
        <v>546</v>
      </c>
      <c r="T1436" s="4" t="s">
        <v>810</v>
      </c>
      <c r="U1436" s="4">
        <v>0</v>
      </c>
      <c r="V1436" s="4">
        <v>44</v>
      </c>
      <c r="W1436" s="4">
        <v>87</v>
      </c>
    </row>
    <row r="1437" spans="1:23" ht="11.25" customHeight="1" x14ac:dyDescent="0.25">
      <c r="A1437" s="4" t="s">
        <v>27</v>
      </c>
      <c r="B1437" s="4" t="s">
        <v>22</v>
      </c>
      <c r="C1437" s="4" t="s">
        <v>23</v>
      </c>
      <c r="D1437" s="4" t="s">
        <v>24</v>
      </c>
      <c r="E1437" s="4" t="s">
        <v>31</v>
      </c>
      <c r="F1437" s="4" t="s">
        <v>25</v>
      </c>
      <c r="G1437" s="4" t="s">
        <v>25</v>
      </c>
      <c r="H1437" s="4" t="s">
        <v>25</v>
      </c>
      <c r="I1437" s="5">
        <v>44440</v>
      </c>
      <c r="J1437" s="6">
        <v>0</v>
      </c>
      <c r="K1437" s="6">
        <v>0</v>
      </c>
      <c r="L1437" s="6">
        <v>-1.381</v>
      </c>
      <c r="M1437" s="6">
        <v>-1.381</v>
      </c>
      <c r="N1437" s="6">
        <v>-1.381</v>
      </c>
      <c r="O1437" s="6">
        <v>-1.381</v>
      </c>
      <c r="P1437" s="6">
        <v>-8</v>
      </c>
      <c r="Q1437" s="4" t="s">
        <v>26</v>
      </c>
      <c r="R1437" s="4">
        <v>0</v>
      </c>
      <c r="S1437" s="4" t="s">
        <v>546</v>
      </c>
      <c r="T1437" s="4" t="s">
        <v>810</v>
      </c>
      <c r="U1437" s="4">
        <v>0</v>
      </c>
      <c r="V1437" s="4">
        <v>44</v>
      </c>
      <c r="W1437" s="4">
        <v>87</v>
      </c>
    </row>
    <row r="1438" spans="1:23" ht="11.25" customHeight="1" x14ac:dyDescent="0.25">
      <c r="A1438" s="4" t="s">
        <v>28</v>
      </c>
      <c r="B1438" s="4" t="s">
        <v>22</v>
      </c>
      <c r="C1438" s="4" t="s">
        <v>23</v>
      </c>
      <c r="D1438" s="4" t="s">
        <v>24</v>
      </c>
      <c r="E1438" s="4" t="s">
        <v>31</v>
      </c>
      <c r="F1438" s="4" t="s">
        <v>25</v>
      </c>
      <c r="G1438" s="4" t="s">
        <v>25</v>
      </c>
      <c r="H1438" s="4" t="s">
        <v>25</v>
      </c>
      <c r="I1438" s="5">
        <v>44440</v>
      </c>
      <c r="J1438" s="6">
        <v>0</v>
      </c>
      <c r="K1438" s="6">
        <v>0</v>
      </c>
      <c r="L1438" s="6">
        <v>2.5190000000000001</v>
      </c>
      <c r="M1438" s="6">
        <v>2.5190000000000001</v>
      </c>
      <c r="N1438" s="6">
        <v>2.5190000000000001</v>
      </c>
      <c r="O1438" s="6">
        <v>2.5190000000000001</v>
      </c>
      <c r="P1438" s="6">
        <v>41</v>
      </c>
      <c r="Q1438" s="4" t="s">
        <v>26</v>
      </c>
      <c r="R1438" s="4">
        <v>0</v>
      </c>
      <c r="S1438" s="4" t="s">
        <v>546</v>
      </c>
      <c r="T1438" s="4" t="s">
        <v>810</v>
      </c>
      <c r="U1438" s="4">
        <v>0</v>
      </c>
      <c r="V1438" s="4">
        <v>44</v>
      </c>
      <c r="W1438" s="4">
        <v>87</v>
      </c>
    </row>
    <row r="1439" spans="1:23" ht="11.25" customHeight="1" x14ac:dyDescent="0.25">
      <c r="A1439" s="4" t="s">
        <v>21</v>
      </c>
      <c r="B1439" s="4" t="s">
        <v>22</v>
      </c>
      <c r="C1439" s="4" t="s">
        <v>23</v>
      </c>
      <c r="D1439" s="4" t="s">
        <v>24</v>
      </c>
      <c r="E1439" s="4" t="s">
        <v>31</v>
      </c>
      <c r="F1439" s="4" t="s">
        <v>25</v>
      </c>
      <c r="G1439" s="4" t="s">
        <v>25</v>
      </c>
      <c r="H1439" s="4" t="s">
        <v>25</v>
      </c>
      <c r="I1439" s="5">
        <v>44470</v>
      </c>
      <c r="J1439" s="6">
        <v>0</v>
      </c>
      <c r="K1439" s="6">
        <v>0</v>
      </c>
      <c r="L1439" s="6">
        <v>2989.3139999999999</v>
      </c>
      <c r="M1439" s="6">
        <v>2989.3139999999999</v>
      </c>
      <c r="N1439" s="6">
        <v>2989.3139999999999</v>
      </c>
      <c r="O1439" s="6">
        <v>2989.3139999999999</v>
      </c>
      <c r="P1439" s="6">
        <v>44214</v>
      </c>
      <c r="Q1439" s="4" t="s">
        <v>26</v>
      </c>
      <c r="R1439" s="4">
        <v>0</v>
      </c>
      <c r="S1439" s="4" t="s">
        <v>547</v>
      </c>
      <c r="T1439" s="4" t="s">
        <v>811</v>
      </c>
      <c r="U1439" s="4">
        <v>0</v>
      </c>
      <c r="V1439" s="4">
        <v>44</v>
      </c>
      <c r="W1439" s="4">
        <v>87</v>
      </c>
    </row>
    <row r="1440" spans="1:23" ht="11.25" customHeight="1" x14ac:dyDescent="0.25">
      <c r="A1440" s="4" t="s">
        <v>27</v>
      </c>
      <c r="B1440" s="4" t="s">
        <v>22</v>
      </c>
      <c r="C1440" s="4" t="s">
        <v>23</v>
      </c>
      <c r="D1440" s="4" t="s">
        <v>24</v>
      </c>
      <c r="E1440" s="4" t="s">
        <v>31</v>
      </c>
      <c r="F1440" s="4" t="s">
        <v>25</v>
      </c>
      <c r="G1440" s="4" t="s">
        <v>25</v>
      </c>
      <c r="H1440" s="4" t="s">
        <v>25</v>
      </c>
      <c r="I1440" s="5">
        <v>44470</v>
      </c>
      <c r="J1440" s="6">
        <v>0</v>
      </c>
      <c r="K1440" s="6">
        <v>0</v>
      </c>
      <c r="L1440" s="6">
        <v>-0.65900000000000003</v>
      </c>
      <c r="M1440" s="6">
        <v>-0.65900000000000003</v>
      </c>
      <c r="N1440" s="6">
        <v>-0.65900000000000003</v>
      </c>
      <c r="O1440" s="6">
        <v>-0.65900000000000003</v>
      </c>
      <c r="P1440" s="6">
        <v>-7</v>
      </c>
      <c r="Q1440" s="4" t="s">
        <v>26</v>
      </c>
      <c r="R1440" s="4">
        <v>0</v>
      </c>
      <c r="S1440" s="4" t="s">
        <v>547</v>
      </c>
      <c r="T1440" s="4" t="s">
        <v>811</v>
      </c>
      <c r="U1440" s="4">
        <v>0</v>
      </c>
      <c r="V1440" s="4">
        <v>44</v>
      </c>
      <c r="W1440" s="4">
        <v>87</v>
      </c>
    </row>
    <row r="1441" spans="1:23" ht="11.25" customHeight="1" x14ac:dyDescent="0.25">
      <c r="A1441" s="4" t="s">
        <v>28</v>
      </c>
      <c r="B1441" s="4" t="s">
        <v>22</v>
      </c>
      <c r="C1441" s="4" t="s">
        <v>23</v>
      </c>
      <c r="D1441" s="4" t="s">
        <v>24</v>
      </c>
      <c r="E1441" s="4" t="s">
        <v>31</v>
      </c>
      <c r="F1441" s="4" t="s">
        <v>25</v>
      </c>
      <c r="G1441" s="4" t="s">
        <v>25</v>
      </c>
      <c r="H1441" s="4" t="s">
        <v>25</v>
      </c>
      <c r="I1441" s="5">
        <v>44470</v>
      </c>
      <c r="J1441" s="6">
        <v>0</v>
      </c>
      <c r="K1441" s="6">
        <v>0</v>
      </c>
      <c r="L1441" s="6">
        <v>2.9409999999999998</v>
      </c>
      <c r="M1441" s="6">
        <v>2.9409999999999998</v>
      </c>
      <c r="N1441" s="6">
        <v>2.9409999999999998</v>
      </c>
      <c r="O1441" s="6">
        <v>2.9409999999999998</v>
      </c>
      <c r="P1441" s="6">
        <v>42</v>
      </c>
      <c r="Q1441" s="4" t="s">
        <v>26</v>
      </c>
      <c r="R1441" s="4">
        <v>0</v>
      </c>
      <c r="S1441" s="4" t="s">
        <v>547</v>
      </c>
      <c r="T1441" s="4" t="s">
        <v>811</v>
      </c>
      <c r="U1441" s="4">
        <v>0</v>
      </c>
      <c r="V1441" s="4">
        <v>44</v>
      </c>
      <c r="W1441" s="4">
        <v>87</v>
      </c>
    </row>
    <row r="1442" spans="1:23" ht="11.25" customHeight="1" x14ac:dyDescent="0.25">
      <c r="A1442" s="4" t="s">
        <v>21</v>
      </c>
      <c r="B1442" s="4" t="s">
        <v>22</v>
      </c>
      <c r="C1442" s="4" t="s">
        <v>23</v>
      </c>
      <c r="D1442" s="4" t="s">
        <v>24</v>
      </c>
      <c r="E1442" s="4" t="s">
        <v>31</v>
      </c>
      <c r="F1442" s="4" t="s">
        <v>25</v>
      </c>
      <c r="G1442" s="4" t="s">
        <v>25</v>
      </c>
      <c r="H1442" s="4" t="s">
        <v>25</v>
      </c>
      <c r="I1442" s="5">
        <v>44501</v>
      </c>
      <c r="J1442" s="6">
        <v>0</v>
      </c>
      <c r="K1442" s="6">
        <v>0</v>
      </c>
      <c r="L1442" s="6">
        <v>3090.9580000000001</v>
      </c>
      <c r="M1442" s="6">
        <v>3090.9580000000001</v>
      </c>
      <c r="N1442" s="6">
        <v>3090.9580000000001</v>
      </c>
      <c r="O1442" s="6">
        <v>3090.9580000000001</v>
      </c>
      <c r="P1442" s="6">
        <v>45323</v>
      </c>
      <c r="Q1442" s="4" t="s">
        <v>26</v>
      </c>
      <c r="R1442" s="4">
        <v>0</v>
      </c>
      <c r="S1442" s="4" t="s">
        <v>548</v>
      </c>
      <c r="T1442" s="4" t="s">
        <v>812</v>
      </c>
      <c r="U1442" s="4">
        <v>0</v>
      </c>
      <c r="V1442" s="4">
        <v>44</v>
      </c>
      <c r="W1442" s="4">
        <v>87</v>
      </c>
    </row>
    <row r="1443" spans="1:23" ht="11.25" customHeight="1" x14ac:dyDescent="0.25">
      <c r="A1443" s="4" t="s">
        <v>27</v>
      </c>
      <c r="B1443" s="4" t="s">
        <v>22</v>
      </c>
      <c r="C1443" s="4" t="s">
        <v>23</v>
      </c>
      <c r="D1443" s="4" t="s">
        <v>24</v>
      </c>
      <c r="E1443" s="4" t="s">
        <v>31</v>
      </c>
      <c r="F1443" s="4" t="s">
        <v>25</v>
      </c>
      <c r="G1443" s="4" t="s">
        <v>25</v>
      </c>
      <c r="H1443" s="4" t="s">
        <v>25</v>
      </c>
      <c r="I1443" s="5">
        <v>44501</v>
      </c>
      <c r="J1443" s="6">
        <v>0</v>
      </c>
      <c r="K1443" s="6">
        <v>0</v>
      </c>
      <c r="L1443" s="6">
        <v>-1.4450000000000001</v>
      </c>
      <c r="M1443" s="6">
        <v>-1.4450000000000001</v>
      </c>
      <c r="N1443" s="6">
        <v>-1.4450000000000001</v>
      </c>
      <c r="O1443" s="6">
        <v>-1.4450000000000001</v>
      </c>
      <c r="P1443" s="6">
        <v>-22</v>
      </c>
      <c r="Q1443" s="4" t="s">
        <v>26</v>
      </c>
      <c r="R1443" s="4">
        <v>0</v>
      </c>
      <c r="S1443" s="4" t="s">
        <v>548</v>
      </c>
      <c r="T1443" s="4" t="s">
        <v>812</v>
      </c>
      <c r="U1443" s="4">
        <v>0</v>
      </c>
      <c r="V1443" s="4">
        <v>44</v>
      </c>
      <c r="W1443" s="4">
        <v>87</v>
      </c>
    </row>
    <row r="1444" spans="1:23" ht="11.25" customHeight="1" x14ac:dyDescent="0.25">
      <c r="A1444" s="4" t="s">
        <v>28</v>
      </c>
      <c r="B1444" s="4" t="s">
        <v>22</v>
      </c>
      <c r="C1444" s="4" t="s">
        <v>23</v>
      </c>
      <c r="D1444" s="4" t="s">
        <v>24</v>
      </c>
      <c r="E1444" s="4" t="s">
        <v>31</v>
      </c>
      <c r="F1444" s="4" t="s">
        <v>25</v>
      </c>
      <c r="G1444" s="4" t="s">
        <v>25</v>
      </c>
      <c r="H1444" s="4" t="s">
        <v>25</v>
      </c>
      <c r="I1444" s="5">
        <v>44501</v>
      </c>
      <c r="J1444" s="6">
        <v>0</v>
      </c>
      <c r="K1444" s="6">
        <v>0</v>
      </c>
      <c r="L1444" s="6">
        <v>3.6320000000000001</v>
      </c>
      <c r="M1444" s="6">
        <v>3.6320000000000001</v>
      </c>
      <c r="N1444" s="6">
        <v>3.6320000000000001</v>
      </c>
      <c r="O1444" s="6">
        <v>3.6320000000000001</v>
      </c>
      <c r="P1444" s="6">
        <v>53</v>
      </c>
      <c r="Q1444" s="4" t="s">
        <v>26</v>
      </c>
      <c r="R1444" s="4">
        <v>0</v>
      </c>
      <c r="S1444" s="4" t="s">
        <v>548</v>
      </c>
      <c r="T1444" s="4" t="s">
        <v>812</v>
      </c>
      <c r="U1444" s="4">
        <v>0</v>
      </c>
      <c r="V1444" s="4">
        <v>44</v>
      </c>
      <c r="W1444" s="4">
        <v>87</v>
      </c>
    </row>
    <row r="1445" spans="1:23" ht="11.25" customHeight="1" x14ac:dyDescent="0.25">
      <c r="A1445" s="4" t="s">
        <v>21</v>
      </c>
      <c r="B1445" s="4" t="s">
        <v>22</v>
      </c>
      <c r="C1445" s="4" t="s">
        <v>23</v>
      </c>
      <c r="D1445" s="4" t="s">
        <v>24</v>
      </c>
      <c r="E1445" s="4" t="s">
        <v>31</v>
      </c>
      <c r="F1445" s="4" t="s">
        <v>25</v>
      </c>
      <c r="G1445" s="4" t="s">
        <v>25</v>
      </c>
      <c r="H1445" s="4" t="s">
        <v>25</v>
      </c>
      <c r="I1445" s="5">
        <v>44531</v>
      </c>
      <c r="J1445" s="6">
        <v>0</v>
      </c>
      <c r="K1445" s="6">
        <v>0</v>
      </c>
      <c r="L1445" s="6">
        <v>3567.2890000000002</v>
      </c>
      <c r="M1445" s="6">
        <v>3567.2890000000002</v>
      </c>
      <c r="N1445" s="6">
        <v>3567.2890000000002</v>
      </c>
      <c r="O1445" s="6">
        <v>3567.2890000000002</v>
      </c>
      <c r="P1445" s="6">
        <v>46719</v>
      </c>
      <c r="Q1445" s="4" t="s">
        <v>26</v>
      </c>
      <c r="R1445" s="4">
        <v>0</v>
      </c>
      <c r="S1445" s="4" t="s">
        <v>549</v>
      </c>
      <c r="T1445" s="4" t="s">
        <v>813</v>
      </c>
      <c r="U1445" s="4">
        <v>0</v>
      </c>
      <c r="V1445" s="4">
        <v>44</v>
      </c>
      <c r="W1445" s="4">
        <v>87</v>
      </c>
    </row>
    <row r="1446" spans="1:23" ht="11.25" customHeight="1" x14ac:dyDescent="0.25">
      <c r="A1446" s="4" t="s">
        <v>27</v>
      </c>
      <c r="B1446" s="4" t="s">
        <v>22</v>
      </c>
      <c r="C1446" s="4" t="s">
        <v>23</v>
      </c>
      <c r="D1446" s="4" t="s">
        <v>24</v>
      </c>
      <c r="E1446" s="4" t="s">
        <v>31</v>
      </c>
      <c r="F1446" s="4" t="s">
        <v>25</v>
      </c>
      <c r="G1446" s="4" t="s">
        <v>25</v>
      </c>
      <c r="H1446" s="4" t="s">
        <v>25</v>
      </c>
      <c r="I1446" s="5">
        <v>44531</v>
      </c>
      <c r="J1446" s="6">
        <v>0</v>
      </c>
      <c r="K1446" s="6">
        <v>0</v>
      </c>
      <c r="L1446" s="6">
        <v>-1.488</v>
      </c>
      <c r="M1446" s="6">
        <v>-1.488</v>
      </c>
      <c r="N1446" s="6">
        <v>-1.488</v>
      </c>
      <c r="O1446" s="6">
        <v>-1.488</v>
      </c>
      <c r="P1446" s="6">
        <v>-10</v>
      </c>
      <c r="Q1446" s="4" t="s">
        <v>26</v>
      </c>
      <c r="R1446" s="4">
        <v>0</v>
      </c>
      <c r="S1446" s="4" t="s">
        <v>549</v>
      </c>
      <c r="T1446" s="4" t="s">
        <v>813</v>
      </c>
      <c r="U1446" s="4">
        <v>0</v>
      </c>
      <c r="V1446" s="4">
        <v>44</v>
      </c>
      <c r="W1446" s="4">
        <v>87</v>
      </c>
    </row>
    <row r="1447" spans="1:23" ht="11.25" customHeight="1" x14ac:dyDescent="0.25">
      <c r="A1447" s="4" t="s">
        <v>28</v>
      </c>
      <c r="B1447" s="4" t="s">
        <v>22</v>
      </c>
      <c r="C1447" s="4" t="s">
        <v>23</v>
      </c>
      <c r="D1447" s="4" t="s">
        <v>24</v>
      </c>
      <c r="E1447" s="4" t="s">
        <v>31</v>
      </c>
      <c r="F1447" s="4" t="s">
        <v>25</v>
      </c>
      <c r="G1447" s="4" t="s">
        <v>25</v>
      </c>
      <c r="H1447" s="4" t="s">
        <v>25</v>
      </c>
      <c r="I1447" s="5">
        <v>44531</v>
      </c>
      <c r="J1447" s="6">
        <v>0</v>
      </c>
      <c r="K1447" s="6">
        <v>0</v>
      </c>
      <c r="L1447" s="6">
        <v>3.3340000000000001</v>
      </c>
      <c r="M1447" s="6">
        <v>3.3340000000000001</v>
      </c>
      <c r="N1447" s="6">
        <v>3.3340000000000001</v>
      </c>
      <c r="O1447" s="6">
        <v>3.3340000000000001</v>
      </c>
      <c r="P1447" s="6">
        <v>54</v>
      </c>
      <c r="Q1447" s="4" t="s">
        <v>26</v>
      </c>
      <c r="R1447" s="4">
        <v>0</v>
      </c>
      <c r="S1447" s="4" t="s">
        <v>549</v>
      </c>
      <c r="T1447" s="4" t="s">
        <v>813</v>
      </c>
      <c r="U1447" s="4">
        <v>0</v>
      </c>
      <c r="V1447" s="4">
        <v>44</v>
      </c>
      <c r="W1447" s="4">
        <v>87</v>
      </c>
    </row>
    <row r="1448" spans="1:23" ht="11.25" customHeight="1" x14ac:dyDescent="0.25">
      <c r="A1448" s="4" t="s">
        <v>21</v>
      </c>
      <c r="B1448" s="4" t="s">
        <v>22</v>
      </c>
      <c r="C1448" s="4" t="s">
        <v>23</v>
      </c>
      <c r="D1448" s="4" t="s">
        <v>24</v>
      </c>
      <c r="E1448" s="4" t="s">
        <v>31</v>
      </c>
      <c r="F1448" s="4" t="s">
        <v>25</v>
      </c>
      <c r="G1448" s="4" t="s">
        <v>25</v>
      </c>
      <c r="H1448" s="4" t="s">
        <v>25</v>
      </c>
      <c r="I1448" s="5">
        <v>44562</v>
      </c>
      <c r="J1448" s="6">
        <v>0</v>
      </c>
      <c r="K1448" s="6">
        <v>0</v>
      </c>
      <c r="L1448" s="6">
        <v>3565.6320000000001</v>
      </c>
      <c r="M1448" s="6">
        <v>3565.6320000000001</v>
      </c>
      <c r="N1448" s="6">
        <v>3565.6320000000001</v>
      </c>
      <c r="O1448" s="6">
        <v>3565.6320000000001</v>
      </c>
      <c r="P1448" s="6">
        <v>47479</v>
      </c>
      <c r="Q1448" s="4" t="s">
        <v>26</v>
      </c>
      <c r="R1448" s="4">
        <v>0</v>
      </c>
      <c r="S1448" s="4" t="s">
        <v>550</v>
      </c>
      <c r="T1448" s="4" t="s">
        <v>814</v>
      </c>
      <c r="U1448" s="4">
        <v>0</v>
      </c>
      <c r="V1448" s="4">
        <v>44</v>
      </c>
      <c r="W1448" s="4">
        <v>87</v>
      </c>
    </row>
    <row r="1449" spans="1:23" ht="11.25" customHeight="1" x14ac:dyDescent="0.25">
      <c r="A1449" s="4" t="s">
        <v>27</v>
      </c>
      <c r="B1449" s="4" t="s">
        <v>22</v>
      </c>
      <c r="C1449" s="4" t="s">
        <v>23</v>
      </c>
      <c r="D1449" s="4" t="s">
        <v>24</v>
      </c>
      <c r="E1449" s="4" t="s">
        <v>31</v>
      </c>
      <c r="F1449" s="4" t="s">
        <v>25</v>
      </c>
      <c r="G1449" s="4" t="s">
        <v>25</v>
      </c>
      <c r="H1449" s="4" t="s">
        <v>25</v>
      </c>
      <c r="I1449" s="5">
        <v>44562</v>
      </c>
      <c r="J1449" s="6">
        <v>0</v>
      </c>
      <c r="K1449" s="6">
        <v>0</v>
      </c>
      <c r="L1449" s="6">
        <v>-0.56299999999999994</v>
      </c>
      <c r="M1449" s="6">
        <v>-0.56299999999999994</v>
      </c>
      <c r="N1449" s="6">
        <v>-0.56299999999999994</v>
      </c>
      <c r="O1449" s="6">
        <v>-0.56299999999999994</v>
      </c>
      <c r="P1449" s="6">
        <v>-5</v>
      </c>
      <c r="Q1449" s="4" t="s">
        <v>26</v>
      </c>
      <c r="R1449" s="4">
        <v>0</v>
      </c>
      <c r="S1449" s="4" t="s">
        <v>550</v>
      </c>
      <c r="T1449" s="4" t="s">
        <v>814</v>
      </c>
      <c r="U1449" s="4">
        <v>0</v>
      </c>
      <c r="V1449" s="4">
        <v>44</v>
      </c>
      <c r="W1449" s="4">
        <v>87</v>
      </c>
    </row>
    <row r="1450" spans="1:23" ht="11.25" customHeight="1" x14ac:dyDescent="0.25">
      <c r="A1450" s="4" t="s">
        <v>28</v>
      </c>
      <c r="B1450" s="4" t="s">
        <v>22</v>
      </c>
      <c r="C1450" s="4" t="s">
        <v>23</v>
      </c>
      <c r="D1450" s="4" t="s">
        <v>24</v>
      </c>
      <c r="E1450" s="4" t="s">
        <v>31</v>
      </c>
      <c r="F1450" s="4" t="s">
        <v>25</v>
      </c>
      <c r="G1450" s="4" t="s">
        <v>25</v>
      </c>
      <c r="H1450" s="4" t="s">
        <v>25</v>
      </c>
      <c r="I1450" s="5">
        <v>44562</v>
      </c>
      <c r="J1450" s="6">
        <v>0</v>
      </c>
      <c r="K1450" s="6">
        <v>0</v>
      </c>
      <c r="L1450" s="6">
        <v>3.9670000000000001</v>
      </c>
      <c r="M1450" s="6">
        <v>3.9670000000000001</v>
      </c>
      <c r="N1450" s="6">
        <v>3.9670000000000001</v>
      </c>
      <c r="O1450" s="6">
        <v>3.9670000000000001</v>
      </c>
      <c r="P1450" s="6">
        <v>64</v>
      </c>
      <c r="Q1450" s="4" t="s">
        <v>26</v>
      </c>
      <c r="R1450" s="4">
        <v>0</v>
      </c>
      <c r="S1450" s="4" t="s">
        <v>550</v>
      </c>
      <c r="T1450" s="4" t="s">
        <v>814</v>
      </c>
      <c r="U1450" s="4">
        <v>0</v>
      </c>
      <c r="V1450" s="4">
        <v>44</v>
      </c>
      <c r="W1450" s="4">
        <v>87</v>
      </c>
    </row>
    <row r="1451" spans="1:23" ht="11.25" customHeight="1" x14ac:dyDescent="0.25">
      <c r="A1451" s="4" t="s">
        <v>21</v>
      </c>
      <c r="B1451" s="4" t="s">
        <v>22</v>
      </c>
      <c r="C1451" s="4" t="s">
        <v>23</v>
      </c>
      <c r="D1451" s="4" t="s">
        <v>24</v>
      </c>
      <c r="E1451" s="4" t="s">
        <v>31</v>
      </c>
      <c r="F1451" s="4" t="s">
        <v>25</v>
      </c>
      <c r="G1451" s="4" t="s">
        <v>25</v>
      </c>
      <c r="H1451" s="4" t="s">
        <v>25</v>
      </c>
      <c r="I1451" s="5">
        <v>44593</v>
      </c>
      <c r="J1451" s="6">
        <v>0</v>
      </c>
      <c r="K1451" s="6">
        <v>0</v>
      </c>
      <c r="L1451" s="6">
        <v>3335.3310000000001</v>
      </c>
      <c r="M1451" s="6">
        <v>3335.3310000000001</v>
      </c>
      <c r="N1451" s="6">
        <v>3335.3310000000001</v>
      </c>
      <c r="O1451" s="6">
        <v>3335.3310000000001</v>
      </c>
      <c r="P1451" s="6">
        <v>48530</v>
      </c>
      <c r="Q1451" s="4" t="s">
        <v>26</v>
      </c>
      <c r="R1451" s="4">
        <v>0</v>
      </c>
      <c r="S1451" s="4" t="s">
        <v>551</v>
      </c>
      <c r="T1451" s="4" t="s">
        <v>815</v>
      </c>
      <c r="U1451" s="4">
        <v>0</v>
      </c>
      <c r="V1451" s="4">
        <v>44</v>
      </c>
      <c r="W1451" s="4">
        <v>87</v>
      </c>
    </row>
    <row r="1452" spans="1:23" ht="11.25" customHeight="1" x14ac:dyDescent="0.25">
      <c r="A1452" s="4" t="s">
        <v>27</v>
      </c>
      <c r="B1452" s="4" t="s">
        <v>22</v>
      </c>
      <c r="C1452" s="4" t="s">
        <v>23</v>
      </c>
      <c r="D1452" s="4" t="s">
        <v>24</v>
      </c>
      <c r="E1452" s="4" t="s">
        <v>31</v>
      </c>
      <c r="F1452" s="4" t="s">
        <v>25</v>
      </c>
      <c r="G1452" s="4" t="s">
        <v>25</v>
      </c>
      <c r="H1452" s="4" t="s">
        <v>25</v>
      </c>
      <c r="I1452" s="5">
        <v>44593</v>
      </c>
      <c r="J1452" s="6">
        <v>0</v>
      </c>
      <c r="K1452" s="6">
        <v>0</v>
      </c>
      <c r="L1452" s="6">
        <v>-3.4079999999999999</v>
      </c>
      <c r="M1452" s="6">
        <v>-3.4079999999999999</v>
      </c>
      <c r="N1452" s="6">
        <v>-3.4079999999999999</v>
      </c>
      <c r="O1452" s="6">
        <v>-3.4079999999999999</v>
      </c>
      <c r="P1452" s="6">
        <v>-30</v>
      </c>
      <c r="Q1452" s="4" t="s">
        <v>26</v>
      </c>
      <c r="R1452" s="4">
        <v>0</v>
      </c>
      <c r="S1452" s="4" t="s">
        <v>551</v>
      </c>
      <c r="T1452" s="4" t="s">
        <v>815</v>
      </c>
      <c r="U1452" s="4">
        <v>0</v>
      </c>
      <c r="V1452" s="4">
        <v>44</v>
      </c>
      <c r="W1452" s="4">
        <v>87</v>
      </c>
    </row>
    <row r="1453" spans="1:23" ht="11.25" customHeight="1" x14ac:dyDescent="0.25">
      <c r="A1453" s="4" t="s">
        <v>28</v>
      </c>
      <c r="B1453" s="4" t="s">
        <v>22</v>
      </c>
      <c r="C1453" s="4" t="s">
        <v>23</v>
      </c>
      <c r="D1453" s="4" t="s">
        <v>24</v>
      </c>
      <c r="E1453" s="4" t="s">
        <v>31</v>
      </c>
      <c r="F1453" s="4" t="s">
        <v>25</v>
      </c>
      <c r="G1453" s="4" t="s">
        <v>25</v>
      </c>
      <c r="H1453" s="4" t="s">
        <v>25</v>
      </c>
      <c r="I1453" s="5">
        <v>44593</v>
      </c>
      <c r="J1453" s="6">
        <v>0</v>
      </c>
      <c r="K1453" s="6">
        <v>0</v>
      </c>
      <c r="L1453" s="6">
        <v>4.6959999999999997</v>
      </c>
      <c r="M1453" s="6">
        <v>4.6959999999999997</v>
      </c>
      <c r="N1453" s="6">
        <v>4.6959999999999997</v>
      </c>
      <c r="O1453" s="6">
        <v>4.6959999999999997</v>
      </c>
      <c r="P1453" s="6">
        <v>78</v>
      </c>
      <c r="Q1453" s="4" t="s">
        <v>26</v>
      </c>
      <c r="R1453" s="4">
        <v>0</v>
      </c>
      <c r="S1453" s="4" t="s">
        <v>551</v>
      </c>
      <c r="T1453" s="4" t="s">
        <v>815</v>
      </c>
      <c r="U1453" s="4">
        <v>0</v>
      </c>
      <c r="V1453" s="4">
        <v>44</v>
      </c>
      <c r="W1453" s="4">
        <v>87</v>
      </c>
    </row>
    <row r="1454" spans="1:23" ht="11.25" customHeight="1" x14ac:dyDescent="0.25">
      <c r="A1454" s="4" t="s">
        <v>21</v>
      </c>
      <c r="B1454" s="4" t="s">
        <v>22</v>
      </c>
      <c r="C1454" s="4" t="s">
        <v>23</v>
      </c>
      <c r="D1454" s="4" t="s">
        <v>24</v>
      </c>
      <c r="E1454" s="4" t="s">
        <v>31</v>
      </c>
      <c r="F1454" s="4" t="s">
        <v>25</v>
      </c>
      <c r="G1454" s="4" t="s">
        <v>25</v>
      </c>
      <c r="H1454" s="4" t="s">
        <v>25</v>
      </c>
      <c r="I1454" s="5">
        <v>44621</v>
      </c>
      <c r="J1454" s="6">
        <v>0</v>
      </c>
      <c r="K1454" s="6">
        <v>0</v>
      </c>
      <c r="L1454" s="6">
        <v>4144.8900000000003</v>
      </c>
      <c r="M1454" s="6">
        <v>4144.8900000000003</v>
      </c>
      <c r="N1454" s="6">
        <v>4144.8900000000003</v>
      </c>
      <c r="O1454" s="6">
        <v>4144.8900000000003</v>
      </c>
      <c r="P1454" s="6">
        <v>51712</v>
      </c>
      <c r="Q1454" s="4" t="s">
        <v>26</v>
      </c>
      <c r="R1454" s="4">
        <v>0</v>
      </c>
      <c r="S1454" s="4" t="s">
        <v>552</v>
      </c>
      <c r="T1454" s="4" t="s">
        <v>816</v>
      </c>
      <c r="U1454" s="4">
        <v>0</v>
      </c>
      <c r="V1454" s="4">
        <v>44</v>
      </c>
      <c r="W1454" s="4">
        <v>87</v>
      </c>
    </row>
    <row r="1455" spans="1:23" ht="11.25" customHeight="1" x14ac:dyDescent="0.25">
      <c r="A1455" s="4" t="s">
        <v>27</v>
      </c>
      <c r="B1455" s="4" t="s">
        <v>22</v>
      </c>
      <c r="C1455" s="4" t="s">
        <v>23</v>
      </c>
      <c r="D1455" s="4" t="s">
        <v>24</v>
      </c>
      <c r="E1455" s="4" t="s">
        <v>31</v>
      </c>
      <c r="F1455" s="4" t="s">
        <v>25</v>
      </c>
      <c r="G1455" s="4" t="s">
        <v>25</v>
      </c>
      <c r="H1455" s="4" t="s">
        <v>25</v>
      </c>
      <c r="I1455" s="5">
        <v>44621</v>
      </c>
      <c r="J1455" s="6">
        <v>0</v>
      </c>
      <c r="K1455" s="6">
        <v>0</v>
      </c>
      <c r="L1455" s="6">
        <v>-0.98499999999999999</v>
      </c>
      <c r="M1455" s="6">
        <v>-0.98499999999999999</v>
      </c>
      <c r="N1455" s="6">
        <v>-0.98499999999999999</v>
      </c>
      <c r="O1455" s="6">
        <v>-0.98499999999999999</v>
      </c>
      <c r="P1455" s="6">
        <v>-9</v>
      </c>
      <c r="Q1455" s="4" t="s">
        <v>26</v>
      </c>
      <c r="R1455" s="4">
        <v>0</v>
      </c>
      <c r="S1455" s="4" t="s">
        <v>552</v>
      </c>
      <c r="T1455" s="4" t="s">
        <v>816</v>
      </c>
      <c r="U1455" s="4">
        <v>0</v>
      </c>
      <c r="V1455" s="4">
        <v>44</v>
      </c>
      <c r="W1455" s="4">
        <v>87</v>
      </c>
    </row>
    <row r="1456" spans="1:23" ht="11.25" customHeight="1" x14ac:dyDescent="0.25">
      <c r="A1456" s="4" t="s">
        <v>28</v>
      </c>
      <c r="B1456" s="4" t="s">
        <v>22</v>
      </c>
      <c r="C1456" s="4" t="s">
        <v>23</v>
      </c>
      <c r="D1456" s="4" t="s">
        <v>24</v>
      </c>
      <c r="E1456" s="4" t="s">
        <v>31</v>
      </c>
      <c r="F1456" s="4" t="s">
        <v>25</v>
      </c>
      <c r="G1456" s="4" t="s">
        <v>25</v>
      </c>
      <c r="H1456" s="4" t="s">
        <v>25</v>
      </c>
      <c r="I1456" s="5">
        <v>44621</v>
      </c>
      <c r="J1456" s="6">
        <v>0</v>
      </c>
      <c r="K1456" s="6">
        <v>0</v>
      </c>
      <c r="L1456" s="6">
        <v>5.1989999999999998</v>
      </c>
      <c r="M1456" s="6">
        <v>5.1989999999999998</v>
      </c>
      <c r="N1456" s="6">
        <v>5.1989999999999998</v>
      </c>
      <c r="O1456" s="6">
        <v>5.1989999999999998</v>
      </c>
      <c r="P1456" s="6">
        <v>72</v>
      </c>
      <c r="Q1456" s="4" t="s">
        <v>26</v>
      </c>
      <c r="R1456" s="4">
        <v>0</v>
      </c>
      <c r="S1456" s="4" t="s">
        <v>552</v>
      </c>
      <c r="T1456" s="4" t="s">
        <v>816</v>
      </c>
      <c r="U1456" s="4">
        <v>0</v>
      </c>
      <c r="V1456" s="4">
        <v>44</v>
      </c>
      <c r="W1456" s="4">
        <v>87</v>
      </c>
    </row>
    <row r="1457" spans="1:23" ht="11.25" customHeight="1" x14ac:dyDescent="0.25">
      <c r="A1457" s="4" t="s">
        <v>28</v>
      </c>
      <c r="B1457" s="4" t="s">
        <v>22</v>
      </c>
      <c r="C1457" s="4" t="s">
        <v>23</v>
      </c>
      <c r="D1457" s="4" t="s">
        <v>24</v>
      </c>
      <c r="E1457" s="4" t="s">
        <v>31</v>
      </c>
      <c r="F1457" s="4" t="s">
        <v>25</v>
      </c>
      <c r="G1457" s="4" t="s">
        <v>25</v>
      </c>
      <c r="H1457" s="4" t="s">
        <v>25</v>
      </c>
      <c r="I1457" s="5">
        <v>44621</v>
      </c>
      <c r="J1457" s="6">
        <v>0</v>
      </c>
      <c r="K1457" s="6">
        <v>0</v>
      </c>
      <c r="L1457" s="6">
        <v>-0.12</v>
      </c>
      <c r="M1457" s="6">
        <v>-0.12</v>
      </c>
      <c r="N1457" s="6">
        <v>-0.12</v>
      </c>
      <c r="O1457" s="6">
        <v>-0.12</v>
      </c>
      <c r="P1457" s="6">
        <v>0</v>
      </c>
      <c r="Q1457" s="4" t="s">
        <v>26</v>
      </c>
      <c r="R1457" s="4">
        <v>0</v>
      </c>
      <c r="S1457" s="4" t="s">
        <v>552</v>
      </c>
      <c r="T1457" s="4" t="s">
        <v>816</v>
      </c>
      <c r="U1457" s="4">
        <v>0</v>
      </c>
      <c r="V1457" s="4">
        <v>44</v>
      </c>
      <c r="W1457" s="4">
        <v>87</v>
      </c>
    </row>
    <row r="1458" spans="1:23" ht="11.25" customHeight="1" x14ac:dyDescent="0.25">
      <c r="A1458" s="4" t="s">
        <v>21</v>
      </c>
      <c r="B1458" s="4" t="s">
        <v>22</v>
      </c>
      <c r="C1458" s="4" t="s">
        <v>23</v>
      </c>
      <c r="D1458" s="4" t="s">
        <v>24</v>
      </c>
      <c r="E1458" s="4" t="s">
        <v>31</v>
      </c>
      <c r="F1458" s="4" t="s">
        <v>25</v>
      </c>
      <c r="G1458" s="4" t="s">
        <v>25</v>
      </c>
      <c r="H1458" s="4" t="s">
        <v>25</v>
      </c>
      <c r="I1458" s="5">
        <v>44652</v>
      </c>
      <c r="J1458" s="6">
        <v>0</v>
      </c>
      <c r="K1458" s="6">
        <v>0</v>
      </c>
      <c r="L1458" s="6">
        <v>3805.0160000000001</v>
      </c>
      <c r="M1458" s="6">
        <v>3805.0160000000001</v>
      </c>
      <c r="N1458" s="6">
        <v>3805.0160000000001</v>
      </c>
      <c r="O1458" s="6">
        <v>3805.0160000000001</v>
      </c>
      <c r="P1458" s="6">
        <v>51648</v>
      </c>
      <c r="Q1458" s="4" t="s">
        <v>26</v>
      </c>
      <c r="R1458" s="4">
        <v>0</v>
      </c>
      <c r="S1458" s="4" t="s">
        <v>553</v>
      </c>
      <c r="T1458" s="4" t="s">
        <v>817</v>
      </c>
      <c r="U1458" s="4">
        <v>0</v>
      </c>
      <c r="V1458" s="4">
        <v>44</v>
      </c>
      <c r="W1458" s="4">
        <v>87</v>
      </c>
    </row>
    <row r="1459" spans="1:23" ht="11.25" customHeight="1" x14ac:dyDescent="0.25">
      <c r="A1459" s="4" t="s">
        <v>27</v>
      </c>
      <c r="B1459" s="4" t="s">
        <v>22</v>
      </c>
      <c r="C1459" s="4" t="s">
        <v>23</v>
      </c>
      <c r="D1459" s="4" t="s">
        <v>24</v>
      </c>
      <c r="E1459" s="4" t="s">
        <v>31</v>
      </c>
      <c r="F1459" s="4" t="s">
        <v>25</v>
      </c>
      <c r="G1459" s="4" t="s">
        <v>25</v>
      </c>
      <c r="H1459" s="4" t="s">
        <v>25</v>
      </c>
      <c r="I1459" s="5">
        <v>44652</v>
      </c>
      <c r="J1459" s="6">
        <v>0</v>
      </c>
      <c r="K1459" s="6">
        <v>0</v>
      </c>
      <c r="L1459" s="6">
        <v>-1.4490000000000001</v>
      </c>
      <c r="M1459" s="6">
        <v>-1.4490000000000001</v>
      </c>
      <c r="N1459" s="6">
        <v>-1.4490000000000001</v>
      </c>
      <c r="O1459" s="6">
        <v>-1.4490000000000001</v>
      </c>
      <c r="P1459" s="6">
        <v>-8</v>
      </c>
      <c r="Q1459" s="4" t="s">
        <v>26</v>
      </c>
      <c r="R1459" s="4">
        <v>0</v>
      </c>
      <c r="S1459" s="4" t="s">
        <v>553</v>
      </c>
      <c r="T1459" s="4" t="s">
        <v>817</v>
      </c>
      <c r="U1459" s="4">
        <v>0</v>
      </c>
      <c r="V1459" s="4">
        <v>44</v>
      </c>
      <c r="W1459" s="4">
        <v>87</v>
      </c>
    </row>
    <row r="1460" spans="1:23" ht="11.25" customHeight="1" x14ac:dyDescent="0.25">
      <c r="A1460" s="4" t="s">
        <v>28</v>
      </c>
      <c r="B1460" s="4" t="s">
        <v>22</v>
      </c>
      <c r="C1460" s="4" t="s">
        <v>23</v>
      </c>
      <c r="D1460" s="4" t="s">
        <v>24</v>
      </c>
      <c r="E1460" s="4" t="s">
        <v>31</v>
      </c>
      <c r="F1460" s="4" t="s">
        <v>25</v>
      </c>
      <c r="G1460" s="4" t="s">
        <v>25</v>
      </c>
      <c r="H1460" s="4" t="s">
        <v>25</v>
      </c>
      <c r="I1460" s="5">
        <v>44652</v>
      </c>
      <c r="J1460" s="6">
        <v>0</v>
      </c>
      <c r="K1460" s="6">
        <v>0</v>
      </c>
      <c r="L1460" s="6">
        <v>5.6509999999999998</v>
      </c>
      <c r="M1460" s="6">
        <v>5.6509999999999998</v>
      </c>
      <c r="N1460" s="6">
        <v>5.6509999999999998</v>
      </c>
      <c r="O1460" s="6">
        <v>5.6509999999999998</v>
      </c>
      <c r="P1460" s="6">
        <v>82</v>
      </c>
      <c r="Q1460" s="4" t="s">
        <v>26</v>
      </c>
      <c r="R1460" s="4">
        <v>0</v>
      </c>
      <c r="S1460" s="4" t="s">
        <v>553</v>
      </c>
      <c r="T1460" s="4" t="s">
        <v>817</v>
      </c>
      <c r="U1460" s="4">
        <v>0</v>
      </c>
      <c r="V1460" s="4">
        <v>44</v>
      </c>
      <c r="W1460" s="4">
        <v>87</v>
      </c>
    </row>
    <row r="1461" spans="1:23" ht="11.25" customHeight="1" x14ac:dyDescent="0.25">
      <c r="A1461" s="4" t="s">
        <v>58</v>
      </c>
      <c r="B1461" s="4" t="s">
        <v>22</v>
      </c>
      <c r="C1461" s="4" t="s">
        <v>23</v>
      </c>
      <c r="D1461" s="4" t="s">
        <v>24</v>
      </c>
      <c r="E1461" s="4" t="s">
        <v>31</v>
      </c>
      <c r="F1461" s="4" t="s">
        <v>25</v>
      </c>
      <c r="G1461" s="4" t="s">
        <v>25</v>
      </c>
      <c r="H1461" s="4" t="s">
        <v>25</v>
      </c>
      <c r="I1461" s="5">
        <v>44682</v>
      </c>
      <c r="J1461" s="6">
        <v>0</v>
      </c>
      <c r="K1461" s="6">
        <v>0</v>
      </c>
      <c r="L1461" s="6">
        <v>3805.0160000000001</v>
      </c>
      <c r="M1461" s="6">
        <v>3805.0160000000001</v>
      </c>
      <c r="N1461" s="6">
        <v>3805.0160000000001</v>
      </c>
      <c r="O1461" s="6">
        <v>3805.0160000000001</v>
      </c>
      <c r="P1461" s="6">
        <v>51648</v>
      </c>
      <c r="Q1461" s="4" t="s">
        <v>26</v>
      </c>
      <c r="R1461" s="4">
        <v>0</v>
      </c>
      <c r="S1461" s="4" t="s">
        <v>554</v>
      </c>
      <c r="T1461" s="4" t="s">
        <v>818</v>
      </c>
      <c r="U1461" s="4">
        <v>0</v>
      </c>
      <c r="V1461" s="4">
        <v>44</v>
      </c>
      <c r="W1461" s="4">
        <v>87</v>
      </c>
    </row>
    <row r="1462" spans="1:23" ht="11.25" customHeight="1" x14ac:dyDescent="0.25">
      <c r="A1462" s="4" t="s">
        <v>58</v>
      </c>
      <c r="B1462" s="4" t="s">
        <v>22</v>
      </c>
      <c r="C1462" s="4" t="s">
        <v>23</v>
      </c>
      <c r="D1462" s="4" t="s">
        <v>24</v>
      </c>
      <c r="E1462" s="4" t="s">
        <v>31</v>
      </c>
      <c r="F1462" s="4" t="s">
        <v>25</v>
      </c>
      <c r="G1462" s="4" t="s">
        <v>25</v>
      </c>
      <c r="H1462" s="4" t="s">
        <v>25</v>
      </c>
      <c r="I1462" s="5">
        <v>44682</v>
      </c>
      <c r="J1462" s="6">
        <v>0</v>
      </c>
      <c r="K1462" s="6">
        <v>0</v>
      </c>
      <c r="L1462" s="6">
        <v>-1.4490000000000001</v>
      </c>
      <c r="M1462" s="6">
        <v>-1.4490000000000001</v>
      </c>
      <c r="N1462" s="6">
        <v>-1.4490000000000001</v>
      </c>
      <c r="O1462" s="6">
        <v>-1.4490000000000001</v>
      </c>
      <c r="P1462" s="6">
        <v>-8</v>
      </c>
      <c r="Q1462" s="4" t="s">
        <v>26</v>
      </c>
      <c r="R1462" s="4">
        <v>0</v>
      </c>
      <c r="S1462" s="4" t="s">
        <v>554</v>
      </c>
      <c r="T1462" s="4" t="s">
        <v>818</v>
      </c>
      <c r="U1462" s="4">
        <v>0</v>
      </c>
      <c r="V1462" s="4">
        <v>44</v>
      </c>
      <c r="W1462" s="4">
        <v>87</v>
      </c>
    </row>
    <row r="1463" spans="1:23" ht="11.25" customHeight="1" x14ac:dyDescent="0.25">
      <c r="A1463" s="4" t="s">
        <v>58</v>
      </c>
      <c r="B1463" s="4" t="s">
        <v>22</v>
      </c>
      <c r="C1463" s="4" t="s">
        <v>23</v>
      </c>
      <c r="D1463" s="4" t="s">
        <v>24</v>
      </c>
      <c r="E1463" s="4" t="s">
        <v>31</v>
      </c>
      <c r="F1463" s="4" t="s">
        <v>25</v>
      </c>
      <c r="G1463" s="4" t="s">
        <v>25</v>
      </c>
      <c r="H1463" s="4" t="s">
        <v>25</v>
      </c>
      <c r="I1463" s="5">
        <v>44682</v>
      </c>
      <c r="J1463" s="6">
        <v>0</v>
      </c>
      <c r="K1463" s="6">
        <v>0</v>
      </c>
      <c r="L1463" s="6">
        <v>5.6509999999999998</v>
      </c>
      <c r="M1463" s="6">
        <v>5.6509999999999998</v>
      </c>
      <c r="N1463" s="6">
        <v>5.6509999999999998</v>
      </c>
      <c r="O1463" s="6">
        <v>5.6509999999999998</v>
      </c>
      <c r="P1463" s="6">
        <v>82</v>
      </c>
      <c r="Q1463" s="4" t="s">
        <v>26</v>
      </c>
      <c r="R1463" s="4">
        <v>0</v>
      </c>
      <c r="S1463" s="4" t="s">
        <v>554</v>
      </c>
      <c r="T1463" s="4" t="s">
        <v>818</v>
      </c>
      <c r="U1463" s="4">
        <v>0</v>
      </c>
      <c r="V1463" s="4">
        <v>44</v>
      </c>
      <c r="W1463" s="4">
        <v>87</v>
      </c>
    </row>
    <row r="1464" spans="1:23" ht="11.25" customHeight="1" x14ac:dyDescent="0.25">
      <c r="A1464" s="4" t="s">
        <v>21</v>
      </c>
      <c r="B1464" s="4" t="s">
        <v>22</v>
      </c>
      <c r="C1464" s="4" t="s">
        <v>23</v>
      </c>
      <c r="D1464" s="4" t="s">
        <v>24</v>
      </c>
      <c r="E1464" s="4" t="s">
        <v>32</v>
      </c>
      <c r="F1464" s="4" t="s">
        <v>25</v>
      </c>
      <c r="G1464" s="4" t="s">
        <v>25</v>
      </c>
      <c r="H1464" s="4" t="s">
        <v>25</v>
      </c>
      <c r="I1464" s="5">
        <v>44348</v>
      </c>
      <c r="J1464" s="6">
        <v>0</v>
      </c>
      <c r="K1464" s="6">
        <v>0</v>
      </c>
      <c r="L1464" s="6">
        <v>416.46699999999998</v>
      </c>
      <c r="M1464" s="6">
        <v>416.46699999999998</v>
      </c>
      <c r="N1464" s="6">
        <v>416.46699999999998</v>
      </c>
      <c r="O1464" s="6">
        <v>416.46699999999998</v>
      </c>
      <c r="P1464" s="6">
        <v>6318</v>
      </c>
      <c r="Q1464" s="4" t="s">
        <v>26</v>
      </c>
      <c r="R1464" s="4">
        <v>0</v>
      </c>
      <c r="S1464" s="4" t="s">
        <v>555</v>
      </c>
      <c r="T1464" s="4" t="s">
        <v>819</v>
      </c>
      <c r="U1464" s="4">
        <v>0</v>
      </c>
      <c r="V1464" s="4">
        <v>45</v>
      </c>
      <c r="W1464" s="4">
        <v>88</v>
      </c>
    </row>
    <row r="1465" spans="1:23" ht="11.25" customHeight="1" x14ac:dyDescent="0.25">
      <c r="A1465" s="4" t="s">
        <v>27</v>
      </c>
      <c r="B1465" s="4" t="s">
        <v>22</v>
      </c>
      <c r="C1465" s="4" t="s">
        <v>23</v>
      </c>
      <c r="D1465" s="4" t="s">
        <v>24</v>
      </c>
      <c r="E1465" s="4" t="s">
        <v>32</v>
      </c>
      <c r="F1465" s="4" t="s">
        <v>25</v>
      </c>
      <c r="G1465" s="4" t="s">
        <v>25</v>
      </c>
      <c r="H1465" s="4" t="s">
        <v>25</v>
      </c>
      <c r="I1465" s="5">
        <v>44348</v>
      </c>
      <c r="J1465" s="6">
        <v>0</v>
      </c>
      <c r="K1465" s="6">
        <v>0</v>
      </c>
      <c r="L1465" s="6">
        <v>-4.2999999999999997E-2</v>
      </c>
      <c r="M1465" s="6">
        <v>-4.2999999999999997E-2</v>
      </c>
      <c r="N1465" s="6">
        <v>-4.2999999999999997E-2</v>
      </c>
      <c r="O1465" s="6">
        <v>-4.2999999999999997E-2</v>
      </c>
      <c r="P1465" s="6">
        <v>-1</v>
      </c>
      <c r="Q1465" s="4" t="s">
        <v>26</v>
      </c>
      <c r="R1465" s="4">
        <v>0</v>
      </c>
      <c r="S1465" s="4" t="s">
        <v>555</v>
      </c>
      <c r="T1465" s="4" t="s">
        <v>819</v>
      </c>
      <c r="U1465" s="4">
        <v>0</v>
      </c>
      <c r="V1465" s="4">
        <v>45</v>
      </c>
      <c r="W1465" s="4">
        <v>88</v>
      </c>
    </row>
    <row r="1466" spans="1:23" ht="11.25" customHeight="1" x14ac:dyDescent="0.25">
      <c r="A1466" s="4" t="s">
        <v>28</v>
      </c>
      <c r="B1466" s="4" t="s">
        <v>22</v>
      </c>
      <c r="C1466" s="4" t="s">
        <v>23</v>
      </c>
      <c r="D1466" s="4" t="s">
        <v>24</v>
      </c>
      <c r="E1466" s="4" t="s">
        <v>32</v>
      </c>
      <c r="F1466" s="4" t="s">
        <v>25</v>
      </c>
      <c r="G1466" s="4" t="s">
        <v>25</v>
      </c>
      <c r="H1466" s="4" t="s">
        <v>25</v>
      </c>
      <c r="I1466" s="5">
        <v>44348</v>
      </c>
      <c r="J1466" s="6">
        <v>0</v>
      </c>
      <c r="K1466" s="6">
        <v>0</v>
      </c>
      <c r="L1466" s="6">
        <v>3.3460000000000001</v>
      </c>
      <c r="M1466" s="6">
        <v>3.3460000000000001</v>
      </c>
      <c r="N1466" s="6">
        <v>3.3460000000000001</v>
      </c>
      <c r="O1466" s="6">
        <v>3.3460000000000001</v>
      </c>
      <c r="P1466" s="6">
        <v>31</v>
      </c>
      <c r="Q1466" s="4" t="s">
        <v>26</v>
      </c>
      <c r="R1466" s="4">
        <v>0</v>
      </c>
      <c r="S1466" s="4" t="s">
        <v>555</v>
      </c>
      <c r="T1466" s="4" t="s">
        <v>819</v>
      </c>
      <c r="U1466" s="4">
        <v>0</v>
      </c>
      <c r="V1466" s="4">
        <v>45</v>
      </c>
      <c r="W1466" s="4">
        <v>88</v>
      </c>
    </row>
    <row r="1467" spans="1:23" ht="11.25" customHeight="1" x14ac:dyDescent="0.25">
      <c r="A1467" s="4" t="s">
        <v>21</v>
      </c>
      <c r="B1467" s="4" t="s">
        <v>22</v>
      </c>
      <c r="C1467" s="4" t="s">
        <v>23</v>
      </c>
      <c r="D1467" s="4" t="s">
        <v>24</v>
      </c>
      <c r="E1467" s="4" t="s">
        <v>32</v>
      </c>
      <c r="F1467" s="4" t="s">
        <v>25</v>
      </c>
      <c r="G1467" s="4" t="s">
        <v>25</v>
      </c>
      <c r="H1467" s="4" t="s">
        <v>25</v>
      </c>
      <c r="I1467" s="5">
        <v>44378</v>
      </c>
      <c r="J1467" s="6">
        <v>0</v>
      </c>
      <c r="K1467" s="6">
        <v>0</v>
      </c>
      <c r="L1467" s="6">
        <v>395.661</v>
      </c>
      <c r="M1467" s="6">
        <v>395.661</v>
      </c>
      <c r="N1467" s="6">
        <v>395.661</v>
      </c>
      <c r="O1467" s="6">
        <v>395.661</v>
      </c>
      <c r="P1467" s="6">
        <v>6291</v>
      </c>
      <c r="Q1467" s="4" t="s">
        <v>26</v>
      </c>
      <c r="R1467" s="4">
        <v>0</v>
      </c>
      <c r="S1467" s="4" t="s">
        <v>556</v>
      </c>
      <c r="T1467" s="4" t="s">
        <v>820</v>
      </c>
      <c r="U1467" s="4">
        <v>0</v>
      </c>
      <c r="V1467" s="4">
        <v>45</v>
      </c>
      <c r="W1467" s="4">
        <v>88</v>
      </c>
    </row>
    <row r="1468" spans="1:23" ht="11.25" customHeight="1" x14ac:dyDescent="0.25">
      <c r="A1468" s="4" t="s">
        <v>27</v>
      </c>
      <c r="B1468" s="4" t="s">
        <v>22</v>
      </c>
      <c r="C1468" s="4" t="s">
        <v>23</v>
      </c>
      <c r="D1468" s="4" t="s">
        <v>24</v>
      </c>
      <c r="E1468" s="4" t="s">
        <v>32</v>
      </c>
      <c r="F1468" s="4" t="s">
        <v>25</v>
      </c>
      <c r="G1468" s="4" t="s">
        <v>25</v>
      </c>
      <c r="H1468" s="4" t="s">
        <v>25</v>
      </c>
      <c r="I1468" s="5">
        <v>44378</v>
      </c>
      <c r="J1468" s="6">
        <v>0</v>
      </c>
      <c r="K1468" s="6">
        <v>0</v>
      </c>
      <c r="L1468" s="6">
        <v>-3.0000000000000001E-3</v>
      </c>
      <c r="M1468" s="6">
        <v>-3.0000000000000001E-3</v>
      </c>
      <c r="N1468" s="6">
        <v>-3.0000000000000001E-3</v>
      </c>
      <c r="O1468" s="6">
        <v>-3.0000000000000001E-3</v>
      </c>
      <c r="P1468" s="6">
        <v>-1</v>
      </c>
      <c r="Q1468" s="4" t="s">
        <v>26</v>
      </c>
      <c r="R1468" s="4">
        <v>0</v>
      </c>
      <c r="S1468" s="4" t="s">
        <v>556</v>
      </c>
      <c r="T1468" s="4" t="s">
        <v>820</v>
      </c>
      <c r="U1468" s="4">
        <v>0</v>
      </c>
      <c r="V1468" s="4">
        <v>45</v>
      </c>
      <c r="W1468" s="4">
        <v>88</v>
      </c>
    </row>
    <row r="1469" spans="1:23" ht="11.25" customHeight="1" x14ac:dyDescent="0.25">
      <c r="A1469" s="4" t="s">
        <v>28</v>
      </c>
      <c r="B1469" s="4" t="s">
        <v>22</v>
      </c>
      <c r="C1469" s="4" t="s">
        <v>23</v>
      </c>
      <c r="D1469" s="4" t="s">
        <v>24</v>
      </c>
      <c r="E1469" s="4" t="s">
        <v>32</v>
      </c>
      <c r="F1469" s="4" t="s">
        <v>25</v>
      </c>
      <c r="G1469" s="4" t="s">
        <v>25</v>
      </c>
      <c r="H1469" s="4" t="s">
        <v>25</v>
      </c>
      <c r="I1469" s="5">
        <v>44378</v>
      </c>
      <c r="J1469" s="6">
        <v>0</v>
      </c>
      <c r="K1469" s="6">
        <v>0</v>
      </c>
      <c r="L1469" s="6">
        <v>3.145</v>
      </c>
      <c r="M1469" s="6">
        <v>3.145</v>
      </c>
      <c r="N1469" s="6">
        <v>3.145</v>
      </c>
      <c r="O1469" s="6">
        <v>3.145</v>
      </c>
      <c r="P1469" s="6">
        <v>31</v>
      </c>
      <c r="Q1469" s="4" t="s">
        <v>26</v>
      </c>
      <c r="R1469" s="4">
        <v>0</v>
      </c>
      <c r="S1469" s="4" t="s">
        <v>556</v>
      </c>
      <c r="T1469" s="4" t="s">
        <v>820</v>
      </c>
      <c r="U1469" s="4">
        <v>0</v>
      </c>
      <c r="V1469" s="4">
        <v>45</v>
      </c>
      <c r="W1469" s="4">
        <v>88</v>
      </c>
    </row>
    <row r="1470" spans="1:23" ht="11.25" customHeight="1" x14ac:dyDescent="0.25">
      <c r="A1470" s="4" t="s">
        <v>21</v>
      </c>
      <c r="B1470" s="4" t="s">
        <v>22</v>
      </c>
      <c r="C1470" s="4" t="s">
        <v>23</v>
      </c>
      <c r="D1470" s="4" t="s">
        <v>24</v>
      </c>
      <c r="E1470" s="4" t="s">
        <v>32</v>
      </c>
      <c r="F1470" s="4" t="s">
        <v>25</v>
      </c>
      <c r="G1470" s="4" t="s">
        <v>25</v>
      </c>
      <c r="H1470" s="4" t="s">
        <v>25</v>
      </c>
      <c r="I1470" s="5">
        <v>44409</v>
      </c>
      <c r="J1470" s="6">
        <v>0</v>
      </c>
      <c r="K1470" s="6">
        <v>0</v>
      </c>
      <c r="L1470" s="6">
        <v>415.32299999999998</v>
      </c>
      <c r="M1470" s="6">
        <v>415.32299999999998</v>
      </c>
      <c r="N1470" s="6">
        <v>415.32299999999998</v>
      </c>
      <c r="O1470" s="6">
        <v>415.32299999999998</v>
      </c>
      <c r="P1470" s="6">
        <v>6611</v>
      </c>
      <c r="Q1470" s="4" t="s">
        <v>26</v>
      </c>
      <c r="R1470" s="4">
        <v>0</v>
      </c>
      <c r="S1470" s="4" t="s">
        <v>557</v>
      </c>
      <c r="T1470" s="4" t="s">
        <v>821</v>
      </c>
      <c r="U1470" s="4">
        <v>0</v>
      </c>
      <c r="V1470" s="4">
        <v>45</v>
      </c>
      <c r="W1470" s="4">
        <v>88</v>
      </c>
    </row>
    <row r="1471" spans="1:23" ht="11.25" customHeight="1" x14ac:dyDescent="0.25">
      <c r="A1471" s="4" t="s">
        <v>27</v>
      </c>
      <c r="B1471" s="4" t="s">
        <v>22</v>
      </c>
      <c r="C1471" s="4" t="s">
        <v>23</v>
      </c>
      <c r="D1471" s="4" t="s">
        <v>24</v>
      </c>
      <c r="E1471" s="4" t="s">
        <v>32</v>
      </c>
      <c r="F1471" s="4" t="s">
        <v>25</v>
      </c>
      <c r="G1471" s="4" t="s">
        <v>25</v>
      </c>
      <c r="H1471" s="4" t="s">
        <v>25</v>
      </c>
      <c r="I1471" s="5">
        <v>44409</v>
      </c>
      <c r="J1471" s="6">
        <v>0</v>
      </c>
      <c r="K1471" s="6">
        <v>0</v>
      </c>
      <c r="L1471" s="6">
        <v>-3.7890000000000001</v>
      </c>
      <c r="M1471" s="6">
        <v>-3.7890000000000001</v>
      </c>
      <c r="N1471" s="6">
        <v>-3.7890000000000001</v>
      </c>
      <c r="O1471" s="6">
        <v>-3.7890000000000001</v>
      </c>
      <c r="P1471" s="6">
        <v>-8</v>
      </c>
      <c r="Q1471" s="4" t="s">
        <v>26</v>
      </c>
      <c r="R1471" s="4">
        <v>0</v>
      </c>
      <c r="S1471" s="4" t="s">
        <v>557</v>
      </c>
      <c r="T1471" s="4" t="s">
        <v>821</v>
      </c>
      <c r="U1471" s="4">
        <v>0</v>
      </c>
      <c r="V1471" s="4">
        <v>45</v>
      </c>
      <c r="W1471" s="4">
        <v>88</v>
      </c>
    </row>
    <row r="1472" spans="1:23" ht="11.25" customHeight="1" x14ac:dyDescent="0.25">
      <c r="A1472" s="4" t="s">
        <v>28</v>
      </c>
      <c r="B1472" s="4" t="s">
        <v>22</v>
      </c>
      <c r="C1472" s="4" t="s">
        <v>23</v>
      </c>
      <c r="D1472" s="4" t="s">
        <v>24</v>
      </c>
      <c r="E1472" s="4" t="s">
        <v>32</v>
      </c>
      <c r="F1472" s="4" t="s">
        <v>25</v>
      </c>
      <c r="G1472" s="4" t="s">
        <v>25</v>
      </c>
      <c r="H1472" s="4" t="s">
        <v>25</v>
      </c>
      <c r="I1472" s="5">
        <v>44409</v>
      </c>
      <c r="J1472" s="6">
        <v>0</v>
      </c>
      <c r="K1472" s="6">
        <v>0</v>
      </c>
      <c r="L1472" s="6">
        <v>3.2330000000000001</v>
      </c>
      <c r="M1472" s="6">
        <v>3.2330000000000001</v>
      </c>
      <c r="N1472" s="6">
        <v>3.2330000000000001</v>
      </c>
      <c r="O1472" s="6">
        <v>3.2330000000000001</v>
      </c>
      <c r="P1472" s="6">
        <v>40</v>
      </c>
      <c r="Q1472" s="4" t="s">
        <v>26</v>
      </c>
      <c r="R1472" s="4">
        <v>0</v>
      </c>
      <c r="S1472" s="4" t="s">
        <v>557</v>
      </c>
      <c r="T1472" s="4" t="s">
        <v>821</v>
      </c>
      <c r="U1472" s="4">
        <v>0</v>
      </c>
      <c r="V1472" s="4">
        <v>45</v>
      </c>
      <c r="W1472" s="4">
        <v>88</v>
      </c>
    </row>
    <row r="1473" spans="1:23" ht="11.25" customHeight="1" x14ac:dyDescent="0.25">
      <c r="A1473" s="4" t="s">
        <v>21</v>
      </c>
      <c r="B1473" s="4" t="s">
        <v>22</v>
      </c>
      <c r="C1473" s="4" t="s">
        <v>23</v>
      </c>
      <c r="D1473" s="4" t="s">
        <v>24</v>
      </c>
      <c r="E1473" s="4" t="s">
        <v>32</v>
      </c>
      <c r="F1473" s="4" t="s">
        <v>25</v>
      </c>
      <c r="G1473" s="4" t="s">
        <v>25</v>
      </c>
      <c r="H1473" s="4" t="s">
        <v>25</v>
      </c>
      <c r="I1473" s="5">
        <v>44440</v>
      </c>
      <c r="J1473" s="6">
        <v>0</v>
      </c>
      <c r="K1473" s="6">
        <v>0</v>
      </c>
      <c r="L1473" s="6">
        <v>642.28399999999999</v>
      </c>
      <c r="M1473" s="6">
        <v>642.28399999999999</v>
      </c>
      <c r="N1473" s="6">
        <v>642.28399999999999</v>
      </c>
      <c r="O1473" s="6">
        <v>642.28399999999999</v>
      </c>
      <c r="P1473" s="6">
        <v>9346</v>
      </c>
      <c r="Q1473" s="4" t="s">
        <v>26</v>
      </c>
      <c r="R1473" s="4">
        <v>0</v>
      </c>
      <c r="S1473" s="4" t="s">
        <v>558</v>
      </c>
      <c r="T1473" s="4" t="s">
        <v>822</v>
      </c>
      <c r="U1473" s="4">
        <v>0</v>
      </c>
      <c r="V1473" s="4">
        <v>45</v>
      </c>
      <c r="W1473" s="4">
        <v>88</v>
      </c>
    </row>
    <row r="1474" spans="1:23" ht="11.25" customHeight="1" x14ac:dyDescent="0.25">
      <c r="A1474" s="4" t="s">
        <v>27</v>
      </c>
      <c r="B1474" s="4" t="s">
        <v>22</v>
      </c>
      <c r="C1474" s="4" t="s">
        <v>23</v>
      </c>
      <c r="D1474" s="4" t="s">
        <v>24</v>
      </c>
      <c r="E1474" s="4" t="s">
        <v>32</v>
      </c>
      <c r="F1474" s="4" t="s">
        <v>25</v>
      </c>
      <c r="G1474" s="4" t="s">
        <v>25</v>
      </c>
      <c r="H1474" s="4" t="s">
        <v>25</v>
      </c>
      <c r="I1474" s="5">
        <v>44440</v>
      </c>
      <c r="J1474" s="6">
        <v>0</v>
      </c>
      <c r="K1474" s="6">
        <v>0</v>
      </c>
      <c r="L1474" s="6">
        <v>-3.7919999999999998</v>
      </c>
      <c r="M1474" s="6">
        <v>-3.7919999999999998</v>
      </c>
      <c r="N1474" s="6">
        <v>-3.7919999999999998</v>
      </c>
      <c r="O1474" s="6">
        <v>-3.7919999999999998</v>
      </c>
      <c r="P1474" s="6">
        <v>-7</v>
      </c>
      <c r="Q1474" s="4" t="s">
        <v>26</v>
      </c>
      <c r="R1474" s="4">
        <v>0</v>
      </c>
      <c r="S1474" s="4" t="s">
        <v>558</v>
      </c>
      <c r="T1474" s="4" t="s">
        <v>822</v>
      </c>
      <c r="U1474" s="4">
        <v>0</v>
      </c>
      <c r="V1474" s="4">
        <v>45</v>
      </c>
      <c r="W1474" s="4">
        <v>88</v>
      </c>
    </row>
    <row r="1475" spans="1:23" ht="11.25" customHeight="1" x14ac:dyDescent="0.25">
      <c r="A1475" s="4" t="s">
        <v>28</v>
      </c>
      <c r="B1475" s="4" t="s">
        <v>22</v>
      </c>
      <c r="C1475" s="4" t="s">
        <v>23</v>
      </c>
      <c r="D1475" s="4" t="s">
        <v>24</v>
      </c>
      <c r="E1475" s="4" t="s">
        <v>32</v>
      </c>
      <c r="F1475" s="4" t="s">
        <v>25</v>
      </c>
      <c r="G1475" s="4" t="s">
        <v>25</v>
      </c>
      <c r="H1475" s="4" t="s">
        <v>25</v>
      </c>
      <c r="I1475" s="5">
        <v>44440</v>
      </c>
      <c r="J1475" s="6">
        <v>0</v>
      </c>
      <c r="K1475" s="6">
        <v>0</v>
      </c>
      <c r="L1475" s="6">
        <v>4.22</v>
      </c>
      <c r="M1475" s="6">
        <v>4.22</v>
      </c>
      <c r="N1475" s="6">
        <v>4.22</v>
      </c>
      <c r="O1475" s="6">
        <v>4.22</v>
      </c>
      <c r="P1475" s="6">
        <v>47</v>
      </c>
      <c r="Q1475" s="4" t="s">
        <v>26</v>
      </c>
      <c r="R1475" s="4">
        <v>0</v>
      </c>
      <c r="S1475" s="4" t="s">
        <v>558</v>
      </c>
      <c r="T1475" s="4" t="s">
        <v>822</v>
      </c>
      <c r="U1475" s="4">
        <v>0</v>
      </c>
      <c r="V1475" s="4">
        <v>45</v>
      </c>
      <c r="W1475" s="4">
        <v>88</v>
      </c>
    </row>
    <row r="1476" spans="1:23" ht="11.25" customHeight="1" x14ac:dyDescent="0.25">
      <c r="A1476" s="4" t="s">
        <v>21</v>
      </c>
      <c r="B1476" s="4" t="s">
        <v>22</v>
      </c>
      <c r="C1476" s="4" t="s">
        <v>23</v>
      </c>
      <c r="D1476" s="4" t="s">
        <v>24</v>
      </c>
      <c r="E1476" s="4" t="s">
        <v>32</v>
      </c>
      <c r="F1476" s="4" t="s">
        <v>25</v>
      </c>
      <c r="G1476" s="4" t="s">
        <v>25</v>
      </c>
      <c r="H1476" s="4" t="s">
        <v>25</v>
      </c>
      <c r="I1476" s="5">
        <v>44470</v>
      </c>
      <c r="J1476" s="6">
        <v>0</v>
      </c>
      <c r="K1476" s="6">
        <v>0</v>
      </c>
      <c r="L1476" s="6">
        <v>515.21600000000001</v>
      </c>
      <c r="M1476" s="6">
        <v>515.21600000000001</v>
      </c>
      <c r="N1476" s="6">
        <v>515.21600000000001</v>
      </c>
      <c r="O1476" s="6">
        <v>515.21600000000001</v>
      </c>
      <c r="P1476" s="6">
        <v>7642</v>
      </c>
      <c r="Q1476" s="4" t="s">
        <v>26</v>
      </c>
      <c r="R1476" s="4">
        <v>0</v>
      </c>
      <c r="S1476" s="4" t="s">
        <v>559</v>
      </c>
      <c r="T1476" s="4" t="s">
        <v>823</v>
      </c>
      <c r="U1476" s="4">
        <v>0</v>
      </c>
      <c r="V1476" s="4">
        <v>45</v>
      </c>
      <c r="W1476" s="4">
        <v>88</v>
      </c>
    </row>
    <row r="1477" spans="1:23" ht="11.25" customHeight="1" x14ac:dyDescent="0.25">
      <c r="A1477" s="4" t="s">
        <v>27</v>
      </c>
      <c r="B1477" s="4" t="s">
        <v>22</v>
      </c>
      <c r="C1477" s="4" t="s">
        <v>23</v>
      </c>
      <c r="D1477" s="4" t="s">
        <v>24</v>
      </c>
      <c r="E1477" s="4" t="s">
        <v>32</v>
      </c>
      <c r="F1477" s="4" t="s">
        <v>25</v>
      </c>
      <c r="G1477" s="4" t="s">
        <v>25</v>
      </c>
      <c r="H1477" s="4" t="s">
        <v>25</v>
      </c>
      <c r="I1477" s="5">
        <v>44470</v>
      </c>
      <c r="J1477" s="6">
        <v>0</v>
      </c>
      <c r="K1477" s="6">
        <v>0</v>
      </c>
      <c r="L1477" s="6">
        <v>-0.76200000000000001</v>
      </c>
      <c r="M1477" s="6">
        <v>-0.76200000000000001</v>
      </c>
      <c r="N1477" s="6">
        <v>-0.76200000000000001</v>
      </c>
      <c r="O1477" s="6">
        <v>-0.76200000000000001</v>
      </c>
      <c r="P1477" s="6">
        <v>-3</v>
      </c>
      <c r="Q1477" s="4" t="s">
        <v>26</v>
      </c>
      <c r="R1477" s="4">
        <v>0</v>
      </c>
      <c r="S1477" s="4" t="s">
        <v>559</v>
      </c>
      <c r="T1477" s="4" t="s">
        <v>823</v>
      </c>
      <c r="U1477" s="4">
        <v>0</v>
      </c>
      <c r="V1477" s="4">
        <v>45</v>
      </c>
      <c r="W1477" s="4">
        <v>88</v>
      </c>
    </row>
    <row r="1478" spans="1:23" ht="11.25" customHeight="1" x14ac:dyDescent="0.25">
      <c r="A1478" s="4" t="s">
        <v>28</v>
      </c>
      <c r="B1478" s="4" t="s">
        <v>22</v>
      </c>
      <c r="C1478" s="4" t="s">
        <v>23</v>
      </c>
      <c r="D1478" s="4" t="s">
        <v>24</v>
      </c>
      <c r="E1478" s="4" t="s">
        <v>32</v>
      </c>
      <c r="F1478" s="4" t="s">
        <v>25</v>
      </c>
      <c r="G1478" s="4" t="s">
        <v>25</v>
      </c>
      <c r="H1478" s="4" t="s">
        <v>25</v>
      </c>
      <c r="I1478" s="5">
        <v>44470</v>
      </c>
      <c r="J1478" s="6">
        <v>0</v>
      </c>
      <c r="K1478" s="6">
        <v>0</v>
      </c>
      <c r="L1478" s="6">
        <v>6.4749999999999996</v>
      </c>
      <c r="M1478" s="6">
        <v>6.4749999999999996</v>
      </c>
      <c r="N1478" s="6">
        <v>6.4749999999999996</v>
      </c>
      <c r="O1478" s="6">
        <v>6.4749999999999996</v>
      </c>
      <c r="P1478" s="6">
        <v>55</v>
      </c>
      <c r="Q1478" s="4" t="s">
        <v>26</v>
      </c>
      <c r="R1478" s="4">
        <v>0</v>
      </c>
      <c r="S1478" s="4" t="s">
        <v>559</v>
      </c>
      <c r="T1478" s="4" t="s">
        <v>823</v>
      </c>
      <c r="U1478" s="4">
        <v>0</v>
      </c>
      <c r="V1478" s="4">
        <v>45</v>
      </c>
      <c r="W1478" s="4">
        <v>88</v>
      </c>
    </row>
    <row r="1479" spans="1:23" ht="11.25" customHeight="1" x14ac:dyDescent="0.25">
      <c r="A1479" s="4" t="s">
        <v>21</v>
      </c>
      <c r="B1479" s="4" t="s">
        <v>22</v>
      </c>
      <c r="C1479" s="4" t="s">
        <v>23</v>
      </c>
      <c r="D1479" s="4" t="s">
        <v>24</v>
      </c>
      <c r="E1479" s="4" t="s">
        <v>32</v>
      </c>
      <c r="F1479" s="4" t="s">
        <v>25</v>
      </c>
      <c r="G1479" s="4" t="s">
        <v>25</v>
      </c>
      <c r="H1479" s="4" t="s">
        <v>25</v>
      </c>
      <c r="I1479" s="5">
        <v>44501</v>
      </c>
      <c r="J1479" s="6">
        <v>0</v>
      </c>
      <c r="K1479" s="6">
        <v>0</v>
      </c>
      <c r="L1479" s="6">
        <v>528.21600000000001</v>
      </c>
      <c r="M1479" s="6">
        <v>528.21600000000001</v>
      </c>
      <c r="N1479" s="6">
        <v>528.21600000000001</v>
      </c>
      <c r="O1479" s="6">
        <v>528.21600000000001</v>
      </c>
      <c r="P1479" s="6">
        <v>7959</v>
      </c>
      <c r="Q1479" s="4" t="s">
        <v>26</v>
      </c>
      <c r="R1479" s="4">
        <v>0</v>
      </c>
      <c r="S1479" s="4" t="s">
        <v>560</v>
      </c>
      <c r="T1479" s="4" t="s">
        <v>824</v>
      </c>
      <c r="U1479" s="4">
        <v>0</v>
      </c>
      <c r="V1479" s="4">
        <v>45</v>
      </c>
      <c r="W1479" s="4">
        <v>88</v>
      </c>
    </row>
    <row r="1480" spans="1:23" ht="11.25" customHeight="1" x14ac:dyDescent="0.25">
      <c r="A1480" s="4" t="s">
        <v>27</v>
      </c>
      <c r="B1480" s="4" t="s">
        <v>22</v>
      </c>
      <c r="C1480" s="4" t="s">
        <v>23</v>
      </c>
      <c r="D1480" s="4" t="s">
        <v>24</v>
      </c>
      <c r="E1480" s="4" t="s">
        <v>32</v>
      </c>
      <c r="F1480" s="4" t="s">
        <v>25</v>
      </c>
      <c r="G1480" s="4" t="s">
        <v>25</v>
      </c>
      <c r="H1480" s="4" t="s">
        <v>25</v>
      </c>
      <c r="I1480" s="5">
        <v>44501</v>
      </c>
      <c r="J1480" s="6">
        <v>0</v>
      </c>
      <c r="K1480" s="6">
        <v>0</v>
      </c>
      <c r="L1480" s="6">
        <v>-0.152</v>
      </c>
      <c r="M1480" s="6">
        <v>-0.152</v>
      </c>
      <c r="N1480" s="6">
        <v>-0.152</v>
      </c>
      <c r="O1480" s="6">
        <v>-0.152</v>
      </c>
      <c r="P1480" s="6">
        <v>-2</v>
      </c>
      <c r="Q1480" s="4" t="s">
        <v>26</v>
      </c>
      <c r="R1480" s="4">
        <v>0</v>
      </c>
      <c r="S1480" s="4" t="s">
        <v>560</v>
      </c>
      <c r="T1480" s="4" t="s">
        <v>824</v>
      </c>
      <c r="U1480" s="4">
        <v>0</v>
      </c>
      <c r="V1480" s="4">
        <v>45</v>
      </c>
      <c r="W1480" s="4">
        <v>88</v>
      </c>
    </row>
    <row r="1481" spans="1:23" ht="11.25" customHeight="1" x14ac:dyDescent="0.25">
      <c r="A1481" s="4" t="s">
        <v>28</v>
      </c>
      <c r="B1481" s="4" t="s">
        <v>22</v>
      </c>
      <c r="C1481" s="4" t="s">
        <v>23</v>
      </c>
      <c r="D1481" s="4" t="s">
        <v>24</v>
      </c>
      <c r="E1481" s="4" t="s">
        <v>32</v>
      </c>
      <c r="F1481" s="4" t="s">
        <v>25</v>
      </c>
      <c r="G1481" s="4" t="s">
        <v>25</v>
      </c>
      <c r="H1481" s="4" t="s">
        <v>25</v>
      </c>
      <c r="I1481" s="5">
        <v>44501</v>
      </c>
      <c r="J1481" s="6">
        <v>0</v>
      </c>
      <c r="K1481" s="6">
        <v>0</v>
      </c>
      <c r="L1481" s="6">
        <v>7.4710000000000001</v>
      </c>
      <c r="M1481" s="6">
        <v>7.4710000000000001</v>
      </c>
      <c r="N1481" s="6">
        <v>7.4710000000000001</v>
      </c>
      <c r="O1481" s="6">
        <v>7.4710000000000001</v>
      </c>
      <c r="P1481" s="6">
        <v>56</v>
      </c>
      <c r="Q1481" s="4" t="s">
        <v>26</v>
      </c>
      <c r="R1481" s="4">
        <v>0</v>
      </c>
      <c r="S1481" s="4" t="s">
        <v>560</v>
      </c>
      <c r="T1481" s="4" t="s">
        <v>824</v>
      </c>
      <c r="U1481" s="4">
        <v>0</v>
      </c>
      <c r="V1481" s="4">
        <v>45</v>
      </c>
      <c r="W1481" s="4">
        <v>88</v>
      </c>
    </row>
    <row r="1482" spans="1:23" ht="11.25" customHeight="1" x14ac:dyDescent="0.25">
      <c r="A1482" s="4" t="s">
        <v>21</v>
      </c>
      <c r="B1482" s="4" t="s">
        <v>22</v>
      </c>
      <c r="C1482" s="4" t="s">
        <v>23</v>
      </c>
      <c r="D1482" s="4" t="s">
        <v>24</v>
      </c>
      <c r="E1482" s="4" t="s">
        <v>32</v>
      </c>
      <c r="F1482" s="4" t="s">
        <v>25</v>
      </c>
      <c r="G1482" s="4" t="s">
        <v>25</v>
      </c>
      <c r="H1482" s="4" t="s">
        <v>25</v>
      </c>
      <c r="I1482" s="5">
        <v>44531</v>
      </c>
      <c r="J1482" s="6">
        <v>0</v>
      </c>
      <c r="K1482" s="6">
        <v>0</v>
      </c>
      <c r="L1482" s="6">
        <v>725.89</v>
      </c>
      <c r="M1482" s="6">
        <v>725.89</v>
      </c>
      <c r="N1482" s="6">
        <v>725.89</v>
      </c>
      <c r="O1482" s="6">
        <v>725.89</v>
      </c>
      <c r="P1482" s="6">
        <v>10407</v>
      </c>
      <c r="Q1482" s="4" t="s">
        <v>26</v>
      </c>
      <c r="R1482" s="4">
        <v>0</v>
      </c>
      <c r="S1482" s="4" t="s">
        <v>561</v>
      </c>
      <c r="T1482" s="4" t="s">
        <v>825</v>
      </c>
      <c r="U1482" s="4">
        <v>0</v>
      </c>
      <c r="V1482" s="4">
        <v>45</v>
      </c>
      <c r="W1482" s="4">
        <v>88</v>
      </c>
    </row>
    <row r="1483" spans="1:23" ht="11.25" customHeight="1" x14ac:dyDescent="0.25">
      <c r="A1483" s="4" t="s">
        <v>27</v>
      </c>
      <c r="B1483" s="4" t="s">
        <v>22</v>
      </c>
      <c r="C1483" s="4" t="s">
        <v>23</v>
      </c>
      <c r="D1483" s="4" t="s">
        <v>24</v>
      </c>
      <c r="E1483" s="4" t="s">
        <v>32</v>
      </c>
      <c r="F1483" s="4" t="s">
        <v>25</v>
      </c>
      <c r="G1483" s="4" t="s">
        <v>25</v>
      </c>
      <c r="H1483" s="4" t="s">
        <v>25</v>
      </c>
      <c r="I1483" s="5">
        <v>44531</v>
      </c>
      <c r="J1483" s="6">
        <v>0</v>
      </c>
      <c r="K1483" s="6">
        <v>0</v>
      </c>
      <c r="L1483" s="6">
        <v>-3.0390000000000001</v>
      </c>
      <c r="M1483" s="6">
        <v>-3.0390000000000001</v>
      </c>
      <c r="N1483" s="6">
        <v>-3.0390000000000001</v>
      </c>
      <c r="O1483" s="6">
        <v>-3.0390000000000001</v>
      </c>
      <c r="P1483" s="6">
        <v>-8</v>
      </c>
      <c r="Q1483" s="4" t="s">
        <v>26</v>
      </c>
      <c r="R1483" s="4">
        <v>0</v>
      </c>
      <c r="S1483" s="4" t="s">
        <v>561</v>
      </c>
      <c r="T1483" s="4" t="s">
        <v>825</v>
      </c>
      <c r="U1483" s="4">
        <v>0</v>
      </c>
      <c r="V1483" s="4">
        <v>45</v>
      </c>
      <c r="W1483" s="4">
        <v>88</v>
      </c>
    </row>
    <row r="1484" spans="1:23" ht="11.25" customHeight="1" x14ac:dyDescent="0.25">
      <c r="A1484" s="4" t="s">
        <v>28</v>
      </c>
      <c r="B1484" s="4" t="s">
        <v>22</v>
      </c>
      <c r="C1484" s="4" t="s">
        <v>23</v>
      </c>
      <c r="D1484" s="4" t="s">
        <v>24</v>
      </c>
      <c r="E1484" s="4" t="s">
        <v>32</v>
      </c>
      <c r="F1484" s="4" t="s">
        <v>25</v>
      </c>
      <c r="G1484" s="4" t="s">
        <v>25</v>
      </c>
      <c r="H1484" s="4" t="s">
        <v>25</v>
      </c>
      <c r="I1484" s="5">
        <v>44531</v>
      </c>
      <c r="J1484" s="6">
        <v>0</v>
      </c>
      <c r="K1484" s="6">
        <v>0</v>
      </c>
      <c r="L1484" s="6">
        <v>6.5940000000000003</v>
      </c>
      <c r="M1484" s="6">
        <v>6.5940000000000003</v>
      </c>
      <c r="N1484" s="6">
        <v>6.5940000000000003</v>
      </c>
      <c r="O1484" s="6">
        <v>6.5940000000000003</v>
      </c>
      <c r="P1484" s="6">
        <v>76</v>
      </c>
      <c r="Q1484" s="4" t="s">
        <v>26</v>
      </c>
      <c r="R1484" s="4">
        <v>0</v>
      </c>
      <c r="S1484" s="4" t="s">
        <v>561</v>
      </c>
      <c r="T1484" s="4" t="s">
        <v>825</v>
      </c>
      <c r="U1484" s="4">
        <v>0</v>
      </c>
      <c r="V1484" s="4">
        <v>45</v>
      </c>
      <c r="W1484" s="4">
        <v>88</v>
      </c>
    </row>
    <row r="1485" spans="1:23" ht="11.25" customHeight="1" x14ac:dyDescent="0.25">
      <c r="A1485" s="4" t="s">
        <v>21</v>
      </c>
      <c r="B1485" s="4" t="s">
        <v>22</v>
      </c>
      <c r="C1485" s="4" t="s">
        <v>23</v>
      </c>
      <c r="D1485" s="4" t="s">
        <v>24</v>
      </c>
      <c r="E1485" s="4" t="s">
        <v>32</v>
      </c>
      <c r="F1485" s="4" t="s">
        <v>25</v>
      </c>
      <c r="G1485" s="4" t="s">
        <v>25</v>
      </c>
      <c r="H1485" s="4" t="s">
        <v>25</v>
      </c>
      <c r="I1485" s="5">
        <v>44562</v>
      </c>
      <c r="J1485" s="6">
        <v>0</v>
      </c>
      <c r="K1485" s="6">
        <v>0</v>
      </c>
      <c r="L1485" s="6">
        <v>737.99099999999999</v>
      </c>
      <c r="M1485" s="6">
        <v>737.99099999999999</v>
      </c>
      <c r="N1485" s="6">
        <v>737.99099999999999</v>
      </c>
      <c r="O1485" s="6">
        <v>737.99099999999999</v>
      </c>
      <c r="P1485" s="6">
        <v>10440</v>
      </c>
      <c r="Q1485" s="4" t="s">
        <v>26</v>
      </c>
      <c r="R1485" s="4">
        <v>0</v>
      </c>
      <c r="S1485" s="4" t="s">
        <v>562</v>
      </c>
      <c r="T1485" s="4" t="s">
        <v>826</v>
      </c>
      <c r="U1485" s="4">
        <v>0</v>
      </c>
      <c r="V1485" s="4">
        <v>45</v>
      </c>
      <c r="W1485" s="4">
        <v>88</v>
      </c>
    </row>
    <row r="1486" spans="1:23" ht="11.25" customHeight="1" x14ac:dyDescent="0.25">
      <c r="A1486" s="4" t="s">
        <v>27</v>
      </c>
      <c r="B1486" s="4" t="s">
        <v>22</v>
      </c>
      <c r="C1486" s="4" t="s">
        <v>23</v>
      </c>
      <c r="D1486" s="4" t="s">
        <v>24</v>
      </c>
      <c r="E1486" s="4" t="s">
        <v>32</v>
      </c>
      <c r="F1486" s="4" t="s">
        <v>25</v>
      </c>
      <c r="G1486" s="4" t="s">
        <v>25</v>
      </c>
      <c r="H1486" s="4" t="s">
        <v>25</v>
      </c>
      <c r="I1486" s="5">
        <v>44562</v>
      </c>
      <c r="J1486" s="6">
        <v>0</v>
      </c>
      <c r="K1486" s="6">
        <v>0</v>
      </c>
      <c r="L1486" s="6">
        <v>-0.34699999999999998</v>
      </c>
      <c r="M1486" s="6">
        <v>-0.34699999999999998</v>
      </c>
      <c r="N1486" s="6">
        <v>-0.34699999999999998</v>
      </c>
      <c r="O1486" s="6">
        <v>-0.34699999999999998</v>
      </c>
      <c r="P1486" s="6">
        <v>-3</v>
      </c>
      <c r="Q1486" s="4" t="s">
        <v>26</v>
      </c>
      <c r="R1486" s="4">
        <v>0</v>
      </c>
      <c r="S1486" s="4" t="s">
        <v>562</v>
      </c>
      <c r="T1486" s="4" t="s">
        <v>826</v>
      </c>
      <c r="U1486" s="4">
        <v>0</v>
      </c>
      <c r="V1486" s="4">
        <v>45</v>
      </c>
      <c r="W1486" s="4">
        <v>88</v>
      </c>
    </row>
    <row r="1487" spans="1:23" ht="11.25" customHeight="1" x14ac:dyDescent="0.25">
      <c r="A1487" s="4" t="s">
        <v>28</v>
      </c>
      <c r="B1487" s="4" t="s">
        <v>22</v>
      </c>
      <c r="C1487" s="4" t="s">
        <v>23</v>
      </c>
      <c r="D1487" s="4" t="s">
        <v>24</v>
      </c>
      <c r="E1487" s="4" t="s">
        <v>32</v>
      </c>
      <c r="F1487" s="4" t="s">
        <v>25</v>
      </c>
      <c r="G1487" s="4" t="s">
        <v>25</v>
      </c>
      <c r="H1487" s="4" t="s">
        <v>25</v>
      </c>
      <c r="I1487" s="5">
        <v>44562</v>
      </c>
      <c r="J1487" s="6">
        <v>0</v>
      </c>
      <c r="K1487" s="6">
        <v>0</v>
      </c>
      <c r="L1487" s="6">
        <v>6.468</v>
      </c>
      <c r="M1487" s="6">
        <v>6.468</v>
      </c>
      <c r="N1487" s="6">
        <v>6.468</v>
      </c>
      <c r="O1487" s="6">
        <v>6.468</v>
      </c>
      <c r="P1487" s="6">
        <v>82</v>
      </c>
      <c r="Q1487" s="4" t="s">
        <v>26</v>
      </c>
      <c r="R1487" s="4">
        <v>0</v>
      </c>
      <c r="S1487" s="4" t="s">
        <v>562</v>
      </c>
      <c r="T1487" s="4" t="s">
        <v>826</v>
      </c>
      <c r="U1487" s="4">
        <v>0</v>
      </c>
      <c r="V1487" s="4">
        <v>45</v>
      </c>
      <c r="W1487" s="4">
        <v>88</v>
      </c>
    </row>
    <row r="1488" spans="1:23" ht="11.25" customHeight="1" x14ac:dyDescent="0.25">
      <c r="A1488" s="4" t="s">
        <v>21</v>
      </c>
      <c r="B1488" s="4" t="s">
        <v>22</v>
      </c>
      <c r="C1488" s="4" t="s">
        <v>23</v>
      </c>
      <c r="D1488" s="4" t="s">
        <v>24</v>
      </c>
      <c r="E1488" s="4" t="s">
        <v>32</v>
      </c>
      <c r="F1488" s="4" t="s">
        <v>25</v>
      </c>
      <c r="G1488" s="4" t="s">
        <v>25</v>
      </c>
      <c r="H1488" s="4" t="s">
        <v>25</v>
      </c>
      <c r="I1488" s="5">
        <v>44593</v>
      </c>
      <c r="J1488" s="6">
        <v>0</v>
      </c>
      <c r="K1488" s="6">
        <v>0</v>
      </c>
      <c r="L1488" s="6">
        <v>661.35900000000004</v>
      </c>
      <c r="M1488" s="6">
        <v>661.35900000000004</v>
      </c>
      <c r="N1488" s="6">
        <v>661.35900000000004</v>
      </c>
      <c r="O1488" s="6">
        <v>661.35900000000004</v>
      </c>
      <c r="P1488" s="6">
        <v>8982</v>
      </c>
      <c r="Q1488" s="4" t="s">
        <v>26</v>
      </c>
      <c r="R1488" s="4">
        <v>0</v>
      </c>
      <c r="S1488" s="4" t="s">
        <v>563</v>
      </c>
      <c r="T1488" s="4" t="s">
        <v>827</v>
      </c>
      <c r="U1488" s="4">
        <v>0</v>
      </c>
      <c r="V1488" s="4">
        <v>45</v>
      </c>
      <c r="W1488" s="4">
        <v>88</v>
      </c>
    </row>
    <row r="1489" spans="1:23" ht="11.25" customHeight="1" x14ac:dyDescent="0.25">
      <c r="A1489" s="4" t="s">
        <v>27</v>
      </c>
      <c r="B1489" s="4" t="s">
        <v>22</v>
      </c>
      <c r="C1489" s="4" t="s">
        <v>23</v>
      </c>
      <c r="D1489" s="4" t="s">
        <v>24</v>
      </c>
      <c r="E1489" s="4" t="s">
        <v>32</v>
      </c>
      <c r="F1489" s="4" t="s">
        <v>25</v>
      </c>
      <c r="G1489" s="4" t="s">
        <v>25</v>
      </c>
      <c r="H1489" s="4" t="s">
        <v>25</v>
      </c>
      <c r="I1489" s="5">
        <v>44593</v>
      </c>
      <c r="J1489" s="6">
        <v>0</v>
      </c>
      <c r="K1489" s="6">
        <v>0</v>
      </c>
      <c r="L1489" s="6">
        <v>-3.1120000000000001</v>
      </c>
      <c r="M1489" s="6">
        <v>-3.1120000000000001</v>
      </c>
      <c r="N1489" s="6">
        <v>-3.1120000000000001</v>
      </c>
      <c r="O1489" s="6">
        <v>-3.1120000000000001</v>
      </c>
      <c r="P1489" s="6">
        <v>-11</v>
      </c>
      <c r="Q1489" s="4" t="s">
        <v>26</v>
      </c>
      <c r="R1489" s="4">
        <v>0</v>
      </c>
      <c r="S1489" s="4" t="s">
        <v>563</v>
      </c>
      <c r="T1489" s="4" t="s">
        <v>827</v>
      </c>
      <c r="U1489" s="4">
        <v>0</v>
      </c>
      <c r="V1489" s="4">
        <v>45</v>
      </c>
      <c r="W1489" s="4">
        <v>88</v>
      </c>
    </row>
    <row r="1490" spans="1:23" ht="11.25" customHeight="1" x14ac:dyDescent="0.25">
      <c r="A1490" s="4" t="s">
        <v>28</v>
      </c>
      <c r="B1490" s="4" t="s">
        <v>22</v>
      </c>
      <c r="C1490" s="4" t="s">
        <v>23</v>
      </c>
      <c r="D1490" s="4" t="s">
        <v>24</v>
      </c>
      <c r="E1490" s="4" t="s">
        <v>32</v>
      </c>
      <c r="F1490" s="4" t="s">
        <v>25</v>
      </c>
      <c r="G1490" s="4" t="s">
        <v>25</v>
      </c>
      <c r="H1490" s="4" t="s">
        <v>25</v>
      </c>
      <c r="I1490" s="5">
        <v>44593</v>
      </c>
      <c r="J1490" s="6">
        <v>0</v>
      </c>
      <c r="K1490" s="6">
        <v>0</v>
      </c>
      <c r="L1490" s="6">
        <v>7.89</v>
      </c>
      <c r="M1490" s="6">
        <v>7.89</v>
      </c>
      <c r="N1490" s="6">
        <v>7.89</v>
      </c>
      <c r="O1490" s="6">
        <v>7.89</v>
      </c>
      <c r="P1490" s="6">
        <v>94</v>
      </c>
      <c r="Q1490" s="4" t="s">
        <v>26</v>
      </c>
      <c r="R1490" s="4">
        <v>0</v>
      </c>
      <c r="S1490" s="4" t="s">
        <v>563</v>
      </c>
      <c r="T1490" s="4" t="s">
        <v>827</v>
      </c>
      <c r="U1490" s="4">
        <v>0</v>
      </c>
      <c r="V1490" s="4">
        <v>45</v>
      </c>
      <c r="W1490" s="4">
        <v>88</v>
      </c>
    </row>
    <row r="1491" spans="1:23" ht="11.25" customHeight="1" x14ac:dyDescent="0.25">
      <c r="A1491" s="4" t="s">
        <v>21</v>
      </c>
      <c r="B1491" s="4" t="s">
        <v>22</v>
      </c>
      <c r="C1491" s="4" t="s">
        <v>23</v>
      </c>
      <c r="D1491" s="4" t="s">
        <v>24</v>
      </c>
      <c r="E1491" s="4" t="s">
        <v>32</v>
      </c>
      <c r="F1491" s="4" t="s">
        <v>25</v>
      </c>
      <c r="G1491" s="4" t="s">
        <v>25</v>
      </c>
      <c r="H1491" s="4" t="s">
        <v>25</v>
      </c>
      <c r="I1491" s="5">
        <v>44621</v>
      </c>
      <c r="J1491" s="6">
        <v>0</v>
      </c>
      <c r="K1491" s="6">
        <v>0</v>
      </c>
      <c r="L1491" s="6">
        <v>1014.8150000000001</v>
      </c>
      <c r="M1491" s="6">
        <v>1014.8150000000001</v>
      </c>
      <c r="N1491" s="6">
        <v>1014.8150000000001</v>
      </c>
      <c r="O1491" s="6">
        <v>1014.8150000000001</v>
      </c>
      <c r="P1491" s="6">
        <v>13119</v>
      </c>
      <c r="Q1491" s="4" t="s">
        <v>26</v>
      </c>
      <c r="R1491" s="4">
        <v>0</v>
      </c>
      <c r="S1491" s="4" t="s">
        <v>564</v>
      </c>
      <c r="T1491" s="4" t="s">
        <v>828</v>
      </c>
      <c r="U1491" s="4">
        <v>0</v>
      </c>
      <c r="V1491" s="4">
        <v>45</v>
      </c>
      <c r="W1491" s="4">
        <v>88</v>
      </c>
    </row>
    <row r="1492" spans="1:23" ht="11.25" customHeight="1" x14ac:dyDescent="0.25">
      <c r="A1492" s="4" t="s">
        <v>27</v>
      </c>
      <c r="B1492" s="4" t="s">
        <v>22</v>
      </c>
      <c r="C1492" s="4" t="s">
        <v>23</v>
      </c>
      <c r="D1492" s="4" t="s">
        <v>24</v>
      </c>
      <c r="E1492" s="4" t="s">
        <v>32</v>
      </c>
      <c r="F1492" s="4" t="s">
        <v>25</v>
      </c>
      <c r="G1492" s="4" t="s">
        <v>25</v>
      </c>
      <c r="H1492" s="4" t="s">
        <v>25</v>
      </c>
      <c r="I1492" s="5">
        <v>44621</v>
      </c>
      <c r="J1492" s="6">
        <v>0</v>
      </c>
      <c r="K1492" s="6">
        <v>0</v>
      </c>
      <c r="L1492" s="6">
        <v>-1.018</v>
      </c>
      <c r="M1492" s="6">
        <v>-1.018</v>
      </c>
      <c r="N1492" s="6">
        <v>-1.018</v>
      </c>
      <c r="O1492" s="6">
        <v>-1.018</v>
      </c>
      <c r="P1492" s="6">
        <v>-4</v>
      </c>
      <c r="Q1492" s="4" t="s">
        <v>26</v>
      </c>
      <c r="R1492" s="4">
        <v>0</v>
      </c>
      <c r="S1492" s="4" t="s">
        <v>564</v>
      </c>
      <c r="T1492" s="4" t="s">
        <v>828</v>
      </c>
      <c r="U1492" s="4">
        <v>0</v>
      </c>
      <c r="V1492" s="4">
        <v>45</v>
      </c>
      <c r="W1492" s="4">
        <v>88</v>
      </c>
    </row>
    <row r="1493" spans="1:23" ht="11.25" customHeight="1" x14ac:dyDescent="0.25">
      <c r="A1493" s="4" t="s">
        <v>28</v>
      </c>
      <c r="B1493" s="4" t="s">
        <v>22</v>
      </c>
      <c r="C1493" s="4" t="s">
        <v>23</v>
      </c>
      <c r="D1493" s="4" t="s">
        <v>24</v>
      </c>
      <c r="E1493" s="4" t="s">
        <v>32</v>
      </c>
      <c r="F1493" s="4" t="s">
        <v>25</v>
      </c>
      <c r="G1493" s="4" t="s">
        <v>25</v>
      </c>
      <c r="H1493" s="4" t="s">
        <v>25</v>
      </c>
      <c r="I1493" s="5">
        <v>44621</v>
      </c>
      <c r="J1493" s="6">
        <v>0</v>
      </c>
      <c r="K1493" s="6">
        <v>0</v>
      </c>
      <c r="L1493" s="6">
        <v>8.6530000000000005</v>
      </c>
      <c r="M1493" s="6">
        <v>8.6530000000000005</v>
      </c>
      <c r="N1493" s="6">
        <v>8.6530000000000005</v>
      </c>
      <c r="O1493" s="6">
        <v>8.6530000000000005</v>
      </c>
      <c r="P1493" s="6">
        <v>121</v>
      </c>
      <c r="Q1493" s="4" t="s">
        <v>26</v>
      </c>
      <c r="R1493" s="4">
        <v>0</v>
      </c>
      <c r="S1493" s="4" t="s">
        <v>564</v>
      </c>
      <c r="T1493" s="4" t="s">
        <v>828</v>
      </c>
      <c r="U1493" s="4">
        <v>0</v>
      </c>
      <c r="V1493" s="4">
        <v>45</v>
      </c>
      <c r="W1493" s="4">
        <v>88</v>
      </c>
    </row>
    <row r="1494" spans="1:23" ht="11.25" customHeight="1" x14ac:dyDescent="0.25">
      <c r="A1494" s="4" t="s">
        <v>28</v>
      </c>
      <c r="B1494" s="4" t="s">
        <v>22</v>
      </c>
      <c r="C1494" s="4" t="s">
        <v>23</v>
      </c>
      <c r="D1494" s="4" t="s">
        <v>24</v>
      </c>
      <c r="E1494" s="4" t="s">
        <v>32</v>
      </c>
      <c r="F1494" s="4" t="s">
        <v>25</v>
      </c>
      <c r="G1494" s="4" t="s">
        <v>25</v>
      </c>
      <c r="H1494" s="4" t="s">
        <v>25</v>
      </c>
      <c r="I1494" s="5">
        <v>44621</v>
      </c>
      <c r="J1494" s="6">
        <v>0</v>
      </c>
      <c r="K1494" s="6">
        <v>0</v>
      </c>
      <c r="L1494" s="6">
        <v>-0.42399999999999999</v>
      </c>
      <c r="M1494" s="6">
        <v>-0.42399999999999999</v>
      </c>
      <c r="N1494" s="6">
        <v>-0.42399999999999999</v>
      </c>
      <c r="O1494" s="6">
        <v>-0.42399999999999999</v>
      </c>
      <c r="P1494" s="6">
        <v>-1</v>
      </c>
      <c r="Q1494" s="4" t="s">
        <v>26</v>
      </c>
      <c r="R1494" s="4">
        <v>0</v>
      </c>
      <c r="S1494" s="4" t="s">
        <v>564</v>
      </c>
      <c r="T1494" s="4" t="s">
        <v>828</v>
      </c>
      <c r="U1494" s="4">
        <v>0</v>
      </c>
      <c r="V1494" s="4">
        <v>45</v>
      </c>
      <c r="W1494" s="4">
        <v>88</v>
      </c>
    </row>
    <row r="1495" spans="1:23" ht="11.25" customHeight="1" x14ac:dyDescent="0.25">
      <c r="A1495" s="4" t="s">
        <v>21</v>
      </c>
      <c r="B1495" s="4" t="s">
        <v>22</v>
      </c>
      <c r="C1495" s="4" t="s">
        <v>23</v>
      </c>
      <c r="D1495" s="4" t="s">
        <v>24</v>
      </c>
      <c r="E1495" s="4" t="s">
        <v>32</v>
      </c>
      <c r="F1495" s="4" t="s">
        <v>25</v>
      </c>
      <c r="G1495" s="4" t="s">
        <v>25</v>
      </c>
      <c r="H1495" s="4" t="s">
        <v>25</v>
      </c>
      <c r="I1495" s="5">
        <v>44652</v>
      </c>
      <c r="J1495" s="6">
        <v>0</v>
      </c>
      <c r="K1495" s="6">
        <v>0</v>
      </c>
      <c r="L1495" s="6">
        <v>830.82799999999997</v>
      </c>
      <c r="M1495" s="6">
        <v>830.82799999999997</v>
      </c>
      <c r="N1495" s="6">
        <v>830.82799999999997</v>
      </c>
      <c r="O1495" s="6">
        <v>830.82799999999997</v>
      </c>
      <c r="P1495" s="6">
        <v>11004</v>
      </c>
      <c r="Q1495" s="4" t="s">
        <v>26</v>
      </c>
      <c r="R1495" s="4">
        <v>0</v>
      </c>
      <c r="S1495" s="4" t="s">
        <v>565</v>
      </c>
      <c r="T1495" s="4" t="s">
        <v>829</v>
      </c>
      <c r="U1495" s="4">
        <v>0</v>
      </c>
      <c r="V1495" s="4">
        <v>45</v>
      </c>
      <c r="W1495" s="4">
        <v>88</v>
      </c>
    </row>
    <row r="1496" spans="1:23" ht="11.25" customHeight="1" x14ac:dyDescent="0.25">
      <c r="A1496" s="4" t="s">
        <v>27</v>
      </c>
      <c r="B1496" s="4" t="s">
        <v>22</v>
      </c>
      <c r="C1496" s="4" t="s">
        <v>23</v>
      </c>
      <c r="D1496" s="4" t="s">
        <v>24</v>
      </c>
      <c r="E1496" s="4" t="s">
        <v>32</v>
      </c>
      <c r="F1496" s="4" t="s">
        <v>25</v>
      </c>
      <c r="G1496" s="4" t="s">
        <v>25</v>
      </c>
      <c r="H1496" s="4" t="s">
        <v>25</v>
      </c>
      <c r="I1496" s="5">
        <v>44652</v>
      </c>
      <c r="J1496" s="6">
        <v>0</v>
      </c>
      <c r="K1496" s="6">
        <v>0</v>
      </c>
      <c r="L1496" s="6">
        <v>-1.01</v>
      </c>
      <c r="M1496" s="6">
        <v>-1.01</v>
      </c>
      <c r="N1496" s="6">
        <v>-1.01</v>
      </c>
      <c r="O1496" s="6">
        <v>-1.01</v>
      </c>
      <c r="P1496" s="6">
        <v>-8</v>
      </c>
      <c r="Q1496" s="4" t="s">
        <v>26</v>
      </c>
      <c r="R1496" s="4">
        <v>0</v>
      </c>
      <c r="S1496" s="4" t="s">
        <v>565</v>
      </c>
      <c r="T1496" s="4" t="s">
        <v>829</v>
      </c>
      <c r="U1496" s="4">
        <v>0</v>
      </c>
      <c r="V1496" s="4">
        <v>45</v>
      </c>
      <c r="W1496" s="4">
        <v>88</v>
      </c>
    </row>
    <row r="1497" spans="1:23" ht="11.25" customHeight="1" x14ac:dyDescent="0.25">
      <c r="A1497" s="4" t="s">
        <v>28</v>
      </c>
      <c r="B1497" s="4" t="s">
        <v>22</v>
      </c>
      <c r="C1497" s="4" t="s">
        <v>23</v>
      </c>
      <c r="D1497" s="4" t="s">
        <v>24</v>
      </c>
      <c r="E1497" s="4" t="s">
        <v>32</v>
      </c>
      <c r="F1497" s="4" t="s">
        <v>25</v>
      </c>
      <c r="G1497" s="4" t="s">
        <v>25</v>
      </c>
      <c r="H1497" s="4" t="s">
        <v>25</v>
      </c>
      <c r="I1497" s="5">
        <v>44652</v>
      </c>
      <c r="J1497" s="6">
        <v>0</v>
      </c>
      <c r="K1497" s="6">
        <v>0</v>
      </c>
      <c r="L1497" s="6">
        <v>13.771000000000001</v>
      </c>
      <c r="M1497" s="6">
        <v>13.771000000000001</v>
      </c>
      <c r="N1497" s="6">
        <v>13.771000000000001</v>
      </c>
      <c r="O1497" s="6">
        <v>13.771000000000001</v>
      </c>
      <c r="P1497" s="6">
        <v>134</v>
      </c>
      <c r="Q1497" s="4" t="s">
        <v>26</v>
      </c>
      <c r="R1497" s="4">
        <v>0</v>
      </c>
      <c r="S1497" s="4" t="s">
        <v>565</v>
      </c>
      <c r="T1497" s="4" t="s">
        <v>829</v>
      </c>
      <c r="U1497" s="4">
        <v>0</v>
      </c>
      <c r="V1497" s="4">
        <v>45</v>
      </c>
      <c r="W1497" s="4">
        <v>88</v>
      </c>
    </row>
    <row r="1498" spans="1:23" ht="11.25" customHeight="1" x14ac:dyDescent="0.25">
      <c r="A1498" s="4" t="s">
        <v>58</v>
      </c>
      <c r="B1498" s="4" t="s">
        <v>22</v>
      </c>
      <c r="C1498" s="4" t="s">
        <v>23</v>
      </c>
      <c r="D1498" s="4" t="s">
        <v>24</v>
      </c>
      <c r="E1498" s="4" t="s">
        <v>32</v>
      </c>
      <c r="F1498" s="4" t="s">
        <v>25</v>
      </c>
      <c r="G1498" s="4" t="s">
        <v>25</v>
      </c>
      <c r="H1498" s="4" t="s">
        <v>25</v>
      </c>
      <c r="I1498" s="5">
        <v>44682</v>
      </c>
      <c r="J1498" s="6">
        <v>0</v>
      </c>
      <c r="K1498" s="6">
        <v>0</v>
      </c>
      <c r="L1498" s="6">
        <v>830.82799999999997</v>
      </c>
      <c r="M1498" s="6">
        <v>830.82799999999997</v>
      </c>
      <c r="N1498" s="6">
        <v>830.82799999999997</v>
      </c>
      <c r="O1498" s="6">
        <v>830.82799999999997</v>
      </c>
      <c r="P1498" s="6">
        <v>11004</v>
      </c>
      <c r="Q1498" s="4" t="s">
        <v>26</v>
      </c>
      <c r="R1498" s="4">
        <v>0</v>
      </c>
      <c r="S1498" s="4" t="s">
        <v>566</v>
      </c>
      <c r="T1498" s="4" t="s">
        <v>830</v>
      </c>
      <c r="U1498" s="4">
        <v>0</v>
      </c>
      <c r="V1498" s="4">
        <v>45</v>
      </c>
      <c r="W1498" s="4">
        <v>88</v>
      </c>
    </row>
    <row r="1499" spans="1:23" ht="11.25" customHeight="1" x14ac:dyDescent="0.25">
      <c r="A1499" s="4" t="s">
        <v>58</v>
      </c>
      <c r="B1499" s="4" t="s">
        <v>22</v>
      </c>
      <c r="C1499" s="4" t="s">
        <v>23</v>
      </c>
      <c r="D1499" s="4" t="s">
        <v>24</v>
      </c>
      <c r="E1499" s="4" t="s">
        <v>32</v>
      </c>
      <c r="F1499" s="4" t="s">
        <v>25</v>
      </c>
      <c r="G1499" s="4" t="s">
        <v>25</v>
      </c>
      <c r="H1499" s="4" t="s">
        <v>25</v>
      </c>
      <c r="I1499" s="5">
        <v>44682</v>
      </c>
      <c r="J1499" s="6">
        <v>0</v>
      </c>
      <c r="K1499" s="6">
        <v>0</v>
      </c>
      <c r="L1499" s="6">
        <v>-1.01</v>
      </c>
      <c r="M1499" s="6">
        <v>-1.01</v>
      </c>
      <c r="N1499" s="6">
        <v>-1.01</v>
      </c>
      <c r="O1499" s="6">
        <v>-1.01</v>
      </c>
      <c r="P1499" s="6">
        <v>-8</v>
      </c>
      <c r="Q1499" s="4" t="s">
        <v>26</v>
      </c>
      <c r="R1499" s="4">
        <v>0</v>
      </c>
      <c r="S1499" s="4" t="s">
        <v>566</v>
      </c>
      <c r="T1499" s="4" t="s">
        <v>830</v>
      </c>
      <c r="U1499" s="4">
        <v>0</v>
      </c>
      <c r="V1499" s="4">
        <v>45</v>
      </c>
      <c r="W1499" s="4">
        <v>88</v>
      </c>
    </row>
    <row r="1500" spans="1:23" ht="11.25" customHeight="1" x14ac:dyDescent="0.25">
      <c r="A1500" s="4" t="s">
        <v>58</v>
      </c>
      <c r="B1500" s="4" t="s">
        <v>22</v>
      </c>
      <c r="C1500" s="4" t="s">
        <v>23</v>
      </c>
      <c r="D1500" s="4" t="s">
        <v>24</v>
      </c>
      <c r="E1500" s="4" t="s">
        <v>32</v>
      </c>
      <c r="F1500" s="4" t="s">
        <v>25</v>
      </c>
      <c r="G1500" s="4" t="s">
        <v>25</v>
      </c>
      <c r="H1500" s="4" t="s">
        <v>25</v>
      </c>
      <c r="I1500" s="5">
        <v>44682</v>
      </c>
      <c r="J1500" s="6">
        <v>0</v>
      </c>
      <c r="K1500" s="6">
        <v>0</v>
      </c>
      <c r="L1500" s="6">
        <v>13.771000000000001</v>
      </c>
      <c r="M1500" s="6">
        <v>13.771000000000001</v>
      </c>
      <c r="N1500" s="6">
        <v>13.771000000000001</v>
      </c>
      <c r="O1500" s="6">
        <v>13.771000000000001</v>
      </c>
      <c r="P1500" s="6">
        <v>134</v>
      </c>
      <c r="Q1500" s="4" t="s">
        <v>26</v>
      </c>
      <c r="R1500" s="4">
        <v>0</v>
      </c>
      <c r="S1500" s="4" t="s">
        <v>566</v>
      </c>
      <c r="T1500" s="4" t="s">
        <v>830</v>
      </c>
      <c r="U1500" s="4">
        <v>0</v>
      </c>
      <c r="V1500" s="4">
        <v>45</v>
      </c>
      <c r="W1500" s="4">
        <v>88</v>
      </c>
    </row>
    <row r="1501" spans="1:23" ht="11.25" customHeight="1" x14ac:dyDescent="0.25">
      <c r="A1501" s="4" t="s">
        <v>21</v>
      </c>
      <c r="B1501" s="4" t="s">
        <v>44</v>
      </c>
      <c r="C1501" s="4" t="s">
        <v>33</v>
      </c>
      <c r="D1501" s="4" t="s">
        <v>45</v>
      </c>
      <c r="E1501" s="4" t="s">
        <v>25</v>
      </c>
      <c r="F1501" s="4" t="s">
        <v>25</v>
      </c>
      <c r="G1501" s="4" t="s">
        <v>25</v>
      </c>
      <c r="H1501" s="4" t="s">
        <v>35</v>
      </c>
      <c r="I1501" s="5">
        <v>44348</v>
      </c>
      <c r="J1501" s="6">
        <v>0</v>
      </c>
      <c r="K1501" s="6">
        <v>0</v>
      </c>
      <c r="L1501" s="6">
        <v>0.19800000000000001</v>
      </c>
      <c r="M1501" s="6">
        <v>0.19800000000000001</v>
      </c>
      <c r="N1501" s="6">
        <v>0.19800000000000001</v>
      </c>
      <c r="O1501" s="6">
        <v>0.19800000000000001</v>
      </c>
      <c r="P1501" s="6">
        <v>0</v>
      </c>
      <c r="Q1501" s="4" t="s">
        <v>26</v>
      </c>
      <c r="R1501" s="4">
        <v>0</v>
      </c>
      <c r="S1501" s="4" t="s">
        <v>567</v>
      </c>
      <c r="T1501" s="4" t="s">
        <v>831</v>
      </c>
      <c r="U1501" s="4">
        <v>0</v>
      </c>
      <c r="V1501" s="4">
        <v>53</v>
      </c>
      <c r="W1501" s="4">
        <v>96</v>
      </c>
    </row>
    <row r="1502" spans="1:23" ht="11.25" customHeight="1" x14ac:dyDescent="0.25">
      <c r="A1502" s="4" t="s">
        <v>21</v>
      </c>
      <c r="B1502" s="4" t="s">
        <v>44</v>
      </c>
      <c r="C1502" s="4" t="s">
        <v>33</v>
      </c>
      <c r="D1502" s="4" t="s">
        <v>45</v>
      </c>
      <c r="E1502" s="4" t="s">
        <v>25</v>
      </c>
      <c r="F1502" s="4" t="s">
        <v>25</v>
      </c>
      <c r="G1502" s="4" t="s">
        <v>25</v>
      </c>
      <c r="H1502" s="4" t="s">
        <v>35</v>
      </c>
      <c r="I1502" s="5">
        <v>44378</v>
      </c>
      <c r="J1502" s="6">
        <v>0</v>
      </c>
      <c r="K1502" s="6">
        <v>0</v>
      </c>
      <c r="L1502" s="6">
        <v>0.501</v>
      </c>
      <c r="M1502" s="6">
        <v>0.501</v>
      </c>
      <c r="N1502" s="6">
        <v>0.501</v>
      </c>
      <c r="O1502" s="6">
        <v>0.501</v>
      </c>
      <c r="P1502" s="6">
        <v>0</v>
      </c>
      <c r="Q1502" s="4" t="s">
        <v>26</v>
      </c>
      <c r="R1502" s="4">
        <v>0</v>
      </c>
      <c r="S1502" s="4" t="s">
        <v>568</v>
      </c>
      <c r="T1502" s="4" t="s">
        <v>832</v>
      </c>
      <c r="U1502" s="4">
        <v>0</v>
      </c>
      <c r="V1502" s="4">
        <v>53</v>
      </c>
      <c r="W1502" s="4">
        <v>96</v>
      </c>
    </row>
    <row r="1503" spans="1:23" ht="11.25" customHeight="1" x14ac:dyDescent="0.25">
      <c r="A1503" s="4" t="s">
        <v>21</v>
      </c>
      <c r="B1503" s="4" t="s">
        <v>44</v>
      </c>
      <c r="C1503" s="4" t="s">
        <v>33</v>
      </c>
      <c r="D1503" s="4" t="s">
        <v>45</v>
      </c>
      <c r="E1503" s="4" t="s">
        <v>25</v>
      </c>
      <c r="F1503" s="4" t="s">
        <v>25</v>
      </c>
      <c r="G1503" s="4" t="s">
        <v>25</v>
      </c>
      <c r="H1503" s="4" t="s">
        <v>35</v>
      </c>
      <c r="I1503" s="5">
        <v>44409</v>
      </c>
      <c r="J1503" s="6">
        <v>0</v>
      </c>
      <c r="K1503" s="6">
        <v>0</v>
      </c>
      <c r="L1503" s="6">
        <v>0.252</v>
      </c>
      <c r="M1503" s="6">
        <v>0.252</v>
      </c>
      <c r="N1503" s="6">
        <v>0.252</v>
      </c>
      <c r="O1503" s="6">
        <v>0.252</v>
      </c>
      <c r="P1503" s="6">
        <v>0</v>
      </c>
      <c r="Q1503" s="4" t="s">
        <v>26</v>
      </c>
      <c r="R1503" s="4">
        <v>0</v>
      </c>
      <c r="S1503" s="4" t="s">
        <v>569</v>
      </c>
      <c r="T1503" s="4" t="s">
        <v>833</v>
      </c>
      <c r="U1503" s="4">
        <v>0</v>
      </c>
      <c r="V1503" s="4">
        <v>53</v>
      </c>
      <c r="W1503" s="4">
        <v>96</v>
      </c>
    </row>
    <row r="1504" spans="1:23" ht="11.25" customHeight="1" x14ac:dyDescent="0.25">
      <c r="A1504" s="4" t="s">
        <v>21</v>
      </c>
      <c r="B1504" s="4" t="s">
        <v>44</v>
      </c>
      <c r="C1504" s="4" t="s">
        <v>33</v>
      </c>
      <c r="D1504" s="4" t="s">
        <v>45</v>
      </c>
      <c r="E1504" s="4" t="s">
        <v>25</v>
      </c>
      <c r="F1504" s="4" t="s">
        <v>25</v>
      </c>
      <c r="G1504" s="4" t="s">
        <v>25</v>
      </c>
      <c r="H1504" s="4" t="s">
        <v>35</v>
      </c>
      <c r="I1504" s="5">
        <v>44440</v>
      </c>
      <c r="J1504" s="6">
        <v>0</v>
      </c>
      <c r="K1504" s="6">
        <v>0</v>
      </c>
      <c r="L1504" s="6">
        <v>0.47499999999999998</v>
      </c>
      <c r="M1504" s="6">
        <v>0.47499999999999998</v>
      </c>
      <c r="N1504" s="6">
        <v>0.47499999999999998</v>
      </c>
      <c r="O1504" s="6">
        <v>0.47499999999999998</v>
      </c>
      <c r="P1504" s="6">
        <v>0</v>
      </c>
      <c r="Q1504" s="4" t="s">
        <v>26</v>
      </c>
      <c r="R1504" s="4">
        <v>0</v>
      </c>
      <c r="S1504" s="4" t="s">
        <v>570</v>
      </c>
      <c r="T1504" s="4" t="s">
        <v>834</v>
      </c>
      <c r="U1504" s="4">
        <v>0</v>
      </c>
      <c r="V1504" s="4">
        <v>53</v>
      </c>
      <c r="W1504" s="4">
        <v>96</v>
      </c>
    </row>
    <row r="1505" spans="1:23" ht="11.25" customHeight="1" x14ac:dyDescent="0.25">
      <c r="A1505" s="4" t="s">
        <v>21</v>
      </c>
      <c r="B1505" s="4" t="s">
        <v>44</v>
      </c>
      <c r="C1505" s="4" t="s">
        <v>33</v>
      </c>
      <c r="D1505" s="4" t="s">
        <v>45</v>
      </c>
      <c r="E1505" s="4" t="s">
        <v>25</v>
      </c>
      <c r="F1505" s="4" t="s">
        <v>25</v>
      </c>
      <c r="G1505" s="4" t="s">
        <v>25</v>
      </c>
      <c r="H1505" s="4" t="s">
        <v>35</v>
      </c>
      <c r="I1505" s="5">
        <v>44470</v>
      </c>
      <c r="J1505" s="6">
        <v>0</v>
      </c>
      <c r="K1505" s="6">
        <v>0</v>
      </c>
      <c r="L1505" s="6">
        <v>0.63600000000000001</v>
      </c>
      <c r="M1505" s="6">
        <v>0.63600000000000001</v>
      </c>
      <c r="N1505" s="6">
        <v>0.63600000000000001</v>
      </c>
      <c r="O1505" s="6">
        <v>0.63600000000000001</v>
      </c>
      <c r="P1505" s="6">
        <v>0</v>
      </c>
      <c r="Q1505" s="4" t="s">
        <v>26</v>
      </c>
      <c r="R1505" s="4">
        <v>0</v>
      </c>
      <c r="S1505" s="4" t="s">
        <v>571</v>
      </c>
      <c r="T1505" s="4" t="s">
        <v>835</v>
      </c>
      <c r="U1505" s="4">
        <v>0</v>
      </c>
      <c r="V1505" s="4">
        <v>53</v>
      </c>
      <c r="W1505" s="4">
        <v>96</v>
      </c>
    </row>
    <row r="1506" spans="1:23" ht="11.25" customHeight="1" x14ac:dyDescent="0.25">
      <c r="A1506" s="4" t="s">
        <v>21</v>
      </c>
      <c r="B1506" s="4" t="s">
        <v>44</v>
      </c>
      <c r="C1506" s="4" t="s">
        <v>33</v>
      </c>
      <c r="D1506" s="4" t="s">
        <v>45</v>
      </c>
      <c r="E1506" s="4" t="s">
        <v>25</v>
      </c>
      <c r="F1506" s="4" t="s">
        <v>25</v>
      </c>
      <c r="G1506" s="4" t="s">
        <v>25</v>
      </c>
      <c r="H1506" s="4" t="s">
        <v>35</v>
      </c>
      <c r="I1506" s="5">
        <v>44501</v>
      </c>
      <c r="J1506" s="6">
        <v>0</v>
      </c>
      <c r="K1506" s="6">
        <v>0</v>
      </c>
      <c r="L1506" s="6">
        <v>4.8179999999999996</v>
      </c>
      <c r="M1506" s="6">
        <v>4.8179999999999996</v>
      </c>
      <c r="N1506" s="6">
        <v>4.8179999999999996</v>
      </c>
      <c r="O1506" s="6">
        <v>4.8179999999999996</v>
      </c>
      <c r="P1506" s="6">
        <v>0</v>
      </c>
      <c r="Q1506" s="4" t="s">
        <v>26</v>
      </c>
      <c r="R1506" s="4">
        <v>0</v>
      </c>
      <c r="S1506" s="4" t="s">
        <v>572</v>
      </c>
      <c r="T1506" s="4" t="s">
        <v>836</v>
      </c>
      <c r="U1506" s="4">
        <v>0</v>
      </c>
      <c r="V1506" s="4">
        <v>53</v>
      </c>
      <c r="W1506" s="4">
        <v>96</v>
      </c>
    </row>
    <row r="1507" spans="1:23" ht="11.25" customHeight="1" x14ac:dyDescent="0.25">
      <c r="A1507" s="4" t="s">
        <v>21</v>
      </c>
      <c r="B1507" s="4" t="s">
        <v>44</v>
      </c>
      <c r="C1507" s="4" t="s">
        <v>33</v>
      </c>
      <c r="D1507" s="4" t="s">
        <v>45</v>
      </c>
      <c r="E1507" s="4" t="s">
        <v>25</v>
      </c>
      <c r="F1507" s="4" t="s">
        <v>25</v>
      </c>
      <c r="G1507" s="4" t="s">
        <v>25</v>
      </c>
      <c r="H1507" s="4" t="s">
        <v>35</v>
      </c>
      <c r="I1507" s="5">
        <v>44531</v>
      </c>
      <c r="J1507" s="6">
        <v>0</v>
      </c>
      <c r="K1507" s="6">
        <v>0</v>
      </c>
      <c r="L1507" s="6">
        <v>2.1040000000000001</v>
      </c>
      <c r="M1507" s="6">
        <v>2.1040000000000001</v>
      </c>
      <c r="N1507" s="6">
        <v>2.1040000000000001</v>
      </c>
      <c r="O1507" s="6">
        <v>2.1040000000000001</v>
      </c>
      <c r="P1507" s="6">
        <v>0</v>
      </c>
      <c r="Q1507" s="4" t="s">
        <v>26</v>
      </c>
      <c r="R1507" s="4">
        <v>0</v>
      </c>
      <c r="S1507" s="4" t="s">
        <v>573</v>
      </c>
      <c r="T1507" s="4" t="s">
        <v>837</v>
      </c>
      <c r="U1507" s="4">
        <v>0</v>
      </c>
      <c r="V1507" s="4">
        <v>53</v>
      </c>
      <c r="W1507" s="4">
        <v>96</v>
      </c>
    </row>
    <row r="1508" spans="1:23" ht="11.25" customHeight="1" x14ac:dyDescent="0.25">
      <c r="A1508" s="4" t="s">
        <v>21</v>
      </c>
      <c r="B1508" s="4" t="s">
        <v>44</v>
      </c>
      <c r="C1508" s="4" t="s">
        <v>33</v>
      </c>
      <c r="D1508" s="4" t="s">
        <v>45</v>
      </c>
      <c r="E1508" s="4" t="s">
        <v>25</v>
      </c>
      <c r="F1508" s="4" t="s">
        <v>25</v>
      </c>
      <c r="G1508" s="4" t="s">
        <v>25</v>
      </c>
      <c r="H1508" s="4" t="s">
        <v>35</v>
      </c>
      <c r="I1508" s="5">
        <v>44562</v>
      </c>
      <c r="J1508" s="6">
        <v>0</v>
      </c>
      <c r="K1508" s="6">
        <v>0</v>
      </c>
      <c r="L1508" s="6">
        <v>0.48199999999999998</v>
      </c>
      <c r="M1508" s="6">
        <v>0.48199999999999998</v>
      </c>
      <c r="N1508" s="6">
        <v>0.48199999999999998</v>
      </c>
      <c r="O1508" s="6">
        <v>0.48199999999999998</v>
      </c>
      <c r="P1508" s="6">
        <v>0</v>
      </c>
      <c r="Q1508" s="4" t="s">
        <v>26</v>
      </c>
      <c r="R1508" s="4">
        <v>0</v>
      </c>
      <c r="S1508" s="4" t="s">
        <v>574</v>
      </c>
      <c r="T1508" s="4" t="s">
        <v>838</v>
      </c>
      <c r="U1508" s="4">
        <v>0</v>
      </c>
      <c r="V1508" s="4">
        <v>53</v>
      </c>
      <c r="W1508" s="4">
        <v>96</v>
      </c>
    </row>
    <row r="1509" spans="1:23" ht="11.25" customHeight="1" x14ac:dyDescent="0.25">
      <c r="A1509" s="4" t="s">
        <v>27</v>
      </c>
      <c r="B1509" s="4" t="s">
        <v>44</v>
      </c>
      <c r="C1509" s="4" t="s">
        <v>33</v>
      </c>
      <c r="D1509" s="4" t="s">
        <v>45</v>
      </c>
      <c r="E1509" s="4" t="s">
        <v>25</v>
      </c>
      <c r="F1509" s="4" t="s">
        <v>25</v>
      </c>
      <c r="G1509" s="4" t="s">
        <v>25</v>
      </c>
      <c r="H1509" s="4" t="s">
        <v>35</v>
      </c>
      <c r="I1509" s="5">
        <v>44562</v>
      </c>
      <c r="J1509" s="6">
        <v>0</v>
      </c>
      <c r="K1509" s="6">
        <v>0</v>
      </c>
      <c r="L1509" s="6">
        <v>-5.9160000000000004</v>
      </c>
      <c r="M1509" s="6">
        <v>-5.9160000000000004</v>
      </c>
      <c r="N1509" s="6">
        <v>-5.9160000000000004</v>
      </c>
      <c r="O1509" s="6">
        <v>-5.9160000000000004</v>
      </c>
      <c r="P1509" s="6">
        <v>0</v>
      </c>
      <c r="Q1509" s="4" t="s">
        <v>26</v>
      </c>
      <c r="R1509" s="4">
        <v>0</v>
      </c>
      <c r="S1509" s="4" t="s">
        <v>574</v>
      </c>
      <c r="T1509" s="4" t="s">
        <v>838</v>
      </c>
      <c r="U1509" s="4">
        <v>0</v>
      </c>
      <c r="V1509" s="4">
        <v>53</v>
      </c>
      <c r="W1509" s="4">
        <v>96</v>
      </c>
    </row>
    <row r="1510" spans="1:23" ht="11.25" customHeight="1" x14ac:dyDescent="0.25">
      <c r="A1510" s="4" t="s">
        <v>21</v>
      </c>
      <c r="B1510" s="4" t="s">
        <v>44</v>
      </c>
      <c r="C1510" s="4" t="s">
        <v>33</v>
      </c>
      <c r="D1510" s="4" t="s">
        <v>45</v>
      </c>
      <c r="E1510" s="4" t="s">
        <v>25</v>
      </c>
      <c r="F1510" s="4" t="s">
        <v>25</v>
      </c>
      <c r="G1510" s="4" t="s">
        <v>25</v>
      </c>
      <c r="H1510" s="4" t="s">
        <v>35</v>
      </c>
      <c r="I1510" s="5">
        <v>44593</v>
      </c>
      <c r="J1510" s="6">
        <v>0</v>
      </c>
      <c r="K1510" s="6">
        <v>0</v>
      </c>
      <c r="L1510" s="6">
        <v>0.26800000000000002</v>
      </c>
      <c r="M1510" s="6">
        <v>0.26800000000000002</v>
      </c>
      <c r="N1510" s="6">
        <v>0.26800000000000002</v>
      </c>
      <c r="O1510" s="6">
        <v>0.26800000000000002</v>
      </c>
      <c r="P1510" s="6">
        <v>0</v>
      </c>
      <c r="Q1510" s="4" t="s">
        <v>26</v>
      </c>
      <c r="R1510" s="4">
        <v>0</v>
      </c>
      <c r="S1510" s="4" t="s">
        <v>575</v>
      </c>
      <c r="T1510" s="4" t="s">
        <v>839</v>
      </c>
      <c r="U1510" s="4">
        <v>0</v>
      </c>
      <c r="V1510" s="4">
        <v>53</v>
      </c>
      <c r="W1510" s="4">
        <v>96</v>
      </c>
    </row>
    <row r="1511" spans="1:23" ht="11.25" customHeight="1" x14ac:dyDescent="0.25">
      <c r="A1511" s="4" t="s">
        <v>21</v>
      </c>
      <c r="B1511" s="4" t="s">
        <v>44</v>
      </c>
      <c r="C1511" s="4" t="s">
        <v>33</v>
      </c>
      <c r="D1511" s="4" t="s">
        <v>45</v>
      </c>
      <c r="E1511" s="4" t="s">
        <v>25</v>
      </c>
      <c r="F1511" s="4" t="s">
        <v>25</v>
      </c>
      <c r="G1511" s="4" t="s">
        <v>25</v>
      </c>
      <c r="H1511" s="4" t="s">
        <v>35</v>
      </c>
      <c r="I1511" s="5">
        <v>44621</v>
      </c>
      <c r="J1511" s="6">
        <v>0</v>
      </c>
      <c r="K1511" s="6">
        <v>0</v>
      </c>
      <c r="L1511" s="6">
        <v>0.42599999999999999</v>
      </c>
      <c r="M1511" s="6">
        <v>0.42599999999999999</v>
      </c>
      <c r="N1511" s="6">
        <v>0.42599999999999999</v>
      </c>
      <c r="O1511" s="6">
        <v>0.42599999999999999</v>
      </c>
      <c r="P1511" s="6">
        <v>0</v>
      </c>
      <c r="Q1511" s="4" t="s">
        <v>26</v>
      </c>
      <c r="R1511" s="4">
        <v>0</v>
      </c>
      <c r="S1511" s="4" t="s">
        <v>576</v>
      </c>
      <c r="T1511" s="4" t="s">
        <v>840</v>
      </c>
      <c r="U1511" s="4">
        <v>0</v>
      </c>
      <c r="V1511" s="4">
        <v>53</v>
      </c>
      <c r="W1511" s="4">
        <v>96</v>
      </c>
    </row>
    <row r="1512" spans="1:23" ht="11.25" customHeight="1" x14ac:dyDescent="0.25">
      <c r="A1512" s="4" t="s">
        <v>21</v>
      </c>
      <c r="B1512" s="4" t="s">
        <v>44</v>
      </c>
      <c r="C1512" s="4" t="s">
        <v>33</v>
      </c>
      <c r="D1512" s="4" t="s">
        <v>45</v>
      </c>
      <c r="E1512" s="4" t="s">
        <v>25</v>
      </c>
      <c r="F1512" s="4" t="s">
        <v>25</v>
      </c>
      <c r="G1512" s="4" t="s">
        <v>25</v>
      </c>
      <c r="H1512" s="4" t="s">
        <v>35</v>
      </c>
      <c r="I1512" s="5">
        <v>44652</v>
      </c>
      <c r="J1512" s="6">
        <v>0</v>
      </c>
      <c r="K1512" s="6">
        <v>0</v>
      </c>
      <c r="L1512" s="6">
        <v>0.44500000000000001</v>
      </c>
      <c r="M1512" s="6">
        <v>0.44500000000000001</v>
      </c>
      <c r="N1512" s="6">
        <v>0.44500000000000001</v>
      </c>
      <c r="O1512" s="6">
        <v>0.44500000000000001</v>
      </c>
      <c r="P1512" s="6">
        <v>0</v>
      </c>
      <c r="Q1512" s="4" t="s">
        <v>26</v>
      </c>
      <c r="R1512" s="4">
        <v>0</v>
      </c>
      <c r="S1512" s="4" t="s">
        <v>577</v>
      </c>
      <c r="T1512" s="4" t="s">
        <v>841</v>
      </c>
      <c r="U1512" s="4">
        <v>0</v>
      </c>
      <c r="V1512" s="4">
        <v>53</v>
      </c>
      <c r="W1512" s="4">
        <v>96</v>
      </c>
    </row>
    <row r="1513" spans="1:23" ht="11.25" customHeight="1" x14ac:dyDescent="0.25">
      <c r="A1513" s="4" t="s">
        <v>58</v>
      </c>
      <c r="B1513" s="4" t="s">
        <v>44</v>
      </c>
      <c r="C1513" s="4" t="s">
        <v>33</v>
      </c>
      <c r="D1513" s="4" t="s">
        <v>45</v>
      </c>
      <c r="E1513" s="4" t="s">
        <v>25</v>
      </c>
      <c r="F1513" s="4" t="s">
        <v>25</v>
      </c>
      <c r="G1513" s="4" t="s">
        <v>25</v>
      </c>
      <c r="H1513" s="4" t="s">
        <v>35</v>
      </c>
      <c r="I1513" s="5">
        <v>44682</v>
      </c>
      <c r="J1513" s="6">
        <v>0</v>
      </c>
      <c r="K1513" s="6">
        <v>0</v>
      </c>
      <c r="L1513" s="6">
        <v>0.44500000000000001</v>
      </c>
      <c r="M1513" s="6">
        <v>0.44500000000000001</v>
      </c>
      <c r="N1513" s="6">
        <v>0.44500000000000001</v>
      </c>
      <c r="O1513" s="6">
        <v>0.44500000000000001</v>
      </c>
      <c r="P1513" s="6">
        <v>0</v>
      </c>
      <c r="Q1513" s="4" t="s">
        <v>26</v>
      </c>
      <c r="R1513" s="4">
        <v>0</v>
      </c>
      <c r="S1513" s="4" t="s">
        <v>578</v>
      </c>
      <c r="T1513" s="4" t="s">
        <v>842</v>
      </c>
      <c r="U1513" s="4">
        <v>0</v>
      </c>
      <c r="V1513" s="4">
        <v>53</v>
      </c>
      <c r="W1513" s="4">
        <v>96</v>
      </c>
    </row>
    <row r="1514" spans="1:23" ht="11.25" customHeight="1" x14ac:dyDescent="0.25">
      <c r="A1514" s="4" t="s">
        <v>21</v>
      </c>
      <c r="B1514" s="4" t="s">
        <v>44</v>
      </c>
      <c r="C1514" s="4" t="s">
        <v>33</v>
      </c>
      <c r="D1514" s="4" t="s">
        <v>45</v>
      </c>
      <c r="E1514" s="4" t="s">
        <v>25</v>
      </c>
      <c r="F1514" s="4" t="s">
        <v>25</v>
      </c>
      <c r="G1514" s="4" t="s">
        <v>25</v>
      </c>
      <c r="H1514" s="4" t="s">
        <v>36</v>
      </c>
      <c r="I1514" s="5">
        <v>44348</v>
      </c>
      <c r="J1514" s="6">
        <v>0</v>
      </c>
      <c r="K1514" s="6">
        <v>0</v>
      </c>
      <c r="L1514" s="6">
        <v>3.0000000000000001E-3</v>
      </c>
      <c r="M1514" s="6">
        <v>3.0000000000000001E-3</v>
      </c>
      <c r="N1514" s="6">
        <v>3.0000000000000001E-3</v>
      </c>
      <c r="O1514" s="6">
        <v>3.0000000000000001E-3</v>
      </c>
      <c r="P1514" s="6">
        <v>0</v>
      </c>
      <c r="Q1514" s="4" t="s">
        <v>26</v>
      </c>
      <c r="R1514" s="4">
        <v>0</v>
      </c>
      <c r="S1514" s="4" t="s">
        <v>579</v>
      </c>
      <c r="T1514" s="4" t="s">
        <v>843</v>
      </c>
      <c r="U1514" s="4">
        <v>0</v>
      </c>
      <c r="V1514" s="4">
        <v>52</v>
      </c>
      <c r="W1514" s="4">
        <v>95</v>
      </c>
    </row>
    <row r="1515" spans="1:23" ht="11.25" customHeight="1" x14ac:dyDescent="0.25">
      <c r="A1515" s="4" t="s">
        <v>21</v>
      </c>
      <c r="B1515" s="4" t="s">
        <v>44</v>
      </c>
      <c r="C1515" s="4" t="s">
        <v>33</v>
      </c>
      <c r="D1515" s="4" t="s">
        <v>45</v>
      </c>
      <c r="E1515" s="4" t="s">
        <v>25</v>
      </c>
      <c r="F1515" s="4" t="s">
        <v>25</v>
      </c>
      <c r="G1515" s="4" t="s">
        <v>25</v>
      </c>
      <c r="H1515" s="4" t="s">
        <v>36</v>
      </c>
      <c r="I1515" s="5">
        <v>44378</v>
      </c>
      <c r="J1515" s="6">
        <v>0</v>
      </c>
      <c r="K1515" s="6">
        <v>0</v>
      </c>
      <c r="L1515" s="6">
        <v>3.2000000000000001E-2</v>
      </c>
      <c r="M1515" s="6">
        <v>3.2000000000000001E-2</v>
      </c>
      <c r="N1515" s="6">
        <v>3.2000000000000001E-2</v>
      </c>
      <c r="O1515" s="6">
        <v>3.2000000000000001E-2</v>
      </c>
      <c r="P1515" s="6">
        <v>0</v>
      </c>
      <c r="Q1515" s="4" t="s">
        <v>26</v>
      </c>
      <c r="R1515" s="4">
        <v>0</v>
      </c>
      <c r="S1515" s="4" t="s">
        <v>580</v>
      </c>
      <c r="T1515" s="4" t="s">
        <v>844</v>
      </c>
      <c r="U1515" s="4">
        <v>0</v>
      </c>
      <c r="V1515" s="4">
        <v>52</v>
      </c>
      <c r="W1515" s="4">
        <v>95</v>
      </c>
    </row>
    <row r="1516" spans="1:23" ht="11.25" customHeight="1" x14ac:dyDescent="0.25">
      <c r="A1516" s="4" t="s">
        <v>21</v>
      </c>
      <c r="B1516" s="4" t="s">
        <v>44</v>
      </c>
      <c r="C1516" s="4" t="s">
        <v>33</v>
      </c>
      <c r="D1516" s="4" t="s">
        <v>45</v>
      </c>
      <c r="E1516" s="4" t="s">
        <v>25</v>
      </c>
      <c r="F1516" s="4" t="s">
        <v>25</v>
      </c>
      <c r="G1516" s="4" t="s">
        <v>25</v>
      </c>
      <c r="H1516" s="4" t="s">
        <v>36</v>
      </c>
      <c r="I1516" s="5">
        <v>44409</v>
      </c>
      <c r="J1516" s="6">
        <v>0</v>
      </c>
      <c r="K1516" s="6">
        <v>0</v>
      </c>
      <c r="L1516" s="6">
        <v>7.0000000000000001E-3</v>
      </c>
      <c r="M1516" s="6">
        <v>7.0000000000000001E-3</v>
      </c>
      <c r="N1516" s="6">
        <v>7.0000000000000001E-3</v>
      </c>
      <c r="O1516" s="6">
        <v>7.0000000000000001E-3</v>
      </c>
      <c r="P1516" s="6">
        <v>0</v>
      </c>
      <c r="Q1516" s="4" t="s">
        <v>26</v>
      </c>
      <c r="R1516" s="4">
        <v>0</v>
      </c>
      <c r="S1516" s="4" t="s">
        <v>581</v>
      </c>
      <c r="T1516" s="4" t="s">
        <v>845</v>
      </c>
      <c r="U1516" s="4">
        <v>0</v>
      </c>
      <c r="V1516" s="4">
        <v>52</v>
      </c>
      <c r="W1516" s="4">
        <v>95</v>
      </c>
    </row>
    <row r="1517" spans="1:23" ht="11.25" customHeight="1" x14ac:dyDescent="0.25">
      <c r="A1517" s="4" t="s">
        <v>21</v>
      </c>
      <c r="B1517" s="4" t="s">
        <v>44</v>
      </c>
      <c r="C1517" s="4" t="s">
        <v>33</v>
      </c>
      <c r="D1517" s="4" t="s">
        <v>45</v>
      </c>
      <c r="E1517" s="4" t="s">
        <v>25</v>
      </c>
      <c r="F1517" s="4" t="s">
        <v>25</v>
      </c>
      <c r="G1517" s="4" t="s">
        <v>25</v>
      </c>
      <c r="H1517" s="4" t="s">
        <v>36</v>
      </c>
      <c r="I1517" s="5">
        <v>44440</v>
      </c>
      <c r="J1517" s="6">
        <v>0</v>
      </c>
      <c r="K1517" s="6">
        <v>0</v>
      </c>
      <c r="L1517" s="6">
        <v>2.9000000000000001E-2</v>
      </c>
      <c r="M1517" s="6">
        <v>2.9000000000000001E-2</v>
      </c>
      <c r="N1517" s="6">
        <v>2.9000000000000001E-2</v>
      </c>
      <c r="O1517" s="6">
        <v>2.9000000000000001E-2</v>
      </c>
      <c r="P1517" s="6">
        <v>0</v>
      </c>
      <c r="Q1517" s="4" t="s">
        <v>26</v>
      </c>
      <c r="R1517" s="4">
        <v>0</v>
      </c>
      <c r="S1517" s="4" t="s">
        <v>582</v>
      </c>
      <c r="T1517" s="4" t="s">
        <v>846</v>
      </c>
      <c r="U1517" s="4">
        <v>0</v>
      </c>
      <c r="V1517" s="4">
        <v>52</v>
      </c>
      <c r="W1517" s="4">
        <v>95</v>
      </c>
    </row>
    <row r="1518" spans="1:23" ht="11.25" customHeight="1" x14ac:dyDescent="0.25">
      <c r="A1518" s="4" t="s">
        <v>21</v>
      </c>
      <c r="B1518" s="4" t="s">
        <v>44</v>
      </c>
      <c r="C1518" s="4" t="s">
        <v>33</v>
      </c>
      <c r="D1518" s="4" t="s">
        <v>45</v>
      </c>
      <c r="E1518" s="4" t="s">
        <v>25</v>
      </c>
      <c r="F1518" s="4" t="s">
        <v>25</v>
      </c>
      <c r="G1518" s="4" t="s">
        <v>25</v>
      </c>
      <c r="H1518" s="4" t="s">
        <v>36</v>
      </c>
      <c r="I1518" s="5">
        <v>44470</v>
      </c>
      <c r="J1518" s="6">
        <v>0</v>
      </c>
      <c r="K1518" s="6">
        <v>0</v>
      </c>
      <c r="L1518" s="6">
        <v>3.5000000000000003E-2</v>
      </c>
      <c r="M1518" s="6">
        <v>3.5000000000000003E-2</v>
      </c>
      <c r="N1518" s="6">
        <v>3.5000000000000003E-2</v>
      </c>
      <c r="O1518" s="6">
        <v>3.5000000000000003E-2</v>
      </c>
      <c r="P1518" s="6">
        <v>0</v>
      </c>
      <c r="Q1518" s="4" t="s">
        <v>26</v>
      </c>
      <c r="R1518" s="4">
        <v>0</v>
      </c>
      <c r="S1518" s="4" t="s">
        <v>583</v>
      </c>
      <c r="T1518" s="4" t="s">
        <v>847</v>
      </c>
      <c r="U1518" s="4">
        <v>0</v>
      </c>
      <c r="V1518" s="4">
        <v>52</v>
      </c>
      <c r="W1518" s="4">
        <v>95</v>
      </c>
    </row>
    <row r="1519" spans="1:23" ht="11.25" customHeight="1" x14ac:dyDescent="0.25">
      <c r="A1519" s="4" t="s">
        <v>21</v>
      </c>
      <c r="B1519" s="4" t="s">
        <v>44</v>
      </c>
      <c r="C1519" s="4" t="s">
        <v>33</v>
      </c>
      <c r="D1519" s="4" t="s">
        <v>45</v>
      </c>
      <c r="E1519" s="4" t="s">
        <v>25</v>
      </c>
      <c r="F1519" s="4" t="s">
        <v>25</v>
      </c>
      <c r="G1519" s="4" t="s">
        <v>25</v>
      </c>
      <c r="H1519" s="4" t="s">
        <v>36</v>
      </c>
      <c r="I1519" s="5">
        <v>44501</v>
      </c>
      <c r="J1519" s="6">
        <v>0</v>
      </c>
      <c r="K1519" s="6">
        <v>0</v>
      </c>
      <c r="L1519" s="6">
        <v>7.0000000000000001E-3</v>
      </c>
      <c r="M1519" s="6">
        <v>7.0000000000000001E-3</v>
      </c>
      <c r="N1519" s="6">
        <v>7.0000000000000001E-3</v>
      </c>
      <c r="O1519" s="6">
        <v>7.0000000000000001E-3</v>
      </c>
      <c r="P1519" s="6">
        <v>0</v>
      </c>
      <c r="Q1519" s="4" t="s">
        <v>26</v>
      </c>
      <c r="R1519" s="4">
        <v>0</v>
      </c>
      <c r="S1519" s="4" t="s">
        <v>584</v>
      </c>
      <c r="T1519" s="4" t="s">
        <v>848</v>
      </c>
      <c r="U1519" s="4">
        <v>0</v>
      </c>
      <c r="V1519" s="4">
        <v>52</v>
      </c>
      <c r="W1519" s="4">
        <v>95</v>
      </c>
    </row>
    <row r="1520" spans="1:23" ht="11.25" customHeight="1" x14ac:dyDescent="0.25">
      <c r="A1520" s="4" t="s">
        <v>21</v>
      </c>
      <c r="B1520" s="4" t="s">
        <v>44</v>
      </c>
      <c r="C1520" s="4" t="s">
        <v>33</v>
      </c>
      <c r="D1520" s="4" t="s">
        <v>45</v>
      </c>
      <c r="E1520" s="4" t="s">
        <v>25</v>
      </c>
      <c r="F1520" s="4" t="s">
        <v>25</v>
      </c>
      <c r="G1520" s="4" t="s">
        <v>25</v>
      </c>
      <c r="H1520" s="4" t="s">
        <v>36</v>
      </c>
      <c r="I1520" s="5">
        <v>44531</v>
      </c>
      <c r="J1520" s="6">
        <v>0</v>
      </c>
      <c r="K1520" s="6">
        <v>0</v>
      </c>
      <c r="L1520" s="6">
        <v>0.01</v>
      </c>
      <c r="M1520" s="6">
        <v>0.01</v>
      </c>
      <c r="N1520" s="6">
        <v>0.01</v>
      </c>
      <c r="O1520" s="6">
        <v>0.01</v>
      </c>
      <c r="P1520" s="6">
        <v>0</v>
      </c>
      <c r="Q1520" s="4" t="s">
        <v>26</v>
      </c>
      <c r="R1520" s="4">
        <v>0</v>
      </c>
      <c r="S1520" s="4" t="s">
        <v>585</v>
      </c>
      <c r="T1520" s="4" t="s">
        <v>849</v>
      </c>
      <c r="U1520" s="4">
        <v>0</v>
      </c>
      <c r="V1520" s="4">
        <v>52</v>
      </c>
      <c r="W1520" s="4">
        <v>95</v>
      </c>
    </row>
    <row r="1521" spans="1:23" ht="11.25" customHeight="1" x14ac:dyDescent="0.25">
      <c r="A1521" s="4" t="s">
        <v>21</v>
      </c>
      <c r="B1521" s="4" t="s">
        <v>44</v>
      </c>
      <c r="C1521" s="4" t="s">
        <v>33</v>
      </c>
      <c r="D1521" s="4" t="s">
        <v>45</v>
      </c>
      <c r="E1521" s="4" t="s">
        <v>25</v>
      </c>
      <c r="F1521" s="4" t="s">
        <v>25</v>
      </c>
      <c r="G1521" s="4" t="s">
        <v>25</v>
      </c>
      <c r="H1521" s="4" t="s">
        <v>36</v>
      </c>
      <c r="I1521" s="5">
        <v>44562</v>
      </c>
      <c r="J1521" s="6">
        <v>0</v>
      </c>
      <c r="K1521" s="6">
        <v>0</v>
      </c>
      <c r="L1521" s="6">
        <v>2.5999999999999999E-2</v>
      </c>
      <c r="M1521" s="6">
        <v>2.5999999999999999E-2</v>
      </c>
      <c r="N1521" s="6">
        <v>2.5999999999999999E-2</v>
      </c>
      <c r="O1521" s="6">
        <v>2.5999999999999999E-2</v>
      </c>
      <c r="P1521" s="6">
        <v>0</v>
      </c>
      <c r="Q1521" s="4" t="s">
        <v>26</v>
      </c>
      <c r="R1521" s="4">
        <v>0</v>
      </c>
      <c r="S1521" s="4" t="s">
        <v>586</v>
      </c>
      <c r="T1521" s="4" t="s">
        <v>850</v>
      </c>
      <c r="U1521" s="4">
        <v>0</v>
      </c>
      <c r="V1521" s="4">
        <v>52</v>
      </c>
      <c r="W1521" s="4">
        <v>95</v>
      </c>
    </row>
    <row r="1522" spans="1:23" ht="11.25" customHeight="1" x14ac:dyDescent="0.25">
      <c r="A1522" s="4" t="s">
        <v>27</v>
      </c>
      <c r="B1522" s="4" t="s">
        <v>44</v>
      </c>
      <c r="C1522" s="4" t="s">
        <v>33</v>
      </c>
      <c r="D1522" s="4" t="s">
        <v>45</v>
      </c>
      <c r="E1522" s="4" t="s">
        <v>25</v>
      </c>
      <c r="F1522" s="4" t="s">
        <v>25</v>
      </c>
      <c r="G1522" s="4" t="s">
        <v>25</v>
      </c>
      <c r="H1522" s="4" t="s">
        <v>36</v>
      </c>
      <c r="I1522" s="5">
        <v>44562</v>
      </c>
      <c r="J1522" s="6">
        <v>0</v>
      </c>
      <c r="K1522" s="6">
        <v>0</v>
      </c>
      <c r="L1522" s="6">
        <v>0.04</v>
      </c>
      <c r="M1522" s="6">
        <v>0.04</v>
      </c>
      <c r="N1522" s="6">
        <v>0.04</v>
      </c>
      <c r="O1522" s="6">
        <v>0.04</v>
      </c>
      <c r="P1522" s="6">
        <v>0</v>
      </c>
      <c r="Q1522" s="4" t="s">
        <v>26</v>
      </c>
      <c r="R1522" s="4">
        <v>0</v>
      </c>
      <c r="S1522" s="4" t="s">
        <v>586</v>
      </c>
      <c r="T1522" s="4" t="s">
        <v>850</v>
      </c>
      <c r="U1522" s="4">
        <v>0</v>
      </c>
      <c r="V1522" s="4">
        <v>52</v>
      </c>
      <c r="W1522" s="4">
        <v>95</v>
      </c>
    </row>
    <row r="1523" spans="1:23" ht="11.25" customHeight="1" x14ac:dyDescent="0.25">
      <c r="A1523" s="4" t="s">
        <v>21</v>
      </c>
      <c r="B1523" s="4" t="s">
        <v>44</v>
      </c>
      <c r="C1523" s="4" t="s">
        <v>33</v>
      </c>
      <c r="D1523" s="4" t="s">
        <v>45</v>
      </c>
      <c r="E1523" s="4" t="s">
        <v>25</v>
      </c>
      <c r="F1523" s="4" t="s">
        <v>25</v>
      </c>
      <c r="G1523" s="4" t="s">
        <v>25</v>
      </c>
      <c r="H1523" s="4" t="s">
        <v>36</v>
      </c>
      <c r="I1523" s="5">
        <v>44593</v>
      </c>
      <c r="J1523" s="6">
        <v>0</v>
      </c>
      <c r="K1523" s="6">
        <v>0</v>
      </c>
      <c r="L1523" s="6">
        <v>1.4E-2</v>
      </c>
      <c r="M1523" s="6">
        <v>1.4E-2</v>
      </c>
      <c r="N1523" s="6">
        <v>1.4E-2</v>
      </c>
      <c r="O1523" s="6">
        <v>1.4E-2</v>
      </c>
      <c r="P1523" s="6">
        <v>0</v>
      </c>
      <c r="Q1523" s="4" t="s">
        <v>26</v>
      </c>
      <c r="R1523" s="4">
        <v>0</v>
      </c>
      <c r="S1523" s="4" t="s">
        <v>587</v>
      </c>
      <c r="T1523" s="4" t="s">
        <v>851</v>
      </c>
      <c r="U1523" s="4">
        <v>0</v>
      </c>
      <c r="V1523" s="4">
        <v>52</v>
      </c>
      <c r="W1523" s="4">
        <v>95</v>
      </c>
    </row>
    <row r="1524" spans="1:23" ht="11.25" customHeight="1" x14ac:dyDescent="0.25">
      <c r="A1524" s="4" t="s">
        <v>21</v>
      </c>
      <c r="B1524" s="4" t="s">
        <v>44</v>
      </c>
      <c r="C1524" s="4" t="s">
        <v>33</v>
      </c>
      <c r="D1524" s="4" t="s">
        <v>45</v>
      </c>
      <c r="E1524" s="4" t="s">
        <v>25</v>
      </c>
      <c r="F1524" s="4" t="s">
        <v>25</v>
      </c>
      <c r="G1524" s="4" t="s">
        <v>25</v>
      </c>
      <c r="H1524" s="4" t="s">
        <v>36</v>
      </c>
      <c r="I1524" s="5">
        <v>44621</v>
      </c>
      <c r="J1524" s="6">
        <v>0</v>
      </c>
      <c r="K1524" s="6">
        <v>0</v>
      </c>
      <c r="L1524" s="6">
        <v>2.3E-2</v>
      </c>
      <c r="M1524" s="6">
        <v>2.3E-2</v>
      </c>
      <c r="N1524" s="6">
        <v>2.3E-2</v>
      </c>
      <c r="O1524" s="6">
        <v>2.3E-2</v>
      </c>
      <c r="P1524" s="6">
        <v>0</v>
      </c>
      <c r="Q1524" s="4" t="s">
        <v>26</v>
      </c>
      <c r="R1524" s="4">
        <v>0</v>
      </c>
      <c r="S1524" s="4" t="s">
        <v>588</v>
      </c>
      <c r="T1524" s="4" t="s">
        <v>852</v>
      </c>
      <c r="U1524" s="4">
        <v>0</v>
      </c>
      <c r="V1524" s="4">
        <v>52</v>
      </c>
      <c r="W1524" s="4">
        <v>95</v>
      </c>
    </row>
    <row r="1525" spans="1:23" ht="11.25" customHeight="1" x14ac:dyDescent="0.25">
      <c r="A1525" s="4" t="s">
        <v>21</v>
      </c>
      <c r="B1525" s="4" t="s">
        <v>44</v>
      </c>
      <c r="C1525" s="4" t="s">
        <v>33</v>
      </c>
      <c r="D1525" s="4" t="s">
        <v>45</v>
      </c>
      <c r="E1525" s="4" t="s">
        <v>25</v>
      </c>
      <c r="F1525" s="4" t="s">
        <v>25</v>
      </c>
      <c r="G1525" s="4" t="s">
        <v>25</v>
      </c>
      <c r="H1525" s="4" t="s">
        <v>36</v>
      </c>
      <c r="I1525" s="5">
        <v>44652</v>
      </c>
      <c r="J1525" s="6">
        <v>0</v>
      </c>
      <c r="K1525" s="6">
        <v>0</v>
      </c>
      <c r="L1525" s="6">
        <v>2.5000000000000001E-2</v>
      </c>
      <c r="M1525" s="6">
        <v>2.5000000000000001E-2</v>
      </c>
      <c r="N1525" s="6">
        <v>2.5000000000000001E-2</v>
      </c>
      <c r="O1525" s="6">
        <v>2.5000000000000001E-2</v>
      </c>
      <c r="P1525" s="6">
        <v>0</v>
      </c>
      <c r="Q1525" s="4" t="s">
        <v>26</v>
      </c>
      <c r="R1525" s="4">
        <v>0</v>
      </c>
      <c r="S1525" s="4" t="s">
        <v>589</v>
      </c>
      <c r="T1525" s="4" t="s">
        <v>853</v>
      </c>
      <c r="U1525" s="4">
        <v>0</v>
      </c>
      <c r="V1525" s="4">
        <v>52</v>
      </c>
      <c r="W1525" s="4">
        <v>95</v>
      </c>
    </row>
    <row r="1526" spans="1:23" ht="11.25" customHeight="1" x14ac:dyDescent="0.25">
      <c r="A1526" s="4" t="s">
        <v>58</v>
      </c>
      <c r="B1526" s="4" t="s">
        <v>44</v>
      </c>
      <c r="C1526" s="4" t="s">
        <v>33</v>
      </c>
      <c r="D1526" s="4" t="s">
        <v>45</v>
      </c>
      <c r="E1526" s="4" t="s">
        <v>25</v>
      </c>
      <c r="F1526" s="4" t="s">
        <v>25</v>
      </c>
      <c r="G1526" s="4" t="s">
        <v>25</v>
      </c>
      <c r="H1526" s="4" t="s">
        <v>36</v>
      </c>
      <c r="I1526" s="5">
        <v>44682</v>
      </c>
      <c r="J1526" s="6">
        <v>0</v>
      </c>
      <c r="K1526" s="6">
        <v>0</v>
      </c>
      <c r="L1526" s="6">
        <v>2.5000000000000001E-2</v>
      </c>
      <c r="M1526" s="6">
        <v>2.5000000000000001E-2</v>
      </c>
      <c r="N1526" s="6">
        <v>2.5000000000000001E-2</v>
      </c>
      <c r="O1526" s="6">
        <v>2.5000000000000001E-2</v>
      </c>
      <c r="P1526" s="6">
        <v>0</v>
      </c>
      <c r="Q1526" s="4" t="s">
        <v>26</v>
      </c>
      <c r="R1526" s="4">
        <v>0</v>
      </c>
      <c r="S1526" s="4" t="s">
        <v>590</v>
      </c>
      <c r="T1526" s="4" t="s">
        <v>854</v>
      </c>
      <c r="U1526" s="4">
        <v>0</v>
      </c>
      <c r="V1526" s="4">
        <v>52</v>
      </c>
      <c r="W1526" s="4">
        <v>95</v>
      </c>
    </row>
    <row r="1527" spans="1:23" ht="11.25" customHeight="1" x14ac:dyDescent="0.25">
      <c r="A1527" s="4" t="s">
        <v>21</v>
      </c>
      <c r="B1527" s="4" t="s">
        <v>44</v>
      </c>
      <c r="C1527" s="4" t="s">
        <v>33</v>
      </c>
      <c r="D1527" s="4" t="s">
        <v>45</v>
      </c>
      <c r="E1527" s="4" t="s">
        <v>25</v>
      </c>
      <c r="F1527" s="4" t="s">
        <v>25</v>
      </c>
      <c r="G1527" s="4" t="s">
        <v>25</v>
      </c>
      <c r="H1527" s="4" t="s">
        <v>34</v>
      </c>
      <c r="I1527" s="5">
        <v>44378</v>
      </c>
      <c r="J1527" s="6">
        <v>0</v>
      </c>
      <c r="K1527" s="6">
        <v>0</v>
      </c>
      <c r="L1527" s="6">
        <v>0.06</v>
      </c>
      <c r="M1527" s="6">
        <v>0.06</v>
      </c>
      <c r="N1527" s="6">
        <v>0.06</v>
      </c>
      <c r="O1527" s="6">
        <v>0.06</v>
      </c>
      <c r="P1527" s="6">
        <v>0</v>
      </c>
      <c r="Q1527" s="4" t="s">
        <v>26</v>
      </c>
      <c r="R1527" s="4">
        <v>0</v>
      </c>
      <c r="S1527" s="4" t="s">
        <v>591</v>
      </c>
      <c r="T1527" s="4" t="s">
        <v>855</v>
      </c>
      <c r="U1527" s="4">
        <v>0</v>
      </c>
      <c r="V1527" s="4">
        <v>51</v>
      </c>
      <c r="W1527" s="4">
        <v>94</v>
      </c>
    </row>
    <row r="1528" spans="1:23" ht="11.25" customHeight="1" x14ac:dyDescent="0.25">
      <c r="A1528" s="4" t="s">
        <v>21</v>
      </c>
      <c r="B1528" s="4" t="s">
        <v>44</v>
      </c>
      <c r="C1528" s="4" t="s">
        <v>33</v>
      </c>
      <c r="D1528" s="4" t="s">
        <v>45</v>
      </c>
      <c r="E1528" s="4" t="s">
        <v>25</v>
      </c>
      <c r="F1528" s="4" t="s">
        <v>25</v>
      </c>
      <c r="G1528" s="4" t="s">
        <v>25</v>
      </c>
      <c r="H1528" s="4" t="s">
        <v>34</v>
      </c>
      <c r="I1528" s="5">
        <v>44409</v>
      </c>
      <c r="J1528" s="6">
        <v>0</v>
      </c>
      <c r="K1528" s="6">
        <v>0</v>
      </c>
      <c r="L1528" s="6">
        <v>1.4999999999999999E-2</v>
      </c>
      <c r="M1528" s="6">
        <v>1.4999999999999999E-2</v>
      </c>
      <c r="N1528" s="6">
        <v>1.4999999999999999E-2</v>
      </c>
      <c r="O1528" s="6">
        <v>1.4999999999999999E-2</v>
      </c>
      <c r="P1528" s="6">
        <v>0</v>
      </c>
      <c r="Q1528" s="4" t="s">
        <v>26</v>
      </c>
      <c r="R1528" s="4">
        <v>0</v>
      </c>
      <c r="S1528" s="4" t="s">
        <v>592</v>
      </c>
      <c r="T1528" s="4" t="s">
        <v>856</v>
      </c>
      <c r="U1528" s="4">
        <v>0</v>
      </c>
      <c r="V1528" s="4">
        <v>51</v>
      </c>
      <c r="W1528" s="4">
        <v>94</v>
      </c>
    </row>
    <row r="1529" spans="1:23" ht="11.25" customHeight="1" x14ac:dyDescent="0.25">
      <c r="A1529" s="4" t="s">
        <v>21</v>
      </c>
      <c r="B1529" s="4" t="s">
        <v>44</v>
      </c>
      <c r="C1529" s="4" t="s">
        <v>33</v>
      </c>
      <c r="D1529" s="4" t="s">
        <v>45</v>
      </c>
      <c r="E1529" s="4" t="s">
        <v>25</v>
      </c>
      <c r="F1529" s="4" t="s">
        <v>25</v>
      </c>
      <c r="G1529" s="4" t="s">
        <v>25</v>
      </c>
      <c r="H1529" s="4" t="s">
        <v>34</v>
      </c>
      <c r="I1529" s="5">
        <v>44440</v>
      </c>
      <c r="J1529" s="6">
        <v>0</v>
      </c>
      <c r="K1529" s="6">
        <v>0</v>
      </c>
      <c r="L1529" s="6">
        <v>5.3999999999999999E-2</v>
      </c>
      <c r="M1529" s="6">
        <v>5.3999999999999999E-2</v>
      </c>
      <c r="N1529" s="6">
        <v>5.3999999999999999E-2</v>
      </c>
      <c r="O1529" s="6">
        <v>5.3999999999999999E-2</v>
      </c>
      <c r="P1529" s="6">
        <v>0</v>
      </c>
      <c r="Q1529" s="4" t="s">
        <v>26</v>
      </c>
      <c r="R1529" s="4">
        <v>0</v>
      </c>
      <c r="S1529" s="4" t="s">
        <v>593</v>
      </c>
      <c r="T1529" s="4" t="s">
        <v>857</v>
      </c>
      <c r="U1529" s="4">
        <v>0</v>
      </c>
      <c r="V1529" s="4">
        <v>51</v>
      </c>
      <c r="W1529" s="4">
        <v>94</v>
      </c>
    </row>
    <row r="1530" spans="1:23" ht="11.25" customHeight="1" x14ac:dyDescent="0.25">
      <c r="A1530" s="4" t="s">
        <v>21</v>
      </c>
      <c r="B1530" s="4" t="s">
        <v>44</v>
      </c>
      <c r="C1530" s="4" t="s">
        <v>33</v>
      </c>
      <c r="D1530" s="4" t="s">
        <v>45</v>
      </c>
      <c r="E1530" s="4" t="s">
        <v>25</v>
      </c>
      <c r="F1530" s="4" t="s">
        <v>25</v>
      </c>
      <c r="G1530" s="4" t="s">
        <v>25</v>
      </c>
      <c r="H1530" s="4" t="s">
        <v>34</v>
      </c>
      <c r="I1530" s="5">
        <v>44470</v>
      </c>
      <c r="J1530" s="6">
        <v>0</v>
      </c>
      <c r="K1530" s="6">
        <v>0</v>
      </c>
      <c r="L1530" s="6">
        <v>5.8000000000000003E-2</v>
      </c>
      <c r="M1530" s="6">
        <v>5.8000000000000003E-2</v>
      </c>
      <c r="N1530" s="6">
        <v>5.8000000000000003E-2</v>
      </c>
      <c r="O1530" s="6">
        <v>5.8000000000000003E-2</v>
      </c>
      <c r="P1530" s="6">
        <v>0</v>
      </c>
      <c r="Q1530" s="4" t="s">
        <v>26</v>
      </c>
      <c r="R1530" s="4">
        <v>0</v>
      </c>
      <c r="S1530" s="4" t="s">
        <v>594</v>
      </c>
      <c r="T1530" s="4" t="s">
        <v>858</v>
      </c>
      <c r="U1530" s="4">
        <v>0</v>
      </c>
      <c r="V1530" s="4">
        <v>51</v>
      </c>
      <c r="W1530" s="4">
        <v>94</v>
      </c>
    </row>
    <row r="1531" spans="1:23" ht="11.25" customHeight="1" x14ac:dyDescent="0.25">
      <c r="A1531" s="4" t="s">
        <v>21</v>
      </c>
      <c r="B1531" s="4" t="s">
        <v>44</v>
      </c>
      <c r="C1531" s="4" t="s">
        <v>33</v>
      </c>
      <c r="D1531" s="4" t="s">
        <v>45</v>
      </c>
      <c r="E1531" s="4" t="s">
        <v>25</v>
      </c>
      <c r="F1531" s="4" t="s">
        <v>25</v>
      </c>
      <c r="G1531" s="4" t="s">
        <v>25</v>
      </c>
      <c r="H1531" s="4" t="s">
        <v>34</v>
      </c>
      <c r="I1531" s="5">
        <v>44501</v>
      </c>
      <c r="J1531" s="6">
        <v>0</v>
      </c>
      <c r="K1531" s="6">
        <v>0</v>
      </c>
      <c r="L1531" s="6">
        <v>0.64300000000000002</v>
      </c>
      <c r="M1531" s="6">
        <v>0.64300000000000002</v>
      </c>
      <c r="N1531" s="6">
        <v>0.64300000000000002</v>
      </c>
      <c r="O1531" s="6">
        <v>0.64300000000000002</v>
      </c>
      <c r="P1531" s="6">
        <v>0</v>
      </c>
      <c r="Q1531" s="4" t="s">
        <v>26</v>
      </c>
      <c r="R1531" s="4">
        <v>0</v>
      </c>
      <c r="S1531" s="4" t="s">
        <v>595</v>
      </c>
      <c r="T1531" s="4" t="s">
        <v>859</v>
      </c>
      <c r="U1531" s="4">
        <v>0</v>
      </c>
      <c r="V1531" s="4">
        <v>51</v>
      </c>
      <c r="W1531" s="4">
        <v>94</v>
      </c>
    </row>
    <row r="1532" spans="1:23" ht="11.25" customHeight="1" x14ac:dyDescent="0.25">
      <c r="A1532" s="4" t="s">
        <v>21</v>
      </c>
      <c r="B1532" s="4" t="s">
        <v>44</v>
      </c>
      <c r="C1532" s="4" t="s">
        <v>33</v>
      </c>
      <c r="D1532" s="4" t="s">
        <v>45</v>
      </c>
      <c r="E1532" s="4" t="s">
        <v>25</v>
      </c>
      <c r="F1532" s="4" t="s">
        <v>25</v>
      </c>
      <c r="G1532" s="4" t="s">
        <v>25</v>
      </c>
      <c r="H1532" s="4" t="s">
        <v>34</v>
      </c>
      <c r="I1532" s="5">
        <v>44531</v>
      </c>
      <c r="J1532" s="6">
        <v>0</v>
      </c>
      <c r="K1532" s="6">
        <v>0</v>
      </c>
      <c r="L1532" s="6">
        <v>7.4999999999999997E-2</v>
      </c>
      <c r="M1532" s="6">
        <v>7.4999999999999997E-2</v>
      </c>
      <c r="N1532" s="6">
        <v>7.4999999999999997E-2</v>
      </c>
      <c r="O1532" s="6">
        <v>7.4999999999999997E-2</v>
      </c>
      <c r="P1532" s="6">
        <v>0</v>
      </c>
      <c r="Q1532" s="4" t="s">
        <v>26</v>
      </c>
      <c r="R1532" s="4">
        <v>0</v>
      </c>
      <c r="S1532" s="4" t="s">
        <v>596</v>
      </c>
      <c r="T1532" s="4" t="s">
        <v>860</v>
      </c>
      <c r="U1532" s="4">
        <v>0</v>
      </c>
      <c r="V1532" s="4">
        <v>51</v>
      </c>
      <c r="W1532" s="4">
        <v>94</v>
      </c>
    </row>
    <row r="1533" spans="1:23" ht="11.25" customHeight="1" x14ac:dyDescent="0.25">
      <c r="A1533" s="4" t="s">
        <v>21</v>
      </c>
      <c r="B1533" s="4" t="s">
        <v>44</v>
      </c>
      <c r="C1533" s="4" t="s">
        <v>33</v>
      </c>
      <c r="D1533" s="4" t="s">
        <v>45</v>
      </c>
      <c r="E1533" s="4" t="s">
        <v>25</v>
      </c>
      <c r="F1533" s="4" t="s">
        <v>25</v>
      </c>
      <c r="G1533" s="4" t="s">
        <v>25</v>
      </c>
      <c r="H1533" s="4" t="s">
        <v>34</v>
      </c>
      <c r="I1533" s="5">
        <v>44562</v>
      </c>
      <c r="J1533" s="6">
        <v>0</v>
      </c>
      <c r="K1533" s="6">
        <v>0</v>
      </c>
      <c r="L1533" s="6">
        <v>4.8000000000000001E-2</v>
      </c>
      <c r="M1533" s="6">
        <v>4.8000000000000001E-2</v>
      </c>
      <c r="N1533" s="6">
        <v>4.8000000000000001E-2</v>
      </c>
      <c r="O1533" s="6">
        <v>4.8000000000000001E-2</v>
      </c>
      <c r="P1533" s="6">
        <v>0</v>
      </c>
      <c r="Q1533" s="4" t="s">
        <v>26</v>
      </c>
      <c r="R1533" s="4">
        <v>0</v>
      </c>
      <c r="S1533" s="4" t="s">
        <v>597</v>
      </c>
      <c r="T1533" s="4" t="s">
        <v>861</v>
      </c>
      <c r="U1533" s="4">
        <v>0</v>
      </c>
      <c r="V1533" s="4">
        <v>51</v>
      </c>
      <c r="W1533" s="4">
        <v>94</v>
      </c>
    </row>
    <row r="1534" spans="1:23" ht="11.25" customHeight="1" x14ac:dyDescent="0.25">
      <c r="A1534" s="4" t="s">
        <v>27</v>
      </c>
      <c r="B1534" s="4" t="s">
        <v>44</v>
      </c>
      <c r="C1534" s="4" t="s">
        <v>33</v>
      </c>
      <c r="D1534" s="4" t="s">
        <v>45</v>
      </c>
      <c r="E1534" s="4" t="s">
        <v>25</v>
      </c>
      <c r="F1534" s="4" t="s">
        <v>25</v>
      </c>
      <c r="G1534" s="4" t="s">
        <v>25</v>
      </c>
      <c r="H1534" s="4" t="s">
        <v>34</v>
      </c>
      <c r="I1534" s="5">
        <v>44562</v>
      </c>
      <c r="J1534" s="6">
        <v>0</v>
      </c>
      <c r="K1534" s="6">
        <v>0</v>
      </c>
      <c r="L1534" s="6">
        <v>-0.61699999999999999</v>
      </c>
      <c r="M1534" s="6">
        <v>-0.61699999999999999</v>
      </c>
      <c r="N1534" s="6">
        <v>-0.61699999999999999</v>
      </c>
      <c r="O1534" s="6">
        <v>-0.61699999999999999</v>
      </c>
      <c r="P1534" s="6">
        <v>0</v>
      </c>
      <c r="Q1534" s="4" t="s">
        <v>26</v>
      </c>
      <c r="R1534" s="4">
        <v>0</v>
      </c>
      <c r="S1534" s="4" t="s">
        <v>597</v>
      </c>
      <c r="T1534" s="4" t="s">
        <v>861</v>
      </c>
      <c r="U1534" s="4">
        <v>0</v>
      </c>
      <c r="V1534" s="4">
        <v>51</v>
      </c>
      <c r="W1534" s="4">
        <v>94</v>
      </c>
    </row>
    <row r="1535" spans="1:23" ht="11.25" customHeight="1" x14ac:dyDescent="0.25">
      <c r="A1535" s="4" t="s">
        <v>21</v>
      </c>
      <c r="B1535" s="4" t="s">
        <v>44</v>
      </c>
      <c r="C1535" s="4" t="s">
        <v>33</v>
      </c>
      <c r="D1535" s="4" t="s">
        <v>45</v>
      </c>
      <c r="E1535" s="4" t="s">
        <v>25</v>
      </c>
      <c r="F1535" s="4" t="s">
        <v>25</v>
      </c>
      <c r="G1535" s="4" t="s">
        <v>25</v>
      </c>
      <c r="H1535" s="4" t="s">
        <v>34</v>
      </c>
      <c r="I1535" s="5">
        <v>44593</v>
      </c>
      <c r="J1535" s="6">
        <v>0</v>
      </c>
      <c r="K1535" s="6">
        <v>0</v>
      </c>
      <c r="L1535" s="6">
        <v>3.1E-2</v>
      </c>
      <c r="M1535" s="6">
        <v>3.1E-2</v>
      </c>
      <c r="N1535" s="6">
        <v>3.1E-2</v>
      </c>
      <c r="O1535" s="6">
        <v>3.1E-2</v>
      </c>
      <c r="P1535" s="6">
        <v>0</v>
      </c>
      <c r="Q1535" s="4" t="s">
        <v>26</v>
      </c>
      <c r="R1535" s="4">
        <v>0</v>
      </c>
      <c r="S1535" s="4" t="s">
        <v>598</v>
      </c>
      <c r="T1535" s="4" t="s">
        <v>862</v>
      </c>
      <c r="U1535" s="4">
        <v>0</v>
      </c>
      <c r="V1535" s="4">
        <v>51</v>
      </c>
      <c r="W1535" s="4">
        <v>94</v>
      </c>
    </row>
    <row r="1536" spans="1:23" ht="11.25" customHeight="1" x14ac:dyDescent="0.25">
      <c r="A1536" s="4" t="s">
        <v>21</v>
      </c>
      <c r="B1536" s="4" t="s">
        <v>44</v>
      </c>
      <c r="C1536" s="4" t="s">
        <v>33</v>
      </c>
      <c r="D1536" s="4" t="s">
        <v>45</v>
      </c>
      <c r="E1536" s="4" t="s">
        <v>25</v>
      </c>
      <c r="F1536" s="4" t="s">
        <v>25</v>
      </c>
      <c r="G1536" s="4" t="s">
        <v>25</v>
      </c>
      <c r="H1536" s="4" t="s">
        <v>34</v>
      </c>
      <c r="I1536" s="5">
        <v>44621</v>
      </c>
      <c r="J1536" s="6">
        <v>0</v>
      </c>
      <c r="K1536" s="6">
        <v>0</v>
      </c>
      <c r="L1536" s="6">
        <v>4.1000000000000002E-2</v>
      </c>
      <c r="M1536" s="6">
        <v>4.1000000000000002E-2</v>
      </c>
      <c r="N1536" s="6">
        <v>4.1000000000000002E-2</v>
      </c>
      <c r="O1536" s="6">
        <v>4.1000000000000002E-2</v>
      </c>
      <c r="P1536" s="6">
        <v>0</v>
      </c>
      <c r="Q1536" s="4" t="s">
        <v>26</v>
      </c>
      <c r="R1536" s="4">
        <v>0</v>
      </c>
      <c r="S1536" s="4" t="s">
        <v>599</v>
      </c>
      <c r="T1536" s="4" t="s">
        <v>863</v>
      </c>
      <c r="U1536" s="4">
        <v>0</v>
      </c>
      <c r="V1536" s="4">
        <v>51</v>
      </c>
      <c r="W1536" s="4">
        <v>94</v>
      </c>
    </row>
    <row r="1537" spans="1:23" ht="11.25" customHeight="1" x14ac:dyDescent="0.25">
      <c r="A1537" s="4" t="s">
        <v>21</v>
      </c>
      <c r="B1537" s="4" t="s">
        <v>44</v>
      </c>
      <c r="C1537" s="4" t="s">
        <v>33</v>
      </c>
      <c r="D1537" s="4" t="s">
        <v>45</v>
      </c>
      <c r="E1537" s="4" t="s">
        <v>25</v>
      </c>
      <c r="F1537" s="4" t="s">
        <v>25</v>
      </c>
      <c r="G1537" s="4" t="s">
        <v>25</v>
      </c>
      <c r="H1537" s="4" t="s">
        <v>34</v>
      </c>
      <c r="I1537" s="5">
        <v>44652</v>
      </c>
      <c r="J1537" s="6">
        <v>0</v>
      </c>
      <c r="K1537" s="6">
        <v>0</v>
      </c>
      <c r="L1537" s="6">
        <v>4.3999999999999997E-2</v>
      </c>
      <c r="M1537" s="6">
        <v>4.3999999999999997E-2</v>
      </c>
      <c r="N1537" s="6">
        <v>4.3999999999999997E-2</v>
      </c>
      <c r="O1537" s="6">
        <v>4.3999999999999997E-2</v>
      </c>
      <c r="P1537" s="6">
        <v>0</v>
      </c>
      <c r="Q1537" s="4" t="s">
        <v>26</v>
      </c>
      <c r="R1537" s="4">
        <v>0</v>
      </c>
      <c r="S1537" s="4" t="s">
        <v>600</v>
      </c>
      <c r="T1537" s="4" t="s">
        <v>864</v>
      </c>
      <c r="U1537" s="4">
        <v>0</v>
      </c>
      <c r="V1537" s="4">
        <v>51</v>
      </c>
      <c r="W1537" s="4">
        <v>94</v>
      </c>
    </row>
    <row r="1538" spans="1:23" ht="11.25" customHeight="1" x14ac:dyDescent="0.25">
      <c r="A1538" s="4" t="s">
        <v>58</v>
      </c>
      <c r="B1538" s="4" t="s">
        <v>44</v>
      </c>
      <c r="C1538" s="4" t="s">
        <v>33</v>
      </c>
      <c r="D1538" s="4" t="s">
        <v>45</v>
      </c>
      <c r="E1538" s="4" t="s">
        <v>25</v>
      </c>
      <c r="F1538" s="4" t="s">
        <v>25</v>
      </c>
      <c r="G1538" s="4" t="s">
        <v>25</v>
      </c>
      <c r="H1538" s="4" t="s">
        <v>34</v>
      </c>
      <c r="I1538" s="5">
        <v>44682</v>
      </c>
      <c r="J1538" s="6">
        <v>0</v>
      </c>
      <c r="K1538" s="6">
        <v>0</v>
      </c>
      <c r="L1538" s="6">
        <v>4.3999999999999997E-2</v>
      </c>
      <c r="M1538" s="6">
        <v>4.3999999999999997E-2</v>
      </c>
      <c r="N1538" s="6">
        <v>4.3999999999999997E-2</v>
      </c>
      <c r="O1538" s="6">
        <v>4.3999999999999997E-2</v>
      </c>
      <c r="P1538" s="6">
        <v>0</v>
      </c>
      <c r="Q1538" s="4" t="s">
        <v>26</v>
      </c>
      <c r="R1538" s="4">
        <v>0</v>
      </c>
      <c r="S1538" s="4" t="s">
        <v>601</v>
      </c>
      <c r="T1538" s="4" t="s">
        <v>865</v>
      </c>
      <c r="U1538" s="4">
        <v>0</v>
      </c>
      <c r="V1538" s="4">
        <v>51</v>
      </c>
      <c r="W1538" s="4">
        <v>94</v>
      </c>
    </row>
    <row r="1539" spans="1:23" ht="11.25" customHeight="1" x14ac:dyDescent="0.25">
      <c r="A1539" s="4" t="s">
        <v>21</v>
      </c>
      <c r="B1539" s="4" t="s">
        <v>44</v>
      </c>
      <c r="C1539" s="4" t="s">
        <v>23</v>
      </c>
      <c r="D1539" s="4" t="s">
        <v>45</v>
      </c>
      <c r="E1539" s="4" t="s">
        <v>54</v>
      </c>
      <c r="F1539" s="4" t="s">
        <v>55</v>
      </c>
      <c r="G1539" s="4" t="s">
        <v>25</v>
      </c>
      <c r="H1539" s="4" t="s">
        <v>25</v>
      </c>
      <c r="I1539" s="5">
        <v>44348</v>
      </c>
      <c r="J1539" s="6">
        <v>0</v>
      </c>
      <c r="K1539" s="6">
        <v>0</v>
      </c>
      <c r="L1539" s="6">
        <v>55.131</v>
      </c>
      <c r="M1539" s="6">
        <v>55.131</v>
      </c>
      <c r="N1539" s="6">
        <v>55.131</v>
      </c>
      <c r="O1539" s="6">
        <v>55.131</v>
      </c>
      <c r="P1539" s="6">
        <v>0</v>
      </c>
      <c r="Q1539" s="4" t="s">
        <v>26</v>
      </c>
      <c r="R1539" s="4">
        <v>0</v>
      </c>
      <c r="S1539" s="4" t="s">
        <v>602</v>
      </c>
      <c r="T1539" s="4" t="s">
        <v>866</v>
      </c>
      <c r="U1539" s="4">
        <v>0</v>
      </c>
      <c r="V1539" s="4">
        <v>54</v>
      </c>
      <c r="W1539" s="4">
        <v>97</v>
      </c>
    </row>
    <row r="1540" spans="1:23" ht="11.25" customHeight="1" x14ac:dyDescent="0.25">
      <c r="A1540" s="4" t="s">
        <v>28</v>
      </c>
      <c r="B1540" s="4" t="s">
        <v>44</v>
      </c>
      <c r="C1540" s="4" t="s">
        <v>23</v>
      </c>
      <c r="D1540" s="4" t="s">
        <v>45</v>
      </c>
      <c r="E1540" s="4" t="s">
        <v>54</v>
      </c>
      <c r="F1540" s="4" t="s">
        <v>55</v>
      </c>
      <c r="G1540" s="4" t="s">
        <v>25</v>
      </c>
      <c r="H1540" s="4" t="s">
        <v>25</v>
      </c>
      <c r="I1540" s="5">
        <v>44348</v>
      </c>
      <c r="J1540" s="6">
        <v>0</v>
      </c>
      <c r="K1540" s="6">
        <v>0</v>
      </c>
      <c r="L1540" s="6">
        <v>5.1470000000000002</v>
      </c>
      <c r="M1540" s="6">
        <v>5.1470000000000002</v>
      </c>
      <c r="N1540" s="6">
        <v>5.1470000000000002</v>
      </c>
      <c r="O1540" s="6">
        <v>5.1470000000000002</v>
      </c>
      <c r="P1540" s="6">
        <v>0</v>
      </c>
      <c r="Q1540" s="4" t="s">
        <v>26</v>
      </c>
      <c r="R1540" s="4">
        <v>0</v>
      </c>
      <c r="S1540" s="4" t="s">
        <v>602</v>
      </c>
      <c r="T1540" s="4" t="s">
        <v>866</v>
      </c>
      <c r="U1540" s="4">
        <v>0</v>
      </c>
      <c r="V1540" s="4">
        <v>54</v>
      </c>
      <c r="W1540" s="4">
        <v>97</v>
      </c>
    </row>
    <row r="1541" spans="1:23" ht="11.25" customHeight="1" x14ac:dyDescent="0.25">
      <c r="A1541" s="4" t="s">
        <v>21</v>
      </c>
      <c r="B1541" s="4" t="s">
        <v>44</v>
      </c>
      <c r="C1541" s="4" t="s">
        <v>23</v>
      </c>
      <c r="D1541" s="4" t="s">
        <v>45</v>
      </c>
      <c r="E1541" s="4" t="s">
        <v>54</v>
      </c>
      <c r="F1541" s="4" t="s">
        <v>55</v>
      </c>
      <c r="G1541" s="4" t="s">
        <v>25</v>
      </c>
      <c r="H1541" s="4" t="s">
        <v>25</v>
      </c>
      <c r="I1541" s="5">
        <v>44378</v>
      </c>
      <c r="J1541" s="6">
        <v>0</v>
      </c>
      <c r="K1541" s="6">
        <v>0</v>
      </c>
      <c r="L1541" s="6">
        <v>57.106999999999999</v>
      </c>
      <c r="M1541" s="6">
        <v>57.106999999999999</v>
      </c>
      <c r="N1541" s="6">
        <v>57.106999999999999</v>
      </c>
      <c r="O1541" s="6">
        <v>57.106999999999999</v>
      </c>
      <c r="P1541" s="6">
        <v>0</v>
      </c>
      <c r="Q1541" s="4" t="s">
        <v>26</v>
      </c>
      <c r="R1541" s="4">
        <v>0</v>
      </c>
      <c r="S1541" s="4" t="s">
        <v>603</v>
      </c>
      <c r="T1541" s="4" t="s">
        <v>867</v>
      </c>
      <c r="U1541" s="4">
        <v>0</v>
      </c>
      <c r="V1541" s="4">
        <v>54</v>
      </c>
      <c r="W1541" s="4">
        <v>97</v>
      </c>
    </row>
    <row r="1542" spans="1:23" ht="11.25" customHeight="1" x14ac:dyDescent="0.25">
      <c r="A1542" s="4" t="s">
        <v>27</v>
      </c>
      <c r="B1542" s="4" t="s">
        <v>44</v>
      </c>
      <c r="C1542" s="4" t="s">
        <v>23</v>
      </c>
      <c r="D1542" s="4" t="s">
        <v>45</v>
      </c>
      <c r="E1542" s="4" t="s">
        <v>54</v>
      </c>
      <c r="F1542" s="4" t="s">
        <v>55</v>
      </c>
      <c r="G1542" s="4" t="s">
        <v>25</v>
      </c>
      <c r="H1542" s="4" t="s">
        <v>25</v>
      </c>
      <c r="I1542" s="5">
        <v>44378</v>
      </c>
      <c r="J1542" s="6">
        <v>0</v>
      </c>
      <c r="K1542" s="6">
        <v>0</v>
      </c>
      <c r="L1542" s="6">
        <v>-3.52</v>
      </c>
      <c r="M1542" s="6">
        <v>-3.52</v>
      </c>
      <c r="N1542" s="6">
        <v>-3.52</v>
      </c>
      <c r="O1542" s="6">
        <v>-3.52</v>
      </c>
      <c r="P1542" s="6">
        <v>0</v>
      </c>
      <c r="Q1542" s="4" t="s">
        <v>26</v>
      </c>
      <c r="R1542" s="4">
        <v>0</v>
      </c>
      <c r="S1542" s="4" t="s">
        <v>603</v>
      </c>
      <c r="T1542" s="4" t="s">
        <v>867</v>
      </c>
      <c r="U1542" s="4">
        <v>0</v>
      </c>
      <c r="V1542" s="4">
        <v>54</v>
      </c>
      <c r="W1542" s="4">
        <v>97</v>
      </c>
    </row>
    <row r="1543" spans="1:23" ht="11.25" customHeight="1" x14ac:dyDescent="0.25">
      <c r="A1543" s="4" t="s">
        <v>28</v>
      </c>
      <c r="B1543" s="4" t="s">
        <v>44</v>
      </c>
      <c r="C1543" s="4" t="s">
        <v>23</v>
      </c>
      <c r="D1543" s="4" t="s">
        <v>45</v>
      </c>
      <c r="E1543" s="4" t="s">
        <v>54</v>
      </c>
      <c r="F1543" s="4" t="s">
        <v>55</v>
      </c>
      <c r="G1543" s="4" t="s">
        <v>25</v>
      </c>
      <c r="H1543" s="4" t="s">
        <v>25</v>
      </c>
      <c r="I1543" s="5">
        <v>44378</v>
      </c>
      <c r="J1543" s="6">
        <v>0</v>
      </c>
      <c r="K1543" s="6">
        <v>0</v>
      </c>
      <c r="L1543" s="6">
        <v>6.2130000000000001</v>
      </c>
      <c r="M1543" s="6">
        <v>6.2130000000000001</v>
      </c>
      <c r="N1543" s="6">
        <v>6.2130000000000001</v>
      </c>
      <c r="O1543" s="6">
        <v>6.2130000000000001</v>
      </c>
      <c r="P1543" s="6">
        <v>0</v>
      </c>
      <c r="Q1543" s="4" t="s">
        <v>26</v>
      </c>
      <c r="R1543" s="4">
        <v>0</v>
      </c>
      <c r="S1543" s="4" t="s">
        <v>603</v>
      </c>
      <c r="T1543" s="4" t="s">
        <v>867</v>
      </c>
      <c r="U1543" s="4">
        <v>0</v>
      </c>
      <c r="V1543" s="4">
        <v>54</v>
      </c>
      <c r="W1543" s="4">
        <v>97</v>
      </c>
    </row>
    <row r="1544" spans="1:23" ht="11.25" customHeight="1" x14ac:dyDescent="0.25">
      <c r="A1544" s="4" t="s">
        <v>28</v>
      </c>
      <c r="B1544" s="4" t="s">
        <v>44</v>
      </c>
      <c r="C1544" s="4" t="s">
        <v>23</v>
      </c>
      <c r="D1544" s="4" t="s">
        <v>45</v>
      </c>
      <c r="E1544" s="4" t="s">
        <v>54</v>
      </c>
      <c r="F1544" s="4" t="s">
        <v>55</v>
      </c>
      <c r="G1544" s="4" t="s">
        <v>25</v>
      </c>
      <c r="H1544" s="4" t="s">
        <v>25</v>
      </c>
      <c r="I1544" s="5">
        <v>44378</v>
      </c>
      <c r="J1544" s="6">
        <v>0</v>
      </c>
      <c r="K1544" s="6">
        <v>0</v>
      </c>
      <c r="L1544" s="6">
        <v>-113.19199999999999</v>
      </c>
      <c r="M1544" s="6">
        <v>-113.19199999999999</v>
      </c>
      <c r="N1544" s="6">
        <v>-113.19199999999999</v>
      </c>
      <c r="O1544" s="6">
        <v>-113.19199999999999</v>
      </c>
      <c r="P1544" s="6">
        <v>0</v>
      </c>
      <c r="Q1544" s="4" t="s">
        <v>26</v>
      </c>
      <c r="R1544" s="4">
        <v>0</v>
      </c>
      <c r="S1544" s="4" t="s">
        <v>603</v>
      </c>
      <c r="T1544" s="4" t="s">
        <v>867</v>
      </c>
      <c r="U1544" s="4">
        <v>0</v>
      </c>
      <c r="V1544" s="4">
        <v>54</v>
      </c>
      <c r="W1544" s="4">
        <v>97</v>
      </c>
    </row>
    <row r="1545" spans="1:23" ht="11.25" customHeight="1" x14ac:dyDescent="0.25">
      <c r="A1545" s="4" t="s">
        <v>21</v>
      </c>
      <c r="B1545" s="4" t="s">
        <v>44</v>
      </c>
      <c r="C1545" s="4" t="s">
        <v>23</v>
      </c>
      <c r="D1545" s="4" t="s">
        <v>45</v>
      </c>
      <c r="E1545" s="4" t="s">
        <v>54</v>
      </c>
      <c r="F1545" s="4" t="s">
        <v>55</v>
      </c>
      <c r="G1545" s="4" t="s">
        <v>25</v>
      </c>
      <c r="H1545" s="4" t="s">
        <v>25</v>
      </c>
      <c r="I1545" s="5">
        <v>44409</v>
      </c>
      <c r="J1545" s="6">
        <v>0</v>
      </c>
      <c r="K1545" s="6">
        <v>0</v>
      </c>
      <c r="L1545" s="6">
        <v>55.843000000000004</v>
      </c>
      <c r="M1545" s="6">
        <v>55.843000000000004</v>
      </c>
      <c r="N1545" s="6">
        <v>55.843000000000004</v>
      </c>
      <c r="O1545" s="6">
        <v>55.843000000000004</v>
      </c>
      <c r="P1545" s="6">
        <v>0</v>
      </c>
      <c r="Q1545" s="4" t="s">
        <v>26</v>
      </c>
      <c r="R1545" s="4">
        <v>0</v>
      </c>
      <c r="S1545" s="4" t="s">
        <v>604</v>
      </c>
      <c r="T1545" s="4" t="s">
        <v>868</v>
      </c>
      <c r="U1545" s="4">
        <v>0</v>
      </c>
      <c r="V1545" s="4">
        <v>54</v>
      </c>
      <c r="W1545" s="4">
        <v>97</v>
      </c>
    </row>
    <row r="1546" spans="1:23" ht="11.25" customHeight="1" x14ac:dyDescent="0.25">
      <c r="A1546" s="4" t="s">
        <v>27</v>
      </c>
      <c r="B1546" s="4" t="s">
        <v>44</v>
      </c>
      <c r="C1546" s="4" t="s">
        <v>23</v>
      </c>
      <c r="D1546" s="4" t="s">
        <v>45</v>
      </c>
      <c r="E1546" s="4" t="s">
        <v>54</v>
      </c>
      <c r="F1546" s="4" t="s">
        <v>55</v>
      </c>
      <c r="G1546" s="4" t="s">
        <v>25</v>
      </c>
      <c r="H1546" s="4" t="s">
        <v>25</v>
      </c>
      <c r="I1546" s="5">
        <v>44409</v>
      </c>
      <c r="J1546" s="6">
        <v>0</v>
      </c>
      <c r="K1546" s="6">
        <v>0</v>
      </c>
      <c r="L1546" s="6">
        <v>-11.164999999999999</v>
      </c>
      <c r="M1546" s="6">
        <v>-11.164999999999999</v>
      </c>
      <c r="N1546" s="6">
        <v>-11.164999999999999</v>
      </c>
      <c r="O1546" s="6">
        <v>-11.164999999999999</v>
      </c>
      <c r="P1546" s="6">
        <v>0</v>
      </c>
      <c r="Q1546" s="4" t="s">
        <v>26</v>
      </c>
      <c r="R1546" s="4">
        <v>0</v>
      </c>
      <c r="S1546" s="4" t="s">
        <v>604</v>
      </c>
      <c r="T1546" s="4" t="s">
        <v>868</v>
      </c>
      <c r="U1546" s="4">
        <v>0</v>
      </c>
      <c r="V1546" s="4">
        <v>54</v>
      </c>
      <c r="W1546" s="4">
        <v>97</v>
      </c>
    </row>
    <row r="1547" spans="1:23" ht="11.25" customHeight="1" x14ac:dyDescent="0.25">
      <c r="A1547" s="4" t="s">
        <v>28</v>
      </c>
      <c r="B1547" s="4" t="s">
        <v>44</v>
      </c>
      <c r="C1547" s="4" t="s">
        <v>23</v>
      </c>
      <c r="D1547" s="4" t="s">
        <v>45</v>
      </c>
      <c r="E1547" s="4" t="s">
        <v>54</v>
      </c>
      <c r="F1547" s="4" t="s">
        <v>55</v>
      </c>
      <c r="G1547" s="4" t="s">
        <v>25</v>
      </c>
      <c r="H1547" s="4" t="s">
        <v>25</v>
      </c>
      <c r="I1547" s="5">
        <v>44409</v>
      </c>
      <c r="J1547" s="6">
        <v>0</v>
      </c>
      <c r="K1547" s="6">
        <v>0</v>
      </c>
      <c r="L1547" s="6">
        <v>4.6390000000000002</v>
      </c>
      <c r="M1547" s="6">
        <v>4.6390000000000002</v>
      </c>
      <c r="N1547" s="6">
        <v>4.6390000000000002</v>
      </c>
      <c r="O1547" s="6">
        <v>4.6390000000000002</v>
      </c>
      <c r="P1547" s="6">
        <v>0</v>
      </c>
      <c r="Q1547" s="4" t="s">
        <v>26</v>
      </c>
      <c r="R1547" s="4">
        <v>0</v>
      </c>
      <c r="S1547" s="4" t="s">
        <v>604</v>
      </c>
      <c r="T1547" s="4" t="s">
        <v>868</v>
      </c>
      <c r="U1547" s="4">
        <v>0</v>
      </c>
      <c r="V1547" s="4">
        <v>54</v>
      </c>
      <c r="W1547" s="4">
        <v>97</v>
      </c>
    </row>
    <row r="1548" spans="1:23" ht="11.25" customHeight="1" x14ac:dyDescent="0.25">
      <c r="A1548" s="4" t="s">
        <v>21</v>
      </c>
      <c r="B1548" s="4" t="s">
        <v>44</v>
      </c>
      <c r="C1548" s="4" t="s">
        <v>23</v>
      </c>
      <c r="D1548" s="4" t="s">
        <v>45</v>
      </c>
      <c r="E1548" s="4" t="s">
        <v>54</v>
      </c>
      <c r="F1548" s="4" t="s">
        <v>55</v>
      </c>
      <c r="G1548" s="4" t="s">
        <v>25</v>
      </c>
      <c r="H1548" s="4" t="s">
        <v>25</v>
      </c>
      <c r="I1548" s="5">
        <v>44440</v>
      </c>
      <c r="J1548" s="6">
        <v>0</v>
      </c>
      <c r="K1548" s="6">
        <v>0</v>
      </c>
      <c r="L1548" s="6">
        <v>73.084000000000003</v>
      </c>
      <c r="M1548" s="6">
        <v>73.084000000000003</v>
      </c>
      <c r="N1548" s="6">
        <v>73.084000000000003</v>
      </c>
      <c r="O1548" s="6">
        <v>73.084000000000003</v>
      </c>
      <c r="P1548" s="6">
        <v>0</v>
      </c>
      <c r="Q1548" s="4" t="s">
        <v>26</v>
      </c>
      <c r="R1548" s="4">
        <v>0</v>
      </c>
      <c r="S1548" s="4" t="s">
        <v>605</v>
      </c>
      <c r="T1548" s="4" t="s">
        <v>869</v>
      </c>
      <c r="U1548" s="4">
        <v>0</v>
      </c>
      <c r="V1548" s="4">
        <v>54</v>
      </c>
      <c r="W1548" s="4">
        <v>97</v>
      </c>
    </row>
    <row r="1549" spans="1:23" ht="11.25" customHeight="1" x14ac:dyDescent="0.25">
      <c r="A1549" s="4" t="s">
        <v>27</v>
      </c>
      <c r="B1549" s="4" t="s">
        <v>44</v>
      </c>
      <c r="C1549" s="4" t="s">
        <v>23</v>
      </c>
      <c r="D1549" s="4" t="s">
        <v>45</v>
      </c>
      <c r="E1549" s="4" t="s">
        <v>54</v>
      </c>
      <c r="F1549" s="4" t="s">
        <v>55</v>
      </c>
      <c r="G1549" s="4" t="s">
        <v>25</v>
      </c>
      <c r="H1549" s="4" t="s">
        <v>25</v>
      </c>
      <c r="I1549" s="5">
        <v>44440</v>
      </c>
      <c r="J1549" s="6">
        <v>0</v>
      </c>
      <c r="K1549" s="6">
        <v>0</v>
      </c>
      <c r="L1549" s="6">
        <v>5.0999999999999997E-2</v>
      </c>
      <c r="M1549" s="6">
        <v>5.0999999999999997E-2</v>
      </c>
      <c r="N1549" s="6">
        <v>5.0999999999999997E-2</v>
      </c>
      <c r="O1549" s="6">
        <v>5.0999999999999997E-2</v>
      </c>
      <c r="P1549" s="6">
        <v>0</v>
      </c>
      <c r="Q1549" s="4" t="s">
        <v>26</v>
      </c>
      <c r="R1549" s="4">
        <v>0</v>
      </c>
      <c r="S1549" s="4" t="s">
        <v>605</v>
      </c>
      <c r="T1549" s="4" t="s">
        <v>869</v>
      </c>
      <c r="U1549" s="4">
        <v>0</v>
      </c>
      <c r="V1549" s="4">
        <v>54</v>
      </c>
      <c r="W1549" s="4">
        <v>97</v>
      </c>
    </row>
    <row r="1550" spans="1:23" ht="11.25" customHeight="1" x14ac:dyDescent="0.25">
      <c r="A1550" s="4" t="s">
        <v>28</v>
      </c>
      <c r="B1550" s="4" t="s">
        <v>44</v>
      </c>
      <c r="C1550" s="4" t="s">
        <v>23</v>
      </c>
      <c r="D1550" s="4" t="s">
        <v>45</v>
      </c>
      <c r="E1550" s="4" t="s">
        <v>54</v>
      </c>
      <c r="F1550" s="4" t="s">
        <v>55</v>
      </c>
      <c r="G1550" s="4" t="s">
        <v>25</v>
      </c>
      <c r="H1550" s="4" t="s">
        <v>25</v>
      </c>
      <c r="I1550" s="5">
        <v>44440</v>
      </c>
      <c r="J1550" s="6">
        <v>0</v>
      </c>
      <c r="K1550" s="6">
        <v>0</v>
      </c>
      <c r="L1550" s="6">
        <v>4.1539999999999999</v>
      </c>
      <c r="M1550" s="6">
        <v>4.1539999999999999</v>
      </c>
      <c r="N1550" s="6">
        <v>4.1539999999999999</v>
      </c>
      <c r="O1550" s="6">
        <v>4.1539999999999999</v>
      </c>
      <c r="P1550" s="6">
        <v>0</v>
      </c>
      <c r="Q1550" s="4" t="s">
        <v>26</v>
      </c>
      <c r="R1550" s="4">
        <v>0</v>
      </c>
      <c r="S1550" s="4" t="s">
        <v>605</v>
      </c>
      <c r="T1550" s="4" t="s">
        <v>869</v>
      </c>
      <c r="U1550" s="4">
        <v>0</v>
      </c>
      <c r="V1550" s="4">
        <v>54</v>
      </c>
      <c r="W1550" s="4">
        <v>97</v>
      </c>
    </row>
    <row r="1551" spans="1:23" ht="11.25" customHeight="1" x14ac:dyDescent="0.25">
      <c r="A1551" s="4" t="s">
        <v>28</v>
      </c>
      <c r="B1551" s="4" t="s">
        <v>44</v>
      </c>
      <c r="C1551" s="4" t="s">
        <v>23</v>
      </c>
      <c r="D1551" s="4" t="s">
        <v>45</v>
      </c>
      <c r="E1551" s="4" t="s">
        <v>54</v>
      </c>
      <c r="F1551" s="4" t="s">
        <v>55</v>
      </c>
      <c r="G1551" s="4" t="s">
        <v>25</v>
      </c>
      <c r="H1551" s="4" t="s">
        <v>25</v>
      </c>
      <c r="I1551" s="5">
        <v>44440</v>
      </c>
      <c r="J1551" s="6">
        <v>0</v>
      </c>
      <c r="K1551" s="6">
        <v>0</v>
      </c>
      <c r="L1551" s="6">
        <v>-0.35799999999999998</v>
      </c>
      <c r="M1551" s="6">
        <v>-0.35799999999999998</v>
      </c>
      <c r="N1551" s="6">
        <v>-0.35799999999999998</v>
      </c>
      <c r="O1551" s="6">
        <v>-0.35799999999999998</v>
      </c>
      <c r="P1551" s="6">
        <v>0</v>
      </c>
      <c r="Q1551" s="4" t="s">
        <v>26</v>
      </c>
      <c r="R1551" s="4">
        <v>0</v>
      </c>
      <c r="S1551" s="4" t="s">
        <v>605</v>
      </c>
      <c r="T1551" s="4" t="s">
        <v>869</v>
      </c>
      <c r="U1551" s="4">
        <v>0</v>
      </c>
      <c r="V1551" s="4">
        <v>54</v>
      </c>
      <c r="W1551" s="4">
        <v>97</v>
      </c>
    </row>
    <row r="1552" spans="1:23" ht="11.25" customHeight="1" x14ac:dyDescent="0.25">
      <c r="A1552" s="4" t="s">
        <v>21</v>
      </c>
      <c r="B1552" s="4" t="s">
        <v>44</v>
      </c>
      <c r="C1552" s="4" t="s">
        <v>23</v>
      </c>
      <c r="D1552" s="4" t="s">
        <v>45</v>
      </c>
      <c r="E1552" s="4" t="s">
        <v>54</v>
      </c>
      <c r="F1552" s="4" t="s">
        <v>55</v>
      </c>
      <c r="G1552" s="4" t="s">
        <v>25</v>
      </c>
      <c r="H1552" s="4" t="s">
        <v>25</v>
      </c>
      <c r="I1552" s="5">
        <v>44470</v>
      </c>
      <c r="J1552" s="6">
        <v>0</v>
      </c>
      <c r="K1552" s="6">
        <v>0</v>
      </c>
      <c r="L1552" s="6">
        <v>44.103000000000002</v>
      </c>
      <c r="M1552" s="6">
        <v>44.103000000000002</v>
      </c>
      <c r="N1552" s="6">
        <v>44.103000000000002</v>
      </c>
      <c r="O1552" s="6">
        <v>44.103000000000002</v>
      </c>
      <c r="P1552" s="6">
        <v>0</v>
      </c>
      <c r="Q1552" s="4" t="s">
        <v>26</v>
      </c>
      <c r="R1552" s="4">
        <v>0</v>
      </c>
      <c r="S1552" s="4" t="s">
        <v>606</v>
      </c>
      <c r="T1552" s="4" t="s">
        <v>870</v>
      </c>
      <c r="U1552" s="4">
        <v>0</v>
      </c>
      <c r="V1552" s="4">
        <v>54</v>
      </c>
      <c r="W1552" s="4">
        <v>97</v>
      </c>
    </row>
    <row r="1553" spans="1:23" ht="11.25" customHeight="1" x14ac:dyDescent="0.25">
      <c r="A1553" s="4" t="s">
        <v>27</v>
      </c>
      <c r="B1553" s="4" t="s">
        <v>44</v>
      </c>
      <c r="C1553" s="4" t="s">
        <v>23</v>
      </c>
      <c r="D1553" s="4" t="s">
        <v>45</v>
      </c>
      <c r="E1553" s="4" t="s">
        <v>54</v>
      </c>
      <c r="F1553" s="4" t="s">
        <v>55</v>
      </c>
      <c r="G1553" s="4" t="s">
        <v>25</v>
      </c>
      <c r="H1553" s="4" t="s">
        <v>25</v>
      </c>
      <c r="I1553" s="5">
        <v>44470</v>
      </c>
      <c r="J1553" s="6">
        <v>0</v>
      </c>
      <c r="K1553" s="6">
        <v>0</v>
      </c>
      <c r="L1553" s="6">
        <v>-1.7809999999999999</v>
      </c>
      <c r="M1553" s="6">
        <v>-1.7809999999999999</v>
      </c>
      <c r="N1553" s="6">
        <v>-1.7809999999999999</v>
      </c>
      <c r="O1553" s="6">
        <v>-1.7809999999999999</v>
      </c>
      <c r="P1553" s="6">
        <v>0</v>
      </c>
      <c r="Q1553" s="4" t="s">
        <v>26</v>
      </c>
      <c r="R1553" s="4">
        <v>0</v>
      </c>
      <c r="S1553" s="4" t="s">
        <v>606</v>
      </c>
      <c r="T1553" s="4" t="s">
        <v>870</v>
      </c>
      <c r="U1553" s="4">
        <v>0</v>
      </c>
      <c r="V1553" s="4">
        <v>54</v>
      </c>
      <c r="W1553" s="4">
        <v>97</v>
      </c>
    </row>
    <row r="1554" spans="1:23" ht="11.25" customHeight="1" x14ac:dyDescent="0.25">
      <c r="A1554" s="4" t="s">
        <v>28</v>
      </c>
      <c r="B1554" s="4" t="s">
        <v>44</v>
      </c>
      <c r="C1554" s="4" t="s">
        <v>23</v>
      </c>
      <c r="D1554" s="4" t="s">
        <v>45</v>
      </c>
      <c r="E1554" s="4" t="s">
        <v>54</v>
      </c>
      <c r="F1554" s="4" t="s">
        <v>55</v>
      </c>
      <c r="G1554" s="4" t="s">
        <v>25</v>
      </c>
      <c r="H1554" s="4" t="s">
        <v>25</v>
      </c>
      <c r="I1554" s="5">
        <v>44470</v>
      </c>
      <c r="J1554" s="6">
        <v>0</v>
      </c>
      <c r="K1554" s="6">
        <v>0</v>
      </c>
      <c r="L1554" s="6">
        <v>9.7949999999999999</v>
      </c>
      <c r="M1554" s="6">
        <v>9.7949999999999999</v>
      </c>
      <c r="N1554" s="6">
        <v>9.7949999999999999</v>
      </c>
      <c r="O1554" s="6">
        <v>9.7949999999999999</v>
      </c>
      <c r="P1554" s="6">
        <v>0</v>
      </c>
      <c r="Q1554" s="4" t="s">
        <v>26</v>
      </c>
      <c r="R1554" s="4">
        <v>0</v>
      </c>
      <c r="S1554" s="4" t="s">
        <v>606</v>
      </c>
      <c r="T1554" s="4" t="s">
        <v>870</v>
      </c>
      <c r="U1554" s="4">
        <v>0</v>
      </c>
      <c r="V1554" s="4">
        <v>54</v>
      </c>
      <c r="W1554" s="4">
        <v>97</v>
      </c>
    </row>
    <row r="1555" spans="1:23" ht="11.25" customHeight="1" x14ac:dyDescent="0.25">
      <c r="A1555" s="4" t="s">
        <v>21</v>
      </c>
      <c r="B1555" s="4" t="s">
        <v>44</v>
      </c>
      <c r="C1555" s="4" t="s">
        <v>23</v>
      </c>
      <c r="D1555" s="4" t="s">
        <v>45</v>
      </c>
      <c r="E1555" s="4" t="s">
        <v>54</v>
      </c>
      <c r="F1555" s="4" t="s">
        <v>55</v>
      </c>
      <c r="G1555" s="4" t="s">
        <v>25</v>
      </c>
      <c r="H1555" s="4" t="s">
        <v>25</v>
      </c>
      <c r="I1555" s="5">
        <v>44501</v>
      </c>
      <c r="J1555" s="6">
        <v>0</v>
      </c>
      <c r="K1555" s="6">
        <v>0</v>
      </c>
      <c r="L1555" s="6">
        <v>39.124000000000002</v>
      </c>
      <c r="M1555" s="6">
        <v>39.124000000000002</v>
      </c>
      <c r="N1555" s="6">
        <v>39.124000000000002</v>
      </c>
      <c r="O1555" s="6">
        <v>39.124000000000002</v>
      </c>
      <c r="P1555" s="6">
        <v>0</v>
      </c>
      <c r="Q1555" s="4" t="s">
        <v>26</v>
      </c>
      <c r="R1555" s="4">
        <v>0</v>
      </c>
      <c r="S1555" s="4" t="s">
        <v>607</v>
      </c>
      <c r="T1555" s="4" t="s">
        <v>871</v>
      </c>
      <c r="U1555" s="4">
        <v>0</v>
      </c>
      <c r="V1555" s="4">
        <v>54</v>
      </c>
      <c r="W1555" s="4">
        <v>97</v>
      </c>
    </row>
    <row r="1556" spans="1:23" ht="11.25" customHeight="1" x14ac:dyDescent="0.25">
      <c r="A1556" s="4" t="s">
        <v>28</v>
      </c>
      <c r="B1556" s="4" t="s">
        <v>44</v>
      </c>
      <c r="C1556" s="4" t="s">
        <v>23</v>
      </c>
      <c r="D1556" s="4" t="s">
        <v>45</v>
      </c>
      <c r="E1556" s="4" t="s">
        <v>54</v>
      </c>
      <c r="F1556" s="4" t="s">
        <v>55</v>
      </c>
      <c r="G1556" s="4" t="s">
        <v>25</v>
      </c>
      <c r="H1556" s="4" t="s">
        <v>25</v>
      </c>
      <c r="I1556" s="5">
        <v>44501</v>
      </c>
      <c r="J1556" s="6">
        <v>0</v>
      </c>
      <c r="K1556" s="6">
        <v>0</v>
      </c>
      <c r="L1556" s="6">
        <v>1.9970000000000001</v>
      </c>
      <c r="M1556" s="6">
        <v>1.9970000000000001</v>
      </c>
      <c r="N1556" s="6">
        <v>1.9970000000000001</v>
      </c>
      <c r="O1556" s="6">
        <v>1.9970000000000001</v>
      </c>
      <c r="P1556" s="6">
        <v>0</v>
      </c>
      <c r="Q1556" s="4" t="s">
        <v>26</v>
      </c>
      <c r="R1556" s="4">
        <v>0</v>
      </c>
      <c r="S1556" s="4" t="s">
        <v>607</v>
      </c>
      <c r="T1556" s="4" t="s">
        <v>871</v>
      </c>
      <c r="U1556" s="4">
        <v>0</v>
      </c>
      <c r="V1556" s="4">
        <v>54</v>
      </c>
      <c r="W1556" s="4">
        <v>97</v>
      </c>
    </row>
    <row r="1557" spans="1:23" ht="11.25" customHeight="1" x14ac:dyDescent="0.25">
      <c r="A1557" s="4" t="s">
        <v>21</v>
      </c>
      <c r="B1557" s="4" t="s">
        <v>44</v>
      </c>
      <c r="C1557" s="4" t="s">
        <v>23</v>
      </c>
      <c r="D1557" s="4" t="s">
        <v>45</v>
      </c>
      <c r="E1557" s="4" t="s">
        <v>54</v>
      </c>
      <c r="F1557" s="4" t="s">
        <v>55</v>
      </c>
      <c r="G1557" s="4" t="s">
        <v>25</v>
      </c>
      <c r="H1557" s="4" t="s">
        <v>25</v>
      </c>
      <c r="I1557" s="5">
        <v>44531</v>
      </c>
      <c r="J1557" s="6">
        <v>0</v>
      </c>
      <c r="K1557" s="6">
        <v>0</v>
      </c>
      <c r="L1557" s="6">
        <v>32.83</v>
      </c>
      <c r="M1557" s="6">
        <v>32.83</v>
      </c>
      <c r="N1557" s="6">
        <v>32.83</v>
      </c>
      <c r="O1557" s="6">
        <v>32.83</v>
      </c>
      <c r="P1557" s="6">
        <v>0</v>
      </c>
      <c r="Q1557" s="4" t="s">
        <v>26</v>
      </c>
      <c r="R1557" s="4">
        <v>0</v>
      </c>
      <c r="S1557" s="4" t="s">
        <v>608</v>
      </c>
      <c r="T1557" s="4" t="s">
        <v>872</v>
      </c>
      <c r="U1557" s="4">
        <v>0</v>
      </c>
      <c r="V1557" s="4">
        <v>54</v>
      </c>
      <c r="W1557" s="4">
        <v>97</v>
      </c>
    </row>
    <row r="1558" spans="1:23" ht="11.25" customHeight="1" x14ac:dyDescent="0.25">
      <c r="A1558" s="4" t="s">
        <v>28</v>
      </c>
      <c r="B1558" s="4" t="s">
        <v>44</v>
      </c>
      <c r="C1558" s="4" t="s">
        <v>23</v>
      </c>
      <c r="D1558" s="4" t="s">
        <v>45</v>
      </c>
      <c r="E1558" s="4" t="s">
        <v>54</v>
      </c>
      <c r="F1558" s="4" t="s">
        <v>55</v>
      </c>
      <c r="G1558" s="4" t="s">
        <v>25</v>
      </c>
      <c r="H1558" s="4" t="s">
        <v>25</v>
      </c>
      <c r="I1558" s="5">
        <v>44531</v>
      </c>
      <c r="J1558" s="6">
        <v>0</v>
      </c>
      <c r="K1558" s="6">
        <v>0</v>
      </c>
      <c r="L1558" s="6">
        <v>19.34</v>
      </c>
      <c r="M1558" s="6">
        <v>19.34</v>
      </c>
      <c r="N1558" s="6">
        <v>19.34</v>
      </c>
      <c r="O1558" s="6">
        <v>19.34</v>
      </c>
      <c r="P1558" s="6">
        <v>0</v>
      </c>
      <c r="Q1558" s="4" t="s">
        <v>26</v>
      </c>
      <c r="R1558" s="4">
        <v>0</v>
      </c>
      <c r="S1558" s="4" t="s">
        <v>608</v>
      </c>
      <c r="T1558" s="4" t="s">
        <v>872</v>
      </c>
      <c r="U1558" s="4">
        <v>0</v>
      </c>
      <c r="V1558" s="4">
        <v>54</v>
      </c>
      <c r="W1558" s="4">
        <v>97</v>
      </c>
    </row>
    <row r="1559" spans="1:23" ht="11.25" customHeight="1" x14ac:dyDescent="0.25">
      <c r="A1559" s="4" t="s">
        <v>21</v>
      </c>
      <c r="B1559" s="4" t="s">
        <v>44</v>
      </c>
      <c r="C1559" s="4" t="s">
        <v>23</v>
      </c>
      <c r="D1559" s="4" t="s">
        <v>45</v>
      </c>
      <c r="E1559" s="4" t="s">
        <v>54</v>
      </c>
      <c r="F1559" s="4" t="s">
        <v>55</v>
      </c>
      <c r="G1559" s="4" t="s">
        <v>25</v>
      </c>
      <c r="H1559" s="4" t="s">
        <v>25</v>
      </c>
      <c r="I1559" s="5">
        <v>44562</v>
      </c>
      <c r="J1559" s="6">
        <v>0</v>
      </c>
      <c r="K1559" s="6">
        <v>0</v>
      </c>
      <c r="L1559" s="6">
        <v>26.302</v>
      </c>
      <c r="M1559" s="6">
        <v>26.302</v>
      </c>
      <c r="N1559" s="6">
        <v>26.302</v>
      </c>
      <c r="O1559" s="6">
        <v>26.302</v>
      </c>
      <c r="P1559" s="6">
        <v>0</v>
      </c>
      <c r="Q1559" s="4" t="s">
        <v>26</v>
      </c>
      <c r="R1559" s="4">
        <v>0</v>
      </c>
      <c r="S1559" s="4" t="s">
        <v>609</v>
      </c>
      <c r="T1559" s="4" t="s">
        <v>873</v>
      </c>
      <c r="U1559" s="4">
        <v>0</v>
      </c>
      <c r="V1559" s="4">
        <v>54</v>
      </c>
      <c r="W1559" s="4">
        <v>97</v>
      </c>
    </row>
    <row r="1560" spans="1:23" ht="11.25" customHeight="1" x14ac:dyDescent="0.25">
      <c r="A1560" s="4" t="s">
        <v>27</v>
      </c>
      <c r="B1560" s="4" t="s">
        <v>44</v>
      </c>
      <c r="C1560" s="4" t="s">
        <v>23</v>
      </c>
      <c r="D1560" s="4" t="s">
        <v>45</v>
      </c>
      <c r="E1560" s="4" t="s">
        <v>54</v>
      </c>
      <c r="F1560" s="4" t="s">
        <v>55</v>
      </c>
      <c r="G1560" s="4" t="s">
        <v>25</v>
      </c>
      <c r="H1560" s="4" t="s">
        <v>25</v>
      </c>
      <c r="I1560" s="5">
        <v>44562</v>
      </c>
      <c r="J1560" s="6">
        <v>0</v>
      </c>
      <c r="K1560" s="6">
        <v>0</v>
      </c>
      <c r="L1560" s="6">
        <v>0.35</v>
      </c>
      <c r="M1560" s="6">
        <v>0.35</v>
      </c>
      <c r="N1560" s="6">
        <v>0.35</v>
      </c>
      <c r="O1560" s="6">
        <v>0.35</v>
      </c>
      <c r="P1560" s="6">
        <v>0</v>
      </c>
      <c r="Q1560" s="4" t="s">
        <v>26</v>
      </c>
      <c r="R1560" s="4">
        <v>0</v>
      </c>
      <c r="S1560" s="4" t="s">
        <v>609</v>
      </c>
      <c r="T1560" s="4" t="s">
        <v>873</v>
      </c>
      <c r="U1560" s="4">
        <v>0</v>
      </c>
      <c r="V1560" s="4">
        <v>54</v>
      </c>
      <c r="W1560" s="4">
        <v>97</v>
      </c>
    </row>
    <row r="1561" spans="1:23" ht="11.25" customHeight="1" x14ac:dyDescent="0.25">
      <c r="A1561" s="4" t="s">
        <v>28</v>
      </c>
      <c r="B1561" s="4" t="s">
        <v>44</v>
      </c>
      <c r="C1561" s="4" t="s">
        <v>23</v>
      </c>
      <c r="D1561" s="4" t="s">
        <v>45</v>
      </c>
      <c r="E1561" s="4" t="s">
        <v>54</v>
      </c>
      <c r="F1561" s="4" t="s">
        <v>55</v>
      </c>
      <c r="G1561" s="4" t="s">
        <v>25</v>
      </c>
      <c r="H1561" s="4" t="s">
        <v>25</v>
      </c>
      <c r="I1561" s="5">
        <v>44562</v>
      </c>
      <c r="J1561" s="6">
        <v>0</v>
      </c>
      <c r="K1561" s="6">
        <v>0</v>
      </c>
      <c r="L1561" s="6">
        <v>9.1129999999999995</v>
      </c>
      <c r="M1561" s="6">
        <v>9.1129999999999995</v>
      </c>
      <c r="N1561" s="6">
        <v>9.1129999999999995</v>
      </c>
      <c r="O1561" s="6">
        <v>9.1129999999999995</v>
      </c>
      <c r="P1561" s="6">
        <v>0</v>
      </c>
      <c r="Q1561" s="4" t="s">
        <v>26</v>
      </c>
      <c r="R1561" s="4">
        <v>0</v>
      </c>
      <c r="S1561" s="4" t="s">
        <v>609</v>
      </c>
      <c r="T1561" s="4" t="s">
        <v>873</v>
      </c>
      <c r="U1561" s="4">
        <v>0</v>
      </c>
      <c r="V1561" s="4">
        <v>54</v>
      </c>
      <c r="W1561" s="4">
        <v>97</v>
      </c>
    </row>
    <row r="1562" spans="1:23" ht="11.25" customHeight="1" x14ac:dyDescent="0.25">
      <c r="A1562" s="4" t="s">
        <v>21</v>
      </c>
      <c r="B1562" s="4" t="s">
        <v>44</v>
      </c>
      <c r="C1562" s="4" t="s">
        <v>23</v>
      </c>
      <c r="D1562" s="4" t="s">
        <v>45</v>
      </c>
      <c r="E1562" s="4" t="s">
        <v>54</v>
      </c>
      <c r="F1562" s="4" t="s">
        <v>55</v>
      </c>
      <c r="G1562" s="4" t="s">
        <v>25</v>
      </c>
      <c r="H1562" s="4" t="s">
        <v>25</v>
      </c>
      <c r="I1562" s="5">
        <v>44593</v>
      </c>
      <c r="J1562" s="6">
        <v>0</v>
      </c>
      <c r="K1562" s="6">
        <v>0</v>
      </c>
      <c r="L1562" s="6">
        <v>26.707000000000001</v>
      </c>
      <c r="M1562" s="6">
        <v>26.707000000000001</v>
      </c>
      <c r="N1562" s="6">
        <v>26.707000000000001</v>
      </c>
      <c r="O1562" s="6">
        <v>26.707000000000001</v>
      </c>
      <c r="P1562" s="6">
        <v>0</v>
      </c>
      <c r="Q1562" s="4" t="s">
        <v>26</v>
      </c>
      <c r="R1562" s="4">
        <v>0</v>
      </c>
      <c r="S1562" s="4" t="s">
        <v>610</v>
      </c>
      <c r="T1562" s="4" t="s">
        <v>874</v>
      </c>
      <c r="U1562" s="4">
        <v>0</v>
      </c>
      <c r="V1562" s="4">
        <v>54</v>
      </c>
      <c r="W1562" s="4">
        <v>97</v>
      </c>
    </row>
    <row r="1563" spans="1:23" ht="11.25" customHeight="1" x14ac:dyDescent="0.25">
      <c r="A1563" s="4" t="s">
        <v>27</v>
      </c>
      <c r="B1563" s="4" t="s">
        <v>44</v>
      </c>
      <c r="C1563" s="4" t="s">
        <v>23</v>
      </c>
      <c r="D1563" s="4" t="s">
        <v>45</v>
      </c>
      <c r="E1563" s="4" t="s">
        <v>54</v>
      </c>
      <c r="F1563" s="4" t="s">
        <v>55</v>
      </c>
      <c r="G1563" s="4" t="s">
        <v>25</v>
      </c>
      <c r="H1563" s="4" t="s">
        <v>25</v>
      </c>
      <c r="I1563" s="5">
        <v>44593</v>
      </c>
      <c r="J1563" s="6">
        <v>0</v>
      </c>
      <c r="K1563" s="6">
        <v>0</v>
      </c>
      <c r="L1563" s="6">
        <v>-0.14799999999999999</v>
      </c>
      <c r="M1563" s="6">
        <v>-0.14799999999999999</v>
      </c>
      <c r="N1563" s="6">
        <v>-0.14799999999999999</v>
      </c>
      <c r="O1563" s="6">
        <v>-0.14799999999999999</v>
      </c>
      <c r="P1563" s="6">
        <v>0</v>
      </c>
      <c r="Q1563" s="4" t="s">
        <v>26</v>
      </c>
      <c r="R1563" s="4">
        <v>0</v>
      </c>
      <c r="S1563" s="4" t="s">
        <v>610</v>
      </c>
      <c r="T1563" s="4" t="s">
        <v>874</v>
      </c>
      <c r="U1563" s="4">
        <v>0</v>
      </c>
      <c r="V1563" s="4">
        <v>54</v>
      </c>
      <c r="W1563" s="4">
        <v>97</v>
      </c>
    </row>
    <row r="1564" spans="1:23" ht="11.25" customHeight="1" x14ac:dyDescent="0.25">
      <c r="A1564" s="4" t="s">
        <v>28</v>
      </c>
      <c r="B1564" s="4" t="s">
        <v>44</v>
      </c>
      <c r="C1564" s="4" t="s">
        <v>23</v>
      </c>
      <c r="D1564" s="4" t="s">
        <v>45</v>
      </c>
      <c r="E1564" s="4" t="s">
        <v>54</v>
      </c>
      <c r="F1564" s="4" t="s">
        <v>55</v>
      </c>
      <c r="G1564" s="4" t="s">
        <v>25</v>
      </c>
      <c r="H1564" s="4" t="s">
        <v>25</v>
      </c>
      <c r="I1564" s="5">
        <v>44593</v>
      </c>
      <c r="J1564" s="6">
        <v>0</v>
      </c>
      <c r="K1564" s="6">
        <v>0</v>
      </c>
      <c r="L1564" s="6">
        <v>9.19</v>
      </c>
      <c r="M1564" s="6">
        <v>9.19</v>
      </c>
      <c r="N1564" s="6">
        <v>9.19</v>
      </c>
      <c r="O1564" s="6">
        <v>9.19</v>
      </c>
      <c r="P1564" s="6">
        <v>0</v>
      </c>
      <c r="Q1564" s="4" t="s">
        <v>26</v>
      </c>
      <c r="R1564" s="4">
        <v>0</v>
      </c>
      <c r="S1564" s="4" t="s">
        <v>610</v>
      </c>
      <c r="T1564" s="4" t="s">
        <v>874</v>
      </c>
      <c r="U1564" s="4">
        <v>0</v>
      </c>
      <c r="V1564" s="4">
        <v>54</v>
      </c>
      <c r="W1564" s="4">
        <v>97</v>
      </c>
    </row>
    <row r="1565" spans="1:23" ht="11.25" customHeight="1" x14ac:dyDescent="0.25">
      <c r="A1565" s="4" t="s">
        <v>21</v>
      </c>
      <c r="B1565" s="4" t="s">
        <v>44</v>
      </c>
      <c r="C1565" s="4" t="s">
        <v>23</v>
      </c>
      <c r="D1565" s="4" t="s">
        <v>45</v>
      </c>
      <c r="E1565" s="4" t="s">
        <v>54</v>
      </c>
      <c r="F1565" s="4" t="s">
        <v>55</v>
      </c>
      <c r="G1565" s="4" t="s">
        <v>25</v>
      </c>
      <c r="H1565" s="4" t="s">
        <v>25</v>
      </c>
      <c r="I1565" s="5">
        <v>44621</v>
      </c>
      <c r="J1565" s="6">
        <v>0</v>
      </c>
      <c r="K1565" s="6">
        <v>0</v>
      </c>
      <c r="L1565" s="6">
        <v>28.422999999999998</v>
      </c>
      <c r="M1565" s="6">
        <v>28.422999999999998</v>
      </c>
      <c r="N1565" s="6">
        <v>28.422999999999998</v>
      </c>
      <c r="O1565" s="6">
        <v>28.422999999999998</v>
      </c>
      <c r="P1565" s="6">
        <v>0</v>
      </c>
      <c r="Q1565" s="4" t="s">
        <v>26</v>
      </c>
      <c r="R1565" s="4">
        <v>0</v>
      </c>
      <c r="S1565" s="4" t="s">
        <v>611</v>
      </c>
      <c r="T1565" s="4" t="s">
        <v>875</v>
      </c>
      <c r="U1565" s="4">
        <v>0</v>
      </c>
      <c r="V1565" s="4">
        <v>54</v>
      </c>
      <c r="W1565" s="4">
        <v>97</v>
      </c>
    </row>
    <row r="1566" spans="1:23" ht="11.25" customHeight="1" x14ac:dyDescent="0.25">
      <c r="A1566" s="4" t="s">
        <v>28</v>
      </c>
      <c r="B1566" s="4" t="s">
        <v>44</v>
      </c>
      <c r="C1566" s="4" t="s">
        <v>23</v>
      </c>
      <c r="D1566" s="4" t="s">
        <v>45</v>
      </c>
      <c r="E1566" s="4" t="s">
        <v>54</v>
      </c>
      <c r="F1566" s="4" t="s">
        <v>55</v>
      </c>
      <c r="G1566" s="4" t="s">
        <v>25</v>
      </c>
      <c r="H1566" s="4" t="s">
        <v>25</v>
      </c>
      <c r="I1566" s="5">
        <v>44621</v>
      </c>
      <c r="J1566" s="6">
        <v>0</v>
      </c>
      <c r="K1566" s="6">
        <v>0</v>
      </c>
      <c r="L1566" s="6">
        <v>5.3840000000000003</v>
      </c>
      <c r="M1566" s="6">
        <v>5.3840000000000003</v>
      </c>
      <c r="N1566" s="6">
        <v>5.3840000000000003</v>
      </c>
      <c r="O1566" s="6">
        <v>5.3840000000000003</v>
      </c>
      <c r="P1566" s="6">
        <v>0</v>
      </c>
      <c r="Q1566" s="4" t="s">
        <v>26</v>
      </c>
      <c r="R1566" s="4">
        <v>0</v>
      </c>
      <c r="S1566" s="4" t="s">
        <v>611</v>
      </c>
      <c r="T1566" s="4" t="s">
        <v>875</v>
      </c>
      <c r="U1566" s="4">
        <v>0</v>
      </c>
      <c r="V1566" s="4">
        <v>54</v>
      </c>
      <c r="W1566" s="4">
        <v>97</v>
      </c>
    </row>
    <row r="1567" spans="1:23" ht="11.25" customHeight="1" x14ac:dyDescent="0.25">
      <c r="A1567" s="4" t="s">
        <v>21</v>
      </c>
      <c r="B1567" s="4" t="s">
        <v>44</v>
      </c>
      <c r="C1567" s="4" t="s">
        <v>23</v>
      </c>
      <c r="D1567" s="4" t="s">
        <v>45</v>
      </c>
      <c r="E1567" s="4" t="s">
        <v>54</v>
      </c>
      <c r="F1567" s="4" t="s">
        <v>55</v>
      </c>
      <c r="G1567" s="4" t="s">
        <v>25</v>
      </c>
      <c r="H1567" s="4" t="s">
        <v>25</v>
      </c>
      <c r="I1567" s="5">
        <v>44652</v>
      </c>
      <c r="J1567" s="6">
        <v>0</v>
      </c>
      <c r="K1567" s="6">
        <v>0</v>
      </c>
      <c r="L1567" s="6">
        <v>31.181000000000001</v>
      </c>
      <c r="M1567" s="6">
        <v>31.181000000000001</v>
      </c>
      <c r="N1567" s="6">
        <v>31.181000000000001</v>
      </c>
      <c r="O1567" s="6">
        <v>31.181000000000001</v>
      </c>
      <c r="P1567" s="6">
        <v>0</v>
      </c>
      <c r="Q1567" s="4" t="s">
        <v>26</v>
      </c>
      <c r="R1567" s="4">
        <v>0</v>
      </c>
      <c r="S1567" s="4" t="s">
        <v>612</v>
      </c>
      <c r="T1567" s="4" t="s">
        <v>876</v>
      </c>
      <c r="U1567" s="4">
        <v>0</v>
      </c>
      <c r="V1567" s="4">
        <v>54</v>
      </c>
      <c r="W1567" s="4">
        <v>97</v>
      </c>
    </row>
    <row r="1568" spans="1:23" ht="11.25" customHeight="1" x14ac:dyDescent="0.25">
      <c r="A1568" s="4" t="s">
        <v>28</v>
      </c>
      <c r="B1568" s="4" t="s">
        <v>44</v>
      </c>
      <c r="C1568" s="4" t="s">
        <v>23</v>
      </c>
      <c r="D1568" s="4" t="s">
        <v>45</v>
      </c>
      <c r="E1568" s="4" t="s">
        <v>54</v>
      </c>
      <c r="F1568" s="4" t="s">
        <v>55</v>
      </c>
      <c r="G1568" s="4" t="s">
        <v>25</v>
      </c>
      <c r="H1568" s="4" t="s">
        <v>25</v>
      </c>
      <c r="I1568" s="5">
        <v>44652</v>
      </c>
      <c r="J1568" s="6">
        <v>0</v>
      </c>
      <c r="K1568" s="6">
        <v>0</v>
      </c>
      <c r="L1568" s="6">
        <v>10.276</v>
      </c>
      <c r="M1568" s="6">
        <v>10.276</v>
      </c>
      <c r="N1568" s="6">
        <v>10.276</v>
      </c>
      <c r="O1568" s="6">
        <v>10.276</v>
      </c>
      <c r="P1568" s="6">
        <v>0</v>
      </c>
      <c r="Q1568" s="4" t="s">
        <v>26</v>
      </c>
      <c r="R1568" s="4">
        <v>0</v>
      </c>
      <c r="S1568" s="4" t="s">
        <v>612</v>
      </c>
      <c r="T1568" s="4" t="s">
        <v>876</v>
      </c>
      <c r="U1568" s="4">
        <v>0</v>
      </c>
      <c r="V1568" s="4">
        <v>54</v>
      </c>
      <c r="W1568" s="4">
        <v>97</v>
      </c>
    </row>
    <row r="1569" spans="1:23" ht="11.25" customHeight="1" x14ac:dyDescent="0.25">
      <c r="A1569" s="4" t="s">
        <v>58</v>
      </c>
      <c r="B1569" s="4" t="s">
        <v>44</v>
      </c>
      <c r="C1569" s="4" t="s">
        <v>23</v>
      </c>
      <c r="D1569" s="4" t="s">
        <v>45</v>
      </c>
      <c r="E1569" s="4" t="s">
        <v>54</v>
      </c>
      <c r="F1569" s="4" t="s">
        <v>55</v>
      </c>
      <c r="G1569" s="4" t="s">
        <v>25</v>
      </c>
      <c r="H1569" s="4" t="s">
        <v>25</v>
      </c>
      <c r="I1569" s="5">
        <v>44682</v>
      </c>
      <c r="J1569" s="6">
        <v>0</v>
      </c>
      <c r="K1569" s="6">
        <v>0</v>
      </c>
      <c r="L1569" s="6">
        <v>31.181000000000001</v>
      </c>
      <c r="M1569" s="6">
        <v>31.181000000000001</v>
      </c>
      <c r="N1569" s="6">
        <v>31.181000000000001</v>
      </c>
      <c r="O1569" s="6">
        <v>31.181000000000001</v>
      </c>
      <c r="P1569" s="6">
        <v>0</v>
      </c>
      <c r="Q1569" s="4" t="s">
        <v>26</v>
      </c>
      <c r="R1569" s="4">
        <v>0</v>
      </c>
      <c r="S1569" s="4" t="s">
        <v>613</v>
      </c>
      <c r="T1569" s="4" t="s">
        <v>877</v>
      </c>
      <c r="U1569" s="4">
        <v>0</v>
      </c>
      <c r="V1569" s="4">
        <v>54</v>
      </c>
      <c r="W1569" s="4">
        <v>97</v>
      </c>
    </row>
    <row r="1570" spans="1:23" ht="11.25" customHeight="1" x14ac:dyDescent="0.25">
      <c r="A1570" s="4" t="s">
        <v>58</v>
      </c>
      <c r="B1570" s="4" t="s">
        <v>44</v>
      </c>
      <c r="C1570" s="4" t="s">
        <v>23</v>
      </c>
      <c r="D1570" s="4" t="s">
        <v>45</v>
      </c>
      <c r="E1570" s="4" t="s">
        <v>54</v>
      </c>
      <c r="F1570" s="4" t="s">
        <v>55</v>
      </c>
      <c r="G1570" s="4" t="s">
        <v>25</v>
      </c>
      <c r="H1570" s="4" t="s">
        <v>25</v>
      </c>
      <c r="I1570" s="5">
        <v>44682</v>
      </c>
      <c r="J1570" s="6">
        <v>0</v>
      </c>
      <c r="K1570" s="6">
        <v>0</v>
      </c>
      <c r="L1570" s="6">
        <v>10.276</v>
      </c>
      <c r="M1570" s="6">
        <v>10.276</v>
      </c>
      <c r="N1570" s="6">
        <v>10.276</v>
      </c>
      <c r="O1570" s="6">
        <v>10.276</v>
      </c>
      <c r="P1570" s="6">
        <v>0</v>
      </c>
      <c r="Q1570" s="4" t="s">
        <v>26</v>
      </c>
      <c r="R1570" s="4">
        <v>0</v>
      </c>
      <c r="S1570" s="4" t="s">
        <v>613</v>
      </c>
      <c r="T1570" s="4" t="s">
        <v>877</v>
      </c>
      <c r="U1570" s="4">
        <v>0</v>
      </c>
      <c r="V1570" s="4">
        <v>54</v>
      </c>
      <c r="W1570" s="4">
        <v>97</v>
      </c>
    </row>
    <row r="1571" spans="1:23" ht="11.25" customHeight="1" x14ac:dyDescent="0.25">
      <c r="A1571" s="4" t="s">
        <v>21</v>
      </c>
      <c r="B1571" s="4" t="s">
        <v>44</v>
      </c>
      <c r="C1571" s="4" t="s">
        <v>23</v>
      </c>
      <c r="D1571" s="4" t="s">
        <v>45</v>
      </c>
      <c r="E1571" s="4" t="s">
        <v>54</v>
      </c>
      <c r="F1571" s="4" t="s">
        <v>56</v>
      </c>
      <c r="G1571" s="4" t="s">
        <v>25</v>
      </c>
      <c r="H1571" s="4" t="s">
        <v>25</v>
      </c>
      <c r="I1571" s="5">
        <v>44348</v>
      </c>
      <c r="J1571" s="6">
        <v>0</v>
      </c>
      <c r="K1571" s="6">
        <v>0</v>
      </c>
      <c r="L1571" s="6">
        <v>56.932000000000002</v>
      </c>
      <c r="M1571" s="6">
        <v>18.787559999999999</v>
      </c>
      <c r="N1571" s="6">
        <v>56.932000000000002</v>
      </c>
      <c r="O1571" s="6">
        <v>18.787559999999999</v>
      </c>
      <c r="P1571" s="6">
        <v>0</v>
      </c>
      <c r="Q1571" s="4" t="s">
        <v>26</v>
      </c>
      <c r="R1571" s="4">
        <v>0</v>
      </c>
      <c r="S1571" s="4" t="s">
        <v>602</v>
      </c>
      <c r="T1571" s="4" t="s">
        <v>866</v>
      </c>
      <c r="U1571" s="4">
        <v>0</v>
      </c>
      <c r="V1571" s="4">
        <v>54</v>
      </c>
      <c r="W1571" s="4">
        <v>97</v>
      </c>
    </row>
    <row r="1572" spans="1:23" ht="11.25" customHeight="1" x14ac:dyDescent="0.25">
      <c r="A1572" s="4" t="s">
        <v>28</v>
      </c>
      <c r="B1572" s="4" t="s">
        <v>44</v>
      </c>
      <c r="C1572" s="4" t="s">
        <v>23</v>
      </c>
      <c r="D1572" s="4" t="s">
        <v>45</v>
      </c>
      <c r="E1572" s="4" t="s">
        <v>54</v>
      </c>
      <c r="F1572" s="4" t="s">
        <v>56</v>
      </c>
      <c r="G1572" s="4" t="s">
        <v>25</v>
      </c>
      <c r="H1572" s="4" t="s">
        <v>25</v>
      </c>
      <c r="I1572" s="5">
        <v>44348</v>
      </c>
      <c r="J1572" s="6">
        <v>0</v>
      </c>
      <c r="K1572" s="6">
        <v>0</v>
      </c>
      <c r="L1572" s="6">
        <v>13.337999999999999</v>
      </c>
      <c r="M1572" s="6">
        <v>4.4015399999999998</v>
      </c>
      <c r="N1572" s="6">
        <v>13.337999999999999</v>
      </c>
      <c r="O1572" s="6">
        <v>4.4015399999999998</v>
      </c>
      <c r="P1572" s="6">
        <v>0</v>
      </c>
      <c r="Q1572" s="4" t="s">
        <v>26</v>
      </c>
      <c r="R1572" s="4">
        <v>0</v>
      </c>
      <c r="S1572" s="4" t="s">
        <v>602</v>
      </c>
      <c r="T1572" s="4" t="s">
        <v>866</v>
      </c>
      <c r="U1572" s="4">
        <v>0</v>
      </c>
      <c r="V1572" s="4">
        <v>54</v>
      </c>
      <c r="W1572" s="4">
        <v>97</v>
      </c>
    </row>
    <row r="1573" spans="1:23" ht="11.25" customHeight="1" x14ac:dyDescent="0.25">
      <c r="A1573" s="4" t="s">
        <v>21</v>
      </c>
      <c r="B1573" s="4" t="s">
        <v>44</v>
      </c>
      <c r="C1573" s="4" t="s">
        <v>23</v>
      </c>
      <c r="D1573" s="4" t="s">
        <v>45</v>
      </c>
      <c r="E1573" s="4" t="s">
        <v>54</v>
      </c>
      <c r="F1573" s="4" t="s">
        <v>56</v>
      </c>
      <c r="G1573" s="4" t="s">
        <v>25</v>
      </c>
      <c r="H1573" s="4" t="s">
        <v>25</v>
      </c>
      <c r="I1573" s="5">
        <v>44378</v>
      </c>
      <c r="J1573" s="6">
        <v>0</v>
      </c>
      <c r="K1573" s="6">
        <v>0</v>
      </c>
      <c r="L1573" s="6">
        <v>65.763999999999996</v>
      </c>
      <c r="M1573" s="6">
        <v>21.702120000000001</v>
      </c>
      <c r="N1573" s="6">
        <v>65.763999999999996</v>
      </c>
      <c r="O1573" s="6">
        <v>21.702120000000001</v>
      </c>
      <c r="P1573" s="6">
        <v>0</v>
      </c>
      <c r="Q1573" s="4" t="s">
        <v>26</v>
      </c>
      <c r="R1573" s="4">
        <v>0</v>
      </c>
      <c r="S1573" s="4" t="s">
        <v>603</v>
      </c>
      <c r="T1573" s="4" t="s">
        <v>867</v>
      </c>
      <c r="U1573" s="4">
        <v>0</v>
      </c>
      <c r="V1573" s="4">
        <v>54</v>
      </c>
      <c r="W1573" s="4">
        <v>97</v>
      </c>
    </row>
    <row r="1574" spans="1:23" ht="11.25" customHeight="1" x14ac:dyDescent="0.25">
      <c r="A1574" s="4" t="s">
        <v>27</v>
      </c>
      <c r="B1574" s="4" t="s">
        <v>44</v>
      </c>
      <c r="C1574" s="4" t="s">
        <v>23</v>
      </c>
      <c r="D1574" s="4" t="s">
        <v>45</v>
      </c>
      <c r="E1574" s="4" t="s">
        <v>54</v>
      </c>
      <c r="F1574" s="4" t="s">
        <v>56</v>
      </c>
      <c r="G1574" s="4" t="s">
        <v>25</v>
      </c>
      <c r="H1574" s="4" t="s">
        <v>25</v>
      </c>
      <c r="I1574" s="5">
        <v>44378</v>
      </c>
      <c r="J1574" s="6">
        <v>0</v>
      </c>
      <c r="K1574" s="6">
        <v>0</v>
      </c>
      <c r="L1574" s="6">
        <v>-0.1</v>
      </c>
      <c r="M1574" s="6">
        <v>-3.3000000000000002E-2</v>
      </c>
      <c r="N1574" s="6">
        <v>-0.1</v>
      </c>
      <c r="O1574" s="6">
        <v>-3.3000000000000002E-2</v>
      </c>
      <c r="P1574" s="6">
        <v>0</v>
      </c>
      <c r="Q1574" s="4" t="s">
        <v>26</v>
      </c>
      <c r="R1574" s="4">
        <v>0</v>
      </c>
      <c r="S1574" s="4" t="s">
        <v>603</v>
      </c>
      <c r="T1574" s="4" t="s">
        <v>867</v>
      </c>
      <c r="U1574" s="4">
        <v>0</v>
      </c>
      <c r="V1574" s="4">
        <v>54</v>
      </c>
      <c r="W1574" s="4">
        <v>97</v>
      </c>
    </row>
    <row r="1575" spans="1:23" ht="11.25" customHeight="1" x14ac:dyDescent="0.25">
      <c r="A1575" s="4" t="s">
        <v>28</v>
      </c>
      <c r="B1575" s="4" t="s">
        <v>44</v>
      </c>
      <c r="C1575" s="4" t="s">
        <v>23</v>
      </c>
      <c r="D1575" s="4" t="s">
        <v>45</v>
      </c>
      <c r="E1575" s="4" t="s">
        <v>54</v>
      </c>
      <c r="F1575" s="4" t="s">
        <v>56</v>
      </c>
      <c r="G1575" s="4" t="s">
        <v>25</v>
      </c>
      <c r="H1575" s="4" t="s">
        <v>25</v>
      </c>
      <c r="I1575" s="5">
        <v>44378</v>
      </c>
      <c r="J1575" s="6">
        <v>0</v>
      </c>
      <c r="K1575" s="6">
        <v>0</v>
      </c>
      <c r="L1575" s="6">
        <v>13.084</v>
      </c>
      <c r="M1575" s="6">
        <v>4.3177199999999996</v>
      </c>
      <c r="N1575" s="6">
        <v>13.084</v>
      </c>
      <c r="O1575" s="6">
        <v>4.3177199999999996</v>
      </c>
      <c r="P1575" s="6">
        <v>0</v>
      </c>
      <c r="Q1575" s="4" t="s">
        <v>26</v>
      </c>
      <c r="R1575" s="4">
        <v>0</v>
      </c>
      <c r="S1575" s="4" t="s">
        <v>603</v>
      </c>
      <c r="T1575" s="4" t="s">
        <v>867</v>
      </c>
      <c r="U1575" s="4">
        <v>0</v>
      </c>
      <c r="V1575" s="4">
        <v>54</v>
      </c>
      <c r="W1575" s="4">
        <v>97</v>
      </c>
    </row>
    <row r="1576" spans="1:23" ht="11.25" customHeight="1" x14ac:dyDescent="0.25">
      <c r="A1576" s="4" t="s">
        <v>28</v>
      </c>
      <c r="B1576" s="4" t="s">
        <v>44</v>
      </c>
      <c r="C1576" s="4" t="s">
        <v>23</v>
      </c>
      <c r="D1576" s="4" t="s">
        <v>45</v>
      </c>
      <c r="E1576" s="4" t="s">
        <v>54</v>
      </c>
      <c r="F1576" s="4" t="s">
        <v>56</v>
      </c>
      <c r="G1576" s="4" t="s">
        <v>25</v>
      </c>
      <c r="H1576" s="4" t="s">
        <v>25</v>
      </c>
      <c r="I1576" s="5">
        <v>44378</v>
      </c>
      <c r="J1576" s="6">
        <v>0</v>
      </c>
      <c r="K1576" s="6">
        <v>0</v>
      </c>
      <c r="L1576" s="6">
        <v>9.7569999999999997</v>
      </c>
      <c r="M1576" s="6">
        <v>3.2198099999999998</v>
      </c>
      <c r="N1576" s="6">
        <v>9.7569999999999997</v>
      </c>
      <c r="O1576" s="6">
        <v>3.2198099999999998</v>
      </c>
      <c r="P1576" s="6">
        <v>0</v>
      </c>
      <c r="Q1576" s="4" t="s">
        <v>26</v>
      </c>
      <c r="R1576" s="4">
        <v>0</v>
      </c>
      <c r="S1576" s="4" t="s">
        <v>603</v>
      </c>
      <c r="T1576" s="4" t="s">
        <v>867</v>
      </c>
      <c r="U1576" s="4">
        <v>0</v>
      </c>
      <c r="V1576" s="4">
        <v>54</v>
      </c>
      <c r="W1576" s="4">
        <v>97</v>
      </c>
    </row>
    <row r="1577" spans="1:23" ht="11.25" customHeight="1" x14ac:dyDescent="0.25">
      <c r="A1577" s="4" t="s">
        <v>21</v>
      </c>
      <c r="B1577" s="4" t="s">
        <v>44</v>
      </c>
      <c r="C1577" s="4" t="s">
        <v>23</v>
      </c>
      <c r="D1577" s="4" t="s">
        <v>45</v>
      </c>
      <c r="E1577" s="4" t="s">
        <v>54</v>
      </c>
      <c r="F1577" s="4" t="s">
        <v>56</v>
      </c>
      <c r="G1577" s="4" t="s">
        <v>25</v>
      </c>
      <c r="H1577" s="4" t="s">
        <v>25</v>
      </c>
      <c r="I1577" s="5">
        <v>44409</v>
      </c>
      <c r="J1577" s="6">
        <v>0</v>
      </c>
      <c r="K1577" s="6">
        <v>0</v>
      </c>
      <c r="L1577" s="6">
        <v>59.670999999999999</v>
      </c>
      <c r="M1577" s="6">
        <v>19.69143</v>
      </c>
      <c r="N1577" s="6">
        <v>59.670999999999999</v>
      </c>
      <c r="O1577" s="6">
        <v>19.69143</v>
      </c>
      <c r="P1577" s="6">
        <v>0</v>
      </c>
      <c r="Q1577" s="4" t="s">
        <v>26</v>
      </c>
      <c r="R1577" s="4">
        <v>0</v>
      </c>
      <c r="S1577" s="4" t="s">
        <v>604</v>
      </c>
      <c r="T1577" s="4" t="s">
        <v>868</v>
      </c>
      <c r="U1577" s="4">
        <v>0</v>
      </c>
      <c r="V1577" s="4">
        <v>54</v>
      </c>
      <c r="W1577" s="4">
        <v>97</v>
      </c>
    </row>
    <row r="1578" spans="1:23" ht="11.25" customHeight="1" x14ac:dyDescent="0.25">
      <c r="A1578" s="4" t="s">
        <v>27</v>
      </c>
      <c r="B1578" s="4" t="s">
        <v>44</v>
      </c>
      <c r="C1578" s="4" t="s">
        <v>23</v>
      </c>
      <c r="D1578" s="4" t="s">
        <v>45</v>
      </c>
      <c r="E1578" s="4" t="s">
        <v>54</v>
      </c>
      <c r="F1578" s="4" t="s">
        <v>56</v>
      </c>
      <c r="G1578" s="4" t="s">
        <v>25</v>
      </c>
      <c r="H1578" s="4" t="s">
        <v>25</v>
      </c>
      <c r="I1578" s="5">
        <v>44409</v>
      </c>
      <c r="J1578" s="6">
        <v>0</v>
      </c>
      <c r="K1578" s="6">
        <v>0</v>
      </c>
      <c r="L1578" s="6">
        <v>1.6</v>
      </c>
      <c r="M1578" s="6">
        <v>0.52800000000000002</v>
      </c>
      <c r="N1578" s="6">
        <v>1.6</v>
      </c>
      <c r="O1578" s="6">
        <v>0.52800000000000002</v>
      </c>
      <c r="P1578" s="6">
        <v>0</v>
      </c>
      <c r="Q1578" s="4" t="s">
        <v>26</v>
      </c>
      <c r="R1578" s="4">
        <v>0</v>
      </c>
      <c r="S1578" s="4" t="s">
        <v>604</v>
      </c>
      <c r="T1578" s="4" t="s">
        <v>868</v>
      </c>
      <c r="U1578" s="4">
        <v>0</v>
      </c>
      <c r="V1578" s="4">
        <v>54</v>
      </c>
      <c r="W1578" s="4">
        <v>97</v>
      </c>
    </row>
    <row r="1579" spans="1:23" ht="11.25" customHeight="1" x14ac:dyDescent="0.25">
      <c r="A1579" s="4" t="s">
        <v>28</v>
      </c>
      <c r="B1579" s="4" t="s">
        <v>44</v>
      </c>
      <c r="C1579" s="4" t="s">
        <v>23</v>
      </c>
      <c r="D1579" s="4" t="s">
        <v>45</v>
      </c>
      <c r="E1579" s="4" t="s">
        <v>54</v>
      </c>
      <c r="F1579" s="4" t="s">
        <v>56</v>
      </c>
      <c r="G1579" s="4" t="s">
        <v>25</v>
      </c>
      <c r="H1579" s="4" t="s">
        <v>25</v>
      </c>
      <c r="I1579" s="5">
        <v>44409</v>
      </c>
      <c r="J1579" s="6">
        <v>0</v>
      </c>
      <c r="K1579" s="6">
        <v>0</v>
      </c>
      <c r="L1579" s="6">
        <v>12.503</v>
      </c>
      <c r="M1579" s="6">
        <v>4.1259899999999998</v>
      </c>
      <c r="N1579" s="6">
        <v>12.503</v>
      </c>
      <c r="O1579" s="6">
        <v>4.1259899999999998</v>
      </c>
      <c r="P1579" s="6">
        <v>0</v>
      </c>
      <c r="Q1579" s="4" t="s">
        <v>26</v>
      </c>
      <c r="R1579" s="4">
        <v>0</v>
      </c>
      <c r="S1579" s="4" t="s">
        <v>604</v>
      </c>
      <c r="T1579" s="4" t="s">
        <v>868</v>
      </c>
      <c r="U1579" s="4">
        <v>0</v>
      </c>
      <c r="V1579" s="4">
        <v>54</v>
      </c>
      <c r="W1579" s="4">
        <v>97</v>
      </c>
    </row>
    <row r="1580" spans="1:23" ht="11.25" customHeight="1" x14ac:dyDescent="0.25">
      <c r="A1580" s="4" t="s">
        <v>21</v>
      </c>
      <c r="B1580" s="4" t="s">
        <v>44</v>
      </c>
      <c r="C1580" s="4" t="s">
        <v>23</v>
      </c>
      <c r="D1580" s="4" t="s">
        <v>45</v>
      </c>
      <c r="E1580" s="4" t="s">
        <v>54</v>
      </c>
      <c r="F1580" s="4" t="s">
        <v>56</v>
      </c>
      <c r="G1580" s="4" t="s">
        <v>25</v>
      </c>
      <c r="H1580" s="4" t="s">
        <v>25</v>
      </c>
      <c r="I1580" s="5">
        <v>44440</v>
      </c>
      <c r="J1580" s="6">
        <v>0</v>
      </c>
      <c r="K1580" s="6">
        <v>0</v>
      </c>
      <c r="L1580" s="6">
        <v>65.034999999999997</v>
      </c>
      <c r="M1580" s="6">
        <v>21.461549999999999</v>
      </c>
      <c r="N1580" s="6">
        <v>65.034999999999997</v>
      </c>
      <c r="O1580" s="6">
        <v>21.461549999999999</v>
      </c>
      <c r="P1580" s="6">
        <v>0</v>
      </c>
      <c r="Q1580" s="4" t="s">
        <v>26</v>
      </c>
      <c r="R1580" s="4">
        <v>0</v>
      </c>
      <c r="S1580" s="4" t="s">
        <v>605</v>
      </c>
      <c r="T1580" s="4" t="s">
        <v>869</v>
      </c>
      <c r="U1580" s="4">
        <v>0</v>
      </c>
      <c r="V1580" s="4">
        <v>54</v>
      </c>
      <c r="W1580" s="4">
        <v>97</v>
      </c>
    </row>
    <row r="1581" spans="1:23" ht="11.25" customHeight="1" x14ac:dyDescent="0.25">
      <c r="A1581" s="4" t="s">
        <v>27</v>
      </c>
      <c r="B1581" s="4" t="s">
        <v>44</v>
      </c>
      <c r="C1581" s="4" t="s">
        <v>23</v>
      </c>
      <c r="D1581" s="4" t="s">
        <v>45</v>
      </c>
      <c r="E1581" s="4" t="s">
        <v>54</v>
      </c>
      <c r="F1581" s="4" t="s">
        <v>56</v>
      </c>
      <c r="G1581" s="4" t="s">
        <v>25</v>
      </c>
      <c r="H1581" s="4" t="s">
        <v>25</v>
      </c>
      <c r="I1581" s="5">
        <v>44440</v>
      </c>
      <c r="J1581" s="6">
        <v>0</v>
      </c>
      <c r="K1581" s="6">
        <v>0</v>
      </c>
      <c r="L1581" s="6">
        <v>1.71</v>
      </c>
      <c r="M1581" s="6">
        <v>0.56430000000000002</v>
      </c>
      <c r="N1581" s="6">
        <v>1.71</v>
      </c>
      <c r="O1581" s="6">
        <v>0.56430000000000002</v>
      </c>
      <c r="P1581" s="6">
        <v>0</v>
      </c>
      <c r="Q1581" s="4" t="s">
        <v>26</v>
      </c>
      <c r="R1581" s="4">
        <v>0</v>
      </c>
      <c r="S1581" s="4" t="s">
        <v>605</v>
      </c>
      <c r="T1581" s="4" t="s">
        <v>869</v>
      </c>
      <c r="U1581" s="4">
        <v>0</v>
      </c>
      <c r="V1581" s="4">
        <v>54</v>
      </c>
      <c r="W1581" s="4">
        <v>97</v>
      </c>
    </row>
    <row r="1582" spans="1:23" ht="11.25" customHeight="1" x14ac:dyDescent="0.25">
      <c r="A1582" s="4" t="s">
        <v>28</v>
      </c>
      <c r="B1582" s="4" t="s">
        <v>44</v>
      </c>
      <c r="C1582" s="4" t="s">
        <v>23</v>
      </c>
      <c r="D1582" s="4" t="s">
        <v>45</v>
      </c>
      <c r="E1582" s="4" t="s">
        <v>54</v>
      </c>
      <c r="F1582" s="4" t="s">
        <v>56</v>
      </c>
      <c r="G1582" s="4" t="s">
        <v>25</v>
      </c>
      <c r="H1582" s="4" t="s">
        <v>25</v>
      </c>
      <c r="I1582" s="5">
        <v>44440</v>
      </c>
      <c r="J1582" s="6">
        <v>0</v>
      </c>
      <c r="K1582" s="6">
        <v>0</v>
      </c>
      <c r="L1582" s="6">
        <v>11.603</v>
      </c>
      <c r="M1582" s="6">
        <v>3.8289900000000001</v>
      </c>
      <c r="N1582" s="6">
        <v>11.603</v>
      </c>
      <c r="O1582" s="6">
        <v>3.8289900000000001</v>
      </c>
      <c r="P1582" s="6">
        <v>0</v>
      </c>
      <c r="Q1582" s="4" t="s">
        <v>26</v>
      </c>
      <c r="R1582" s="4">
        <v>0</v>
      </c>
      <c r="S1582" s="4" t="s">
        <v>605</v>
      </c>
      <c r="T1582" s="4" t="s">
        <v>869</v>
      </c>
      <c r="U1582" s="4">
        <v>0</v>
      </c>
      <c r="V1582" s="4">
        <v>54</v>
      </c>
      <c r="W1582" s="4">
        <v>97</v>
      </c>
    </row>
    <row r="1583" spans="1:23" ht="11.25" customHeight="1" x14ac:dyDescent="0.25">
      <c r="A1583" s="4" t="s">
        <v>21</v>
      </c>
      <c r="B1583" s="4" t="s">
        <v>44</v>
      </c>
      <c r="C1583" s="4" t="s">
        <v>23</v>
      </c>
      <c r="D1583" s="4" t="s">
        <v>45</v>
      </c>
      <c r="E1583" s="4" t="s">
        <v>54</v>
      </c>
      <c r="F1583" s="4" t="s">
        <v>56</v>
      </c>
      <c r="G1583" s="4" t="s">
        <v>25</v>
      </c>
      <c r="H1583" s="4" t="s">
        <v>25</v>
      </c>
      <c r="I1583" s="5">
        <v>44470</v>
      </c>
      <c r="J1583" s="6">
        <v>0</v>
      </c>
      <c r="K1583" s="6">
        <v>0</v>
      </c>
      <c r="L1583" s="6">
        <v>55.828000000000003</v>
      </c>
      <c r="M1583" s="6">
        <v>18.42324</v>
      </c>
      <c r="N1583" s="6">
        <v>55.828000000000003</v>
      </c>
      <c r="O1583" s="6">
        <v>18.42324</v>
      </c>
      <c r="P1583" s="6">
        <v>0</v>
      </c>
      <c r="Q1583" s="4" t="s">
        <v>26</v>
      </c>
      <c r="R1583" s="4">
        <v>0</v>
      </c>
      <c r="S1583" s="4" t="s">
        <v>606</v>
      </c>
      <c r="T1583" s="4" t="s">
        <v>870</v>
      </c>
      <c r="U1583" s="4">
        <v>0</v>
      </c>
      <c r="V1583" s="4">
        <v>54</v>
      </c>
      <c r="W1583" s="4">
        <v>97</v>
      </c>
    </row>
    <row r="1584" spans="1:23" ht="11.25" customHeight="1" x14ac:dyDescent="0.25">
      <c r="A1584" s="4" t="s">
        <v>27</v>
      </c>
      <c r="B1584" s="4" t="s">
        <v>44</v>
      </c>
      <c r="C1584" s="4" t="s">
        <v>23</v>
      </c>
      <c r="D1584" s="4" t="s">
        <v>45</v>
      </c>
      <c r="E1584" s="4" t="s">
        <v>54</v>
      </c>
      <c r="F1584" s="4" t="s">
        <v>56</v>
      </c>
      <c r="G1584" s="4" t="s">
        <v>25</v>
      </c>
      <c r="H1584" s="4" t="s">
        <v>25</v>
      </c>
      <c r="I1584" s="5">
        <v>44470</v>
      </c>
      <c r="J1584" s="6">
        <v>0</v>
      </c>
      <c r="K1584" s="6">
        <v>0</v>
      </c>
      <c r="L1584" s="6">
        <v>-0.70199999999999996</v>
      </c>
      <c r="M1584" s="6">
        <v>-0.23166</v>
      </c>
      <c r="N1584" s="6">
        <v>-0.70199999999999996</v>
      </c>
      <c r="O1584" s="6">
        <v>-0.23166</v>
      </c>
      <c r="P1584" s="6">
        <v>0</v>
      </c>
      <c r="Q1584" s="4" t="s">
        <v>26</v>
      </c>
      <c r="R1584" s="4">
        <v>0</v>
      </c>
      <c r="S1584" s="4" t="s">
        <v>606</v>
      </c>
      <c r="T1584" s="4" t="s">
        <v>870</v>
      </c>
      <c r="U1584" s="4">
        <v>0</v>
      </c>
      <c r="V1584" s="4">
        <v>54</v>
      </c>
      <c r="W1584" s="4">
        <v>97</v>
      </c>
    </row>
    <row r="1585" spans="1:23" ht="11.25" customHeight="1" x14ac:dyDescent="0.25">
      <c r="A1585" s="4" t="s">
        <v>28</v>
      </c>
      <c r="B1585" s="4" t="s">
        <v>44</v>
      </c>
      <c r="C1585" s="4" t="s">
        <v>23</v>
      </c>
      <c r="D1585" s="4" t="s">
        <v>45</v>
      </c>
      <c r="E1585" s="4" t="s">
        <v>54</v>
      </c>
      <c r="F1585" s="4" t="s">
        <v>56</v>
      </c>
      <c r="G1585" s="4" t="s">
        <v>25</v>
      </c>
      <c r="H1585" s="4" t="s">
        <v>25</v>
      </c>
      <c r="I1585" s="5">
        <v>44470</v>
      </c>
      <c r="J1585" s="6">
        <v>0</v>
      </c>
      <c r="K1585" s="6">
        <v>0</v>
      </c>
      <c r="L1585" s="6">
        <v>20.202999999999999</v>
      </c>
      <c r="M1585" s="6">
        <v>6.6669900000000002</v>
      </c>
      <c r="N1585" s="6">
        <v>20.202999999999999</v>
      </c>
      <c r="O1585" s="6">
        <v>6.6669900000000002</v>
      </c>
      <c r="P1585" s="6">
        <v>0</v>
      </c>
      <c r="Q1585" s="4" t="s">
        <v>26</v>
      </c>
      <c r="R1585" s="4">
        <v>0</v>
      </c>
      <c r="S1585" s="4" t="s">
        <v>606</v>
      </c>
      <c r="T1585" s="4" t="s">
        <v>870</v>
      </c>
      <c r="U1585" s="4">
        <v>0</v>
      </c>
      <c r="V1585" s="4">
        <v>54</v>
      </c>
      <c r="W1585" s="4">
        <v>97</v>
      </c>
    </row>
    <row r="1586" spans="1:23" ht="11.25" customHeight="1" x14ac:dyDescent="0.25">
      <c r="A1586" s="4" t="s">
        <v>21</v>
      </c>
      <c r="B1586" s="4" t="s">
        <v>44</v>
      </c>
      <c r="C1586" s="4" t="s">
        <v>23</v>
      </c>
      <c r="D1586" s="4" t="s">
        <v>45</v>
      </c>
      <c r="E1586" s="4" t="s">
        <v>54</v>
      </c>
      <c r="F1586" s="4" t="s">
        <v>56</v>
      </c>
      <c r="G1586" s="4" t="s">
        <v>25</v>
      </c>
      <c r="H1586" s="4" t="s">
        <v>25</v>
      </c>
      <c r="I1586" s="5">
        <v>44501</v>
      </c>
      <c r="J1586" s="6">
        <v>0</v>
      </c>
      <c r="K1586" s="6">
        <v>0</v>
      </c>
      <c r="L1586" s="6">
        <v>47.411000000000001</v>
      </c>
      <c r="M1586" s="6">
        <v>15.645630000000001</v>
      </c>
      <c r="N1586" s="6">
        <v>47.411000000000001</v>
      </c>
      <c r="O1586" s="6">
        <v>15.645630000000001</v>
      </c>
      <c r="P1586" s="6">
        <v>0</v>
      </c>
      <c r="Q1586" s="4" t="s">
        <v>26</v>
      </c>
      <c r="R1586" s="4">
        <v>0</v>
      </c>
      <c r="S1586" s="4" t="s">
        <v>607</v>
      </c>
      <c r="T1586" s="4" t="s">
        <v>871</v>
      </c>
      <c r="U1586" s="4">
        <v>0</v>
      </c>
      <c r="V1586" s="4">
        <v>54</v>
      </c>
      <c r="W1586" s="4">
        <v>97</v>
      </c>
    </row>
    <row r="1587" spans="1:23" ht="11.25" customHeight="1" x14ac:dyDescent="0.25">
      <c r="A1587" s="4" t="s">
        <v>28</v>
      </c>
      <c r="B1587" s="4" t="s">
        <v>44</v>
      </c>
      <c r="C1587" s="4" t="s">
        <v>23</v>
      </c>
      <c r="D1587" s="4" t="s">
        <v>45</v>
      </c>
      <c r="E1587" s="4" t="s">
        <v>54</v>
      </c>
      <c r="F1587" s="4" t="s">
        <v>56</v>
      </c>
      <c r="G1587" s="4" t="s">
        <v>25</v>
      </c>
      <c r="H1587" s="4" t="s">
        <v>25</v>
      </c>
      <c r="I1587" s="5">
        <v>44501</v>
      </c>
      <c r="J1587" s="6">
        <v>0</v>
      </c>
      <c r="K1587" s="6">
        <v>0</v>
      </c>
      <c r="L1587" s="6">
        <v>10.212999999999999</v>
      </c>
      <c r="M1587" s="6">
        <v>3.3702899999999998</v>
      </c>
      <c r="N1587" s="6">
        <v>10.212999999999999</v>
      </c>
      <c r="O1587" s="6">
        <v>3.3702899999999998</v>
      </c>
      <c r="P1587" s="6">
        <v>0</v>
      </c>
      <c r="Q1587" s="4" t="s">
        <v>26</v>
      </c>
      <c r="R1587" s="4">
        <v>0</v>
      </c>
      <c r="S1587" s="4" t="s">
        <v>607</v>
      </c>
      <c r="T1587" s="4" t="s">
        <v>871</v>
      </c>
      <c r="U1587" s="4">
        <v>0</v>
      </c>
      <c r="V1587" s="4">
        <v>54</v>
      </c>
      <c r="W1587" s="4">
        <v>97</v>
      </c>
    </row>
    <row r="1588" spans="1:23" ht="11.25" customHeight="1" x14ac:dyDescent="0.25">
      <c r="A1588" s="4" t="s">
        <v>21</v>
      </c>
      <c r="B1588" s="4" t="s">
        <v>44</v>
      </c>
      <c r="C1588" s="4" t="s">
        <v>23</v>
      </c>
      <c r="D1588" s="4" t="s">
        <v>45</v>
      </c>
      <c r="E1588" s="4" t="s">
        <v>54</v>
      </c>
      <c r="F1588" s="4" t="s">
        <v>56</v>
      </c>
      <c r="G1588" s="4" t="s">
        <v>25</v>
      </c>
      <c r="H1588" s="4" t="s">
        <v>25</v>
      </c>
      <c r="I1588" s="5">
        <v>44531</v>
      </c>
      <c r="J1588" s="6">
        <v>0</v>
      </c>
      <c r="K1588" s="6">
        <v>0</v>
      </c>
      <c r="L1588" s="6">
        <v>27.486999999999998</v>
      </c>
      <c r="M1588" s="6">
        <v>9.0707100000000001</v>
      </c>
      <c r="N1588" s="6">
        <v>27.486999999999998</v>
      </c>
      <c r="O1588" s="6">
        <v>9.0707100000000001</v>
      </c>
      <c r="P1588" s="6">
        <v>0</v>
      </c>
      <c r="Q1588" s="4" t="s">
        <v>26</v>
      </c>
      <c r="R1588" s="4">
        <v>0</v>
      </c>
      <c r="S1588" s="4" t="s">
        <v>608</v>
      </c>
      <c r="T1588" s="4" t="s">
        <v>872</v>
      </c>
      <c r="U1588" s="4">
        <v>0</v>
      </c>
      <c r="V1588" s="4">
        <v>54</v>
      </c>
      <c r="W1588" s="4">
        <v>97</v>
      </c>
    </row>
    <row r="1589" spans="1:23" ht="11.25" customHeight="1" x14ac:dyDescent="0.25">
      <c r="A1589" s="4" t="s">
        <v>28</v>
      </c>
      <c r="B1589" s="4" t="s">
        <v>44</v>
      </c>
      <c r="C1589" s="4" t="s">
        <v>23</v>
      </c>
      <c r="D1589" s="4" t="s">
        <v>45</v>
      </c>
      <c r="E1589" s="4" t="s">
        <v>54</v>
      </c>
      <c r="F1589" s="4" t="s">
        <v>56</v>
      </c>
      <c r="G1589" s="4" t="s">
        <v>25</v>
      </c>
      <c r="H1589" s="4" t="s">
        <v>25</v>
      </c>
      <c r="I1589" s="5">
        <v>44531</v>
      </c>
      <c r="J1589" s="6">
        <v>0</v>
      </c>
      <c r="K1589" s="6">
        <v>0</v>
      </c>
      <c r="L1589" s="6">
        <v>24.318999999999999</v>
      </c>
      <c r="M1589" s="6">
        <v>8.0252700000000008</v>
      </c>
      <c r="N1589" s="6">
        <v>24.318999999999999</v>
      </c>
      <c r="O1589" s="6">
        <v>8.0252700000000008</v>
      </c>
      <c r="P1589" s="6">
        <v>0</v>
      </c>
      <c r="Q1589" s="4" t="s">
        <v>26</v>
      </c>
      <c r="R1589" s="4">
        <v>0</v>
      </c>
      <c r="S1589" s="4" t="s">
        <v>608</v>
      </c>
      <c r="T1589" s="4" t="s">
        <v>872</v>
      </c>
      <c r="U1589" s="4">
        <v>0</v>
      </c>
      <c r="V1589" s="4">
        <v>54</v>
      </c>
      <c r="W1589" s="4">
        <v>97</v>
      </c>
    </row>
    <row r="1590" spans="1:23" ht="11.25" customHeight="1" x14ac:dyDescent="0.25">
      <c r="A1590" s="4" t="s">
        <v>21</v>
      </c>
      <c r="B1590" s="4" t="s">
        <v>44</v>
      </c>
      <c r="C1590" s="4" t="s">
        <v>23</v>
      </c>
      <c r="D1590" s="4" t="s">
        <v>45</v>
      </c>
      <c r="E1590" s="4" t="s">
        <v>54</v>
      </c>
      <c r="F1590" s="4" t="s">
        <v>56</v>
      </c>
      <c r="G1590" s="4" t="s">
        <v>25</v>
      </c>
      <c r="H1590" s="4" t="s">
        <v>25</v>
      </c>
      <c r="I1590" s="5">
        <v>44562</v>
      </c>
      <c r="J1590" s="6">
        <v>0</v>
      </c>
      <c r="K1590" s="6">
        <v>0</v>
      </c>
      <c r="L1590" s="6">
        <v>30.481000000000002</v>
      </c>
      <c r="M1590" s="6">
        <v>10.058730000000001</v>
      </c>
      <c r="N1590" s="6">
        <v>30.481000000000002</v>
      </c>
      <c r="O1590" s="6">
        <v>10.058730000000001</v>
      </c>
      <c r="P1590" s="6">
        <v>0</v>
      </c>
      <c r="Q1590" s="4" t="s">
        <v>26</v>
      </c>
      <c r="R1590" s="4">
        <v>0</v>
      </c>
      <c r="S1590" s="4" t="s">
        <v>609</v>
      </c>
      <c r="T1590" s="4" t="s">
        <v>873</v>
      </c>
      <c r="U1590" s="4">
        <v>0</v>
      </c>
      <c r="V1590" s="4">
        <v>54</v>
      </c>
      <c r="W1590" s="4">
        <v>97</v>
      </c>
    </row>
    <row r="1591" spans="1:23" ht="11.25" customHeight="1" x14ac:dyDescent="0.25">
      <c r="A1591" s="4" t="s">
        <v>27</v>
      </c>
      <c r="B1591" s="4" t="s">
        <v>44</v>
      </c>
      <c r="C1591" s="4" t="s">
        <v>23</v>
      </c>
      <c r="D1591" s="4" t="s">
        <v>45</v>
      </c>
      <c r="E1591" s="4" t="s">
        <v>54</v>
      </c>
      <c r="F1591" s="4" t="s">
        <v>56</v>
      </c>
      <c r="G1591" s="4" t="s">
        <v>25</v>
      </c>
      <c r="H1591" s="4" t="s">
        <v>25</v>
      </c>
      <c r="I1591" s="5">
        <v>44562</v>
      </c>
      <c r="J1591" s="6">
        <v>0</v>
      </c>
      <c r="K1591" s="6">
        <v>0</v>
      </c>
      <c r="L1591" s="6">
        <v>0.38600000000000001</v>
      </c>
      <c r="M1591" s="6">
        <v>0.12737999999999999</v>
      </c>
      <c r="N1591" s="6">
        <v>0.38600000000000001</v>
      </c>
      <c r="O1591" s="6">
        <v>0.12737999999999999</v>
      </c>
      <c r="P1591" s="6">
        <v>0</v>
      </c>
      <c r="Q1591" s="4" t="s">
        <v>26</v>
      </c>
      <c r="R1591" s="4">
        <v>0</v>
      </c>
      <c r="S1591" s="4" t="s">
        <v>609</v>
      </c>
      <c r="T1591" s="4" t="s">
        <v>873</v>
      </c>
      <c r="U1591" s="4">
        <v>0</v>
      </c>
      <c r="V1591" s="4">
        <v>54</v>
      </c>
      <c r="W1591" s="4">
        <v>97</v>
      </c>
    </row>
    <row r="1592" spans="1:23" ht="11.25" customHeight="1" x14ac:dyDescent="0.25">
      <c r="A1592" s="4" t="s">
        <v>28</v>
      </c>
      <c r="B1592" s="4" t="s">
        <v>44</v>
      </c>
      <c r="C1592" s="4" t="s">
        <v>23</v>
      </c>
      <c r="D1592" s="4" t="s">
        <v>45</v>
      </c>
      <c r="E1592" s="4" t="s">
        <v>54</v>
      </c>
      <c r="F1592" s="4" t="s">
        <v>56</v>
      </c>
      <c r="G1592" s="4" t="s">
        <v>25</v>
      </c>
      <c r="H1592" s="4" t="s">
        <v>25</v>
      </c>
      <c r="I1592" s="5">
        <v>44562</v>
      </c>
      <c r="J1592" s="6">
        <v>0</v>
      </c>
      <c r="K1592" s="6">
        <v>0</v>
      </c>
      <c r="L1592" s="6">
        <v>17.096</v>
      </c>
      <c r="M1592" s="6">
        <v>5.64168</v>
      </c>
      <c r="N1592" s="6">
        <v>17.096</v>
      </c>
      <c r="O1592" s="6">
        <v>5.64168</v>
      </c>
      <c r="P1592" s="6">
        <v>0</v>
      </c>
      <c r="Q1592" s="4" t="s">
        <v>26</v>
      </c>
      <c r="R1592" s="4">
        <v>0</v>
      </c>
      <c r="S1592" s="4" t="s">
        <v>609</v>
      </c>
      <c r="T1592" s="4" t="s">
        <v>873</v>
      </c>
      <c r="U1592" s="4">
        <v>0</v>
      </c>
      <c r="V1592" s="4">
        <v>54</v>
      </c>
      <c r="W1592" s="4">
        <v>97</v>
      </c>
    </row>
    <row r="1593" spans="1:23" ht="11.25" customHeight="1" x14ac:dyDescent="0.25">
      <c r="A1593" s="4" t="s">
        <v>21</v>
      </c>
      <c r="B1593" s="4" t="s">
        <v>44</v>
      </c>
      <c r="C1593" s="4" t="s">
        <v>23</v>
      </c>
      <c r="D1593" s="4" t="s">
        <v>45</v>
      </c>
      <c r="E1593" s="4" t="s">
        <v>54</v>
      </c>
      <c r="F1593" s="4" t="s">
        <v>56</v>
      </c>
      <c r="G1593" s="4" t="s">
        <v>25</v>
      </c>
      <c r="H1593" s="4" t="s">
        <v>25</v>
      </c>
      <c r="I1593" s="5">
        <v>44593</v>
      </c>
      <c r="J1593" s="6">
        <v>0</v>
      </c>
      <c r="K1593" s="6">
        <v>0</v>
      </c>
      <c r="L1593" s="6">
        <v>25.31</v>
      </c>
      <c r="M1593" s="6">
        <v>8.3522999999999996</v>
      </c>
      <c r="N1593" s="6">
        <v>25.31</v>
      </c>
      <c r="O1593" s="6">
        <v>8.3522999999999996</v>
      </c>
      <c r="P1593" s="6">
        <v>0</v>
      </c>
      <c r="Q1593" s="4" t="s">
        <v>26</v>
      </c>
      <c r="R1593" s="4">
        <v>0</v>
      </c>
      <c r="S1593" s="4" t="s">
        <v>610</v>
      </c>
      <c r="T1593" s="4" t="s">
        <v>874</v>
      </c>
      <c r="U1593" s="4">
        <v>0</v>
      </c>
      <c r="V1593" s="4">
        <v>54</v>
      </c>
      <c r="W1593" s="4">
        <v>97</v>
      </c>
    </row>
    <row r="1594" spans="1:23" ht="11.25" customHeight="1" x14ac:dyDescent="0.25">
      <c r="A1594" s="4" t="s">
        <v>27</v>
      </c>
      <c r="B1594" s="4" t="s">
        <v>44</v>
      </c>
      <c r="C1594" s="4" t="s">
        <v>23</v>
      </c>
      <c r="D1594" s="4" t="s">
        <v>45</v>
      </c>
      <c r="E1594" s="4" t="s">
        <v>54</v>
      </c>
      <c r="F1594" s="4" t="s">
        <v>56</v>
      </c>
      <c r="G1594" s="4" t="s">
        <v>25</v>
      </c>
      <c r="H1594" s="4" t="s">
        <v>25</v>
      </c>
      <c r="I1594" s="5">
        <v>44593</v>
      </c>
      <c r="J1594" s="6">
        <v>0</v>
      </c>
      <c r="K1594" s="6">
        <v>0</v>
      </c>
      <c r="L1594" s="6">
        <v>-1.518</v>
      </c>
      <c r="M1594" s="6">
        <v>-0.50094000000000005</v>
      </c>
      <c r="N1594" s="6">
        <v>-1.518</v>
      </c>
      <c r="O1594" s="6">
        <v>-0.50094000000000005</v>
      </c>
      <c r="P1594" s="6">
        <v>0</v>
      </c>
      <c r="Q1594" s="4" t="s">
        <v>26</v>
      </c>
      <c r="R1594" s="4">
        <v>0</v>
      </c>
      <c r="S1594" s="4" t="s">
        <v>610</v>
      </c>
      <c r="T1594" s="4" t="s">
        <v>874</v>
      </c>
      <c r="U1594" s="4">
        <v>0</v>
      </c>
      <c r="V1594" s="4">
        <v>54</v>
      </c>
      <c r="W1594" s="4">
        <v>97</v>
      </c>
    </row>
    <row r="1595" spans="1:23" ht="11.25" customHeight="1" x14ac:dyDescent="0.25">
      <c r="A1595" s="4" t="s">
        <v>28</v>
      </c>
      <c r="B1595" s="4" t="s">
        <v>44</v>
      </c>
      <c r="C1595" s="4" t="s">
        <v>23</v>
      </c>
      <c r="D1595" s="4" t="s">
        <v>45</v>
      </c>
      <c r="E1595" s="4" t="s">
        <v>54</v>
      </c>
      <c r="F1595" s="4" t="s">
        <v>56</v>
      </c>
      <c r="G1595" s="4" t="s">
        <v>25</v>
      </c>
      <c r="H1595" s="4" t="s">
        <v>25</v>
      </c>
      <c r="I1595" s="5">
        <v>44593</v>
      </c>
      <c r="J1595" s="6">
        <v>0</v>
      </c>
      <c r="K1595" s="6">
        <v>0</v>
      </c>
      <c r="L1595" s="6">
        <v>17.771999999999998</v>
      </c>
      <c r="M1595" s="6">
        <v>5.8647600000000004</v>
      </c>
      <c r="N1595" s="6">
        <v>17.771999999999998</v>
      </c>
      <c r="O1595" s="6">
        <v>5.8647600000000004</v>
      </c>
      <c r="P1595" s="6">
        <v>0</v>
      </c>
      <c r="Q1595" s="4" t="s">
        <v>26</v>
      </c>
      <c r="R1595" s="4">
        <v>0</v>
      </c>
      <c r="S1595" s="4" t="s">
        <v>610</v>
      </c>
      <c r="T1595" s="4" t="s">
        <v>874</v>
      </c>
      <c r="U1595" s="4">
        <v>0</v>
      </c>
      <c r="V1595" s="4">
        <v>54</v>
      </c>
      <c r="W1595" s="4">
        <v>97</v>
      </c>
    </row>
    <row r="1596" spans="1:23" ht="11.25" customHeight="1" x14ac:dyDescent="0.25">
      <c r="A1596" s="4" t="s">
        <v>21</v>
      </c>
      <c r="B1596" s="4" t="s">
        <v>44</v>
      </c>
      <c r="C1596" s="4" t="s">
        <v>23</v>
      </c>
      <c r="D1596" s="4" t="s">
        <v>45</v>
      </c>
      <c r="E1596" s="4" t="s">
        <v>54</v>
      </c>
      <c r="F1596" s="4" t="s">
        <v>56</v>
      </c>
      <c r="G1596" s="4" t="s">
        <v>25</v>
      </c>
      <c r="H1596" s="4" t="s">
        <v>25</v>
      </c>
      <c r="I1596" s="5">
        <v>44621</v>
      </c>
      <c r="J1596" s="6">
        <v>0</v>
      </c>
      <c r="K1596" s="6">
        <v>0</v>
      </c>
      <c r="L1596" s="6">
        <v>32.883000000000003</v>
      </c>
      <c r="M1596" s="6">
        <v>10.85139</v>
      </c>
      <c r="N1596" s="6">
        <v>32.883000000000003</v>
      </c>
      <c r="O1596" s="6">
        <v>10.85139</v>
      </c>
      <c r="P1596" s="6">
        <v>0</v>
      </c>
      <c r="Q1596" s="4" t="s">
        <v>26</v>
      </c>
      <c r="R1596" s="4">
        <v>0</v>
      </c>
      <c r="S1596" s="4" t="s">
        <v>611</v>
      </c>
      <c r="T1596" s="4" t="s">
        <v>875</v>
      </c>
      <c r="U1596" s="4">
        <v>0</v>
      </c>
      <c r="V1596" s="4">
        <v>54</v>
      </c>
      <c r="W1596" s="4">
        <v>97</v>
      </c>
    </row>
    <row r="1597" spans="1:23" ht="11.25" customHeight="1" x14ac:dyDescent="0.25">
      <c r="A1597" s="4" t="s">
        <v>27</v>
      </c>
      <c r="B1597" s="4" t="s">
        <v>44</v>
      </c>
      <c r="C1597" s="4" t="s">
        <v>23</v>
      </c>
      <c r="D1597" s="4" t="s">
        <v>45</v>
      </c>
      <c r="E1597" s="4" t="s">
        <v>54</v>
      </c>
      <c r="F1597" s="4" t="s">
        <v>56</v>
      </c>
      <c r="G1597" s="4" t="s">
        <v>25</v>
      </c>
      <c r="H1597" s="4" t="s">
        <v>25</v>
      </c>
      <c r="I1597" s="5">
        <v>44621</v>
      </c>
      <c r="J1597" s="6">
        <v>0</v>
      </c>
      <c r="K1597" s="6">
        <v>0</v>
      </c>
      <c r="L1597" s="6">
        <v>-0.29599999999999999</v>
      </c>
      <c r="M1597" s="6">
        <v>-9.7680000000000003E-2</v>
      </c>
      <c r="N1597" s="6">
        <v>-0.29599999999999999</v>
      </c>
      <c r="O1597" s="6">
        <v>-9.7680000000000003E-2</v>
      </c>
      <c r="P1597" s="6">
        <v>0</v>
      </c>
      <c r="Q1597" s="4" t="s">
        <v>26</v>
      </c>
      <c r="R1597" s="4">
        <v>0</v>
      </c>
      <c r="S1597" s="4" t="s">
        <v>611</v>
      </c>
      <c r="T1597" s="4" t="s">
        <v>875</v>
      </c>
      <c r="U1597" s="4">
        <v>0</v>
      </c>
      <c r="V1597" s="4">
        <v>54</v>
      </c>
      <c r="W1597" s="4">
        <v>97</v>
      </c>
    </row>
    <row r="1598" spans="1:23" ht="11.25" customHeight="1" x14ac:dyDescent="0.25">
      <c r="A1598" s="4" t="s">
        <v>28</v>
      </c>
      <c r="B1598" s="4" t="s">
        <v>44</v>
      </c>
      <c r="C1598" s="4" t="s">
        <v>23</v>
      </c>
      <c r="D1598" s="4" t="s">
        <v>45</v>
      </c>
      <c r="E1598" s="4" t="s">
        <v>54</v>
      </c>
      <c r="F1598" s="4" t="s">
        <v>56</v>
      </c>
      <c r="G1598" s="4" t="s">
        <v>25</v>
      </c>
      <c r="H1598" s="4" t="s">
        <v>25</v>
      </c>
      <c r="I1598" s="5">
        <v>44621</v>
      </c>
      <c r="J1598" s="6">
        <v>0</v>
      </c>
      <c r="K1598" s="6">
        <v>0</v>
      </c>
      <c r="L1598" s="6">
        <v>13.196999999999999</v>
      </c>
      <c r="M1598" s="6">
        <v>4.35501</v>
      </c>
      <c r="N1598" s="6">
        <v>13.196999999999999</v>
      </c>
      <c r="O1598" s="6">
        <v>4.35501</v>
      </c>
      <c r="P1598" s="6">
        <v>0</v>
      </c>
      <c r="Q1598" s="4" t="s">
        <v>26</v>
      </c>
      <c r="R1598" s="4">
        <v>0</v>
      </c>
      <c r="S1598" s="4" t="s">
        <v>611</v>
      </c>
      <c r="T1598" s="4" t="s">
        <v>875</v>
      </c>
      <c r="U1598" s="4">
        <v>0</v>
      </c>
      <c r="V1598" s="4">
        <v>54</v>
      </c>
      <c r="W1598" s="4">
        <v>97</v>
      </c>
    </row>
    <row r="1599" spans="1:23" ht="11.25" customHeight="1" x14ac:dyDescent="0.25">
      <c r="A1599" s="4" t="s">
        <v>21</v>
      </c>
      <c r="B1599" s="4" t="s">
        <v>44</v>
      </c>
      <c r="C1599" s="4" t="s">
        <v>23</v>
      </c>
      <c r="D1599" s="4" t="s">
        <v>45</v>
      </c>
      <c r="E1599" s="4" t="s">
        <v>54</v>
      </c>
      <c r="F1599" s="4" t="s">
        <v>56</v>
      </c>
      <c r="G1599" s="4" t="s">
        <v>25</v>
      </c>
      <c r="H1599" s="4" t="s">
        <v>25</v>
      </c>
      <c r="I1599" s="5">
        <v>44652</v>
      </c>
      <c r="J1599" s="6">
        <v>0</v>
      </c>
      <c r="K1599" s="6">
        <v>0</v>
      </c>
      <c r="L1599" s="6">
        <v>29.815000000000001</v>
      </c>
      <c r="M1599" s="6">
        <v>9.8389500000000005</v>
      </c>
      <c r="N1599" s="6">
        <v>29.815000000000001</v>
      </c>
      <c r="O1599" s="6">
        <v>9.8389500000000005</v>
      </c>
      <c r="P1599" s="6">
        <v>0</v>
      </c>
      <c r="Q1599" s="4" t="s">
        <v>26</v>
      </c>
      <c r="R1599" s="4">
        <v>0</v>
      </c>
      <c r="S1599" s="4" t="s">
        <v>612</v>
      </c>
      <c r="T1599" s="4" t="s">
        <v>876</v>
      </c>
      <c r="U1599" s="4">
        <v>0</v>
      </c>
      <c r="V1599" s="4">
        <v>54</v>
      </c>
      <c r="W1599" s="4">
        <v>97</v>
      </c>
    </row>
    <row r="1600" spans="1:23" ht="11.25" customHeight="1" x14ac:dyDescent="0.25">
      <c r="A1600" s="4" t="s">
        <v>28</v>
      </c>
      <c r="B1600" s="4" t="s">
        <v>44</v>
      </c>
      <c r="C1600" s="4" t="s">
        <v>23</v>
      </c>
      <c r="D1600" s="4" t="s">
        <v>45</v>
      </c>
      <c r="E1600" s="4" t="s">
        <v>54</v>
      </c>
      <c r="F1600" s="4" t="s">
        <v>56</v>
      </c>
      <c r="G1600" s="4" t="s">
        <v>25</v>
      </c>
      <c r="H1600" s="4" t="s">
        <v>25</v>
      </c>
      <c r="I1600" s="5">
        <v>44652</v>
      </c>
      <c r="J1600" s="6">
        <v>0</v>
      </c>
      <c r="K1600" s="6">
        <v>0</v>
      </c>
      <c r="L1600" s="6">
        <v>14.513999999999999</v>
      </c>
      <c r="M1600" s="6">
        <v>4.7896200000000002</v>
      </c>
      <c r="N1600" s="6">
        <v>14.513999999999999</v>
      </c>
      <c r="O1600" s="6">
        <v>4.7896200000000002</v>
      </c>
      <c r="P1600" s="6">
        <v>0</v>
      </c>
      <c r="Q1600" s="4" t="s">
        <v>26</v>
      </c>
      <c r="R1600" s="4">
        <v>0</v>
      </c>
      <c r="S1600" s="4" t="s">
        <v>612</v>
      </c>
      <c r="T1600" s="4" t="s">
        <v>876</v>
      </c>
      <c r="U1600" s="4">
        <v>0</v>
      </c>
      <c r="V1600" s="4">
        <v>54</v>
      </c>
      <c r="W1600" s="4">
        <v>97</v>
      </c>
    </row>
    <row r="1601" spans="1:23" ht="11.25" customHeight="1" x14ac:dyDescent="0.25">
      <c r="A1601" s="4" t="s">
        <v>58</v>
      </c>
      <c r="B1601" s="4" t="s">
        <v>44</v>
      </c>
      <c r="C1601" s="4" t="s">
        <v>23</v>
      </c>
      <c r="D1601" s="4" t="s">
        <v>45</v>
      </c>
      <c r="E1601" s="4" t="s">
        <v>54</v>
      </c>
      <c r="F1601" s="4" t="s">
        <v>56</v>
      </c>
      <c r="G1601" s="4" t="s">
        <v>25</v>
      </c>
      <c r="H1601" s="4" t="s">
        <v>25</v>
      </c>
      <c r="I1601" s="5">
        <v>44682</v>
      </c>
      <c r="J1601" s="6">
        <v>0</v>
      </c>
      <c r="K1601" s="6">
        <v>0</v>
      </c>
      <c r="L1601" s="6">
        <v>29.815000000000001</v>
      </c>
      <c r="M1601" s="6">
        <v>9.8389500000000005</v>
      </c>
      <c r="N1601" s="6">
        <v>29.815000000000001</v>
      </c>
      <c r="O1601" s="6">
        <v>9.8389500000000005</v>
      </c>
      <c r="P1601" s="6">
        <v>0</v>
      </c>
      <c r="Q1601" s="4" t="s">
        <v>26</v>
      </c>
      <c r="R1601" s="4">
        <v>0</v>
      </c>
      <c r="S1601" s="4" t="s">
        <v>613</v>
      </c>
      <c r="T1601" s="4" t="s">
        <v>877</v>
      </c>
      <c r="U1601" s="4">
        <v>0</v>
      </c>
      <c r="V1601" s="4">
        <v>54</v>
      </c>
      <c r="W1601" s="4">
        <v>97</v>
      </c>
    </row>
    <row r="1602" spans="1:23" ht="11.25" customHeight="1" x14ac:dyDescent="0.25">
      <c r="A1602" s="4" t="s">
        <v>58</v>
      </c>
      <c r="B1602" s="4" t="s">
        <v>44</v>
      </c>
      <c r="C1602" s="4" t="s">
        <v>23</v>
      </c>
      <c r="D1602" s="4" t="s">
        <v>45</v>
      </c>
      <c r="E1602" s="4" t="s">
        <v>54</v>
      </c>
      <c r="F1602" s="4" t="s">
        <v>56</v>
      </c>
      <c r="G1602" s="4" t="s">
        <v>25</v>
      </c>
      <c r="H1602" s="4" t="s">
        <v>25</v>
      </c>
      <c r="I1602" s="5">
        <v>44682</v>
      </c>
      <c r="J1602" s="6">
        <v>0</v>
      </c>
      <c r="K1602" s="6">
        <v>0</v>
      </c>
      <c r="L1602" s="6">
        <v>14.513999999999999</v>
      </c>
      <c r="M1602" s="6">
        <v>4.7896200000000002</v>
      </c>
      <c r="N1602" s="6">
        <v>14.513999999999999</v>
      </c>
      <c r="O1602" s="6">
        <v>4.7896200000000002</v>
      </c>
      <c r="P1602" s="6">
        <v>0</v>
      </c>
      <c r="Q1602" s="4" t="s">
        <v>26</v>
      </c>
      <c r="R1602" s="4">
        <v>0</v>
      </c>
      <c r="S1602" s="4" t="s">
        <v>613</v>
      </c>
      <c r="T1602" s="4" t="s">
        <v>877</v>
      </c>
      <c r="U1602" s="4">
        <v>0</v>
      </c>
      <c r="V1602" s="4">
        <v>54</v>
      </c>
      <c r="W1602" s="4">
        <v>97</v>
      </c>
    </row>
    <row r="1603" spans="1:23" ht="11.25" customHeight="1" x14ac:dyDescent="0.25">
      <c r="A1603" s="4" t="s">
        <v>21</v>
      </c>
      <c r="B1603" s="4" t="s">
        <v>44</v>
      </c>
      <c r="C1603" s="4" t="s">
        <v>23</v>
      </c>
      <c r="D1603" s="4" t="s">
        <v>45</v>
      </c>
      <c r="E1603" s="4" t="s">
        <v>57</v>
      </c>
      <c r="F1603" s="4" t="s">
        <v>55</v>
      </c>
      <c r="G1603" s="4" t="s">
        <v>25</v>
      </c>
      <c r="H1603" s="4" t="s">
        <v>25</v>
      </c>
      <c r="I1603" s="5">
        <v>44348</v>
      </c>
      <c r="J1603" s="6">
        <v>0</v>
      </c>
      <c r="K1603" s="6">
        <v>0</v>
      </c>
      <c r="L1603" s="6">
        <v>0.89400000000000002</v>
      </c>
      <c r="M1603" s="6">
        <v>0.89400000000000002</v>
      </c>
      <c r="N1603" s="6">
        <v>0.89400000000000002</v>
      </c>
      <c r="O1603" s="6">
        <v>0.89400000000000002</v>
      </c>
      <c r="P1603" s="6">
        <v>0</v>
      </c>
      <c r="Q1603" s="4" t="s">
        <v>26</v>
      </c>
      <c r="R1603" s="4">
        <v>0</v>
      </c>
      <c r="S1603" s="4" t="s">
        <v>602</v>
      </c>
      <c r="T1603" s="4" t="s">
        <v>866</v>
      </c>
      <c r="U1603" s="4">
        <v>0</v>
      </c>
      <c r="V1603" s="4">
        <v>54</v>
      </c>
      <c r="W1603" s="4">
        <v>97</v>
      </c>
    </row>
    <row r="1604" spans="1:23" ht="11.25" customHeight="1" x14ac:dyDescent="0.25">
      <c r="A1604" s="4" t="s">
        <v>21</v>
      </c>
      <c r="B1604" s="4" t="s">
        <v>44</v>
      </c>
      <c r="C1604" s="4" t="s">
        <v>23</v>
      </c>
      <c r="D1604" s="4" t="s">
        <v>45</v>
      </c>
      <c r="E1604" s="4" t="s">
        <v>57</v>
      </c>
      <c r="F1604" s="4" t="s">
        <v>55</v>
      </c>
      <c r="G1604" s="4" t="s">
        <v>25</v>
      </c>
      <c r="H1604" s="4" t="s">
        <v>25</v>
      </c>
      <c r="I1604" s="5">
        <v>44378</v>
      </c>
      <c r="J1604" s="6">
        <v>0</v>
      </c>
      <c r="K1604" s="6">
        <v>0</v>
      </c>
      <c r="L1604" s="6">
        <v>1.3440000000000001</v>
      </c>
      <c r="M1604" s="6">
        <v>1.3440000000000001</v>
      </c>
      <c r="N1604" s="6">
        <v>1.3440000000000001</v>
      </c>
      <c r="O1604" s="6">
        <v>1.3440000000000001</v>
      </c>
      <c r="P1604" s="6">
        <v>0</v>
      </c>
      <c r="Q1604" s="4" t="s">
        <v>26</v>
      </c>
      <c r="R1604" s="4">
        <v>0</v>
      </c>
      <c r="S1604" s="4" t="s">
        <v>603</v>
      </c>
      <c r="T1604" s="4" t="s">
        <v>867</v>
      </c>
      <c r="U1604" s="4">
        <v>0</v>
      </c>
      <c r="V1604" s="4">
        <v>54</v>
      </c>
      <c r="W1604" s="4">
        <v>97</v>
      </c>
    </row>
    <row r="1605" spans="1:23" ht="11.25" customHeight="1" x14ac:dyDescent="0.25">
      <c r="A1605" s="4" t="s">
        <v>28</v>
      </c>
      <c r="B1605" s="4" t="s">
        <v>44</v>
      </c>
      <c r="C1605" s="4" t="s">
        <v>23</v>
      </c>
      <c r="D1605" s="4" t="s">
        <v>45</v>
      </c>
      <c r="E1605" s="4" t="s">
        <v>57</v>
      </c>
      <c r="F1605" s="4" t="s">
        <v>55</v>
      </c>
      <c r="G1605" s="4" t="s">
        <v>25</v>
      </c>
      <c r="H1605" s="4" t="s">
        <v>25</v>
      </c>
      <c r="I1605" s="5">
        <v>44378</v>
      </c>
      <c r="J1605" s="6">
        <v>0</v>
      </c>
      <c r="K1605" s="6">
        <v>0</v>
      </c>
      <c r="L1605" s="6">
        <v>1.2E-2</v>
      </c>
      <c r="M1605" s="6">
        <v>1.2E-2</v>
      </c>
      <c r="N1605" s="6">
        <v>1.2E-2</v>
      </c>
      <c r="O1605" s="6">
        <v>1.2E-2</v>
      </c>
      <c r="P1605" s="6">
        <v>0</v>
      </c>
      <c r="Q1605" s="4" t="s">
        <v>26</v>
      </c>
      <c r="R1605" s="4">
        <v>0</v>
      </c>
      <c r="S1605" s="4" t="s">
        <v>603</v>
      </c>
      <c r="T1605" s="4" t="s">
        <v>867</v>
      </c>
      <c r="U1605" s="4">
        <v>0</v>
      </c>
      <c r="V1605" s="4">
        <v>54</v>
      </c>
      <c r="W1605" s="4">
        <v>97</v>
      </c>
    </row>
    <row r="1606" spans="1:23" ht="11.25" customHeight="1" x14ac:dyDescent="0.25">
      <c r="A1606" s="4" t="s">
        <v>21</v>
      </c>
      <c r="B1606" s="4" t="s">
        <v>44</v>
      </c>
      <c r="C1606" s="4" t="s">
        <v>23</v>
      </c>
      <c r="D1606" s="4" t="s">
        <v>45</v>
      </c>
      <c r="E1606" s="4" t="s">
        <v>57</v>
      </c>
      <c r="F1606" s="4" t="s">
        <v>55</v>
      </c>
      <c r="G1606" s="4" t="s">
        <v>25</v>
      </c>
      <c r="H1606" s="4" t="s">
        <v>25</v>
      </c>
      <c r="I1606" s="5">
        <v>44409</v>
      </c>
      <c r="J1606" s="6">
        <v>0</v>
      </c>
      <c r="K1606" s="6">
        <v>0</v>
      </c>
      <c r="L1606" s="6">
        <v>0.55000000000000004</v>
      </c>
      <c r="M1606" s="6">
        <v>0.55000000000000004</v>
      </c>
      <c r="N1606" s="6">
        <v>0.55000000000000004</v>
      </c>
      <c r="O1606" s="6">
        <v>0.55000000000000004</v>
      </c>
      <c r="P1606" s="6">
        <v>0</v>
      </c>
      <c r="Q1606" s="4" t="s">
        <v>26</v>
      </c>
      <c r="R1606" s="4">
        <v>0</v>
      </c>
      <c r="S1606" s="4" t="s">
        <v>604</v>
      </c>
      <c r="T1606" s="4" t="s">
        <v>868</v>
      </c>
      <c r="U1606" s="4">
        <v>0</v>
      </c>
      <c r="V1606" s="4">
        <v>54</v>
      </c>
      <c r="W1606" s="4">
        <v>97</v>
      </c>
    </row>
    <row r="1607" spans="1:23" ht="11.25" customHeight="1" x14ac:dyDescent="0.25">
      <c r="A1607" s="4" t="s">
        <v>28</v>
      </c>
      <c r="B1607" s="4" t="s">
        <v>44</v>
      </c>
      <c r="C1607" s="4" t="s">
        <v>23</v>
      </c>
      <c r="D1607" s="4" t="s">
        <v>45</v>
      </c>
      <c r="E1607" s="4" t="s">
        <v>57</v>
      </c>
      <c r="F1607" s="4" t="s">
        <v>55</v>
      </c>
      <c r="G1607" s="4" t="s">
        <v>25</v>
      </c>
      <c r="H1607" s="4" t="s">
        <v>25</v>
      </c>
      <c r="I1607" s="5">
        <v>44409</v>
      </c>
      <c r="J1607" s="6">
        <v>0</v>
      </c>
      <c r="K1607" s="6">
        <v>0</v>
      </c>
      <c r="L1607" s="6">
        <v>0.16800000000000001</v>
      </c>
      <c r="M1607" s="6">
        <v>0.16800000000000001</v>
      </c>
      <c r="N1607" s="6">
        <v>0.16800000000000001</v>
      </c>
      <c r="O1607" s="6">
        <v>0.16800000000000001</v>
      </c>
      <c r="P1607" s="6">
        <v>0</v>
      </c>
      <c r="Q1607" s="4" t="s">
        <v>26</v>
      </c>
      <c r="R1607" s="4">
        <v>0</v>
      </c>
      <c r="S1607" s="4" t="s">
        <v>604</v>
      </c>
      <c r="T1607" s="4" t="s">
        <v>868</v>
      </c>
      <c r="U1607" s="4">
        <v>0</v>
      </c>
      <c r="V1607" s="4">
        <v>54</v>
      </c>
      <c r="W1607" s="4">
        <v>97</v>
      </c>
    </row>
    <row r="1608" spans="1:23" ht="11.25" customHeight="1" x14ac:dyDescent="0.25">
      <c r="A1608" s="4" t="s">
        <v>21</v>
      </c>
      <c r="B1608" s="4" t="s">
        <v>44</v>
      </c>
      <c r="C1608" s="4" t="s">
        <v>23</v>
      </c>
      <c r="D1608" s="4" t="s">
        <v>45</v>
      </c>
      <c r="E1608" s="4" t="s">
        <v>57</v>
      </c>
      <c r="F1608" s="4" t="s">
        <v>55</v>
      </c>
      <c r="G1608" s="4" t="s">
        <v>25</v>
      </c>
      <c r="H1608" s="4" t="s">
        <v>25</v>
      </c>
      <c r="I1608" s="5">
        <v>44440</v>
      </c>
      <c r="J1608" s="6">
        <v>0</v>
      </c>
      <c r="K1608" s="6">
        <v>0</v>
      </c>
      <c r="L1608" s="6">
        <v>0.90100000000000002</v>
      </c>
      <c r="M1608" s="6">
        <v>0.90100000000000002</v>
      </c>
      <c r="N1608" s="6">
        <v>0.90100000000000002</v>
      </c>
      <c r="O1608" s="6">
        <v>0.90100000000000002</v>
      </c>
      <c r="P1608" s="6">
        <v>0</v>
      </c>
      <c r="Q1608" s="4" t="s">
        <v>26</v>
      </c>
      <c r="R1608" s="4">
        <v>0</v>
      </c>
      <c r="S1608" s="4" t="s">
        <v>605</v>
      </c>
      <c r="T1608" s="4" t="s">
        <v>869</v>
      </c>
      <c r="U1608" s="4">
        <v>0</v>
      </c>
      <c r="V1608" s="4">
        <v>54</v>
      </c>
      <c r="W1608" s="4">
        <v>97</v>
      </c>
    </row>
    <row r="1609" spans="1:23" ht="11.25" customHeight="1" x14ac:dyDescent="0.25">
      <c r="A1609" s="4" t="s">
        <v>28</v>
      </c>
      <c r="B1609" s="4" t="s">
        <v>44</v>
      </c>
      <c r="C1609" s="4" t="s">
        <v>23</v>
      </c>
      <c r="D1609" s="4" t="s">
        <v>45</v>
      </c>
      <c r="E1609" s="4" t="s">
        <v>57</v>
      </c>
      <c r="F1609" s="4" t="s">
        <v>55</v>
      </c>
      <c r="G1609" s="4" t="s">
        <v>25</v>
      </c>
      <c r="H1609" s="4" t="s">
        <v>25</v>
      </c>
      <c r="I1609" s="5">
        <v>44440</v>
      </c>
      <c r="J1609" s="6">
        <v>0</v>
      </c>
      <c r="K1609" s="6">
        <v>0</v>
      </c>
      <c r="L1609" s="6">
        <v>8.4000000000000005E-2</v>
      </c>
      <c r="M1609" s="6">
        <v>8.4000000000000005E-2</v>
      </c>
      <c r="N1609" s="6">
        <v>8.4000000000000005E-2</v>
      </c>
      <c r="O1609" s="6">
        <v>8.4000000000000005E-2</v>
      </c>
      <c r="P1609" s="6">
        <v>0</v>
      </c>
      <c r="Q1609" s="4" t="s">
        <v>26</v>
      </c>
      <c r="R1609" s="4">
        <v>0</v>
      </c>
      <c r="S1609" s="4" t="s">
        <v>605</v>
      </c>
      <c r="T1609" s="4" t="s">
        <v>869</v>
      </c>
      <c r="U1609" s="4">
        <v>0</v>
      </c>
      <c r="V1609" s="4">
        <v>54</v>
      </c>
      <c r="W1609" s="4">
        <v>97</v>
      </c>
    </row>
    <row r="1610" spans="1:23" ht="11.25" customHeight="1" x14ac:dyDescent="0.25">
      <c r="A1610" s="4" t="s">
        <v>21</v>
      </c>
      <c r="B1610" s="4" t="s">
        <v>44</v>
      </c>
      <c r="C1610" s="4" t="s">
        <v>23</v>
      </c>
      <c r="D1610" s="4" t="s">
        <v>45</v>
      </c>
      <c r="E1610" s="4" t="s">
        <v>57</v>
      </c>
      <c r="F1610" s="4" t="s">
        <v>55</v>
      </c>
      <c r="G1610" s="4" t="s">
        <v>25</v>
      </c>
      <c r="H1610" s="4" t="s">
        <v>25</v>
      </c>
      <c r="I1610" s="5">
        <v>44470</v>
      </c>
      <c r="J1610" s="6">
        <v>0</v>
      </c>
      <c r="K1610" s="6">
        <v>0</v>
      </c>
      <c r="L1610" s="6">
        <v>0.54900000000000004</v>
      </c>
      <c r="M1610" s="6">
        <v>0.54900000000000004</v>
      </c>
      <c r="N1610" s="6">
        <v>0.54900000000000004</v>
      </c>
      <c r="O1610" s="6">
        <v>0.54900000000000004</v>
      </c>
      <c r="P1610" s="6">
        <v>0</v>
      </c>
      <c r="Q1610" s="4" t="s">
        <v>26</v>
      </c>
      <c r="R1610" s="4">
        <v>0</v>
      </c>
      <c r="S1610" s="4" t="s">
        <v>606</v>
      </c>
      <c r="T1610" s="4" t="s">
        <v>870</v>
      </c>
      <c r="U1610" s="4">
        <v>0</v>
      </c>
      <c r="V1610" s="4">
        <v>54</v>
      </c>
      <c r="W1610" s="4">
        <v>97</v>
      </c>
    </row>
    <row r="1611" spans="1:23" ht="11.25" customHeight="1" x14ac:dyDescent="0.25">
      <c r="A1611" s="4" t="s">
        <v>28</v>
      </c>
      <c r="B1611" s="4" t="s">
        <v>44</v>
      </c>
      <c r="C1611" s="4" t="s">
        <v>23</v>
      </c>
      <c r="D1611" s="4" t="s">
        <v>45</v>
      </c>
      <c r="E1611" s="4" t="s">
        <v>57</v>
      </c>
      <c r="F1611" s="4" t="s">
        <v>55</v>
      </c>
      <c r="G1611" s="4" t="s">
        <v>25</v>
      </c>
      <c r="H1611" s="4" t="s">
        <v>25</v>
      </c>
      <c r="I1611" s="5">
        <v>44470</v>
      </c>
      <c r="J1611" s="6">
        <v>0</v>
      </c>
      <c r="K1611" s="6">
        <v>0</v>
      </c>
      <c r="L1611" s="6">
        <v>5.8000000000000003E-2</v>
      </c>
      <c r="M1611" s="6">
        <v>5.8000000000000003E-2</v>
      </c>
      <c r="N1611" s="6">
        <v>5.8000000000000003E-2</v>
      </c>
      <c r="O1611" s="6">
        <v>5.8000000000000003E-2</v>
      </c>
      <c r="P1611" s="6">
        <v>0</v>
      </c>
      <c r="Q1611" s="4" t="s">
        <v>26</v>
      </c>
      <c r="R1611" s="4">
        <v>0</v>
      </c>
      <c r="S1611" s="4" t="s">
        <v>606</v>
      </c>
      <c r="T1611" s="4" t="s">
        <v>870</v>
      </c>
      <c r="U1611" s="4">
        <v>0</v>
      </c>
      <c r="V1611" s="4">
        <v>54</v>
      </c>
      <c r="W1611" s="4">
        <v>97</v>
      </c>
    </row>
    <row r="1612" spans="1:23" ht="11.25" customHeight="1" x14ac:dyDescent="0.25">
      <c r="A1612" s="4" t="s">
        <v>21</v>
      </c>
      <c r="B1612" s="4" t="s">
        <v>44</v>
      </c>
      <c r="C1612" s="4" t="s">
        <v>23</v>
      </c>
      <c r="D1612" s="4" t="s">
        <v>45</v>
      </c>
      <c r="E1612" s="4" t="s">
        <v>57</v>
      </c>
      <c r="F1612" s="4" t="s">
        <v>55</v>
      </c>
      <c r="G1612" s="4" t="s">
        <v>25</v>
      </c>
      <c r="H1612" s="4" t="s">
        <v>25</v>
      </c>
      <c r="I1612" s="5">
        <v>44501</v>
      </c>
      <c r="J1612" s="6">
        <v>0</v>
      </c>
      <c r="K1612" s="6">
        <v>0</v>
      </c>
      <c r="L1612" s="6">
        <v>1.3979999999999999</v>
      </c>
      <c r="M1612" s="6">
        <v>1.3979999999999999</v>
      </c>
      <c r="N1612" s="6">
        <v>1.3979999999999999</v>
      </c>
      <c r="O1612" s="6">
        <v>1.3979999999999999</v>
      </c>
      <c r="P1612" s="6">
        <v>0</v>
      </c>
      <c r="Q1612" s="4" t="s">
        <v>26</v>
      </c>
      <c r="R1612" s="4">
        <v>0</v>
      </c>
      <c r="S1612" s="4" t="s">
        <v>607</v>
      </c>
      <c r="T1612" s="4" t="s">
        <v>871</v>
      </c>
      <c r="U1612" s="4">
        <v>0</v>
      </c>
      <c r="V1612" s="4">
        <v>54</v>
      </c>
      <c r="W1612" s="4">
        <v>97</v>
      </c>
    </row>
    <row r="1613" spans="1:23" ht="11.25" customHeight="1" x14ac:dyDescent="0.25">
      <c r="A1613" s="4" t="s">
        <v>28</v>
      </c>
      <c r="B1613" s="4" t="s">
        <v>44</v>
      </c>
      <c r="C1613" s="4" t="s">
        <v>23</v>
      </c>
      <c r="D1613" s="4" t="s">
        <v>45</v>
      </c>
      <c r="E1613" s="4" t="s">
        <v>57</v>
      </c>
      <c r="F1613" s="4" t="s">
        <v>55</v>
      </c>
      <c r="G1613" s="4" t="s">
        <v>25</v>
      </c>
      <c r="H1613" s="4" t="s">
        <v>25</v>
      </c>
      <c r="I1613" s="5">
        <v>44501</v>
      </c>
      <c r="J1613" s="6">
        <v>0</v>
      </c>
      <c r="K1613" s="6">
        <v>0</v>
      </c>
      <c r="L1613" s="6">
        <v>0.02</v>
      </c>
      <c r="M1613" s="6">
        <v>0.02</v>
      </c>
      <c r="N1613" s="6">
        <v>0.02</v>
      </c>
      <c r="O1613" s="6">
        <v>0.02</v>
      </c>
      <c r="P1613" s="6">
        <v>0</v>
      </c>
      <c r="Q1613" s="4" t="s">
        <v>26</v>
      </c>
      <c r="R1613" s="4">
        <v>0</v>
      </c>
      <c r="S1613" s="4" t="s">
        <v>607</v>
      </c>
      <c r="T1613" s="4" t="s">
        <v>871</v>
      </c>
      <c r="U1613" s="4">
        <v>0</v>
      </c>
      <c r="V1613" s="4">
        <v>54</v>
      </c>
      <c r="W1613" s="4">
        <v>97</v>
      </c>
    </row>
    <row r="1614" spans="1:23" ht="11.25" customHeight="1" x14ac:dyDescent="0.25">
      <c r="A1614" s="4" t="s">
        <v>21</v>
      </c>
      <c r="B1614" s="4" t="s">
        <v>44</v>
      </c>
      <c r="C1614" s="4" t="s">
        <v>23</v>
      </c>
      <c r="D1614" s="4" t="s">
        <v>45</v>
      </c>
      <c r="E1614" s="4" t="s">
        <v>57</v>
      </c>
      <c r="F1614" s="4" t="s">
        <v>55</v>
      </c>
      <c r="G1614" s="4" t="s">
        <v>25</v>
      </c>
      <c r="H1614" s="4" t="s">
        <v>25</v>
      </c>
      <c r="I1614" s="5">
        <v>44531</v>
      </c>
      <c r="J1614" s="6">
        <v>0</v>
      </c>
      <c r="K1614" s="6">
        <v>0</v>
      </c>
      <c r="L1614" s="6">
        <v>0.75800000000000001</v>
      </c>
      <c r="M1614" s="6">
        <v>0.75800000000000001</v>
      </c>
      <c r="N1614" s="6">
        <v>0.75800000000000001</v>
      </c>
      <c r="O1614" s="6">
        <v>0.75800000000000001</v>
      </c>
      <c r="P1614" s="6">
        <v>0</v>
      </c>
      <c r="Q1614" s="4" t="s">
        <v>26</v>
      </c>
      <c r="R1614" s="4">
        <v>0</v>
      </c>
      <c r="S1614" s="4" t="s">
        <v>608</v>
      </c>
      <c r="T1614" s="4" t="s">
        <v>872</v>
      </c>
      <c r="U1614" s="4">
        <v>0</v>
      </c>
      <c r="V1614" s="4">
        <v>54</v>
      </c>
      <c r="W1614" s="4">
        <v>97</v>
      </c>
    </row>
    <row r="1615" spans="1:23" ht="11.25" customHeight="1" x14ac:dyDescent="0.25">
      <c r="A1615" s="4" t="s">
        <v>28</v>
      </c>
      <c r="B1615" s="4" t="s">
        <v>44</v>
      </c>
      <c r="C1615" s="4" t="s">
        <v>23</v>
      </c>
      <c r="D1615" s="4" t="s">
        <v>45</v>
      </c>
      <c r="E1615" s="4" t="s">
        <v>57</v>
      </c>
      <c r="F1615" s="4" t="s">
        <v>55</v>
      </c>
      <c r="G1615" s="4" t="s">
        <v>25</v>
      </c>
      <c r="H1615" s="4" t="s">
        <v>25</v>
      </c>
      <c r="I1615" s="5">
        <v>44531</v>
      </c>
      <c r="J1615" s="6">
        <v>0</v>
      </c>
      <c r="K1615" s="6">
        <v>0</v>
      </c>
      <c r="L1615" s="6">
        <v>1.0209999999999999</v>
      </c>
      <c r="M1615" s="6">
        <v>1.0209999999999999</v>
      </c>
      <c r="N1615" s="6">
        <v>1.0209999999999999</v>
      </c>
      <c r="O1615" s="6">
        <v>1.0209999999999999</v>
      </c>
      <c r="P1615" s="6">
        <v>0</v>
      </c>
      <c r="Q1615" s="4" t="s">
        <v>26</v>
      </c>
      <c r="R1615" s="4">
        <v>0</v>
      </c>
      <c r="S1615" s="4" t="s">
        <v>608</v>
      </c>
      <c r="T1615" s="4" t="s">
        <v>872</v>
      </c>
      <c r="U1615" s="4">
        <v>0</v>
      </c>
      <c r="V1615" s="4">
        <v>54</v>
      </c>
      <c r="W1615" s="4">
        <v>97</v>
      </c>
    </row>
    <row r="1616" spans="1:23" ht="11.25" customHeight="1" x14ac:dyDescent="0.25">
      <c r="A1616" s="4" t="s">
        <v>21</v>
      </c>
      <c r="B1616" s="4" t="s">
        <v>44</v>
      </c>
      <c r="C1616" s="4" t="s">
        <v>23</v>
      </c>
      <c r="D1616" s="4" t="s">
        <v>45</v>
      </c>
      <c r="E1616" s="4" t="s">
        <v>57</v>
      </c>
      <c r="F1616" s="4" t="s">
        <v>55</v>
      </c>
      <c r="G1616" s="4" t="s">
        <v>25</v>
      </c>
      <c r="H1616" s="4" t="s">
        <v>25</v>
      </c>
      <c r="I1616" s="5">
        <v>44562</v>
      </c>
      <c r="J1616" s="6">
        <v>0</v>
      </c>
      <c r="K1616" s="6">
        <v>0</v>
      </c>
      <c r="L1616" s="6">
        <v>1.95</v>
      </c>
      <c r="M1616" s="6">
        <v>1.95</v>
      </c>
      <c r="N1616" s="6">
        <v>1.95</v>
      </c>
      <c r="O1616" s="6">
        <v>1.95</v>
      </c>
      <c r="P1616" s="6">
        <v>0</v>
      </c>
      <c r="Q1616" s="4" t="s">
        <v>26</v>
      </c>
      <c r="R1616" s="4">
        <v>0</v>
      </c>
      <c r="S1616" s="4" t="s">
        <v>609</v>
      </c>
      <c r="T1616" s="4" t="s">
        <v>873</v>
      </c>
      <c r="U1616" s="4">
        <v>0</v>
      </c>
      <c r="V1616" s="4">
        <v>54</v>
      </c>
      <c r="W1616" s="4">
        <v>97</v>
      </c>
    </row>
    <row r="1617" spans="1:23" ht="11.25" customHeight="1" x14ac:dyDescent="0.25">
      <c r="A1617" s="4" t="s">
        <v>28</v>
      </c>
      <c r="B1617" s="4" t="s">
        <v>44</v>
      </c>
      <c r="C1617" s="4" t="s">
        <v>23</v>
      </c>
      <c r="D1617" s="4" t="s">
        <v>45</v>
      </c>
      <c r="E1617" s="4" t="s">
        <v>57</v>
      </c>
      <c r="F1617" s="4" t="s">
        <v>55</v>
      </c>
      <c r="G1617" s="4" t="s">
        <v>25</v>
      </c>
      <c r="H1617" s="4" t="s">
        <v>25</v>
      </c>
      <c r="I1617" s="5">
        <v>44562</v>
      </c>
      <c r="J1617" s="6">
        <v>0</v>
      </c>
      <c r="K1617" s="6">
        <v>0</v>
      </c>
      <c r="L1617" s="6">
        <v>2.1999999999999999E-2</v>
      </c>
      <c r="M1617" s="6">
        <v>2.1999999999999999E-2</v>
      </c>
      <c r="N1617" s="6">
        <v>2.1999999999999999E-2</v>
      </c>
      <c r="O1617" s="6">
        <v>2.1999999999999999E-2</v>
      </c>
      <c r="P1617" s="6">
        <v>0</v>
      </c>
      <c r="Q1617" s="4" t="s">
        <v>26</v>
      </c>
      <c r="R1617" s="4">
        <v>0</v>
      </c>
      <c r="S1617" s="4" t="s">
        <v>609</v>
      </c>
      <c r="T1617" s="4" t="s">
        <v>873</v>
      </c>
      <c r="U1617" s="4">
        <v>0</v>
      </c>
      <c r="V1617" s="4">
        <v>54</v>
      </c>
      <c r="W1617" s="4">
        <v>97</v>
      </c>
    </row>
    <row r="1618" spans="1:23" ht="11.25" customHeight="1" x14ac:dyDescent="0.25">
      <c r="A1618" s="4" t="s">
        <v>21</v>
      </c>
      <c r="B1618" s="4" t="s">
        <v>44</v>
      </c>
      <c r="C1618" s="4" t="s">
        <v>23</v>
      </c>
      <c r="D1618" s="4" t="s">
        <v>45</v>
      </c>
      <c r="E1618" s="4" t="s">
        <v>57</v>
      </c>
      <c r="F1618" s="4" t="s">
        <v>55</v>
      </c>
      <c r="G1618" s="4" t="s">
        <v>25</v>
      </c>
      <c r="H1618" s="4" t="s">
        <v>25</v>
      </c>
      <c r="I1618" s="5">
        <v>44593</v>
      </c>
      <c r="J1618" s="6">
        <v>0</v>
      </c>
      <c r="K1618" s="6">
        <v>0</v>
      </c>
      <c r="L1618" s="6">
        <v>0.81399999999999995</v>
      </c>
      <c r="M1618" s="6">
        <v>0.81399999999999995</v>
      </c>
      <c r="N1618" s="6">
        <v>0.81399999999999995</v>
      </c>
      <c r="O1618" s="6">
        <v>0.81399999999999995</v>
      </c>
      <c r="P1618" s="6">
        <v>0</v>
      </c>
      <c r="Q1618" s="4" t="s">
        <v>26</v>
      </c>
      <c r="R1618" s="4">
        <v>0</v>
      </c>
      <c r="S1618" s="4" t="s">
        <v>610</v>
      </c>
      <c r="T1618" s="4" t="s">
        <v>874</v>
      </c>
      <c r="U1618" s="4">
        <v>0</v>
      </c>
      <c r="V1618" s="4">
        <v>54</v>
      </c>
      <c r="W1618" s="4">
        <v>97</v>
      </c>
    </row>
    <row r="1619" spans="1:23" ht="11.25" customHeight="1" x14ac:dyDescent="0.25">
      <c r="A1619" s="4" t="s">
        <v>28</v>
      </c>
      <c r="B1619" s="4" t="s">
        <v>44</v>
      </c>
      <c r="C1619" s="4" t="s">
        <v>23</v>
      </c>
      <c r="D1619" s="4" t="s">
        <v>45</v>
      </c>
      <c r="E1619" s="4" t="s">
        <v>57</v>
      </c>
      <c r="F1619" s="4" t="s">
        <v>55</v>
      </c>
      <c r="G1619" s="4" t="s">
        <v>25</v>
      </c>
      <c r="H1619" s="4" t="s">
        <v>25</v>
      </c>
      <c r="I1619" s="5">
        <v>44593</v>
      </c>
      <c r="J1619" s="6">
        <v>0</v>
      </c>
      <c r="K1619" s="6">
        <v>0</v>
      </c>
      <c r="L1619" s="6">
        <v>0.12</v>
      </c>
      <c r="M1619" s="6">
        <v>0.12</v>
      </c>
      <c r="N1619" s="6">
        <v>0.12</v>
      </c>
      <c r="O1619" s="6">
        <v>0.12</v>
      </c>
      <c r="P1619" s="6">
        <v>0</v>
      </c>
      <c r="Q1619" s="4" t="s">
        <v>26</v>
      </c>
      <c r="R1619" s="4">
        <v>0</v>
      </c>
      <c r="S1619" s="4" t="s">
        <v>610</v>
      </c>
      <c r="T1619" s="4" t="s">
        <v>874</v>
      </c>
      <c r="U1619" s="4">
        <v>0</v>
      </c>
      <c r="V1619" s="4">
        <v>54</v>
      </c>
      <c r="W1619" s="4">
        <v>97</v>
      </c>
    </row>
    <row r="1620" spans="1:23" ht="11.25" customHeight="1" x14ac:dyDescent="0.25">
      <c r="A1620" s="4" t="s">
        <v>21</v>
      </c>
      <c r="B1620" s="4" t="s">
        <v>44</v>
      </c>
      <c r="C1620" s="4" t="s">
        <v>23</v>
      </c>
      <c r="D1620" s="4" t="s">
        <v>45</v>
      </c>
      <c r="E1620" s="4" t="s">
        <v>57</v>
      </c>
      <c r="F1620" s="4" t="s">
        <v>55</v>
      </c>
      <c r="G1620" s="4" t="s">
        <v>25</v>
      </c>
      <c r="H1620" s="4" t="s">
        <v>25</v>
      </c>
      <c r="I1620" s="5">
        <v>44621</v>
      </c>
      <c r="J1620" s="6">
        <v>0</v>
      </c>
      <c r="K1620" s="6">
        <v>0</v>
      </c>
      <c r="L1620" s="6">
        <v>1.58</v>
      </c>
      <c r="M1620" s="6">
        <v>1.58</v>
      </c>
      <c r="N1620" s="6">
        <v>1.58</v>
      </c>
      <c r="O1620" s="6">
        <v>1.58</v>
      </c>
      <c r="P1620" s="6">
        <v>0</v>
      </c>
      <c r="Q1620" s="4" t="s">
        <v>26</v>
      </c>
      <c r="R1620" s="4">
        <v>0</v>
      </c>
      <c r="S1620" s="4" t="s">
        <v>611</v>
      </c>
      <c r="T1620" s="4" t="s">
        <v>875</v>
      </c>
      <c r="U1620" s="4">
        <v>0</v>
      </c>
      <c r="V1620" s="4">
        <v>54</v>
      </c>
      <c r="W1620" s="4">
        <v>97</v>
      </c>
    </row>
    <row r="1621" spans="1:23" ht="11.25" customHeight="1" x14ac:dyDescent="0.25">
      <c r="A1621" s="4" t="s">
        <v>28</v>
      </c>
      <c r="B1621" s="4" t="s">
        <v>44</v>
      </c>
      <c r="C1621" s="4" t="s">
        <v>23</v>
      </c>
      <c r="D1621" s="4" t="s">
        <v>45</v>
      </c>
      <c r="E1621" s="4" t="s">
        <v>57</v>
      </c>
      <c r="F1621" s="4" t="s">
        <v>55</v>
      </c>
      <c r="G1621" s="4" t="s">
        <v>25</v>
      </c>
      <c r="H1621" s="4" t="s">
        <v>25</v>
      </c>
      <c r="I1621" s="5">
        <v>44621</v>
      </c>
      <c r="J1621" s="6">
        <v>0</v>
      </c>
      <c r="K1621" s="6">
        <v>0</v>
      </c>
      <c r="L1621" s="6">
        <v>1.7999999999999999E-2</v>
      </c>
      <c r="M1621" s="6">
        <v>1.7999999999999999E-2</v>
      </c>
      <c r="N1621" s="6">
        <v>1.7999999999999999E-2</v>
      </c>
      <c r="O1621" s="6">
        <v>1.7999999999999999E-2</v>
      </c>
      <c r="P1621" s="6">
        <v>0</v>
      </c>
      <c r="Q1621" s="4" t="s">
        <v>26</v>
      </c>
      <c r="R1621" s="4">
        <v>0</v>
      </c>
      <c r="S1621" s="4" t="s">
        <v>611</v>
      </c>
      <c r="T1621" s="4" t="s">
        <v>875</v>
      </c>
      <c r="U1621" s="4">
        <v>0</v>
      </c>
      <c r="V1621" s="4">
        <v>54</v>
      </c>
      <c r="W1621" s="4">
        <v>97</v>
      </c>
    </row>
    <row r="1622" spans="1:23" ht="11.25" customHeight="1" x14ac:dyDescent="0.25">
      <c r="A1622" s="4" t="s">
        <v>21</v>
      </c>
      <c r="B1622" s="4" t="s">
        <v>44</v>
      </c>
      <c r="C1622" s="4" t="s">
        <v>23</v>
      </c>
      <c r="D1622" s="4" t="s">
        <v>45</v>
      </c>
      <c r="E1622" s="4" t="s">
        <v>57</v>
      </c>
      <c r="F1622" s="4" t="s">
        <v>55</v>
      </c>
      <c r="G1622" s="4" t="s">
        <v>25</v>
      </c>
      <c r="H1622" s="4" t="s">
        <v>25</v>
      </c>
      <c r="I1622" s="5">
        <v>44652</v>
      </c>
      <c r="J1622" s="6">
        <v>0</v>
      </c>
      <c r="K1622" s="6">
        <v>0</v>
      </c>
      <c r="L1622" s="6">
        <v>0.92100000000000004</v>
      </c>
      <c r="M1622" s="6">
        <v>0.92100000000000004</v>
      </c>
      <c r="N1622" s="6">
        <v>0.92100000000000004</v>
      </c>
      <c r="O1622" s="6">
        <v>0.92100000000000004</v>
      </c>
      <c r="P1622" s="6">
        <v>0</v>
      </c>
      <c r="Q1622" s="4" t="s">
        <v>26</v>
      </c>
      <c r="R1622" s="4">
        <v>0</v>
      </c>
      <c r="S1622" s="4" t="s">
        <v>612</v>
      </c>
      <c r="T1622" s="4" t="s">
        <v>876</v>
      </c>
      <c r="U1622" s="4">
        <v>0</v>
      </c>
      <c r="V1622" s="4">
        <v>54</v>
      </c>
      <c r="W1622" s="4">
        <v>97</v>
      </c>
    </row>
    <row r="1623" spans="1:23" ht="11.25" customHeight="1" x14ac:dyDescent="0.25">
      <c r="A1623" s="4" t="s">
        <v>58</v>
      </c>
      <c r="B1623" s="4" t="s">
        <v>44</v>
      </c>
      <c r="C1623" s="4" t="s">
        <v>23</v>
      </c>
      <c r="D1623" s="4" t="s">
        <v>45</v>
      </c>
      <c r="E1623" s="4" t="s">
        <v>57</v>
      </c>
      <c r="F1623" s="4" t="s">
        <v>55</v>
      </c>
      <c r="G1623" s="4" t="s">
        <v>25</v>
      </c>
      <c r="H1623" s="4" t="s">
        <v>25</v>
      </c>
      <c r="I1623" s="5">
        <v>44682</v>
      </c>
      <c r="J1623" s="6">
        <v>0</v>
      </c>
      <c r="K1623" s="6">
        <v>0</v>
      </c>
      <c r="L1623" s="6">
        <v>0.92100000000000004</v>
      </c>
      <c r="M1623" s="6">
        <v>0.92100000000000004</v>
      </c>
      <c r="N1623" s="6">
        <v>0.92100000000000004</v>
      </c>
      <c r="O1623" s="6">
        <v>0.92100000000000004</v>
      </c>
      <c r="P1623" s="6">
        <v>0</v>
      </c>
      <c r="Q1623" s="4" t="s">
        <v>26</v>
      </c>
      <c r="R1623" s="4">
        <v>0</v>
      </c>
      <c r="S1623" s="4" t="s">
        <v>613</v>
      </c>
      <c r="T1623" s="4" t="s">
        <v>877</v>
      </c>
      <c r="U1623" s="4">
        <v>0</v>
      </c>
      <c r="V1623" s="4">
        <v>54</v>
      </c>
      <c r="W1623" s="4">
        <v>97</v>
      </c>
    </row>
    <row r="1624" spans="1:23" ht="11.25" customHeight="1" x14ac:dyDescent="0.25">
      <c r="A1624" s="4" t="s">
        <v>21</v>
      </c>
      <c r="B1624" s="4" t="s">
        <v>44</v>
      </c>
      <c r="C1624" s="4" t="s">
        <v>23</v>
      </c>
      <c r="D1624" s="4" t="s">
        <v>45</v>
      </c>
      <c r="E1624" s="4" t="s">
        <v>57</v>
      </c>
      <c r="F1624" s="4" t="s">
        <v>56</v>
      </c>
      <c r="G1624" s="4" t="s">
        <v>25</v>
      </c>
      <c r="H1624" s="4" t="s">
        <v>25</v>
      </c>
      <c r="I1624" s="5">
        <v>44348</v>
      </c>
      <c r="J1624" s="6">
        <v>0</v>
      </c>
      <c r="K1624" s="6">
        <v>0</v>
      </c>
      <c r="L1624" s="6">
        <v>0.65100000000000002</v>
      </c>
      <c r="M1624" s="6">
        <v>0.21482999999999999</v>
      </c>
      <c r="N1624" s="6">
        <v>0.65100000000000002</v>
      </c>
      <c r="O1624" s="6">
        <v>0.21482999999999999</v>
      </c>
      <c r="P1624" s="6">
        <v>0</v>
      </c>
      <c r="Q1624" s="4" t="s">
        <v>26</v>
      </c>
      <c r="R1624" s="4">
        <v>0</v>
      </c>
      <c r="S1624" s="4" t="s">
        <v>602</v>
      </c>
      <c r="T1624" s="4" t="s">
        <v>866</v>
      </c>
      <c r="U1624" s="4">
        <v>0</v>
      </c>
      <c r="V1624" s="4">
        <v>54</v>
      </c>
      <c r="W1624" s="4">
        <v>97</v>
      </c>
    </row>
    <row r="1625" spans="1:23" ht="11.25" customHeight="1" x14ac:dyDescent="0.25">
      <c r="A1625" s="4" t="s">
        <v>28</v>
      </c>
      <c r="B1625" s="4" t="s">
        <v>44</v>
      </c>
      <c r="C1625" s="4" t="s">
        <v>23</v>
      </c>
      <c r="D1625" s="4" t="s">
        <v>45</v>
      </c>
      <c r="E1625" s="4" t="s">
        <v>57</v>
      </c>
      <c r="F1625" s="4" t="s">
        <v>56</v>
      </c>
      <c r="G1625" s="4" t="s">
        <v>25</v>
      </c>
      <c r="H1625" s="4" t="s">
        <v>25</v>
      </c>
      <c r="I1625" s="5">
        <v>44348</v>
      </c>
      <c r="J1625" s="6">
        <v>0</v>
      </c>
      <c r="K1625" s="6">
        <v>0</v>
      </c>
      <c r="L1625" s="6">
        <v>0.114</v>
      </c>
      <c r="M1625" s="6">
        <v>3.7620000000000001E-2</v>
      </c>
      <c r="N1625" s="6">
        <v>0.114</v>
      </c>
      <c r="O1625" s="6">
        <v>3.7620000000000001E-2</v>
      </c>
      <c r="P1625" s="6">
        <v>0</v>
      </c>
      <c r="Q1625" s="4" t="s">
        <v>26</v>
      </c>
      <c r="R1625" s="4">
        <v>0</v>
      </c>
      <c r="S1625" s="4" t="s">
        <v>602</v>
      </c>
      <c r="T1625" s="4" t="s">
        <v>866</v>
      </c>
      <c r="U1625" s="4">
        <v>0</v>
      </c>
      <c r="V1625" s="4">
        <v>54</v>
      </c>
      <c r="W1625" s="4">
        <v>97</v>
      </c>
    </row>
    <row r="1626" spans="1:23" ht="11.25" customHeight="1" x14ac:dyDescent="0.25">
      <c r="A1626" s="4" t="s">
        <v>21</v>
      </c>
      <c r="B1626" s="4" t="s">
        <v>44</v>
      </c>
      <c r="C1626" s="4" t="s">
        <v>23</v>
      </c>
      <c r="D1626" s="4" t="s">
        <v>45</v>
      </c>
      <c r="E1626" s="4" t="s">
        <v>57</v>
      </c>
      <c r="F1626" s="4" t="s">
        <v>56</v>
      </c>
      <c r="G1626" s="4" t="s">
        <v>25</v>
      </c>
      <c r="H1626" s="4" t="s">
        <v>25</v>
      </c>
      <c r="I1626" s="5">
        <v>44378</v>
      </c>
      <c r="J1626" s="6">
        <v>0</v>
      </c>
      <c r="K1626" s="6">
        <v>0</v>
      </c>
      <c r="L1626" s="6">
        <v>0.83199999999999996</v>
      </c>
      <c r="M1626" s="6">
        <v>0.27456000000000003</v>
      </c>
      <c r="N1626" s="6">
        <v>0.83199999999999996</v>
      </c>
      <c r="O1626" s="6">
        <v>0.27456000000000003</v>
      </c>
      <c r="P1626" s="6">
        <v>0</v>
      </c>
      <c r="Q1626" s="4" t="s">
        <v>26</v>
      </c>
      <c r="R1626" s="4">
        <v>0</v>
      </c>
      <c r="S1626" s="4" t="s">
        <v>603</v>
      </c>
      <c r="T1626" s="4" t="s">
        <v>867</v>
      </c>
      <c r="U1626" s="4">
        <v>0</v>
      </c>
      <c r="V1626" s="4">
        <v>54</v>
      </c>
      <c r="W1626" s="4">
        <v>97</v>
      </c>
    </row>
    <row r="1627" spans="1:23" ht="11.25" customHeight="1" x14ac:dyDescent="0.25">
      <c r="A1627" s="4" t="s">
        <v>28</v>
      </c>
      <c r="B1627" s="4" t="s">
        <v>44</v>
      </c>
      <c r="C1627" s="4" t="s">
        <v>23</v>
      </c>
      <c r="D1627" s="4" t="s">
        <v>45</v>
      </c>
      <c r="E1627" s="4" t="s">
        <v>57</v>
      </c>
      <c r="F1627" s="4" t="s">
        <v>56</v>
      </c>
      <c r="G1627" s="4" t="s">
        <v>25</v>
      </c>
      <c r="H1627" s="4" t="s">
        <v>25</v>
      </c>
      <c r="I1627" s="5">
        <v>44378</v>
      </c>
      <c r="J1627" s="6">
        <v>0</v>
      </c>
      <c r="K1627" s="6">
        <v>0</v>
      </c>
      <c r="L1627" s="6">
        <v>0.11799999999999999</v>
      </c>
      <c r="M1627" s="6">
        <v>3.8940000000000002E-2</v>
      </c>
      <c r="N1627" s="6">
        <v>0.11799999999999999</v>
      </c>
      <c r="O1627" s="6">
        <v>3.8940000000000002E-2</v>
      </c>
      <c r="P1627" s="6">
        <v>0</v>
      </c>
      <c r="Q1627" s="4" t="s">
        <v>26</v>
      </c>
      <c r="R1627" s="4">
        <v>0</v>
      </c>
      <c r="S1627" s="4" t="s">
        <v>603</v>
      </c>
      <c r="T1627" s="4" t="s">
        <v>867</v>
      </c>
      <c r="U1627" s="4">
        <v>0</v>
      </c>
      <c r="V1627" s="4">
        <v>54</v>
      </c>
      <c r="W1627" s="4">
        <v>97</v>
      </c>
    </row>
    <row r="1628" spans="1:23" ht="11.25" customHeight="1" x14ac:dyDescent="0.25">
      <c r="A1628" s="4" t="s">
        <v>21</v>
      </c>
      <c r="B1628" s="4" t="s">
        <v>44</v>
      </c>
      <c r="C1628" s="4" t="s">
        <v>23</v>
      </c>
      <c r="D1628" s="4" t="s">
        <v>45</v>
      </c>
      <c r="E1628" s="4" t="s">
        <v>57</v>
      </c>
      <c r="F1628" s="4" t="s">
        <v>56</v>
      </c>
      <c r="G1628" s="4" t="s">
        <v>25</v>
      </c>
      <c r="H1628" s="4" t="s">
        <v>25</v>
      </c>
      <c r="I1628" s="5">
        <v>44409</v>
      </c>
      <c r="J1628" s="6">
        <v>0</v>
      </c>
      <c r="K1628" s="6">
        <v>0</v>
      </c>
      <c r="L1628" s="6">
        <v>0.65600000000000003</v>
      </c>
      <c r="M1628" s="6">
        <v>0.21648000000000001</v>
      </c>
      <c r="N1628" s="6">
        <v>0.65600000000000003</v>
      </c>
      <c r="O1628" s="6">
        <v>0.21648000000000001</v>
      </c>
      <c r="P1628" s="6">
        <v>0</v>
      </c>
      <c r="Q1628" s="4" t="s">
        <v>26</v>
      </c>
      <c r="R1628" s="4">
        <v>0</v>
      </c>
      <c r="S1628" s="4" t="s">
        <v>604</v>
      </c>
      <c r="T1628" s="4" t="s">
        <v>868</v>
      </c>
      <c r="U1628" s="4">
        <v>0</v>
      </c>
      <c r="V1628" s="4">
        <v>54</v>
      </c>
      <c r="W1628" s="4">
        <v>97</v>
      </c>
    </row>
    <row r="1629" spans="1:23" ht="11.25" customHeight="1" x14ac:dyDescent="0.25">
      <c r="A1629" s="4" t="s">
        <v>28</v>
      </c>
      <c r="B1629" s="4" t="s">
        <v>44</v>
      </c>
      <c r="C1629" s="4" t="s">
        <v>23</v>
      </c>
      <c r="D1629" s="4" t="s">
        <v>45</v>
      </c>
      <c r="E1629" s="4" t="s">
        <v>57</v>
      </c>
      <c r="F1629" s="4" t="s">
        <v>56</v>
      </c>
      <c r="G1629" s="4" t="s">
        <v>25</v>
      </c>
      <c r="H1629" s="4" t="s">
        <v>25</v>
      </c>
      <c r="I1629" s="5">
        <v>44409</v>
      </c>
      <c r="J1629" s="6">
        <v>0</v>
      </c>
      <c r="K1629" s="6">
        <v>0</v>
      </c>
      <c r="L1629" s="6">
        <v>0.121</v>
      </c>
      <c r="M1629" s="6">
        <v>3.993E-2</v>
      </c>
      <c r="N1629" s="6">
        <v>0.121</v>
      </c>
      <c r="O1629" s="6">
        <v>3.993E-2</v>
      </c>
      <c r="P1629" s="6">
        <v>0</v>
      </c>
      <c r="Q1629" s="4" t="s">
        <v>26</v>
      </c>
      <c r="R1629" s="4">
        <v>0</v>
      </c>
      <c r="S1629" s="4" t="s">
        <v>604</v>
      </c>
      <c r="T1629" s="4" t="s">
        <v>868</v>
      </c>
      <c r="U1629" s="4">
        <v>0</v>
      </c>
      <c r="V1629" s="4">
        <v>54</v>
      </c>
      <c r="W1629" s="4">
        <v>97</v>
      </c>
    </row>
    <row r="1630" spans="1:23" ht="11.25" customHeight="1" x14ac:dyDescent="0.25">
      <c r="A1630" s="4" t="s">
        <v>21</v>
      </c>
      <c r="B1630" s="4" t="s">
        <v>44</v>
      </c>
      <c r="C1630" s="4" t="s">
        <v>23</v>
      </c>
      <c r="D1630" s="4" t="s">
        <v>45</v>
      </c>
      <c r="E1630" s="4" t="s">
        <v>57</v>
      </c>
      <c r="F1630" s="4" t="s">
        <v>56</v>
      </c>
      <c r="G1630" s="4" t="s">
        <v>25</v>
      </c>
      <c r="H1630" s="4" t="s">
        <v>25</v>
      </c>
      <c r="I1630" s="5">
        <v>44440</v>
      </c>
      <c r="J1630" s="6">
        <v>0</v>
      </c>
      <c r="K1630" s="6">
        <v>0</v>
      </c>
      <c r="L1630" s="6">
        <v>0.91400000000000003</v>
      </c>
      <c r="M1630" s="6">
        <v>0.30162</v>
      </c>
      <c r="N1630" s="6">
        <v>0.91400000000000003</v>
      </c>
      <c r="O1630" s="6">
        <v>0.30162</v>
      </c>
      <c r="P1630" s="6">
        <v>0</v>
      </c>
      <c r="Q1630" s="4" t="s">
        <v>26</v>
      </c>
      <c r="R1630" s="4">
        <v>0</v>
      </c>
      <c r="S1630" s="4" t="s">
        <v>605</v>
      </c>
      <c r="T1630" s="4" t="s">
        <v>869</v>
      </c>
      <c r="U1630" s="4">
        <v>0</v>
      </c>
      <c r="V1630" s="4">
        <v>54</v>
      </c>
      <c r="W1630" s="4">
        <v>97</v>
      </c>
    </row>
    <row r="1631" spans="1:23" ht="11.25" customHeight="1" x14ac:dyDescent="0.25">
      <c r="A1631" s="4" t="s">
        <v>28</v>
      </c>
      <c r="B1631" s="4" t="s">
        <v>44</v>
      </c>
      <c r="C1631" s="4" t="s">
        <v>23</v>
      </c>
      <c r="D1631" s="4" t="s">
        <v>45</v>
      </c>
      <c r="E1631" s="4" t="s">
        <v>57</v>
      </c>
      <c r="F1631" s="4" t="s">
        <v>56</v>
      </c>
      <c r="G1631" s="4" t="s">
        <v>25</v>
      </c>
      <c r="H1631" s="4" t="s">
        <v>25</v>
      </c>
      <c r="I1631" s="5">
        <v>44440</v>
      </c>
      <c r="J1631" s="6">
        <v>0</v>
      </c>
      <c r="K1631" s="6">
        <v>0</v>
      </c>
      <c r="L1631" s="6">
        <v>0.27400000000000002</v>
      </c>
      <c r="M1631" s="6">
        <v>9.042E-2</v>
      </c>
      <c r="N1631" s="6">
        <v>0.27400000000000002</v>
      </c>
      <c r="O1631" s="6">
        <v>9.042E-2</v>
      </c>
      <c r="P1631" s="6">
        <v>0</v>
      </c>
      <c r="Q1631" s="4" t="s">
        <v>26</v>
      </c>
      <c r="R1631" s="4">
        <v>0</v>
      </c>
      <c r="S1631" s="4" t="s">
        <v>605</v>
      </c>
      <c r="T1631" s="4" t="s">
        <v>869</v>
      </c>
      <c r="U1631" s="4">
        <v>0</v>
      </c>
      <c r="V1631" s="4">
        <v>54</v>
      </c>
      <c r="W1631" s="4">
        <v>97</v>
      </c>
    </row>
    <row r="1632" spans="1:23" ht="11.25" customHeight="1" x14ac:dyDescent="0.25">
      <c r="A1632" s="4" t="s">
        <v>21</v>
      </c>
      <c r="B1632" s="4" t="s">
        <v>44</v>
      </c>
      <c r="C1632" s="4" t="s">
        <v>23</v>
      </c>
      <c r="D1632" s="4" t="s">
        <v>45</v>
      </c>
      <c r="E1632" s="4" t="s">
        <v>57</v>
      </c>
      <c r="F1632" s="4" t="s">
        <v>56</v>
      </c>
      <c r="G1632" s="4" t="s">
        <v>25</v>
      </c>
      <c r="H1632" s="4" t="s">
        <v>25</v>
      </c>
      <c r="I1632" s="5">
        <v>44470</v>
      </c>
      <c r="J1632" s="6">
        <v>0</v>
      </c>
      <c r="K1632" s="6">
        <v>0</v>
      </c>
      <c r="L1632" s="6">
        <v>0.63500000000000001</v>
      </c>
      <c r="M1632" s="6">
        <v>0.20954999999999999</v>
      </c>
      <c r="N1632" s="6">
        <v>0.63500000000000001</v>
      </c>
      <c r="O1632" s="6">
        <v>0.20954999999999999</v>
      </c>
      <c r="P1632" s="6">
        <v>0</v>
      </c>
      <c r="Q1632" s="4" t="s">
        <v>26</v>
      </c>
      <c r="R1632" s="4">
        <v>0</v>
      </c>
      <c r="S1632" s="4" t="s">
        <v>606</v>
      </c>
      <c r="T1632" s="4" t="s">
        <v>870</v>
      </c>
      <c r="U1632" s="4">
        <v>0</v>
      </c>
      <c r="V1632" s="4">
        <v>54</v>
      </c>
      <c r="W1632" s="4">
        <v>97</v>
      </c>
    </row>
    <row r="1633" spans="1:23" ht="11.25" customHeight="1" x14ac:dyDescent="0.25">
      <c r="A1633" s="4" t="s">
        <v>28</v>
      </c>
      <c r="B1633" s="4" t="s">
        <v>44</v>
      </c>
      <c r="C1633" s="4" t="s">
        <v>23</v>
      </c>
      <c r="D1633" s="4" t="s">
        <v>45</v>
      </c>
      <c r="E1633" s="4" t="s">
        <v>57</v>
      </c>
      <c r="F1633" s="4" t="s">
        <v>56</v>
      </c>
      <c r="G1633" s="4" t="s">
        <v>25</v>
      </c>
      <c r="H1633" s="4" t="s">
        <v>25</v>
      </c>
      <c r="I1633" s="5">
        <v>44470</v>
      </c>
      <c r="J1633" s="6">
        <v>0</v>
      </c>
      <c r="K1633" s="6">
        <v>0</v>
      </c>
      <c r="L1633" s="6">
        <v>0.184</v>
      </c>
      <c r="M1633" s="6">
        <v>6.0720000000000003E-2</v>
      </c>
      <c r="N1633" s="6">
        <v>0.184</v>
      </c>
      <c r="O1633" s="6">
        <v>6.0720000000000003E-2</v>
      </c>
      <c r="P1633" s="6">
        <v>0</v>
      </c>
      <c r="Q1633" s="4" t="s">
        <v>26</v>
      </c>
      <c r="R1633" s="4">
        <v>0</v>
      </c>
      <c r="S1633" s="4" t="s">
        <v>606</v>
      </c>
      <c r="T1633" s="4" t="s">
        <v>870</v>
      </c>
      <c r="U1633" s="4">
        <v>0</v>
      </c>
      <c r="V1633" s="4">
        <v>54</v>
      </c>
      <c r="W1633" s="4">
        <v>97</v>
      </c>
    </row>
    <row r="1634" spans="1:23" ht="11.25" customHeight="1" x14ac:dyDescent="0.25">
      <c r="A1634" s="4" t="s">
        <v>21</v>
      </c>
      <c r="B1634" s="4" t="s">
        <v>44</v>
      </c>
      <c r="C1634" s="4" t="s">
        <v>23</v>
      </c>
      <c r="D1634" s="4" t="s">
        <v>45</v>
      </c>
      <c r="E1634" s="4" t="s">
        <v>57</v>
      </c>
      <c r="F1634" s="4" t="s">
        <v>56</v>
      </c>
      <c r="G1634" s="4" t="s">
        <v>25</v>
      </c>
      <c r="H1634" s="4" t="s">
        <v>25</v>
      </c>
      <c r="I1634" s="5">
        <v>44501</v>
      </c>
      <c r="J1634" s="6">
        <v>0</v>
      </c>
      <c r="K1634" s="6">
        <v>0</v>
      </c>
      <c r="L1634" s="6">
        <v>1.3839999999999999</v>
      </c>
      <c r="M1634" s="6">
        <v>0.45672000000000001</v>
      </c>
      <c r="N1634" s="6">
        <v>1.3839999999999999</v>
      </c>
      <c r="O1634" s="6">
        <v>0.45672000000000001</v>
      </c>
      <c r="P1634" s="6">
        <v>0</v>
      </c>
      <c r="Q1634" s="4" t="s">
        <v>26</v>
      </c>
      <c r="R1634" s="4">
        <v>0</v>
      </c>
      <c r="S1634" s="4" t="s">
        <v>607</v>
      </c>
      <c r="T1634" s="4" t="s">
        <v>871</v>
      </c>
      <c r="U1634" s="4">
        <v>0</v>
      </c>
      <c r="V1634" s="4">
        <v>54</v>
      </c>
      <c r="W1634" s="4">
        <v>97</v>
      </c>
    </row>
    <row r="1635" spans="1:23" ht="11.25" customHeight="1" x14ac:dyDescent="0.25">
      <c r="A1635" s="4" t="s">
        <v>28</v>
      </c>
      <c r="B1635" s="4" t="s">
        <v>44</v>
      </c>
      <c r="C1635" s="4" t="s">
        <v>23</v>
      </c>
      <c r="D1635" s="4" t="s">
        <v>45</v>
      </c>
      <c r="E1635" s="4" t="s">
        <v>57</v>
      </c>
      <c r="F1635" s="4" t="s">
        <v>56</v>
      </c>
      <c r="G1635" s="4" t="s">
        <v>25</v>
      </c>
      <c r="H1635" s="4" t="s">
        <v>25</v>
      </c>
      <c r="I1635" s="5">
        <v>44501</v>
      </c>
      <c r="J1635" s="6">
        <v>0</v>
      </c>
      <c r="K1635" s="6">
        <v>0</v>
      </c>
      <c r="L1635" s="6">
        <v>0.08</v>
      </c>
      <c r="M1635" s="6">
        <v>2.64E-2</v>
      </c>
      <c r="N1635" s="6">
        <v>0.08</v>
      </c>
      <c r="O1635" s="6">
        <v>2.64E-2</v>
      </c>
      <c r="P1635" s="6">
        <v>0</v>
      </c>
      <c r="Q1635" s="4" t="s">
        <v>26</v>
      </c>
      <c r="R1635" s="4">
        <v>0</v>
      </c>
      <c r="S1635" s="4" t="s">
        <v>607</v>
      </c>
      <c r="T1635" s="4" t="s">
        <v>871</v>
      </c>
      <c r="U1635" s="4">
        <v>0</v>
      </c>
      <c r="V1635" s="4">
        <v>54</v>
      </c>
      <c r="W1635" s="4">
        <v>97</v>
      </c>
    </row>
    <row r="1636" spans="1:23" ht="11.25" customHeight="1" x14ac:dyDescent="0.25">
      <c r="A1636" s="4" t="s">
        <v>21</v>
      </c>
      <c r="B1636" s="4" t="s">
        <v>44</v>
      </c>
      <c r="C1636" s="4" t="s">
        <v>23</v>
      </c>
      <c r="D1636" s="4" t="s">
        <v>45</v>
      </c>
      <c r="E1636" s="4" t="s">
        <v>57</v>
      </c>
      <c r="F1636" s="4" t="s">
        <v>56</v>
      </c>
      <c r="G1636" s="4" t="s">
        <v>25</v>
      </c>
      <c r="H1636" s="4" t="s">
        <v>25</v>
      </c>
      <c r="I1636" s="5">
        <v>44531</v>
      </c>
      <c r="J1636" s="6">
        <v>0</v>
      </c>
      <c r="K1636" s="6">
        <v>0</v>
      </c>
      <c r="L1636" s="6">
        <v>0.72</v>
      </c>
      <c r="M1636" s="6">
        <v>0.23760000000000001</v>
      </c>
      <c r="N1636" s="6">
        <v>0.72</v>
      </c>
      <c r="O1636" s="6">
        <v>0.23760000000000001</v>
      </c>
      <c r="P1636" s="6">
        <v>0</v>
      </c>
      <c r="Q1636" s="4" t="s">
        <v>26</v>
      </c>
      <c r="R1636" s="4">
        <v>0</v>
      </c>
      <c r="S1636" s="4" t="s">
        <v>608</v>
      </c>
      <c r="T1636" s="4" t="s">
        <v>872</v>
      </c>
      <c r="U1636" s="4">
        <v>0</v>
      </c>
      <c r="V1636" s="4">
        <v>54</v>
      </c>
      <c r="W1636" s="4">
        <v>97</v>
      </c>
    </row>
    <row r="1637" spans="1:23" ht="11.25" customHeight="1" x14ac:dyDescent="0.25">
      <c r="A1637" s="4" t="s">
        <v>21</v>
      </c>
      <c r="B1637" s="4" t="s">
        <v>44</v>
      </c>
      <c r="C1637" s="4" t="s">
        <v>23</v>
      </c>
      <c r="D1637" s="4" t="s">
        <v>45</v>
      </c>
      <c r="E1637" s="4" t="s">
        <v>57</v>
      </c>
      <c r="F1637" s="4" t="s">
        <v>56</v>
      </c>
      <c r="G1637" s="4" t="s">
        <v>25</v>
      </c>
      <c r="H1637" s="4" t="s">
        <v>25</v>
      </c>
      <c r="I1637" s="5">
        <v>44562</v>
      </c>
      <c r="J1637" s="6">
        <v>0</v>
      </c>
      <c r="K1637" s="6">
        <v>0</v>
      </c>
      <c r="L1637" s="6">
        <v>2.0819999999999999</v>
      </c>
      <c r="M1637" s="6">
        <v>0.68706</v>
      </c>
      <c r="N1637" s="6">
        <v>2.0819999999999999</v>
      </c>
      <c r="O1637" s="6">
        <v>0.68706</v>
      </c>
      <c r="P1637" s="6">
        <v>0</v>
      </c>
      <c r="Q1637" s="4" t="s">
        <v>26</v>
      </c>
      <c r="R1637" s="4">
        <v>0</v>
      </c>
      <c r="S1637" s="4" t="s">
        <v>609</v>
      </c>
      <c r="T1637" s="4" t="s">
        <v>873</v>
      </c>
      <c r="U1637" s="4">
        <v>0</v>
      </c>
      <c r="V1637" s="4">
        <v>54</v>
      </c>
      <c r="W1637" s="4">
        <v>97</v>
      </c>
    </row>
    <row r="1638" spans="1:23" ht="11.25" customHeight="1" x14ac:dyDescent="0.25">
      <c r="A1638" s="4" t="s">
        <v>28</v>
      </c>
      <c r="B1638" s="4" t="s">
        <v>44</v>
      </c>
      <c r="C1638" s="4" t="s">
        <v>23</v>
      </c>
      <c r="D1638" s="4" t="s">
        <v>45</v>
      </c>
      <c r="E1638" s="4" t="s">
        <v>57</v>
      </c>
      <c r="F1638" s="4" t="s">
        <v>56</v>
      </c>
      <c r="G1638" s="4" t="s">
        <v>25</v>
      </c>
      <c r="H1638" s="4" t="s">
        <v>25</v>
      </c>
      <c r="I1638" s="5">
        <v>44562</v>
      </c>
      <c r="J1638" s="6">
        <v>0</v>
      </c>
      <c r="K1638" s="6">
        <v>0</v>
      </c>
      <c r="L1638" s="6">
        <v>2.8000000000000001E-2</v>
      </c>
      <c r="M1638" s="6">
        <v>9.2399999999999999E-3</v>
      </c>
      <c r="N1638" s="6">
        <v>2.8000000000000001E-2</v>
      </c>
      <c r="O1638" s="6">
        <v>9.2399999999999999E-3</v>
      </c>
      <c r="P1638" s="6">
        <v>0</v>
      </c>
      <c r="Q1638" s="4" t="s">
        <v>26</v>
      </c>
      <c r="R1638" s="4">
        <v>0</v>
      </c>
      <c r="S1638" s="4" t="s">
        <v>609</v>
      </c>
      <c r="T1638" s="4" t="s">
        <v>873</v>
      </c>
      <c r="U1638" s="4">
        <v>0</v>
      </c>
      <c r="V1638" s="4">
        <v>54</v>
      </c>
      <c r="W1638" s="4">
        <v>97</v>
      </c>
    </row>
    <row r="1639" spans="1:23" ht="11.25" customHeight="1" x14ac:dyDescent="0.25">
      <c r="A1639" s="4" t="s">
        <v>21</v>
      </c>
      <c r="B1639" s="4" t="s">
        <v>44</v>
      </c>
      <c r="C1639" s="4" t="s">
        <v>23</v>
      </c>
      <c r="D1639" s="4" t="s">
        <v>45</v>
      </c>
      <c r="E1639" s="4" t="s">
        <v>57</v>
      </c>
      <c r="F1639" s="4" t="s">
        <v>56</v>
      </c>
      <c r="G1639" s="4" t="s">
        <v>25</v>
      </c>
      <c r="H1639" s="4" t="s">
        <v>25</v>
      </c>
      <c r="I1639" s="5">
        <v>44593</v>
      </c>
      <c r="J1639" s="6">
        <v>0</v>
      </c>
      <c r="K1639" s="6">
        <v>0</v>
      </c>
      <c r="L1639" s="6">
        <v>0.89300000000000002</v>
      </c>
      <c r="M1639" s="6">
        <v>0.29469000000000001</v>
      </c>
      <c r="N1639" s="6">
        <v>0.89300000000000002</v>
      </c>
      <c r="O1639" s="6">
        <v>0.29469000000000001</v>
      </c>
      <c r="P1639" s="6">
        <v>0</v>
      </c>
      <c r="Q1639" s="4" t="s">
        <v>26</v>
      </c>
      <c r="R1639" s="4">
        <v>0</v>
      </c>
      <c r="S1639" s="4" t="s">
        <v>610</v>
      </c>
      <c r="T1639" s="4" t="s">
        <v>874</v>
      </c>
      <c r="U1639" s="4">
        <v>0</v>
      </c>
      <c r="V1639" s="4">
        <v>54</v>
      </c>
      <c r="W1639" s="4">
        <v>97</v>
      </c>
    </row>
    <row r="1640" spans="1:23" ht="11.25" customHeight="1" x14ac:dyDescent="0.25">
      <c r="A1640" s="4" t="s">
        <v>28</v>
      </c>
      <c r="B1640" s="4" t="s">
        <v>44</v>
      </c>
      <c r="C1640" s="4" t="s">
        <v>23</v>
      </c>
      <c r="D1640" s="4" t="s">
        <v>45</v>
      </c>
      <c r="E1640" s="4" t="s">
        <v>57</v>
      </c>
      <c r="F1640" s="4" t="s">
        <v>56</v>
      </c>
      <c r="G1640" s="4" t="s">
        <v>25</v>
      </c>
      <c r="H1640" s="4" t="s">
        <v>25</v>
      </c>
      <c r="I1640" s="5">
        <v>44593</v>
      </c>
      <c r="J1640" s="6">
        <v>0</v>
      </c>
      <c r="K1640" s="6">
        <v>0</v>
      </c>
      <c r="L1640" s="6">
        <v>0.10299999999999999</v>
      </c>
      <c r="M1640" s="6">
        <v>3.3989999999999999E-2</v>
      </c>
      <c r="N1640" s="6">
        <v>0.10299999999999999</v>
      </c>
      <c r="O1640" s="6">
        <v>3.3989999999999999E-2</v>
      </c>
      <c r="P1640" s="6">
        <v>0</v>
      </c>
      <c r="Q1640" s="4" t="s">
        <v>26</v>
      </c>
      <c r="R1640" s="4">
        <v>0</v>
      </c>
      <c r="S1640" s="4" t="s">
        <v>610</v>
      </c>
      <c r="T1640" s="4" t="s">
        <v>874</v>
      </c>
      <c r="U1640" s="4">
        <v>0</v>
      </c>
      <c r="V1640" s="4">
        <v>54</v>
      </c>
      <c r="W1640" s="4">
        <v>97</v>
      </c>
    </row>
    <row r="1641" spans="1:23" ht="11.25" customHeight="1" x14ac:dyDescent="0.25">
      <c r="A1641" s="4" t="s">
        <v>21</v>
      </c>
      <c r="B1641" s="4" t="s">
        <v>44</v>
      </c>
      <c r="C1641" s="4" t="s">
        <v>23</v>
      </c>
      <c r="D1641" s="4" t="s">
        <v>45</v>
      </c>
      <c r="E1641" s="4" t="s">
        <v>57</v>
      </c>
      <c r="F1641" s="4" t="s">
        <v>56</v>
      </c>
      <c r="G1641" s="4" t="s">
        <v>25</v>
      </c>
      <c r="H1641" s="4" t="s">
        <v>25</v>
      </c>
      <c r="I1641" s="5">
        <v>44621</v>
      </c>
      <c r="J1641" s="6">
        <v>0</v>
      </c>
      <c r="K1641" s="6">
        <v>0</v>
      </c>
      <c r="L1641" s="6">
        <v>1.7450000000000001</v>
      </c>
      <c r="M1641" s="6">
        <v>0.57584999999999997</v>
      </c>
      <c r="N1641" s="6">
        <v>1.7450000000000001</v>
      </c>
      <c r="O1641" s="6">
        <v>0.57584999999999997</v>
      </c>
      <c r="P1641" s="6">
        <v>0</v>
      </c>
      <c r="Q1641" s="4" t="s">
        <v>26</v>
      </c>
      <c r="R1641" s="4">
        <v>0</v>
      </c>
      <c r="S1641" s="4" t="s">
        <v>611</v>
      </c>
      <c r="T1641" s="4" t="s">
        <v>875</v>
      </c>
      <c r="U1641" s="4">
        <v>0</v>
      </c>
      <c r="V1641" s="4">
        <v>54</v>
      </c>
      <c r="W1641" s="4">
        <v>97</v>
      </c>
    </row>
    <row r="1642" spans="1:23" ht="11.25" customHeight="1" x14ac:dyDescent="0.25">
      <c r="A1642" s="4" t="s">
        <v>28</v>
      </c>
      <c r="B1642" s="4" t="s">
        <v>44</v>
      </c>
      <c r="C1642" s="4" t="s">
        <v>23</v>
      </c>
      <c r="D1642" s="4" t="s">
        <v>45</v>
      </c>
      <c r="E1642" s="4" t="s">
        <v>57</v>
      </c>
      <c r="F1642" s="4" t="s">
        <v>56</v>
      </c>
      <c r="G1642" s="4" t="s">
        <v>25</v>
      </c>
      <c r="H1642" s="4" t="s">
        <v>25</v>
      </c>
      <c r="I1642" s="5">
        <v>44621</v>
      </c>
      <c r="J1642" s="6">
        <v>0</v>
      </c>
      <c r="K1642" s="6">
        <v>0</v>
      </c>
      <c r="L1642" s="6">
        <v>3.2000000000000001E-2</v>
      </c>
      <c r="M1642" s="6">
        <v>1.056E-2</v>
      </c>
      <c r="N1642" s="6">
        <v>3.2000000000000001E-2</v>
      </c>
      <c r="O1642" s="6">
        <v>1.056E-2</v>
      </c>
      <c r="P1642" s="6">
        <v>0</v>
      </c>
      <c r="Q1642" s="4" t="s">
        <v>26</v>
      </c>
      <c r="R1642" s="4">
        <v>0</v>
      </c>
      <c r="S1642" s="4" t="s">
        <v>611</v>
      </c>
      <c r="T1642" s="4" t="s">
        <v>875</v>
      </c>
      <c r="U1642" s="4">
        <v>0</v>
      </c>
      <c r="V1642" s="4">
        <v>54</v>
      </c>
      <c r="W1642" s="4">
        <v>97</v>
      </c>
    </row>
    <row r="1643" spans="1:23" ht="11.25" customHeight="1" x14ac:dyDescent="0.25">
      <c r="A1643" s="4" t="s">
        <v>21</v>
      </c>
      <c r="B1643" s="4" t="s">
        <v>44</v>
      </c>
      <c r="C1643" s="4" t="s">
        <v>23</v>
      </c>
      <c r="D1643" s="4" t="s">
        <v>45</v>
      </c>
      <c r="E1643" s="4" t="s">
        <v>57</v>
      </c>
      <c r="F1643" s="4" t="s">
        <v>56</v>
      </c>
      <c r="G1643" s="4" t="s">
        <v>25</v>
      </c>
      <c r="H1643" s="4" t="s">
        <v>25</v>
      </c>
      <c r="I1643" s="5">
        <v>44652</v>
      </c>
      <c r="J1643" s="6">
        <v>0</v>
      </c>
      <c r="K1643" s="6">
        <v>0</v>
      </c>
      <c r="L1643" s="6">
        <v>1.008</v>
      </c>
      <c r="M1643" s="6">
        <v>0.33263999999999999</v>
      </c>
      <c r="N1643" s="6">
        <v>1.008</v>
      </c>
      <c r="O1643" s="6">
        <v>0.33263999999999999</v>
      </c>
      <c r="P1643" s="6">
        <v>0</v>
      </c>
      <c r="Q1643" s="4" t="s">
        <v>26</v>
      </c>
      <c r="R1643" s="4">
        <v>0</v>
      </c>
      <c r="S1643" s="4" t="s">
        <v>612</v>
      </c>
      <c r="T1643" s="4" t="s">
        <v>876</v>
      </c>
      <c r="U1643" s="4">
        <v>0</v>
      </c>
      <c r="V1643" s="4">
        <v>54</v>
      </c>
      <c r="W1643" s="4">
        <v>97</v>
      </c>
    </row>
    <row r="1644" spans="1:23" ht="11.25" customHeight="1" x14ac:dyDescent="0.25">
      <c r="A1644" s="4" t="s">
        <v>58</v>
      </c>
      <c r="B1644" s="4" t="s">
        <v>44</v>
      </c>
      <c r="C1644" s="4" t="s">
        <v>23</v>
      </c>
      <c r="D1644" s="4" t="s">
        <v>45</v>
      </c>
      <c r="E1644" s="4" t="s">
        <v>57</v>
      </c>
      <c r="F1644" s="4" t="s">
        <v>56</v>
      </c>
      <c r="G1644" s="4" t="s">
        <v>25</v>
      </c>
      <c r="H1644" s="4" t="s">
        <v>25</v>
      </c>
      <c r="I1644" s="5">
        <v>44682</v>
      </c>
      <c r="J1644" s="6">
        <v>0</v>
      </c>
      <c r="K1644" s="6">
        <v>0</v>
      </c>
      <c r="L1644" s="6">
        <v>1.008</v>
      </c>
      <c r="M1644" s="6">
        <v>0.33263999999999999</v>
      </c>
      <c r="N1644" s="6">
        <v>1.008</v>
      </c>
      <c r="O1644" s="6">
        <v>0.33263999999999999</v>
      </c>
      <c r="P1644" s="6">
        <v>0</v>
      </c>
      <c r="Q1644" s="4" t="s">
        <v>26</v>
      </c>
      <c r="R1644" s="4">
        <v>0</v>
      </c>
      <c r="S1644" s="4" t="s">
        <v>613</v>
      </c>
      <c r="T1644" s="4" t="s">
        <v>877</v>
      </c>
      <c r="U1644" s="4">
        <v>0</v>
      </c>
      <c r="V1644" s="4">
        <v>54</v>
      </c>
      <c r="W1644" s="4">
        <v>97</v>
      </c>
    </row>
    <row r="1645" spans="1:23" ht="11.25" customHeight="1" x14ac:dyDescent="0.25">
      <c r="A1645" s="4" t="s">
        <v>21</v>
      </c>
      <c r="B1645" s="4" t="s">
        <v>44</v>
      </c>
      <c r="C1645" s="4" t="s">
        <v>23</v>
      </c>
      <c r="D1645" s="4" t="s">
        <v>45</v>
      </c>
      <c r="E1645" s="4" t="s">
        <v>25</v>
      </c>
      <c r="F1645" s="4" t="s">
        <v>25</v>
      </c>
      <c r="G1645" s="4" t="s">
        <v>25</v>
      </c>
      <c r="H1645" s="4" t="s">
        <v>25</v>
      </c>
      <c r="I1645" s="5">
        <v>44348</v>
      </c>
      <c r="J1645" s="6">
        <v>0</v>
      </c>
      <c r="K1645" s="6">
        <v>0</v>
      </c>
      <c r="L1645" s="6">
        <v>14813.543</v>
      </c>
      <c r="M1645" s="6">
        <v>14813.543</v>
      </c>
      <c r="N1645" s="6">
        <v>14813.543</v>
      </c>
      <c r="O1645" s="6">
        <v>14813.543</v>
      </c>
      <c r="P1645" s="6">
        <v>70360</v>
      </c>
      <c r="Q1645" s="4" t="s">
        <v>26</v>
      </c>
      <c r="R1645" s="4">
        <v>0</v>
      </c>
      <c r="S1645" s="4" t="s">
        <v>602</v>
      </c>
      <c r="T1645" s="4" t="s">
        <v>866</v>
      </c>
      <c r="U1645" s="4">
        <v>0</v>
      </c>
      <c r="V1645" s="4">
        <v>54</v>
      </c>
      <c r="W1645" s="4">
        <v>97</v>
      </c>
    </row>
    <row r="1646" spans="1:23" ht="11.25" customHeight="1" x14ac:dyDescent="0.25">
      <c r="A1646" s="4" t="s">
        <v>27</v>
      </c>
      <c r="B1646" s="4" t="s">
        <v>44</v>
      </c>
      <c r="C1646" s="4" t="s">
        <v>23</v>
      </c>
      <c r="D1646" s="4" t="s">
        <v>45</v>
      </c>
      <c r="E1646" s="4" t="s">
        <v>25</v>
      </c>
      <c r="F1646" s="4" t="s">
        <v>25</v>
      </c>
      <c r="G1646" s="4" t="s">
        <v>25</v>
      </c>
      <c r="H1646" s="4" t="s">
        <v>25</v>
      </c>
      <c r="I1646" s="5">
        <v>44348</v>
      </c>
      <c r="J1646" s="6">
        <v>0</v>
      </c>
      <c r="K1646" s="6">
        <v>0</v>
      </c>
      <c r="L1646" s="6">
        <v>-56.155000000000001</v>
      </c>
      <c r="M1646" s="6">
        <v>-56.155000000000001</v>
      </c>
      <c r="N1646" s="6">
        <v>-56.155000000000001</v>
      </c>
      <c r="O1646" s="6">
        <v>-56.155000000000001</v>
      </c>
      <c r="P1646" s="6">
        <v>-1</v>
      </c>
      <c r="Q1646" s="4" t="s">
        <v>26</v>
      </c>
      <c r="R1646" s="4">
        <v>0</v>
      </c>
      <c r="S1646" s="4" t="s">
        <v>602</v>
      </c>
      <c r="T1646" s="4" t="s">
        <v>866</v>
      </c>
      <c r="U1646" s="4">
        <v>0</v>
      </c>
      <c r="V1646" s="4">
        <v>54</v>
      </c>
      <c r="W1646" s="4">
        <v>97</v>
      </c>
    </row>
    <row r="1647" spans="1:23" ht="11.25" customHeight="1" x14ac:dyDescent="0.25">
      <c r="A1647" s="4" t="s">
        <v>28</v>
      </c>
      <c r="B1647" s="4" t="s">
        <v>44</v>
      </c>
      <c r="C1647" s="4" t="s">
        <v>23</v>
      </c>
      <c r="D1647" s="4" t="s">
        <v>45</v>
      </c>
      <c r="E1647" s="4" t="s">
        <v>25</v>
      </c>
      <c r="F1647" s="4" t="s">
        <v>25</v>
      </c>
      <c r="G1647" s="4" t="s">
        <v>25</v>
      </c>
      <c r="H1647" s="4" t="s">
        <v>25</v>
      </c>
      <c r="I1647" s="5">
        <v>44348</v>
      </c>
      <c r="J1647" s="6">
        <v>0</v>
      </c>
      <c r="K1647" s="6">
        <v>0</v>
      </c>
      <c r="L1647" s="6">
        <v>658.303</v>
      </c>
      <c r="M1647" s="6">
        <v>658.303</v>
      </c>
      <c r="N1647" s="6">
        <v>658.303</v>
      </c>
      <c r="O1647" s="6">
        <v>658.303</v>
      </c>
      <c r="P1647" s="6">
        <v>1878</v>
      </c>
      <c r="Q1647" s="4" t="s">
        <v>26</v>
      </c>
      <c r="R1647" s="4">
        <v>0</v>
      </c>
      <c r="S1647" s="4" t="s">
        <v>602</v>
      </c>
      <c r="T1647" s="4" t="s">
        <v>866</v>
      </c>
      <c r="U1647" s="4">
        <v>0</v>
      </c>
      <c r="V1647" s="4">
        <v>54</v>
      </c>
      <c r="W1647" s="4">
        <v>97</v>
      </c>
    </row>
    <row r="1648" spans="1:23" ht="11.25" customHeight="1" x14ac:dyDescent="0.25">
      <c r="A1648" s="4" t="s">
        <v>28</v>
      </c>
      <c r="B1648" s="4" t="s">
        <v>44</v>
      </c>
      <c r="C1648" s="4" t="s">
        <v>23</v>
      </c>
      <c r="D1648" s="4" t="s">
        <v>45</v>
      </c>
      <c r="E1648" s="4" t="s">
        <v>25</v>
      </c>
      <c r="F1648" s="4" t="s">
        <v>25</v>
      </c>
      <c r="G1648" s="4" t="s">
        <v>25</v>
      </c>
      <c r="H1648" s="4" t="s">
        <v>25</v>
      </c>
      <c r="I1648" s="5">
        <v>44348</v>
      </c>
      <c r="J1648" s="6">
        <v>0</v>
      </c>
      <c r="K1648" s="6">
        <v>0</v>
      </c>
      <c r="L1648" s="6">
        <v>-18.38</v>
      </c>
      <c r="M1648" s="6">
        <v>-18.38</v>
      </c>
      <c r="N1648" s="6">
        <v>-18.38</v>
      </c>
      <c r="O1648" s="6">
        <v>-18.38</v>
      </c>
      <c r="P1648" s="6">
        <v>0</v>
      </c>
      <c r="Q1648" s="4" t="s">
        <v>26</v>
      </c>
      <c r="R1648" s="4">
        <v>0</v>
      </c>
      <c r="S1648" s="4" t="s">
        <v>602</v>
      </c>
      <c r="T1648" s="4" t="s">
        <v>866</v>
      </c>
      <c r="U1648" s="4">
        <v>0</v>
      </c>
      <c r="V1648" s="4">
        <v>54</v>
      </c>
      <c r="W1648" s="4">
        <v>97</v>
      </c>
    </row>
    <row r="1649" spans="1:23" ht="11.25" customHeight="1" x14ac:dyDescent="0.25">
      <c r="A1649" s="4" t="s">
        <v>21</v>
      </c>
      <c r="B1649" s="4" t="s">
        <v>44</v>
      </c>
      <c r="C1649" s="4" t="s">
        <v>23</v>
      </c>
      <c r="D1649" s="4" t="s">
        <v>45</v>
      </c>
      <c r="E1649" s="4" t="s">
        <v>25</v>
      </c>
      <c r="F1649" s="4" t="s">
        <v>25</v>
      </c>
      <c r="G1649" s="4" t="s">
        <v>25</v>
      </c>
      <c r="H1649" s="4" t="s">
        <v>25</v>
      </c>
      <c r="I1649" s="5">
        <v>44378</v>
      </c>
      <c r="J1649" s="6">
        <v>0</v>
      </c>
      <c r="K1649" s="6">
        <v>0</v>
      </c>
      <c r="L1649" s="6">
        <v>14538.329</v>
      </c>
      <c r="M1649" s="6">
        <v>14538.329</v>
      </c>
      <c r="N1649" s="6">
        <v>14538.329</v>
      </c>
      <c r="O1649" s="6">
        <v>14538.329</v>
      </c>
      <c r="P1649" s="6">
        <v>70338</v>
      </c>
      <c r="Q1649" s="4" t="s">
        <v>26</v>
      </c>
      <c r="R1649" s="4">
        <v>0</v>
      </c>
      <c r="S1649" s="4" t="s">
        <v>603</v>
      </c>
      <c r="T1649" s="4" t="s">
        <v>867</v>
      </c>
      <c r="U1649" s="4">
        <v>0</v>
      </c>
      <c r="V1649" s="4">
        <v>54</v>
      </c>
      <c r="W1649" s="4">
        <v>97</v>
      </c>
    </row>
    <row r="1650" spans="1:23" ht="11.25" customHeight="1" x14ac:dyDescent="0.25">
      <c r="A1650" s="4" t="s">
        <v>27</v>
      </c>
      <c r="B1650" s="4" t="s">
        <v>44</v>
      </c>
      <c r="C1650" s="4" t="s">
        <v>23</v>
      </c>
      <c r="D1650" s="4" t="s">
        <v>45</v>
      </c>
      <c r="E1650" s="4" t="s">
        <v>25</v>
      </c>
      <c r="F1650" s="4" t="s">
        <v>25</v>
      </c>
      <c r="G1650" s="4" t="s">
        <v>25</v>
      </c>
      <c r="H1650" s="4" t="s">
        <v>25</v>
      </c>
      <c r="I1650" s="5">
        <v>44378</v>
      </c>
      <c r="J1650" s="6">
        <v>0</v>
      </c>
      <c r="K1650" s="6">
        <v>0</v>
      </c>
      <c r="L1650" s="6">
        <v>-37.585999999999999</v>
      </c>
      <c r="M1650" s="6">
        <v>-37.585999999999999</v>
      </c>
      <c r="N1650" s="6">
        <v>-37.585999999999999</v>
      </c>
      <c r="O1650" s="6">
        <v>-37.585999999999999</v>
      </c>
      <c r="P1650" s="6">
        <v>-1</v>
      </c>
      <c r="Q1650" s="4" t="s">
        <v>26</v>
      </c>
      <c r="R1650" s="4">
        <v>0</v>
      </c>
      <c r="S1650" s="4" t="s">
        <v>603</v>
      </c>
      <c r="T1650" s="4" t="s">
        <v>867</v>
      </c>
      <c r="U1650" s="4">
        <v>0</v>
      </c>
      <c r="V1650" s="4">
        <v>54</v>
      </c>
      <c r="W1650" s="4">
        <v>97</v>
      </c>
    </row>
    <row r="1651" spans="1:23" ht="11.25" customHeight="1" x14ac:dyDescent="0.25">
      <c r="A1651" s="4" t="s">
        <v>28</v>
      </c>
      <c r="B1651" s="4" t="s">
        <v>44</v>
      </c>
      <c r="C1651" s="4" t="s">
        <v>23</v>
      </c>
      <c r="D1651" s="4" t="s">
        <v>45</v>
      </c>
      <c r="E1651" s="4" t="s">
        <v>25</v>
      </c>
      <c r="F1651" s="4" t="s">
        <v>25</v>
      </c>
      <c r="G1651" s="4" t="s">
        <v>25</v>
      </c>
      <c r="H1651" s="4" t="s">
        <v>25</v>
      </c>
      <c r="I1651" s="5">
        <v>44378</v>
      </c>
      <c r="J1651" s="6">
        <v>0</v>
      </c>
      <c r="K1651" s="6">
        <v>0</v>
      </c>
      <c r="L1651" s="6">
        <v>676.66600000000005</v>
      </c>
      <c r="M1651" s="6">
        <v>676.66600000000005</v>
      </c>
      <c r="N1651" s="6">
        <v>676.66600000000005</v>
      </c>
      <c r="O1651" s="6">
        <v>676.66600000000005</v>
      </c>
      <c r="P1651" s="6">
        <v>2040</v>
      </c>
      <c r="Q1651" s="4" t="s">
        <v>26</v>
      </c>
      <c r="R1651" s="4">
        <v>0</v>
      </c>
      <c r="S1651" s="4" t="s">
        <v>603</v>
      </c>
      <c r="T1651" s="4" t="s">
        <v>867</v>
      </c>
      <c r="U1651" s="4">
        <v>0</v>
      </c>
      <c r="V1651" s="4">
        <v>54</v>
      </c>
      <c r="W1651" s="4">
        <v>97</v>
      </c>
    </row>
    <row r="1652" spans="1:23" ht="11.25" customHeight="1" x14ac:dyDescent="0.25">
      <c r="A1652" s="4" t="s">
        <v>28</v>
      </c>
      <c r="B1652" s="4" t="s">
        <v>44</v>
      </c>
      <c r="C1652" s="4" t="s">
        <v>23</v>
      </c>
      <c r="D1652" s="4" t="s">
        <v>45</v>
      </c>
      <c r="E1652" s="4" t="s">
        <v>25</v>
      </c>
      <c r="F1652" s="4" t="s">
        <v>25</v>
      </c>
      <c r="G1652" s="4" t="s">
        <v>25</v>
      </c>
      <c r="H1652" s="4" t="s">
        <v>25</v>
      </c>
      <c r="I1652" s="5">
        <v>44378</v>
      </c>
      <c r="J1652" s="6">
        <v>0</v>
      </c>
      <c r="K1652" s="6">
        <v>0</v>
      </c>
      <c r="L1652" s="6">
        <v>-50.750999999999998</v>
      </c>
      <c r="M1652" s="6">
        <v>-50.750999999999998</v>
      </c>
      <c r="N1652" s="6">
        <v>-50.750999999999998</v>
      </c>
      <c r="O1652" s="6">
        <v>-50.750999999999998</v>
      </c>
      <c r="P1652" s="6">
        <v>0</v>
      </c>
      <c r="Q1652" s="4" t="s">
        <v>26</v>
      </c>
      <c r="R1652" s="4">
        <v>0</v>
      </c>
      <c r="S1652" s="4" t="s">
        <v>603</v>
      </c>
      <c r="T1652" s="4" t="s">
        <v>867</v>
      </c>
      <c r="U1652" s="4">
        <v>0</v>
      </c>
      <c r="V1652" s="4">
        <v>54</v>
      </c>
      <c r="W1652" s="4">
        <v>97</v>
      </c>
    </row>
    <row r="1653" spans="1:23" ht="11.25" customHeight="1" x14ac:dyDescent="0.25">
      <c r="A1653" s="4" t="s">
        <v>21</v>
      </c>
      <c r="B1653" s="4" t="s">
        <v>44</v>
      </c>
      <c r="C1653" s="4" t="s">
        <v>23</v>
      </c>
      <c r="D1653" s="4" t="s">
        <v>45</v>
      </c>
      <c r="E1653" s="4" t="s">
        <v>25</v>
      </c>
      <c r="F1653" s="4" t="s">
        <v>25</v>
      </c>
      <c r="G1653" s="4" t="s">
        <v>25</v>
      </c>
      <c r="H1653" s="4" t="s">
        <v>25</v>
      </c>
      <c r="I1653" s="5">
        <v>44409</v>
      </c>
      <c r="J1653" s="6">
        <v>0</v>
      </c>
      <c r="K1653" s="6">
        <v>0</v>
      </c>
      <c r="L1653" s="6">
        <v>14118.491</v>
      </c>
      <c r="M1653" s="6">
        <v>14118.491</v>
      </c>
      <c r="N1653" s="6">
        <v>14118.491</v>
      </c>
      <c r="O1653" s="6">
        <v>14118.491</v>
      </c>
      <c r="P1653" s="6">
        <v>70098</v>
      </c>
      <c r="Q1653" s="4" t="s">
        <v>26</v>
      </c>
      <c r="R1653" s="4">
        <v>0</v>
      </c>
      <c r="S1653" s="4" t="s">
        <v>604</v>
      </c>
      <c r="T1653" s="4" t="s">
        <v>868</v>
      </c>
      <c r="U1653" s="4">
        <v>0</v>
      </c>
      <c r="V1653" s="4">
        <v>54</v>
      </c>
      <c r="W1653" s="4">
        <v>97</v>
      </c>
    </row>
    <row r="1654" spans="1:23" ht="11.25" customHeight="1" x14ac:dyDescent="0.25">
      <c r="A1654" s="4" t="s">
        <v>27</v>
      </c>
      <c r="B1654" s="4" t="s">
        <v>44</v>
      </c>
      <c r="C1654" s="4" t="s">
        <v>23</v>
      </c>
      <c r="D1654" s="4" t="s">
        <v>45</v>
      </c>
      <c r="E1654" s="4" t="s">
        <v>25</v>
      </c>
      <c r="F1654" s="4" t="s">
        <v>25</v>
      </c>
      <c r="G1654" s="4" t="s">
        <v>25</v>
      </c>
      <c r="H1654" s="4" t="s">
        <v>25</v>
      </c>
      <c r="I1654" s="5">
        <v>44409</v>
      </c>
      <c r="J1654" s="6">
        <v>0</v>
      </c>
      <c r="K1654" s="6">
        <v>0</v>
      </c>
      <c r="L1654" s="6">
        <v>-38.347000000000001</v>
      </c>
      <c r="M1654" s="6">
        <v>-38.347000000000001</v>
      </c>
      <c r="N1654" s="6">
        <v>-38.347000000000001</v>
      </c>
      <c r="O1654" s="6">
        <v>-38.347000000000001</v>
      </c>
      <c r="P1654" s="6">
        <v>-4</v>
      </c>
      <c r="Q1654" s="4" t="s">
        <v>26</v>
      </c>
      <c r="R1654" s="4">
        <v>0</v>
      </c>
      <c r="S1654" s="4" t="s">
        <v>604</v>
      </c>
      <c r="T1654" s="4" t="s">
        <v>868</v>
      </c>
      <c r="U1654" s="4">
        <v>0</v>
      </c>
      <c r="V1654" s="4">
        <v>54</v>
      </c>
      <c r="W1654" s="4">
        <v>97</v>
      </c>
    </row>
    <row r="1655" spans="1:23" ht="11.25" customHeight="1" x14ac:dyDescent="0.25">
      <c r="A1655" s="4" t="s">
        <v>28</v>
      </c>
      <c r="B1655" s="4" t="s">
        <v>44</v>
      </c>
      <c r="C1655" s="4" t="s">
        <v>23</v>
      </c>
      <c r="D1655" s="4" t="s">
        <v>45</v>
      </c>
      <c r="E1655" s="4" t="s">
        <v>25</v>
      </c>
      <c r="F1655" s="4" t="s">
        <v>25</v>
      </c>
      <c r="G1655" s="4" t="s">
        <v>25</v>
      </c>
      <c r="H1655" s="4" t="s">
        <v>25</v>
      </c>
      <c r="I1655" s="5">
        <v>44409</v>
      </c>
      <c r="J1655" s="6">
        <v>0</v>
      </c>
      <c r="K1655" s="6">
        <v>0</v>
      </c>
      <c r="L1655" s="6">
        <v>629.87099999999998</v>
      </c>
      <c r="M1655" s="6">
        <v>629.87099999999998</v>
      </c>
      <c r="N1655" s="6">
        <v>629.87099999999998</v>
      </c>
      <c r="O1655" s="6">
        <v>629.87099999999998</v>
      </c>
      <c r="P1655" s="6">
        <v>2216</v>
      </c>
      <c r="Q1655" s="4" t="s">
        <v>26</v>
      </c>
      <c r="R1655" s="4">
        <v>0</v>
      </c>
      <c r="S1655" s="4" t="s">
        <v>604</v>
      </c>
      <c r="T1655" s="4" t="s">
        <v>868</v>
      </c>
      <c r="U1655" s="4">
        <v>0</v>
      </c>
      <c r="V1655" s="4">
        <v>54</v>
      </c>
      <c r="W1655" s="4">
        <v>97</v>
      </c>
    </row>
    <row r="1656" spans="1:23" ht="11.25" customHeight="1" x14ac:dyDescent="0.25">
      <c r="A1656" s="4" t="s">
        <v>28</v>
      </c>
      <c r="B1656" s="4" t="s">
        <v>44</v>
      </c>
      <c r="C1656" s="4" t="s">
        <v>23</v>
      </c>
      <c r="D1656" s="4" t="s">
        <v>45</v>
      </c>
      <c r="E1656" s="4" t="s">
        <v>25</v>
      </c>
      <c r="F1656" s="4" t="s">
        <v>25</v>
      </c>
      <c r="G1656" s="4" t="s">
        <v>25</v>
      </c>
      <c r="H1656" s="4" t="s">
        <v>25</v>
      </c>
      <c r="I1656" s="5">
        <v>44409</v>
      </c>
      <c r="J1656" s="6">
        <v>0</v>
      </c>
      <c r="K1656" s="6">
        <v>0</v>
      </c>
      <c r="L1656" s="6">
        <v>-22.225999999999999</v>
      </c>
      <c r="M1656" s="6">
        <v>-22.225999999999999</v>
      </c>
      <c r="N1656" s="6">
        <v>-22.225999999999999</v>
      </c>
      <c r="O1656" s="6">
        <v>-22.225999999999999</v>
      </c>
      <c r="P1656" s="6">
        <v>0</v>
      </c>
      <c r="Q1656" s="4" t="s">
        <v>26</v>
      </c>
      <c r="R1656" s="4">
        <v>0</v>
      </c>
      <c r="S1656" s="4" t="s">
        <v>604</v>
      </c>
      <c r="T1656" s="4" t="s">
        <v>868</v>
      </c>
      <c r="U1656" s="4">
        <v>0</v>
      </c>
      <c r="V1656" s="4">
        <v>54</v>
      </c>
      <c r="W1656" s="4">
        <v>97</v>
      </c>
    </row>
    <row r="1657" spans="1:23" ht="11.25" customHeight="1" x14ac:dyDescent="0.25">
      <c r="A1657" s="4" t="s">
        <v>21</v>
      </c>
      <c r="B1657" s="4" t="s">
        <v>44</v>
      </c>
      <c r="C1657" s="4" t="s">
        <v>23</v>
      </c>
      <c r="D1657" s="4" t="s">
        <v>45</v>
      </c>
      <c r="E1657" s="4" t="s">
        <v>25</v>
      </c>
      <c r="F1657" s="4" t="s">
        <v>25</v>
      </c>
      <c r="G1657" s="4" t="s">
        <v>25</v>
      </c>
      <c r="H1657" s="4" t="s">
        <v>25</v>
      </c>
      <c r="I1657" s="5">
        <v>44440</v>
      </c>
      <c r="J1657" s="6">
        <v>0</v>
      </c>
      <c r="K1657" s="6">
        <v>0</v>
      </c>
      <c r="L1657" s="6">
        <v>13952.401</v>
      </c>
      <c r="M1657" s="6">
        <v>13952.401</v>
      </c>
      <c r="N1657" s="6">
        <v>13952.401</v>
      </c>
      <c r="O1657" s="6">
        <v>13952.401</v>
      </c>
      <c r="P1657" s="6">
        <v>69713</v>
      </c>
      <c r="Q1657" s="4" t="s">
        <v>26</v>
      </c>
      <c r="R1657" s="4">
        <v>0</v>
      </c>
      <c r="S1657" s="4" t="s">
        <v>605</v>
      </c>
      <c r="T1657" s="4" t="s">
        <v>869</v>
      </c>
      <c r="U1657" s="4">
        <v>0</v>
      </c>
      <c r="V1657" s="4">
        <v>54</v>
      </c>
      <c r="W1657" s="4">
        <v>97</v>
      </c>
    </row>
    <row r="1658" spans="1:23" ht="11.25" customHeight="1" x14ac:dyDescent="0.25">
      <c r="A1658" s="4" t="s">
        <v>27</v>
      </c>
      <c r="B1658" s="4" t="s">
        <v>44</v>
      </c>
      <c r="C1658" s="4" t="s">
        <v>23</v>
      </c>
      <c r="D1658" s="4" t="s">
        <v>45</v>
      </c>
      <c r="E1658" s="4" t="s">
        <v>25</v>
      </c>
      <c r="F1658" s="4" t="s">
        <v>25</v>
      </c>
      <c r="G1658" s="4" t="s">
        <v>25</v>
      </c>
      <c r="H1658" s="4" t="s">
        <v>25</v>
      </c>
      <c r="I1658" s="5">
        <v>44440</v>
      </c>
      <c r="J1658" s="6">
        <v>0</v>
      </c>
      <c r="K1658" s="6">
        <v>0</v>
      </c>
      <c r="L1658" s="6">
        <v>-34.853000000000002</v>
      </c>
      <c r="M1658" s="6">
        <v>-34.853000000000002</v>
      </c>
      <c r="N1658" s="6">
        <v>-34.853000000000002</v>
      </c>
      <c r="O1658" s="6">
        <v>-34.853000000000002</v>
      </c>
      <c r="P1658" s="6">
        <v>-8</v>
      </c>
      <c r="Q1658" s="4" t="s">
        <v>26</v>
      </c>
      <c r="R1658" s="4">
        <v>0</v>
      </c>
      <c r="S1658" s="4" t="s">
        <v>605</v>
      </c>
      <c r="T1658" s="4" t="s">
        <v>869</v>
      </c>
      <c r="U1658" s="4">
        <v>0</v>
      </c>
      <c r="V1658" s="4">
        <v>54</v>
      </c>
      <c r="W1658" s="4">
        <v>97</v>
      </c>
    </row>
    <row r="1659" spans="1:23" ht="11.25" customHeight="1" x14ac:dyDescent="0.25">
      <c r="A1659" s="4" t="s">
        <v>28</v>
      </c>
      <c r="B1659" s="4" t="s">
        <v>44</v>
      </c>
      <c r="C1659" s="4" t="s">
        <v>23</v>
      </c>
      <c r="D1659" s="4" t="s">
        <v>45</v>
      </c>
      <c r="E1659" s="4" t="s">
        <v>25</v>
      </c>
      <c r="F1659" s="4" t="s">
        <v>25</v>
      </c>
      <c r="G1659" s="4" t="s">
        <v>25</v>
      </c>
      <c r="H1659" s="4" t="s">
        <v>25</v>
      </c>
      <c r="I1659" s="5">
        <v>44440</v>
      </c>
      <c r="J1659" s="6">
        <v>0</v>
      </c>
      <c r="K1659" s="6">
        <v>0</v>
      </c>
      <c r="L1659" s="6">
        <v>630.15599999999995</v>
      </c>
      <c r="M1659" s="6">
        <v>630.15599999999995</v>
      </c>
      <c r="N1659" s="6">
        <v>630.15599999999995</v>
      </c>
      <c r="O1659" s="6">
        <v>630.15599999999995</v>
      </c>
      <c r="P1659" s="6">
        <v>2358</v>
      </c>
      <c r="Q1659" s="4" t="s">
        <v>26</v>
      </c>
      <c r="R1659" s="4">
        <v>0</v>
      </c>
      <c r="S1659" s="4" t="s">
        <v>605</v>
      </c>
      <c r="T1659" s="4" t="s">
        <v>869</v>
      </c>
      <c r="U1659" s="4">
        <v>0</v>
      </c>
      <c r="V1659" s="4">
        <v>54</v>
      </c>
      <c r="W1659" s="4">
        <v>97</v>
      </c>
    </row>
    <row r="1660" spans="1:23" ht="11.25" customHeight="1" x14ac:dyDescent="0.25">
      <c r="A1660" s="4" t="s">
        <v>28</v>
      </c>
      <c r="B1660" s="4" t="s">
        <v>44</v>
      </c>
      <c r="C1660" s="4" t="s">
        <v>23</v>
      </c>
      <c r="D1660" s="4" t="s">
        <v>45</v>
      </c>
      <c r="E1660" s="4" t="s">
        <v>25</v>
      </c>
      <c r="F1660" s="4" t="s">
        <v>25</v>
      </c>
      <c r="G1660" s="4" t="s">
        <v>25</v>
      </c>
      <c r="H1660" s="4" t="s">
        <v>25</v>
      </c>
      <c r="I1660" s="5">
        <v>44440</v>
      </c>
      <c r="J1660" s="6">
        <v>0</v>
      </c>
      <c r="K1660" s="6">
        <v>0</v>
      </c>
      <c r="L1660" s="6">
        <v>-18.785</v>
      </c>
      <c r="M1660" s="6">
        <v>-18.785</v>
      </c>
      <c r="N1660" s="6">
        <v>-18.785</v>
      </c>
      <c r="O1660" s="6">
        <v>-18.785</v>
      </c>
      <c r="P1660" s="6">
        <v>0</v>
      </c>
      <c r="Q1660" s="4" t="s">
        <v>26</v>
      </c>
      <c r="R1660" s="4">
        <v>0</v>
      </c>
      <c r="S1660" s="4" t="s">
        <v>605</v>
      </c>
      <c r="T1660" s="4" t="s">
        <v>869</v>
      </c>
      <c r="U1660" s="4">
        <v>0</v>
      </c>
      <c r="V1660" s="4">
        <v>54</v>
      </c>
      <c r="W1660" s="4">
        <v>97</v>
      </c>
    </row>
    <row r="1661" spans="1:23" ht="11.25" customHeight="1" x14ac:dyDescent="0.25">
      <c r="A1661" s="4" t="s">
        <v>21</v>
      </c>
      <c r="B1661" s="4" t="s">
        <v>44</v>
      </c>
      <c r="C1661" s="4" t="s">
        <v>23</v>
      </c>
      <c r="D1661" s="4" t="s">
        <v>45</v>
      </c>
      <c r="E1661" s="4" t="s">
        <v>25</v>
      </c>
      <c r="F1661" s="4" t="s">
        <v>25</v>
      </c>
      <c r="G1661" s="4" t="s">
        <v>25</v>
      </c>
      <c r="H1661" s="4" t="s">
        <v>25</v>
      </c>
      <c r="I1661" s="5">
        <v>44470</v>
      </c>
      <c r="J1661" s="6">
        <v>0</v>
      </c>
      <c r="K1661" s="6">
        <v>0</v>
      </c>
      <c r="L1661" s="6">
        <v>13645.282999999999</v>
      </c>
      <c r="M1661" s="6">
        <v>13645.282999999999</v>
      </c>
      <c r="N1661" s="6">
        <v>13645.282999999999</v>
      </c>
      <c r="O1661" s="6">
        <v>13645.282999999999</v>
      </c>
      <c r="P1661" s="6">
        <v>69569</v>
      </c>
      <c r="Q1661" s="4" t="s">
        <v>26</v>
      </c>
      <c r="R1661" s="4">
        <v>0</v>
      </c>
      <c r="S1661" s="4" t="s">
        <v>606</v>
      </c>
      <c r="T1661" s="4" t="s">
        <v>870</v>
      </c>
      <c r="U1661" s="4">
        <v>0</v>
      </c>
      <c r="V1661" s="4">
        <v>54</v>
      </c>
      <c r="W1661" s="4">
        <v>97</v>
      </c>
    </row>
    <row r="1662" spans="1:23" ht="11.25" customHeight="1" x14ac:dyDescent="0.25">
      <c r="A1662" s="4" t="s">
        <v>27</v>
      </c>
      <c r="B1662" s="4" t="s">
        <v>44</v>
      </c>
      <c r="C1662" s="4" t="s">
        <v>23</v>
      </c>
      <c r="D1662" s="4" t="s">
        <v>45</v>
      </c>
      <c r="E1662" s="4" t="s">
        <v>25</v>
      </c>
      <c r="F1662" s="4" t="s">
        <v>25</v>
      </c>
      <c r="G1662" s="4" t="s">
        <v>25</v>
      </c>
      <c r="H1662" s="4" t="s">
        <v>25</v>
      </c>
      <c r="I1662" s="5">
        <v>44470</v>
      </c>
      <c r="J1662" s="6">
        <v>0</v>
      </c>
      <c r="K1662" s="6">
        <v>0</v>
      </c>
      <c r="L1662" s="6">
        <v>-34.405999999999999</v>
      </c>
      <c r="M1662" s="6">
        <v>-34.405999999999999</v>
      </c>
      <c r="N1662" s="6">
        <v>-34.405999999999999</v>
      </c>
      <c r="O1662" s="6">
        <v>-34.405999999999999</v>
      </c>
      <c r="P1662" s="6">
        <v>-1</v>
      </c>
      <c r="Q1662" s="4" t="s">
        <v>26</v>
      </c>
      <c r="R1662" s="4">
        <v>0</v>
      </c>
      <c r="S1662" s="4" t="s">
        <v>606</v>
      </c>
      <c r="T1662" s="4" t="s">
        <v>870</v>
      </c>
      <c r="U1662" s="4">
        <v>0</v>
      </c>
      <c r="V1662" s="4">
        <v>54</v>
      </c>
      <c r="W1662" s="4">
        <v>97</v>
      </c>
    </row>
    <row r="1663" spans="1:23" ht="11.25" customHeight="1" x14ac:dyDescent="0.25">
      <c r="A1663" s="4" t="s">
        <v>28</v>
      </c>
      <c r="B1663" s="4" t="s">
        <v>44</v>
      </c>
      <c r="C1663" s="4" t="s">
        <v>23</v>
      </c>
      <c r="D1663" s="4" t="s">
        <v>45</v>
      </c>
      <c r="E1663" s="4" t="s">
        <v>25</v>
      </c>
      <c r="F1663" s="4" t="s">
        <v>25</v>
      </c>
      <c r="G1663" s="4" t="s">
        <v>25</v>
      </c>
      <c r="H1663" s="4" t="s">
        <v>25</v>
      </c>
      <c r="I1663" s="5">
        <v>44470</v>
      </c>
      <c r="J1663" s="6">
        <v>0</v>
      </c>
      <c r="K1663" s="6">
        <v>0</v>
      </c>
      <c r="L1663" s="6">
        <v>731.678</v>
      </c>
      <c r="M1663" s="6">
        <v>731.678</v>
      </c>
      <c r="N1663" s="6">
        <v>731.678</v>
      </c>
      <c r="O1663" s="6">
        <v>731.678</v>
      </c>
      <c r="P1663" s="6">
        <v>2487</v>
      </c>
      <c r="Q1663" s="4" t="s">
        <v>26</v>
      </c>
      <c r="R1663" s="4">
        <v>0</v>
      </c>
      <c r="S1663" s="4" t="s">
        <v>606</v>
      </c>
      <c r="T1663" s="4" t="s">
        <v>870</v>
      </c>
      <c r="U1663" s="4">
        <v>0</v>
      </c>
      <c r="V1663" s="4">
        <v>54</v>
      </c>
      <c r="W1663" s="4">
        <v>97</v>
      </c>
    </row>
    <row r="1664" spans="1:23" ht="11.25" customHeight="1" x14ac:dyDescent="0.25">
      <c r="A1664" s="4" t="s">
        <v>28</v>
      </c>
      <c r="B1664" s="4" t="s">
        <v>44</v>
      </c>
      <c r="C1664" s="4" t="s">
        <v>23</v>
      </c>
      <c r="D1664" s="4" t="s">
        <v>45</v>
      </c>
      <c r="E1664" s="4" t="s">
        <v>25</v>
      </c>
      <c r="F1664" s="4" t="s">
        <v>25</v>
      </c>
      <c r="G1664" s="4" t="s">
        <v>25</v>
      </c>
      <c r="H1664" s="4" t="s">
        <v>25</v>
      </c>
      <c r="I1664" s="5">
        <v>44470</v>
      </c>
      <c r="J1664" s="6">
        <v>0</v>
      </c>
      <c r="K1664" s="6">
        <v>0</v>
      </c>
      <c r="L1664" s="6">
        <v>-8.0990000000000002</v>
      </c>
      <c r="M1664" s="6">
        <v>-8.0990000000000002</v>
      </c>
      <c r="N1664" s="6">
        <v>-8.0990000000000002</v>
      </c>
      <c r="O1664" s="6">
        <v>-8.0990000000000002</v>
      </c>
      <c r="P1664" s="6">
        <v>0</v>
      </c>
      <c r="Q1664" s="4" t="s">
        <v>26</v>
      </c>
      <c r="R1664" s="4">
        <v>0</v>
      </c>
      <c r="S1664" s="4" t="s">
        <v>606</v>
      </c>
      <c r="T1664" s="4" t="s">
        <v>870</v>
      </c>
      <c r="U1664" s="4">
        <v>0</v>
      </c>
      <c r="V1664" s="4">
        <v>54</v>
      </c>
      <c r="W1664" s="4">
        <v>97</v>
      </c>
    </row>
    <row r="1665" spans="1:23" ht="11.25" customHeight="1" x14ac:dyDescent="0.25">
      <c r="A1665" s="4" t="s">
        <v>21</v>
      </c>
      <c r="B1665" s="4" t="s">
        <v>44</v>
      </c>
      <c r="C1665" s="4" t="s">
        <v>23</v>
      </c>
      <c r="D1665" s="4" t="s">
        <v>45</v>
      </c>
      <c r="E1665" s="4" t="s">
        <v>25</v>
      </c>
      <c r="F1665" s="4" t="s">
        <v>25</v>
      </c>
      <c r="G1665" s="4" t="s">
        <v>25</v>
      </c>
      <c r="H1665" s="4" t="s">
        <v>25</v>
      </c>
      <c r="I1665" s="5">
        <v>44501</v>
      </c>
      <c r="J1665" s="6">
        <v>0</v>
      </c>
      <c r="K1665" s="6">
        <v>0</v>
      </c>
      <c r="L1665" s="6">
        <v>13051.726000000001</v>
      </c>
      <c r="M1665" s="6">
        <v>13051.726000000001</v>
      </c>
      <c r="N1665" s="6">
        <v>13051.726000000001</v>
      </c>
      <c r="O1665" s="6">
        <v>13051.726000000001</v>
      </c>
      <c r="P1665" s="6">
        <v>69267</v>
      </c>
      <c r="Q1665" s="4" t="s">
        <v>26</v>
      </c>
      <c r="R1665" s="4">
        <v>0</v>
      </c>
      <c r="S1665" s="4" t="s">
        <v>607</v>
      </c>
      <c r="T1665" s="4" t="s">
        <v>871</v>
      </c>
      <c r="U1665" s="4">
        <v>0</v>
      </c>
      <c r="V1665" s="4">
        <v>54</v>
      </c>
      <c r="W1665" s="4">
        <v>97</v>
      </c>
    </row>
    <row r="1666" spans="1:23" ht="11.25" customHeight="1" x14ac:dyDescent="0.25">
      <c r="A1666" s="4" t="s">
        <v>27</v>
      </c>
      <c r="B1666" s="4" t="s">
        <v>44</v>
      </c>
      <c r="C1666" s="4" t="s">
        <v>23</v>
      </c>
      <c r="D1666" s="4" t="s">
        <v>45</v>
      </c>
      <c r="E1666" s="4" t="s">
        <v>25</v>
      </c>
      <c r="F1666" s="4" t="s">
        <v>25</v>
      </c>
      <c r="G1666" s="4" t="s">
        <v>25</v>
      </c>
      <c r="H1666" s="4" t="s">
        <v>25</v>
      </c>
      <c r="I1666" s="5">
        <v>44501</v>
      </c>
      <c r="J1666" s="6">
        <v>0</v>
      </c>
      <c r="K1666" s="6">
        <v>0</v>
      </c>
      <c r="L1666" s="6">
        <v>-31.488</v>
      </c>
      <c r="M1666" s="6">
        <v>-31.488</v>
      </c>
      <c r="N1666" s="6">
        <v>-31.488</v>
      </c>
      <c r="O1666" s="6">
        <v>-31.488</v>
      </c>
      <c r="P1666" s="6">
        <v>0</v>
      </c>
      <c r="Q1666" s="4" t="s">
        <v>26</v>
      </c>
      <c r="R1666" s="4">
        <v>0</v>
      </c>
      <c r="S1666" s="4" t="s">
        <v>607</v>
      </c>
      <c r="T1666" s="4" t="s">
        <v>871</v>
      </c>
      <c r="U1666" s="4">
        <v>0</v>
      </c>
      <c r="V1666" s="4">
        <v>54</v>
      </c>
      <c r="W1666" s="4">
        <v>97</v>
      </c>
    </row>
    <row r="1667" spans="1:23" ht="11.25" customHeight="1" x14ac:dyDescent="0.25">
      <c r="A1667" s="4" t="s">
        <v>28</v>
      </c>
      <c r="B1667" s="4" t="s">
        <v>44</v>
      </c>
      <c r="C1667" s="4" t="s">
        <v>23</v>
      </c>
      <c r="D1667" s="4" t="s">
        <v>45</v>
      </c>
      <c r="E1667" s="4" t="s">
        <v>25</v>
      </c>
      <c r="F1667" s="4" t="s">
        <v>25</v>
      </c>
      <c r="G1667" s="4" t="s">
        <v>25</v>
      </c>
      <c r="H1667" s="4" t="s">
        <v>25</v>
      </c>
      <c r="I1667" s="5">
        <v>44501</v>
      </c>
      <c r="J1667" s="6">
        <v>0</v>
      </c>
      <c r="K1667" s="6">
        <v>0</v>
      </c>
      <c r="L1667" s="6">
        <v>762.12599999999998</v>
      </c>
      <c r="M1667" s="6">
        <v>762.12599999999998</v>
      </c>
      <c r="N1667" s="6">
        <v>762.12599999999998</v>
      </c>
      <c r="O1667" s="6">
        <v>762.12599999999998</v>
      </c>
      <c r="P1667" s="6">
        <v>2670</v>
      </c>
      <c r="Q1667" s="4" t="s">
        <v>26</v>
      </c>
      <c r="R1667" s="4">
        <v>0</v>
      </c>
      <c r="S1667" s="4" t="s">
        <v>607</v>
      </c>
      <c r="T1667" s="4" t="s">
        <v>871</v>
      </c>
      <c r="U1667" s="4">
        <v>0</v>
      </c>
      <c r="V1667" s="4">
        <v>54</v>
      </c>
      <c r="W1667" s="4">
        <v>97</v>
      </c>
    </row>
    <row r="1668" spans="1:23" ht="11.25" customHeight="1" x14ac:dyDescent="0.25">
      <c r="A1668" s="4" t="s">
        <v>28</v>
      </c>
      <c r="B1668" s="4" t="s">
        <v>44</v>
      </c>
      <c r="C1668" s="4" t="s">
        <v>23</v>
      </c>
      <c r="D1668" s="4" t="s">
        <v>45</v>
      </c>
      <c r="E1668" s="4" t="s">
        <v>25</v>
      </c>
      <c r="F1668" s="4" t="s">
        <v>25</v>
      </c>
      <c r="G1668" s="4" t="s">
        <v>25</v>
      </c>
      <c r="H1668" s="4" t="s">
        <v>25</v>
      </c>
      <c r="I1668" s="5">
        <v>44501</v>
      </c>
      <c r="J1668" s="6">
        <v>0</v>
      </c>
      <c r="K1668" s="6">
        <v>0</v>
      </c>
      <c r="L1668" s="6">
        <v>-17.606999999999999</v>
      </c>
      <c r="M1668" s="6">
        <v>-17.606999999999999</v>
      </c>
      <c r="N1668" s="6">
        <v>-17.606999999999999</v>
      </c>
      <c r="O1668" s="6">
        <v>-17.606999999999999</v>
      </c>
      <c r="P1668" s="6">
        <v>0</v>
      </c>
      <c r="Q1668" s="4" t="s">
        <v>26</v>
      </c>
      <c r="R1668" s="4">
        <v>0</v>
      </c>
      <c r="S1668" s="4" t="s">
        <v>607</v>
      </c>
      <c r="T1668" s="4" t="s">
        <v>871</v>
      </c>
      <c r="U1668" s="4">
        <v>0</v>
      </c>
      <c r="V1668" s="4">
        <v>54</v>
      </c>
      <c r="W1668" s="4">
        <v>97</v>
      </c>
    </row>
    <row r="1669" spans="1:23" ht="11.25" customHeight="1" x14ac:dyDescent="0.25">
      <c r="A1669" s="4" t="s">
        <v>21</v>
      </c>
      <c r="B1669" s="4" t="s">
        <v>44</v>
      </c>
      <c r="C1669" s="4" t="s">
        <v>23</v>
      </c>
      <c r="D1669" s="4" t="s">
        <v>45</v>
      </c>
      <c r="E1669" s="4" t="s">
        <v>25</v>
      </c>
      <c r="F1669" s="4" t="s">
        <v>25</v>
      </c>
      <c r="G1669" s="4" t="s">
        <v>25</v>
      </c>
      <c r="H1669" s="4" t="s">
        <v>25</v>
      </c>
      <c r="I1669" s="5">
        <v>44531</v>
      </c>
      <c r="J1669" s="6">
        <v>0</v>
      </c>
      <c r="K1669" s="6">
        <v>0</v>
      </c>
      <c r="L1669" s="6">
        <v>13130.179</v>
      </c>
      <c r="M1669" s="6">
        <v>13130.179</v>
      </c>
      <c r="N1669" s="6">
        <v>13130.179</v>
      </c>
      <c r="O1669" s="6">
        <v>13130.179</v>
      </c>
      <c r="P1669" s="6">
        <v>69133</v>
      </c>
      <c r="Q1669" s="4" t="s">
        <v>26</v>
      </c>
      <c r="R1669" s="4">
        <v>0</v>
      </c>
      <c r="S1669" s="4" t="s">
        <v>608</v>
      </c>
      <c r="T1669" s="4" t="s">
        <v>872</v>
      </c>
      <c r="U1669" s="4">
        <v>0</v>
      </c>
      <c r="V1669" s="4">
        <v>54</v>
      </c>
      <c r="W1669" s="4">
        <v>97</v>
      </c>
    </row>
    <row r="1670" spans="1:23" ht="11.25" customHeight="1" x14ac:dyDescent="0.25">
      <c r="A1670" s="4" t="s">
        <v>27</v>
      </c>
      <c r="B1670" s="4" t="s">
        <v>44</v>
      </c>
      <c r="C1670" s="4" t="s">
        <v>23</v>
      </c>
      <c r="D1670" s="4" t="s">
        <v>45</v>
      </c>
      <c r="E1670" s="4" t="s">
        <v>25</v>
      </c>
      <c r="F1670" s="4" t="s">
        <v>25</v>
      </c>
      <c r="G1670" s="4" t="s">
        <v>25</v>
      </c>
      <c r="H1670" s="4" t="s">
        <v>25</v>
      </c>
      <c r="I1670" s="5">
        <v>44531</v>
      </c>
      <c r="J1670" s="6">
        <v>0</v>
      </c>
      <c r="K1670" s="6">
        <v>0</v>
      </c>
      <c r="L1670" s="6">
        <v>-73.209999999999994</v>
      </c>
      <c r="M1670" s="6">
        <v>-73.209999999999994</v>
      </c>
      <c r="N1670" s="6">
        <v>-73.209999999999994</v>
      </c>
      <c r="O1670" s="6">
        <v>-73.209999999999994</v>
      </c>
      <c r="P1670" s="6">
        <v>-11</v>
      </c>
      <c r="Q1670" s="4" t="s">
        <v>26</v>
      </c>
      <c r="R1670" s="4">
        <v>0</v>
      </c>
      <c r="S1670" s="4" t="s">
        <v>608</v>
      </c>
      <c r="T1670" s="4" t="s">
        <v>872</v>
      </c>
      <c r="U1670" s="4">
        <v>0</v>
      </c>
      <c r="V1670" s="4">
        <v>54</v>
      </c>
      <c r="W1670" s="4">
        <v>97</v>
      </c>
    </row>
    <row r="1671" spans="1:23" ht="11.25" customHeight="1" x14ac:dyDescent="0.25">
      <c r="A1671" s="4" t="s">
        <v>28</v>
      </c>
      <c r="B1671" s="4" t="s">
        <v>44</v>
      </c>
      <c r="C1671" s="4" t="s">
        <v>23</v>
      </c>
      <c r="D1671" s="4" t="s">
        <v>45</v>
      </c>
      <c r="E1671" s="4" t="s">
        <v>25</v>
      </c>
      <c r="F1671" s="4" t="s">
        <v>25</v>
      </c>
      <c r="G1671" s="4" t="s">
        <v>25</v>
      </c>
      <c r="H1671" s="4" t="s">
        <v>25</v>
      </c>
      <c r="I1671" s="5">
        <v>44531</v>
      </c>
      <c r="J1671" s="6">
        <v>0</v>
      </c>
      <c r="K1671" s="6">
        <v>0</v>
      </c>
      <c r="L1671" s="6">
        <v>746.39300000000003</v>
      </c>
      <c r="M1671" s="6">
        <v>746.39300000000003</v>
      </c>
      <c r="N1671" s="6">
        <v>746.39300000000003</v>
      </c>
      <c r="O1671" s="6">
        <v>746.39300000000003</v>
      </c>
      <c r="P1671" s="6">
        <v>2870</v>
      </c>
      <c r="Q1671" s="4" t="s">
        <v>26</v>
      </c>
      <c r="R1671" s="4">
        <v>0</v>
      </c>
      <c r="S1671" s="4" t="s">
        <v>608</v>
      </c>
      <c r="T1671" s="4" t="s">
        <v>872</v>
      </c>
      <c r="U1671" s="4">
        <v>0</v>
      </c>
      <c r="V1671" s="4">
        <v>54</v>
      </c>
      <c r="W1671" s="4">
        <v>97</v>
      </c>
    </row>
    <row r="1672" spans="1:23" ht="11.25" customHeight="1" x14ac:dyDescent="0.25">
      <c r="A1672" s="4" t="s">
        <v>28</v>
      </c>
      <c r="B1672" s="4" t="s">
        <v>44</v>
      </c>
      <c r="C1672" s="4" t="s">
        <v>23</v>
      </c>
      <c r="D1672" s="4" t="s">
        <v>45</v>
      </c>
      <c r="E1672" s="4" t="s">
        <v>25</v>
      </c>
      <c r="F1672" s="4" t="s">
        <v>25</v>
      </c>
      <c r="G1672" s="4" t="s">
        <v>25</v>
      </c>
      <c r="H1672" s="4" t="s">
        <v>25</v>
      </c>
      <c r="I1672" s="5">
        <v>44531</v>
      </c>
      <c r="J1672" s="6">
        <v>0</v>
      </c>
      <c r="K1672" s="6">
        <v>0</v>
      </c>
      <c r="L1672" s="6">
        <v>-25.323</v>
      </c>
      <c r="M1672" s="6">
        <v>-25.323</v>
      </c>
      <c r="N1672" s="6">
        <v>-25.323</v>
      </c>
      <c r="O1672" s="6">
        <v>-25.323</v>
      </c>
      <c r="P1672" s="6">
        <v>0</v>
      </c>
      <c r="Q1672" s="4" t="s">
        <v>26</v>
      </c>
      <c r="R1672" s="4">
        <v>0</v>
      </c>
      <c r="S1672" s="4" t="s">
        <v>608</v>
      </c>
      <c r="T1672" s="4" t="s">
        <v>872</v>
      </c>
      <c r="U1672" s="4">
        <v>0</v>
      </c>
      <c r="V1672" s="4">
        <v>54</v>
      </c>
      <c r="W1672" s="4">
        <v>97</v>
      </c>
    </row>
    <row r="1673" spans="1:23" ht="11.25" customHeight="1" x14ac:dyDescent="0.25">
      <c r="A1673" s="4" t="s">
        <v>21</v>
      </c>
      <c r="B1673" s="4" t="s">
        <v>44</v>
      </c>
      <c r="C1673" s="4" t="s">
        <v>23</v>
      </c>
      <c r="D1673" s="4" t="s">
        <v>45</v>
      </c>
      <c r="E1673" s="4" t="s">
        <v>25</v>
      </c>
      <c r="F1673" s="4" t="s">
        <v>25</v>
      </c>
      <c r="G1673" s="4" t="s">
        <v>25</v>
      </c>
      <c r="H1673" s="4" t="s">
        <v>25</v>
      </c>
      <c r="I1673" s="5">
        <v>44562</v>
      </c>
      <c r="J1673" s="6">
        <v>0</v>
      </c>
      <c r="K1673" s="6">
        <v>0</v>
      </c>
      <c r="L1673" s="6">
        <v>12697.468000000001</v>
      </c>
      <c r="M1673" s="6">
        <v>12697.468000000001</v>
      </c>
      <c r="N1673" s="6">
        <v>12697.468000000001</v>
      </c>
      <c r="O1673" s="6">
        <v>12697.468000000001</v>
      </c>
      <c r="P1673" s="6">
        <v>66146</v>
      </c>
      <c r="Q1673" s="4" t="s">
        <v>26</v>
      </c>
      <c r="R1673" s="4">
        <v>0</v>
      </c>
      <c r="S1673" s="4" t="s">
        <v>609</v>
      </c>
      <c r="T1673" s="4" t="s">
        <v>873</v>
      </c>
      <c r="U1673" s="4">
        <v>0</v>
      </c>
      <c r="V1673" s="4">
        <v>54</v>
      </c>
      <c r="W1673" s="4">
        <v>97</v>
      </c>
    </row>
    <row r="1674" spans="1:23" ht="11.25" customHeight="1" x14ac:dyDescent="0.25">
      <c r="A1674" s="4" t="s">
        <v>27</v>
      </c>
      <c r="B1674" s="4" t="s">
        <v>44</v>
      </c>
      <c r="C1674" s="4" t="s">
        <v>23</v>
      </c>
      <c r="D1674" s="4" t="s">
        <v>45</v>
      </c>
      <c r="E1674" s="4" t="s">
        <v>25</v>
      </c>
      <c r="F1674" s="4" t="s">
        <v>25</v>
      </c>
      <c r="G1674" s="4" t="s">
        <v>25</v>
      </c>
      <c r="H1674" s="4" t="s">
        <v>25</v>
      </c>
      <c r="I1674" s="5">
        <v>44562</v>
      </c>
      <c r="J1674" s="6">
        <v>0</v>
      </c>
      <c r="K1674" s="6">
        <v>0</v>
      </c>
      <c r="L1674" s="6">
        <v>126.062</v>
      </c>
      <c r="M1674" s="6">
        <v>126.062</v>
      </c>
      <c r="N1674" s="6">
        <v>126.062</v>
      </c>
      <c r="O1674" s="6">
        <v>126.062</v>
      </c>
      <c r="P1674" s="6">
        <v>109</v>
      </c>
      <c r="Q1674" s="4" t="s">
        <v>26</v>
      </c>
      <c r="R1674" s="4">
        <v>0</v>
      </c>
      <c r="S1674" s="4" t="s">
        <v>609</v>
      </c>
      <c r="T1674" s="4" t="s">
        <v>873</v>
      </c>
      <c r="U1674" s="4">
        <v>0</v>
      </c>
      <c r="V1674" s="4">
        <v>54</v>
      </c>
      <c r="W1674" s="4">
        <v>97</v>
      </c>
    </row>
    <row r="1675" spans="1:23" ht="11.25" customHeight="1" x14ac:dyDescent="0.25">
      <c r="A1675" s="4" t="s">
        <v>28</v>
      </c>
      <c r="B1675" s="4" t="s">
        <v>44</v>
      </c>
      <c r="C1675" s="4" t="s">
        <v>23</v>
      </c>
      <c r="D1675" s="4" t="s">
        <v>45</v>
      </c>
      <c r="E1675" s="4" t="s">
        <v>25</v>
      </c>
      <c r="F1675" s="4" t="s">
        <v>25</v>
      </c>
      <c r="G1675" s="4" t="s">
        <v>25</v>
      </c>
      <c r="H1675" s="4" t="s">
        <v>25</v>
      </c>
      <c r="I1675" s="5">
        <v>44562</v>
      </c>
      <c r="J1675" s="6">
        <v>0</v>
      </c>
      <c r="K1675" s="6">
        <v>0</v>
      </c>
      <c r="L1675" s="6">
        <v>717.596</v>
      </c>
      <c r="M1675" s="6">
        <v>717.596</v>
      </c>
      <c r="N1675" s="6">
        <v>717.596</v>
      </c>
      <c r="O1675" s="6">
        <v>717.596</v>
      </c>
      <c r="P1675" s="6">
        <v>3038</v>
      </c>
      <c r="Q1675" s="4" t="s">
        <v>26</v>
      </c>
      <c r="R1675" s="4">
        <v>0</v>
      </c>
      <c r="S1675" s="4" t="s">
        <v>609</v>
      </c>
      <c r="T1675" s="4" t="s">
        <v>873</v>
      </c>
      <c r="U1675" s="4">
        <v>0</v>
      </c>
      <c r="V1675" s="4">
        <v>54</v>
      </c>
      <c r="W1675" s="4">
        <v>97</v>
      </c>
    </row>
    <row r="1676" spans="1:23" ht="11.25" customHeight="1" x14ac:dyDescent="0.25">
      <c r="A1676" s="4" t="s">
        <v>28</v>
      </c>
      <c r="B1676" s="4" t="s">
        <v>44</v>
      </c>
      <c r="C1676" s="4" t="s">
        <v>23</v>
      </c>
      <c r="D1676" s="4" t="s">
        <v>45</v>
      </c>
      <c r="E1676" s="4" t="s">
        <v>25</v>
      </c>
      <c r="F1676" s="4" t="s">
        <v>25</v>
      </c>
      <c r="G1676" s="4" t="s">
        <v>25</v>
      </c>
      <c r="H1676" s="4" t="s">
        <v>25</v>
      </c>
      <c r="I1676" s="5">
        <v>44562</v>
      </c>
      <c r="J1676" s="6">
        <v>0</v>
      </c>
      <c r="K1676" s="6">
        <v>0</v>
      </c>
      <c r="L1676" s="6">
        <v>-9.07</v>
      </c>
      <c r="M1676" s="6">
        <v>-9.07</v>
      </c>
      <c r="N1676" s="6">
        <v>-9.07</v>
      </c>
      <c r="O1676" s="6">
        <v>-9.07</v>
      </c>
      <c r="P1676" s="6">
        <v>0</v>
      </c>
      <c r="Q1676" s="4" t="s">
        <v>26</v>
      </c>
      <c r="R1676" s="4">
        <v>0</v>
      </c>
      <c r="S1676" s="4" t="s">
        <v>609</v>
      </c>
      <c r="T1676" s="4" t="s">
        <v>873</v>
      </c>
      <c r="U1676" s="4">
        <v>0</v>
      </c>
      <c r="V1676" s="4">
        <v>54</v>
      </c>
      <c r="W1676" s="4">
        <v>97</v>
      </c>
    </row>
    <row r="1677" spans="1:23" ht="11.25" customHeight="1" x14ac:dyDescent="0.25">
      <c r="A1677" s="4" t="s">
        <v>21</v>
      </c>
      <c r="B1677" s="4" t="s">
        <v>44</v>
      </c>
      <c r="C1677" s="4" t="s">
        <v>23</v>
      </c>
      <c r="D1677" s="4" t="s">
        <v>45</v>
      </c>
      <c r="E1677" s="4" t="s">
        <v>25</v>
      </c>
      <c r="F1677" s="4" t="s">
        <v>25</v>
      </c>
      <c r="G1677" s="4" t="s">
        <v>25</v>
      </c>
      <c r="H1677" s="4" t="s">
        <v>25</v>
      </c>
      <c r="I1677" s="5">
        <v>44593</v>
      </c>
      <c r="J1677" s="6">
        <v>0</v>
      </c>
      <c r="K1677" s="6">
        <v>0</v>
      </c>
      <c r="L1677" s="6">
        <v>10315.221</v>
      </c>
      <c r="M1677" s="6">
        <v>10315.221</v>
      </c>
      <c r="N1677" s="6">
        <v>10315.221</v>
      </c>
      <c r="O1677" s="6">
        <v>10315.221</v>
      </c>
      <c r="P1677" s="6">
        <v>53898</v>
      </c>
      <c r="Q1677" s="4" t="s">
        <v>26</v>
      </c>
      <c r="R1677" s="4">
        <v>0</v>
      </c>
      <c r="S1677" s="4" t="s">
        <v>610</v>
      </c>
      <c r="T1677" s="4" t="s">
        <v>874</v>
      </c>
      <c r="U1677" s="4">
        <v>0</v>
      </c>
      <c r="V1677" s="4">
        <v>54</v>
      </c>
      <c r="W1677" s="4">
        <v>97</v>
      </c>
    </row>
    <row r="1678" spans="1:23" ht="11.25" customHeight="1" x14ac:dyDescent="0.25">
      <c r="A1678" s="4" t="s">
        <v>27</v>
      </c>
      <c r="B1678" s="4" t="s">
        <v>44</v>
      </c>
      <c r="C1678" s="4" t="s">
        <v>23</v>
      </c>
      <c r="D1678" s="4" t="s">
        <v>45</v>
      </c>
      <c r="E1678" s="4" t="s">
        <v>25</v>
      </c>
      <c r="F1678" s="4" t="s">
        <v>25</v>
      </c>
      <c r="G1678" s="4" t="s">
        <v>25</v>
      </c>
      <c r="H1678" s="4" t="s">
        <v>25</v>
      </c>
      <c r="I1678" s="5">
        <v>44593</v>
      </c>
      <c r="J1678" s="6">
        <v>0</v>
      </c>
      <c r="K1678" s="6">
        <v>0</v>
      </c>
      <c r="L1678" s="6">
        <v>-39.162999999999997</v>
      </c>
      <c r="M1678" s="6">
        <v>-39.162999999999997</v>
      </c>
      <c r="N1678" s="6">
        <v>-39.162999999999997</v>
      </c>
      <c r="O1678" s="6">
        <v>-39.162999999999997</v>
      </c>
      <c r="P1678" s="6">
        <v>7</v>
      </c>
      <c r="Q1678" s="4" t="s">
        <v>26</v>
      </c>
      <c r="R1678" s="4">
        <v>0</v>
      </c>
      <c r="S1678" s="4" t="s">
        <v>610</v>
      </c>
      <c r="T1678" s="4" t="s">
        <v>874</v>
      </c>
      <c r="U1678" s="4">
        <v>0</v>
      </c>
      <c r="V1678" s="4">
        <v>54</v>
      </c>
      <c r="W1678" s="4">
        <v>97</v>
      </c>
    </row>
    <row r="1679" spans="1:23" ht="11.25" customHeight="1" x14ac:dyDescent="0.25">
      <c r="A1679" s="4" t="s">
        <v>28</v>
      </c>
      <c r="B1679" s="4" t="s">
        <v>44</v>
      </c>
      <c r="C1679" s="4" t="s">
        <v>23</v>
      </c>
      <c r="D1679" s="4" t="s">
        <v>45</v>
      </c>
      <c r="E1679" s="4" t="s">
        <v>25</v>
      </c>
      <c r="F1679" s="4" t="s">
        <v>25</v>
      </c>
      <c r="G1679" s="4" t="s">
        <v>25</v>
      </c>
      <c r="H1679" s="4" t="s">
        <v>25</v>
      </c>
      <c r="I1679" s="5">
        <v>44593</v>
      </c>
      <c r="J1679" s="6">
        <v>0</v>
      </c>
      <c r="K1679" s="6">
        <v>0</v>
      </c>
      <c r="L1679" s="6">
        <v>776.41700000000003</v>
      </c>
      <c r="M1679" s="6">
        <v>776.41700000000003</v>
      </c>
      <c r="N1679" s="6">
        <v>776.41700000000003</v>
      </c>
      <c r="O1679" s="6">
        <v>776.41700000000003</v>
      </c>
      <c r="P1679" s="6">
        <v>3002</v>
      </c>
      <c r="Q1679" s="4" t="s">
        <v>26</v>
      </c>
      <c r="R1679" s="4">
        <v>0</v>
      </c>
      <c r="S1679" s="4" t="s">
        <v>610</v>
      </c>
      <c r="T1679" s="4" t="s">
        <v>874</v>
      </c>
      <c r="U1679" s="4">
        <v>0</v>
      </c>
      <c r="V1679" s="4">
        <v>54</v>
      </c>
      <c r="W1679" s="4">
        <v>97</v>
      </c>
    </row>
    <row r="1680" spans="1:23" ht="11.25" customHeight="1" x14ac:dyDescent="0.25">
      <c r="A1680" s="4" t="s">
        <v>28</v>
      </c>
      <c r="B1680" s="4" t="s">
        <v>44</v>
      </c>
      <c r="C1680" s="4" t="s">
        <v>23</v>
      </c>
      <c r="D1680" s="4" t="s">
        <v>45</v>
      </c>
      <c r="E1680" s="4" t="s">
        <v>25</v>
      </c>
      <c r="F1680" s="4" t="s">
        <v>25</v>
      </c>
      <c r="G1680" s="4" t="s">
        <v>25</v>
      </c>
      <c r="H1680" s="4" t="s">
        <v>25</v>
      </c>
      <c r="I1680" s="5">
        <v>44593</v>
      </c>
      <c r="J1680" s="6">
        <v>0</v>
      </c>
      <c r="K1680" s="6">
        <v>0</v>
      </c>
      <c r="L1680" s="6">
        <v>-1.3919999999999999</v>
      </c>
      <c r="M1680" s="6">
        <v>-1.3919999999999999</v>
      </c>
      <c r="N1680" s="6">
        <v>-1.3919999999999999</v>
      </c>
      <c r="O1680" s="6">
        <v>-1.3919999999999999</v>
      </c>
      <c r="P1680" s="6">
        <v>0</v>
      </c>
      <c r="Q1680" s="4" t="s">
        <v>26</v>
      </c>
      <c r="R1680" s="4">
        <v>0</v>
      </c>
      <c r="S1680" s="4" t="s">
        <v>610</v>
      </c>
      <c r="T1680" s="4" t="s">
        <v>874</v>
      </c>
      <c r="U1680" s="4">
        <v>0</v>
      </c>
      <c r="V1680" s="4">
        <v>54</v>
      </c>
      <c r="W1680" s="4">
        <v>97</v>
      </c>
    </row>
    <row r="1681" spans="1:23" ht="11.25" customHeight="1" x14ac:dyDescent="0.25">
      <c r="A1681" s="4" t="s">
        <v>21</v>
      </c>
      <c r="B1681" s="4" t="s">
        <v>44</v>
      </c>
      <c r="C1681" s="4" t="s">
        <v>23</v>
      </c>
      <c r="D1681" s="4" t="s">
        <v>45</v>
      </c>
      <c r="E1681" s="4" t="s">
        <v>25</v>
      </c>
      <c r="F1681" s="4" t="s">
        <v>25</v>
      </c>
      <c r="G1681" s="4" t="s">
        <v>25</v>
      </c>
      <c r="H1681" s="4" t="s">
        <v>25</v>
      </c>
      <c r="I1681" s="5">
        <v>44621</v>
      </c>
      <c r="J1681" s="6">
        <v>0</v>
      </c>
      <c r="K1681" s="6">
        <v>0</v>
      </c>
      <c r="L1681" s="6">
        <v>10406.697</v>
      </c>
      <c r="M1681" s="6">
        <v>10406.697</v>
      </c>
      <c r="N1681" s="6">
        <v>10406.697</v>
      </c>
      <c r="O1681" s="6">
        <v>10406.697</v>
      </c>
      <c r="P1681" s="6">
        <v>53732</v>
      </c>
      <c r="Q1681" s="4" t="s">
        <v>26</v>
      </c>
      <c r="R1681" s="4">
        <v>0</v>
      </c>
      <c r="S1681" s="4" t="s">
        <v>611</v>
      </c>
      <c r="T1681" s="4" t="s">
        <v>875</v>
      </c>
      <c r="U1681" s="4">
        <v>0</v>
      </c>
      <c r="V1681" s="4">
        <v>54</v>
      </c>
      <c r="W1681" s="4">
        <v>97</v>
      </c>
    </row>
    <row r="1682" spans="1:23" ht="11.25" customHeight="1" x14ac:dyDescent="0.25">
      <c r="A1682" s="4" t="s">
        <v>27</v>
      </c>
      <c r="B1682" s="4" t="s">
        <v>44</v>
      </c>
      <c r="C1682" s="4" t="s">
        <v>23</v>
      </c>
      <c r="D1682" s="4" t="s">
        <v>45</v>
      </c>
      <c r="E1682" s="4" t="s">
        <v>25</v>
      </c>
      <c r="F1682" s="4" t="s">
        <v>25</v>
      </c>
      <c r="G1682" s="4" t="s">
        <v>25</v>
      </c>
      <c r="H1682" s="4" t="s">
        <v>25</v>
      </c>
      <c r="I1682" s="5">
        <v>44621</v>
      </c>
      <c r="J1682" s="6">
        <v>0</v>
      </c>
      <c r="K1682" s="6">
        <v>0</v>
      </c>
      <c r="L1682" s="6">
        <v>-48.32</v>
      </c>
      <c r="M1682" s="6">
        <v>-48.32</v>
      </c>
      <c r="N1682" s="6">
        <v>-48.32</v>
      </c>
      <c r="O1682" s="6">
        <v>-48.32</v>
      </c>
      <c r="P1682" s="6">
        <v>0</v>
      </c>
      <c r="Q1682" s="4" t="s">
        <v>26</v>
      </c>
      <c r="R1682" s="4">
        <v>0</v>
      </c>
      <c r="S1682" s="4" t="s">
        <v>611</v>
      </c>
      <c r="T1682" s="4" t="s">
        <v>875</v>
      </c>
      <c r="U1682" s="4">
        <v>0</v>
      </c>
      <c r="V1682" s="4">
        <v>54</v>
      </c>
      <c r="W1682" s="4">
        <v>97</v>
      </c>
    </row>
    <row r="1683" spans="1:23" ht="11.25" customHeight="1" x14ac:dyDescent="0.25">
      <c r="A1683" s="4" t="s">
        <v>28</v>
      </c>
      <c r="B1683" s="4" t="s">
        <v>44</v>
      </c>
      <c r="C1683" s="4" t="s">
        <v>23</v>
      </c>
      <c r="D1683" s="4" t="s">
        <v>45</v>
      </c>
      <c r="E1683" s="4" t="s">
        <v>25</v>
      </c>
      <c r="F1683" s="4" t="s">
        <v>25</v>
      </c>
      <c r="G1683" s="4" t="s">
        <v>25</v>
      </c>
      <c r="H1683" s="4" t="s">
        <v>25</v>
      </c>
      <c r="I1683" s="5">
        <v>44621</v>
      </c>
      <c r="J1683" s="6">
        <v>0</v>
      </c>
      <c r="K1683" s="6">
        <v>0</v>
      </c>
      <c r="L1683" s="6">
        <v>716.80499999999995</v>
      </c>
      <c r="M1683" s="6">
        <v>716.80499999999995</v>
      </c>
      <c r="N1683" s="6">
        <v>716.80499999999995</v>
      </c>
      <c r="O1683" s="6">
        <v>716.80499999999995</v>
      </c>
      <c r="P1683" s="6">
        <v>3229</v>
      </c>
      <c r="Q1683" s="4" t="s">
        <v>26</v>
      </c>
      <c r="R1683" s="4">
        <v>0</v>
      </c>
      <c r="S1683" s="4" t="s">
        <v>611</v>
      </c>
      <c r="T1683" s="4" t="s">
        <v>875</v>
      </c>
      <c r="U1683" s="4">
        <v>0</v>
      </c>
      <c r="V1683" s="4">
        <v>54</v>
      </c>
      <c r="W1683" s="4">
        <v>97</v>
      </c>
    </row>
    <row r="1684" spans="1:23" ht="11.25" customHeight="1" x14ac:dyDescent="0.25">
      <c r="A1684" s="4" t="s">
        <v>28</v>
      </c>
      <c r="B1684" s="4" t="s">
        <v>44</v>
      </c>
      <c r="C1684" s="4" t="s">
        <v>23</v>
      </c>
      <c r="D1684" s="4" t="s">
        <v>45</v>
      </c>
      <c r="E1684" s="4" t="s">
        <v>25</v>
      </c>
      <c r="F1684" s="4" t="s">
        <v>25</v>
      </c>
      <c r="G1684" s="4" t="s">
        <v>25</v>
      </c>
      <c r="H1684" s="4" t="s">
        <v>25</v>
      </c>
      <c r="I1684" s="5">
        <v>44621</v>
      </c>
      <c r="J1684" s="6">
        <v>0</v>
      </c>
      <c r="K1684" s="6">
        <v>0</v>
      </c>
      <c r="L1684" s="6">
        <v>-36.679000000000002</v>
      </c>
      <c r="M1684" s="6">
        <v>-36.679000000000002</v>
      </c>
      <c r="N1684" s="6">
        <v>-36.679000000000002</v>
      </c>
      <c r="O1684" s="6">
        <v>-36.679000000000002</v>
      </c>
      <c r="P1684" s="6">
        <v>1</v>
      </c>
      <c r="Q1684" s="4" t="s">
        <v>26</v>
      </c>
      <c r="R1684" s="4">
        <v>0</v>
      </c>
      <c r="S1684" s="4" t="s">
        <v>611</v>
      </c>
      <c r="T1684" s="4" t="s">
        <v>875</v>
      </c>
      <c r="U1684" s="4">
        <v>0</v>
      </c>
      <c r="V1684" s="4">
        <v>54</v>
      </c>
      <c r="W1684" s="4">
        <v>97</v>
      </c>
    </row>
    <row r="1685" spans="1:23" ht="11.25" customHeight="1" x14ac:dyDescent="0.25">
      <c r="A1685" s="4" t="s">
        <v>21</v>
      </c>
      <c r="B1685" s="4" t="s">
        <v>44</v>
      </c>
      <c r="C1685" s="4" t="s">
        <v>23</v>
      </c>
      <c r="D1685" s="4" t="s">
        <v>45</v>
      </c>
      <c r="E1685" s="4" t="s">
        <v>25</v>
      </c>
      <c r="F1685" s="4" t="s">
        <v>25</v>
      </c>
      <c r="G1685" s="4" t="s">
        <v>25</v>
      </c>
      <c r="H1685" s="4" t="s">
        <v>25</v>
      </c>
      <c r="I1685" s="5">
        <v>44652</v>
      </c>
      <c r="J1685" s="6">
        <v>0</v>
      </c>
      <c r="K1685" s="6">
        <v>0</v>
      </c>
      <c r="L1685" s="6">
        <v>10525.566999999999</v>
      </c>
      <c r="M1685" s="6">
        <v>10525.566999999999</v>
      </c>
      <c r="N1685" s="6">
        <v>10525.566999999999</v>
      </c>
      <c r="O1685" s="6">
        <v>10525.566999999999</v>
      </c>
      <c r="P1685" s="6">
        <v>53843</v>
      </c>
      <c r="Q1685" s="4" t="s">
        <v>26</v>
      </c>
      <c r="R1685" s="4">
        <v>0</v>
      </c>
      <c r="S1685" s="4" t="s">
        <v>612</v>
      </c>
      <c r="T1685" s="4" t="s">
        <v>876</v>
      </c>
      <c r="U1685" s="4">
        <v>0</v>
      </c>
      <c r="V1685" s="4">
        <v>54</v>
      </c>
      <c r="W1685" s="4">
        <v>97</v>
      </c>
    </row>
    <row r="1686" spans="1:23" ht="11.25" customHeight="1" x14ac:dyDescent="0.25">
      <c r="A1686" s="4" t="s">
        <v>27</v>
      </c>
      <c r="B1686" s="4" t="s">
        <v>44</v>
      </c>
      <c r="C1686" s="4" t="s">
        <v>23</v>
      </c>
      <c r="D1686" s="4" t="s">
        <v>45</v>
      </c>
      <c r="E1686" s="4" t="s">
        <v>25</v>
      </c>
      <c r="F1686" s="4" t="s">
        <v>25</v>
      </c>
      <c r="G1686" s="4" t="s">
        <v>25</v>
      </c>
      <c r="H1686" s="4" t="s">
        <v>25</v>
      </c>
      <c r="I1686" s="5">
        <v>44652</v>
      </c>
      <c r="J1686" s="6">
        <v>0</v>
      </c>
      <c r="K1686" s="6">
        <v>0</v>
      </c>
      <c r="L1686" s="6">
        <v>-49.116</v>
      </c>
      <c r="M1686" s="6">
        <v>-49.116</v>
      </c>
      <c r="N1686" s="6">
        <v>-49.116</v>
      </c>
      <c r="O1686" s="6">
        <v>-49.116</v>
      </c>
      <c r="P1686" s="6">
        <v>0</v>
      </c>
      <c r="Q1686" s="4" t="s">
        <v>26</v>
      </c>
      <c r="R1686" s="4">
        <v>0</v>
      </c>
      <c r="S1686" s="4" t="s">
        <v>612</v>
      </c>
      <c r="T1686" s="4" t="s">
        <v>876</v>
      </c>
      <c r="U1686" s="4">
        <v>0</v>
      </c>
      <c r="V1686" s="4">
        <v>54</v>
      </c>
      <c r="W1686" s="4">
        <v>97</v>
      </c>
    </row>
    <row r="1687" spans="1:23" ht="11.25" customHeight="1" x14ac:dyDescent="0.25">
      <c r="A1687" s="4" t="s">
        <v>28</v>
      </c>
      <c r="B1687" s="4" t="s">
        <v>44</v>
      </c>
      <c r="C1687" s="4" t="s">
        <v>23</v>
      </c>
      <c r="D1687" s="4" t="s">
        <v>45</v>
      </c>
      <c r="E1687" s="4" t="s">
        <v>25</v>
      </c>
      <c r="F1687" s="4" t="s">
        <v>25</v>
      </c>
      <c r="G1687" s="4" t="s">
        <v>25</v>
      </c>
      <c r="H1687" s="4" t="s">
        <v>25</v>
      </c>
      <c r="I1687" s="5">
        <v>44652</v>
      </c>
      <c r="J1687" s="6">
        <v>0</v>
      </c>
      <c r="K1687" s="6">
        <v>0</v>
      </c>
      <c r="L1687" s="6">
        <v>723.64099999999996</v>
      </c>
      <c r="M1687" s="6">
        <v>723.64099999999996</v>
      </c>
      <c r="N1687" s="6">
        <v>723.64099999999996</v>
      </c>
      <c r="O1687" s="6">
        <v>723.64099999999996</v>
      </c>
      <c r="P1687" s="6">
        <v>3403</v>
      </c>
      <c r="Q1687" s="4" t="s">
        <v>26</v>
      </c>
      <c r="R1687" s="4">
        <v>0</v>
      </c>
      <c r="S1687" s="4" t="s">
        <v>612</v>
      </c>
      <c r="T1687" s="4" t="s">
        <v>876</v>
      </c>
      <c r="U1687" s="4">
        <v>0</v>
      </c>
      <c r="V1687" s="4">
        <v>54</v>
      </c>
      <c r="W1687" s="4">
        <v>97</v>
      </c>
    </row>
    <row r="1688" spans="1:23" ht="11.25" customHeight="1" x14ac:dyDescent="0.25">
      <c r="A1688" s="4" t="s">
        <v>28</v>
      </c>
      <c r="B1688" s="4" t="s">
        <v>44</v>
      </c>
      <c r="C1688" s="4" t="s">
        <v>23</v>
      </c>
      <c r="D1688" s="4" t="s">
        <v>45</v>
      </c>
      <c r="E1688" s="4" t="s">
        <v>25</v>
      </c>
      <c r="F1688" s="4" t="s">
        <v>25</v>
      </c>
      <c r="G1688" s="4" t="s">
        <v>25</v>
      </c>
      <c r="H1688" s="4" t="s">
        <v>25</v>
      </c>
      <c r="I1688" s="5">
        <v>44652</v>
      </c>
      <c r="J1688" s="6">
        <v>0</v>
      </c>
      <c r="K1688" s="6">
        <v>0</v>
      </c>
      <c r="L1688" s="6">
        <v>-13.597</v>
      </c>
      <c r="M1688" s="6">
        <v>-13.597</v>
      </c>
      <c r="N1688" s="6">
        <v>-13.597</v>
      </c>
      <c r="O1688" s="6">
        <v>-13.597</v>
      </c>
      <c r="P1688" s="6">
        <v>0</v>
      </c>
      <c r="Q1688" s="4" t="s">
        <v>26</v>
      </c>
      <c r="R1688" s="4">
        <v>0</v>
      </c>
      <c r="S1688" s="4" t="s">
        <v>612</v>
      </c>
      <c r="T1688" s="4" t="s">
        <v>876</v>
      </c>
      <c r="U1688" s="4">
        <v>0</v>
      </c>
      <c r="V1688" s="4">
        <v>54</v>
      </c>
      <c r="W1688" s="4">
        <v>97</v>
      </c>
    </row>
    <row r="1689" spans="1:23" ht="11.25" customHeight="1" x14ac:dyDescent="0.25">
      <c r="A1689" s="4" t="s">
        <v>58</v>
      </c>
      <c r="B1689" s="4" t="s">
        <v>44</v>
      </c>
      <c r="C1689" s="4" t="s">
        <v>23</v>
      </c>
      <c r="D1689" s="4" t="s">
        <v>45</v>
      </c>
      <c r="E1689" s="4" t="s">
        <v>25</v>
      </c>
      <c r="F1689" s="4" t="s">
        <v>25</v>
      </c>
      <c r="G1689" s="4" t="s">
        <v>25</v>
      </c>
      <c r="H1689" s="4" t="s">
        <v>25</v>
      </c>
      <c r="I1689" s="5">
        <v>44682</v>
      </c>
      <c r="J1689" s="6">
        <v>0</v>
      </c>
      <c r="K1689" s="6">
        <v>0</v>
      </c>
      <c r="L1689" s="6">
        <v>10525.566999999999</v>
      </c>
      <c r="M1689" s="6">
        <v>10525.566999999999</v>
      </c>
      <c r="N1689" s="6">
        <v>10525.566999999999</v>
      </c>
      <c r="O1689" s="6">
        <v>10525.566999999999</v>
      </c>
      <c r="P1689" s="6">
        <v>53843</v>
      </c>
      <c r="Q1689" s="4" t="s">
        <v>26</v>
      </c>
      <c r="R1689" s="4">
        <v>0</v>
      </c>
      <c r="S1689" s="4" t="s">
        <v>613</v>
      </c>
      <c r="T1689" s="4" t="s">
        <v>877</v>
      </c>
      <c r="U1689" s="4">
        <v>0</v>
      </c>
      <c r="V1689" s="4">
        <v>54</v>
      </c>
      <c r="W1689" s="4">
        <v>97</v>
      </c>
    </row>
    <row r="1690" spans="1:23" ht="11.25" customHeight="1" x14ac:dyDescent="0.25">
      <c r="A1690" s="4" t="s">
        <v>58</v>
      </c>
      <c r="B1690" s="4" t="s">
        <v>44</v>
      </c>
      <c r="C1690" s="4" t="s">
        <v>23</v>
      </c>
      <c r="D1690" s="4" t="s">
        <v>45</v>
      </c>
      <c r="E1690" s="4" t="s">
        <v>25</v>
      </c>
      <c r="F1690" s="4" t="s">
        <v>25</v>
      </c>
      <c r="G1690" s="4" t="s">
        <v>25</v>
      </c>
      <c r="H1690" s="4" t="s">
        <v>25</v>
      </c>
      <c r="I1690" s="5">
        <v>44682</v>
      </c>
      <c r="J1690" s="6">
        <v>0</v>
      </c>
      <c r="K1690" s="6">
        <v>0</v>
      </c>
      <c r="L1690" s="6">
        <v>-49.116</v>
      </c>
      <c r="M1690" s="6">
        <v>-49.116</v>
      </c>
      <c r="N1690" s="6">
        <v>-49.116</v>
      </c>
      <c r="O1690" s="6">
        <v>-49.116</v>
      </c>
      <c r="P1690" s="6">
        <v>0</v>
      </c>
      <c r="Q1690" s="4" t="s">
        <v>26</v>
      </c>
      <c r="R1690" s="4">
        <v>0</v>
      </c>
      <c r="S1690" s="4" t="s">
        <v>613</v>
      </c>
      <c r="T1690" s="4" t="s">
        <v>877</v>
      </c>
      <c r="U1690" s="4">
        <v>0</v>
      </c>
      <c r="V1690" s="4">
        <v>54</v>
      </c>
      <c r="W1690" s="4">
        <v>97</v>
      </c>
    </row>
    <row r="1691" spans="1:23" ht="11.25" customHeight="1" x14ac:dyDescent="0.25">
      <c r="A1691" s="4" t="s">
        <v>58</v>
      </c>
      <c r="B1691" s="4" t="s">
        <v>44</v>
      </c>
      <c r="C1691" s="4" t="s">
        <v>23</v>
      </c>
      <c r="D1691" s="4" t="s">
        <v>45</v>
      </c>
      <c r="E1691" s="4" t="s">
        <v>25</v>
      </c>
      <c r="F1691" s="4" t="s">
        <v>25</v>
      </c>
      <c r="G1691" s="4" t="s">
        <v>25</v>
      </c>
      <c r="H1691" s="4" t="s">
        <v>25</v>
      </c>
      <c r="I1691" s="5">
        <v>44682</v>
      </c>
      <c r="J1691" s="6">
        <v>0</v>
      </c>
      <c r="K1691" s="6">
        <v>0</v>
      </c>
      <c r="L1691" s="6">
        <v>723.64099999999996</v>
      </c>
      <c r="M1691" s="6">
        <v>723.64099999999996</v>
      </c>
      <c r="N1691" s="6">
        <v>723.64099999999996</v>
      </c>
      <c r="O1691" s="6">
        <v>723.64099999999996</v>
      </c>
      <c r="P1691" s="6">
        <v>3403</v>
      </c>
      <c r="Q1691" s="4" t="s">
        <v>26</v>
      </c>
      <c r="R1691" s="4">
        <v>0</v>
      </c>
      <c r="S1691" s="4" t="s">
        <v>613</v>
      </c>
      <c r="T1691" s="4" t="s">
        <v>877</v>
      </c>
      <c r="U1691" s="4">
        <v>0</v>
      </c>
      <c r="V1691" s="4">
        <v>54</v>
      </c>
      <c r="W1691" s="4">
        <v>97</v>
      </c>
    </row>
    <row r="1692" spans="1:23" ht="11.25" customHeight="1" x14ac:dyDescent="0.25">
      <c r="A1692" s="4" t="s">
        <v>58</v>
      </c>
      <c r="B1692" s="4" t="s">
        <v>44</v>
      </c>
      <c r="C1692" s="4" t="s">
        <v>23</v>
      </c>
      <c r="D1692" s="4" t="s">
        <v>45</v>
      </c>
      <c r="E1692" s="4" t="s">
        <v>25</v>
      </c>
      <c r="F1692" s="4" t="s">
        <v>25</v>
      </c>
      <c r="G1692" s="4" t="s">
        <v>25</v>
      </c>
      <c r="H1692" s="4" t="s">
        <v>25</v>
      </c>
      <c r="I1692" s="5">
        <v>44682</v>
      </c>
      <c r="J1692" s="6">
        <v>0</v>
      </c>
      <c r="K1692" s="6">
        <v>0</v>
      </c>
      <c r="L1692" s="6">
        <v>-13.597</v>
      </c>
      <c r="M1692" s="6">
        <v>-13.597</v>
      </c>
      <c r="N1692" s="6">
        <v>-13.597</v>
      </c>
      <c r="O1692" s="6">
        <v>-13.597</v>
      </c>
      <c r="P1692" s="6">
        <v>0</v>
      </c>
      <c r="Q1692" s="4" t="s">
        <v>26</v>
      </c>
      <c r="R1692" s="4">
        <v>0</v>
      </c>
      <c r="S1692" s="4" t="s">
        <v>613</v>
      </c>
      <c r="T1692" s="4" t="s">
        <v>877</v>
      </c>
      <c r="U1692" s="4">
        <v>0</v>
      </c>
      <c r="V1692" s="4">
        <v>54</v>
      </c>
      <c r="W1692" s="4">
        <v>97</v>
      </c>
    </row>
    <row r="1693" spans="1:23" ht="11.25" customHeight="1" x14ac:dyDescent="0.25">
      <c r="A1693" s="4" t="s">
        <v>21</v>
      </c>
      <c r="B1693" s="4" t="s">
        <v>37</v>
      </c>
      <c r="C1693" s="4" t="s">
        <v>33</v>
      </c>
      <c r="D1693" s="4" t="s">
        <v>43</v>
      </c>
      <c r="E1693" s="4" t="s">
        <v>25</v>
      </c>
      <c r="F1693" s="4" t="s">
        <v>25</v>
      </c>
      <c r="G1693" s="4" t="s">
        <v>25</v>
      </c>
      <c r="H1693" s="4" t="s">
        <v>35</v>
      </c>
      <c r="I1693" s="5">
        <v>44348</v>
      </c>
      <c r="J1693" s="6">
        <v>0</v>
      </c>
      <c r="K1693" s="6">
        <v>0</v>
      </c>
      <c r="L1693" s="6">
        <v>20.437000000000001</v>
      </c>
      <c r="M1693" s="6">
        <v>20.437000000000001</v>
      </c>
      <c r="N1693" s="6">
        <v>20.437000000000001</v>
      </c>
      <c r="O1693" s="6">
        <v>20.437000000000001</v>
      </c>
      <c r="P1693" s="6">
        <v>0</v>
      </c>
      <c r="Q1693" s="4" t="s">
        <v>26</v>
      </c>
      <c r="R1693" s="4">
        <v>0</v>
      </c>
      <c r="S1693" s="4" t="s">
        <v>614</v>
      </c>
      <c r="T1693" s="4" t="s">
        <v>878</v>
      </c>
      <c r="U1693" s="4">
        <v>0</v>
      </c>
      <c r="V1693" s="4">
        <v>68</v>
      </c>
      <c r="W1693" s="4">
        <v>111</v>
      </c>
    </row>
    <row r="1694" spans="1:23" ht="11.25" customHeight="1" x14ac:dyDescent="0.25">
      <c r="A1694" s="4" t="s">
        <v>28</v>
      </c>
      <c r="B1694" s="4" t="s">
        <v>37</v>
      </c>
      <c r="C1694" s="4" t="s">
        <v>33</v>
      </c>
      <c r="D1694" s="4" t="s">
        <v>43</v>
      </c>
      <c r="E1694" s="4" t="s">
        <v>25</v>
      </c>
      <c r="F1694" s="4" t="s">
        <v>25</v>
      </c>
      <c r="G1694" s="4" t="s">
        <v>25</v>
      </c>
      <c r="H1694" s="4" t="s">
        <v>35</v>
      </c>
      <c r="I1694" s="5">
        <v>44348</v>
      </c>
      <c r="J1694" s="6">
        <v>0</v>
      </c>
      <c r="K1694" s="6">
        <v>0</v>
      </c>
      <c r="L1694" s="6">
        <v>0.21</v>
      </c>
      <c r="M1694" s="6">
        <v>0.21</v>
      </c>
      <c r="N1694" s="6">
        <v>0.21</v>
      </c>
      <c r="O1694" s="6">
        <v>0.21</v>
      </c>
      <c r="P1694" s="6">
        <v>0</v>
      </c>
      <c r="Q1694" s="4" t="s">
        <v>26</v>
      </c>
      <c r="R1694" s="4">
        <v>0</v>
      </c>
      <c r="S1694" s="4" t="s">
        <v>614</v>
      </c>
      <c r="T1694" s="4" t="s">
        <v>878</v>
      </c>
      <c r="U1694" s="4">
        <v>0</v>
      </c>
      <c r="V1694" s="4">
        <v>68</v>
      </c>
      <c r="W1694" s="4">
        <v>111</v>
      </c>
    </row>
    <row r="1695" spans="1:23" ht="11.25" customHeight="1" x14ac:dyDescent="0.25">
      <c r="A1695" s="4" t="s">
        <v>21</v>
      </c>
      <c r="B1695" s="4" t="s">
        <v>37</v>
      </c>
      <c r="C1695" s="4" t="s">
        <v>33</v>
      </c>
      <c r="D1695" s="4" t="s">
        <v>43</v>
      </c>
      <c r="E1695" s="4" t="s">
        <v>25</v>
      </c>
      <c r="F1695" s="4" t="s">
        <v>25</v>
      </c>
      <c r="G1695" s="4" t="s">
        <v>25</v>
      </c>
      <c r="H1695" s="4" t="s">
        <v>35</v>
      </c>
      <c r="I1695" s="5">
        <v>44378</v>
      </c>
      <c r="J1695" s="6">
        <v>0</v>
      </c>
      <c r="K1695" s="6">
        <v>0</v>
      </c>
      <c r="L1695" s="6">
        <v>18.786000000000001</v>
      </c>
      <c r="M1695" s="6">
        <v>18.786000000000001</v>
      </c>
      <c r="N1695" s="6">
        <v>18.786000000000001</v>
      </c>
      <c r="O1695" s="6">
        <v>18.786000000000001</v>
      </c>
      <c r="P1695" s="6">
        <v>0</v>
      </c>
      <c r="Q1695" s="4" t="s">
        <v>26</v>
      </c>
      <c r="R1695" s="4">
        <v>0</v>
      </c>
      <c r="S1695" s="4" t="s">
        <v>615</v>
      </c>
      <c r="T1695" s="4" t="s">
        <v>879</v>
      </c>
      <c r="U1695" s="4">
        <v>0</v>
      </c>
      <c r="V1695" s="4">
        <v>68</v>
      </c>
      <c r="W1695" s="4">
        <v>111</v>
      </c>
    </row>
    <row r="1696" spans="1:23" ht="11.25" customHeight="1" x14ac:dyDescent="0.25">
      <c r="A1696" s="4" t="s">
        <v>28</v>
      </c>
      <c r="B1696" s="4" t="s">
        <v>37</v>
      </c>
      <c r="C1696" s="4" t="s">
        <v>33</v>
      </c>
      <c r="D1696" s="4" t="s">
        <v>43</v>
      </c>
      <c r="E1696" s="4" t="s">
        <v>25</v>
      </c>
      <c r="F1696" s="4" t="s">
        <v>25</v>
      </c>
      <c r="G1696" s="4" t="s">
        <v>25</v>
      </c>
      <c r="H1696" s="4" t="s">
        <v>35</v>
      </c>
      <c r="I1696" s="5">
        <v>44378</v>
      </c>
      <c r="J1696" s="6">
        <v>0</v>
      </c>
      <c r="K1696" s="6">
        <v>0</v>
      </c>
      <c r="L1696" s="6">
        <v>0.76400000000000001</v>
      </c>
      <c r="M1696" s="6">
        <v>0.76400000000000001</v>
      </c>
      <c r="N1696" s="6">
        <v>0.76400000000000001</v>
      </c>
      <c r="O1696" s="6">
        <v>0.76400000000000001</v>
      </c>
      <c r="P1696" s="6">
        <v>0</v>
      </c>
      <c r="Q1696" s="4" t="s">
        <v>26</v>
      </c>
      <c r="R1696" s="4">
        <v>0</v>
      </c>
      <c r="S1696" s="4" t="s">
        <v>615</v>
      </c>
      <c r="T1696" s="4" t="s">
        <v>879</v>
      </c>
      <c r="U1696" s="4">
        <v>0</v>
      </c>
      <c r="V1696" s="4">
        <v>68</v>
      </c>
      <c r="W1696" s="4">
        <v>111</v>
      </c>
    </row>
    <row r="1697" spans="1:23" ht="11.25" customHeight="1" x14ac:dyDescent="0.25">
      <c r="A1697" s="4" t="s">
        <v>21</v>
      </c>
      <c r="B1697" s="4" t="s">
        <v>37</v>
      </c>
      <c r="C1697" s="4" t="s">
        <v>33</v>
      </c>
      <c r="D1697" s="4" t="s">
        <v>43</v>
      </c>
      <c r="E1697" s="4" t="s">
        <v>25</v>
      </c>
      <c r="F1697" s="4" t="s">
        <v>25</v>
      </c>
      <c r="G1697" s="4" t="s">
        <v>25</v>
      </c>
      <c r="H1697" s="4" t="s">
        <v>35</v>
      </c>
      <c r="I1697" s="5">
        <v>44409</v>
      </c>
      <c r="J1697" s="6">
        <v>0</v>
      </c>
      <c r="K1697" s="6">
        <v>0</v>
      </c>
      <c r="L1697" s="6">
        <v>19.821999999999999</v>
      </c>
      <c r="M1697" s="6">
        <v>19.821999999999999</v>
      </c>
      <c r="N1697" s="6">
        <v>19.821999999999999</v>
      </c>
      <c r="O1697" s="6">
        <v>19.821999999999999</v>
      </c>
      <c r="P1697" s="6">
        <v>0</v>
      </c>
      <c r="Q1697" s="4" t="s">
        <v>26</v>
      </c>
      <c r="R1697" s="4">
        <v>0</v>
      </c>
      <c r="S1697" s="4" t="s">
        <v>616</v>
      </c>
      <c r="T1697" s="4" t="s">
        <v>880</v>
      </c>
      <c r="U1697" s="4">
        <v>0</v>
      </c>
      <c r="V1697" s="4">
        <v>68</v>
      </c>
      <c r="W1697" s="4">
        <v>111</v>
      </c>
    </row>
    <row r="1698" spans="1:23" ht="11.25" customHeight="1" x14ac:dyDescent="0.25">
      <c r="A1698" s="4" t="s">
        <v>28</v>
      </c>
      <c r="B1698" s="4" t="s">
        <v>37</v>
      </c>
      <c r="C1698" s="4" t="s">
        <v>33</v>
      </c>
      <c r="D1698" s="4" t="s">
        <v>43</v>
      </c>
      <c r="E1698" s="4" t="s">
        <v>25</v>
      </c>
      <c r="F1698" s="4" t="s">
        <v>25</v>
      </c>
      <c r="G1698" s="4" t="s">
        <v>25</v>
      </c>
      <c r="H1698" s="4" t="s">
        <v>35</v>
      </c>
      <c r="I1698" s="5">
        <v>44409</v>
      </c>
      <c r="J1698" s="6">
        <v>0</v>
      </c>
      <c r="K1698" s="6">
        <v>0</v>
      </c>
      <c r="L1698" s="6">
        <v>0.41299999999999998</v>
      </c>
      <c r="M1698" s="6">
        <v>0.41299999999999998</v>
      </c>
      <c r="N1698" s="6">
        <v>0.41299999999999998</v>
      </c>
      <c r="O1698" s="6">
        <v>0.41299999999999998</v>
      </c>
      <c r="P1698" s="6">
        <v>0</v>
      </c>
      <c r="Q1698" s="4" t="s">
        <v>26</v>
      </c>
      <c r="R1698" s="4">
        <v>0</v>
      </c>
      <c r="S1698" s="4" t="s">
        <v>616</v>
      </c>
      <c r="T1698" s="4" t="s">
        <v>880</v>
      </c>
      <c r="U1698" s="4">
        <v>0</v>
      </c>
      <c r="V1698" s="4">
        <v>68</v>
      </c>
      <c r="W1698" s="4">
        <v>111</v>
      </c>
    </row>
    <row r="1699" spans="1:23" ht="11.25" customHeight="1" x14ac:dyDescent="0.25">
      <c r="A1699" s="4" t="s">
        <v>21</v>
      </c>
      <c r="B1699" s="4" t="s">
        <v>37</v>
      </c>
      <c r="C1699" s="4" t="s">
        <v>33</v>
      </c>
      <c r="D1699" s="4" t="s">
        <v>43</v>
      </c>
      <c r="E1699" s="4" t="s">
        <v>25</v>
      </c>
      <c r="F1699" s="4" t="s">
        <v>25</v>
      </c>
      <c r="G1699" s="4" t="s">
        <v>25</v>
      </c>
      <c r="H1699" s="4" t="s">
        <v>35</v>
      </c>
      <c r="I1699" s="5">
        <v>44440</v>
      </c>
      <c r="J1699" s="6">
        <v>0</v>
      </c>
      <c r="K1699" s="6">
        <v>0</v>
      </c>
      <c r="L1699" s="6">
        <v>23.28</v>
      </c>
      <c r="M1699" s="6">
        <v>23.28</v>
      </c>
      <c r="N1699" s="6">
        <v>23.28</v>
      </c>
      <c r="O1699" s="6">
        <v>23.28</v>
      </c>
      <c r="P1699" s="6">
        <v>0</v>
      </c>
      <c r="Q1699" s="4" t="s">
        <v>26</v>
      </c>
      <c r="R1699" s="4">
        <v>0</v>
      </c>
      <c r="S1699" s="4" t="s">
        <v>617</v>
      </c>
      <c r="T1699" s="4" t="s">
        <v>881</v>
      </c>
      <c r="U1699" s="4">
        <v>0</v>
      </c>
      <c r="V1699" s="4">
        <v>68</v>
      </c>
      <c r="W1699" s="4">
        <v>111</v>
      </c>
    </row>
    <row r="1700" spans="1:23" ht="11.25" customHeight="1" x14ac:dyDescent="0.25">
      <c r="A1700" s="4" t="s">
        <v>28</v>
      </c>
      <c r="B1700" s="4" t="s">
        <v>37</v>
      </c>
      <c r="C1700" s="4" t="s">
        <v>33</v>
      </c>
      <c r="D1700" s="4" t="s">
        <v>43</v>
      </c>
      <c r="E1700" s="4" t="s">
        <v>25</v>
      </c>
      <c r="F1700" s="4" t="s">
        <v>25</v>
      </c>
      <c r="G1700" s="4" t="s">
        <v>25</v>
      </c>
      <c r="H1700" s="4" t="s">
        <v>35</v>
      </c>
      <c r="I1700" s="5">
        <v>44440</v>
      </c>
      <c r="J1700" s="6">
        <v>0</v>
      </c>
      <c r="K1700" s="6">
        <v>0</v>
      </c>
      <c r="L1700" s="6">
        <v>0.33300000000000002</v>
      </c>
      <c r="M1700" s="6">
        <v>0.33300000000000002</v>
      </c>
      <c r="N1700" s="6">
        <v>0.33300000000000002</v>
      </c>
      <c r="O1700" s="6">
        <v>0.33300000000000002</v>
      </c>
      <c r="P1700" s="6">
        <v>0</v>
      </c>
      <c r="Q1700" s="4" t="s">
        <v>26</v>
      </c>
      <c r="R1700" s="4">
        <v>0</v>
      </c>
      <c r="S1700" s="4" t="s">
        <v>617</v>
      </c>
      <c r="T1700" s="4" t="s">
        <v>881</v>
      </c>
      <c r="U1700" s="4">
        <v>0</v>
      </c>
      <c r="V1700" s="4">
        <v>68</v>
      </c>
      <c r="W1700" s="4">
        <v>111</v>
      </c>
    </row>
    <row r="1701" spans="1:23" ht="11.25" customHeight="1" x14ac:dyDescent="0.25">
      <c r="A1701" s="4" t="s">
        <v>21</v>
      </c>
      <c r="B1701" s="4" t="s">
        <v>37</v>
      </c>
      <c r="C1701" s="4" t="s">
        <v>33</v>
      </c>
      <c r="D1701" s="4" t="s">
        <v>43</v>
      </c>
      <c r="E1701" s="4" t="s">
        <v>25</v>
      </c>
      <c r="F1701" s="4" t="s">
        <v>25</v>
      </c>
      <c r="G1701" s="4" t="s">
        <v>25</v>
      </c>
      <c r="H1701" s="4" t="s">
        <v>35</v>
      </c>
      <c r="I1701" s="5">
        <v>44470</v>
      </c>
      <c r="J1701" s="6">
        <v>0</v>
      </c>
      <c r="K1701" s="6">
        <v>0</v>
      </c>
      <c r="L1701" s="6">
        <v>26.207999999999998</v>
      </c>
      <c r="M1701" s="6">
        <v>26.207999999999998</v>
      </c>
      <c r="N1701" s="6">
        <v>26.207999999999998</v>
      </c>
      <c r="O1701" s="6">
        <v>26.207999999999998</v>
      </c>
      <c r="P1701" s="6">
        <v>0</v>
      </c>
      <c r="Q1701" s="4" t="s">
        <v>26</v>
      </c>
      <c r="R1701" s="4">
        <v>0</v>
      </c>
      <c r="S1701" s="4" t="s">
        <v>618</v>
      </c>
      <c r="T1701" s="4" t="s">
        <v>882</v>
      </c>
      <c r="U1701" s="4">
        <v>0</v>
      </c>
      <c r="V1701" s="4">
        <v>68</v>
      </c>
      <c r="W1701" s="4">
        <v>111</v>
      </c>
    </row>
    <row r="1702" spans="1:23" ht="11.25" customHeight="1" x14ac:dyDescent="0.25">
      <c r="A1702" s="4" t="s">
        <v>28</v>
      </c>
      <c r="B1702" s="4" t="s">
        <v>37</v>
      </c>
      <c r="C1702" s="4" t="s">
        <v>33</v>
      </c>
      <c r="D1702" s="4" t="s">
        <v>43</v>
      </c>
      <c r="E1702" s="4" t="s">
        <v>25</v>
      </c>
      <c r="F1702" s="4" t="s">
        <v>25</v>
      </c>
      <c r="G1702" s="4" t="s">
        <v>25</v>
      </c>
      <c r="H1702" s="4" t="s">
        <v>35</v>
      </c>
      <c r="I1702" s="5">
        <v>44470</v>
      </c>
      <c r="J1702" s="6">
        <v>0</v>
      </c>
      <c r="K1702" s="6">
        <v>0</v>
      </c>
      <c r="L1702" s="6">
        <v>0.24299999999999999</v>
      </c>
      <c r="M1702" s="6">
        <v>0.24299999999999999</v>
      </c>
      <c r="N1702" s="6">
        <v>0.24299999999999999</v>
      </c>
      <c r="O1702" s="6">
        <v>0.24299999999999999</v>
      </c>
      <c r="P1702" s="6">
        <v>0</v>
      </c>
      <c r="Q1702" s="4" t="s">
        <v>26</v>
      </c>
      <c r="R1702" s="4">
        <v>0</v>
      </c>
      <c r="S1702" s="4" t="s">
        <v>618</v>
      </c>
      <c r="T1702" s="4" t="s">
        <v>882</v>
      </c>
      <c r="U1702" s="4">
        <v>0</v>
      </c>
      <c r="V1702" s="4">
        <v>68</v>
      </c>
      <c r="W1702" s="4">
        <v>111</v>
      </c>
    </row>
    <row r="1703" spans="1:23" ht="11.25" customHeight="1" x14ac:dyDescent="0.25">
      <c r="A1703" s="4" t="s">
        <v>21</v>
      </c>
      <c r="B1703" s="4" t="s">
        <v>37</v>
      </c>
      <c r="C1703" s="4" t="s">
        <v>33</v>
      </c>
      <c r="D1703" s="4" t="s">
        <v>43</v>
      </c>
      <c r="E1703" s="4" t="s">
        <v>25</v>
      </c>
      <c r="F1703" s="4" t="s">
        <v>25</v>
      </c>
      <c r="G1703" s="4" t="s">
        <v>25</v>
      </c>
      <c r="H1703" s="4" t="s">
        <v>35</v>
      </c>
      <c r="I1703" s="5">
        <v>44501</v>
      </c>
      <c r="J1703" s="6">
        <v>0</v>
      </c>
      <c r="K1703" s="6">
        <v>0</v>
      </c>
      <c r="L1703" s="6">
        <v>24.140999999999998</v>
      </c>
      <c r="M1703" s="6">
        <v>24.140999999999998</v>
      </c>
      <c r="N1703" s="6">
        <v>24.140999999999998</v>
      </c>
      <c r="O1703" s="6">
        <v>24.140999999999998</v>
      </c>
      <c r="P1703" s="6">
        <v>0</v>
      </c>
      <c r="Q1703" s="4" t="s">
        <v>26</v>
      </c>
      <c r="R1703" s="4">
        <v>0</v>
      </c>
      <c r="S1703" s="4" t="s">
        <v>619</v>
      </c>
      <c r="T1703" s="4" t="s">
        <v>883</v>
      </c>
      <c r="U1703" s="4">
        <v>0</v>
      </c>
      <c r="V1703" s="4">
        <v>68</v>
      </c>
      <c r="W1703" s="4">
        <v>111</v>
      </c>
    </row>
    <row r="1704" spans="1:23" ht="11.25" customHeight="1" x14ac:dyDescent="0.25">
      <c r="A1704" s="4" t="s">
        <v>28</v>
      </c>
      <c r="B1704" s="4" t="s">
        <v>37</v>
      </c>
      <c r="C1704" s="4" t="s">
        <v>33</v>
      </c>
      <c r="D1704" s="4" t="s">
        <v>43</v>
      </c>
      <c r="E1704" s="4" t="s">
        <v>25</v>
      </c>
      <c r="F1704" s="4" t="s">
        <v>25</v>
      </c>
      <c r="G1704" s="4" t="s">
        <v>25</v>
      </c>
      <c r="H1704" s="4" t="s">
        <v>35</v>
      </c>
      <c r="I1704" s="5">
        <v>44501</v>
      </c>
      <c r="J1704" s="6">
        <v>0</v>
      </c>
      <c r="K1704" s="6">
        <v>0</v>
      </c>
      <c r="L1704" s="6">
        <v>1.292</v>
      </c>
      <c r="M1704" s="6">
        <v>1.292</v>
      </c>
      <c r="N1704" s="6">
        <v>1.292</v>
      </c>
      <c r="O1704" s="6">
        <v>1.292</v>
      </c>
      <c r="P1704" s="6">
        <v>0</v>
      </c>
      <c r="Q1704" s="4" t="s">
        <v>26</v>
      </c>
      <c r="R1704" s="4">
        <v>0</v>
      </c>
      <c r="S1704" s="4" t="s">
        <v>619</v>
      </c>
      <c r="T1704" s="4" t="s">
        <v>883</v>
      </c>
      <c r="U1704" s="4">
        <v>0</v>
      </c>
      <c r="V1704" s="4">
        <v>68</v>
      </c>
      <c r="W1704" s="4">
        <v>111</v>
      </c>
    </row>
    <row r="1705" spans="1:23" ht="11.25" customHeight="1" x14ac:dyDescent="0.25">
      <c r="A1705" s="4" t="s">
        <v>21</v>
      </c>
      <c r="B1705" s="4" t="s">
        <v>37</v>
      </c>
      <c r="C1705" s="4" t="s">
        <v>33</v>
      </c>
      <c r="D1705" s="4" t="s">
        <v>43</v>
      </c>
      <c r="E1705" s="4" t="s">
        <v>25</v>
      </c>
      <c r="F1705" s="4" t="s">
        <v>25</v>
      </c>
      <c r="G1705" s="4" t="s">
        <v>25</v>
      </c>
      <c r="H1705" s="4" t="s">
        <v>35</v>
      </c>
      <c r="I1705" s="5">
        <v>44531</v>
      </c>
      <c r="J1705" s="6">
        <v>0</v>
      </c>
      <c r="K1705" s="6">
        <v>0</v>
      </c>
      <c r="L1705" s="6">
        <v>32.573</v>
      </c>
      <c r="M1705" s="6">
        <v>32.573</v>
      </c>
      <c r="N1705" s="6">
        <v>32.573</v>
      </c>
      <c r="O1705" s="6">
        <v>32.573</v>
      </c>
      <c r="P1705" s="6">
        <v>0</v>
      </c>
      <c r="Q1705" s="4" t="s">
        <v>26</v>
      </c>
      <c r="R1705" s="4">
        <v>0</v>
      </c>
      <c r="S1705" s="4" t="s">
        <v>620</v>
      </c>
      <c r="T1705" s="4" t="s">
        <v>884</v>
      </c>
      <c r="U1705" s="4">
        <v>0</v>
      </c>
      <c r="V1705" s="4">
        <v>68</v>
      </c>
      <c r="W1705" s="4">
        <v>111</v>
      </c>
    </row>
    <row r="1706" spans="1:23" ht="11.25" customHeight="1" x14ac:dyDescent="0.25">
      <c r="A1706" s="4" t="s">
        <v>28</v>
      </c>
      <c r="B1706" s="4" t="s">
        <v>37</v>
      </c>
      <c r="C1706" s="4" t="s">
        <v>33</v>
      </c>
      <c r="D1706" s="4" t="s">
        <v>43</v>
      </c>
      <c r="E1706" s="4" t="s">
        <v>25</v>
      </c>
      <c r="F1706" s="4" t="s">
        <v>25</v>
      </c>
      <c r="G1706" s="4" t="s">
        <v>25</v>
      </c>
      <c r="H1706" s="4" t="s">
        <v>35</v>
      </c>
      <c r="I1706" s="5">
        <v>44531</v>
      </c>
      <c r="J1706" s="6">
        <v>0</v>
      </c>
      <c r="K1706" s="6">
        <v>0</v>
      </c>
      <c r="L1706" s="6">
        <v>0.91600000000000004</v>
      </c>
      <c r="M1706" s="6">
        <v>0.91600000000000004</v>
      </c>
      <c r="N1706" s="6">
        <v>0.91600000000000004</v>
      </c>
      <c r="O1706" s="6">
        <v>0.91600000000000004</v>
      </c>
      <c r="P1706" s="6">
        <v>0</v>
      </c>
      <c r="Q1706" s="4" t="s">
        <v>26</v>
      </c>
      <c r="R1706" s="4">
        <v>0</v>
      </c>
      <c r="S1706" s="4" t="s">
        <v>620</v>
      </c>
      <c r="T1706" s="4" t="s">
        <v>884</v>
      </c>
      <c r="U1706" s="4">
        <v>0</v>
      </c>
      <c r="V1706" s="4">
        <v>68</v>
      </c>
      <c r="W1706" s="4">
        <v>111</v>
      </c>
    </row>
    <row r="1707" spans="1:23" ht="11.25" customHeight="1" x14ac:dyDescent="0.25">
      <c r="A1707" s="4" t="s">
        <v>21</v>
      </c>
      <c r="B1707" s="4" t="s">
        <v>37</v>
      </c>
      <c r="C1707" s="4" t="s">
        <v>33</v>
      </c>
      <c r="D1707" s="4" t="s">
        <v>43</v>
      </c>
      <c r="E1707" s="4" t="s">
        <v>25</v>
      </c>
      <c r="F1707" s="4" t="s">
        <v>25</v>
      </c>
      <c r="G1707" s="4" t="s">
        <v>25</v>
      </c>
      <c r="H1707" s="4" t="s">
        <v>35</v>
      </c>
      <c r="I1707" s="5">
        <v>44562</v>
      </c>
      <c r="J1707" s="6">
        <v>0</v>
      </c>
      <c r="K1707" s="6">
        <v>0</v>
      </c>
      <c r="L1707" s="6">
        <v>29.626000000000001</v>
      </c>
      <c r="M1707" s="6">
        <v>29.626000000000001</v>
      </c>
      <c r="N1707" s="6">
        <v>29.626000000000001</v>
      </c>
      <c r="O1707" s="6">
        <v>29.626000000000001</v>
      </c>
      <c r="P1707" s="6">
        <v>0</v>
      </c>
      <c r="Q1707" s="4" t="s">
        <v>26</v>
      </c>
      <c r="R1707" s="4">
        <v>0</v>
      </c>
      <c r="S1707" s="4" t="s">
        <v>621</v>
      </c>
      <c r="T1707" s="4" t="s">
        <v>885</v>
      </c>
      <c r="U1707" s="4">
        <v>0</v>
      </c>
      <c r="V1707" s="4">
        <v>68</v>
      </c>
      <c r="W1707" s="4">
        <v>111</v>
      </c>
    </row>
    <row r="1708" spans="1:23" ht="11.25" customHeight="1" x14ac:dyDescent="0.25">
      <c r="A1708" s="4" t="s">
        <v>27</v>
      </c>
      <c r="B1708" s="4" t="s">
        <v>37</v>
      </c>
      <c r="C1708" s="4" t="s">
        <v>33</v>
      </c>
      <c r="D1708" s="4" t="s">
        <v>43</v>
      </c>
      <c r="E1708" s="4" t="s">
        <v>25</v>
      </c>
      <c r="F1708" s="4" t="s">
        <v>25</v>
      </c>
      <c r="G1708" s="4" t="s">
        <v>25</v>
      </c>
      <c r="H1708" s="4" t="s">
        <v>35</v>
      </c>
      <c r="I1708" s="5">
        <v>44562</v>
      </c>
      <c r="J1708" s="6">
        <v>0</v>
      </c>
      <c r="K1708" s="6">
        <v>0</v>
      </c>
      <c r="L1708" s="6">
        <v>-4.0430000000000001</v>
      </c>
      <c r="M1708" s="6">
        <v>-4.0430000000000001</v>
      </c>
      <c r="N1708" s="6">
        <v>-4.0430000000000001</v>
      </c>
      <c r="O1708" s="6">
        <v>-4.0430000000000001</v>
      </c>
      <c r="P1708" s="6">
        <v>0</v>
      </c>
      <c r="Q1708" s="4" t="s">
        <v>26</v>
      </c>
      <c r="R1708" s="4">
        <v>0</v>
      </c>
      <c r="S1708" s="4" t="s">
        <v>621</v>
      </c>
      <c r="T1708" s="4" t="s">
        <v>885</v>
      </c>
      <c r="U1708" s="4">
        <v>0</v>
      </c>
      <c r="V1708" s="4">
        <v>68</v>
      </c>
      <c r="W1708" s="4">
        <v>111</v>
      </c>
    </row>
    <row r="1709" spans="1:23" ht="11.25" customHeight="1" x14ac:dyDescent="0.25">
      <c r="A1709" s="4" t="s">
        <v>28</v>
      </c>
      <c r="B1709" s="4" t="s">
        <v>37</v>
      </c>
      <c r="C1709" s="4" t="s">
        <v>33</v>
      </c>
      <c r="D1709" s="4" t="s">
        <v>43</v>
      </c>
      <c r="E1709" s="4" t="s">
        <v>25</v>
      </c>
      <c r="F1709" s="4" t="s">
        <v>25</v>
      </c>
      <c r="G1709" s="4" t="s">
        <v>25</v>
      </c>
      <c r="H1709" s="4" t="s">
        <v>35</v>
      </c>
      <c r="I1709" s="5">
        <v>44562</v>
      </c>
      <c r="J1709" s="6">
        <v>0</v>
      </c>
      <c r="K1709" s="6">
        <v>0</v>
      </c>
      <c r="L1709" s="6">
        <v>1.5860000000000001</v>
      </c>
      <c r="M1709" s="6">
        <v>1.5860000000000001</v>
      </c>
      <c r="N1709" s="6">
        <v>1.5860000000000001</v>
      </c>
      <c r="O1709" s="6">
        <v>1.5860000000000001</v>
      </c>
      <c r="P1709" s="6">
        <v>0</v>
      </c>
      <c r="Q1709" s="4" t="s">
        <v>26</v>
      </c>
      <c r="R1709" s="4">
        <v>0</v>
      </c>
      <c r="S1709" s="4" t="s">
        <v>621</v>
      </c>
      <c r="T1709" s="4" t="s">
        <v>885</v>
      </c>
      <c r="U1709" s="4">
        <v>0</v>
      </c>
      <c r="V1709" s="4">
        <v>68</v>
      </c>
      <c r="W1709" s="4">
        <v>111</v>
      </c>
    </row>
    <row r="1710" spans="1:23" ht="11.25" customHeight="1" x14ac:dyDescent="0.25">
      <c r="A1710" s="4" t="s">
        <v>21</v>
      </c>
      <c r="B1710" s="4" t="s">
        <v>37</v>
      </c>
      <c r="C1710" s="4" t="s">
        <v>33</v>
      </c>
      <c r="D1710" s="4" t="s">
        <v>43</v>
      </c>
      <c r="E1710" s="4" t="s">
        <v>25</v>
      </c>
      <c r="F1710" s="4" t="s">
        <v>25</v>
      </c>
      <c r="G1710" s="4" t="s">
        <v>25</v>
      </c>
      <c r="H1710" s="4" t="s">
        <v>35</v>
      </c>
      <c r="I1710" s="5">
        <v>44593</v>
      </c>
      <c r="J1710" s="6">
        <v>0</v>
      </c>
      <c r="K1710" s="6">
        <v>0</v>
      </c>
      <c r="L1710" s="6">
        <v>30.038</v>
      </c>
      <c r="M1710" s="6">
        <v>30.038</v>
      </c>
      <c r="N1710" s="6">
        <v>30.038</v>
      </c>
      <c r="O1710" s="6">
        <v>30.038</v>
      </c>
      <c r="P1710" s="6">
        <v>0</v>
      </c>
      <c r="Q1710" s="4" t="s">
        <v>26</v>
      </c>
      <c r="R1710" s="4">
        <v>0</v>
      </c>
      <c r="S1710" s="4" t="s">
        <v>622</v>
      </c>
      <c r="T1710" s="4" t="s">
        <v>886</v>
      </c>
      <c r="U1710" s="4">
        <v>0</v>
      </c>
      <c r="V1710" s="4">
        <v>68</v>
      </c>
      <c r="W1710" s="4">
        <v>111</v>
      </c>
    </row>
    <row r="1711" spans="1:23" ht="11.25" customHeight="1" x14ac:dyDescent="0.25">
      <c r="A1711" s="4" t="s">
        <v>28</v>
      </c>
      <c r="B1711" s="4" t="s">
        <v>37</v>
      </c>
      <c r="C1711" s="4" t="s">
        <v>33</v>
      </c>
      <c r="D1711" s="4" t="s">
        <v>43</v>
      </c>
      <c r="E1711" s="4" t="s">
        <v>25</v>
      </c>
      <c r="F1711" s="4" t="s">
        <v>25</v>
      </c>
      <c r="G1711" s="4" t="s">
        <v>25</v>
      </c>
      <c r="H1711" s="4" t="s">
        <v>35</v>
      </c>
      <c r="I1711" s="5">
        <v>44593</v>
      </c>
      <c r="J1711" s="6">
        <v>0</v>
      </c>
      <c r="K1711" s="6">
        <v>0</v>
      </c>
      <c r="L1711" s="6">
        <v>0.55500000000000005</v>
      </c>
      <c r="M1711" s="6">
        <v>0.55500000000000005</v>
      </c>
      <c r="N1711" s="6">
        <v>0.55500000000000005</v>
      </c>
      <c r="O1711" s="6">
        <v>0.55500000000000005</v>
      </c>
      <c r="P1711" s="6">
        <v>0</v>
      </c>
      <c r="Q1711" s="4" t="s">
        <v>26</v>
      </c>
      <c r="R1711" s="4">
        <v>0</v>
      </c>
      <c r="S1711" s="4" t="s">
        <v>622</v>
      </c>
      <c r="T1711" s="4" t="s">
        <v>886</v>
      </c>
      <c r="U1711" s="4">
        <v>0</v>
      </c>
      <c r="V1711" s="4">
        <v>68</v>
      </c>
      <c r="W1711" s="4">
        <v>111</v>
      </c>
    </row>
    <row r="1712" spans="1:23" ht="11.25" customHeight="1" x14ac:dyDescent="0.25">
      <c r="A1712" s="4" t="s">
        <v>21</v>
      </c>
      <c r="B1712" s="4" t="s">
        <v>37</v>
      </c>
      <c r="C1712" s="4" t="s">
        <v>33</v>
      </c>
      <c r="D1712" s="4" t="s">
        <v>43</v>
      </c>
      <c r="E1712" s="4" t="s">
        <v>25</v>
      </c>
      <c r="F1712" s="4" t="s">
        <v>25</v>
      </c>
      <c r="G1712" s="4" t="s">
        <v>25</v>
      </c>
      <c r="H1712" s="4" t="s">
        <v>35</v>
      </c>
      <c r="I1712" s="5">
        <v>44621</v>
      </c>
      <c r="J1712" s="6">
        <v>0</v>
      </c>
      <c r="K1712" s="6">
        <v>0</v>
      </c>
      <c r="L1712" s="6">
        <v>29.065000000000001</v>
      </c>
      <c r="M1712" s="6">
        <v>29.065000000000001</v>
      </c>
      <c r="N1712" s="6">
        <v>29.065000000000001</v>
      </c>
      <c r="O1712" s="6">
        <v>29.065000000000001</v>
      </c>
      <c r="P1712" s="6">
        <v>0</v>
      </c>
      <c r="Q1712" s="4" t="s">
        <v>26</v>
      </c>
      <c r="R1712" s="4">
        <v>0</v>
      </c>
      <c r="S1712" s="4" t="s">
        <v>623</v>
      </c>
      <c r="T1712" s="4" t="s">
        <v>887</v>
      </c>
      <c r="U1712" s="4">
        <v>0</v>
      </c>
      <c r="V1712" s="4">
        <v>68</v>
      </c>
      <c r="W1712" s="4">
        <v>111</v>
      </c>
    </row>
    <row r="1713" spans="1:23" ht="11.25" customHeight="1" x14ac:dyDescent="0.25">
      <c r="A1713" s="4" t="s">
        <v>28</v>
      </c>
      <c r="B1713" s="4" t="s">
        <v>37</v>
      </c>
      <c r="C1713" s="4" t="s">
        <v>33</v>
      </c>
      <c r="D1713" s="4" t="s">
        <v>43</v>
      </c>
      <c r="E1713" s="4" t="s">
        <v>25</v>
      </c>
      <c r="F1713" s="4" t="s">
        <v>25</v>
      </c>
      <c r="G1713" s="4" t="s">
        <v>25</v>
      </c>
      <c r="H1713" s="4" t="s">
        <v>35</v>
      </c>
      <c r="I1713" s="5">
        <v>44621</v>
      </c>
      <c r="J1713" s="6">
        <v>0</v>
      </c>
      <c r="K1713" s="6">
        <v>0</v>
      </c>
      <c r="L1713" s="6">
        <v>0.64200000000000002</v>
      </c>
      <c r="M1713" s="6">
        <v>0.64200000000000002</v>
      </c>
      <c r="N1713" s="6">
        <v>0.64200000000000002</v>
      </c>
      <c r="O1713" s="6">
        <v>0.64200000000000002</v>
      </c>
      <c r="P1713" s="6">
        <v>0</v>
      </c>
      <c r="Q1713" s="4" t="s">
        <v>26</v>
      </c>
      <c r="R1713" s="4">
        <v>0</v>
      </c>
      <c r="S1713" s="4" t="s">
        <v>623</v>
      </c>
      <c r="T1713" s="4" t="s">
        <v>887</v>
      </c>
      <c r="U1713" s="4">
        <v>0</v>
      </c>
      <c r="V1713" s="4">
        <v>68</v>
      </c>
      <c r="W1713" s="4">
        <v>111</v>
      </c>
    </row>
    <row r="1714" spans="1:23" ht="11.25" customHeight="1" x14ac:dyDescent="0.25">
      <c r="A1714" s="4" t="s">
        <v>21</v>
      </c>
      <c r="B1714" s="4" t="s">
        <v>37</v>
      </c>
      <c r="C1714" s="4" t="s">
        <v>33</v>
      </c>
      <c r="D1714" s="4" t="s">
        <v>43</v>
      </c>
      <c r="E1714" s="4" t="s">
        <v>25</v>
      </c>
      <c r="F1714" s="4" t="s">
        <v>25</v>
      </c>
      <c r="G1714" s="4" t="s">
        <v>25</v>
      </c>
      <c r="H1714" s="4" t="s">
        <v>35</v>
      </c>
      <c r="I1714" s="5">
        <v>44652</v>
      </c>
      <c r="J1714" s="6">
        <v>0</v>
      </c>
      <c r="K1714" s="6">
        <v>0</v>
      </c>
      <c r="L1714" s="6">
        <v>28.821999999999999</v>
      </c>
      <c r="M1714" s="6">
        <v>28.821999999999999</v>
      </c>
      <c r="N1714" s="6">
        <v>28.821999999999999</v>
      </c>
      <c r="O1714" s="6">
        <v>28.821999999999999</v>
      </c>
      <c r="P1714" s="6">
        <v>0</v>
      </c>
      <c r="Q1714" s="4" t="s">
        <v>26</v>
      </c>
      <c r="R1714" s="4">
        <v>0</v>
      </c>
      <c r="S1714" s="4" t="s">
        <v>624</v>
      </c>
      <c r="T1714" s="4" t="s">
        <v>888</v>
      </c>
      <c r="U1714" s="4">
        <v>0</v>
      </c>
      <c r="V1714" s="4">
        <v>68</v>
      </c>
      <c r="W1714" s="4">
        <v>111</v>
      </c>
    </row>
    <row r="1715" spans="1:23" ht="11.25" customHeight="1" x14ac:dyDescent="0.25">
      <c r="A1715" s="4" t="s">
        <v>28</v>
      </c>
      <c r="B1715" s="4" t="s">
        <v>37</v>
      </c>
      <c r="C1715" s="4" t="s">
        <v>33</v>
      </c>
      <c r="D1715" s="4" t="s">
        <v>43</v>
      </c>
      <c r="E1715" s="4" t="s">
        <v>25</v>
      </c>
      <c r="F1715" s="4" t="s">
        <v>25</v>
      </c>
      <c r="G1715" s="4" t="s">
        <v>25</v>
      </c>
      <c r="H1715" s="4" t="s">
        <v>35</v>
      </c>
      <c r="I1715" s="5">
        <v>44652</v>
      </c>
      <c r="J1715" s="6">
        <v>0</v>
      </c>
      <c r="K1715" s="6">
        <v>0</v>
      </c>
      <c r="L1715" s="6">
        <v>0.17599999999999999</v>
      </c>
      <c r="M1715" s="6">
        <v>0.17599999999999999</v>
      </c>
      <c r="N1715" s="6">
        <v>0.17599999999999999</v>
      </c>
      <c r="O1715" s="6">
        <v>0.17599999999999999</v>
      </c>
      <c r="P1715" s="6">
        <v>0</v>
      </c>
      <c r="Q1715" s="4" t="s">
        <v>26</v>
      </c>
      <c r="R1715" s="4">
        <v>0</v>
      </c>
      <c r="S1715" s="4" t="s">
        <v>624</v>
      </c>
      <c r="T1715" s="4" t="s">
        <v>888</v>
      </c>
      <c r="U1715" s="4">
        <v>0</v>
      </c>
      <c r="V1715" s="4">
        <v>68</v>
      </c>
      <c r="W1715" s="4">
        <v>111</v>
      </c>
    </row>
    <row r="1716" spans="1:23" ht="11.25" customHeight="1" x14ac:dyDescent="0.25">
      <c r="A1716" s="4" t="s">
        <v>58</v>
      </c>
      <c r="B1716" s="4" t="s">
        <v>37</v>
      </c>
      <c r="C1716" s="4" t="s">
        <v>33</v>
      </c>
      <c r="D1716" s="4" t="s">
        <v>43</v>
      </c>
      <c r="E1716" s="4" t="s">
        <v>25</v>
      </c>
      <c r="F1716" s="4" t="s">
        <v>25</v>
      </c>
      <c r="G1716" s="4" t="s">
        <v>25</v>
      </c>
      <c r="H1716" s="4" t="s">
        <v>35</v>
      </c>
      <c r="I1716" s="5">
        <v>44682</v>
      </c>
      <c r="J1716" s="6">
        <v>0</v>
      </c>
      <c r="K1716" s="6">
        <v>0</v>
      </c>
      <c r="L1716" s="6">
        <v>28.821999999999999</v>
      </c>
      <c r="M1716" s="6">
        <v>28.821999999999999</v>
      </c>
      <c r="N1716" s="6">
        <v>28.821999999999999</v>
      </c>
      <c r="O1716" s="6">
        <v>28.821999999999999</v>
      </c>
      <c r="P1716" s="6">
        <v>0</v>
      </c>
      <c r="Q1716" s="4" t="s">
        <v>26</v>
      </c>
      <c r="R1716" s="4">
        <v>0</v>
      </c>
      <c r="S1716" s="4" t="s">
        <v>625</v>
      </c>
      <c r="T1716" s="4" t="s">
        <v>889</v>
      </c>
      <c r="U1716" s="4">
        <v>0</v>
      </c>
      <c r="V1716" s="4">
        <v>68</v>
      </c>
      <c r="W1716" s="4">
        <v>111</v>
      </c>
    </row>
    <row r="1717" spans="1:23" ht="11.25" customHeight="1" x14ac:dyDescent="0.25">
      <c r="A1717" s="4" t="s">
        <v>58</v>
      </c>
      <c r="B1717" s="4" t="s">
        <v>37</v>
      </c>
      <c r="C1717" s="4" t="s">
        <v>33</v>
      </c>
      <c r="D1717" s="4" t="s">
        <v>43</v>
      </c>
      <c r="E1717" s="4" t="s">
        <v>25</v>
      </c>
      <c r="F1717" s="4" t="s">
        <v>25</v>
      </c>
      <c r="G1717" s="4" t="s">
        <v>25</v>
      </c>
      <c r="H1717" s="4" t="s">
        <v>35</v>
      </c>
      <c r="I1717" s="5">
        <v>44682</v>
      </c>
      <c r="J1717" s="6">
        <v>0</v>
      </c>
      <c r="K1717" s="6">
        <v>0</v>
      </c>
      <c r="L1717" s="6">
        <v>0.17599999999999999</v>
      </c>
      <c r="M1717" s="6">
        <v>0.17599999999999999</v>
      </c>
      <c r="N1717" s="6">
        <v>0.17599999999999999</v>
      </c>
      <c r="O1717" s="6">
        <v>0.17599999999999999</v>
      </c>
      <c r="P1717" s="6">
        <v>0</v>
      </c>
      <c r="Q1717" s="4" t="s">
        <v>26</v>
      </c>
      <c r="R1717" s="4">
        <v>0</v>
      </c>
      <c r="S1717" s="4" t="s">
        <v>625</v>
      </c>
      <c r="T1717" s="4" t="s">
        <v>889</v>
      </c>
      <c r="U1717" s="4">
        <v>0</v>
      </c>
      <c r="V1717" s="4">
        <v>68</v>
      </c>
      <c r="W1717" s="4">
        <v>111</v>
      </c>
    </row>
    <row r="1718" spans="1:23" ht="11.25" customHeight="1" x14ac:dyDescent="0.25">
      <c r="A1718" s="4" t="s">
        <v>21</v>
      </c>
      <c r="B1718" s="4" t="s">
        <v>37</v>
      </c>
      <c r="C1718" s="4" t="s">
        <v>33</v>
      </c>
      <c r="D1718" s="4" t="s">
        <v>43</v>
      </c>
      <c r="E1718" s="4" t="s">
        <v>25</v>
      </c>
      <c r="F1718" s="4" t="s">
        <v>25</v>
      </c>
      <c r="G1718" s="4" t="s">
        <v>25</v>
      </c>
      <c r="H1718" s="4" t="s">
        <v>36</v>
      </c>
      <c r="I1718" s="5">
        <v>44348</v>
      </c>
      <c r="J1718" s="6">
        <v>0</v>
      </c>
      <c r="K1718" s="6">
        <v>0</v>
      </c>
      <c r="L1718" s="6">
        <v>1.6850000000000001</v>
      </c>
      <c r="M1718" s="6">
        <v>1.6850000000000001</v>
      </c>
      <c r="N1718" s="6">
        <v>1.6850000000000001</v>
      </c>
      <c r="O1718" s="6">
        <v>1.6850000000000001</v>
      </c>
      <c r="P1718" s="6">
        <v>0</v>
      </c>
      <c r="Q1718" s="4" t="s">
        <v>26</v>
      </c>
      <c r="R1718" s="4">
        <v>0</v>
      </c>
      <c r="S1718" s="4" t="s">
        <v>626</v>
      </c>
      <c r="T1718" s="4" t="s">
        <v>890</v>
      </c>
      <c r="U1718" s="4">
        <v>0</v>
      </c>
      <c r="V1718" s="4">
        <v>67</v>
      </c>
      <c r="W1718" s="4">
        <v>110</v>
      </c>
    </row>
    <row r="1719" spans="1:23" ht="11.25" customHeight="1" x14ac:dyDescent="0.25">
      <c r="A1719" s="4" t="s">
        <v>28</v>
      </c>
      <c r="B1719" s="4" t="s">
        <v>37</v>
      </c>
      <c r="C1719" s="4" t="s">
        <v>33</v>
      </c>
      <c r="D1719" s="4" t="s">
        <v>43</v>
      </c>
      <c r="E1719" s="4" t="s">
        <v>25</v>
      </c>
      <c r="F1719" s="4" t="s">
        <v>25</v>
      </c>
      <c r="G1719" s="4" t="s">
        <v>25</v>
      </c>
      <c r="H1719" s="4" t="s">
        <v>36</v>
      </c>
      <c r="I1719" s="5">
        <v>44348</v>
      </c>
      <c r="J1719" s="6">
        <v>0</v>
      </c>
      <c r="K1719" s="6">
        <v>0</v>
      </c>
      <c r="L1719" s="6">
        <v>0.151</v>
      </c>
      <c r="M1719" s="6">
        <v>0.151</v>
      </c>
      <c r="N1719" s="6">
        <v>0.151</v>
      </c>
      <c r="O1719" s="6">
        <v>0.151</v>
      </c>
      <c r="P1719" s="6">
        <v>0</v>
      </c>
      <c r="Q1719" s="4" t="s">
        <v>26</v>
      </c>
      <c r="R1719" s="4">
        <v>0</v>
      </c>
      <c r="S1719" s="4" t="s">
        <v>626</v>
      </c>
      <c r="T1719" s="4" t="s">
        <v>890</v>
      </c>
      <c r="U1719" s="4">
        <v>0</v>
      </c>
      <c r="V1719" s="4">
        <v>67</v>
      </c>
      <c r="W1719" s="4">
        <v>110</v>
      </c>
    </row>
    <row r="1720" spans="1:23" ht="11.25" customHeight="1" x14ac:dyDescent="0.25">
      <c r="A1720" s="4" t="s">
        <v>21</v>
      </c>
      <c r="B1720" s="4" t="s">
        <v>37</v>
      </c>
      <c r="C1720" s="4" t="s">
        <v>33</v>
      </c>
      <c r="D1720" s="4" t="s">
        <v>43</v>
      </c>
      <c r="E1720" s="4" t="s">
        <v>25</v>
      </c>
      <c r="F1720" s="4" t="s">
        <v>25</v>
      </c>
      <c r="G1720" s="4" t="s">
        <v>25</v>
      </c>
      <c r="H1720" s="4" t="s">
        <v>36</v>
      </c>
      <c r="I1720" s="5">
        <v>44378</v>
      </c>
      <c r="J1720" s="6">
        <v>0</v>
      </c>
      <c r="K1720" s="6">
        <v>0</v>
      </c>
      <c r="L1720" s="6">
        <v>1.4850000000000001</v>
      </c>
      <c r="M1720" s="6">
        <v>1.4850000000000001</v>
      </c>
      <c r="N1720" s="6">
        <v>1.4850000000000001</v>
      </c>
      <c r="O1720" s="6">
        <v>1.4850000000000001</v>
      </c>
      <c r="P1720" s="6">
        <v>0</v>
      </c>
      <c r="Q1720" s="4" t="s">
        <v>26</v>
      </c>
      <c r="R1720" s="4">
        <v>0</v>
      </c>
      <c r="S1720" s="4" t="s">
        <v>627</v>
      </c>
      <c r="T1720" s="4" t="s">
        <v>891</v>
      </c>
      <c r="U1720" s="4">
        <v>0</v>
      </c>
      <c r="V1720" s="4">
        <v>67</v>
      </c>
      <c r="W1720" s="4">
        <v>110</v>
      </c>
    </row>
    <row r="1721" spans="1:23" ht="11.25" customHeight="1" x14ac:dyDescent="0.25">
      <c r="A1721" s="4" t="s">
        <v>28</v>
      </c>
      <c r="B1721" s="4" t="s">
        <v>37</v>
      </c>
      <c r="C1721" s="4" t="s">
        <v>33</v>
      </c>
      <c r="D1721" s="4" t="s">
        <v>43</v>
      </c>
      <c r="E1721" s="4" t="s">
        <v>25</v>
      </c>
      <c r="F1721" s="4" t="s">
        <v>25</v>
      </c>
      <c r="G1721" s="4" t="s">
        <v>25</v>
      </c>
      <c r="H1721" s="4" t="s">
        <v>36</v>
      </c>
      <c r="I1721" s="5">
        <v>44378</v>
      </c>
      <c r="J1721" s="6">
        <v>0</v>
      </c>
      <c r="K1721" s="6">
        <v>0</v>
      </c>
      <c r="L1721" s="6">
        <v>0.153</v>
      </c>
      <c r="M1721" s="6">
        <v>0.153</v>
      </c>
      <c r="N1721" s="6">
        <v>0.153</v>
      </c>
      <c r="O1721" s="6">
        <v>0.153</v>
      </c>
      <c r="P1721" s="6">
        <v>0</v>
      </c>
      <c r="Q1721" s="4" t="s">
        <v>26</v>
      </c>
      <c r="R1721" s="4">
        <v>0</v>
      </c>
      <c r="S1721" s="4" t="s">
        <v>627</v>
      </c>
      <c r="T1721" s="4" t="s">
        <v>891</v>
      </c>
      <c r="U1721" s="4">
        <v>0</v>
      </c>
      <c r="V1721" s="4">
        <v>67</v>
      </c>
      <c r="W1721" s="4">
        <v>110</v>
      </c>
    </row>
    <row r="1722" spans="1:23" ht="11.25" customHeight="1" x14ac:dyDescent="0.25">
      <c r="A1722" s="4" t="s">
        <v>21</v>
      </c>
      <c r="B1722" s="4" t="s">
        <v>37</v>
      </c>
      <c r="C1722" s="4" t="s">
        <v>33</v>
      </c>
      <c r="D1722" s="4" t="s">
        <v>43</v>
      </c>
      <c r="E1722" s="4" t="s">
        <v>25</v>
      </c>
      <c r="F1722" s="4" t="s">
        <v>25</v>
      </c>
      <c r="G1722" s="4" t="s">
        <v>25</v>
      </c>
      <c r="H1722" s="4" t="s">
        <v>36</v>
      </c>
      <c r="I1722" s="5">
        <v>44409</v>
      </c>
      <c r="J1722" s="6">
        <v>0</v>
      </c>
      <c r="K1722" s="6">
        <v>0</v>
      </c>
      <c r="L1722" s="6">
        <v>1.59</v>
      </c>
      <c r="M1722" s="6">
        <v>1.59</v>
      </c>
      <c r="N1722" s="6">
        <v>1.59</v>
      </c>
      <c r="O1722" s="6">
        <v>1.59</v>
      </c>
      <c r="P1722" s="6">
        <v>0</v>
      </c>
      <c r="Q1722" s="4" t="s">
        <v>26</v>
      </c>
      <c r="R1722" s="4">
        <v>0</v>
      </c>
      <c r="S1722" s="4" t="s">
        <v>628</v>
      </c>
      <c r="T1722" s="4" t="s">
        <v>892</v>
      </c>
      <c r="U1722" s="4">
        <v>0</v>
      </c>
      <c r="V1722" s="4">
        <v>67</v>
      </c>
      <c r="W1722" s="4">
        <v>110</v>
      </c>
    </row>
    <row r="1723" spans="1:23" ht="11.25" customHeight="1" x14ac:dyDescent="0.25">
      <c r="A1723" s="4" t="s">
        <v>28</v>
      </c>
      <c r="B1723" s="4" t="s">
        <v>37</v>
      </c>
      <c r="C1723" s="4" t="s">
        <v>33</v>
      </c>
      <c r="D1723" s="4" t="s">
        <v>43</v>
      </c>
      <c r="E1723" s="4" t="s">
        <v>25</v>
      </c>
      <c r="F1723" s="4" t="s">
        <v>25</v>
      </c>
      <c r="G1723" s="4" t="s">
        <v>25</v>
      </c>
      <c r="H1723" s="4" t="s">
        <v>36</v>
      </c>
      <c r="I1723" s="5">
        <v>44409</v>
      </c>
      <c r="J1723" s="6">
        <v>0</v>
      </c>
      <c r="K1723" s="6">
        <v>0</v>
      </c>
      <c r="L1723" s="6">
        <v>0.156</v>
      </c>
      <c r="M1723" s="6">
        <v>0.156</v>
      </c>
      <c r="N1723" s="6">
        <v>0.156</v>
      </c>
      <c r="O1723" s="6">
        <v>0.156</v>
      </c>
      <c r="P1723" s="6">
        <v>0</v>
      </c>
      <c r="Q1723" s="4" t="s">
        <v>26</v>
      </c>
      <c r="R1723" s="4">
        <v>0</v>
      </c>
      <c r="S1723" s="4" t="s">
        <v>628</v>
      </c>
      <c r="T1723" s="4" t="s">
        <v>892</v>
      </c>
      <c r="U1723" s="4">
        <v>0</v>
      </c>
      <c r="V1723" s="4">
        <v>67</v>
      </c>
      <c r="W1723" s="4">
        <v>110</v>
      </c>
    </row>
    <row r="1724" spans="1:23" ht="11.25" customHeight="1" x14ac:dyDescent="0.25">
      <c r="A1724" s="4" t="s">
        <v>21</v>
      </c>
      <c r="B1724" s="4" t="s">
        <v>37</v>
      </c>
      <c r="C1724" s="4" t="s">
        <v>33</v>
      </c>
      <c r="D1724" s="4" t="s">
        <v>43</v>
      </c>
      <c r="E1724" s="4" t="s">
        <v>25</v>
      </c>
      <c r="F1724" s="4" t="s">
        <v>25</v>
      </c>
      <c r="G1724" s="4" t="s">
        <v>25</v>
      </c>
      <c r="H1724" s="4" t="s">
        <v>36</v>
      </c>
      <c r="I1724" s="5">
        <v>44440</v>
      </c>
      <c r="J1724" s="6">
        <v>0</v>
      </c>
      <c r="K1724" s="6">
        <v>0</v>
      </c>
      <c r="L1724" s="6">
        <v>1.8169999999999999</v>
      </c>
      <c r="M1724" s="6">
        <v>1.8169999999999999</v>
      </c>
      <c r="N1724" s="6">
        <v>1.8169999999999999</v>
      </c>
      <c r="O1724" s="6">
        <v>1.8169999999999999</v>
      </c>
      <c r="P1724" s="6">
        <v>0</v>
      </c>
      <c r="Q1724" s="4" t="s">
        <v>26</v>
      </c>
      <c r="R1724" s="4">
        <v>0</v>
      </c>
      <c r="S1724" s="4" t="s">
        <v>629</v>
      </c>
      <c r="T1724" s="4" t="s">
        <v>893</v>
      </c>
      <c r="U1724" s="4">
        <v>0</v>
      </c>
      <c r="V1724" s="4">
        <v>67</v>
      </c>
      <c r="W1724" s="4">
        <v>110</v>
      </c>
    </row>
    <row r="1725" spans="1:23" ht="11.25" customHeight="1" x14ac:dyDescent="0.25">
      <c r="A1725" s="4" t="s">
        <v>28</v>
      </c>
      <c r="B1725" s="4" t="s">
        <v>37</v>
      </c>
      <c r="C1725" s="4" t="s">
        <v>33</v>
      </c>
      <c r="D1725" s="4" t="s">
        <v>43</v>
      </c>
      <c r="E1725" s="4" t="s">
        <v>25</v>
      </c>
      <c r="F1725" s="4" t="s">
        <v>25</v>
      </c>
      <c r="G1725" s="4" t="s">
        <v>25</v>
      </c>
      <c r="H1725" s="4" t="s">
        <v>36</v>
      </c>
      <c r="I1725" s="5">
        <v>44440</v>
      </c>
      <c r="J1725" s="6">
        <v>0</v>
      </c>
      <c r="K1725" s="6">
        <v>0</v>
      </c>
      <c r="L1725" s="6">
        <v>0.17100000000000001</v>
      </c>
      <c r="M1725" s="6">
        <v>0.17100000000000001</v>
      </c>
      <c r="N1725" s="6">
        <v>0.17100000000000001</v>
      </c>
      <c r="O1725" s="6">
        <v>0.17100000000000001</v>
      </c>
      <c r="P1725" s="6">
        <v>0</v>
      </c>
      <c r="Q1725" s="4" t="s">
        <v>26</v>
      </c>
      <c r="R1725" s="4">
        <v>0</v>
      </c>
      <c r="S1725" s="4" t="s">
        <v>629</v>
      </c>
      <c r="T1725" s="4" t="s">
        <v>893</v>
      </c>
      <c r="U1725" s="4">
        <v>0</v>
      </c>
      <c r="V1725" s="4">
        <v>67</v>
      </c>
      <c r="W1725" s="4">
        <v>110</v>
      </c>
    </row>
    <row r="1726" spans="1:23" ht="11.25" customHeight="1" x14ac:dyDescent="0.25">
      <c r="A1726" s="4" t="s">
        <v>21</v>
      </c>
      <c r="B1726" s="4" t="s">
        <v>37</v>
      </c>
      <c r="C1726" s="4" t="s">
        <v>33</v>
      </c>
      <c r="D1726" s="4" t="s">
        <v>43</v>
      </c>
      <c r="E1726" s="4" t="s">
        <v>25</v>
      </c>
      <c r="F1726" s="4" t="s">
        <v>25</v>
      </c>
      <c r="G1726" s="4" t="s">
        <v>25</v>
      </c>
      <c r="H1726" s="4" t="s">
        <v>36</v>
      </c>
      <c r="I1726" s="5">
        <v>44470</v>
      </c>
      <c r="J1726" s="6">
        <v>0</v>
      </c>
      <c r="K1726" s="6">
        <v>0</v>
      </c>
      <c r="L1726" s="6">
        <v>2.0070000000000001</v>
      </c>
      <c r="M1726" s="6">
        <v>2.0070000000000001</v>
      </c>
      <c r="N1726" s="6">
        <v>2.0070000000000001</v>
      </c>
      <c r="O1726" s="6">
        <v>2.0070000000000001</v>
      </c>
      <c r="P1726" s="6">
        <v>0</v>
      </c>
      <c r="Q1726" s="4" t="s">
        <v>26</v>
      </c>
      <c r="R1726" s="4">
        <v>0</v>
      </c>
      <c r="S1726" s="4" t="s">
        <v>630</v>
      </c>
      <c r="T1726" s="4" t="s">
        <v>894</v>
      </c>
      <c r="U1726" s="4">
        <v>0</v>
      </c>
      <c r="V1726" s="4">
        <v>67</v>
      </c>
      <c r="W1726" s="4">
        <v>110</v>
      </c>
    </row>
    <row r="1727" spans="1:23" ht="11.25" customHeight="1" x14ac:dyDescent="0.25">
      <c r="A1727" s="4" t="s">
        <v>28</v>
      </c>
      <c r="B1727" s="4" t="s">
        <v>37</v>
      </c>
      <c r="C1727" s="4" t="s">
        <v>33</v>
      </c>
      <c r="D1727" s="4" t="s">
        <v>43</v>
      </c>
      <c r="E1727" s="4" t="s">
        <v>25</v>
      </c>
      <c r="F1727" s="4" t="s">
        <v>25</v>
      </c>
      <c r="G1727" s="4" t="s">
        <v>25</v>
      </c>
      <c r="H1727" s="4" t="s">
        <v>36</v>
      </c>
      <c r="I1727" s="5">
        <v>44470</v>
      </c>
      <c r="J1727" s="6">
        <v>0</v>
      </c>
      <c r="K1727" s="6">
        <v>0</v>
      </c>
      <c r="L1727" s="6">
        <v>0.16700000000000001</v>
      </c>
      <c r="M1727" s="6">
        <v>0.16700000000000001</v>
      </c>
      <c r="N1727" s="6">
        <v>0.16700000000000001</v>
      </c>
      <c r="O1727" s="6">
        <v>0.16700000000000001</v>
      </c>
      <c r="P1727" s="6">
        <v>0</v>
      </c>
      <c r="Q1727" s="4" t="s">
        <v>26</v>
      </c>
      <c r="R1727" s="4">
        <v>0</v>
      </c>
      <c r="S1727" s="4" t="s">
        <v>630</v>
      </c>
      <c r="T1727" s="4" t="s">
        <v>894</v>
      </c>
      <c r="U1727" s="4">
        <v>0</v>
      </c>
      <c r="V1727" s="4">
        <v>67</v>
      </c>
      <c r="W1727" s="4">
        <v>110</v>
      </c>
    </row>
    <row r="1728" spans="1:23" ht="11.25" customHeight="1" x14ac:dyDescent="0.25">
      <c r="A1728" s="4" t="s">
        <v>21</v>
      </c>
      <c r="B1728" s="4" t="s">
        <v>37</v>
      </c>
      <c r="C1728" s="4" t="s">
        <v>33</v>
      </c>
      <c r="D1728" s="4" t="s">
        <v>43</v>
      </c>
      <c r="E1728" s="4" t="s">
        <v>25</v>
      </c>
      <c r="F1728" s="4" t="s">
        <v>25</v>
      </c>
      <c r="G1728" s="4" t="s">
        <v>25</v>
      </c>
      <c r="H1728" s="4" t="s">
        <v>36</v>
      </c>
      <c r="I1728" s="5">
        <v>44501</v>
      </c>
      <c r="J1728" s="6">
        <v>0</v>
      </c>
      <c r="K1728" s="6">
        <v>0</v>
      </c>
      <c r="L1728" s="6">
        <v>1.679</v>
      </c>
      <c r="M1728" s="6">
        <v>1.679</v>
      </c>
      <c r="N1728" s="6">
        <v>1.679</v>
      </c>
      <c r="O1728" s="6">
        <v>1.679</v>
      </c>
      <c r="P1728" s="6">
        <v>0</v>
      </c>
      <c r="Q1728" s="4" t="s">
        <v>26</v>
      </c>
      <c r="R1728" s="4">
        <v>0</v>
      </c>
      <c r="S1728" s="4" t="s">
        <v>631</v>
      </c>
      <c r="T1728" s="4" t="s">
        <v>895</v>
      </c>
      <c r="U1728" s="4">
        <v>0</v>
      </c>
      <c r="V1728" s="4">
        <v>67</v>
      </c>
      <c r="W1728" s="4">
        <v>110</v>
      </c>
    </row>
    <row r="1729" spans="1:23" ht="11.25" customHeight="1" x14ac:dyDescent="0.25">
      <c r="A1729" s="4" t="s">
        <v>28</v>
      </c>
      <c r="B1729" s="4" t="s">
        <v>37</v>
      </c>
      <c r="C1729" s="4" t="s">
        <v>33</v>
      </c>
      <c r="D1729" s="4" t="s">
        <v>43</v>
      </c>
      <c r="E1729" s="4" t="s">
        <v>25</v>
      </c>
      <c r="F1729" s="4" t="s">
        <v>25</v>
      </c>
      <c r="G1729" s="4" t="s">
        <v>25</v>
      </c>
      <c r="H1729" s="4" t="s">
        <v>36</v>
      </c>
      <c r="I1729" s="5">
        <v>44501</v>
      </c>
      <c r="J1729" s="6">
        <v>0</v>
      </c>
      <c r="K1729" s="6">
        <v>0</v>
      </c>
      <c r="L1729" s="6">
        <v>0.161</v>
      </c>
      <c r="M1729" s="6">
        <v>0.161</v>
      </c>
      <c r="N1729" s="6">
        <v>0.161</v>
      </c>
      <c r="O1729" s="6">
        <v>0.161</v>
      </c>
      <c r="P1729" s="6">
        <v>0</v>
      </c>
      <c r="Q1729" s="4" t="s">
        <v>26</v>
      </c>
      <c r="R1729" s="4">
        <v>0</v>
      </c>
      <c r="S1729" s="4" t="s">
        <v>631</v>
      </c>
      <c r="T1729" s="4" t="s">
        <v>895</v>
      </c>
      <c r="U1729" s="4">
        <v>0</v>
      </c>
      <c r="V1729" s="4">
        <v>67</v>
      </c>
      <c r="W1729" s="4">
        <v>110</v>
      </c>
    </row>
    <row r="1730" spans="1:23" ht="11.25" customHeight="1" x14ac:dyDescent="0.25">
      <c r="A1730" s="4" t="s">
        <v>21</v>
      </c>
      <c r="B1730" s="4" t="s">
        <v>37</v>
      </c>
      <c r="C1730" s="4" t="s">
        <v>33</v>
      </c>
      <c r="D1730" s="4" t="s">
        <v>43</v>
      </c>
      <c r="E1730" s="4" t="s">
        <v>25</v>
      </c>
      <c r="F1730" s="4" t="s">
        <v>25</v>
      </c>
      <c r="G1730" s="4" t="s">
        <v>25</v>
      </c>
      <c r="H1730" s="4" t="s">
        <v>36</v>
      </c>
      <c r="I1730" s="5">
        <v>44531</v>
      </c>
      <c r="J1730" s="6">
        <v>0</v>
      </c>
      <c r="K1730" s="6">
        <v>0</v>
      </c>
      <c r="L1730" s="6">
        <v>2.3490000000000002</v>
      </c>
      <c r="M1730" s="6">
        <v>2.3490000000000002</v>
      </c>
      <c r="N1730" s="6">
        <v>2.3490000000000002</v>
      </c>
      <c r="O1730" s="6">
        <v>2.3490000000000002</v>
      </c>
      <c r="P1730" s="6">
        <v>0</v>
      </c>
      <c r="Q1730" s="4" t="s">
        <v>26</v>
      </c>
      <c r="R1730" s="4">
        <v>0</v>
      </c>
      <c r="S1730" s="4" t="s">
        <v>632</v>
      </c>
      <c r="T1730" s="4" t="s">
        <v>896</v>
      </c>
      <c r="U1730" s="4">
        <v>0</v>
      </c>
      <c r="V1730" s="4">
        <v>67</v>
      </c>
      <c r="W1730" s="4">
        <v>110</v>
      </c>
    </row>
    <row r="1731" spans="1:23" ht="11.25" customHeight="1" x14ac:dyDescent="0.25">
      <c r="A1731" s="4" t="s">
        <v>28</v>
      </c>
      <c r="B1731" s="4" t="s">
        <v>37</v>
      </c>
      <c r="C1731" s="4" t="s">
        <v>33</v>
      </c>
      <c r="D1731" s="4" t="s">
        <v>43</v>
      </c>
      <c r="E1731" s="4" t="s">
        <v>25</v>
      </c>
      <c r="F1731" s="4" t="s">
        <v>25</v>
      </c>
      <c r="G1731" s="4" t="s">
        <v>25</v>
      </c>
      <c r="H1731" s="4" t="s">
        <v>36</v>
      </c>
      <c r="I1731" s="5">
        <v>44531</v>
      </c>
      <c r="J1731" s="6">
        <v>0</v>
      </c>
      <c r="K1731" s="6">
        <v>0</v>
      </c>
      <c r="L1731" s="6">
        <v>0.17799999999999999</v>
      </c>
      <c r="M1731" s="6">
        <v>0.17799999999999999</v>
      </c>
      <c r="N1731" s="6">
        <v>0.17799999999999999</v>
      </c>
      <c r="O1731" s="6">
        <v>0.17799999999999999</v>
      </c>
      <c r="P1731" s="6">
        <v>0</v>
      </c>
      <c r="Q1731" s="4" t="s">
        <v>26</v>
      </c>
      <c r="R1731" s="4">
        <v>0</v>
      </c>
      <c r="S1731" s="4" t="s">
        <v>632</v>
      </c>
      <c r="T1731" s="4" t="s">
        <v>896</v>
      </c>
      <c r="U1731" s="4">
        <v>0</v>
      </c>
      <c r="V1731" s="4">
        <v>67</v>
      </c>
      <c r="W1731" s="4">
        <v>110</v>
      </c>
    </row>
    <row r="1732" spans="1:23" ht="11.25" customHeight="1" x14ac:dyDescent="0.25">
      <c r="A1732" s="4" t="s">
        <v>21</v>
      </c>
      <c r="B1732" s="4" t="s">
        <v>37</v>
      </c>
      <c r="C1732" s="4" t="s">
        <v>33</v>
      </c>
      <c r="D1732" s="4" t="s">
        <v>43</v>
      </c>
      <c r="E1732" s="4" t="s">
        <v>25</v>
      </c>
      <c r="F1732" s="4" t="s">
        <v>25</v>
      </c>
      <c r="G1732" s="4" t="s">
        <v>25</v>
      </c>
      <c r="H1732" s="4" t="s">
        <v>36</v>
      </c>
      <c r="I1732" s="5">
        <v>44562</v>
      </c>
      <c r="J1732" s="6">
        <v>0</v>
      </c>
      <c r="K1732" s="6">
        <v>0</v>
      </c>
      <c r="L1732" s="6">
        <v>2.1150000000000002</v>
      </c>
      <c r="M1732" s="6">
        <v>2.1150000000000002</v>
      </c>
      <c r="N1732" s="6">
        <v>2.1150000000000002</v>
      </c>
      <c r="O1732" s="6">
        <v>2.1150000000000002</v>
      </c>
      <c r="P1732" s="6">
        <v>0</v>
      </c>
      <c r="Q1732" s="4" t="s">
        <v>26</v>
      </c>
      <c r="R1732" s="4">
        <v>0</v>
      </c>
      <c r="S1732" s="4" t="s">
        <v>633</v>
      </c>
      <c r="T1732" s="4" t="s">
        <v>897</v>
      </c>
      <c r="U1732" s="4">
        <v>0</v>
      </c>
      <c r="V1732" s="4">
        <v>67</v>
      </c>
      <c r="W1732" s="4">
        <v>110</v>
      </c>
    </row>
    <row r="1733" spans="1:23" ht="11.25" customHeight="1" x14ac:dyDescent="0.25">
      <c r="A1733" s="4" t="s">
        <v>27</v>
      </c>
      <c r="B1733" s="4" t="s">
        <v>37</v>
      </c>
      <c r="C1733" s="4" t="s">
        <v>33</v>
      </c>
      <c r="D1733" s="4" t="s">
        <v>43</v>
      </c>
      <c r="E1733" s="4" t="s">
        <v>25</v>
      </c>
      <c r="F1733" s="4" t="s">
        <v>25</v>
      </c>
      <c r="G1733" s="4" t="s">
        <v>25</v>
      </c>
      <c r="H1733" s="4" t="s">
        <v>36</v>
      </c>
      <c r="I1733" s="5">
        <v>44562</v>
      </c>
      <c r="J1733" s="6">
        <v>0</v>
      </c>
      <c r="K1733" s="6">
        <v>0</v>
      </c>
      <c r="L1733" s="6">
        <v>-0.36</v>
      </c>
      <c r="M1733" s="6">
        <v>-0.36</v>
      </c>
      <c r="N1733" s="6">
        <v>-0.36</v>
      </c>
      <c r="O1733" s="6">
        <v>-0.36</v>
      </c>
      <c r="P1733" s="6">
        <v>0</v>
      </c>
      <c r="Q1733" s="4" t="s">
        <v>26</v>
      </c>
      <c r="R1733" s="4">
        <v>0</v>
      </c>
      <c r="S1733" s="4" t="s">
        <v>633</v>
      </c>
      <c r="T1733" s="4" t="s">
        <v>897</v>
      </c>
      <c r="U1733" s="4">
        <v>0</v>
      </c>
      <c r="V1733" s="4">
        <v>67</v>
      </c>
      <c r="W1733" s="4">
        <v>110</v>
      </c>
    </row>
    <row r="1734" spans="1:23" ht="11.25" customHeight="1" x14ac:dyDescent="0.25">
      <c r="A1734" s="4" t="s">
        <v>28</v>
      </c>
      <c r="B1734" s="4" t="s">
        <v>37</v>
      </c>
      <c r="C1734" s="4" t="s">
        <v>33</v>
      </c>
      <c r="D1734" s="4" t="s">
        <v>43</v>
      </c>
      <c r="E1734" s="4" t="s">
        <v>25</v>
      </c>
      <c r="F1734" s="4" t="s">
        <v>25</v>
      </c>
      <c r="G1734" s="4" t="s">
        <v>25</v>
      </c>
      <c r="H1734" s="4" t="s">
        <v>36</v>
      </c>
      <c r="I1734" s="5">
        <v>44562</v>
      </c>
      <c r="J1734" s="6">
        <v>0</v>
      </c>
      <c r="K1734" s="6">
        <v>0</v>
      </c>
      <c r="L1734" s="6">
        <v>0.191</v>
      </c>
      <c r="M1734" s="6">
        <v>0.191</v>
      </c>
      <c r="N1734" s="6">
        <v>0.191</v>
      </c>
      <c r="O1734" s="6">
        <v>0.191</v>
      </c>
      <c r="P1734" s="6">
        <v>0</v>
      </c>
      <c r="Q1734" s="4" t="s">
        <v>26</v>
      </c>
      <c r="R1734" s="4">
        <v>0</v>
      </c>
      <c r="S1734" s="4" t="s">
        <v>633</v>
      </c>
      <c r="T1734" s="4" t="s">
        <v>897</v>
      </c>
      <c r="U1734" s="4">
        <v>0</v>
      </c>
      <c r="V1734" s="4">
        <v>67</v>
      </c>
      <c r="W1734" s="4">
        <v>110</v>
      </c>
    </row>
    <row r="1735" spans="1:23" ht="11.25" customHeight="1" x14ac:dyDescent="0.25">
      <c r="A1735" s="4" t="s">
        <v>21</v>
      </c>
      <c r="B1735" s="4" t="s">
        <v>37</v>
      </c>
      <c r="C1735" s="4" t="s">
        <v>33</v>
      </c>
      <c r="D1735" s="4" t="s">
        <v>43</v>
      </c>
      <c r="E1735" s="4" t="s">
        <v>25</v>
      </c>
      <c r="F1735" s="4" t="s">
        <v>25</v>
      </c>
      <c r="G1735" s="4" t="s">
        <v>25</v>
      </c>
      <c r="H1735" s="4" t="s">
        <v>36</v>
      </c>
      <c r="I1735" s="5">
        <v>44593</v>
      </c>
      <c r="J1735" s="6">
        <v>0</v>
      </c>
      <c r="K1735" s="6">
        <v>0</v>
      </c>
      <c r="L1735" s="6">
        <v>2.2090000000000001</v>
      </c>
      <c r="M1735" s="6">
        <v>2.2090000000000001</v>
      </c>
      <c r="N1735" s="6">
        <v>2.2090000000000001</v>
      </c>
      <c r="O1735" s="6">
        <v>2.2090000000000001</v>
      </c>
      <c r="P1735" s="6">
        <v>0</v>
      </c>
      <c r="Q1735" s="4" t="s">
        <v>26</v>
      </c>
      <c r="R1735" s="4">
        <v>0</v>
      </c>
      <c r="S1735" s="4" t="s">
        <v>634</v>
      </c>
      <c r="T1735" s="4" t="s">
        <v>898</v>
      </c>
      <c r="U1735" s="4">
        <v>0</v>
      </c>
      <c r="V1735" s="4">
        <v>67</v>
      </c>
      <c r="W1735" s="4">
        <v>110</v>
      </c>
    </row>
    <row r="1736" spans="1:23" ht="11.25" customHeight="1" x14ac:dyDescent="0.25">
      <c r="A1736" s="4" t="s">
        <v>28</v>
      </c>
      <c r="B1736" s="4" t="s">
        <v>37</v>
      </c>
      <c r="C1736" s="4" t="s">
        <v>33</v>
      </c>
      <c r="D1736" s="4" t="s">
        <v>43</v>
      </c>
      <c r="E1736" s="4" t="s">
        <v>25</v>
      </c>
      <c r="F1736" s="4" t="s">
        <v>25</v>
      </c>
      <c r="G1736" s="4" t="s">
        <v>25</v>
      </c>
      <c r="H1736" s="4" t="s">
        <v>36</v>
      </c>
      <c r="I1736" s="5">
        <v>44593</v>
      </c>
      <c r="J1736" s="6">
        <v>0</v>
      </c>
      <c r="K1736" s="6">
        <v>0</v>
      </c>
      <c r="L1736" s="6">
        <v>0.16400000000000001</v>
      </c>
      <c r="M1736" s="6">
        <v>0.16400000000000001</v>
      </c>
      <c r="N1736" s="6">
        <v>0.16400000000000001</v>
      </c>
      <c r="O1736" s="6">
        <v>0.16400000000000001</v>
      </c>
      <c r="P1736" s="6">
        <v>0</v>
      </c>
      <c r="Q1736" s="4" t="s">
        <v>26</v>
      </c>
      <c r="R1736" s="4">
        <v>0</v>
      </c>
      <c r="S1736" s="4" t="s">
        <v>634</v>
      </c>
      <c r="T1736" s="4" t="s">
        <v>898</v>
      </c>
      <c r="U1736" s="4">
        <v>0</v>
      </c>
      <c r="V1736" s="4">
        <v>67</v>
      </c>
      <c r="W1736" s="4">
        <v>110</v>
      </c>
    </row>
    <row r="1737" spans="1:23" ht="11.25" customHeight="1" x14ac:dyDescent="0.25">
      <c r="A1737" s="4" t="s">
        <v>21</v>
      </c>
      <c r="B1737" s="4" t="s">
        <v>37</v>
      </c>
      <c r="C1737" s="4" t="s">
        <v>33</v>
      </c>
      <c r="D1737" s="4" t="s">
        <v>43</v>
      </c>
      <c r="E1737" s="4" t="s">
        <v>25</v>
      </c>
      <c r="F1737" s="4" t="s">
        <v>25</v>
      </c>
      <c r="G1737" s="4" t="s">
        <v>25</v>
      </c>
      <c r="H1737" s="4" t="s">
        <v>36</v>
      </c>
      <c r="I1737" s="5">
        <v>44621</v>
      </c>
      <c r="J1737" s="6">
        <v>0</v>
      </c>
      <c r="K1737" s="6">
        <v>0</v>
      </c>
      <c r="L1737" s="6">
        <v>2.0680000000000001</v>
      </c>
      <c r="M1737" s="6">
        <v>2.0680000000000001</v>
      </c>
      <c r="N1737" s="6">
        <v>2.0680000000000001</v>
      </c>
      <c r="O1737" s="6">
        <v>2.0680000000000001</v>
      </c>
      <c r="P1737" s="6">
        <v>0</v>
      </c>
      <c r="Q1737" s="4" t="s">
        <v>26</v>
      </c>
      <c r="R1737" s="4">
        <v>0</v>
      </c>
      <c r="S1737" s="4" t="s">
        <v>635</v>
      </c>
      <c r="T1737" s="4" t="s">
        <v>899</v>
      </c>
      <c r="U1737" s="4">
        <v>0</v>
      </c>
      <c r="V1737" s="4">
        <v>67</v>
      </c>
      <c r="W1737" s="4">
        <v>110</v>
      </c>
    </row>
    <row r="1738" spans="1:23" ht="11.25" customHeight="1" x14ac:dyDescent="0.25">
      <c r="A1738" s="4" t="s">
        <v>28</v>
      </c>
      <c r="B1738" s="4" t="s">
        <v>37</v>
      </c>
      <c r="C1738" s="4" t="s">
        <v>33</v>
      </c>
      <c r="D1738" s="4" t="s">
        <v>43</v>
      </c>
      <c r="E1738" s="4" t="s">
        <v>25</v>
      </c>
      <c r="F1738" s="4" t="s">
        <v>25</v>
      </c>
      <c r="G1738" s="4" t="s">
        <v>25</v>
      </c>
      <c r="H1738" s="4" t="s">
        <v>36</v>
      </c>
      <c r="I1738" s="5">
        <v>44621</v>
      </c>
      <c r="J1738" s="6">
        <v>0</v>
      </c>
      <c r="K1738" s="6">
        <v>0</v>
      </c>
      <c r="L1738" s="6">
        <v>3.7999999999999999E-2</v>
      </c>
      <c r="M1738" s="6">
        <v>3.7999999999999999E-2</v>
      </c>
      <c r="N1738" s="6">
        <v>3.7999999999999999E-2</v>
      </c>
      <c r="O1738" s="6">
        <v>3.7999999999999999E-2</v>
      </c>
      <c r="P1738" s="6">
        <v>0</v>
      </c>
      <c r="Q1738" s="4" t="s">
        <v>26</v>
      </c>
      <c r="R1738" s="4">
        <v>0</v>
      </c>
      <c r="S1738" s="4" t="s">
        <v>635</v>
      </c>
      <c r="T1738" s="4" t="s">
        <v>899</v>
      </c>
      <c r="U1738" s="4">
        <v>0</v>
      </c>
      <c r="V1738" s="4">
        <v>67</v>
      </c>
      <c r="W1738" s="4">
        <v>110</v>
      </c>
    </row>
    <row r="1739" spans="1:23" ht="11.25" customHeight="1" x14ac:dyDescent="0.25">
      <c r="A1739" s="4" t="s">
        <v>21</v>
      </c>
      <c r="B1739" s="4" t="s">
        <v>37</v>
      </c>
      <c r="C1739" s="4" t="s">
        <v>33</v>
      </c>
      <c r="D1739" s="4" t="s">
        <v>43</v>
      </c>
      <c r="E1739" s="4" t="s">
        <v>25</v>
      </c>
      <c r="F1739" s="4" t="s">
        <v>25</v>
      </c>
      <c r="G1739" s="4" t="s">
        <v>25</v>
      </c>
      <c r="H1739" s="4" t="s">
        <v>36</v>
      </c>
      <c r="I1739" s="5">
        <v>44652</v>
      </c>
      <c r="J1739" s="6">
        <v>0</v>
      </c>
      <c r="K1739" s="6">
        <v>0</v>
      </c>
      <c r="L1739" s="6">
        <v>2.117</v>
      </c>
      <c r="M1739" s="6">
        <v>2.117</v>
      </c>
      <c r="N1739" s="6">
        <v>2.117</v>
      </c>
      <c r="O1739" s="6">
        <v>2.117</v>
      </c>
      <c r="P1739" s="6">
        <v>0</v>
      </c>
      <c r="Q1739" s="4" t="s">
        <v>26</v>
      </c>
      <c r="R1739" s="4">
        <v>0</v>
      </c>
      <c r="S1739" s="4" t="s">
        <v>636</v>
      </c>
      <c r="T1739" s="4" t="s">
        <v>900</v>
      </c>
      <c r="U1739" s="4">
        <v>0</v>
      </c>
      <c r="V1739" s="4">
        <v>67</v>
      </c>
      <c r="W1739" s="4">
        <v>110</v>
      </c>
    </row>
    <row r="1740" spans="1:23" ht="11.25" customHeight="1" x14ac:dyDescent="0.25">
      <c r="A1740" s="4" t="s">
        <v>58</v>
      </c>
      <c r="B1740" s="4" t="s">
        <v>37</v>
      </c>
      <c r="C1740" s="4" t="s">
        <v>33</v>
      </c>
      <c r="D1740" s="4" t="s">
        <v>43</v>
      </c>
      <c r="E1740" s="4" t="s">
        <v>25</v>
      </c>
      <c r="F1740" s="4" t="s">
        <v>25</v>
      </c>
      <c r="G1740" s="4" t="s">
        <v>25</v>
      </c>
      <c r="H1740" s="4" t="s">
        <v>36</v>
      </c>
      <c r="I1740" s="5">
        <v>44682</v>
      </c>
      <c r="J1740" s="6">
        <v>0</v>
      </c>
      <c r="K1740" s="6">
        <v>0</v>
      </c>
      <c r="L1740" s="6">
        <v>2.117</v>
      </c>
      <c r="M1740" s="6">
        <v>2.117</v>
      </c>
      <c r="N1740" s="6">
        <v>2.117</v>
      </c>
      <c r="O1740" s="6">
        <v>2.117</v>
      </c>
      <c r="P1740" s="6">
        <v>0</v>
      </c>
      <c r="Q1740" s="4" t="s">
        <v>26</v>
      </c>
      <c r="R1740" s="4">
        <v>0</v>
      </c>
      <c r="S1740" s="4" t="s">
        <v>637</v>
      </c>
      <c r="T1740" s="4" t="s">
        <v>901</v>
      </c>
      <c r="U1740" s="4">
        <v>0</v>
      </c>
      <c r="V1740" s="4">
        <v>67</v>
      </c>
      <c r="W1740" s="4">
        <v>110</v>
      </c>
    </row>
    <row r="1741" spans="1:23" ht="11.25" customHeight="1" x14ac:dyDescent="0.25">
      <c r="A1741" s="4" t="s">
        <v>21</v>
      </c>
      <c r="B1741" s="4" t="s">
        <v>37</v>
      </c>
      <c r="C1741" s="4" t="s">
        <v>33</v>
      </c>
      <c r="D1741" s="4" t="s">
        <v>43</v>
      </c>
      <c r="E1741" s="4" t="s">
        <v>25</v>
      </c>
      <c r="F1741" s="4" t="s">
        <v>25</v>
      </c>
      <c r="G1741" s="4" t="s">
        <v>25</v>
      </c>
      <c r="H1741" s="4" t="s">
        <v>34</v>
      </c>
      <c r="I1741" s="5">
        <v>44348</v>
      </c>
      <c r="J1741" s="6">
        <v>0</v>
      </c>
      <c r="K1741" s="6">
        <v>0</v>
      </c>
      <c r="L1741" s="6">
        <v>2.0649999999999999</v>
      </c>
      <c r="M1741" s="6">
        <v>2.0649999999999999</v>
      </c>
      <c r="N1741" s="6">
        <v>2.0649999999999999</v>
      </c>
      <c r="O1741" s="6">
        <v>2.0649999999999999</v>
      </c>
      <c r="P1741" s="6">
        <v>0</v>
      </c>
      <c r="Q1741" s="4" t="s">
        <v>26</v>
      </c>
      <c r="R1741" s="4">
        <v>0</v>
      </c>
      <c r="S1741" s="4" t="s">
        <v>638</v>
      </c>
      <c r="T1741" s="4" t="s">
        <v>902</v>
      </c>
      <c r="U1741" s="4">
        <v>0</v>
      </c>
      <c r="V1741" s="4">
        <v>66</v>
      </c>
      <c r="W1741" s="4">
        <v>109</v>
      </c>
    </row>
    <row r="1742" spans="1:23" ht="11.25" customHeight="1" x14ac:dyDescent="0.25">
      <c r="A1742" s="4" t="s">
        <v>28</v>
      </c>
      <c r="B1742" s="4" t="s">
        <v>37</v>
      </c>
      <c r="C1742" s="4" t="s">
        <v>33</v>
      </c>
      <c r="D1742" s="4" t="s">
        <v>43</v>
      </c>
      <c r="E1742" s="4" t="s">
        <v>25</v>
      </c>
      <c r="F1742" s="4" t="s">
        <v>25</v>
      </c>
      <c r="G1742" s="4" t="s">
        <v>25</v>
      </c>
      <c r="H1742" s="4" t="s">
        <v>34</v>
      </c>
      <c r="I1742" s="5">
        <v>44348</v>
      </c>
      <c r="J1742" s="6">
        <v>0</v>
      </c>
      <c r="K1742" s="6">
        <v>0</v>
      </c>
      <c r="L1742" s="6">
        <v>0.217</v>
      </c>
      <c r="M1742" s="6">
        <v>0.217</v>
      </c>
      <c r="N1742" s="6">
        <v>0.217</v>
      </c>
      <c r="O1742" s="6">
        <v>0.217</v>
      </c>
      <c r="P1742" s="6">
        <v>0</v>
      </c>
      <c r="Q1742" s="4" t="s">
        <v>26</v>
      </c>
      <c r="R1742" s="4">
        <v>0</v>
      </c>
      <c r="S1742" s="4" t="s">
        <v>638</v>
      </c>
      <c r="T1742" s="4" t="s">
        <v>902</v>
      </c>
      <c r="U1742" s="4">
        <v>0</v>
      </c>
      <c r="V1742" s="4">
        <v>66</v>
      </c>
      <c r="W1742" s="4">
        <v>109</v>
      </c>
    </row>
    <row r="1743" spans="1:23" ht="11.25" customHeight="1" x14ac:dyDescent="0.25">
      <c r="A1743" s="4" t="s">
        <v>21</v>
      </c>
      <c r="B1743" s="4" t="s">
        <v>37</v>
      </c>
      <c r="C1743" s="4" t="s">
        <v>33</v>
      </c>
      <c r="D1743" s="4" t="s">
        <v>43</v>
      </c>
      <c r="E1743" s="4" t="s">
        <v>25</v>
      </c>
      <c r="F1743" s="4" t="s">
        <v>25</v>
      </c>
      <c r="G1743" s="4" t="s">
        <v>25</v>
      </c>
      <c r="H1743" s="4" t="s">
        <v>34</v>
      </c>
      <c r="I1743" s="5">
        <v>44378</v>
      </c>
      <c r="J1743" s="6">
        <v>0</v>
      </c>
      <c r="K1743" s="6">
        <v>0</v>
      </c>
      <c r="L1743" s="6">
        <v>2.024</v>
      </c>
      <c r="M1743" s="6">
        <v>2.024</v>
      </c>
      <c r="N1743" s="6">
        <v>2.024</v>
      </c>
      <c r="O1743" s="6">
        <v>2.024</v>
      </c>
      <c r="P1743" s="6">
        <v>0</v>
      </c>
      <c r="Q1743" s="4" t="s">
        <v>26</v>
      </c>
      <c r="R1743" s="4">
        <v>0</v>
      </c>
      <c r="S1743" s="4" t="s">
        <v>639</v>
      </c>
      <c r="T1743" s="4" t="s">
        <v>903</v>
      </c>
      <c r="U1743" s="4">
        <v>0</v>
      </c>
      <c r="V1743" s="4">
        <v>66</v>
      </c>
      <c r="W1743" s="4">
        <v>109</v>
      </c>
    </row>
    <row r="1744" spans="1:23" ht="11.25" customHeight="1" x14ac:dyDescent="0.25">
      <c r="A1744" s="4" t="s">
        <v>28</v>
      </c>
      <c r="B1744" s="4" t="s">
        <v>37</v>
      </c>
      <c r="C1744" s="4" t="s">
        <v>33</v>
      </c>
      <c r="D1744" s="4" t="s">
        <v>43</v>
      </c>
      <c r="E1744" s="4" t="s">
        <v>25</v>
      </c>
      <c r="F1744" s="4" t="s">
        <v>25</v>
      </c>
      <c r="G1744" s="4" t="s">
        <v>25</v>
      </c>
      <c r="H1744" s="4" t="s">
        <v>34</v>
      </c>
      <c r="I1744" s="5">
        <v>44378</v>
      </c>
      <c r="J1744" s="6">
        <v>0</v>
      </c>
      <c r="K1744" s="6">
        <v>0</v>
      </c>
      <c r="L1744" s="6">
        <v>0.22800000000000001</v>
      </c>
      <c r="M1744" s="6">
        <v>0.22800000000000001</v>
      </c>
      <c r="N1744" s="6">
        <v>0.22800000000000001</v>
      </c>
      <c r="O1744" s="6">
        <v>0.22800000000000001</v>
      </c>
      <c r="P1744" s="6">
        <v>0</v>
      </c>
      <c r="Q1744" s="4" t="s">
        <v>26</v>
      </c>
      <c r="R1744" s="4">
        <v>0</v>
      </c>
      <c r="S1744" s="4" t="s">
        <v>639</v>
      </c>
      <c r="T1744" s="4" t="s">
        <v>903</v>
      </c>
      <c r="U1744" s="4">
        <v>0</v>
      </c>
      <c r="V1744" s="4">
        <v>66</v>
      </c>
      <c r="W1744" s="4">
        <v>109</v>
      </c>
    </row>
    <row r="1745" spans="1:23" ht="11.25" customHeight="1" x14ac:dyDescent="0.25">
      <c r="A1745" s="4" t="s">
        <v>21</v>
      </c>
      <c r="B1745" s="4" t="s">
        <v>37</v>
      </c>
      <c r="C1745" s="4" t="s">
        <v>33</v>
      </c>
      <c r="D1745" s="4" t="s">
        <v>43</v>
      </c>
      <c r="E1745" s="4" t="s">
        <v>25</v>
      </c>
      <c r="F1745" s="4" t="s">
        <v>25</v>
      </c>
      <c r="G1745" s="4" t="s">
        <v>25</v>
      </c>
      <c r="H1745" s="4" t="s">
        <v>34</v>
      </c>
      <c r="I1745" s="5">
        <v>44409</v>
      </c>
      <c r="J1745" s="6">
        <v>0</v>
      </c>
      <c r="K1745" s="6">
        <v>0</v>
      </c>
      <c r="L1745" s="6">
        <v>2.0680000000000001</v>
      </c>
      <c r="M1745" s="6">
        <v>2.0680000000000001</v>
      </c>
      <c r="N1745" s="6">
        <v>2.0680000000000001</v>
      </c>
      <c r="O1745" s="6">
        <v>2.0680000000000001</v>
      </c>
      <c r="P1745" s="6">
        <v>0</v>
      </c>
      <c r="Q1745" s="4" t="s">
        <v>26</v>
      </c>
      <c r="R1745" s="4">
        <v>0</v>
      </c>
      <c r="S1745" s="4" t="s">
        <v>640</v>
      </c>
      <c r="T1745" s="4" t="s">
        <v>904</v>
      </c>
      <c r="U1745" s="4">
        <v>0</v>
      </c>
      <c r="V1745" s="4">
        <v>66</v>
      </c>
      <c r="W1745" s="4">
        <v>109</v>
      </c>
    </row>
    <row r="1746" spans="1:23" ht="11.25" customHeight="1" x14ac:dyDescent="0.25">
      <c r="A1746" s="4" t="s">
        <v>28</v>
      </c>
      <c r="B1746" s="4" t="s">
        <v>37</v>
      </c>
      <c r="C1746" s="4" t="s">
        <v>33</v>
      </c>
      <c r="D1746" s="4" t="s">
        <v>43</v>
      </c>
      <c r="E1746" s="4" t="s">
        <v>25</v>
      </c>
      <c r="F1746" s="4" t="s">
        <v>25</v>
      </c>
      <c r="G1746" s="4" t="s">
        <v>25</v>
      </c>
      <c r="H1746" s="4" t="s">
        <v>34</v>
      </c>
      <c r="I1746" s="5">
        <v>44409</v>
      </c>
      <c r="J1746" s="6">
        <v>0</v>
      </c>
      <c r="K1746" s="6">
        <v>0</v>
      </c>
      <c r="L1746" s="6">
        <v>0.22800000000000001</v>
      </c>
      <c r="M1746" s="6">
        <v>0.22800000000000001</v>
      </c>
      <c r="N1746" s="6">
        <v>0.22800000000000001</v>
      </c>
      <c r="O1746" s="6">
        <v>0.22800000000000001</v>
      </c>
      <c r="P1746" s="6">
        <v>0</v>
      </c>
      <c r="Q1746" s="4" t="s">
        <v>26</v>
      </c>
      <c r="R1746" s="4">
        <v>0</v>
      </c>
      <c r="S1746" s="4" t="s">
        <v>640</v>
      </c>
      <c r="T1746" s="4" t="s">
        <v>904</v>
      </c>
      <c r="U1746" s="4">
        <v>0</v>
      </c>
      <c r="V1746" s="4">
        <v>66</v>
      </c>
      <c r="W1746" s="4">
        <v>109</v>
      </c>
    </row>
    <row r="1747" spans="1:23" ht="11.25" customHeight="1" x14ac:dyDescent="0.25">
      <c r="A1747" s="4" t="s">
        <v>21</v>
      </c>
      <c r="B1747" s="4" t="s">
        <v>37</v>
      </c>
      <c r="C1747" s="4" t="s">
        <v>33</v>
      </c>
      <c r="D1747" s="4" t="s">
        <v>43</v>
      </c>
      <c r="E1747" s="4" t="s">
        <v>25</v>
      </c>
      <c r="F1747" s="4" t="s">
        <v>25</v>
      </c>
      <c r="G1747" s="4" t="s">
        <v>25</v>
      </c>
      <c r="H1747" s="4" t="s">
        <v>34</v>
      </c>
      <c r="I1747" s="5">
        <v>44440</v>
      </c>
      <c r="J1747" s="6">
        <v>0</v>
      </c>
      <c r="K1747" s="6">
        <v>0</v>
      </c>
      <c r="L1747" s="6">
        <v>2.1429999999999998</v>
      </c>
      <c r="M1747" s="6">
        <v>2.1429999999999998</v>
      </c>
      <c r="N1747" s="6">
        <v>2.1429999999999998</v>
      </c>
      <c r="O1747" s="6">
        <v>2.1429999999999998</v>
      </c>
      <c r="P1747" s="6">
        <v>0</v>
      </c>
      <c r="Q1747" s="4" t="s">
        <v>26</v>
      </c>
      <c r="R1747" s="4">
        <v>0</v>
      </c>
      <c r="S1747" s="4" t="s">
        <v>641</v>
      </c>
      <c r="T1747" s="4" t="s">
        <v>905</v>
      </c>
      <c r="U1747" s="4">
        <v>0</v>
      </c>
      <c r="V1747" s="4">
        <v>66</v>
      </c>
      <c r="W1747" s="4">
        <v>109</v>
      </c>
    </row>
    <row r="1748" spans="1:23" ht="11.25" customHeight="1" x14ac:dyDescent="0.25">
      <c r="A1748" s="4" t="s">
        <v>28</v>
      </c>
      <c r="B1748" s="4" t="s">
        <v>37</v>
      </c>
      <c r="C1748" s="4" t="s">
        <v>33</v>
      </c>
      <c r="D1748" s="4" t="s">
        <v>43</v>
      </c>
      <c r="E1748" s="4" t="s">
        <v>25</v>
      </c>
      <c r="F1748" s="4" t="s">
        <v>25</v>
      </c>
      <c r="G1748" s="4" t="s">
        <v>25</v>
      </c>
      <c r="H1748" s="4" t="s">
        <v>34</v>
      </c>
      <c r="I1748" s="5">
        <v>44440</v>
      </c>
      <c r="J1748" s="6">
        <v>0</v>
      </c>
      <c r="K1748" s="6">
        <v>0</v>
      </c>
      <c r="L1748" s="6">
        <v>0.251</v>
      </c>
      <c r="M1748" s="6">
        <v>0.251</v>
      </c>
      <c r="N1748" s="6">
        <v>0.251</v>
      </c>
      <c r="O1748" s="6">
        <v>0.251</v>
      </c>
      <c r="P1748" s="6">
        <v>0</v>
      </c>
      <c r="Q1748" s="4" t="s">
        <v>26</v>
      </c>
      <c r="R1748" s="4">
        <v>0</v>
      </c>
      <c r="S1748" s="4" t="s">
        <v>641</v>
      </c>
      <c r="T1748" s="4" t="s">
        <v>905</v>
      </c>
      <c r="U1748" s="4">
        <v>0</v>
      </c>
      <c r="V1748" s="4">
        <v>66</v>
      </c>
      <c r="W1748" s="4">
        <v>109</v>
      </c>
    </row>
    <row r="1749" spans="1:23" ht="11.25" customHeight="1" x14ac:dyDescent="0.25">
      <c r="A1749" s="4" t="s">
        <v>21</v>
      </c>
      <c r="B1749" s="4" t="s">
        <v>37</v>
      </c>
      <c r="C1749" s="4" t="s">
        <v>33</v>
      </c>
      <c r="D1749" s="4" t="s">
        <v>43</v>
      </c>
      <c r="E1749" s="4" t="s">
        <v>25</v>
      </c>
      <c r="F1749" s="4" t="s">
        <v>25</v>
      </c>
      <c r="G1749" s="4" t="s">
        <v>25</v>
      </c>
      <c r="H1749" s="4" t="s">
        <v>34</v>
      </c>
      <c r="I1749" s="5">
        <v>44470</v>
      </c>
      <c r="J1749" s="6">
        <v>0</v>
      </c>
      <c r="K1749" s="6">
        <v>0</v>
      </c>
      <c r="L1749" s="6">
        <v>2.1869999999999998</v>
      </c>
      <c r="M1749" s="6">
        <v>2.1869999999999998</v>
      </c>
      <c r="N1749" s="6">
        <v>2.1869999999999998</v>
      </c>
      <c r="O1749" s="6">
        <v>2.1869999999999998</v>
      </c>
      <c r="P1749" s="6">
        <v>0</v>
      </c>
      <c r="Q1749" s="4" t="s">
        <v>26</v>
      </c>
      <c r="R1749" s="4">
        <v>0</v>
      </c>
      <c r="S1749" s="4" t="s">
        <v>642</v>
      </c>
      <c r="T1749" s="4" t="s">
        <v>906</v>
      </c>
      <c r="U1749" s="4">
        <v>0</v>
      </c>
      <c r="V1749" s="4">
        <v>66</v>
      </c>
      <c r="W1749" s="4">
        <v>109</v>
      </c>
    </row>
    <row r="1750" spans="1:23" ht="11.25" customHeight="1" x14ac:dyDescent="0.25">
      <c r="A1750" s="4" t="s">
        <v>28</v>
      </c>
      <c r="B1750" s="4" t="s">
        <v>37</v>
      </c>
      <c r="C1750" s="4" t="s">
        <v>33</v>
      </c>
      <c r="D1750" s="4" t="s">
        <v>43</v>
      </c>
      <c r="E1750" s="4" t="s">
        <v>25</v>
      </c>
      <c r="F1750" s="4" t="s">
        <v>25</v>
      </c>
      <c r="G1750" s="4" t="s">
        <v>25</v>
      </c>
      <c r="H1750" s="4" t="s">
        <v>34</v>
      </c>
      <c r="I1750" s="5">
        <v>44470</v>
      </c>
      <c r="J1750" s="6">
        <v>0</v>
      </c>
      <c r="K1750" s="6">
        <v>0</v>
      </c>
      <c r="L1750" s="6">
        <v>0.249</v>
      </c>
      <c r="M1750" s="6">
        <v>0.249</v>
      </c>
      <c r="N1750" s="6">
        <v>0.249</v>
      </c>
      <c r="O1750" s="6">
        <v>0.249</v>
      </c>
      <c r="P1750" s="6">
        <v>0</v>
      </c>
      <c r="Q1750" s="4" t="s">
        <v>26</v>
      </c>
      <c r="R1750" s="4">
        <v>0</v>
      </c>
      <c r="S1750" s="4" t="s">
        <v>642</v>
      </c>
      <c r="T1750" s="4" t="s">
        <v>906</v>
      </c>
      <c r="U1750" s="4">
        <v>0</v>
      </c>
      <c r="V1750" s="4">
        <v>66</v>
      </c>
      <c r="W1750" s="4">
        <v>109</v>
      </c>
    </row>
    <row r="1751" spans="1:23" ht="11.25" customHeight="1" x14ac:dyDescent="0.25">
      <c r="A1751" s="4" t="s">
        <v>21</v>
      </c>
      <c r="B1751" s="4" t="s">
        <v>37</v>
      </c>
      <c r="C1751" s="4" t="s">
        <v>33</v>
      </c>
      <c r="D1751" s="4" t="s">
        <v>43</v>
      </c>
      <c r="E1751" s="4" t="s">
        <v>25</v>
      </c>
      <c r="F1751" s="4" t="s">
        <v>25</v>
      </c>
      <c r="G1751" s="4" t="s">
        <v>25</v>
      </c>
      <c r="H1751" s="4" t="s">
        <v>34</v>
      </c>
      <c r="I1751" s="5">
        <v>44501</v>
      </c>
      <c r="J1751" s="6">
        <v>0</v>
      </c>
      <c r="K1751" s="6">
        <v>0</v>
      </c>
      <c r="L1751" s="6">
        <v>1.885</v>
      </c>
      <c r="M1751" s="6">
        <v>1.885</v>
      </c>
      <c r="N1751" s="6">
        <v>1.885</v>
      </c>
      <c r="O1751" s="6">
        <v>1.885</v>
      </c>
      <c r="P1751" s="6">
        <v>0</v>
      </c>
      <c r="Q1751" s="4" t="s">
        <v>26</v>
      </c>
      <c r="R1751" s="4">
        <v>0</v>
      </c>
      <c r="S1751" s="4" t="s">
        <v>643</v>
      </c>
      <c r="T1751" s="4" t="s">
        <v>907</v>
      </c>
      <c r="U1751" s="4">
        <v>0</v>
      </c>
      <c r="V1751" s="4">
        <v>66</v>
      </c>
      <c r="W1751" s="4">
        <v>109</v>
      </c>
    </row>
    <row r="1752" spans="1:23" ht="11.25" customHeight="1" x14ac:dyDescent="0.25">
      <c r="A1752" s="4" t="s">
        <v>28</v>
      </c>
      <c r="B1752" s="4" t="s">
        <v>37</v>
      </c>
      <c r="C1752" s="4" t="s">
        <v>33</v>
      </c>
      <c r="D1752" s="4" t="s">
        <v>43</v>
      </c>
      <c r="E1752" s="4" t="s">
        <v>25</v>
      </c>
      <c r="F1752" s="4" t="s">
        <v>25</v>
      </c>
      <c r="G1752" s="4" t="s">
        <v>25</v>
      </c>
      <c r="H1752" s="4" t="s">
        <v>34</v>
      </c>
      <c r="I1752" s="5">
        <v>44501</v>
      </c>
      <c r="J1752" s="6">
        <v>0</v>
      </c>
      <c r="K1752" s="6">
        <v>0</v>
      </c>
      <c r="L1752" s="6">
        <v>0.23899999999999999</v>
      </c>
      <c r="M1752" s="6">
        <v>0.23899999999999999</v>
      </c>
      <c r="N1752" s="6">
        <v>0.23899999999999999</v>
      </c>
      <c r="O1752" s="6">
        <v>0.23899999999999999</v>
      </c>
      <c r="P1752" s="6">
        <v>0</v>
      </c>
      <c r="Q1752" s="4" t="s">
        <v>26</v>
      </c>
      <c r="R1752" s="4">
        <v>0</v>
      </c>
      <c r="S1752" s="4" t="s">
        <v>643</v>
      </c>
      <c r="T1752" s="4" t="s">
        <v>907</v>
      </c>
      <c r="U1752" s="4">
        <v>0</v>
      </c>
      <c r="V1752" s="4">
        <v>66</v>
      </c>
      <c r="W1752" s="4">
        <v>109</v>
      </c>
    </row>
    <row r="1753" spans="1:23" ht="11.25" customHeight="1" x14ac:dyDescent="0.25">
      <c r="A1753" s="4" t="s">
        <v>21</v>
      </c>
      <c r="B1753" s="4" t="s">
        <v>37</v>
      </c>
      <c r="C1753" s="4" t="s">
        <v>33</v>
      </c>
      <c r="D1753" s="4" t="s">
        <v>43</v>
      </c>
      <c r="E1753" s="4" t="s">
        <v>25</v>
      </c>
      <c r="F1753" s="4" t="s">
        <v>25</v>
      </c>
      <c r="G1753" s="4" t="s">
        <v>25</v>
      </c>
      <c r="H1753" s="4" t="s">
        <v>34</v>
      </c>
      <c r="I1753" s="5">
        <v>44531</v>
      </c>
      <c r="J1753" s="6">
        <v>0</v>
      </c>
      <c r="K1753" s="6">
        <v>0</v>
      </c>
      <c r="L1753" s="6">
        <v>2.6659999999999999</v>
      </c>
      <c r="M1753" s="6">
        <v>2.6659999999999999</v>
      </c>
      <c r="N1753" s="6">
        <v>2.6659999999999999</v>
      </c>
      <c r="O1753" s="6">
        <v>2.6659999999999999</v>
      </c>
      <c r="P1753" s="6">
        <v>0</v>
      </c>
      <c r="Q1753" s="4" t="s">
        <v>26</v>
      </c>
      <c r="R1753" s="4">
        <v>0</v>
      </c>
      <c r="S1753" s="4" t="s">
        <v>644</v>
      </c>
      <c r="T1753" s="4" t="s">
        <v>908</v>
      </c>
      <c r="U1753" s="4">
        <v>0</v>
      </c>
      <c r="V1753" s="4">
        <v>66</v>
      </c>
      <c r="W1753" s="4">
        <v>109</v>
      </c>
    </row>
    <row r="1754" spans="1:23" ht="11.25" customHeight="1" x14ac:dyDescent="0.25">
      <c r="A1754" s="4" t="s">
        <v>28</v>
      </c>
      <c r="B1754" s="4" t="s">
        <v>37</v>
      </c>
      <c r="C1754" s="4" t="s">
        <v>33</v>
      </c>
      <c r="D1754" s="4" t="s">
        <v>43</v>
      </c>
      <c r="E1754" s="4" t="s">
        <v>25</v>
      </c>
      <c r="F1754" s="4" t="s">
        <v>25</v>
      </c>
      <c r="G1754" s="4" t="s">
        <v>25</v>
      </c>
      <c r="H1754" s="4" t="s">
        <v>34</v>
      </c>
      <c r="I1754" s="5">
        <v>44531</v>
      </c>
      <c r="J1754" s="6">
        <v>0</v>
      </c>
      <c r="K1754" s="6">
        <v>0</v>
      </c>
      <c r="L1754" s="6">
        <v>0.26300000000000001</v>
      </c>
      <c r="M1754" s="6">
        <v>0.26300000000000001</v>
      </c>
      <c r="N1754" s="6">
        <v>0.26300000000000001</v>
      </c>
      <c r="O1754" s="6">
        <v>0.26300000000000001</v>
      </c>
      <c r="P1754" s="6">
        <v>0</v>
      </c>
      <c r="Q1754" s="4" t="s">
        <v>26</v>
      </c>
      <c r="R1754" s="4">
        <v>0</v>
      </c>
      <c r="S1754" s="4" t="s">
        <v>644</v>
      </c>
      <c r="T1754" s="4" t="s">
        <v>908</v>
      </c>
      <c r="U1754" s="4">
        <v>0</v>
      </c>
      <c r="V1754" s="4">
        <v>66</v>
      </c>
      <c r="W1754" s="4">
        <v>109</v>
      </c>
    </row>
    <row r="1755" spans="1:23" ht="11.25" customHeight="1" x14ac:dyDescent="0.25">
      <c r="A1755" s="4" t="s">
        <v>21</v>
      </c>
      <c r="B1755" s="4" t="s">
        <v>37</v>
      </c>
      <c r="C1755" s="4" t="s">
        <v>33</v>
      </c>
      <c r="D1755" s="4" t="s">
        <v>43</v>
      </c>
      <c r="E1755" s="4" t="s">
        <v>25</v>
      </c>
      <c r="F1755" s="4" t="s">
        <v>25</v>
      </c>
      <c r="G1755" s="4" t="s">
        <v>25</v>
      </c>
      <c r="H1755" s="4" t="s">
        <v>34</v>
      </c>
      <c r="I1755" s="5">
        <v>44562</v>
      </c>
      <c r="J1755" s="6">
        <v>0</v>
      </c>
      <c r="K1755" s="6">
        <v>0</v>
      </c>
      <c r="L1755" s="6">
        <v>2.41</v>
      </c>
      <c r="M1755" s="6">
        <v>2.41</v>
      </c>
      <c r="N1755" s="6">
        <v>2.41</v>
      </c>
      <c r="O1755" s="6">
        <v>2.41</v>
      </c>
      <c r="P1755" s="6">
        <v>0</v>
      </c>
      <c r="Q1755" s="4" t="s">
        <v>26</v>
      </c>
      <c r="R1755" s="4">
        <v>0</v>
      </c>
      <c r="S1755" s="4" t="s">
        <v>645</v>
      </c>
      <c r="T1755" s="4" t="s">
        <v>909</v>
      </c>
      <c r="U1755" s="4">
        <v>0</v>
      </c>
      <c r="V1755" s="4">
        <v>66</v>
      </c>
      <c r="W1755" s="4">
        <v>109</v>
      </c>
    </row>
    <row r="1756" spans="1:23" ht="11.25" customHeight="1" x14ac:dyDescent="0.25">
      <c r="A1756" s="4" t="s">
        <v>27</v>
      </c>
      <c r="B1756" s="4" t="s">
        <v>37</v>
      </c>
      <c r="C1756" s="4" t="s">
        <v>33</v>
      </c>
      <c r="D1756" s="4" t="s">
        <v>43</v>
      </c>
      <c r="E1756" s="4" t="s">
        <v>25</v>
      </c>
      <c r="F1756" s="4" t="s">
        <v>25</v>
      </c>
      <c r="G1756" s="4" t="s">
        <v>25</v>
      </c>
      <c r="H1756" s="4" t="s">
        <v>34</v>
      </c>
      <c r="I1756" s="5">
        <v>44562</v>
      </c>
      <c r="J1756" s="6">
        <v>0</v>
      </c>
      <c r="K1756" s="6">
        <v>0</v>
      </c>
      <c r="L1756" s="6">
        <v>-0.53600000000000003</v>
      </c>
      <c r="M1756" s="6">
        <v>-0.53600000000000003</v>
      </c>
      <c r="N1756" s="6">
        <v>-0.53600000000000003</v>
      </c>
      <c r="O1756" s="6">
        <v>-0.53600000000000003</v>
      </c>
      <c r="P1756" s="6">
        <v>0</v>
      </c>
      <c r="Q1756" s="4" t="s">
        <v>26</v>
      </c>
      <c r="R1756" s="4">
        <v>0</v>
      </c>
      <c r="S1756" s="4" t="s">
        <v>645</v>
      </c>
      <c r="T1756" s="4" t="s">
        <v>909</v>
      </c>
      <c r="U1756" s="4">
        <v>0</v>
      </c>
      <c r="V1756" s="4">
        <v>66</v>
      </c>
      <c r="W1756" s="4">
        <v>109</v>
      </c>
    </row>
    <row r="1757" spans="1:23" ht="11.25" customHeight="1" x14ac:dyDescent="0.25">
      <c r="A1757" s="4" t="s">
        <v>28</v>
      </c>
      <c r="B1757" s="4" t="s">
        <v>37</v>
      </c>
      <c r="C1757" s="4" t="s">
        <v>33</v>
      </c>
      <c r="D1757" s="4" t="s">
        <v>43</v>
      </c>
      <c r="E1757" s="4" t="s">
        <v>25</v>
      </c>
      <c r="F1757" s="4" t="s">
        <v>25</v>
      </c>
      <c r="G1757" s="4" t="s">
        <v>25</v>
      </c>
      <c r="H1757" s="4" t="s">
        <v>34</v>
      </c>
      <c r="I1757" s="5">
        <v>44562</v>
      </c>
      <c r="J1757" s="6">
        <v>0</v>
      </c>
      <c r="K1757" s="6">
        <v>0</v>
      </c>
      <c r="L1757" s="6">
        <v>0.27400000000000002</v>
      </c>
      <c r="M1757" s="6">
        <v>0.27400000000000002</v>
      </c>
      <c r="N1757" s="6">
        <v>0.27400000000000002</v>
      </c>
      <c r="O1757" s="6">
        <v>0.27400000000000002</v>
      </c>
      <c r="P1757" s="6">
        <v>0</v>
      </c>
      <c r="Q1757" s="4" t="s">
        <v>26</v>
      </c>
      <c r="R1757" s="4">
        <v>0</v>
      </c>
      <c r="S1757" s="4" t="s">
        <v>645</v>
      </c>
      <c r="T1757" s="4" t="s">
        <v>909</v>
      </c>
      <c r="U1757" s="4">
        <v>0</v>
      </c>
      <c r="V1757" s="4">
        <v>66</v>
      </c>
      <c r="W1757" s="4">
        <v>109</v>
      </c>
    </row>
    <row r="1758" spans="1:23" ht="11.25" customHeight="1" x14ac:dyDescent="0.25">
      <c r="A1758" s="4" t="s">
        <v>21</v>
      </c>
      <c r="B1758" s="4" t="s">
        <v>37</v>
      </c>
      <c r="C1758" s="4" t="s">
        <v>33</v>
      </c>
      <c r="D1758" s="4" t="s">
        <v>43</v>
      </c>
      <c r="E1758" s="4" t="s">
        <v>25</v>
      </c>
      <c r="F1758" s="4" t="s">
        <v>25</v>
      </c>
      <c r="G1758" s="4" t="s">
        <v>25</v>
      </c>
      <c r="H1758" s="4" t="s">
        <v>34</v>
      </c>
      <c r="I1758" s="5">
        <v>44593</v>
      </c>
      <c r="J1758" s="6">
        <v>0</v>
      </c>
      <c r="K1758" s="6">
        <v>0</v>
      </c>
      <c r="L1758" s="6">
        <v>2.2080000000000002</v>
      </c>
      <c r="M1758" s="6">
        <v>2.2080000000000002</v>
      </c>
      <c r="N1758" s="6">
        <v>2.2080000000000002</v>
      </c>
      <c r="O1758" s="6">
        <v>2.2080000000000002</v>
      </c>
      <c r="P1758" s="6">
        <v>0</v>
      </c>
      <c r="Q1758" s="4" t="s">
        <v>26</v>
      </c>
      <c r="R1758" s="4">
        <v>0</v>
      </c>
      <c r="S1758" s="4" t="s">
        <v>646</v>
      </c>
      <c r="T1758" s="4" t="s">
        <v>910</v>
      </c>
      <c r="U1758" s="4">
        <v>0</v>
      </c>
      <c r="V1758" s="4">
        <v>66</v>
      </c>
      <c r="W1758" s="4">
        <v>109</v>
      </c>
    </row>
    <row r="1759" spans="1:23" ht="11.25" customHeight="1" x14ac:dyDescent="0.25">
      <c r="A1759" s="4" t="s">
        <v>28</v>
      </c>
      <c r="B1759" s="4" t="s">
        <v>37</v>
      </c>
      <c r="C1759" s="4" t="s">
        <v>33</v>
      </c>
      <c r="D1759" s="4" t="s">
        <v>43</v>
      </c>
      <c r="E1759" s="4" t="s">
        <v>25</v>
      </c>
      <c r="F1759" s="4" t="s">
        <v>25</v>
      </c>
      <c r="G1759" s="4" t="s">
        <v>25</v>
      </c>
      <c r="H1759" s="4" t="s">
        <v>34</v>
      </c>
      <c r="I1759" s="5">
        <v>44593</v>
      </c>
      <c r="J1759" s="6">
        <v>0</v>
      </c>
      <c r="K1759" s="6">
        <v>0</v>
      </c>
      <c r="L1759" s="6">
        <v>0.246</v>
      </c>
      <c r="M1759" s="6">
        <v>0.246</v>
      </c>
      <c r="N1759" s="6">
        <v>0.246</v>
      </c>
      <c r="O1759" s="6">
        <v>0.246</v>
      </c>
      <c r="P1759" s="6">
        <v>0</v>
      </c>
      <c r="Q1759" s="4" t="s">
        <v>26</v>
      </c>
      <c r="R1759" s="4">
        <v>0</v>
      </c>
      <c r="S1759" s="4" t="s">
        <v>646</v>
      </c>
      <c r="T1759" s="4" t="s">
        <v>910</v>
      </c>
      <c r="U1759" s="4">
        <v>0</v>
      </c>
      <c r="V1759" s="4">
        <v>66</v>
      </c>
      <c r="W1759" s="4">
        <v>109</v>
      </c>
    </row>
    <row r="1760" spans="1:23" ht="11.25" customHeight="1" x14ac:dyDescent="0.25">
      <c r="A1760" s="4" t="s">
        <v>21</v>
      </c>
      <c r="B1760" s="4" t="s">
        <v>37</v>
      </c>
      <c r="C1760" s="4" t="s">
        <v>33</v>
      </c>
      <c r="D1760" s="4" t="s">
        <v>43</v>
      </c>
      <c r="E1760" s="4" t="s">
        <v>25</v>
      </c>
      <c r="F1760" s="4" t="s">
        <v>25</v>
      </c>
      <c r="G1760" s="4" t="s">
        <v>25</v>
      </c>
      <c r="H1760" s="4" t="s">
        <v>34</v>
      </c>
      <c r="I1760" s="5">
        <v>44621</v>
      </c>
      <c r="J1760" s="6">
        <v>0</v>
      </c>
      <c r="K1760" s="6">
        <v>0</v>
      </c>
      <c r="L1760" s="6">
        <v>2.0550000000000002</v>
      </c>
      <c r="M1760" s="6">
        <v>2.0550000000000002</v>
      </c>
      <c r="N1760" s="6">
        <v>2.0550000000000002</v>
      </c>
      <c r="O1760" s="6">
        <v>2.0550000000000002</v>
      </c>
      <c r="P1760" s="6">
        <v>0</v>
      </c>
      <c r="Q1760" s="4" t="s">
        <v>26</v>
      </c>
      <c r="R1760" s="4">
        <v>0</v>
      </c>
      <c r="S1760" s="4" t="s">
        <v>647</v>
      </c>
      <c r="T1760" s="4" t="s">
        <v>911</v>
      </c>
      <c r="U1760" s="4">
        <v>0</v>
      </c>
      <c r="V1760" s="4">
        <v>66</v>
      </c>
      <c r="W1760" s="4">
        <v>109</v>
      </c>
    </row>
    <row r="1761" spans="1:23" ht="11.25" customHeight="1" x14ac:dyDescent="0.25">
      <c r="A1761" s="4" t="s">
        <v>28</v>
      </c>
      <c r="B1761" s="4" t="s">
        <v>37</v>
      </c>
      <c r="C1761" s="4" t="s">
        <v>33</v>
      </c>
      <c r="D1761" s="4" t="s">
        <v>43</v>
      </c>
      <c r="E1761" s="4" t="s">
        <v>25</v>
      </c>
      <c r="F1761" s="4" t="s">
        <v>25</v>
      </c>
      <c r="G1761" s="4" t="s">
        <v>25</v>
      </c>
      <c r="H1761" s="4" t="s">
        <v>34</v>
      </c>
      <c r="I1761" s="5">
        <v>44621</v>
      </c>
      <c r="J1761" s="6">
        <v>0</v>
      </c>
      <c r="K1761" s="6">
        <v>0</v>
      </c>
      <c r="L1761" s="6">
        <v>3.4000000000000002E-2</v>
      </c>
      <c r="M1761" s="6">
        <v>3.4000000000000002E-2</v>
      </c>
      <c r="N1761" s="6">
        <v>3.4000000000000002E-2</v>
      </c>
      <c r="O1761" s="6">
        <v>3.4000000000000002E-2</v>
      </c>
      <c r="P1761" s="6">
        <v>0</v>
      </c>
      <c r="Q1761" s="4" t="s">
        <v>26</v>
      </c>
      <c r="R1761" s="4">
        <v>0</v>
      </c>
      <c r="S1761" s="4" t="s">
        <v>647</v>
      </c>
      <c r="T1761" s="4" t="s">
        <v>911</v>
      </c>
      <c r="U1761" s="4">
        <v>0</v>
      </c>
      <c r="V1761" s="4">
        <v>66</v>
      </c>
      <c r="W1761" s="4">
        <v>109</v>
      </c>
    </row>
    <row r="1762" spans="1:23" ht="11.25" customHeight="1" x14ac:dyDescent="0.25">
      <c r="A1762" s="4" t="s">
        <v>21</v>
      </c>
      <c r="B1762" s="4" t="s">
        <v>37</v>
      </c>
      <c r="C1762" s="4" t="s">
        <v>33</v>
      </c>
      <c r="D1762" s="4" t="s">
        <v>43</v>
      </c>
      <c r="E1762" s="4" t="s">
        <v>25</v>
      </c>
      <c r="F1762" s="4" t="s">
        <v>25</v>
      </c>
      <c r="G1762" s="4" t="s">
        <v>25</v>
      </c>
      <c r="H1762" s="4" t="s">
        <v>34</v>
      </c>
      <c r="I1762" s="5">
        <v>44652</v>
      </c>
      <c r="J1762" s="6">
        <v>0</v>
      </c>
      <c r="K1762" s="6">
        <v>0</v>
      </c>
      <c r="L1762" s="6">
        <v>1.9570000000000001</v>
      </c>
      <c r="M1762" s="6">
        <v>1.9570000000000001</v>
      </c>
      <c r="N1762" s="6">
        <v>1.9570000000000001</v>
      </c>
      <c r="O1762" s="6">
        <v>1.9570000000000001</v>
      </c>
      <c r="P1762" s="6">
        <v>0</v>
      </c>
      <c r="Q1762" s="4" t="s">
        <v>26</v>
      </c>
      <c r="R1762" s="4">
        <v>0</v>
      </c>
      <c r="S1762" s="4" t="s">
        <v>648</v>
      </c>
      <c r="T1762" s="4" t="s">
        <v>912</v>
      </c>
      <c r="U1762" s="4">
        <v>0</v>
      </c>
      <c r="V1762" s="4">
        <v>66</v>
      </c>
      <c r="W1762" s="4">
        <v>109</v>
      </c>
    </row>
    <row r="1763" spans="1:23" ht="11.25" customHeight="1" x14ac:dyDescent="0.25">
      <c r="A1763" s="4" t="s">
        <v>58</v>
      </c>
      <c r="B1763" s="4" t="s">
        <v>37</v>
      </c>
      <c r="C1763" s="4" t="s">
        <v>33</v>
      </c>
      <c r="D1763" s="4" t="s">
        <v>43</v>
      </c>
      <c r="E1763" s="4" t="s">
        <v>25</v>
      </c>
      <c r="F1763" s="4" t="s">
        <v>25</v>
      </c>
      <c r="G1763" s="4" t="s">
        <v>25</v>
      </c>
      <c r="H1763" s="4" t="s">
        <v>34</v>
      </c>
      <c r="I1763" s="5">
        <v>44682</v>
      </c>
      <c r="J1763" s="6">
        <v>0</v>
      </c>
      <c r="K1763" s="6">
        <v>0</v>
      </c>
      <c r="L1763" s="6">
        <v>1.9570000000000001</v>
      </c>
      <c r="M1763" s="6">
        <v>1.9570000000000001</v>
      </c>
      <c r="N1763" s="6">
        <v>1.9570000000000001</v>
      </c>
      <c r="O1763" s="6">
        <v>1.9570000000000001</v>
      </c>
      <c r="P1763" s="6">
        <v>0</v>
      </c>
      <c r="Q1763" s="4" t="s">
        <v>26</v>
      </c>
      <c r="R1763" s="4">
        <v>0</v>
      </c>
      <c r="S1763" s="4" t="s">
        <v>649</v>
      </c>
      <c r="T1763" s="4" t="s">
        <v>913</v>
      </c>
      <c r="U1763" s="4">
        <v>0</v>
      </c>
      <c r="V1763" s="4">
        <v>66</v>
      </c>
      <c r="W1763" s="4">
        <v>109</v>
      </c>
    </row>
    <row r="1764" spans="1:23" ht="11.25" customHeight="1" x14ac:dyDescent="0.25">
      <c r="A1764" s="4" t="s">
        <v>21</v>
      </c>
      <c r="B1764" s="4" t="s">
        <v>37</v>
      </c>
      <c r="C1764" s="4" t="s">
        <v>33</v>
      </c>
      <c r="D1764" s="4" t="s">
        <v>38</v>
      </c>
      <c r="E1764" s="4" t="s">
        <v>25</v>
      </c>
      <c r="F1764" s="4" t="s">
        <v>25</v>
      </c>
      <c r="G1764" s="4" t="s">
        <v>25</v>
      </c>
      <c r="H1764" s="4" t="s">
        <v>35</v>
      </c>
      <c r="I1764" s="5">
        <v>44348</v>
      </c>
      <c r="J1764" s="6">
        <v>0</v>
      </c>
      <c r="K1764" s="6">
        <v>0</v>
      </c>
      <c r="L1764" s="6">
        <v>5.5110000000000001</v>
      </c>
      <c r="M1764" s="6">
        <v>5.5110000000000001</v>
      </c>
      <c r="N1764" s="6">
        <v>5.5110000000000001</v>
      </c>
      <c r="O1764" s="6">
        <v>5.5110000000000001</v>
      </c>
      <c r="P1764" s="6">
        <v>0</v>
      </c>
      <c r="Q1764" s="4" t="s">
        <v>26</v>
      </c>
      <c r="R1764" s="4">
        <v>0</v>
      </c>
      <c r="S1764" s="4" t="s">
        <v>614</v>
      </c>
      <c r="T1764" s="4" t="s">
        <v>878</v>
      </c>
      <c r="U1764" s="4">
        <v>0</v>
      </c>
      <c r="V1764" s="4">
        <v>68</v>
      </c>
      <c r="W1764" s="4">
        <v>111</v>
      </c>
    </row>
    <row r="1765" spans="1:23" ht="11.25" customHeight="1" x14ac:dyDescent="0.25">
      <c r="A1765" s="4" t="s">
        <v>21</v>
      </c>
      <c r="B1765" s="4" t="s">
        <v>37</v>
      </c>
      <c r="C1765" s="4" t="s">
        <v>33</v>
      </c>
      <c r="D1765" s="4" t="s">
        <v>38</v>
      </c>
      <c r="E1765" s="4" t="s">
        <v>25</v>
      </c>
      <c r="F1765" s="4" t="s">
        <v>25</v>
      </c>
      <c r="G1765" s="4" t="s">
        <v>25</v>
      </c>
      <c r="H1765" s="4" t="s">
        <v>35</v>
      </c>
      <c r="I1765" s="5">
        <v>44378</v>
      </c>
      <c r="J1765" s="6">
        <v>0</v>
      </c>
      <c r="K1765" s="6">
        <v>0</v>
      </c>
      <c r="L1765" s="6">
        <v>5.2350000000000003</v>
      </c>
      <c r="M1765" s="6">
        <v>5.2350000000000003</v>
      </c>
      <c r="N1765" s="6">
        <v>5.2350000000000003</v>
      </c>
      <c r="O1765" s="6">
        <v>5.2350000000000003</v>
      </c>
      <c r="P1765" s="6">
        <v>0</v>
      </c>
      <c r="Q1765" s="4" t="s">
        <v>26</v>
      </c>
      <c r="R1765" s="4">
        <v>0</v>
      </c>
      <c r="S1765" s="4" t="s">
        <v>615</v>
      </c>
      <c r="T1765" s="4" t="s">
        <v>879</v>
      </c>
      <c r="U1765" s="4">
        <v>0</v>
      </c>
      <c r="V1765" s="4">
        <v>68</v>
      </c>
      <c r="W1765" s="4">
        <v>111</v>
      </c>
    </row>
    <row r="1766" spans="1:23" ht="11.25" customHeight="1" x14ac:dyDescent="0.25">
      <c r="A1766" s="4" t="s">
        <v>21</v>
      </c>
      <c r="B1766" s="4" t="s">
        <v>37</v>
      </c>
      <c r="C1766" s="4" t="s">
        <v>33</v>
      </c>
      <c r="D1766" s="4" t="s">
        <v>38</v>
      </c>
      <c r="E1766" s="4" t="s">
        <v>25</v>
      </c>
      <c r="F1766" s="4" t="s">
        <v>25</v>
      </c>
      <c r="G1766" s="4" t="s">
        <v>25</v>
      </c>
      <c r="H1766" s="4" t="s">
        <v>35</v>
      </c>
      <c r="I1766" s="5">
        <v>44409</v>
      </c>
      <c r="J1766" s="6">
        <v>0</v>
      </c>
      <c r="K1766" s="6">
        <v>0</v>
      </c>
      <c r="L1766" s="6">
        <v>5.4720000000000004</v>
      </c>
      <c r="M1766" s="6">
        <v>5.4720000000000004</v>
      </c>
      <c r="N1766" s="6">
        <v>5.4720000000000004</v>
      </c>
      <c r="O1766" s="6">
        <v>5.4720000000000004</v>
      </c>
      <c r="P1766" s="6">
        <v>0</v>
      </c>
      <c r="Q1766" s="4" t="s">
        <v>26</v>
      </c>
      <c r="R1766" s="4">
        <v>0</v>
      </c>
      <c r="S1766" s="4" t="s">
        <v>616</v>
      </c>
      <c r="T1766" s="4" t="s">
        <v>880</v>
      </c>
      <c r="U1766" s="4">
        <v>0</v>
      </c>
      <c r="V1766" s="4">
        <v>68</v>
      </c>
      <c r="W1766" s="4">
        <v>111</v>
      </c>
    </row>
    <row r="1767" spans="1:23" ht="11.25" customHeight="1" x14ac:dyDescent="0.25">
      <c r="A1767" s="4" t="s">
        <v>21</v>
      </c>
      <c r="B1767" s="4" t="s">
        <v>37</v>
      </c>
      <c r="C1767" s="4" t="s">
        <v>33</v>
      </c>
      <c r="D1767" s="4" t="s">
        <v>38</v>
      </c>
      <c r="E1767" s="4" t="s">
        <v>25</v>
      </c>
      <c r="F1767" s="4" t="s">
        <v>25</v>
      </c>
      <c r="G1767" s="4" t="s">
        <v>25</v>
      </c>
      <c r="H1767" s="4" t="s">
        <v>35</v>
      </c>
      <c r="I1767" s="5">
        <v>44440</v>
      </c>
      <c r="J1767" s="6">
        <v>0</v>
      </c>
      <c r="K1767" s="6">
        <v>0</v>
      </c>
      <c r="L1767" s="6">
        <v>7.5380000000000003</v>
      </c>
      <c r="M1767" s="6">
        <v>7.5380000000000003</v>
      </c>
      <c r="N1767" s="6">
        <v>7.5380000000000003</v>
      </c>
      <c r="O1767" s="6">
        <v>7.5380000000000003</v>
      </c>
      <c r="P1767" s="6">
        <v>0</v>
      </c>
      <c r="Q1767" s="4" t="s">
        <v>26</v>
      </c>
      <c r="R1767" s="4">
        <v>0</v>
      </c>
      <c r="S1767" s="4" t="s">
        <v>617</v>
      </c>
      <c r="T1767" s="4" t="s">
        <v>881</v>
      </c>
      <c r="U1767" s="4">
        <v>0</v>
      </c>
      <c r="V1767" s="4">
        <v>68</v>
      </c>
      <c r="W1767" s="4">
        <v>111</v>
      </c>
    </row>
    <row r="1768" spans="1:23" ht="11.25" customHeight="1" x14ac:dyDescent="0.25">
      <c r="A1768" s="4" t="s">
        <v>21</v>
      </c>
      <c r="B1768" s="4" t="s">
        <v>37</v>
      </c>
      <c r="C1768" s="4" t="s">
        <v>33</v>
      </c>
      <c r="D1768" s="4" t="s">
        <v>38</v>
      </c>
      <c r="E1768" s="4" t="s">
        <v>25</v>
      </c>
      <c r="F1768" s="4" t="s">
        <v>25</v>
      </c>
      <c r="G1768" s="4" t="s">
        <v>25</v>
      </c>
      <c r="H1768" s="4" t="s">
        <v>35</v>
      </c>
      <c r="I1768" s="5">
        <v>44470</v>
      </c>
      <c r="J1768" s="6">
        <v>0</v>
      </c>
      <c r="K1768" s="6">
        <v>0</v>
      </c>
      <c r="L1768" s="6">
        <v>4.875</v>
      </c>
      <c r="M1768" s="6">
        <v>4.875</v>
      </c>
      <c r="N1768" s="6">
        <v>4.875</v>
      </c>
      <c r="O1768" s="6">
        <v>4.875</v>
      </c>
      <c r="P1768" s="6">
        <v>0</v>
      </c>
      <c r="Q1768" s="4" t="s">
        <v>26</v>
      </c>
      <c r="R1768" s="4">
        <v>0</v>
      </c>
      <c r="S1768" s="4" t="s">
        <v>618</v>
      </c>
      <c r="T1768" s="4" t="s">
        <v>882</v>
      </c>
      <c r="U1768" s="4">
        <v>0</v>
      </c>
      <c r="V1768" s="4">
        <v>68</v>
      </c>
      <c r="W1768" s="4">
        <v>111</v>
      </c>
    </row>
    <row r="1769" spans="1:23" ht="11.25" customHeight="1" x14ac:dyDescent="0.25">
      <c r="A1769" s="4" t="s">
        <v>21</v>
      </c>
      <c r="B1769" s="4" t="s">
        <v>37</v>
      </c>
      <c r="C1769" s="4" t="s">
        <v>33</v>
      </c>
      <c r="D1769" s="4" t="s">
        <v>38</v>
      </c>
      <c r="E1769" s="4" t="s">
        <v>25</v>
      </c>
      <c r="F1769" s="4" t="s">
        <v>25</v>
      </c>
      <c r="G1769" s="4" t="s">
        <v>25</v>
      </c>
      <c r="H1769" s="4" t="s">
        <v>35</v>
      </c>
      <c r="I1769" s="5">
        <v>44501</v>
      </c>
      <c r="J1769" s="6">
        <v>0</v>
      </c>
      <c r="K1769" s="6">
        <v>0</v>
      </c>
      <c r="L1769" s="6">
        <v>5.6509999999999998</v>
      </c>
      <c r="M1769" s="6">
        <v>5.6509999999999998</v>
      </c>
      <c r="N1769" s="6">
        <v>5.6509999999999998</v>
      </c>
      <c r="O1769" s="6">
        <v>5.6509999999999998</v>
      </c>
      <c r="P1769" s="6">
        <v>0</v>
      </c>
      <c r="Q1769" s="4" t="s">
        <v>26</v>
      </c>
      <c r="R1769" s="4">
        <v>0</v>
      </c>
      <c r="S1769" s="4" t="s">
        <v>619</v>
      </c>
      <c r="T1769" s="4" t="s">
        <v>883</v>
      </c>
      <c r="U1769" s="4">
        <v>0</v>
      </c>
      <c r="V1769" s="4">
        <v>68</v>
      </c>
      <c r="W1769" s="4">
        <v>111</v>
      </c>
    </row>
    <row r="1770" spans="1:23" ht="11.25" customHeight="1" x14ac:dyDescent="0.25">
      <c r="A1770" s="4" t="s">
        <v>21</v>
      </c>
      <c r="B1770" s="4" t="s">
        <v>37</v>
      </c>
      <c r="C1770" s="4" t="s">
        <v>33</v>
      </c>
      <c r="D1770" s="4" t="s">
        <v>38</v>
      </c>
      <c r="E1770" s="4" t="s">
        <v>25</v>
      </c>
      <c r="F1770" s="4" t="s">
        <v>25</v>
      </c>
      <c r="G1770" s="4" t="s">
        <v>25</v>
      </c>
      <c r="H1770" s="4" t="s">
        <v>35</v>
      </c>
      <c r="I1770" s="5">
        <v>44531</v>
      </c>
      <c r="J1770" s="6">
        <v>0</v>
      </c>
      <c r="K1770" s="6">
        <v>0</v>
      </c>
      <c r="L1770" s="6">
        <v>5.4909999999999997</v>
      </c>
      <c r="M1770" s="6">
        <v>5.4909999999999997</v>
      </c>
      <c r="N1770" s="6">
        <v>5.4909999999999997</v>
      </c>
      <c r="O1770" s="6">
        <v>5.4909999999999997</v>
      </c>
      <c r="P1770" s="6">
        <v>0</v>
      </c>
      <c r="Q1770" s="4" t="s">
        <v>26</v>
      </c>
      <c r="R1770" s="4">
        <v>0</v>
      </c>
      <c r="S1770" s="4" t="s">
        <v>620</v>
      </c>
      <c r="T1770" s="4" t="s">
        <v>884</v>
      </c>
      <c r="U1770" s="4">
        <v>0</v>
      </c>
      <c r="V1770" s="4">
        <v>68</v>
      </c>
      <c r="W1770" s="4">
        <v>111</v>
      </c>
    </row>
    <row r="1771" spans="1:23" ht="11.25" customHeight="1" x14ac:dyDescent="0.25">
      <c r="A1771" s="4" t="s">
        <v>21</v>
      </c>
      <c r="B1771" s="4" t="s">
        <v>37</v>
      </c>
      <c r="C1771" s="4" t="s">
        <v>33</v>
      </c>
      <c r="D1771" s="4" t="s">
        <v>38</v>
      </c>
      <c r="E1771" s="4" t="s">
        <v>25</v>
      </c>
      <c r="F1771" s="4" t="s">
        <v>25</v>
      </c>
      <c r="G1771" s="4" t="s">
        <v>25</v>
      </c>
      <c r="H1771" s="4" t="s">
        <v>35</v>
      </c>
      <c r="I1771" s="5">
        <v>44562</v>
      </c>
      <c r="J1771" s="6">
        <v>0</v>
      </c>
      <c r="K1771" s="6">
        <v>0</v>
      </c>
      <c r="L1771" s="6">
        <v>6.8760000000000003</v>
      </c>
      <c r="M1771" s="6">
        <v>6.8760000000000003</v>
      </c>
      <c r="N1771" s="6">
        <v>6.8760000000000003</v>
      </c>
      <c r="O1771" s="6">
        <v>6.8760000000000003</v>
      </c>
      <c r="P1771" s="6">
        <v>0</v>
      </c>
      <c r="Q1771" s="4" t="s">
        <v>26</v>
      </c>
      <c r="R1771" s="4">
        <v>0</v>
      </c>
      <c r="S1771" s="4" t="s">
        <v>621</v>
      </c>
      <c r="T1771" s="4" t="s">
        <v>885</v>
      </c>
      <c r="U1771" s="4">
        <v>0</v>
      </c>
      <c r="V1771" s="4">
        <v>68</v>
      </c>
      <c r="W1771" s="4">
        <v>111</v>
      </c>
    </row>
    <row r="1772" spans="1:23" ht="11.25" customHeight="1" x14ac:dyDescent="0.25">
      <c r="A1772" s="4" t="s">
        <v>21</v>
      </c>
      <c r="B1772" s="4" t="s">
        <v>37</v>
      </c>
      <c r="C1772" s="4" t="s">
        <v>33</v>
      </c>
      <c r="D1772" s="4" t="s">
        <v>38</v>
      </c>
      <c r="E1772" s="4" t="s">
        <v>25</v>
      </c>
      <c r="F1772" s="4" t="s">
        <v>25</v>
      </c>
      <c r="G1772" s="4" t="s">
        <v>25</v>
      </c>
      <c r="H1772" s="4" t="s">
        <v>35</v>
      </c>
      <c r="I1772" s="5">
        <v>44593</v>
      </c>
      <c r="J1772" s="6">
        <v>0</v>
      </c>
      <c r="K1772" s="6">
        <v>0</v>
      </c>
      <c r="L1772" s="6">
        <v>4.7169999999999996</v>
      </c>
      <c r="M1772" s="6">
        <v>4.7169999999999996</v>
      </c>
      <c r="N1772" s="6">
        <v>4.7169999999999996</v>
      </c>
      <c r="O1772" s="6">
        <v>4.7169999999999996</v>
      </c>
      <c r="P1772" s="6">
        <v>0</v>
      </c>
      <c r="Q1772" s="4" t="s">
        <v>26</v>
      </c>
      <c r="R1772" s="4">
        <v>0</v>
      </c>
      <c r="S1772" s="4" t="s">
        <v>622</v>
      </c>
      <c r="T1772" s="4" t="s">
        <v>886</v>
      </c>
      <c r="U1772" s="4">
        <v>0</v>
      </c>
      <c r="V1772" s="4">
        <v>68</v>
      </c>
      <c r="W1772" s="4">
        <v>111</v>
      </c>
    </row>
    <row r="1773" spans="1:23" ht="11.25" customHeight="1" x14ac:dyDescent="0.25">
      <c r="A1773" s="4" t="s">
        <v>21</v>
      </c>
      <c r="B1773" s="4" t="s">
        <v>37</v>
      </c>
      <c r="C1773" s="4" t="s">
        <v>33</v>
      </c>
      <c r="D1773" s="4" t="s">
        <v>38</v>
      </c>
      <c r="E1773" s="4" t="s">
        <v>25</v>
      </c>
      <c r="F1773" s="4" t="s">
        <v>25</v>
      </c>
      <c r="G1773" s="4" t="s">
        <v>25</v>
      </c>
      <c r="H1773" s="4" t="s">
        <v>35</v>
      </c>
      <c r="I1773" s="5">
        <v>44621</v>
      </c>
      <c r="J1773" s="6">
        <v>0</v>
      </c>
      <c r="K1773" s="6">
        <v>0</v>
      </c>
      <c r="L1773" s="6">
        <v>2.62</v>
      </c>
      <c r="M1773" s="6">
        <v>2.62</v>
      </c>
      <c r="N1773" s="6">
        <v>2.62</v>
      </c>
      <c r="O1773" s="6">
        <v>2.62</v>
      </c>
      <c r="P1773" s="6">
        <v>0</v>
      </c>
      <c r="Q1773" s="4" t="s">
        <v>26</v>
      </c>
      <c r="R1773" s="4">
        <v>0</v>
      </c>
      <c r="S1773" s="4" t="s">
        <v>623</v>
      </c>
      <c r="T1773" s="4" t="s">
        <v>887</v>
      </c>
      <c r="U1773" s="4">
        <v>0</v>
      </c>
      <c r="V1773" s="4">
        <v>68</v>
      </c>
      <c r="W1773" s="4">
        <v>111</v>
      </c>
    </row>
    <row r="1774" spans="1:23" ht="11.25" customHeight="1" x14ac:dyDescent="0.25">
      <c r="A1774" s="4" t="s">
        <v>21</v>
      </c>
      <c r="B1774" s="4" t="s">
        <v>37</v>
      </c>
      <c r="C1774" s="4" t="s">
        <v>33</v>
      </c>
      <c r="D1774" s="4" t="s">
        <v>38</v>
      </c>
      <c r="E1774" s="4" t="s">
        <v>25</v>
      </c>
      <c r="F1774" s="4" t="s">
        <v>25</v>
      </c>
      <c r="G1774" s="4" t="s">
        <v>25</v>
      </c>
      <c r="H1774" s="4" t="s">
        <v>35</v>
      </c>
      <c r="I1774" s="5">
        <v>44652</v>
      </c>
      <c r="J1774" s="6">
        <v>0</v>
      </c>
      <c r="K1774" s="6">
        <v>0</v>
      </c>
      <c r="L1774" s="6">
        <v>4.431</v>
      </c>
      <c r="M1774" s="6">
        <v>4.431</v>
      </c>
      <c r="N1774" s="6">
        <v>4.431</v>
      </c>
      <c r="O1774" s="6">
        <v>4.431</v>
      </c>
      <c r="P1774" s="6">
        <v>0</v>
      </c>
      <c r="Q1774" s="4" t="s">
        <v>26</v>
      </c>
      <c r="R1774" s="4">
        <v>0</v>
      </c>
      <c r="S1774" s="4" t="s">
        <v>624</v>
      </c>
      <c r="T1774" s="4" t="s">
        <v>888</v>
      </c>
      <c r="U1774" s="4">
        <v>0</v>
      </c>
      <c r="V1774" s="4">
        <v>68</v>
      </c>
      <c r="W1774" s="4">
        <v>111</v>
      </c>
    </row>
    <row r="1775" spans="1:23" ht="11.25" customHeight="1" x14ac:dyDescent="0.25">
      <c r="A1775" s="4" t="s">
        <v>58</v>
      </c>
      <c r="B1775" s="4" t="s">
        <v>37</v>
      </c>
      <c r="C1775" s="4" t="s">
        <v>33</v>
      </c>
      <c r="D1775" s="4" t="s">
        <v>38</v>
      </c>
      <c r="E1775" s="4" t="s">
        <v>25</v>
      </c>
      <c r="F1775" s="4" t="s">
        <v>25</v>
      </c>
      <c r="G1775" s="4" t="s">
        <v>25</v>
      </c>
      <c r="H1775" s="4" t="s">
        <v>35</v>
      </c>
      <c r="I1775" s="5">
        <v>44682</v>
      </c>
      <c r="J1775" s="6">
        <v>0</v>
      </c>
      <c r="K1775" s="6">
        <v>0</v>
      </c>
      <c r="L1775" s="6">
        <v>4.431</v>
      </c>
      <c r="M1775" s="6">
        <v>4.431</v>
      </c>
      <c r="N1775" s="6">
        <v>4.431</v>
      </c>
      <c r="O1775" s="6">
        <v>4.431</v>
      </c>
      <c r="P1775" s="6">
        <v>0</v>
      </c>
      <c r="Q1775" s="4" t="s">
        <v>26</v>
      </c>
      <c r="R1775" s="4">
        <v>0</v>
      </c>
      <c r="S1775" s="4" t="s">
        <v>625</v>
      </c>
      <c r="T1775" s="4" t="s">
        <v>889</v>
      </c>
      <c r="U1775" s="4">
        <v>0</v>
      </c>
      <c r="V1775" s="4">
        <v>68</v>
      </c>
      <c r="W1775" s="4">
        <v>111</v>
      </c>
    </row>
    <row r="1776" spans="1:23" ht="11.25" customHeight="1" x14ac:dyDescent="0.25">
      <c r="A1776" s="4" t="s">
        <v>21</v>
      </c>
      <c r="B1776" s="4" t="s">
        <v>37</v>
      </c>
      <c r="C1776" s="4" t="s">
        <v>33</v>
      </c>
      <c r="D1776" s="4" t="s">
        <v>38</v>
      </c>
      <c r="E1776" s="4" t="s">
        <v>25</v>
      </c>
      <c r="F1776" s="4" t="s">
        <v>25</v>
      </c>
      <c r="G1776" s="4" t="s">
        <v>25</v>
      </c>
      <c r="H1776" s="4" t="s">
        <v>36</v>
      </c>
      <c r="I1776" s="5">
        <v>44348</v>
      </c>
      <c r="J1776" s="6">
        <v>0</v>
      </c>
      <c r="K1776" s="6">
        <v>0</v>
      </c>
      <c r="L1776" s="6">
        <v>0.49099999999999999</v>
      </c>
      <c r="M1776" s="6">
        <v>0.49099999999999999</v>
      </c>
      <c r="N1776" s="6">
        <v>0.49099999999999999</v>
      </c>
      <c r="O1776" s="6">
        <v>0.49099999999999999</v>
      </c>
      <c r="P1776" s="6">
        <v>0</v>
      </c>
      <c r="Q1776" s="4" t="s">
        <v>26</v>
      </c>
      <c r="R1776" s="4">
        <v>0</v>
      </c>
      <c r="S1776" s="4" t="s">
        <v>626</v>
      </c>
      <c r="T1776" s="4" t="s">
        <v>890</v>
      </c>
      <c r="U1776" s="4">
        <v>0</v>
      </c>
      <c r="V1776" s="4">
        <v>67</v>
      </c>
      <c r="W1776" s="4">
        <v>110</v>
      </c>
    </row>
    <row r="1777" spans="1:23" ht="11.25" customHeight="1" x14ac:dyDescent="0.25">
      <c r="A1777" s="4" t="s">
        <v>21</v>
      </c>
      <c r="B1777" s="4" t="s">
        <v>37</v>
      </c>
      <c r="C1777" s="4" t="s">
        <v>33</v>
      </c>
      <c r="D1777" s="4" t="s">
        <v>38</v>
      </c>
      <c r="E1777" s="4" t="s">
        <v>25</v>
      </c>
      <c r="F1777" s="4" t="s">
        <v>25</v>
      </c>
      <c r="G1777" s="4" t="s">
        <v>25</v>
      </c>
      <c r="H1777" s="4" t="s">
        <v>36</v>
      </c>
      <c r="I1777" s="5">
        <v>44378</v>
      </c>
      <c r="J1777" s="6">
        <v>0</v>
      </c>
      <c r="K1777" s="6">
        <v>0</v>
      </c>
      <c r="L1777" s="6">
        <v>0.42</v>
      </c>
      <c r="M1777" s="6">
        <v>0.42</v>
      </c>
      <c r="N1777" s="6">
        <v>0.42</v>
      </c>
      <c r="O1777" s="6">
        <v>0.42</v>
      </c>
      <c r="P1777" s="6">
        <v>0</v>
      </c>
      <c r="Q1777" s="4" t="s">
        <v>26</v>
      </c>
      <c r="R1777" s="4">
        <v>0</v>
      </c>
      <c r="S1777" s="4" t="s">
        <v>627</v>
      </c>
      <c r="T1777" s="4" t="s">
        <v>891</v>
      </c>
      <c r="U1777" s="4">
        <v>0</v>
      </c>
      <c r="V1777" s="4">
        <v>67</v>
      </c>
      <c r="W1777" s="4">
        <v>110</v>
      </c>
    </row>
    <row r="1778" spans="1:23" ht="11.25" customHeight="1" x14ac:dyDescent="0.25">
      <c r="A1778" s="4" t="s">
        <v>21</v>
      </c>
      <c r="B1778" s="4" t="s">
        <v>37</v>
      </c>
      <c r="C1778" s="4" t="s">
        <v>33</v>
      </c>
      <c r="D1778" s="4" t="s">
        <v>38</v>
      </c>
      <c r="E1778" s="4" t="s">
        <v>25</v>
      </c>
      <c r="F1778" s="4" t="s">
        <v>25</v>
      </c>
      <c r="G1778" s="4" t="s">
        <v>25</v>
      </c>
      <c r="H1778" s="4" t="s">
        <v>36</v>
      </c>
      <c r="I1778" s="5">
        <v>44409</v>
      </c>
      <c r="J1778" s="6">
        <v>0</v>
      </c>
      <c r="K1778" s="6">
        <v>0</v>
      </c>
      <c r="L1778" s="6">
        <v>0.54700000000000004</v>
      </c>
      <c r="M1778" s="6">
        <v>0.54700000000000004</v>
      </c>
      <c r="N1778" s="6">
        <v>0.54700000000000004</v>
      </c>
      <c r="O1778" s="6">
        <v>0.54700000000000004</v>
      </c>
      <c r="P1778" s="6">
        <v>0</v>
      </c>
      <c r="Q1778" s="4" t="s">
        <v>26</v>
      </c>
      <c r="R1778" s="4">
        <v>0</v>
      </c>
      <c r="S1778" s="4" t="s">
        <v>628</v>
      </c>
      <c r="T1778" s="4" t="s">
        <v>892</v>
      </c>
      <c r="U1778" s="4">
        <v>0</v>
      </c>
      <c r="V1778" s="4">
        <v>67</v>
      </c>
      <c r="W1778" s="4">
        <v>110</v>
      </c>
    </row>
    <row r="1779" spans="1:23" ht="11.25" customHeight="1" x14ac:dyDescent="0.25">
      <c r="A1779" s="4" t="s">
        <v>21</v>
      </c>
      <c r="B1779" s="4" t="s">
        <v>37</v>
      </c>
      <c r="C1779" s="4" t="s">
        <v>33</v>
      </c>
      <c r="D1779" s="4" t="s">
        <v>38</v>
      </c>
      <c r="E1779" s="4" t="s">
        <v>25</v>
      </c>
      <c r="F1779" s="4" t="s">
        <v>25</v>
      </c>
      <c r="G1779" s="4" t="s">
        <v>25</v>
      </c>
      <c r="H1779" s="4" t="s">
        <v>36</v>
      </c>
      <c r="I1779" s="5">
        <v>44440</v>
      </c>
      <c r="J1779" s="6">
        <v>0</v>
      </c>
      <c r="K1779" s="6">
        <v>0</v>
      </c>
      <c r="L1779" s="6">
        <v>0.80600000000000005</v>
      </c>
      <c r="M1779" s="6">
        <v>0.80600000000000005</v>
      </c>
      <c r="N1779" s="6">
        <v>0.80600000000000005</v>
      </c>
      <c r="O1779" s="6">
        <v>0.80600000000000005</v>
      </c>
      <c r="P1779" s="6">
        <v>0</v>
      </c>
      <c r="Q1779" s="4" t="s">
        <v>26</v>
      </c>
      <c r="R1779" s="4">
        <v>0</v>
      </c>
      <c r="S1779" s="4" t="s">
        <v>629</v>
      </c>
      <c r="T1779" s="4" t="s">
        <v>893</v>
      </c>
      <c r="U1779" s="4">
        <v>0</v>
      </c>
      <c r="V1779" s="4">
        <v>67</v>
      </c>
      <c r="W1779" s="4">
        <v>110</v>
      </c>
    </row>
    <row r="1780" spans="1:23" ht="11.25" customHeight="1" x14ac:dyDescent="0.25">
      <c r="A1780" s="4" t="s">
        <v>21</v>
      </c>
      <c r="B1780" s="4" t="s">
        <v>37</v>
      </c>
      <c r="C1780" s="4" t="s">
        <v>33</v>
      </c>
      <c r="D1780" s="4" t="s">
        <v>38</v>
      </c>
      <c r="E1780" s="4" t="s">
        <v>25</v>
      </c>
      <c r="F1780" s="4" t="s">
        <v>25</v>
      </c>
      <c r="G1780" s="4" t="s">
        <v>25</v>
      </c>
      <c r="H1780" s="4" t="s">
        <v>36</v>
      </c>
      <c r="I1780" s="5">
        <v>44470</v>
      </c>
      <c r="J1780" s="6">
        <v>0</v>
      </c>
      <c r="K1780" s="6">
        <v>0</v>
      </c>
      <c r="L1780" s="6">
        <v>0.47699999999999998</v>
      </c>
      <c r="M1780" s="6">
        <v>0.47699999999999998</v>
      </c>
      <c r="N1780" s="6">
        <v>0.47699999999999998</v>
      </c>
      <c r="O1780" s="6">
        <v>0.47699999999999998</v>
      </c>
      <c r="P1780" s="6">
        <v>0</v>
      </c>
      <c r="Q1780" s="4" t="s">
        <v>26</v>
      </c>
      <c r="R1780" s="4">
        <v>0</v>
      </c>
      <c r="S1780" s="4" t="s">
        <v>630</v>
      </c>
      <c r="T1780" s="4" t="s">
        <v>894</v>
      </c>
      <c r="U1780" s="4">
        <v>0</v>
      </c>
      <c r="V1780" s="4">
        <v>67</v>
      </c>
      <c r="W1780" s="4">
        <v>110</v>
      </c>
    </row>
    <row r="1781" spans="1:23" ht="11.25" customHeight="1" x14ac:dyDescent="0.25">
      <c r="A1781" s="4" t="s">
        <v>21</v>
      </c>
      <c r="B1781" s="4" t="s">
        <v>37</v>
      </c>
      <c r="C1781" s="4" t="s">
        <v>33</v>
      </c>
      <c r="D1781" s="4" t="s">
        <v>38</v>
      </c>
      <c r="E1781" s="4" t="s">
        <v>25</v>
      </c>
      <c r="F1781" s="4" t="s">
        <v>25</v>
      </c>
      <c r="G1781" s="4" t="s">
        <v>25</v>
      </c>
      <c r="H1781" s="4" t="s">
        <v>36</v>
      </c>
      <c r="I1781" s="5">
        <v>44501</v>
      </c>
      <c r="J1781" s="6">
        <v>0</v>
      </c>
      <c r="K1781" s="6">
        <v>0</v>
      </c>
      <c r="L1781" s="6">
        <v>0.68200000000000005</v>
      </c>
      <c r="M1781" s="6">
        <v>0.68200000000000005</v>
      </c>
      <c r="N1781" s="6">
        <v>0.68200000000000005</v>
      </c>
      <c r="O1781" s="6">
        <v>0.68200000000000005</v>
      </c>
      <c r="P1781" s="6">
        <v>0</v>
      </c>
      <c r="Q1781" s="4" t="s">
        <v>26</v>
      </c>
      <c r="R1781" s="4">
        <v>0</v>
      </c>
      <c r="S1781" s="4" t="s">
        <v>631</v>
      </c>
      <c r="T1781" s="4" t="s">
        <v>895</v>
      </c>
      <c r="U1781" s="4">
        <v>0</v>
      </c>
      <c r="V1781" s="4">
        <v>67</v>
      </c>
      <c r="W1781" s="4">
        <v>110</v>
      </c>
    </row>
    <row r="1782" spans="1:23" ht="11.25" customHeight="1" x14ac:dyDescent="0.25">
      <c r="A1782" s="4" t="s">
        <v>21</v>
      </c>
      <c r="B1782" s="4" t="s">
        <v>37</v>
      </c>
      <c r="C1782" s="4" t="s">
        <v>33</v>
      </c>
      <c r="D1782" s="4" t="s">
        <v>38</v>
      </c>
      <c r="E1782" s="4" t="s">
        <v>25</v>
      </c>
      <c r="F1782" s="4" t="s">
        <v>25</v>
      </c>
      <c r="G1782" s="4" t="s">
        <v>25</v>
      </c>
      <c r="H1782" s="4" t="s">
        <v>36</v>
      </c>
      <c r="I1782" s="5">
        <v>44531</v>
      </c>
      <c r="J1782" s="6">
        <v>0</v>
      </c>
      <c r="K1782" s="6">
        <v>0</v>
      </c>
      <c r="L1782" s="6">
        <v>0.55700000000000005</v>
      </c>
      <c r="M1782" s="6">
        <v>0.55700000000000005</v>
      </c>
      <c r="N1782" s="6">
        <v>0.55700000000000005</v>
      </c>
      <c r="O1782" s="6">
        <v>0.55700000000000005</v>
      </c>
      <c r="P1782" s="6">
        <v>0</v>
      </c>
      <c r="Q1782" s="4" t="s">
        <v>26</v>
      </c>
      <c r="R1782" s="4">
        <v>0</v>
      </c>
      <c r="S1782" s="4" t="s">
        <v>632</v>
      </c>
      <c r="T1782" s="4" t="s">
        <v>896</v>
      </c>
      <c r="U1782" s="4">
        <v>0</v>
      </c>
      <c r="V1782" s="4">
        <v>67</v>
      </c>
      <c r="W1782" s="4">
        <v>110</v>
      </c>
    </row>
    <row r="1783" spans="1:23" ht="11.25" customHeight="1" x14ac:dyDescent="0.25">
      <c r="A1783" s="4" t="s">
        <v>21</v>
      </c>
      <c r="B1783" s="4" t="s">
        <v>37</v>
      </c>
      <c r="C1783" s="4" t="s">
        <v>33</v>
      </c>
      <c r="D1783" s="4" t="s">
        <v>38</v>
      </c>
      <c r="E1783" s="4" t="s">
        <v>25</v>
      </c>
      <c r="F1783" s="4" t="s">
        <v>25</v>
      </c>
      <c r="G1783" s="4" t="s">
        <v>25</v>
      </c>
      <c r="H1783" s="4" t="s">
        <v>36</v>
      </c>
      <c r="I1783" s="5">
        <v>44562</v>
      </c>
      <c r="J1783" s="6">
        <v>0</v>
      </c>
      <c r="K1783" s="6">
        <v>0</v>
      </c>
      <c r="L1783" s="6">
        <v>0.75900000000000001</v>
      </c>
      <c r="M1783" s="6">
        <v>0.75900000000000001</v>
      </c>
      <c r="N1783" s="6">
        <v>0.75900000000000001</v>
      </c>
      <c r="O1783" s="6">
        <v>0.75900000000000001</v>
      </c>
      <c r="P1783" s="6">
        <v>0</v>
      </c>
      <c r="Q1783" s="4" t="s">
        <v>26</v>
      </c>
      <c r="R1783" s="4">
        <v>0</v>
      </c>
      <c r="S1783" s="4" t="s">
        <v>633</v>
      </c>
      <c r="T1783" s="4" t="s">
        <v>897</v>
      </c>
      <c r="U1783" s="4">
        <v>0</v>
      </c>
      <c r="V1783" s="4">
        <v>67</v>
      </c>
      <c r="W1783" s="4">
        <v>110</v>
      </c>
    </row>
    <row r="1784" spans="1:23" ht="11.25" customHeight="1" x14ac:dyDescent="0.25">
      <c r="A1784" s="4" t="s">
        <v>21</v>
      </c>
      <c r="B1784" s="4" t="s">
        <v>37</v>
      </c>
      <c r="C1784" s="4" t="s">
        <v>33</v>
      </c>
      <c r="D1784" s="4" t="s">
        <v>38</v>
      </c>
      <c r="E1784" s="4" t="s">
        <v>25</v>
      </c>
      <c r="F1784" s="4" t="s">
        <v>25</v>
      </c>
      <c r="G1784" s="4" t="s">
        <v>25</v>
      </c>
      <c r="H1784" s="4" t="s">
        <v>36</v>
      </c>
      <c r="I1784" s="5">
        <v>44593</v>
      </c>
      <c r="J1784" s="6">
        <v>0</v>
      </c>
      <c r="K1784" s="6">
        <v>0</v>
      </c>
      <c r="L1784" s="6">
        <v>0.55300000000000005</v>
      </c>
      <c r="M1784" s="6">
        <v>0.55300000000000005</v>
      </c>
      <c r="N1784" s="6">
        <v>0.55300000000000005</v>
      </c>
      <c r="O1784" s="6">
        <v>0.55300000000000005</v>
      </c>
      <c r="P1784" s="6">
        <v>0</v>
      </c>
      <c r="Q1784" s="4" t="s">
        <v>26</v>
      </c>
      <c r="R1784" s="4">
        <v>0</v>
      </c>
      <c r="S1784" s="4" t="s">
        <v>634</v>
      </c>
      <c r="T1784" s="4" t="s">
        <v>898</v>
      </c>
      <c r="U1784" s="4">
        <v>0</v>
      </c>
      <c r="V1784" s="4">
        <v>67</v>
      </c>
      <c r="W1784" s="4">
        <v>110</v>
      </c>
    </row>
    <row r="1785" spans="1:23" ht="11.25" customHeight="1" x14ac:dyDescent="0.25">
      <c r="A1785" s="4" t="s">
        <v>21</v>
      </c>
      <c r="B1785" s="4" t="s">
        <v>37</v>
      </c>
      <c r="C1785" s="4" t="s">
        <v>33</v>
      </c>
      <c r="D1785" s="4" t="s">
        <v>38</v>
      </c>
      <c r="E1785" s="4" t="s">
        <v>25</v>
      </c>
      <c r="F1785" s="4" t="s">
        <v>25</v>
      </c>
      <c r="G1785" s="4" t="s">
        <v>25</v>
      </c>
      <c r="H1785" s="4" t="s">
        <v>36</v>
      </c>
      <c r="I1785" s="5">
        <v>44621</v>
      </c>
      <c r="J1785" s="6">
        <v>0</v>
      </c>
      <c r="K1785" s="6">
        <v>0</v>
      </c>
      <c r="L1785" s="6">
        <v>0.23899999999999999</v>
      </c>
      <c r="M1785" s="6">
        <v>0.23899999999999999</v>
      </c>
      <c r="N1785" s="6">
        <v>0.23899999999999999</v>
      </c>
      <c r="O1785" s="6">
        <v>0.23899999999999999</v>
      </c>
      <c r="P1785" s="6">
        <v>0</v>
      </c>
      <c r="Q1785" s="4" t="s">
        <v>26</v>
      </c>
      <c r="R1785" s="4">
        <v>0</v>
      </c>
      <c r="S1785" s="4" t="s">
        <v>635</v>
      </c>
      <c r="T1785" s="4" t="s">
        <v>899</v>
      </c>
      <c r="U1785" s="4">
        <v>0</v>
      </c>
      <c r="V1785" s="4">
        <v>67</v>
      </c>
      <c r="W1785" s="4">
        <v>110</v>
      </c>
    </row>
    <row r="1786" spans="1:23" ht="11.25" customHeight="1" x14ac:dyDescent="0.25">
      <c r="A1786" s="4" t="s">
        <v>21</v>
      </c>
      <c r="B1786" s="4" t="s">
        <v>37</v>
      </c>
      <c r="C1786" s="4" t="s">
        <v>33</v>
      </c>
      <c r="D1786" s="4" t="s">
        <v>38</v>
      </c>
      <c r="E1786" s="4" t="s">
        <v>25</v>
      </c>
      <c r="F1786" s="4" t="s">
        <v>25</v>
      </c>
      <c r="G1786" s="4" t="s">
        <v>25</v>
      </c>
      <c r="H1786" s="4" t="s">
        <v>36</v>
      </c>
      <c r="I1786" s="5">
        <v>44652</v>
      </c>
      <c r="J1786" s="6">
        <v>0</v>
      </c>
      <c r="K1786" s="6">
        <v>0</v>
      </c>
      <c r="L1786" s="6">
        <v>0.56499999999999995</v>
      </c>
      <c r="M1786" s="6">
        <v>0.56499999999999995</v>
      </c>
      <c r="N1786" s="6">
        <v>0.56499999999999995</v>
      </c>
      <c r="O1786" s="6">
        <v>0.56499999999999995</v>
      </c>
      <c r="P1786" s="6">
        <v>0</v>
      </c>
      <c r="Q1786" s="4" t="s">
        <v>26</v>
      </c>
      <c r="R1786" s="4">
        <v>0</v>
      </c>
      <c r="S1786" s="4" t="s">
        <v>636</v>
      </c>
      <c r="T1786" s="4" t="s">
        <v>900</v>
      </c>
      <c r="U1786" s="4">
        <v>0</v>
      </c>
      <c r="V1786" s="4">
        <v>67</v>
      </c>
      <c r="W1786" s="4">
        <v>110</v>
      </c>
    </row>
    <row r="1787" spans="1:23" ht="11.25" customHeight="1" x14ac:dyDescent="0.25">
      <c r="A1787" s="4" t="s">
        <v>58</v>
      </c>
      <c r="B1787" s="4" t="s">
        <v>37</v>
      </c>
      <c r="C1787" s="4" t="s">
        <v>33</v>
      </c>
      <c r="D1787" s="4" t="s">
        <v>38</v>
      </c>
      <c r="E1787" s="4" t="s">
        <v>25</v>
      </c>
      <c r="F1787" s="4" t="s">
        <v>25</v>
      </c>
      <c r="G1787" s="4" t="s">
        <v>25</v>
      </c>
      <c r="H1787" s="4" t="s">
        <v>36</v>
      </c>
      <c r="I1787" s="5">
        <v>44682</v>
      </c>
      <c r="J1787" s="6">
        <v>0</v>
      </c>
      <c r="K1787" s="6">
        <v>0</v>
      </c>
      <c r="L1787" s="6">
        <v>0.56499999999999995</v>
      </c>
      <c r="M1787" s="6">
        <v>0.56499999999999995</v>
      </c>
      <c r="N1787" s="6">
        <v>0.56499999999999995</v>
      </c>
      <c r="O1787" s="6">
        <v>0.56499999999999995</v>
      </c>
      <c r="P1787" s="6">
        <v>0</v>
      </c>
      <c r="Q1787" s="4" t="s">
        <v>26</v>
      </c>
      <c r="R1787" s="4">
        <v>0</v>
      </c>
      <c r="S1787" s="4" t="s">
        <v>637</v>
      </c>
      <c r="T1787" s="4" t="s">
        <v>901</v>
      </c>
      <c r="U1787" s="4">
        <v>0</v>
      </c>
      <c r="V1787" s="4">
        <v>67</v>
      </c>
      <c r="W1787" s="4">
        <v>110</v>
      </c>
    </row>
    <row r="1788" spans="1:23" ht="11.25" customHeight="1" x14ac:dyDescent="0.25">
      <c r="A1788" s="4" t="s">
        <v>21</v>
      </c>
      <c r="B1788" s="4" t="s">
        <v>37</v>
      </c>
      <c r="C1788" s="4" t="s">
        <v>33</v>
      </c>
      <c r="D1788" s="4" t="s">
        <v>38</v>
      </c>
      <c r="E1788" s="4" t="s">
        <v>25</v>
      </c>
      <c r="F1788" s="4" t="s">
        <v>25</v>
      </c>
      <c r="G1788" s="4" t="s">
        <v>25</v>
      </c>
      <c r="H1788" s="4" t="s">
        <v>34</v>
      </c>
      <c r="I1788" s="5">
        <v>44348</v>
      </c>
      <c r="J1788" s="6">
        <v>0</v>
      </c>
      <c r="K1788" s="6">
        <v>0</v>
      </c>
      <c r="L1788" s="6">
        <v>0.23499999999999999</v>
      </c>
      <c r="M1788" s="6">
        <v>0.23499999999999999</v>
      </c>
      <c r="N1788" s="6">
        <v>0.23499999999999999</v>
      </c>
      <c r="O1788" s="6">
        <v>0.23499999999999999</v>
      </c>
      <c r="P1788" s="6">
        <v>0</v>
      </c>
      <c r="Q1788" s="4" t="s">
        <v>26</v>
      </c>
      <c r="R1788" s="4">
        <v>0</v>
      </c>
      <c r="S1788" s="4" t="s">
        <v>638</v>
      </c>
      <c r="T1788" s="4" t="s">
        <v>902</v>
      </c>
      <c r="U1788" s="4">
        <v>0</v>
      </c>
      <c r="V1788" s="4">
        <v>66</v>
      </c>
      <c r="W1788" s="4">
        <v>109</v>
      </c>
    </row>
    <row r="1789" spans="1:23" ht="11.25" customHeight="1" x14ac:dyDescent="0.25">
      <c r="A1789" s="4" t="s">
        <v>21</v>
      </c>
      <c r="B1789" s="4" t="s">
        <v>37</v>
      </c>
      <c r="C1789" s="4" t="s">
        <v>33</v>
      </c>
      <c r="D1789" s="4" t="s">
        <v>38</v>
      </c>
      <c r="E1789" s="4" t="s">
        <v>25</v>
      </c>
      <c r="F1789" s="4" t="s">
        <v>25</v>
      </c>
      <c r="G1789" s="4" t="s">
        <v>25</v>
      </c>
      <c r="H1789" s="4" t="s">
        <v>34</v>
      </c>
      <c r="I1789" s="5">
        <v>44378</v>
      </c>
      <c r="J1789" s="6">
        <v>0</v>
      </c>
      <c r="K1789" s="6">
        <v>0</v>
      </c>
      <c r="L1789" s="6">
        <v>0.28599999999999998</v>
      </c>
      <c r="M1789" s="6">
        <v>0.28599999999999998</v>
      </c>
      <c r="N1789" s="6">
        <v>0.28599999999999998</v>
      </c>
      <c r="O1789" s="6">
        <v>0.28599999999999998</v>
      </c>
      <c r="P1789" s="6">
        <v>0</v>
      </c>
      <c r="Q1789" s="4" t="s">
        <v>26</v>
      </c>
      <c r="R1789" s="4">
        <v>0</v>
      </c>
      <c r="S1789" s="4" t="s">
        <v>639</v>
      </c>
      <c r="T1789" s="4" t="s">
        <v>903</v>
      </c>
      <c r="U1789" s="4">
        <v>0</v>
      </c>
      <c r="V1789" s="4">
        <v>66</v>
      </c>
      <c r="W1789" s="4">
        <v>109</v>
      </c>
    </row>
    <row r="1790" spans="1:23" ht="11.25" customHeight="1" x14ac:dyDescent="0.25">
      <c r="A1790" s="4" t="s">
        <v>21</v>
      </c>
      <c r="B1790" s="4" t="s">
        <v>37</v>
      </c>
      <c r="C1790" s="4" t="s">
        <v>33</v>
      </c>
      <c r="D1790" s="4" t="s">
        <v>38</v>
      </c>
      <c r="E1790" s="4" t="s">
        <v>25</v>
      </c>
      <c r="F1790" s="4" t="s">
        <v>25</v>
      </c>
      <c r="G1790" s="4" t="s">
        <v>25</v>
      </c>
      <c r="H1790" s="4" t="s">
        <v>34</v>
      </c>
      <c r="I1790" s="5">
        <v>44409</v>
      </c>
      <c r="J1790" s="6">
        <v>0</v>
      </c>
      <c r="K1790" s="6">
        <v>0</v>
      </c>
      <c r="L1790" s="6">
        <v>0.46500000000000002</v>
      </c>
      <c r="M1790" s="6">
        <v>0.46500000000000002</v>
      </c>
      <c r="N1790" s="6">
        <v>0.46500000000000002</v>
      </c>
      <c r="O1790" s="6">
        <v>0.46500000000000002</v>
      </c>
      <c r="P1790" s="6">
        <v>0</v>
      </c>
      <c r="Q1790" s="4" t="s">
        <v>26</v>
      </c>
      <c r="R1790" s="4">
        <v>0</v>
      </c>
      <c r="S1790" s="4" t="s">
        <v>640</v>
      </c>
      <c r="T1790" s="4" t="s">
        <v>904</v>
      </c>
      <c r="U1790" s="4">
        <v>0</v>
      </c>
      <c r="V1790" s="4">
        <v>66</v>
      </c>
      <c r="W1790" s="4">
        <v>109</v>
      </c>
    </row>
    <row r="1791" spans="1:23" ht="11.25" customHeight="1" x14ac:dyDescent="0.25">
      <c r="A1791" s="4" t="s">
        <v>21</v>
      </c>
      <c r="B1791" s="4" t="s">
        <v>37</v>
      </c>
      <c r="C1791" s="4" t="s">
        <v>33</v>
      </c>
      <c r="D1791" s="4" t="s">
        <v>38</v>
      </c>
      <c r="E1791" s="4" t="s">
        <v>25</v>
      </c>
      <c r="F1791" s="4" t="s">
        <v>25</v>
      </c>
      <c r="G1791" s="4" t="s">
        <v>25</v>
      </c>
      <c r="H1791" s="4" t="s">
        <v>34</v>
      </c>
      <c r="I1791" s="5">
        <v>44440</v>
      </c>
      <c r="J1791" s="6">
        <v>0</v>
      </c>
      <c r="K1791" s="6">
        <v>0</v>
      </c>
      <c r="L1791" s="6">
        <v>0.436</v>
      </c>
      <c r="M1791" s="6">
        <v>0.436</v>
      </c>
      <c r="N1791" s="6">
        <v>0.436</v>
      </c>
      <c r="O1791" s="6">
        <v>0.436</v>
      </c>
      <c r="P1791" s="6">
        <v>0</v>
      </c>
      <c r="Q1791" s="4" t="s">
        <v>26</v>
      </c>
      <c r="R1791" s="4">
        <v>0</v>
      </c>
      <c r="S1791" s="4" t="s">
        <v>641</v>
      </c>
      <c r="T1791" s="4" t="s">
        <v>905</v>
      </c>
      <c r="U1791" s="4">
        <v>0</v>
      </c>
      <c r="V1791" s="4">
        <v>66</v>
      </c>
      <c r="W1791" s="4">
        <v>109</v>
      </c>
    </row>
    <row r="1792" spans="1:23" ht="11.25" customHeight="1" x14ac:dyDescent="0.25">
      <c r="A1792" s="4" t="s">
        <v>21</v>
      </c>
      <c r="B1792" s="4" t="s">
        <v>37</v>
      </c>
      <c r="C1792" s="4" t="s">
        <v>33</v>
      </c>
      <c r="D1792" s="4" t="s">
        <v>38</v>
      </c>
      <c r="E1792" s="4" t="s">
        <v>25</v>
      </c>
      <c r="F1792" s="4" t="s">
        <v>25</v>
      </c>
      <c r="G1792" s="4" t="s">
        <v>25</v>
      </c>
      <c r="H1792" s="4" t="s">
        <v>34</v>
      </c>
      <c r="I1792" s="5">
        <v>44470</v>
      </c>
      <c r="J1792" s="6">
        <v>0</v>
      </c>
      <c r="K1792" s="6">
        <v>0</v>
      </c>
      <c r="L1792" s="6">
        <v>0.29299999999999998</v>
      </c>
      <c r="M1792" s="6">
        <v>0.29299999999999998</v>
      </c>
      <c r="N1792" s="6">
        <v>0.29299999999999998</v>
      </c>
      <c r="O1792" s="6">
        <v>0.29299999999999998</v>
      </c>
      <c r="P1792" s="6">
        <v>0</v>
      </c>
      <c r="Q1792" s="4" t="s">
        <v>26</v>
      </c>
      <c r="R1792" s="4">
        <v>0</v>
      </c>
      <c r="S1792" s="4" t="s">
        <v>642</v>
      </c>
      <c r="T1792" s="4" t="s">
        <v>906</v>
      </c>
      <c r="U1792" s="4">
        <v>0</v>
      </c>
      <c r="V1792" s="4">
        <v>66</v>
      </c>
      <c r="W1792" s="4">
        <v>109</v>
      </c>
    </row>
    <row r="1793" spans="1:23" ht="11.25" customHeight="1" x14ac:dyDescent="0.25">
      <c r="A1793" s="4" t="s">
        <v>21</v>
      </c>
      <c r="B1793" s="4" t="s">
        <v>37</v>
      </c>
      <c r="C1793" s="4" t="s">
        <v>33</v>
      </c>
      <c r="D1793" s="4" t="s">
        <v>38</v>
      </c>
      <c r="E1793" s="4" t="s">
        <v>25</v>
      </c>
      <c r="F1793" s="4" t="s">
        <v>25</v>
      </c>
      <c r="G1793" s="4" t="s">
        <v>25</v>
      </c>
      <c r="H1793" s="4" t="s">
        <v>34</v>
      </c>
      <c r="I1793" s="5">
        <v>44501</v>
      </c>
      <c r="J1793" s="6">
        <v>0</v>
      </c>
      <c r="K1793" s="6">
        <v>0</v>
      </c>
      <c r="L1793" s="6">
        <v>0.52900000000000003</v>
      </c>
      <c r="M1793" s="6">
        <v>0.52900000000000003</v>
      </c>
      <c r="N1793" s="6">
        <v>0.52900000000000003</v>
      </c>
      <c r="O1793" s="6">
        <v>0.52900000000000003</v>
      </c>
      <c r="P1793" s="6">
        <v>0</v>
      </c>
      <c r="Q1793" s="4" t="s">
        <v>26</v>
      </c>
      <c r="R1793" s="4">
        <v>0</v>
      </c>
      <c r="S1793" s="4" t="s">
        <v>643</v>
      </c>
      <c r="T1793" s="4" t="s">
        <v>907</v>
      </c>
      <c r="U1793" s="4">
        <v>0</v>
      </c>
      <c r="V1793" s="4">
        <v>66</v>
      </c>
      <c r="W1793" s="4">
        <v>109</v>
      </c>
    </row>
    <row r="1794" spans="1:23" ht="11.25" customHeight="1" x14ac:dyDescent="0.25">
      <c r="A1794" s="4" t="s">
        <v>21</v>
      </c>
      <c r="B1794" s="4" t="s">
        <v>37</v>
      </c>
      <c r="C1794" s="4" t="s">
        <v>33</v>
      </c>
      <c r="D1794" s="4" t="s">
        <v>38</v>
      </c>
      <c r="E1794" s="4" t="s">
        <v>25</v>
      </c>
      <c r="F1794" s="4" t="s">
        <v>25</v>
      </c>
      <c r="G1794" s="4" t="s">
        <v>25</v>
      </c>
      <c r="H1794" s="4" t="s">
        <v>34</v>
      </c>
      <c r="I1794" s="5">
        <v>44531</v>
      </c>
      <c r="J1794" s="6">
        <v>0</v>
      </c>
      <c r="K1794" s="6">
        <v>0</v>
      </c>
      <c r="L1794" s="6">
        <v>0.33500000000000002</v>
      </c>
      <c r="M1794" s="6">
        <v>0.33500000000000002</v>
      </c>
      <c r="N1794" s="6">
        <v>0.33500000000000002</v>
      </c>
      <c r="O1794" s="6">
        <v>0.33500000000000002</v>
      </c>
      <c r="P1794" s="6">
        <v>0</v>
      </c>
      <c r="Q1794" s="4" t="s">
        <v>26</v>
      </c>
      <c r="R1794" s="4">
        <v>0</v>
      </c>
      <c r="S1794" s="4" t="s">
        <v>644</v>
      </c>
      <c r="T1794" s="4" t="s">
        <v>908</v>
      </c>
      <c r="U1794" s="4">
        <v>0</v>
      </c>
      <c r="V1794" s="4">
        <v>66</v>
      </c>
      <c r="W1794" s="4">
        <v>109</v>
      </c>
    </row>
    <row r="1795" spans="1:23" ht="11.25" customHeight="1" x14ac:dyDescent="0.25">
      <c r="A1795" s="4" t="s">
        <v>21</v>
      </c>
      <c r="B1795" s="4" t="s">
        <v>37</v>
      </c>
      <c r="C1795" s="4" t="s">
        <v>33</v>
      </c>
      <c r="D1795" s="4" t="s">
        <v>38</v>
      </c>
      <c r="E1795" s="4" t="s">
        <v>25</v>
      </c>
      <c r="F1795" s="4" t="s">
        <v>25</v>
      </c>
      <c r="G1795" s="4" t="s">
        <v>25</v>
      </c>
      <c r="H1795" s="4" t="s">
        <v>34</v>
      </c>
      <c r="I1795" s="5">
        <v>44562</v>
      </c>
      <c r="J1795" s="6">
        <v>0</v>
      </c>
      <c r="K1795" s="6">
        <v>0</v>
      </c>
      <c r="L1795" s="6">
        <v>0.61299999999999999</v>
      </c>
      <c r="M1795" s="6">
        <v>0.61299999999999999</v>
      </c>
      <c r="N1795" s="6">
        <v>0.61299999999999999</v>
      </c>
      <c r="O1795" s="6">
        <v>0.61299999999999999</v>
      </c>
      <c r="P1795" s="6">
        <v>0</v>
      </c>
      <c r="Q1795" s="4" t="s">
        <v>26</v>
      </c>
      <c r="R1795" s="4">
        <v>0</v>
      </c>
      <c r="S1795" s="4" t="s">
        <v>645</v>
      </c>
      <c r="T1795" s="4" t="s">
        <v>909</v>
      </c>
      <c r="U1795" s="4">
        <v>0</v>
      </c>
      <c r="V1795" s="4">
        <v>66</v>
      </c>
      <c r="W1795" s="4">
        <v>109</v>
      </c>
    </row>
    <row r="1796" spans="1:23" ht="11.25" customHeight="1" x14ac:dyDescent="0.25">
      <c r="A1796" s="4" t="s">
        <v>21</v>
      </c>
      <c r="B1796" s="4" t="s">
        <v>37</v>
      </c>
      <c r="C1796" s="4" t="s">
        <v>33</v>
      </c>
      <c r="D1796" s="4" t="s">
        <v>38</v>
      </c>
      <c r="E1796" s="4" t="s">
        <v>25</v>
      </c>
      <c r="F1796" s="4" t="s">
        <v>25</v>
      </c>
      <c r="G1796" s="4" t="s">
        <v>25</v>
      </c>
      <c r="H1796" s="4" t="s">
        <v>34</v>
      </c>
      <c r="I1796" s="5">
        <v>44593</v>
      </c>
      <c r="J1796" s="6">
        <v>0</v>
      </c>
      <c r="K1796" s="6">
        <v>0</v>
      </c>
      <c r="L1796" s="6">
        <v>0.248</v>
      </c>
      <c r="M1796" s="6">
        <v>0.248</v>
      </c>
      <c r="N1796" s="6">
        <v>0.248</v>
      </c>
      <c r="O1796" s="6">
        <v>0.248</v>
      </c>
      <c r="P1796" s="6">
        <v>0</v>
      </c>
      <c r="Q1796" s="4" t="s">
        <v>26</v>
      </c>
      <c r="R1796" s="4">
        <v>0</v>
      </c>
      <c r="S1796" s="4" t="s">
        <v>646</v>
      </c>
      <c r="T1796" s="4" t="s">
        <v>910</v>
      </c>
      <c r="U1796" s="4">
        <v>0</v>
      </c>
      <c r="V1796" s="4">
        <v>66</v>
      </c>
      <c r="W1796" s="4">
        <v>109</v>
      </c>
    </row>
    <row r="1797" spans="1:23" ht="11.25" customHeight="1" x14ac:dyDescent="0.25">
      <c r="A1797" s="4" t="s">
        <v>21</v>
      </c>
      <c r="B1797" s="4" t="s">
        <v>37</v>
      </c>
      <c r="C1797" s="4" t="s">
        <v>33</v>
      </c>
      <c r="D1797" s="4" t="s">
        <v>38</v>
      </c>
      <c r="E1797" s="4" t="s">
        <v>25</v>
      </c>
      <c r="F1797" s="4" t="s">
        <v>25</v>
      </c>
      <c r="G1797" s="4" t="s">
        <v>25</v>
      </c>
      <c r="H1797" s="4" t="s">
        <v>34</v>
      </c>
      <c r="I1797" s="5">
        <v>44621</v>
      </c>
      <c r="J1797" s="6">
        <v>0</v>
      </c>
      <c r="K1797" s="6">
        <v>0</v>
      </c>
      <c r="L1797" s="6">
        <v>0.18099999999999999</v>
      </c>
      <c r="M1797" s="6">
        <v>0.18099999999999999</v>
      </c>
      <c r="N1797" s="6">
        <v>0.18099999999999999</v>
      </c>
      <c r="O1797" s="6">
        <v>0.18099999999999999</v>
      </c>
      <c r="P1797" s="6">
        <v>0</v>
      </c>
      <c r="Q1797" s="4" t="s">
        <v>26</v>
      </c>
      <c r="R1797" s="4">
        <v>0</v>
      </c>
      <c r="S1797" s="4" t="s">
        <v>647</v>
      </c>
      <c r="T1797" s="4" t="s">
        <v>911</v>
      </c>
      <c r="U1797" s="4">
        <v>0</v>
      </c>
      <c r="V1797" s="4">
        <v>66</v>
      </c>
      <c r="W1797" s="4">
        <v>109</v>
      </c>
    </row>
    <row r="1798" spans="1:23" ht="11.25" customHeight="1" x14ac:dyDescent="0.25">
      <c r="A1798" s="4" t="s">
        <v>21</v>
      </c>
      <c r="B1798" s="4" t="s">
        <v>37</v>
      </c>
      <c r="C1798" s="4" t="s">
        <v>33</v>
      </c>
      <c r="D1798" s="4" t="s">
        <v>38</v>
      </c>
      <c r="E1798" s="4" t="s">
        <v>25</v>
      </c>
      <c r="F1798" s="4" t="s">
        <v>25</v>
      </c>
      <c r="G1798" s="4" t="s">
        <v>25</v>
      </c>
      <c r="H1798" s="4" t="s">
        <v>34</v>
      </c>
      <c r="I1798" s="5">
        <v>44652</v>
      </c>
      <c r="J1798" s="6">
        <v>0</v>
      </c>
      <c r="K1798" s="6">
        <v>0</v>
      </c>
      <c r="L1798" s="6">
        <v>0.29499999999999998</v>
      </c>
      <c r="M1798" s="6">
        <v>0.29499999999999998</v>
      </c>
      <c r="N1798" s="6">
        <v>0.29499999999999998</v>
      </c>
      <c r="O1798" s="6">
        <v>0.29499999999999998</v>
      </c>
      <c r="P1798" s="6">
        <v>0</v>
      </c>
      <c r="Q1798" s="4" t="s">
        <v>26</v>
      </c>
      <c r="R1798" s="4">
        <v>0</v>
      </c>
      <c r="S1798" s="4" t="s">
        <v>648</v>
      </c>
      <c r="T1798" s="4" t="s">
        <v>912</v>
      </c>
      <c r="U1798" s="4">
        <v>0</v>
      </c>
      <c r="V1798" s="4">
        <v>66</v>
      </c>
      <c r="W1798" s="4">
        <v>109</v>
      </c>
    </row>
    <row r="1799" spans="1:23" ht="11.25" customHeight="1" x14ac:dyDescent="0.25">
      <c r="A1799" s="4" t="s">
        <v>58</v>
      </c>
      <c r="B1799" s="4" t="s">
        <v>37</v>
      </c>
      <c r="C1799" s="4" t="s">
        <v>33</v>
      </c>
      <c r="D1799" s="4" t="s">
        <v>38</v>
      </c>
      <c r="E1799" s="4" t="s">
        <v>25</v>
      </c>
      <c r="F1799" s="4" t="s">
        <v>25</v>
      </c>
      <c r="G1799" s="4" t="s">
        <v>25</v>
      </c>
      <c r="H1799" s="4" t="s">
        <v>34</v>
      </c>
      <c r="I1799" s="5">
        <v>44682</v>
      </c>
      <c r="J1799" s="6">
        <v>0</v>
      </c>
      <c r="K1799" s="6">
        <v>0</v>
      </c>
      <c r="L1799" s="6">
        <v>0.29499999999999998</v>
      </c>
      <c r="M1799" s="6">
        <v>0.29499999999999998</v>
      </c>
      <c r="N1799" s="6">
        <v>0.29499999999999998</v>
      </c>
      <c r="O1799" s="6">
        <v>0.29499999999999998</v>
      </c>
      <c r="P1799" s="6">
        <v>0</v>
      </c>
      <c r="Q1799" s="4" t="s">
        <v>26</v>
      </c>
      <c r="R1799" s="4">
        <v>0</v>
      </c>
      <c r="S1799" s="4" t="s">
        <v>649</v>
      </c>
      <c r="T1799" s="4" t="s">
        <v>913</v>
      </c>
      <c r="U1799" s="4">
        <v>0</v>
      </c>
      <c r="V1799" s="4">
        <v>66</v>
      </c>
      <c r="W1799" s="4">
        <v>109</v>
      </c>
    </row>
    <row r="1800" spans="1:23" ht="11.25" customHeight="1" x14ac:dyDescent="0.25">
      <c r="A1800" s="4" t="s">
        <v>21</v>
      </c>
      <c r="B1800" s="4" t="s">
        <v>37</v>
      </c>
      <c r="C1800" s="4" t="s">
        <v>33</v>
      </c>
      <c r="D1800" s="4" t="s">
        <v>46</v>
      </c>
      <c r="E1800" s="4" t="s">
        <v>25</v>
      </c>
      <c r="F1800" s="4" t="s">
        <v>25</v>
      </c>
      <c r="G1800" s="4" t="s">
        <v>25</v>
      </c>
      <c r="H1800" s="4" t="s">
        <v>35</v>
      </c>
      <c r="I1800" s="5">
        <v>44348</v>
      </c>
      <c r="J1800" s="6">
        <v>0</v>
      </c>
      <c r="K1800" s="6">
        <v>0</v>
      </c>
      <c r="L1800" s="6">
        <v>0.371</v>
      </c>
      <c r="M1800" s="6">
        <v>0.371</v>
      </c>
      <c r="N1800" s="6">
        <v>0.371</v>
      </c>
      <c r="O1800" s="6">
        <v>0.371</v>
      </c>
      <c r="P1800" s="6">
        <v>0</v>
      </c>
      <c r="Q1800" s="4" t="s">
        <v>26</v>
      </c>
      <c r="R1800" s="4">
        <v>0</v>
      </c>
      <c r="S1800" s="4" t="s">
        <v>614</v>
      </c>
      <c r="T1800" s="4" t="s">
        <v>878</v>
      </c>
      <c r="U1800" s="4">
        <v>0</v>
      </c>
      <c r="V1800" s="4">
        <v>68</v>
      </c>
      <c r="W1800" s="4">
        <v>111</v>
      </c>
    </row>
    <row r="1801" spans="1:23" ht="11.25" customHeight="1" x14ac:dyDescent="0.25">
      <c r="A1801" s="4" t="s">
        <v>21</v>
      </c>
      <c r="B1801" s="4" t="s">
        <v>37</v>
      </c>
      <c r="C1801" s="4" t="s">
        <v>33</v>
      </c>
      <c r="D1801" s="4" t="s">
        <v>46</v>
      </c>
      <c r="E1801" s="4" t="s">
        <v>25</v>
      </c>
      <c r="F1801" s="4" t="s">
        <v>25</v>
      </c>
      <c r="G1801" s="4" t="s">
        <v>25</v>
      </c>
      <c r="H1801" s="4" t="s">
        <v>35</v>
      </c>
      <c r="I1801" s="5">
        <v>44378</v>
      </c>
      <c r="J1801" s="6">
        <v>0</v>
      </c>
      <c r="K1801" s="6">
        <v>0</v>
      </c>
      <c r="L1801" s="6">
        <v>0.39200000000000002</v>
      </c>
      <c r="M1801" s="6">
        <v>0.39200000000000002</v>
      </c>
      <c r="N1801" s="6">
        <v>0.39200000000000002</v>
      </c>
      <c r="O1801" s="6">
        <v>0.39200000000000002</v>
      </c>
      <c r="P1801" s="6">
        <v>0</v>
      </c>
      <c r="Q1801" s="4" t="s">
        <v>26</v>
      </c>
      <c r="R1801" s="4">
        <v>0</v>
      </c>
      <c r="S1801" s="4" t="s">
        <v>615</v>
      </c>
      <c r="T1801" s="4" t="s">
        <v>879</v>
      </c>
      <c r="U1801" s="4">
        <v>0</v>
      </c>
      <c r="V1801" s="4">
        <v>68</v>
      </c>
      <c r="W1801" s="4">
        <v>111</v>
      </c>
    </row>
    <row r="1802" spans="1:23" ht="11.25" customHeight="1" x14ac:dyDescent="0.25">
      <c r="A1802" s="4" t="s">
        <v>21</v>
      </c>
      <c r="B1802" s="4" t="s">
        <v>37</v>
      </c>
      <c r="C1802" s="4" t="s">
        <v>33</v>
      </c>
      <c r="D1802" s="4" t="s">
        <v>46</v>
      </c>
      <c r="E1802" s="4" t="s">
        <v>25</v>
      </c>
      <c r="F1802" s="4" t="s">
        <v>25</v>
      </c>
      <c r="G1802" s="4" t="s">
        <v>25</v>
      </c>
      <c r="H1802" s="4" t="s">
        <v>35</v>
      </c>
      <c r="I1802" s="5">
        <v>44409</v>
      </c>
      <c r="J1802" s="6">
        <v>0</v>
      </c>
      <c r="K1802" s="6">
        <v>0</v>
      </c>
      <c r="L1802" s="6">
        <v>0.38300000000000001</v>
      </c>
      <c r="M1802" s="6">
        <v>0.38300000000000001</v>
      </c>
      <c r="N1802" s="6">
        <v>0.38300000000000001</v>
      </c>
      <c r="O1802" s="6">
        <v>0.38300000000000001</v>
      </c>
      <c r="P1802" s="6">
        <v>0</v>
      </c>
      <c r="Q1802" s="4" t="s">
        <v>26</v>
      </c>
      <c r="R1802" s="4">
        <v>0</v>
      </c>
      <c r="S1802" s="4" t="s">
        <v>616</v>
      </c>
      <c r="T1802" s="4" t="s">
        <v>880</v>
      </c>
      <c r="U1802" s="4">
        <v>0</v>
      </c>
      <c r="V1802" s="4">
        <v>68</v>
      </c>
      <c r="W1802" s="4">
        <v>111</v>
      </c>
    </row>
    <row r="1803" spans="1:23" ht="11.25" customHeight="1" x14ac:dyDescent="0.25">
      <c r="A1803" s="4" t="s">
        <v>21</v>
      </c>
      <c r="B1803" s="4" t="s">
        <v>37</v>
      </c>
      <c r="C1803" s="4" t="s">
        <v>33</v>
      </c>
      <c r="D1803" s="4" t="s">
        <v>46</v>
      </c>
      <c r="E1803" s="4" t="s">
        <v>25</v>
      </c>
      <c r="F1803" s="4" t="s">
        <v>25</v>
      </c>
      <c r="G1803" s="4" t="s">
        <v>25</v>
      </c>
      <c r="H1803" s="4" t="s">
        <v>35</v>
      </c>
      <c r="I1803" s="5">
        <v>44440</v>
      </c>
      <c r="J1803" s="6">
        <v>0</v>
      </c>
      <c r="K1803" s="6">
        <v>0</v>
      </c>
      <c r="L1803" s="6">
        <v>0.4</v>
      </c>
      <c r="M1803" s="6">
        <v>0.4</v>
      </c>
      <c r="N1803" s="6">
        <v>0.4</v>
      </c>
      <c r="O1803" s="6">
        <v>0.4</v>
      </c>
      <c r="P1803" s="6">
        <v>0</v>
      </c>
      <c r="Q1803" s="4" t="s">
        <v>26</v>
      </c>
      <c r="R1803" s="4">
        <v>0</v>
      </c>
      <c r="S1803" s="4" t="s">
        <v>617</v>
      </c>
      <c r="T1803" s="4" t="s">
        <v>881</v>
      </c>
      <c r="U1803" s="4">
        <v>0</v>
      </c>
      <c r="V1803" s="4">
        <v>68</v>
      </c>
      <c r="W1803" s="4">
        <v>111</v>
      </c>
    </row>
    <row r="1804" spans="1:23" ht="11.25" customHeight="1" x14ac:dyDescent="0.25">
      <c r="A1804" s="4" t="s">
        <v>21</v>
      </c>
      <c r="B1804" s="4" t="s">
        <v>37</v>
      </c>
      <c r="C1804" s="4" t="s">
        <v>33</v>
      </c>
      <c r="D1804" s="4" t="s">
        <v>46</v>
      </c>
      <c r="E1804" s="4" t="s">
        <v>25</v>
      </c>
      <c r="F1804" s="4" t="s">
        <v>25</v>
      </c>
      <c r="G1804" s="4" t="s">
        <v>25</v>
      </c>
      <c r="H1804" s="4" t="s">
        <v>35</v>
      </c>
      <c r="I1804" s="5">
        <v>44470</v>
      </c>
      <c r="J1804" s="6">
        <v>0</v>
      </c>
      <c r="K1804" s="6">
        <v>0</v>
      </c>
      <c r="L1804" s="6">
        <v>0.33</v>
      </c>
      <c r="M1804" s="6">
        <v>0.33</v>
      </c>
      <c r="N1804" s="6">
        <v>0.33</v>
      </c>
      <c r="O1804" s="6">
        <v>0.33</v>
      </c>
      <c r="P1804" s="6">
        <v>0</v>
      </c>
      <c r="Q1804" s="4" t="s">
        <v>26</v>
      </c>
      <c r="R1804" s="4">
        <v>0</v>
      </c>
      <c r="S1804" s="4" t="s">
        <v>618</v>
      </c>
      <c r="T1804" s="4" t="s">
        <v>882</v>
      </c>
      <c r="U1804" s="4">
        <v>0</v>
      </c>
      <c r="V1804" s="4">
        <v>68</v>
      </c>
      <c r="W1804" s="4">
        <v>111</v>
      </c>
    </row>
    <row r="1805" spans="1:23" ht="11.25" customHeight="1" x14ac:dyDescent="0.25">
      <c r="A1805" s="4" t="s">
        <v>21</v>
      </c>
      <c r="B1805" s="4" t="s">
        <v>37</v>
      </c>
      <c r="C1805" s="4" t="s">
        <v>33</v>
      </c>
      <c r="D1805" s="4" t="s">
        <v>46</v>
      </c>
      <c r="E1805" s="4" t="s">
        <v>25</v>
      </c>
      <c r="F1805" s="4" t="s">
        <v>25</v>
      </c>
      <c r="G1805" s="4" t="s">
        <v>25</v>
      </c>
      <c r="H1805" s="4" t="s">
        <v>35</v>
      </c>
      <c r="I1805" s="5">
        <v>44501</v>
      </c>
      <c r="J1805" s="6">
        <v>0</v>
      </c>
      <c r="K1805" s="6">
        <v>0</v>
      </c>
      <c r="L1805" s="6">
        <v>0.36299999999999999</v>
      </c>
      <c r="M1805" s="6">
        <v>0.36299999999999999</v>
      </c>
      <c r="N1805" s="6">
        <v>0.36299999999999999</v>
      </c>
      <c r="O1805" s="6">
        <v>0.36299999999999999</v>
      </c>
      <c r="P1805" s="6">
        <v>0</v>
      </c>
      <c r="Q1805" s="4" t="s">
        <v>26</v>
      </c>
      <c r="R1805" s="4">
        <v>0</v>
      </c>
      <c r="S1805" s="4" t="s">
        <v>619</v>
      </c>
      <c r="T1805" s="4" t="s">
        <v>883</v>
      </c>
      <c r="U1805" s="4">
        <v>0</v>
      </c>
      <c r="V1805" s="4">
        <v>68</v>
      </c>
      <c r="W1805" s="4">
        <v>111</v>
      </c>
    </row>
    <row r="1806" spans="1:23" ht="11.25" customHeight="1" x14ac:dyDescent="0.25">
      <c r="A1806" s="4" t="s">
        <v>21</v>
      </c>
      <c r="B1806" s="4" t="s">
        <v>37</v>
      </c>
      <c r="C1806" s="4" t="s">
        <v>33</v>
      </c>
      <c r="D1806" s="4" t="s">
        <v>46</v>
      </c>
      <c r="E1806" s="4" t="s">
        <v>25</v>
      </c>
      <c r="F1806" s="4" t="s">
        <v>25</v>
      </c>
      <c r="G1806" s="4" t="s">
        <v>25</v>
      </c>
      <c r="H1806" s="4" t="s">
        <v>35</v>
      </c>
      <c r="I1806" s="5">
        <v>44531</v>
      </c>
      <c r="J1806" s="6">
        <v>0</v>
      </c>
      <c r="K1806" s="6">
        <v>0</v>
      </c>
      <c r="L1806" s="6">
        <v>0.36399999999999999</v>
      </c>
      <c r="M1806" s="6">
        <v>0.36399999999999999</v>
      </c>
      <c r="N1806" s="6">
        <v>0.36399999999999999</v>
      </c>
      <c r="O1806" s="6">
        <v>0.36399999999999999</v>
      </c>
      <c r="P1806" s="6">
        <v>0</v>
      </c>
      <c r="Q1806" s="4" t="s">
        <v>26</v>
      </c>
      <c r="R1806" s="4">
        <v>0</v>
      </c>
      <c r="S1806" s="4" t="s">
        <v>620</v>
      </c>
      <c r="T1806" s="4" t="s">
        <v>884</v>
      </c>
      <c r="U1806" s="4">
        <v>0</v>
      </c>
      <c r="V1806" s="4">
        <v>68</v>
      </c>
      <c r="W1806" s="4">
        <v>111</v>
      </c>
    </row>
    <row r="1807" spans="1:23" ht="11.25" customHeight="1" x14ac:dyDescent="0.25">
      <c r="A1807" s="4" t="s">
        <v>21</v>
      </c>
      <c r="B1807" s="4" t="s">
        <v>37</v>
      </c>
      <c r="C1807" s="4" t="s">
        <v>33</v>
      </c>
      <c r="D1807" s="4" t="s">
        <v>46</v>
      </c>
      <c r="E1807" s="4" t="s">
        <v>25</v>
      </c>
      <c r="F1807" s="4" t="s">
        <v>25</v>
      </c>
      <c r="G1807" s="4" t="s">
        <v>25</v>
      </c>
      <c r="H1807" s="4" t="s">
        <v>35</v>
      </c>
      <c r="I1807" s="5">
        <v>44562</v>
      </c>
      <c r="J1807" s="6">
        <v>0</v>
      </c>
      <c r="K1807" s="6">
        <v>0</v>
      </c>
      <c r="L1807" s="6">
        <v>0.30499999999999999</v>
      </c>
      <c r="M1807" s="6">
        <v>0.30499999999999999</v>
      </c>
      <c r="N1807" s="6">
        <v>0.30499999999999999</v>
      </c>
      <c r="O1807" s="6">
        <v>0.30499999999999999</v>
      </c>
      <c r="P1807" s="6">
        <v>0</v>
      </c>
      <c r="Q1807" s="4" t="s">
        <v>26</v>
      </c>
      <c r="R1807" s="4">
        <v>0</v>
      </c>
      <c r="S1807" s="4" t="s">
        <v>621</v>
      </c>
      <c r="T1807" s="4" t="s">
        <v>885</v>
      </c>
      <c r="U1807" s="4">
        <v>0</v>
      </c>
      <c r="V1807" s="4">
        <v>68</v>
      </c>
      <c r="W1807" s="4">
        <v>111</v>
      </c>
    </row>
    <row r="1808" spans="1:23" ht="11.25" customHeight="1" x14ac:dyDescent="0.25">
      <c r="A1808" s="4" t="s">
        <v>21</v>
      </c>
      <c r="B1808" s="4" t="s">
        <v>37</v>
      </c>
      <c r="C1808" s="4" t="s">
        <v>33</v>
      </c>
      <c r="D1808" s="4" t="s">
        <v>46</v>
      </c>
      <c r="E1808" s="4" t="s">
        <v>25</v>
      </c>
      <c r="F1808" s="4" t="s">
        <v>25</v>
      </c>
      <c r="G1808" s="4" t="s">
        <v>25</v>
      </c>
      <c r="H1808" s="4" t="s">
        <v>35</v>
      </c>
      <c r="I1808" s="5">
        <v>44593</v>
      </c>
      <c r="J1808" s="6">
        <v>0</v>
      </c>
      <c r="K1808" s="6">
        <v>0</v>
      </c>
      <c r="L1808" s="6">
        <v>0.248</v>
      </c>
      <c r="M1808" s="6">
        <v>0.248</v>
      </c>
      <c r="N1808" s="6">
        <v>0.248</v>
      </c>
      <c r="O1808" s="6">
        <v>0.248</v>
      </c>
      <c r="P1808" s="6">
        <v>0</v>
      </c>
      <c r="Q1808" s="4" t="s">
        <v>26</v>
      </c>
      <c r="R1808" s="4">
        <v>0</v>
      </c>
      <c r="S1808" s="4" t="s">
        <v>622</v>
      </c>
      <c r="T1808" s="4" t="s">
        <v>886</v>
      </c>
      <c r="U1808" s="4">
        <v>0</v>
      </c>
      <c r="V1808" s="4">
        <v>68</v>
      </c>
      <c r="W1808" s="4">
        <v>111</v>
      </c>
    </row>
    <row r="1809" spans="1:23" ht="11.25" customHeight="1" x14ac:dyDescent="0.25">
      <c r="A1809" s="4" t="s">
        <v>21</v>
      </c>
      <c r="B1809" s="4" t="s">
        <v>37</v>
      </c>
      <c r="C1809" s="4" t="s">
        <v>33</v>
      </c>
      <c r="D1809" s="4" t="s">
        <v>46</v>
      </c>
      <c r="E1809" s="4" t="s">
        <v>25</v>
      </c>
      <c r="F1809" s="4" t="s">
        <v>25</v>
      </c>
      <c r="G1809" s="4" t="s">
        <v>25</v>
      </c>
      <c r="H1809" s="4" t="s">
        <v>35</v>
      </c>
      <c r="I1809" s="5">
        <v>44621</v>
      </c>
      <c r="J1809" s="6">
        <v>0</v>
      </c>
      <c r="K1809" s="6">
        <v>0</v>
      </c>
      <c r="L1809" s="6">
        <v>0.313</v>
      </c>
      <c r="M1809" s="6">
        <v>0.313</v>
      </c>
      <c r="N1809" s="6">
        <v>0.313</v>
      </c>
      <c r="O1809" s="6">
        <v>0.313</v>
      </c>
      <c r="P1809" s="6">
        <v>0</v>
      </c>
      <c r="Q1809" s="4" t="s">
        <v>26</v>
      </c>
      <c r="R1809" s="4">
        <v>0</v>
      </c>
      <c r="S1809" s="4" t="s">
        <v>623</v>
      </c>
      <c r="T1809" s="4" t="s">
        <v>887</v>
      </c>
      <c r="U1809" s="4">
        <v>0</v>
      </c>
      <c r="V1809" s="4">
        <v>68</v>
      </c>
      <c r="W1809" s="4">
        <v>111</v>
      </c>
    </row>
    <row r="1810" spans="1:23" ht="11.25" customHeight="1" x14ac:dyDescent="0.25">
      <c r="A1810" s="4" t="s">
        <v>21</v>
      </c>
      <c r="B1810" s="4" t="s">
        <v>37</v>
      </c>
      <c r="C1810" s="4" t="s">
        <v>33</v>
      </c>
      <c r="D1810" s="4" t="s">
        <v>46</v>
      </c>
      <c r="E1810" s="4" t="s">
        <v>25</v>
      </c>
      <c r="F1810" s="4" t="s">
        <v>25</v>
      </c>
      <c r="G1810" s="4" t="s">
        <v>25</v>
      </c>
      <c r="H1810" s="4" t="s">
        <v>35</v>
      </c>
      <c r="I1810" s="5">
        <v>44652</v>
      </c>
      <c r="J1810" s="6">
        <v>0</v>
      </c>
      <c r="K1810" s="6">
        <v>0</v>
      </c>
      <c r="L1810" s="6">
        <v>0.318</v>
      </c>
      <c r="M1810" s="6">
        <v>0.318</v>
      </c>
      <c r="N1810" s="6">
        <v>0.318</v>
      </c>
      <c r="O1810" s="6">
        <v>0.318</v>
      </c>
      <c r="P1810" s="6">
        <v>0</v>
      </c>
      <c r="Q1810" s="4" t="s">
        <v>26</v>
      </c>
      <c r="R1810" s="4">
        <v>0</v>
      </c>
      <c r="S1810" s="4" t="s">
        <v>624</v>
      </c>
      <c r="T1810" s="4" t="s">
        <v>888</v>
      </c>
      <c r="U1810" s="4">
        <v>0</v>
      </c>
      <c r="V1810" s="4">
        <v>68</v>
      </c>
      <c r="W1810" s="4">
        <v>111</v>
      </c>
    </row>
    <row r="1811" spans="1:23" ht="11.25" customHeight="1" x14ac:dyDescent="0.25">
      <c r="A1811" s="4" t="s">
        <v>58</v>
      </c>
      <c r="B1811" s="4" t="s">
        <v>37</v>
      </c>
      <c r="C1811" s="4" t="s">
        <v>33</v>
      </c>
      <c r="D1811" s="4" t="s">
        <v>46</v>
      </c>
      <c r="E1811" s="4" t="s">
        <v>25</v>
      </c>
      <c r="F1811" s="4" t="s">
        <v>25</v>
      </c>
      <c r="G1811" s="4" t="s">
        <v>25</v>
      </c>
      <c r="H1811" s="4" t="s">
        <v>35</v>
      </c>
      <c r="I1811" s="5">
        <v>44682</v>
      </c>
      <c r="J1811" s="6">
        <v>0</v>
      </c>
      <c r="K1811" s="6">
        <v>0</v>
      </c>
      <c r="L1811" s="6">
        <v>0.318</v>
      </c>
      <c r="M1811" s="6">
        <v>0.318</v>
      </c>
      <c r="N1811" s="6">
        <v>0.318</v>
      </c>
      <c r="O1811" s="6">
        <v>0.318</v>
      </c>
      <c r="P1811" s="6">
        <v>0</v>
      </c>
      <c r="Q1811" s="4" t="s">
        <v>26</v>
      </c>
      <c r="R1811" s="4">
        <v>0</v>
      </c>
      <c r="S1811" s="4" t="s">
        <v>625</v>
      </c>
      <c r="T1811" s="4" t="s">
        <v>889</v>
      </c>
      <c r="U1811" s="4">
        <v>0</v>
      </c>
      <c r="V1811" s="4">
        <v>68</v>
      </c>
      <c r="W1811" s="4">
        <v>111</v>
      </c>
    </row>
    <row r="1812" spans="1:23" ht="11.25" customHeight="1" x14ac:dyDescent="0.25">
      <c r="A1812" s="4" t="s">
        <v>21</v>
      </c>
      <c r="B1812" s="4" t="s">
        <v>37</v>
      </c>
      <c r="C1812" s="4" t="s">
        <v>33</v>
      </c>
      <c r="D1812" s="4" t="s">
        <v>46</v>
      </c>
      <c r="E1812" s="4" t="s">
        <v>25</v>
      </c>
      <c r="F1812" s="4" t="s">
        <v>25</v>
      </c>
      <c r="G1812" s="4" t="s">
        <v>25</v>
      </c>
      <c r="H1812" s="4" t="s">
        <v>36</v>
      </c>
      <c r="I1812" s="5">
        <v>44348</v>
      </c>
      <c r="J1812" s="6">
        <v>0</v>
      </c>
      <c r="K1812" s="6">
        <v>0</v>
      </c>
      <c r="L1812" s="6">
        <v>0.02</v>
      </c>
      <c r="M1812" s="6">
        <v>0.02</v>
      </c>
      <c r="N1812" s="6">
        <v>0.02</v>
      </c>
      <c r="O1812" s="6">
        <v>0.02</v>
      </c>
      <c r="P1812" s="6">
        <v>0</v>
      </c>
      <c r="Q1812" s="4" t="s">
        <v>26</v>
      </c>
      <c r="R1812" s="4">
        <v>0</v>
      </c>
      <c r="S1812" s="4" t="s">
        <v>626</v>
      </c>
      <c r="T1812" s="4" t="s">
        <v>890</v>
      </c>
      <c r="U1812" s="4">
        <v>0</v>
      </c>
      <c r="V1812" s="4">
        <v>67</v>
      </c>
      <c r="W1812" s="4">
        <v>110</v>
      </c>
    </row>
    <row r="1813" spans="1:23" ht="11.25" customHeight="1" x14ac:dyDescent="0.25">
      <c r="A1813" s="4" t="s">
        <v>21</v>
      </c>
      <c r="B1813" s="4" t="s">
        <v>37</v>
      </c>
      <c r="C1813" s="4" t="s">
        <v>33</v>
      </c>
      <c r="D1813" s="4" t="s">
        <v>46</v>
      </c>
      <c r="E1813" s="4" t="s">
        <v>25</v>
      </c>
      <c r="F1813" s="4" t="s">
        <v>25</v>
      </c>
      <c r="G1813" s="4" t="s">
        <v>25</v>
      </c>
      <c r="H1813" s="4" t="s">
        <v>36</v>
      </c>
      <c r="I1813" s="5">
        <v>44378</v>
      </c>
      <c r="J1813" s="6">
        <v>0</v>
      </c>
      <c r="K1813" s="6">
        <v>0</v>
      </c>
      <c r="L1813" s="6">
        <v>0.02</v>
      </c>
      <c r="M1813" s="6">
        <v>0.02</v>
      </c>
      <c r="N1813" s="6">
        <v>0.02</v>
      </c>
      <c r="O1813" s="6">
        <v>0.02</v>
      </c>
      <c r="P1813" s="6">
        <v>0</v>
      </c>
      <c r="Q1813" s="4" t="s">
        <v>26</v>
      </c>
      <c r="R1813" s="4">
        <v>0</v>
      </c>
      <c r="S1813" s="4" t="s">
        <v>627</v>
      </c>
      <c r="T1813" s="4" t="s">
        <v>891</v>
      </c>
      <c r="U1813" s="4">
        <v>0</v>
      </c>
      <c r="V1813" s="4">
        <v>67</v>
      </c>
      <c r="W1813" s="4">
        <v>110</v>
      </c>
    </row>
    <row r="1814" spans="1:23" ht="11.25" customHeight="1" x14ac:dyDescent="0.25">
      <c r="A1814" s="4" t="s">
        <v>21</v>
      </c>
      <c r="B1814" s="4" t="s">
        <v>37</v>
      </c>
      <c r="C1814" s="4" t="s">
        <v>33</v>
      </c>
      <c r="D1814" s="4" t="s">
        <v>46</v>
      </c>
      <c r="E1814" s="4" t="s">
        <v>25</v>
      </c>
      <c r="F1814" s="4" t="s">
        <v>25</v>
      </c>
      <c r="G1814" s="4" t="s">
        <v>25</v>
      </c>
      <c r="H1814" s="4" t="s">
        <v>36</v>
      </c>
      <c r="I1814" s="5">
        <v>44409</v>
      </c>
      <c r="J1814" s="6">
        <v>0</v>
      </c>
      <c r="K1814" s="6">
        <v>0</v>
      </c>
      <c r="L1814" s="6">
        <v>2.1000000000000001E-2</v>
      </c>
      <c r="M1814" s="6">
        <v>2.1000000000000001E-2</v>
      </c>
      <c r="N1814" s="6">
        <v>2.1000000000000001E-2</v>
      </c>
      <c r="O1814" s="6">
        <v>2.1000000000000001E-2</v>
      </c>
      <c r="P1814" s="6">
        <v>0</v>
      </c>
      <c r="Q1814" s="4" t="s">
        <v>26</v>
      </c>
      <c r="R1814" s="4">
        <v>0</v>
      </c>
      <c r="S1814" s="4" t="s">
        <v>628</v>
      </c>
      <c r="T1814" s="4" t="s">
        <v>892</v>
      </c>
      <c r="U1814" s="4">
        <v>0</v>
      </c>
      <c r="V1814" s="4">
        <v>67</v>
      </c>
      <c r="W1814" s="4">
        <v>110</v>
      </c>
    </row>
    <row r="1815" spans="1:23" ht="11.25" customHeight="1" x14ac:dyDescent="0.25">
      <c r="A1815" s="4" t="s">
        <v>21</v>
      </c>
      <c r="B1815" s="4" t="s">
        <v>37</v>
      </c>
      <c r="C1815" s="4" t="s">
        <v>33</v>
      </c>
      <c r="D1815" s="4" t="s">
        <v>46</v>
      </c>
      <c r="E1815" s="4" t="s">
        <v>25</v>
      </c>
      <c r="F1815" s="4" t="s">
        <v>25</v>
      </c>
      <c r="G1815" s="4" t="s">
        <v>25</v>
      </c>
      <c r="H1815" s="4" t="s">
        <v>36</v>
      </c>
      <c r="I1815" s="5">
        <v>44440</v>
      </c>
      <c r="J1815" s="6">
        <v>0</v>
      </c>
      <c r="K1815" s="6">
        <v>0</v>
      </c>
      <c r="L1815" s="6">
        <v>1.9E-2</v>
      </c>
      <c r="M1815" s="6">
        <v>1.9E-2</v>
      </c>
      <c r="N1815" s="6">
        <v>1.9E-2</v>
      </c>
      <c r="O1815" s="6">
        <v>1.9E-2</v>
      </c>
      <c r="P1815" s="6">
        <v>0</v>
      </c>
      <c r="Q1815" s="4" t="s">
        <v>26</v>
      </c>
      <c r="R1815" s="4">
        <v>0</v>
      </c>
      <c r="S1815" s="4" t="s">
        <v>629</v>
      </c>
      <c r="T1815" s="4" t="s">
        <v>893</v>
      </c>
      <c r="U1815" s="4">
        <v>0</v>
      </c>
      <c r="V1815" s="4">
        <v>67</v>
      </c>
      <c r="W1815" s="4">
        <v>110</v>
      </c>
    </row>
    <row r="1816" spans="1:23" ht="11.25" customHeight="1" x14ac:dyDescent="0.25">
      <c r="A1816" s="4" t="s">
        <v>21</v>
      </c>
      <c r="B1816" s="4" t="s">
        <v>37</v>
      </c>
      <c r="C1816" s="4" t="s">
        <v>33</v>
      </c>
      <c r="D1816" s="4" t="s">
        <v>46</v>
      </c>
      <c r="E1816" s="4" t="s">
        <v>25</v>
      </c>
      <c r="F1816" s="4" t="s">
        <v>25</v>
      </c>
      <c r="G1816" s="4" t="s">
        <v>25</v>
      </c>
      <c r="H1816" s="4" t="s">
        <v>36</v>
      </c>
      <c r="I1816" s="5">
        <v>44470</v>
      </c>
      <c r="J1816" s="6">
        <v>0</v>
      </c>
      <c r="K1816" s="6">
        <v>0</v>
      </c>
      <c r="L1816" s="6">
        <v>1.7999999999999999E-2</v>
      </c>
      <c r="M1816" s="6">
        <v>1.7999999999999999E-2</v>
      </c>
      <c r="N1816" s="6">
        <v>1.7999999999999999E-2</v>
      </c>
      <c r="O1816" s="6">
        <v>1.7999999999999999E-2</v>
      </c>
      <c r="P1816" s="6">
        <v>0</v>
      </c>
      <c r="Q1816" s="4" t="s">
        <v>26</v>
      </c>
      <c r="R1816" s="4">
        <v>0</v>
      </c>
      <c r="S1816" s="4" t="s">
        <v>630</v>
      </c>
      <c r="T1816" s="4" t="s">
        <v>894</v>
      </c>
      <c r="U1816" s="4">
        <v>0</v>
      </c>
      <c r="V1816" s="4">
        <v>67</v>
      </c>
      <c r="W1816" s="4">
        <v>110</v>
      </c>
    </row>
    <row r="1817" spans="1:23" ht="11.25" customHeight="1" x14ac:dyDescent="0.25">
      <c r="A1817" s="4" t="s">
        <v>21</v>
      </c>
      <c r="B1817" s="4" t="s">
        <v>37</v>
      </c>
      <c r="C1817" s="4" t="s">
        <v>33</v>
      </c>
      <c r="D1817" s="4" t="s">
        <v>46</v>
      </c>
      <c r="E1817" s="4" t="s">
        <v>25</v>
      </c>
      <c r="F1817" s="4" t="s">
        <v>25</v>
      </c>
      <c r="G1817" s="4" t="s">
        <v>25</v>
      </c>
      <c r="H1817" s="4" t="s">
        <v>36</v>
      </c>
      <c r="I1817" s="5">
        <v>44501</v>
      </c>
      <c r="J1817" s="6">
        <v>0</v>
      </c>
      <c r="K1817" s="6">
        <v>0</v>
      </c>
      <c r="L1817" s="6">
        <v>1.7999999999999999E-2</v>
      </c>
      <c r="M1817" s="6">
        <v>1.7999999999999999E-2</v>
      </c>
      <c r="N1817" s="6">
        <v>1.7999999999999999E-2</v>
      </c>
      <c r="O1817" s="6">
        <v>1.7999999999999999E-2</v>
      </c>
      <c r="P1817" s="6">
        <v>0</v>
      </c>
      <c r="Q1817" s="4" t="s">
        <v>26</v>
      </c>
      <c r="R1817" s="4">
        <v>0</v>
      </c>
      <c r="S1817" s="4" t="s">
        <v>631</v>
      </c>
      <c r="T1817" s="4" t="s">
        <v>895</v>
      </c>
      <c r="U1817" s="4">
        <v>0</v>
      </c>
      <c r="V1817" s="4">
        <v>67</v>
      </c>
      <c r="W1817" s="4">
        <v>110</v>
      </c>
    </row>
    <row r="1818" spans="1:23" ht="11.25" customHeight="1" x14ac:dyDescent="0.25">
      <c r="A1818" s="4" t="s">
        <v>21</v>
      </c>
      <c r="B1818" s="4" t="s">
        <v>37</v>
      </c>
      <c r="C1818" s="4" t="s">
        <v>33</v>
      </c>
      <c r="D1818" s="4" t="s">
        <v>46</v>
      </c>
      <c r="E1818" s="4" t="s">
        <v>25</v>
      </c>
      <c r="F1818" s="4" t="s">
        <v>25</v>
      </c>
      <c r="G1818" s="4" t="s">
        <v>25</v>
      </c>
      <c r="H1818" s="4" t="s">
        <v>36</v>
      </c>
      <c r="I1818" s="5">
        <v>44531</v>
      </c>
      <c r="J1818" s="6">
        <v>0</v>
      </c>
      <c r="K1818" s="6">
        <v>0</v>
      </c>
      <c r="L1818" s="6">
        <v>1.7000000000000001E-2</v>
      </c>
      <c r="M1818" s="6">
        <v>1.7000000000000001E-2</v>
      </c>
      <c r="N1818" s="6">
        <v>1.7000000000000001E-2</v>
      </c>
      <c r="O1818" s="6">
        <v>1.7000000000000001E-2</v>
      </c>
      <c r="P1818" s="6">
        <v>0</v>
      </c>
      <c r="Q1818" s="4" t="s">
        <v>26</v>
      </c>
      <c r="R1818" s="4">
        <v>0</v>
      </c>
      <c r="S1818" s="4" t="s">
        <v>632</v>
      </c>
      <c r="T1818" s="4" t="s">
        <v>896</v>
      </c>
      <c r="U1818" s="4">
        <v>0</v>
      </c>
      <c r="V1818" s="4">
        <v>67</v>
      </c>
      <c r="W1818" s="4">
        <v>110</v>
      </c>
    </row>
    <row r="1819" spans="1:23" ht="11.25" customHeight="1" x14ac:dyDescent="0.25">
      <c r="A1819" s="4" t="s">
        <v>21</v>
      </c>
      <c r="B1819" s="4" t="s">
        <v>37</v>
      </c>
      <c r="C1819" s="4" t="s">
        <v>33</v>
      </c>
      <c r="D1819" s="4" t="s">
        <v>46</v>
      </c>
      <c r="E1819" s="4" t="s">
        <v>25</v>
      </c>
      <c r="F1819" s="4" t="s">
        <v>25</v>
      </c>
      <c r="G1819" s="4" t="s">
        <v>25</v>
      </c>
      <c r="H1819" s="4" t="s">
        <v>36</v>
      </c>
      <c r="I1819" s="5">
        <v>44562</v>
      </c>
      <c r="J1819" s="6">
        <v>0</v>
      </c>
      <c r="K1819" s="6">
        <v>0</v>
      </c>
      <c r="L1819" s="6">
        <v>1.4E-2</v>
      </c>
      <c r="M1819" s="6">
        <v>1.4E-2</v>
      </c>
      <c r="N1819" s="6">
        <v>1.4E-2</v>
      </c>
      <c r="O1819" s="6">
        <v>1.4E-2</v>
      </c>
      <c r="P1819" s="6">
        <v>0</v>
      </c>
      <c r="Q1819" s="4" t="s">
        <v>26</v>
      </c>
      <c r="R1819" s="4">
        <v>0</v>
      </c>
      <c r="S1819" s="4" t="s">
        <v>633</v>
      </c>
      <c r="T1819" s="4" t="s">
        <v>897</v>
      </c>
      <c r="U1819" s="4">
        <v>0</v>
      </c>
      <c r="V1819" s="4">
        <v>67</v>
      </c>
      <c r="W1819" s="4">
        <v>110</v>
      </c>
    </row>
    <row r="1820" spans="1:23" ht="11.25" customHeight="1" x14ac:dyDescent="0.25">
      <c r="A1820" s="4" t="s">
        <v>21</v>
      </c>
      <c r="B1820" s="4" t="s">
        <v>37</v>
      </c>
      <c r="C1820" s="4" t="s">
        <v>33</v>
      </c>
      <c r="D1820" s="4" t="s">
        <v>46</v>
      </c>
      <c r="E1820" s="4" t="s">
        <v>25</v>
      </c>
      <c r="F1820" s="4" t="s">
        <v>25</v>
      </c>
      <c r="G1820" s="4" t="s">
        <v>25</v>
      </c>
      <c r="H1820" s="4" t="s">
        <v>36</v>
      </c>
      <c r="I1820" s="5">
        <v>44593</v>
      </c>
      <c r="J1820" s="6">
        <v>0</v>
      </c>
      <c r="K1820" s="6">
        <v>0</v>
      </c>
      <c r="L1820" s="6">
        <v>1.2E-2</v>
      </c>
      <c r="M1820" s="6">
        <v>1.2E-2</v>
      </c>
      <c r="N1820" s="6">
        <v>1.2E-2</v>
      </c>
      <c r="O1820" s="6">
        <v>1.2E-2</v>
      </c>
      <c r="P1820" s="6">
        <v>0</v>
      </c>
      <c r="Q1820" s="4" t="s">
        <v>26</v>
      </c>
      <c r="R1820" s="4">
        <v>0</v>
      </c>
      <c r="S1820" s="4" t="s">
        <v>634</v>
      </c>
      <c r="T1820" s="4" t="s">
        <v>898</v>
      </c>
      <c r="U1820" s="4">
        <v>0</v>
      </c>
      <c r="V1820" s="4">
        <v>67</v>
      </c>
      <c r="W1820" s="4">
        <v>110</v>
      </c>
    </row>
    <row r="1821" spans="1:23" ht="11.25" customHeight="1" x14ac:dyDescent="0.25">
      <c r="A1821" s="4" t="s">
        <v>21</v>
      </c>
      <c r="B1821" s="4" t="s">
        <v>37</v>
      </c>
      <c r="C1821" s="4" t="s">
        <v>33</v>
      </c>
      <c r="D1821" s="4" t="s">
        <v>46</v>
      </c>
      <c r="E1821" s="4" t="s">
        <v>25</v>
      </c>
      <c r="F1821" s="4" t="s">
        <v>25</v>
      </c>
      <c r="G1821" s="4" t="s">
        <v>25</v>
      </c>
      <c r="H1821" s="4" t="s">
        <v>36</v>
      </c>
      <c r="I1821" s="5">
        <v>44621</v>
      </c>
      <c r="J1821" s="6">
        <v>0</v>
      </c>
      <c r="K1821" s="6">
        <v>0</v>
      </c>
      <c r="L1821" s="6">
        <v>1.4E-2</v>
      </c>
      <c r="M1821" s="6">
        <v>1.4E-2</v>
      </c>
      <c r="N1821" s="6">
        <v>1.4E-2</v>
      </c>
      <c r="O1821" s="6">
        <v>1.4E-2</v>
      </c>
      <c r="P1821" s="6">
        <v>0</v>
      </c>
      <c r="Q1821" s="4" t="s">
        <v>26</v>
      </c>
      <c r="R1821" s="4">
        <v>0</v>
      </c>
      <c r="S1821" s="4" t="s">
        <v>635</v>
      </c>
      <c r="T1821" s="4" t="s">
        <v>899</v>
      </c>
      <c r="U1821" s="4">
        <v>0</v>
      </c>
      <c r="V1821" s="4">
        <v>67</v>
      </c>
      <c r="W1821" s="4">
        <v>110</v>
      </c>
    </row>
    <row r="1822" spans="1:23" ht="11.25" customHeight="1" x14ac:dyDescent="0.25">
      <c r="A1822" s="4" t="s">
        <v>21</v>
      </c>
      <c r="B1822" s="4" t="s">
        <v>37</v>
      </c>
      <c r="C1822" s="4" t="s">
        <v>33</v>
      </c>
      <c r="D1822" s="4" t="s">
        <v>46</v>
      </c>
      <c r="E1822" s="4" t="s">
        <v>25</v>
      </c>
      <c r="F1822" s="4" t="s">
        <v>25</v>
      </c>
      <c r="G1822" s="4" t="s">
        <v>25</v>
      </c>
      <c r="H1822" s="4" t="s">
        <v>36</v>
      </c>
      <c r="I1822" s="5">
        <v>44652</v>
      </c>
      <c r="J1822" s="6">
        <v>0</v>
      </c>
      <c r="K1822" s="6">
        <v>0</v>
      </c>
      <c r="L1822" s="6">
        <v>1.6E-2</v>
      </c>
      <c r="M1822" s="6">
        <v>1.6E-2</v>
      </c>
      <c r="N1822" s="6">
        <v>1.6E-2</v>
      </c>
      <c r="O1822" s="6">
        <v>1.6E-2</v>
      </c>
      <c r="P1822" s="6">
        <v>0</v>
      </c>
      <c r="Q1822" s="4" t="s">
        <v>26</v>
      </c>
      <c r="R1822" s="4">
        <v>0</v>
      </c>
      <c r="S1822" s="4" t="s">
        <v>636</v>
      </c>
      <c r="T1822" s="4" t="s">
        <v>900</v>
      </c>
      <c r="U1822" s="4">
        <v>0</v>
      </c>
      <c r="V1822" s="4">
        <v>67</v>
      </c>
      <c r="W1822" s="4">
        <v>110</v>
      </c>
    </row>
    <row r="1823" spans="1:23" ht="11.25" customHeight="1" x14ac:dyDescent="0.25">
      <c r="A1823" s="4" t="s">
        <v>58</v>
      </c>
      <c r="B1823" s="4" t="s">
        <v>37</v>
      </c>
      <c r="C1823" s="4" t="s">
        <v>33</v>
      </c>
      <c r="D1823" s="4" t="s">
        <v>46</v>
      </c>
      <c r="E1823" s="4" t="s">
        <v>25</v>
      </c>
      <c r="F1823" s="4" t="s">
        <v>25</v>
      </c>
      <c r="G1823" s="4" t="s">
        <v>25</v>
      </c>
      <c r="H1823" s="4" t="s">
        <v>36</v>
      </c>
      <c r="I1823" s="5">
        <v>44682</v>
      </c>
      <c r="J1823" s="6">
        <v>0</v>
      </c>
      <c r="K1823" s="6">
        <v>0</v>
      </c>
      <c r="L1823" s="6">
        <v>1.6E-2</v>
      </c>
      <c r="M1823" s="6">
        <v>1.6E-2</v>
      </c>
      <c r="N1823" s="6">
        <v>1.6E-2</v>
      </c>
      <c r="O1823" s="6">
        <v>1.6E-2</v>
      </c>
      <c r="P1823" s="6">
        <v>0</v>
      </c>
      <c r="Q1823" s="4" t="s">
        <v>26</v>
      </c>
      <c r="R1823" s="4">
        <v>0</v>
      </c>
      <c r="S1823" s="4" t="s">
        <v>637</v>
      </c>
      <c r="T1823" s="4" t="s">
        <v>901</v>
      </c>
      <c r="U1823" s="4">
        <v>0</v>
      </c>
      <c r="V1823" s="4">
        <v>67</v>
      </c>
      <c r="W1823" s="4">
        <v>110</v>
      </c>
    </row>
    <row r="1824" spans="1:23" ht="11.25" customHeight="1" x14ac:dyDescent="0.25">
      <c r="A1824" s="4" t="s">
        <v>21</v>
      </c>
      <c r="B1824" s="4" t="s">
        <v>37</v>
      </c>
      <c r="C1824" s="4" t="s">
        <v>33</v>
      </c>
      <c r="D1824" s="4" t="s">
        <v>46</v>
      </c>
      <c r="E1824" s="4" t="s">
        <v>25</v>
      </c>
      <c r="F1824" s="4" t="s">
        <v>25</v>
      </c>
      <c r="G1824" s="4" t="s">
        <v>25</v>
      </c>
      <c r="H1824" s="4" t="s">
        <v>34</v>
      </c>
      <c r="I1824" s="5">
        <v>44348</v>
      </c>
      <c r="J1824" s="6">
        <v>0</v>
      </c>
      <c r="K1824" s="6">
        <v>0</v>
      </c>
      <c r="L1824" s="6">
        <v>3.2000000000000001E-2</v>
      </c>
      <c r="M1824" s="6">
        <v>3.2000000000000001E-2</v>
      </c>
      <c r="N1824" s="6">
        <v>3.2000000000000001E-2</v>
      </c>
      <c r="O1824" s="6">
        <v>3.2000000000000001E-2</v>
      </c>
      <c r="P1824" s="6">
        <v>0</v>
      </c>
      <c r="Q1824" s="4" t="s">
        <v>26</v>
      </c>
      <c r="R1824" s="4">
        <v>0</v>
      </c>
      <c r="S1824" s="4" t="s">
        <v>638</v>
      </c>
      <c r="T1824" s="4" t="s">
        <v>902</v>
      </c>
      <c r="U1824" s="4">
        <v>0</v>
      </c>
      <c r="V1824" s="4">
        <v>66</v>
      </c>
      <c r="W1824" s="4">
        <v>109</v>
      </c>
    </row>
    <row r="1825" spans="1:23" ht="11.25" customHeight="1" x14ac:dyDescent="0.25">
      <c r="A1825" s="4" t="s">
        <v>21</v>
      </c>
      <c r="B1825" s="4" t="s">
        <v>37</v>
      </c>
      <c r="C1825" s="4" t="s">
        <v>33</v>
      </c>
      <c r="D1825" s="4" t="s">
        <v>46</v>
      </c>
      <c r="E1825" s="4" t="s">
        <v>25</v>
      </c>
      <c r="F1825" s="4" t="s">
        <v>25</v>
      </c>
      <c r="G1825" s="4" t="s">
        <v>25</v>
      </c>
      <c r="H1825" s="4" t="s">
        <v>34</v>
      </c>
      <c r="I1825" s="5">
        <v>44378</v>
      </c>
      <c r="J1825" s="6">
        <v>0</v>
      </c>
      <c r="K1825" s="6">
        <v>0</v>
      </c>
      <c r="L1825" s="6">
        <v>3.3000000000000002E-2</v>
      </c>
      <c r="M1825" s="6">
        <v>3.3000000000000002E-2</v>
      </c>
      <c r="N1825" s="6">
        <v>3.3000000000000002E-2</v>
      </c>
      <c r="O1825" s="6">
        <v>3.3000000000000002E-2</v>
      </c>
      <c r="P1825" s="6">
        <v>0</v>
      </c>
      <c r="Q1825" s="4" t="s">
        <v>26</v>
      </c>
      <c r="R1825" s="4">
        <v>0</v>
      </c>
      <c r="S1825" s="4" t="s">
        <v>639</v>
      </c>
      <c r="T1825" s="4" t="s">
        <v>903</v>
      </c>
      <c r="U1825" s="4">
        <v>0</v>
      </c>
      <c r="V1825" s="4">
        <v>66</v>
      </c>
      <c r="W1825" s="4">
        <v>109</v>
      </c>
    </row>
    <row r="1826" spans="1:23" ht="11.25" customHeight="1" x14ac:dyDescent="0.25">
      <c r="A1826" s="4" t="s">
        <v>21</v>
      </c>
      <c r="B1826" s="4" t="s">
        <v>37</v>
      </c>
      <c r="C1826" s="4" t="s">
        <v>33</v>
      </c>
      <c r="D1826" s="4" t="s">
        <v>46</v>
      </c>
      <c r="E1826" s="4" t="s">
        <v>25</v>
      </c>
      <c r="F1826" s="4" t="s">
        <v>25</v>
      </c>
      <c r="G1826" s="4" t="s">
        <v>25</v>
      </c>
      <c r="H1826" s="4" t="s">
        <v>34</v>
      </c>
      <c r="I1826" s="5">
        <v>44409</v>
      </c>
      <c r="J1826" s="6">
        <v>0</v>
      </c>
      <c r="K1826" s="6">
        <v>0</v>
      </c>
      <c r="L1826" s="6">
        <v>3.5999999999999997E-2</v>
      </c>
      <c r="M1826" s="6">
        <v>3.5999999999999997E-2</v>
      </c>
      <c r="N1826" s="6">
        <v>3.5999999999999997E-2</v>
      </c>
      <c r="O1826" s="6">
        <v>3.5999999999999997E-2</v>
      </c>
      <c r="P1826" s="6">
        <v>0</v>
      </c>
      <c r="Q1826" s="4" t="s">
        <v>26</v>
      </c>
      <c r="R1826" s="4">
        <v>0</v>
      </c>
      <c r="S1826" s="4" t="s">
        <v>640</v>
      </c>
      <c r="T1826" s="4" t="s">
        <v>904</v>
      </c>
      <c r="U1826" s="4">
        <v>0</v>
      </c>
      <c r="V1826" s="4">
        <v>66</v>
      </c>
      <c r="W1826" s="4">
        <v>109</v>
      </c>
    </row>
    <row r="1827" spans="1:23" ht="11.25" customHeight="1" x14ac:dyDescent="0.25">
      <c r="A1827" s="4" t="s">
        <v>21</v>
      </c>
      <c r="B1827" s="4" t="s">
        <v>37</v>
      </c>
      <c r="C1827" s="4" t="s">
        <v>33</v>
      </c>
      <c r="D1827" s="4" t="s">
        <v>46</v>
      </c>
      <c r="E1827" s="4" t="s">
        <v>25</v>
      </c>
      <c r="F1827" s="4" t="s">
        <v>25</v>
      </c>
      <c r="G1827" s="4" t="s">
        <v>25</v>
      </c>
      <c r="H1827" s="4" t="s">
        <v>34</v>
      </c>
      <c r="I1827" s="5">
        <v>44440</v>
      </c>
      <c r="J1827" s="6">
        <v>0</v>
      </c>
      <c r="K1827" s="6">
        <v>0</v>
      </c>
      <c r="L1827" s="6">
        <v>3.2000000000000001E-2</v>
      </c>
      <c r="M1827" s="6">
        <v>3.2000000000000001E-2</v>
      </c>
      <c r="N1827" s="6">
        <v>3.2000000000000001E-2</v>
      </c>
      <c r="O1827" s="6">
        <v>3.2000000000000001E-2</v>
      </c>
      <c r="P1827" s="6">
        <v>0</v>
      </c>
      <c r="Q1827" s="4" t="s">
        <v>26</v>
      </c>
      <c r="R1827" s="4">
        <v>0</v>
      </c>
      <c r="S1827" s="4" t="s">
        <v>641</v>
      </c>
      <c r="T1827" s="4" t="s">
        <v>905</v>
      </c>
      <c r="U1827" s="4">
        <v>0</v>
      </c>
      <c r="V1827" s="4">
        <v>66</v>
      </c>
      <c r="W1827" s="4">
        <v>109</v>
      </c>
    </row>
    <row r="1828" spans="1:23" ht="11.25" customHeight="1" x14ac:dyDescent="0.25">
      <c r="A1828" s="4" t="s">
        <v>21</v>
      </c>
      <c r="B1828" s="4" t="s">
        <v>37</v>
      </c>
      <c r="C1828" s="4" t="s">
        <v>33</v>
      </c>
      <c r="D1828" s="4" t="s">
        <v>46</v>
      </c>
      <c r="E1828" s="4" t="s">
        <v>25</v>
      </c>
      <c r="F1828" s="4" t="s">
        <v>25</v>
      </c>
      <c r="G1828" s="4" t="s">
        <v>25</v>
      </c>
      <c r="H1828" s="4" t="s">
        <v>34</v>
      </c>
      <c r="I1828" s="5">
        <v>44470</v>
      </c>
      <c r="J1828" s="6">
        <v>0</v>
      </c>
      <c r="K1828" s="6">
        <v>0</v>
      </c>
      <c r="L1828" s="6">
        <v>2.9000000000000001E-2</v>
      </c>
      <c r="M1828" s="6">
        <v>2.9000000000000001E-2</v>
      </c>
      <c r="N1828" s="6">
        <v>2.9000000000000001E-2</v>
      </c>
      <c r="O1828" s="6">
        <v>2.9000000000000001E-2</v>
      </c>
      <c r="P1828" s="6">
        <v>0</v>
      </c>
      <c r="Q1828" s="4" t="s">
        <v>26</v>
      </c>
      <c r="R1828" s="4">
        <v>0</v>
      </c>
      <c r="S1828" s="4" t="s">
        <v>642</v>
      </c>
      <c r="T1828" s="4" t="s">
        <v>906</v>
      </c>
      <c r="U1828" s="4">
        <v>0</v>
      </c>
      <c r="V1828" s="4">
        <v>66</v>
      </c>
      <c r="W1828" s="4">
        <v>109</v>
      </c>
    </row>
    <row r="1829" spans="1:23" ht="11.25" customHeight="1" x14ac:dyDescent="0.25">
      <c r="A1829" s="4" t="s">
        <v>21</v>
      </c>
      <c r="B1829" s="4" t="s">
        <v>37</v>
      </c>
      <c r="C1829" s="4" t="s">
        <v>33</v>
      </c>
      <c r="D1829" s="4" t="s">
        <v>46</v>
      </c>
      <c r="E1829" s="4" t="s">
        <v>25</v>
      </c>
      <c r="F1829" s="4" t="s">
        <v>25</v>
      </c>
      <c r="G1829" s="4" t="s">
        <v>25</v>
      </c>
      <c r="H1829" s="4" t="s">
        <v>34</v>
      </c>
      <c r="I1829" s="5">
        <v>44501</v>
      </c>
      <c r="J1829" s="6">
        <v>0</v>
      </c>
      <c r="K1829" s="6">
        <v>0</v>
      </c>
      <c r="L1829" s="6">
        <v>3.1E-2</v>
      </c>
      <c r="M1829" s="6">
        <v>3.1E-2</v>
      </c>
      <c r="N1829" s="6">
        <v>3.1E-2</v>
      </c>
      <c r="O1829" s="6">
        <v>3.1E-2</v>
      </c>
      <c r="P1829" s="6">
        <v>0</v>
      </c>
      <c r="Q1829" s="4" t="s">
        <v>26</v>
      </c>
      <c r="R1829" s="4">
        <v>0</v>
      </c>
      <c r="S1829" s="4" t="s">
        <v>643</v>
      </c>
      <c r="T1829" s="4" t="s">
        <v>907</v>
      </c>
      <c r="U1829" s="4">
        <v>0</v>
      </c>
      <c r="V1829" s="4">
        <v>66</v>
      </c>
      <c r="W1829" s="4">
        <v>109</v>
      </c>
    </row>
    <row r="1830" spans="1:23" ht="11.25" customHeight="1" x14ac:dyDescent="0.25">
      <c r="A1830" s="4" t="s">
        <v>21</v>
      </c>
      <c r="B1830" s="4" t="s">
        <v>37</v>
      </c>
      <c r="C1830" s="4" t="s">
        <v>33</v>
      </c>
      <c r="D1830" s="4" t="s">
        <v>46</v>
      </c>
      <c r="E1830" s="4" t="s">
        <v>25</v>
      </c>
      <c r="F1830" s="4" t="s">
        <v>25</v>
      </c>
      <c r="G1830" s="4" t="s">
        <v>25</v>
      </c>
      <c r="H1830" s="4" t="s">
        <v>34</v>
      </c>
      <c r="I1830" s="5">
        <v>44531</v>
      </c>
      <c r="J1830" s="6">
        <v>0</v>
      </c>
      <c r="K1830" s="6">
        <v>0</v>
      </c>
      <c r="L1830" s="6">
        <v>2.8000000000000001E-2</v>
      </c>
      <c r="M1830" s="6">
        <v>2.8000000000000001E-2</v>
      </c>
      <c r="N1830" s="6">
        <v>2.8000000000000001E-2</v>
      </c>
      <c r="O1830" s="6">
        <v>2.8000000000000001E-2</v>
      </c>
      <c r="P1830" s="6">
        <v>0</v>
      </c>
      <c r="Q1830" s="4" t="s">
        <v>26</v>
      </c>
      <c r="R1830" s="4">
        <v>0</v>
      </c>
      <c r="S1830" s="4" t="s">
        <v>644</v>
      </c>
      <c r="T1830" s="4" t="s">
        <v>908</v>
      </c>
      <c r="U1830" s="4">
        <v>0</v>
      </c>
      <c r="V1830" s="4">
        <v>66</v>
      </c>
      <c r="W1830" s="4">
        <v>109</v>
      </c>
    </row>
    <row r="1831" spans="1:23" ht="11.25" customHeight="1" x14ac:dyDescent="0.25">
      <c r="A1831" s="4" t="s">
        <v>21</v>
      </c>
      <c r="B1831" s="4" t="s">
        <v>37</v>
      </c>
      <c r="C1831" s="4" t="s">
        <v>33</v>
      </c>
      <c r="D1831" s="4" t="s">
        <v>46</v>
      </c>
      <c r="E1831" s="4" t="s">
        <v>25</v>
      </c>
      <c r="F1831" s="4" t="s">
        <v>25</v>
      </c>
      <c r="G1831" s="4" t="s">
        <v>25</v>
      </c>
      <c r="H1831" s="4" t="s">
        <v>34</v>
      </c>
      <c r="I1831" s="5">
        <v>44562</v>
      </c>
      <c r="J1831" s="6">
        <v>0</v>
      </c>
      <c r="K1831" s="6">
        <v>0</v>
      </c>
      <c r="L1831" s="6">
        <v>2.3E-2</v>
      </c>
      <c r="M1831" s="6">
        <v>2.3E-2</v>
      </c>
      <c r="N1831" s="6">
        <v>2.3E-2</v>
      </c>
      <c r="O1831" s="6">
        <v>2.3E-2</v>
      </c>
      <c r="P1831" s="6">
        <v>0</v>
      </c>
      <c r="Q1831" s="4" t="s">
        <v>26</v>
      </c>
      <c r="R1831" s="4">
        <v>0</v>
      </c>
      <c r="S1831" s="4" t="s">
        <v>645</v>
      </c>
      <c r="T1831" s="4" t="s">
        <v>909</v>
      </c>
      <c r="U1831" s="4">
        <v>0</v>
      </c>
      <c r="V1831" s="4">
        <v>66</v>
      </c>
      <c r="W1831" s="4">
        <v>109</v>
      </c>
    </row>
    <row r="1832" spans="1:23" ht="11.25" customHeight="1" x14ac:dyDescent="0.25">
      <c r="A1832" s="4" t="s">
        <v>21</v>
      </c>
      <c r="B1832" s="4" t="s">
        <v>37</v>
      </c>
      <c r="C1832" s="4" t="s">
        <v>33</v>
      </c>
      <c r="D1832" s="4" t="s">
        <v>46</v>
      </c>
      <c r="E1832" s="4" t="s">
        <v>25</v>
      </c>
      <c r="F1832" s="4" t="s">
        <v>25</v>
      </c>
      <c r="G1832" s="4" t="s">
        <v>25</v>
      </c>
      <c r="H1832" s="4" t="s">
        <v>34</v>
      </c>
      <c r="I1832" s="5">
        <v>44593</v>
      </c>
      <c r="J1832" s="6">
        <v>0</v>
      </c>
      <c r="K1832" s="6">
        <v>0</v>
      </c>
      <c r="L1832" s="6">
        <v>0.02</v>
      </c>
      <c r="M1832" s="6">
        <v>0.02</v>
      </c>
      <c r="N1832" s="6">
        <v>0.02</v>
      </c>
      <c r="O1832" s="6">
        <v>0.02</v>
      </c>
      <c r="P1832" s="6">
        <v>0</v>
      </c>
      <c r="Q1832" s="4" t="s">
        <v>26</v>
      </c>
      <c r="R1832" s="4">
        <v>0</v>
      </c>
      <c r="S1832" s="4" t="s">
        <v>646</v>
      </c>
      <c r="T1832" s="4" t="s">
        <v>910</v>
      </c>
      <c r="U1832" s="4">
        <v>0</v>
      </c>
      <c r="V1832" s="4">
        <v>66</v>
      </c>
      <c r="W1832" s="4">
        <v>109</v>
      </c>
    </row>
    <row r="1833" spans="1:23" ht="11.25" customHeight="1" x14ac:dyDescent="0.25">
      <c r="A1833" s="4" t="s">
        <v>21</v>
      </c>
      <c r="B1833" s="4" t="s">
        <v>37</v>
      </c>
      <c r="C1833" s="4" t="s">
        <v>33</v>
      </c>
      <c r="D1833" s="4" t="s">
        <v>46</v>
      </c>
      <c r="E1833" s="4" t="s">
        <v>25</v>
      </c>
      <c r="F1833" s="4" t="s">
        <v>25</v>
      </c>
      <c r="G1833" s="4" t="s">
        <v>25</v>
      </c>
      <c r="H1833" s="4" t="s">
        <v>34</v>
      </c>
      <c r="I1833" s="5">
        <v>44621</v>
      </c>
      <c r="J1833" s="6">
        <v>0</v>
      </c>
      <c r="K1833" s="6">
        <v>0</v>
      </c>
      <c r="L1833" s="6">
        <v>2.4E-2</v>
      </c>
      <c r="M1833" s="6">
        <v>2.4E-2</v>
      </c>
      <c r="N1833" s="6">
        <v>2.4E-2</v>
      </c>
      <c r="O1833" s="6">
        <v>2.4E-2</v>
      </c>
      <c r="P1833" s="6">
        <v>0</v>
      </c>
      <c r="Q1833" s="4" t="s">
        <v>26</v>
      </c>
      <c r="R1833" s="4">
        <v>0</v>
      </c>
      <c r="S1833" s="4" t="s">
        <v>647</v>
      </c>
      <c r="T1833" s="4" t="s">
        <v>911</v>
      </c>
      <c r="U1833" s="4">
        <v>0</v>
      </c>
      <c r="V1833" s="4">
        <v>66</v>
      </c>
      <c r="W1833" s="4">
        <v>109</v>
      </c>
    </row>
    <row r="1834" spans="1:23" ht="11.25" customHeight="1" x14ac:dyDescent="0.25">
      <c r="A1834" s="4" t="s">
        <v>21</v>
      </c>
      <c r="B1834" s="4" t="s">
        <v>37</v>
      </c>
      <c r="C1834" s="4" t="s">
        <v>33</v>
      </c>
      <c r="D1834" s="4" t="s">
        <v>46</v>
      </c>
      <c r="E1834" s="4" t="s">
        <v>25</v>
      </c>
      <c r="F1834" s="4" t="s">
        <v>25</v>
      </c>
      <c r="G1834" s="4" t="s">
        <v>25</v>
      </c>
      <c r="H1834" s="4" t="s">
        <v>34</v>
      </c>
      <c r="I1834" s="5">
        <v>44652</v>
      </c>
      <c r="J1834" s="6">
        <v>0</v>
      </c>
      <c r="K1834" s="6">
        <v>0</v>
      </c>
      <c r="L1834" s="6">
        <v>2.5999999999999999E-2</v>
      </c>
      <c r="M1834" s="6">
        <v>2.5999999999999999E-2</v>
      </c>
      <c r="N1834" s="6">
        <v>2.5999999999999999E-2</v>
      </c>
      <c r="O1834" s="6">
        <v>2.5999999999999999E-2</v>
      </c>
      <c r="P1834" s="6">
        <v>0</v>
      </c>
      <c r="Q1834" s="4" t="s">
        <v>26</v>
      </c>
      <c r="R1834" s="4">
        <v>0</v>
      </c>
      <c r="S1834" s="4" t="s">
        <v>648</v>
      </c>
      <c r="T1834" s="4" t="s">
        <v>912</v>
      </c>
      <c r="U1834" s="4">
        <v>0</v>
      </c>
      <c r="V1834" s="4">
        <v>66</v>
      </c>
      <c r="W1834" s="4">
        <v>109</v>
      </c>
    </row>
    <row r="1835" spans="1:23" ht="11.25" customHeight="1" x14ac:dyDescent="0.25">
      <c r="A1835" s="4" t="s">
        <v>58</v>
      </c>
      <c r="B1835" s="4" t="s">
        <v>37</v>
      </c>
      <c r="C1835" s="4" t="s">
        <v>33</v>
      </c>
      <c r="D1835" s="4" t="s">
        <v>46</v>
      </c>
      <c r="E1835" s="4" t="s">
        <v>25</v>
      </c>
      <c r="F1835" s="4" t="s">
        <v>25</v>
      </c>
      <c r="G1835" s="4" t="s">
        <v>25</v>
      </c>
      <c r="H1835" s="4" t="s">
        <v>34</v>
      </c>
      <c r="I1835" s="5">
        <v>44682</v>
      </c>
      <c r="J1835" s="6">
        <v>0</v>
      </c>
      <c r="K1835" s="6">
        <v>0</v>
      </c>
      <c r="L1835" s="6">
        <v>2.5999999999999999E-2</v>
      </c>
      <c r="M1835" s="6">
        <v>2.5999999999999999E-2</v>
      </c>
      <c r="N1835" s="6">
        <v>2.5999999999999999E-2</v>
      </c>
      <c r="O1835" s="6">
        <v>2.5999999999999999E-2</v>
      </c>
      <c r="P1835" s="6">
        <v>0</v>
      </c>
      <c r="Q1835" s="4" t="s">
        <v>26</v>
      </c>
      <c r="R1835" s="4">
        <v>0</v>
      </c>
      <c r="S1835" s="4" t="s">
        <v>649</v>
      </c>
      <c r="T1835" s="4" t="s">
        <v>913</v>
      </c>
      <c r="U1835" s="4">
        <v>0</v>
      </c>
      <c r="V1835" s="4">
        <v>66</v>
      </c>
      <c r="W1835" s="4">
        <v>109</v>
      </c>
    </row>
    <row r="1836" spans="1:23" ht="11.25" customHeight="1" x14ac:dyDescent="0.25">
      <c r="A1836" s="4" t="s">
        <v>21</v>
      </c>
      <c r="B1836" s="4" t="s">
        <v>37</v>
      </c>
      <c r="C1836" s="4" t="s">
        <v>23</v>
      </c>
      <c r="D1836" s="4" t="s">
        <v>43</v>
      </c>
      <c r="E1836" s="4" t="s">
        <v>25</v>
      </c>
      <c r="F1836" s="4" t="s">
        <v>25</v>
      </c>
      <c r="G1836" s="4" t="s">
        <v>25</v>
      </c>
      <c r="H1836" s="4" t="s">
        <v>25</v>
      </c>
      <c r="I1836" s="5">
        <v>44348</v>
      </c>
      <c r="J1836" s="6">
        <v>0</v>
      </c>
      <c r="K1836" s="6">
        <v>0</v>
      </c>
      <c r="L1836" s="6">
        <v>10397.828</v>
      </c>
      <c r="M1836" s="6">
        <v>10397.828</v>
      </c>
      <c r="N1836" s="6">
        <v>10397.828</v>
      </c>
      <c r="O1836" s="6">
        <v>10397.828</v>
      </c>
      <c r="P1836" s="6">
        <v>32807</v>
      </c>
      <c r="Q1836" s="4" t="s">
        <v>26</v>
      </c>
      <c r="R1836" s="4">
        <v>0</v>
      </c>
      <c r="S1836" s="4" t="s">
        <v>650</v>
      </c>
      <c r="T1836" s="4" t="s">
        <v>914</v>
      </c>
      <c r="U1836" s="4">
        <v>0</v>
      </c>
      <c r="V1836" s="4">
        <v>69</v>
      </c>
      <c r="W1836" s="4">
        <v>112</v>
      </c>
    </row>
    <row r="1837" spans="1:23" ht="11.25" customHeight="1" x14ac:dyDescent="0.25">
      <c r="A1837" s="4" t="s">
        <v>27</v>
      </c>
      <c r="B1837" s="4" t="s">
        <v>37</v>
      </c>
      <c r="C1837" s="4" t="s">
        <v>23</v>
      </c>
      <c r="D1837" s="4" t="s">
        <v>43</v>
      </c>
      <c r="E1837" s="4" t="s">
        <v>25</v>
      </c>
      <c r="F1837" s="4" t="s">
        <v>25</v>
      </c>
      <c r="G1837" s="4" t="s">
        <v>25</v>
      </c>
      <c r="H1837" s="4" t="s">
        <v>25</v>
      </c>
      <c r="I1837" s="5">
        <v>44348</v>
      </c>
      <c r="J1837" s="6">
        <v>0</v>
      </c>
      <c r="K1837" s="6">
        <v>0</v>
      </c>
      <c r="L1837" s="6">
        <v>-1.7430000000000001</v>
      </c>
      <c r="M1837" s="6">
        <v>-1.7430000000000001</v>
      </c>
      <c r="N1837" s="6">
        <v>-1.7430000000000001</v>
      </c>
      <c r="O1837" s="6">
        <v>-1.7430000000000001</v>
      </c>
      <c r="P1837" s="6">
        <v>-3</v>
      </c>
      <c r="Q1837" s="4" t="s">
        <v>26</v>
      </c>
      <c r="R1837" s="4">
        <v>0</v>
      </c>
      <c r="S1837" s="4" t="s">
        <v>650</v>
      </c>
      <c r="T1837" s="4" t="s">
        <v>914</v>
      </c>
      <c r="U1837" s="4">
        <v>0</v>
      </c>
      <c r="V1837" s="4">
        <v>69</v>
      </c>
      <c r="W1837" s="4">
        <v>112</v>
      </c>
    </row>
    <row r="1838" spans="1:23" ht="11.25" customHeight="1" x14ac:dyDescent="0.25">
      <c r="A1838" s="4" t="s">
        <v>28</v>
      </c>
      <c r="B1838" s="4" t="s">
        <v>37</v>
      </c>
      <c r="C1838" s="4" t="s">
        <v>23</v>
      </c>
      <c r="D1838" s="4" t="s">
        <v>43</v>
      </c>
      <c r="E1838" s="4" t="s">
        <v>25</v>
      </c>
      <c r="F1838" s="4" t="s">
        <v>25</v>
      </c>
      <c r="G1838" s="4" t="s">
        <v>25</v>
      </c>
      <c r="H1838" s="4" t="s">
        <v>25</v>
      </c>
      <c r="I1838" s="5">
        <v>44348</v>
      </c>
      <c r="J1838" s="6">
        <v>0</v>
      </c>
      <c r="K1838" s="6">
        <v>0</v>
      </c>
      <c r="L1838" s="6">
        <v>1049.1410000000001</v>
      </c>
      <c r="M1838" s="6">
        <v>1049.1410000000001</v>
      </c>
      <c r="N1838" s="6">
        <v>1049.1410000000001</v>
      </c>
      <c r="O1838" s="6">
        <v>1049.1410000000001</v>
      </c>
      <c r="P1838" s="6">
        <v>2274</v>
      </c>
      <c r="Q1838" s="4" t="s">
        <v>26</v>
      </c>
      <c r="R1838" s="4">
        <v>0</v>
      </c>
      <c r="S1838" s="4" t="s">
        <v>650</v>
      </c>
      <c r="T1838" s="4" t="s">
        <v>914</v>
      </c>
      <c r="U1838" s="4">
        <v>0</v>
      </c>
      <c r="V1838" s="4">
        <v>69</v>
      </c>
      <c r="W1838" s="4">
        <v>112</v>
      </c>
    </row>
    <row r="1839" spans="1:23" ht="11.25" customHeight="1" x14ac:dyDescent="0.25">
      <c r="A1839" s="4" t="s">
        <v>28</v>
      </c>
      <c r="B1839" s="4" t="s">
        <v>37</v>
      </c>
      <c r="C1839" s="4" t="s">
        <v>23</v>
      </c>
      <c r="D1839" s="4" t="s">
        <v>43</v>
      </c>
      <c r="E1839" s="4" t="s">
        <v>25</v>
      </c>
      <c r="F1839" s="4" t="s">
        <v>25</v>
      </c>
      <c r="G1839" s="4" t="s">
        <v>25</v>
      </c>
      <c r="H1839" s="4" t="s">
        <v>25</v>
      </c>
      <c r="I1839" s="5">
        <v>44348</v>
      </c>
      <c r="J1839" s="6">
        <v>0</v>
      </c>
      <c r="K1839" s="6">
        <v>0</v>
      </c>
      <c r="L1839" s="6">
        <v>-6.0609999999999999</v>
      </c>
      <c r="M1839" s="6">
        <v>-6.0609999999999999</v>
      </c>
      <c r="N1839" s="6">
        <v>-6.0609999999999999</v>
      </c>
      <c r="O1839" s="6">
        <v>-6.0609999999999999</v>
      </c>
      <c r="P1839" s="6">
        <v>0</v>
      </c>
      <c r="Q1839" s="4" t="s">
        <v>26</v>
      </c>
      <c r="R1839" s="4">
        <v>0</v>
      </c>
      <c r="S1839" s="4" t="s">
        <v>650</v>
      </c>
      <c r="T1839" s="4" t="s">
        <v>914</v>
      </c>
      <c r="U1839" s="4">
        <v>0</v>
      </c>
      <c r="V1839" s="4">
        <v>69</v>
      </c>
      <c r="W1839" s="4">
        <v>112</v>
      </c>
    </row>
    <row r="1840" spans="1:23" ht="11.25" customHeight="1" x14ac:dyDescent="0.25">
      <c r="A1840" s="4" t="s">
        <v>21</v>
      </c>
      <c r="B1840" s="4" t="s">
        <v>37</v>
      </c>
      <c r="C1840" s="4" t="s">
        <v>23</v>
      </c>
      <c r="D1840" s="4" t="s">
        <v>43</v>
      </c>
      <c r="E1840" s="4" t="s">
        <v>25</v>
      </c>
      <c r="F1840" s="4" t="s">
        <v>25</v>
      </c>
      <c r="G1840" s="4" t="s">
        <v>25</v>
      </c>
      <c r="H1840" s="4" t="s">
        <v>25</v>
      </c>
      <c r="I1840" s="5">
        <v>44378</v>
      </c>
      <c r="J1840" s="6">
        <v>0</v>
      </c>
      <c r="K1840" s="6">
        <v>0</v>
      </c>
      <c r="L1840" s="6">
        <v>10011.321</v>
      </c>
      <c r="M1840" s="6">
        <v>10011.321</v>
      </c>
      <c r="N1840" s="6">
        <v>10011.321</v>
      </c>
      <c r="O1840" s="6">
        <v>10011.321</v>
      </c>
      <c r="P1840" s="6">
        <v>32701</v>
      </c>
      <c r="Q1840" s="4" t="s">
        <v>26</v>
      </c>
      <c r="R1840" s="4">
        <v>0</v>
      </c>
      <c r="S1840" s="4" t="s">
        <v>651</v>
      </c>
      <c r="T1840" s="4" t="s">
        <v>915</v>
      </c>
      <c r="U1840" s="4">
        <v>0</v>
      </c>
      <c r="V1840" s="4">
        <v>69</v>
      </c>
      <c r="W1840" s="4">
        <v>112</v>
      </c>
    </row>
    <row r="1841" spans="1:23" ht="11.25" customHeight="1" x14ac:dyDescent="0.25">
      <c r="A1841" s="4" t="s">
        <v>27</v>
      </c>
      <c r="B1841" s="4" t="s">
        <v>37</v>
      </c>
      <c r="C1841" s="4" t="s">
        <v>23</v>
      </c>
      <c r="D1841" s="4" t="s">
        <v>43</v>
      </c>
      <c r="E1841" s="4" t="s">
        <v>25</v>
      </c>
      <c r="F1841" s="4" t="s">
        <v>25</v>
      </c>
      <c r="G1841" s="4" t="s">
        <v>25</v>
      </c>
      <c r="H1841" s="4" t="s">
        <v>25</v>
      </c>
      <c r="I1841" s="5">
        <v>44378</v>
      </c>
      <c r="J1841" s="6">
        <v>0</v>
      </c>
      <c r="K1841" s="6">
        <v>0</v>
      </c>
      <c r="L1841" s="6">
        <v>-9.8520000000000003</v>
      </c>
      <c r="M1841" s="6">
        <v>-9.8520000000000003</v>
      </c>
      <c r="N1841" s="6">
        <v>-9.8520000000000003</v>
      </c>
      <c r="O1841" s="6">
        <v>-9.8520000000000003</v>
      </c>
      <c r="P1841" s="6">
        <v>-8</v>
      </c>
      <c r="Q1841" s="4" t="s">
        <v>26</v>
      </c>
      <c r="R1841" s="4">
        <v>0</v>
      </c>
      <c r="S1841" s="4" t="s">
        <v>651</v>
      </c>
      <c r="T1841" s="4" t="s">
        <v>915</v>
      </c>
      <c r="U1841" s="4">
        <v>0</v>
      </c>
      <c r="V1841" s="4">
        <v>69</v>
      </c>
      <c r="W1841" s="4">
        <v>112</v>
      </c>
    </row>
    <row r="1842" spans="1:23" ht="11.25" customHeight="1" x14ac:dyDescent="0.25">
      <c r="A1842" s="4" t="s">
        <v>28</v>
      </c>
      <c r="B1842" s="4" t="s">
        <v>37</v>
      </c>
      <c r="C1842" s="4" t="s">
        <v>23</v>
      </c>
      <c r="D1842" s="4" t="s">
        <v>43</v>
      </c>
      <c r="E1842" s="4" t="s">
        <v>25</v>
      </c>
      <c r="F1842" s="4" t="s">
        <v>25</v>
      </c>
      <c r="G1842" s="4" t="s">
        <v>25</v>
      </c>
      <c r="H1842" s="4" t="s">
        <v>25</v>
      </c>
      <c r="I1842" s="5">
        <v>44378</v>
      </c>
      <c r="J1842" s="6">
        <v>0</v>
      </c>
      <c r="K1842" s="6">
        <v>0</v>
      </c>
      <c r="L1842" s="6">
        <v>1054.326</v>
      </c>
      <c r="M1842" s="6">
        <v>1054.326</v>
      </c>
      <c r="N1842" s="6">
        <v>1054.326</v>
      </c>
      <c r="O1842" s="6">
        <v>1054.326</v>
      </c>
      <c r="P1842" s="6">
        <v>2392</v>
      </c>
      <c r="Q1842" s="4" t="s">
        <v>26</v>
      </c>
      <c r="R1842" s="4">
        <v>0</v>
      </c>
      <c r="S1842" s="4" t="s">
        <v>651</v>
      </c>
      <c r="T1842" s="4" t="s">
        <v>915</v>
      </c>
      <c r="U1842" s="4">
        <v>0</v>
      </c>
      <c r="V1842" s="4">
        <v>69</v>
      </c>
      <c r="W1842" s="4">
        <v>112</v>
      </c>
    </row>
    <row r="1843" spans="1:23" ht="11.25" customHeight="1" x14ac:dyDescent="0.25">
      <c r="A1843" s="4" t="s">
        <v>28</v>
      </c>
      <c r="B1843" s="4" t="s">
        <v>37</v>
      </c>
      <c r="C1843" s="4" t="s">
        <v>23</v>
      </c>
      <c r="D1843" s="4" t="s">
        <v>43</v>
      </c>
      <c r="E1843" s="4" t="s">
        <v>25</v>
      </c>
      <c r="F1843" s="4" t="s">
        <v>25</v>
      </c>
      <c r="G1843" s="4" t="s">
        <v>25</v>
      </c>
      <c r="H1843" s="4" t="s">
        <v>25</v>
      </c>
      <c r="I1843" s="5">
        <v>44378</v>
      </c>
      <c r="J1843" s="6">
        <v>0</v>
      </c>
      <c r="K1843" s="6">
        <v>0</v>
      </c>
      <c r="L1843" s="6">
        <v>0.71799999999999997</v>
      </c>
      <c r="M1843" s="6">
        <v>0.71799999999999997</v>
      </c>
      <c r="N1843" s="6">
        <v>0.71799999999999997</v>
      </c>
      <c r="O1843" s="6">
        <v>0.71799999999999997</v>
      </c>
      <c r="P1843" s="6">
        <v>0</v>
      </c>
      <c r="Q1843" s="4" t="s">
        <v>26</v>
      </c>
      <c r="R1843" s="4">
        <v>0</v>
      </c>
      <c r="S1843" s="4" t="s">
        <v>651</v>
      </c>
      <c r="T1843" s="4" t="s">
        <v>915</v>
      </c>
      <c r="U1843" s="4">
        <v>0</v>
      </c>
      <c r="V1843" s="4">
        <v>69</v>
      </c>
      <c r="W1843" s="4">
        <v>112</v>
      </c>
    </row>
    <row r="1844" spans="1:23" ht="11.25" customHeight="1" x14ac:dyDescent="0.25">
      <c r="A1844" s="4" t="s">
        <v>21</v>
      </c>
      <c r="B1844" s="4" t="s">
        <v>37</v>
      </c>
      <c r="C1844" s="4" t="s">
        <v>23</v>
      </c>
      <c r="D1844" s="4" t="s">
        <v>43</v>
      </c>
      <c r="E1844" s="4" t="s">
        <v>25</v>
      </c>
      <c r="F1844" s="4" t="s">
        <v>25</v>
      </c>
      <c r="G1844" s="4" t="s">
        <v>25</v>
      </c>
      <c r="H1844" s="4" t="s">
        <v>25</v>
      </c>
      <c r="I1844" s="5">
        <v>44409</v>
      </c>
      <c r="J1844" s="6">
        <v>0</v>
      </c>
      <c r="K1844" s="6">
        <v>0</v>
      </c>
      <c r="L1844" s="6">
        <v>10123.049999999999</v>
      </c>
      <c r="M1844" s="6">
        <v>10123.049999999999</v>
      </c>
      <c r="N1844" s="6">
        <v>10123.049999999999</v>
      </c>
      <c r="O1844" s="6">
        <v>10123.049999999999</v>
      </c>
      <c r="P1844" s="6">
        <v>32582</v>
      </c>
      <c r="Q1844" s="4" t="s">
        <v>26</v>
      </c>
      <c r="R1844" s="4">
        <v>0</v>
      </c>
      <c r="S1844" s="4" t="s">
        <v>652</v>
      </c>
      <c r="T1844" s="4" t="s">
        <v>916</v>
      </c>
      <c r="U1844" s="4">
        <v>0</v>
      </c>
      <c r="V1844" s="4">
        <v>69</v>
      </c>
      <c r="W1844" s="4">
        <v>112</v>
      </c>
    </row>
    <row r="1845" spans="1:23" ht="11.25" customHeight="1" x14ac:dyDescent="0.25">
      <c r="A1845" s="4" t="s">
        <v>27</v>
      </c>
      <c r="B1845" s="4" t="s">
        <v>37</v>
      </c>
      <c r="C1845" s="4" t="s">
        <v>23</v>
      </c>
      <c r="D1845" s="4" t="s">
        <v>43</v>
      </c>
      <c r="E1845" s="4" t="s">
        <v>25</v>
      </c>
      <c r="F1845" s="4" t="s">
        <v>25</v>
      </c>
      <c r="G1845" s="4" t="s">
        <v>25</v>
      </c>
      <c r="H1845" s="4" t="s">
        <v>25</v>
      </c>
      <c r="I1845" s="5">
        <v>44409</v>
      </c>
      <c r="J1845" s="6">
        <v>0</v>
      </c>
      <c r="K1845" s="6">
        <v>0</v>
      </c>
      <c r="L1845" s="6">
        <v>-7.6289999999999996</v>
      </c>
      <c r="M1845" s="6">
        <v>-7.6289999999999996</v>
      </c>
      <c r="N1845" s="6">
        <v>-7.6289999999999996</v>
      </c>
      <c r="O1845" s="6">
        <v>-7.6289999999999996</v>
      </c>
      <c r="P1845" s="6">
        <v>-15</v>
      </c>
      <c r="Q1845" s="4" t="s">
        <v>26</v>
      </c>
      <c r="R1845" s="4">
        <v>0</v>
      </c>
      <c r="S1845" s="4" t="s">
        <v>652</v>
      </c>
      <c r="T1845" s="4" t="s">
        <v>916</v>
      </c>
      <c r="U1845" s="4">
        <v>0</v>
      </c>
      <c r="V1845" s="4">
        <v>69</v>
      </c>
      <c r="W1845" s="4">
        <v>112</v>
      </c>
    </row>
    <row r="1846" spans="1:23" ht="11.25" customHeight="1" x14ac:dyDescent="0.25">
      <c r="A1846" s="4" t="s">
        <v>28</v>
      </c>
      <c r="B1846" s="4" t="s">
        <v>37</v>
      </c>
      <c r="C1846" s="4" t="s">
        <v>23</v>
      </c>
      <c r="D1846" s="4" t="s">
        <v>43</v>
      </c>
      <c r="E1846" s="4" t="s">
        <v>25</v>
      </c>
      <c r="F1846" s="4" t="s">
        <v>25</v>
      </c>
      <c r="G1846" s="4" t="s">
        <v>25</v>
      </c>
      <c r="H1846" s="4" t="s">
        <v>25</v>
      </c>
      <c r="I1846" s="5">
        <v>44409</v>
      </c>
      <c r="J1846" s="6">
        <v>0</v>
      </c>
      <c r="K1846" s="6">
        <v>0</v>
      </c>
      <c r="L1846" s="6">
        <v>977.21299999999997</v>
      </c>
      <c r="M1846" s="6">
        <v>977.21299999999997</v>
      </c>
      <c r="N1846" s="6">
        <v>977.21299999999997</v>
      </c>
      <c r="O1846" s="6">
        <v>977.21299999999997</v>
      </c>
      <c r="P1846" s="6">
        <v>2509</v>
      </c>
      <c r="Q1846" s="4" t="s">
        <v>26</v>
      </c>
      <c r="R1846" s="4">
        <v>0</v>
      </c>
      <c r="S1846" s="4" t="s">
        <v>652</v>
      </c>
      <c r="T1846" s="4" t="s">
        <v>916</v>
      </c>
      <c r="U1846" s="4">
        <v>0</v>
      </c>
      <c r="V1846" s="4">
        <v>69</v>
      </c>
      <c r="W1846" s="4">
        <v>112</v>
      </c>
    </row>
    <row r="1847" spans="1:23" ht="11.25" customHeight="1" x14ac:dyDescent="0.25">
      <c r="A1847" s="4" t="s">
        <v>21</v>
      </c>
      <c r="B1847" s="4" t="s">
        <v>37</v>
      </c>
      <c r="C1847" s="4" t="s">
        <v>23</v>
      </c>
      <c r="D1847" s="4" t="s">
        <v>43</v>
      </c>
      <c r="E1847" s="4" t="s">
        <v>25</v>
      </c>
      <c r="F1847" s="4" t="s">
        <v>25</v>
      </c>
      <c r="G1847" s="4" t="s">
        <v>25</v>
      </c>
      <c r="H1847" s="4" t="s">
        <v>25</v>
      </c>
      <c r="I1847" s="5">
        <v>44440</v>
      </c>
      <c r="J1847" s="6">
        <v>0</v>
      </c>
      <c r="K1847" s="6">
        <v>0</v>
      </c>
      <c r="L1847" s="6">
        <v>11476.826999999999</v>
      </c>
      <c r="M1847" s="6">
        <v>11476.826999999999</v>
      </c>
      <c r="N1847" s="6">
        <v>11476.826999999999</v>
      </c>
      <c r="O1847" s="6">
        <v>11476.826999999999</v>
      </c>
      <c r="P1847" s="6">
        <v>32472</v>
      </c>
      <c r="Q1847" s="4" t="s">
        <v>26</v>
      </c>
      <c r="R1847" s="4">
        <v>0</v>
      </c>
      <c r="S1847" s="4" t="s">
        <v>653</v>
      </c>
      <c r="T1847" s="4" t="s">
        <v>917</v>
      </c>
      <c r="U1847" s="4">
        <v>0</v>
      </c>
      <c r="V1847" s="4">
        <v>69</v>
      </c>
      <c r="W1847" s="4">
        <v>112</v>
      </c>
    </row>
    <row r="1848" spans="1:23" ht="11.25" customHeight="1" x14ac:dyDescent="0.25">
      <c r="A1848" s="4" t="s">
        <v>27</v>
      </c>
      <c r="B1848" s="4" t="s">
        <v>37</v>
      </c>
      <c r="C1848" s="4" t="s">
        <v>23</v>
      </c>
      <c r="D1848" s="4" t="s">
        <v>43</v>
      </c>
      <c r="E1848" s="4" t="s">
        <v>25</v>
      </c>
      <c r="F1848" s="4" t="s">
        <v>25</v>
      </c>
      <c r="G1848" s="4" t="s">
        <v>25</v>
      </c>
      <c r="H1848" s="4" t="s">
        <v>25</v>
      </c>
      <c r="I1848" s="5">
        <v>44440</v>
      </c>
      <c r="J1848" s="6">
        <v>0</v>
      </c>
      <c r="K1848" s="6">
        <v>0</v>
      </c>
      <c r="L1848" s="6">
        <v>-5.4870000000000001</v>
      </c>
      <c r="M1848" s="6">
        <v>-5.4870000000000001</v>
      </c>
      <c r="N1848" s="6">
        <v>-5.4870000000000001</v>
      </c>
      <c r="O1848" s="6">
        <v>-5.4870000000000001</v>
      </c>
      <c r="P1848" s="6">
        <v>-12</v>
      </c>
      <c r="Q1848" s="4" t="s">
        <v>26</v>
      </c>
      <c r="R1848" s="4">
        <v>0</v>
      </c>
      <c r="S1848" s="4" t="s">
        <v>653</v>
      </c>
      <c r="T1848" s="4" t="s">
        <v>917</v>
      </c>
      <c r="U1848" s="4">
        <v>0</v>
      </c>
      <c r="V1848" s="4">
        <v>69</v>
      </c>
      <c r="W1848" s="4">
        <v>112</v>
      </c>
    </row>
    <row r="1849" spans="1:23" ht="11.25" customHeight="1" x14ac:dyDescent="0.25">
      <c r="A1849" s="4" t="s">
        <v>28</v>
      </c>
      <c r="B1849" s="4" t="s">
        <v>37</v>
      </c>
      <c r="C1849" s="4" t="s">
        <v>23</v>
      </c>
      <c r="D1849" s="4" t="s">
        <v>43</v>
      </c>
      <c r="E1849" s="4" t="s">
        <v>25</v>
      </c>
      <c r="F1849" s="4" t="s">
        <v>25</v>
      </c>
      <c r="G1849" s="4" t="s">
        <v>25</v>
      </c>
      <c r="H1849" s="4" t="s">
        <v>25</v>
      </c>
      <c r="I1849" s="5">
        <v>44440</v>
      </c>
      <c r="J1849" s="6">
        <v>0</v>
      </c>
      <c r="K1849" s="6">
        <v>0</v>
      </c>
      <c r="L1849" s="6">
        <v>1378.22</v>
      </c>
      <c r="M1849" s="6">
        <v>1378.22</v>
      </c>
      <c r="N1849" s="6">
        <v>1378.22</v>
      </c>
      <c r="O1849" s="6">
        <v>1378.22</v>
      </c>
      <c r="P1849" s="6">
        <v>2686</v>
      </c>
      <c r="Q1849" s="4" t="s">
        <v>26</v>
      </c>
      <c r="R1849" s="4">
        <v>0</v>
      </c>
      <c r="S1849" s="4" t="s">
        <v>653</v>
      </c>
      <c r="T1849" s="4" t="s">
        <v>917</v>
      </c>
      <c r="U1849" s="4">
        <v>0</v>
      </c>
      <c r="V1849" s="4">
        <v>69</v>
      </c>
      <c r="W1849" s="4">
        <v>112</v>
      </c>
    </row>
    <row r="1850" spans="1:23" ht="11.25" customHeight="1" x14ac:dyDescent="0.25">
      <c r="A1850" s="4" t="s">
        <v>28</v>
      </c>
      <c r="B1850" s="4" t="s">
        <v>37</v>
      </c>
      <c r="C1850" s="4" t="s">
        <v>23</v>
      </c>
      <c r="D1850" s="4" t="s">
        <v>43</v>
      </c>
      <c r="E1850" s="4" t="s">
        <v>25</v>
      </c>
      <c r="F1850" s="4" t="s">
        <v>25</v>
      </c>
      <c r="G1850" s="4" t="s">
        <v>25</v>
      </c>
      <c r="H1850" s="4" t="s">
        <v>25</v>
      </c>
      <c r="I1850" s="5">
        <v>44440</v>
      </c>
      <c r="J1850" s="6">
        <v>0</v>
      </c>
      <c r="K1850" s="6">
        <v>0</v>
      </c>
      <c r="L1850" s="6">
        <v>-13.561999999999999</v>
      </c>
      <c r="M1850" s="6">
        <v>-13.561999999999999</v>
      </c>
      <c r="N1850" s="6">
        <v>-13.561999999999999</v>
      </c>
      <c r="O1850" s="6">
        <v>-13.561999999999999</v>
      </c>
      <c r="P1850" s="6">
        <v>0</v>
      </c>
      <c r="Q1850" s="4" t="s">
        <v>26</v>
      </c>
      <c r="R1850" s="4">
        <v>0</v>
      </c>
      <c r="S1850" s="4" t="s">
        <v>653</v>
      </c>
      <c r="T1850" s="4" t="s">
        <v>917</v>
      </c>
      <c r="U1850" s="4">
        <v>0</v>
      </c>
      <c r="V1850" s="4">
        <v>69</v>
      </c>
      <c r="W1850" s="4">
        <v>112</v>
      </c>
    </row>
    <row r="1851" spans="1:23" ht="11.25" customHeight="1" x14ac:dyDescent="0.25">
      <c r="A1851" s="4" t="s">
        <v>21</v>
      </c>
      <c r="B1851" s="4" t="s">
        <v>37</v>
      </c>
      <c r="C1851" s="4" t="s">
        <v>23</v>
      </c>
      <c r="D1851" s="4" t="s">
        <v>43</v>
      </c>
      <c r="E1851" s="4" t="s">
        <v>25</v>
      </c>
      <c r="F1851" s="4" t="s">
        <v>25</v>
      </c>
      <c r="G1851" s="4" t="s">
        <v>25</v>
      </c>
      <c r="H1851" s="4" t="s">
        <v>25</v>
      </c>
      <c r="I1851" s="5">
        <v>44470</v>
      </c>
      <c r="J1851" s="6">
        <v>0</v>
      </c>
      <c r="K1851" s="6">
        <v>0</v>
      </c>
      <c r="L1851" s="6">
        <v>11400.047</v>
      </c>
      <c r="M1851" s="6">
        <v>11400.047</v>
      </c>
      <c r="N1851" s="6">
        <v>11400.047</v>
      </c>
      <c r="O1851" s="6">
        <v>11400.047</v>
      </c>
      <c r="P1851" s="6">
        <v>32415</v>
      </c>
      <c r="Q1851" s="4" t="s">
        <v>26</v>
      </c>
      <c r="R1851" s="4">
        <v>0</v>
      </c>
      <c r="S1851" s="4" t="s">
        <v>654</v>
      </c>
      <c r="T1851" s="4" t="s">
        <v>918</v>
      </c>
      <c r="U1851" s="4">
        <v>0</v>
      </c>
      <c r="V1851" s="4">
        <v>69</v>
      </c>
      <c r="W1851" s="4">
        <v>112</v>
      </c>
    </row>
    <row r="1852" spans="1:23" ht="11.25" customHeight="1" x14ac:dyDescent="0.25">
      <c r="A1852" s="4" t="s">
        <v>27</v>
      </c>
      <c r="B1852" s="4" t="s">
        <v>37</v>
      </c>
      <c r="C1852" s="4" t="s">
        <v>23</v>
      </c>
      <c r="D1852" s="4" t="s">
        <v>43</v>
      </c>
      <c r="E1852" s="4" t="s">
        <v>25</v>
      </c>
      <c r="F1852" s="4" t="s">
        <v>25</v>
      </c>
      <c r="G1852" s="4" t="s">
        <v>25</v>
      </c>
      <c r="H1852" s="4" t="s">
        <v>25</v>
      </c>
      <c r="I1852" s="5">
        <v>44470</v>
      </c>
      <c r="J1852" s="6">
        <v>0</v>
      </c>
      <c r="K1852" s="6">
        <v>0</v>
      </c>
      <c r="L1852" s="6">
        <v>-13.917999999999999</v>
      </c>
      <c r="M1852" s="6">
        <v>-13.917999999999999</v>
      </c>
      <c r="N1852" s="6">
        <v>-13.917999999999999</v>
      </c>
      <c r="O1852" s="6">
        <v>-13.917999999999999</v>
      </c>
      <c r="P1852" s="6">
        <v>-1</v>
      </c>
      <c r="Q1852" s="4" t="s">
        <v>26</v>
      </c>
      <c r="R1852" s="4">
        <v>0</v>
      </c>
      <c r="S1852" s="4" t="s">
        <v>654</v>
      </c>
      <c r="T1852" s="4" t="s">
        <v>918</v>
      </c>
      <c r="U1852" s="4">
        <v>0</v>
      </c>
      <c r="V1852" s="4">
        <v>69</v>
      </c>
      <c r="W1852" s="4">
        <v>112</v>
      </c>
    </row>
    <row r="1853" spans="1:23" ht="11.25" customHeight="1" x14ac:dyDescent="0.25">
      <c r="A1853" s="4" t="s">
        <v>28</v>
      </c>
      <c r="B1853" s="4" t="s">
        <v>37</v>
      </c>
      <c r="C1853" s="4" t="s">
        <v>23</v>
      </c>
      <c r="D1853" s="4" t="s">
        <v>43</v>
      </c>
      <c r="E1853" s="4" t="s">
        <v>25</v>
      </c>
      <c r="F1853" s="4" t="s">
        <v>25</v>
      </c>
      <c r="G1853" s="4" t="s">
        <v>25</v>
      </c>
      <c r="H1853" s="4" t="s">
        <v>25</v>
      </c>
      <c r="I1853" s="5">
        <v>44470</v>
      </c>
      <c r="J1853" s="6">
        <v>0</v>
      </c>
      <c r="K1853" s="6">
        <v>0</v>
      </c>
      <c r="L1853" s="6">
        <v>1165.597</v>
      </c>
      <c r="M1853" s="6">
        <v>1165.597</v>
      </c>
      <c r="N1853" s="6">
        <v>1165.597</v>
      </c>
      <c r="O1853" s="6">
        <v>1165.597</v>
      </c>
      <c r="P1853" s="6">
        <v>2766</v>
      </c>
      <c r="Q1853" s="4" t="s">
        <v>26</v>
      </c>
      <c r="R1853" s="4">
        <v>0</v>
      </c>
      <c r="S1853" s="4" t="s">
        <v>654</v>
      </c>
      <c r="T1853" s="4" t="s">
        <v>918</v>
      </c>
      <c r="U1853" s="4">
        <v>0</v>
      </c>
      <c r="V1853" s="4">
        <v>69</v>
      </c>
      <c r="W1853" s="4">
        <v>112</v>
      </c>
    </row>
    <row r="1854" spans="1:23" ht="11.25" customHeight="1" x14ac:dyDescent="0.25">
      <c r="A1854" s="4" t="s">
        <v>28</v>
      </c>
      <c r="B1854" s="4" t="s">
        <v>37</v>
      </c>
      <c r="C1854" s="4" t="s">
        <v>23</v>
      </c>
      <c r="D1854" s="4" t="s">
        <v>43</v>
      </c>
      <c r="E1854" s="4" t="s">
        <v>25</v>
      </c>
      <c r="F1854" s="4" t="s">
        <v>25</v>
      </c>
      <c r="G1854" s="4" t="s">
        <v>25</v>
      </c>
      <c r="H1854" s="4" t="s">
        <v>25</v>
      </c>
      <c r="I1854" s="5">
        <v>44470</v>
      </c>
      <c r="J1854" s="6">
        <v>0</v>
      </c>
      <c r="K1854" s="6">
        <v>0</v>
      </c>
      <c r="L1854" s="6">
        <v>-4.798</v>
      </c>
      <c r="M1854" s="6">
        <v>-4.798</v>
      </c>
      <c r="N1854" s="6">
        <v>-4.798</v>
      </c>
      <c r="O1854" s="6">
        <v>-4.798</v>
      </c>
      <c r="P1854" s="6">
        <v>0</v>
      </c>
      <c r="Q1854" s="4" t="s">
        <v>26</v>
      </c>
      <c r="R1854" s="4">
        <v>0</v>
      </c>
      <c r="S1854" s="4" t="s">
        <v>654</v>
      </c>
      <c r="T1854" s="4" t="s">
        <v>918</v>
      </c>
      <c r="U1854" s="4">
        <v>0</v>
      </c>
      <c r="V1854" s="4">
        <v>69</v>
      </c>
      <c r="W1854" s="4">
        <v>112</v>
      </c>
    </row>
    <row r="1855" spans="1:23" ht="11.25" customHeight="1" x14ac:dyDescent="0.25">
      <c r="A1855" s="4" t="s">
        <v>21</v>
      </c>
      <c r="B1855" s="4" t="s">
        <v>37</v>
      </c>
      <c r="C1855" s="4" t="s">
        <v>23</v>
      </c>
      <c r="D1855" s="4" t="s">
        <v>43</v>
      </c>
      <c r="E1855" s="4" t="s">
        <v>25</v>
      </c>
      <c r="F1855" s="4" t="s">
        <v>25</v>
      </c>
      <c r="G1855" s="4" t="s">
        <v>25</v>
      </c>
      <c r="H1855" s="4" t="s">
        <v>25</v>
      </c>
      <c r="I1855" s="5">
        <v>44501</v>
      </c>
      <c r="J1855" s="6">
        <v>0</v>
      </c>
      <c r="K1855" s="6">
        <v>0</v>
      </c>
      <c r="L1855" s="6">
        <v>11144.76</v>
      </c>
      <c r="M1855" s="6">
        <v>11144.76</v>
      </c>
      <c r="N1855" s="6">
        <v>11144.76</v>
      </c>
      <c r="O1855" s="6">
        <v>11144.76</v>
      </c>
      <c r="P1855" s="6">
        <v>32325</v>
      </c>
      <c r="Q1855" s="4" t="s">
        <v>26</v>
      </c>
      <c r="R1855" s="4">
        <v>0</v>
      </c>
      <c r="S1855" s="4" t="s">
        <v>655</v>
      </c>
      <c r="T1855" s="4" t="s">
        <v>919</v>
      </c>
      <c r="U1855" s="4">
        <v>0</v>
      </c>
      <c r="V1855" s="4">
        <v>69</v>
      </c>
      <c r="W1855" s="4">
        <v>112</v>
      </c>
    </row>
    <row r="1856" spans="1:23" ht="11.25" customHeight="1" x14ac:dyDescent="0.25">
      <c r="A1856" s="4" t="s">
        <v>27</v>
      </c>
      <c r="B1856" s="4" t="s">
        <v>37</v>
      </c>
      <c r="C1856" s="4" t="s">
        <v>23</v>
      </c>
      <c r="D1856" s="4" t="s">
        <v>43</v>
      </c>
      <c r="E1856" s="4" t="s">
        <v>25</v>
      </c>
      <c r="F1856" s="4" t="s">
        <v>25</v>
      </c>
      <c r="G1856" s="4" t="s">
        <v>25</v>
      </c>
      <c r="H1856" s="4" t="s">
        <v>25</v>
      </c>
      <c r="I1856" s="5">
        <v>44501</v>
      </c>
      <c r="J1856" s="6">
        <v>0</v>
      </c>
      <c r="K1856" s="6">
        <v>0</v>
      </c>
      <c r="L1856" s="6">
        <v>-3.613</v>
      </c>
      <c r="M1856" s="6">
        <v>-3.613</v>
      </c>
      <c r="N1856" s="6">
        <v>-3.613</v>
      </c>
      <c r="O1856" s="6">
        <v>-3.613</v>
      </c>
      <c r="P1856" s="6">
        <v>-1</v>
      </c>
      <c r="Q1856" s="4" t="s">
        <v>26</v>
      </c>
      <c r="R1856" s="4">
        <v>0</v>
      </c>
      <c r="S1856" s="4" t="s">
        <v>655</v>
      </c>
      <c r="T1856" s="4" t="s">
        <v>919</v>
      </c>
      <c r="U1856" s="4">
        <v>0</v>
      </c>
      <c r="V1856" s="4">
        <v>69</v>
      </c>
      <c r="W1856" s="4">
        <v>112</v>
      </c>
    </row>
    <row r="1857" spans="1:23" ht="11.25" customHeight="1" x14ac:dyDescent="0.25">
      <c r="A1857" s="4" t="s">
        <v>28</v>
      </c>
      <c r="B1857" s="4" t="s">
        <v>37</v>
      </c>
      <c r="C1857" s="4" t="s">
        <v>23</v>
      </c>
      <c r="D1857" s="4" t="s">
        <v>43</v>
      </c>
      <c r="E1857" s="4" t="s">
        <v>25</v>
      </c>
      <c r="F1857" s="4" t="s">
        <v>25</v>
      </c>
      <c r="G1857" s="4" t="s">
        <v>25</v>
      </c>
      <c r="H1857" s="4" t="s">
        <v>25</v>
      </c>
      <c r="I1857" s="5">
        <v>44501</v>
      </c>
      <c r="J1857" s="6">
        <v>0</v>
      </c>
      <c r="K1857" s="6">
        <v>0</v>
      </c>
      <c r="L1857" s="6">
        <v>1292.6079999999999</v>
      </c>
      <c r="M1857" s="6">
        <v>1292.6079999999999</v>
      </c>
      <c r="N1857" s="6">
        <v>1292.6079999999999</v>
      </c>
      <c r="O1857" s="6">
        <v>1292.6079999999999</v>
      </c>
      <c r="P1857" s="6">
        <v>2870</v>
      </c>
      <c r="Q1857" s="4" t="s">
        <v>26</v>
      </c>
      <c r="R1857" s="4">
        <v>0</v>
      </c>
      <c r="S1857" s="4" t="s">
        <v>655</v>
      </c>
      <c r="T1857" s="4" t="s">
        <v>919</v>
      </c>
      <c r="U1857" s="4">
        <v>0</v>
      </c>
      <c r="V1857" s="4">
        <v>69</v>
      </c>
      <c r="W1857" s="4">
        <v>112</v>
      </c>
    </row>
    <row r="1858" spans="1:23" ht="11.25" customHeight="1" x14ac:dyDescent="0.25">
      <c r="A1858" s="4" t="s">
        <v>28</v>
      </c>
      <c r="B1858" s="4" t="s">
        <v>37</v>
      </c>
      <c r="C1858" s="4" t="s">
        <v>23</v>
      </c>
      <c r="D1858" s="4" t="s">
        <v>43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5">
        <v>44501</v>
      </c>
      <c r="J1858" s="6">
        <v>0</v>
      </c>
      <c r="K1858" s="6">
        <v>0</v>
      </c>
      <c r="L1858" s="6">
        <v>-1.31</v>
      </c>
      <c r="M1858" s="6">
        <v>-1.31</v>
      </c>
      <c r="N1858" s="6">
        <v>-1.31</v>
      </c>
      <c r="O1858" s="6">
        <v>-1.31</v>
      </c>
      <c r="P1858" s="6">
        <v>0</v>
      </c>
      <c r="Q1858" s="4" t="s">
        <v>26</v>
      </c>
      <c r="R1858" s="4">
        <v>0</v>
      </c>
      <c r="S1858" s="4" t="s">
        <v>655</v>
      </c>
      <c r="T1858" s="4" t="s">
        <v>919</v>
      </c>
      <c r="U1858" s="4">
        <v>0</v>
      </c>
      <c r="V1858" s="4">
        <v>69</v>
      </c>
      <c r="W1858" s="4">
        <v>112</v>
      </c>
    </row>
    <row r="1859" spans="1:23" ht="11.25" customHeight="1" x14ac:dyDescent="0.25">
      <c r="A1859" s="4" t="s">
        <v>21</v>
      </c>
      <c r="B1859" s="4" t="s">
        <v>37</v>
      </c>
      <c r="C1859" s="4" t="s">
        <v>23</v>
      </c>
      <c r="D1859" s="4" t="s">
        <v>43</v>
      </c>
      <c r="E1859" s="4" t="s">
        <v>25</v>
      </c>
      <c r="F1859" s="4" t="s">
        <v>25</v>
      </c>
      <c r="G1859" s="4" t="s">
        <v>25</v>
      </c>
      <c r="H1859" s="4" t="s">
        <v>25</v>
      </c>
      <c r="I1859" s="5">
        <v>44531</v>
      </c>
      <c r="J1859" s="6">
        <v>0</v>
      </c>
      <c r="K1859" s="6">
        <v>0</v>
      </c>
      <c r="L1859" s="6">
        <v>12301.717000000001</v>
      </c>
      <c r="M1859" s="6">
        <v>12301.717000000001</v>
      </c>
      <c r="N1859" s="6">
        <v>12301.717000000001</v>
      </c>
      <c r="O1859" s="6">
        <v>12301.717000000001</v>
      </c>
      <c r="P1859" s="6">
        <v>32145</v>
      </c>
      <c r="Q1859" s="4" t="s">
        <v>26</v>
      </c>
      <c r="R1859" s="4">
        <v>0</v>
      </c>
      <c r="S1859" s="4" t="s">
        <v>656</v>
      </c>
      <c r="T1859" s="4" t="s">
        <v>920</v>
      </c>
      <c r="U1859" s="4">
        <v>0</v>
      </c>
      <c r="V1859" s="4">
        <v>69</v>
      </c>
      <c r="W1859" s="4">
        <v>112</v>
      </c>
    </row>
    <row r="1860" spans="1:23" ht="11.25" customHeight="1" x14ac:dyDescent="0.25">
      <c r="A1860" s="4" t="s">
        <v>27</v>
      </c>
      <c r="B1860" s="4" t="s">
        <v>37</v>
      </c>
      <c r="C1860" s="4" t="s">
        <v>23</v>
      </c>
      <c r="D1860" s="4" t="s">
        <v>43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5">
        <v>44531</v>
      </c>
      <c r="J1860" s="6">
        <v>0</v>
      </c>
      <c r="K1860" s="6">
        <v>0</v>
      </c>
      <c r="L1860" s="6">
        <v>-3.1659999999999999</v>
      </c>
      <c r="M1860" s="6">
        <v>-3.1659999999999999</v>
      </c>
      <c r="N1860" s="6">
        <v>-3.1659999999999999</v>
      </c>
      <c r="O1860" s="6">
        <v>-3.1659999999999999</v>
      </c>
      <c r="P1860" s="6">
        <v>-6</v>
      </c>
      <c r="Q1860" s="4" t="s">
        <v>26</v>
      </c>
      <c r="R1860" s="4">
        <v>0</v>
      </c>
      <c r="S1860" s="4" t="s">
        <v>656</v>
      </c>
      <c r="T1860" s="4" t="s">
        <v>920</v>
      </c>
      <c r="U1860" s="4">
        <v>0</v>
      </c>
      <c r="V1860" s="4">
        <v>69</v>
      </c>
      <c r="W1860" s="4">
        <v>112</v>
      </c>
    </row>
    <row r="1861" spans="1:23" ht="11.25" customHeight="1" x14ac:dyDescent="0.25">
      <c r="A1861" s="4" t="s">
        <v>28</v>
      </c>
      <c r="B1861" s="4" t="s">
        <v>37</v>
      </c>
      <c r="C1861" s="4" t="s">
        <v>23</v>
      </c>
      <c r="D1861" s="4" t="s">
        <v>43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5">
        <v>44531</v>
      </c>
      <c r="J1861" s="6">
        <v>0</v>
      </c>
      <c r="K1861" s="6">
        <v>0</v>
      </c>
      <c r="L1861" s="6">
        <v>1538.693</v>
      </c>
      <c r="M1861" s="6">
        <v>1538.693</v>
      </c>
      <c r="N1861" s="6">
        <v>1538.693</v>
      </c>
      <c r="O1861" s="6">
        <v>1538.693</v>
      </c>
      <c r="P1861" s="6">
        <v>3090</v>
      </c>
      <c r="Q1861" s="4" t="s">
        <v>26</v>
      </c>
      <c r="R1861" s="4">
        <v>0</v>
      </c>
      <c r="S1861" s="4" t="s">
        <v>656</v>
      </c>
      <c r="T1861" s="4" t="s">
        <v>920</v>
      </c>
      <c r="U1861" s="4">
        <v>0</v>
      </c>
      <c r="V1861" s="4">
        <v>69</v>
      </c>
      <c r="W1861" s="4">
        <v>112</v>
      </c>
    </row>
    <row r="1862" spans="1:23" ht="11.25" customHeight="1" x14ac:dyDescent="0.25">
      <c r="A1862" s="4" t="s">
        <v>28</v>
      </c>
      <c r="B1862" s="4" t="s">
        <v>37</v>
      </c>
      <c r="C1862" s="4" t="s">
        <v>23</v>
      </c>
      <c r="D1862" s="4" t="s">
        <v>43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5">
        <v>44531</v>
      </c>
      <c r="J1862" s="6">
        <v>0</v>
      </c>
      <c r="K1862" s="6">
        <v>0</v>
      </c>
      <c r="L1862" s="6">
        <v>-0.72599999999999998</v>
      </c>
      <c r="M1862" s="6">
        <v>-0.72599999999999998</v>
      </c>
      <c r="N1862" s="6">
        <v>-0.72599999999999998</v>
      </c>
      <c r="O1862" s="6">
        <v>-0.72599999999999998</v>
      </c>
      <c r="P1862" s="6">
        <v>-1</v>
      </c>
      <c r="Q1862" s="4" t="s">
        <v>26</v>
      </c>
      <c r="R1862" s="4">
        <v>0</v>
      </c>
      <c r="S1862" s="4" t="s">
        <v>656</v>
      </c>
      <c r="T1862" s="4" t="s">
        <v>920</v>
      </c>
      <c r="U1862" s="4">
        <v>0</v>
      </c>
      <c r="V1862" s="4">
        <v>69</v>
      </c>
      <c r="W1862" s="4">
        <v>112</v>
      </c>
    </row>
    <row r="1863" spans="1:23" ht="11.25" customHeight="1" x14ac:dyDescent="0.25">
      <c r="A1863" s="4" t="s">
        <v>21</v>
      </c>
      <c r="B1863" s="4" t="s">
        <v>37</v>
      </c>
      <c r="C1863" s="4" t="s">
        <v>23</v>
      </c>
      <c r="D1863" s="4" t="s">
        <v>43</v>
      </c>
      <c r="E1863" s="4" t="s">
        <v>25</v>
      </c>
      <c r="F1863" s="4" t="s">
        <v>25</v>
      </c>
      <c r="G1863" s="4" t="s">
        <v>25</v>
      </c>
      <c r="H1863" s="4" t="s">
        <v>25</v>
      </c>
      <c r="I1863" s="5">
        <v>44562</v>
      </c>
      <c r="J1863" s="6">
        <v>0</v>
      </c>
      <c r="K1863" s="6">
        <v>0</v>
      </c>
      <c r="L1863" s="6">
        <v>11684.423000000001</v>
      </c>
      <c r="M1863" s="6">
        <v>11684.423000000001</v>
      </c>
      <c r="N1863" s="6">
        <v>11684.423000000001</v>
      </c>
      <c r="O1863" s="6">
        <v>11684.423000000001</v>
      </c>
      <c r="P1863" s="6">
        <v>32078</v>
      </c>
      <c r="Q1863" s="4" t="s">
        <v>26</v>
      </c>
      <c r="R1863" s="4">
        <v>0</v>
      </c>
      <c r="S1863" s="4" t="s">
        <v>657</v>
      </c>
      <c r="T1863" s="4" t="s">
        <v>921</v>
      </c>
      <c r="U1863" s="4">
        <v>0</v>
      </c>
      <c r="V1863" s="4">
        <v>69</v>
      </c>
      <c r="W1863" s="4">
        <v>112</v>
      </c>
    </row>
    <row r="1864" spans="1:23" ht="11.25" customHeight="1" x14ac:dyDescent="0.25">
      <c r="A1864" s="4" t="s">
        <v>27</v>
      </c>
      <c r="B1864" s="4" t="s">
        <v>37</v>
      </c>
      <c r="C1864" s="4" t="s">
        <v>23</v>
      </c>
      <c r="D1864" s="4" t="s">
        <v>43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5">
        <v>44562</v>
      </c>
      <c r="J1864" s="6">
        <v>0</v>
      </c>
      <c r="K1864" s="6">
        <v>0</v>
      </c>
      <c r="L1864" s="6">
        <v>-3.16</v>
      </c>
      <c r="M1864" s="6">
        <v>-3.16</v>
      </c>
      <c r="N1864" s="6">
        <v>-3.16</v>
      </c>
      <c r="O1864" s="6">
        <v>-3.16</v>
      </c>
      <c r="P1864" s="6">
        <v>0</v>
      </c>
      <c r="Q1864" s="4" t="s">
        <v>26</v>
      </c>
      <c r="R1864" s="4">
        <v>0</v>
      </c>
      <c r="S1864" s="4" t="s">
        <v>657</v>
      </c>
      <c r="T1864" s="4" t="s">
        <v>921</v>
      </c>
      <c r="U1864" s="4">
        <v>0</v>
      </c>
      <c r="V1864" s="4">
        <v>69</v>
      </c>
      <c r="W1864" s="4">
        <v>112</v>
      </c>
    </row>
    <row r="1865" spans="1:23" ht="11.25" customHeight="1" x14ac:dyDescent="0.25">
      <c r="A1865" s="4" t="s">
        <v>28</v>
      </c>
      <c r="B1865" s="4" t="s">
        <v>37</v>
      </c>
      <c r="C1865" s="4" t="s">
        <v>23</v>
      </c>
      <c r="D1865" s="4" t="s">
        <v>43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5">
        <v>44562</v>
      </c>
      <c r="J1865" s="6">
        <v>0</v>
      </c>
      <c r="K1865" s="6">
        <v>0</v>
      </c>
      <c r="L1865" s="6">
        <v>1559.1410000000001</v>
      </c>
      <c r="M1865" s="6">
        <v>1559.1410000000001</v>
      </c>
      <c r="N1865" s="6">
        <v>1559.1410000000001</v>
      </c>
      <c r="O1865" s="6">
        <v>1559.1410000000001</v>
      </c>
      <c r="P1865" s="6">
        <v>3222</v>
      </c>
      <c r="Q1865" s="4" t="s">
        <v>26</v>
      </c>
      <c r="R1865" s="4">
        <v>0</v>
      </c>
      <c r="S1865" s="4" t="s">
        <v>657</v>
      </c>
      <c r="T1865" s="4" t="s">
        <v>921</v>
      </c>
      <c r="U1865" s="4">
        <v>0</v>
      </c>
      <c r="V1865" s="4">
        <v>69</v>
      </c>
      <c r="W1865" s="4">
        <v>112</v>
      </c>
    </row>
    <row r="1866" spans="1:23" ht="11.25" customHeight="1" x14ac:dyDescent="0.25">
      <c r="A1866" s="4" t="s">
        <v>28</v>
      </c>
      <c r="B1866" s="4" t="s">
        <v>37</v>
      </c>
      <c r="C1866" s="4" t="s">
        <v>23</v>
      </c>
      <c r="D1866" s="4" t="s">
        <v>43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5">
        <v>44562</v>
      </c>
      <c r="J1866" s="6">
        <v>0</v>
      </c>
      <c r="K1866" s="6">
        <v>0</v>
      </c>
      <c r="L1866" s="6">
        <v>-2.63</v>
      </c>
      <c r="M1866" s="6">
        <v>-2.63</v>
      </c>
      <c r="N1866" s="6">
        <v>-2.63</v>
      </c>
      <c r="O1866" s="6">
        <v>-2.63</v>
      </c>
      <c r="P1866" s="6">
        <v>-1</v>
      </c>
      <c r="Q1866" s="4" t="s">
        <v>26</v>
      </c>
      <c r="R1866" s="4">
        <v>0</v>
      </c>
      <c r="S1866" s="4" t="s">
        <v>657</v>
      </c>
      <c r="T1866" s="4" t="s">
        <v>921</v>
      </c>
      <c r="U1866" s="4">
        <v>0</v>
      </c>
      <c r="V1866" s="4">
        <v>69</v>
      </c>
      <c r="W1866" s="4">
        <v>112</v>
      </c>
    </row>
    <row r="1867" spans="1:23" ht="11.25" customHeight="1" x14ac:dyDescent="0.25">
      <c r="A1867" s="4" t="s">
        <v>21</v>
      </c>
      <c r="B1867" s="4" t="s">
        <v>37</v>
      </c>
      <c r="C1867" s="4" t="s">
        <v>23</v>
      </c>
      <c r="D1867" s="4" t="s">
        <v>43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5">
        <v>44593</v>
      </c>
      <c r="J1867" s="6">
        <v>0</v>
      </c>
      <c r="K1867" s="6">
        <v>0</v>
      </c>
      <c r="L1867" s="6">
        <v>11536.987999999999</v>
      </c>
      <c r="M1867" s="6">
        <v>11536.987999999999</v>
      </c>
      <c r="N1867" s="6">
        <v>11536.987999999999</v>
      </c>
      <c r="O1867" s="6">
        <v>11536.987999999999</v>
      </c>
      <c r="P1867" s="6">
        <v>31969</v>
      </c>
      <c r="Q1867" s="4" t="s">
        <v>26</v>
      </c>
      <c r="R1867" s="4">
        <v>0</v>
      </c>
      <c r="S1867" s="4" t="s">
        <v>658</v>
      </c>
      <c r="T1867" s="4" t="s">
        <v>922</v>
      </c>
      <c r="U1867" s="4">
        <v>0</v>
      </c>
      <c r="V1867" s="4">
        <v>69</v>
      </c>
      <c r="W1867" s="4">
        <v>112</v>
      </c>
    </row>
    <row r="1868" spans="1:23" ht="11.25" customHeight="1" x14ac:dyDescent="0.25">
      <c r="A1868" s="4" t="s">
        <v>27</v>
      </c>
      <c r="B1868" s="4" t="s">
        <v>37</v>
      </c>
      <c r="C1868" s="4" t="s">
        <v>23</v>
      </c>
      <c r="D1868" s="4" t="s">
        <v>43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5">
        <v>44593</v>
      </c>
      <c r="J1868" s="6">
        <v>0</v>
      </c>
      <c r="K1868" s="6">
        <v>0</v>
      </c>
      <c r="L1868" s="6">
        <v>-1.966</v>
      </c>
      <c r="M1868" s="6">
        <v>-1.966</v>
      </c>
      <c r="N1868" s="6">
        <v>-1.966</v>
      </c>
      <c r="O1868" s="6">
        <v>-1.966</v>
      </c>
      <c r="P1868" s="6">
        <v>-3</v>
      </c>
      <c r="Q1868" s="4" t="s">
        <v>26</v>
      </c>
      <c r="R1868" s="4">
        <v>0</v>
      </c>
      <c r="S1868" s="4" t="s">
        <v>658</v>
      </c>
      <c r="T1868" s="4" t="s">
        <v>922</v>
      </c>
      <c r="U1868" s="4">
        <v>0</v>
      </c>
      <c r="V1868" s="4">
        <v>69</v>
      </c>
      <c r="W1868" s="4">
        <v>112</v>
      </c>
    </row>
    <row r="1869" spans="1:23" ht="11.25" customHeight="1" x14ac:dyDescent="0.25">
      <c r="A1869" s="4" t="s">
        <v>28</v>
      </c>
      <c r="B1869" s="4" t="s">
        <v>37</v>
      </c>
      <c r="C1869" s="4" t="s">
        <v>23</v>
      </c>
      <c r="D1869" s="4" t="s">
        <v>43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5">
        <v>44593</v>
      </c>
      <c r="J1869" s="6">
        <v>0</v>
      </c>
      <c r="K1869" s="6">
        <v>0</v>
      </c>
      <c r="L1869" s="6">
        <v>1551.191</v>
      </c>
      <c r="M1869" s="6">
        <v>1551.191</v>
      </c>
      <c r="N1869" s="6">
        <v>1551.191</v>
      </c>
      <c r="O1869" s="6">
        <v>1551.191</v>
      </c>
      <c r="P1869" s="6">
        <v>3367</v>
      </c>
      <c r="Q1869" s="4" t="s">
        <v>26</v>
      </c>
      <c r="R1869" s="4">
        <v>0</v>
      </c>
      <c r="S1869" s="4" t="s">
        <v>658</v>
      </c>
      <c r="T1869" s="4" t="s">
        <v>922</v>
      </c>
      <c r="U1869" s="4">
        <v>0</v>
      </c>
      <c r="V1869" s="4">
        <v>69</v>
      </c>
      <c r="W1869" s="4">
        <v>112</v>
      </c>
    </row>
    <row r="1870" spans="1:23" ht="11.25" customHeight="1" x14ac:dyDescent="0.25">
      <c r="A1870" s="4" t="s">
        <v>28</v>
      </c>
      <c r="B1870" s="4" t="s">
        <v>37</v>
      </c>
      <c r="C1870" s="4" t="s">
        <v>23</v>
      </c>
      <c r="D1870" s="4" t="s">
        <v>43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5">
        <v>44593</v>
      </c>
      <c r="J1870" s="6">
        <v>0</v>
      </c>
      <c r="K1870" s="6">
        <v>0</v>
      </c>
      <c r="L1870" s="6">
        <v>-9.5510000000000002</v>
      </c>
      <c r="M1870" s="6">
        <v>-9.5510000000000002</v>
      </c>
      <c r="N1870" s="6">
        <v>-9.5510000000000002</v>
      </c>
      <c r="O1870" s="6">
        <v>-9.5510000000000002</v>
      </c>
      <c r="P1870" s="6">
        <v>0</v>
      </c>
      <c r="Q1870" s="4" t="s">
        <v>26</v>
      </c>
      <c r="R1870" s="4">
        <v>0</v>
      </c>
      <c r="S1870" s="4" t="s">
        <v>658</v>
      </c>
      <c r="T1870" s="4" t="s">
        <v>922</v>
      </c>
      <c r="U1870" s="4">
        <v>0</v>
      </c>
      <c r="V1870" s="4">
        <v>69</v>
      </c>
      <c r="W1870" s="4">
        <v>112</v>
      </c>
    </row>
    <row r="1871" spans="1:23" ht="11.25" customHeight="1" x14ac:dyDescent="0.25">
      <c r="A1871" s="4" t="s">
        <v>21</v>
      </c>
      <c r="B1871" s="4" t="s">
        <v>37</v>
      </c>
      <c r="C1871" s="4" t="s">
        <v>23</v>
      </c>
      <c r="D1871" s="4" t="s">
        <v>43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5">
        <v>44621</v>
      </c>
      <c r="J1871" s="6">
        <v>0</v>
      </c>
      <c r="K1871" s="6">
        <v>0</v>
      </c>
      <c r="L1871" s="6">
        <v>12511.235000000001</v>
      </c>
      <c r="M1871" s="6">
        <v>12511.235000000001</v>
      </c>
      <c r="N1871" s="6">
        <v>12511.235000000001</v>
      </c>
      <c r="O1871" s="6">
        <v>12511.235000000001</v>
      </c>
      <c r="P1871" s="6">
        <v>32001</v>
      </c>
      <c r="Q1871" s="4" t="s">
        <v>26</v>
      </c>
      <c r="R1871" s="4">
        <v>0</v>
      </c>
      <c r="S1871" s="4" t="s">
        <v>659</v>
      </c>
      <c r="T1871" s="4" t="s">
        <v>923</v>
      </c>
      <c r="U1871" s="4">
        <v>0</v>
      </c>
      <c r="V1871" s="4">
        <v>69</v>
      </c>
      <c r="W1871" s="4">
        <v>112</v>
      </c>
    </row>
    <row r="1872" spans="1:23" ht="11.25" customHeight="1" x14ac:dyDescent="0.25">
      <c r="A1872" s="4" t="s">
        <v>27</v>
      </c>
      <c r="B1872" s="4" t="s">
        <v>37</v>
      </c>
      <c r="C1872" s="4" t="s">
        <v>23</v>
      </c>
      <c r="D1872" s="4" t="s">
        <v>43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5">
        <v>44621</v>
      </c>
      <c r="J1872" s="6">
        <v>0</v>
      </c>
      <c r="K1872" s="6">
        <v>0</v>
      </c>
      <c r="L1872" s="6">
        <v>46.697000000000003</v>
      </c>
      <c r="M1872" s="6">
        <v>46.697000000000003</v>
      </c>
      <c r="N1872" s="6">
        <v>46.697000000000003</v>
      </c>
      <c r="O1872" s="6">
        <v>46.697000000000003</v>
      </c>
      <c r="P1872" s="6">
        <v>-9</v>
      </c>
      <c r="Q1872" s="4" t="s">
        <v>26</v>
      </c>
      <c r="R1872" s="4">
        <v>0</v>
      </c>
      <c r="S1872" s="4" t="s">
        <v>659</v>
      </c>
      <c r="T1872" s="4" t="s">
        <v>923</v>
      </c>
      <c r="U1872" s="4">
        <v>0</v>
      </c>
      <c r="V1872" s="4">
        <v>69</v>
      </c>
      <c r="W1872" s="4">
        <v>112</v>
      </c>
    </row>
    <row r="1873" spans="1:23" ht="11.25" customHeight="1" x14ac:dyDescent="0.25">
      <c r="A1873" s="4" t="s">
        <v>28</v>
      </c>
      <c r="B1873" s="4" t="s">
        <v>37</v>
      </c>
      <c r="C1873" s="4" t="s">
        <v>23</v>
      </c>
      <c r="D1873" s="4" t="s">
        <v>43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5">
        <v>44621</v>
      </c>
      <c r="J1873" s="6">
        <v>0</v>
      </c>
      <c r="K1873" s="6">
        <v>0</v>
      </c>
      <c r="L1873" s="6">
        <v>1782.893</v>
      </c>
      <c r="M1873" s="6">
        <v>1782.893</v>
      </c>
      <c r="N1873" s="6">
        <v>1782.893</v>
      </c>
      <c r="O1873" s="6">
        <v>1782.893</v>
      </c>
      <c r="P1873" s="6">
        <v>3521</v>
      </c>
      <c r="Q1873" s="4" t="s">
        <v>26</v>
      </c>
      <c r="R1873" s="4">
        <v>0</v>
      </c>
      <c r="S1873" s="4" t="s">
        <v>659</v>
      </c>
      <c r="T1873" s="4" t="s">
        <v>923</v>
      </c>
      <c r="U1873" s="4">
        <v>0</v>
      </c>
      <c r="V1873" s="4">
        <v>69</v>
      </c>
      <c r="W1873" s="4">
        <v>112</v>
      </c>
    </row>
    <row r="1874" spans="1:23" ht="11.25" customHeight="1" x14ac:dyDescent="0.25">
      <c r="A1874" s="4" t="s">
        <v>28</v>
      </c>
      <c r="B1874" s="4" t="s">
        <v>37</v>
      </c>
      <c r="C1874" s="4" t="s">
        <v>23</v>
      </c>
      <c r="D1874" s="4" t="s">
        <v>43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5">
        <v>44621</v>
      </c>
      <c r="J1874" s="6">
        <v>0</v>
      </c>
      <c r="K1874" s="6">
        <v>0</v>
      </c>
      <c r="L1874" s="6">
        <v>-0.41199999999999998</v>
      </c>
      <c r="M1874" s="6">
        <v>-0.41199999999999998</v>
      </c>
      <c r="N1874" s="6">
        <v>-0.41199999999999998</v>
      </c>
      <c r="O1874" s="6">
        <v>-0.41199999999999998</v>
      </c>
      <c r="P1874" s="6">
        <v>0</v>
      </c>
      <c r="Q1874" s="4" t="s">
        <v>26</v>
      </c>
      <c r="R1874" s="4">
        <v>0</v>
      </c>
      <c r="S1874" s="4" t="s">
        <v>659</v>
      </c>
      <c r="T1874" s="4" t="s">
        <v>923</v>
      </c>
      <c r="U1874" s="4">
        <v>0</v>
      </c>
      <c r="V1874" s="4">
        <v>69</v>
      </c>
      <c r="W1874" s="4">
        <v>112</v>
      </c>
    </row>
    <row r="1875" spans="1:23" ht="11.25" customHeight="1" x14ac:dyDescent="0.25">
      <c r="A1875" s="4" t="s">
        <v>21</v>
      </c>
      <c r="B1875" s="4" t="s">
        <v>37</v>
      </c>
      <c r="C1875" s="4" t="s">
        <v>23</v>
      </c>
      <c r="D1875" s="4" t="s">
        <v>43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5">
        <v>44652</v>
      </c>
      <c r="J1875" s="6">
        <v>0</v>
      </c>
      <c r="K1875" s="6">
        <v>0</v>
      </c>
      <c r="L1875" s="6">
        <v>12040.022000000001</v>
      </c>
      <c r="M1875" s="6">
        <v>12040.022000000001</v>
      </c>
      <c r="N1875" s="6">
        <v>12040.022000000001</v>
      </c>
      <c r="O1875" s="6">
        <v>12040.022000000001</v>
      </c>
      <c r="P1875" s="6">
        <v>31703</v>
      </c>
      <c r="Q1875" s="4" t="s">
        <v>26</v>
      </c>
      <c r="R1875" s="4">
        <v>0</v>
      </c>
      <c r="S1875" s="4" t="s">
        <v>660</v>
      </c>
      <c r="T1875" s="4" t="s">
        <v>924</v>
      </c>
      <c r="U1875" s="4">
        <v>0</v>
      </c>
      <c r="V1875" s="4">
        <v>69</v>
      </c>
      <c r="W1875" s="4">
        <v>112</v>
      </c>
    </row>
    <row r="1876" spans="1:23" ht="11.25" customHeight="1" x14ac:dyDescent="0.25">
      <c r="A1876" s="4" t="s">
        <v>27</v>
      </c>
      <c r="B1876" s="4" t="s">
        <v>37</v>
      </c>
      <c r="C1876" s="4" t="s">
        <v>23</v>
      </c>
      <c r="D1876" s="4" t="s">
        <v>43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5">
        <v>44652</v>
      </c>
      <c r="J1876" s="6">
        <v>0</v>
      </c>
      <c r="K1876" s="6">
        <v>0</v>
      </c>
      <c r="L1876" s="6">
        <v>-4.5970000000000004</v>
      </c>
      <c r="M1876" s="6">
        <v>-4.5970000000000004</v>
      </c>
      <c r="N1876" s="6">
        <v>-4.5970000000000004</v>
      </c>
      <c r="O1876" s="6">
        <v>-4.5970000000000004</v>
      </c>
      <c r="P1876" s="6">
        <v>-13</v>
      </c>
      <c r="Q1876" s="4" t="s">
        <v>26</v>
      </c>
      <c r="R1876" s="4">
        <v>0</v>
      </c>
      <c r="S1876" s="4" t="s">
        <v>660</v>
      </c>
      <c r="T1876" s="4" t="s">
        <v>924</v>
      </c>
      <c r="U1876" s="4">
        <v>0</v>
      </c>
      <c r="V1876" s="4">
        <v>69</v>
      </c>
      <c r="W1876" s="4">
        <v>112</v>
      </c>
    </row>
    <row r="1877" spans="1:23" ht="11.25" customHeight="1" x14ac:dyDescent="0.25">
      <c r="A1877" s="4" t="s">
        <v>28</v>
      </c>
      <c r="B1877" s="4" t="s">
        <v>37</v>
      </c>
      <c r="C1877" s="4" t="s">
        <v>23</v>
      </c>
      <c r="D1877" s="4" t="s">
        <v>43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5">
        <v>44652</v>
      </c>
      <c r="J1877" s="6">
        <v>0</v>
      </c>
      <c r="K1877" s="6">
        <v>0</v>
      </c>
      <c r="L1877" s="6">
        <v>1781.2650000000001</v>
      </c>
      <c r="M1877" s="6">
        <v>1781.2650000000001</v>
      </c>
      <c r="N1877" s="6">
        <v>1781.2650000000001</v>
      </c>
      <c r="O1877" s="6">
        <v>1781.2650000000001</v>
      </c>
      <c r="P1877" s="6">
        <v>3681</v>
      </c>
      <c r="Q1877" s="4" t="s">
        <v>26</v>
      </c>
      <c r="R1877" s="4">
        <v>0</v>
      </c>
      <c r="S1877" s="4" t="s">
        <v>660</v>
      </c>
      <c r="T1877" s="4" t="s">
        <v>924</v>
      </c>
      <c r="U1877" s="4">
        <v>0</v>
      </c>
      <c r="V1877" s="4">
        <v>69</v>
      </c>
      <c r="W1877" s="4">
        <v>112</v>
      </c>
    </row>
    <row r="1878" spans="1:23" ht="11.25" customHeight="1" x14ac:dyDescent="0.25">
      <c r="A1878" s="4" t="s">
        <v>28</v>
      </c>
      <c r="B1878" s="4" t="s">
        <v>37</v>
      </c>
      <c r="C1878" s="4" t="s">
        <v>23</v>
      </c>
      <c r="D1878" s="4" t="s">
        <v>43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5">
        <v>44652</v>
      </c>
      <c r="J1878" s="6">
        <v>0</v>
      </c>
      <c r="K1878" s="6">
        <v>0</v>
      </c>
      <c r="L1878" s="6">
        <v>-2.5099999999999998</v>
      </c>
      <c r="M1878" s="6">
        <v>-2.5099999999999998</v>
      </c>
      <c r="N1878" s="6">
        <v>-2.5099999999999998</v>
      </c>
      <c r="O1878" s="6">
        <v>-2.5099999999999998</v>
      </c>
      <c r="P1878" s="6">
        <v>0</v>
      </c>
      <c r="Q1878" s="4" t="s">
        <v>26</v>
      </c>
      <c r="R1878" s="4">
        <v>0</v>
      </c>
      <c r="S1878" s="4" t="s">
        <v>660</v>
      </c>
      <c r="T1878" s="4" t="s">
        <v>924</v>
      </c>
      <c r="U1878" s="4">
        <v>0</v>
      </c>
      <c r="V1878" s="4">
        <v>69</v>
      </c>
      <c r="W1878" s="4">
        <v>112</v>
      </c>
    </row>
    <row r="1879" spans="1:23" ht="11.25" customHeight="1" x14ac:dyDescent="0.25">
      <c r="A1879" s="4" t="s">
        <v>58</v>
      </c>
      <c r="B1879" s="4" t="s">
        <v>37</v>
      </c>
      <c r="C1879" s="4" t="s">
        <v>23</v>
      </c>
      <c r="D1879" s="4" t="s">
        <v>43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5">
        <v>44682</v>
      </c>
      <c r="J1879" s="6">
        <v>0</v>
      </c>
      <c r="K1879" s="6">
        <v>0</v>
      </c>
      <c r="L1879" s="6">
        <v>12040.022000000001</v>
      </c>
      <c r="M1879" s="6">
        <v>12040.022000000001</v>
      </c>
      <c r="N1879" s="6">
        <v>12040.022000000001</v>
      </c>
      <c r="O1879" s="6">
        <v>12040.022000000001</v>
      </c>
      <c r="P1879" s="6">
        <v>31703</v>
      </c>
      <c r="Q1879" s="4" t="s">
        <v>26</v>
      </c>
      <c r="R1879" s="4">
        <v>0</v>
      </c>
      <c r="S1879" s="4" t="s">
        <v>661</v>
      </c>
      <c r="T1879" s="4" t="s">
        <v>925</v>
      </c>
      <c r="U1879" s="4">
        <v>0</v>
      </c>
      <c r="V1879" s="4">
        <v>69</v>
      </c>
      <c r="W1879" s="4">
        <v>112</v>
      </c>
    </row>
    <row r="1880" spans="1:23" ht="11.25" customHeight="1" x14ac:dyDescent="0.25">
      <c r="A1880" s="4" t="s">
        <v>58</v>
      </c>
      <c r="B1880" s="4" t="s">
        <v>37</v>
      </c>
      <c r="C1880" s="4" t="s">
        <v>23</v>
      </c>
      <c r="D1880" s="4" t="s">
        <v>43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5">
        <v>44682</v>
      </c>
      <c r="J1880" s="6">
        <v>0</v>
      </c>
      <c r="K1880" s="6">
        <v>0</v>
      </c>
      <c r="L1880" s="6">
        <v>-4.5970000000000004</v>
      </c>
      <c r="M1880" s="6">
        <v>-4.5970000000000004</v>
      </c>
      <c r="N1880" s="6">
        <v>-4.5970000000000004</v>
      </c>
      <c r="O1880" s="6">
        <v>-4.5970000000000004</v>
      </c>
      <c r="P1880" s="6">
        <v>-13</v>
      </c>
      <c r="Q1880" s="4" t="s">
        <v>26</v>
      </c>
      <c r="R1880" s="4">
        <v>0</v>
      </c>
      <c r="S1880" s="4" t="s">
        <v>661</v>
      </c>
      <c r="T1880" s="4" t="s">
        <v>925</v>
      </c>
      <c r="U1880" s="4">
        <v>0</v>
      </c>
      <c r="V1880" s="4">
        <v>69</v>
      </c>
      <c r="W1880" s="4">
        <v>112</v>
      </c>
    </row>
    <row r="1881" spans="1:23" ht="11.25" customHeight="1" x14ac:dyDescent="0.25">
      <c r="A1881" s="4" t="s">
        <v>58</v>
      </c>
      <c r="B1881" s="4" t="s">
        <v>37</v>
      </c>
      <c r="C1881" s="4" t="s">
        <v>23</v>
      </c>
      <c r="D1881" s="4" t="s">
        <v>43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5">
        <v>44682</v>
      </c>
      <c r="J1881" s="6">
        <v>0</v>
      </c>
      <c r="K1881" s="6">
        <v>0</v>
      </c>
      <c r="L1881" s="6">
        <v>1781.2650000000001</v>
      </c>
      <c r="M1881" s="6">
        <v>1781.2650000000001</v>
      </c>
      <c r="N1881" s="6">
        <v>1781.2650000000001</v>
      </c>
      <c r="O1881" s="6">
        <v>1781.2650000000001</v>
      </c>
      <c r="P1881" s="6">
        <v>3681</v>
      </c>
      <c r="Q1881" s="4" t="s">
        <v>26</v>
      </c>
      <c r="R1881" s="4">
        <v>0</v>
      </c>
      <c r="S1881" s="4" t="s">
        <v>661</v>
      </c>
      <c r="T1881" s="4" t="s">
        <v>925</v>
      </c>
      <c r="U1881" s="4">
        <v>0</v>
      </c>
      <c r="V1881" s="4">
        <v>69</v>
      </c>
      <c r="W1881" s="4">
        <v>112</v>
      </c>
    </row>
    <row r="1882" spans="1:23" ht="11.25" customHeight="1" x14ac:dyDescent="0.25">
      <c r="A1882" s="4" t="s">
        <v>58</v>
      </c>
      <c r="B1882" s="4" t="s">
        <v>37</v>
      </c>
      <c r="C1882" s="4" t="s">
        <v>23</v>
      </c>
      <c r="D1882" s="4" t="s">
        <v>43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5">
        <v>44682</v>
      </c>
      <c r="J1882" s="6">
        <v>0</v>
      </c>
      <c r="K1882" s="6">
        <v>0</v>
      </c>
      <c r="L1882" s="6">
        <v>-2.5099999999999998</v>
      </c>
      <c r="M1882" s="6">
        <v>-2.5099999999999998</v>
      </c>
      <c r="N1882" s="6">
        <v>-2.5099999999999998</v>
      </c>
      <c r="O1882" s="6">
        <v>-2.5099999999999998</v>
      </c>
      <c r="P1882" s="6">
        <v>0</v>
      </c>
      <c r="Q1882" s="4" t="s">
        <v>26</v>
      </c>
      <c r="R1882" s="4">
        <v>0</v>
      </c>
      <c r="S1882" s="4" t="s">
        <v>661</v>
      </c>
      <c r="T1882" s="4" t="s">
        <v>925</v>
      </c>
      <c r="U1882" s="4">
        <v>0</v>
      </c>
      <c r="V1882" s="4">
        <v>69</v>
      </c>
      <c r="W1882" s="4">
        <v>112</v>
      </c>
    </row>
    <row r="1883" spans="1:23" ht="11.25" customHeight="1" x14ac:dyDescent="0.25">
      <c r="A1883" s="4" t="s">
        <v>21</v>
      </c>
      <c r="B1883" s="4" t="s">
        <v>37</v>
      </c>
      <c r="C1883" s="4" t="s">
        <v>23</v>
      </c>
      <c r="D1883" s="4" t="s">
        <v>53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5">
        <v>44348</v>
      </c>
      <c r="J1883" s="6">
        <v>0</v>
      </c>
      <c r="K1883" s="6">
        <v>0</v>
      </c>
      <c r="L1883" s="6">
        <v>145.48500000000001</v>
      </c>
      <c r="M1883" s="6">
        <v>145.48500000000001</v>
      </c>
      <c r="N1883" s="6">
        <v>145.48500000000001</v>
      </c>
      <c r="O1883" s="6">
        <v>145.48500000000001</v>
      </c>
      <c r="P1883" s="6">
        <v>142</v>
      </c>
      <c r="Q1883" s="4" t="s">
        <v>26</v>
      </c>
      <c r="R1883" s="4">
        <v>0</v>
      </c>
      <c r="S1883" s="4" t="s">
        <v>650</v>
      </c>
      <c r="T1883" s="4" t="s">
        <v>914</v>
      </c>
      <c r="U1883" s="4">
        <v>0</v>
      </c>
      <c r="V1883" s="4">
        <v>69</v>
      </c>
      <c r="W1883" s="4">
        <v>112</v>
      </c>
    </row>
    <row r="1884" spans="1:23" ht="11.25" customHeight="1" x14ac:dyDescent="0.25">
      <c r="A1884" s="4" t="s">
        <v>28</v>
      </c>
      <c r="B1884" s="4" t="s">
        <v>37</v>
      </c>
      <c r="C1884" s="4" t="s">
        <v>23</v>
      </c>
      <c r="D1884" s="4" t="s">
        <v>53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5">
        <v>44348</v>
      </c>
      <c r="J1884" s="6">
        <v>0</v>
      </c>
      <c r="K1884" s="6">
        <v>0</v>
      </c>
      <c r="L1884" s="6">
        <v>1.6970000000000001</v>
      </c>
      <c r="M1884" s="6">
        <v>1.6970000000000001</v>
      </c>
      <c r="N1884" s="6">
        <v>1.6970000000000001</v>
      </c>
      <c r="O1884" s="6">
        <v>1.6970000000000001</v>
      </c>
      <c r="P1884" s="6">
        <v>1</v>
      </c>
      <c r="Q1884" s="4" t="s">
        <v>26</v>
      </c>
      <c r="R1884" s="4">
        <v>0</v>
      </c>
      <c r="S1884" s="4" t="s">
        <v>650</v>
      </c>
      <c r="T1884" s="4" t="s">
        <v>914</v>
      </c>
      <c r="U1884" s="4">
        <v>0</v>
      </c>
      <c r="V1884" s="4">
        <v>69</v>
      </c>
      <c r="W1884" s="4">
        <v>112</v>
      </c>
    </row>
    <row r="1885" spans="1:23" ht="11.25" customHeight="1" x14ac:dyDescent="0.25">
      <c r="A1885" s="4" t="s">
        <v>21</v>
      </c>
      <c r="B1885" s="4" t="s">
        <v>37</v>
      </c>
      <c r="C1885" s="4" t="s">
        <v>23</v>
      </c>
      <c r="D1885" s="4" t="s">
        <v>53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5">
        <v>44378</v>
      </c>
      <c r="J1885" s="6">
        <v>0</v>
      </c>
      <c r="K1885" s="6">
        <v>0</v>
      </c>
      <c r="L1885" s="6">
        <v>129.00700000000001</v>
      </c>
      <c r="M1885" s="6">
        <v>129.00700000000001</v>
      </c>
      <c r="N1885" s="6">
        <v>129.00700000000001</v>
      </c>
      <c r="O1885" s="6">
        <v>129.00700000000001</v>
      </c>
      <c r="P1885" s="6">
        <v>142</v>
      </c>
      <c r="Q1885" s="4" t="s">
        <v>26</v>
      </c>
      <c r="R1885" s="4">
        <v>0</v>
      </c>
      <c r="S1885" s="4" t="s">
        <v>651</v>
      </c>
      <c r="T1885" s="4" t="s">
        <v>915</v>
      </c>
      <c r="U1885" s="4">
        <v>0</v>
      </c>
      <c r="V1885" s="4">
        <v>69</v>
      </c>
      <c r="W1885" s="4">
        <v>112</v>
      </c>
    </row>
    <row r="1886" spans="1:23" ht="11.25" customHeight="1" x14ac:dyDescent="0.25">
      <c r="A1886" s="4" t="s">
        <v>28</v>
      </c>
      <c r="B1886" s="4" t="s">
        <v>37</v>
      </c>
      <c r="C1886" s="4" t="s">
        <v>23</v>
      </c>
      <c r="D1886" s="4" t="s">
        <v>53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5">
        <v>44378</v>
      </c>
      <c r="J1886" s="6">
        <v>0</v>
      </c>
      <c r="K1886" s="6">
        <v>0</v>
      </c>
      <c r="L1886" s="6">
        <v>0.94699999999999995</v>
      </c>
      <c r="M1886" s="6">
        <v>0.94699999999999995</v>
      </c>
      <c r="N1886" s="6">
        <v>0.94699999999999995</v>
      </c>
      <c r="O1886" s="6">
        <v>0.94699999999999995</v>
      </c>
      <c r="P1886" s="6">
        <v>1</v>
      </c>
      <c r="Q1886" s="4" t="s">
        <v>26</v>
      </c>
      <c r="R1886" s="4">
        <v>0</v>
      </c>
      <c r="S1886" s="4" t="s">
        <v>651</v>
      </c>
      <c r="T1886" s="4" t="s">
        <v>915</v>
      </c>
      <c r="U1886" s="4">
        <v>0</v>
      </c>
      <c r="V1886" s="4">
        <v>69</v>
      </c>
      <c r="W1886" s="4">
        <v>112</v>
      </c>
    </row>
    <row r="1887" spans="1:23" ht="11.25" customHeight="1" x14ac:dyDescent="0.25">
      <c r="A1887" s="4" t="s">
        <v>21</v>
      </c>
      <c r="B1887" s="4" t="s">
        <v>37</v>
      </c>
      <c r="C1887" s="4" t="s">
        <v>23</v>
      </c>
      <c r="D1887" s="4" t="s">
        <v>53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5">
        <v>44409</v>
      </c>
      <c r="J1887" s="6">
        <v>0</v>
      </c>
      <c r="K1887" s="6">
        <v>0</v>
      </c>
      <c r="L1887" s="6">
        <v>140.61699999999999</v>
      </c>
      <c r="M1887" s="6">
        <v>140.61699999999999</v>
      </c>
      <c r="N1887" s="6">
        <v>140.61699999999999</v>
      </c>
      <c r="O1887" s="6">
        <v>140.61699999999999</v>
      </c>
      <c r="P1887" s="6">
        <v>144</v>
      </c>
      <c r="Q1887" s="4" t="s">
        <v>26</v>
      </c>
      <c r="R1887" s="4">
        <v>0</v>
      </c>
      <c r="S1887" s="4" t="s">
        <v>652</v>
      </c>
      <c r="T1887" s="4" t="s">
        <v>916</v>
      </c>
      <c r="U1887" s="4">
        <v>0</v>
      </c>
      <c r="V1887" s="4">
        <v>69</v>
      </c>
      <c r="W1887" s="4">
        <v>112</v>
      </c>
    </row>
    <row r="1888" spans="1:23" ht="11.25" customHeight="1" x14ac:dyDescent="0.25">
      <c r="A1888" s="4" t="s">
        <v>28</v>
      </c>
      <c r="B1888" s="4" t="s">
        <v>37</v>
      </c>
      <c r="C1888" s="4" t="s">
        <v>23</v>
      </c>
      <c r="D1888" s="4" t="s">
        <v>53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5">
        <v>44409</v>
      </c>
      <c r="J1888" s="6">
        <v>0</v>
      </c>
      <c r="K1888" s="6">
        <v>0</v>
      </c>
      <c r="L1888" s="6">
        <v>1.794</v>
      </c>
      <c r="M1888" s="6">
        <v>1.794</v>
      </c>
      <c r="N1888" s="6">
        <v>1.794</v>
      </c>
      <c r="O1888" s="6">
        <v>1.794</v>
      </c>
      <c r="P1888" s="6">
        <v>1</v>
      </c>
      <c r="Q1888" s="4" t="s">
        <v>26</v>
      </c>
      <c r="R1888" s="4">
        <v>0</v>
      </c>
      <c r="S1888" s="4" t="s">
        <v>652</v>
      </c>
      <c r="T1888" s="4" t="s">
        <v>916</v>
      </c>
      <c r="U1888" s="4">
        <v>0</v>
      </c>
      <c r="V1888" s="4">
        <v>69</v>
      </c>
      <c r="W1888" s="4">
        <v>112</v>
      </c>
    </row>
    <row r="1889" spans="1:23" ht="11.25" customHeight="1" x14ac:dyDescent="0.25">
      <c r="A1889" s="4" t="s">
        <v>21</v>
      </c>
      <c r="B1889" s="4" t="s">
        <v>37</v>
      </c>
      <c r="C1889" s="4" t="s">
        <v>23</v>
      </c>
      <c r="D1889" s="4" t="s">
        <v>53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5">
        <v>44440</v>
      </c>
      <c r="J1889" s="6">
        <v>0</v>
      </c>
      <c r="K1889" s="6">
        <v>0</v>
      </c>
      <c r="L1889" s="6">
        <v>166.33799999999999</v>
      </c>
      <c r="M1889" s="6">
        <v>166.33799999999999</v>
      </c>
      <c r="N1889" s="6">
        <v>166.33799999999999</v>
      </c>
      <c r="O1889" s="6">
        <v>166.33799999999999</v>
      </c>
      <c r="P1889" s="6">
        <v>143</v>
      </c>
      <c r="Q1889" s="4" t="s">
        <v>26</v>
      </c>
      <c r="R1889" s="4">
        <v>0</v>
      </c>
      <c r="S1889" s="4" t="s">
        <v>653</v>
      </c>
      <c r="T1889" s="4" t="s">
        <v>917</v>
      </c>
      <c r="U1889" s="4">
        <v>0</v>
      </c>
      <c r="V1889" s="4">
        <v>69</v>
      </c>
      <c r="W1889" s="4">
        <v>112</v>
      </c>
    </row>
    <row r="1890" spans="1:23" ht="11.25" customHeight="1" x14ac:dyDescent="0.25">
      <c r="A1890" s="4" t="s">
        <v>28</v>
      </c>
      <c r="B1890" s="4" t="s">
        <v>37</v>
      </c>
      <c r="C1890" s="4" t="s">
        <v>23</v>
      </c>
      <c r="D1890" s="4" t="s">
        <v>53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5">
        <v>44440</v>
      </c>
      <c r="J1890" s="6">
        <v>0</v>
      </c>
      <c r="K1890" s="6">
        <v>0</v>
      </c>
      <c r="L1890" s="6">
        <v>0.51700000000000002</v>
      </c>
      <c r="M1890" s="6">
        <v>0.51700000000000002</v>
      </c>
      <c r="N1890" s="6">
        <v>0.51700000000000002</v>
      </c>
      <c r="O1890" s="6">
        <v>0.51700000000000002</v>
      </c>
      <c r="P1890" s="6">
        <v>1</v>
      </c>
      <c r="Q1890" s="4" t="s">
        <v>26</v>
      </c>
      <c r="R1890" s="4">
        <v>0</v>
      </c>
      <c r="S1890" s="4" t="s">
        <v>653</v>
      </c>
      <c r="T1890" s="4" t="s">
        <v>917</v>
      </c>
      <c r="U1890" s="4">
        <v>0</v>
      </c>
      <c r="V1890" s="4">
        <v>69</v>
      </c>
      <c r="W1890" s="4">
        <v>112</v>
      </c>
    </row>
    <row r="1891" spans="1:23" ht="11.25" customHeight="1" x14ac:dyDescent="0.25">
      <c r="A1891" s="4" t="s">
        <v>21</v>
      </c>
      <c r="B1891" s="4" t="s">
        <v>37</v>
      </c>
      <c r="C1891" s="4" t="s">
        <v>23</v>
      </c>
      <c r="D1891" s="4" t="s">
        <v>53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5">
        <v>44470</v>
      </c>
      <c r="J1891" s="6">
        <v>0</v>
      </c>
      <c r="K1891" s="6">
        <v>0</v>
      </c>
      <c r="L1891" s="6">
        <v>152.26499999999999</v>
      </c>
      <c r="M1891" s="6">
        <v>152.26499999999999</v>
      </c>
      <c r="N1891" s="6">
        <v>152.26499999999999</v>
      </c>
      <c r="O1891" s="6">
        <v>152.26499999999999</v>
      </c>
      <c r="P1891" s="6">
        <v>142</v>
      </c>
      <c r="Q1891" s="4" t="s">
        <v>26</v>
      </c>
      <c r="R1891" s="4">
        <v>0</v>
      </c>
      <c r="S1891" s="4" t="s">
        <v>654</v>
      </c>
      <c r="T1891" s="4" t="s">
        <v>918</v>
      </c>
      <c r="U1891" s="4">
        <v>0</v>
      </c>
      <c r="V1891" s="4">
        <v>69</v>
      </c>
      <c r="W1891" s="4">
        <v>112</v>
      </c>
    </row>
    <row r="1892" spans="1:23" ht="11.25" customHeight="1" x14ac:dyDescent="0.25">
      <c r="A1892" s="4" t="s">
        <v>28</v>
      </c>
      <c r="B1892" s="4" t="s">
        <v>37</v>
      </c>
      <c r="C1892" s="4" t="s">
        <v>23</v>
      </c>
      <c r="D1892" s="4" t="s">
        <v>53</v>
      </c>
      <c r="E1892" s="4" t="s">
        <v>25</v>
      </c>
      <c r="F1892" s="4" t="s">
        <v>25</v>
      </c>
      <c r="G1892" s="4" t="s">
        <v>25</v>
      </c>
      <c r="H1892" s="4" t="s">
        <v>25</v>
      </c>
      <c r="I1892" s="5">
        <v>44470</v>
      </c>
      <c r="J1892" s="6">
        <v>0</v>
      </c>
      <c r="K1892" s="6">
        <v>0</v>
      </c>
      <c r="L1892" s="6">
        <v>1.821</v>
      </c>
      <c r="M1892" s="6">
        <v>1.821</v>
      </c>
      <c r="N1892" s="6">
        <v>1.821</v>
      </c>
      <c r="O1892" s="6">
        <v>1.821</v>
      </c>
      <c r="P1892" s="6">
        <v>1</v>
      </c>
      <c r="Q1892" s="4" t="s">
        <v>26</v>
      </c>
      <c r="R1892" s="4">
        <v>0</v>
      </c>
      <c r="S1892" s="4" t="s">
        <v>654</v>
      </c>
      <c r="T1892" s="4" t="s">
        <v>918</v>
      </c>
      <c r="U1892" s="4">
        <v>0</v>
      </c>
      <c r="V1892" s="4">
        <v>69</v>
      </c>
      <c r="W1892" s="4">
        <v>112</v>
      </c>
    </row>
    <row r="1893" spans="1:23" ht="11.25" customHeight="1" x14ac:dyDescent="0.25">
      <c r="A1893" s="4" t="s">
        <v>21</v>
      </c>
      <c r="B1893" s="4" t="s">
        <v>37</v>
      </c>
      <c r="C1893" s="4" t="s">
        <v>23</v>
      </c>
      <c r="D1893" s="4" t="s">
        <v>53</v>
      </c>
      <c r="E1893" s="4" t="s">
        <v>25</v>
      </c>
      <c r="F1893" s="4" t="s">
        <v>25</v>
      </c>
      <c r="G1893" s="4" t="s">
        <v>25</v>
      </c>
      <c r="H1893" s="4" t="s">
        <v>25</v>
      </c>
      <c r="I1893" s="5">
        <v>44501</v>
      </c>
      <c r="J1893" s="6">
        <v>0</v>
      </c>
      <c r="K1893" s="6">
        <v>0</v>
      </c>
      <c r="L1893" s="6">
        <v>153.399</v>
      </c>
      <c r="M1893" s="6">
        <v>153.399</v>
      </c>
      <c r="N1893" s="6">
        <v>153.399</v>
      </c>
      <c r="O1893" s="6">
        <v>153.399</v>
      </c>
      <c r="P1893" s="6">
        <v>142</v>
      </c>
      <c r="Q1893" s="4" t="s">
        <v>26</v>
      </c>
      <c r="R1893" s="4">
        <v>0</v>
      </c>
      <c r="S1893" s="4" t="s">
        <v>655</v>
      </c>
      <c r="T1893" s="4" t="s">
        <v>919</v>
      </c>
      <c r="U1893" s="4">
        <v>0</v>
      </c>
      <c r="V1893" s="4">
        <v>69</v>
      </c>
      <c r="W1893" s="4">
        <v>112</v>
      </c>
    </row>
    <row r="1894" spans="1:23" ht="11.25" customHeight="1" x14ac:dyDescent="0.25">
      <c r="A1894" s="4" t="s">
        <v>28</v>
      </c>
      <c r="B1894" s="4" t="s">
        <v>37</v>
      </c>
      <c r="C1894" s="4" t="s">
        <v>23</v>
      </c>
      <c r="D1894" s="4" t="s">
        <v>53</v>
      </c>
      <c r="E1894" s="4" t="s">
        <v>25</v>
      </c>
      <c r="F1894" s="4" t="s">
        <v>25</v>
      </c>
      <c r="G1894" s="4" t="s">
        <v>25</v>
      </c>
      <c r="H1894" s="4" t="s">
        <v>25</v>
      </c>
      <c r="I1894" s="5">
        <v>44501</v>
      </c>
      <c r="J1894" s="6">
        <v>0</v>
      </c>
      <c r="K1894" s="6">
        <v>0</v>
      </c>
      <c r="L1894" s="6">
        <v>1.202</v>
      </c>
      <c r="M1894" s="6">
        <v>1.202</v>
      </c>
      <c r="N1894" s="6">
        <v>1.202</v>
      </c>
      <c r="O1894" s="6">
        <v>1.202</v>
      </c>
      <c r="P1894" s="6">
        <v>1</v>
      </c>
      <c r="Q1894" s="4" t="s">
        <v>26</v>
      </c>
      <c r="R1894" s="4">
        <v>0</v>
      </c>
      <c r="S1894" s="4" t="s">
        <v>655</v>
      </c>
      <c r="T1894" s="4" t="s">
        <v>919</v>
      </c>
      <c r="U1894" s="4">
        <v>0</v>
      </c>
      <c r="V1894" s="4">
        <v>69</v>
      </c>
      <c r="W1894" s="4">
        <v>112</v>
      </c>
    </row>
    <row r="1895" spans="1:23" ht="11.25" customHeight="1" x14ac:dyDescent="0.25">
      <c r="A1895" s="4" t="s">
        <v>21</v>
      </c>
      <c r="B1895" s="4" t="s">
        <v>37</v>
      </c>
      <c r="C1895" s="4" t="s">
        <v>23</v>
      </c>
      <c r="D1895" s="4" t="s">
        <v>53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5">
        <v>44531</v>
      </c>
      <c r="J1895" s="6">
        <v>0</v>
      </c>
      <c r="K1895" s="6">
        <v>0</v>
      </c>
      <c r="L1895" s="6">
        <v>160.524</v>
      </c>
      <c r="M1895" s="6">
        <v>160.524</v>
      </c>
      <c r="N1895" s="6">
        <v>160.524</v>
      </c>
      <c r="O1895" s="6">
        <v>160.524</v>
      </c>
      <c r="P1895" s="6">
        <v>145</v>
      </c>
      <c r="Q1895" s="4" t="s">
        <v>26</v>
      </c>
      <c r="R1895" s="4">
        <v>0</v>
      </c>
      <c r="S1895" s="4" t="s">
        <v>656</v>
      </c>
      <c r="T1895" s="4" t="s">
        <v>920</v>
      </c>
      <c r="U1895" s="4">
        <v>0</v>
      </c>
      <c r="V1895" s="4">
        <v>69</v>
      </c>
      <c r="W1895" s="4">
        <v>112</v>
      </c>
    </row>
    <row r="1896" spans="1:23" ht="11.25" customHeight="1" x14ac:dyDescent="0.25">
      <c r="A1896" s="4" t="s">
        <v>27</v>
      </c>
      <c r="B1896" s="4" t="s">
        <v>37</v>
      </c>
      <c r="C1896" s="4" t="s">
        <v>23</v>
      </c>
      <c r="D1896" s="4" t="s">
        <v>53</v>
      </c>
      <c r="E1896" s="4" t="s">
        <v>25</v>
      </c>
      <c r="F1896" s="4" t="s">
        <v>25</v>
      </c>
      <c r="G1896" s="4" t="s">
        <v>25</v>
      </c>
      <c r="H1896" s="4" t="s">
        <v>25</v>
      </c>
      <c r="I1896" s="5">
        <v>44531</v>
      </c>
      <c r="J1896" s="6">
        <v>0</v>
      </c>
      <c r="K1896" s="6">
        <v>0</v>
      </c>
      <c r="L1896" s="6">
        <v>0.253</v>
      </c>
      <c r="M1896" s="6">
        <v>0.253</v>
      </c>
      <c r="N1896" s="6">
        <v>0.253</v>
      </c>
      <c r="O1896" s="6">
        <v>0.253</v>
      </c>
      <c r="P1896" s="6">
        <v>2</v>
      </c>
      <c r="Q1896" s="4" t="s">
        <v>26</v>
      </c>
      <c r="R1896" s="4">
        <v>0</v>
      </c>
      <c r="S1896" s="4" t="s">
        <v>656</v>
      </c>
      <c r="T1896" s="4" t="s">
        <v>920</v>
      </c>
      <c r="U1896" s="4">
        <v>0</v>
      </c>
      <c r="V1896" s="4">
        <v>69</v>
      </c>
      <c r="W1896" s="4">
        <v>112</v>
      </c>
    </row>
    <row r="1897" spans="1:23" ht="11.25" customHeight="1" x14ac:dyDescent="0.25">
      <c r="A1897" s="4" t="s">
        <v>28</v>
      </c>
      <c r="B1897" s="4" t="s">
        <v>37</v>
      </c>
      <c r="C1897" s="4" t="s">
        <v>23</v>
      </c>
      <c r="D1897" s="4" t="s">
        <v>53</v>
      </c>
      <c r="E1897" s="4" t="s">
        <v>25</v>
      </c>
      <c r="F1897" s="4" t="s">
        <v>25</v>
      </c>
      <c r="G1897" s="4" t="s">
        <v>25</v>
      </c>
      <c r="H1897" s="4" t="s">
        <v>25</v>
      </c>
      <c r="I1897" s="5">
        <v>44531</v>
      </c>
      <c r="J1897" s="6">
        <v>0</v>
      </c>
      <c r="K1897" s="6">
        <v>0</v>
      </c>
      <c r="L1897" s="6">
        <v>1.752</v>
      </c>
      <c r="M1897" s="6">
        <v>1.752</v>
      </c>
      <c r="N1897" s="6">
        <v>1.752</v>
      </c>
      <c r="O1897" s="6">
        <v>1.752</v>
      </c>
      <c r="P1897" s="6">
        <v>1</v>
      </c>
      <c r="Q1897" s="4" t="s">
        <v>26</v>
      </c>
      <c r="R1897" s="4">
        <v>0</v>
      </c>
      <c r="S1897" s="4" t="s">
        <v>656</v>
      </c>
      <c r="T1897" s="4" t="s">
        <v>920</v>
      </c>
      <c r="U1897" s="4">
        <v>0</v>
      </c>
      <c r="V1897" s="4">
        <v>69</v>
      </c>
      <c r="W1897" s="4">
        <v>112</v>
      </c>
    </row>
    <row r="1898" spans="1:23" ht="11.25" customHeight="1" x14ac:dyDescent="0.25">
      <c r="A1898" s="4" t="s">
        <v>21</v>
      </c>
      <c r="B1898" s="4" t="s">
        <v>37</v>
      </c>
      <c r="C1898" s="4" t="s">
        <v>23</v>
      </c>
      <c r="D1898" s="4" t="s">
        <v>53</v>
      </c>
      <c r="E1898" s="4" t="s">
        <v>25</v>
      </c>
      <c r="F1898" s="4" t="s">
        <v>25</v>
      </c>
      <c r="G1898" s="4" t="s">
        <v>25</v>
      </c>
      <c r="H1898" s="4" t="s">
        <v>25</v>
      </c>
      <c r="I1898" s="5">
        <v>44562</v>
      </c>
      <c r="J1898" s="6">
        <v>0</v>
      </c>
      <c r="K1898" s="6">
        <v>0</v>
      </c>
      <c r="L1898" s="6">
        <v>152.55799999999999</v>
      </c>
      <c r="M1898" s="6">
        <v>152.55799999999999</v>
      </c>
      <c r="N1898" s="6">
        <v>152.55799999999999</v>
      </c>
      <c r="O1898" s="6">
        <v>152.55799999999999</v>
      </c>
      <c r="P1898" s="6">
        <v>144</v>
      </c>
      <c r="Q1898" s="4" t="s">
        <v>26</v>
      </c>
      <c r="R1898" s="4">
        <v>0</v>
      </c>
      <c r="S1898" s="4" t="s">
        <v>657</v>
      </c>
      <c r="T1898" s="4" t="s">
        <v>921</v>
      </c>
      <c r="U1898" s="4">
        <v>0</v>
      </c>
      <c r="V1898" s="4">
        <v>69</v>
      </c>
      <c r="W1898" s="4">
        <v>112</v>
      </c>
    </row>
    <row r="1899" spans="1:23" ht="11.25" customHeight="1" x14ac:dyDescent="0.25">
      <c r="A1899" s="4" t="s">
        <v>28</v>
      </c>
      <c r="B1899" s="4" t="s">
        <v>37</v>
      </c>
      <c r="C1899" s="4" t="s">
        <v>23</v>
      </c>
      <c r="D1899" s="4" t="s">
        <v>53</v>
      </c>
      <c r="E1899" s="4" t="s">
        <v>25</v>
      </c>
      <c r="F1899" s="4" t="s">
        <v>25</v>
      </c>
      <c r="G1899" s="4" t="s">
        <v>25</v>
      </c>
      <c r="H1899" s="4" t="s">
        <v>25</v>
      </c>
      <c r="I1899" s="5">
        <v>44562</v>
      </c>
      <c r="J1899" s="6">
        <v>0</v>
      </c>
      <c r="K1899" s="6">
        <v>0</v>
      </c>
      <c r="L1899" s="6">
        <v>1.2</v>
      </c>
      <c r="M1899" s="6">
        <v>1.2</v>
      </c>
      <c r="N1899" s="6">
        <v>1.2</v>
      </c>
      <c r="O1899" s="6">
        <v>1.2</v>
      </c>
      <c r="P1899" s="6">
        <v>1</v>
      </c>
      <c r="Q1899" s="4" t="s">
        <v>26</v>
      </c>
      <c r="R1899" s="4">
        <v>0</v>
      </c>
      <c r="S1899" s="4" t="s">
        <v>657</v>
      </c>
      <c r="T1899" s="4" t="s">
        <v>921</v>
      </c>
      <c r="U1899" s="4">
        <v>0</v>
      </c>
      <c r="V1899" s="4">
        <v>69</v>
      </c>
      <c r="W1899" s="4">
        <v>112</v>
      </c>
    </row>
    <row r="1900" spans="1:23" ht="11.25" customHeight="1" x14ac:dyDescent="0.25">
      <c r="A1900" s="4" t="s">
        <v>21</v>
      </c>
      <c r="B1900" s="4" t="s">
        <v>37</v>
      </c>
      <c r="C1900" s="4" t="s">
        <v>23</v>
      </c>
      <c r="D1900" s="4" t="s">
        <v>53</v>
      </c>
      <c r="E1900" s="4" t="s">
        <v>25</v>
      </c>
      <c r="F1900" s="4" t="s">
        <v>25</v>
      </c>
      <c r="G1900" s="4" t="s">
        <v>25</v>
      </c>
      <c r="H1900" s="4" t="s">
        <v>25</v>
      </c>
      <c r="I1900" s="5">
        <v>44593</v>
      </c>
      <c r="J1900" s="6">
        <v>0</v>
      </c>
      <c r="K1900" s="6">
        <v>0</v>
      </c>
      <c r="L1900" s="6">
        <v>151.714</v>
      </c>
      <c r="M1900" s="6">
        <v>151.714</v>
      </c>
      <c r="N1900" s="6">
        <v>151.714</v>
      </c>
      <c r="O1900" s="6">
        <v>151.714</v>
      </c>
      <c r="P1900" s="6">
        <v>144</v>
      </c>
      <c r="Q1900" s="4" t="s">
        <v>26</v>
      </c>
      <c r="R1900" s="4">
        <v>0</v>
      </c>
      <c r="S1900" s="4" t="s">
        <v>658</v>
      </c>
      <c r="T1900" s="4" t="s">
        <v>922</v>
      </c>
      <c r="U1900" s="4">
        <v>0</v>
      </c>
      <c r="V1900" s="4">
        <v>69</v>
      </c>
      <c r="W1900" s="4">
        <v>112</v>
      </c>
    </row>
    <row r="1901" spans="1:23" ht="11.25" customHeight="1" x14ac:dyDescent="0.25">
      <c r="A1901" s="4" t="s">
        <v>28</v>
      </c>
      <c r="B1901" s="4" t="s">
        <v>37</v>
      </c>
      <c r="C1901" s="4" t="s">
        <v>23</v>
      </c>
      <c r="D1901" s="4" t="s">
        <v>53</v>
      </c>
      <c r="E1901" s="4" t="s">
        <v>25</v>
      </c>
      <c r="F1901" s="4" t="s">
        <v>25</v>
      </c>
      <c r="G1901" s="4" t="s">
        <v>25</v>
      </c>
      <c r="H1901" s="4" t="s">
        <v>25</v>
      </c>
      <c r="I1901" s="5">
        <v>44593</v>
      </c>
      <c r="J1901" s="6">
        <v>0</v>
      </c>
      <c r="K1901" s="6">
        <v>0</v>
      </c>
      <c r="L1901" s="6">
        <v>1.048</v>
      </c>
      <c r="M1901" s="6">
        <v>1.048</v>
      </c>
      <c r="N1901" s="6">
        <v>1.048</v>
      </c>
      <c r="O1901" s="6">
        <v>1.048</v>
      </c>
      <c r="P1901" s="6">
        <v>1</v>
      </c>
      <c r="Q1901" s="4" t="s">
        <v>26</v>
      </c>
      <c r="R1901" s="4">
        <v>0</v>
      </c>
      <c r="S1901" s="4" t="s">
        <v>658</v>
      </c>
      <c r="T1901" s="4" t="s">
        <v>922</v>
      </c>
      <c r="U1901" s="4">
        <v>0</v>
      </c>
      <c r="V1901" s="4">
        <v>69</v>
      </c>
      <c r="W1901" s="4">
        <v>112</v>
      </c>
    </row>
    <row r="1902" spans="1:23" ht="11.25" customHeight="1" x14ac:dyDescent="0.25">
      <c r="A1902" s="4" t="s">
        <v>21</v>
      </c>
      <c r="B1902" s="4" t="s">
        <v>37</v>
      </c>
      <c r="C1902" s="4" t="s">
        <v>23</v>
      </c>
      <c r="D1902" s="4" t="s">
        <v>53</v>
      </c>
      <c r="E1902" s="4" t="s">
        <v>25</v>
      </c>
      <c r="F1902" s="4" t="s">
        <v>25</v>
      </c>
      <c r="G1902" s="4" t="s">
        <v>25</v>
      </c>
      <c r="H1902" s="4" t="s">
        <v>25</v>
      </c>
      <c r="I1902" s="5">
        <v>44621</v>
      </c>
      <c r="J1902" s="6">
        <v>0</v>
      </c>
      <c r="K1902" s="6">
        <v>0</v>
      </c>
      <c r="L1902" s="6">
        <v>41.859000000000002</v>
      </c>
      <c r="M1902" s="6">
        <v>41.859000000000002</v>
      </c>
      <c r="N1902" s="6">
        <v>41.859000000000002</v>
      </c>
      <c r="O1902" s="6">
        <v>41.859000000000002</v>
      </c>
      <c r="P1902" s="6">
        <v>97</v>
      </c>
      <c r="Q1902" s="4" t="s">
        <v>26</v>
      </c>
      <c r="R1902" s="4">
        <v>0</v>
      </c>
      <c r="S1902" s="4" t="s">
        <v>659</v>
      </c>
      <c r="T1902" s="4" t="s">
        <v>923</v>
      </c>
      <c r="U1902" s="4">
        <v>0</v>
      </c>
      <c r="V1902" s="4">
        <v>69</v>
      </c>
      <c r="W1902" s="4">
        <v>112</v>
      </c>
    </row>
    <row r="1903" spans="1:23" ht="11.25" customHeight="1" x14ac:dyDescent="0.25">
      <c r="A1903" s="4" t="s">
        <v>28</v>
      </c>
      <c r="B1903" s="4" t="s">
        <v>37</v>
      </c>
      <c r="C1903" s="4" t="s">
        <v>23</v>
      </c>
      <c r="D1903" s="4" t="s">
        <v>53</v>
      </c>
      <c r="E1903" s="4" t="s">
        <v>25</v>
      </c>
      <c r="F1903" s="4" t="s">
        <v>25</v>
      </c>
      <c r="G1903" s="4" t="s">
        <v>25</v>
      </c>
      <c r="H1903" s="4" t="s">
        <v>25</v>
      </c>
      <c r="I1903" s="5">
        <v>44621</v>
      </c>
      <c r="J1903" s="6">
        <v>0</v>
      </c>
      <c r="K1903" s="6">
        <v>0</v>
      </c>
      <c r="L1903" s="6">
        <v>134.97200000000001</v>
      </c>
      <c r="M1903" s="6">
        <v>134.97200000000001</v>
      </c>
      <c r="N1903" s="6">
        <v>134.97200000000001</v>
      </c>
      <c r="O1903" s="6">
        <v>134.97200000000001</v>
      </c>
      <c r="P1903" s="6">
        <v>47</v>
      </c>
      <c r="Q1903" s="4" t="s">
        <v>26</v>
      </c>
      <c r="R1903" s="4">
        <v>0</v>
      </c>
      <c r="S1903" s="4" t="s">
        <v>659</v>
      </c>
      <c r="T1903" s="4" t="s">
        <v>923</v>
      </c>
      <c r="U1903" s="4">
        <v>0</v>
      </c>
      <c r="V1903" s="4">
        <v>69</v>
      </c>
      <c r="W1903" s="4">
        <v>112</v>
      </c>
    </row>
    <row r="1904" spans="1:23" ht="11.25" customHeight="1" x14ac:dyDescent="0.25">
      <c r="A1904" s="4" t="s">
        <v>21</v>
      </c>
      <c r="B1904" s="4" t="s">
        <v>37</v>
      </c>
      <c r="C1904" s="4" t="s">
        <v>23</v>
      </c>
      <c r="D1904" s="4" t="s">
        <v>53</v>
      </c>
      <c r="E1904" s="4" t="s">
        <v>25</v>
      </c>
      <c r="F1904" s="4" t="s">
        <v>25</v>
      </c>
      <c r="G1904" s="4" t="s">
        <v>25</v>
      </c>
      <c r="H1904" s="4" t="s">
        <v>25</v>
      </c>
      <c r="I1904" s="5">
        <v>44652</v>
      </c>
      <c r="J1904" s="6">
        <v>0</v>
      </c>
      <c r="K1904" s="6">
        <v>0</v>
      </c>
      <c r="L1904" s="6">
        <v>20.428999999999998</v>
      </c>
      <c r="M1904" s="6">
        <v>20.428999999999998</v>
      </c>
      <c r="N1904" s="6">
        <v>20.428999999999998</v>
      </c>
      <c r="O1904" s="6">
        <v>20.428999999999998</v>
      </c>
      <c r="P1904" s="6">
        <v>85</v>
      </c>
      <c r="Q1904" s="4" t="s">
        <v>26</v>
      </c>
      <c r="R1904" s="4">
        <v>0</v>
      </c>
      <c r="S1904" s="4" t="s">
        <v>660</v>
      </c>
      <c r="T1904" s="4" t="s">
        <v>924</v>
      </c>
      <c r="U1904" s="4">
        <v>0</v>
      </c>
      <c r="V1904" s="4">
        <v>69</v>
      </c>
      <c r="W1904" s="4">
        <v>112</v>
      </c>
    </row>
    <row r="1905" spans="1:23" ht="11.25" customHeight="1" x14ac:dyDescent="0.25">
      <c r="A1905" s="4" t="s">
        <v>28</v>
      </c>
      <c r="B1905" s="4" t="s">
        <v>37</v>
      </c>
      <c r="C1905" s="4" t="s">
        <v>23</v>
      </c>
      <c r="D1905" s="4" t="s">
        <v>53</v>
      </c>
      <c r="E1905" s="4" t="s">
        <v>25</v>
      </c>
      <c r="F1905" s="4" t="s">
        <v>25</v>
      </c>
      <c r="G1905" s="4" t="s">
        <v>25</v>
      </c>
      <c r="H1905" s="4" t="s">
        <v>25</v>
      </c>
      <c r="I1905" s="5">
        <v>44652</v>
      </c>
      <c r="J1905" s="6">
        <v>0</v>
      </c>
      <c r="K1905" s="6">
        <v>0</v>
      </c>
      <c r="L1905" s="6">
        <v>25.904</v>
      </c>
      <c r="M1905" s="6">
        <v>25.904</v>
      </c>
      <c r="N1905" s="6">
        <v>25.904</v>
      </c>
      <c r="O1905" s="6">
        <v>25.904</v>
      </c>
      <c r="P1905" s="6">
        <v>59</v>
      </c>
      <c r="Q1905" s="4" t="s">
        <v>26</v>
      </c>
      <c r="R1905" s="4">
        <v>0</v>
      </c>
      <c r="S1905" s="4" t="s">
        <v>660</v>
      </c>
      <c r="T1905" s="4" t="s">
        <v>924</v>
      </c>
      <c r="U1905" s="4">
        <v>0</v>
      </c>
      <c r="V1905" s="4">
        <v>69</v>
      </c>
      <c r="W1905" s="4">
        <v>112</v>
      </c>
    </row>
    <row r="1906" spans="1:23" ht="11.25" customHeight="1" x14ac:dyDescent="0.25">
      <c r="A1906" s="4" t="s">
        <v>58</v>
      </c>
      <c r="B1906" s="4" t="s">
        <v>37</v>
      </c>
      <c r="C1906" s="4" t="s">
        <v>23</v>
      </c>
      <c r="D1906" s="4" t="s">
        <v>53</v>
      </c>
      <c r="E1906" s="4" t="s">
        <v>25</v>
      </c>
      <c r="F1906" s="4" t="s">
        <v>25</v>
      </c>
      <c r="G1906" s="4" t="s">
        <v>25</v>
      </c>
      <c r="H1906" s="4" t="s">
        <v>25</v>
      </c>
      <c r="I1906" s="5">
        <v>44682</v>
      </c>
      <c r="J1906" s="6">
        <v>0</v>
      </c>
      <c r="K1906" s="6">
        <v>0</v>
      </c>
      <c r="L1906" s="6">
        <v>20.428999999999998</v>
      </c>
      <c r="M1906" s="6">
        <v>20.428999999999998</v>
      </c>
      <c r="N1906" s="6">
        <v>20.428999999999998</v>
      </c>
      <c r="O1906" s="6">
        <v>20.428999999999998</v>
      </c>
      <c r="P1906" s="6">
        <v>85</v>
      </c>
      <c r="Q1906" s="4" t="s">
        <v>26</v>
      </c>
      <c r="R1906" s="4">
        <v>0</v>
      </c>
      <c r="S1906" s="4" t="s">
        <v>661</v>
      </c>
      <c r="T1906" s="4" t="s">
        <v>925</v>
      </c>
      <c r="U1906" s="4">
        <v>0</v>
      </c>
      <c r="V1906" s="4">
        <v>69</v>
      </c>
      <c r="W1906" s="4">
        <v>112</v>
      </c>
    </row>
    <row r="1907" spans="1:23" ht="11.25" customHeight="1" x14ac:dyDescent="0.25">
      <c r="A1907" s="4" t="s">
        <v>58</v>
      </c>
      <c r="B1907" s="4" t="s">
        <v>37</v>
      </c>
      <c r="C1907" s="4" t="s">
        <v>23</v>
      </c>
      <c r="D1907" s="4" t="s">
        <v>53</v>
      </c>
      <c r="E1907" s="4" t="s">
        <v>25</v>
      </c>
      <c r="F1907" s="4" t="s">
        <v>25</v>
      </c>
      <c r="G1907" s="4" t="s">
        <v>25</v>
      </c>
      <c r="H1907" s="4" t="s">
        <v>25</v>
      </c>
      <c r="I1907" s="5">
        <v>44682</v>
      </c>
      <c r="J1907" s="6">
        <v>0</v>
      </c>
      <c r="K1907" s="6">
        <v>0</v>
      </c>
      <c r="L1907" s="6">
        <v>25.904</v>
      </c>
      <c r="M1907" s="6">
        <v>25.904</v>
      </c>
      <c r="N1907" s="6">
        <v>25.904</v>
      </c>
      <c r="O1907" s="6">
        <v>25.904</v>
      </c>
      <c r="P1907" s="6">
        <v>59</v>
      </c>
      <c r="Q1907" s="4" t="s">
        <v>26</v>
      </c>
      <c r="R1907" s="4">
        <v>0</v>
      </c>
      <c r="S1907" s="4" t="s">
        <v>661</v>
      </c>
      <c r="T1907" s="4" t="s">
        <v>925</v>
      </c>
      <c r="U1907" s="4">
        <v>0</v>
      </c>
      <c r="V1907" s="4">
        <v>69</v>
      </c>
      <c r="W1907" s="4">
        <v>112</v>
      </c>
    </row>
    <row r="1908" spans="1:23" ht="11.25" customHeight="1" x14ac:dyDescent="0.25">
      <c r="A1908" s="4" t="s">
        <v>21</v>
      </c>
      <c r="B1908" s="4" t="s">
        <v>37</v>
      </c>
      <c r="C1908" s="4" t="s">
        <v>23</v>
      </c>
      <c r="D1908" s="4" t="s">
        <v>38</v>
      </c>
      <c r="E1908" s="4" t="s">
        <v>25</v>
      </c>
      <c r="F1908" s="4" t="s">
        <v>25</v>
      </c>
      <c r="G1908" s="4" t="s">
        <v>25</v>
      </c>
      <c r="H1908" s="4" t="s">
        <v>25</v>
      </c>
      <c r="I1908" s="5">
        <v>44348</v>
      </c>
      <c r="J1908" s="6">
        <v>0</v>
      </c>
      <c r="K1908" s="6">
        <v>0</v>
      </c>
      <c r="L1908" s="6">
        <v>1954.712</v>
      </c>
      <c r="M1908" s="6">
        <v>1954.712</v>
      </c>
      <c r="N1908" s="6">
        <v>1954.712</v>
      </c>
      <c r="O1908" s="6">
        <v>1954.712</v>
      </c>
      <c r="P1908" s="6">
        <v>2748</v>
      </c>
      <c r="Q1908" s="4" t="s">
        <v>26</v>
      </c>
      <c r="R1908" s="4">
        <v>0</v>
      </c>
      <c r="S1908" s="4" t="s">
        <v>650</v>
      </c>
      <c r="T1908" s="4" t="s">
        <v>914</v>
      </c>
      <c r="U1908" s="4">
        <v>0</v>
      </c>
      <c r="V1908" s="4">
        <v>69</v>
      </c>
      <c r="W1908" s="4">
        <v>112</v>
      </c>
    </row>
    <row r="1909" spans="1:23" ht="11.25" customHeight="1" x14ac:dyDescent="0.25">
      <c r="A1909" s="4" t="s">
        <v>28</v>
      </c>
      <c r="B1909" s="4" t="s">
        <v>37</v>
      </c>
      <c r="C1909" s="4" t="s">
        <v>23</v>
      </c>
      <c r="D1909" s="4" t="s">
        <v>38</v>
      </c>
      <c r="E1909" s="4" t="s">
        <v>25</v>
      </c>
      <c r="F1909" s="4" t="s">
        <v>25</v>
      </c>
      <c r="G1909" s="4" t="s">
        <v>25</v>
      </c>
      <c r="H1909" s="4" t="s">
        <v>25</v>
      </c>
      <c r="I1909" s="5">
        <v>44348</v>
      </c>
      <c r="J1909" s="6">
        <v>0</v>
      </c>
      <c r="K1909" s="6">
        <v>0</v>
      </c>
      <c r="L1909" s="6">
        <v>228.93700000000001</v>
      </c>
      <c r="M1909" s="6">
        <v>228.93700000000001</v>
      </c>
      <c r="N1909" s="6">
        <v>228.93700000000001</v>
      </c>
      <c r="O1909" s="6">
        <v>228.93700000000001</v>
      </c>
      <c r="P1909" s="6">
        <v>294</v>
      </c>
      <c r="Q1909" s="4" t="s">
        <v>26</v>
      </c>
      <c r="R1909" s="4">
        <v>0</v>
      </c>
      <c r="S1909" s="4" t="s">
        <v>650</v>
      </c>
      <c r="T1909" s="4" t="s">
        <v>914</v>
      </c>
      <c r="U1909" s="4">
        <v>0</v>
      </c>
      <c r="V1909" s="4">
        <v>69</v>
      </c>
      <c r="W1909" s="4">
        <v>112</v>
      </c>
    </row>
    <row r="1910" spans="1:23" ht="11.25" customHeight="1" x14ac:dyDescent="0.25">
      <c r="A1910" s="4" t="s">
        <v>28</v>
      </c>
      <c r="B1910" s="4" t="s">
        <v>37</v>
      </c>
      <c r="C1910" s="4" t="s">
        <v>23</v>
      </c>
      <c r="D1910" s="4" t="s">
        <v>38</v>
      </c>
      <c r="E1910" s="4" t="s">
        <v>25</v>
      </c>
      <c r="F1910" s="4" t="s">
        <v>25</v>
      </c>
      <c r="G1910" s="4" t="s">
        <v>25</v>
      </c>
      <c r="H1910" s="4" t="s">
        <v>25</v>
      </c>
      <c r="I1910" s="5">
        <v>44348</v>
      </c>
      <c r="J1910" s="6">
        <v>0</v>
      </c>
      <c r="K1910" s="6">
        <v>0</v>
      </c>
      <c r="L1910" s="6">
        <v>-1.7090000000000001</v>
      </c>
      <c r="M1910" s="6">
        <v>-1.7090000000000001</v>
      </c>
      <c r="N1910" s="6">
        <v>-1.7090000000000001</v>
      </c>
      <c r="O1910" s="6">
        <v>-1.7090000000000001</v>
      </c>
      <c r="P1910" s="6">
        <v>0</v>
      </c>
      <c r="Q1910" s="4" t="s">
        <v>26</v>
      </c>
      <c r="R1910" s="4">
        <v>0</v>
      </c>
      <c r="S1910" s="4" t="s">
        <v>650</v>
      </c>
      <c r="T1910" s="4" t="s">
        <v>914</v>
      </c>
      <c r="U1910" s="4">
        <v>0</v>
      </c>
      <c r="V1910" s="4">
        <v>69</v>
      </c>
      <c r="W1910" s="4">
        <v>112</v>
      </c>
    </row>
    <row r="1911" spans="1:23" ht="11.25" customHeight="1" x14ac:dyDescent="0.25">
      <c r="A1911" s="4" t="s">
        <v>21</v>
      </c>
      <c r="B1911" s="4" t="s">
        <v>37</v>
      </c>
      <c r="C1911" s="4" t="s">
        <v>23</v>
      </c>
      <c r="D1911" s="4" t="s">
        <v>38</v>
      </c>
      <c r="E1911" s="4" t="s">
        <v>25</v>
      </c>
      <c r="F1911" s="4" t="s">
        <v>25</v>
      </c>
      <c r="G1911" s="4" t="s">
        <v>25</v>
      </c>
      <c r="H1911" s="4" t="s">
        <v>25</v>
      </c>
      <c r="I1911" s="5">
        <v>44378</v>
      </c>
      <c r="J1911" s="6">
        <v>0</v>
      </c>
      <c r="K1911" s="6">
        <v>0</v>
      </c>
      <c r="L1911" s="6">
        <v>1990.242</v>
      </c>
      <c r="M1911" s="6">
        <v>1990.242</v>
      </c>
      <c r="N1911" s="6">
        <v>1990.242</v>
      </c>
      <c r="O1911" s="6">
        <v>1990.242</v>
      </c>
      <c r="P1911" s="6">
        <v>2752</v>
      </c>
      <c r="Q1911" s="4" t="s">
        <v>26</v>
      </c>
      <c r="R1911" s="4">
        <v>0</v>
      </c>
      <c r="S1911" s="4" t="s">
        <v>651</v>
      </c>
      <c r="T1911" s="4" t="s">
        <v>915</v>
      </c>
      <c r="U1911" s="4">
        <v>0</v>
      </c>
      <c r="V1911" s="4">
        <v>69</v>
      </c>
      <c r="W1911" s="4">
        <v>112</v>
      </c>
    </row>
    <row r="1912" spans="1:23" ht="11.25" customHeight="1" x14ac:dyDescent="0.25">
      <c r="A1912" s="4" t="s">
        <v>28</v>
      </c>
      <c r="B1912" s="4" t="s">
        <v>37</v>
      </c>
      <c r="C1912" s="4" t="s">
        <v>23</v>
      </c>
      <c r="D1912" s="4" t="s">
        <v>38</v>
      </c>
      <c r="E1912" s="4" t="s">
        <v>25</v>
      </c>
      <c r="F1912" s="4" t="s">
        <v>25</v>
      </c>
      <c r="G1912" s="4" t="s">
        <v>25</v>
      </c>
      <c r="H1912" s="4" t="s">
        <v>25</v>
      </c>
      <c r="I1912" s="5">
        <v>44378</v>
      </c>
      <c r="J1912" s="6">
        <v>0</v>
      </c>
      <c r="K1912" s="6">
        <v>0</v>
      </c>
      <c r="L1912" s="6">
        <v>223.45500000000001</v>
      </c>
      <c r="M1912" s="6">
        <v>223.45500000000001</v>
      </c>
      <c r="N1912" s="6">
        <v>223.45500000000001</v>
      </c>
      <c r="O1912" s="6">
        <v>223.45500000000001</v>
      </c>
      <c r="P1912" s="6">
        <v>308</v>
      </c>
      <c r="Q1912" s="4" t="s">
        <v>26</v>
      </c>
      <c r="R1912" s="4">
        <v>0</v>
      </c>
      <c r="S1912" s="4" t="s">
        <v>651</v>
      </c>
      <c r="T1912" s="4" t="s">
        <v>915</v>
      </c>
      <c r="U1912" s="4">
        <v>0</v>
      </c>
      <c r="V1912" s="4">
        <v>69</v>
      </c>
      <c r="W1912" s="4">
        <v>112</v>
      </c>
    </row>
    <row r="1913" spans="1:23" ht="11.25" customHeight="1" x14ac:dyDescent="0.25">
      <c r="A1913" s="4" t="s">
        <v>21</v>
      </c>
      <c r="B1913" s="4" t="s">
        <v>37</v>
      </c>
      <c r="C1913" s="4" t="s">
        <v>23</v>
      </c>
      <c r="D1913" s="4" t="s">
        <v>38</v>
      </c>
      <c r="E1913" s="4" t="s">
        <v>25</v>
      </c>
      <c r="F1913" s="4" t="s">
        <v>25</v>
      </c>
      <c r="G1913" s="4" t="s">
        <v>25</v>
      </c>
      <c r="H1913" s="4" t="s">
        <v>25</v>
      </c>
      <c r="I1913" s="5">
        <v>44409</v>
      </c>
      <c r="J1913" s="6">
        <v>0</v>
      </c>
      <c r="K1913" s="6">
        <v>0</v>
      </c>
      <c r="L1913" s="6">
        <v>2153.2310000000002</v>
      </c>
      <c r="M1913" s="6">
        <v>2153.2310000000002</v>
      </c>
      <c r="N1913" s="6">
        <v>2153.2310000000002</v>
      </c>
      <c r="O1913" s="6">
        <v>2153.2310000000002</v>
      </c>
      <c r="P1913" s="6">
        <v>2755</v>
      </c>
      <c r="Q1913" s="4" t="s">
        <v>26</v>
      </c>
      <c r="R1913" s="4">
        <v>0</v>
      </c>
      <c r="S1913" s="4" t="s">
        <v>652</v>
      </c>
      <c r="T1913" s="4" t="s">
        <v>916</v>
      </c>
      <c r="U1913" s="4">
        <v>0</v>
      </c>
      <c r="V1913" s="4">
        <v>69</v>
      </c>
      <c r="W1913" s="4">
        <v>112</v>
      </c>
    </row>
    <row r="1914" spans="1:23" ht="11.25" customHeight="1" x14ac:dyDescent="0.25">
      <c r="A1914" s="4" t="s">
        <v>27</v>
      </c>
      <c r="B1914" s="4" t="s">
        <v>37</v>
      </c>
      <c r="C1914" s="4" t="s">
        <v>23</v>
      </c>
      <c r="D1914" s="4" t="s">
        <v>38</v>
      </c>
      <c r="E1914" s="4" t="s">
        <v>25</v>
      </c>
      <c r="F1914" s="4" t="s">
        <v>25</v>
      </c>
      <c r="G1914" s="4" t="s">
        <v>25</v>
      </c>
      <c r="H1914" s="4" t="s">
        <v>25</v>
      </c>
      <c r="I1914" s="5">
        <v>44409</v>
      </c>
      <c r="J1914" s="6">
        <v>0</v>
      </c>
      <c r="K1914" s="6">
        <v>0</v>
      </c>
      <c r="L1914" s="6">
        <v>-1.9219999999999999</v>
      </c>
      <c r="M1914" s="6">
        <v>-1.9219999999999999</v>
      </c>
      <c r="N1914" s="6">
        <v>-1.9219999999999999</v>
      </c>
      <c r="O1914" s="6">
        <v>-1.9219999999999999</v>
      </c>
      <c r="P1914" s="6">
        <v>-2</v>
      </c>
      <c r="Q1914" s="4" t="s">
        <v>26</v>
      </c>
      <c r="R1914" s="4">
        <v>0</v>
      </c>
      <c r="S1914" s="4" t="s">
        <v>652</v>
      </c>
      <c r="T1914" s="4" t="s">
        <v>916</v>
      </c>
      <c r="U1914" s="4">
        <v>0</v>
      </c>
      <c r="V1914" s="4">
        <v>69</v>
      </c>
      <c r="W1914" s="4">
        <v>112</v>
      </c>
    </row>
    <row r="1915" spans="1:23" ht="11.25" customHeight="1" x14ac:dyDescent="0.25">
      <c r="A1915" s="4" t="s">
        <v>28</v>
      </c>
      <c r="B1915" s="4" t="s">
        <v>37</v>
      </c>
      <c r="C1915" s="4" t="s">
        <v>23</v>
      </c>
      <c r="D1915" s="4" t="s">
        <v>38</v>
      </c>
      <c r="E1915" s="4" t="s">
        <v>25</v>
      </c>
      <c r="F1915" s="4" t="s">
        <v>25</v>
      </c>
      <c r="G1915" s="4" t="s">
        <v>25</v>
      </c>
      <c r="H1915" s="4" t="s">
        <v>25</v>
      </c>
      <c r="I1915" s="5">
        <v>44409</v>
      </c>
      <c r="J1915" s="6">
        <v>0</v>
      </c>
      <c r="K1915" s="6">
        <v>0</v>
      </c>
      <c r="L1915" s="6">
        <v>247.52699999999999</v>
      </c>
      <c r="M1915" s="6">
        <v>247.52699999999999</v>
      </c>
      <c r="N1915" s="6">
        <v>247.52699999999999</v>
      </c>
      <c r="O1915" s="6">
        <v>247.52699999999999</v>
      </c>
      <c r="P1915" s="6">
        <v>324</v>
      </c>
      <c r="Q1915" s="4" t="s">
        <v>26</v>
      </c>
      <c r="R1915" s="4">
        <v>0</v>
      </c>
      <c r="S1915" s="4" t="s">
        <v>652</v>
      </c>
      <c r="T1915" s="4" t="s">
        <v>916</v>
      </c>
      <c r="U1915" s="4">
        <v>0</v>
      </c>
      <c r="V1915" s="4">
        <v>69</v>
      </c>
      <c r="W1915" s="4">
        <v>112</v>
      </c>
    </row>
    <row r="1916" spans="1:23" ht="11.25" customHeight="1" x14ac:dyDescent="0.25">
      <c r="A1916" s="4" t="s">
        <v>21</v>
      </c>
      <c r="B1916" s="4" t="s">
        <v>37</v>
      </c>
      <c r="C1916" s="4" t="s">
        <v>23</v>
      </c>
      <c r="D1916" s="4" t="s">
        <v>38</v>
      </c>
      <c r="E1916" s="4" t="s">
        <v>25</v>
      </c>
      <c r="F1916" s="4" t="s">
        <v>25</v>
      </c>
      <c r="G1916" s="4" t="s">
        <v>25</v>
      </c>
      <c r="H1916" s="4" t="s">
        <v>25</v>
      </c>
      <c r="I1916" s="5">
        <v>44440</v>
      </c>
      <c r="J1916" s="6">
        <v>0</v>
      </c>
      <c r="K1916" s="6">
        <v>0</v>
      </c>
      <c r="L1916" s="6">
        <v>2202.13</v>
      </c>
      <c r="M1916" s="6">
        <v>2202.13</v>
      </c>
      <c r="N1916" s="6">
        <v>2202.13</v>
      </c>
      <c r="O1916" s="6">
        <v>2202.13</v>
      </c>
      <c r="P1916" s="6">
        <v>2728</v>
      </c>
      <c r="Q1916" s="4" t="s">
        <v>26</v>
      </c>
      <c r="R1916" s="4">
        <v>0</v>
      </c>
      <c r="S1916" s="4" t="s">
        <v>653</v>
      </c>
      <c r="T1916" s="4" t="s">
        <v>917</v>
      </c>
      <c r="U1916" s="4">
        <v>0</v>
      </c>
      <c r="V1916" s="4">
        <v>69</v>
      </c>
      <c r="W1916" s="4">
        <v>112</v>
      </c>
    </row>
    <row r="1917" spans="1:23" ht="11.25" customHeight="1" x14ac:dyDescent="0.25">
      <c r="A1917" s="4" t="s">
        <v>27</v>
      </c>
      <c r="B1917" s="4" t="s">
        <v>37</v>
      </c>
      <c r="C1917" s="4" t="s">
        <v>23</v>
      </c>
      <c r="D1917" s="4" t="s">
        <v>38</v>
      </c>
      <c r="E1917" s="4" t="s">
        <v>25</v>
      </c>
      <c r="F1917" s="4" t="s">
        <v>25</v>
      </c>
      <c r="G1917" s="4" t="s">
        <v>25</v>
      </c>
      <c r="H1917" s="4" t="s">
        <v>25</v>
      </c>
      <c r="I1917" s="5">
        <v>44440</v>
      </c>
      <c r="J1917" s="6">
        <v>0</v>
      </c>
      <c r="K1917" s="6">
        <v>0</v>
      </c>
      <c r="L1917" s="6">
        <v>-13.662000000000001</v>
      </c>
      <c r="M1917" s="6">
        <v>-13.662000000000001</v>
      </c>
      <c r="N1917" s="6">
        <v>-13.662000000000001</v>
      </c>
      <c r="O1917" s="6">
        <v>-13.662000000000001</v>
      </c>
      <c r="P1917" s="6">
        <v>-1</v>
      </c>
      <c r="Q1917" s="4" t="s">
        <v>26</v>
      </c>
      <c r="R1917" s="4">
        <v>0</v>
      </c>
      <c r="S1917" s="4" t="s">
        <v>653</v>
      </c>
      <c r="T1917" s="4" t="s">
        <v>917</v>
      </c>
      <c r="U1917" s="4">
        <v>0</v>
      </c>
      <c r="V1917" s="4">
        <v>69</v>
      </c>
      <c r="W1917" s="4">
        <v>112</v>
      </c>
    </row>
    <row r="1918" spans="1:23" ht="11.25" customHeight="1" x14ac:dyDescent="0.25">
      <c r="A1918" s="4" t="s">
        <v>28</v>
      </c>
      <c r="B1918" s="4" t="s">
        <v>37</v>
      </c>
      <c r="C1918" s="4" t="s">
        <v>23</v>
      </c>
      <c r="D1918" s="4" t="s">
        <v>38</v>
      </c>
      <c r="E1918" s="4" t="s">
        <v>25</v>
      </c>
      <c r="F1918" s="4" t="s">
        <v>25</v>
      </c>
      <c r="G1918" s="4" t="s">
        <v>25</v>
      </c>
      <c r="H1918" s="4" t="s">
        <v>25</v>
      </c>
      <c r="I1918" s="5">
        <v>44440</v>
      </c>
      <c r="J1918" s="6">
        <v>0</v>
      </c>
      <c r="K1918" s="6">
        <v>0</v>
      </c>
      <c r="L1918" s="6">
        <v>293.161</v>
      </c>
      <c r="M1918" s="6">
        <v>293.161</v>
      </c>
      <c r="N1918" s="6">
        <v>293.161</v>
      </c>
      <c r="O1918" s="6">
        <v>293.161</v>
      </c>
      <c r="P1918" s="6">
        <v>349</v>
      </c>
      <c r="Q1918" s="4" t="s">
        <v>26</v>
      </c>
      <c r="R1918" s="4">
        <v>0</v>
      </c>
      <c r="S1918" s="4" t="s">
        <v>653</v>
      </c>
      <c r="T1918" s="4" t="s">
        <v>917</v>
      </c>
      <c r="U1918" s="4">
        <v>0</v>
      </c>
      <c r="V1918" s="4">
        <v>69</v>
      </c>
      <c r="W1918" s="4">
        <v>112</v>
      </c>
    </row>
    <row r="1919" spans="1:23" ht="11.25" customHeight="1" x14ac:dyDescent="0.25">
      <c r="A1919" s="4" t="s">
        <v>28</v>
      </c>
      <c r="B1919" s="4" t="s">
        <v>37</v>
      </c>
      <c r="C1919" s="4" t="s">
        <v>23</v>
      </c>
      <c r="D1919" s="4" t="s">
        <v>38</v>
      </c>
      <c r="E1919" s="4" t="s">
        <v>25</v>
      </c>
      <c r="F1919" s="4" t="s">
        <v>25</v>
      </c>
      <c r="G1919" s="4" t="s">
        <v>25</v>
      </c>
      <c r="H1919" s="4" t="s">
        <v>25</v>
      </c>
      <c r="I1919" s="5">
        <v>44440</v>
      </c>
      <c r="J1919" s="6">
        <v>0</v>
      </c>
      <c r="K1919" s="6">
        <v>0</v>
      </c>
      <c r="L1919" s="6">
        <v>-1.5429999999999999</v>
      </c>
      <c r="M1919" s="6">
        <v>-1.5429999999999999</v>
      </c>
      <c r="N1919" s="6">
        <v>-1.5429999999999999</v>
      </c>
      <c r="O1919" s="6">
        <v>-1.5429999999999999</v>
      </c>
      <c r="P1919" s="6">
        <v>0</v>
      </c>
      <c r="Q1919" s="4" t="s">
        <v>26</v>
      </c>
      <c r="R1919" s="4">
        <v>0</v>
      </c>
      <c r="S1919" s="4" t="s">
        <v>653</v>
      </c>
      <c r="T1919" s="4" t="s">
        <v>917</v>
      </c>
      <c r="U1919" s="4">
        <v>0</v>
      </c>
      <c r="V1919" s="4">
        <v>69</v>
      </c>
      <c r="W1919" s="4">
        <v>112</v>
      </c>
    </row>
    <row r="1920" spans="1:23" ht="11.25" customHeight="1" x14ac:dyDescent="0.25">
      <c r="A1920" s="4" t="s">
        <v>21</v>
      </c>
      <c r="B1920" s="4" t="s">
        <v>37</v>
      </c>
      <c r="C1920" s="4" t="s">
        <v>23</v>
      </c>
      <c r="D1920" s="4" t="s">
        <v>38</v>
      </c>
      <c r="E1920" s="4" t="s">
        <v>25</v>
      </c>
      <c r="F1920" s="4" t="s">
        <v>25</v>
      </c>
      <c r="G1920" s="4" t="s">
        <v>25</v>
      </c>
      <c r="H1920" s="4" t="s">
        <v>25</v>
      </c>
      <c r="I1920" s="5">
        <v>44470</v>
      </c>
      <c r="J1920" s="6">
        <v>0</v>
      </c>
      <c r="K1920" s="6">
        <v>0</v>
      </c>
      <c r="L1920" s="6">
        <v>2084.9630000000002</v>
      </c>
      <c r="M1920" s="6">
        <v>2084.9630000000002</v>
      </c>
      <c r="N1920" s="6">
        <v>2084.9630000000002</v>
      </c>
      <c r="O1920" s="6">
        <v>2084.9630000000002</v>
      </c>
      <c r="P1920" s="6">
        <v>2701</v>
      </c>
      <c r="Q1920" s="4" t="s">
        <v>26</v>
      </c>
      <c r="R1920" s="4">
        <v>0</v>
      </c>
      <c r="S1920" s="4" t="s">
        <v>654</v>
      </c>
      <c r="T1920" s="4" t="s">
        <v>918</v>
      </c>
      <c r="U1920" s="4">
        <v>0</v>
      </c>
      <c r="V1920" s="4">
        <v>69</v>
      </c>
      <c r="W1920" s="4">
        <v>112</v>
      </c>
    </row>
    <row r="1921" spans="1:23" ht="11.25" customHeight="1" x14ac:dyDescent="0.25">
      <c r="A1921" s="4" t="s">
        <v>27</v>
      </c>
      <c r="B1921" s="4" t="s">
        <v>37</v>
      </c>
      <c r="C1921" s="4" t="s">
        <v>23</v>
      </c>
      <c r="D1921" s="4" t="s">
        <v>38</v>
      </c>
      <c r="E1921" s="4" t="s">
        <v>25</v>
      </c>
      <c r="F1921" s="4" t="s">
        <v>25</v>
      </c>
      <c r="G1921" s="4" t="s">
        <v>25</v>
      </c>
      <c r="H1921" s="4" t="s">
        <v>25</v>
      </c>
      <c r="I1921" s="5">
        <v>44470</v>
      </c>
      <c r="J1921" s="6">
        <v>0</v>
      </c>
      <c r="K1921" s="6">
        <v>0</v>
      </c>
      <c r="L1921" s="6">
        <v>-0.51</v>
      </c>
      <c r="M1921" s="6">
        <v>-0.51</v>
      </c>
      <c r="N1921" s="6">
        <v>-0.51</v>
      </c>
      <c r="O1921" s="6">
        <v>-0.51</v>
      </c>
      <c r="P1921" s="6">
        <v>0</v>
      </c>
      <c r="Q1921" s="4" t="s">
        <v>26</v>
      </c>
      <c r="R1921" s="4">
        <v>0</v>
      </c>
      <c r="S1921" s="4" t="s">
        <v>654</v>
      </c>
      <c r="T1921" s="4" t="s">
        <v>918</v>
      </c>
      <c r="U1921" s="4">
        <v>0</v>
      </c>
      <c r="V1921" s="4">
        <v>69</v>
      </c>
      <c r="W1921" s="4">
        <v>112</v>
      </c>
    </row>
    <row r="1922" spans="1:23" ht="11.25" customHeight="1" x14ac:dyDescent="0.25">
      <c r="A1922" s="4" t="s">
        <v>28</v>
      </c>
      <c r="B1922" s="4" t="s">
        <v>37</v>
      </c>
      <c r="C1922" s="4" t="s">
        <v>23</v>
      </c>
      <c r="D1922" s="4" t="s">
        <v>38</v>
      </c>
      <c r="E1922" s="4" t="s">
        <v>25</v>
      </c>
      <c r="F1922" s="4" t="s">
        <v>25</v>
      </c>
      <c r="G1922" s="4" t="s">
        <v>25</v>
      </c>
      <c r="H1922" s="4" t="s">
        <v>25</v>
      </c>
      <c r="I1922" s="5">
        <v>44470</v>
      </c>
      <c r="J1922" s="6">
        <v>0</v>
      </c>
      <c r="K1922" s="6">
        <v>0</v>
      </c>
      <c r="L1922" s="6">
        <v>312.15600000000001</v>
      </c>
      <c r="M1922" s="6">
        <v>312.15600000000001</v>
      </c>
      <c r="N1922" s="6">
        <v>312.15600000000001</v>
      </c>
      <c r="O1922" s="6">
        <v>312.15600000000001</v>
      </c>
      <c r="P1922" s="6">
        <v>375</v>
      </c>
      <c r="Q1922" s="4" t="s">
        <v>26</v>
      </c>
      <c r="R1922" s="4">
        <v>0</v>
      </c>
      <c r="S1922" s="4" t="s">
        <v>654</v>
      </c>
      <c r="T1922" s="4" t="s">
        <v>918</v>
      </c>
      <c r="U1922" s="4">
        <v>0</v>
      </c>
      <c r="V1922" s="4">
        <v>69</v>
      </c>
      <c r="W1922" s="4">
        <v>112</v>
      </c>
    </row>
    <row r="1923" spans="1:23" ht="11.25" customHeight="1" x14ac:dyDescent="0.25">
      <c r="A1923" s="4" t="s">
        <v>21</v>
      </c>
      <c r="B1923" s="4" t="s">
        <v>37</v>
      </c>
      <c r="C1923" s="4" t="s">
        <v>23</v>
      </c>
      <c r="D1923" s="4" t="s">
        <v>38</v>
      </c>
      <c r="E1923" s="4" t="s">
        <v>25</v>
      </c>
      <c r="F1923" s="4" t="s">
        <v>25</v>
      </c>
      <c r="G1923" s="4" t="s">
        <v>25</v>
      </c>
      <c r="H1923" s="4" t="s">
        <v>25</v>
      </c>
      <c r="I1923" s="5">
        <v>44501</v>
      </c>
      <c r="J1923" s="6">
        <v>0</v>
      </c>
      <c r="K1923" s="6">
        <v>0</v>
      </c>
      <c r="L1923" s="6">
        <v>2010.2729999999999</v>
      </c>
      <c r="M1923" s="6">
        <v>2010.2729999999999</v>
      </c>
      <c r="N1923" s="6">
        <v>2010.2729999999999</v>
      </c>
      <c r="O1923" s="6">
        <v>2010.2729999999999</v>
      </c>
      <c r="P1923" s="6">
        <v>2676</v>
      </c>
      <c r="Q1923" s="4" t="s">
        <v>26</v>
      </c>
      <c r="R1923" s="4">
        <v>0</v>
      </c>
      <c r="S1923" s="4" t="s">
        <v>655</v>
      </c>
      <c r="T1923" s="4" t="s">
        <v>919</v>
      </c>
      <c r="U1923" s="4">
        <v>0</v>
      </c>
      <c r="V1923" s="4">
        <v>69</v>
      </c>
      <c r="W1923" s="4">
        <v>112</v>
      </c>
    </row>
    <row r="1924" spans="1:23" ht="11.25" customHeight="1" x14ac:dyDescent="0.25">
      <c r="A1924" s="4" t="s">
        <v>27</v>
      </c>
      <c r="B1924" s="4" t="s">
        <v>37</v>
      </c>
      <c r="C1924" s="4" t="s">
        <v>23</v>
      </c>
      <c r="D1924" s="4" t="s">
        <v>38</v>
      </c>
      <c r="E1924" s="4" t="s">
        <v>25</v>
      </c>
      <c r="F1924" s="4" t="s">
        <v>25</v>
      </c>
      <c r="G1924" s="4" t="s">
        <v>25</v>
      </c>
      <c r="H1924" s="4" t="s">
        <v>25</v>
      </c>
      <c r="I1924" s="5">
        <v>44501</v>
      </c>
      <c r="J1924" s="6">
        <v>0</v>
      </c>
      <c r="K1924" s="6">
        <v>0</v>
      </c>
      <c r="L1924" s="6">
        <v>-0.22600000000000001</v>
      </c>
      <c r="M1924" s="6">
        <v>-0.22600000000000001</v>
      </c>
      <c r="N1924" s="6">
        <v>-0.22600000000000001</v>
      </c>
      <c r="O1924" s="6">
        <v>-0.22600000000000001</v>
      </c>
      <c r="P1924" s="6">
        <v>0</v>
      </c>
      <c r="Q1924" s="4" t="s">
        <v>26</v>
      </c>
      <c r="R1924" s="4">
        <v>0</v>
      </c>
      <c r="S1924" s="4" t="s">
        <v>655</v>
      </c>
      <c r="T1924" s="4" t="s">
        <v>919</v>
      </c>
      <c r="U1924" s="4">
        <v>0</v>
      </c>
      <c r="V1924" s="4">
        <v>69</v>
      </c>
      <c r="W1924" s="4">
        <v>112</v>
      </c>
    </row>
    <row r="1925" spans="1:23" ht="11.25" customHeight="1" x14ac:dyDescent="0.25">
      <c r="A1925" s="4" t="s">
        <v>28</v>
      </c>
      <c r="B1925" s="4" t="s">
        <v>37</v>
      </c>
      <c r="C1925" s="4" t="s">
        <v>23</v>
      </c>
      <c r="D1925" s="4" t="s">
        <v>38</v>
      </c>
      <c r="E1925" s="4" t="s">
        <v>25</v>
      </c>
      <c r="F1925" s="4" t="s">
        <v>25</v>
      </c>
      <c r="G1925" s="4" t="s">
        <v>25</v>
      </c>
      <c r="H1925" s="4" t="s">
        <v>25</v>
      </c>
      <c r="I1925" s="5">
        <v>44501</v>
      </c>
      <c r="J1925" s="6">
        <v>0</v>
      </c>
      <c r="K1925" s="6">
        <v>0</v>
      </c>
      <c r="L1925" s="6">
        <v>332.50299999999999</v>
      </c>
      <c r="M1925" s="6">
        <v>332.50299999999999</v>
      </c>
      <c r="N1925" s="6">
        <v>332.50299999999999</v>
      </c>
      <c r="O1925" s="6">
        <v>332.50299999999999</v>
      </c>
      <c r="P1925" s="6">
        <v>399</v>
      </c>
      <c r="Q1925" s="4" t="s">
        <v>26</v>
      </c>
      <c r="R1925" s="4">
        <v>0</v>
      </c>
      <c r="S1925" s="4" t="s">
        <v>655</v>
      </c>
      <c r="T1925" s="4" t="s">
        <v>919</v>
      </c>
      <c r="U1925" s="4">
        <v>0</v>
      </c>
      <c r="V1925" s="4">
        <v>69</v>
      </c>
      <c r="W1925" s="4">
        <v>112</v>
      </c>
    </row>
    <row r="1926" spans="1:23" ht="11.25" customHeight="1" x14ac:dyDescent="0.25">
      <c r="A1926" s="4" t="s">
        <v>28</v>
      </c>
      <c r="B1926" s="4" t="s">
        <v>37</v>
      </c>
      <c r="C1926" s="4" t="s">
        <v>23</v>
      </c>
      <c r="D1926" s="4" t="s">
        <v>38</v>
      </c>
      <c r="E1926" s="4" t="s">
        <v>25</v>
      </c>
      <c r="F1926" s="4" t="s">
        <v>25</v>
      </c>
      <c r="G1926" s="4" t="s">
        <v>25</v>
      </c>
      <c r="H1926" s="4" t="s">
        <v>25</v>
      </c>
      <c r="I1926" s="5">
        <v>44501</v>
      </c>
      <c r="J1926" s="6">
        <v>0</v>
      </c>
      <c r="K1926" s="6">
        <v>0</v>
      </c>
      <c r="L1926" s="6">
        <v>-0.48299999999999998</v>
      </c>
      <c r="M1926" s="6">
        <v>-0.48299999999999998</v>
      </c>
      <c r="N1926" s="6">
        <v>-0.48299999999999998</v>
      </c>
      <c r="O1926" s="6">
        <v>-0.48299999999999998</v>
      </c>
      <c r="P1926" s="6">
        <v>0</v>
      </c>
      <c r="Q1926" s="4" t="s">
        <v>26</v>
      </c>
      <c r="R1926" s="4">
        <v>0</v>
      </c>
      <c r="S1926" s="4" t="s">
        <v>655</v>
      </c>
      <c r="T1926" s="4" t="s">
        <v>919</v>
      </c>
      <c r="U1926" s="4">
        <v>0</v>
      </c>
      <c r="V1926" s="4">
        <v>69</v>
      </c>
      <c r="W1926" s="4">
        <v>112</v>
      </c>
    </row>
    <row r="1927" spans="1:23" ht="11.25" customHeight="1" x14ac:dyDescent="0.25">
      <c r="A1927" s="4" t="s">
        <v>21</v>
      </c>
      <c r="B1927" s="4" t="s">
        <v>37</v>
      </c>
      <c r="C1927" s="4" t="s">
        <v>23</v>
      </c>
      <c r="D1927" s="4" t="s">
        <v>38</v>
      </c>
      <c r="E1927" s="4" t="s">
        <v>25</v>
      </c>
      <c r="F1927" s="4" t="s">
        <v>25</v>
      </c>
      <c r="G1927" s="4" t="s">
        <v>25</v>
      </c>
      <c r="H1927" s="4" t="s">
        <v>25</v>
      </c>
      <c r="I1927" s="5">
        <v>44531</v>
      </c>
      <c r="J1927" s="6">
        <v>0</v>
      </c>
      <c r="K1927" s="6">
        <v>0</v>
      </c>
      <c r="L1927" s="6">
        <v>2113.3249999999998</v>
      </c>
      <c r="M1927" s="6">
        <v>2113.3249999999998</v>
      </c>
      <c r="N1927" s="6">
        <v>2113.3249999999998</v>
      </c>
      <c r="O1927" s="6">
        <v>2113.3249999999998</v>
      </c>
      <c r="P1927" s="6">
        <v>2642</v>
      </c>
      <c r="Q1927" s="4" t="s">
        <v>26</v>
      </c>
      <c r="R1927" s="4">
        <v>0</v>
      </c>
      <c r="S1927" s="4" t="s">
        <v>656</v>
      </c>
      <c r="T1927" s="4" t="s">
        <v>920</v>
      </c>
      <c r="U1927" s="4">
        <v>0</v>
      </c>
      <c r="V1927" s="4">
        <v>69</v>
      </c>
      <c r="W1927" s="4">
        <v>112</v>
      </c>
    </row>
    <row r="1928" spans="1:23" ht="11.25" customHeight="1" x14ac:dyDescent="0.25">
      <c r="A1928" s="4" t="s">
        <v>28</v>
      </c>
      <c r="B1928" s="4" t="s">
        <v>37</v>
      </c>
      <c r="C1928" s="4" t="s">
        <v>23</v>
      </c>
      <c r="D1928" s="4" t="s">
        <v>38</v>
      </c>
      <c r="E1928" s="4" t="s">
        <v>25</v>
      </c>
      <c r="F1928" s="4" t="s">
        <v>25</v>
      </c>
      <c r="G1928" s="4" t="s">
        <v>25</v>
      </c>
      <c r="H1928" s="4" t="s">
        <v>25</v>
      </c>
      <c r="I1928" s="5">
        <v>44531</v>
      </c>
      <c r="J1928" s="6">
        <v>0</v>
      </c>
      <c r="K1928" s="6">
        <v>0</v>
      </c>
      <c r="L1928" s="6">
        <v>343.57600000000002</v>
      </c>
      <c r="M1928" s="6">
        <v>343.57600000000002</v>
      </c>
      <c r="N1928" s="6">
        <v>343.57600000000002</v>
      </c>
      <c r="O1928" s="6">
        <v>343.57600000000002</v>
      </c>
      <c r="P1928" s="6">
        <v>433</v>
      </c>
      <c r="Q1928" s="4" t="s">
        <v>26</v>
      </c>
      <c r="R1928" s="4">
        <v>0</v>
      </c>
      <c r="S1928" s="4" t="s">
        <v>656</v>
      </c>
      <c r="T1928" s="4" t="s">
        <v>920</v>
      </c>
      <c r="U1928" s="4">
        <v>0</v>
      </c>
      <c r="V1928" s="4">
        <v>69</v>
      </c>
      <c r="W1928" s="4">
        <v>112</v>
      </c>
    </row>
    <row r="1929" spans="1:23" ht="11.25" customHeight="1" x14ac:dyDescent="0.25">
      <c r="A1929" s="4" t="s">
        <v>28</v>
      </c>
      <c r="B1929" s="4" t="s">
        <v>37</v>
      </c>
      <c r="C1929" s="4" t="s">
        <v>23</v>
      </c>
      <c r="D1929" s="4" t="s">
        <v>38</v>
      </c>
      <c r="E1929" s="4" t="s">
        <v>25</v>
      </c>
      <c r="F1929" s="4" t="s">
        <v>25</v>
      </c>
      <c r="G1929" s="4" t="s">
        <v>25</v>
      </c>
      <c r="H1929" s="4" t="s">
        <v>25</v>
      </c>
      <c r="I1929" s="5">
        <v>44531</v>
      </c>
      <c r="J1929" s="6">
        <v>0</v>
      </c>
      <c r="K1929" s="6">
        <v>0</v>
      </c>
      <c r="L1929" s="6">
        <v>-5.93</v>
      </c>
      <c r="M1929" s="6">
        <v>-5.93</v>
      </c>
      <c r="N1929" s="6">
        <v>-5.93</v>
      </c>
      <c r="O1929" s="6">
        <v>-5.93</v>
      </c>
      <c r="P1929" s="6">
        <v>0</v>
      </c>
      <c r="Q1929" s="4" t="s">
        <v>26</v>
      </c>
      <c r="R1929" s="4">
        <v>0</v>
      </c>
      <c r="S1929" s="4" t="s">
        <v>656</v>
      </c>
      <c r="T1929" s="4" t="s">
        <v>920</v>
      </c>
      <c r="U1929" s="4">
        <v>0</v>
      </c>
      <c r="V1929" s="4">
        <v>69</v>
      </c>
      <c r="W1929" s="4">
        <v>112</v>
      </c>
    </row>
    <row r="1930" spans="1:23" ht="11.25" customHeight="1" x14ac:dyDescent="0.25">
      <c r="A1930" s="4" t="s">
        <v>21</v>
      </c>
      <c r="B1930" s="4" t="s">
        <v>37</v>
      </c>
      <c r="C1930" s="4" t="s">
        <v>23</v>
      </c>
      <c r="D1930" s="4" t="s">
        <v>38</v>
      </c>
      <c r="E1930" s="4" t="s">
        <v>25</v>
      </c>
      <c r="F1930" s="4" t="s">
        <v>25</v>
      </c>
      <c r="G1930" s="4" t="s">
        <v>25</v>
      </c>
      <c r="H1930" s="4" t="s">
        <v>25</v>
      </c>
      <c r="I1930" s="5">
        <v>44562</v>
      </c>
      <c r="J1930" s="6">
        <v>0</v>
      </c>
      <c r="K1930" s="6">
        <v>0</v>
      </c>
      <c r="L1930" s="6">
        <v>1810.5820000000001</v>
      </c>
      <c r="M1930" s="6">
        <v>1810.5820000000001</v>
      </c>
      <c r="N1930" s="6">
        <v>1810.5820000000001</v>
      </c>
      <c r="O1930" s="6">
        <v>1810.5820000000001</v>
      </c>
      <c r="P1930" s="6">
        <v>2632</v>
      </c>
      <c r="Q1930" s="4" t="s">
        <v>26</v>
      </c>
      <c r="R1930" s="4">
        <v>0</v>
      </c>
      <c r="S1930" s="4" t="s">
        <v>657</v>
      </c>
      <c r="T1930" s="4" t="s">
        <v>921</v>
      </c>
      <c r="U1930" s="4">
        <v>0</v>
      </c>
      <c r="V1930" s="4">
        <v>69</v>
      </c>
      <c r="W1930" s="4">
        <v>112</v>
      </c>
    </row>
    <row r="1931" spans="1:23" ht="11.25" customHeight="1" x14ac:dyDescent="0.25">
      <c r="A1931" s="4" t="s">
        <v>27</v>
      </c>
      <c r="B1931" s="4" t="s">
        <v>37</v>
      </c>
      <c r="C1931" s="4" t="s">
        <v>23</v>
      </c>
      <c r="D1931" s="4" t="s">
        <v>38</v>
      </c>
      <c r="E1931" s="4" t="s">
        <v>25</v>
      </c>
      <c r="F1931" s="4" t="s">
        <v>25</v>
      </c>
      <c r="G1931" s="4" t="s">
        <v>25</v>
      </c>
      <c r="H1931" s="4" t="s">
        <v>25</v>
      </c>
      <c r="I1931" s="5">
        <v>44562</v>
      </c>
      <c r="J1931" s="6">
        <v>0</v>
      </c>
      <c r="K1931" s="6">
        <v>0</v>
      </c>
      <c r="L1931" s="6">
        <v>-163.23699999999999</v>
      </c>
      <c r="M1931" s="6">
        <v>-163.23699999999999</v>
      </c>
      <c r="N1931" s="6">
        <v>-163.23699999999999</v>
      </c>
      <c r="O1931" s="6">
        <v>-163.23699999999999</v>
      </c>
      <c r="P1931" s="6">
        <v>-110</v>
      </c>
      <c r="Q1931" s="4" t="s">
        <v>26</v>
      </c>
      <c r="R1931" s="4">
        <v>0</v>
      </c>
      <c r="S1931" s="4" t="s">
        <v>657</v>
      </c>
      <c r="T1931" s="4" t="s">
        <v>921</v>
      </c>
      <c r="U1931" s="4">
        <v>0</v>
      </c>
      <c r="V1931" s="4">
        <v>69</v>
      </c>
      <c r="W1931" s="4">
        <v>112</v>
      </c>
    </row>
    <row r="1932" spans="1:23" ht="11.25" customHeight="1" x14ac:dyDescent="0.25">
      <c r="A1932" s="4" t="s">
        <v>28</v>
      </c>
      <c r="B1932" s="4" t="s">
        <v>37</v>
      </c>
      <c r="C1932" s="4" t="s">
        <v>23</v>
      </c>
      <c r="D1932" s="4" t="s">
        <v>38</v>
      </c>
      <c r="E1932" s="4" t="s">
        <v>25</v>
      </c>
      <c r="F1932" s="4" t="s">
        <v>25</v>
      </c>
      <c r="G1932" s="4" t="s">
        <v>25</v>
      </c>
      <c r="H1932" s="4" t="s">
        <v>25</v>
      </c>
      <c r="I1932" s="5">
        <v>44562</v>
      </c>
      <c r="J1932" s="6">
        <v>0</v>
      </c>
      <c r="K1932" s="6">
        <v>0</v>
      </c>
      <c r="L1932" s="6">
        <v>294.92399999999998</v>
      </c>
      <c r="M1932" s="6">
        <v>294.92399999999998</v>
      </c>
      <c r="N1932" s="6">
        <v>294.92399999999998</v>
      </c>
      <c r="O1932" s="6">
        <v>294.92399999999998</v>
      </c>
      <c r="P1932" s="6">
        <v>458</v>
      </c>
      <c r="Q1932" s="4" t="s">
        <v>26</v>
      </c>
      <c r="R1932" s="4">
        <v>0</v>
      </c>
      <c r="S1932" s="4" t="s">
        <v>657</v>
      </c>
      <c r="T1932" s="4" t="s">
        <v>921</v>
      </c>
      <c r="U1932" s="4">
        <v>0</v>
      </c>
      <c r="V1932" s="4">
        <v>69</v>
      </c>
      <c r="W1932" s="4">
        <v>112</v>
      </c>
    </row>
    <row r="1933" spans="1:23" ht="11.25" customHeight="1" x14ac:dyDescent="0.25">
      <c r="A1933" s="4" t="s">
        <v>28</v>
      </c>
      <c r="B1933" s="4" t="s">
        <v>37</v>
      </c>
      <c r="C1933" s="4" t="s">
        <v>23</v>
      </c>
      <c r="D1933" s="4" t="s">
        <v>38</v>
      </c>
      <c r="E1933" s="4" t="s">
        <v>25</v>
      </c>
      <c r="F1933" s="4" t="s">
        <v>25</v>
      </c>
      <c r="G1933" s="4" t="s">
        <v>25</v>
      </c>
      <c r="H1933" s="4" t="s">
        <v>25</v>
      </c>
      <c r="I1933" s="5">
        <v>44562</v>
      </c>
      <c r="J1933" s="6">
        <v>0</v>
      </c>
      <c r="K1933" s="6">
        <v>0</v>
      </c>
      <c r="L1933" s="6">
        <v>-0.05</v>
      </c>
      <c r="M1933" s="6">
        <v>-0.05</v>
      </c>
      <c r="N1933" s="6">
        <v>-0.05</v>
      </c>
      <c r="O1933" s="6">
        <v>-0.05</v>
      </c>
      <c r="P1933" s="6">
        <v>0</v>
      </c>
      <c r="Q1933" s="4" t="s">
        <v>26</v>
      </c>
      <c r="R1933" s="4">
        <v>0</v>
      </c>
      <c r="S1933" s="4" t="s">
        <v>657</v>
      </c>
      <c r="T1933" s="4" t="s">
        <v>921</v>
      </c>
      <c r="U1933" s="4">
        <v>0</v>
      </c>
      <c r="V1933" s="4">
        <v>69</v>
      </c>
      <c r="W1933" s="4">
        <v>112</v>
      </c>
    </row>
    <row r="1934" spans="1:23" ht="11.25" customHeight="1" x14ac:dyDescent="0.25">
      <c r="A1934" s="4" t="s">
        <v>21</v>
      </c>
      <c r="B1934" s="4" t="s">
        <v>37</v>
      </c>
      <c r="C1934" s="4" t="s">
        <v>23</v>
      </c>
      <c r="D1934" s="4" t="s">
        <v>38</v>
      </c>
      <c r="E1934" s="4" t="s">
        <v>25</v>
      </c>
      <c r="F1934" s="4" t="s">
        <v>25</v>
      </c>
      <c r="G1934" s="4" t="s">
        <v>25</v>
      </c>
      <c r="H1934" s="4" t="s">
        <v>25</v>
      </c>
      <c r="I1934" s="5">
        <v>44593</v>
      </c>
      <c r="J1934" s="6">
        <v>0</v>
      </c>
      <c r="K1934" s="6">
        <v>0</v>
      </c>
      <c r="L1934" s="6">
        <v>1946.0160000000001</v>
      </c>
      <c r="M1934" s="6">
        <v>1946.0160000000001</v>
      </c>
      <c r="N1934" s="6">
        <v>1946.0160000000001</v>
      </c>
      <c r="O1934" s="6">
        <v>1946.0160000000001</v>
      </c>
      <c r="P1934" s="6">
        <v>2647</v>
      </c>
      <c r="Q1934" s="4" t="s">
        <v>26</v>
      </c>
      <c r="R1934" s="4">
        <v>0</v>
      </c>
      <c r="S1934" s="4" t="s">
        <v>658</v>
      </c>
      <c r="T1934" s="4" t="s">
        <v>922</v>
      </c>
      <c r="U1934" s="4">
        <v>0</v>
      </c>
      <c r="V1934" s="4">
        <v>69</v>
      </c>
      <c r="W1934" s="4">
        <v>112</v>
      </c>
    </row>
    <row r="1935" spans="1:23" ht="11.25" customHeight="1" x14ac:dyDescent="0.25">
      <c r="A1935" s="4" t="s">
        <v>28</v>
      </c>
      <c r="B1935" s="4" t="s">
        <v>37</v>
      </c>
      <c r="C1935" s="4" t="s">
        <v>23</v>
      </c>
      <c r="D1935" s="4" t="s">
        <v>38</v>
      </c>
      <c r="E1935" s="4" t="s">
        <v>25</v>
      </c>
      <c r="F1935" s="4" t="s">
        <v>25</v>
      </c>
      <c r="G1935" s="4" t="s">
        <v>25</v>
      </c>
      <c r="H1935" s="4" t="s">
        <v>25</v>
      </c>
      <c r="I1935" s="5">
        <v>44593</v>
      </c>
      <c r="J1935" s="6">
        <v>0</v>
      </c>
      <c r="K1935" s="6">
        <v>0</v>
      </c>
      <c r="L1935" s="6">
        <v>352.29399999999998</v>
      </c>
      <c r="M1935" s="6">
        <v>352.29399999999998</v>
      </c>
      <c r="N1935" s="6">
        <v>352.29399999999998</v>
      </c>
      <c r="O1935" s="6">
        <v>352.29399999999998</v>
      </c>
      <c r="P1935" s="6">
        <v>486</v>
      </c>
      <c r="Q1935" s="4" t="s">
        <v>26</v>
      </c>
      <c r="R1935" s="4">
        <v>0</v>
      </c>
      <c r="S1935" s="4" t="s">
        <v>658</v>
      </c>
      <c r="T1935" s="4" t="s">
        <v>922</v>
      </c>
      <c r="U1935" s="4">
        <v>0</v>
      </c>
      <c r="V1935" s="4">
        <v>69</v>
      </c>
      <c r="W1935" s="4">
        <v>112</v>
      </c>
    </row>
    <row r="1936" spans="1:23" ht="11.25" customHeight="1" x14ac:dyDescent="0.25">
      <c r="A1936" s="4" t="s">
        <v>21</v>
      </c>
      <c r="B1936" s="4" t="s">
        <v>37</v>
      </c>
      <c r="C1936" s="4" t="s">
        <v>23</v>
      </c>
      <c r="D1936" s="4" t="s">
        <v>38</v>
      </c>
      <c r="E1936" s="4" t="s">
        <v>25</v>
      </c>
      <c r="F1936" s="4" t="s">
        <v>25</v>
      </c>
      <c r="G1936" s="4" t="s">
        <v>25</v>
      </c>
      <c r="H1936" s="4" t="s">
        <v>25</v>
      </c>
      <c r="I1936" s="5">
        <v>44621</v>
      </c>
      <c r="J1936" s="6">
        <v>0</v>
      </c>
      <c r="K1936" s="6">
        <v>0</v>
      </c>
      <c r="L1936" s="6">
        <v>2016.309</v>
      </c>
      <c r="M1936" s="6">
        <v>2016.309</v>
      </c>
      <c r="N1936" s="6">
        <v>2016.309</v>
      </c>
      <c r="O1936" s="6">
        <v>2016.309</v>
      </c>
      <c r="P1936" s="6">
        <v>2636</v>
      </c>
      <c r="Q1936" s="4" t="s">
        <v>26</v>
      </c>
      <c r="R1936" s="4">
        <v>0</v>
      </c>
      <c r="S1936" s="4" t="s">
        <v>659</v>
      </c>
      <c r="T1936" s="4" t="s">
        <v>923</v>
      </c>
      <c r="U1936" s="4">
        <v>0</v>
      </c>
      <c r="V1936" s="4">
        <v>69</v>
      </c>
      <c r="W1936" s="4">
        <v>112</v>
      </c>
    </row>
    <row r="1937" spans="1:23" ht="11.25" customHeight="1" x14ac:dyDescent="0.25">
      <c r="A1937" s="4" t="s">
        <v>27</v>
      </c>
      <c r="B1937" s="4" t="s">
        <v>37</v>
      </c>
      <c r="C1937" s="4" t="s">
        <v>23</v>
      </c>
      <c r="D1937" s="4" t="s">
        <v>38</v>
      </c>
      <c r="E1937" s="4" t="s">
        <v>25</v>
      </c>
      <c r="F1937" s="4" t="s">
        <v>25</v>
      </c>
      <c r="G1937" s="4" t="s">
        <v>25</v>
      </c>
      <c r="H1937" s="4" t="s">
        <v>25</v>
      </c>
      <c r="I1937" s="5">
        <v>44621</v>
      </c>
      <c r="J1937" s="6">
        <v>0</v>
      </c>
      <c r="K1937" s="6">
        <v>0</v>
      </c>
      <c r="L1937" s="6">
        <v>-5.1769999999999996</v>
      </c>
      <c r="M1937" s="6">
        <v>-5.1769999999999996</v>
      </c>
      <c r="N1937" s="6">
        <v>-5.1769999999999996</v>
      </c>
      <c r="O1937" s="6">
        <v>-5.1769999999999996</v>
      </c>
      <c r="P1937" s="6">
        <v>0</v>
      </c>
      <c r="Q1937" s="4" t="s">
        <v>26</v>
      </c>
      <c r="R1937" s="4">
        <v>0</v>
      </c>
      <c r="S1937" s="4" t="s">
        <v>659</v>
      </c>
      <c r="T1937" s="4" t="s">
        <v>923</v>
      </c>
      <c r="U1937" s="4">
        <v>0</v>
      </c>
      <c r="V1937" s="4">
        <v>69</v>
      </c>
      <c r="W1937" s="4">
        <v>112</v>
      </c>
    </row>
    <row r="1938" spans="1:23" ht="11.25" customHeight="1" x14ac:dyDescent="0.25">
      <c r="A1938" s="4" t="s">
        <v>28</v>
      </c>
      <c r="B1938" s="4" t="s">
        <v>37</v>
      </c>
      <c r="C1938" s="4" t="s">
        <v>23</v>
      </c>
      <c r="D1938" s="4" t="s">
        <v>38</v>
      </c>
      <c r="E1938" s="4" t="s">
        <v>25</v>
      </c>
      <c r="F1938" s="4" t="s">
        <v>25</v>
      </c>
      <c r="G1938" s="4" t="s">
        <v>25</v>
      </c>
      <c r="H1938" s="4" t="s">
        <v>25</v>
      </c>
      <c r="I1938" s="5">
        <v>44621</v>
      </c>
      <c r="J1938" s="6">
        <v>0</v>
      </c>
      <c r="K1938" s="6">
        <v>0</v>
      </c>
      <c r="L1938" s="6">
        <v>351.66300000000001</v>
      </c>
      <c r="M1938" s="6">
        <v>351.66300000000001</v>
      </c>
      <c r="N1938" s="6">
        <v>351.66300000000001</v>
      </c>
      <c r="O1938" s="6">
        <v>351.66300000000001</v>
      </c>
      <c r="P1938" s="6">
        <v>500</v>
      </c>
      <c r="Q1938" s="4" t="s">
        <v>26</v>
      </c>
      <c r="R1938" s="4">
        <v>0</v>
      </c>
      <c r="S1938" s="4" t="s">
        <v>659</v>
      </c>
      <c r="T1938" s="4" t="s">
        <v>923</v>
      </c>
      <c r="U1938" s="4">
        <v>0</v>
      </c>
      <c r="V1938" s="4">
        <v>69</v>
      </c>
      <c r="W1938" s="4">
        <v>112</v>
      </c>
    </row>
    <row r="1939" spans="1:23" ht="11.25" customHeight="1" x14ac:dyDescent="0.25">
      <c r="A1939" s="4" t="s">
        <v>21</v>
      </c>
      <c r="B1939" s="4" t="s">
        <v>37</v>
      </c>
      <c r="C1939" s="4" t="s">
        <v>23</v>
      </c>
      <c r="D1939" s="4" t="s">
        <v>38</v>
      </c>
      <c r="E1939" s="4" t="s">
        <v>25</v>
      </c>
      <c r="F1939" s="4" t="s">
        <v>25</v>
      </c>
      <c r="G1939" s="4" t="s">
        <v>25</v>
      </c>
      <c r="H1939" s="4" t="s">
        <v>25</v>
      </c>
      <c r="I1939" s="5">
        <v>44652</v>
      </c>
      <c r="J1939" s="6">
        <v>0</v>
      </c>
      <c r="K1939" s="6">
        <v>0</v>
      </c>
      <c r="L1939" s="6">
        <v>1996.8</v>
      </c>
      <c r="M1939" s="6">
        <v>1996.8</v>
      </c>
      <c r="N1939" s="6">
        <v>1996.8</v>
      </c>
      <c r="O1939" s="6">
        <v>1996.8</v>
      </c>
      <c r="P1939" s="6">
        <v>2602</v>
      </c>
      <c r="Q1939" s="4" t="s">
        <v>26</v>
      </c>
      <c r="R1939" s="4">
        <v>0</v>
      </c>
      <c r="S1939" s="4" t="s">
        <v>660</v>
      </c>
      <c r="T1939" s="4" t="s">
        <v>924</v>
      </c>
      <c r="U1939" s="4">
        <v>0</v>
      </c>
      <c r="V1939" s="4">
        <v>69</v>
      </c>
      <c r="W1939" s="4">
        <v>112</v>
      </c>
    </row>
    <row r="1940" spans="1:23" ht="11.25" customHeight="1" x14ac:dyDescent="0.25">
      <c r="A1940" s="4" t="s">
        <v>27</v>
      </c>
      <c r="B1940" s="4" t="s">
        <v>37</v>
      </c>
      <c r="C1940" s="4" t="s">
        <v>23</v>
      </c>
      <c r="D1940" s="4" t="s">
        <v>38</v>
      </c>
      <c r="E1940" s="4" t="s">
        <v>25</v>
      </c>
      <c r="F1940" s="4" t="s">
        <v>25</v>
      </c>
      <c r="G1940" s="4" t="s">
        <v>25</v>
      </c>
      <c r="H1940" s="4" t="s">
        <v>25</v>
      </c>
      <c r="I1940" s="5">
        <v>44652</v>
      </c>
      <c r="J1940" s="6">
        <v>0</v>
      </c>
      <c r="K1940" s="6">
        <v>0</v>
      </c>
      <c r="L1940" s="6">
        <v>2.3420000000000001</v>
      </c>
      <c r="M1940" s="6">
        <v>2.3420000000000001</v>
      </c>
      <c r="N1940" s="6">
        <v>2.3420000000000001</v>
      </c>
      <c r="O1940" s="6">
        <v>2.3420000000000001</v>
      </c>
      <c r="P1940" s="6">
        <v>0</v>
      </c>
      <c r="Q1940" s="4" t="s">
        <v>26</v>
      </c>
      <c r="R1940" s="4">
        <v>0</v>
      </c>
      <c r="S1940" s="4" t="s">
        <v>660</v>
      </c>
      <c r="T1940" s="4" t="s">
        <v>924</v>
      </c>
      <c r="U1940" s="4">
        <v>0</v>
      </c>
      <c r="V1940" s="4">
        <v>69</v>
      </c>
      <c r="W1940" s="4">
        <v>112</v>
      </c>
    </row>
    <row r="1941" spans="1:23" ht="11.25" customHeight="1" x14ac:dyDescent="0.25">
      <c r="A1941" s="4" t="s">
        <v>28</v>
      </c>
      <c r="B1941" s="4" t="s">
        <v>37</v>
      </c>
      <c r="C1941" s="4" t="s">
        <v>23</v>
      </c>
      <c r="D1941" s="4" t="s">
        <v>38</v>
      </c>
      <c r="E1941" s="4" t="s">
        <v>25</v>
      </c>
      <c r="F1941" s="4" t="s">
        <v>25</v>
      </c>
      <c r="G1941" s="4" t="s">
        <v>25</v>
      </c>
      <c r="H1941" s="4" t="s">
        <v>25</v>
      </c>
      <c r="I1941" s="5">
        <v>44652</v>
      </c>
      <c r="J1941" s="6">
        <v>0</v>
      </c>
      <c r="K1941" s="6">
        <v>0</v>
      </c>
      <c r="L1941" s="6">
        <v>350.77100000000002</v>
      </c>
      <c r="M1941" s="6">
        <v>350.77100000000002</v>
      </c>
      <c r="N1941" s="6">
        <v>350.77100000000002</v>
      </c>
      <c r="O1941" s="6">
        <v>350.77100000000002</v>
      </c>
      <c r="P1941" s="6">
        <v>516</v>
      </c>
      <c r="Q1941" s="4" t="s">
        <v>26</v>
      </c>
      <c r="R1941" s="4">
        <v>0</v>
      </c>
      <c r="S1941" s="4" t="s">
        <v>660</v>
      </c>
      <c r="T1941" s="4" t="s">
        <v>924</v>
      </c>
      <c r="U1941" s="4">
        <v>0</v>
      </c>
      <c r="V1941" s="4">
        <v>69</v>
      </c>
      <c r="W1941" s="4">
        <v>112</v>
      </c>
    </row>
    <row r="1942" spans="1:23" ht="11.25" customHeight="1" x14ac:dyDescent="0.25">
      <c r="A1942" s="4" t="s">
        <v>28</v>
      </c>
      <c r="B1942" s="4" t="s">
        <v>37</v>
      </c>
      <c r="C1942" s="4" t="s">
        <v>23</v>
      </c>
      <c r="D1942" s="4" t="s">
        <v>38</v>
      </c>
      <c r="E1942" s="4" t="s">
        <v>25</v>
      </c>
      <c r="F1942" s="4" t="s">
        <v>25</v>
      </c>
      <c r="G1942" s="4" t="s">
        <v>25</v>
      </c>
      <c r="H1942" s="4" t="s">
        <v>25</v>
      </c>
      <c r="I1942" s="5">
        <v>44652</v>
      </c>
      <c r="J1942" s="6">
        <v>0</v>
      </c>
      <c r="K1942" s="6">
        <v>0</v>
      </c>
      <c r="L1942" s="6">
        <v>14.4</v>
      </c>
      <c r="M1942" s="6">
        <v>14.4</v>
      </c>
      <c r="N1942" s="6">
        <v>14.4</v>
      </c>
      <c r="O1942" s="6">
        <v>14.4</v>
      </c>
      <c r="P1942" s="6">
        <v>0</v>
      </c>
      <c r="Q1942" s="4" t="s">
        <v>26</v>
      </c>
      <c r="R1942" s="4">
        <v>0</v>
      </c>
      <c r="S1942" s="4" t="s">
        <v>660</v>
      </c>
      <c r="T1942" s="4" t="s">
        <v>924</v>
      </c>
      <c r="U1942" s="4">
        <v>0</v>
      </c>
      <c r="V1942" s="4">
        <v>69</v>
      </c>
      <c r="W1942" s="4">
        <v>112</v>
      </c>
    </row>
    <row r="1943" spans="1:23" ht="11.25" customHeight="1" x14ac:dyDescent="0.25">
      <c r="A1943" s="4" t="s">
        <v>58</v>
      </c>
      <c r="B1943" s="4" t="s">
        <v>37</v>
      </c>
      <c r="C1943" s="4" t="s">
        <v>23</v>
      </c>
      <c r="D1943" s="4" t="s">
        <v>38</v>
      </c>
      <c r="E1943" s="4" t="s">
        <v>25</v>
      </c>
      <c r="F1943" s="4" t="s">
        <v>25</v>
      </c>
      <c r="G1943" s="4" t="s">
        <v>25</v>
      </c>
      <c r="H1943" s="4" t="s">
        <v>25</v>
      </c>
      <c r="I1943" s="5">
        <v>44682</v>
      </c>
      <c r="J1943" s="6">
        <v>0</v>
      </c>
      <c r="K1943" s="6">
        <v>0</v>
      </c>
      <c r="L1943" s="6">
        <v>1996.8</v>
      </c>
      <c r="M1943" s="6">
        <v>1996.8</v>
      </c>
      <c r="N1943" s="6">
        <v>1996.8</v>
      </c>
      <c r="O1943" s="6">
        <v>1996.8</v>
      </c>
      <c r="P1943" s="6">
        <v>2602</v>
      </c>
      <c r="Q1943" s="4" t="s">
        <v>26</v>
      </c>
      <c r="R1943" s="4">
        <v>0</v>
      </c>
      <c r="S1943" s="4" t="s">
        <v>661</v>
      </c>
      <c r="T1943" s="4" t="s">
        <v>925</v>
      </c>
      <c r="U1943" s="4">
        <v>0</v>
      </c>
      <c r="V1943" s="4">
        <v>69</v>
      </c>
      <c r="W1943" s="4">
        <v>112</v>
      </c>
    </row>
    <row r="1944" spans="1:23" ht="11.25" customHeight="1" x14ac:dyDescent="0.25">
      <c r="A1944" s="4" t="s">
        <v>58</v>
      </c>
      <c r="B1944" s="4" t="s">
        <v>37</v>
      </c>
      <c r="C1944" s="4" t="s">
        <v>23</v>
      </c>
      <c r="D1944" s="4" t="s">
        <v>38</v>
      </c>
      <c r="E1944" s="4" t="s">
        <v>25</v>
      </c>
      <c r="F1944" s="4" t="s">
        <v>25</v>
      </c>
      <c r="G1944" s="4" t="s">
        <v>25</v>
      </c>
      <c r="H1944" s="4" t="s">
        <v>25</v>
      </c>
      <c r="I1944" s="5">
        <v>44682</v>
      </c>
      <c r="J1944" s="6">
        <v>0</v>
      </c>
      <c r="K1944" s="6">
        <v>0</v>
      </c>
      <c r="L1944" s="6">
        <v>2.3420000000000001</v>
      </c>
      <c r="M1944" s="6">
        <v>2.3420000000000001</v>
      </c>
      <c r="N1944" s="6">
        <v>2.3420000000000001</v>
      </c>
      <c r="O1944" s="6">
        <v>2.3420000000000001</v>
      </c>
      <c r="P1944" s="6">
        <v>0</v>
      </c>
      <c r="Q1944" s="4" t="s">
        <v>26</v>
      </c>
      <c r="R1944" s="4">
        <v>0</v>
      </c>
      <c r="S1944" s="4" t="s">
        <v>661</v>
      </c>
      <c r="T1944" s="4" t="s">
        <v>925</v>
      </c>
      <c r="U1944" s="4">
        <v>0</v>
      </c>
      <c r="V1944" s="4">
        <v>69</v>
      </c>
      <c r="W1944" s="4">
        <v>112</v>
      </c>
    </row>
    <row r="1945" spans="1:23" ht="11.25" customHeight="1" x14ac:dyDescent="0.25">
      <c r="A1945" s="4" t="s">
        <v>58</v>
      </c>
      <c r="B1945" s="4" t="s">
        <v>37</v>
      </c>
      <c r="C1945" s="4" t="s">
        <v>23</v>
      </c>
      <c r="D1945" s="4" t="s">
        <v>38</v>
      </c>
      <c r="E1945" s="4" t="s">
        <v>25</v>
      </c>
      <c r="F1945" s="4" t="s">
        <v>25</v>
      </c>
      <c r="G1945" s="4" t="s">
        <v>25</v>
      </c>
      <c r="H1945" s="4" t="s">
        <v>25</v>
      </c>
      <c r="I1945" s="5">
        <v>44682</v>
      </c>
      <c r="J1945" s="6">
        <v>0</v>
      </c>
      <c r="K1945" s="6">
        <v>0</v>
      </c>
      <c r="L1945" s="6">
        <v>350.77100000000002</v>
      </c>
      <c r="M1945" s="6">
        <v>350.77100000000002</v>
      </c>
      <c r="N1945" s="6">
        <v>350.77100000000002</v>
      </c>
      <c r="O1945" s="6">
        <v>350.77100000000002</v>
      </c>
      <c r="P1945" s="6">
        <v>516</v>
      </c>
      <c r="Q1945" s="4" t="s">
        <v>26</v>
      </c>
      <c r="R1945" s="4">
        <v>0</v>
      </c>
      <c r="S1945" s="4" t="s">
        <v>661</v>
      </c>
      <c r="T1945" s="4" t="s">
        <v>925</v>
      </c>
      <c r="U1945" s="4">
        <v>0</v>
      </c>
      <c r="V1945" s="4">
        <v>69</v>
      </c>
      <c r="W1945" s="4">
        <v>112</v>
      </c>
    </row>
    <row r="1946" spans="1:23" ht="11.25" customHeight="1" x14ac:dyDescent="0.25">
      <c r="A1946" s="4" t="s">
        <v>58</v>
      </c>
      <c r="B1946" s="4" t="s">
        <v>37</v>
      </c>
      <c r="C1946" s="4" t="s">
        <v>23</v>
      </c>
      <c r="D1946" s="4" t="s">
        <v>38</v>
      </c>
      <c r="E1946" s="4" t="s">
        <v>25</v>
      </c>
      <c r="F1946" s="4" t="s">
        <v>25</v>
      </c>
      <c r="G1946" s="4" t="s">
        <v>25</v>
      </c>
      <c r="H1946" s="4" t="s">
        <v>25</v>
      </c>
      <c r="I1946" s="5">
        <v>44682</v>
      </c>
      <c r="J1946" s="6">
        <v>0</v>
      </c>
      <c r="K1946" s="6">
        <v>0</v>
      </c>
      <c r="L1946" s="6">
        <v>14.4</v>
      </c>
      <c r="M1946" s="6">
        <v>14.4</v>
      </c>
      <c r="N1946" s="6">
        <v>14.4</v>
      </c>
      <c r="O1946" s="6">
        <v>14.4</v>
      </c>
      <c r="P1946" s="6">
        <v>0</v>
      </c>
      <c r="Q1946" s="4" t="s">
        <v>26</v>
      </c>
      <c r="R1946" s="4">
        <v>0</v>
      </c>
      <c r="S1946" s="4" t="s">
        <v>661</v>
      </c>
      <c r="T1946" s="4" t="s">
        <v>925</v>
      </c>
      <c r="U1946" s="4">
        <v>0</v>
      </c>
      <c r="V1946" s="4">
        <v>69</v>
      </c>
      <c r="W1946" s="4">
        <v>112</v>
      </c>
    </row>
    <row r="1947" spans="1:23" ht="11.25" customHeight="1" x14ac:dyDescent="0.25">
      <c r="A1947" s="4" t="s">
        <v>21</v>
      </c>
      <c r="B1947" s="4" t="s">
        <v>37</v>
      </c>
      <c r="C1947" s="4" t="s">
        <v>23</v>
      </c>
      <c r="D1947" s="4" t="s">
        <v>46</v>
      </c>
      <c r="E1947" s="4" t="s">
        <v>25</v>
      </c>
      <c r="F1947" s="4" t="s">
        <v>25</v>
      </c>
      <c r="G1947" s="4" t="s">
        <v>25</v>
      </c>
      <c r="H1947" s="4" t="s">
        <v>25</v>
      </c>
      <c r="I1947" s="5">
        <v>44348</v>
      </c>
      <c r="J1947" s="6">
        <v>0</v>
      </c>
      <c r="K1947" s="6">
        <v>0</v>
      </c>
      <c r="L1947" s="6">
        <v>1572.9829999999999</v>
      </c>
      <c r="M1947" s="6">
        <v>1572.9829999999999</v>
      </c>
      <c r="N1947" s="6">
        <v>1572.9829999999999</v>
      </c>
      <c r="O1947" s="6">
        <v>1572.9829999999999</v>
      </c>
      <c r="P1947" s="6">
        <v>4025</v>
      </c>
      <c r="Q1947" s="4" t="s">
        <v>26</v>
      </c>
      <c r="R1947" s="4">
        <v>0</v>
      </c>
      <c r="S1947" s="4" t="s">
        <v>650</v>
      </c>
      <c r="T1947" s="4" t="s">
        <v>914</v>
      </c>
      <c r="U1947" s="4">
        <v>0</v>
      </c>
      <c r="V1947" s="4">
        <v>69</v>
      </c>
      <c r="W1947" s="4">
        <v>112</v>
      </c>
    </row>
    <row r="1948" spans="1:23" ht="11.25" customHeight="1" x14ac:dyDescent="0.25">
      <c r="A1948" s="4" t="s">
        <v>27</v>
      </c>
      <c r="B1948" s="4" t="s">
        <v>37</v>
      </c>
      <c r="C1948" s="4" t="s">
        <v>23</v>
      </c>
      <c r="D1948" s="4" t="s">
        <v>46</v>
      </c>
      <c r="E1948" s="4" t="s">
        <v>25</v>
      </c>
      <c r="F1948" s="4" t="s">
        <v>25</v>
      </c>
      <c r="G1948" s="4" t="s">
        <v>25</v>
      </c>
      <c r="H1948" s="4" t="s">
        <v>25</v>
      </c>
      <c r="I1948" s="5">
        <v>44348</v>
      </c>
      <c r="J1948" s="6">
        <v>0</v>
      </c>
      <c r="K1948" s="6">
        <v>0</v>
      </c>
      <c r="L1948" s="6">
        <v>-0.14599999999999999</v>
      </c>
      <c r="M1948" s="6">
        <v>-0.14599999999999999</v>
      </c>
      <c r="N1948" s="6">
        <v>-0.14599999999999999</v>
      </c>
      <c r="O1948" s="6">
        <v>-0.14599999999999999</v>
      </c>
      <c r="P1948" s="6">
        <v>-1</v>
      </c>
      <c r="Q1948" s="4" t="s">
        <v>26</v>
      </c>
      <c r="R1948" s="4">
        <v>0</v>
      </c>
      <c r="S1948" s="4" t="s">
        <v>650</v>
      </c>
      <c r="T1948" s="4" t="s">
        <v>914</v>
      </c>
      <c r="U1948" s="4">
        <v>0</v>
      </c>
      <c r="V1948" s="4">
        <v>69</v>
      </c>
      <c r="W1948" s="4">
        <v>112</v>
      </c>
    </row>
    <row r="1949" spans="1:23" ht="11.25" customHeight="1" x14ac:dyDescent="0.25">
      <c r="A1949" s="4" t="s">
        <v>28</v>
      </c>
      <c r="B1949" s="4" t="s">
        <v>37</v>
      </c>
      <c r="C1949" s="4" t="s">
        <v>23</v>
      </c>
      <c r="D1949" s="4" t="s">
        <v>46</v>
      </c>
      <c r="E1949" s="4" t="s">
        <v>25</v>
      </c>
      <c r="F1949" s="4" t="s">
        <v>25</v>
      </c>
      <c r="G1949" s="4" t="s">
        <v>25</v>
      </c>
      <c r="H1949" s="4" t="s">
        <v>25</v>
      </c>
      <c r="I1949" s="5">
        <v>44348</v>
      </c>
      <c r="J1949" s="6">
        <v>0</v>
      </c>
      <c r="K1949" s="6">
        <v>0</v>
      </c>
      <c r="L1949" s="6">
        <v>4.3209999999999997</v>
      </c>
      <c r="M1949" s="6">
        <v>4.3209999999999997</v>
      </c>
      <c r="N1949" s="6">
        <v>4.3209999999999997</v>
      </c>
      <c r="O1949" s="6">
        <v>4.3209999999999997</v>
      </c>
      <c r="P1949" s="6">
        <v>11</v>
      </c>
      <c r="Q1949" s="4" t="s">
        <v>26</v>
      </c>
      <c r="R1949" s="4">
        <v>0</v>
      </c>
      <c r="S1949" s="4" t="s">
        <v>650</v>
      </c>
      <c r="T1949" s="4" t="s">
        <v>914</v>
      </c>
      <c r="U1949" s="4">
        <v>0</v>
      </c>
      <c r="V1949" s="4">
        <v>69</v>
      </c>
      <c r="W1949" s="4">
        <v>112</v>
      </c>
    </row>
    <row r="1950" spans="1:23" ht="11.25" customHeight="1" x14ac:dyDescent="0.25">
      <c r="A1950" s="4" t="s">
        <v>21</v>
      </c>
      <c r="B1950" s="4" t="s">
        <v>37</v>
      </c>
      <c r="C1950" s="4" t="s">
        <v>23</v>
      </c>
      <c r="D1950" s="4" t="s">
        <v>46</v>
      </c>
      <c r="E1950" s="4" t="s">
        <v>25</v>
      </c>
      <c r="F1950" s="4" t="s">
        <v>25</v>
      </c>
      <c r="G1950" s="4" t="s">
        <v>25</v>
      </c>
      <c r="H1950" s="4" t="s">
        <v>25</v>
      </c>
      <c r="I1950" s="5">
        <v>44378</v>
      </c>
      <c r="J1950" s="6">
        <v>0</v>
      </c>
      <c r="K1950" s="6">
        <v>0</v>
      </c>
      <c r="L1950" s="6">
        <v>1542.046</v>
      </c>
      <c r="M1950" s="6">
        <v>1542.046</v>
      </c>
      <c r="N1950" s="6">
        <v>1542.046</v>
      </c>
      <c r="O1950" s="6">
        <v>1542.046</v>
      </c>
      <c r="P1950" s="6">
        <v>4035</v>
      </c>
      <c r="Q1950" s="4" t="s">
        <v>26</v>
      </c>
      <c r="R1950" s="4">
        <v>0</v>
      </c>
      <c r="S1950" s="4" t="s">
        <v>651</v>
      </c>
      <c r="T1950" s="4" t="s">
        <v>915</v>
      </c>
      <c r="U1950" s="4">
        <v>0</v>
      </c>
      <c r="V1950" s="4">
        <v>69</v>
      </c>
      <c r="W1950" s="4">
        <v>112</v>
      </c>
    </row>
    <row r="1951" spans="1:23" ht="11.25" customHeight="1" x14ac:dyDescent="0.25">
      <c r="A1951" s="4" t="s">
        <v>27</v>
      </c>
      <c r="B1951" s="4" t="s">
        <v>37</v>
      </c>
      <c r="C1951" s="4" t="s">
        <v>23</v>
      </c>
      <c r="D1951" s="4" t="s">
        <v>46</v>
      </c>
      <c r="E1951" s="4" t="s">
        <v>25</v>
      </c>
      <c r="F1951" s="4" t="s">
        <v>25</v>
      </c>
      <c r="G1951" s="4" t="s">
        <v>25</v>
      </c>
      <c r="H1951" s="4" t="s">
        <v>25</v>
      </c>
      <c r="I1951" s="5">
        <v>44378</v>
      </c>
      <c r="J1951" s="6">
        <v>0</v>
      </c>
      <c r="K1951" s="6">
        <v>0</v>
      </c>
      <c r="L1951" s="6">
        <v>-3.7280000000000002</v>
      </c>
      <c r="M1951" s="6">
        <v>-3.7280000000000002</v>
      </c>
      <c r="N1951" s="6">
        <v>-3.7280000000000002</v>
      </c>
      <c r="O1951" s="6">
        <v>-3.7280000000000002</v>
      </c>
      <c r="P1951" s="6">
        <v>7</v>
      </c>
      <c r="Q1951" s="4" t="s">
        <v>26</v>
      </c>
      <c r="R1951" s="4">
        <v>0</v>
      </c>
      <c r="S1951" s="4" t="s">
        <v>651</v>
      </c>
      <c r="T1951" s="4" t="s">
        <v>915</v>
      </c>
      <c r="U1951" s="4">
        <v>0</v>
      </c>
      <c r="V1951" s="4">
        <v>69</v>
      </c>
      <c r="W1951" s="4">
        <v>112</v>
      </c>
    </row>
    <row r="1952" spans="1:23" ht="11.25" customHeight="1" x14ac:dyDescent="0.25">
      <c r="A1952" s="4" t="s">
        <v>28</v>
      </c>
      <c r="B1952" s="4" t="s">
        <v>37</v>
      </c>
      <c r="C1952" s="4" t="s">
        <v>23</v>
      </c>
      <c r="D1952" s="4" t="s">
        <v>46</v>
      </c>
      <c r="E1952" s="4" t="s">
        <v>25</v>
      </c>
      <c r="F1952" s="4" t="s">
        <v>25</v>
      </c>
      <c r="G1952" s="4" t="s">
        <v>25</v>
      </c>
      <c r="H1952" s="4" t="s">
        <v>25</v>
      </c>
      <c r="I1952" s="5">
        <v>44378</v>
      </c>
      <c r="J1952" s="6">
        <v>0</v>
      </c>
      <c r="K1952" s="6">
        <v>0</v>
      </c>
      <c r="L1952" s="6">
        <v>4.1520000000000001</v>
      </c>
      <c r="M1952" s="6">
        <v>4.1520000000000001</v>
      </c>
      <c r="N1952" s="6">
        <v>4.1520000000000001</v>
      </c>
      <c r="O1952" s="6">
        <v>4.1520000000000001</v>
      </c>
      <c r="P1952" s="6">
        <v>11</v>
      </c>
      <c r="Q1952" s="4" t="s">
        <v>26</v>
      </c>
      <c r="R1952" s="4">
        <v>0</v>
      </c>
      <c r="S1952" s="4" t="s">
        <v>651</v>
      </c>
      <c r="T1952" s="4" t="s">
        <v>915</v>
      </c>
      <c r="U1952" s="4">
        <v>0</v>
      </c>
      <c r="V1952" s="4">
        <v>69</v>
      </c>
      <c r="W1952" s="4">
        <v>112</v>
      </c>
    </row>
    <row r="1953" spans="1:23" ht="11.25" customHeight="1" x14ac:dyDescent="0.25">
      <c r="A1953" s="4" t="s">
        <v>21</v>
      </c>
      <c r="B1953" s="4" t="s">
        <v>37</v>
      </c>
      <c r="C1953" s="4" t="s">
        <v>23</v>
      </c>
      <c r="D1953" s="4" t="s">
        <v>46</v>
      </c>
      <c r="E1953" s="4" t="s">
        <v>25</v>
      </c>
      <c r="F1953" s="4" t="s">
        <v>25</v>
      </c>
      <c r="G1953" s="4" t="s">
        <v>25</v>
      </c>
      <c r="H1953" s="4" t="s">
        <v>25</v>
      </c>
      <c r="I1953" s="5">
        <v>44409</v>
      </c>
      <c r="J1953" s="6">
        <v>0</v>
      </c>
      <c r="K1953" s="6">
        <v>0</v>
      </c>
      <c r="L1953" s="6">
        <v>1579.2439999999999</v>
      </c>
      <c r="M1953" s="6">
        <v>1579.2439999999999</v>
      </c>
      <c r="N1953" s="6">
        <v>1579.2439999999999</v>
      </c>
      <c r="O1953" s="6">
        <v>1579.2439999999999</v>
      </c>
      <c r="P1953" s="6">
        <v>4021</v>
      </c>
      <c r="Q1953" s="4" t="s">
        <v>26</v>
      </c>
      <c r="R1953" s="4">
        <v>0</v>
      </c>
      <c r="S1953" s="4" t="s">
        <v>652</v>
      </c>
      <c r="T1953" s="4" t="s">
        <v>916</v>
      </c>
      <c r="U1953" s="4">
        <v>0</v>
      </c>
      <c r="V1953" s="4">
        <v>69</v>
      </c>
      <c r="W1953" s="4">
        <v>112</v>
      </c>
    </row>
    <row r="1954" spans="1:23" ht="11.25" customHeight="1" x14ac:dyDescent="0.25">
      <c r="A1954" s="4" t="s">
        <v>27</v>
      </c>
      <c r="B1954" s="4" t="s">
        <v>37</v>
      </c>
      <c r="C1954" s="4" t="s">
        <v>23</v>
      </c>
      <c r="D1954" s="4" t="s">
        <v>46</v>
      </c>
      <c r="E1954" s="4" t="s">
        <v>25</v>
      </c>
      <c r="F1954" s="4" t="s">
        <v>25</v>
      </c>
      <c r="G1954" s="4" t="s">
        <v>25</v>
      </c>
      <c r="H1954" s="4" t="s">
        <v>25</v>
      </c>
      <c r="I1954" s="5">
        <v>44409</v>
      </c>
      <c r="J1954" s="6">
        <v>0</v>
      </c>
      <c r="K1954" s="6">
        <v>0</v>
      </c>
      <c r="L1954" s="6">
        <v>-2.7559999999999998</v>
      </c>
      <c r="M1954" s="6">
        <v>-2.7559999999999998</v>
      </c>
      <c r="N1954" s="6">
        <v>-2.7559999999999998</v>
      </c>
      <c r="O1954" s="6">
        <v>-2.7559999999999998</v>
      </c>
      <c r="P1954" s="6">
        <v>-3</v>
      </c>
      <c r="Q1954" s="4" t="s">
        <v>26</v>
      </c>
      <c r="R1954" s="4">
        <v>0</v>
      </c>
      <c r="S1954" s="4" t="s">
        <v>652</v>
      </c>
      <c r="T1954" s="4" t="s">
        <v>916</v>
      </c>
      <c r="U1954" s="4">
        <v>0</v>
      </c>
      <c r="V1954" s="4">
        <v>69</v>
      </c>
      <c r="W1954" s="4">
        <v>112</v>
      </c>
    </row>
    <row r="1955" spans="1:23" ht="11.25" customHeight="1" x14ac:dyDescent="0.25">
      <c r="A1955" s="4" t="s">
        <v>28</v>
      </c>
      <c r="B1955" s="4" t="s">
        <v>37</v>
      </c>
      <c r="C1955" s="4" t="s">
        <v>23</v>
      </c>
      <c r="D1955" s="4" t="s">
        <v>46</v>
      </c>
      <c r="E1955" s="4" t="s">
        <v>25</v>
      </c>
      <c r="F1955" s="4" t="s">
        <v>25</v>
      </c>
      <c r="G1955" s="4" t="s">
        <v>25</v>
      </c>
      <c r="H1955" s="4" t="s">
        <v>25</v>
      </c>
      <c r="I1955" s="5">
        <v>44409</v>
      </c>
      <c r="J1955" s="6">
        <v>0</v>
      </c>
      <c r="K1955" s="6">
        <v>0</v>
      </c>
      <c r="L1955" s="6">
        <v>4.8760000000000003</v>
      </c>
      <c r="M1955" s="6">
        <v>4.8760000000000003</v>
      </c>
      <c r="N1955" s="6">
        <v>4.8760000000000003</v>
      </c>
      <c r="O1955" s="6">
        <v>4.8760000000000003</v>
      </c>
      <c r="P1955" s="6">
        <v>11</v>
      </c>
      <c r="Q1955" s="4" t="s">
        <v>26</v>
      </c>
      <c r="R1955" s="4">
        <v>0</v>
      </c>
      <c r="S1955" s="4" t="s">
        <v>652</v>
      </c>
      <c r="T1955" s="4" t="s">
        <v>916</v>
      </c>
      <c r="U1955" s="4">
        <v>0</v>
      </c>
      <c r="V1955" s="4">
        <v>69</v>
      </c>
      <c r="W1955" s="4">
        <v>112</v>
      </c>
    </row>
    <row r="1956" spans="1:23" ht="11.25" customHeight="1" x14ac:dyDescent="0.25">
      <c r="A1956" s="4" t="s">
        <v>21</v>
      </c>
      <c r="B1956" s="4" t="s">
        <v>37</v>
      </c>
      <c r="C1956" s="4" t="s">
        <v>23</v>
      </c>
      <c r="D1956" s="4" t="s">
        <v>46</v>
      </c>
      <c r="E1956" s="4" t="s">
        <v>25</v>
      </c>
      <c r="F1956" s="4" t="s">
        <v>25</v>
      </c>
      <c r="G1956" s="4" t="s">
        <v>25</v>
      </c>
      <c r="H1956" s="4" t="s">
        <v>25</v>
      </c>
      <c r="I1956" s="5">
        <v>44440</v>
      </c>
      <c r="J1956" s="6">
        <v>0</v>
      </c>
      <c r="K1956" s="6">
        <v>0</v>
      </c>
      <c r="L1956" s="6">
        <v>1946.63</v>
      </c>
      <c r="M1956" s="6">
        <v>1946.63</v>
      </c>
      <c r="N1956" s="6">
        <v>1946.63</v>
      </c>
      <c r="O1956" s="6">
        <v>1946.63</v>
      </c>
      <c r="P1956" s="6">
        <v>4037</v>
      </c>
      <c r="Q1956" s="4" t="s">
        <v>26</v>
      </c>
      <c r="R1956" s="4">
        <v>0</v>
      </c>
      <c r="S1956" s="4" t="s">
        <v>653</v>
      </c>
      <c r="T1956" s="4" t="s">
        <v>917</v>
      </c>
      <c r="U1956" s="4">
        <v>0</v>
      </c>
      <c r="V1956" s="4">
        <v>69</v>
      </c>
      <c r="W1956" s="4">
        <v>112</v>
      </c>
    </row>
    <row r="1957" spans="1:23" ht="11.25" customHeight="1" x14ac:dyDescent="0.25">
      <c r="A1957" s="4" t="s">
        <v>27</v>
      </c>
      <c r="B1957" s="4" t="s">
        <v>37</v>
      </c>
      <c r="C1957" s="4" t="s">
        <v>23</v>
      </c>
      <c r="D1957" s="4" t="s">
        <v>46</v>
      </c>
      <c r="E1957" s="4" t="s">
        <v>25</v>
      </c>
      <c r="F1957" s="4" t="s">
        <v>25</v>
      </c>
      <c r="G1957" s="4" t="s">
        <v>25</v>
      </c>
      <c r="H1957" s="4" t="s">
        <v>25</v>
      </c>
      <c r="I1957" s="5">
        <v>44440</v>
      </c>
      <c r="J1957" s="6">
        <v>0</v>
      </c>
      <c r="K1957" s="6">
        <v>0</v>
      </c>
      <c r="L1957" s="6">
        <v>-0.127</v>
      </c>
      <c r="M1957" s="6">
        <v>-0.127</v>
      </c>
      <c r="N1957" s="6">
        <v>-0.127</v>
      </c>
      <c r="O1957" s="6">
        <v>-0.127</v>
      </c>
      <c r="P1957" s="6">
        <v>0</v>
      </c>
      <c r="Q1957" s="4" t="s">
        <v>26</v>
      </c>
      <c r="R1957" s="4">
        <v>0</v>
      </c>
      <c r="S1957" s="4" t="s">
        <v>653</v>
      </c>
      <c r="T1957" s="4" t="s">
        <v>917</v>
      </c>
      <c r="U1957" s="4">
        <v>0</v>
      </c>
      <c r="V1957" s="4">
        <v>69</v>
      </c>
      <c r="W1957" s="4">
        <v>112</v>
      </c>
    </row>
    <row r="1958" spans="1:23" ht="11.25" customHeight="1" x14ac:dyDescent="0.25">
      <c r="A1958" s="4" t="s">
        <v>28</v>
      </c>
      <c r="B1958" s="4" t="s">
        <v>37</v>
      </c>
      <c r="C1958" s="4" t="s">
        <v>23</v>
      </c>
      <c r="D1958" s="4" t="s">
        <v>46</v>
      </c>
      <c r="E1958" s="4" t="s">
        <v>25</v>
      </c>
      <c r="F1958" s="4" t="s">
        <v>25</v>
      </c>
      <c r="G1958" s="4" t="s">
        <v>25</v>
      </c>
      <c r="H1958" s="4" t="s">
        <v>25</v>
      </c>
      <c r="I1958" s="5">
        <v>44440</v>
      </c>
      <c r="J1958" s="6">
        <v>0</v>
      </c>
      <c r="K1958" s="6">
        <v>0</v>
      </c>
      <c r="L1958" s="6">
        <v>3.5630000000000002</v>
      </c>
      <c r="M1958" s="6">
        <v>3.5630000000000002</v>
      </c>
      <c r="N1958" s="6">
        <v>3.5630000000000002</v>
      </c>
      <c r="O1958" s="6">
        <v>3.5630000000000002</v>
      </c>
      <c r="P1958" s="6">
        <v>11</v>
      </c>
      <c r="Q1958" s="4" t="s">
        <v>26</v>
      </c>
      <c r="R1958" s="4">
        <v>0</v>
      </c>
      <c r="S1958" s="4" t="s">
        <v>653</v>
      </c>
      <c r="T1958" s="4" t="s">
        <v>917</v>
      </c>
      <c r="U1958" s="4">
        <v>0</v>
      </c>
      <c r="V1958" s="4">
        <v>69</v>
      </c>
      <c r="W1958" s="4">
        <v>112</v>
      </c>
    </row>
    <row r="1959" spans="1:23" ht="11.25" customHeight="1" x14ac:dyDescent="0.25">
      <c r="A1959" s="4" t="s">
        <v>21</v>
      </c>
      <c r="B1959" s="4" t="s">
        <v>37</v>
      </c>
      <c r="C1959" s="4" t="s">
        <v>23</v>
      </c>
      <c r="D1959" s="4" t="s">
        <v>46</v>
      </c>
      <c r="E1959" s="4" t="s">
        <v>25</v>
      </c>
      <c r="F1959" s="4" t="s">
        <v>25</v>
      </c>
      <c r="G1959" s="4" t="s">
        <v>25</v>
      </c>
      <c r="H1959" s="4" t="s">
        <v>25</v>
      </c>
      <c r="I1959" s="5">
        <v>44470</v>
      </c>
      <c r="J1959" s="6">
        <v>0</v>
      </c>
      <c r="K1959" s="6">
        <v>0</v>
      </c>
      <c r="L1959" s="6">
        <v>2030.039</v>
      </c>
      <c r="M1959" s="6">
        <v>2030.039</v>
      </c>
      <c r="N1959" s="6">
        <v>2030.039</v>
      </c>
      <c r="O1959" s="6">
        <v>2030.039</v>
      </c>
      <c r="P1959" s="6">
        <v>4043</v>
      </c>
      <c r="Q1959" s="4" t="s">
        <v>26</v>
      </c>
      <c r="R1959" s="4">
        <v>0</v>
      </c>
      <c r="S1959" s="4" t="s">
        <v>654</v>
      </c>
      <c r="T1959" s="4" t="s">
        <v>918</v>
      </c>
      <c r="U1959" s="4">
        <v>0</v>
      </c>
      <c r="V1959" s="4">
        <v>69</v>
      </c>
      <c r="W1959" s="4">
        <v>112</v>
      </c>
    </row>
    <row r="1960" spans="1:23" ht="11.25" customHeight="1" x14ac:dyDescent="0.25">
      <c r="A1960" s="4" t="s">
        <v>27</v>
      </c>
      <c r="B1960" s="4" t="s">
        <v>37</v>
      </c>
      <c r="C1960" s="4" t="s">
        <v>23</v>
      </c>
      <c r="D1960" s="4" t="s">
        <v>46</v>
      </c>
      <c r="E1960" s="4" t="s">
        <v>25</v>
      </c>
      <c r="F1960" s="4" t="s">
        <v>25</v>
      </c>
      <c r="G1960" s="4" t="s">
        <v>25</v>
      </c>
      <c r="H1960" s="4" t="s">
        <v>25</v>
      </c>
      <c r="I1960" s="5">
        <v>44470</v>
      </c>
      <c r="J1960" s="6">
        <v>0</v>
      </c>
      <c r="K1960" s="6">
        <v>0</v>
      </c>
      <c r="L1960" s="6">
        <v>0.21</v>
      </c>
      <c r="M1960" s="6">
        <v>0.21</v>
      </c>
      <c r="N1960" s="6">
        <v>0.21</v>
      </c>
      <c r="O1960" s="6">
        <v>0.21</v>
      </c>
      <c r="P1960" s="6">
        <v>3</v>
      </c>
      <c r="Q1960" s="4" t="s">
        <v>26</v>
      </c>
      <c r="R1960" s="4">
        <v>0</v>
      </c>
      <c r="S1960" s="4" t="s">
        <v>654</v>
      </c>
      <c r="T1960" s="4" t="s">
        <v>918</v>
      </c>
      <c r="U1960" s="4">
        <v>0</v>
      </c>
      <c r="V1960" s="4">
        <v>69</v>
      </c>
      <c r="W1960" s="4">
        <v>112</v>
      </c>
    </row>
    <row r="1961" spans="1:23" ht="11.25" customHeight="1" x14ac:dyDescent="0.25">
      <c r="A1961" s="4" t="s">
        <v>28</v>
      </c>
      <c r="B1961" s="4" t="s">
        <v>37</v>
      </c>
      <c r="C1961" s="4" t="s">
        <v>23</v>
      </c>
      <c r="D1961" s="4" t="s">
        <v>46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5">
        <v>44470</v>
      </c>
      <c r="J1961" s="6">
        <v>0</v>
      </c>
      <c r="K1961" s="6">
        <v>0</v>
      </c>
      <c r="L1961" s="6">
        <v>5.31</v>
      </c>
      <c r="M1961" s="6">
        <v>5.31</v>
      </c>
      <c r="N1961" s="6">
        <v>5.31</v>
      </c>
      <c r="O1961" s="6">
        <v>5.31</v>
      </c>
      <c r="P1961" s="6">
        <v>11</v>
      </c>
      <c r="Q1961" s="4" t="s">
        <v>26</v>
      </c>
      <c r="R1961" s="4">
        <v>0</v>
      </c>
      <c r="S1961" s="4" t="s">
        <v>654</v>
      </c>
      <c r="T1961" s="4" t="s">
        <v>918</v>
      </c>
      <c r="U1961" s="4">
        <v>0</v>
      </c>
      <c r="V1961" s="4">
        <v>69</v>
      </c>
      <c r="W1961" s="4">
        <v>112</v>
      </c>
    </row>
    <row r="1962" spans="1:23" ht="11.25" customHeight="1" x14ac:dyDescent="0.25">
      <c r="A1962" s="4" t="s">
        <v>21</v>
      </c>
      <c r="B1962" s="4" t="s">
        <v>37</v>
      </c>
      <c r="C1962" s="4" t="s">
        <v>23</v>
      </c>
      <c r="D1962" s="4" t="s">
        <v>46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5">
        <v>44501</v>
      </c>
      <c r="J1962" s="6">
        <v>0</v>
      </c>
      <c r="K1962" s="6">
        <v>0</v>
      </c>
      <c r="L1962" s="6">
        <v>2043.662</v>
      </c>
      <c r="M1962" s="6">
        <v>2043.662</v>
      </c>
      <c r="N1962" s="6">
        <v>2043.662</v>
      </c>
      <c r="O1962" s="6">
        <v>2043.662</v>
      </c>
      <c r="P1962" s="6">
        <v>4060</v>
      </c>
      <c r="Q1962" s="4" t="s">
        <v>26</v>
      </c>
      <c r="R1962" s="4">
        <v>0</v>
      </c>
      <c r="S1962" s="4" t="s">
        <v>655</v>
      </c>
      <c r="T1962" s="4" t="s">
        <v>919</v>
      </c>
      <c r="U1962" s="4">
        <v>0</v>
      </c>
      <c r="V1962" s="4">
        <v>69</v>
      </c>
      <c r="W1962" s="4">
        <v>112</v>
      </c>
    </row>
    <row r="1963" spans="1:23" ht="11.25" customHeight="1" x14ac:dyDescent="0.25">
      <c r="A1963" s="4" t="s">
        <v>27</v>
      </c>
      <c r="B1963" s="4" t="s">
        <v>37</v>
      </c>
      <c r="C1963" s="4" t="s">
        <v>23</v>
      </c>
      <c r="D1963" s="4" t="s">
        <v>46</v>
      </c>
      <c r="E1963" s="4" t="s">
        <v>25</v>
      </c>
      <c r="F1963" s="4" t="s">
        <v>25</v>
      </c>
      <c r="G1963" s="4" t="s">
        <v>25</v>
      </c>
      <c r="H1963" s="4" t="s">
        <v>25</v>
      </c>
      <c r="I1963" s="5">
        <v>44501</v>
      </c>
      <c r="J1963" s="6">
        <v>0</v>
      </c>
      <c r="K1963" s="6">
        <v>0</v>
      </c>
      <c r="L1963" s="6">
        <v>0.14699999999999999</v>
      </c>
      <c r="M1963" s="6">
        <v>0.14699999999999999</v>
      </c>
      <c r="N1963" s="6">
        <v>0.14699999999999999</v>
      </c>
      <c r="O1963" s="6">
        <v>0.14699999999999999</v>
      </c>
      <c r="P1963" s="6">
        <v>2</v>
      </c>
      <c r="Q1963" s="4" t="s">
        <v>26</v>
      </c>
      <c r="R1963" s="4">
        <v>0</v>
      </c>
      <c r="S1963" s="4" t="s">
        <v>655</v>
      </c>
      <c r="T1963" s="4" t="s">
        <v>919</v>
      </c>
      <c r="U1963" s="4">
        <v>0</v>
      </c>
      <c r="V1963" s="4">
        <v>69</v>
      </c>
      <c r="W1963" s="4">
        <v>112</v>
      </c>
    </row>
    <row r="1964" spans="1:23" ht="11.25" customHeight="1" x14ac:dyDescent="0.25">
      <c r="A1964" s="4" t="s">
        <v>28</v>
      </c>
      <c r="B1964" s="4" t="s">
        <v>37</v>
      </c>
      <c r="C1964" s="4" t="s">
        <v>23</v>
      </c>
      <c r="D1964" s="4" t="s">
        <v>46</v>
      </c>
      <c r="E1964" s="4" t="s">
        <v>25</v>
      </c>
      <c r="F1964" s="4" t="s">
        <v>25</v>
      </c>
      <c r="G1964" s="4" t="s">
        <v>25</v>
      </c>
      <c r="H1964" s="4" t="s">
        <v>25</v>
      </c>
      <c r="I1964" s="5">
        <v>44501</v>
      </c>
      <c r="J1964" s="6">
        <v>0</v>
      </c>
      <c r="K1964" s="6">
        <v>0</v>
      </c>
      <c r="L1964" s="6">
        <v>8.875</v>
      </c>
      <c r="M1964" s="6">
        <v>8.875</v>
      </c>
      <c r="N1964" s="6">
        <v>8.875</v>
      </c>
      <c r="O1964" s="6">
        <v>8.875</v>
      </c>
      <c r="P1964" s="6">
        <v>12</v>
      </c>
      <c r="Q1964" s="4" t="s">
        <v>26</v>
      </c>
      <c r="R1964" s="4">
        <v>0</v>
      </c>
      <c r="S1964" s="4" t="s">
        <v>655</v>
      </c>
      <c r="T1964" s="4" t="s">
        <v>919</v>
      </c>
      <c r="U1964" s="4">
        <v>0</v>
      </c>
      <c r="V1964" s="4">
        <v>69</v>
      </c>
      <c r="W1964" s="4">
        <v>112</v>
      </c>
    </row>
    <row r="1965" spans="1:23" ht="11.25" customHeight="1" x14ac:dyDescent="0.25">
      <c r="A1965" s="4" t="s">
        <v>21</v>
      </c>
      <c r="B1965" s="4" t="s">
        <v>37</v>
      </c>
      <c r="C1965" s="4" t="s">
        <v>23</v>
      </c>
      <c r="D1965" s="4" t="s">
        <v>46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5">
        <v>44531</v>
      </c>
      <c r="J1965" s="6">
        <v>0</v>
      </c>
      <c r="K1965" s="6">
        <v>0</v>
      </c>
      <c r="L1965" s="6">
        <v>2425.2829999999999</v>
      </c>
      <c r="M1965" s="6">
        <v>2425.2829999999999</v>
      </c>
      <c r="N1965" s="6">
        <v>2425.2829999999999</v>
      </c>
      <c r="O1965" s="6">
        <v>2425.2829999999999</v>
      </c>
      <c r="P1965" s="6">
        <v>4082</v>
      </c>
      <c r="Q1965" s="4" t="s">
        <v>26</v>
      </c>
      <c r="R1965" s="4">
        <v>0</v>
      </c>
      <c r="S1965" s="4" t="s">
        <v>656</v>
      </c>
      <c r="T1965" s="4" t="s">
        <v>920</v>
      </c>
      <c r="U1965" s="4">
        <v>0</v>
      </c>
      <c r="V1965" s="4">
        <v>69</v>
      </c>
      <c r="W1965" s="4">
        <v>112</v>
      </c>
    </row>
    <row r="1966" spans="1:23" ht="11.25" customHeight="1" x14ac:dyDescent="0.25">
      <c r="A1966" s="4" t="s">
        <v>27</v>
      </c>
      <c r="B1966" s="4" t="s">
        <v>37</v>
      </c>
      <c r="C1966" s="4" t="s">
        <v>23</v>
      </c>
      <c r="D1966" s="4" t="s">
        <v>46</v>
      </c>
      <c r="E1966" s="4" t="s">
        <v>25</v>
      </c>
      <c r="F1966" s="4" t="s">
        <v>25</v>
      </c>
      <c r="G1966" s="4" t="s">
        <v>25</v>
      </c>
      <c r="H1966" s="4" t="s">
        <v>25</v>
      </c>
      <c r="I1966" s="5">
        <v>44531</v>
      </c>
      <c r="J1966" s="6">
        <v>0</v>
      </c>
      <c r="K1966" s="6">
        <v>0</v>
      </c>
      <c r="L1966" s="6">
        <v>-2.3079999999999998</v>
      </c>
      <c r="M1966" s="6">
        <v>-2.3079999999999998</v>
      </c>
      <c r="N1966" s="6">
        <v>-2.3079999999999998</v>
      </c>
      <c r="O1966" s="6">
        <v>-2.3079999999999998</v>
      </c>
      <c r="P1966" s="6">
        <v>0</v>
      </c>
      <c r="Q1966" s="4" t="s">
        <v>26</v>
      </c>
      <c r="R1966" s="4">
        <v>0</v>
      </c>
      <c r="S1966" s="4" t="s">
        <v>656</v>
      </c>
      <c r="T1966" s="4" t="s">
        <v>920</v>
      </c>
      <c r="U1966" s="4">
        <v>0</v>
      </c>
      <c r="V1966" s="4">
        <v>69</v>
      </c>
      <c r="W1966" s="4">
        <v>112</v>
      </c>
    </row>
    <row r="1967" spans="1:23" ht="11.25" customHeight="1" x14ac:dyDescent="0.25">
      <c r="A1967" s="4" t="s">
        <v>28</v>
      </c>
      <c r="B1967" s="4" t="s">
        <v>37</v>
      </c>
      <c r="C1967" s="4" t="s">
        <v>23</v>
      </c>
      <c r="D1967" s="4" t="s">
        <v>46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5">
        <v>44531</v>
      </c>
      <c r="J1967" s="6">
        <v>0</v>
      </c>
      <c r="K1967" s="6">
        <v>0</v>
      </c>
      <c r="L1967" s="6">
        <v>15.99</v>
      </c>
      <c r="M1967" s="6">
        <v>15.99</v>
      </c>
      <c r="N1967" s="6">
        <v>15.99</v>
      </c>
      <c r="O1967" s="6">
        <v>15.99</v>
      </c>
      <c r="P1967" s="6">
        <v>14</v>
      </c>
      <c r="Q1967" s="4" t="s">
        <v>26</v>
      </c>
      <c r="R1967" s="4">
        <v>0</v>
      </c>
      <c r="S1967" s="4" t="s">
        <v>656</v>
      </c>
      <c r="T1967" s="4" t="s">
        <v>920</v>
      </c>
      <c r="U1967" s="4">
        <v>0</v>
      </c>
      <c r="V1967" s="4">
        <v>69</v>
      </c>
      <c r="W1967" s="4">
        <v>112</v>
      </c>
    </row>
    <row r="1968" spans="1:23" ht="11.25" customHeight="1" x14ac:dyDescent="0.25">
      <c r="A1968" s="4" t="s">
        <v>21</v>
      </c>
      <c r="B1968" s="4" t="s">
        <v>37</v>
      </c>
      <c r="C1968" s="4" t="s">
        <v>23</v>
      </c>
      <c r="D1968" s="4" t="s">
        <v>46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5">
        <v>44562</v>
      </c>
      <c r="J1968" s="6">
        <v>0</v>
      </c>
      <c r="K1968" s="6">
        <v>0</v>
      </c>
      <c r="L1968" s="6">
        <v>2118.6439999999998</v>
      </c>
      <c r="M1968" s="6">
        <v>2118.6439999999998</v>
      </c>
      <c r="N1968" s="6">
        <v>2118.6439999999998</v>
      </c>
      <c r="O1968" s="6">
        <v>2118.6439999999998</v>
      </c>
      <c r="P1968" s="6">
        <v>4077</v>
      </c>
      <c r="Q1968" s="4" t="s">
        <v>26</v>
      </c>
      <c r="R1968" s="4">
        <v>0</v>
      </c>
      <c r="S1968" s="4" t="s">
        <v>657</v>
      </c>
      <c r="T1968" s="4" t="s">
        <v>921</v>
      </c>
      <c r="U1968" s="4">
        <v>0</v>
      </c>
      <c r="V1968" s="4">
        <v>69</v>
      </c>
      <c r="W1968" s="4">
        <v>112</v>
      </c>
    </row>
    <row r="1969" spans="1:23" ht="11.25" customHeight="1" x14ac:dyDescent="0.25">
      <c r="A1969" s="4" t="s">
        <v>27</v>
      </c>
      <c r="B1969" s="4" t="s">
        <v>37</v>
      </c>
      <c r="C1969" s="4" t="s">
        <v>23</v>
      </c>
      <c r="D1969" s="4" t="s">
        <v>46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5">
        <v>44562</v>
      </c>
      <c r="J1969" s="6">
        <v>0</v>
      </c>
      <c r="K1969" s="6">
        <v>0</v>
      </c>
      <c r="L1969" s="6">
        <v>9.8000000000000004E-2</v>
      </c>
      <c r="M1969" s="6">
        <v>9.8000000000000004E-2</v>
      </c>
      <c r="N1969" s="6">
        <v>9.8000000000000004E-2</v>
      </c>
      <c r="O1969" s="6">
        <v>9.8000000000000004E-2</v>
      </c>
      <c r="P1969" s="6">
        <v>2</v>
      </c>
      <c r="Q1969" s="4" t="s">
        <v>26</v>
      </c>
      <c r="R1969" s="4">
        <v>0</v>
      </c>
      <c r="S1969" s="4" t="s">
        <v>657</v>
      </c>
      <c r="T1969" s="4" t="s">
        <v>921</v>
      </c>
      <c r="U1969" s="4">
        <v>0</v>
      </c>
      <c r="V1969" s="4">
        <v>69</v>
      </c>
      <c r="W1969" s="4">
        <v>112</v>
      </c>
    </row>
    <row r="1970" spans="1:23" ht="11.25" customHeight="1" x14ac:dyDescent="0.25">
      <c r="A1970" s="4" t="s">
        <v>28</v>
      </c>
      <c r="B1970" s="4" t="s">
        <v>37</v>
      </c>
      <c r="C1970" s="4" t="s">
        <v>23</v>
      </c>
      <c r="D1970" s="4" t="s">
        <v>46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5">
        <v>44562</v>
      </c>
      <c r="J1970" s="6">
        <v>0</v>
      </c>
      <c r="K1970" s="6">
        <v>0</v>
      </c>
      <c r="L1970" s="6">
        <v>10.162000000000001</v>
      </c>
      <c r="M1970" s="6">
        <v>10.162000000000001</v>
      </c>
      <c r="N1970" s="6">
        <v>10.162000000000001</v>
      </c>
      <c r="O1970" s="6">
        <v>10.162000000000001</v>
      </c>
      <c r="P1970" s="6">
        <v>14</v>
      </c>
      <c r="Q1970" s="4" t="s">
        <v>26</v>
      </c>
      <c r="R1970" s="4">
        <v>0</v>
      </c>
      <c r="S1970" s="4" t="s">
        <v>657</v>
      </c>
      <c r="T1970" s="4" t="s">
        <v>921</v>
      </c>
      <c r="U1970" s="4">
        <v>0</v>
      </c>
      <c r="V1970" s="4">
        <v>69</v>
      </c>
      <c r="W1970" s="4">
        <v>112</v>
      </c>
    </row>
    <row r="1971" spans="1:23" ht="11.25" customHeight="1" x14ac:dyDescent="0.25">
      <c r="A1971" s="4" t="s">
        <v>21</v>
      </c>
      <c r="B1971" s="4" t="s">
        <v>37</v>
      </c>
      <c r="C1971" s="4" t="s">
        <v>23</v>
      </c>
      <c r="D1971" s="4" t="s">
        <v>46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5">
        <v>44593</v>
      </c>
      <c r="J1971" s="6">
        <v>0</v>
      </c>
      <c r="K1971" s="6">
        <v>0</v>
      </c>
      <c r="L1971" s="6">
        <v>2324.6190000000001</v>
      </c>
      <c r="M1971" s="6">
        <v>2324.6190000000001</v>
      </c>
      <c r="N1971" s="6">
        <v>2324.6190000000001</v>
      </c>
      <c r="O1971" s="6">
        <v>2324.6190000000001</v>
      </c>
      <c r="P1971" s="6">
        <v>4079</v>
      </c>
      <c r="Q1971" s="4" t="s">
        <v>26</v>
      </c>
      <c r="R1971" s="4">
        <v>0</v>
      </c>
      <c r="S1971" s="4" t="s">
        <v>658</v>
      </c>
      <c r="T1971" s="4" t="s">
        <v>922</v>
      </c>
      <c r="U1971" s="4">
        <v>0</v>
      </c>
      <c r="V1971" s="4">
        <v>69</v>
      </c>
      <c r="W1971" s="4">
        <v>112</v>
      </c>
    </row>
    <row r="1972" spans="1:23" ht="11.25" customHeight="1" x14ac:dyDescent="0.25">
      <c r="A1972" s="4" t="s">
        <v>27</v>
      </c>
      <c r="B1972" s="4" t="s">
        <v>37</v>
      </c>
      <c r="C1972" s="4" t="s">
        <v>23</v>
      </c>
      <c r="D1972" s="4" t="s">
        <v>46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5">
        <v>44593</v>
      </c>
      <c r="J1972" s="6">
        <v>0</v>
      </c>
      <c r="K1972" s="6">
        <v>0</v>
      </c>
      <c r="L1972" s="6">
        <v>-2.2280000000000002</v>
      </c>
      <c r="M1972" s="6">
        <v>-2.2280000000000002</v>
      </c>
      <c r="N1972" s="6">
        <v>-2.2280000000000002</v>
      </c>
      <c r="O1972" s="6">
        <v>-2.2280000000000002</v>
      </c>
      <c r="P1972" s="6">
        <v>-2</v>
      </c>
      <c r="Q1972" s="4" t="s">
        <v>26</v>
      </c>
      <c r="R1972" s="4">
        <v>0</v>
      </c>
      <c r="S1972" s="4" t="s">
        <v>658</v>
      </c>
      <c r="T1972" s="4" t="s">
        <v>922</v>
      </c>
      <c r="U1972" s="4">
        <v>0</v>
      </c>
      <c r="V1972" s="4">
        <v>69</v>
      </c>
      <c r="W1972" s="4">
        <v>112</v>
      </c>
    </row>
    <row r="1973" spans="1:23" ht="11.25" customHeight="1" x14ac:dyDescent="0.25">
      <c r="A1973" s="4" t="s">
        <v>28</v>
      </c>
      <c r="B1973" s="4" t="s">
        <v>37</v>
      </c>
      <c r="C1973" s="4" t="s">
        <v>23</v>
      </c>
      <c r="D1973" s="4" t="s">
        <v>46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5">
        <v>44593</v>
      </c>
      <c r="J1973" s="6">
        <v>0</v>
      </c>
      <c r="K1973" s="6">
        <v>0</v>
      </c>
      <c r="L1973" s="6">
        <v>10.471</v>
      </c>
      <c r="M1973" s="6">
        <v>10.471</v>
      </c>
      <c r="N1973" s="6">
        <v>10.471</v>
      </c>
      <c r="O1973" s="6">
        <v>10.471</v>
      </c>
      <c r="P1973" s="6">
        <v>15</v>
      </c>
      <c r="Q1973" s="4" t="s">
        <v>26</v>
      </c>
      <c r="R1973" s="4">
        <v>0</v>
      </c>
      <c r="S1973" s="4" t="s">
        <v>658</v>
      </c>
      <c r="T1973" s="4" t="s">
        <v>922</v>
      </c>
      <c r="U1973" s="4">
        <v>0</v>
      </c>
      <c r="V1973" s="4">
        <v>69</v>
      </c>
      <c r="W1973" s="4">
        <v>112</v>
      </c>
    </row>
    <row r="1974" spans="1:23" ht="11.25" customHeight="1" x14ac:dyDescent="0.25">
      <c r="A1974" s="4" t="s">
        <v>21</v>
      </c>
      <c r="B1974" s="4" t="s">
        <v>37</v>
      </c>
      <c r="C1974" s="4" t="s">
        <v>23</v>
      </c>
      <c r="D1974" s="4" t="s">
        <v>46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5">
        <v>44621</v>
      </c>
      <c r="J1974" s="6">
        <v>0</v>
      </c>
      <c r="K1974" s="6">
        <v>0</v>
      </c>
      <c r="L1974" s="6">
        <v>2787.6329999999998</v>
      </c>
      <c r="M1974" s="6">
        <v>2787.6329999999998</v>
      </c>
      <c r="N1974" s="6">
        <v>2787.6329999999998</v>
      </c>
      <c r="O1974" s="6">
        <v>2787.6329999999998</v>
      </c>
      <c r="P1974" s="6">
        <v>4098</v>
      </c>
      <c r="Q1974" s="4" t="s">
        <v>26</v>
      </c>
      <c r="R1974" s="4">
        <v>0</v>
      </c>
      <c r="S1974" s="4" t="s">
        <v>659</v>
      </c>
      <c r="T1974" s="4" t="s">
        <v>923</v>
      </c>
      <c r="U1974" s="4">
        <v>0</v>
      </c>
      <c r="V1974" s="4">
        <v>69</v>
      </c>
      <c r="W1974" s="4">
        <v>112</v>
      </c>
    </row>
    <row r="1975" spans="1:23" ht="11.25" customHeight="1" x14ac:dyDescent="0.25">
      <c r="A1975" s="4" t="s">
        <v>27</v>
      </c>
      <c r="B1975" s="4" t="s">
        <v>37</v>
      </c>
      <c r="C1975" s="4" t="s">
        <v>23</v>
      </c>
      <c r="D1975" s="4" t="s">
        <v>46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5">
        <v>44621</v>
      </c>
      <c r="J1975" s="6">
        <v>0</v>
      </c>
      <c r="K1975" s="6">
        <v>0</v>
      </c>
      <c r="L1975" s="6">
        <v>-27.853000000000002</v>
      </c>
      <c r="M1975" s="6">
        <v>-27.853000000000002</v>
      </c>
      <c r="N1975" s="6">
        <v>-27.853000000000002</v>
      </c>
      <c r="O1975" s="6">
        <v>-27.853000000000002</v>
      </c>
      <c r="P1975" s="6">
        <v>0</v>
      </c>
      <c r="Q1975" s="4" t="s">
        <v>26</v>
      </c>
      <c r="R1975" s="4">
        <v>0</v>
      </c>
      <c r="S1975" s="4" t="s">
        <v>659</v>
      </c>
      <c r="T1975" s="4" t="s">
        <v>923</v>
      </c>
      <c r="U1975" s="4">
        <v>0</v>
      </c>
      <c r="V1975" s="4">
        <v>69</v>
      </c>
      <c r="W1975" s="4">
        <v>112</v>
      </c>
    </row>
    <row r="1976" spans="1:23" ht="11.25" customHeight="1" x14ac:dyDescent="0.25">
      <c r="A1976" s="4" t="s">
        <v>28</v>
      </c>
      <c r="B1976" s="4" t="s">
        <v>37</v>
      </c>
      <c r="C1976" s="4" t="s">
        <v>23</v>
      </c>
      <c r="D1976" s="4" t="s">
        <v>46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5">
        <v>44621</v>
      </c>
      <c r="J1976" s="6">
        <v>0</v>
      </c>
      <c r="K1976" s="6">
        <v>0</v>
      </c>
      <c r="L1976" s="6">
        <v>16.376000000000001</v>
      </c>
      <c r="M1976" s="6">
        <v>16.376000000000001</v>
      </c>
      <c r="N1976" s="6">
        <v>16.376000000000001</v>
      </c>
      <c r="O1976" s="6">
        <v>16.376000000000001</v>
      </c>
      <c r="P1976" s="6">
        <v>16</v>
      </c>
      <c r="Q1976" s="4" t="s">
        <v>26</v>
      </c>
      <c r="R1976" s="4">
        <v>0</v>
      </c>
      <c r="S1976" s="4" t="s">
        <v>659</v>
      </c>
      <c r="T1976" s="4" t="s">
        <v>923</v>
      </c>
      <c r="U1976" s="4">
        <v>0</v>
      </c>
      <c r="V1976" s="4">
        <v>69</v>
      </c>
      <c r="W1976" s="4">
        <v>112</v>
      </c>
    </row>
    <row r="1977" spans="1:23" ht="11.25" customHeight="1" x14ac:dyDescent="0.25">
      <c r="A1977" s="4" t="s">
        <v>21</v>
      </c>
      <c r="B1977" s="4" t="s">
        <v>37</v>
      </c>
      <c r="C1977" s="4" t="s">
        <v>23</v>
      </c>
      <c r="D1977" s="4" t="s">
        <v>46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5">
        <v>44652</v>
      </c>
      <c r="J1977" s="6">
        <v>0</v>
      </c>
      <c r="K1977" s="6">
        <v>0</v>
      </c>
      <c r="L1977" s="6">
        <v>2730.61</v>
      </c>
      <c r="M1977" s="6">
        <v>2730.61</v>
      </c>
      <c r="N1977" s="6">
        <v>2730.61</v>
      </c>
      <c r="O1977" s="6">
        <v>2730.61</v>
      </c>
      <c r="P1977" s="6">
        <v>4108</v>
      </c>
      <c r="Q1977" s="4" t="s">
        <v>26</v>
      </c>
      <c r="R1977" s="4">
        <v>0</v>
      </c>
      <c r="S1977" s="4" t="s">
        <v>660</v>
      </c>
      <c r="T1977" s="4" t="s">
        <v>924</v>
      </c>
      <c r="U1977" s="4">
        <v>0</v>
      </c>
      <c r="V1977" s="4">
        <v>69</v>
      </c>
      <c r="W1977" s="4">
        <v>112</v>
      </c>
    </row>
    <row r="1978" spans="1:23" ht="11.25" customHeight="1" x14ac:dyDescent="0.25">
      <c r="A1978" s="4" t="s">
        <v>27</v>
      </c>
      <c r="B1978" s="4" t="s">
        <v>37</v>
      </c>
      <c r="C1978" s="4" t="s">
        <v>23</v>
      </c>
      <c r="D1978" s="4" t="s">
        <v>46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5">
        <v>44652</v>
      </c>
      <c r="J1978" s="6">
        <v>0</v>
      </c>
      <c r="K1978" s="6">
        <v>0</v>
      </c>
      <c r="L1978" s="6">
        <v>2.2120000000000002</v>
      </c>
      <c r="M1978" s="6">
        <v>2.2120000000000002</v>
      </c>
      <c r="N1978" s="6">
        <v>2.2120000000000002</v>
      </c>
      <c r="O1978" s="6">
        <v>2.2120000000000002</v>
      </c>
      <c r="P1978" s="6">
        <v>3</v>
      </c>
      <c r="Q1978" s="4" t="s">
        <v>26</v>
      </c>
      <c r="R1978" s="4">
        <v>0</v>
      </c>
      <c r="S1978" s="4" t="s">
        <v>660</v>
      </c>
      <c r="T1978" s="4" t="s">
        <v>924</v>
      </c>
      <c r="U1978" s="4">
        <v>0</v>
      </c>
      <c r="V1978" s="4">
        <v>69</v>
      </c>
      <c r="W1978" s="4">
        <v>112</v>
      </c>
    </row>
    <row r="1979" spans="1:23" ht="11.25" customHeight="1" x14ac:dyDescent="0.25">
      <c r="A1979" s="4" t="s">
        <v>28</v>
      </c>
      <c r="B1979" s="4" t="s">
        <v>37</v>
      </c>
      <c r="C1979" s="4" t="s">
        <v>23</v>
      </c>
      <c r="D1979" s="4" t="s">
        <v>46</v>
      </c>
      <c r="E1979" s="4" t="s">
        <v>25</v>
      </c>
      <c r="F1979" s="4" t="s">
        <v>25</v>
      </c>
      <c r="G1979" s="4" t="s">
        <v>25</v>
      </c>
      <c r="H1979" s="4" t="s">
        <v>25</v>
      </c>
      <c r="I1979" s="5">
        <v>44652</v>
      </c>
      <c r="J1979" s="6">
        <v>0</v>
      </c>
      <c r="K1979" s="6">
        <v>0</v>
      </c>
      <c r="L1979" s="6">
        <v>13.077</v>
      </c>
      <c r="M1979" s="6">
        <v>13.077</v>
      </c>
      <c r="N1979" s="6">
        <v>13.077</v>
      </c>
      <c r="O1979" s="6">
        <v>13.077</v>
      </c>
      <c r="P1979" s="6">
        <v>16</v>
      </c>
      <c r="Q1979" s="4" t="s">
        <v>26</v>
      </c>
      <c r="R1979" s="4">
        <v>0</v>
      </c>
      <c r="S1979" s="4" t="s">
        <v>660</v>
      </c>
      <c r="T1979" s="4" t="s">
        <v>924</v>
      </c>
      <c r="U1979" s="4">
        <v>0</v>
      </c>
      <c r="V1979" s="4">
        <v>69</v>
      </c>
      <c r="W1979" s="4">
        <v>112</v>
      </c>
    </row>
    <row r="1980" spans="1:23" ht="11.25" customHeight="1" x14ac:dyDescent="0.25">
      <c r="A1980" s="4" t="s">
        <v>58</v>
      </c>
      <c r="B1980" s="4" t="s">
        <v>37</v>
      </c>
      <c r="C1980" s="4" t="s">
        <v>23</v>
      </c>
      <c r="D1980" s="4" t="s">
        <v>46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5">
        <v>44682</v>
      </c>
      <c r="J1980" s="6">
        <v>0</v>
      </c>
      <c r="K1980" s="6">
        <v>0</v>
      </c>
      <c r="L1980" s="6">
        <v>2730.61</v>
      </c>
      <c r="M1980" s="6">
        <v>2730.61</v>
      </c>
      <c r="N1980" s="6">
        <v>2730.61</v>
      </c>
      <c r="O1980" s="6">
        <v>2730.61</v>
      </c>
      <c r="P1980" s="6">
        <v>4108</v>
      </c>
      <c r="Q1980" s="4" t="s">
        <v>26</v>
      </c>
      <c r="R1980" s="4">
        <v>0</v>
      </c>
      <c r="S1980" s="4" t="s">
        <v>661</v>
      </c>
      <c r="T1980" s="4" t="s">
        <v>925</v>
      </c>
      <c r="U1980" s="4">
        <v>0</v>
      </c>
      <c r="V1980" s="4">
        <v>69</v>
      </c>
      <c r="W1980" s="4">
        <v>112</v>
      </c>
    </row>
    <row r="1981" spans="1:23" ht="11.25" customHeight="1" x14ac:dyDescent="0.25">
      <c r="A1981" s="4" t="s">
        <v>58</v>
      </c>
      <c r="B1981" s="4" t="s">
        <v>37</v>
      </c>
      <c r="C1981" s="4" t="s">
        <v>23</v>
      </c>
      <c r="D1981" s="4" t="s">
        <v>46</v>
      </c>
      <c r="E1981" s="4" t="s">
        <v>25</v>
      </c>
      <c r="F1981" s="4" t="s">
        <v>25</v>
      </c>
      <c r="G1981" s="4" t="s">
        <v>25</v>
      </c>
      <c r="H1981" s="4" t="s">
        <v>25</v>
      </c>
      <c r="I1981" s="5">
        <v>44682</v>
      </c>
      <c r="J1981" s="6">
        <v>0</v>
      </c>
      <c r="K1981" s="6">
        <v>0</v>
      </c>
      <c r="L1981" s="6">
        <v>2.2120000000000002</v>
      </c>
      <c r="M1981" s="6">
        <v>2.2120000000000002</v>
      </c>
      <c r="N1981" s="6">
        <v>2.2120000000000002</v>
      </c>
      <c r="O1981" s="6">
        <v>2.2120000000000002</v>
      </c>
      <c r="P1981" s="6">
        <v>3</v>
      </c>
      <c r="Q1981" s="4" t="s">
        <v>26</v>
      </c>
      <c r="R1981" s="4">
        <v>0</v>
      </c>
      <c r="S1981" s="4" t="s">
        <v>661</v>
      </c>
      <c r="T1981" s="4" t="s">
        <v>925</v>
      </c>
      <c r="U1981" s="4">
        <v>0</v>
      </c>
      <c r="V1981" s="4">
        <v>69</v>
      </c>
      <c r="W1981" s="4">
        <v>112</v>
      </c>
    </row>
    <row r="1982" spans="1:23" ht="11.25" customHeight="1" x14ac:dyDescent="0.25">
      <c r="A1982" s="4" t="s">
        <v>58</v>
      </c>
      <c r="B1982" s="4" t="s">
        <v>37</v>
      </c>
      <c r="C1982" s="4" t="s">
        <v>23</v>
      </c>
      <c r="D1982" s="4" t="s">
        <v>46</v>
      </c>
      <c r="E1982" s="4" t="s">
        <v>25</v>
      </c>
      <c r="F1982" s="4" t="s">
        <v>25</v>
      </c>
      <c r="G1982" s="4" t="s">
        <v>25</v>
      </c>
      <c r="H1982" s="4" t="s">
        <v>25</v>
      </c>
      <c r="I1982" s="5">
        <v>44682</v>
      </c>
      <c r="J1982" s="6">
        <v>0</v>
      </c>
      <c r="K1982" s="6">
        <v>0</v>
      </c>
      <c r="L1982" s="6">
        <v>13.077</v>
      </c>
      <c r="M1982" s="6">
        <v>13.077</v>
      </c>
      <c r="N1982" s="6">
        <v>13.077</v>
      </c>
      <c r="O1982" s="6">
        <v>13.077</v>
      </c>
      <c r="P1982" s="6">
        <v>16</v>
      </c>
      <c r="Q1982" s="4" t="s">
        <v>26</v>
      </c>
      <c r="R1982" s="4">
        <v>0</v>
      </c>
      <c r="S1982" s="4" t="s">
        <v>661</v>
      </c>
      <c r="T1982" s="4" t="s">
        <v>925</v>
      </c>
      <c r="U1982" s="4">
        <v>0</v>
      </c>
      <c r="V1982" s="4">
        <v>69</v>
      </c>
      <c r="W1982" s="4">
        <v>112</v>
      </c>
    </row>
    <row r="1983" spans="1:23" ht="11.25" customHeight="1" x14ac:dyDescent="0.25">
      <c r="A1983" s="4" t="s">
        <v>21</v>
      </c>
      <c r="B1983" s="4" t="s">
        <v>37</v>
      </c>
      <c r="C1983" s="4" t="s">
        <v>23</v>
      </c>
      <c r="D1983" s="4" t="s">
        <v>51</v>
      </c>
      <c r="E1983" s="4" t="s">
        <v>52</v>
      </c>
      <c r="F1983" s="4" t="s">
        <v>25</v>
      </c>
      <c r="G1983" s="4" t="s">
        <v>25</v>
      </c>
      <c r="H1983" s="4" t="s">
        <v>25</v>
      </c>
      <c r="I1983" s="5">
        <v>44348</v>
      </c>
      <c r="J1983" s="6">
        <v>0</v>
      </c>
      <c r="K1983" s="6">
        <v>0</v>
      </c>
      <c r="L1983" s="6">
        <v>1378.9159999999999</v>
      </c>
      <c r="M1983" s="6">
        <v>1296.1810399999999</v>
      </c>
      <c r="N1983" s="6">
        <v>1378.9159999999999</v>
      </c>
      <c r="O1983" s="6">
        <v>1296.1810399999999</v>
      </c>
      <c r="P1983" s="6">
        <v>681</v>
      </c>
      <c r="Q1983" s="4" t="s">
        <v>26</v>
      </c>
      <c r="R1983" s="4">
        <v>0</v>
      </c>
      <c r="S1983" s="4" t="s">
        <v>650</v>
      </c>
      <c r="T1983" s="4" t="s">
        <v>914</v>
      </c>
      <c r="U1983" s="4">
        <v>0</v>
      </c>
      <c r="V1983" s="4">
        <v>69</v>
      </c>
      <c r="W1983" s="4">
        <v>112</v>
      </c>
    </row>
    <row r="1984" spans="1:23" ht="11.25" customHeight="1" x14ac:dyDescent="0.25">
      <c r="A1984" s="4" t="s">
        <v>21</v>
      </c>
      <c r="B1984" s="4" t="s">
        <v>37</v>
      </c>
      <c r="C1984" s="4" t="s">
        <v>23</v>
      </c>
      <c r="D1984" s="4" t="s">
        <v>51</v>
      </c>
      <c r="E1984" s="4" t="s">
        <v>52</v>
      </c>
      <c r="F1984" s="4" t="s">
        <v>25</v>
      </c>
      <c r="G1984" s="4" t="s">
        <v>25</v>
      </c>
      <c r="H1984" s="4" t="s">
        <v>25</v>
      </c>
      <c r="I1984" s="5">
        <v>44378</v>
      </c>
      <c r="J1984" s="6">
        <v>0</v>
      </c>
      <c r="K1984" s="6">
        <v>0</v>
      </c>
      <c r="L1984" s="6">
        <v>1387.308</v>
      </c>
      <c r="M1984" s="6">
        <v>1304.06952</v>
      </c>
      <c r="N1984" s="6">
        <v>1387.308</v>
      </c>
      <c r="O1984" s="6">
        <v>1304.06952</v>
      </c>
      <c r="P1984" s="6">
        <v>683</v>
      </c>
      <c r="Q1984" s="4" t="s">
        <v>26</v>
      </c>
      <c r="R1984" s="4">
        <v>0</v>
      </c>
      <c r="S1984" s="4" t="s">
        <v>651</v>
      </c>
      <c r="T1984" s="4" t="s">
        <v>915</v>
      </c>
      <c r="U1984" s="4">
        <v>0</v>
      </c>
      <c r="V1984" s="4">
        <v>69</v>
      </c>
      <c r="W1984" s="4">
        <v>112</v>
      </c>
    </row>
    <row r="1985" spans="1:23" ht="11.25" customHeight="1" x14ac:dyDescent="0.25">
      <c r="A1985" s="4" t="s">
        <v>21</v>
      </c>
      <c r="B1985" s="4" t="s">
        <v>37</v>
      </c>
      <c r="C1985" s="4" t="s">
        <v>23</v>
      </c>
      <c r="D1985" s="4" t="s">
        <v>51</v>
      </c>
      <c r="E1985" s="4" t="s">
        <v>52</v>
      </c>
      <c r="F1985" s="4" t="s">
        <v>25</v>
      </c>
      <c r="G1985" s="4" t="s">
        <v>25</v>
      </c>
      <c r="H1985" s="4" t="s">
        <v>25</v>
      </c>
      <c r="I1985" s="5">
        <v>44409</v>
      </c>
      <c r="J1985" s="6">
        <v>0</v>
      </c>
      <c r="K1985" s="6">
        <v>0</v>
      </c>
      <c r="L1985" s="6">
        <v>1449.0239999999999</v>
      </c>
      <c r="M1985" s="6">
        <v>1362.0825600000001</v>
      </c>
      <c r="N1985" s="6">
        <v>1449.0239999999999</v>
      </c>
      <c r="O1985" s="6">
        <v>1362.0825600000001</v>
      </c>
      <c r="P1985" s="6">
        <v>684</v>
      </c>
      <c r="Q1985" s="4" t="s">
        <v>26</v>
      </c>
      <c r="R1985" s="4">
        <v>0</v>
      </c>
      <c r="S1985" s="4" t="s">
        <v>652</v>
      </c>
      <c r="T1985" s="4" t="s">
        <v>916</v>
      </c>
      <c r="U1985" s="4">
        <v>0</v>
      </c>
      <c r="V1985" s="4">
        <v>69</v>
      </c>
      <c r="W1985" s="4">
        <v>112</v>
      </c>
    </row>
    <row r="1986" spans="1:23" ht="11.25" customHeight="1" x14ac:dyDescent="0.25">
      <c r="A1986" s="4" t="s">
        <v>21</v>
      </c>
      <c r="B1986" s="4" t="s">
        <v>37</v>
      </c>
      <c r="C1986" s="4" t="s">
        <v>23</v>
      </c>
      <c r="D1986" s="4" t="s">
        <v>51</v>
      </c>
      <c r="E1986" s="4" t="s">
        <v>52</v>
      </c>
      <c r="F1986" s="4" t="s">
        <v>25</v>
      </c>
      <c r="G1986" s="4" t="s">
        <v>25</v>
      </c>
      <c r="H1986" s="4" t="s">
        <v>25</v>
      </c>
      <c r="I1986" s="5">
        <v>44440</v>
      </c>
      <c r="J1986" s="6">
        <v>0</v>
      </c>
      <c r="K1986" s="6">
        <v>0</v>
      </c>
      <c r="L1986" s="6">
        <v>1573.914</v>
      </c>
      <c r="M1986" s="6">
        <v>1479.4791600000001</v>
      </c>
      <c r="N1986" s="6">
        <v>1573.914</v>
      </c>
      <c r="O1986" s="6">
        <v>1479.4791600000001</v>
      </c>
      <c r="P1986" s="6">
        <v>684</v>
      </c>
      <c r="Q1986" s="4" t="s">
        <v>26</v>
      </c>
      <c r="R1986" s="4">
        <v>0</v>
      </c>
      <c r="S1986" s="4" t="s">
        <v>653</v>
      </c>
      <c r="T1986" s="4" t="s">
        <v>917</v>
      </c>
      <c r="U1986" s="4">
        <v>0</v>
      </c>
      <c r="V1986" s="4">
        <v>69</v>
      </c>
      <c r="W1986" s="4">
        <v>112</v>
      </c>
    </row>
    <row r="1987" spans="1:23" ht="11.25" customHeight="1" x14ac:dyDescent="0.25">
      <c r="A1987" s="4" t="s">
        <v>21</v>
      </c>
      <c r="B1987" s="4" t="s">
        <v>37</v>
      </c>
      <c r="C1987" s="4" t="s">
        <v>23</v>
      </c>
      <c r="D1987" s="4" t="s">
        <v>51</v>
      </c>
      <c r="E1987" s="4" t="s">
        <v>52</v>
      </c>
      <c r="F1987" s="4" t="s">
        <v>25</v>
      </c>
      <c r="G1987" s="4" t="s">
        <v>25</v>
      </c>
      <c r="H1987" s="4" t="s">
        <v>25</v>
      </c>
      <c r="I1987" s="5">
        <v>44470</v>
      </c>
      <c r="J1987" s="6">
        <v>0</v>
      </c>
      <c r="K1987" s="6">
        <v>0</v>
      </c>
      <c r="L1987" s="6">
        <v>1508.259</v>
      </c>
      <c r="M1987" s="6">
        <v>1417.7634599999999</v>
      </c>
      <c r="N1987" s="6">
        <v>1508.259</v>
      </c>
      <c r="O1987" s="6">
        <v>1417.7634599999999</v>
      </c>
      <c r="P1987" s="6">
        <v>686</v>
      </c>
      <c r="Q1987" s="4" t="s">
        <v>26</v>
      </c>
      <c r="R1987" s="4">
        <v>0</v>
      </c>
      <c r="S1987" s="4" t="s">
        <v>654</v>
      </c>
      <c r="T1987" s="4" t="s">
        <v>918</v>
      </c>
      <c r="U1987" s="4">
        <v>0</v>
      </c>
      <c r="V1987" s="4">
        <v>69</v>
      </c>
      <c r="W1987" s="4">
        <v>112</v>
      </c>
    </row>
    <row r="1988" spans="1:23" ht="11.25" customHeight="1" x14ac:dyDescent="0.25">
      <c r="A1988" s="4" t="s">
        <v>21</v>
      </c>
      <c r="B1988" s="4" t="s">
        <v>37</v>
      </c>
      <c r="C1988" s="4" t="s">
        <v>23</v>
      </c>
      <c r="D1988" s="4" t="s">
        <v>51</v>
      </c>
      <c r="E1988" s="4" t="s">
        <v>52</v>
      </c>
      <c r="F1988" s="4" t="s">
        <v>25</v>
      </c>
      <c r="G1988" s="4" t="s">
        <v>25</v>
      </c>
      <c r="H1988" s="4" t="s">
        <v>25</v>
      </c>
      <c r="I1988" s="5">
        <v>44501</v>
      </c>
      <c r="J1988" s="6">
        <v>0</v>
      </c>
      <c r="K1988" s="6">
        <v>0</v>
      </c>
      <c r="L1988" s="6">
        <v>1430.009</v>
      </c>
      <c r="M1988" s="6">
        <v>1344.2084600000001</v>
      </c>
      <c r="N1988" s="6">
        <v>1430.009</v>
      </c>
      <c r="O1988" s="6">
        <v>1344.2084600000001</v>
      </c>
      <c r="P1988" s="6">
        <v>684</v>
      </c>
      <c r="Q1988" s="4" t="s">
        <v>26</v>
      </c>
      <c r="R1988" s="4">
        <v>0</v>
      </c>
      <c r="S1988" s="4" t="s">
        <v>655</v>
      </c>
      <c r="T1988" s="4" t="s">
        <v>919</v>
      </c>
      <c r="U1988" s="4">
        <v>0</v>
      </c>
      <c r="V1988" s="4">
        <v>69</v>
      </c>
      <c r="W1988" s="4">
        <v>112</v>
      </c>
    </row>
    <row r="1989" spans="1:23" ht="11.25" customHeight="1" x14ac:dyDescent="0.25">
      <c r="A1989" s="4" t="s">
        <v>21</v>
      </c>
      <c r="B1989" s="4" t="s">
        <v>37</v>
      </c>
      <c r="C1989" s="4" t="s">
        <v>23</v>
      </c>
      <c r="D1989" s="4" t="s">
        <v>51</v>
      </c>
      <c r="E1989" s="4" t="s">
        <v>52</v>
      </c>
      <c r="F1989" s="4" t="s">
        <v>25</v>
      </c>
      <c r="G1989" s="4" t="s">
        <v>25</v>
      </c>
      <c r="H1989" s="4" t="s">
        <v>25</v>
      </c>
      <c r="I1989" s="5">
        <v>44531</v>
      </c>
      <c r="J1989" s="6">
        <v>0</v>
      </c>
      <c r="K1989" s="6">
        <v>0</v>
      </c>
      <c r="L1989" s="6">
        <v>1506.184</v>
      </c>
      <c r="M1989" s="6">
        <v>1415.81296</v>
      </c>
      <c r="N1989" s="6">
        <v>1506.184</v>
      </c>
      <c r="O1989" s="6">
        <v>1415.81296</v>
      </c>
      <c r="P1989" s="6">
        <v>682</v>
      </c>
      <c r="Q1989" s="4" t="s">
        <v>26</v>
      </c>
      <c r="R1989" s="4">
        <v>0</v>
      </c>
      <c r="S1989" s="4" t="s">
        <v>656</v>
      </c>
      <c r="T1989" s="4" t="s">
        <v>920</v>
      </c>
      <c r="U1989" s="4">
        <v>0</v>
      </c>
      <c r="V1989" s="4">
        <v>69</v>
      </c>
      <c r="W1989" s="4">
        <v>112</v>
      </c>
    </row>
    <row r="1990" spans="1:23" ht="11.25" customHeight="1" x14ac:dyDescent="0.25">
      <c r="A1990" s="4" t="s">
        <v>21</v>
      </c>
      <c r="B1990" s="4" t="s">
        <v>37</v>
      </c>
      <c r="C1990" s="4" t="s">
        <v>23</v>
      </c>
      <c r="D1990" s="4" t="s">
        <v>51</v>
      </c>
      <c r="E1990" s="4" t="s">
        <v>52</v>
      </c>
      <c r="F1990" s="4" t="s">
        <v>25</v>
      </c>
      <c r="G1990" s="4" t="s">
        <v>25</v>
      </c>
      <c r="H1990" s="4" t="s">
        <v>25</v>
      </c>
      <c r="I1990" s="5">
        <v>44562</v>
      </c>
      <c r="J1990" s="6">
        <v>0</v>
      </c>
      <c r="K1990" s="6">
        <v>0</v>
      </c>
      <c r="L1990" s="6">
        <v>1441.9280000000001</v>
      </c>
      <c r="M1990" s="6">
        <v>1355.4123199999999</v>
      </c>
      <c r="N1990" s="6">
        <v>1441.9280000000001</v>
      </c>
      <c r="O1990" s="6">
        <v>1355.4123199999999</v>
      </c>
      <c r="P1990" s="6">
        <v>681</v>
      </c>
      <c r="Q1990" s="4" t="s">
        <v>26</v>
      </c>
      <c r="R1990" s="4">
        <v>0</v>
      </c>
      <c r="S1990" s="4" t="s">
        <v>657</v>
      </c>
      <c r="T1990" s="4" t="s">
        <v>921</v>
      </c>
      <c r="U1990" s="4">
        <v>0</v>
      </c>
      <c r="V1990" s="4">
        <v>69</v>
      </c>
      <c r="W1990" s="4">
        <v>112</v>
      </c>
    </row>
    <row r="1991" spans="1:23" ht="11.25" customHeight="1" x14ac:dyDescent="0.25">
      <c r="A1991" s="4" t="s">
        <v>21</v>
      </c>
      <c r="B1991" s="4" t="s">
        <v>37</v>
      </c>
      <c r="C1991" s="4" t="s">
        <v>23</v>
      </c>
      <c r="D1991" s="4" t="s">
        <v>51</v>
      </c>
      <c r="E1991" s="4" t="s">
        <v>52</v>
      </c>
      <c r="F1991" s="4" t="s">
        <v>25</v>
      </c>
      <c r="G1991" s="4" t="s">
        <v>25</v>
      </c>
      <c r="H1991" s="4" t="s">
        <v>25</v>
      </c>
      <c r="I1991" s="5">
        <v>44593</v>
      </c>
      <c r="J1991" s="6">
        <v>0</v>
      </c>
      <c r="K1991" s="6">
        <v>0</v>
      </c>
      <c r="L1991" s="6">
        <v>1418.2180000000001</v>
      </c>
      <c r="M1991" s="6">
        <v>1333.12492</v>
      </c>
      <c r="N1991" s="6">
        <v>1418.2180000000001</v>
      </c>
      <c r="O1991" s="6">
        <v>1333.12492</v>
      </c>
      <c r="P1991" s="6">
        <v>678</v>
      </c>
      <c r="Q1991" s="4" t="s">
        <v>26</v>
      </c>
      <c r="R1991" s="4">
        <v>0</v>
      </c>
      <c r="S1991" s="4" t="s">
        <v>658</v>
      </c>
      <c r="T1991" s="4" t="s">
        <v>922</v>
      </c>
      <c r="U1991" s="4">
        <v>0</v>
      </c>
      <c r="V1991" s="4">
        <v>69</v>
      </c>
      <c r="W1991" s="4">
        <v>112</v>
      </c>
    </row>
    <row r="1992" spans="1:23" ht="11.25" customHeight="1" x14ac:dyDescent="0.25">
      <c r="A1992" s="4" t="s">
        <v>21</v>
      </c>
      <c r="B1992" s="4" t="s">
        <v>37</v>
      </c>
      <c r="C1992" s="4" t="s">
        <v>23</v>
      </c>
      <c r="D1992" s="4" t="s">
        <v>51</v>
      </c>
      <c r="E1992" s="4" t="s">
        <v>52</v>
      </c>
      <c r="F1992" s="4" t="s">
        <v>25</v>
      </c>
      <c r="G1992" s="4" t="s">
        <v>25</v>
      </c>
      <c r="H1992" s="4" t="s">
        <v>25</v>
      </c>
      <c r="I1992" s="5">
        <v>44621</v>
      </c>
      <c r="J1992" s="6">
        <v>0</v>
      </c>
      <c r="K1992" s="6">
        <v>0</v>
      </c>
      <c r="L1992" s="6">
        <v>1563.4590000000001</v>
      </c>
      <c r="M1992" s="6">
        <v>1469.65146</v>
      </c>
      <c r="N1992" s="6">
        <v>1563.4590000000001</v>
      </c>
      <c r="O1992" s="6">
        <v>1469.65146</v>
      </c>
      <c r="P1992" s="6">
        <v>676</v>
      </c>
      <c r="Q1992" s="4" t="s">
        <v>26</v>
      </c>
      <c r="R1992" s="4">
        <v>0</v>
      </c>
      <c r="S1992" s="4" t="s">
        <v>659</v>
      </c>
      <c r="T1992" s="4" t="s">
        <v>923</v>
      </c>
      <c r="U1992" s="4">
        <v>0</v>
      </c>
      <c r="V1992" s="4">
        <v>69</v>
      </c>
      <c r="W1992" s="4">
        <v>112</v>
      </c>
    </row>
    <row r="1993" spans="1:23" ht="11.25" customHeight="1" x14ac:dyDescent="0.25">
      <c r="A1993" s="4" t="s">
        <v>21</v>
      </c>
      <c r="B1993" s="4" t="s">
        <v>37</v>
      </c>
      <c r="C1993" s="4" t="s">
        <v>23</v>
      </c>
      <c r="D1993" s="4" t="s">
        <v>51</v>
      </c>
      <c r="E1993" s="4" t="s">
        <v>52</v>
      </c>
      <c r="F1993" s="4" t="s">
        <v>25</v>
      </c>
      <c r="G1993" s="4" t="s">
        <v>25</v>
      </c>
      <c r="H1993" s="4" t="s">
        <v>25</v>
      </c>
      <c r="I1993" s="5">
        <v>44652</v>
      </c>
      <c r="J1993" s="6">
        <v>0</v>
      </c>
      <c r="K1993" s="6">
        <v>0</v>
      </c>
      <c r="L1993" s="6">
        <v>1486.8520000000001</v>
      </c>
      <c r="M1993" s="6">
        <v>1397.6408799999999</v>
      </c>
      <c r="N1993" s="6">
        <v>1486.8520000000001</v>
      </c>
      <c r="O1993" s="6">
        <v>1397.6408799999999</v>
      </c>
      <c r="P1993" s="6">
        <v>677</v>
      </c>
      <c r="Q1993" s="4" t="s">
        <v>26</v>
      </c>
      <c r="R1993" s="4">
        <v>0</v>
      </c>
      <c r="S1993" s="4" t="s">
        <v>660</v>
      </c>
      <c r="T1993" s="4" t="s">
        <v>924</v>
      </c>
      <c r="U1993" s="4">
        <v>0</v>
      </c>
      <c r="V1993" s="4">
        <v>69</v>
      </c>
      <c r="W1993" s="4">
        <v>112</v>
      </c>
    </row>
    <row r="1994" spans="1:23" ht="11.25" customHeight="1" x14ac:dyDescent="0.25">
      <c r="A1994" s="4" t="s">
        <v>58</v>
      </c>
      <c r="B1994" s="4" t="s">
        <v>37</v>
      </c>
      <c r="C1994" s="4" t="s">
        <v>23</v>
      </c>
      <c r="D1994" s="4" t="s">
        <v>51</v>
      </c>
      <c r="E1994" s="4" t="s">
        <v>52</v>
      </c>
      <c r="F1994" s="4" t="s">
        <v>25</v>
      </c>
      <c r="G1994" s="4" t="s">
        <v>25</v>
      </c>
      <c r="H1994" s="4" t="s">
        <v>25</v>
      </c>
      <c r="I1994" s="5">
        <v>44682</v>
      </c>
      <c r="J1994" s="6">
        <v>0</v>
      </c>
      <c r="K1994" s="6">
        <v>0</v>
      </c>
      <c r="L1994" s="6">
        <v>1486.8520000000001</v>
      </c>
      <c r="M1994" s="6">
        <v>1397.6408799999999</v>
      </c>
      <c r="N1994" s="6">
        <v>1486.8520000000001</v>
      </c>
      <c r="O1994" s="6">
        <v>1397.6408799999999</v>
      </c>
      <c r="P1994" s="6">
        <v>677</v>
      </c>
      <c r="Q1994" s="4" t="s">
        <v>26</v>
      </c>
      <c r="R1994" s="4">
        <v>0</v>
      </c>
      <c r="S1994" s="4" t="s">
        <v>661</v>
      </c>
      <c r="T1994" s="4" t="s">
        <v>925</v>
      </c>
      <c r="U1994" s="4">
        <v>0</v>
      </c>
      <c r="V1994" s="4">
        <v>69</v>
      </c>
      <c r="W1994" s="4">
        <v>112</v>
      </c>
    </row>
    <row r="1995" spans="1:23" ht="11.25" customHeight="1" x14ac:dyDescent="0.25">
      <c r="A1995" s="4" t="s">
        <v>21</v>
      </c>
      <c r="B1995" s="4" t="s">
        <v>47</v>
      </c>
      <c r="C1995" s="4" t="s">
        <v>23</v>
      </c>
      <c r="D1995" s="4" t="s">
        <v>48</v>
      </c>
      <c r="E1995" s="4" t="s">
        <v>49</v>
      </c>
      <c r="F1995" s="4" t="s">
        <v>25</v>
      </c>
      <c r="G1995" s="4" t="s">
        <v>25</v>
      </c>
      <c r="H1995" s="4" t="s">
        <v>25</v>
      </c>
      <c r="I1995" s="5">
        <v>44348</v>
      </c>
      <c r="J1995" s="6">
        <v>0</v>
      </c>
      <c r="K1995" s="6">
        <v>0</v>
      </c>
      <c r="L1995" s="6">
        <v>6730.4089999999997</v>
      </c>
      <c r="M1995" s="6">
        <v>6730.4089999999997</v>
      </c>
      <c r="N1995" s="6">
        <v>6730.4089999999997</v>
      </c>
      <c r="O1995" s="6">
        <v>6730.4089999999997</v>
      </c>
      <c r="P1995" s="6">
        <v>138</v>
      </c>
      <c r="Q1995" s="4" t="s">
        <v>26</v>
      </c>
      <c r="R1995" s="4">
        <v>0</v>
      </c>
      <c r="S1995" s="4" t="s">
        <v>662</v>
      </c>
      <c r="T1995" s="4" t="s">
        <v>926</v>
      </c>
      <c r="U1995" s="4">
        <v>0</v>
      </c>
      <c r="V1995" s="4">
        <v>71</v>
      </c>
      <c r="W1995" s="4">
        <v>114</v>
      </c>
    </row>
    <row r="1996" spans="1:23" ht="11.25" customHeight="1" x14ac:dyDescent="0.25">
      <c r="A1996" s="4" t="s">
        <v>21</v>
      </c>
      <c r="B1996" s="4" t="s">
        <v>47</v>
      </c>
      <c r="C1996" s="4" t="s">
        <v>23</v>
      </c>
      <c r="D1996" s="4" t="s">
        <v>48</v>
      </c>
      <c r="E1996" s="4" t="s">
        <v>49</v>
      </c>
      <c r="F1996" s="4" t="s">
        <v>25</v>
      </c>
      <c r="G1996" s="4" t="s">
        <v>25</v>
      </c>
      <c r="H1996" s="4" t="s">
        <v>25</v>
      </c>
      <c r="I1996" s="5">
        <v>44378</v>
      </c>
      <c r="J1996" s="6">
        <v>0</v>
      </c>
      <c r="K1996" s="6">
        <v>0</v>
      </c>
      <c r="L1996" s="6">
        <v>6955.6120000000001</v>
      </c>
      <c r="M1996" s="6">
        <v>6955.6120000000001</v>
      </c>
      <c r="N1996" s="6">
        <v>6955.6120000000001</v>
      </c>
      <c r="O1996" s="6">
        <v>6955.6120000000001</v>
      </c>
      <c r="P1996" s="6">
        <v>141</v>
      </c>
      <c r="Q1996" s="4" t="s">
        <v>26</v>
      </c>
      <c r="R1996" s="4">
        <v>0</v>
      </c>
      <c r="S1996" s="4" t="s">
        <v>663</v>
      </c>
      <c r="T1996" s="4" t="s">
        <v>927</v>
      </c>
      <c r="U1996" s="4">
        <v>0</v>
      </c>
      <c r="V1996" s="4">
        <v>71</v>
      </c>
      <c r="W1996" s="4">
        <v>114</v>
      </c>
    </row>
    <row r="1997" spans="1:23" ht="11.25" customHeight="1" x14ac:dyDescent="0.25">
      <c r="A1997" s="4" t="s">
        <v>21</v>
      </c>
      <c r="B1997" s="4" t="s">
        <v>47</v>
      </c>
      <c r="C1997" s="4" t="s">
        <v>23</v>
      </c>
      <c r="D1997" s="4" t="s">
        <v>48</v>
      </c>
      <c r="E1997" s="4" t="s">
        <v>49</v>
      </c>
      <c r="F1997" s="4" t="s">
        <v>25</v>
      </c>
      <c r="G1997" s="4" t="s">
        <v>25</v>
      </c>
      <c r="H1997" s="4" t="s">
        <v>25</v>
      </c>
      <c r="I1997" s="5">
        <v>44409</v>
      </c>
      <c r="J1997" s="6">
        <v>0</v>
      </c>
      <c r="K1997" s="6">
        <v>0</v>
      </c>
      <c r="L1997" s="6">
        <v>6957.107</v>
      </c>
      <c r="M1997" s="6">
        <v>6957.107</v>
      </c>
      <c r="N1997" s="6">
        <v>6957.107</v>
      </c>
      <c r="O1997" s="6">
        <v>6957.107</v>
      </c>
      <c r="P1997" s="6">
        <v>140</v>
      </c>
      <c r="Q1997" s="4" t="s">
        <v>26</v>
      </c>
      <c r="R1997" s="4">
        <v>0</v>
      </c>
      <c r="S1997" s="4" t="s">
        <v>664</v>
      </c>
      <c r="T1997" s="4" t="s">
        <v>928</v>
      </c>
      <c r="U1997" s="4">
        <v>0</v>
      </c>
      <c r="V1997" s="4">
        <v>71</v>
      </c>
      <c r="W1997" s="4">
        <v>114</v>
      </c>
    </row>
    <row r="1998" spans="1:23" ht="11.25" customHeight="1" x14ac:dyDescent="0.25">
      <c r="A1998" s="4" t="s">
        <v>27</v>
      </c>
      <c r="B1998" s="4" t="s">
        <v>47</v>
      </c>
      <c r="C1998" s="4" t="s">
        <v>23</v>
      </c>
      <c r="D1998" s="4" t="s">
        <v>48</v>
      </c>
      <c r="E1998" s="4" t="s">
        <v>49</v>
      </c>
      <c r="F1998" s="4" t="s">
        <v>25</v>
      </c>
      <c r="G1998" s="4" t="s">
        <v>25</v>
      </c>
      <c r="H1998" s="4" t="s">
        <v>25</v>
      </c>
      <c r="I1998" s="5">
        <v>44409</v>
      </c>
      <c r="J1998" s="6">
        <v>0</v>
      </c>
      <c r="K1998" s="6">
        <v>0</v>
      </c>
      <c r="L1998" s="6">
        <v>0.48599999999999999</v>
      </c>
      <c r="M1998" s="6">
        <v>0.48599999999999999</v>
      </c>
      <c r="N1998" s="6">
        <v>0.48599999999999999</v>
      </c>
      <c r="O1998" s="6">
        <v>0.48599999999999999</v>
      </c>
      <c r="P1998" s="6">
        <v>0</v>
      </c>
      <c r="Q1998" s="4" t="s">
        <v>26</v>
      </c>
      <c r="R1998" s="4">
        <v>0</v>
      </c>
      <c r="S1998" s="4" t="s">
        <v>664</v>
      </c>
      <c r="T1998" s="4" t="s">
        <v>928</v>
      </c>
      <c r="U1998" s="4">
        <v>0</v>
      </c>
      <c r="V1998" s="4">
        <v>71</v>
      </c>
      <c r="W1998" s="4">
        <v>114</v>
      </c>
    </row>
    <row r="1999" spans="1:23" ht="11.25" customHeight="1" x14ac:dyDescent="0.25">
      <c r="A1999" s="4" t="s">
        <v>21</v>
      </c>
      <c r="B1999" s="4" t="s">
        <v>47</v>
      </c>
      <c r="C1999" s="4" t="s">
        <v>23</v>
      </c>
      <c r="D1999" s="4" t="s">
        <v>48</v>
      </c>
      <c r="E1999" s="4" t="s">
        <v>49</v>
      </c>
      <c r="F1999" s="4" t="s">
        <v>25</v>
      </c>
      <c r="G1999" s="4" t="s">
        <v>25</v>
      </c>
      <c r="H1999" s="4" t="s">
        <v>25</v>
      </c>
      <c r="I1999" s="5">
        <v>44440</v>
      </c>
      <c r="J1999" s="6">
        <v>0</v>
      </c>
      <c r="K1999" s="6">
        <v>0</v>
      </c>
      <c r="L1999" s="6">
        <v>6738.5169999999998</v>
      </c>
      <c r="M1999" s="6">
        <v>6738.5169999999998</v>
      </c>
      <c r="N1999" s="6">
        <v>6738.5169999999998</v>
      </c>
      <c r="O1999" s="6">
        <v>6738.5169999999998</v>
      </c>
      <c r="P1999" s="6">
        <v>140</v>
      </c>
      <c r="Q1999" s="4" t="s">
        <v>26</v>
      </c>
      <c r="R1999" s="4">
        <v>0</v>
      </c>
      <c r="S1999" s="4" t="s">
        <v>665</v>
      </c>
      <c r="T1999" s="4" t="s">
        <v>929</v>
      </c>
      <c r="U1999" s="4">
        <v>0</v>
      </c>
      <c r="V1999" s="4">
        <v>71</v>
      </c>
      <c r="W1999" s="4">
        <v>114</v>
      </c>
    </row>
    <row r="2000" spans="1:23" ht="11.25" customHeight="1" x14ac:dyDescent="0.25">
      <c r="A2000" s="4" t="s">
        <v>27</v>
      </c>
      <c r="B2000" s="4" t="s">
        <v>47</v>
      </c>
      <c r="C2000" s="4" t="s">
        <v>23</v>
      </c>
      <c r="D2000" s="4" t="s">
        <v>48</v>
      </c>
      <c r="E2000" s="4" t="s">
        <v>49</v>
      </c>
      <c r="F2000" s="4" t="s">
        <v>25</v>
      </c>
      <c r="G2000" s="4" t="s">
        <v>25</v>
      </c>
      <c r="H2000" s="4" t="s">
        <v>25</v>
      </c>
      <c r="I2000" s="5">
        <v>44440</v>
      </c>
      <c r="J2000" s="6">
        <v>0</v>
      </c>
      <c r="K2000" s="6">
        <v>0</v>
      </c>
      <c r="L2000" s="6">
        <v>5.7830000000000004</v>
      </c>
      <c r="M2000" s="6">
        <v>5.7830000000000004</v>
      </c>
      <c r="N2000" s="6">
        <v>5.7830000000000004</v>
      </c>
      <c r="O2000" s="6">
        <v>5.7830000000000004</v>
      </c>
      <c r="P2000" s="6">
        <v>0</v>
      </c>
      <c r="Q2000" s="4" t="s">
        <v>26</v>
      </c>
      <c r="R2000" s="4">
        <v>0</v>
      </c>
      <c r="S2000" s="4" t="s">
        <v>665</v>
      </c>
      <c r="T2000" s="4" t="s">
        <v>929</v>
      </c>
      <c r="U2000" s="4">
        <v>0</v>
      </c>
      <c r="V2000" s="4">
        <v>71</v>
      </c>
      <c r="W2000" s="4">
        <v>114</v>
      </c>
    </row>
    <row r="2001" spans="1:23" ht="11.25" customHeight="1" x14ac:dyDescent="0.25">
      <c r="A2001" s="4" t="s">
        <v>21</v>
      </c>
      <c r="B2001" s="4" t="s">
        <v>47</v>
      </c>
      <c r="C2001" s="4" t="s">
        <v>23</v>
      </c>
      <c r="D2001" s="4" t="s">
        <v>48</v>
      </c>
      <c r="E2001" s="4" t="s">
        <v>49</v>
      </c>
      <c r="F2001" s="4" t="s">
        <v>25</v>
      </c>
      <c r="G2001" s="4" t="s">
        <v>25</v>
      </c>
      <c r="H2001" s="4" t="s">
        <v>25</v>
      </c>
      <c r="I2001" s="5">
        <v>44470</v>
      </c>
      <c r="J2001" s="6">
        <v>0</v>
      </c>
      <c r="K2001" s="6">
        <v>0</v>
      </c>
      <c r="L2001" s="6">
        <v>6941.9949999999999</v>
      </c>
      <c r="M2001" s="6">
        <v>6941.9949999999999</v>
      </c>
      <c r="N2001" s="6">
        <v>6941.9949999999999</v>
      </c>
      <c r="O2001" s="6">
        <v>6941.9949999999999</v>
      </c>
      <c r="P2001" s="6">
        <v>140</v>
      </c>
      <c r="Q2001" s="4" t="s">
        <v>26</v>
      </c>
      <c r="R2001" s="4">
        <v>0</v>
      </c>
      <c r="S2001" s="4" t="s">
        <v>666</v>
      </c>
      <c r="T2001" s="4" t="s">
        <v>930</v>
      </c>
      <c r="U2001" s="4">
        <v>0</v>
      </c>
      <c r="V2001" s="4">
        <v>71</v>
      </c>
      <c r="W2001" s="4">
        <v>114</v>
      </c>
    </row>
    <row r="2002" spans="1:23" ht="11.25" customHeight="1" x14ac:dyDescent="0.25">
      <c r="A2002" s="4" t="s">
        <v>21</v>
      </c>
      <c r="B2002" s="4" t="s">
        <v>47</v>
      </c>
      <c r="C2002" s="4" t="s">
        <v>23</v>
      </c>
      <c r="D2002" s="4" t="s">
        <v>48</v>
      </c>
      <c r="E2002" s="4" t="s">
        <v>49</v>
      </c>
      <c r="F2002" s="4" t="s">
        <v>25</v>
      </c>
      <c r="G2002" s="4" t="s">
        <v>25</v>
      </c>
      <c r="H2002" s="4" t="s">
        <v>25</v>
      </c>
      <c r="I2002" s="5">
        <v>44501</v>
      </c>
      <c r="J2002" s="6">
        <v>0</v>
      </c>
      <c r="K2002" s="6">
        <v>0</v>
      </c>
      <c r="L2002" s="6">
        <v>6719.4290000000001</v>
      </c>
      <c r="M2002" s="6">
        <v>6719.4290000000001</v>
      </c>
      <c r="N2002" s="6">
        <v>6719.4290000000001</v>
      </c>
      <c r="O2002" s="6">
        <v>6719.4290000000001</v>
      </c>
      <c r="P2002" s="6">
        <v>138</v>
      </c>
      <c r="Q2002" s="4" t="s">
        <v>26</v>
      </c>
      <c r="R2002" s="4">
        <v>0</v>
      </c>
      <c r="S2002" s="4" t="s">
        <v>667</v>
      </c>
      <c r="T2002" s="4" t="s">
        <v>931</v>
      </c>
      <c r="U2002" s="4">
        <v>0</v>
      </c>
      <c r="V2002" s="4">
        <v>71</v>
      </c>
      <c r="W2002" s="4">
        <v>114</v>
      </c>
    </row>
    <row r="2003" spans="1:23" ht="11.25" customHeight="1" x14ac:dyDescent="0.25">
      <c r="A2003" s="4" t="s">
        <v>27</v>
      </c>
      <c r="B2003" s="4" t="s">
        <v>47</v>
      </c>
      <c r="C2003" s="4" t="s">
        <v>23</v>
      </c>
      <c r="D2003" s="4" t="s">
        <v>48</v>
      </c>
      <c r="E2003" s="4" t="s">
        <v>49</v>
      </c>
      <c r="F2003" s="4" t="s">
        <v>25</v>
      </c>
      <c r="G2003" s="4" t="s">
        <v>25</v>
      </c>
      <c r="H2003" s="4" t="s">
        <v>25</v>
      </c>
      <c r="I2003" s="5">
        <v>44501</v>
      </c>
      <c r="J2003" s="6">
        <v>0</v>
      </c>
      <c r="K2003" s="6">
        <v>0</v>
      </c>
      <c r="L2003" s="6">
        <v>9.4309999999999992</v>
      </c>
      <c r="M2003" s="6">
        <v>9.4309999999999992</v>
      </c>
      <c r="N2003" s="6">
        <v>9.4309999999999992</v>
      </c>
      <c r="O2003" s="6">
        <v>9.4309999999999992</v>
      </c>
      <c r="P2003" s="6">
        <v>0</v>
      </c>
      <c r="Q2003" s="4" t="s">
        <v>26</v>
      </c>
      <c r="R2003" s="4">
        <v>0</v>
      </c>
      <c r="S2003" s="4" t="s">
        <v>667</v>
      </c>
      <c r="T2003" s="4" t="s">
        <v>931</v>
      </c>
      <c r="U2003" s="4">
        <v>0</v>
      </c>
      <c r="V2003" s="4">
        <v>71</v>
      </c>
      <c r="W2003" s="4">
        <v>114</v>
      </c>
    </row>
    <row r="2004" spans="1:23" ht="11.25" customHeight="1" x14ac:dyDescent="0.25">
      <c r="A2004" s="4" t="s">
        <v>21</v>
      </c>
      <c r="B2004" s="4" t="s">
        <v>47</v>
      </c>
      <c r="C2004" s="4" t="s">
        <v>23</v>
      </c>
      <c r="D2004" s="4" t="s">
        <v>48</v>
      </c>
      <c r="E2004" s="4" t="s">
        <v>49</v>
      </c>
      <c r="F2004" s="4" t="s">
        <v>25</v>
      </c>
      <c r="G2004" s="4" t="s">
        <v>25</v>
      </c>
      <c r="H2004" s="4" t="s">
        <v>25</v>
      </c>
      <c r="I2004" s="5">
        <v>44531</v>
      </c>
      <c r="J2004" s="6">
        <v>0</v>
      </c>
      <c r="K2004" s="6">
        <v>0</v>
      </c>
      <c r="L2004" s="6">
        <v>6923.5389999999998</v>
      </c>
      <c r="M2004" s="6">
        <v>6923.5389999999998</v>
      </c>
      <c r="N2004" s="6">
        <v>6923.5389999999998</v>
      </c>
      <c r="O2004" s="6">
        <v>6923.5389999999998</v>
      </c>
      <c r="P2004" s="6">
        <v>140</v>
      </c>
      <c r="Q2004" s="4" t="s">
        <v>26</v>
      </c>
      <c r="R2004" s="4">
        <v>0</v>
      </c>
      <c r="S2004" s="4" t="s">
        <v>668</v>
      </c>
      <c r="T2004" s="4" t="s">
        <v>932</v>
      </c>
      <c r="U2004" s="4">
        <v>0</v>
      </c>
      <c r="V2004" s="4">
        <v>71</v>
      </c>
      <c r="W2004" s="4">
        <v>114</v>
      </c>
    </row>
    <row r="2005" spans="1:23" ht="11.25" customHeight="1" x14ac:dyDescent="0.25">
      <c r="A2005" s="4" t="s">
        <v>21</v>
      </c>
      <c r="B2005" s="4" t="s">
        <v>47</v>
      </c>
      <c r="C2005" s="4" t="s">
        <v>23</v>
      </c>
      <c r="D2005" s="4" t="s">
        <v>48</v>
      </c>
      <c r="E2005" s="4" t="s">
        <v>49</v>
      </c>
      <c r="F2005" s="4" t="s">
        <v>25</v>
      </c>
      <c r="G2005" s="4" t="s">
        <v>25</v>
      </c>
      <c r="H2005" s="4" t="s">
        <v>25</v>
      </c>
      <c r="I2005" s="5">
        <v>44562</v>
      </c>
      <c r="J2005" s="6">
        <v>0</v>
      </c>
      <c r="K2005" s="6">
        <v>0</v>
      </c>
      <c r="L2005" s="6">
        <v>6920.3059999999996</v>
      </c>
      <c r="M2005" s="6">
        <v>6920.3059999999996</v>
      </c>
      <c r="N2005" s="6">
        <v>6920.3059999999996</v>
      </c>
      <c r="O2005" s="6">
        <v>6920.3059999999996</v>
      </c>
      <c r="P2005" s="6">
        <v>138</v>
      </c>
      <c r="Q2005" s="4" t="s">
        <v>26</v>
      </c>
      <c r="R2005" s="4">
        <v>0</v>
      </c>
      <c r="S2005" s="4" t="s">
        <v>669</v>
      </c>
      <c r="T2005" s="4" t="s">
        <v>933</v>
      </c>
      <c r="U2005" s="4">
        <v>0</v>
      </c>
      <c r="V2005" s="4">
        <v>71</v>
      </c>
      <c r="W2005" s="4">
        <v>114</v>
      </c>
    </row>
    <row r="2006" spans="1:23" ht="11.25" customHeight="1" x14ac:dyDescent="0.25">
      <c r="A2006" s="4" t="s">
        <v>27</v>
      </c>
      <c r="B2006" s="4" t="s">
        <v>47</v>
      </c>
      <c r="C2006" s="4" t="s">
        <v>23</v>
      </c>
      <c r="D2006" s="4" t="s">
        <v>48</v>
      </c>
      <c r="E2006" s="4" t="s">
        <v>49</v>
      </c>
      <c r="F2006" s="4" t="s">
        <v>25</v>
      </c>
      <c r="G2006" s="4" t="s">
        <v>25</v>
      </c>
      <c r="H2006" s="4" t="s">
        <v>25</v>
      </c>
      <c r="I2006" s="5">
        <v>44562</v>
      </c>
      <c r="J2006" s="6">
        <v>0</v>
      </c>
      <c r="K2006" s="6">
        <v>0</v>
      </c>
      <c r="L2006" s="6">
        <v>0.72299999999999998</v>
      </c>
      <c r="M2006" s="6">
        <v>0.72299999999999998</v>
      </c>
      <c r="N2006" s="6">
        <v>0.72299999999999998</v>
      </c>
      <c r="O2006" s="6">
        <v>0.72299999999999998</v>
      </c>
      <c r="P2006" s="6">
        <v>0</v>
      </c>
      <c r="Q2006" s="4" t="s">
        <v>26</v>
      </c>
      <c r="R2006" s="4">
        <v>0</v>
      </c>
      <c r="S2006" s="4" t="s">
        <v>669</v>
      </c>
      <c r="T2006" s="4" t="s">
        <v>933</v>
      </c>
      <c r="U2006" s="4">
        <v>0</v>
      </c>
      <c r="V2006" s="4">
        <v>71</v>
      </c>
      <c r="W2006" s="4">
        <v>114</v>
      </c>
    </row>
    <row r="2007" spans="1:23" ht="11.25" customHeight="1" x14ac:dyDescent="0.25">
      <c r="A2007" s="4" t="s">
        <v>21</v>
      </c>
      <c r="B2007" s="4" t="s">
        <v>47</v>
      </c>
      <c r="C2007" s="4" t="s">
        <v>23</v>
      </c>
      <c r="D2007" s="4" t="s">
        <v>48</v>
      </c>
      <c r="E2007" s="4" t="s">
        <v>49</v>
      </c>
      <c r="F2007" s="4" t="s">
        <v>25</v>
      </c>
      <c r="G2007" s="4" t="s">
        <v>25</v>
      </c>
      <c r="H2007" s="4" t="s">
        <v>25</v>
      </c>
      <c r="I2007" s="5">
        <v>44593</v>
      </c>
      <c r="J2007" s="6">
        <v>0</v>
      </c>
      <c r="K2007" s="6">
        <v>0</v>
      </c>
      <c r="L2007" s="6">
        <v>6176.7560000000003</v>
      </c>
      <c r="M2007" s="6">
        <v>6176.7560000000003</v>
      </c>
      <c r="N2007" s="6">
        <v>6176.7560000000003</v>
      </c>
      <c r="O2007" s="6">
        <v>6176.7560000000003</v>
      </c>
      <c r="P2007" s="6">
        <v>140</v>
      </c>
      <c r="Q2007" s="4" t="s">
        <v>26</v>
      </c>
      <c r="R2007" s="4">
        <v>0</v>
      </c>
      <c r="S2007" s="4" t="s">
        <v>670</v>
      </c>
      <c r="T2007" s="4" t="s">
        <v>934</v>
      </c>
      <c r="U2007" s="4">
        <v>0</v>
      </c>
      <c r="V2007" s="4">
        <v>71</v>
      </c>
      <c r="W2007" s="4">
        <v>114</v>
      </c>
    </row>
    <row r="2008" spans="1:23" ht="11.25" customHeight="1" x14ac:dyDescent="0.25">
      <c r="A2008" s="4" t="s">
        <v>21</v>
      </c>
      <c r="B2008" s="4" t="s">
        <v>47</v>
      </c>
      <c r="C2008" s="4" t="s">
        <v>23</v>
      </c>
      <c r="D2008" s="4" t="s">
        <v>48</v>
      </c>
      <c r="E2008" s="4" t="s">
        <v>49</v>
      </c>
      <c r="F2008" s="4" t="s">
        <v>25</v>
      </c>
      <c r="G2008" s="4" t="s">
        <v>25</v>
      </c>
      <c r="H2008" s="4" t="s">
        <v>25</v>
      </c>
      <c r="I2008" s="5">
        <v>44621</v>
      </c>
      <c r="J2008" s="6">
        <v>0</v>
      </c>
      <c r="K2008" s="6">
        <v>0</v>
      </c>
      <c r="L2008" s="6">
        <v>6887.21</v>
      </c>
      <c r="M2008" s="6">
        <v>6887.21</v>
      </c>
      <c r="N2008" s="6">
        <v>6887.21</v>
      </c>
      <c r="O2008" s="6">
        <v>6887.21</v>
      </c>
      <c r="P2008" s="6">
        <v>138</v>
      </c>
      <c r="Q2008" s="4" t="s">
        <v>26</v>
      </c>
      <c r="R2008" s="4">
        <v>0</v>
      </c>
      <c r="S2008" s="4" t="s">
        <v>671</v>
      </c>
      <c r="T2008" s="4" t="s">
        <v>935</v>
      </c>
      <c r="U2008" s="4">
        <v>0</v>
      </c>
      <c r="V2008" s="4">
        <v>71</v>
      </c>
      <c r="W2008" s="4">
        <v>114</v>
      </c>
    </row>
    <row r="2009" spans="1:23" ht="11.25" customHeight="1" x14ac:dyDescent="0.25">
      <c r="A2009" s="4" t="s">
        <v>21</v>
      </c>
      <c r="B2009" s="4" t="s">
        <v>47</v>
      </c>
      <c r="C2009" s="4" t="s">
        <v>23</v>
      </c>
      <c r="D2009" s="4" t="s">
        <v>48</v>
      </c>
      <c r="E2009" s="4" t="s">
        <v>49</v>
      </c>
      <c r="F2009" s="4" t="s">
        <v>25</v>
      </c>
      <c r="G2009" s="4" t="s">
        <v>25</v>
      </c>
      <c r="H2009" s="4" t="s">
        <v>25</v>
      </c>
      <c r="I2009" s="5">
        <v>44652</v>
      </c>
      <c r="J2009" s="6">
        <v>0</v>
      </c>
      <c r="K2009" s="6">
        <v>0</v>
      </c>
      <c r="L2009" s="6">
        <v>6669.76</v>
      </c>
      <c r="M2009" s="6">
        <v>6669.76</v>
      </c>
      <c r="N2009" s="6">
        <v>6669.76</v>
      </c>
      <c r="O2009" s="6">
        <v>6669.76</v>
      </c>
      <c r="P2009" s="6">
        <v>140</v>
      </c>
      <c r="Q2009" s="4" t="s">
        <v>26</v>
      </c>
      <c r="R2009" s="4">
        <v>0</v>
      </c>
      <c r="S2009" s="4" t="s">
        <v>672</v>
      </c>
      <c r="T2009" s="4" t="s">
        <v>936</v>
      </c>
      <c r="U2009" s="4">
        <v>0</v>
      </c>
      <c r="V2009" s="4">
        <v>71</v>
      </c>
      <c r="W2009" s="4">
        <v>114</v>
      </c>
    </row>
    <row r="2010" spans="1:23" ht="11.25" customHeight="1" x14ac:dyDescent="0.25">
      <c r="A2010" s="4" t="s">
        <v>58</v>
      </c>
      <c r="B2010" s="4" t="s">
        <v>47</v>
      </c>
      <c r="C2010" s="4" t="s">
        <v>23</v>
      </c>
      <c r="D2010" s="4" t="s">
        <v>48</v>
      </c>
      <c r="E2010" s="4" t="s">
        <v>49</v>
      </c>
      <c r="F2010" s="4" t="s">
        <v>25</v>
      </c>
      <c r="G2010" s="4" t="s">
        <v>25</v>
      </c>
      <c r="H2010" s="4" t="s">
        <v>25</v>
      </c>
      <c r="I2010" s="5">
        <v>44682</v>
      </c>
      <c r="J2010" s="6">
        <v>0</v>
      </c>
      <c r="K2010" s="6">
        <v>0</v>
      </c>
      <c r="L2010" s="6">
        <v>6669.76</v>
      </c>
      <c r="M2010" s="6">
        <v>6669.76</v>
      </c>
      <c r="N2010" s="6">
        <v>6669.76</v>
      </c>
      <c r="O2010" s="6">
        <v>6669.76</v>
      </c>
      <c r="P2010" s="6">
        <v>140</v>
      </c>
      <c r="Q2010" s="4" t="s">
        <v>26</v>
      </c>
      <c r="R2010" s="4">
        <v>0</v>
      </c>
      <c r="S2010" s="4" t="s">
        <v>673</v>
      </c>
      <c r="T2010" s="4" t="s">
        <v>937</v>
      </c>
      <c r="U2010" s="4">
        <v>0</v>
      </c>
      <c r="V2010" s="4">
        <v>71</v>
      </c>
      <c r="W2010" s="4">
        <v>114</v>
      </c>
    </row>
    <row r="2011" spans="1:23" ht="11.25" customHeight="1" x14ac:dyDescent="0.25">
      <c r="A2011" s="4" t="s">
        <v>21</v>
      </c>
      <c r="B2011" s="4" t="s">
        <v>47</v>
      </c>
      <c r="C2011" s="4" t="s">
        <v>23</v>
      </c>
      <c r="D2011" s="4" t="s">
        <v>48</v>
      </c>
      <c r="E2011" s="4" t="s">
        <v>50</v>
      </c>
      <c r="F2011" s="4" t="s">
        <v>25</v>
      </c>
      <c r="G2011" s="4" t="s">
        <v>25</v>
      </c>
      <c r="H2011" s="4" t="s">
        <v>25</v>
      </c>
      <c r="I2011" s="5">
        <v>44348</v>
      </c>
      <c r="J2011" s="6">
        <v>0</v>
      </c>
      <c r="K2011" s="6">
        <v>0</v>
      </c>
      <c r="L2011" s="6">
        <v>138.715</v>
      </c>
      <c r="M2011" s="6">
        <v>138.715</v>
      </c>
      <c r="N2011" s="6">
        <v>138.715</v>
      </c>
      <c r="O2011" s="6">
        <v>138.715</v>
      </c>
      <c r="P2011" s="6">
        <v>5</v>
      </c>
      <c r="Q2011" s="4" t="s">
        <v>26</v>
      </c>
      <c r="R2011" s="4">
        <v>0</v>
      </c>
      <c r="S2011" s="4" t="s">
        <v>674</v>
      </c>
      <c r="T2011" s="4" t="s">
        <v>938</v>
      </c>
      <c r="U2011" s="4">
        <v>0</v>
      </c>
      <c r="V2011" s="4">
        <v>72</v>
      </c>
      <c r="W2011" s="4">
        <v>115</v>
      </c>
    </row>
    <row r="2012" spans="1:23" ht="11.25" customHeight="1" x14ac:dyDescent="0.25">
      <c r="A2012" s="4" t="s">
        <v>21</v>
      </c>
      <c r="B2012" s="4" t="s">
        <v>47</v>
      </c>
      <c r="C2012" s="4" t="s">
        <v>23</v>
      </c>
      <c r="D2012" s="4" t="s">
        <v>48</v>
      </c>
      <c r="E2012" s="4" t="s">
        <v>50</v>
      </c>
      <c r="F2012" s="4" t="s">
        <v>25</v>
      </c>
      <c r="G2012" s="4" t="s">
        <v>25</v>
      </c>
      <c r="H2012" s="4" t="s">
        <v>25</v>
      </c>
      <c r="I2012" s="5">
        <v>44378</v>
      </c>
      <c r="J2012" s="6">
        <v>0</v>
      </c>
      <c r="K2012" s="6">
        <v>0</v>
      </c>
      <c r="L2012" s="6">
        <v>143.33799999999999</v>
      </c>
      <c r="M2012" s="6">
        <v>143.33799999999999</v>
      </c>
      <c r="N2012" s="6">
        <v>143.33799999999999</v>
      </c>
      <c r="O2012" s="6">
        <v>143.33799999999999</v>
      </c>
      <c r="P2012" s="6">
        <v>5</v>
      </c>
      <c r="Q2012" s="4" t="s">
        <v>26</v>
      </c>
      <c r="R2012" s="4">
        <v>0</v>
      </c>
      <c r="S2012" s="4" t="s">
        <v>675</v>
      </c>
      <c r="T2012" s="4" t="s">
        <v>939</v>
      </c>
      <c r="U2012" s="4">
        <v>0</v>
      </c>
      <c r="V2012" s="4">
        <v>72</v>
      </c>
      <c r="W2012" s="4">
        <v>115</v>
      </c>
    </row>
    <row r="2013" spans="1:23" ht="11.25" customHeight="1" x14ac:dyDescent="0.25">
      <c r="A2013" s="4" t="s">
        <v>21</v>
      </c>
      <c r="B2013" s="4" t="s">
        <v>47</v>
      </c>
      <c r="C2013" s="4" t="s">
        <v>23</v>
      </c>
      <c r="D2013" s="4" t="s">
        <v>48</v>
      </c>
      <c r="E2013" s="4" t="s">
        <v>50</v>
      </c>
      <c r="F2013" s="4" t="s">
        <v>25</v>
      </c>
      <c r="G2013" s="4" t="s">
        <v>25</v>
      </c>
      <c r="H2013" s="4" t="s">
        <v>25</v>
      </c>
      <c r="I2013" s="5">
        <v>44409</v>
      </c>
      <c r="J2013" s="6">
        <v>0</v>
      </c>
      <c r="K2013" s="6">
        <v>0</v>
      </c>
      <c r="L2013" s="6">
        <v>143.35599999999999</v>
      </c>
      <c r="M2013" s="6">
        <v>143.35599999999999</v>
      </c>
      <c r="N2013" s="6">
        <v>143.35599999999999</v>
      </c>
      <c r="O2013" s="6">
        <v>143.35599999999999</v>
      </c>
      <c r="P2013" s="6">
        <v>5</v>
      </c>
      <c r="Q2013" s="4" t="s">
        <v>26</v>
      </c>
      <c r="R2013" s="4">
        <v>0</v>
      </c>
      <c r="S2013" s="4" t="s">
        <v>676</v>
      </c>
      <c r="T2013" s="4" t="s">
        <v>940</v>
      </c>
      <c r="U2013" s="4">
        <v>0</v>
      </c>
      <c r="V2013" s="4">
        <v>72</v>
      </c>
      <c r="W2013" s="4">
        <v>115</v>
      </c>
    </row>
    <row r="2014" spans="1:23" ht="11.25" customHeight="1" x14ac:dyDescent="0.25">
      <c r="A2014" s="4" t="s">
        <v>21</v>
      </c>
      <c r="B2014" s="4" t="s">
        <v>47</v>
      </c>
      <c r="C2014" s="4" t="s">
        <v>23</v>
      </c>
      <c r="D2014" s="4" t="s">
        <v>48</v>
      </c>
      <c r="E2014" s="4" t="s">
        <v>50</v>
      </c>
      <c r="F2014" s="4" t="s">
        <v>25</v>
      </c>
      <c r="G2014" s="4" t="s">
        <v>25</v>
      </c>
      <c r="H2014" s="4" t="s">
        <v>25</v>
      </c>
      <c r="I2014" s="5">
        <v>44440</v>
      </c>
      <c r="J2014" s="6">
        <v>0</v>
      </c>
      <c r="K2014" s="6">
        <v>0</v>
      </c>
      <c r="L2014" s="6">
        <v>127.852</v>
      </c>
      <c r="M2014" s="6">
        <v>127.852</v>
      </c>
      <c r="N2014" s="6">
        <v>127.852</v>
      </c>
      <c r="O2014" s="6">
        <v>127.852</v>
      </c>
      <c r="P2014" s="6">
        <v>5</v>
      </c>
      <c r="Q2014" s="4" t="s">
        <v>26</v>
      </c>
      <c r="R2014" s="4">
        <v>0</v>
      </c>
      <c r="S2014" s="4" t="s">
        <v>677</v>
      </c>
      <c r="T2014" s="4" t="s">
        <v>941</v>
      </c>
      <c r="U2014" s="4">
        <v>0</v>
      </c>
      <c r="V2014" s="4">
        <v>72</v>
      </c>
      <c r="W2014" s="4">
        <v>115</v>
      </c>
    </row>
    <row r="2015" spans="1:23" ht="11.25" customHeight="1" x14ac:dyDescent="0.25">
      <c r="A2015" s="4" t="s">
        <v>21</v>
      </c>
      <c r="B2015" s="4" t="s">
        <v>47</v>
      </c>
      <c r="C2015" s="4" t="s">
        <v>23</v>
      </c>
      <c r="D2015" s="4" t="s">
        <v>48</v>
      </c>
      <c r="E2015" s="4" t="s">
        <v>50</v>
      </c>
      <c r="F2015" s="4" t="s">
        <v>25</v>
      </c>
      <c r="G2015" s="4" t="s">
        <v>25</v>
      </c>
      <c r="H2015" s="4" t="s">
        <v>25</v>
      </c>
      <c r="I2015" s="5">
        <v>44470</v>
      </c>
      <c r="J2015" s="6">
        <v>0</v>
      </c>
      <c r="K2015" s="6">
        <v>0</v>
      </c>
      <c r="L2015" s="6">
        <v>132.10499999999999</v>
      </c>
      <c r="M2015" s="6">
        <v>132.10499999999999</v>
      </c>
      <c r="N2015" s="6">
        <v>132.10499999999999</v>
      </c>
      <c r="O2015" s="6">
        <v>132.10499999999999</v>
      </c>
      <c r="P2015" s="6">
        <v>5</v>
      </c>
      <c r="Q2015" s="4" t="s">
        <v>26</v>
      </c>
      <c r="R2015" s="4">
        <v>0</v>
      </c>
      <c r="S2015" s="4" t="s">
        <v>678</v>
      </c>
      <c r="T2015" s="4" t="s">
        <v>942</v>
      </c>
      <c r="U2015" s="4">
        <v>0</v>
      </c>
      <c r="V2015" s="4">
        <v>72</v>
      </c>
      <c r="W2015" s="4">
        <v>115</v>
      </c>
    </row>
    <row r="2016" spans="1:23" ht="11.25" customHeight="1" x14ac:dyDescent="0.25">
      <c r="A2016" s="4" t="s">
        <v>21</v>
      </c>
      <c r="B2016" s="4" t="s">
        <v>47</v>
      </c>
      <c r="C2016" s="4" t="s">
        <v>23</v>
      </c>
      <c r="D2016" s="4" t="s">
        <v>48</v>
      </c>
      <c r="E2016" s="4" t="s">
        <v>50</v>
      </c>
      <c r="F2016" s="4" t="s">
        <v>25</v>
      </c>
      <c r="G2016" s="4" t="s">
        <v>25</v>
      </c>
      <c r="H2016" s="4" t="s">
        <v>25</v>
      </c>
      <c r="I2016" s="5">
        <v>44501</v>
      </c>
      <c r="J2016" s="6">
        <v>0</v>
      </c>
      <c r="K2016" s="6">
        <v>0</v>
      </c>
      <c r="L2016" s="6">
        <v>127.845</v>
      </c>
      <c r="M2016" s="6">
        <v>127.845</v>
      </c>
      <c r="N2016" s="6">
        <v>127.845</v>
      </c>
      <c r="O2016" s="6">
        <v>127.845</v>
      </c>
      <c r="P2016" s="6">
        <v>5</v>
      </c>
      <c r="Q2016" s="4" t="s">
        <v>26</v>
      </c>
      <c r="R2016" s="4">
        <v>0</v>
      </c>
      <c r="S2016" s="4" t="s">
        <v>679</v>
      </c>
      <c r="T2016" s="4" t="s">
        <v>943</v>
      </c>
      <c r="U2016" s="4">
        <v>0</v>
      </c>
      <c r="V2016" s="4">
        <v>72</v>
      </c>
      <c r="W2016" s="4">
        <v>115</v>
      </c>
    </row>
    <row r="2017" spans="1:23" ht="11.25" customHeight="1" x14ac:dyDescent="0.25">
      <c r="A2017" s="4" t="s">
        <v>21</v>
      </c>
      <c r="B2017" s="4" t="s">
        <v>47</v>
      </c>
      <c r="C2017" s="4" t="s">
        <v>23</v>
      </c>
      <c r="D2017" s="4" t="s">
        <v>48</v>
      </c>
      <c r="E2017" s="4" t="s">
        <v>50</v>
      </c>
      <c r="F2017" s="4" t="s">
        <v>25</v>
      </c>
      <c r="G2017" s="4" t="s">
        <v>25</v>
      </c>
      <c r="H2017" s="4" t="s">
        <v>25</v>
      </c>
      <c r="I2017" s="5">
        <v>44531</v>
      </c>
      <c r="J2017" s="6">
        <v>0</v>
      </c>
      <c r="K2017" s="6">
        <v>0</v>
      </c>
      <c r="L2017" s="6">
        <v>131.18299999999999</v>
      </c>
      <c r="M2017" s="6">
        <v>131.18299999999999</v>
      </c>
      <c r="N2017" s="6">
        <v>131.18299999999999</v>
      </c>
      <c r="O2017" s="6">
        <v>131.18299999999999</v>
      </c>
      <c r="P2017" s="6">
        <v>5</v>
      </c>
      <c r="Q2017" s="4" t="s">
        <v>26</v>
      </c>
      <c r="R2017" s="4">
        <v>0</v>
      </c>
      <c r="S2017" s="4" t="s">
        <v>680</v>
      </c>
      <c r="T2017" s="4" t="s">
        <v>944</v>
      </c>
      <c r="U2017" s="4">
        <v>0</v>
      </c>
      <c r="V2017" s="4">
        <v>72</v>
      </c>
      <c r="W2017" s="4">
        <v>115</v>
      </c>
    </row>
    <row r="2018" spans="1:23" ht="11.25" customHeight="1" x14ac:dyDescent="0.25">
      <c r="A2018" s="4" t="s">
        <v>21</v>
      </c>
      <c r="B2018" s="4" t="s">
        <v>47</v>
      </c>
      <c r="C2018" s="4" t="s">
        <v>23</v>
      </c>
      <c r="D2018" s="4" t="s">
        <v>48</v>
      </c>
      <c r="E2018" s="4" t="s">
        <v>50</v>
      </c>
      <c r="F2018" s="4" t="s">
        <v>25</v>
      </c>
      <c r="G2018" s="4" t="s">
        <v>25</v>
      </c>
      <c r="H2018" s="4" t="s">
        <v>25</v>
      </c>
      <c r="I2018" s="5">
        <v>44562</v>
      </c>
      <c r="J2018" s="6">
        <v>0</v>
      </c>
      <c r="K2018" s="6">
        <v>0</v>
      </c>
      <c r="L2018" s="6">
        <v>131.15299999999999</v>
      </c>
      <c r="M2018" s="6">
        <v>131.15299999999999</v>
      </c>
      <c r="N2018" s="6">
        <v>131.15299999999999</v>
      </c>
      <c r="O2018" s="6">
        <v>131.15299999999999</v>
      </c>
      <c r="P2018" s="6">
        <v>5</v>
      </c>
      <c r="Q2018" s="4" t="s">
        <v>26</v>
      </c>
      <c r="R2018" s="4">
        <v>0</v>
      </c>
      <c r="S2018" s="4" t="s">
        <v>681</v>
      </c>
      <c r="T2018" s="4" t="s">
        <v>945</v>
      </c>
      <c r="U2018" s="4">
        <v>0</v>
      </c>
      <c r="V2018" s="4">
        <v>72</v>
      </c>
      <c r="W2018" s="4">
        <v>115</v>
      </c>
    </row>
    <row r="2019" spans="1:23" ht="11.25" customHeight="1" x14ac:dyDescent="0.25">
      <c r="A2019" s="4" t="s">
        <v>21</v>
      </c>
      <c r="B2019" s="4" t="s">
        <v>47</v>
      </c>
      <c r="C2019" s="4" t="s">
        <v>23</v>
      </c>
      <c r="D2019" s="4" t="s">
        <v>48</v>
      </c>
      <c r="E2019" s="4" t="s">
        <v>50</v>
      </c>
      <c r="F2019" s="4" t="s">
        <v>25</v>
      </c>
      <c r="G2019" s="4" t="s">
        <v>25</v>
      </c>
      <c r="H2019" s="4" t="s">
        <v>25</v>
      </c>
      <c r="I2019" s="5">
        <v>44593</v>
      </c>
      <c r="J2019" s="6">
        <v>0</v>
      </c>
      <c r="K2019" s="6">
        <v>0</v>
      </c>
      <c r="L2019" s="6">
        <v>118.465</v>
      </c>
      <c r="M2019" s="6">
        <v>118.465</v>
      </c>
      <c r="N2019" s="6">
        <v>118.465</v>
      </c>
      <c r="O2019" s="6">
        <v>118.465</v>
      </c>
      <c r="P2019" s="6">
        <v>5</v>
      </c>
      <c r="Q2019" s="4" t="s">
        <v>26</v>
      </c>
      <c r="R2019" s="4">
        <v>0</v>
      </c>
      <c r="S2019" s="4" t="s">
        <v>682</v>
      </c>
      <c r="T2019" s="4" t="s">
        <v>946</v>
      </c>
      <c r="U2019" s="4">
        <v>0</v>
      </c>
      <c r="V2019" s="4">
        <v>72</v>
      </c>
      <c r="W2019" s="4">
        <v>115</v>
      </c>
    </row>
    <row r="2020" spans="1:23" ht="11.25" customHeight="1" x14ac:dyDescent="0.25">
      <c r="A2020" s="4" t="s">
        <v>21</v>
      </c>
      <c r="B2020" s="4" t="s">
        <v>47</v>
      </c>
      <c r="C2020" s="4" t="s">
        <v>23</v>
      </c>
      <c r="D2020" s="4" t="s">
        <v>48</v>
      </c>
      <c r="E2020" s="4" t="s">
        <v>50</v>
      </c>
      <c r="F2020" s="4" t="s">
        <v>25</v>
      </c>
      <c r="G2020" s="4" t="s">
        <v>25</v>
      </c>
      <c r="H2020" s="4" t="s">
        <v>25</v>
      </c>
      <c r="I2020" s="5">
        <v>44621</v>
      </c>
      <c r="J2020" s="6">
        <v>0</v>
      </c>
      <c r="K2020" s="6">
        <v>0</v>
      </c>
      <c r="L2020" s="6">
        <v>131.154</v>
      </c>
      <c r="M2020" s="6">
        <v>131.154</v>
      </c>
      <c r="N2020" s="6">
        <v>131.154</v>
      </c>
      <c r="O2020" s="6">
        <v>131.154</v>
      </c>
      <c r="P2020" s="6">
        <v>5</v>
      </c>
      <c r="Q2020" s="4" t="s">
        <v>26</v>
      </c>
      <c r="R2020" s="4">
        <v>0</v>
      </c>
      <c r="S2020" s="4" t="s">
        <v>683</v>
      </c>
      <c r="T2020" s="4" t="s">
        <v>947</v>
      </c>
      <c r="U2020" s="4">
        <v>0</v>
      </c>
      <c r="V2020" s="4">
        <v>72</v>
      </c>
      <c r="W2020" s="4">
        <v>115</v>
      </c>
    </row>
    <row r="2021" spans="1:23" ht="11.25" customHeight="1" x14ac:dyDescent="0.25">
      <c r="A2021" s="4" t="s">
        <v>21</v>
      </c>
      <c r="B2021" s="4" t="s">
        <v>47</v>
      </c>
      <c r="C2021" s="4" t="s">
        <v>23</v>
      </c>
      <c r="D2021" s="4" t="s">
        <v>48</v>
      </c>
      <c r="E2021" s="4" t="s">
        <v>50</v>
      </c>
      <c r="F2021" s="4" t="s">
        <v>25</v>
      </c>
      <c r="G2021" s="4" t="s">
        <v>25</v>
      </c>
      <c r="H2021" s="4" t="s">
        <v>25</v>
      </c>
      <c r="I2021" s="5">
        <v>44652</v>
      </c>
      <c r="J2021" s="6">
        <v>0</v>
      </c>
      <c r="K2021" s="6">
        <v>0</v>
      </c>
      <c r="L2021" s="6">
        <v>126.926</v>
      </c>
      <c r="M2021" s="6">
        <v>126.926</v>
      </c>
      <c r="N2021" s="6">
        <v>126.926</v>
      </c>
      <c r="O2021" s="6">
        <v>126.926</v>
      </c>
      <c r="P2021" s="6">
        <v>5</v>
      </c>
      <c r="Q2021" s="4" t="s">
        <v>26</v>
      </c>
      <c r="R2021" s="4">
        <v>0</v>
      </c>
      <c r="S2021" s="4" t="s">
        <v>684</v>
      </c>
      <c r="T2021" s="4" t="s">
        <v>948</v>
      </c>
      <c r="U2021" s="4">
        <v>0</v>
      </c>
      <c r="V2021" s="4">
        <v>72</v>
      </c>
      <c r="W2021" s="4">
        <v>115</v>
      </c>
    </row>
    <row r="2022" spans="1:23" ht="11.25" customHeight="1" x14ac:dyDescent="0.25">
      <c r="A2022" s="4" t="s">
        <v>58</v>
      </c>
      <c r="B2022" s="4" t="s">
        <v>47</v>
      </c>
      <c r="C2022" s="4" t="s">
        <v>23</v>
      </c>
      <c r="D2022" s="4" t="s">
        <v>48</v>
      </c>
      <c r="E2022" s="4" t="s">
        <v>50</v>
      </c>
      <c r="F2022" s="4" t="s">
        <v>25</v>
      </c>
      <c r="G2022" s="4" t="s">
        <v>25</v>
      </c>
      <c r="H2022" s="4" t="s">
        <v>25</v>
      </c>
      <c r="I2022" s="5">
        <v>44682</v>
      </c>
      <c r="J2022" s="6">
        <v>0</v>
      </c>
      <c r="K2022" s="6">
        <v>0</v>
      </c>
      <c r="L2022" s="6">
        <v>126.926</v>
      </c>
      <c r="M2022" s="6">
        <v>126.926</v>
      </c>
      <c r="N2022" s="6">
        <v>126.926</v>
      </c>
      <c r="O2022" s="6">
        <v>126.926</v>
      </c>
      <c r="P2022" s="6">
        <v>5</v>
      </c>
      <c r="Q2022" s="4" t="s">
        <v>26</v>
      </c>
      <c r="R2022" s="4">
        <v>0</v>
      </c>
      <c r="S2022" s="4" t="s">
        <v>685</v>
      </c>
      <c r="T2022" s="4" t="s">
        <v>949</v>
      </c>
      <c r="U2022" s="4">
        <v>0</v>
      </c>
      <c r="V2022" s="4">
        <v>72</v>
      </c>
      <c r="W2022" s="4">
        <v>115</v>
      </c>
    </row>
  </sheetData>
  <sortState xmlns:xlrd2="http://schemas.microsoft.com/office/spreadsheetml/2017/richdata2" ref="A2:W2022">
    <sortCondition ref="B2:B2022"/>
    <sortCondition ref="C2:C2022"/>
    <sortCondition ref="D2:D2022"/>
    <sortCondition ref="E2:E2022"/>
    <sortCondition ref="F2:F2022"/>
    <sortCondition ref="H2:H202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E7C5B-1636-4C4F-80FF-0EA57DEAA4CA}">
  <dimension ref="A1:H130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101</v>
      </c>
      <c r="B1" s="7" t="s">
        <v>102</v>
      </c>
      <c r="C1" s="7" t="s">
        <v>103</v>
      </c>
      <c r="D1" s="7" t="s">
        <v>104</v>
      </c>
      <c r="E1" s="7" t="s">
        <v>105</v>
      </c>
      <c r="G1" s="7" t="s">
        <v>106</v>
      </c>
      <c r="H1" s="7">
        <f>COUNTA(A:A)</f>
        <v>130</v>
      </c>
    </row>
    <row r="2" spans="1:8" ht="11.25" customHeight="1" x14ac:dyDescent="0.25">
      <c r="A2" s="8" t="s">
        <v>731</v>
      </c>
      <c r="B2" s="8" t="s">
        <v>732</v>
      </c>
      <c r="C2" s="8" t="s">
        <v>733</v>
      </c>
      <c r="D2" s="8">
        <v>841</v>
      </c>
      <c r="E2" s="8" t="s">
        <v>734</v>
      </c>
    </row>
    <row r="3" spans="1:8" ht="11.25" customHeight="1" x14ac:dyDescent="0.25">
      <c r="A3" s="8" t="s">
        <v>731</v>
      </c>
      <c r="B3" s="8" t="s">
        <v>732</v>
      </c>
      <c r="C3" s="8" t="s">
        <v>733</v>
      </c>
      <c r="D3" s="8">
        <v>842</v>
      </c>
      <c r="E3" s="8" t="s">
        <v>734</v>
      </c>
    </row>
    <row r="4" spans="1:8" ht="11.25" customHeight="1" x14ac:dyDescent="0.25">
      <c r="A4" s="8" t="s">
        <v>731</v>
      </c>
      <c r="B4" s="8" t="s">
        <v>732</v>
      </c>
      <c r="C4" s="8" t="s">
        <v>733</v>
      </c>
      <c r="D4" s="8">
        <v>843</v>
      </c>
      <c r="E4" s="8" t="s">
        <v>734</v>
      </c>
    </row>
    <row r="5" spans="1:8" ht="11.25" customHeight="1" x14ac:dyDescent="0.25">
      <c r="A5" s="8" t="s">
        <v>731</v>
      </c>
      <c r="B5" s="8" t="s">
        <v>732</v>
      </c>
      <c r="C5" s="8" t="s">
        <v>733</v>
      </c>
      <c r="D5" s="8">
        <v>844</v>
      </c>
      <c r="E5" s="8" t="s">
        <v>734</v>
      </c>
    </row>
    <row r="6" spans="1:8" ht="11.25" customHeight="1" x14ac:dyDescent="0.25">
      <c r="A6" s="8" t="s">
        <v>731</v>
      </c>
      <c r="B6" s="8" t="s">
        <v>732</v>
      </c>
      <c r="C6" s="8" t="s">
        <v>733</v>
      </c>
      <c r="D6" s="8">
        <v>845</v>
      </c>
      <c r="E6" s="8" t="s">
        <v>734</v>
      </c>
    </row>
    <row r="7" spans="1:8" ht="11.25" customHeight="1" x14ac:dyDescent="0.25">
      <c r="A7" s="8" t="s">
        <v>731</v>
      </c>
      <c r="B7" s="8" t="s">
        <v>732</v>
      </c>
      <c r="C7" s="8" t="s">
        <v>733</v>
      </c>
      <c r="D7" s="8">
        <v>846</v>
      </c>
      <c r="E7" s="8" t="s">
        <v>734</v>
      </c>
    </row>
    <row r="8" spans="1:8" ht="11.25" customHeight="1" x14ac:dyDescent="0.25">
      <c r="A8" s="8" t="s">
        <v>731</v>
      </c>
      <c r="B8" s="8" t="s">
        <v>732</v>
      </c>
      <c r="C8" s="8" t="s">
        <v>733</v>
      </c>
      <c r="D8" s="8">
        <v>847</v>
      </c>
      <c r="E8" s="8" t="s">
        <v>734</v>
      </c>
    </row>
    <row r="9" spans="1:8" ht="11.25" customHeight="1" x14ac:dyDescent="0.25">
      <c r="A9" s="8" t="s">
        <v>731</v>
      </c>
      <c r="B9" s="8" t="s">
        <v>732</v>
      </c>
      <c r="C9" s="8" t="s">
        <v>733</v>
      </c>
      <c r="D9" s="8">
        <v>848</v>
      </c>
      <c r="E9" s="8" t="s">
        <v>734</v>
      </c>
    </row>
    <row r="10" spans="1:8" ht="11.25" customHeight="1" x14ac:dyDescent="0.25">
      <c r="A10" s="8" t="s">
        <v>731</v>
      </c>
      <c r="B10" s="8" t="s">
        <v>732</v>
      </c>
      <c r="C10" s="8" t="s">
        <v>733</v>
      </c>
      <c r="D10" s="8">
        <v>849</v>
      </c>
      <c r="E10" s="8" t="s">
        <v>734</v>
      </c>
    </row>
    <row r="11" spans="1:8" ht="11.25" customHeight="1" x14ac:dyDescent="0.25">
      <c r="A11" s="8" t="s">
        <v>731</v>
      </c>
      <c r="B11" s="8" t="s">
        <v>732</v>
      </c>
      <c r="C11" s="8" t="s">
        <v>733</v>
      </c>
      <c r="D11" s="8">
        <v>850</v>
      </c>
      <c r="E11" s="8" t="s">
        <v>734</v>
      </c>
    </row>
    <row r="12" spans="1:8" ht="11.25" customHeight="1" x14ac:dyDescent="0.25">
      <c r="A12" s="8" t="s">
        <v>731</v>
      </c>
      <c r="B12" s="8" t="s">
        <v>732</v>
      </c>
      <c r="C12" s="8" t="s">
        <v>733</v>
      </c>
      <c r="D12" s="8">
        <v>851</v>
      </c>
      <c r="E12" s="8" t="s">
        <v>734</v>
      </c>
    </row>
    <row r="13" spans="1:8" ht="11.25" customHeight="1" x14ac:dyDescent="0.25">
      <c r="A13" s="8" t="s">
        <v>731</v>
      </c>
      <c r="B13" s="8" t="s">
        <v>732</v>
      </c>
      <c r="C13" s="8" t="s">
        <v>733</v>
      </c>
      <c r="D13" s="8">
        <v>852</v>
      </c>
      <c r="E13" s="8" t="s">
        <v>734</v>
      </c>
    </row>
    <row r="14" spans="1:8" ht="11.25" customHeight="1" x14ac:dyDescent="0.25">
      <c r="A14" s="8" t="s">
        <v>731</v>
      </c>
      <c r="B14" s="8" t="s">
        <v>732</v>
      </c>
      <c r="C14" s="8" t="s">
        <v>733</v>
      </c>
      <c r="D14" s="8">
        <v>853</v>
      </c>
      <c r="E14" s="8" t="s">
        <v>734</v>
      </c>
    </row>
    <row r="15" spans="1:8" ht="11.25" customHeight="1" x14ac:dyDescent="0.25">
      <c r="A15" s="8" t="s">
        <v>731</v>
      </c>
      <c r="B15" s="8" t="s">
        <v>732</v>
      </c>
      <c r="C15" s="8" t="s">
        <v>733</v>
      </c>
      <c r="D15" s="8">
        <v>854</v>
      </c>
      <c r="E15" s="8" t="s">
        <v>734</v>
      </c>
    </row>
    <row r="16" spans="1:8" ht="11.25" customHeight="1" x14ac:dyDescent="0.25">
      <c r="A16" s="8" t="s">
        <v>731</v>
      </c>
      <c r="B16" s="8" t="s">
        <v>732</v>
      </c>
      <c r="C16" s="8" t="s">
        <v>733</v>
      </c>
      <c r="D16" s="8">
        <v>855</v>
      </c>
      <c r="E16" s="8" t="s">
        <v>734</v>
      </c>
    </row>
    <row r="17" spans="1:5" ht="11.25" customHeight="1" x14ac:dyDescent="0.25">
      <c r="A17" s="8" t="s">
        <v>731</v>
      </c>
      <c r="B17" s="8" t="s">
        <v>732</v>
      </c>
      <c r="C17" s="8" t="s">
        <v>733</v>
      </c>
      <c r="D17" s="8">
        <v>856</v>
      </c>
      <c r="E17" s="8" t="s">
        <v>734</v>
      </c>
    </row>
    <row r="18" spans="1:5" ht="11.25" customHeight="1" x14ac:dyDescent="0.25">
      <c r="A18" s="8" t="s">
        <v>731</v>
      </c>
      <c r="B18" s="8" t="s">
        <v>732</v>
      </c>
      <c r="C18" s="8" t="s">
        <v>733</v>
      </c>
      <c r="D18" s="8">
        <v>857</v>
      </c>
      <c r="E18" s="8" t="s">
        <v>734</v>
      </c>
    </row>
    <row r="19" spans="1:5" ht="11.25" customHeight="1" x14ac:dyDescent="0.25">
      <c r="A19" s="8" t="s">
        <v>731</v>
      </c>
      <c r="B19" s="8" t="s">
        <v>732</v>
      </c>
      <c r="C19" s="8" t="s">
        <v>733</v>
      </c>
      <c r="D19" s="8">
        <v>858</v>
      </c>
      <c r="E19" s="8" t="s">
        <v>734</v>
      </c>
    </row>
    <row r="20" spans="1:5" ht="11.25" customHeight="1" x14ac:dyDescent="0.25">
      <c r="A20" s="8" t="s">
        <v>731</v>
      </c>
      <c r="B20" s="8" t="s">
        <v>732</v>
      </c>
      <c r="C20" s="8" t="s">
        <v>733</v>
      </c>
      <c r="D20" s="8">
        <v>859</v>
      </c>
      <c r="E20" s="8" t="s">
        <v>734</v>
      </c>
    </row>
    <row r="21" spans="1:5" ht="11.25" customHeight="1" x14ac:dyDescent="0.25">
      <c r="A21" s="8" t="s">
        <v>731</v>
      </c>
      <c r="B21" s="8" t="s">
        <v>732</v>
      </c>
      <c r="C21" s="8" t="s">
        <v>733</v>
      </c>
      <c r="D21" s="8">
        <v>860</v>
      </c>
      <c r="E21" s="8" t="s">
        <v>734</v>
      </c>
    </row>
    <row r="22" spans="1:5" ht="11.25" customHeight="1" x14ac:dyDescent="0.25">
      <c r="A22" s="8" t="s">
        <v>731</v>
      </c>
      <c r="B22" s="8" t="s">
        <v>732</v>
      </c>
      <c r="C22" s="8" t="s">
        <v>733</v>
      </c>
      <c r="D22" s="8">
        <v>861</v>
      </c>
      <c r="E22" s="8" t="s">
        <v>734</v>
      </c>
    </row>
    <row r="23" spans="1:5" ht="11.25" customHeight="1" x14ac:dyDescent="0.25">
      <c r="A23" s="8" t="s">
        <v>731</v>
      </c>
      <c r="B23" s="8" t="s">
        <v>732</v>
      </c>
      <c r="C23" s="8" t="s">
        <v>733</v>
      </c>
      <c r="D23" s="8">
        <v>862</v>
      </c>
      <c r="E23" s="8" t="s">
        <v>734</v>
      </c>
    </row>
    <row r="24" spans="1:5" ht="11.25" customHeight="1" x14ac:dyDescent="0.25">
      <c r="A24" s="8" t="s">
        <v>731</v>
      </c>
      <c r="B24" s="8" t="s">
        <v>732</v>
      </c>
      <c r="C24" s="8" t="s">
        <v>733</v>
      </c>
      <c r="D24" s="8">
        <v>863</v>
      </c>
      <c r="E24" s="8" t="s">
        <v>734</v>
      </c>
    </row>
    <row r="25" spans="1:5" ht="11.25" customHeight="1" x14ac:dyDescent="0.25">
      <c r="A25" s="8" t="s">
        <v>731</v>
      </c>
      <c r="B25" s="8" t="s">
        <v>732</v>
      </c>
      <c r="C25" s="8" t="s">
        <v>733</v>
      </c>
      <c r="D25" s="8">
        <v>864</v>
      </c>
      <c r="E25" s="8" t="s">
        <v>734</v>
      </c>
    </row>
    <row r="26" spans="1:5" ht="11.25" customHeight="1" x14ac:dyDescent="0.25">
      <c r="A26" s="8" t="s">
        <v>731</v>
      </c>
      <c r="B26" s="8" t="s">
        <v>732</v>
      </c>
      <c r="C26" s="8" t="s">
        <v>733</v>
      </c>
      <c r="D26" s="8">
        <v>865</v>
      </c>
      <c r="E26" s="8" t="s">
        <v>734</v>
      </c>
    </row>
    <row r="27" spans="1:5" ht="11.25" customHeight="1" x14ac:dyDescent="0.25">
      <c r="A27" s="8" t="s">
        <v>731</v>
      </c>
      <c r="B27" s="8" t="s">
        <v>732</v>
      </c>
      <c r="C27" s="8" t="s">
        <v>733</v>
      </c>
      <c r="D27" s="8">
        <v>866</v>
      </c>
      <c r="E27" s="8" t="s">
        <v>734</v>
      </c>
    </row>
    <row r="28" spans="1:5" ht="11.25" customHeight="1" x14ac:dyDescent="0.25">
      <c r="A28" s="8" t="s">
        <v>731</v>
      </c>
      <c r="B28" s="8" t="s">
        <v>732</v>
      </c>
      <c r="C28" s="8" t="s">
        <v>733</v>
      </c>
      <c r="D28" s="8">
        <v>867</v>
      </c>
      <c r="E28" s="8" t="s">
        <v>734</v>
      </c>
    </row>
    <row r="29" spans="1:5" ht="11.25" customHeight="1" x14ac:dyDescent="0.25">
      <c r="A29" s="8" t="s">
        <v>731</v>
      </c>
      <c r="B29" s="8" t="s">
        <v>732</v>
      </c>
      <c r="C29" s="8" t="s">
        <v>733</v>
      </c>
      <c r="D29" s="8">
        <v>868</v>
      </c>
      <c r="E29" s="8" t="s">
        <v>734</v>
      </c>
    </row>
    <row r="30" spans="1:5" ht="11.25" customHeight="1" x14ac:dyDescent="0.25">
      <c r="A30" s="8" t="s">
        <v>731</v>
      </c>
      <c r="B30" s="8" t="s">
        <v>732</v>
      </c>
      <c r="C30" s="8" t="s">
        <v>733</v>
      </c>
      <c r="D30" s="8">
        <v>913</v>
      </c>
      <c r="E30" s="8" t="s">
        <v>734</v>
      </c>
    </row>
    <row r="31" spans="1:5" ht="11.25" customHeight="1" x14ac:dyDescent="0.25">
      <c r="A31" s="8" t="s">
        <v>731</v>
      </c>
      <c r="B31" s="8" t="s">
        <v>732</v>
      </c>
      <c r="C31" s="8" t="s">
        <v>733</v>
      </c>
      <c r="D31" s="8">
        <v>914</v>
      </c>
      <c r="E31" s="8" t="s">
        <v>734</v>
      </c>
    </row>
    <row r="32" spans="1:5" ht="11.25" customHeight="1" x14ac:dyDescent="0.25">
      <c r="A32" s="8" t="s">
        <v>731</v>
      </c>
      <c r="B32" s="8" t="s">
        <v>732</v>
      </c>
      <c r="C32" s="8" t="s">
        <v>733</v>
      </c>
      <c r="D32" s="8">
        <v>915</v>
      </c>
      <c r="E32" s="8" t="s">
        <v>734</v>
      </c>
    </row>
    <row r="33" spans="1:5" ht="11.25" customHeight="1" x14ac:dyDescent="0.25">
      <c r="A33" s="8" t="s">
        <v>731</v>
      </c>
      <c r="B33" s="8" t="s">
        <v>732</v>
      </c>
      <c r="C33" s="8" t="s">
        <v>733</v>
      </c>
      <c r="D33" s="8">
        <v>916</v>
      </c>
      <c r="E33" s="8" t="s">
        <v>734</v>
      </c>
    </row>
    <row r="34" spans="1:5" ht="11.25" customHeight="1" x14ac:dyDescent="0.25">
      <c r="A34" s="8" t="s">
        <v>731</v>
      </c>
      <c r="B34" s="8" t="s">
        <v>732</v>
      </c>
      <c r="C34" s="8" t="s">
        <v>733</v>
      </c>
      <c r="D34" s="8">
        <v>917</v>
      </c>
      <c r="E34" s="8" t="s">
        <v>734</v>
      </c>
    </row>
    <row r="35" spans="1:5" ht="11.25" customHeight="1" x14ac:dyDescent="0.25">
      <c r="A35" s="8" t="s">
        <v>731</v>
      </c>
      <c r="B35" s="8" t="s">
        <v>732</v>
      </c>
      <c r="C35" s="8" t="s">
        <v>733</v>
      </c>
      <c r="D35" s="8">
        <v>918</v>
      </c>
      <c r="E35" s="8" t="s">
        <v>734</v>
      </c>
    </row>
    <row r="36" spans="1:5" ht="11.25" customHeight="1" x14ac:dyDescent="0.25">
      <c r="A36" s="8" t="s">
        <v>731</v>
      </c>
      <c r="B36" s="8" t="s">
        <v>732</v>
      </c>
      <c r="C36" s="8" t="s">
        <v>733</v>
      </c>
      <c r="D36" s="8">
        <v>919</v>
      </c>
      <c r="E36" s="8" t="s">
        <v>734</v>
      </c>
    </row>
    <row r="37" spans="1:5" ht="11.25" customHeight="1" x14ac:dyDescent="0.25">
      <c r="A37" s="8" t="s">
        <v>731</v>
      </c>
      <c r="B37" s="8" t="s">
        <v>732</v>
      </c>
      <c r="C37" s="8" t="s">
        <v>733</v>
      </c>
      <c r="D37" s="8">
        <v>920</v>
      </c>
      <c r="E37" s="8" t="s">
        <v>734</v>
      </c>
    </row>
    <row r="38" spans="1:5" ht="11.25" customHeight="1" x14ac:dyDescent="0.25">
      <c r="A38" s="8" t="s">
        <v>731</v>
      </c>
      <c r="B38" s="8" t="s">
        <v>732</v>
      </c>
      <c r="C38" s="8" t="s">
        <v>733</v>
      </c>
      <c r="D38" s="8">
        <v>921</v>
      </c>
      <c r="E38" s="8" t="s">
        <v>734</v>
      </c>
    </row>
    <row r="39" spans="1:5" ht="11.25" customHeight="1" x14ac:dyDescent="0.25">
      <c r="A39" s="8" t="s">
        <v>731</v>
      </c>
      <c r="B39" s="8" t="s">
        <v>732</v>
      </c>
      <c r="C39" s="8" t="s">
        <v>733</v>
      </c>
      <c r="D39" s="8">
        <v>922</v>
      </c>
      <c r="E39" s="8" t="s">
        <v>734</v>
      </c>
    </row>
    <row r="40" spans="1:5" ht="11.25" customHeight="1" x14ac:dyDescent="0.25">
      <c r="A40" s="8" t="s">
        <v>731</v>
      </c>
      <c r="B40" s="8" t="s">
        <v>732</v>
      </c>
      <c r="C40" s="8" t="s">
        <v>733</v>
      </c>
      <c r="D40" s="8">
        <v>923</v>
      </c>
      <c r="E40" s="8" t="s">
        <v>734</v>
      </c>
    </row>
    <row r="41" spans="1:5" ht="11.25" customHeight="1" x14ac:dyDescent="0.25">
      <c r="A41" s="8" t="s">
        <v>731</v>
      </c>
      <c r="B41" s="8" t="s">
        <v>732</v>
      </c>
      <c r="C41" s="8" t="s">
        <v>733</v>
      </c>
      <c r="D41" s="8">
        <v>924</v>
      </c>
      <c r="E41" s="8" t="s">
        <v>734</v>
      </c>
    </row>
    <row r="42" spans="1:5" ht="11.25" customHeight="1" x14ac:dyDescent="0.25">
      <c r="A42" s="8" t="s">
        <v>731</v>
      </c>
      <c r="B42" s="8" t="s">
        <v>732</v>
      </c>
      <c r="C42" s="8" t="s">
        <v>733</v>
      </c>
      <c r="D42" s="8">
        <v>1005</v>
      </c>
      <c r="E42" s="8" t="s">
        <v>734</v>
      </c>
    </row>
    <row r="43" spans="1:5" ht="11.25" customHeight="1" x14ac:dyDescent="0.25">
      <c r="A43" s="8" t="s">
        <v>731</v>
      </c>
      <c r="B43" s="8" t="s">
        <v>732</v>
      </c>
      <c r="C43" s="8" t="s">
        <v>733</v>
      </c>
      <c r="D43" s="8">
        <v>1006</v>
      </c>
      <c r="E43" s="8" t="s">
        <v>734</v>
      </c>
    </row>
    <row r="44" spans="1:5" ht="11.25" customHeight="1" x14ac:dyDescent="0.25">
      <c r="A44" s="8" t="s">
        <v>731</v>
      </c>
      <c r="B44" s="8" t="s">
        <v>732</v>
      </c>
      <c r="C44" s="8" t="s">
        <v>733</v>
      </c>
      <c r="D44" s="8">
        <v>1007</v>
      </c>
      <c r="E44" s="8" t="s">
        <v>734</v>
      </c>
    </row>
    <row r="45" spans="1:5" ht="11.25" customHeight="1" x14ac:dyDescent="0.25">
      <c r="A45" s="8" t="s">
        <v>731</v>
      </c>
      <c r="B45" s="8" t="s">
        <v>732</v>
      </c>
      <c r="C45" s="8" t="s">
        <v>733</v>
      </c>
      <c r="D45" s="8">
        <v>1008</v>
      </c>
      <c r="E45" s="8" t="s">
        <v>734</v>
      </c>
    </row>
    <row r="46" spans="1:5" ht="11.25" customHeight="1" x14ac:dyDescent="0.25">
      <c r="A46" s="8" t="s">
        <v>731</v>
      </c>
      <c r="B46" s="8" t="s">
        <v>732</v>
      </c>
      <c r="C46" s="8" t="s">
        <v>733</v>
      </c>
      <c r="D46" s="8">
        <v>1009</v>
      </c>
      <c r="E46" s="8" t="s">
        <v>734</v>
      </c>
    </row>
    <row r="47" spans="1:5" ht="11.25" customHeight="1" x14ac:dyDescent="0.25">
      <c r="A47" s="8" t="s">
        <v>731</v>
      </c>
      <c r="B47" s="8" t="s">
        <v>732</v>
      </c>
      <c r="C47" s="8" t="s">
        <v>733</v>
      </c>
      <c r="D47" s="8">
        <v>1010</v>
      </c>
      <c r="E47" s="8" t="s">
        <v>734</v>
      </c>
    </row>
    <row r="48" spans="1:5" ht="11.25" customHeight="1" x14ac:dyDescent="0.25">
      <c r="A48" s="8" t="s">
        <v>731</v>
      </c>
      <c r="B48" s="8" t="s">
        <v>732</v>
      </c>
      <c r="C48" s="8" t="s">
        <v>733</v>
      </c>
      <c r="D48" s="8">
        <v>1011</v>
      </c>
      <c r="E48" s="8" t="s">
        <v>734</v>
      </c>
    </row>
    <row r="49" spans="1:5" ht="11.25" customHeight="1" x14ac:dyDescent="0.25">
      <c r="A49" s="8" t="s">
        <v>731</v>
      </c>
      <c r="B49" s="8" t="s">
        <v>732</v>
      </c>
      <c r="C49" s="8" t="s">
        <v>733</v>
      </c>
      <c r="D49" s="8">
        <v>1012</v>
      </c>
      <c r="E49" s="8" t="s">
        <v>734</v>
      </c>
    </row>
    <row r="50" spans="1:5" ht="11.25" customHeight="1" x14ac:dyDescent="0.25">
      <c r="A50" s="8" t="s">
        <v>731</v>
      </c>
      <c r="B50" s="8" t="s">
        <v>732</v>
      </c>
      <c r="C50" s="8" t="s">
        <v>733</v>
      </c>
      <c r="D50" s="8">
        <v>1013</v>
      </c>
      <c r="E50" s="8" t="s">
        <v>734</v>
      </c>
    </row>
    <row r="51" spans="1:5" ht="11.25" customHeight="1" x14ac:dyDescent="0.25">
      <c r="A51" s="8" t="s">
        <v>731</v>
      </c>
      <c r="B51" s="8" t="s">
        <v>732</v>
      </c>
      <c r="C51" s="8" t="s">
        <v>733</v>
      </c>
      <c r="D51" s="8">
        <v>1014</v>
      </c>
      <c r="E51" s="8" t="s">
        <v>734</v>
      </c>
    </row>
    <row r="52" spans="1:5" ht="11.25" customHeight="1" x14ac:dyDescent="0.25">
      <c r="A52" s="8" t="s">
        <v>731</v>
      </c>
      <c r="B52" s="8" t="s">
        <v>732</v>
      </c>
      <c r="C52" s="8" t="s">
        <v>733</v>
      </c>
      <c r="D52" s="8">
        <v>1015</v>
      </c>
      <c r="E52" s="8" t="s">
        <v>734</v>
      </c>
    </row>
    <row r="53" spans="1:5" ht="11.25" customHeight="1" x14ac:dyDescent="0.25">
      <c r="A53" s="8" t="s">
        <v>731</v>
      </c>
      <c r="B53" s="8" t="s">
        <v>732</v>
      </c>
      <c r="C53" s="8" t="s">
        <v>733</v>
      </c>
      <c r="D53" s="8">
        <v>1016</v>
      </c>
      <c r="E53" s="8" t="s">
        <v>734</v>
      </c>
    </row>
    <row r="54" spans="1:5" ht="11.25" customHeight="1" x14ac:dyDescent="0.25">
      <c r="A54" s="8" t="s">
        <v>731</v>
      </c>
      <c r="B54" s="8" t="s">
        <v>732</v>
      </c>
      <c r="C54" s="8" t="s">
        <v>733</v>
      </c>
      <c r="D54" s="8">
        <v>1017</v>
      </c>
      <c r="E54" s="8" t="s">
        <v>734</v>
      </c>
    </row>
    <row r="55" spans="1:5" ht="11.25" customHeight="1" x14ac:dyDescent="0.25">
      <c r="A55" s="8" t="s">
        <v>731</v>
      </c>
      <c r="B55" s="8" t="s">
        <v>732</v>
      </c>
      <c r="C55" s="8" t="s">
        <v>733</v>
      </c>
      <c r="D55" s="8">
        <v>1018</v>
      </c>
      <c r="E55" s="8" t="s">
        <v>734</v>
      </c>
    </row>
    <row r="56" spans="1:5" ht="11.25" customHeight="1" x14ac:dyDescent="0.25">
      <c r="A56" s="8" t="s">
        <v>731</v>
      </c>
      <c r="B56" s="8" t="s">
        <v>732</v>
      </c>
      <c r="C56" s="8" t="s">
        <v>733</v>
      </c>
      <c r="D56" s="8">
        <v>1019</v>
      </c>
      <c r="E56" s="8" t="s">
        <v>734</v>
      </c>
    </row>
    <row r="57" spans="1:5" ht="11.25" customHeight="1" x14ac:dyDescent="0.25">
      <c r="A57" s="8" t="s">
        <v>731</v>
      </c>
      <c r="B57" s="8" t="s">
        <v>732</v>
      </c>
      <c r="C57" s="8" t="s">
        <v>733</v>
      </c>
      <c r="D57" s="8">
        <v>1020</v>
      </c>
      <c r="E57" s="8" t="s">
        <v>734</v>
      </c>
    </row>
    <row r="58" spans="1:5" ht="11.25" customHeight="1" x14ac:dyDescent="0.25">
      <c r="A58" s="8" t="s">
        <v>731</v>
      </c>
      <c r="B58" s="8" t="s">
        <v>732</v>
      </c>
      <c r="C58" s="8" t="s">
        <v>733</v>
      </c>
      <c r="D58" s="8">
        <v>1021</v>
      </c>
      <c r="E58" s="8" t="s">
        <v>734</v>
      </c>
    </row>
    <row r="59" spans="1:5" ht="11.25" customHeight="1" x14ac:dyDescent="0.25">
      <c r="A59" s="8" t="s">
        <v>731</v>
      </c>
      <c r="B59" s="8" t="s">
        <v>732</v>
      </c>
      <c r="C59" s="8" t="s">
        <v>733</v>
      </c>
      <c r="D59" s="8">
        <v>1022</v>
      </c>
      <c r="E59" s="8" t="s">
        <v>734</v>
      </c>
    </row>
    <row r="60" spans="1:5" ht="11.25" customHeight="1" x14ac:dyDescent="0.25">
      <c r="A60" s="8" t="s">
        <v>731</v>
      </c>
      <c r="B60" s="8" t="s">
        <v>732</v>
      </c>
      <c r="C60" s="8" t="s">
        <v>733</v>
      </c>
      <c r="D60" s="8">
        <v>1023</v>
      </c>
      <c r="E60" s="8" t="s">
        <v>734</v>
      </c>
    </row>
    <row r="61" spans="1:5" ht="11.25" customHeight="1" x14ac:dyDescent="0.25">
      <c r="A61" s="8" t="s">
        <v>731</v>
      </c>
      <c r="B61" s="8" t="s">
        <v>732</v>
      </c>
      <c r="C61" s="8" t="s">
        <v>733</v>
      </c>
      <c r="D61" s="8">
        <v>1024</v>
      </c>
      <c r="E61" s="8" t="s">
        <v>734</v>
      </c>
    </row>
    <row r="62" spans="1:5" ht="11.25" customHeight="1" x14ac:dyDescent="0.25">
      <c r="A62" s="8" t="s">
        <v>731</v>
      </c>
      <c r="B62" s="8" t="s">
        <v>732</v>
      </c>
      <c r="C62" s="8" t="s">
        <v>733</v>
      </c>
      <c r="D62" s="8">
        <v>1025</v>
      </c>
      <c r="E62" s="8" t="s">
        <v>734</v>
      </c>
    </row>
    <row r="63" spans="1:5" ht="11.25" customHeight="1" x14ac:dyDescent="0.25">
      <c r="A63" s="8" t="s">
        <v>731</v>
      </c>
      <c r="B63" s="8" t="s">
        <v>732</v>
      </c>
      <c r="C63" s="8" t="s">
        <v>733</v>
      </c>
      <c r="D63" s="8">
        <v>1026</v>
      </c>
      <c r="E63" s="8" t="s">
        <v>734</v>
      </c>
    </row>
    <row r="64" spans="1:5" ht="11.25" customHeight="1" x14ac:dyDescent="0.25">
      <c r="A64" s="8" t="s">
        <v>731</v>
      </c>
      <c r="B64" s="8" t="s">
        <v>732</v>
      </c>
      <c r="C64" s="8" t="s">
        <v>733</v>
      </c>
      <c r="D64" s="8">
        <v>1027</v>
      </c>
      <c r="E64" s="8" t="s">
        <v>734</v>
      </c>
    </row>
    <row r="65" spans="1:5" ht="11.25" customHeight="1" x14ac:dyDescent="0.25">
      <c r="A65" s="8" t="s">
        <v>731</v>
      </c>
      <c r="B65" s="8" t="s">
        <v>732</v>
      </c>
      <c r="C65" s="8" t="s">
        <v>733</v>
      </c>
      <c r="D65" s="8">
        <v>1028</v>
      </c>
      <c r="E65" s="8" t="s">
        <v>734</v>
      </c>
    </row>
    <row r="66" spans="1:5" ht="11.25" customHeight="1" x14ac:dyDescent="0.25">
      <c r="A66" s="8" t="s">
        <v>731</v>
      </c>
      <c r="B66" s="8" t="s">
        <v>732</v>
      </c>
      <c r="C66" s="8" t="s">
        <v>733</v>
      </c>
      <c r="D66" s="8">
        <v>1029</v>
      </c>
      <c r="E66" s="8" t="s">
        <v>734</v>
      </c>
    </row>
    <row r="67" spans="1:5" ht="11.25" customHeight="1" x14ac:dyDescent="0.25">
      <c r="A67" s="8" t="s">
        <v>731</v>
      </c>
      <c r="B67" s="8" t="s">
        <v>732</v>
      </c>
      <c r="C67" s="8" t="s">
        <v>733</v>
      </c>
      <c r="D67" s="8">
        <v>1030</v>
      </c>
      <c r="E67" s="8" t="s">
        <v>734</v>
      </c>
    </row>
    <row r="68" spans="1:5" ht="11.25" customHeight="1" x14ac:dyDescent="0.25">
      <c r="A68" s="8" t="s">
        <v>731</v>
      </c>
      <c r="B68" s="8" t="s">
        <v>732</v>
      </c>
      <c r="C68" s="8" t="s">
        <v>733</v>
      </c>
      <c r="D68" s="8">
        <v>1031</v>
      </c>
      <c r="E68" s="8" t="s">
        <v>734</v>
      </c>
    </row>
    <row r="69" spans="1:5" ht="11.25" customHeight="1" x14ac:dyDescent="0.25">
      <c r="A69" s="8" t="s">
        <v>731</v>
      </c>
      <c r="B69" s="8" t="s">
        <v>732</v>
      </c>
      <c r="C69" s="8" t="s">
        <v>733</v>
      </c>
      <c r="D69" s="8">
        <v>1032</v>
      </c>
      <c r="E69" s="8" t="s">
        <v>734</v>
      </c>
    </row>
    <row r="70" spans="1:5" ht="11.25" customHeight="1" x14ac:dyDescent="0.25">
      <c r="A70" s="8" t="s">
        <v>731</v>
      </c>
      <c r="B70" s="8" t="s">
        <v>732</v>
      </c>
      <c r="C70" s="8" t="s">
        <v>733</v>
      </c>
      <c r="D70" s="8">
        <v>1033</v>
      </c>
      <c r="E70" s="8" t="s">
        <v>734</v>
      </c>
    </row>
    <row r="71" spans="1:5" ht="11.25" customHeight="1" x14ac:dyDescent="0.25">
      <c r="A71" s="8" t="s">
        <v>731</v>
      </c>
      <c r="B71" s="8" t="s">
        <v>732</v>
      </c>
      <c r="C71" s="8" t="s">
        <v>733</v>
      </c>
      <c r="D71" s="8">
        <v>1034</v>
      </c>
      <c r="E71" s="8" t="s">
        <v>734</v>
      </c>
    </row>
    <row r="72" spans="1:5" ht="11.25" customHeight="1" x14ac:dyDescent="0.25">
      <c r="A72" s="8" t="s">
        <v>731</v>
      </c>
      <c r="B72" s="8" t="s">
        <v>732</v>
      </c>
      <c r="C72" s="8" t="s">
        <v>733</v>
      </c>
      <c r="D72" s="8">
        <v>1092</v>
      </c>
      <c r="E72" s="8" t="s">
        <v>734</v>
      </c>
    </row>
    <row r="73" spans="1:5" ht="11.25" customHeight="1" x14ac:dyDescent="0.25">
      <c r="A73" s="8" t="s">
        <v>731</v>
      </c>
      <c r="B73" s="8" t="s">
        <v>732</v>
      </c>
      <c r="C73" s="8" t="s">
        <v>733</v>
      </c>
      <c r="D73" s="8">
        <v>1093</v>
      </c>
      <c r="E73" s="8" t="s">
        <v>734</v>
      </c>
    </row>
    <row r="74" spans="1:5" ht="11.25" customHeight="1" x14ac:dyDescent="0.25">
      <c r="A74" s="8" t="s">
        <v>731</v>
      </c>
      <c r="B74" s="8" t="s">
        <v>732</v>
      </c>
      <c r="C74" s="8" t="s">
        <v>733</v>
      </c>
      <c r="D74" s="8">
        <v>1094</v>
      </c>
      <c r="E74" s="8" t="s">
        <v>734</v>
      </c>
    </row>
    <row r="75" spans="1:5" ht="11.25" customHeight="1" x14ac:dyDescent="0.25">
      <c r="A75" s="8" t="s">
        <v>731</v>
      </c>
      <c r="B75" s="8" t="s">
        <v>732</v>
      </c>
      <c r="C75" s="8" t="s">
        <v>733</v>
      </c>
      <c r="D75" s="8">
        <v>1095</v>
      </c>
      <c r="E75" s="8" t="s">
        <v>734</v>
      </c>
    </row>
    <row r="76" spans="1:5" ht="11.25" customHeight="1" x14ac:dyDescent="0.25">
      <c r="A76" s="8" t="s">
        <v>731</v>
      </c>
      <c r="B76" s="8" t="s">
        <v>732</v>
      </c>
      <c r="C76" s="8" t="s">
        <v>733</v>
      </c>
      <c r="D76" s="8">
        <v>1096</v>
      </c>
      <c r="E76" s="8" t="s">
        <v>734</v>
      </c>
    </row>
    <row r="77" spans="1:5" ht="11.25" customHeight="1" x14ac:dyDescent="0.25">
      <c r="A77" s="8" t="s">
        <v>731</v>
      </c>
      <c r="B77" s="8" t="s">
        <v>732</v>
      </c>
      <c r="C77" s="8" t="s">
        <v>733</v>
      </c>
      <c r="D77" s="8">
        <v>1097</v>
      </c>
      <c r="E77" s="8" t="s">
        <v>734</v>
      </c>
    </row>
    <row r="78" spans="1:5" ht="11.25" customHeight="1" x14ac:dyDescent="0.25">
      <c r="A78" s="8" t="s">
        <v>731</v>
      </c>
      <c r="B78" s="8" t="s">
        <v>732</v>
      </c>
      <c r="C78" s="8" t="s">
        <v>733</v>
      </c>
      <c r="D78" s="8">
        <v>1098</v>
      </c>
      <c r="E78" s="8" t="s">
        <v>734</v>
      </c>
    </row>
    <row r="79" spans="1:5" ht="11.25" customHeight="1" x14ac:dyDescent="0.25">
      <c r="A79" s="8" t="s">
        <v>731</v>
      </c>
      <c r="B79" s="8" t="s">
        <v>732</v>
      </c>
      <c r="C79" s="8" t="s">
        <v>733</v>
      </c>
      <c r="D79" s="8">
        <v>1099</v>
      </c>
      <c r="E79" s="8" t="s">
        <v>734</v>
      </c>
    </row>
    <row r="80" spans="1:5" ht="11.25" customHeight="1" x14ac:dyDescent="0.25">
      <c r="A80" s="8" t="s">
        <v>731</v>
      </c>
      <c r="B80" s="8" t="s">
        <v>732</v>
      </c>
      <c r="C80" s="8" t="s">
        <v>733</v>
      </c>
      <c r="D80" s="8">
        <v>1100</v>
      </c>
      <c r="E80" s="8" t="s">
        <v>734</v>
      </c>
    </row>
    <row r="81" spans="1:5" ht="11.25" customHeight="1" x14ac:dyDescent="0.25">
      <c r="A81" s="8" t="s">
        <v>731</v>
      </c>
      <c r="B81" s="8" t="s">
        <v>732</v>
      </c>
      <c r="C81" s="8" t="s">
        <v>733</v>
      </c>
      <c r="D81" s="8">
        <v>1101</v>
      </c>
      <c r="E81" s="8" t="s">
        <v>734</v>
      </c>
    </row>
    <row r="82" spans="1:5" ht="11.25" customHeight="1" x14ac:dyDescent="0.25">
      <c r="A82" s="8" t="s">
        <v>731</v>
      </c>
      <c r="B82" s="8" t="s">
        <v>732</v>
      </c>
      <c r="C82" s="8" t="s">
        <v>733</v>
      </c>
      <c r="D82" s="8">
        <v>1102</v>
      </c>
      <c r="E82" s="8" t="s">
        <v>734</v>
      </c>
    </row>
    <row r="83" spans="1:5" ht="11.25" customHeight="1" x14ac:dyDescent="0.25">
      <c r="A83" s="8" t="s">
        <v>731</v>
      </c>
      <c r="B83" s="8" t="s">
        <v>732</v>
      </c>
      <c r="C83" s="8" t="s">
        <v>733</v>
      </c>
      <c r="D83" s="8">
        <v>1103</v>
      </c>
      <c r="E83" s="8" t="s">
        <v>734</v>
      </c>
    </row>
    <row r="84" spans="1:5" ht="11.25" customHeight="1" x14ac:dyDescent="0.25">
      <c r="A84" s="8" t="s">
        <v>731</v>
      </c>
      <c r="B84" s="8" t="s">
        <v>732</v>
      </c>
      <c r="C84" s="8" t="s">
        <v>733</v>
      </c>
      <c r="D84" s="8">
        <v>1104</v>
      </c>
      <c r="E84" s="8" t="s">
        <v>734</v>
      </c>
    </row>
    <row r="85" spans="1:5" ht="11.25" customHeight="1" x14ac:dyDescent="0.25">
      <c r="A85" s="8" t="s">
        <v>731</v>
      </c>
      <c r="B85" s="8" t="s">
        <v>732</v>
      </c>
      <c r="C85" s="8" t="s">
        <v>733</v>
      </c>
      <c r="D85" s="8">
        <v>1105</v>
      </c>
      <c r="E85" s="8" t="s">
        <v>734</v>
      </c>
    </row>
    <row r="86" spans="1:5" ht="11.25" customHeight="1" x14ac:dyDescent="0.25">
      <c r="A86" s="8" t="s">
        <v>731</v>
      </c>
      <c r="B86" s="8" t="s">
        <v>732</v>
      </c>
      <c r="C86" s="8" t="s">
        <v>733</v>
      </c>
      <c r="D86" s="8">
        <v>1106</v>
      </c>
      <c r="E86" s="8" t="s">
        <v>734</v>
      </c>
    </row>
    <row r="87" spans="1:5" ht="11.25" customHeight="1" x14ac:dyDescent="0.25">
      <c r="A87" s="8" t="s">
        <v>731</v>
      </c>
      <c r="B87" s="8" t="s">
        <v>732</v>
      </c>
      <c r="C87" s="8" t="s">
        <v>733</v>
      </c>
      <c r="D87" s="8">
        <v>1107</v>
      </c>
      <c r="E87" s="8" t="s">
        <v>734</v>
      </c>
    </row>
    <row r="88" spans="1:5" ht="11.25" customHeight="1" x14ac:dyDescent="0.25">
      <c r="A88" s="8" t="s">
        <v>731</v>
      </c>
      <c r="B88" s="8" t="s">
        <v>732</v>
      </c>
      <c r="C88" s="8" t="s">
        <v>733</v>
      </c>
      <c r="D88" s="8">
        <v>1108</v>
      </c>
      <c r="E88" s="8" t="s">
        <v>734</v>
      </c>
    </row>
    <row r="89" spans="1:5" ht="11.25" customHeight="1" x14ac:dyDescent="0.25">
      <c r="A89" s="8" t="s">
        <v>731</v>
      </c>
      <c r="B89" s="8" t="s">
        <v>732</v>
      </c>
      <c r="C89" s="8" t="s">
        <v>733</v>
      </c>
      <c r="D89" s="8">
        <v>1109</v>
      </c>
      <c r="E89" s="8" t="s">
        <v>734</v>
      </c>
    </row>
    <row r="90" spans="1:5" ht="11.25" customHeight="1" x14ac:dyDescent="0.25">
      <c r="A90" s="8" t="s">
        <v>731</v>
      </c>
      <c r="B90" s="8" t="s">
        <v>732</v>
      </c>
      <c r="C90" s="8" t="s">
        <v>733</v>
      </c>
      <c r="D90" s="8">
        <v>1110</v>
      </c>
      <c r="E90" s="8" t="s">
        <v>734</v>
      </c>
    </row>
    <row r="91" spans="1:5" ht="11.25" customHeight="1" x14ac:dyDescent="0.25">
      <c r="A91" s="8" t="s">
        <v>731</v>
      </c>
      <c r="B91" s="8" t="s">
        <v>732</v>
      </c>
      <c r="C91" s="8" t="s">
        <v>733</v>
      </c>
      <c r="D91" s="8">
        <v>1111</v>
      </c>
      <c r="E91" s="8" t="s">
        <v>734</v>
      </c>
    </row>
    <row r="92" spans="1:5" ht="11.25" customHeight="1" x14ac:dyDescent="0.25">
      <c r="A92" s="8" t="s">
        <v>731</v>
      </c>
      <c r="B92" s="8" t="s">
        <v>732</v>
      </c>
      <c r="C92" s="8" t="s">
        <v>733</v>
      </c>
      <c r="D92" s="8">
        <v>1112</v>
      </c>
      <c r="E92" s="8" t="s">
        <v>734</v>
      </c>
    </row>
    <row r="93" spans="1:5" ht="11.25" customHeight="1" x14ac:dyDescent="0.25">
      <c r="A93" s="8" t="s">
        <v>731</v>
      </c>
      <c r="B93" s="8" t="s">
        <v>732</v>
      </c>
      <c r="C93" s="8" t="s">
        <v>733</v>
      </c>
      <c r="D93" s="8">
        <v>1113</v>
      </c>
      <c r="E93" s="8" t="s">
        <v>734</v>
      </c>
    </row>
    <row r="94" spans="1:5" ht="11.25" customHeight="1" x14ac:dyDescent="0.25">
      <c r="A94" s="8" t="s">
        <v>731</v>
      </c>
      <c r="B94" s="8" t="s">
        <v>732</v>
      </c>
      <c r="C94" s="8" t="s">
        <v>733</v>
      </c>
      <c r="D94" s="8">
        <v>1114</v>
      </c>
      <c r="E94" s="8" t="s">
        <v>734</v>
      </c>
    </row>
    <row r="95" spans="1:5" ht="11.25" customHeight="1" x14ac:dyDescent="0.25">
      <c r="A95" s="8" t="s">
        <v>731</v>
      </c>
      <c r="B95" s="8" t="s">
        <v>732</v>
      </c>
      <c r="C95" s="8" t="s">
        <v>733</v>
      </c>
      <c r="D95" s="8">
        <v>1115</v>
      </c>
      <c r="E95" s="8" t="s">
        <v>734</v>
      </c>
    </row>
    <row r="96" spans="1:5" ht="11.25" customHeight="1" x14ac:dyDescent="0.25">
      <c r="A96" s="8" t="s">
        <v>731</v>
      </c>
      <c r="B96" s="8" t="s">
        <v>732</v>
      </c>
      <c r="C96" s="8" t="s">
        <v>733</v>
      </c>
      <c r="D96" s="8">
        <v>1116</v>
      </c>
      <c r="E96" s="8" t="s">
        <v>734</v>
      </c>
    </row>
    <row r="97" spans="1:5" ht="11.25" customHeight="1" x14ac:dyDescent="0.25">
      <c r="A97" s="8" t="s">
        <v>731</v>
      </c>
      <c r="B97" s="8" t="s">
        <v>732</v>
      </c>
      <c r="C97" s="8" t="s">
        <v>733</v>
      </c>
      <c r="D97" s="8">
        <v>1155</v>
      </c>
      <c r="E97" s="8" t="s">
        <v>734</v>
      </c>
    </row>
    <row r="98" spans="1:5" ht="11.25" customHeight="1" x14ac:dyDescent="0.25">
      <c r="A98" s="8" t="s">
        <v>731</v>
      </c>
      <c r="B98" s="8" t="s">
        <v>732</v>
      </c>
      <c r="C98" s="8" t="s">
        <v>733</v>
      </c>
      <c r="D98" s="8">
        <v>1156</v>
      </c>
      <c r="E98" s="8" t="s">
        <v>734</v>
      </c>
    </row>
    <row r="99" spans="1:5" ht="11.25" customHeight="1" x14ac:dyDescent="0.25">
      <c r="A99" s="8" t="s">
        <v>731</v>
      </c>
      <c r="B99" s="8" t="s">
        <v>732</v>
      </c>
      <c r="C99" s="8" t="s">
        <v>733</v>
      </c>
      <c r="D99" s="8">
        <v>1157</v>
      </c>
      <c r="E99" s="8" t="s">
        <v>734</v>
      </c>
    </row>
    <row r="100" spans="1:5" ht="11.25" customHeight="1" x14ac:dyDescent="0.25">
      <c r="A100" s="8" t="s">
        <v>731</v>
      </c>
      <c r="B100" s="8" t="s">
        <v>732</v>
      </c>
      <c r="C100" s="8" t="s">
        <v>733</v>
      </c>
      <c r="D100" s="8">
        <v>1158</v>
      </c>
      <c r="E100" s="8" t="s">
        <v>734</v>
      </c>
    </row>
    <row r="101" spans="1:5" ht="11.25" customHeight="1" x14ac:dyDescent="0.25">
      <c r="A101" s="8" t="s">
        <v>731</v>
      </c>
      <c r="B101" s="8" t="s">
        <v>732</v>
      </c>
      <c r="C101" s="8" t="s">
        <v>733</v>
      </c>
      <c r="D101" s="8">
        <v>1159</v>
      </c>
      <c r="E101" s="8" t="s">
        <v>734</v>
      </c>
    </row>
    <row r="102" spans="1:5" ht="11.25" customHeight="1" x14ac:dyDescent="0.25">
      <c r="A102" s="8" t="s">
        <v>731</v>
      </c>
      <c r="B102" s="8" t="s">
        <v>732</v>
      </c>
      <c r="C102" s="8" t="s">
        <v>733</v>
      </c>
      <c r="D102" s="8">
        <v>1160</v>
      </c>
      <c r="E102" s="8" t="s">
        <v>734</v>
      </c>
    </row>
    <row r="103" spans="1:5" ht="11.25" customHeight="1" x14ac:dyDescent="0.25">
      <c r="A103" s="8" t="s">
        <v>731</v>
      </c>
      <c r="B103" s="8" t="s">
        <v>732</v>
      </c>
      <c r="C103" s="8" t="s">
        <v>733</v>
      </c>
      <c r="D103" s="8">
        <v>1161</v>
      </c>
      <c r="E103" s="8" t="s">
        <v>734</v>
      </c>
    </row>
    <row r="104" spans="1:5" ht="11.25" customHeight="1" x14ac:dyDescent="0.25">
      <c r="A104" s="8" t="s">
        <v>731</v>
      </c>
      <c r="B104" s="8" t="s">
        <v>732</v>
      </c>
      <c r="C104" s="8" t="s">
        <v>733</v>
      </c>
      <c r="D104" s="8">
        <v>1162</v>
      </c>
      <c r="E104" s="8" t="s">
        <v>734</v>
      </c>
    </row>
    <row r="105" spans="1:5" ht="11.25" customHeight="1" x14ac:dyDescent="0.25">
      <c r="A105" s="8" t="s">
        <v>731</v>
      </c>
      <c r="B105" s="8" t="s">
        <v>732</v>
      </c>
      <c r="C105" s="8" t="s">
        <v>733</v>
      </c>
      <c r="D105" s="8">
        <v>1163</v>
      </c>
      <c r="E105" s="8" t="s">
        <v>734</v>
      </c>
    </row>
    <row r="106" spans="1:5" ht="11.25" customHeight="1" x14ac:dyDescent="0.25">
      <c r="A106" s="8" t="s">
        <v>731</v>
      </c>
      <c r="B106" s="8" t="s">
        <v>732</v>
      </c>
      <c r="C106" s="8" t="s">
        <v>733</v>
      </c>
      <c r="D106" s="8">
        <v>1164</v>
      </c>
      <c r="E106" s="8" t="s">
        <v>734</v>
      </c>
    </row>
    <row r="107" spans="1:5" ht="11.25" customHeight="1" x14ac:dyDescent="0.25">
      <c r="A107" s="8" t="s">
        <v>731</v>
      </c>
      <c r="B107" s="8" t="s">
        <v>732</v>
      </c>
      <c r="C107" s="8" t="s">
        <v>733</v>
      </c>
      <c r="D107" s="8">
        <v>1165</v>
      </c>
      <c r="E107" s="8" t="s">
        <v>734</v>
      </c>
    </row>
    <row r="108" spans="1:5" ht="11.25" customHeight="1" x14ac:dyDescent="0.25">
      <c r="A108" s="8" t="s">
        <v>731</v>
      </c>
      <c r="B108" s="8" t="s">
        <v>732</v>
      </c>
      <c r="C108" s="8" t="s">
        <v>733</v>
      </c>
      <c r="D108" s="8">
        <v>1166</v>
      </c>
      <c r="E108" s="8" t="s">
        <v>734</v>
      </c>
    </row>
    <row r="109" spans="1:5" ht="11.25" customHeight="1" x14ac:dyDescent="0.25">
      <c r="A109" s="8" t="s">
        <v>731</v>
      </c>
      <c r="B109" s="8" t="s">
        <v>732</v>
      </c>
      <c r="C109" s="8" t="s">
        <v>733</v>
      </c>
      <c r="D109" s="8">
        <v>1167</v>
      </c>
      <c r="E109" s="8" t="s">
        <v>734</v>
      </c>
    </row>
    <row r="110" spans="1:5" ht="11.25" customHeight="1" x14ac:dyDescent="0.25">
      <c r="A110" s="8" t="s">
        <v>731</v>
      </c>
      <c r="B110" s="8" t="s">
        <v>732</v>
      </c>
      <c r="C110" s="8" t="s">
        <v>733</v>
      </c>
      <c r="D110" s="8">
        <v>1193</v>
      </c>
      <c r="E110" s="8" t="s">
        <v>734</v>
      </c>
    </row>
    <row r="111" spans="1:5" ht="11.25" customHeight="1" x14ac:dyDescent="0.25">
      <c r="A111" s="8" t="s">
        <v>731</v>
      </c>
      <c r="B111" s="8" t="s">
        <v>732</v>
      </c>
      <c r="C111" s="8" t="s">
        <v>733</v>
      </c>
      <c r="D111" s="8">
        <v>1194</v>
      </c>
      <c r="E111" s="8" t="s">
        <v>734</v>
      </c>
    </row>
    <row r="112" spans="1:5" ht="11.25" customHeight="1" x14ac:dyDescent="0.25">
      <c r="A112" s="8" t="s">
        <v>731</v>
      </c>
      <c r="B112" s="8" t="s">
        <v>732</v>
      </c>
      <c r="C112" s="8" t="s">
        <v>733</v>
      </c>
      <c r="D112" s="8">
        <v>1195</v>
      </c>
      <c r="E112" s="8" t="s">
        <v>734</v>
      </c>
    </row>
    <row r="113" spans="1:5" ht="11.25" customHeight="1" x14ac:dyDescent="0.25">
      <c r="A113" s="8" t="s">
        <v>731</v>
      </c>
      <c r="B113" s="8" t="s">
        <v>732</v>
      </c>
      <c r="C113" s="8" t="s">
        <v>733</v>
      </c>
      <c r="D113" s="8">
        <v>1196</v>
      </c>
      <c r="E113" s="8" t="s">
        <v>734</v>
      </c>
    </row>
    <row r="114" spans="1:5" ht="11.25" customHeight="1" x14ac:dyDescent="0.25">
      <c r="A114" s="8" t="s">
        <v>731</v>
      </c>
      <c r="B114" s="8" t="s">
        <v>732</v>
      </c>
      <c r="C114" s="8" t="s">
        <v>733</v>
      </c>
      <c r="D114" s="8">
        <v>1197</v>
      </c>
      <c r="E114" s="8" t="s">
        <v>734</v>
      </c>
    </row>
    <row r="115" spans="1:5" ht="11.25" customHeight="1" x14ac:dyDescent="0.25">
      <c r="A115" s="8" t="s">
        <v>731</v>
      </c>
      <c r="B115" s="8" t="s">
        <v>732</v>
      </c>
      <c r="C115" s="8" t="s">
        <v>733</v>
      </c>
      <c r="D115" s="8">
        <v>1198</v>
      </c>
      <c r="E115" s="8" t="s">
        <v>734</v>
      </c>
    </row>
    <row r="116" spans="1:5" ht="11.25" customHeight="1" x14ac:dyDescent="0.25">
      <c r="A116" s="8" t="s">
        <v>731</v>
      </c>
      <c r="B116" s="8" t="s">
        <v>732</v>
      </c>
      <c r="C116" s="8" t="s">
        <v>733</v>
      </c>
      <c r="D116" s="8">
        <v>1199</v>
      </c>
      <c r="E116" s="8" t="s">
        <v>734</v>
      </c>
    </row>
    <row r="117" spans="1:5" ht="11.25" customHeight="1" x14ac:dyDescent="0.25">
      <c r="A117" s="8" t="s">
        <v>731</v>
      </c>
      <c r="B117" s="8" t="s">
        <v>732</v>
      </c>
      <c r="C117" s="8" t="s">
        <v>733</v>
      </c>
      <c r="D117" s="8">
        <v>1200</v>
      </c>
      <c r="E117" s="8" t="s">
        <v>734</v>
      </c>
    </row>
    <row r="118" spans="1:5" ht="11.25" customHeight="1" x14ac:dyDescent="0.25">
      <c r="A118" s="8" t="s">
        <v>731</v>
      </c>
      <c r="B118" s="8" t="s">
        <v>732</v>
      </c>
      <c r="C118" s="8" t="s">
        <v>733</v>
      </c>
      <c r="D118" s="8">
        <v>1201</v>
      </c>
      <c r="E118" s="8" t="s">
        <v>734</v>
      </c>
    </row>
    <row r="119" spans="1:5" ht="11.25" customHeight="1" x14ac:dyDescent="0.25">
      <c r="A119" s="8" t="s">
        <v>731</v>
      </c>
      <c r="B119" s="8" t="s">
        <v>732</v>
      </c>
      <c r="C119" s="8" t="s">
        <v>733</v>
      </c>
      <c r="D119" s="8">
        <v>1202</v>
      </c>
      <c r="E119" s="8" t="s">
        <v>734</v>
      </c>
    </row>
    <row r="120" spans="1:5" ht="11.25" customHeight="1" x14ac:dyDescent="0.25">
      <c r="A120" s="8" t="s">
        <v>731</v>
      </c>
      <c r="B120" s="8" t="s">
        <v>732</v>
      </c>
      <c r="C120" s="8" t="s">
        <v>733</v>
      </c>
      <c r="D120" s="8">
        <v>1203</v>
      </c>
      <c r="E120" s="8" t="s">
        <v>734</v>
      </c>
    </row>
    <row r="121" spans="1:5" ht="11.25" customHeight="1" x14ac:dyDescent="0.25">
      <c r="A121" s="8" t="s">
        <v>731</v>
      </c>
      <c r="B121" s="8" t="s">
        <v>732</v>
      </c>
      <c r="C121" s="8" t="s">
        <v>733</v>
      </c>
      <c r="D121" s="8">
        <v>1204</v>
      </c>
      <c r="E121" s="8" t="s">
        <v>734</v>
      </c>
    </row>
    <row r="122" spans="1:5" ht="11.25" customHeight="1" x14ac:dyDescent="0.25">
      <c r="A122" s="8" t="s">
        <v>731</v>
      </c>
      <c r="C122" s="8" t="s">
        <v>1038</v>
      </c>
      <c r="D122" s="8">
        <v>39</v>
      </c>
      <c r="E122" s="8" t="s">
        <v>9</v>
      </c>
    </row>
    <row r="123" spans="1:5" ht="11.25" customHeight="1" x14ac:dyDescent="0.25">
      <c r="A123" s="8" t="s">
        <v>731</v>
      </c>
      <c r="C123" s="8" t="s">
        <v>1038</v>
      </c>
      <c r="D123" s="8">
        <v>39</v>
      </c>
      <c r="E123" s="8" t="s">
        <v>9</v>
      </c>
    </row>
    <row r="124" spans="1:5" ht="11.25" customHeight="1" x14ac:dyDescent="0.25">
      <c r="A124" s="8" t="s">
        <v>731</v>
      </c>
      <c r="C124" s="8" t="s">
        <v>1038</v>
      </c>
      <c r="D124" s="8">
        <v>39</v>
      </c>
      <c r="E124" s="8" t="s">
        <v>9</v>
      </c>
    </row>
    <row r="125" spans="1:5" ht="11.25" customHeight="1" x14ac:dyDescent="0.25">
      <c r="A125" s="8" t="s">
        <v>731</v>
      </c>
      <c r="C125" s="8" t="s">
        <v>1038</v>
      </c>
      <c r="D125" s="8">
        <v>39</v>
      </c>
      <c r="E125" s="8" t="s">
        <v>9</v>
      </c>
    </row>
    <row r="126" spans="1:5" ht="11.25" customHeight="1" x14ac:dyDescent="0.25">
      <c r="A126" s="8" t="s">
        <v>731</v>
      </c>
      <c r="C126" s="8" t="s">
        <v>1038</v>
      </c>
      <c r="D126" s="8">
        <v>39</v>
      </c>
      <c r="E126" s="8" t="s">
        <v>9</v>
      </c>
    </row>
    <row r="127" spans="1:5" ht="11.25" customHeight="1" x14ac:dyDescent="0.25">
      <c r="A127" s="8" t="s">
        <v>731</v>
      </c>
      <c r="C127" s="8" t="s">
        <v>1038</v>
      </c>
      <c r="D127" s="8">
        <v>39</v>
      </c>
      <c r="E127" s="8" t="s">
        <v>9</v>
      </c>
    </row>
    <row r="128" spans="1:5" ht="11.25" customHeight="1" x14ac:dyDescent="0.25">
      <c r="A128" s="8" t="s">
        <v>731</v>
      </c>
      <c r="C128" s="8" t="s">
        <v>1038</v>
      </c>
      <c r="D128" s="8">
        <v>39</v>
      </c>
      <c r="E128" s="8" t="s">
        <v>9</v>
      </c>
    </row>
    <row r="129" spans="1:5" ht="11.25" customHeight="1" x14ac:dyDescent="0.25">
      <c r="A129" s="8" t="s">
        <v>731</v>
      </c>
      <c r="C129" s="8" t="s">
        <v>1038</v>
      </c>
      <c r="D129" s="8">
        <v>40</v>
      </c>
      <c r="E129" s="8" t="s">
        <v>9</v>
      </c>
    </row>
    <row r="130" spans="1:5" ht="11.25" customHeight="1" x14ac:dyDescent="0.25">
      <c r="A130" s="8" t="s">
        <v>731</v>
      </c>
      <c r="C130" s="8" t="s">
        <v>1038</v>
      </c>
      <c r="D130" s="8">
        <v>40</v>
      </c>
      <c r="E130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16540-8CD5-411F-8842-15D25900D959}">
  <dimension ref="A1:AX116"/>
  <sheetViews>
    <sheetView showGridLines="0" workbookViewId="0"/>
  </sheetViews>
  <sheetFormatPr defaultRowHeight="11.25" x14ac:dyDescent="0.25"/>
  <cols>
    <col min="1" max="1" width="4.7109375" style="66" bestFit="1" customWidth="1"/>
    <col min="2" max="2" width="8.85546875" style="66" bestFit="1" customWidth="1"/>
    <col min="3" max="3" width="8.7109375" style="66" bestFit="1" customWidth="1"/>
    <col min="4" max="4" width="27.140625" style="66" bestFit="1" customWidth="1"/>
    <col min="5" max="5" width="13.5703125" style="66" bestFit="1" customWidth="1"/>
    <col min="6" max="6" width="25.140625" style="66" bestFit="1" customWidth="1"/>
    <col min="7" max="7" width="10.28515625" style="66" bestFit="1" customWidth="1"/>
    <col min="8" max="8" width="26.28515625" style="66" bestFit="1" customWidth="1"/>
    <col min="9" max="9" width="10.28515625" style="66" bestFit="1" customWidth="1"/>
    <col min="10" max="10" width="6.85546875" style="66" bestFit="1" customWidth="1"/>
    <col min="11" max="11" width="4.5703125" style="66" bestFit="1" customWidth="1"/>
    <col min="12" max="12" width="4.42578125" style="66" bestFit="1" customWidth="1"/>
    <col min="13" max="13" width="6.7109375" style="66" bestFit="1" customWidth="1"/>
    <col min="14" max="14" width="6.28515625" style="66" bestFit="1" customWidth="1"/>
    <col min="15" max="15" width="11.140625" style="66" bestFit="1" customWidth="1"/>
    <col min="16" max="16" width="10.42578125" style="66" bestFit="1" customWidth="1"/>
    <col min="17" max="16384" width="9.140625" style="66"/>
  </cols>
  <sheetData>
    <row r="1" spans="1:50" ht="11.25" customHeight="1" x14ac:dyDescent="0.25">
      <c r="A1" s="67" t="s">
        <v>1075</v>
      </c>
      <c r="B1" s="67" t="s">
        <v>1065</v>
      </c>
      <c r="C1" s="67" t="s">
        <v>1</v>
      </c>
      <c r="D1" s="67" t="s">
        <v>2</v>
      </c>
      <c r="E1" s="67" t="s">
        <v>3</v>
      </c>
      <c r="F1" s="67" t="s">
        <v>4</v>
      </c>
      <c r="G1" s="67" t="s">
        <v>5</v>
      </c>
      <c r="H1" s="67" t="s">
        <v>6</v>
      </c>
      <c r="I1" s="67" t="s">
        <v>7</v>
      </c>
      <c r="J1" s="67" t="s">
        <v>1066</v>
      </c>
      <c r="K1" s="67" t="s">
        <v>1067</v>
      </c>
      <c r="L1" s="67" t="s">
        <v>1068</v>
      </c>
      <c r="M1" s="67" t="s">
        <v>1069</v>
      </c>
      <c r="N1" s="67" t="s">
        <v>1070</v>
      </c>
      <c r="O1" s="67" t="s">
        <v>971</v>
      </c>
      <c r="P1" s="67" t="s">
        <v>957</v>
      </c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</row>
    <row r="2" spans="1:50" ht="11.25" customHeight="1" x14ac:dyDescent="0.25">
      <c r="A2" s="58">
        <v>1</v>
      </c>
      <c r="B2" s="58" t="s">
        <v>951</v>
      </c>
      <c r="C2" s="58" t="s">
        <v>59</v>
      </c>
      <c r="D2" s="58" t="s">
        <v>40</v>
      </c>
      <c r="E2" s="58" t="s">
        <v>25</v>
      </c>
      <c r="F2" s="58" t="s">
        <v>25</v>
      </c>
      <c r="G2" s="58" t="s">
        <v>25</v>
      </c>
      <c r="H2" s="58" t="s">
        <v>25</v>
      </c>
      <c r="I2" s="58" t="s">
        <v>34</v>
      </c>
      <c r="J2" s="58" t="s">
        <v>1071</v>
      </c>
      <c r="K2" s="58" t="s">
        <v>1072</v>
      </c>
      <c r="L2" s="58" t="s">
        <v>120</v>
      </c>
      <c r="M2" s="58">
        <v>2021</v>
      </c>
      <c r="N2" s="58">
        <v>0</v>
      </c>
      <c r="O2" s="58">
        <v>16.07</v>
      </c>
      <c r="P2" s="58">
        <v>0</v>
      </c>
    </row>
    <row r="3" spans="1:50" ht="11.25" customHeight="1" x14ac:dyDescent="0.25">
      <c r="A3" s="58">
        <v>2</v>
      </c>
      <c r="B3" s="58" t="s">
        <v>951</v>
      </c>
      <c r="C3" s="58" t="s">
        <v>59</v>
      </c>
      <c r="D3" s="58" t="s">
        <v>40</v>
      </c>
      <c r="E3" s="58" t="s">
        <v>25</v>
      </c>
      <c r="F3" s="58" t="s">
        <v>25</v>
      </c>
      <c r="G3" s="58" t="s">
        <v>25</v>
      </c>
      <c r="H3" s="58" t="s">
        <v>25</v>
      </c>
      <c r="I3" s="58" t="s">
        <v>35</v>
      </c>
      <c r="J3" s="58" t="s">
        <v>1071</v>
      </c>
      <c r="K3" s="58" t="s">
        <v>1072</v>
      </c>
      <c r="L3" s="58" t="s">
        <v>120</v>
      </c>
      <c r="M3" s="58">
        <v>2021</v>
      </c>
      <c r="N3" s="58">
        <v>0</v>
      </c>
      <c r="O3" s="58">
        <v>6.86</v>
      </c>
      <c r="P3" s="58">
        <v>0</v>
      </c>
    </row>
    <row r="4" spans="1:50" ht="11.25" customHeight="1" x14ac:dyDescent="0.25">
      <c r="A4" s="58">
        <v>3</v>
      </c>
      <c r="B4" s="58" t="s">
        <v>951</v>
      </c>
      <c r="C4" s="58" t="s">
        <v>59</v>
      </c>
      <c r="D4" s="58" t="s">
        <v>40</v>
      </c>
      <c r="E4" s="58" t="s">
        <v>25</v>
      </c>
      <c r="F4" s="58" t="s">
        <v>25</v>
      </c>
      <c r="G4" s="58" t="s">
        <v>25</v>
      </c>
      <c r="H4" s="58" t="s">
        <v>25</v>
      </c>
      <c r="I4" s="58" t="s">
        <v>25</v>
      </c>
      <c r="J4" s="58" t="s">
        <v>1073</v>
      </c>
      <c r="K4" s="58" t="s">
        <v>1072</v>
      </c>
      <c r="L4" s="58" t="s">
        <v>117</v>
      </c>
      <c r="M4" s="58">
        <v>2021</v>
      </c>
      <c r="N4" s="58">
        <v>0</v>
      </c>
      <c r="O4" s="58">
        <v>62.94</v>
      </c>
      <c r="P4" s="58">
        <v>35.546742520843303</v>
      </c>
    </row>
    <row r="5" spans="1:50" ht="11.25" customHeight="1" x14ac:dyDescent="0.25">
      <c r="A5" s="58">
        <v>4</v>
      </c>
      <c r="B5" s="58" t="s">
        <v>951</v>
      </c>
      <c r="C5" s="58" t="s">
        <v>59</v>
      </c>
      <c r="D5" s="58" t="s">
        <v>40</v>
      </c>
      <c r="E5" s="58" t="s">
        <v>25</v>
      </c>
      <c r="F5" s="58" t="s">
        <v>25</v>
      </c>
      <c r="G5" s="58" t="s">
        <v>61</v>
      </c>
      <c r="H5" s="58" t="s">
        <v>25</v>
      </c>
      <c r="I5" s="58" t="s">
        <v>25</v>
      </c>
      <c r="J5" s="58" t="s">
        <v>1073</v>
      </c>
      <c r="K5" s="58" t="s">
        <v>1072</v>
      </c>
      <c r="L5" s="58" t="s">
        <v>117</v>
      </c>
      <c r="M5" s="58">
        <v>2021</v>
      </c>
      <c r="N5" s="58">
        <v>0</v>
      </c>
      <c r="O5" s="58">
        <v>10.68</v>
      </c>
      <c r="P5" s="58">
        <v>0</v>
      </c>
    </row>
    <row r="6" spans="1:50" ht="11.25" customHeight="1" x14ac:dyDescent="0.25">
      <c r="A6" s="58">
        <v>5</v>
      </c>
      <c r="B6" s="58" t="s">
        <v>951</v>
      </c>
      <c r="C6" s="58" t="s">
        <v>59</v>
      </c>
      <c r="D6" s="58" t="s">
        <v>64</v>
      </c>
      <c r="E6" s="58" t="s">
        <v>25</v>
      </c>
      <c r="F6" s="58" t="s">
        <v>25</v>
      </c>
      <c r="G6" s="58" t="s">
        <v>25</v>
      </c>
      <c r="H6" s="58" t="s">
        <v>65</v>
      </c>
      <c r="I6" s="58" t="s">
        <v>25</v>
      </c>
      <c r="J6" s="58" t="s">
        <v>1071</v>
      </c>
      <c r="K6" s="58" t="s">
        <v>1072</v>
      </c>
      <c r="L6" s="58" t="s">
        <v>120</v>
      </c>
      <c r="M6" s="58">
        <v>2021</v>
      </c>
      <c r="N6" s="58">
        <v>0</v>
      </c>
      <c r="O6" s="58">
        <v>5.0999999999999996</v>
      </c>
      <c r="P6" s="58">
        <v>0</v>
      </c>
    </row>
    <row r="7" spans="1:50" ht="11.25" customHeight="1" x14ac:dyDescent="0.25">
      <c r="A7" s="58">
        <v>6</v>
      </c>
      <c r="B7" s="58" t="s">
        <v>951</v>
      </c>
      <c r="C7" s="58" t="s">
        <v>59</v>
      </c>
      <c r="D7" s="58" t="s">
        <v>64</v>
      </c>
      <c r="E7" s="58" t="s">
        <v>25</v>
      </c>
      <c r="F7" s="58" t="s">
        <v>25</v>
      </c>
      <c r="G7" s="58" t="s">
        <v>25</v>
      </c>
      <c r="H7" s="58" t="s">
        <v>67</v>
      </c>
      <c r="I7" s="58" t="s">
        <v>25</v>
      </c>
      <c r="J7" s="58" t="s">
        <v>1071</v>
      </c>
      <c r="K7" s="58" t="s">
        <v>1072</v>
      </c>
      <c r="L7" s="58" t="s">
        <v>120</v>
      </c>
      <c r="M7" s="58">
        <v>2021</v>
      </c>
      <c r="N7" s="58">
        <v>0</v>
      </c>
      <c r="O7" s="58">
        <v>3.94</v>
      </c>
      <c r="P7" s="58">
        <v>0</v>
      </c>
    </row>
    <row r="8" spans="1:50" ht="11.25" customHeight="1" x14ac:dyDescent="0.25">
      <c r="A8" s="58">
        <v>7</v>
      </c>
      <c r="B8" s="58" t="s">
        <v>951</v>
      </c>
      <c r="C8" s="58" t="s">
        <v>59</v>
      </c>
      <c r="D8" s="58" t="s">
        <v>64</v>
      </c>
      <c r="E8" s="58" t="s">
        <v>25</v>
      </c>
      <c r="F8" s="58" t="s">
        <v>25</v>
      </c>
      <c r="G8" s="58" t="s">
        <v>25</v>
      </c>
      <c r="H8" s="58" t="s">
        <v>69</v>
      </c>
      <c r="I8" s="58" t="s">
        <v>25</v>
      </c>
      <c r="J8" s="58" t="s">
        <v>1071</v>
      </c>
      <c r="K8" s="58" t="s">
        <v>1072</v>
      </c>
      <c r="L8" s="58" t="s">
        <v>120</v>
      </c>
      <c r="M8" s="58">
        <v>2021</v>
      </c>
      <c r="N8" s="58">
        <v>0</v>
      </c>
      <c r="O8" s="58">
        <v>5.69</v>
      </c>
      <c r="P8" s="58">
        <v>0</v>
      </c>
    </row>
    <row r="9" spans="1:50" ht="11.25" customHeight="1" x14ac:dyDescent="0.25">
      <c r="A9" s="58">
        <v>8</v>
      </c>
      <c r="B9" s="58" t="s">
        <v>951</v>
      </c>
      <c r="C9" s="58" t="s">
        <v>59</v>
      </c>
      <c r="D9" s="58" t="s">
        <v>64</v>
      </c>
      <c r="E9" s="58" t="s">
        <v>25</v>
      </c>
      <c r="F9" s="58" t="s">
        <v>25</v>
      </c>
      <c r="G9" s="58" t="s">
        <v>25</v>
      </c>
      <c r="H9" s="58" t="s">
        <v>72</v>
      </c>
      <c r="I9" s="58" t="s">
        <v>25</v>
      </c>
      <c r="J9" s="58" t="s">
        <v>1071</v>
      </c>
      <c r="K9" s="58" t="s">
        <v>1072</v>
      </c>
      <c r="L9" s="58" t="s">
        <v>120</v>
      </c>
      <c r="M9" s="58">
        <v>2021</v>
      </c>
      <c r="N9" s="58">
        <v>0</v>
      </c>
      <c r="O9" s="58">
        <v>5.41</v>
      </c>
      <c r="P9" s="58">
        <v>0</v>
      </c>
    </row>
    <row r="10" spans="1:50" ht="11.25" customHeight="1" x14ac:dyDescent="0.25">
      <c r="A10" s="58">
        <v>9</v>
      </c>
      <c r="B10" s="58" t="s">
        <v>951</v>
      </c>
      <c r="C10" s="58" t="s">
        <v>59</v>
      </c>
      <c r="D10" s="58" t="s">
        <v>64</v>
      </c>
      <c r="E10" s="58" t="s">
        <v>25</v>
      </c>
      <c r="F10" s="58" t="s">
        <v>25</v>
      </c>
      <c r="G10" s="58" t="s">
        <v>25</v>
      </c>
      <c r="H10" s="58" t="s">
        <v>73</v>
      </c>
      <c r="I10" s="58" t="s">
        <v>25</v>
      </c>
      <c r="J10" s="58" t="s">
        <v>1071</v>
      </c>
      <c r="K10" s="58" t="s">
        <v>1072</v>
      </c>
      <c r="L10" s="58" t="s">
        <v>120</v>
      </c>
      <c r="M10" s="58">
        <v>2021</v>
      </c>
      <c r="N10" s="58">
        <v>0</v>
      </c>
      <c r="O10" s="58">
        <v>5.0999999999999996</v>
      </c>
      <c r="P10" s="58">
        <v>0</v>
      </c>
    </row>
    <row r="11" spans="1:50" ht="11.25" customHeight="1" x14ac:dyDescent="0.25">
      <c r="A11" s="58">
        <v>10</v>
      </c>
      <c r="B11" s="58" t="s">
        <v>951</v>
      </c>
      <c r="C11" s="58" t="s">
        <v>59</v>
      </c>
      <c r="D11" s="58" t="s">
        <v>64</v>
      </c>
      <c r="E11" s="58" t="s">
        <v>25</v>
      </c>
      <c r="F11" s="58" t="s">
        <v>25</v>
      </c>
      <c r="G11" s="58" t="s">
        <v>25</v>
      </c>
      <c r="H11" s="58" t="s">
        <v>75</v>
      </c>
      <c r="I11" s="58" t="s">
        <v>25</v>
      </c>
      <c r="J11" s="58" t="s">
        <v>1071</v>
      </c>
      <c r="K11" s="58" t="s">
        <v>1072</v>
      </c>
      <c r="L11" s="58" t="s">
        <v>120</v>
      </c>
      <c r="M11" s="58">
        <v>2021</v>
      </c>
      <c r="N11" s="58">
        <v>0</v>
      </c>
      <c r="O11" s="58">
        <v>5.0999999999999996</v>
      </c>
      <c r="P11" s="58">
        <v>0</v>
      </c>
    </row>
    <row r="12" spans="1:50" ht="11.25" customHeight="1" x14ac:dyDescent="0.25">
      <c r="A12" s="58">
        <v>11</v>
      </c>
      <c r="B12" s="58" t="s">
        <v>951</v>
      </c>
      <c r="C12" s="58" t="s">
        <v>59</v>
      </c>
      <c r="D12" s="58" t="s">
        <v>64</v>
      </c>
      <c r="E12" s="58" t="s">
        <v>25</v>
      </c>
      <c r="F12" s="58" t="s">
        <v>25</v>
      </c>
      <c r="G12" s="58" t="s">
        <v>25</v>
      </c>
      <c r="H12" s="58" t="s">
        <v>86</v>
      </c>
      <c r="I12" s="58" t="s">
        <v>25</v>
      </c>
      <c r="J12" s="58" t="s">
        <v>1071</v>
      </c>
      <c r="K12" s="58" t="s">
        <v>1072</v>
      </c>
      <c r="L12" s="58" t="s">
        <v>120</v>
      </c>
      <c r="M12" s="58">
        <v>2021</v>
      </c>
      <c r="N12" s="58">
        <v>0</v>
      </c>
      <c r="O12" s="58">
        <v>4.63</v>
      </c>
      <c r="P12" s="58">
        <v>0</v>
      </c>
    </row>
    <row r="13" spans="1:50" ht="11.25" customHeight="1" x14ac:dyDescent="0.25">
      <c r="A13" s="58">
        <v>12</v>
      </c>
      <c r="B13" s="58" t="s">
        <v>951</v>
      </c>
      <c r="C13" s="58" t="s">
        <v>59</v>
      </c>
      <c r="D13" s="58" t="s">
        <v>64</v>
      </c>
      <c r="E13" s="58" t="s">
        <v>25</v>
      </c>
      <c r="F13" s="58" t="s">
        <v>25</v>
      </c>
      <c r="G13" s="58" t="s">
        <v>25</v>
      </c>
      <c r="H13" s="58" t="s">
        <v>87</v>
      </c>
      <c r="I13" s="58" t="s">
        <v>25</v>
      </c>
      <c r="J13" s="58" t="s">
        <v>1071</v>
      </c>
      <c r="K13" s="58" t="s">
        <v>1072</v>
      </c>
      <c r="L13" s="58" t="s">
        <v>120</v>
      </c>
      <c r="M13" s="58">
        <v>2021</v>
      </c>
      <c r="N13" s="58">
        <v>0</v>
      </c>
      <c r="O13" s="58">
        <v>5.58</v>
      </c>
      <c r="P13" s="58">
        <v>0</v>
      </c>
    </row>
    <row r="14" spans="1:50" ht="11.25" customHeight="1" x14ac:dyDescent="0.25">
      <c r="A14" s="58">
        <v>13</v>
      </c>
      <c r="B14" s="58" t="s">
        <v>951</v>
      </c>
      <c r="C14" s="58" t="s">
        <v>59</v>
      </c>
      <c r="D14" s="58" t="s">
        <v>64</v>
      </c>
      <c r="E14" s="58" t="s">
        <v>25</v>
      </c>
      <c r="F14" s="58" t="s">
        <v>25</v>
      </c>
      <c r="G14" s="58" t="s">
        <v>25</v>
      </c>
      <c r="H14" s="58" t="s">
        <v>89</v>
      </c>
      <c r="I14" s="58" t="s">
        <v>25</v>
      </c>
      <c r="J14" s="58" t="s">
        <v>1071</v>
      </c>
      <c r="K14" s="58" t="s">
        <v>1072</v>
      </c>
      <c r="L14" s="58" t="s">
        <v>120</v>
      </c>
      <c r="M14" s="58">
        <v>2021</v>
      </c>
      <c r="N14" s="58">
        <v>0</v>
      </c>
      <c r="O14" s="58">
        <v>5.37</v>
      </c>
      <c r="P14" s="58">
        <v>0</v>
      </c>
    </row>
    <row r="15" spans="1:50" ht="11.25" customHeight="1" x14ac:dyDescent="0.25">
      <c r="A15" s="58">
        <v>14</v>
      </c>
      <c r="B15" s="58" t="s">
        <v>951</v>
      </c>
      <c r="C15" s="58" t="s">
        <v>59</v>
      </c>
      <c r="D15" s="58" t="s">
        <v>64</v>
      </c>
      <c r="E15" s="58" t="s">
        <v>25</v>
      </c>
      <c r="F15" s="58" t="s">
        <v>25</v>
      </c>
      <c r="G15" s="58" t="s">
        <v>25</v>
      </c>
      <c r="H15" s="58" t="s">
        <v>92</v>
      </c>
      <c r="I15" s="58" t="s">
        <v>25</v>
      </c>
      <c r="J15" s="58" t="s">
        <v>1071</v>
      </c>
      <c r="K15" s="58" t="s">
        <v>1072</v>
      </c>
      <c r="L15" s="58" t="s">
        <v>120</v>
      </c>
      <c r="M15" s="58">
        <v>2021</v>
      </c>
      <c r="N15" s="58">
        <v>0</v>
      </c>
      <c r="O15" s="58">
        <v>5.04</v>
      </c>
      <c r="P15" s="58">
        <v>0</v>
      </c>
    </row>
    <row r="16" spans="1:50" ht="11.25" customHeight="1" x14ac:dyDescent="0.25">
      <c r="A16" s="58">
        <v>15</v>
      </c>
      <c r="B16" s="58" t="s">
        <v>951</v>
      </c>
      <c r="C16" s="58" t="s">
        <v>59</v>
      </c>
      <c r="D16" s="58" t="s">
        <v>64</v>
      </c>
      <c r="E16" s="58" t="s">
        <v>25</v>
      </c>
      <c r="F16" s="58" t="s">
        <v>25</v>
      </c>
      <c r="G16" s="58" t="s">
        <v>25</v>
      </c>
      <c r="H16" s="58" t="s">
        <v>124</v>
      </c>
      <c r="I16" s="58" t="s">
        <v>25</v>
      </c>
      <c r="J16" s="58" t="s">
        <v>1071</v>
      </c>
      <c r="K16" s="58" t="s">
        <v>1072</v>
      </c>
      <c r="L16" s="58" t="s">
        <v>120</v>
      </c>
      <c r="M16" s="58">
        <v>2021</v>
      </c>
      <c r="N16" s="58">
        <v>0</v>
      </c>
      <c r="O16" s="58">
        <v>5.0999999999999996</v>
      </c>
      <c r="P16" s="58">
        <v>0</v>
      </c>
    </row>
    <row r="17" spans="1:16" ht="11.25" customHeight="1" x14ac:dyDescent="0.25">
      <c r="A17" s="58">
        <v>16</v>
      </c>
      <c r="B17" s="58" t="s">
        <v>951</v>
      </c>
      <c r="C17" s="58" t="s">
        <v>39</v>
      </c>
      <c r="D17" s="58" t="s">
        <v>40</v>
      </c>
      <c r="E17" s="58" t="s">
        <v>25</v>
      </c>
      <c r="F17" s="58" t="s">
        <v>25</v>
      </c>
      <c r="G17" s="58" t="s">
        <v>25</v>
      </c>
      <c r="H17" s="58" t="s">
        <v>25</v>
      </c>
      <c r="I17" s="58" t="s">
        <v>34</v>
      </c>
      <c r="J17" s="58" t="s">
        <v>1071</v>
      </c>
      <c r="K17" s="58" t="s">
        <v>1072</v>
      </c>
      <c r="L17" s="58" t="s">
        <v>120</v>
      </c>
      <c r="M17" s="58">
        <v>2021</v>
      </c>
      <c r="N17" s="58">
        <v>0</v>
      </c>
      <c r="O17" s="58">
        <v>23.91</v>
      </c>
      <c r="P17" s="58">
        <v>0</v>
      </c>
    </row>
    <row r="18" spans="1:16" ht="11.25" customHeight="1" x14ac:dyDescent="0.25">
      <c r="A18" s="58">
        <v>17</v>
      </c>
      <c r="B18" s="58" t="s">
        <v>951</v>
      </c>
      <c r="C18" s="58" t="s">
        <v>39</v>
      </c>
      <c r="D18" s="58" t="s">
        <v>40</v>
      </c>
      <c r="E18" s="58" t="s">
        <v>25</v>
      </c>
      <c r="F18" s="58" t="s">
        <v>25</v>
      </c>
      <c r="G18" s="58" t="s">
        <v>25</v>
      </c>
      <c r="H18" s="58" t="s">
        <v>25</v>
      </c>
      <c r="I18" s="58" t="s">
        <v>35</v>
      </c>
      <c r="J18" s="58" t="s">
        <v>1071</v>
      </c>
      <c r="K18" s="58" t="s">
        <v>1072</v>
      </c>
      <c r="L18" s="58" t="s">
        <v>120</v>
      </c>
      <c r="M18" s="58">
        <v>2021</v>
      </c>
      <c r="N18" s="58">
        <v>0</v>
      </c>
      <c r="O18" s="58">
        <v>9.33</v>
      </c>
      <c r="P18" s="58">
        <v>0</v>
      </c>
    </row>
    <row r="19" spans="1:16" ht="11.25" customHeight="1" x14ac:dyDescent="0.25">
      <c r="A19" s="58">
        <v>18</v>
      </c>
      <c r="B19" s="58" t="s">
        <v>951</v>
      </c>
      <c r="C19" s="58" t="s">
        <v>39</v>
      </c>
      <c r="D19" s="58" t="s">
        <v>40</v>
      </c>
      <c r="E19" s="58" t="s">
        <v>25</v>
      </c>
      <c r="F19" s="58" t="s">
        <v>25</v>
      </c>
      <c r="G19" s="58" t="s">
        <v>25</v>
      </c>
      <c r="H19" s="58" t="s">
        <v>25</v>
      </c>
      <c r="I19" s="58" t="s">
        <v>25</v>
      </c>
      <c r="J19" s="58" t="s">
        <v>1073</v>
      </c>
      <c r="K19" s="58" t="s">
        <v>1072</v>
      </c>
      <c r="L19" s="58" t="s">
        <v>117</v>
      </c>
      <c r="M19" s="58">
        <v>2021</v>
      </c>
      <c r="N19" s="58">
        <v>0</v>
      </c>
      <c r="O19" s="58">
        <v>65.78</v>
      </c>
      <c r="P19" s="58">
        <v>35.546742520843303</v>
      </c>
    </row>
    <row r="20" spans="1:16" ht="11.25" customHeight="1" x14ac:dyDescent="0.25">
      <c r="A20" s="58">
        <v>19</v>
      </c>
      <c r="B20" s="58" t="s">
        <v>951</v>
      </c>
      <c r="C20" s="58" t="s">
        <v>39</v>
      </c>
      <c r="D20" s="58" t="s">
        <v>40</v>
      </c>
      <c r="E20" s="58" t="s">
        <v>25</v>
      </c>
      <c r="F20" s="58" t="s">
        <v>25</v>
      </c>
      <c r="G20" s="58" t="s">
        <v>61</v>
      </c>
      <c r="H20" s="58" t="s">
        <v>25</v>
      </c>
      <c r="I20" s="58" t="s">
        <v>25</v>
      </c>
      <c r="J20" s="58" t="s">
        <v>1073</v>
      </c>
      <c r="K20" s="58" t="s">
        <v>1072</v>
      </c>
      <c r="L20" s="58" t="s">
        <v>117</v>
      </c>
      <c r="M20" s="58">
        <v>2021</v>
      </c>
      <c r="N20" s="58">
        <v>0</v>
      </c>
      <c r="O20" s="58">
        <v>13.52</v>
      </c>
      <c r="P20" s="58">
        <v>0</v>
      </c>
    </row>
    <row r="21" spans="1:16" ht="11.25" customHeight="1" x14ac:dyDescent="0.25">
      <c r="A21" s="58">
        <v>20</v>
      </c>
      <c r="B21" s="58" t="s">
        <v>951</v>
      </c>
      <c r="C21" s="58" t="s">
        <v>39</v>
      </c>
      <c r="D21" s="58" t="s">
        <v>64</v>
      </c>
      <c r="E21" s="58" t="s">
        <v>25</v>
      </c>
      <c r="F21" s="58" t="s">
        <v>25</v>
      </c>
      <c r="G21" s="58" t="s">
        <v>25</v>
      </c>
      <c r="H21" s="58" t="s">
        <v>25</v>
      </c>
      <c r="I21" s="58" t="s">
        <v>25</v>
      </c>
      <c r="J21" s="58" t="s">
        <v>1071</v>
      </c>
      <c r="K21" s="58" t="s">
        <v>1072</v>
      </c>
      <c r="L21" s="58" t="s">
        <v>120</v>
      </c>
      <c r="M21" s="58">
        <v>2021</v>
      </c>
      <c r="N21" s="58">
        <v>0</v>
      </c>
      <c r="O21" s="58">
        <v>17.920000000000002</v>
      </c>
      <c r="P21" s="58">
        <v>0</v>
      </c>
    </row>
    <row r="22" spans="1:16" ht="11.25" customHeight="1" x14ac:dyDescent="0.25">
      <c r="A22" s="58">
        <v>21</v>
      </c>
      <c r="B22" s="58" t="s">
        <v>951</v>
      </c>
      <c r="C22" s="58" t="s">
        <v>41</v>
      </c>
      <c r="D22" s="58" t="s">
        <v>40</v>
      </c>
      <c r="E22" s="58" t="s">
        <v>25</v>
      </c>
      <c r="F22" s="58" t="s">
        <v>25</v>
      </c>
      <c r="G22" s="58" t="s">
        <v>25</v>
      </c>
      <c r="H22" s="58" t="s">
        <v>25</v>
      </c>
      <c r="I22" s="58" t="s">
        <v>34</v>
      </c>
      <c r="J22" s="58" t="s">
        <v>1071</v>
      </c>
      <c r="K22" s="58" t="s">
        <v>1072</v>
      </c>
      <c r="L22" s="58" t="s">
        <v>120</v>
      </c>
      <c r="M22" s="58">
        <v>2021</v>
      </c>
      <c r="N22" s="58">
        <v>0</v>
      </c>
      <c r="O22" s="58">
        <v>65.599999999999994</v>
      </c>
      <c r="P22" s="58">
        <v>0</v>
      </c>
    </row>
    <row r="23" spans="1:16" ht="11.25" customHeight="1" x14ac:dyDescent="0.25">
      <c r="A23" s="58">
        <v>22</v>
      </c>
      <c r="B23" s="58" t="s">
        <v>951</v>
      </c>
      <c r="C23" s="58" t="s">
        <v>41</v>
      </c>
      <c r="D23" s="58" t="s">
        <v>40</v>
      </c>
      <c r="E23" s="58" t="s">
        <v>25</v>
      </c>
      <c r="F23" s="58" t="s">
        <v>25</v>
      </c>
      <c r="G23" s="58" t="s">
        <v>25</v>
      </c>
      <c r="H23" s="58" t="s">
        <v>25</v>
      </c>
      <c r="I23" s="58" t="s">
        <v>35</v>
      </c>
      <c r="J23" s="58" t="s">
        <v>1071</v>
      </c>
      <c r="K23" s="58" t="s">
        <v>1072</v>
      </c>
      <c r="L23" s="58" t="s">
        <v>120</v>
      </c>
      <c r="M23" s="58">
        <v>2021</v>
      </c>
      <c r="N23" s="58">
        <v>0</v>
      </c>
      <c r="O23" s="58">
        <v>25.51</v>
      </c>
      <c r="P23" s="58">
        <v>0</v>
      </c>
    </row>
    <row r="24" spans="1:16" ht="11.25" customHeight="1" x14ac:dyDescent="0.25">
      <c r="A24" s="58">
        <v>23</v>
      </c>
      <c r="B24" s="58" t="s">
        <v>951</v>
      </c>
      <c r="C24" s="58" t="s">
        <v>41</v>
      </c>
      <c r="D24" s="58" t="s">
        <v>40</v>
      </c>
      <c r="E24" s="58" t="s">
        <v>25</v>
      </c>
      <c r="F24" s="58" t="s">
        <v>25</v>
      </c>
      <c r="G24" s="58" t="s">
        <v>25</v>
      </c>
      <c r="H24" s="58" t="s">
        <v>25</v>
      </c>
      <c r="I24" s="58" t="s">
        <v>25</v>
      </c>
      <c r="J24" s="58" t="s">
        <v>1073</v>
      </c>
      <c r="K24" s="58" t="s">
        <v>1072</v>
      </c>
      <c r="L24" s="58" t="s">
        <v>117</v>
      </c>
      <c r="M24" s="58">
        <v>2021</v>
      </c>
      <c r="N24" s="58">
        <v>0</v>
      </c>
      <c r="O24" s="58">
        <v>88.66</v>
      </c>
      <c r="P24" s="58">
        <v>46.157710437512897</v>
      </c>
    </row>
    <row r="25" spans="1:16" ht="11.25" customHeight="1" x14ac:dyDescent="0.25">
      <c r="A25" s="58">
        <v>24</v>
      </c>
      <c r="B25" s="58" t="s">
        <v>951</v>
      </c>
      <c r="C25" s="58" t="s">
        <v>41</v>
      </c>
      <c r="D25" s="58" t="s">
        <v>40</v>
      </c>
      <c r="E25" s="58" t="s">
        <v>25</v>
      </c>
      <c r="F25" s="58" t="s">
        <v>25</v>
      </c>
      <c r="G25" s="58" t="s">
        <v>61</v>
      </c>
      <c r="H25" s="58" t="s">
        <v>25</v>
      </c>
      <c r="I25" s="58" t="s">
        <v>25</v>
      </c>
      <c r="J25" s="58" t="s">
        <v>1073</v>
      </c>
      <c r="K25" s="58" t="s">
        <v>1072</v>
      </c>
      <c r="L25" s="58" t="s">
        <v>117</v>
      </c>
      <c r="M25" s="58">
        <v>2021</v>
      </c>
      <c r="N25" s="58">
        <v>0</v>
      </c>
      <c r="O25" s="58">
        <v>23.76</v>
      </c>
      <c r="P25" s="58">
        <v>0</v>
      </c>
    </row>
    <row r="26" spans="1:16" ht="11.25" customHeight="1" x14ac:dyDescent="0.25">
      <c r="A26" s="58">
        <v>25</v>
      </c>
      <c r="B26" s="58" t="s">
        <v>951</v>
      </c>
      <c r="C26" s="58" t="s">
        <v>41</v>
      </c>
      <c r="D26" s="58" t="s">
        <v>81</v>
      </c>
      <c r="E26" s="58" t="s">
        <v>25</v>
      </c>
      <c r="F26" s="58" t="s">
        <v>25</v>
      </c>
      <c r="G26" s="58" t="s">
        <v>25</v>
      </c>
      <c r="H26" s="58" t="s">
        <v>82</v>
      </c>
      <c r="I26" s="58" t="s">
        <v>34</v>
      </c>
      <c r="J26" s="58" t="s">
        <v>1071</v>
      </c>
      <c r="K26" s="58" t="s">
        <v>1072</v>
      </c>
      <c r="L26" s="58" t="s">
        <v>120</v>
      </c>
      <c r="M26" s="58">
        <v>2021</v>
      </c>
      <c r="N26" s="58">
        <v>0</v>
      </c>
      <c r="O26" s="58">
        <v>27.87</v>
      </c>
      <c r="P26" s="58">
        <v>0</v>
      </c>
    </row>
    <row r="27" spans="1:16" ht="11.25" customHeight="1" x14ac:dyDescent="0.25">
      <c r="A27" s="58">
        <v>26</v>
      </c>
      <c r="B27" s="58" t="s">
        <v>951</v>
      </c>
      <c r="C27" s="58" t="s">
        <v>41</v>
      </c>
      <c r="D27" s="58" t="s">
        <v>81</v>
      </c>
      <c r="E27" s="58" t="s">
        <v>25</v>
      </c>
      <c r="F27" s="58" t="s">
        <v>25</v>
      </c>
      <c r="G27" s="58" t="s">
        <v>25</v>
      </c>
      <c r="H27" s="58" t="s">
        <v>82</v>
      </c>
      <c r="I27" s="58" t="s">
        <v>35</v>
      </c>
      <c r="J27" s="58" t="s">
        <v>1071</v>
      </c>
      <c r="K27" s="58" t="s">
        <v>1072</v>
      </c>
      <c r="L27" s="58" t="s">
        <v>120</v>
      </c>
      <c r="M27" s="58">
        <v>2021</v>
      </c>
      <c r="N27" s="58">
        <v>0</v>
      </c>
      <c r="O27" s="58">
        <v>12.99</v>
      </c>
      <c r="P27" s="58">
        <v>0</v>
      </c>
    </row>
    <row r="28" spans="1:16" ht="11.25" customHeight="1" x14ac:dyDescent="0.25">
      <c r="A28" s="58">
        <v>27</v>
      </c>
      <c r="B28" s="58" t="s">
        <v>951</v>
      </c>
      <c r="C28" s="58" t="s">
        <v>41</v>
      </c>
      <c r="D28" s="58" t="s">
        <v>81</v>
      </c>
      <c r="E28" s="58" t="s">
        <v>25</v>
      </c>
      <c r="F28" s="58" t="s">
        <v>25</v>
      </c>
      <c r="G28" s="58" t="s">
        <v>25</v>
      </c>
      <c r="H28" s="58" t="s">
        <v>82</v>
      </c>
      <c r="I28" s="58" t="s">
        <v>25</v>
      </c>
      <c r="J28" s="58" t="s">
        <v>1073</v>
      </c>
      <c r="K28" s="58" t="s">
        <v>1072</v>
      </c>
      <c r="L28" s="58" t="s">
        <v>117</v>
      </c>
      <c r="M28" s="58">
        <v>2021</v>
      </c>
      <c r="N28" s="58">
        <v>0</v>
      </c>
      <c r="O28" s="58">
        <v>19.28</v>
      </c>
      <c r="P28" s="58">
        <v>0</v>
      </c>
    </row>
    <row r="29" spans="1:16" ht="11.25" customHeight="1" x14ac:dyDescent="0.25">
      <c r="A29" s="58">
        <v>28</v>
      </c>
      <c r="B29" s="58" t="s">
        <v>951</v>
      </c>
      <c r="C29" s="58" t="s">
        <v>41</v>
      </c>
      <c r="D29" s="58" t="s">
        <v>64</v>
      </c>
      <c r="E29" s="58" t="s">
        <v>25</v>
      </c>
      <c r="F29" s="58" t="s">
        <v>25</v>
      </c>
      <c r="G29" s="58" t="s">
        <v>25</v>
      </c>
      <c r="H29" s="58" t="s">
        <v>25</v>
      </c>
      <c r="I29" s="58" t="s">
        <v>25</v>
      </c>
      <c r="J29" s="58" t="s">
        <v>1071</v>
      </c>
      <c r="K29" s="58" t="s">
        <v>1072</v>
      </c>
      <c r="L29" s="58" t="s">
        <v>120</v>
      </c>
      <c r="M29" s="58">
        <v>2021</v>
      </c>
      <c r="N29" s="58">
        <v>0</v>
      </c>
      <c r="O29" s="58">
        <v>15.24</v>
      </c>
      <c r="P29" s="58">
        <v>0</v>
      </c>
    </row>
    <row r="30" spans="1:16" ht="11.25" customHeight="1" x14ac:dyDescent="0.25">
      <c r="A30" s="58">
        <v>29</v>
      </c>
      <c r="B30" s="58" t="s">
        <v>951</v>
      </c>
      <c r="C30" s="58" t="s">
        <v>41</v>
      </c>
      <c r="D30" s="58" t="s">
        <v>42</v>
      </c>
      <c r="E30" s="58" t="s">
        <v>25</v>
      </c>
      <c r="F30" s="58" t="s">
        <v>25</v>
      </c>
      <c r="G30" s="58" t="s">
        <v>25</v>
      </c>
      <c r="H30" s="58" t="s">
        <v>25</v>
      </c>
      <c r="I30" s="58" t="s">
        <v>25</v>
      </c>
      <c r="J30" s="58" t="s">
        <v>1071</v>
      </c>
      <c r="K30" s="58" t="s">
        <v>1072</v>
      </c>
      <c r="L30" s="58" t="s">
        <v>120</v>
      </c>
      <c r="M30" s="58">
        <v>2021</v>
      </c>
      <c r="N30" s="58">
        <v>0</v>
      </c>
      <c r="O30" s="58">
        <v>25.51</v>
      </c>
      <c r="P30" s="58">
        <v>0</v>
      </c>
    </row>
    <row r="31" spans="1:16" ht="11.25" customHeight="1" x14ac:dyDescent="0.25">
      <c r="A31" s="58">
        <v>30</v>
      </c>
      <c r="B31" s="58" t="s">
        <v>951</v>
      </c>
      <c r="C31" s="58" t="s">
        <v>41</v>
      </c>
      <c r="D31" s="58" t="s">
        <v>42</v>
      </c>
      <c r="E31" s="58" t="s">
        <v>25</v>
      </c>
      <c r="F31" s="58" t="s">
        <v>25</v>
      </c>
      <c r="G31" s="58" t="s">
        <v>25</v>
      </c>
      <c r="H31" s="58" t="s">
        <v>25</v>
      </c>
      <c r="I31" s="58" t="s">
        <v>34</v>
      </c>
      <c r="J31" s="58" t="s">
        <v>1073</v>
      </c>
      <c r="K31" s="58" t="s">
        <v>1072</v>
      </c>
      <c r="L31" s="58" t="s">
        <v>117</v>
      </c>
      <c r="M31" s="58">
        <v>2021</v>
      </c>
      <c r="N31" s="58">
        <v>0</v>
      </c>
      <c r="O31" s="58">
        <v>1682.12</v>
      </c>
      <c r="P31" s="58">
        <v>46.157710437512897</v>
      </c>
    </row>
    <row r="32" spans="1:16" ht="11.25" customHeight="1" x14ac:dyDescent="0.25">
      <c r="A32" s="58">
        <v>31</v>
      </c>
      <c r="B32" s="58" t="s">
        <v>951</v>
      </c>
      <c r="C32" s="58" t="s">
        <v>41</v>
      </c>
      <c r="D32" s="58" t="s">
        <v>42</v>
      </c>
      <c r="E32" s="58" t="s">
        <v>25</v>
      </c>
      <c r="F32" s="58" t="s">
        <v>25</v>
      </c>
      <c r="G32" s="58" t="s">
        <v>25</v>
      </c>
      <c r="H32" s="58" t="s">
        <v>25</v>
      </c>
      <c r="I32" s="58" t="s">
        <v>35</v>
      </c>
      <c r="J32" s="58" t="s">
        <v>1073</v>
      </c>
      <c r="K32" s="58" t="s">
        <v>1072</v>
      </c>
      <c r="L32" s="58" t="s">
        <v>117</v>
      </c>
      <c r="M32" s="58">
        <v>2021</v>
      </c>
      <c r="N32" s="58">
        <v>0</v>
      </c>
      <c r="O32" s="58">
        <v>88.66</v>
      </c>
      <c r="P32" s="58">
        <v>46.157710437512897</v>
      </c>
    </row>
    <row r="33" spans="1:16" ht="11.25" customHeight="1" x14ac:dyDescent="0.25">
      <c r="A33" s="58">
        <v>32</v>
      </c>
      <c r="B33" s="58" t="s">
        <v>951</v>
      </c>
      <c r="C33" s="58" t="s">
        <v>41</v>
      </c>
      <c r="D33" s="58" t="s">
        <v>42</v>
      </c>
      <c r="E33" s="58" t="s">
        <v>25</v>
      </c>
      <c r="F33" s="58" t="s">
        <v>25</v>
      </c>
      <c r="G33" s="58" t="s">
        <v>61</v>
      </c>
      <c r="H33" s="58" t="s">
        <v>25</v>
      </c>
      <c r="I33" s="58" t="s">
        <v>34</v>
      </c>
      <c r="J33" s="58" t="s">
        <v>1073</v>
      </c>
      <c r="K33" s="58" t="s">
        <v>1072</v>
      </c>
      <c r="L33" s="58" t="s">
        <v>117</v>
      </c>
      <c r="M33" s="58">
        <v>2021</v>
      </c>
      <c r="N33" s="58">
        <v>0</v>
      </c>
      <c r="O33" s="58">
        <v>1617.22</v>
      </c>
      <c r="P33" s="58">
        <v>0</v>
      </c>
    </row>
    <row r="34" spans="1:16" ht="11.25" customHeight="1" x14ac:dyDescent="0.25">
      <c r="A34" s="58">
        <v>33</v>
      </c>
      <c r="B34" s="58" t="s">
        <v>951</v>
      </c>
      <c r="C34" s="58" t="s">
        <v>41</v>
      </c>
      <c r="D34" s="58" t="s">
        <v>42</v>
      </c>
      <c r="E34" s="58" t="s">
        <v>25</v>
      </c>
      <c r="F34" s="58" t="s">
        <v>25</v>
      </c>
      <c r="G34" s="58" t="s">
        <v>61</v>
      </c>
      <c r="H34" s="58" t="s">
        <v>25</v>
      </c>
      <c r="I34" s="58" t="s">
        <v>35</v>
      </c>
      <c r="J34" s="58" t="s">
        <v>1073</v>
      </c>
      <c r="K34" s="58" t="s">
        <v>1072</v>
      </c>
      <c r="L34" s="58" t="s">
        <v>117</v>
      </c>
      <c r="M34" s="58">
        <v>2021</v>
      </c>
      <c r="N34" s="58">
        <v>0</v>
      </c>
      <c r="O34" s="58">
        <v>23.76</v>
      </c>
      <c r="P34" s="58">
        <v>0</v>
      </c>
    </row>
    <row r="35" spans="1:16" ht="11.25" customHeight="1" x14ac:dyDescent="0.25">
      <c r="A35" s="58">
        <v>34</v>
      </c>
      <c r="B35" s="58" t="s">
        <v>951</v>
      </c>
      <c r="C35" s="58" t="s">
        <v>41</v>
      </c>
      <c r="D35" s="58" t="s">
        <v>23</v>
      </c>
      <c r="E35" s="58" t="s">
        <v>25</v>
      </c>
      <c r="F35" s="58" t="s">
        <v>25</v>
      </c>
      <c r="G35" s="58" t="s">
        <v>25</v>
      </c>
      <c r="H35" s="58" t="s">
        <v>25</v>
      </c>
      <c r="I35" s="58" t="s">
        <v>25</v>
      </c>
      <c r="J35" s="58" t="s">
        <v>1071</v>
      </c>
      <c r="K35" s="58" t="s">
        <v>1072</v>
      </c>
      <c r="L35" s="58" t="s">
        <v>120</v>
      </c>
      <c r="M35" s="58">
        <v>2021</v>
      </c>
      <c r="N35" s="58">
        <v>0</v>
      </c>
      <c r="O35" s="58">
        <v>72.75</v>
      </c>
      <c r="P35" s="58">
        <v>0</v>
      </c>
    </row>
    <row r="36" spans="1:16" ht="11.25" customHeight="1" x14ac:dyDescent="0.25">
      <c r="A36" s="58">
        <v>35</v>
      </c>
      <c r="B36" s="58" t="s">
        <v>951</v>
      </c>
      <c r="C36" s="58" t="s">
        <v>41</v>
      </c>
      <c r="D36" s="58" t="s">
        <v>23</v>
      </c>
      <c r="E36" s="58" t="s">
        <v>25</v>
      </c>
      <c r="F36" s="58" t="s">
        <v>25</v>
      </c>
      <c r="G36" s="58" t="s">
        <v>25</v>
      </c>
      <c r="H36" s="58" t="s">
        <v>25</v>
      </c>
      <c r="I36" s="58" t="s">
        <v>25</v>
      </c>
      <c r="J36" s="58" t="s">
        <v>1073</v>
      </c>
      <c r="K36" s="58" t="s">
        <v>1072</v>
      </c>
      <c r="L36" s="58" t="s">
        <v>117</v>
      </c>
      <c r="M36" s="58">
        <v>2021</v>
      </c>
      <c r="N36" s="58">
        <v>0</v>
      </c>
      <c r="O36" s="58">
        <v>88.66</v>
      </c>
      <c r="P36" s="58">
        <v>46.157710437512897</v>
      </c>
    </row>
    <row r="37" spans="1:16" ht="11.25" customHeight="1" x14ac:dyDescent="0.25">
      <c r="A37" s="58">
        <v>36</v>
      </c>
      <c r="B37" s="58" t="s">
        <v>951</v>
      </c>
      <c r="C37" s="58" t="s">
        <v>125</v>
      </c>
      <c r="D37" s="58" t="s">
        <v>64</v>
      </c>
      <c r="E37" s="58" t="s">
        <v>25</v>
      </c>
      <c r="F37" s="58" t="s">
        <v>25</v>
      </c>
      <c r="G37" s="58" t="s">
        <v>126</v>
      </c>
      <c r="H37" s="58" t="s">
        <v>25</v>
      </c>
      <c r="I37" s="58" t="s">
        <v>25</v>
      </c>
      <c r="J37" s="58" t="s">
        <v>1071</v>
      </c>
      <c r="K37" s="58" t="s">
        <v>1072</v>
      </c>
      <c r="L37" s="58" t="s">
        <v>120</v>
      </c>
      <c r="M37" s="58">
        <v>2021</v>
      </c>
      <c r="N37" s="58">
        <v>0</v>
      </c>
      <c r="O37" s="58">
        <v>1.04</v>
      </c>
      <c r="P37" s="58">
        <v>0</v>
      </c>
    </row>
    <row r="38" spans="1:16" ht="11.25" customHeight="1" x14ac:dyDescent="0.25">
      <c r="A38" s="58">
        <v>37</v>
      </c>
      <c r="B38" s="58" t="s">
        <v>951</v>
      </c>
      <c r="C38" s="58" t="s">
        <v>125</v>
      </c>
      <c r="D38" s="58" t="s">
        <v>64</v>
      </c>
      <c r="E38" s="58" t="s">
        <v>25</v>
      </c>
      <c r="F38" s="58" t="s">
        <v>25</v>
      </c>
      <c r="G38" s="58" t="s">
        <v>127</v>
      </c>
      <c r="H38" s="58" t="s">
        <v>25</v>
      </c>
      <c r="I38" s="58" t="s">
        <v>25</v>
      </c>
      <c r="J38" s="58" t="s">
        <v>1071</v>
      </c>
      <c r="K38" s="58" t="s">
        <v>1072</v>
      </c>
      <c r="L38" s="58" t="s">
        <v>120</v>
      </c>
      <c r="M38" s="58">
        <v>2021</v>
      </c>
      <c r="N38" s="58">
        <v>0</v>
      </c>
      <c r="O38" s="58">
        <v>9.85</v>
      </c>
      <c r="P38" s="58">
        <v>0</v>
      </c>
    </row>
    <row r="39" spans="1:16" ht="11.25" customHeight="1" x14ac:dyDescent="0.25">
      <c r="A39" s="58">
        <v>38</v>
      </c>
      <c r="B39" s="58" t="s">
        <v>951</v>
      </c>
      <c r="C39" s="58" t="s">
        <v>22</v>
      </c>
      <c r="D39" s="58" t="s">
        <v>33</v>
      </c>
      <c r="E39" s="58" t="s">
        <v>24</v>
      </c>
      <c r="F39" s="58" t="s">
        <v>24</v>
      </c>
      <c r="G39" s="58" t="s">
        <v>25</v>
      </c>
      <c r="H39" s="58" t="s">
        <v>25</v>
      </c>
      <c r="I39" s="58" t="s">
        <v>34</v>
      </c>
      <c r="J39" s="58" t="s">
        <v>1073</v>
      </c>
      <c r="K39" s="58" t="s">
        <v>1072</v>
      </c>
      <c r="L39" s="58" t="s">
        <v>117</v>
      </c>
      <c r="M39" s="58">
        <v>2021</v>
      </c>
      <c r="N39" s="58">
        <v>0</v>
      </c>
      <c r="O39" s="58">
        <v>712.84</v>
      </c>
      <c r="P39" s="58">
        <v>53.054839583348198</v>
      </c>
    </row>
    <row r="40" spans="1:16" ht="11.25" customHeight="1" x14ac:dyDescent="0.25">
      <c r="A40" s="58">
        <v>39</v>
      </c>
      <c r="B40" s="58" t="s">
        <v>951</v>
      </c>
      <c r="C40" s="58" t="s">
        <v>22</v>
      </c>
      <c r="D40" s="58" t="s">
        <v>33</v>
      </c>
      <c r="E40" s="58" t="s">
        <v>24</v>
      </c>
      <c r="F40" s="58" t="s">
        <v>24</v>
      </c>
      <c r="G40" s="58" t="s">
        <v>25</v>
      </c>
      <c r="H40" s="58" t="s">
        <v>25</v>
      </c>
      <c r="I40" s="58" t="s">
        <v>36</v>
      </c>
      <c r="J40" s="58" t="s">
        <v>1073</v>
      </c>
      <c r="K40" s="58" t="s">
        <v>1072</v>
      </c>
      <c r="L40" s="58" t="s">
        <v>117</v>
      </c>
      <c r="M40" s="58">
        <v>2021</v>
      </c>
      <c r="N40" s="58">
        <v>0</v>
      </c>
      <c r="O40" s="58">
        <v>474.91</v>
      </c>
      <c r="P40" s="58">
        <v>53.054839583348198</v>
      </c>
    </row>
    <row r="41" spans="1:16" ht="11.25" customHeight="1" x14ac:dyDescent="0.25">
      <c r="A41" s="58">
        <v>40</v>
      </c>
      <c r="B41" s="58" t="s">
        <v>951</v>
      </c>
      <c r="C41" s="58" t="s">
        <v>22</v>
      </c>
      <c r="D41" s="58" t="s">
        <v>33</v>
      </c>
      <c r="E41" s="58" t="s">
        <v>24</v>
      </c>
      <c r="F41" s="58" t="s">
        <v>24</v>
      </c>
      <c r="G41" s="58" t="s">
        <v>25</v>
      </c>
      <c r="H41" s="58" t="s">
        <v>25</v>
      </c>
      <c r="I41" s="58" t="s">
        <v>35</v>
      </c>
      <c r="J41" s="58" t="s">
        <v>1073</v>
      </c>
      <c r="K41" s="58" t="s">
        <v>1072</v>
      </c>
      <c r="L41" s="58" t="s">
        <v>117</v>
      </c>
      <c r="M41" s="58">
        <v>2021</v>
      </c>
      <c r="N41" s="58">
        <v>0</v>
      </c>
      <c r="O41" s="58">
        <v>236.99</v>
      </c>
      <c r="P41" s="58">
        <v>53.054839583348198</v>
      </c>
    </row>
    <row r="42" spans="1:16" ht="11.25" customHeight="1" x14ac:dyDescent="0.25">
      <c r="A42" s="58">
        <v>41</v>
      </c>
      <c r="B42" s="58" t="s">
        <v>951</v>
      </c>
      <c r="C42" s="58" t="s">
        <v>22</v>
      </c>
      <c r="D42" s="58" t="s">
        <v>23</v>
      </c>
      <c r="E42" s="58" t="s">
        <v>24</v>
      </c>
      <c r="F42" s="58" t="s">
        <v>24</v>
      </c>
      <c r="G42" s="58" t="s">
        <v>25</v>
      </c>
      <c r="H42" s="58" t="s">
        <v>25</v>
      </c>
      <c r="I42" s="58" t="s">
        <v>25</v>
      </c>
      <c r="J42" s="58" t="s">
        <v>1073</v>
      </c>
      <c r="K42" s="58" t="s">
        <v>1072</v>
      </c>
      <c r="L42" s="58" t="s">
        <v>117</v>
      </c>
      <c r="M42" s="58">
        <v>2021</v>
      </c>
      <c r="N42" s="58">
        <v>0</v>
      </c>
      <c r="O42" s="58">
        <v>342.48</v>
      </c>
      <c r="P42" s="58">
        <v>53.054839583348198</v>
      </c>
    </row>
    <row r="43" spans="1:16" ht="11.25" customHeight="1" x14ac:dyDescent="0.25">
      <c r="A43" s="58">
        <v>42</v>
      </c>
      <c r="B43" s="58" t="s">
        <v>951</v>
      </c>
      <c r="C43" s="58" t="s">
        <v>22</v>
      </c>
      <c r="D43" s="58" t="s">
        <v>23</v>
      </c>
      <c r="E43" s="58" t="s">
        <v>24</v>
      </c>
      <c r="F43" s="58" t="s">
        <v>29</v>
      </c>
      <c r="G43" s="58" t="s">
        <v>25</v>
      </c>
      <c r="H43" s="58" t="s">
        <v>25</v>
      </c>
      <c r="I43" s="58" t="s">
        <v>25</v>
      </c>
      <c r="J43" s="58" t="s">
        <v>1073</v>
      </c>
      <c r="K43" s="58" t="s">
        <v>1072</v>
      </c>
      <c r="L43" s="58" t="s">
        <v>117</v>
      </c>
      <c r="M43" s="58">
        <v>2021</v>
      </c>
      <c r="N43" s="58">
        <v>0</v>
      </c>
      <c r="O43" s="58">
        <v>94.28</v>
      </c>
      <c r="P43" s="58">
        <v>0</v>
      </c>
    </row>
    <row r="44" spans="1:16" ht="11.25" customHeight="1" x14ac:dyDescent="0.25">
      <c r="A44" s="58">
        <v>43</v>
      </c>
      <c r="B44" s="58" t="s">
        <v>951</v>
      </c>
      <c r="C44" s="58" t="s">
        <v>22</v>
      </c>
      <c r="D44" s="58" t="s">
        <v>23</v>
      </c>
      <c r="E44" s="58" t="s">
        <v>24</v>
      </c>
      <c r="F44" s="58" t="s">
        <v>30</v>
      </c>
      <c r="G44" s="58" t="s">
        <v>25</v>
      </c>
      <c r="H44" s="58" t="s">
        <v>25</v>
      </c>
      <c r="I44" s="58" t="s">
        <v>25</v>
      </c>
      <c r="J44" s="58" t="s">
        <v>1073</v>
      </c>
      <c r="K44" s="58" t="s">
        <v>1072</v>
      </c>
      <c r="L44" s="58" t="s">
        <v>117</v>
      </c>
      <c r="M44" s="58">
        <v>2021</v>
      </c>
      <c r="N44" s="58">
        <v>0</v>
      </c>
      <c r="O44" s="58">
        <v>161.62</v>
      </c>
      <c r="P44" s="58">
        <v>0</v>
      </c>
    </row>
    <row r="45" spans="1:16" ht="11.25" customHeight="1" x14ac:dyDescent="0.25">
      <c r="A45" s="58">
        <v>44</v>
      </c>
      <c r="B45" s="58" t="s">
        <v>951</v>
      </c>
      <c r="C45" s="58" t="s">
        <v>22</v>
      </c>
      <c r="D45" s="58" t="s">
        <v>23</v>
      </c>
      <c r="E45" s="58" t="s">
        <v>24</v>
      </c>
      <c r="F45" s="58" t="s">
        <v>31</v>
      </c>
      <c r="G45" s="58" t="s">
        <v>25</v>
      </c>
      <c r="H45" s="58" t="s">
        <v>25</v>
      </c>
      <c r="I45" s="58" t="s">
        <v>25</v>
      </c>
      <c r="J45" s="58" t="s">
        <v>1073</v>
      </c>
      <c r="K45" s="58" t="s">
        <v>1072</v>
      </c>
      <c r="L45" s="58" t="s">
        <v>117</v>
      </c>
      <c r="M45" s="58">
        <v>2021</v>
      </c>
      <c r="N45" s="58">
        <v>0</v>
      </c>
      <c r="O45" s="58">
        <v>242.43</v>
      </c>
      <c r="P45" s="58">
        <v>0</v>
      </c>
    </row>
    <row r="46" spans="1:16" ht="11.25" customHeight="1" x14ac:dyDescent="0.25">
      <c r="A46" s="58">
        <v>45</v>
      </c>
      <c r="B46" s="58" t="s">
        <v>951</v>
      </c>
      <c r="C46" s="58" t="s">
        <v>22</v>
      </c>
      <c r="D46" s="58" t="s">
        <v>23</v>
      </c>
      <c r="E46" s="58" t="s">
        <v>24</v>
      </c>
      <c r="F46" s="58" t="s">
        <v>32</v>
      </c>
      <c r="G46" s="58" t="s">
        <v>25</v>
      </c>
      <c r="H46" s="58" t="s">
        <v>25</v>
      </c>
      <c r="I46" s="58" t="s">
        <v>25</v>
      </c>
      <c r="J46" s="58" t="s">
        <v>1073</v>
      </c>
      <c r="K46" s="58" t="s">
        <v>1072</v>
      </c>
      <c r="L46" s="58" t="s">
        <v>117</v>
      </c>
      <c r="M46" s="58">
        <v>2021</v>
      </c>
      <c r="N46" s="58">
        <v>0</v>
      </c>
      <c r="O46" s="58">
        <v>269.37</v>
      </c>
      <c r="P46" s="58">
        <v>0</v>
      </c>
    </row>
    <row r="47" spans="1:16" ht="11.25" customHeight="1" x14ac:dyDescent="0.25">
      <c r="A47" s="58">
        <v>46</v>
      </c>
      <c r="B47" s="58" t="s">
        <v>951</v>
      </c>
      <c r="C47" s="58" t="s">
        <v>22</v>
      </c>
      <c r="D47" s="58" t="s">
        <v>131</v>
      </c>
      <c r="E47" s="58" t="s">
        <v>24</v>
      </c>
      <c r="F47" s="58" t="s">
        <v>24</v>
      </c>
      <c r="G47" s="58" t="s">
        <v>25</v>
      </c>
      <c r="H47" s="58" t="s">
        <v>25</v>
      </c>
      <c r="I47" s="58" t="s">
        <v>25</v>
      </c>
      <c r="J47" s="58" t="s">
        <v>1073</v>
      </c>
      <c r="K47" s="58" t="s">
        <v>1072</v>
      </c>
      <c r="L47" s="58" t="s">
        <v>117</v>
      </c>
      <c r="M47" s="58">
        <v>2021</v>
      </c>
      <c r="N47" s="58">
        <v>0</v>
      </c>
      <c r="O47" s="58">
        <v>342.48</v>
      </c>
      <c r="P47" s="58">
        <v>53.054839583348198</v>
      </c>
    </row>
    <row r="48" spans="1:16" ht="11.25" customHeight="1" x14ac:dyDescent="0.25">
      <c r="A48" s="58">
        <v>47</v>
      </c>
      <c r="B48" s="58" t="s">
        <v>951</v>
      </c>
      <c r="C48" s="58" t="s">
        <v>22</v>
      </c>
      <c r="D48" s="58" t="s">
        <v>131</v>
      </c>
      <c r="E48" s="58" t="s">
        <v>24</v>
      </c>
      <c r="F48" s="58" t="s">
        <v>29</v>
      </c>
      <c r="G48" s="58" t="s">
        <v>25</v>
      </c>
      <c r="H48" s="58" t="s">
        <v>25</v>
      </c>
      <c r="I48" s="58" t="s">
        <v>25</v>
      </c>
      <c r="J48" s="58" t="s">
        <v>1073</v>
      </c>
      <c r="K48" s="58" t="s">
        <v>1072</v>
      </c>
      <c r="L48" s="58" t="s">
        <v>117</v>
      </c>
      <c r="M48" s="58">
        <v>2021</v>
      </c>
      <c r="N48" s="58">
        <v>0</v>
      </c>
      <c r="O48" s="58">
        <v>94.28</v>
      </c>
      <c r="P48" s="58">
        <v>0</v>
      </c>
    </row>
    <row r="49" spans="1:16" ht="11.25" customHeight="1" x14ac:dyDescent="0.25">
      <c r="A49" s="58">
        <v>48</v>
      </c>
      <c r="B49" s="58" t="s">
        <v>951</v>
      </c>
      <c r="C49" s="58" t="s">
        <v>22</v>
      </c>
      <c r="D49" s="58" t="s">
        <v>131</v>
      </c>
      <c r="E49" s="58" t="s">
        <v>24</v>
      </c>
      <c r="F49" s="58" t="s">
        <v>30</v>
      </c>
      <c r="G49" s="58" t="s">
        <v>25</v>
      </c>
      <c r="H49" s="58" t="s">
        <v>25</v>
      </c>
      <c r="I49" s="58" t="s">
        <v>25</v>
      </c>
      <c r="J49" s="58" t="s">
        <v>1073</v>
      </c>
      <c r="K49" s="58" t="s">
        <v>1072</v>
      </c>
      <c r="L49" s="58" t="s">
        <v>117</v>
      </c>
      <c r="M49" s="58">
        <v>2021</v>
      </c>
      <c r="N49" s="58">
        <v>0</v>
      </c>
      <c r="O49" s="58">
        <v>161.62</v>
      </c>
      <c r="P49" s="58">
        <v>0</v>
      </c>
    </row>
    <row r="50" spans="1:16" ht="11.25" customHeight="1" x14ac:dyDescent="0.25">
      <c r="A50" s="58">
        <v>49</v>
      </c>
      <c r="B50" s="58" t="s">
        <v>951</v>
      </c>
      <c r="C50" s="58" t="s">
        <v>22</v>
      </c>
      <c r="D50" s="58" t="s">
        <v>131</v>
      </c>
      <c r="E50" s="58" t="s">
        <v>24</v>
      </c>
      <c r="F50" s="58" t="s">
        <v>31</v>
      </c>
      <c r="G50" s="58" t="s">
        <v>25</v>
      </c>
      <c r="H50" s="58" t="s">
        <v>25</v>
      </c>
      <c r="I50" s="58" t="s">
        <v>25</v>
      </c>
      <c r="J50" s="58" t="s">
        <v>1073</v>
      </c>
      <c r="K50" s="58" t="s">
        <v>1072</v>
      </c>
      <c r="L50" s="58" t="s">
        <v>117</v>
      </c>
      <c r="M50" s="58">
        <v>2021</v>
      </c>
      <c r="N50" s="58">
        <v>0</v>
      </c>
      <c r="O50" s="58">
        <v>242.43</v>
      </c>
      <c r="P50" s="58">
        <v>0</v>
      </c>
    </row>
    <row r="51" spans="1:16" ht="11.25" customHeight="1" x14ac:dyDescent="0.25">
      <c r="A51" s="58">
        <v>50</v>
      </c>
      <c r="B51" s="58" t="s">
        <v>951</v>
      </c>
      <c r="C51" s="58" t="s">
        <v>22</v>
      </c>
      <c r="D51" s="58" t="s">
        <v>131</v>
      </c>
      <c r="E51" s="58" t="s">
        <v>24</v>
      </c>
      <c r="F51" s="58" t="s">
        <v>32</v>
      </c>
      <c r="G51" s="58" t="s">
        <v>25</v>
      </c>
      <c r="H51" s="58" t="s">
        <v>25</v>
      </c>
      <c r="I51" s="58" t="s">
        <v>25</v>
      </c>
      <c r="J51" s="58" t="s">
        <v>1073</v>
      </c>
      <c r="K51" s="58" t="s">
        <v>1072</v>
      </c>
      <c r="L51" s="58" t="s">
        <v>117</v>
      </c>
      <c r="M51" s="58">
        <v>2021</v>
      </c>
      <c r="N51" s="58">
        <v>0</v>
      </c>
      <c r="O51" s="58">
        <v>269.37</v>
      </c>
      <c r="P51" s="58">
        <v>0</v>
      </c>
    </row>
    <row r="52" spans="1:16" ht="11.25" customHeight="1" x14ac:dyDescent="0.25">
      <c r="A52" s="58">
        <v>51</v>
      </c>
      <c r="B52" s="58" t="s">
        <v>951</v>
      </c>
      <c r="C52" s="58" t="s">
        <v>44</v>
      </c>
      <c r="D52" s="58" t="s">
        <v>33</v>
      </c>
      <c r="E52" s="58" t="s">
        <v>45</v>
      </c>
      <c r="F52" s="58" t="s">
        <v>25</v>
      </c>
      <c r="G52" s="58" t="s">
        <v>25</v>
      </c>
      <c r="H52" s="58" t="s">
        <v>25</v>
      </c>
      <c r="I52" s="58" t="s">
        <v>34</v>
      </c>
      <c r="J52" s="58" t="s">
        <v>1073</v>
      </c>
      <c r="K52" s="58" t="s">
        <v>1072</v>
      </c>
      <c r="L52" s="58" t="s">
        <v>117</v>
      </c>
      <c r="M52" s="58">
        <v>2021</v>
      </c>
      <c r="N52" s="58">
        <v>0</v>
      </c>
      <c r="O52" s="58">
        <v>666.8</v>
      </c>
      <c r="P52" s="58">
        <v>46.688258833346403</v>
      </c>
    </row>
    <row r="53" spans="1:16" ht="11.25" customHeight="1" x14ac:dyDescent="0.25">
      <c r="A53" s="58">
        <v>52</v>
      </c>
      <c r="B53" s="58" t="s">
        <v>951</v>
      </c>
      <c r="C53" s="58" t="s">
        <v>44</v>
      </c>
      <c r="D53" s="58" t="s">
        <v>33</v>
      </c>
      <c r="E53" s="58" t="s">
        <v>45</v>
      </c>
      <c r="F53" s="58" t="s">
        <v>25</v>
      </c>
      <c r="G53" s="58" t="s">
        <v>25</v>
      </c>
      <c r="H53" s="58" t="s">
        <v>25</v>
      </c>
      <c r="I53" s="58" t="s">
        <v>36</v>
      </c>
      <c r="J53" s="58" t="s">
        <v>1073</v>
      </c>
      <c r="K53" s="58" t="s">
        <v>1072</v>
      </c>
      <c r="L53" s="58" t="s">
        <v>117</v>
      </c>
      <c r="M53" s="58">
        <v>2021</v>
      </c>
      <c r="N53" s="58">
        <v>0</v>
      </c>
      <c r="O53" s="58">
        <v>441.63</v>
      </c>
      <c r="P53" s="58">
        <v>46.688258833346403</v>
      </c>
    </row>
    <row r="54" spans="1:16" ht="11.25" customHeight="1" x14ac:dyDescent="0.25">
      <c r="A54" s="58">
        <v>53</v>
      </c>
      <c r="B54" s="58" t="s">
        <v>951</v>
      </c>
      <c r="C54" s="58" t="s">
        <v>44</v>
      </c>
      <c r="D54" s="58" t="s">
        <v>33</v>
      </c>
      <c r="E54" s="58" t="s">
        <v>45</v>
      </c>
      <c r="F54" s="58" t="s">
        <v>25</v>
      </c>
      <c r="G54" s="58" t="s">
        <v>25</v>
      </c>
      <c r="H54" s="58" t="s">
        <v>25</v>
      </c>
      <c r="I54" s="58" t="s">
        <v>35</v>
      </c>
      <c r="J54" s="58" t="s">
        <v>1073</v>
      </c>
      <c r="K54" s="58" t="s">
        <v>1072</v>
      </c>
      <c r="L54" s="58" t="s">
        <v>117</v>
      </c>
      <c r="M54" s="58">
        <v>2021</v>
      </c>
      <c r="N54" s="58">
        <v>0</v>
      </c>
      <c r="O54" s="58">
        <v>216.45</v>
      </c>
      <c r="P54" s="58">
        <v>46.688258833346403</v>
      </c>
    </row>
    <row r="55" spans="1:16" ht="11.25" customHeight="1" x14ac:dyDescent="0.25">
      <c r="A55" s="58">
        <v>54</v>
      </c>
      <c r="B55" s="58" t="s">
        <v>951</v>
      </c>
      <c r="C55" s="58" t="s">
        <v>44</v>
      </c>
      <c r="D55" s="58" t="s">
        <v>23</v>
      </c>
      <c r="E55" s="58" t="s">
        <v>45</v>
      </c>
      <c r="F55" s="58" t="s">
        <v>25</v>
      </c>
      <c r="G55" s="58" t="s">
        <v>25</v>
      </c>
      <c r="H55" s="58" t="s">
        <v>25</v>
      </c>
      <c r="I55" s="58" t="s">
        <v>25</v>
      </c>
      <c r="J55" s="58" t="s">
        <v>1073</v>
      </c>
      <c r="K55" s="58" t="s">
        <v>1072</v>
      </c>
      <c r="L55" s="58" t="s">
        <v>117</v>
      </c>
      <c r="M55" s="58">
        <v>2021</v>
      </c>
      <c r="N55" s="58">
        <v>0</v>
      </c>
      <c r="O55" s="58">
        <v>301.38</v>
      </c>
      <c r="P55" s="58">
        <v>46.688258833346403</v>
      </c>
    </row>
    <row r="56" spans="1:16" ht="11.25" customHeight="1" x14ac:dyDescent="0.25">
      <c r="A56" s="58">
        <v>55</v>
      </c>
      <c r="B56" s="58" t="s">
        <v>951</v>
      </c>
      <c r="C56" s="58" t="s">
        <v>44</v>
      </c>
      <c r="D56" s="58" t="s">
        <v>33</v>
      </c>
      <c r="E56" s="58" t="s">
        <v>45</v>
      </c>
      <c r="F56" s="58" t="s">
        <v>132</v>
      </c>
      <c r="G56" s="58" t="s">
        <v>25</v>
      </c>
      <c r="H56" s="58" t="s">
        <v>25</v>
      </c>
      <c r="I56" s="58" t="s">
        <v>34</v>
      </c>
      <c r="J56" s="58" t="s">
        <v>1073</v>
      </c>
      <c r="K56" s="58" t="s">
        <v>1072</v>
      </c>
      <c r="L56" s="58" t="s">
        <v>117</v>
      </c>
      <c r="M56" s="58">
        <v>2021</v>
      </c>
      <c r="N56" s="58">
        <v>0</v>
      </c>
      <c r="O56" s="58">
        <v>666.8</v>
      </c>
      <c r="P56" s="58">
        <v>46.688258833346403</v>
      </c>
    </row>
    <row r="57" spans="1:16" ht="11.25" customHeight="1" x14ac:dyDescent="0.25">
      <c r="A57" s="58">
        <v>56</v>
      </c>
      <c r="B57" s="58" t="s">
        <v>951</v>
      </c>
      <c r="C57" s="58" t="s">
        <v>44</v>
      </c>
      <c r="D57" s="58" t="s">
        <v>33</v>
      </c>
      <c r="E57" s="58" t="s">
        <v>45</v>
      </c>
      <c r="F57" s="58" t="s">
        <v>132</v>
      </c>
      <c r="G57" s="58" t="s">
        <v>25</v>
      </c>
      <c r="H57" s="58" t="s">
        <v>25</v>
      </c>
      <c r="I57" s="58" t="s">
        <v>36</v>
      </c>
      <c r="J57" s="58" t="s">
        <v>1073</v>
      </c>
      <c r="K57" s="58" t="s">
        <v>1072</v>
      </c>
      <c r="L57" s="58" t="s">
        <v>117</v>
      </c>
      <c r="M57" s="58">
        <v>2021</v>
      </c>
      <c r="N57" s="58">
        <v>0</v>
      </c>
      <c r="O57" s="58">
        <v>441.63</v>
      </c>
      <c r="P57" s="58">
        <v>46.688258833346403</v>
      </c>
    </row>
    <row r="58" spans="1:16" ht="11.25" customHeight="1" x14ac:dyDescent="0.25">
      <c r="A58" s="58">
        <v>57</v>
      </c>
      <c r="B58" s="58" t="s">
        <v>951</v>
      </c>
      <c r="C58" s="58" t="s">
        <v>44</v>
      </c>
      <c r="D58" s="58" t="s">
        <v>33</v>
      </c>
      <c r="E58" s="58" t="s">
        <v>45</v>
      </c>
      <c r="F58" s="58" t="s">
        <v>132</v>
      </c>
      <c r="G58" s="58" t="s">
        <v>25</v>
      </c>
      <c r="H58" s="58" t="s">
        <v>25</v>
      </c>
      <c r="I58" s="58" t="s">
        <v>35</v>
      </c>
      <c r="J58" s="58" t="s">
        <v>1073</v>
      </c>
      <c r="K58" s="58" t="s">
        <v>1072</v>
      </c>
      <c r="L58" s="58" t="s">
        <v>117</v>
      </c>
      <c r="M58" s="58">
        <v>2021</v>
      </c>
      <c r="N58" s="58">
        <v>0</v>
      </c>
      <c r="O58" s="58">
        <v>216.45</v>
      </c>
      <c r="P58" s="58">
        <v>46.688258833346403</v>
      </c>
    </row>
    <row r="59" spans="1:16" ht="11.25" customHeight="1" x14ac:dyDescent="0.25">
      <c r="A59" s="58">
        <v>58</v>
      </c>
      <c r="B59" s="58" t="s">
        <v>951</v>
      </c>
      <c r="C59" s="58" t="s">
        <v>44</v>
      </c>
      <c r="D59" s="58" t="s">
        <v>23</v>
      </c>
      <c r="E59" s="58" t="s">
        <v>45</v>
      </c>
      <c r="F59" s="58" t="s">
        <v>132</v>
      </c>
      <c r="G59" s="58" t="s">
        <v>25</v>
      </c>
      <c r="H59" s="58" t="s">
        <v>25</v>
      </c>
      <c r="I59" s="58" t="s">
        <v>25</v>
      </c>
      <c r="J59" s="58" t="s">
        <v>1073</v>
      </c>
      <c r="K59" s="58" t="s">
        <v>1072</v>
      </c>
      <c r="L59" s="58" t="s">
        <v>117</v>
      </c>
      <c r="M59" s="58">
        <v>2021</v>
      </c>
      <c r="N59" s="58">
        <v>0</v>
      </c>
      <c r="O59" s="58">
        <v>301.38</v>
      </c>
      <c r="P59" s="58">
        <v>46.688258833346403</v>
      </c>
    </row>
    <row r="60" spans="1:16" ht="11.25" customHeight="1" x14ac:dyDescent="0.25">
      <c r="A60" s="58">
        <v>59</v>
      </c>
      <c r="B60" s="58" t="s">
        <v>951</v>
      </c>
      <c r="C60" s="58" t="s">
        <v>44</v>
      </c>
      <c r="D60" s="58" t="s">
        <v>33</v>
      </c>
      <c r="E60" s="58" t="s">
        <v>45</v>
      </c>
      <c r="F60" s="58" t="s">
        <v>133</v>
      </c>
      <c r="G60" s="58" t="s">
        <v>25</v>
      </c>
      <c r="H60" s="58" t="s">
        <v>25</v>
      </c>
      <c r="I60" s="58" t="s">
        <v>34</v>
      </c>
      <c r="J60" s="58" t="s">
        <v>1073</v>
      </c>
      <c r="K60" s="58" t="s">
        <v>1072</v>
      </c>
      <c r="L60" s="58" t="s">
        <v>117</v>
      </c>
      <c r="M60" s="58">
        <v>2021</v>
      </c>
      <c r="N60" s="58">
        <v>0</v>
      </c>
      <c r="O60" s="58">
        <v>636.49</v>
      </c>
      <c r="P60" s="58">
        <v>44.5660652500124</v>
      </c>
    </row>
    <row r="61" spans="1:16" ht="11.25" customHeight="1" x14ac:dyDescent="0.25">
      <c r="A61" s="58">
        <v>60</v>
      </c>
      <c r="B61" s="58" t="s">
        <v>951</v>
      </c>
      <c r="C61" s="58" t="s">
        <v>44</v>
      </c>
      <c r="D61" s="58" t="s">
        <v>33</v>
      </c>
      <c r="E61" s="58" t="s">
        <v>45</v>
      </c>
      <c r="F61" s="58" t="s">
        <v>133</v>
      </c>
      <c r="G61" s="58" t="s">
        <v>25</v>
      </c>
      <c r="H61" s="58" t="s">
        <v>25</v>
      </c>
      <c r="I61" s="58" t="s">
        <v>36</v>
      </c>
      <c r="J61" s="58" t="s">
        <v>1073</v>
      </c>
      <c r="K61" s="58" t="s">
        <v>1072</v>
      </c>
      <c r="L61" s="58" t="s">
        <v>117</v>
      </c>
      <c r="M61" s="58">
        <v>2021</v>
      </c>
      <c r="N61" s="58">
        <v>0</v>
      </c>
      <c r="O61" s="58">
        <v>421.55</v>
      </c>
      <c r="P61" s="58">
        <v>44.5660652500124</v>
      </c>
    </row>
    <row r="62" spans="1:16" ht="11.25" customHeight="1" x14ac:dyDescent="0.25">
      <c r="A62" s="58">
        <v>61</v>
      </c>
      <c r="B62" s="58" t="s">
        <v>951</v>
      </c>
      <c r="C62" s="58" t="s">
        <v>44</v>
      </c>
      <c r="D62" s="58" t="s">
        <v>33</v>
      </c>
      <c r="E62" s="58" t="s">
        <v>45</v>
      </c>
      <c r="F62" s="58" t="s">
        <v>133</v>
      </c>
      <c r="G62" s="58" t="s">
        <v>25</v>
      </c>
      <c r="H62" s="58" t="s">
        <v>25</v>
      </c>
      <c r="I62" s="58" t="s">
        <v>35</v>
      </c>
      <c r="J62" s="58" t="s">
        <v>1073</v>
      </c>
      <c r="K62" s="58" t="s">
        <v>1072</v>
      </c>
      <c r="L62" s="58" t="s">
        <v>117</v>
      </c>
      <c r="M62" s="58">
        <v>2021</v>
      </c>
      <c r="N62" s="58">
        <v>0</v>
      </c>
      <c r="O62" s="58">
        <v>206.61</v>
      </c>
      <c r="P62" s="58">
        <v>44.5660652500124</v>
      </c>
    </row>
    <row r="63" spans="1:16" ht="11.25" customHeight="1" x14ac:dyDescent="0.25">
      <c r="A63" s="58">
        <v>62</v>
      </c>
      <c r="B63" s="58" t="s">
        <v>951</v>
      </c>
      <c r="C63" s="58" t="s">
        <v>44</v>
      </c>
      <c r="D63" s="58" t="s">
        <v>23</v>
      </c>
      <c r="E63" s="58" t="s">
        <v>45</v>
      </c>
      <c r="F63" s="58" t="s">
        <v>133</v>
      </c>
      <c r="G63" s="58" t="s">
        <v>25</v>
      </c>
      <c r="H63" s="58" t="s">
        <v>25</v>
      </c>
      <c r="I63" s="58" t="s">
        <v>25</v>
      </c>
      <c r="J63" s="58" t="s">
        <v>1073</v>
      </c>
      <c r="K63" s="58" t="s">
        <v>1072</v>
      </c>
      <c r="L63" s="58" t="s">
        <v>117</v>
      </c>
      <c r="M63" s="58">
        <v>2021</v>
      </c>
      <c r="N63" s="58">
        <v>0</v>
      </c>
      <c r="O63" s="58">
        <v>287.69</v>
      </c>
      <c r="P63" s="58">
        <v>44.5660652500124</v>
      </c>
    </row>
    <row r="64" spans="1:16" ht="11.25" customHeight="1" x14ac:dyDescent="0.25">
      <c r="A64" s="58">
        <v>63</v>
      </c>
      <c r="B64" s="58" t="s">
        <v>951</v>
      </c>
      <c r="C64" s="58" t="s">
        <v>44</v>
      </c>
      <c r="D64" s="58" t="s">
        <v>131</v>
      </c>
      <c r="E64" s="58" t="s">
        <v>45</v>
      </c>
      <c r="F64" s="58" t="s">
        <v>25</v>
      </c>
      <c r="G64" s="58" t="s">
        <v>25</v>
      </c>
      <c r="H64" s="58" t="s">
        <v>25</v>
      </c>
      <c r="I64" s="58" t="s">
        <v>25</v>
      </c>
      <c r="J64" s="58" t="s">
        <v>1073</v>
      </c>
      <c r="K64" s="58" t="s">
        <v>1072</v>
      </c>
      <c r="L64" s="58" t="s">
        <v>117</v>
      </c>
      <c r="M64" s="58">
        <v>2021</v>
      </c>
      <c r="N64" s="58">
        <v>0</v>
      </c>
      <c r="O64" s="58">
        <v>301.38</v>
      </c>
      <c r="P64" s="58">
        <v>46.688258833346403</v>
      </c>
    </row>
    <row r="65" spans="1:16" ht="11.25" customHeight="1" x14ac:dyDescent="0.25">
      <c r="A65" s="58">
        <v>64</v>
      </c>
      <c r="B65" s="58" t="s">
        <v>951</v>
      </c>
      <c r="C65" s="58" t="s">
        <v>44</v>
      </c>
      <c r="D65" s="58" t="s">
        <v>131</v>
      </c>
      <c r="E65" s="58" t="s">
        <v>45</v>
      </c>
      <c r="F65" s="58" t="s">
        <v>132</v>
      </c>
      <c r="G65" s="58" t="s">
        <v>25</v>
      </c>
      <c r="H65" s="58" t="s">
        <v>25</v>
      </c>
      <c r="I65" s="58" t="s">
        <v>25</v>
      </c>
      <c r="J65" s="58" t="s">
        <v>1073</v>
      </c>
      <c r="K65" s="58" t="s">
        <v>1072</v>
      </c>
      <c r="L65" s="58" t="s">
        <v>117</v>
      </c>
      <c r="M65" s="58">
        <v>2021</v>
      </c>
      <c r="N65" s="58">
        <v>0</v>
      </c>
      <c r="O65" s="58">
        <v>301.38</v>
      </c>
      <c r="P65" s="58">
        <v>46.688258833346403</v>
      </c>
    </row>
    <row r="66" spans="1:16" ht="11.25" customHeight="1" x14ac:dyDescent="0.25">
      <c r="A66" s="58">
        <v>65</v>
      </c>
      <c r="B66" s="58" t="s">
        <v>951</v>
      </c>
      <c r="C66" s="58" t="s">
        <v>44</v>
      </c>
      <c r="D66" s="58" t="s">
        <v>131</v>
      </c>
      <c r="E66" s="58" t="s">
        <v>45</v>
      </c>
      <c r="F66" s="58" t="s">
        <v>133</v>
      </c>
      <c r="G66" s="58" t="s">
        <v>25</v>
      </c>
      <c r="H66" s="58" t="s">
        <v>25</v>
      </c>
      <c r="I66" s="58" t="s">
        <v>25</v>
      </c>
      <c r="J66" s="58" t="s">
        <v>1073</v>
      </c>
      <c r="K66" s="58" t="s">
        <v>1072</v>
      </c>
      <c r="L66" s="58" t="s">
        <v>117</v>
      </c>
      <c r="M66" s="58">
        <v>2021</v>
      </c>
      <c r="N66" s="58">
        <v>0</v>
      </c>
      <c r="O66" s="58">
        <v>287.69</v>
      </c>
      <c r="P66" s="58">
        <v>44.5660652500124</v>
      </c>
    </row>
    <row r="67" spans="1:16" ht="11.25" customHeight="1" x14ac:dyDescent="0.25">
      <c r="A67" s="58">
        <v>66</v>
      </c>
      <c r="B67" s="58" t="s">
        <v>951</v>
      </c>
      <c r="C67" s="58" t="s">
        <v>37</v>
      </c>
      <c r="D67" s="58" t="s">
        <v>33</v>
      </c>
      <c r="E67" s="58" t="s">
        <v>25</v>
      </c>
      <c r="F67" s="58" t="s">
        <v>25</v>
      </c>
      <c r="G67" s="58" t="s">
        <v>25</v>
      </c>
      <c r="H67" s="58" t="s">
        <v>25</v>
      </c>
      <c r="I67" s="58" t="s">
        <v>34</v>
      </c>
      <c r="J67" s="58" t="s">
        <v>1073</v>
      </c>
      <c r="K67" s="58" t="s">
        <v>1072</v>
      </c>
      <c r="L67" s="58" t="s">
        <v>117</v>
      </c>
      <c r="M67" s="58">
        <v>2021</v>
      </c>
      <c r="N67" s="58">
        <v>0</v>
      </c>
      <c r="O67" s="58">
        <v>881.18</v>
      </c>
      <c r="P67" s="58">
        <v>53.054839583348198</v>
      </c>
    </row>
    <row r="68" spans="1:16" ht="11.25" customHeight="1" x14ac:dyDescent="0.25">
      <c r="A68" s="58">
        <v>67</v>
      </c>
      <c r="B68" s="58" t="s">
        <v>951</v>
      </c>
      <c r="C68" s="58" t="s">
        <v>37</v>
      </c>
      <c r="D68" s="58" t="s">
        <v>33</v>
      </c>
      <c r="E68" s="58" t="s">
        <v>25</v>
      </c>
      <c r="F68" s="58" t="s">
        <v>25</v>
      </c>
      <c r="G68" s="58" t="s">
        <v>25</v>
      </c>
      <c r="H68" s="58" t="s">
        <v>25</v>
      </c>
      <c r="I68" s="58" t="s">
        <v>36</v>
      </c>
      <c r="J68" s="58" t="s">
        <v>1073</v>
      </c>
      <c r="K68" s="58" t="s">
        <v>1072</v>
      </c>
      <c r="L68" s="58" t="s">
        <v>117</v>
      </c>
      <c r="M68" s="58">
        <v>2021</v>
      </c>
      <c r="N68" s="58">
        <v>0</v>
      </c>
      <c r="O68" s="58">
        <v>575.91999999999996</v>
      </c>
      <c r="P68" s="58">
        <v>53.054839583348198</v>
      </c>
    </row>
    <row r="69" spans="1:16" ht="11.25" customHeight="1" x14ac:dyDescent="0.25">
      <c r="A69" s="58">
        <v>68</v>
      </c>
      <c r="B69" s="58" t="s">
        <v>951</v>
      </c>
      <c r="C69" s="58" t="s">
        <v>37</v>
      </c>
      <c r="D69" s="58" t="s">
        <v>33</v>
      </c>
      <c r="E69" s="58" t="s">
        <v>25</v>
      </c>
      <c r="F69" s="58" t="s">
        <v>25</v>
      </c>
      <c r="G69" s="58" t="s">
        <v>25</v>
      </c>
      <c r="H69" s="58" t="s">
        <v>25</v>
      </c>
      <c r="I69" s="58" t="s">
        <v>35</v>
      </c>
      <c r="J69" s="58" t="s">
        <v>1073</v>
      </c>
      <c r="K69" s="58" t="s">
        <v>1072</v>
      </c>
      <c r="L69" s="58" t="s">
        <v>117</v>
      </c>
      <c r="M69" s="58">
        <v>2021</v>
      </c>
      <c r="N69" s="58">
        <v>0</v>
      </c>
      <c r="O69" s="58">
        <v>270.66000000000003</v>
      </c>
      <c r="P69" s="58">
        <v>53.054839583348198</v>
      </c>
    </row>
    <row r="70" spans="1:16" ht="11.25" customHeight="1" x14ac:dyDescent="0.25">
      <c r="A70" s="58">
        <v>69</v>
      </c>
      <c r="B70" s="58" t="s">
        <v>951</v>
      </c>
      <c r="C70" s="58" t="s">
        <v>37</v>
      </c>
      <c r="D70" s="58" t="s">
        <v>23</v>
      </c>
      <c r="E70" s="58" t="s">
        <v>25</v>
      </c>
      <c r="F70" s="58" t="s">
        <v>25</v>
      </c>
      <c r="G70" s="58" t="s">
        <v>25</v>
      </c>
      <c r="H70" s="58" t="s">
        <v>25</v>
      </c>
      <c r="I70" s="58" t="s">
        <v>25</v>
      </c>
      <c r="J70" s="58" t="s">
        <v>1073</v>
      </c>
      <c r="K70" s="58" t="s">
        <v>1072</v>
      </c>
      <c r="L70" s="58" t="s">
        <v>117</v>
      </c>
      <c r="M70" s="58">
        <v>2021</v>
      </c>
      <c r="N70" s="58">
        <v>0</v>
      </c>
      <c r="O70" s="58">
        <v>342.48</v>
      </c>
      <c r="P70" s="58">
        <v>53.054839583348198</v>
      </c>
    </row>
    <row r="71" spans="1:16" ht="11.25" customHeight="1" x14ac:dyDescent="0.25">
      <c r="A71" s="58">
        <v>70</v>
      </c>
      <c r="B71" s="58" t="s">
        <v>951</v>
      </c>
      <c r="C71" s="58" t="s">
        <v>37</v>
      </c>
      <c r="D71" s="58" t="s">
        <v>131</v>
      </c>
      <c r="E71" s="58" t="s">
        <v>25</v>
      </c>
      <c r="F71" s="58" t="s">
        <v>25</v>
      </c>
      <c r="G71" s="58" t="s">
        <v>25</v>
      </c>
      <c r="H71" s="58" t="s">
        <v>25</v>
      </c>
      <c r="I71" s="58" t="s">
        <v>25</v>
      </c>
      <c r="J71" s="58" t="s">
        <v>1073</v>
      </c>
      <c r="K71" s="58" t="s">
        <v>1072</v>
      </c>
      <c r="L71" s="58" t="s">
        <v>117</v>
      </c>
      <c r="M71" s="58">
        <v>2021</v>
      </c>
      <c r="N71" s="58">
        <v>0</v>
      </c>
      <c r="O71" s="58">
        <v>342.48</v>
      </c>
      <c r="P71" s="58">
        <v>53.054839583348198</v>
      </c>
    </row>
    <row r="72" spans="1:16" ht="11.25" customHeight="1" x14ac:dyDescent="0.25">
      <c r="A72" s="58">
        <v>71</v>
      </c>
      <c r="B72" s="58" t="s">
        <v>951</v>
      </c>
      <c r="C72" s="58" t="s">
        <v>47</v>
      </c>
      <c r="D72" s="58" t="s">
        <v>23</v>
      </c>
      <c r="E72" s="58" t="s">
        <v>48</v>
      </c>
      <c r="F72" s="58" t="s">
        <v>49</v>
      </c>
      <c r="G72" s="58" t="s">
        <v>25</v>
      </c>
      <c r="H72" s="58" t="s">
        <v>25</v>
      </c>
      <c r="I72" s="58" t="s">
        <v>25</v>
      </c>
      <c r="J72" s="58" t="s">
        <v>1073</v>
      </c>
      <c r="K72" s="58" t="s">
        <v>1072</v>
      </c>
      <c r="L72" s="58" t="s">
        <v>117</v>
      </c>
      <c r="M72" s="58">
        <v>2021</v>
      </c>
      <c r="N72" s="58">
        <v>0</v>
      </c>
      <c r="O72" s="58">
        <v>188.37</v>
      </c>
      <c r="P72" s="58">
        <v>29.180161770841501</v>
      </c>
    </row>
    <row r="73" spans="1:16" ht="11.25" customHeight="1" x14ac:dyDescent="0.25">
      <c r="A73" s="58">
        <v>72</v>
      </c>
      <c r="B73" s="58" t="s">
        <v>951</v>
      </c>
      <c r="C73" s="58" t="s">
        <v>47</v>
      </c>
      <c r="D73" s="58" t="s">
        <v>23</v>
      </c>
      <c r="E73" s="58" t="s">
        <v>48</v>
      </c>
      <c r="F73" s="58" t="s">
        <v>50</v>
      </c>
      <c r="G73" s="58" t="s">
        <v>25</v>
      </c>
      <c r="H73" s="58" t="s">
        <v>25</v>
      </c>
      <c r="I73" s="58" t="s">
        <v>25</v>
      </c>
      <c r="J73" s="58" t="s">
        <v>1073</v>
      </c>
      <c r="K73" s="58" t="s">
        <v>1072</v>
      </c>
      <c r="L73" s="58" t="s">
        <v>117</v>
      </c>
      <c r="M73" s="58">
        <v>2021</v>
      </c>
      <c r="N73" s="58">
        <v>0</v>
      </c>
      <c r="O73" s="58">
        <v>205.49</v>
      </c>
      <c r="P73" s="58">
        <v>31.832903750008899</v>
      </c>
    </row>
    <row r="74" spans="1:16" ht="11.25" customHeight="1" x14ac:dyDescent="0.25">
      <c r="A74" s="58">
        <v>73</v>
      </c>
      <c r="B74" s="58" t="s">
        <v>979</v>
      </c>
      <c r="C74" s="58" t="s">
        <v>59</v>
      </c>
      <c r="D74" s="58" t="s">
        <v>116</v>
      </c>
      <c r="E74" s="58" t="s">
        <v>25</v>
      </c>
      <c r="F74" s="58" t="s">
        <v>25</v>
      </c>
      <c r="G74" s="58" t="s">
        <v>25</v>
      </c>
      <c r="H74" s="58" t="s">
        <v>25</v>
      </c>
      <c r="I74" s="58" t="s">
        <v>34</v>
      </c>
      <c r="J74" s="58" t="s">
        <v>1073</v>
      </c>
      <c r="K74" s="58" t="s">
        <v>1072</v>
      </c>
      <c r="L74" s="58" t="s">
        <v>117</v>
      </c>
      <c r="M74" s="58">
        <v>2021</v>
      </c>
      <c r="N74" s="58">
        <v>0</v>
      </c>
      <c r="O74" s="58">
        <v>496.15</v>
      </c>
      <c r="P74" s="58"/>
    </row>
    <row r="75" spans="1:16" ht="11.25" customHeight="1" x14ac:dyDescent="0.25">
      <c r="A75" s="58">
        <v>74</v>
      </c>
      <c r="B75" s="58" t="s">
        <v>979</v>
      </c>
      <c r="C75" s="58" t="s">
        <v>59</v>
      </c>
      <c r="D75" s="58" t="s">
        <v>116</v>
      </c>
      <c r="E75" s="58" t="s">
        <v>25</v>
      </c>
      <c r="F75" s="58" t="s">
        <v>25</v>
      </c>
      <c r="G75" s="58" t="s">
        <v>25</v>
      </c>
      <c r="H75" s="58" t="s">
        <v>25</v>
      </c>
      <c r="I75" s="58" t="s">
        <v>35</v>
      </c>
      <c r="J75" s="58" t="s">
        <v>1073</v>
      </c>
      <c r="K75" s="58" t="s">
        <v>1072</v>
      </c>
      <c r="L75" s="58" t="s">
        <v>117</v>
      </c>
      <c r="M75" s="58">
        <v>2021</v>
      </c>
      <c r="N75" s="58">
        <v>0</v>
      </c>
      <c r="O75" s="58">
        <v>311.04000000000002</v>
      </c>
      <c r="P75" s="58"/>
    </row>
    <row r="76" spans="1:16" ht="11.25" customHeight="1" x14ac:dyDescent="0.25">
      <c r="A76" s="58">
        <v>75</v>
      </c>
      <c r="B76" s="58" t="s">
        <v>979</v>
      </c>
      <c r="C76" s="58" t="s">
        <v>39</v>
      </c>
      <c r="D76" s="58" t="s">
        <v>116</v>
      </c>
      <c r="E76" s="58" t="s">
        <v>25</v>
      </c>
      <c r="F76" s="58" t="s">
        <v>25</v>
      </c>
      <c r="G76" s="58" t="s">
        <v>25</v>
      </c>
      <c r="H76" s="58" t="s">
        <v>25</v>
      </c>
      <c r="I76" s="58" t="s">
        <v>34</v>
      </c>
      <c r="J76" s="58" t="s">
        <v>1073</v>
      </c>
      <c r="K76" s="58" t="s">
        <v>1072</v>
      </c>
      <c r="L76" s="58" t="s">
        <v>117</v>
      </c>
      <c r="M76" s="58">
        <v>2021</v>
      </c>
      <c r="N76" s="58">
        <v>0</v>
      </c>
      <c r="O76" s="58">
        <v>496.15</v>
      </c>
      <c r="P76" s="58"/>
    </row>
    <row r="77" spans="1:16" ht="11.25" customHeight="1" x14ac:dyDescent="0.25">
      <c r="A77" s="58">
        <v>76</v>
      </c>
      <c r="B77" s="58" t="s">
        <v>979</v>
      </c>
      <c r="C77" s="58" t="s">
        <v>39</v>
      </c>
      <c r="D77" s="58" t="s">
        <v>116</v>
      </c>
      <c r="E77" s="58" t="s">
        <v>25</v>
      </c>
      <c r="F77" s="58" t="s">
        <v>25</v>
      </c>
      <c r="G77" s="58" t="s">
        <v>25</v>
      </c>
      <c r="H77" s="58" t="s">
        <v>25</v>
      </c>
      <c r="I77" s="58" t="s">
        <v>35</v>
      </c>
      <c r="J77" s="58" t="s">
        <v>1073</v>
      </c>
      <c r="K77" s="58" t="s">
        <v>1072</v>
      </c>
      <c r="L77" s="58" t="s">
        <v>117</v>
      </c>
      <c r="M77" s="58">
        <v>2021</v>
      </c>
      <c r="N77" s="58">
        <v>0</v>
      </c>
      <c r="O77" s="58">
        <v>311.04000000000002</v>
      </c>
      <c r="P77" s="58"/>
    </row>
    <row r="78" spans="1:16" ht="11.25" customHeight="1" x14ac:dyDescent="0.25">
      <c r="A78" s="58">
        <v>77</v>
      </c>
      <c r="B78" s="58" t="s">
        <v>979</v>
      </c>
      <c r="C78" s="58" t="s">
        <v>39</v>
      </c>
      <c r="D78" s="58" t="s">
        <v>1074</v>
      </c>
      <c r="E78" s="58" t="s">
        <v>25</v>
      </c>
      <c r="F78" s="58" t="s">
        <v>25</v>
      </c>
      <c r="G78" s="58" t="s">
        <v>25</v>
      </c>
      <c r="H78" s="58" t="s">
        <v>25</v>
      </c>
      <c r="I78" s="58" t="s">
        <v>25</v>
      </c>
      <c r="J78" s="58" t="s">
        <v>1073</v>
      </c>
      <c r="K78" s="58" t="s">
        <v>1072</v>
      </c>
      <c r="L78" s="58" t="s">
        <v>117</v>
      </c>
      <c r="M78" s="58">
        <v>2021</v>
      </c>
      <c r="N78" s="58">
        <v>0</v>
      </c>
      <c r="O78" s="58">
        <v>287.87</v>
      </c>
      <c r="P78" s="58"/>
    </row>
    <row r="79" spans="1:16" ht="11.25" customHeight="1" x14ac:dyDescent="0.25">
      <c r="A79" s="58">
        <v>78</v>
      </c>
      <c r="B79" s="58" t="s">
        <v>979</v>
      </c>
      <c r="C79" s="58" t="s">
        <v>41</v>
      </c>
      <c r="D79" s="58" t="s">
        <v>116</v>
      </c>
      <c r="E79" s="58" t="s">
        <v>25</v>
      </c>
      <c r="F79" s="58" t="s">
        <v>25</v>
      </c>
      <c r="G79" s="58" t="s">
        <v>25</v>
      </c>
      <c r="H79" s="58" t="s">
        <v>25</v>
      </c>
      <c r="I79" s="58" t="s">
        <v>34</v>
      </c>
      <c r="J79" s="58" t="s">
        <v>1073</v>
      </c>
      <c r="K79" s="58" t="s">
        <v>1072</v>
      </c>
      <c r="L79" s="58" t="s">
        <v>117</v>
      </c>
      <c r="M79" s="58">
        <v>2021</v>
      </c>
      <c r="N79" s="58">
        <v>0</v>
      </c>
      <c r="O79" s="58">
        <v>496.15</v>
      </c>
      <c r="P79" s="58"/>
    </row>
    <row r="80" spans="1:16" ht="11.25" customHeight="1" x14ac:dyDescent="0.25">
      <c r="A80" s="58">
        <v>79</v>
      </c>
      <c r="B80" s="58" t="s">
        <v>979</v>
      </c>
      <c r="C80" s="58" t="s">
        <v>41</v>
      </c>
      <c r="D80" s="58" t="s">
        <v>116</v>
      </c>
      <c r="E80" s="58" t="s">
        <v>25</v>
      </c>
      <c r="F80" s="58" t="s">
        <v>25</v>
      </c>
      <c r="G80" s="58" t="s">
        <v>25</v>
      </c>
      <c r="H80" s="58" t="s">
        <v>25</v>
      </c>
      <c r="I80" s="58" t="s">
        <v>35</v>
      </c>
      <c r="J80" s="58" t="s">
        <v>1073</v>
      </c>
      <c r="K80" s="58" t="s">
        <v>1072</v>
      </c>
      <c r="L80" s="58" t="s">
        <v>117</v>
      </c>
      <c r="M80" s="58">
        <v>2021</v>
      </c>
      <c r="N80" s="58">
        <v>0</v>
      </c>
      <c r="O80" s="58">
        <v>311.04000000000002</v>
      </c>
      <c r="P80" s="58"/>
    </row>
    <row r="81" spans="1:16" ht="11.25" customHeight="1" x14ac:dyDescent="0.25">
      <c r="A81" s="58">
        <v>80</v>
      </c>
      <c r="B81" s="58" t="s">
        <v>979</v>
      </c>
      <c r="C81" s="58" t="s">
        <v>41</v>
      </c>
      <c r="D81" s="58" t="s">
        <v>129</v>
      </c>
      <c r="E81" s="58" t="s">
        <v>25</v>
      </c>
      <c r="F81" s="58" t="s">
        <v>25</v>
      </c>
      <c r="G81" s="58" t="s">
        <v>25</v>
      </c>
      <c r="H81" s="58" t="s">
        <v>25</v>
      </c>
      <c r="I81" s="58" t="s">
        <v>25</v>
      </c>
      <c r="J81" s="58" t="s">
        <v>1073</v>
      </c>
      <c r="K81" s="58" t="s">
        <v>1072</v>
      </c>
      <c r="L81" s="58" t="s">
        <v>117</v>
      </c>
      <c r="M81" s="58">
        <v>2021</v>
      </c>
      <c r="N81" s="58">
        <v>0</v>
      </c>
      <c r="O81" s="58">
        <v>326.47000000000003</v>
      </c>
      <c r="P81" s="58"/>
    </row>
    <row r="82" spans="1:16" ht="11.25" customHeight="1" x14ac:dyDescent="0.25">
      <c r="A82" s="58">
        <v>81</v>
      </c>
      <c r="B82" s="58" t="s">
        <v>979</v>
      </c>
      <c r="C82" s="58" t="s">
        <v>22</v>
      </c>
      <c r="D82" s="58" t="s">
        <v>116</v>
      </c>
      <c r="E82" s="58" t="s">
        <v>24</v>
      </c>
      <c r="F82" s="58" t="s">
        <v>24</v>
      </c>
      <c r="G82" s="58" t="s">
        <v>25</v>
      </c>
      <c r="H82" s="58" t="s">
        <v>25</v>
      </c>
      <c r="I82" s="58" t="s">
        <v>34</v>
      </c>
      <c r="J82" s="58" t="s">
        <v>1073</v>
      </c>
      <c r="K82" s="58" t="s">
        <v>1072</v>
      </c>
      <c r="L82" s="58" t="s">
        <v>117</v>
      </c>
      <c r="M82" s="58">
        <v>2021</v>
      </c>
      <c r="N82" s="58">
        <v>0</v>
      </c>
      <c r="O82" s="58">
        <v>496.15</v>
      </c>
      <c r="P82" s="58"/>
    </row>
    <row r="83" spans="1:16" ht="11.25" customHeight="1" x14ac:dyDescent="0.25">
      <c r="A83" s="58">
        <v>82</v>
      </c>
      <c r="B83" s="58" t="s">
        <v>979</v>
      </c>
      <c r="C83" s="58" t="s">
        <v>22</v>
      </c>
      <c r="D83" s="58" t="s">
        <v>116</v>
      </c>
      <c r="E83" s="58" t="s">
        <v>24</v>
      </c>
      <c r="F83" s="58" t="s">
        <v>24</v>
      </c>
      <c r="G83" s="58" t="s">
        <v>25</v>
      </c>
      <c r="H83" s="58" t="s">
        <v>25</v>
      </c>
      <c r="I83" s="58" t="s">
        <v>36</v>
      </c>
      <c r="J83" s="58" t="s">
        <v>1073</v>
      </c>
      <c r="K83" s="58" t="s">
        <v>1072</v>
      </c>
      <c r="L83" s="58" t="s">
        <v>117</v>
      </c>
      <c r="M83" s="58">
        <v>2021</v>
      </c>
      <c r="N83" s="58">
        <v>0</v>
      </c>
      <c r="O83" s="58">
        <v>311.04000000000002</v>
      </c>
      <c r="P83" s="58"/>
    </row>
    <row r="84" spans="1:16" ht="11.25" customHeight="1" x14ac:dyDescent="0.25">
      <c r="A84" s="58">
        <v>83</v>
      </c>
      <c r="B84" s="58" t="s">
        <v>979</v>
      </c>
      <c r="C84" s="58" t="s">
        <v>22</v>
      </c>
      <c r="D84" s="58" t="s">
        <v>116</v>
      </c>
      <c r="E84" s="58" t="s">
        <v>24</v>
      </c>
      <c r="F84" s="58" t="s">
        <v>24</v>
      </c>
      <c r="G84" s="58" t="s">
        <v>25</v>
      </c>
      <c r="H84" s="58" t="s">
        <v>25</v>
      </c>
      <c r="I84" s="58" t="s">
        <v>35</v>
      </c>
      <c r="J84" s="58" t="s">
        <v>1073</v>
      </c>
      <c r="K84" s="58" t="s">
        <v>1072</v>
      </c>
      <c r="L84" s="58" t="s">
        <v>117</v>
      </c>
      <c r="M84" s="58">
        <v>2021</v>
      </c>
      <c r="N84" s="58">
        <v>0</v>
      </c>
      <c r="O84" s="58">
        <v>311.04000000000002</v>
      </c>
      <c r="P84" s="58"/>
    </row>
    <row r="85" spans="1:16" ht="11.25" customHeight="1" x14ac:dyDescent="0.25">
      <c r="A85" s="58">
        <v>84</v>
      </c>
      <c r="B85" s="58" t="s">
        <v>979</v>
      </c>
      <c r="C85" s="58" t="s">
        <v>22</v>
      </c>
      <c r="D85" s="58" t="s">
        <v>129</v>
      </c>
      <c r="E85" s="58" t="s">
        <v>24</v>
      </c>
      <c r="F85" s="58" t="s">
        <v>24</v>
      </c>
      <c r="G85" s="58" t="s">
        <v>25</v>
      </c>
      <c r="H85" s="58" t="s">
        <v>25</v>
      </c>
      <c r="I85" s="58" t="s">
        <v>25</v>
      </c>
      <c r="J85" s="58" t="s">
        <v>1073</v>
      </c>
      <c r="K85" s="58" t="s">
        <v>1072</v>
      </c>
      <c r="L85" s="58" t="s">
        <v>117</v>
      </c>
      <c r="M85" s="58">
        <v>2021</v>
      </c>
      <c r="N85" s="58">
        <v>0</v>
      </c>
      <c r="O85" s="58">
        <v>326.47000000000003</v>
      </c>
      <c r="P85" s="58"/>
    </row>
    <row r="86" spans="1:16" ht="11.25" customHeight="1" x14ac:dyDescent="0.25">
      <c r="A86" s="58">
        <v>85</v>
      </c>
      <c r="B86" s="58" t="s">
        <v>979</v>
      </c>
      <c r="C86" s="58" t="s">
        <v>22</v>
      </c>
      <c r="D86" s="58" t="s">
        <v>129</v>
      </c>
      <c r="E86" s="58" t="s">
        <v>24</v>
      </c>
      <c r="F86" s="58" t="s">
        <v>29</v>
      </c>
      <c r="G86" s="58" t="s">
        <v>25</v>
      </c>
      <c r="H86" s="58" t="s">
        <v>25</v>
      </c>
      <c r="I86" s="58" t="s">
        <v>25</v>
      </c>
      <c r="J86" s="58" t="s">
        <v>1073</v>
      </c>
      <c r="K86" s="58" t="s">
        <v>1072</v>
      </c>
      <c r="L86" s="58" t="s">
        <v>117</v>
      </c>
      <c r="M86" s="58">
        <v>2021</v>
      </c>
      <c r="N86" s="58">
        <v>0</v>
      </c>
      <c r="O86" s="58">
        <v>114.26</v>
      </c>
      <c r="P86" s="58"/>
    </row>
    <row r="87" spans="1:16" ht="11.25" customHeight="1" x14ac:dyDescent="0.25">
      <c r="A87" s="58">
        <v>86</v>
      </c>
      <c r="B87" s="58" t="s">
        <v>979</v>
      </c>
      <c r="C87" s="58" t="s">
        <v>22</v>
      </c>
      <c r="D87" s="58" t="s">
        <v>129</v>
      </c>
      <c r="E87" s="58" t="s">
        <v>24</v>
      </c>
      <c r="F87" s="58" t="s">
        <v>30</v>
      </c>
      <c r="G87" s="58" t="s">
        <v>25</v>
      </c>
      <c r="H87" s="58" t="s">
        <v>25</v>
      </c>
      <c r="I87" s="58" t="s">
        <v>25</v>
      </c>
      <c r="J87" s="58" t="s">
        <v>1073</v>
      </c>
      <c r="K87" s="58" t="s">
        <v>1072</v>
      </c>
      <c r="L87" s="58" t="s">
        <v>117</v>
      </c>
      <c r="M87" s="58">
        <v>2021</v>
      </c>
      <c r="N87" s="58">
        <v>0</v>
      </c>
      <c r="O87" s="58">
        <v>195.88</v>
      </c>
      <c r="P87" s="58"/>
    </row>
    <row r="88" spans="1:16" ht="11.25" customHeight="1" x14ac:dyDescent="0.25">
      <c r="A88" s="58">
        <v>87</v>
      </c>
      <c r="B88" s="58" t="s">
        <v>979</v>
      </c>
      <c r="C88" s="58" t="s">
        <v>22</v>
      </c>
      <c r="D88" s="58" t="s">
        <v>129</v>
      </c>
      <c r="E88" s="58" t="s">
        <v>24</v>
      </c>
      <c r="F88" s="58" t="s">
        <v>31</v>
      </c>
      <c r="G88" s="58" t="s">
        <v>25</v>
      </c>
      <c r="H88" s="58" t="s">
        <v>25</v>
      </c>
      <c r="I88" s="58" t="s">
        <v>25</v>
      </c>
      <c r="J88" s="58" t="s">
        <v>1073</v>
      </c>
      <c r="K88" s="58" t="s">
        <v>1072</v>
      </c>
      <c r="L88" s="58" t="s">
        <v>117</v>
      </c>
      <c r="M88" s="58">
        <v>2021</v>
      </c>
      <c r="N88" s="58">
        <v>0</v>
      </c>
      <c r="O88" s="58">
        <v>293.82</v>
      </c>
      <c r="P88" s="58"/>
    </row>
    <row r="89" spans="1:16" ht="11.25" customHeight="1" x14ac:dyDescent="0.25">
      <c r="A89" s="58">
        <v>88</v>
      </c>
      <c r="B89" s="58" t="s">
        <v>979</v>
      </c>
      <c r="C89" s="58" t="s">
        <v>22</v>
      </c>
      <c r="D89" s="58" t="s">
        <v>129</v>
      </c>
      <c r="E89" s="58" t="s">
        <v>24</v>
      </c>
      <c r="F89" s="58" t="s">
        <v>32</v>
      </c>
      <c r="G89" s="58" t="s">
        <v>25</v>
      </c>
      <c r="H89" s="58" t="s">
        <v>25</v>
      </c>
      <c r="I89" s="58" t="s">
        <v>25</v>
      </c>
      <c r="J89" s="58" t="s">
        <v>1073</v>
      </c>
      <c r="K89" s="58" t="s">
        <v>1072</v>
      </c>
      <c r="L89" s="58" t="s">
        <v>117</v>
      </c>
      <c r="M89" s="58">
        <v>2021</v>
      </c>
      <c r="N89" s="58">
        <v>0</v>
      </c>
      <c r="O89" s="58">
        <v>326.47000000000003</v>
      </c>
      <c r="P89" s="58"/>
    </row>
    <row r="90" spans="1:16" ht="11.25" customHeight="1" x14ac:dyDescent="0.25">
      <c r="A90" s="58">
        <v>89</v>
      </c>
      <c r="B90" s="58" t="s">
        <v>979</v>
      </c>
      <c r="C90" s="58" t="s">
        <v>22</v>
      </c>
      <c r="D90" s="58" t="s">
        <v>130</v>
      </c>
      <c r="E90" s="58" t="s">
        <v>24</v>
      </c>
      <c r="F90" s="58" t="s">
        <v>24</v>
      </c>
      <c r="G90" s="58" t="s">
        <v>25</v>
      </c>
      <c r="H90" s="58" t="s">
        <v>25</v>
      </c>
      <c r="I90" s="58" t="s">
        <v>25</v>
      </c>
      <c r="J90" s="58" t="s">
        <v>1073</v>
      </c>
      <c r="K90" s="58" t="s">
        <v>1072</v>
      </c>
      <c r="L90" s="58" t="s">
        <v>117</v>
      </c>
      <c r="M90" s="58">
        <v>2021</v>
      </c>
      <c r="N90" s="58">
        <v>0</v>
      </c>
      <c r="O90" s="58">
        <v>326.47000000000003</v>
      </c>
      <c r="P90" s="58"/>
    </row>
    <row r="91" spans="1:16" ht="11.25" customHeight="1" x14ac:dyDescent="0.25">
      <c r="A91" s="58">
        <v>90</v>
      </c>
      <c r="B91" s="58" t="s">
        <v>979</v>
      </c>
      <c r="C91" s="58" t="s">
        <v>22</v>
      </c>
      <c r="D91" s="58" t="s">
        <v>130</v>
      </c>
      <c r="E91" s="58" t="s">
        <v>24</v>
      </c>
      <c r="F91" s="58" t="s">
        <v>29</v>
      </c>
      <c r="G91" s="58" t="s">
        <v>25</v>
      </c>
      <c r="H91" s="58" t="s">
        <v>25</v>
      </c>
      <c r="I91" s="58" t="s">
        <v>25</v>
      </c>
      <c r="J91" s="58" t="s">
        <v>1073</v>
      </c>
      <c r="K91" s="58" t="s">
        <v>1072</v>
      </c>
      <c r="L91" s="58" t="s">
        <v>117</v>
      </c>
      <c r="M91" s="58">
        <v>2021</v>
      </c>
      <c r="N91" s="58">
        <v>0</v>
      </c>
      <c r="O91" s="58">
        <v>114.26</v>
      </c>
      <c r="P91" s="58"/>
    </row>
    <row r="92" spans="1:16" ht="11.25" customHeight="1" x14ac:dyDescent="0.25">
      <c r="A92" s="58">
        <v>91</v>
      </c>
      <c r="B92" s="58" t="s">
        <v>979</v>
      </c>
      <c r="C92" s="58" t="s">
        <v>22</v>
      </c>
      <c r="D92" s="58" t="s">
        <v>130</v>
      </c>
      <c r="E92" s="58" t="s">
        <v>24</v>
      </c>
      <c r="F92" s="58" t="s">
        <v>30</v>
      </c>
      <c r="G92" s="58" t="s">
        <v>25</v>
      </c>
      <c r="H92" s="58" t="s">
        <v>25</v>
      </c>
      <c r="I92" s="58" t="s">
        <v>25</v>
      </c>
      <c r="J92" s="58" t="s">
        <v>1073</v>
      </c>
      <c r="K92" s="58" t="s">
        <v>1072</v>
      </c>
      <c r="L92" s="58" t="s">
        <v>117</v>
      </c>
      <c r="M92" s="58">
        <v>2021</v>
      </c>
      <c r="N92" s="58">
        <v>0</v>
      </c>
      <c r="O92" s="58">
        <v>195.88</v>
      </c>
      <c r="P92" s="58"/>
    </row>
    <row r="93" spans="1:16" ht="11.25" customHeight="1" x14ac:dyDescent="0.25">
      <c r="A93" s="58">
        <v>92</v>
      </c>
      <c r="B93" s="58" t="s">
        <v>979</v>
      </c>
      <c r="C93" s="58" t="s">
        <v>22</v>
      </c>
      <c r="D93" s="58" t="s">
        <v>130</v>
      </c>
      <c r="E93" s="58" t="s">
        <v>24</v>
      </c>
      <c r="F93" s="58" t="s">
        <v>31</v>
      </c>
      <c r="G93" s="58" t="s">
        <v>25</v>
      </c>
      <c r="H93" s="58" t="s">
        <v>25</v>
      </c>
      <c r="I93" s="58" t="s">
        <v>25</v>
      </c>
      <c r="J93" s="58" t="s">
        <v>1073</v>
      </c>
      <c r="K93" s="58" t="s">
        <v>1072</v>
      </c>
      <c r="L93" s="58" t="s">
        <v>117</v>
      </c>
      <c r="M93" s="58">
        <v>2021</v>
      </c>
      <c r="N93" s="58">
        <v>0</v>
      </c>
      <c r="O93" s="58">
        <v>293.82</v>
      </c>
      <c r="P93" s="58"/>
    </row>
    <row r="94" spans="1:16" ht="11.25" customHeight="1" x14ac:dyDescent="0.25">
      <c r="A94" s="58">
        <v>93</v>
      </c>
      <c r="B94" s="58" t="s">
        <v>979</v>
      </c>
      <c r="C94" s="58" t="s">
        <v>22</v>
      </c>
      <c r="D94" s="58" t="s">
        <v>130</v>
      </c>
      <c r="E94" s="58" t="s">
        <v>24</v>
      </c>
      <c r="F94" s="58" t="s">
        <v>32</v>
      </c>
      <c r="G94" s="58" t="s">
        <v>25</v>
      </c>
      <c r="H94" s="58" t="s">
        <v>25</v>
      </c>
      <c r="I94" s="58" t="s">
        <v>25</v>
      </c>
      <c r="J94" s="58" t="s">
        <v>1073</v>
      </c>
      <c r="K94" s="58" t="s">
        <v>1072</v>
      </c>
      <c r="L94" s="58" t="s">
        <v>117</v>
      </c>
      <c r="M94" s="58">
        <v>2021</v>
      </c>
      <c r="N94" s="58">
        <v>0</v>
      </c>
      <c r="O94" s="58">
        <v>326.47000000000003</v>
      </c>
      <c r="P94" s="58"/>
    </row>
    <row r="95" spans="1:16" ht="11.25" customHeight="1" x14ac:dyDescent="0.25">
      <c r="A95" s="58">
        <v>94</v>
      </c>
      <c r="B95" s="58" t="s">
        <v>979</v>
      </c>
      <c r="C95" s="58" t="s">
        <v>44</v>
      </c>
      <c r="D95" s="58" t="s">
        <v>116</v>
      </c>
      <c r="E95" s="58" t="s">
        <v>45</v>
      </c>
      <c r="F95" s="58" t="s">
        <v>25</v>
      </c>
      <c r="G95" s="58" t="s">
        <v>25</v>
      </c>
      <c r="H95" s="58" t="s">
        <v>25</v>
      </c>
      <c r="I95" s="58" t="s">
        <v>34</v>
      </c>
      <c r="J95" s="58" t="s">
        <v>1073</v>
      </c>
      <c r="K95" s="58" t="s">
        <v>1072</v>
      </c>
      <c r="L95" s="58" t="s">
        <v>117</v>
      </c>
      <c r="M95" s="58">
        <v>2021</v>
      </c>
      <c r="N95" s="58">
        <v>0</v>
      </c>
      <c r="O95" s="58">
        <v>436.61</v>
      </c>
      <c r="P95" s="58"/>
    </row>
    <row r="96" spans="1:16" ht="11.25" customHeight="1" x14ac:dyDescent="0.25">
      <c r="A96" s="58">
        <v>95</v>
      </c>
      <c r="B96" s="58" t="s">
        <v>979</v>
      </c>
      <c r="C96" s="58" t="s">
        <v>44</v>
      </c>
      <c r="D96" s="58" t="s">
        <v>116</v>
      </c>
      <c r="E96" s="58" t="s">
        <v>45</v>
      </c>
      <c r="F96" s="58" t="s">
        <v>25</v>
      </c>
      <c r="G96" s="58" t="s">
        <v>25</v>
      </c>
      <c r="H96" s="58" t="s">
        <v>25</v>
      </c>
      <c r="I96" s="58" t="s">
        <v>36</v>
      </c>
      <c r="J96" s="58" t="s">
        <v>1073</v>
      </c>
      <c r="K96" s="58" t="s">
        <v>1072</v>
      </c>
      <c r="L96" s="58" t="s">
        <v>117</v>
      </c>
      <c r="M96" s="58">
        <v>2021</v>
      </c>
      <c r="N96" s="58">
        <v>0</v>
      </c>
      <c r="O96" s="58">
        <v>273.72000000000003</v>
      </c>
      <c r="P96" s="58"/>
    </row>
    <row r="97" spans="1:16" ht="11.25" customHeight="1" x14ac:dyDescent="0.25">
      <c r="A97" s="58">
        <v>96</v>
      </c>
      <c r="B97" s="58" t="s">
        <v>979</v>
      </c>
      <c r="C97" s="58" t="s">
        <v>44</v>
      </c>
      <c r="D97" s="58" t="s">
        <v>116</v>
      </c>
      <c r="E97" s="58" t="s">
        <v>45</v>
      </c>
      <c r="F97" s="58" t="s">
        <v>25</v>
      </c>
      <c r="G97" s="58" t="s">
        <v>25</v>
      </c>
      <c r="H97" s="58" t="s">
        <v>25</v>
      </c>
      <c r="I97" s="58" t="s">
        <v>35</v>
      </c>
      <c r="J97" s="58" t="s">
        <v>1073</v>
      </c>
      <c r="K97" s="58" t="s">
        <v>1072</v>
      </c>
      <c r="L97" s="58" t="s">
        <v>117</v>
      </c>
      <c r="M97" s="58">
        <v>2021</v>
      </c>
      <c r="N97" s="58">
        <v>0</v>
      </c>
      <c r="O97" s="58">
        <v>273.72000000000003</v>
      </c>
      <c r="P97" s="58"/>
    </row>
    <row r="98" spans="1:16" ht="11.25" customHeight="1" x14ac:dyDescent="0.25">
      <c r="A98" s="58">
        <v>97</v>
      </c>
      <c r="B98" s="58" t="s">
        <v>979</v>
      </c>
      <c r="C98" s="58" t="s">
        <v>44</v>
      </c>
      <c r="D98" s="58" t="s">
        <v>129</v>
      </c>
      <c r="E98" s="58" t="s">
        <v>45</v>
      </c>
      <c r="F98" s="58" t="s">
        <v>25</v>
      </c>
      <c r="G98" s="58" t="s">
        <v>25</v>
      </c>
      <c r="H98" s="58" t="s">
        <v>25</v>
      </c>
      <c r="I98" s="58" t="s">
        <v>25</v>
      </c>
      <c r="J98" s="58" t="s">
        <v>1073</v>
      </c>
      <c r="K98" s="58" t="s">
        <v>1072</v>
      </c>
      <c r="L98" s="58" t="s">
        <v>117</v>
      </c>
      <c r="M98" s="58">
        <v>2021</v>
      </c>
      <c r="N98" s="58">
        <v>0</v>
      </c>
      <c r="O98" s="58">
        <v>287.29000000000002</v>
      </c>
      <c r="P98" s="58"/>
    </row>
    <row r="99" spans="1:16" ht="11.25" customHeight="1" x14ac:dyDescent="0.25">
      <c r="A99" s="58">
        <v>98</v>
      </c>
      <c r="B99" s="58" t="s">
        <v>979</v>
      </c>
      <c r="C99" s="58" t="s">
        <v>44</v>
      </c>
      <c r="D99" s="58" t="s">
        <v>116</v>
      </c>
      <c r="E99" s="58" t="s">
        <v>45</v>
      </c>
      <c r="F99" s="58" t="s">
        <v>132</v>
      </c>
      <c r="G99" s="58" t="s">
        <v>25</v>
      </c>
      <c r="H99" s="58" t="s">
        <v>25</v>
      </c>
      <c r="I99" s="58" t="s">
        <v>34</v>
      </c>
      <c r="J99" s="58" t="s">
        <v>1073</v>
      </c>
      <c r="K99" s="58" t="s">
        <v>1072</v>
      </c>
      <c r="L99" s="58" t="s">
        <v>117</v>
      </c>
      <c r="M99" s="58">
        <v>2021</v>
      </c>
      <c r="N99" s="58">
        <v>0</v>
      </c>
      <c r="O99" s="58">
        <v>436.61</v>
      </c>
      <c r="P99" s="58"/>
    </row>
    <row r="100" spans="1:16" ht="11.25" customHeight="1" x14ac:dyDescent="0.25">
      <c r="A100" s="58">
        <v>99</v>
      </c>
      <c r="B100" s="58" t="s">
        <v>979</v>
      </c>
      <c r="C100" s="58" t="s">
        <v>44</v>
      </c>
      <c r="D100" s="58" t="s">
        <v>116</v>
      </c>
      <c r="E100" s="58" t="s">
        <v>45</v>
      </c>
      <c r="F100" s="58" t="s">
        <v>132</v>
      </c>
      <c r="G100" s="58" t="s">
        <v>25</v>
      </c>
      <c r="H100" s="58" t="s">
        <v>25</v>
      </c>
      <c r="I100" s="58" t="s">
        <v>36</v>
      </c>
      <c r="J100" s="58" t="s">
        <v>1073</v>
      </c>
      <c r="K100" s="58" t="s">
        <v>1072</v>
      </c>
      <c r="L100" s="58" t="s">
        <v>117</v>
      </c>
      <c r="M100" s="58">
        <v>2021</v>
      </c>
      <c r="N100" s="58">
        <v>0</v>
      </c>
      <c r="O100" s="58">
        <v>273.72000000000003</v>
      </c>
      <c r="P100" s="58"/>
    </row>
    <row r="101" spans="1:16" ht="11.25" customHeight="1" x14ac:dyDescent="0.25">
      <c r="A101" s="58">
        <v>100</v>
      </c>
      <c r="B101" s="58" t="s">
        <v>979</v>
      </c>
      <c r="C101" s="58" t="s">
        <v>44</v>
      </c>
      <c r="D101" s="58" t="s">
        <v>116</v>
      </c>
      <c r="E101" s="58" t="s">
        <v>45</v>
      </c>
      <c r="F101" s="58" t="s">
        <v>132</v>
      </c>
      <c r="G101" s="58" t="s">
        <v>25</v>
      </c>
      <c r="H101" s="58" t="s">
        <v>25</v>
      </c>
      <c r="I101" s="58" t="s">
        <v>35</v>
      </c>
      <c r="J101" s="58" t="s">
        <v>1073</v>
      </c>
      <c r="K101" s="58" t="s">
        <v>1072</v>
      </c>
      <c r="L101" s="58" t="s">
        <v>117</v>
      </c>
      <c r="M101" s="58">
        <v>2021</v>
      </c>
      <c r="N101" s="58">
        <v>0</v>
      </c>
      <c r="O101" s="58">
        <v>273.72000000000003</v>
      </c>
      <c r="P101" s="58"/>
    </row>
    <row r="102" spans="1:16" ht="11.25" customHeight="1" x14ac:dyDescent="0.25">
      <c r="A102" s="58">
        <v>101</v>
      </c>
      <c r="B102" s="58" t="s">
        <v>979</v>
      </c>
      <c r="C102" s="58" t="s">
        <v>44</v>
      </c>
      <c r="D102" s="58" t="s">
        <v>129</v>
      </c>
      <c r="E102" s="58" t="s">
        <v>45</v>
      </c>
      <c r="F102" s="58" t="s">
        <v>132</v>
      </c>
      <c r="G102" s="58" t="s">
        <v>25</v>
      </c>
      <c r="H102" s="58" t="s">
        <v>25</v>
      </c>
      <c r="I102" s="58" t="s">
        <v>25</v>
      </c>
      <c r="J102" s="58" t="s">
        <v>1073</v>
      </c>
      <c r="K102" s="58" t="s">
        <v>1072</v>
      </c>
      <c r="L102" s="58" t="s">
        <v>117</v>
      </c>
      <c r="M102" s="58">
        <v>2021</v>
      </c>
      <c r="N102" s="58">
        <v>0</v>
      </c>
      <c r="O102" s="58">
        <v>287.29000000000002</v>
      </c>
      <c r="P102" s="58"/>
    </row>
    <row r="103" spans="1:16" ht="11.25" customHeight="1" x14ac:dyDescent="0.25">
      <c r="A103" s="58">
        <v>102</v>
      </c>
      <c r="B103" s="58" t="s">
        <v>979</v>
      </c>
      <c r="C103" s="58" t="s">
        <v>44</v>
      </c>
      <c r="D103" s="58" t="s">
        <v>116</v>
      </c>
      <c r="E103" s="58" t="s">
        <v>45</v>
      </c>
      <c r="F103" s="58" t="s">
        <v>133</v>
      </c>
      <c r="G103" s="58" t="s">
        <v>25</v>
      </c>
      <c r="H103" s="58" t="s">
        <v>25</v>
      </c>
      <c r="I103" s="58" t="s">
        <v>34</v>
      </c>
      <c r="J103" s="58" t="s">
        <v>1073</v>
      </c>
      <c r="K103" s="58" t="s">
        <v>1072</v>
      </c>
      <c r="L103" s="58" t="s">
        <v>117</v>
      </c>
      <c r="M103" s="58">
        <v>2021</v>
      </c>
      <c r="N103" s="58">
        <v>0</v>
      </c>
      <c r="O103" s="58">
        <v>416.77</v>
      </c>
      <c r="P103" s="58"/>
    </row>
    <row r="104" spans="1:16" ht="11.25" customHeight="1" x14ac:dyDescent="0.25">
      <c r="A104" s="58">
        <v>103</v>
      </c>
      <c r="B104" s="58" t="s">
        <v>979</v>
      </c>
      <c r="C104" s="58" t="s">
        <v>44</v>
      </c>
      <c r="D104" s="58" t="s">
        <v>116</v>
      </c>
      <c r="E104" s="58" t="s">
        <v>45</v>
      </c>
      <c r="F104" s="58" t="s">
        <v>133</v>
      </c>
      <c r="G104" s="58" t="s">
        <v>25</v>
      </c>
      <c r="H104" s="58" t="s">
        <v>25</v>
      </c>
      <c r="I104" s="58" t="s">
        <v>36</v>
      </c>
      <c r="J104" s="58" t="s">
        <v>1073</v>
      </c>
      <c r="K104" s="58" t="s">
        <v>1072</v>
      </c>
      <c r="L104" s="58" t="s">
        <v>117</v>
      </c>
      <c r="M104" s="58">
        <v>2021</v>
      </c>
      <c r="N104" s="58">
        <v>0</v>
      </c>
      <c r="O104" s="58">
        <v>261.27</v>
      </c>
      <c r="P104" s="58"/>
    </row>
    <row r="105" spans="1:16" ht="11.25" customHeight="1" x14ac:dyDescent="0.25">
      <c r="A105" s="58">
        <v>104</v>
      </c>
      <c r="B105" s="58" t="s">
        <v>979</v>
      </c>
      <c r="C105" s="58" t="s">
        <v>44</v>
      </c>
      <c r="D105" s="58" t="s">
        <v>116</v>
      </c>
      <c r="E105" s="58" t="s">
        <v>45</v>
      </c>
      <c r="F105" s="58" t="s">
        <v>133</v>
      </c>
      <c r="G105" s="58" t="s">
        <v>25</v>
      </c>
      <c r="H105" s="58" t="s">
        <v>25</v>
      </c>
      <c r="I105" s="58" t="s">
        <v>35</v>
      </c>
      <c r="J105" s="58" t="s">
        <v>1073</v>
      </c>
      <c r="K105" s="58" t="s">
        <v>1072</v>
      </c>
      <c r="L105" s="58" t="s">
        <v>117</v>
      </c>
      <c r="M105" s="58">
        <v>2021</v>
      </c>
      <c r="N105" s="58">
        <v>0</v>
      </c>
      <c r="O105" s="58">
        <v>261.27</v>
      </c>
      <c r="P105" s="58"/>
    </row>
    <row r="106" spans="1:16" ht="11.25" customHeight="1" x14ac:dyDescent="0.25">
      <c r="A106" s="58">
        <v>105</v>
      </c>
      <c r="B106" s="58" t="s">
        <v>979</v>
      </c>
      <c r="C106" s="58" t="s">
        <v>44</v>
      </c>
      <c r="D106" s="58" t="s">
        <v>129</v>
      </c>
      <c r="E106" s="58" t="s">
        <v>45</v>
      </c>
      <c r="F106" s="58" t="s">
        <v>133</v>
      </c>
      <c r="G106" s="58" t="s">
        <v>25</v>
      </c>
      <c r="H106" s="58" t="s">
        <v>25</v>
      </c>
      <c r="I106" s="58" t="s">
        <v>25</v>
      </c>
      <c r="J106" s="58" t="s">
        <v>1073</v>
      </c>
      <c r="K106" s="58" t="s">
        <v>1072</v>
      </c>
      <c r="L106" s="58" t="s">
        <v>117</v>
      </c>
      <c r="M106" s="58">
        <v>2021</v>
      </c>
      <c r="N106" s="58">
        <v>0</v>
      </c>
      <c r="O106" s="58">
        <v>274.23</v>
      </c>
      <c r="P106" s="58"/>
    </row>
    <row r="107" spans="1:16" ht="11.25" customHeight="1" x14ac:dyDescent="0.25">
      <c r="A107" s="58">
        <v>106</v>
      </c>
      <c r="B107" s="58" t="s">
        <v>979</v>
      </c>
      <c r="C107" s="58" t="s">
        <v>44</v>
      </c>
      <c r="D107" s="58" t="s">
        <v>130</v>
      </c>
      <c r="E107" s="58" t="s">
        <v>45</v>
      </c>
      <c r="F107" s="58" t="s">
        <v>25</v>
      </c>
      <c r="G107" s="58" t="s">
        <v>25</v>
      </c>
      <c r="H107" s="58" t="s">
        <v>25</v>
      </c>
      <c r="I107" s="58" t="s">
        <v>25</v>
      </c>
      <c r="J107" s="58" t="s">
        <v>1073</v>
      </c>
      <c r="K107" s="58" t="s">
        <v>1072</v>
      </c>
      <c r="L107" s="58" t="s">
        <v>117</v>
      </c>
      <c r="M107" s="58">
        <v>2021</v>
      </c>
      <c r="N107" s="58">
        <v>0</v>
      </c>
      <c r="O107" s="58">
        <v>287.29000000000002</v>
      </c>
      <c r="P107" s="58"/>
    </row>
    <row r="108" spans="1:16" ht="11.25" customHeight="1" x14ac:dyDescent="0.25">
      <c r="A108" s="58">
        <v>107</v>
      </c>
      <c r="B108" s="58" t="s">
        <v>979</v>
      </c>
      <c r="C108" s="58" t="s">
        <v>44</v>
      </c>
      <c r="D108" s="58" t="s">
        <v>130</v>
      </c>
      <c r="E108" s="58" t="s">
        <v>45</v>
      </c>
      <c r="F108" s="58" t="s">
        <v>132</v>
      </c>
      <c r="G108" s="58" t="s">
        <v>25</v>
      </c>
      <c r="H108" s="58" t="s">
        <v>25</v>
      </c>
      <c r="I108" s="58" t="s">
        <v>25</v>
      </c>
      <c r="J108" s="58" t="s">
        <v>1073</v>
      </c>
      <c r="K108" s="58" t="s">
        <v>1072</v>
      </c>
      <c r="L108" s="58" t="s">
        <v>117</v>
      </c>
      <c r="M108" s="58">
        <v>2021</v>
      </c>
      <c r="N108" s="58">
        <v>0</v>
      </c>
      <c r="O108" s="58">
        <v>287.29000000000002</v>
      </c>
      <c r="P108" s="58"/>
    </row>
    <row r="109" spans="1:16" ht="11.25" customHeight="1" x14ac:dyDescent="0.25">
      <c r="A109" s="58">
        <v>108</v>
      </c>
      <c r="B109" s="58" t="s">
        <v>979</v>
      </c>
      <c r="C109" s="58" t="s">
        <v>44</v>
      </c>
      <c r="D109" s="58" t="s">
        <v>130</v>
      </c>
      <c r="E109" s="58" t="s">
        <v>45</v>
      </c>
      <c r="F109" s="58" t="s">
        <v>133</v>
      </c>
      <c r="G109" s="58" t="s">
        <v>25</v>
      </c>
      <c r="H109" s="58" t="s">
        <v>25</v>
      </c>
      <c r="I109" s="58" t="s">
        <v>25</v>
      </c>
      <c r="J109" s="58" t="s">
        <v>1073</v>
      </c>
      <c r="K109" s="58" t="s">
        <v>1072</v>
      </c>
      <c r="L109" s="58" t="s">
        <v>117</v>
      </c>
      <c r="M109" s="58">
        <v>2021</v>
      </c>
      <c r="N109" s="58">
        <v>0</v>
      </c>
      <c r="O109" s="58">
        <v>274.23</v>
      </c>
      <c r="P109" s="58"/>
    </row>
    <row r="110" spans="1:16" ht="11.25" customHeight="1" x14ac:dyDescent="0.25">
      <c r="A110" s="58">
        <v>109</v>
      </c>
      <c r="B110" s="58" t="s">
        <v>979</v>
      </c>
      <c r="C110" s="58" t="s">
        <v>37</v>
      </c>
      <c r="D110" s="58" t="s">
        <v>116</v>
      </c>
      <c r="E110" s="58" t="s">
        <v>25</v>
      </c>
      <c r="F110" s="58" t="s">
        <v>25</v>
      </c>
      <c r="G110" s="58" t="s">
        <v>25</v>
      </c>
      <c r="H110" s="58" t="s">
        <v>25</v>
      </c>
      <c r="I110" s="58" t="s">
        <v>34</v>
      </c>
      <c r="J110" s="58" t="s">
        <v>1073</v>
      </c>
      <c r="K110" s="58" t="s">
        <v>1072</v>
      </c>
      <c r="L110" s="58" t="s">
        <v>117</v>
      </c>
      <c r="M110" s="58">
        <v>2021</v>
      </c>
      <c r="N110" s="58">
        <v>0</v>
      </c>
      <c r="O110" s="58">
        <v>496.15</v>
      </c>
      <c r="P110" s="58"/>
    </row>
    <row r="111" spans="1:16" ht="11.25" customHeight="1" x14ac:dyDescent="0.25">
      <c r="A111" s="58">
        <v>110</v>
      </c>
      <c r="B111" s="58" t="s">
        <v>979</v>
      </c>
      <c r="C111" s="58" t="s">
        <v>37</v>
      </c>
      <c r="D111" s="58" t="s">
        <v>116</v>
      </c>
      <c r="E111" s="58" t="s">
        <v>25</v>
      </c>
      <c r="F111" s="58" t="s">
        <v>25</v>
      </c>
      <c r="G111" s="58" t="s">
        <v>25</v>
      </c>
      <c r="H111" s="58" t="s">
        <v>25</v>
      </c>
      <c r="I111" s="58" t="s">
        <v>36</v>
      </c>
      <c r="J111" s="58" t="s">
        <v>1073</v>
      </c>
      <c r="K111" s="58" t="s">
        <v>1072</v>
      </c>
      <c r="L111" s="58" t="s">
        <v>117</v>
      </c>
      <c r="M111" s="58">
        <v>2021</v>
      </c>
      <c r="N111" s="58">
        <v>0</v>
      </c>
      <c r="O111" s="58">
        <v>311.04000000000002</v>
      </c>
      <c r="P111" s="58"/>
    </row>
    <row r="112" spans="1:16" ht="11.25" customHeight="1" x14ac:dyDescent="0.25">
      <c r="A112" s="58">
        <v>111</v>
      </c>
      <c r="B112" s="58" t="s">
        <v>979</v>
      </c>
      <c r="C112" s="58" t="s">
        <v>37</v>
      </c>
      <c r="D112" s="58" t="s">
        <v>116</v>
      </c>
      <c r="E112" s="58" t="s">
        <v>25</v>
      </c>
      <c r="F112" s="58" t="s">
        <v>25</v>
      </c>
      <c r="G112" s="58" t="s">
        <v>25</v>
      </c>
      <c r="H112" s="58" t="s">
        <v>25</v>
      </c>
      <c r="I112" s="58" t="s">
        <v>35</v>
      </c>
      <c r="J112" s="58" t="s">
        <v>1073</v>
      </c>
      <c r="K112" s="58" t="s">
        <v>1072</v>
      </c>
      <c r="L112" s="58" t="s">
        <v>117</v>
      </c>
      <c r="M112" s="58">
        <v>2021</v>
      </c>
      <c r="N112" s="58">
        <v>0</v>
      </c>
      <c r="O112" s="58">
        <v>311.04000000000002</v>
      </c>
      <c r="P112" s="58"/>
    </row>
    <row r="113" spans="1:16" ht="11.25" customHeight="1" x14ac:dyDescent="0.25">
      <c r="A113" s="58">
        <v>112</v>
      </c>
      <c r="B113" s="58" t="s">
        <v>979</v>
      </c>
      <c r="C113" s="58" t="s">
        <v>37</v>
      </c>
      <c r="D113" s="58" t="s">
        <v>129</v>
      </c>
      <c r="E113" s="58" t="s">
        <v>25</v>
      </c>
      <c r="F113" s="58" t="s">
        <v>25</v>
      </c>
      <c r="G113" s="58" t="s">
        <v>25</v>
      </c>
      <c r="H113" s="58" t="s">
        <v>25</v>
      </c>
      <c r="I113" s="58" t="s">
        <v>25</v>
      </c>
      <c r="J113" s="58" t="s">
        <v>1073</v>
      </c>
      <c r="K113" s="58" t="s">
        <v>1072</v>
      </c>
      <c r="L113" s="58" t="s">
        <v>117</v>
      </c>
      <c r="M113" s="58">
        <v>2021</v>
      </c>
      <c r="N113" s="58">
        <v>0</v>
      </c>
      <c r="O113" s="58">
        <v>326.47000000000003</v>
      </c>
      <c r="P113" s="58"/>
    </row>
    <row r="114" spans="1:16" ht="11.25" customHeight="1" x14ac:dyDescent="0.25">
      <c r="A114" s="58">
        <v>113</v>
      </c>
      <c r="B114" s="58" t="s">
        <v>979</v>
      </c>
      <c r="C114" s="58" t="s">
        <v>37</v>
      </c>
      <c r="D114" s="58" t="s">
        <v>130</v>
      </c>
      <c r="E114" s="58" t="s">
        <v>25</v>
      </c>
      <c r="F114" s="58" t="s">
        <v>25</v>
      </c>
      <c r="G114" s="58" t="s">
        <v>25</v>
      </c>
      <c r="H114" s="58" t="s">
        <v>25</v>
      </c>
      <c r="I114" s="58" t="s">
        <v>25</v>
      </c>
      <c r="J114" s="58" t="s">
        <v>1073</v>
      </c>
      <c r="K114" s="58" t="s">
        <v>1072</v>
      </c>
      <c r="L114" s="58" t="s">
        <v>117</v>
      </c>
      <c r="M114" s="58">
        <v>2021</v>
      </c>
      <c r="N114" s="58">
        <v>0</v>
      </c>
      <c r="O114" s="58">
        <v>326.47000000000003</v>
      </c>
      <c r="P114" s="58"/>
    </row>
    <row r="115" spans="1:16" ht="11.25" customHeight="1" x14ac:dyDescent="0.25">
      <c r="A115" s="58">
        <v>114</v>
      </c>
      <c r="B115" s="58" t="s">
        <v>979</v>
      </c>
      <c r="C115" s="58" t="s">
        <v>47</v>
      </c>
      <c r="D115" s="58" t="s">
        <v>129</v>
      </c>
      <c r="E115" s="58" t="s">
        <v>48</v>
      </c>
      <c r="F115" s="58" t="s">
        <v>49</v>
      </c>
      <c r="G115" s="58" t="s">
        <v>25</v>
      </c>
      <c r="H115" s="58" t="s">
        <v>25</v>
      </c>
      <c r="I115" s="58" t="s">
        <v>25</v>
      </c>
      <c r="J115" s="58" t="s">
        <v>1073</v>
      </c>
      <c r="K115" s="58" t="s">
        <v>1072</v>
      </c>
      <c r="L115" s="58" t="s">
        <v>117</v>
      </c>
      <c r="M115" s="58">
        <v>2021</v>
      </c>
      <c r="N115" s="58">
        <v>0</v>
      </c>
      <c r="O115" s="58">
        <v>179.56</v>
      </c>
      <c r="P115" s="58"/>
    </row>
    <row r="116" spans="1:16" ht="11.25" customHeight="1" x14ac:dyDescent="0.25">
      <c r="A116" s="58">
        <v>115</v>
      </c>
      <c r="B116" s="58" t="s">
        <v>979</v>
      </c>
      <c r="C116" s="58" t="s">
        <v>47</v>
      </c>
      <c r="D116" s="58" t="s">
        <v>129</v>
      </c>
      <c r="E116" s="58" t="s">
        <v>48</v>
      </c>
      <c r="F116" s="58" t="s">
        <v>50</v>
      </c>
      <c r="G116" s="58" t="s">
        <v>25</v>
      </c>
      <c r="H116" s="58" t="s">
        <v>25</v>
      </c>
      <c r="I116" s="58" t="s">
        <v>25</v>
      </c>
      <c r="J116" s="58" t="s">
        <v>1073</v>
      </c>
      <c r="K116" s="58" t="s">
        <v>1072</v>
      </c>
      <c r="L116" s="58" t="s">
        <v>117</v>
      </c>
      <c r="M116" s="58">
        <v>2021</v>
      </c>
      <c r="N116" s="58">
        <v>0</v>
      </c>
      <c r="O116" s="58">
        <v>195.88</v>
      </c>
      <c r="P116" s="58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92A3-6FB1-453D-82FC-D9BBEBB328B8}">
  <dimension ref="A1:AD72"/>
  <sheetViews>
    <sheetView showGridLines="0" workbookViewId="0">
      <selection sqref="A1:W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26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107</v>
      </c>
      <c r="B1" s="10" t="s">
        <v>108</v>
      </c>
      <c r="C1" s="10" t="s">
        <v>109</v>
      </c>
      <c r="D1" s="10" t="s">
        <v>110</v>
      </c>
      <c r="E1" s="10" t="s">
        <v>111</v>
      </c>
      <c r="F1" s="10" t="s">
        <v>112</v>
      </c>
      <c r="G1" s="10" t="s">
        <v>113</v>
      </c>
      <c r="H1" s="10" t="s">
        <v>114</v>
      </c>
      <c r="I1" s="11">
        <v>44348</v>
      </c>
      <c r="J1" s="11">
        <v>44378</v>
      </c>
      <c r="K1" s="11">
        <v>44409</v>
      </c>
      <c r="L1" s="11">
        <v>44440</v>
      </c>
      <c r="M1" s="11">
        <v>44470</v>
      </c>
      <c r="N1" s="11">
        <v>44501</v>
      </c>
      <c r="O1" s="11">
        <v>44531</v>
      </c>
      <c r="P1" s="11">
        <v>44562</v>
      </c>
      <c r="Q1" s="11">
        <v>44593</v>
      </c>
      <c r="R1" s="11">
        <v>44621</v>
      </c>
      <c r="S1" s="11">
        <v>44652</v>
      </c>
      <c r="T1" s="11">
        <v>44682</v>
      </c>
      <c r="U1" s="10" t="s">
        <v>115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1" t="s">
        <v>59</v>
      </c>
      <c r="B2" s="101" t="s">
        <v>40</v>
      </c>
      <c r="C2" s="101" t="s">
        <v>25</v>
      </c>
      <c r="D2" s="101" t="s">
        <v>25</v>
      </c>
      <c r="E2" s="101" t="s">
        <v>25</v>
      </c>
      <c r="F2" s="101" t="s">
        <v>25</v>
      </c>
      <c r="G2" s="12" t="s">
        <v>121</v>
      </c>
      <c r="H2" s="12" t="s">
        <v>120</v>
      </c>
      <c r="I2" s="12">
        <f>SUMIF(Mercado_Receita!$S$2:$S$2022,"44348A2AzulNão se aplicaNão se aplicaNão se aplicaNão se aplicaPonta",Mercado_Receita!$J$2:$J$2022)+SUMIF(Mercado_Receita!$S$2:$S$2022,"44348A2AzulNão se aplicaNão se aplicaAPENão se aplicaPonta",Mercado_Receita!$J$2:$J$2022)+SUMIF(Mercado_Receita!$S$2:$S$2022,"44348A2ConvencionalNão se aplicaNão se aplicaNão se aplicaNão se aplicaNão se aplica",Mercado_Receita!$J$2:$J$2022)*0.72</f>
        <v>8600</v>
      </c>
      <c r="J2" s="12">
        <f>SUMIF(Mercado_Receita!$S$2:$S$2022,"44378A2AzulNão se aplicaNão se aplicaNão se aplicaNão se aplicaPonta",Mercado_Receita!$J$2:$J$2022)+SUMIF(Mercado_Receita!$S$2:$S$2022,"44378A2AzulNão se aplicaNão se aplicaAPENão se aplicaPonta",Mercado_Receita!$J$2:$J$2022)+SUMIF(Mercado_Receita!$S$2:$S$2022,"44378A2ConvencionalNão se aplicaNão se aplicaNão se aplicaNão se aplicaNão se aplica",Mercado_Receita!$J$2:$J$2022)*0.72</f>
        <v>8600</v>
      </c>
      <c r="K2" s="12">
        <f>SUMIF(Mercado_Receita!$S$2:$S$2022,"44409A2AzulNão se aplicaNão se aplicaNão se aplicaNão se aplicaPonta",Mercado_Receita!$J$2:$J$2022)+SUMIF(Mercado_Receita!$S$2:$S$2022,"44409A2AzulNão se aplicaNão se aplicaAPENão se aplicaPonta",Mercado_Receita!$J$2:$J$2022)+SUMIF(Mercado_Receita!$S$2:$S$2022,"44409A2ConvencionalNão se aplicaNão se aplicaNão se aplicaNão se aplicaNão se aplica",Mercado_Receita!$J$2:$J$2022)*0.72</f>
        <v>8600</v>
      </c>
      <c r="L2" s="12">
        <f>SUMIF(Mercado_Receita!$S$2:$S$2022,"44440A2AzulNão se aplicaNão se aplicaNão se aplicaNão se aplicaPonta",Mercado_Receita!$J$2:$J$2022)+SUMIF(Mercado_Receita!$S$2:$S$2022,"44440A2AzulNão se aplicaNão se aplicaAPENão se aplicaPonta",Mercado_Receita!$J$2:$J$2022)+SUMIF(Mercado_Receita!$S$2:$S$2022,"44440A2ConvencionalNão se aplicaNão se aplicaNão se aplicaNão se aplicaNão se aplica",Mercado_Receita!$J$2:$J$2022)*0.72</f>
        <v>8600</v>
      </c>
      <c r="M2" s="12">
        <f>SUMIF(Mercado_Receita!$S$2:$S$2022,"44470A2AzulNão se aplicaNão se aplicaNão se aplicaNão se aplicaPonta",Mercado_Receita!$J$2:$J$2022)+SUMIF(Mercado_Receita!$S$2:$S$2022,"44470A2AzulNão se aplicaNão se aplicaAPENão se aplicaPonta",Mercado_Receita!$J$2:$J$2022)+SUMIF(Mercado_Receita!$S$2:$S$2022,"44470A2ConvencionalNão se aplicaNão se aplicaNão se aplicaNão se aplicaNão se aplica",Mercado_Receita!$J$2:$J$2022)*0.72</f>
        <v>8600</v>
      </c>
      <c r="N2" s="12">
        <f>SUMIF(Mercado_Receita!$S$2:$S$2022,"44501A2AzulNão se aplicaNão se aplicaNão se aplicaNão se aplicaPonta",Mercado_Receita!$J$2:$J$2022)+SUMIF(Mercado_Receita!$S$2:$S$2022,"44501A2AzulNão se aplicaNão se aplicaAPENão se aplicaPonta",Mercado_Receita!$J$2:$J$2022)+SUMIF(Mercado_Receita!$S$2:$S$2022,"44501A2ConvencionalNão se aplicaNão se aplicaNão se aplicaNão se aplicaNão se aplica",Mercado_Receita!$J$2:$J$2022)*0.72</f>
        <v>8600</v>
      </c>
      <c r="O2" s="12">
        <f>SUMIF(Mercado_Receita!$S$2:$S$2022,"44531A2AzulNão se aplicaNão se aplicaNão se aplicaNão se aplicaPonta",Mercado_Receita!$J$2:$J$2022)+SUMIF(Mercado_Receita!$S$2:$S$2022,"44531A2AzulNão se aplicaNão se aplicaAPENão se aplicaPonta",Mercado_Receita!$J$2:$J$2022)+SUMIF(Mercado_Receita!$S$2:$S$2022,"44531A2ConvencionalNão se aplicaNão se aplicaNão se aplicaNão se aplicaNão se aplica",Mercado_Receita!$J$2:$J$2022)*0.72</f>
        <v>8600</v>
      </c>
      <c r="P2" s="12">
        <f>SUMIF(Mercado_Receita!$S$2:$S$2022,"44562A2AzulNão se aplicaNão se aplicaNão se aplicaNão se aplicaPonta",Mercado_Receita!$J$2:$J$2022)+SUMIF(Mercado_Receita!$S$2:$S$2022,"44562A2AzulNão se aplicaNão se aplicaAPENão se aplicaPonta",Mercado_Receita!$J$2:$J$2022)+SUMIF(Mercado_Receita!$S$2:$S$2022,"44562A2ConvencionalNão se aplicaNão se aplicaNão se aplicaNão se aplicaNão se aplica",Mercado_Receita!$J$2:$J$2022)*0.72</f>
        <v>8600</v>
      </c>
      <c r="Q2" s="12">
        <f>SUMIF(Mercado_Receita!$S$2:$S$2022,"44593A2AzulNão se aplicaNão se aplicaNão se aplicaNão se aplicaPonta",Mercado_Receita!$J$2:$J$2022)+SUMIF(Mercado_Receita!$S$2:$S$2022,"44593A2AzulNão se aplicaNão se aplicaAPENão se aplicaPonta",Mercado_Receita!$J$2:$J$2022)+SUMIF(Mercado_Receita!$S$2:$S$2022,"44593A2ConvencionalNão se aplicaNão se aplicaNão se aplicaNão se aplicaNão se aplica",Mercado_Receita!$J$2:$J$2022)*0.72</f>
        <v>8600</v>
      </c>
      <c r="R2" s="12">
        <f>SUMIF(Mercado_Receita!$S$2:$S$2022,"44621A2AzulNão se aplicaNão se aplicaNão se aplicaNão se aplicaPonta",Mercado_Receita!$J$2:$J$2022)+SUMIF(Mercado_Receita!$S$2:$S$2022,"44621A2AzulNão se aplicaNão se aplicaAPENão se aplicaPonta",Mercado_Receita!$J$2:$J$2022)+SUMIF(Mercado_Receita!$S$2:$S$2022,"44621A2ConvencionalNão se aplicaNão se aplicaNão se aplicaNão se aplicaNão se aplica",Mercado_Receita!$J$2:$J$2022)*0.72</f>
        <v>8600</v>
      </c>
      <c r="S2" s="12">
        <f>SUMIF(Mercado_Receita!$S$2:$S$2022,"44652A2AzulNão se aplicaNão se aplicaNão se aplicaNão se aplicaPonta",Mercado_Receita!$J$2:$J$2022)+SUMIF(Mercado_Receita!$S$2:$S$2022,"44652A2AzulNão se aplicaNão se aplicaAPENão se aplicaPonta",Mercado_Receita!$J$2:$J$2022)+SUMIF(Mercado_Receita!$S$2:$S$2022,"44652A2ConvencionalNão se aplicaNão se aplicaNão se aplicaNão se aplicaNão se aplica",Mercado_Receita!$J$2:$J$2022)*0.72</f>
        <v>8600</v>
      </c>
      <c r="T2" s="12">
        <f>SUMIF(Mercado_Receita!$S$2:$S$2022,"44682A2AzulNão se aplicaNão se aplicaNão se aplicaNão se aplicaPonta",Mercado_Receita!$J$2:$J$2022)+SUMIF(Mercado_Receita!$S$2:$S$2022,"44682A2AzulNão se aplicaNão se aplicaAPENão se aplicaPonta",Mercado_Receita!$J$2:$J$2022)+SUMIF(Mercado_Receita!$S$2:$S$2022,"44682A2ConvencionalNão se aplicaNão se aplicaNão se aplicaNão se aplicaNão se aplica",Mercado_Receita!$J$2:$J$2022)*0.72</f>
        <v>8600</v>
      </c>
      <c r="U2" s="12">
        <f t="shared" ref="U2:U33" si="0">SUM(I2:T2)</f>
        <v>103200</v>
      </c>
      <c r="V2" s="12"/>
      <c r="W2" s="12"/>
    </row>
    <row r="3" spans="1:30" ht="11.25" customHeight="1" x14ac:dyDescent="0.25">
      <c r="A3" s="102"/>
      <c r="B3" s="102"/>
      <c r="C3" s="102"/>
      <c r="D3" s="102"/>
      <c r="E3" s="102"/>
      <c r="F3" s="102"/>
      <c r="G3" s="12" t="s">
        <v>122</v>
      </c>
      <c r="H3" s="12" t="s">
        <v>120</v>
      </c>
      <c r="I3" s="12">
        <f>SUMIF(Mercado_Receita!$S$2:$S$2022,"44348A2AzulNão se aplicaNão se aplicaNão se aplicaNão se aplicaFora ponta",Mercado_Receita!$J$2:$J$2022)+SUMIF(Mercado_Receita!$S$2:$S$2022,"44348A2AzulNão se aplicaNão se aplicaAPENão se aplicaFora ponta",Mercado_Receita!$J$2:$J$2022)+SUMIF(Mercado_Receita!$S$2:$S$2022,"44348A2ConvencionalNão se aplicaNão se aplicaNão se aplicaNão se aplicaNão se aplica",Mercado_Receita!$J$2:$J$2022)*1</f>
        <v>12600</v>
      </c>
      <c r="J3" s="12">
        <f>SUMIF(Mercado_Receita!$S$2:$S$2022,"44378A2AzulNão se aplicaNão se aplicaNão se aplicaNão se aplicaFora ponta",Mercado_Receita!$J$2:$J$2022)+SUMIF(Mercado_Receita!$S$2:$S$2022,"44378A2AzulNão se aplicaNão se aplicaAPENão se aplicaFora ponta",Mercado_Receita!$J$2:$J$2022)+SUMIF(Mercado_Receita!$S$2:$S$2022,"44378A2ConvencionalNão se aplicaNão se aplicaNão se aplicaNão se aplicaNão se aplica",Mercado_Receita!$J$2:$J$2022)*1</f>
        <v>12600</v>
      </c>
      <c r="K3" s="12">
        <f>SUMIF(Mercado_Receita!$S$2:$S$2022,"44409A2AzulNão se aplicaNão se aplicaNão se aplicaNão se aplicaFora ponta",Mercado_Receita!$J$2:$J$2022)+SUMIF(Mercado_Receita!$S$2:$S$2022,"44409A2AzulNão se aplicaNão se aplicaAPENão se aplicaFora ponta",Mercado_Receita!$J$2:$J$2022)+SUMIF(Mercado_Receita!$S$2:$S$2022,"44409A2ConvencionalNão se aplicaNão se aplicaNão se aplicaNão se aplicaNão se aplica",Mercado_Receita!$J$2:$J$2022)*1</f>
        <v>12600</v>
      </c>
      <c r="L3" s="12">
        <f>SUMIF(Mercado_Receita!$S$2:$S$2022,"44440A2AzulNão se aplicaNão se aplicaNão se aplicaNão se aplicaFora ponta",Mercado_Receita!$J$2:$J$2022)+SUMIF(Mercado_Receita!$S$2:$S$2022,"44440A2AzulNão se aplicaNão se aplicaAPENão se aplicaFora ponta",Mercado_Receita!$J$2:$J$2022)+SUMIF(Mercado_Receita!$S$2:$S$2022,"44440A2ConvencionalNão se aplicaNão se aplicaNão se aplicaNão se aplicaNão se aplica",Mercado_Receita!$J$2:$J$2022)*1</f>
        <v>12600</v>
      </c>
      <c r="M3" s="12">
        <f>SUMIF(Mercado_Receita!$S$2:$S$2022,"44470A2AzulNão se aplicaNão se aplicaNão se aplicaNão se aplicaFora ponta",Mercado_Receita!$J$2:$J$2022)+SUMIF(Mercado_Receita!$S$2:$S$2022,"44470A2AzulNão se aplicaNão se aplicaAPENão se aplicaFora ponta",Mercado_Receita!$J$2:$J$2022)+SUMIF(Mercado_Receita!$S$2:$S$2022,"44470A2ConvencionalNão se aplicaNão se aplicaNão se aplicaNão se aplicaNão se aplica",Mercado_Receita!$J$2:$J$2022)*1</f>
        <v>12600</v>
      </c>
      <c r="N3" s="12">
        <f>SUMIF(Mercado_Receita!$S$2:$S$2022,"44501A2AzulNão se aplicaNão se aplicaNão se aplicaNão se aplicaFora ponta",Mercado_Receita!$J$2:$J$2022)+SUMIF(Mercado_Receita!$S$2:$S$2022,"44501A2AzulNão se aplicaNão se aplicaAPENão se aplicaFora ponta",Mercado_Receita!$J$2:$J$2022)+SUMIF(Mercado_Receita!$S$2:$S$2022,"44501A2ConvencionalNão se aplicaNão se aplicaNão se aplicaNão se aplicaNão se aplica",Mercado_Receita!$J$2:$J$2022)*1</f>
        <v>12600</v>
      </c>
      <c r="O3" s="12">
        <f>SUMIF(Mercado_Receita!$S$2:$S$2022,"44531A2AzulNão se aplicaNão se aplicaNão se aplicaNão se aplicaFora ponta",Mercado_Receita!$J$2:$J$2022)+SUMIF(Mercado_Receita!$S$2:$S$2022,"44531A2AzulNão se aplicaNão se aplicaAPENão se aplicaFora ponta",Mercado_Receita!$J$2:$J$2022)+SUMIF(Mercado_Receita!$S$2:$S$2022,"44531A2ConvencionalNão se aplicaNão se aplicaNão se aplicaNão se aplicaNão se aplica",Mercado_Receita!$J$2:$J$2022)*1</f>
        <v>12600</v>
      </c>
      <c r="P3" s="12">
        <f>SUMIF(Mercado_Receita!$S$2:$S$2022,"44562A2AzulNão se aplicaNão se aplicaNão se aplicaNão se aplicaFora ponta",Mercado_Receita!$J$2:$J$2022)+SUMIF(Mercado_Receita!$S$2:$S$2022,"44562A2AzulNão se aplicaNão se aplicaAPENão se aplicaFora ponta",Mercado_Receita!$J$2:$J$2022)+SUMIF(Mercado_Receita!$S$2:$S$2022,"44562A2ConvencionalNão se aplicaNão se aplicaNão se aplicaNão se aplicaNão se aplica",Mercado_Receita!$J$2:$J$2022)*1</f>
        <v>12600</v>
      </c>
      <c r="Q3" s="12">
        <f>SUMIF(Mercado_Receita!$S$2:$S$2022,"44593A2AzulNão se aplicaNão se aplicaNão se aplicaNão se aplicaFora ponta",Mercado_Receita!$J$2:$J$2022)+SUMIF(Mercado_Receita!$S$2:$S$2022,"44593A2AzulNão se aplicaNão se aplicaAPENão se aplicaFora ponta",Mercado_Receita!$J$2:$J$2022)+SUMIF(Mercado_Receita!$S$2:$S$2022,"44593A2ConvencionalNão se aplicaNão se aplicaNão se aplicaNão se aplicaNão se aplica",Mercado_Receita!$J$2:$J$2022)*1</f>
        <v>12600</v>
      </c>
      <c r="R3" s="12">
        <f>SUMIF(Mercado_Receita!$S$2:$S$2022,"44621A2AzulNão se aplicaNão se aplicaNão se aplicaNão se aplicaFora ponta",Mercado_Receita!$J$2:$J$2022)+SUMIF(Mercado_Receita!$S$2:$S$2022,"44621A2AzulNão se aplicaNão se aplicaAPENão se aplicaFora ponta",Mercado_Receita!$J$2:$J$2022)+SUMIF(Mercado_Receita!$S$2:$S$2022,"44621A2ConvencionalNão se aplicaNão se aplicaNão se aplicaNão se aplicaNão se aplica",Mercado_Receita!$J$2:$J$2022)*1</f>
        <v>12600</v>
      </c>
      <c r="S3" s="12">
        <f>SUMIF(Mercado_Receita!$S$2:$S$2022,"44652A2AzulNão se aplicaNão se aplicaNão se aplicaNão se aplicaFora ponta",Mercado_Receita!$J$2:$J$2022)+SUMIF(Mercado_Receita!$S$2:$S$2022,"44652A2AzulNão se aplicaNão se aplicaAPENão se aplicaFora ponta",Mercado_Receita!$J$2:$J$2022)+SUMIF(Mercado_Receita!$S$2:$S$2022,"44652A2ConvencionalNão se aplicaNão se aplicaNão se aplicaNão se aplicaNão se aplica",Mercado_Receita!$J$2:$J$2022)*1</f>
        <v>12600</v>
      </c>
      <c r="T3" s="12">
        <f>SUMIF(Mercado_Receita!$S$2:$S$2022,"44682A2AzulNão se aplicaNão se aplicaNão se aplicaNão se aplicaFora ponta",Mercado_Receita!$J$2:$J$2022)+SUMIF(Mercado_Receita!$S$2:$S$2022,"44682A2AzulNão se aplicaNão se aplicaAPENão se aplicaFora ponta",Mercado_Receita!$J$2:$J$2022)+SUMIF(Mercado_Receita!$S$2:$S$2022,"44682A2ConvencionalNão se aplicaNão se aplicaNão se aplicaNão se aplicaNão se aplica",Mercado_Receita!$J$2:$J$2022)*1</f>
        <v>12600</v>
      </c>
      <c r="U3" s="12">
        <f t="shared" si="0"/>
        <v>151200</v>
      </c>
      <c r="V3" s="12"/>
      <c r="W3" s="12"/>
    </row>
    <row r="4" spans="1:30" ht="11.25" customHeight="1" x14ac:dyDescent="0.25">
      <c r="A4" s="102"/>
      <c r="B4" s="102"/>
      <c r="C4" s="102"/>
      <c r="D4" s="102"/>
      <c r="E4" s="102"/>
      <c r="F4" s="102"/>
      <c r="G4" s="12" t="s">
        <v>123</v>
      </c>
      <c r="H4" s="12" t="s">
        <v>117</v>
      </c>
      <c r="I4" s="12">
        <f>SUMIF(Mercado_Receita!$S$2:$S$2022,"44348A2AzulNão se aplicaNão se aplicaNão se aplicaNão se aplicaPonta",Mercado_Receita!$L$2:$L$2022)+SUMIF(Mercado_Receita!$S$2:$S$2022,"44348A2AzulNão se aplicaNão se aplicaNão se aplicaNão se aplicaFora ponta",Mercado_Receita!$L$2:$L$2022)+SUMIF(Mercado_Receita!$S$2:$S$2022,"44348A2AzulNão se aplicaNão se aplicaNão se aplicaNão se aplicaIntermediário",Mercado_Receita!$L$2:$L$2022)+SUMIF(Mercado_Receita!$S$2:$S$2022,"44348A2AzulNão se aplicaNão se aplicaNão se aplicaNão se aplicaNão se aplica",Mercado_Receita!$L$2:$L$2022)+SUMIF(Mercado_Receita!$S$2:$S$2022,"44348A2ConvencionalNão se aplicaNão se aplicaNão se aplicaNão se aplicaNão se aplica",Mercado_Receita!$L$2:$L$2022)</f>
        <v>2577.0549999999998</v>
      </c>
      <c r="J4" s="12">
        <f>SUMIF(Mercado_Receita!$S$2:$S$2022,"44378A2AzulNão se aplicaNão se aplicaNão se aplicaNão se aplicaPonta",Mercado_Receita!$L$2:$L$2022)+SUMIF(Mercado_Receita!$S$2:$S$2022,"44378A2AzulNão se aplicaNão se aplicaNão se aplicaNão se aplicaFora ponta",Mercado_Receita!$L$2:$L$2022)+SUMIF(Mercado_Receita!$S$2:$S$2022,"44378A2AzulNão se aplicaNão se aplicaNão se aplicaNão se aplicaIntermediário",Mercado_Receita!$L$2:$L$2022)+SUMIF(Mercado_Receita!$S$2:$S$2022,"44378A2AzulNão se aplicaNão se aplicaNão se aplicaNão se aplicaNão se aplica",Mercado_Receita!$L$2:$L$2022)+SUMIF(Mercado_Receita!$S$2:$S$2022,"44378A2ConvencionalNão se aplicaNão se aplicaNão se aplicaNão se aplicaNão se aplica",Mercado_Receita!$L$2:$L$2022)</f>
        <v>2483.681</v>
      </c>
      <c r="K4" s="12">
        <f>SUMIF(Mercado_Receita!$S$2:$S$2022,"44409A2AzulNão se aplicaNão se aplicaNão se aplicaNão se aplicaPonta",Mercado_Receita!$L$2:$L$2022)+SUMIF(Mercado_Receita!$S$2:$S$2022,"44409A2AzulNão se aplicaNão se aplicaNão se aplicaNão se aplicaFora ponta",Mercado_Receita!$L$2:$L$2022)+SUMIF(Mercado_Receita!$S$2:$S$2022,"44409A2AzulNão se aplicaNão se aplicaNão se aplicaNão se aplicaIntermediário",Mercado_Receita!$L$2:$L$2022)+SUMIF(Mercado_Receita!$S$2:$S$2022,"44409A2AzulNão se aplicaNão se aplicaNão se aplicaNão se aplicaNão se aplica",Mercado_Receita!$L$2:$L$2022)+SUMIF(Mercado_Receita!$S$2:$S$2022,"44409A2ConvencionalNão se aplicaNão se aplicaNão se aplicaNão se aplicaNão se aplica",Mercado_Receita!$L$2:$L$2022)</f>
        <v>2614.1400000000003</v>
      </c>
      <c r="L4" s="12">
        <f>SUMIF(Mercado_Receita!$S$2:$S$2022,"44440A2AzulNão se aplicaNão se aplicaNão se aplicaNão se aplicaPonta",Mercado_Receita!$L$2:$L$2022)+SUMIF(Mercado_Receita!$S$2:$S$2022,"44440A2AzulNão se aplicaNão se aplicaNão se aplicaNão se aplicaFora ponta",Mercado_Receita!$L$2:$L$2022)+SUMIF(Mercado_Receita!$S$2:$S$2022,"44440A2AzulNão se aplicaNão se aplicaNão se aplicaNão se aplicaIntermediário",Mercado_Receita!$L$2:$L$2022)+SUMIF(Mercado_Receita!$S$2:$S$2022,"44440A2AzulNão se aplicaNão se aplicaNão se aplicaNão se aplicaNão se aplica",Mercado_Receita!$L$2:$L$2022)+SUMIF(Mercado_Receita!$S$2:$S$2022,"44440A2ConvencionalNão se aplicaNão se aplicaNão se aplicaNão se aplicaNão se aplica",Mercado_Receita!$L$2:$L$2022)</f>
        <v>2370.8519999999999</v>
      </c>
      <c r="M4" s="12">
        <f>SUMIF(Mercado_Receita!$S$2:$S$2022,"44470A2AzulNão se aplicaNão se aplicaNão se aplicaNão se aplicaPonta",Mercado_Receita!$L$2:$L$2022)+SUMIF(Mercado_Receita!$S$2:$S$2022,"44470A2AzulNão se aplicaNão se aplicaNão se aplicaNão se aplicaFora ponta",Mercado_Receita!$L$2:$L$2022)+SUMIF(Mercado_Receita!$S$2:$S$2022,"44470A2AzulNão se aplicaNão se aplicaNão se aplicaNão se aplicaIntermediário",Mercado_Receita!$L$2:$L$2022)+SUMIF(Mercado_Receita!$S$2:$S$2022,"44470A2AzulNão se aplicaNão se aplicaNão se aplicaNão se aplicaNão se aplica",Mercado_Receita!$L$2:$L$2022)+SUMIF(Mercado_Receita!$S$2:$S$2022,"44470A2ConvencionalNão se aplicaNão se aplicaNão se aplicaNão se aplicaNão se aplica",Mercado_Receita!$L$2:$L$2022)</f>
        <v>2265.8869999999997</v>
      </c>
      <c r="N4" s="12">
        <f>SUMIF(Mercado_Receita!$S$2:$S$2022,"44501A2AzulNão se aplicaNão se aplicaNão se aplicaNão se aplicaPonta",Mercado_Receita!$L$2:$L$2022)+SUMIF(Mercado_Receita!$S$2:$S$2022,"44501A2AzulNão se aplicaNão se aplicaNão se aplicaNão se aplicaFora ponta",Mercado_Receita!$L$2:$L$2022)+SUMIF(Mercado_Receita!$S$2:$S$2022,"44501A2AzulNão se aplicaNão se aplicaNão se aplicaNão se aplicaIntermediário",Mercado_Receita!$L$2:$L$2022)+SUMIF(Mercado_Receita!$S$2:$S$2022,"44501A2AzulNão se aplicaNão se aplicaNão se aplicaNão se aplicaNão se aplica",Mercado_Receita!$L$2:$L$2022)+SUMIF(Mercado_Receita!$S$2:$S$2022,"44501A2ConvencionalNão se aplicaNão se aplicaNão se aplicaNão se aplicaNão se aplica",Mercado_Receita!$L$2:$L$2022)</f>
        <v>2623.08</v>
      </c>
      <c r="O4" s="12">
        <f>SUMIF(Mercado_Receita!$S$2:$S$2022,"44531A2AzulNão se aplicaNão se aplicaNão se aplicaNão se aplicaPonta",Mercado_Receita!$L$2:$L$2022)+SUMIF(Mercado_Receita!$S$2:$S$2022,"44531A2AzulNão se aplicaNão se aplicaNão se aplicaNão se aplicaFora ponta",Mercado_Receita!$L$2:$L$2022)+SUMIF(Mercado_Receita!$S$2:$S$2022,"44531A2AzulNão se aplicaNão se aplicaNão se aplicaNão se aplicaIntermediário",Mercado_Receita!$L$2:$L$2022)+SUMIF(Mercado_Receita!$S$2:$S$2022,"44531A2AzulNão se aplicaNão se aplicaNão se aplicaNão se aplicaNão se aplica",Mercado_Receita!$L$2:$L$2022)+SUMIF(Mercado_Receita!$S$2:$S$2022,"44531A2ConvencionalNão se aplicaNão se aplicaNão se aplicaNão se aplicaNão se aplica",Mercado_Receita!$L$2:$L$2022)</f>
        <v>2768.1449999999995</v>
      </c>
      <c r="P4" s="12">
        <f>SUMIF(Mercado_Receita!$S$2:$S$2022,"44562A2AzulNão se aplicaNão se aplicaNão se aplicaNão se aplicaPonta",Mercado_Receita!$L$2:$L$2022)+SUMIF(Mercado_Receita!$S$2:$S$2022,"44562A2AzulNão se aplicaNão se aplicaNão se aplicaNão se aplicaFora ponta",Mercado_Receita!$L$2:$L$2022)+SUMIF(Mercado_Receita!$S$2:$S$2022,"44562A2AzulNão se aplicaNão se aplicaNão se aplicaNão se aplicaIntermediário",Mercado_Receita!$L$2:$L$2022)+SUMIF(Mercado_Receita!$S$2:$S$2022,"44562A2AzulNão se aplicaNão se aplicaNão se aplicaNão se aplicaNão se aplica",Mercado_Receita!$L$2:$L$2022)+SUMIF(Mercado_Receita!$S$2:$S$2022,"44562A2ConvencionalNão se aplicaNão se aplicaNão se aplicaNão se aplicaNão se aplica",Mercado_Receita!$L$2:$L$2022)</f>
        <v>2756.3969999999999</v>
      </c>
      <c r="Q4" s="12">
        <f>SUMIF(Mercado_Receita!$S$2:$S$2022,"44593A2AzulNão se aplicaNão se aplicaNão se aplicaNão se aplicaPonta",Mercado_Receita!$L$2:$L$2022)+SUMIF(Mercado_Receita!$S$2:$S$2022,"44593A2AzulNão se aplicaNão se aplicaNão se aplicaNão se aplicaFora ponta",Mercado_Receita!$L$2:$L$2022)+SUMIF(Mercado_Receita!$S$2:$S$2022,"44593A2AzulNão se aplicaNão se aplicaNão se aplicaNão se aplicaIntermediário",Mercado_Receita!$L$2:$L$2022)+SUMIF(Mercado_Receita!$S$2:$S$2022,"44593A2AzulNão se aplicaNão se aplicaNão se aplicaNão se aplicaNão se aplica",Mercado_Receita!$L$2:$L$2022)+SUMIF(Mercado_Receita!$S$2:$S$2022,"44593A2ConvencionalNão se aplicaNão se aplicaNão se aplicaNão se aplicaNão se aplica",Mercado_Receita!$L$2:$L$2022)</f>
        <v>2444.6450000000004</v>
      </c>
      <c r="R4" s="12">
        <f>SUMIF(Mercado_Receita!$S$2:$S$2022,"44621A2AzulNão se aplicaNão se aplicaNão se aplicaNão se aplicaPonta",Mercado_Receita!$L$2:$L$2022)+SUMIF(Mercado_Receita!$S$2:$S$2022,"44621A2AzulNão se aplicaNão se aplicaNão se aplicaNão se aplicaFora ponta",Mercado_Receita!$L$2:$L$2022)+SUMIF(Mercado_Receita!$S$2:$S$2022,"44621A2AzulNão se aplicaNão se aplicaNão se aplicaNão se aplicaIntermediário",Mercado_Receita!$L$2:$L$2022)+SUMIF(Mercado_Receita!$S$2:$S$2022,"44621A2AzulNão se aplicaNão se aplicaNão se aplicaNão se aplicaNão se aplica",Mercado_Receita!$L$2:$L$2022)+SUMIF(Mercado_Receita!$S$2:$S$2022,"44621A2ConvencionalNão se aplicaNão se aplicaNão se aplicaNão se aplicaNão se aplica",Mercado_Receita!$L$2:$L$2022)</f>
        <v>2161.2370000000001</v>
      </c>
      <c r="S4" s="12">
        <f>SUMIF(Mercado_Receita!$S$2:$S$2022,"44652A2AzulNão se aplicaNão se aplicaNão se aplicaNão se aplicaPonta",Mercado_Receita!$L$2:$L$2022)+SUMIF(Mercado_Receita!$S$2:$S$2022,"44652A2AzulNão se aplicaNão se aplicaNão se aplicaNão se aplicaFora ponta",Mercado_Receita!$L$2:$L$2022)+SUMIF(Mercado_Receita!$S$2:$S$2022,"44652A2AzulNão se aplicaNão se aplicaNão se aplicaNão se aplicaIntermediário",Mercado_Receita!$L$2:$L$2022)+SUMIF(Mercado_Receita!$S$2:$S$2022,"44652A2AzulNão se aplicaNão se aplicaNão se aplicaNão se aplicaNão se aplica",Mercado_Receita!$L$2:$L$2022)+SUMIF(Mercado_Receita!$S$2:$S$2022,"44652A2ConvencionalNão se aplicaNão se aplicaNão se aplicaNão se aplicaNão se aplica",Mercado_Receita!$L$2:$L$2022)</f>
        <v>2567.9680000000003</v>
      </c>
      <c r="T4" s="12">
        <f>SUMIF(Mercado_Receita!$S$2:$S$2022,"44682A2AzulNão se aplicaNão se aplicaNão se aplicaNão se aplicaPonta",Mercado_Receita!$L$2:$L$2022)+SUMIF(Mercado_Receita!$S$2:$S$2022,"44682A2AzulNão se aplicaNão se aplicaNão se aplicaNão se aplicaFora ponta",Mercado_Receita!$L$2:$L$2022)+SUMIF(Mercado_Receita!$S$2:$S$2022,"44682A2AzulNão se aplicaNão se aplicaNão se aplicaNão se aplicaIntermediário",Mercado_Receita!$L$2:$L$2022)+SUMIF(Mercado_Receita!$S$2:$S$2022,"44682A2AzulNão se aplicaNão se aplicaNão se aplicaNão se aplicaNão se aplica",Mercado_Receita!$L$2:$L$2022)+SUMIF(Mercado_Receita!$S$2:$S$2022,"44682A2ConvencionalNão se aplicaNão se aplicaNão se aplicaNão se aplicaNão se aplica",Mercado_Receita!$L$2:$L$2022)</f>
        <v>2567.9680000000003</v>
      </c>
      <c r="U4" s="12">
        <f t="shared" si="0"/>
        <v>30201.055</v>
      </c>
      <c r="V4" s="12"/>
      <c r="W4" s="12"/>
    </row>
    <row r="5" spans="1:30" ht="11.25" customHeight="1" x14ac:dyDescent="0.25">
      <c r="A5" s="102"/>
      <c r="B5" s="102"/>
      <c r="C5" s="102"/>
      <c r="D5" s="102"/>
      <c r="E5" s="13" t="s">
        <v>61</v>
      </c>
      <c r="F5" s="13" t="s">
        <v>25</v>
      </c>
      <c r="G5" s="12" t="s">
        <v>123</v>
      </c>
      <c r="H5" s="12" t="s">
        <v>117</v>
      </c>
      <c r="I5" s="12">
        <f>SUMIF(Mercado_Receita!$S$2:$S$2022,"44348A2AzulNão se aplicaNão se aplicaAPENão se aplicaPonta",Mercado_Receita!$L$2:$L$2022)+SUMIF(Mercado_Receita!$S$2:$S$2022,"44348A2AzulNão se aplicaNão se aplicaAPENão se aplicaFora ponta",Mercado_Receita!$L$2:$L$2022)+SUMIF(Mercado_Receita!$S$2:$S$2022,"44348A2AzulNão se aplicaNão se aplicaAPENão se aplicaIntermediário",Mercado_Receita!$L$2:$L$2022)+SUMIF(Mercado_Receita!$S$2:$S$2022,"44348A2AzulNão se aplicaNão se aplicaAPENão se aplicaNão se aplica",Mercado_Receita!$L$2:$L$2022)+SUMIF(Mercado_Receita!$S$2:$S$2022,"44348A2ConvencionalNão se aplicaNão se aplicaAPENão se aplicaNão se aplica",Mercado_Receita!$L$2:$L$2022)</f>
        <v>368.01799999999997</v>
      </c>
      <c r="J5" s="12">
        <f>SUMIF(Mercado_Receita!$S$2:$S$2022,"44378A2AzulNão se aplicaNão se aplicaAPENão se aplicaPonta",Mercado_Receita!$L$2:$L$2022)+SUMIF(Mercado_Receita!$S$2:$S$2022,"44378A2AzulNão se aplicaNão se aplicaAPENão se aplicaFora ponta",Mercado_Receita!$L$2:$L$2022)+SUMIF(Mercado_Receita!$S$2:$S$2022,"44378A2AzulNão se aplicaNão se aplicaAPENão se aplicaIntermediário",Mercado_Receita!$L$2:$L$2022)+SUMIF(Mercado_Receita!$S$2:$S$2022,"44378A2AzulNão se aplicaNão se aplicaAPENão se aplicaNão se aplica",Mercado_Receita!$L$2:$L$2022)+SUMIF(Mercado_Receita!$S$2:$S$2022,"44378A2ConvencionalNão se aplicaNão se aplicaAPENão se aplicaNão se aplica",Mercado_Receita!$L$2:$L$2022)</f>
        <v>435.58100000000002</v>
      </c>
      <c r="K5" s="12">
        <f>SUMIF(Mercado_Receita!$S$2:$S$2022,"44409A2AzulNão se aplicaNão se aplicaAPENão se aplicaPonta",Mercado_Receita!$L$2:$L$2022)+SUMIF(Mercado_Receita!$S$2:$S$2022,"44409A2AzulNão se aplicaNão se aplicaAPENão se aplicaFora ponta",Mercado_Receita!$L$2:$L$2022)+SUMIF(Mercado_Receita!$S$2:$S$2022,"44409A2AzulNão se aplicaNão se aplicaAPENão se aplicaIntermediário",Mercado_Receita!$L$2:$L$2022)+SUMIF(Mercado_Receita!$S$2:$S$2022,"44409A2AzulNão se aplicaNão se aplicaAPENão se aplicaNão se aplica",Mercado_Receita!$L$2:$L$2022)+SUMIF(Mercado_Receita!$S$2:$S$2022,"44409A2ConvencionalNão se aplicaNão se aplicaAPENão se aplicaNão se aplica",Mercado_Receita!$L$2:$L$2022)</f>
        <v>362.59100000000001</v>
      </c>
      <c r="L5" s="12">
        <f>SUMIF(Mercado_Receita!$S$2:$S$2022,"44440A2AzulNão se aplicaNão se aplicaAPENão se aplicaPonta",Mercado_Receita!$L$2:$L$2022)+SUMIF(Mercado_Receita!$S$2:$S$2022,"44440A2AzulNão se aplicaNão se aplicaAPENão se aplicaFora ponta",Mercado_Receita!$L$2:$L$2022)+SUMIF(Mercado_Receita!$S$2:$S$2022,"44440A2AzulNão se aplicaNão se aplicaAPENão se aplicaIntermediário",Mercado_Receita!$L$2:$L$2022)+SUMIF(Mercado_Receita!$S$2:$S$2022,"44440A2AzulNão se aplicaNão se aplicaAPENão se aplicaNão se aplica",Mercado_Receita!$L$2:$L$2022)+SUMIF(Mercado_Receita!$S$2:$S$2022,"44440A2ConvencionalNão se aplicaNão se aplicaAPENão se aplicaNão se aplica",Mercado_Receita!$L$2:$L$2022)</f>
        <v>415.55700000000002</v>
      </c>
      <c r="M5" s="12">
        <f>SUMIF(Mercado_Receita!$S$2:$S$2022,"44470A2AzulNão se aplicaNão se aplicaAPENão se aplicaPonta",Mercado_Receita!$L$2:$L$2022)+SUMIF(Mercado_Receita!$S$2:$S$2022,"44470A2AzulNão se aplicaNão se aplicaAPENão se aplicaFora ponta",Mercado_Receita!$L$2:$L$2022)+SUMIF(Mercado_Receita!$S$2:$S$2022,"44470A2AzulNão se aplicaNão se aplicaAPENão se aplicaIntermediário",Mercado_Receita!$L$2:$L$2022)+SUMIF(Mercado_Receita!$S$2:$S$2022,"44470A2AzulNão se aplicaNão se aplicaAPENão se aplicaNão se aplica",Mercado_Receita!$L$2:$L$2022)+SUMIF(Mercado_Receita!$S$2:$S$2022,"44470A2ConvencionalNão se aplicaNão se aplicaAPENão se aplicaNão se aplica",Mercado_Receita!$L$2:$L$2022)</f>
        <v>296.41399999999999</v>
      </c>
      <c r="N5" s="12">
        <f>SUMIF(Mercado_Receita!$S$2:$S$2022,"44501A2AzulNão se aplicaNão se aplicaAPENão se aplicaPonta",Mercado_Receita!$L$2:$L$2022)+SUMIF(Mercado_Receita!$S$2:$S$2022,"44501A2AzulNão se aplicaNão se aplicaAPENão se aplicaFora ponta",Mercado_Receita!$L$2:$L$2022)+SUMIF(Mercado_Receita!$S$2:$S$2022,"44501A2AzulNão se aplicaNão se aplicaAPENão se aplicaIntermediário",Mercado_Receita!$L$2:$L$2022)+SUMIF(Mercado_Receita!$S$2:$S$2022,"44501A2AzulNão se aplicaNão se aplicaAPENão se aplicaNão se aplica",Mercado_Receita!$L$2:$L$2022)+SUMIF(Mercado_Receita!$S$2:$S$2022,"44501A2ConvencionalNão se aplicaNão se aplicaAPENão se aplicaNão se aplica",Mercado_Receita!$L$2:$L$2022)</f>
        <v>345.83499999999998</v>
      </c>
      <c r="O5" s="12">
        <f>SUMIF(Mercado_Receita!$S$2:$S$2022,"44531A2AzulNão se aplicaNão se aplicaAPENão se aplicaPonta",Mercado_Receita!$L$2:$L$2022)+SUMIF(Mercado_Receita!$S$2:$S$2022,"44531A2AzulNão se aplicaNão se aplicaAPENão se aplicaFora ponta",Mercado_Receita!$L$2:$L$2022)+SUMIF(Mercado_Receita!$S$2:$S$2022,"44531A2AzulNão se aplicaNão se aplicaAPENão se aplicaIntermediário",Mercado_Receita!$L$2:$L$2022)+SUMIF(Mercado_Receita!$S$2:$S$2022,"44531A2AzulNão se aplicaNão se aplicaAPENão se aplicaNão se aplica",Mercado_Receita!$L$2:$L$2022)+SUMIF(Mercado_Receita!$S$2:$S$2022,"44531A2ConvencionalNão se aplicaNão se aplicaAPENão se aplicaNão se aplica",Mercado_Receita!$L$2:$L$2022)</f>
        <v>358.99900000000002</v>
      </c>
      <c r="P5" s="12">
        <f>SUMIF(Mercado_Receita!$S$2:$S$2022,"44562A2AzulNão se aplicaNão se aplicaAPENão se aplicaPonta",Mercado_Receita!$L$2:$L$2022)+SUMIF(Mercado_Receita!$S$2:$S$2022,"44562A2AzulNão se aplicaNão se aplicaAPENão se aplicaFora ponta",Mercado_Receita!$L$2:$L$2022)+SUMIF(Mercado_Receita!$S$2:$S$2022,"44562A2AzulNão se aplicaNão se aplicaAPENão se aplicaIntermediário",Mercado_Receita!$L$2:$L$2022)+SUMIF(Mercado_Receita!$S$2:$S$2022,"44562A2AzulNão se aplicaNão se aplicaAPENão se aplicaNão se aplica",Mercado_Receita!$L$2:$L$2022)+SUMIF(Mercado_Receita!$S$2:$S$2022,"44562A2ConvencionalNão se aplicaNão se aplicaAPENão se aplicaNão se aplica",Mercado_Receita!$L$2:$L$2022)</f>
        <v>349.25900000000001</v>
      </c>
      <c r="Q5" s="12">
        <f>SUMIF(Mercado_Receita!$S$2:$S$2022,"44593A2AzulNão se aplicaNão se aplicaAPENão se aplicaPonta",Mercado_Receita!$L$2:$L$2022)+SUMIF(Mercado_Receita!$S$2:$S$2022,"44593A2AzulNão se aplicaNão se aplicaAPENão se aplicaFora ponta",Mercado_Receita!$L$2:$L$2022)+SUMIF(Mercado_Receita!$S$2:$S$2022,"44593A2AzulNão se aplicaNão se aplicaAPENão se aplicaIntermediário",Mercado_Receita!$L$2:$L$2022)+SUMIF(Mercado_Receita!$S$2:$S$2022,"44593A2AzulNão se aplicaNão se aplicaAPENão se aplicaNão se aplica",Mercado_Receita!$L$2:$L$2022)+SUMIF(Mercado_Receita!$S$2:$S$2022,"44593A2ConvencionalNão se aplicaNão se aplicaAPENão se aplicaNão se aplica",Mercado_Receita!$L$2:$L$2022)</f>
        <v>435.19299999999998</v>
      </c>
      <c r="R5" s="12">
        <f>SUMIF(Mercado_Receita!$S$2:$S$2022,"44621A2AzulNão se aplicaNão se aplicaAPENão se aplicaPonta",Mercado_Receita!$L$2:$L$2022)+SUMIF(Mercado_Receita!$S$2:$S$2022,"44621A2AzulNão se aplicaNão se aplicaAPENão se aplicaFora ponta",Mercado_Receita!$L$2:$L$2022)+SUMIF(Mercado_Receita!$S$2:$S$2022,"44621A2AzulNão se aplicaNão se aplicaAPENão se aplicaIntermediário",Mercado_Receita!$L$2:$L$2022)+SUMIF(Mercado_Receita!$S$2:$S$2022,"44621A2AzulNão se aplicaNão se aplicaAPENão se aplicaNão se aplica",Mercado_Receita!$L$2:$L$2022)+SUMIF(Mercado_Receita!$S$2:$S$2022,"44621A2ConvencionalNão se aplicaNão se aplicaAPENão se aplicaNão se aplica",Mercado_Receita!$L$2:$L$2022)</f>
        <v>517.96299999999997</v>
      </c>
      <c r="S5" s="12">
        <f>SUMIF(Mercado_Receita!$S$2:$S$2022,"44652A2AzulNão se aplicaNão se aplicaAPENão se aplicaPonta",Mercado_Receita!$L$2:$L$2022)+SUMIF(Mercado_Receita!$S$2:$S$2022,"44652A2AzulNão se aplicaNão se aplicaAPENão se aplicaFora ponta",Mercado_Receita!$L$2:$L$2022)+SUMIF(Mercado_Receita!$S$2:$S$2022,"44652A2AzulNão se aplicaNão se aplicaAPENão se aplicaIntermediário",Mercado_Receita!$L$2:$L$2022)+SUMIF(Mercado_Receita!$S$2:$S$2022,"44652A2AzulNão se aplicaNão se aplicaAPENão se aplicaNão se aplica",Mercado_Receita!$L$2:$L$2022)+SUMIF(Mercado_Receita!$S$2:$S$2022,"44652A2ConvencionalNão se aplicaNão se aplicaAPENão se aplicaNão se aplica",Mercado_Receita!$L$2:$L$2022)</f>
        <v>390.41</v>
      </c>
      <c r="T5" s="12">
        <f>SUMIF(Mercado_Receita!$S$2:$S$2022,"44682A2AzulNão se aplicaNão se aplicaAPENão se aplicaPonta",Mercado_Receita!$L$2:$L$2022)+SUMIF(Mercado_Receita!$S$2:$S$2022,"44682A2AzulNão se aplicaNão se aplicaAPENão se aplicaFora ponta",Mercado_Receita!$L$2:$L$2022)+SUMIF(Mercado_Receita!$S$2:$S$2022,"44682A2AzulNão se aplicaNão se aplicaAPENão se aplicaIntermediário",Mercado_Receita!$L$2:$L$2022)+SUMIF(Mercado_Receita!$S$2:$S$2022,"44682A2AzulNão se aplicaNão se aplicaAPENão se aplicaNão se aplica",Mercado_Receita!$L$2:$L$2022)+SUMIF(Mercado_Receita!$S$2:$S$2022,"44682A2ConvencionalNão se aplicaNão se aplicaAPENão se aplicaNão se aplica",Mercado_Receita!$L$2:$L$2022)</f>
        <v>390.41</v>
      </c>
      <c r="U5" s="12">
        <f t="shared" si="0"/>
        <v>4666.2299999999996</v>
      </c>
      <c r="V5" s="12"/>
      <c r="W5" s="12"/>
    </row>
    <row r="6" spans="1:30" ht="11.25" customHeight="1" x14ac:dyDescent="0.25">
      <c r="A6" s="102"/>
      <c r="B6" s="101" t="s">
        <v>64</v>
      </c>
      <c r="C6" s="101" t="s">
        <v>25</v>
      </c>
      <c r="D6" s="101" t="s">
        <v>25</v>
      </c>
      <c r="E6" s="101" t="s">
        <v>25</v>
      </c>
      <c r="F6" s="13" t="s">
        <v>65</v>
      </c>
      <c r="G6" s="12" t="s">
        <v>9</v>
      </c>
      <c r="H6" s="12" t="s">
        <v>120</v>
      </c>
      <c r="I6" s="12">
        <f>SUMIF(Mercado_Receita!$S$2:$S$2022,"44348A2GeraçãoNão se aplicaNão se aplicaNão se aplicaPCH ANNA MARIANão se aplica",Mercado_Receita!$J$2:$J$2022)+SUMIF(Mercado_Receita!$S$2:$S$2022,"44348A2GeraçãoNão se aplicaNão se aplicaAPEPCH ANNA MARIANão se aplica",Mercado_Receita!$J$2:$J$2022)</f>
        <v>1640</v>
      </c>
      <c r="J6" s="12">
        <f>SUMIF(Mercado_Receita!$S$2:$S$2022,"44378A2GeraçãoNão se aplicaNão se aplicaNão se aplicaPCH ANNA MARIANão se aplica",Mercado_Receita!$J$2:$J$2022)+SUMIF(Mercado_Receita!$S$2:$S$2022,"44378A2GeraçãoNão se aplicaNão se aplicaAPEPCH ANNA MARIANão se aplica",Mercado_Receita!$J$2:$J$2022)</f>
        <v>1640</v>
      </c>
      <c r="K6" s="12">
        <f>SUMIF(Mercado_Receita!$S$2:$S$2022,"44409A2GeraçãoNão se aplicaNão se aplicaNão se aplicaPCH ANNA MARIANão se aplica",Mercado_Receita!$J$2:$J$2022)+SUMIF(Mercado_Receita!$S$2:$S$2022,"44409A2GeraçãoNão se aplicaNão se aplicaAPEPCH ANNA MARIANão se aplica",Mercado_Receita!$J$2:$J$2022)</f>
        <v>1640</v>
      </c>
      <c r="L6" s="12">
        <f>SUMIF(Mercado_Receita!$S$2:$S$2022,"44440A2GeraçãoNão se aplicaNão se aplicaNão se aplicaPCH ANNA MARIANão se aplica",Mercado_Receita!$J$2:$J$2022)+SUMIF(Mercado_Receita!$S$2:$S$2022,"44440A2GeraçãoNão se aplicaNão se aplicaAPEPCH ANNA MARIANão se aplica",Mercado_Receita!$J$2:$J$2022)</f>
        <v>1640</v>
      </c>
      <c r="M6" s="12">
        <f>SUMIF(Mercado_Receita!$S$2:$S$2022,"44470A2GeraçãoNão se aplicaNão se aplicaNão se aplicaPCH ANNA MARIANão se aplica",Mercado_Receita!$J$2:$J$2022)+SUMIF(Mercado_Receita!$S$2:$S$2022,"44470A2GeraçãoNão se aplicaNão se aplicaAPEPCH ANNA MARIANão se aplica",Mercado_Receita!$J$2:$J$2022)</f>
        <v>1640</v>
      </c>
      <c r="N6" s="12">
        <f>SUMIF(Mercado_Receita!$S$2:$S$2022,"44501A2GeraçãoNão se aplicaNão se aplicaNão se aplicaPCH ANNA MARIANão se aplica",Mercado_Receita!$J$2:$J$2022)+SUMIF(Mercado_Receita!$S$2:$S$2022,"44501A2GeraçãoNão se aplicaNão se aplicaAPEPCH ANNA MARIANão se aplica",Mercado_Receita!$J$2:$J$2022)</f>
        <v>1640</v>
      </c>
      <c r="O6" s="12">
        <f>SUMIF(Mercado_Receita!$S$2:$S$2022,"44531A2GeraçãoNão se aplicaNão se aplicaNão se aplicaPCH ANNA MARIANão se aplica",Mercado_Receita!$J$2:$J$2022)+SUMIF(Mercado_Receita!$S$2:$S$2022,"44531A2GeraçãoNão se aplicaNão se aplicaAPEPCH ANNA MARIANão se aplica",Mercado_Receita!$J$2:$J$2022)</f>
        <v>1640</v>
      </c>
      <c r="P6" s="12">
        <f>SUMIF(Mercado_Receita!$S$2:$S$2022,"44562A2GeraçãoNão se aplicaNão se aplicaNão se aplicaPCH ANNA MARIANão se aplica",Mercado_Receita!$J$2:$J$2022)+SUMIF(Mercado_Receita!$S$2:$S$2022,"44562A2GeraçãoNão se aplicaNão se aplicaAPEPCH ANNA MARIANão se aplica",Mercado_Receita!$J$2:$J$2022)</f>
        <v>1640</v>
      </c>
      <c r="Q6" s="12">
        <f>SUMIF(Mercado_Receita!$S$2:$S$2022,"44593A2GeraçãoNão se aplicaNão se aplicaNão se aplicaPCH ANNA MARIANão se aplica",Mercado_Receita!$J$2:$J$2022)+SUMIF(Mercado_Receita!$S$2:$S$2022,"44593A2GeraçãoNão se aplicaNão se aplicaAPEPCH ANNA MARIANão se aplica",Mercado_Receita!$J$2:$J$2022)</f>
        <v>1640</v>
      </c>
      <c r="R6" s="12">
        <f>SUMIF(Mercado_Receita!$S$2:$S$2022,"44621A2GeraçãoNão se aplicaNão se aplicaNão se aplicaPCH ANNA MARIANão se aplica",Mercado_Receita!$J$2:$J$2022)+SUMIF(Mercado_Receita!$S$2:$S$2022,"44621A2GeraçãoNão se aplicaNão se aplicaAPEPCH ANNA MARIANão se aplica",Mercado_Receita!$J$2:$J$2022)</f>
        <v>1640</v>
      </c>
      <c r="S6" s="12">
        <f>SUMIF(Mercado_Receita!$S$2:$S$2022,"44652A2GeraçãoNão se aplicaNão se aplicaNão se aplicaPCH ANNA MARIANão se aplica",Mercado_Receita!$J$2:$J$2022)+SUMIF(Mercado_Receita!$S$2:$S$2022,"44652A2GeraçãoNão se aplicaNão se aplicaAPEPCH ANNA MARIANão se aplica",Mercado_Receita!$J$2:$J$2022)</f>
        <v>1640</v>
      </c>
      <c r="T6" s="12">
        <f>SUMIF(Mercado_Receita!$S$2:$S$2022,"44682A2GeraçãoNão se aplicaNão se aplicaNão se aplicaPCH ANNA MARIANão se aplica",Mercado_Receita!$J$2:$J$2022)+SUMIF(Mercado_Receita!$S$2:$S$2022,"44682A2GeraçãoNão se aplicaNão se aplicaAPEPCH ANNA MARIANão se aplica",Mercado_Receita!$J$2:$J$2022)</f>
        <v>1640</v>
      </c>
      <c r="U6" s="12">
        <f t="shared" si="0"/>
        <v>19680</v>
      </c>
      <c r="V6" s="12"/>
      <c r="W6" s="12"/>
    </row>
    <row r="7" spans="1:30" ht="11.25" customHeight="1" x14ac:dyDescent="0.25">
      <c r="A7" s="102"/>
      <c r="B7" s="102"/>
      <c r="C7" s="102"/>
      <c r="D7" s="102"/>
      <c r="E7" s="102"/>
      <c r="F7" s="13" t="s">
        <v>67</v>
      </c>
      <c r="G7" s="12" t="s">
        <v>9</v>
      </c>
      <c r="H7" s="12" t="s">
        <v>120</v>
      </c>
      <c r="I7" s="12">
        <f>SUMIF(Mercado_Receita!$S$2:$S$2022,"44348A2GeraçãoNão se aplicaNão se aplicaNão se aplicaUHE BARRA DO BRAUNANão se aplica",Mercado_Receita!$J$2:$J$2022)+SUMIF(Mercado_Receita!$S$2:$S$2022,"44348A2GeraçãoNão se aplicaNão se aplicaAPEUHE BARRA DO BRAUNANão se aplica",Mercado_Receita!$J$2:$J$2022)</f>
        <v>39500</v>
      </c>
      <c r="J7" s="12">
        <f>SUMIF(Mercado_Receita!$S$2:$S$2022,"44378A2GeraçãoNão se aplicaNão se aplicaNão se aplicaUHE BARRA DO BRAUNANão se aplica",Mercado_Receita!$J$2:$J$2022)+SUMIF(Mercado_Receita!$S$2:$S$2022,"44378A2GeraçãoNão se aplicaNão se aplicaAPEUHE BARRA DO BRAUNANão se aplica",Mercado_Receita!$J$2:$J$2022)</f>
        <v>39500</v>
      </c>
      <c r="K7" s="12">
        <f>SUMIF(Mercado_Receita!$S$2:$S$2022,"44409A2GeraçãoNão se aplicaNão se aplicaNão se aplicaUHE BARRA DO BRAUNANão se aplica",Mercado_Receita!$J$2:$J$2022)+SUMIF(Mercado_Receita!$S$2:$S$2022,"44409A2GeraçãoNão se aplicaNão se aplicaAPEUHE BARRA DO BRAUNANão se aplica",Mercado_Receita!$J$2:$J$2022)</f>
        <v>39500</v>
      </c>
      <c r="L7" s="12">
        <f>SUMIF(Mercado_Receita!$S$2:$S$2022,"44440A2GeraçãoNão se aplicaNão se aplicaNão se aplicaUHE BARRA DO BRAUNANão se aplica",Mercado_Receita!$J$2:$J$2022)+SUMIF(Mercado_Receita!$S$2:$S$2022,"44440A2GeraçãoNão se aplicaNão se aplicaAPEUHE BARRA DO BRAUNANão se aplica",Mercado_Receita!$J$2:$J$2022)</f>
        <v>39500</v>
      </c>
      <c r="M7" s="12">
        <f>SUMIF(Mercado_Receita!$S$2:$S$2022,"44470A2GeraçãoNão se aplicaNão se aplicaNão se aplicaUHE BARRA DO BRAUNANão se aplica",Mercado_Receita!$J$2:$J$2022)+SUMIF(Mercado_Receita!$S$2:$S$2022,"44470A2GeraçãoNão se aplicaNão se aplicaAPEUHE BARRA DO BRAUNANão se aplica",Mercado_Receita!$J$2:$J$2022)</f>
        <v>39500</v>
      </c>
      <c r="N7" s="12">
        <f>SUMIF(Mercado_Receita!$S$2:$S$2022,"44501A2GeraçãoNão se aplicaNão se aplicaNão se aplicaUHE BARRA DO BRAUNANão se aplica",Mercado_Receita!$J$2:$J$2022)+SUMIF(Mercado_Receita!$S$2:$S$2022,"44501A2GeraçãoNão se aplicaNão se aplicaAPEUHE BARRA DO BRAUNANão se aplica",Mercado_Receita!$J$2:$J$2022)</f>
        <v>39500</v>
      </c>
      <c r="O7" s="12">
        <f>SUMIF(Mercado_Receita!$S$2:$S$2022,"44531A2GeraçãoNão se aplicaNão se aplicaNão se aplicaUHE BARRA DO BRAUNANão se aplica",Mercado_Receita!$J$2:$J$2022)+SUMIF(Mercado_Receita!$S$2:$S$2022,"44531A2GeraçãoNão se aplicaNão se aplicaAPEUHE BARRA DO BRAUNANão se aplica",Mercado_Receita!$J$2:$J$2022)</f>
        <v>39500</v>
      </c>
      <c r="P7" s="12">
        <f>SUMIF(Mercado_Receita!$S$2:$S$2022,"44562A2GeraçãoNão se aplicaNão se aplicaNão se aplicaUHE BARRA DO BRAUNANão se aplica",Mercado_Receita!$J$2:$J$2022)+SUMIF(Mercado_Receita!$S$2:$S$2022,"44562A2GeraçãoNão se aplicaNão se aplicaAPEUHE BARRA DO BRAUNANão se aplica",Mercado_Receita!$J$2:$J$2022)</f>
        <v>39500</v>
      </c>
      <c r="Q7" s="12">
        <f>SUMIF(Mercado_Receita!$S$2:$S$2022,"44593A2GeraçãoNão se aplicaNão se aplicaNão se aplicaUHE BARRA DO BRAUNANão se aplica",Mercado_Receita!$J$2:$J$2022)+SUMIF(Mercado_Receita!$S$2:$S$2022,"44593A2GeraçãoNão se aplicaNão se aplicaAPEUHE BARRA DO BRAUNANão se aplica",Mercado_Receita!$J$2:$J$2022)</f>
        <v>39500</v>
      </c>
      <c r="R7" s="12">
        <f>SUMIF(Mercado_Receita!$S$2:$S$2022,"44621A2GeraçãoNão se aplicaNão se aplicaNão se aplicaUHE BARRA DO BRAUNANão se aplica",Mercado_Receita!$J$2:$J$2022)+SUMIF(Mercado_Receita!$S$2:$S$2022,"44621A2GeraçãoNão se aplicaNão se aplicaAPEUHE BARRA DO BRAUNANão se aplica",Mercado_Receita!$J$2:$J$2022)</f>
        <v>39500</v>
      </c>
      <c r="S7" s="12">
        <f>SUMIF(Mercado_Receita!$S$2:$S$2022,"44652A2GeraçãoNão se aplicaNão se aplicaNão se aplicaUHE BARRA DO BRAUNANão se aplica",Mercado_Receita!$J$2:$J$2022)+SUMIF(Mercado_Receita!$S$2:$S$2022,"44652A2GeraçãoNão se aplicaNão se aplicaAPEUHE BARRA DO BRAUNANão se aplica",Mercado_Receita!$J$2:$J$2022)</f>
        <v>39500</v>
      </c>
      <c r="T7" s="12">
        <f>SUMIF(Mercado_Receita!$S$2:$S$2022,"44682A2GeraçãoNão se aplicaNão se aplicaNão se aplicaUHE BARRA DO BRAUNANão se aplica",Mercado_Receita!$J$2:$J$2022)+SUMIF(Mercado_Receita!$S$2:$S$2022,"44682A2GeraçãoNão se aplicaNão se aplicaAPEUHE BARRA DO BRAUNANão se aplica",Mercado_Receita!$J$2:$J$2022)</f>
        <v>39500</v>
      </c>
      <c r="U7" s="12">
        <f t="shared" si="0"/>
        <v>474000</v>
      </c>
      <c r="V7" s="12"/>
      <c r="W7" s="12"/>
    </row>
    <row r="8" spans="1:30" ht="11.25" customHeight="1" x14ac:dyDescent="0.25">
      <c r="A8" s="102"/>
      <c r="B8" s="102"/>
      <c r="C8" s="102"/>
      <c r="D8" s="102"/>
      <c r="E8" s="102"/>
      <c r="F8" s="13" t="s">
        <v>69</v>
      </c>
      <c r="G8" s="12" t="s">
        <v>9</v>
      </c>
      <c r="H8" s="12" t="s">
        <v>120</v>
      </c>
      <c r="I8" s="12">
        <f>SUMIF(Mercado_Receita!$S$2:$S$2022,"44348A2GeraçãoNão se aplicaNão se aplicaNão se aplicaPCH JOAO CAMILO PENANão se aplica",Mercado_Receita!$J$2:$J$2022)+SUMIF(Mercado_Receita!$S$2:$S$2022,"44348A2GeraçãoNão se aplicaNão se aplicaAPEPCH JOAO CAMILO PENANão se aplica",Mercado_Receita!$J$2:$J$2022)</f>
        <v>22000</v>
      </c>
      <c r="J8" s="12">
        <f>SUMIF(Mercado_Receita!$S$2:$S$2022,"44378A2GeraçãoNão se aplicaNão se aplicaNão se aplicaPCH JOAO CAMILO PENANão se aplica",Mercado_Receita!$J$2:$J$2022)+SUMIF(Mercado_Receita!$S$2:$S$2022,"44378A2GeraçãoNão se aplicaNão se aplicaAPEPCH JOAO CAMILO PENANão se aplica",Mercado_Receita!$J$2:$J$2022)</f>
        <v>22000</v>
      </c>
      <c r="K8" s="12">
        <f>SUMIF(Mercado_Receita!$S$2:$S$2022,"44409A2GeraçãoNão se aplicaNão se aplicaNão se aplicaPCH JOAO CAMILO PENANão se aplica",Mercado_Receita!$J$2:$J$2022)+SUMIF(Mercado_Receita!$S$2:$S$2022,"44409A2GeraçãoNão se aplicaNão se aplicaAPEPCH JOAO CAMILO PENANão se aplica",Mercado_Receita!$J$2:$J$2022)</f>
        <v>22000</v>
      </c>
      <c r="L8" s="12">
        <f>SUMIF(Mercado_Receita!$S$2:$S$2022,"44440A2GeraçãoNão se aplicaNão se aplicaNão se aplicaPCH JOAO CAMILO PENANão se aplica",Mercado_Receita!$J$2:$J$2022)+SUMIF(Mercado_Receita!$S$2:$S$2022,"44440A2GeraçãoNão se aplicaNão se aplicaAPEPCH JOAO CAMILO PENANão se aplica",Mercado_Receita!$J$2:$J$2022)</f>
        <v>22000</v>
      </c>
      <c r="M8" s="12">
        <f>SUMIF(Mercado_Receita!$S$2:$S$2022,"44470A2GeraçãoNão se aplicaNão se aplicaNão se aplicaPCH JOAO CAMILO PENANão se aplica",Mercado_Receita!$J$2:$J$2022)+SUMIF(Mercado_Receita!$S$2:$S$2022,"44470A2GeraçãoNão se aplicaNão se aplicaAPEPCH JOAO CAMILO PENANão se aplica",Mercado_Receita!$J$2:$J$2022)</f>
        <v>22000</v>
      </c>
      <c r="N8" s="12">
        <f>SUMIF(Mercado_Receita!$S$2:$S$2022,"44501A2GeraçãoNão se aplicaNão se aplicaNão se aplicaPCH JOAO CAMILO PENANão se aplica",Mercado_Receita!$J$2:$J$2022)+SUMIF(Mercado_Receita!$S$2:$S$2022,"44501A2GeraçãoNão se aplicaNão se aplicaAPEPCH JOAO CAMILO PENANão se aplica",Mercado_Receita!$J$2:$J$2022)</f>
        <v>22000</v>
      </c>
      <c r="O8" s="12">
        <f>SUMIF(Mercado_Receita!$S$2:$S$2022,"44531A2GeraçãoNão se aplicaNão se aplicaNão se aplicaPCH JOAO CAMILO PENANão se aplica",Mercado_Receita!$J$2:$J$2022)+SUMIF(Mercado_Receita!$S$2:$S$2022,"44531A2GeraçãoNão se aplicaNão se aplicaAPEPCH JOAO CAMILO PENANão se aplica",Mercado_Receita!$J$2:$J$2022)</f>
        <v>22000</v>
      </c>
      <c r="P8" s="12">
        <f>SUMIF(Mercado_Receita!$S$2:$S$2022,"44562A2GeraçãoNão se aplicaNão se aplicaNão se aplicaPCH JOAO CAMILO PENANão se aplica",Mercado_Receita!$J$2:$J$2022)+SUMIF(Mercado_Receita!$S$2:$S$2022,"44562A2GeraçãoNão se aplicaNão se aplicaAPEPCH JOAO CAMILO PENANão se aplica",Mercado_Receita!$J$2:$J$2022)</f>
        <v>22000</v>
      </c>
      <c r="Q8" s="12">
        <f>SUMIF(Mercado_Receita!$S$2:$S$2022,"44593A2GeraçãoNão se aplicaNão se aplicaNão se aplicaPCH JOAO CAMILO PENANão se aplica",Mercado_Receita!$J$2:$J$2022)+SUMIF(Mercado_Receita!$S$2:$S$2022,"44593A2GeraçãoNão se aplicaNão se aplicaAPEPCH JOAO CAMILO PENANão se aplica",Mercado_Receita!$J$2:$J$2022)</f>
        <v>22004</v>
      </c>
      <c r="R8" s="12">
        <f>SUMIF(Mercado_Receita!$S$2:$S$2022,"44621A2GeraçãoNão se aplicaNão se aplicaNão se aplicaPCH JOAO CAMILO PENANão se aplica",Mercado_Receita!$J$2:$J$2022)+SUMIF(Mercado_Receita!$S$2:$S$2022,"44621A2GeraçãoNão se aplicaNão se aplicaAPEPCH JOAO CAMILO PENANão se aplica",Mercado_Receita!$J$2:$J$2022)</f>
        <v>22000</v>
      </c>
      <c r="S8" s="12">
        <f>SUMIF(Mercado_Receita!$S$2:$S$2022,"44652A2GeraçãoNão se aplicaNão se aplicaNão se aplicaPCH JOAO CAMILO PENANão se aplica",Mercado_Receita!$J$2:$J$2022)+SUMIF(Mercado_Receita!$S$2:$S$2022,"44652A2GeraçãoNão se aplicaNão se aplicaAPEPCH JOAO CAMILO PENANão se aplica",Mercado_Receita!$J$2:$J$2022)</f>
        <v>22000</v>
      </c>
      <c r="T8" s="12">
        <f>SUMIF(Mercado_Receita!$S$2:$S$2022,"44682A2GeraçãoNão se aplicaNão se aplicaNão se aplicaPCH JOAO CAMILO PENANão se aplica",Mercado_Receita!$J$2:$J$2022)+SUMIF(Mercado_Receita!$S$2:$S$2022,"44682A2GeraçãoNão se aplicaNão se aplicaAPEPCH JOAO CAMILO PENANão se aplica",Mercado_Receita!$J$2:$J$2022)</f>
        <v>22000</v>
      </c>
      <c r="U8" s="12">
        <f t="shared" si="0"/>
        <v>264004</v>
      </c>
      <c r="V8" s="12"/>
      <c r="W8" s="12"/>
    </row>
    <row r="9" spans="1:30" ht="11.25" customHeight="1" x14ac:dyDescent="0.25">
      <c r="A9" s="102"/>
      <c r="B9" s="102"/>
      <c r="C9" s="102"/>
      <c r="D9" s="102"/>
      <c r="E9" s="102"/>
      <c r="F9" s="13" t="s">
        <v>72</v>
      </c>
      <c r="G9" s="12" t="s">
        <v>9</v>
      </c>
      <c r="H9" s="12" t="s">
        <v>120</v>
      </c>
      <c r="I9" s="12">
        <f>SUMIF(Mercado_Receita!$S$2:$S$2022,"44348A2GeraçãoNão se aplicaNão se aplicaNão se aplicaPCH TULIO CORDEIRO DE MELONão se aplica",Mercado_Receita!$J$2:$J$2022)+SUMIF(Mercado_Receita!$S$2:$S$2022,"44348A2GeraçãoNão se aplicaNão se aplicaAPEPCH TULIO CORDEIRO DE MELONão se aplica",Mercado_Receita!$J$2:$J$2022)</f>
        <v>16500</v>
      </c>
      <c r="J9" s="12">
        <f>SUMIF(Mercado_Receita!$S$2:$S$2022,"44378A2GeraçãoNão se aplicaNão se aplicaNão se aplicaPCH TULIO CORDEIRO DE MELONão se aplica",Mercado_Receita!$J$2:$J$2022)+SUMIF(Mercado_Receita!$S$2:$S$2022,"44378A2GeraçãoNão se aplicaNão se aplicaAPEPCH TULIO CORDEIRO DE MELONão se aplica",Mercado_Receita!$J$2:$J$2022)</f>
        <v>16500</v>
      </c>
      <c r="K9" s="12">
        <f>SUMIF(Mercado_Receita!$S$2:$S$2022,"44409A2GeraçãoNão se aplicaNão se aplicaNão se aplicaPCH TULIO CORDEIRO DE MELONão se aplica",Mercado_Receita!$J$2:$J$2022)+SUMIF(Mercado_Receita!$S$2:$S$2022,"44409A2GeraçãoNão se aplicaNão se aplicaAPEPCH TULIO CORDEIRO DE MELONão se aplica",Mercado_Receita!$J$2:$J$2022)</f>
        <v>16500</v>
      </c>
      <c r="L9" s="12">
        <f>SUMIF(Mercado_Receita!$S$2:$S$2022,"44440A2GeraçãoNão se aplicaNão se aplicaNão se aplicaPCH TULIO CORDEIRO DE MELONão se aplica",Mercado_Receita!$J$2:$J$2022)+SUMIF(Mercado_Receita!$S$2:$S$2022,"44440A2GeraçãoNão se aplicaNão se aplicaAPEPCH TULIO CORDEIRO DE MELONão se aplica",Mercado_Receita!$J$2:$J$2022)</f>
        <v>16500</v>
      </c>
      <c r="M9" s="12">
        <f>SUMIF(Mercado_Receita!$S$2:$S$2022,"44470A2GeraçãoNão se aplicaNão se aplicaNão se aplicaPCH TULIO CORDEIRO DE MELONão se aplica",Mercado_Receita!$J$2:$J$2022)+SUMIF(Mercado_Receita!$S$2:$S$2022,"44470A2GeraçãoNão se aplicaNão se aplicaAPEPCH TULIO CORDEIRO DE MELONão se aplica",Mercado_Receita!$J$2:$J$2022)</f>
        <v>16500</v>
      </c>
      <c r="N9" s="12">
        <f>SUMIF(Mercado_Receita!$S$2:$S$2022,"44501A2GeraçãoNão se aplicaNão se aplicaNão se aplicaPCH TULIO CORDEIRO DE MELONão se aplica",Mercado_Receita!$J$2:$J$2022)+SUMIF(Mercado_Receita!$S$2:$S$2022,"44501A2GeraçãoNão se aplicaNão se aplicaAPEPCH TULIO CORDEIRO DE MELONão se aplica",Mercado_Receita!$J$2:$J$2022)</f>
        <v>16500</v>
      </c>
      <c r="O9" s="12">
        <f>SUMIF(Mercado_Receita!$S$2:$S$2022,"44531A2GeraçãoNão se aplicaNão se aplicaNão se aplicaPCH TULIO CORDEIRO DE MELONão se aplica",Mercado_Receita!$J$2:$J$2022)+SUMIF(Mercado_Receita!$S$2:$S$2022,"44531A2GeraçãoNão se aplicaNão se aplicaAPEPCH TULIO CORDEIRO DE MELONão se aplica",Mercado_Receita!$J$2:$J$2022)</f>
        <v>16500</v>
      </c>
      <c r="P9" s="12">
        <f>SUMIF(Mercado_Receita!$S$2:$S$2022,"44562A2GeraçãoNão se aplicaNão se aplicaNão se aplicaPCH TULIO CORDEIRO DE MELONão se aplica",Mercado_Receita!$J$2:$J$2022)+SUMIF(Mercado_Receita!$S$2:$S$2022,"44562A2GeraçãoNão se aplicaNão se aplicaAPEPCH TULIO CORDEIRO DE MELONão se aplica",Mercado_Receita!$J$2:$J$2022)</f>
        <v>16500</v>
      </c>
      <c r="Q9" s="12">
        <f>SUMIF(Mercado_Receita!$S$2:$S$2022,"44593A2GeraçãoNão se aplicaNão se aplicaNão se aplicaPCH TULIO CORDEIRO DE MELONão se aplica",Mercado_Receita!$J$2:$J$2022)+SUMIF(Mercado_Receita!$S$2:$S$2022,"44593A2GeraçãoNão se aplicaNão se aplicaAPEPCH TULIO CORDEIRO DE MELONão se aplica",Mercado_Receita!$J$2:$J$2022)</f>
        <v>16500</v>
      </c>
      <c r="R9" s="12">
        <f>SUMIF(Mercado_Receita!$S$2:$S$2022,"44621A2GeraçãoNão se aplicaNão se aplicaNão se aplicaPCH TULIO CORDEIRO DE MELONão se aplica",Mercado_Receita!$J$2:$J$2022)+SUMIF(Mercado_Receita!$S$2:$S$2022,"44621A2GeraçãoNão se aplicaNão se aplicaAPEPCH TULIO CORDEIRO DE MELONão se aplica",Mercado_Receita!$J$2:$J$2022)</f>
        <v>16500</v>
      </c>
      <c r="S9" s="12">
        <f>SUMIF(Mercado_Receita!$S$2:$S$2022,"44652A2GeraçãoNão se aplicaNão se aplicaNão se aplicaPCH TULIO CORDEIRO DE MELONão se aplica",Mercado_Receita!$J$2:$J$2022)+SUMIF(Mercado_Receita!$S$2:$S$2022,"44652A2GeraçãoNão se aplicaNão se aplicaAPEPCH TULIO CORDEIRO DE MELONão se aplica",Mercado_Receita!$J$2:$J$2022)</f>
        <v>16500</v>
      </c>
      <c r="T9" s="12">
        <f>SUMIF(Mercado_Receita!$S$2:$S$2022,"44682A2GeraçãoNão se aplicaNão se aplicaNão se aplicaPCH TULIO CORDEIRO DE MELONão se aplica",Mercado_Receita!$J$2:$J$2022)+SUMIF(Mercado_Receita!$S$2:$S$2022,"44682A2GeraçãoNão se aplicaNão se aplicaAPEPCH TULIO CORDEIRO DE MELONão se aplica",Mercado_Receita!$J$2:$J$2022)</f>
        <v>16500</v>
      </c>
      <c r="U9" s="12">
        <f t="shared" si="0"/>
        <v>198000</v>
      </c>
      <c r="V9" s="12"/>
      <c r="W9" s="12"/>
    </row>
    <row r="10" spans="1:30" ht="11.25" customHeight="1" x14ac:dyDescent="0.25">
      <c r="A10" s="102"/>
      <c r="B10" s="102"/>
      <c r="C10" s="102"/>
      <c r="D10" s="102"/>
      <c r="E10" s="102"/>
      <c r="F10" s="13" t="s">
        <v>73</v>
      </c>
      <c r="G10" s="12" t="s">
        <v>9</v>
      </c>
      <c r="H10" s="12" t="s">
        <v>120</v>
      </c>
      <c r="I10" s="12">
        <f>SUMIF(Mercado_Receita!$S$2:$S$2022,"44348A2GeraçãoNão se aplicaNão se aplicaNão se aplicaPCH GUARYNão se aplica",Mercado_Receita!$J$2:$J$2022)+SUMIF(Mercado_Receita!$S$2:$S$2022,"44348A2GeraçãoNão se aplicaNão se aplicaAPEPCH GUARYNão se aplica",Mercado_Receita!$J$2:$J$2022)</f>
        <v>5320</v>
      </c>
      <c r="J10" s="12">
        <f>SUMIF(Mercado_Receita!$S$2:$S$2022,"44378A2GeraçãoNão se aplicaNão se aplicaNão se aplicaPCH GUARYNão se aplica",Mercado_Receita!$J$2:$J$2022)+SUMIF(Mercado_Receita!$S$2:$S$2022,"44378A2GeraçãoNão se aplicaNão se aplicaAPEPCH GUARYNão se aplica",Mercado_Receita!$J$2:$J$2022)</f>
        <v>5320</v>
      </c>
      <c r="K10" s="12">
        <f>SUMIF(Mercado_Receita!$S$2:$S$2022,"44409A2GeraçãoNão se aplicaNão se aplicaNão se aplicaPCH GUARYNão se aplica",Mercado_Receita!$J$2:$J$2022)+SUMIF(Mercado_Receita!$S$2:$S$2022,"44409A2GeraçãoNão se aplicaNão se aplicaAPEPCH GUARYNão se aplica",Mercado_Receita!$J$2:$J$2022)</f>
        <v>5320</v>
      </c>
      <c r="L10" s="12">
        <f>SUMIF(Mercado_Receita!$S$2:$S$2022,"44440A2GeraçãoNão se aplicaNão se aplicaNão se aplicaPCH GUARYNão se aplica",Mercado_Receita!$J$2:$J$2022)+SUMIF(Mercado_Receita!$S$2:$S$2022,"44440A2GeraçãoNão se aplicaNão se aplicaAPEPCH GUARYNão se aplica",Mercado_Receita!$J$2:$J$2022)</f>
        <v>5320</v>
      </c>
      <c r="M10" s="12">
        <f>SUMIF(Mercado_Receita!$S$2:$S$2022,"44470A2GeraçãoNão se aplicaNão se aplicaNão se aplicaPCH GUARYNão se aplica",Mercado_Receita!$J$2:$J$2022)+SUMIF(Mercado_Receita!$S$2:$S$2022,"44470A2GeraçãoNão se aplicaNão se aplicaAPEPCH GUARYNão se aplica",Mercado_Receita!$J$2:$J$2022)</f>
        <v>5320</v>
      </c>
      <c r="N10" s="12">
        <f>SUMIF(Mercado_Receita!$S$2:$S$2022,"44501A2GeraçãoNão se aplicaNão se aplicaNão se aplicaPCH GUARYNão se aplica",Mercado_Receita!$J$2:$J$2022)+SUMIF(Mercado_Receita!$S$2:$S$2022,"44501A2GeraçãoNão se aplicaNão se aplicaAPEPCH GUARYNão se aplica",Mercado_Receita!$J$2:$J$2022)</f>
        <v>5320</v>
      </c>
      <c r="O10" s="12">
        <f>SUMIF(Mercado_Receita!$S$2:$S$2022,"44531A2GeraçãoNão se aplicaNão se aplicaNão se aplicaPCH GUARYNão se aplica",Mercado_Receita!$J$2:$J$2022)+SUMIF(Mercado_Receita!$S$2:$S$2022,"44531A2GeraçãoNão se aplicaNão se aplicaAPEPCH GUARYNão se aplica",Mercado_Receita!$J$2:$J$2022)</f>
        <v>5320</v>
      </c>
      <c r="P10" s="12">
        <f>SUMIF(Mercado_Receita!$S$2:$S$2022,"44562A2GeraçãoNão se aplicaNão se aplicaNão se aplicaPCH GUARYNão se aplica",Mercado_Receita!$J$2:$J$2022)+SUMIF(Mercado_Receita!$S$2:$S$2022,"44562A2GeraçãoNão se aplicaNão se aplicaAPEPCH GUARYNão se aplica",Mercado_Receita!$J$2:$J$2022)</f>
        <v>5320</v>
      </c>
      <c r="Q10" s="12">
        <f>SUMIF(Mercado_Receita!$S$2:$S$2022,"44593A2GeraçãoNão se aplicaNão se aplicaNão se aplicaPCH GUARYNão se aplica",Mercado_Receita!$J$2:$J$2022)+SUMIF(Mercado_Receita!$S$2:$S$2022,"44593A2GeraçãoNão se aplicaNão se aplicaAPEPCH GUARYNão se aplica",Mercado_Receita!$J$2:$J$2022)</f>
        <v>5320</v>
      </c>
      <c r="R10" s="12">
        <f>SUMIF(Mercado_Receita!$S$2:$S$2022,"44621A2GeraçãoNão se aplicaNão se aplicaNão se aplicaPCH GUARYNão se aplica",Mercado_Receita!$J$2:$J$2022)+SUMIF(Mercado_Receita!$S$2:$S$2022,"44621A2GeraçãoNão se aplicaNão se aplicaAPEPCH GUARYNão se aplica",Mercado_Receita!$J$2:$J$2022)</f>
        <v>5320</v>
      </c>
      <c r="S10" s="12">
        <f>SUMIF(Mercado_Receita!$S$2:$S$2022,"44652A2GeraçãoNão se aplicaNão se aplicaNão se aplicaPCH GUARYNão se aplica",Mercado_Receita!$J$2:$J$2022)+SUMIF(Mercado_Receita!$S$2:$S$2022,"44652A2GeraçãoNão se aplicaNão se aplicaAPEPCH GUARYNão se aplica",Mercado_Receita!$J$2:$J$2022)</f>
        <v>5320</v>
      </c>
      <c r="T10" s="12">
        <f>SUMIF(Mercado_Receita!$S$2:$S$2022,"44682A2GeraçãoNão se aplicaNão se aplicaNão se aplicaPCH GUARYNão se aplica",Mercado_Receita!$J$2:$J$2022)+SUMIF(Mercado_Receita!$S$2:$S$2022,"44682A2GeraçãoNão se aplicaNão se aplicaAPEPCH GUARYNão se aplica",Mercado_Receita!$J$2:$J$2022)</f>
        <v>5320</v>
      </c>
      <c r="U10" s="12">
        <f t="shared" si="0"/>
        <v>63840</v>
      </c>
      <c r="V10" s="12"/>
      <c r="W10" s="12"/>
    </row>
    <row r="11" spans="1:30" ht="11.25" customHeight="1" x14ac:dyDescent="0.25">
      <c r="A11" s="102"/>
      <c r="B11" s="102"/>
      <c r="C11" s="102"/>
      <c r="D11" s="102"/>
      <c r="E11" s="102"/>
      <c r="F11" s="13" t="s">
        <v>75</v>
      </c>
      <c r="G11" s="12" t="s">
        <v>9</v>
      </c>
      <c r="H11" s="12" t="s">
        <v>120</v>
      </c>
      <c r="I11" s="12">
        <f>SUMIF(Mercado_Receita!$S$2:$S$2022,"44348A2GeraçãoNão se aplicaNão se aplicaNão se aplicaUTE JUIZ DE FORANão se aplica",Mercado_Receita!$J$2:$J$2022)+SUMIF(Mercado_Receita!$S$2:$S$2022,"44348A2GeraçãoNão se aplicaNão se aplicaAPEUTE JUIZ DE FORANão se aplica",Mercado_Receita!$J$2:$J$2022)</f>
        <v>42635</v>
      </c>
      <c r="J11" s="12">
        <f>SUMIF(Mercado_Receita!$S$2:$S$2022,"44378A2GeraçãoNão se aplicaNão se aplicaNão se aplicaUTE JUIZ DE FORANão se aplica",Mercado_Receita!$J$2:$J$2022)+SUMIF(Mercado_Receita!$S$2:$S$2022,"44378A2GeraçãoNão se aplicaNão se aplicaAPEUTE JUIZ DE FORANão se aplica",Mercado_Receita!$J$2:$J$2022)</f>
        <v>43360</v>
      </c>
      <c r="K11" s="12">
        <f>SUMIF(Mercado_Receita!$S$2:$S$2022,"44409A2GeraçãoNão se aplicaNão se aplicaNão se aplicaUTE JUIZ DE FORANão se aplica",Mercado_Receita!$J$2:$J$2022)+SUMIF(Mercado_Receita!$S$2:$S$2022,"44409A2GeraçãoNão se aplicaNão se aplicaAPEUTE JUIZ DE FORANão se aplica",Mercado_Receita!$J$2:$J$2022)</f>
        <v>43721</v>
      </c>
      <c r="L11" s="12">
        <f>SUMIF(Mercado_Receita!$S$2:$S$2022,"44440A2GeraçãoNão se aplicaNão se aplicaNão se aplicaUTE JUIZ DE FORANão se aplica",Mercado_Receita!$J$2:$J$2022)+SUMIF(Mercado_Receita!$S$2:$S$2022,"44440A2GeraçãoNão se aplicaNão se aplicaAPEUTE JUIZ DE FORANão se aplica",Mercado_Receita!$J$2:$J$2022)</f>
        <v>44057</v>
      </c>
      <c r="M11" s="12">
        <f>SUMIF(Mercado_Receita!$S$2:$S$2022,"44470A2GeraçãoNão se aplicaNão se aplicaNão se aplicaUTE JUIZ DE FORANão se aplica",Mercado_Receita!$J$2:$J$2022)+SUMIF(Mercado_Receita!$S$2:$S$2022,"44470A2GeraçãoNão se aplicaNão se aplicaAPEUTE JUIZ DE FORANão se aplica",Mercado_Receita!$J$2:$J$2022)</f>
        <v>42500</v>
      </c>
      <c r="N11" s="12">
        <f>SUMIF(Mercado_Receita!$S$2:$S$2022,"44501A2GeraçãoNão se aplicaNão se aplicaNão se aplicaUTE JUIZ DE FORANão se aplica",Mercado_Receita!$J$2:$J$2022)+SUMIF(Mercado_Receita!$S$2:$S$2022,"44501A2GeraçãoNão se aplicaNão se aplicaAPEUTE JUIZ DE FORANão se aplica",Mercado_Receita!$J$2:$J$2022)</f>
        <v>42500</v>
      </c>
      <c r="O11" s="12">
        <f>SUMIF(Mercado_Receita!$S$2:$S$2022,"44531A2GeraçãoNão se aplicaNão se aplicaNão se aplicaUTE JUIZ DE FORANão se aplica",Mercado_Receita!$J$2:$J$2022)+SUMIF(Mercado_Receita!$S$2:$S$2022,"44531A2GeraçãoNão se aplicaNão se aplicaAPEUTE JUIZ DE FORANão se aplica",Mercado_Receita!$J$2:$J$2022)</f>
        <v>42500</v>
      </c>
      <c r="P11" s="12">
        <f>SUMIF(Mercado_Receita!$S$2:$S$2022,"44562A2GeraçãoNão se aplicaNão se aplicaNão se aplicaUTE JUIZ DE FORANão se aplica",Mercado_Receita!$J$2:$J$2022)+SUMIF(Mercado_Receita!$S$2:$S$2022,"44562A2GeraçãoNão se aplicaNão se aplicaAPEUTE JUIZ DE FORANão se aplica",Mercado_Receita!$J$2:$J$2022)</f>
        <v>42500</v>
      </c>
      <c r="Q11" s="12">
        <f>SUMIF(Mercado_Receita!$S$2:$S$2022,"44593A2GeraçãoNão se aplicaNão se aplicaNão se aplicaUTE JUIZ DE FORANão se aplica",Mercado_Receita!$J$2:$J$2022)+SUMIF(Mercado_Receita!$S$2:$S$2022,"44593A2GeraçãoNão se aplicaNão se aplicaAPEUTE JUIZ DE FORANão se aplica",Mercado_Receita!$J$2:$J$2022)</f>
        <v>42500</v>
      </c>
      <c r="R11" s="12">
        <f>SUMIF(Mercado_Receita!$S$2:$S$2022,"44621A2GeraçãoNão se aplicaNão se aplicaNão se aplicaUTE JUIZ DE FORANão se aplica",Mercado_Receita!$J$2:$J$2022)+SUMIF(Mercado_Receita!$S$2:$S$2022,"44621A2GeraçãoNão se aplicaNão se aplicaAPEUTE JUIZ DE FORANão se aplica",Mercado_Receita!$J$2:$J$2022)</f>
        <v>42500</v>
      </c>
      <c r="S11" s="12">
        <f>SUMIF(Mercado_Receita!$S$2:$S$2022,"44652A2GeraçãoNão se aplicaNão se aplicaNão se aplicaUTE JUIZ DE FORANão se aplica",Mercado_Receita!$J$2:$J$2022)+SUMIF(Mercado_Receita!$S$2:$S$2022,"44652A2GeraçãoNão se aplicaNão se aplicaAPEUTE JUIZ DE FORANão se aplica",Mercado_Receita!$J$2:$J$2022)</f>
        <v>42500</v>
      </c>
      <c r="T11" s="12">
        <f>SUMIF(Mercado_Receita!$S$2:$S$2022,"44682A2GeraçãoNão se aplicaNão se aplicaNão se aplicaUTE JUIZ DE FORANão se aplica",Mercado_Receita!$J$2:$J$2022)+SUMIF(Mercado_Receita!$S$2:$S$2022,"44682A2GeraçãoNão se aplicaNão se aplicaAPEUTE JUIZ DE FORANão se aplica",Mercado_Receita!$J$2:$J$2022)</f>
        <v>42500</v>
      </c>
      <c r="U11" s="12">
        <f t="shared" si="0"/>
        <v>513773</v>
      </c>
      <c r="V11" s="12"/>
      <c r="W11" s="12"/>
    </row>
    <row r="12" spans="1:30" ht="11.25" customHeight="1" x14ac:dyDescent="0.25">
      <c r="A12" s="102"/>
      <c r="B12" s="102"/>
      <c r="C12" s="102"/>
      <c r="D12" s="102"/>
      <c r="E12" s="102"/>
      <c r="F12" s="13" t="s">
        <v>86</v>
      </c>
      <c r="G12" s="12" t="s">
        <v>9</v>
      </c>
      <c r="H12" s="12" t="s">
        <v>120</v>
      </c>
      <c r="I12" s="12">
        <f>SUMIF(Mercado_Receita!$S$2:$S$2022,"44348A2GeraçãoNão se aplicaNão se aplicaNão se aplicaPCH IVAN BOTELHO III (TRIUNFO)Não se aplica",Mercado_Receita!$J$2:$J$2022)+SUMIF(Mercado_Receita!$S$2:$S$2022,"44348A2GeraçãoNão se aplicaNão se aplicaAPEPCH IVAN BOTELHO III (TRIUNFO)Não se aplica",Mercado_Receita!$J$2:$J$2022)</f>
        <v>24400</v>
      </c>
      <c r="J12" s="12">
        <f>SUMIF(Mercado_Receita!$S$2:$S$2022,"44378A2GeraçãoNão se aplicaNão se aplicaNão se aplicaPCH IVAN BOTELHO III (TRIUNFO)Não se aplica",Mercado_Receita!$J$2:$J$2022)+SUMIF(Mercado_Receita!$S$2:$S$2022,"44378A2GeraçãoNão se aplicaNão se aplicaAPEPCH IVAN BOTELHO III (TRIUNFO)Não se aplica",Mercado_Receita!$J$2:$J$2022)</f>
        <v>24400</v>
      </c>
      <c r="K12" s="12">
        <f>SUMIF(Mercado_Receita!$S$2:$S$2022,"44409A2GeraçãoNão se aplicaNão se aplicaNão se aplicaPCH IVAN BOTELHO III (TRIUNFO)Não se aplica",Mercado_Receita!$J$2:$J$2022)+SUMIF(Mercado_Receita!$S$2:$S$2022,"44409A2GeraçãoNão se aplicaNão se aplicaAPEPCH IVAN BOTELHO III (TRIUNFO)Não se aplica",Mercado_Receita!$J$2:$J$2022)</f>
        <v>24400</v>
      </c>
      <c r="L12" s="12">
        <f>SUMIF(Mercado_Receita!$S$2:$S$2022,"44440A2GeraçãoNão se aplicaNão se aplicaNão se aplicaPCH IVAN BOTELHO III (TRIUNFO)Não se aplica",Mercado_Receita!$J$2:$J$2022)+SUMIF(Mercado_Receita!$S$2:$S$2022,"44440A2GeraçãoNão se aplicaNão se aplicaAPEPCH IVAN BOTELHO III (TRIUNFO)Não se aplica",Mercado_Receita!$J$2:$J$2022)</f>
        <v>24400</v>
      </c>
      <c r="M12" s="12">
        <f>SUMIF(Mercado_Receita!$S$2:$S$2022,"44470A2GeraçãoNão se aplicaNão se aplicaNão se aplicaPCH IVAN BOTELHO III (TRIUNFO)Não se aplica",Mercado_Receita!$J$2:$J$2022)+SUMIF(Mercado_Receita!$S$2:$S$2022,"44470A2GeraçãoNão se aplicaNão se aplicaAPEPCH IVAN BOTELHO III (TRIUNFO)Não se aplica",Mercado_Receita!$J$2:$J$2022)</f>
        <v>24400</v>
      </c>
      <c r="N12" s="12">
        <f>SUMIF(Mercado_Receita!$S$2:$S$2022,"44501A2GeraçãoNão se aplicaNão se aplicaNão se aplicaPCH IVAN BOTELHO III (TRIUNFO)Não se aplica",Mercado_Receita!$J$2:$J$2022)+SUMIF(Mercado_Receita!$S$2:$S$2022,"44501A2GeraçãoNão se aplicaNão se aplicaAPEPCH IVAN BOTELHO III (TRIUNFO)Não se aplica",Mercado_Receita!$J$2:$J$2022)</f>
        <v>24400</v>
      </c>
      <c r="O12" s="12">
        <f>SUMIF(Mercado_Receita!$S$2:$S$2022,"44531A2GeraçãoNão se aplicaNão se aplicaNão se aplicaPCH IVAN BOTELHO III (TRIUNFO)Não se aplica",Mercado_Receita!$J$2:$J$2022)+SUMIF(Mercado_Receita!$S$2:$S$2022,"44531A2GeraçãoNão se aplicaNão se aplicaAPEPCH IVAN BOTELHO III (TRIUNFO)Não se aplica",Mercado_Receita!$J$2:$J$2022)</f>
        <v>24400</v>
      </c>
      <c r="P12" s="12">
        <f>SUMIF(Mercado_Receita!$S$2:$S$2022,"44562A2GeraçãoNão se aplicaNão se aplicaNão se aplicaPCH IVAN BOTELHO III (TRIUNFO)Não se aplica",Mercado_Receita!$J$2:$J$2022)+SUMIF(Mercado_Receita!$S$2:$S$2022,"44562A2GeraçãoNão se aplicaNão se aplicaAPEPCH IVAN BOTELHO III (TRIUNFO)Não se aplica",Mercado_Receita!$J$2:$J$2022)</f>
        <v>24400</v>
      </c>
      <c r="Q12" s="12">
        <f>SUMIF(Mercado_Receita!$S$2:$S$2022,"44593A2GeraçãoNão se aplicaNão se aplicaNão se aplicaPCH IVAN BOTELHO III (TRIUNFO)Não se aplica",Mercado_Receita!$J$2:$J$2022)+SUMIF(Mercado_Receita!$S$2:$S$2022,"44593A2GeraçãoNão se aplicaNão se aplicaAPEPCH IVAN BOTELHO III (TRIUNFO)Não se aplica",Mercado_Receita!$J$2:$J$2022)</f>
        <v>24400</v>
      </c>
      <c r="R12" s="12">
        <f>SUMIF(Mercado_Receita!$S$2:$S$2022,"44621A2GeraçãoNão se aplicaNão se aplicaNão se aplicaPCH IVAN BOTELHO III (TRIUNFO)Não se aplica",Mercado_Receita!$J$2:$J$2022)+SUMIF(Mercado_Receita!$S$2:$S$2022,"44621A2GeraçãoNão se aplicaNão se aplicaAPEPCH IVAN BOTELHO III (TRIUNFO)Não se aplica",Mercado_Receita!$J$2:$J$2022)</f>
        <v>24400</v>
      </c>
      <c r="S12" s="12">
        <f>SUMIF(Mercado_Receita!$S$2:$S$2022,"44652A2GeraçãoNão se aplicaNão se aplicaNão se aplicaPCH IVAN BOTELHO III (TRIUNFO)Não se aplica",Mercado_Receita!$J$2:$J$2022)+SUMIF(Mercado_Receita!$S$2:$S$2022,"44652A2GeraçãoNão se aplicaNão se aplicaAPEPCH IVAN BOTELHO III (TRIUNFO)Não se aplica",Mercado_Receita!$J$2:$J$2022)</f>
        <v>24400</v>
      </c>
      <c r="T12" s="12">
        <f>SUMIF(Mercado_Receita!$S$2:$S$2022,"44682A2GeraçãoNão se aplicaNão se aplicaNão se aplicaPCH IVAN BOTELHO III (TRIUNFO)Não se aplica",Mercado_Receita!$J$2:$J$2022)+SUMIF(Mercado_Receita!$S$2:$S$2022,"44682A2GeraçãoNão se aplicaNão se aplicaAPEPCH IVAN BOTELHO III (TRIUNFO)Não se aplica",Mercado_Receita!$J$2:$J$2022)</f>
        <v>24400</v>
      </c>
      <c r="U12" s="12">
        <f t="shared" si="0"/>
        <v>292800</v>
      </c>
      <c r="V12" s="12"/>
      <c r="W12" s="12"/>
    </row>
    <row r="13" spans="1:30" ht="11.25" customHeight="1" x14ac:dyDescent="0.25">
      <c r="A13" s="102"/>
      <c r="B13" s="102"/>
      <c r="C13" s="102"/>
      <c r="D13" s="102"/>
      <c r="E13" s="102"/>
      <c r="F13" s="13" t="s">
        <v>87</v>
      </c>
      <c r="G13" s="12" t="s">
        <v>9</v>
      </c>
      <c r="H13" s="12" t="s">
        <v>120</v>
      </c>
      <c r="I13" s="12">
        <f>SUMIF(Mercado_Receita!$S$2:$S$2022,"44348A2GeraçãoNão se aplicaNão se aplicaNão se aplicaPCH IVAN BOTELHO I (PONTE)Não se aplica",Mercado_Receita!$J$2:$J$2022)+SUMIF(Mercado_Receita!$S$2:$S$2022,"44348A2GeraçãoNão se aplicaNão se aplicaAPEPCH IVAN BOTELHO I (PONTE)Não se aplica",Mercado_Receita!$J$2:$J$2022)</f>
        <v>25000</v>
      </c>
      <c r="J13" s="12">
        <f>SUMIF(Mercado_Receita!$S$2:$S$2022,"44378A2GeraçãoNão se aplicaNão se aplicaNão se aplicaPCH IVAN BOTELHO I (PONTE)Não se aplica",Mercado_Receita!$J$2:$J$2022)+SUMIF(Mercado_Receita!$S$2:$S$2022,"44378A2GeraçãoNão se aplicaNão se aplicaAPEPCH IVAN BOTELHO I (PONTE)Não se aplica",Mercado_Receita!$J$2:$J$2022)</f>
        <v>25000</v>
      </c>
      <c r="K13" s="12">
        <f>SUMIF(Mercado_Receita!$S$2:$S$2022,"44409A2GeraçãoNão se aplicaNão se aplicaNão se aplicaPCH IVAN BOTELHO I (PONTE)Não se aplica",Mercado_Receita!$J$2:$J$2022)+SUMIF(Mercado_Receita!$S$2:$S$2022,"44409A2GeraçãoNão se aplicaNão se aplicaAPEPCH IVAN BOTELHO I (PONTE)Não se aplica",Mercado_Receita!$J$2:$J$2022)</f>
        <v>25000</v>
      </c>
      <c r="L13" s="12">
        <f>SUMIF(Mercado_Receita!$S$2:$S$2022,"44440A2GeraçãoNão se aplicaNão se aplicaNão se aplicaPCH IVAN BOTELHO I (PONTE)Não se aplica",Mercado_Receita!$J$2:$J$2022)+SUMIF(Mercado_Receita!$S$2:$S$2022,"44440A2GeraçãoNão se aplicaNão se aplicaAPEPCH IVAN BOTELHO I (PONTE)Não se aplica",Mercado_Receita!$J$2:$J$2022)</f>
        <v>25000</v>
      </c>
      <c r="M13" s="12">
        <f>SUMIF(Mercado_Receita!$S$2:$S$2022,"44470A2GeraçãoNão se aplicaNão se aplicaNão se aplicaPCH IVAN BOTELHO I (PONTE)Não se aplica",Mercado_Receita!$J$2:$J$2022)+SUMIF(Mercado_Receita!$S$2:$S$2022,"44470A2GeraçãoNão se aplicaNão se aplicaAPEPCH IVAN BOTELHO I (PONTE)Não se aplica",Mercado_Receita!$J$2:$J$2022)</f>
        <v>25000</v>
      </c>
      <c r="N13" s="12">
        <f>SUMIF(Mercado_Receita!$S$2:$S$2022,"44501A2GeraçãoNão se aplicaNão se aplicaNão se aplicaPCH IVAN BOTELHO I (PONTE)Não se aplica",Mercado_Receita!$J$2:$J$2022)+SUMIF(Mercado_Receita!$S$2:$S$2022,"44501A2GeraçãoNão se aplicaNão se aplicaAPEPCH IVAN BOTELHO I (PONTE)Não se aplica",Mercado_Receita!$J$2:$J$2022)</f>
        <v>25000</v>
      </c>
      <c r="O13" s="12">
        <f>SUMIF(Mercado_Receita!$S$2:$S$2022,"44531A2GeraçãoNão se aplicaNão se aplicaNão se aplicaPCH IVAN BOTELHO I (PONTE)Não se aplica",Mercado_Receita!$J$2:$J$2022)+SUMIF(Mercado_Receita!$S$2:$S$2022,"44531A2GeraçãoNão se aplicaNão se aplicaAPEPCH IVAN BOTELHO I (PONTE)Não se aplica",Mercado_Receita!$J$2:$J$2022)</f>
        <v>25000</v>
      </c>
      <c r="P13" s="12">
        <f>SUMIF(Mercado_Receita!$S$2:$S$2022,"44562A2GeraçãoNão se aplicaNão se aplicaNão se aplicaPCH IVAN BOTELHO I (PONTE)Não se aplica",Mercado_Receita!$J$2:$J$2022)+SUMIF(Mercado_Receita!$S$2:$S$2022,"44562A2GeraçãoNão se aplicaNão se aplicaAPEPCH IVAN BOTELHO I (PONTE)Não se aplica",Mercado_Receita!$J$2:$J$2022)</f>
        <v>25000</v>
      </c>
      <c r="Q13" s="12">
        <f>SUMIF(Mercado_Receita!$S$2:$S$2022,"44593A2GeraçãoNão se aplicaNão se aplicaNão se aplicaPCH IVAN BOTELHO I (PONTE)Não se aplica",Mercado_Receita!$J$2:$J$2022)+SUMIF(Mercado_Receita!$S$2:$S$2022,"44593A2GeraçãoNão se aplicaNão se aplicaAPEPCH IVAN BOTELHO I (PONTE)Não se aplica",Mercado_Receita!$J$2:$J$2022)</f>
        <v>25000</v>
      </c>
      <c r="R13" s="12">
        <f>SUMIF(Mercado_Receita!$S$2:$S$2022,"44621A2GeraçãoNão se aplicaNão se aplicaNão se aplicaPCH IVAN BOTELHO I (PONTE)Não se aplica",Mercado_Receita!$J$2:$J$2022)+SUMIF(Mercado_Receita!$S$2:$S$2022,"44621A2GeraçãoNão se aplicaNão se aplicaAPEPCH IVAN BOTELHO I (PONTE)Não se aplica",Mercado_Receita!$J$2:$J$2022)</f>
        <v>25000</v>
      </c>
      <c r="S13" s="12">
        <f>SUMIF(Mercado_Receita!$S$2:$S$2022,"44652A2GeraçãoNão se aplicaNão se aplicaNão se aplicaPCH IVAN BOTELHO I (PONTE)Não se aplica",Mercado_Receita!$J$2:$J$2022)+SUMIF(Mercado_Receita!$S$2:$S$2022,"44652A2GeraçãoNão se aplicaNão se aplicaAPEPCH IVAN BOTELHO I (PONTE)Não se aplica",Mercado_Receita!$J$2:$J$2022)</f>
        <v>25000</v>
      </c>
      <c r="T13" s="12">
        <f>SUMIF(Mercado_Receita!$S$2:$S$2022,"44682A2GeraçãoNão se aplicaNão se aplicaNão se aplicaPCH IVAN BOTELHO I (PONTE)Não se aplica",Mercado_Receita!$J$2:$J$2022)+SUMIF(Mercado_Receita!$S$2:$S$2022,"44682A2GeraçãoNão se aplicaNão se aplicaAPEPCH IVAN BOTELHO I (PONTE)Não se aplica",Mercado_Receita!$J$2:$J$2022)</f>
        <v>25000</v>
      </c>
      <c r="U13" s="12">
        <f t="shared" si="0"/>
        <v>300000</v>
      </c>
      <c r="V13" s="12"/>
      <c r="W13" s="12"/>
    </row>
    <row r="14" spans="1:30" ht="11.25" customHeight="1" x14ac:dyDescent="0.25">
      <c r="A14" s="102"/>
      <c r="B14" s="102"/>
      <c r="C14" s="102"/>
      <c r="D14" s="102"/>
      <c r="E14" s="102"/>
      <c r="F14" s="13" t="s">
        <v>89</v>
      </c>
      <c r="G14" s="12" t="s">
        <v>9</v>
      </c>
      <c r="H14" s="12" t="s">
        <v>120</v>
      </c>
      <c r="I14" s="12">
        <f>SUMIF(Mercado_Receita!$S$2:$S$2022,"44348A2GeraçãoNão se aplicaNão se aplicaNão se aplicaPCH IVAN BOTELHO II (PALESTINA)Não se aplica",Mercado_Receita!$J$2:$J$2022)+SUMIF(Mercado_Receita!$S$2:$S$2022,"44348A2GeraçãoNão se aplicaNão se aplicaAPEPCH IVAN BOTELHO II (PALESTINA)Não se aplica",Mercado_Receita!$J$2:$J$2022)</f>
        <v>12600</v>
      </c>
      <c r="J14" s="12">
        <f>SUMIF(Mercado_Receita!$S$2:$S$2022,"44378A2GeraçãoNão se aplicaNão se aplicaNão se aplicaPCH IVAN BOTELHO II (PALESTINA)Não se aplica",Mercado_Receita!$J$2:$J$2022)+SUMIF(Mercado_Receita!$S$2:$S$2022,"44378A2GeraçãoNão se aplicaNão se aplicaAPEPCH IVAN BOTELHO II (PALESTINA)Não se aplica",Mercado_Receita!$J$2:$J$2022)</f>
        <v>12600</v>
      </c>
      <c r="K14" s="12">
        <f>SUMIF(Mercado_Receita!$S$2:$S$2022,"44409A2GeraçãoNão se aplicaNão se aplicaNão se aplicaPCH IVAN BOTELHO II (PALESTINA)Não se aplica",Mercado_Receita!$J$2:$J$2022)+SUMIF(Mercado_Receita!$S$2:$S$2022,"44409A2GeraçãoNão se aplicaNão se aplicaAPEPCH IVAN BOTELHO II (PALESTINA)Não se aplica",Mercado_Receita!$J$2:$J$2022)</f>
        <v>12600</v>
      </c>
      <c r="L14" s="12">
        <f>SUMIF(Mercado_Receita!$S$2:$S$2022,"44440A2GeraçãoNão se aplicaNão se aplicaNão se aplicaPCH IVAN BOTELHO II (PALESTINA)Não se aplica",Mercado_Receita!$J$2:$J$2022)+SUMIF(Mercado_Receita!$S$2:$S$2022,"44440A2GeraçãoNão se aplicaNão se aplicaAPEPCH IVAN BOTELHO II (PALESTINA)Não se aplica",Mercado_Receita!$J$2:$J$2022)</f>
        <v>12600</v>
      </c>
      <c r="M14" s="12">
        <f>SUMIF(Mercado_Receita!$S$2:$S$2022,"44470A2GeraçãoNão se aplicaNão se aplicaNão se aplicaPCH IVAN BOTELHO II (PALESTINA)Não se aplica",Mercado_Receita!$J$2:$J$2022)+SUMIF(Mercado_Receita!$S$2:$S$2022,"44470A2GeraçãoNão se aplicaNão se aplicaAPEPCH IVAN BOTELHO II (PALESTINA)Não se aplica",Mercado_Receita!$J$2:$J$2022)</f>
        <v>12600</v>
      </c>
      <c r="N14" s="12">
        <f>SUMIF(Mercado_Receita!$S$2:$S$2022,"44501A2GeraçãoNão se aplicaNão se aplicaNão se aplicaPCH IVAN BOTELHO II (PALESTINA)Não se aplica",Mercado_Receita!$J$2:$J$2022)+SUMIF(Mercado_Receita!$S$2:$S$2022,"44501A2GeraçãoNão se aplicaNão se aplicaAPEPCH IVAN BOTELHO II (PALESTINA)Não se aplica",Mercado_Receita!$J$2:$J$2022)</f>
        <v>12600</v>
      </c>
      <c r="O14" s="12">
        <f>SUMIF(Mercado_Receita!$S$2:$S$2022,"44531A2GeraçãoNão se aplicaNão se aplicaNão se aplicaPCH IVAN BOTELHO II (PALESTINA)Não se aplica",Mercado_Receita!$J$2:$J$2022)+SUMIF(Mercado_Receita!$S$2:$S$2022,"44531A2GeraçãoNão se aplicaNão se aplicaAPEPCH IVAN BOTELHO II (PALESTINA)Não se aplica",Mercado_Receita!$J$2:$J$2022)</f>
        <v>12600</v>
      </c>
      <c r="P14" s="12">
        <f>SUMIF(Mercado_Receita!$S$2:$S$2022,"44562A2GeraçãoNão se aplicaNão se aplicaNão se aplicaPCH IVAN BOTELHO II (PALESTINA)Não se aplica",Mercado_Receita!$J$2:$J$2022)+SUMIF(Mercado_Receita!$S$2:$S$2022,"44562A2GeraçãoNão se aplicaNão se aplicaAPEPCH IVAN BOTELHO II (PALESTINA)Não se aplica",Mercado_Receita!$J$2:$J$2022)</f>
        <v>12600</v>
      </c>
      <c r="Q14" s="12">
        <f>SUMIF(Mercado_Receita!$S$2:$S$2022,"44593A2GeraçãoNão se aplicaNão se aplicaNão se aplicaPCH IVAN BOTELHO II (PALESTINA)Não se aplica",Mercado_Receita!$J$2:$J$2022)+SUMIF(Mercado_Receita!$S$2:$S$2022,"44593A2GeraçãoNão se aplicaNão se aplicaAPEPCH IVAN BOTELHO II (PALESTINA)Não se aplica",Mercado_Receita!$J$2:$J$2022)</f>
        <v>12600</v>
      </c>
      <c r="R14" s="12">
        <f>SUMIF(Mercado_Receita!$S$2:$S$2022,"44621A2GeraçãoNão se aplicaNão se aplicaNão se aplicaPCH IVAN BOTELHO II (PALESTINA)Não se aplica",Mercado_Receita!$J$2:$J$2022)+SUMIF(Mercado_Receita!$S$2:$S$2022,"44621A2GeraçãoNão se aplicaNão se aplicaAPEPCH IVAN BOTELHO II (PALESTINA)Não se aplica",Mercado_Receita!$J$2:$J$2022)</f>
        <v>12600</v>
      </c>
      <c r="S14" s="12">
        <f>SUMIF(Mercado_Receita!$S$2:$S$2022,"44652A2GeraçãoNão se aplicaNão se aplicaNão se aplicaPCH IVAN BOTELHO II (PALESTINA)Não se aplica",Mercado_Receita!$J$2:$J$2022)+SUMIF(Mercado_Receita!$S$2:$S$2022,"44652A2GeraçãoNão se aplicaNão se aplicaAPEPCH IVAN BOTELHO II (PALESTINA)Não se aplica",Mercado_Receita!$J$2:$J$2022)</f>
        <v>12600</v>
      </c>
      <c r="T14" s="12">
        <f>SUMIF(Mercado_Receita!$S$2:$S$2022,"44682A2GeraçãoNão se aplicaNão se aplicaNão se aplicaPCH IVAN BOTELHO II (PALESTINA)Não se aplica",Mercado_Receita!$J$2:$J$2022)+SUMIF(Mercado_Receita!$S$2:$S$2022,"44682A2GeraçãoNão se aplicaNão se aplicaAPEPCH IVAN BOTELHO II (PALESTINA)Não se aplica",Mercado_Receita!$J$2:$J$2022)</f>
        <v>12600</v>
      </c>
      <c r="U14" s="12">
        <f t="shared" si="0"/>
        <v>151200</v>
      </c>
      <c r="V14" s="12"/>
      <c r="W14" s="12"/>
    </row>
    <row r="15" spans="1:30" ht="11.25" customHeight="1" x14ac:dyDescent="0.25">
      <c r="A15" s="102"/>
      <c r="B15" s="102"/>
      <c r="C15" s="102"/>
      <c r="D15" s="102"/>
      <c r="E15" s="102"/>
      <c r="F15" s="13" t="s">
        <v>92</v>
      </c>
      <c r="G15" s="12" t="s">
        <v>9</v>
      </c>
      <c r="H15" s="12" t="s">
        <v>120</v>
      </c>
      <c r="I15" s="12">
        <f>SUMIF(Mercado_Receita!$S$2:$S$2022,"44348A2GeraçãoNão se aplicaNão se aplicaNão se aplicaPCH ZE TUNINNão se aplica",Mercado_Receita!$J$2:$J$2022)+SUMIF(Mercado_Receita!$S$2:$S$2022,"44348A2GeraçãoNão se aplicaNão se aplicaAPEPCH ZE TUNINNão se aplica",Mercado_Receita!$J$2:$J$2022)</f>
        <v>8100</v>
      </c>
      <c r="J15" s="12">
        <f>SUMIF(Mercado_Receita!$S$2:$S$2022,"44378A2GeraçãoNão se aplicaNão se aplicaNão se aplicaPCH ZE TUNINNão se aplica",Mercado_Receita!$J$2:$J$2022)+SUMIF(Mercado_Receita!$S$2:$S$2022,"44378A2GeraçãoNão se aplicaNão se aplicaAPEPCH ZE TUNINNão se aplica",Mercado_Receita!$J$2:$J$2022)</f>
        <v>8100</v>
      </c>
      <c r="K15" s="12">
        <f>SUMIF(Mercado_Receita!$S$2:$S$2022,"44409A2GeraçãoNão se aplicaNão se aplicaNão se aplicaPCH ZE TUNINNão se aplica",Mercado_Receita!$J$2:$J$2022)+SUMIF(Mercado_Receita!$S$2:$S$2022,"44409A2GeraçãoNão se aplicaNão se aplicaAPEPCH ZE TUNINNão se aplica",Mercado_Receita!$J$2:$J$2022)</f>
        <v>8100</v>
      </c>
      <c r="L15" s="12">
        <f>SUMIF(Mercado_Receita!$S$2:$S$2022,"44440A2GeraçãoNão se aplicaNão se aplicaNão se aplicaPCH ZE TUNINNão se aplica",Mercado_Receita!$J$2:$J$2022)+SUMIF(Mercado_Receita!$S$2:$S$2022,"44440A2GeraçãoNão se aplicaNão se aplicaAPEPCH ZE TUNINNão se aplica",Mercado_Receita!$J$2:$J$2022)</f>
        <v>8100</v>
      </c>
      <c r="M15" s="12">
        <f>SUMIF(Mercado_Receita!$S$2:$S$2022,"44470A2GeraçãoNão se aplicaNão se aplicaNão se aplicaPCH ZE TUNINNão se aplica",Mercado_Receita!$J$2:$J$2022)+SUMIF(Mercado_Receita!$S$2:$S$2022,"44470A2GeraçãoNão se aplicaNão se aplicaAPEPCH ZE TUNINNão se aplica",Mercado_Receita!$J$2:$J$2022)</f>
        <v>8100</v>
      </c>
      <c r="N15" s="12">
        <f>SUMIF(Mercado_Receita!$S$2:$S$2022,"44501A2GeraçãoNão se aplicaNão se aplicaNão se aplicaPCH ZE TUNINNão se aplica",Mercado_Receita!$J$2:$J$2022)+SUMIF(Mercado_Receita!$S$2:$S$2022,"44501A2GeraçãoNão se aplicaNão se aplicaAPEPCH ZE TUNINNão se aplica",Mercado_Receita!$J$2:$J$2022)</f>
        <v>8100</v>
      </c>
      <c r="O15" s="12">
        <f>SUMIF(Mercado_Receita!$S$2:$S$2022,"44531A2GeraçãoNão se aplicaNão se aplicaNão se aplicaPCH ZE TUNINNão se aplica",Mercado_Receita!$J$2:$J$2022)+SUMIF(Mercado_Receita!$S$2:$S$2022,"44531A2GeraçãoNão se aplicaNão se aplicaAPEPCH ZE TUNINNão se aplica",Mercado_Receita!$J$2:$J$2022)</f>
        <v>8100</v>
      </c>
      <c r="P15" s="12">
        <f>SUMIF(Mercado_Receita!$S$2:$S$2022,"44562A2GeraçãoNão se aplicaNão se aplicaNão se aplicaPCH ZE TUNINNão se aplica",Mercado_Receita!$J$2:$J$2022)+SUMIF(Mercado_Receita!$S$2:$S$2022,"44562A2GeraçãoNão se aplicaNão se aplicaAPEPCH ZE TUNINNão se aplica",Mercado_Receita!$J$2:$J$2022)</f>
        <v>8100</v>
      </c>
      <c r="Q15" s="12">
        <f>SUMIF(Mercado_Receita!$S$2:$S$2022,"44593A2GeraçãoNão se aplicaNão se aplicaNão se aplicaPCH ZE TUNINNão se aplica",Mercado_Receita!$J$2:$J$2022)+SUMIF(Mercado_Receita!$S$2:$S$2022,"44593A2GeraçãoNão se aplicaNão se aplicaAPEPCH ZE TUNINNão se aplica",Mercado_Receita!$J$2:$J$2022)</f>
        <v>8100</v>
      </c>
      <c r="R15" s="12">
        <f>SUMIF(Mercado_Receita!$S$2:$S$2022,"44621A2GeraçãoNão se aplicaNão se aplicaNão se aplicaPCH ZE TUNINNão se aplica",Mercado_Receita!$J$2:$J$2022)+SUMIF(Mercado_Receita!$S$2:$S$2022,"44621A2GeraçãoNão se aplicaNão se aplicaAPEPCH ZE TUNINNão se aplica",Mercado_Receita!$J$2:$J$2022)</f>
        <v>8100</v>
      </c>
      <c r="S15" s="12">
        <f>SUMIF(Mercado_Receita!$S$2:$S$2022,"44652A2GeraçãoNão se aplicaNão se aplicaNão se aplicaPCH ZE TUNINNão se aplica",Mercado_Receita!$J$2:$J$2022)+SUMIF(Mercado_Receita!$S$2:$S$2022,"44652A2GeraçãoNão se aplicaNão se aplicaAPEPCH ZE TUNINNão se aplica",Mercado_Receita!$J$2:$J$2022)</f>
        <v>8100</v>
      </c>
      <c r="T15" s="12">
        <f>SUMIF(Mercado_Receita!$S$2:$S$2022,"44682A2GeraçãoNão se aplicaNão se aplicaNão se aplicaPCH ZE TUNINNão se aplica",Mercado_Receita!$J$2:$J$2022)+SUMIF(Mercado_Receita!$S$2:$S$2022,"44682A2GeraçãoNão se aplicaNão se aplicaAPEPCH ZE TUNINNão se aplica",Mercado_Receita!$J$2:$J$2022)</f>
        <v>8100</v>
      </c>
      <c r="U15" s="12">
        <f t="shared" si="0"/>
        <v>97200</v>
      </c>
      <c r="V15" s="12"/>
      <c r="W15" s="12"/>
    </row>
    <row r="16" spans="1:30" ht="11.25" customHeight="1" x14ac:dyDescent="0.25">
      <c r="A16" s="102"/>
      <c r="B16" s="102"/>
      <c r="C16" s="102"/>
      <c r="D16" s="102"/>
      <c r="E16" s="102"/>
      <c r="F16" s="13" t="s">
        <v>124</v>
      </c>
      <c r="G16" s="12" t="s">
        <v>9</v>
      </c>
      <c r="H16" s="12" t="s">
        <v>120</v>
      </c>
      <c r="I16" s="12">
        <f>SUMIF(Mercado_Receita!$S$2:$S$2022,"44348A2GeraçãoNão se aplicaNão se aplicaNão se aplicaNOVO GERADORNão se aplica",Mercado_Receita!$J$2:$J$2022)+SUMIF(Mercado_Receita!$S$2:$S$2022,"44348A2GeraçãoNão se aplicaNão se aplicaAPENOVO GERADORNão se aplica",Mercado_Receita!$J$2:$J$2022)</f>
        <v>0</v>
      </c>
      <c r="J16" s="12">
        <f>SUMIF(Mercado_Receita!$S$2:$S$2022,"44378A2GeraçãoNão se aplicaNão se aplicaNão se aplicaNOVO GERADORNão se aplica",Mercado_Receita!$J$2:$J$2022)+SUMIF(Mercado_Receita!$S$2:$S$2022,"44378A2GeraçãoNão se aplicaNão se aplicaAPENOVO GERADORNão se aplica",Mercado_Receita!$J$2:$J$2022)</f>
        <v>0</v>
      </c>
      <c r="K16" s="12">
        <f>SUMIF(Mercado_Receita!$S$2:$S$2022,"44409A2GeraçãoNão se aplicaNão se aplicaNão se aplicaNOVO GERADORNão se aplica",Mercado_Receita!$J$2:$J$2022)+SUMIF(Mercado_Receita!$S$2:$S$2022,"44409A2GeraçãoNão se aplicaNão se aplicaAPENOVO GERADORNão se aplica",Mercado_Receita!$J$2:$J$2022)</f>
        <v>0</v>
      </c>
      <c r="L16" s="12">
        <f>SUMIF(Mercado_Receita!$S$2:$S$2022,"44440A2GeraçãoNão se aplicaNão se aplicaNão se aplicaNOVO GERADORNão se aplica",Mercado_Receita!$J$2:$J$2022)+SUMIF(Mercado_Receita!$S$2:$S$2022,"44440A2GeraçãoNão se aplicaNão se aplicaAPENOVO GERADORNão se aplica",Mercado_Receita!$J$2:$J$2022)</f>
        <v>0</v>
      </c>
      <c r="M16" s="12">
        <f>SUMIF(Mercado_Receita!$S$2:$S$2022,"44470A2GeraçãoNão se aplicaNão se aplicaNão se aplicaNOVO GERADORNão se aplica",Mercado_Receita!$J$2:$J$2022)+SUMIF(Mercado_Receita!$S$2:$S$2022,"44470A2GeraçãoNão se aplicaNão se aplicaAPENOVO GERADORNão se aplica",Mercado_Receita!$J$2:$J$2022)</f>
        <v>0</v>
      </c>
      <c r="N16" s="12">
        <f>SUMIF(Mercado_Receita!$S$2:$S$2022,"44501A2GeraçãoNão se aplicaNão se aplicaNão se aplicaNOVO GERADORNão se aplica",Mercado_Receita!$J$2:$J$2022)+SUMIF(Mercado_Receita!$S$2:$S$2022,"44501A2GeraçãoNão se aplicaNão se aplicaAPENOVO GERADORNão se aplica",Mercado_Receita!$J$2:$J$2022)</f>
        <v>0</v>
      </c>
      <c r="O16" s="12">
        <f>SUMIF(Mercado_Receita!$S$2:$S$2022,"44531A2GeraçãoNão se aplicaNão se aplicaNão se aplicaNOVO GERADORNão se aplica",Mercado_Receita!$J$2:$J$2022)+SUMIF(Mercado_Receita!$S$2:$S$2022,"44531A2GeraçãoNão se aplicaNão se aplicaAPENOVO GERADORNão se aplica",Mercado_Receita!$J$2:$J$2022)</f>
        <v>0</v>
      </c>
      <c r="P16" s="12">
        <f>SUMIF(Mercado_Receita!$S$2:$S$2022,"44562A2GeraçãoNão se aplicaNão se aplicaNão se aplicaNOVO GERADORNão se aplica",Mercado_Receita!$J$2:$J$2022)+SUMIF(Mercado_Receita!$S$2:$S$2022,"44562A2GeraçãoNão se aplicaNão se aplicaAPENOVO GERADORNão se aplica",Mercado_Receita!$J$2:$J$2022)</f>
        <v>0</v>
      </c>
      <c r="Q16" s="12">
        <f>SUMIF(Mercado_Receita!$S$2:$S$2022,"44593A2GeraçãoNão se aplicaNão se aplicaNão se aplicaNOVO GERADORNão se aplica",Mercado_Receita!$J$2:$J$2022)+SUMIF(Mercado_Receita!$S$2:$S$2022,"44593A2GeraçãoNão se aplicaNão se aplicaAPENOVO GERADORNão se aplica",Mercado_Receita!$J$2:$J$2022)</f>
        <v>0</v>
      </c>
      <c r="R16" s="12">
        <f>SUMIF(Mercado_Receita!$S$2:$S$2022,"44621A2GeraçãoNão se aplicaNão se aplicaNão se aplicaNOVO GERADORNão se aplica",Mercado_Receita!$J$2:$J$2022)+SUMIF(Mercado_Receita!$S$2:$S$2022,"44621A2GeraçãoNão se aplicaNão se aplicaAPENOVO GERADORNão se aplica",Mercado_Receita!$J$2:$J$2022)</f>
        <v>0</v>
      </c>
      <c r="S16" s="12">
        <f>SUMIF(Mercado_Receita!$S$2:$S$2022,"44652A2GeraçãoNão se aplicaNão se aplicaNão se aplicaNOVO GERADORNão se aplica",Mercado_Receita!$J$2:$J$2022)+SUMIF(Mercado_Receita!$S$2:$S$2022,"44652A2GeraçãoNão se aplicaNão se aplicaAPENOVO GERADORNão se aplica",Mercado_Receita!$J$2:$J$2022)</f>
        <v>0</v>
      </c>
      <c r="T16" s="12">
        <f>SUMIF(Mercado_Receita!$S$2:$S$2022,"44682A2GeraçãoNão se aplicaNão se aplicaNão se aplicaNOVO GERADORNão se aplica",Mercado_Receita!$J$2:$J$2022)+SUMIF(Mercado_Receita!$S$2:$S$2022,"44682A2GeraçãoNão se aplicaNão se aplicaAPENOVO GERADORNão se aplica",Mercado_Receita!$J$2:$J$2022)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01" t="s">
        <v>39</v>
      </c>
      <c r="B17" s="101" t="s">
        <v>40</v>
      </c>
      <c r="C17" s="101" t="s">
        <v>25</v>
      </c>
      <c r="D17" s="101" t="s">
        <v>25</v>
      </c>
      <c r="E17" s="101" t="s">
        <v>25</v>
      </c>
      <c r="F17" s="101" t="s">
        <v>25</v>
      </c>
      <c r="G17" s="12" t="s">
        <v>121</v>
      </c>
      <c r="H17" s="12" t="s">
        <v>120</v>
      </c>
      <c r="I17" s="12">
        <f>SUMIF(Mercado_Receita!$S$2:$S$2022,"44348A3AzulNão se aplicaNão se aplicaNão se aplicaNão se aplicaPonta",Mercado_Receita!$J$2:$J$2022)+SUMIF(Mercado_Receita!$S$2:$S$2022,"44348A3AzulNão se aplicaNão se aplicaAPENão se aplicaPonta",Mercado_Receita!$J$2:$J$2022)+SUMIF(Mercado_Receita!$S$2:$S$2022,"44348A3ConvencionalNão se aplicaNão se aplicaNão se aplicaNão se aplicaNão se aplica",Mercado_Receita!$J$2:$J$2022)*0.72</f>
        <v>13550</v>
      </c>
      <c r="J17" s="12">
        <f>SUMIF(Mercado_Receita!$S$2:$S$2022,"44378A3AzulNão se aplicaNão se aplicaNão se aplicaNão se aplicaPonta",Mercado_Receita!$J$2:$J$2022)+SUMIF(Mercado_Receita!$S$2:$S$2022,"44378A3AzulNão se aplicaNão se aplicaAPENão se aplicaPonta",Mercado_Receita!$J$2:$J$2022)+SUMIF(Mercado_Receita!$S$2:$S$2022,"44378A3ConvencionalNão se aplicaNão se aplicaNão se aplicaNão se aplicaNão se aplica",Mercado_Receita!$J$2:$J$2022)*0.72</f>
        <v>13593</v>
      </c>
      <c r="K17" s="12">
        <f>SUMIF(Mercado_Receita!$S$2:$S$2022,"44409A3AzulNão se aplicaNão se aplicaNão se aplicaNão se aplicaPonta",Mercado_Receita!$J$2:$J$2022)+SUMIF(Mercado_Receita!$S$2:$S$2022,"44409A3AzulNão se aplicaNão se aplicaAPENão se aplicaPonta",Mercado_Receita!$J$2:$J$2022)+SUMIF(Mercado_Receita!$S$2:$S$2022,"44409A3ConvencionalNão se aplicaNão se aplicaNão se aplicaNão se aplicaNão se aplica",Mercado_Receita!$J$2:$J$2022)*0.72</f>
        <v>13594</v>
      </c>
      <c r="L17" s="12">
        <f>SUMIF(Mercado_Receita!$S$2:$S$2022,"44440A3AzulNão se aplicaNão se aplicaNão se aplicaNão se aplicaPonta",Mercado_Receita!$J$2:$J$2022)+SUMIF(Mercado_Receita!$S$2:$S$2022,"44440A3AzulNão se aplicaNão se aplicaAPENão se aplicaPonta",Mercado_Receita!$J$2:$J$2022)+SUMIF(Mercado_Receita!$S$2:$S$2022,"44440A3ConvencionalNão se aplicaNão se aplicaNão se aplicaNão se aplicaNão se aplica",Mercado_Receita!$J$2:$J$2022)*0.72</f>
        <v>15474</v>
      </c>
      <c r="M17" s="12">
        <f>SUMIF(Mercado_Receita!$S$2:$S$2022,"44470A3AzulNão se aplicaNão se aplicaNão se aplicaNão se aplicaPonta",Mercado_Receita!$J$2:$J$2022)+SUMIF(Mercado_Receita!$S$2:$S$2022,"44470A3AzulNão se aplicaNão se aplicaAPENão se aplicaPonta",Mercado_Receita!$J$2:$J$2022)+SUMIF(Mercado_Receita!$S$2:$S$2022,"44470A3ConvencionalNão se aplicaNão se aplicaNão se aplicaNão se aplicaNão se aplica",Mercado_Receita!$J$2:$J$2022)*0.72</f>
        <v>15230</v>
      </c>
      <c r="N17" s="12">
        <f>SUMIF(Mercado_Receita!$S$2:$S$2022,"44501A3AzulNão se aplicaNão se aplicaNão se aplicaNão se aplicaPonta",Mercado_Receita!$J$2:$J$2022)+SUMIF(Mercado_Receita!$S$2:$S$2022,"44501A3AzulNão se aplicaNão se aplicaAPENão se aplicaPonta",Mercado_Receita!$J$2:$J$2022)+SUMIF(Mercado_Receita!$S$2:$S$2022,"44501A3ConvencionalNão se aplicaNão se aplicaNão se aplicaNão se aplicaNão se aplica",Mercado_Receita!$J$2:$J$2022)*0.72</f>
        <v>13624</v>
      </c>
      <c r="O17" s="12">
        <f>SUMIF(Mercado_Receita!$S$2:$S$2022,"44531A3AzulNão se aplicaNão se aplicaNão se aplicaNão se aplicaPonta",Mercado_Receita!$J$2:$J$2022)+SUMIF(Mercado_Receita!$S$2:$S$2022,"44531A3AzulNão se aplicaNão se aplicaAPENão se aplicaPonta",Mercado_Receita!$J$2:$J$2022)+SUMIF(Mercado_Receita!$S$2:$S$2022,"44531A3ConvencionalNão se aplicaNão se aplicaNão se aplicaNão se aplicaNão se aplica",Mercado_Receita!$J$2:$J$2022)*0.72</f>
        <v>15689</v>
      </c>
      <c r="P17" s="12">
        <f>SUMIF(Mercado_Receita!$S$2:$S$2022,"44562A3AzulNão se aplicaNão se aplicaNão se aplicaNão se aplicaPonta",Mercado_Receita!$J$2:$J$2022)+SUMIF(Mercado_Receita!$S$2:$S$2022,"44562A3AzulNão se aplicaNão se aplicaAPENão se aplicaPonta",Mercado_Receita!$J$2:$J$2022)+SUMIF(Mercado_Receita!$S$2:$S$2022,"44562A3ConvencionalNão se aplicaNão se aplicaNão se aplicaNão se aplicaNão se aplica",Mercado_Receita!$J$2:$J$2022)*0.72</f>
        <v>16293</v>
      </c>
      <c r="Q17" s="12">
        <f>SUMIF(Mercado_Receita!$S$2:$S$2022,"44593A3AzulNão se aplicaNão se aplicaNão se aplicaNão se aplicaPonta",Mercado_Receita!$J$2:$J$2022)+SUMIF(Mercado_Receita!$S$2:$S$2022,"44593A3AzulNão se aplicaNão se aplicaAPENão se aplicaPonta",Mercado_Receita!$J$2:$J$2022)+SUMIF(Mercado_Receita!$S$2:$S$2022,"44593A3ConvencionalNão se aplicaNão se aplicaNão se aplicaNão se aplicaNão se aplica",Mercado_Receita!$J$2:$J$2022)*0.72</f>
        <v>16000</v>
      </c>
      <c r="R17" s="12">
        <f>SUMIF(Mercado_Receita!$S$2:$S$2022,"44621A3AzulNão se aplicaNão se aplicaNão se aplicaNão se aplicaPonta",Mercado_Receita!$J$2:$J$2022)+SUMIF(Mercado_Receita!$S$2:$S$2022,"44621A3AzulNão se aplicaNão se aplicaAPENão se aplicaPonta",Mercado_Receita!$J$2:$J$2022)+SUMIF(Mercado_Receita!$S$2:$S$2022,"44621A3ConvencionalNão se aplicaNão se aplicaNão se aplicaNão se aplicaNão se aplica",Mercado_Receita!$J$2:$J$2022)*0.72</f>
        <v>16088</v>
      </c>
      <c r="S17" s="12">
        <f>SUMIF(Mercado_Receita!$S$2:$S$2022,"44652A3AzulNão se aplicaNão se aplicaNão se aplicaNão se aplicaPonta",Mercado_Receita!$J$2:$J$2022)+SUMIF(Mercado_Receita!$S$2:$S$2022,"44652A3AzulNão se aplicaNão se aplicaAPENão se aplicaPonta",Mercado_Receita!$J$2:$J$2022)+SUMIF(Mercado_Receita!$S$2:$S$2022,"44652A3ConvencionalNão se aplicaNão se aplicaNão se aplicaNão se aplicaNão se aplica",Mercado_Receita!$J$2:$J$2022)*0.72</f>
        <v>15662</v>
      </c>
      <c r="T17" s="12">
        <f>SUMIF(Mercado_Receita!$S$2:$S$2022,"44682A3AzulNão se aplicaNão se aplicaNão se aplicaNão se aplicaPonta",Mercado_Receita!$J$2:$J$2022)+SUMIF(Mercado_Receita!$S$2:$S$2022,"44682A3AzulNão se aplicaNão se aplicaAPENão se aplicaPonta",Mercado_Receita!$J$2:$J$2022)+SUMIF(Mercado_Receita!$S$2:$S$2022,"44682A3ConvencionalNão se aplicaNão se aplicaNão se aplicaNão se aplicaNão se aplica",Mercado_Receita!$J$2:$J$2022)*0.72</f>
        <v>15662</v>
      </c>
      <c r="U17" s="12">
        <f t="shared" si="0"/>
        <v>180459</v>
      </c>
      <c r="V17" s="12"/>
      <c r="W17" s="12"/>
    </row>
    <row r="18" spans="1:23" ht="11.25" customHeight="1" x14ac:dyDescent="0.25">
      <c r="A18" s="102"/>
      <c r="B18" s="102"/>
      <c r="C18" s="102"/>
      <c r="D18" s="102"/>
      <c r="E18" s="102"/>
      <c r="F18" s="102"/>
      <c r="G18" s="12" t="s">
        <v>122</v>
      </c>
      <c r="H18" s="12" t="s">
        <v>120</v>
      </c>
      <c r="I18" s="12">
        <f>SUMIF(Mercado_Receita!$S$2:$S$2022,"44348A3AzulNão se aplicaNão se aplicaNão se aplicaNão se aplicaFora ponta",Mercado_Receita!$J$2:$J$2022)+SUMIF(Mercado_Receita!$S$2:$S$2022,"44348A3AzulNão se aplicaNão se aplicaAPENão se aplicaFora ponta",Mercado_Receita!$J$2:$J$2022)+SUMIF(Mercado_Receita!$S$2:$S$2022,"44348A3ConvencionalNão se aplicaNão se aplicaNão se aplicaNão se aplicaNão se aplica",Mercado_Receita!$J$2:$J$2022)*1</f>
        <v>13574</v>
      </c>
      <c r="J18" s="12">
        <f>SUMIF(Mercado_Receita!$S$2:$S$2022,"44378A3AzulNão se aplicaNão se aplicaNão se aplicaNão se aplicaFora ponta",Mercado_Receita!$J$2:$J$2022)+SUMIF(Mercado_Receita!$S$2:$S$2022,"44378A3AzulNão se aplicaNão se aplicaAPENão se aplicaFora ponta",Mercado_Receita!$J$2:$J$2022)+SUMIF(Mercado_Receita!$S$2:$S$2022,"44378A3ConvencionalNão se aplicaNão se aplicaNão se aplicaNão se aplicaNão se aplica",Mercado_Receita!$J$2:$J$2022)*1</f>
        <v>13606</v>
      </c>
      <c r="K18" s="12">
        <f>SUMIF(Mercado_Receita!$S$2:$S$2022,"44409A3AzulNão se aplicaNão se aplicaNão se aplicaNão se aplicaFora ponta",Mercado_Receita!$J$2:$J$2022)+SUMIF(Mercado_Receita!$S$2:$S$2022,"44409A3AzulNão se aplicaNão se aplicaAPENão se aplicaFora ponta",Mercado_Receita!$J$2:$J$2022)+SUMIF(Mercado_Receita!$S$2:$S$2022,"44409A3ConvencionalNão se aplicaNão se aplicaNão se aplicaNão se aplicaNão se aplica",Mercado_Receita!$J$2:$J$2022)*1</f>
        <v>13677</v>
      </c>
      <c r="L18" s="12">
        <f>SUMIF(Mercado_Receita!$S$2:$S$2022,"44440A3AzulNão se aplicaNão se aplicaNão se aplicaNão se aplicaFora ponta",Mercado_Receita!$J$2:$J$2022)+SUMIF(Mercado_Receita!$S$2:$S$2022,"44440A3AzulNão se aplicaNão se aplicaAPENão se aplicaFora ponta",Mercado_Receita!$J$2:$J$2022)+SUMIF(Mercado_Receita!$S$2:$S$2022,"44440A3ConvencionalNão se aplicaNão se aplicaNão se aplicaNão se aplicaNão se aplica",Mercado_Receita!$J$2:$J$2022)*1</f>
        <v>15608</v>
      </c>
      <c r="M18" s="12">
        <f>SUMIF(Mercado_Receita!$S$2:$S$2022,"44470A3AzulNão se aplicaNão se aplicaNão se aplicaNão se aplicaFora ponta",Mercado_Receita!$J$2:$J$2022)+SUMIF(Mercado_Receita!$S$2:$S$2022,"44470A3AzulNão se aplicaNão se aplicaAPENão se aplicaFora ponta",Mercado_Receita!$J$2:$J$2022)+SUMIF(Mercado_Receita!$S$2:$S$2022,"44470A3ConvencionalNão se aplicaNão se aplicaNão se aplicaNão se aplicaNão se aplica",Mercado_Receita!$J$2:$J$2022)*1</f>
        <v>15450</v>
      </c>
      <c r="N18" s="12">
        <f>SUMIF(Mercado_Receita!$S$2:$S$2022,"44501A3AzulNão se aplicaNão se aplicaNão se aplicaNão se aplicaFora ponta",Mercado_Receita!$J$2:$J$2022)+SUMIF(Mercado_Receita!$S$2:$S$2022,"44501A3AzulNão se aplicaNão se aplicaAPENão se aplicaFora ponta",Mercado_Receita!$J$2:$J$2022)+SUMIF(Mercado_Receita!$S$2:$S$2022,"44501A3ConvencionalNão se aplicaNão se aplicaNão se aplicaNão se aplicaNão se aplica",Mercado_Receita!$J$2:$J$2022)*1</f>
        <v>14039</v>
      </c>
      <c r="O18" s="12">
        <f>SUMIF(Mercado_Receita!$S$2:$S$2022,"44531A3AzulNão se aplicaNão se aplicaNão se aplicaNão se aplicaFora ponta",Mercado_Receita!$J$2:$J$2022)+SUMIF(Mercado_Receita!$S$2:$S$2022,"44531A3AzulNão se aplicaNão se aplicaAPENão se aplicaFora ponta",Mercado_Receita!$J$2:$J$2022)+SUMIF(Mercado_Receita!$S$2:$S$2022,"44531A3ConvencionalNão se aplicaNão se aplicaNão se aplicaNão se aplicaNão se aplica",Mercado_Receita!$J$2:$J$2022)*1</f>
        <v>15895</v>
      </c>
      <c r="P18" s="12">
        <f>SUMIF(Mercado_Receita!$S$2:$S$2022,"44562A3AzulNão se aplicaNão se aplicaNão se aplicaNão se aplicaFora ponta",Mercado_Receita!$J$2:$J$2022)+SUMIF(Mercado_Receita!$S$2:$S$2022,"44562A3AzulNão se aplicaNão se aplicaAPENão se aplicaFora ponta",Mercado_Receita!$J$2:$J$2022)+SUMIF(Mercado_Receita!$S$2:$S$2022,"44562A3ConvencionalNão se aplicaNão se aplicaNão se aplicaNão se aplicaNão se aplica",Mercado_Receita!$J$2:$J$2022)*1</f>
        <v>16490</v>
      </c>
      <c r="Q18" s="12">
        <f>SUMIF(Mercado_Receita!$S$2:$S$2022,"44593A3AzulNão se aplicaNão se aplicaNão se aplicaNão se aplicaFora ponta",Mercado_Receita!$J$2:$J$2022)+SUMIF(Mercado_Receita!$S$2:$S$2022,"44593A3AzulNão se aplicaNão se aplicaAPENão se aplicaFora ponta",Mercado_Receita!$J$2:$J$2022)+SUMIF(Mercado_Receita!$S$2:$S$2022,"44593A3ConvencionalNão se aplicaNão se aplicaNão se aplicaNão se aplicaNão se aplica",Mercado_Receita!$J$2:$J$2022)*1</f>
        <v>16283</v>
      </c>
      <c r="R18" s="12">
        <f>SUMIF(Mercado_Receita!$S$2:$S$2022,"44621A3AzulNão se aplicaNão se aplicaNão se aplicaNão se aplicaFora ponta",Mercado_Receita!$J$2:$J$2022)+SUMIF(Mercado_Receita!$S$2:$S$2022,"44621A3AzulNão se aplicaNão se aplicaAPENão se aplicaFora ponta",Mercado_Receita!$J$2:$J$2022)+SUMIF(Mercado_Receita!$S$2:$S$2022,"44621A3ConvencionalNão se aplicaNão se aplicaNão se aplicaNão se aplicaNão se aplica",Mercado_Receita!$J$2:$J$2022)*1</f>
        <v>16438</v>
      </c>
      <c r="S18" s="12">
        <f>SUMIF(Mercado_Receita!$S$2:$S$2022,"44652A3AzulNão se aplicaNão se aplicaNão se aplicaNão se aplicaFora ponta",Mercado_Receita!$J$2:$J$2022)+SUMIF(Mercado_Receita!$S$2:$S$2022,"44652A3AzulNão se aplicaNão se aplicaAPENão se aplicaFora ponta",Mercado_Receita!$J$2:$J$2022)+SUMIF(Mercado_Receita!$S$2:$S$2022,"44652A3ConvencionalNão se aplicaNão se aplicaNão se aplicaNão se aplicaNão se aplica",Mercado_Receita!$J$2:$J$2022)*1</f>
        <v>16203</v>
      </c>
      <c r="T18" s="12">
        <f>SUMIF(Mercado_Receita!$S$2:$S$2022,"44682A3AzulNão se aplicaNão se aplicaNão se aplicaNão se aplicaFora ponta",Mercado_Receita!$J$2:$J$2022)+SUMIF(Mercado_Receita!$S$2:$S$2022,"44682A3AzulNão se aplicaNão se aplicaAPENão se aplicaFora ponta",Mercado_Receita!$J$2:$J$2022)+SUMIF(Mercado_Receita!$S$2:$S$2022,"44682A3ConvencionalNão se aplicaNão se aplicaNão se aplicaNão se aplicaNão se aplica",Mercado_Receita!$J$2:$J$2022)*1</f>
        <v>16203</v>
      </c>
      <c r="U18" s="12">
        <f t="shared" si="0"/>
        <v>183466</v>
      </c>
      <c r="V18" s="12"/>
      <c r="W18" s="12"/>
    </row>
    <row r="19" spans="1:23" ht="11.25" customHeight="1" x14ac:dyDescent="0.25">
      <c r="A19" s="102"/>
      <c r="B19" s="102"/>
      <c r="C19" s="102"/>
      <c r="D19" s="102"/>
      <c r="E19" s="102"/>
      <c r="F19" s="102"/>
      <c r="G19" s="12" t="s">
        <v>123</v>
      </c>
      <c r="H19" s="12" t="s">
        <v>117</v>
      </c>
      <c r="I19" s="12">
        <f>SUMIF(Mercado_Receita!$S$2:$S$2022,"44348A3AzulNão se aplicaNão se aplicaNão se aplicaNão se aplicaPonta",Mercado_Receita!$L$2:$L$2022)+SUMIF(Mercado_Receita!$S$2:$S$2022,"44348A3AzulNão se aplicaNão se aplicaNão se aplicaNão se aplicaFora ponta",Mercado_Receita!$L$2:$L$2022)+SUMIF(Mercado_Receita!$S$2:$S$2022,"44348A3AzulNão se aplicaNão se aplicaNão se aplicaNão se aplicaIntermediário",Mercado_Receita!$L$2:$L$2022)+SUMIF(Mercado_Receita!$S$2:$S$2022,"44348A3AzulNão se aplicaNão se aplicaNão se aplicaNão se aplicaNão se aplica",Mercado_Receita!$L$2:$L$2022)+SUMIF(Mercado_Receita!$S$2:$S$2022,"44348A3ConvencionalNão se aplicaNão se aplicaNão se aplicaNão se aplicaNão se aplica",Mercado_Receita!$L$2:$L$2022)</f>
        <v>8007.7790000000005</v>
      </c>
      <c r="J19" s="12">
        <f>SUMIF(Mercado_Receita!$S$2:$S$2022,"44378A3AzulNão se aplicaNão se aplicaNão se aplicaNão se aplicaPonta",Mercado_Receita!$L$2:$L$2022)+SUMIF(Mercado_Receita!$S$2:$S$2022,"44378A3AzulNão se aplicaNão se aplicaNão se aplicaNão se aplicaFora ponta",Mercado_Receita!$L$2:$L$2022)+SUMIF(Mercado_Receita!$S$2:$S$2022,"44378A3AzulNão se aplicaNão se aplicaNão se aplicaNão se aplicaIntermediário",Mercado_Receita!$L$2:$L$2022)+SUMIF(Mercado_Receita!$S$2:$S$2022,"44378A3AzulNão se aplicaNão se aplicaNão se aplicaNão se aplicaNão se aplica",Mercado_Receita!$L$2:$L$2022)+SUMIF(Mercado_Receita!$S$2:$S$2022,"44378A3ConvencionalNão se aplicaNão se aplicaNão se aplicaNão se aplicaNão se aplica",Mercado_Receita!$L$2:$L$2022)</f>
        <v>7619.1220000000003</v>
      </c>
      <c r="K19" s="12">
        <f>SUMIF(Mercado_Receita!$S$2:$S$2022,"44409A3AzulNão se aplicaNão se aplicaNão se aplicaNão se aplicaPonta",Mercado_Receita!$L$2:$L$2022)+SUMIF(Mercado_Receita!$S$2:$S$2022,"44409A3AzulNão se aplicaNão se aplicaNão se aplicaNão se aplicaFora ponta",Mercado_Receita!$L$2:$L$2022)+SUMIF(Mercado_Receita!$S$2:$S$2022,"44409A3AzulNão se aplicaNão se aplicaNão se aplicaNão se aplicaIntermediário",Mercado_Receita!$L$2:$L$2022)+SUMIF(Mercado_Receita!$S$2:$S$2022,"44409A3AzulNão se aplicaNão se aplicaNão se aplicaNão se aplicaNão se aplica",Mercado_Receita!$L$2:$L$2022)+SUMIF(Mercado_Receita!$S$2:$S$2022,"44409A3ConvencionalNão se aplicaNão se aplicaNão se aplicaNão se aplicaNão se aplica",Mercado_Receita!$L$2:$L$2022)</f>
        <v>8270.7540000000008</v>
      </c>
      <c r="L19" s="12">
        <f>SUMIF(Mercado_Receita!$S$2:$S$2022,"44440A3AzulNão se aplicaNão se aplicaNão se aplicaNão se aplicaPonta",Mercado_Receita!$L$2:$L$2022)+SUMIF(Mercado_Receita!$S$2:$S$2022,"44440A3AzulNão se aplicaNão se aplicaNão se aplicaNão se aplicaFora ponta",Mercado_Receita!$L$2:$L$2022)+SUMIF(Mercado_Receita!$S$2:$S$2022,"44440A3AzulNão se aplicaNão se aplicaNão se aplicaNão se aplicaIntermediário",Mercado_Receita!$L$2:$L$2022)+SUMIF(Mercado_Receita!$S$2:$S$2022,"44440A3AzulNão se aplicaNão se aplicaNão se aplicaNão se aplicaNão se aplica",Mercado_Receita!$L$2:$L$2022)+SUMIF(Mercado_Receita!$S$2:$S$2022,"44440A3ConvencionalNão se aplicaNão se aplicaNão se aplicaNão se aplicaNão se aplica",Mercado_Receita!$L$2:$L$2022)</f>
        <v>8654.0030000000006</v>
      </c>
      <c r="M19" s="12">
        <f>SUMIF(Mercado_Receita!$S$2:$S$2022,"44470A3AzulNão se aplicaNão se aplicaNão se aplicaNão se aplicaPonta",Mercado_Receita!$L$2:$L$2022)+SUMIF(Mercado_Receita!$S$2:$S$2022,"44470A3AzulNão se aplicaNão se aplicaNão se aplicaNão se aplicaFora ponta",Mercado_Receita!$L$2:$L$2022)+SUMIF(Mercado_Receita!$S$2:$S$2022,"44470A3AzulNão se aplicaNão se aplicaNão se aplicaNão se aplicaIntermediário",Mercado_Receita!$L$2:$L$2022)+SUMIF(Mercado_Receita!$S$2:$S$2022,"44470A3AzulNão se aplicaNão se aplicaNão se aplicaNão se aplicaNão se aplica",Mercado_Receita!$L$2:$L$2022)+SUMIF(Mercado_Receita!$S$2:$S$2022,"44470A3ConvencionalNão se aplicaNão se aplicaNão se aplicaNão se aplicaNão se aplica",Mercado_Receita!$L$2:$L$2022)</f>
        <v>8533.723</v>
      </c>
      <c r="N19" s="12">
        <f>SUMIF(Mercado_Receita!$S$2:$S$2022,"44501A3AzulNão se aplicaNão se aplicaNão se aplicaNão se aplicaPonta",Mercado_Receita!$L$2:$L$2022)+SUMIF(Mercado_Receita!$S$2:$S$2022,"44501A3AzulNão se aplicaNão se aplicaNão se aplicaNão se aplicaFora ponta",Mercado_Receita!$L$2:$L$2022)+SUMIF(Mercado_Receita!$S$2:$S$2022,"44501A3AzulNão se aplicaNão se aplicaNão se aplicaNão se aplicaIntermediário",Mercado_Receita!$L$2:$L$2022)+SUMIF(Mercado_Receita!$S$2:$S$2022,"44501A3AzulNão se aplicaNão se aplicaNão se aplicaNão se aplicaNão se aplica",Mercado_Receita!$L$2:$L$2022)+SUMIF(Mercado_Receita!$S$2:$S$2022,"44501A3ConvencionalNão se aplicaNão se aplicaNão se aplicaNão se aplicaNão se aplica",Mercado_Receita!$L$2:$L$2022)</f>
        <v>8401.8539999999994</v>
      </c>
      <c r="O19" s="12">
        <f>SUMIF(Mercado_Receita!$S$2:$S$2022,"44531A3AzulNão se aplicaNão se aplicaNão se aplicaNão se aplicaPonta",Mercado_Receita!$L$2:$L$2022)+SUMIF(Mercado_Receita!$S$2:$S$2022,"44531A3AzulNão se aplicaNão se aplicaNão se aplicaNão se aplicaFora ponta",Mercado_Receita!$L$2:$L$2022)+SUMIF(Mercado_Receita!$S$2:$S$2022,"44531A3AzulNão se aplicaNão se aplicaNão se aplicaNão se aplicaIntermediário",Mercado_Receita!$L$2:$L$2022)+SUMIF(Mercado_Receita!$S$2:$S$2022,"44531A3AzulNão se aplicaNão se aplicaNão se aplicaNão se aplicaNão se aplica",Mercado_Receita!$L$2:$L$2022)+SUMIF(Mercado_Receita!$S$2:$S$2022,"44531A3ConvencionalNão se aplicaNão se aplicaNão se aplicaNão se aplicaNão se aplica",Mercado_Receita!$L$2:$L$2022)</f>
        <v>8265.2250000000004</v>
      </c>
      <c r="P19" s="12">
        <f>SUMIF(Mercado_Receita!$S$2:$S$2022,"44562A3AzulNão se aplicaNão se aplicaNão se aplicaNão se aplicaPonta",Mercado_Receita!$L$2:$L$2022)+SUMIF(Mercado_Receita!$S$2:$S$2022,"44562A3AzulNão se aplicaNão se aplicaNão se aplicaNão se aplicaFora ponta",Mercado_Receita!$L$2:$L$2022)+SUMIF(Mercado_Receita!$S$2:$S$2022,"44562A3AzulNão se aplicaNão se aplicaNão se aplicaNão se aplicaIntermediário",Mercado_Receita!$L$2:$L$2022)+SUMIF(Mercado_Receita!$S$2:$S$2022,"44562A3AzulNão se aplicaNão se aplicaNão se aplicaNão se aplicaNão se aplica",Mercado_Receita!$L$2:$L$2022)+SUMIF(Mercado_Receita!$S$2:$S$2022,"44562A3ConvencionalNão se aplicaNão se aplicaNão se aplicaNão se aplicaNão se aplica",Mercado_Receita!$L$2:$L$2022)</f>
        <v>7933.1440000000002</v>
      </c>
      <c r="Q19" s="12">
        <f>SUMIF(Mercado_Receita!$S$2:$S$2022,"44593A3AzulNão se aplicaNão se aplicaNão se aplicaNão se aplicaPonta",Mercado_Receita!$L$2:$L$2022)+SUMIF(Mercado_Receita!$S$2:$S$2022,"44593A3AzulNão se aplicaNão se aplicaNão se aplicaNão se aplicaFora ponta",Mercado_Receita!$L$2:$L$2022)+SUMIF(Mercado_Receita!$S$2:$S$2022,"44593A3AzulNão se aplicaNão se aplicaNão se aplicaNão se aplicaIntermediário",Mercado_Receita!$L$2:$L$2022)+SUMIF(Mercado_Receita!$S$2:$S$2022,"44593A3AzulNão se aplicaNão se aplicaNão se aplicaNão se aplicaNão se aplica",Mercado_Receita!$L$2:$L$2022)+SUMIF(Mercado_Receita!$S$2:$S$2022,"44593A3ConvencionalNão se aplicaNão se aplicaNão se aplicaNão se aplicaNão se aplica",Mercado_Receita!$L$2:$L$2022)</f>
        <v>7919.174</v>
      </c>
      <c r="R19" s="12">
        <f>SUMIF(Mercado_Receita!$S$2:$S$2022,"44621A3AzulNão se aplicaNão se aplicaNão se aplicaNão se aplicaPonta",Mercado_Receita!$L$2:$L$2022)+SUMIF(Mercado_Receita!$S$2:$S$2022,"44621A3AzulNão se aplicaNão se aplicaNão se aplicaNão se aplicaFora ponta",Mercado_Receita!$L$2:$L$2022)+SUMIF(Mercado_Receita!$S$2:$S$2022,"44621A3AzulNão se aplicaNão se aplicaNão se aplicaNão se aplicaIntermediário",Mercado_Receita!$L$2:$L$2022)+SUMIF(Mercado_Receita!$S$2:$S$2022,"44621A3AzulNão se aplicaNão se aplicaNão se aplicaNão se aplicaNão se aplica",Mercado_Receita!$L$2:$L$2022)+SUMIF(Mercado_Receita!$S$2:$S$2022,"44621A3ConvencionalNão se aplicaNão se aplicaNão se aplicaNão se aplicaNão se aplica",Mercado_Receita!$L$2:$L$2022)</f>
        <v>8320.5540000000001</v>
      </c>
      <c r="S19" s="12">
        <f>SUMIF(Mercado_Receita!$S$2:$S$2022,"44652A3AzulNão se aplicaNão se aplicaNão se aplicaNão se aplicaPonta",Mercado_Receita!$L$2:$L$2022)+SUMIF(Mercado_Receita!$S$2:$S$2022,"44652A3AzulNão se aplicaNão se aplicaNão se aplicaNão se aplicaFora ponta",Mercado_Receita!$L$2:$L$2022)+SUMIF(Mercado_Receita!$S$2:$S$2022,"44652A3AzulNão se aplicaNão se aplicaNão se aplicaNão se aplicaIntermediário",Mercado_Receita!$L$2:$L$2022)+SUMIF(Mercado_Receita!$S$2:$S$2022,"44652A3AzulNão se aplicaNão se aplicaNão se aplicaNão se aplicaNão se aplica",Mercado_Receita!$L$2:$L$2022)+SUMIF(Mercado_Receita!$S$2:$S$2022,"44652A3ConvencionalNão se aplicaNão se aplicaNão se aplicaNão se aplicaNão se aplica",Mercado_Receita!$L$2:$L$2022)</f>
        <v>8974.5650000000005</v>
      </c>
      <c r="T19" s="12">
        <f>SUMIF(Mercado_Receita!$S$2:$S$2022,"44682A3AzulNão se aplicaNão se aplicaNão se aplicaNão se aplicaPonta",Mercado_Receita!$L$2:$L$2022)+SUMIF(Mercado_Receita!$S$2:$S$2022,"44682A3AzulNão se aplicaNão se aplicaNão se aplicaNão se aplicaFora ponta",Mercado_Receita!$L$2:$L$2022)+SUMIF(Mercado_Receita!$S$2:$S$2022,"44682A3AzulNão se aplicaNão se aplicaNão se aplicaNão se aplicaIntermediário",Mercado_Receita!$L$2:$L$2022)+SUMIF(Mercado_Receita!$S$2:$S$2022,"44682A3AzulNão se aplicaNão se aplicaNão se aplicaNão se aplicaNão se aplica",Mercado_Receita!$L$2:$L$2022)+SUMIF(Mercado_Receita!$S$2:$S$2022,"44682A3ConvencionalNão se aplicaNão se aplicaNão se aplicaNão se aplicaNão se aplica",Mercado_Receita!$L$2:$L$2022)</f>
        <v>8974.5650000000005</v>
      </c>
      <c r="U19" s="12">
        <f t="shared" si="0"/>
        <v>99874.462</v>
      </c>
      <c r="V19" s="12"/>
      <c r="W19" s="12"/>
    </row>
    <row r="20" spans="1:23" ht="11.25" customHeight="1" x14ac:dyDescent="0.25">
      <c r="A20" s="102"/>
      <c r="B20" s="102"/>
      <c r="C20" s="102"/>
      <c r="D20" s="102"/>
      <c r="E20" s="13" t="s">
        <v>61</v>
      </c>
      <c r="F20" s="13" t="s">
        <v>25</v>
      </c>
      <c r="G20" s="12" t="s">
        <v>123</v>
      </c>
      <c r="H20" s="12" t="s">
        <v>117</v>
      </c>
      <c r="I20" s="12">
        <f>SUMIF(Mercado_Receita!$S$2:$S$2022,"44348A3AzulNão se aplicaNão se aplicaAPENão se aplicaPonta",Mercado_Receita!$L$2:$L$2022)+SUMIF(Mercado_Receita!$S$2:$S$2022,"44348A3AzulNão se aplicaNão se aplicaAPENão se aplicaFora ponta",Mercado_Receita!$L$2:$L$2022)+SUMIF(Mercado_Receita!$S$2:$S$2022,"44348A3AzulNão se aplicaNão se aplicaAPENão se aplicaIntermediário",Mercado_Receita!$L$2:$L$2022)+SUMIF(Mercado_Receita!$S$2:$S$2022,"44348A3AzulNão se aplicaNão se aplicaAPENão se aplicaNão se aplica",Mercado_Receita!$L$2:$L$2022)+SUMIF(Mercado_Receita!$S$2:$S$2022,"44348A3ConvencionalNão se aplicaNão se aplicaAPENão se aplicaNão se aplica",Mercado_Receita!$L$2:$L$2022)</f>
        <v>0</v>
      </c>
      <c r="J20" s="12">
        <f>SUMIF(Mercado_Receita!$S$2:$S$2022,"44378A3AzulNão se aplicaNão se aplicaAPENão se aplicaPonta",Mercado_Receita!$L$2:$L$2022)+SUMIF(Mercado_Receita!$S$2:$S$2022,"44378A3AzulNão se aplicaNão se aplicaAPENão se aplicaFora ponta",Mercado_Receita!$L$2:$L$2022)+SUMIF(Mercado_Receita!$S$2:$S$2022,"44378A3AzulNão se aplicaNão se aplicaAPENão se aplicaIntermediário",Mercado_Receita!$L$2:$L$2022)+SUMIF(Mercado_Receita!$S$2:$S$2022,"44378A3AzulNão se aplicaNão se aplicaAPENão se aplicaNão se aplica",Mercado_Receita!$L$2:$L$2022)+SUMIF(Mercado_Receita!$S$2:$S$2022,"44378A3ConvencionalNão se aplicaNão se aplicaAPENão se aplicaNão se aplica",Mercado_Receita!$L$2:$L$2022)</f>
        <v>0</v>
      </c>
      <c r="K20" s="12">
        <f>SUMIF(Mercado_Receita!$S$2:$S$2022,"44409A3AzulNão se aplicaNão se aplicaAPENão se aplicaPonta",Mercado_Receita!$L$2:$L$2022)+SUMIF(Mercado_Receita!$S$2:$S$2022,"44409A3AzulNão se aplicaNão se aplicaAPENão se aplicaFora ponta",Mercado_Receita!$L$2:$L$2022)+SUMIF(Mercado_Receita!$S$2:$S$2022,"44409A3AzulNão se aplicaNão se aplicaAPENão se aplicaIntermediário",Mercado_Receita!$L$2:$L$2022)+SUMIF(Mercado_Receita!$S$2:$S$2022,"44409A3AzulNão se aplicaNão se aplicaAPENão se aplicaNão se aplica",Mercado_Receita!$L$2:$L$2022)+SUMIF(Mercado_Receita!$S$2:$S$2022,"44409A3ConvencionalNão se aplicaNão se aplicaAPENão se aplicaNão se aplica",Mercado_Receita!$L$2:$L$2022)</f>
        <v>0</v>
      </c>
      <c r="L20" s="12">
        <f>SUMIF(Mercado_Receita!$S$2:$S$2022,"44440A3AzulNão se aplicaNão se aplicaAPENão se aplicaPonta",Mercado_Receita!$L$2:$L$2022)+SUMIF(Mercado_Receita!$S$2:$S$2022,"44440A3AzulNão se aplicaNão se aplicaAPENão se aplicaFora ponta",Mercado_Receita!$L$2:$L$2022)+SUMIF(Mercado_Receita!$S$2:$S$2022,"44440A3AzulNão se aplicaNão se aplicaAPENão se aplicaIntermediário",Mercado_Receita!$L$2:$L$2022)+SUMIF(Mercado_Receita!$S$2:$S$2022,"44440A3AzulNão se aplicaNão se aplicaAPENão se aplicaNão se aplica",Mercado_Receita!$L$2:$L$2022)+SUMIF(Mercado_Receita!$S$2:$S$2022,"44440A3ConvencionalNão se aplicaNão se aplicaAPENão se aplicaNão se aplica",Mercado_Receita!$L$2:$L$2022)</f>
        <v>0</v>
      </c>
      <c r="M20" s="12">
        <f>SUMIF(Mercado_Receita!$S$2:$S$2022,"44470A3AzulNão se aplicaNão se aplicaAPENão se aplicaPonta",Mercado_Receita!$L$2:$L$2022)+SUMIF(Mercado_Receita!$S$2:$S$2022,"44470A3AzulNão se aplicaNão se aplicaAPENão se aplicaFora ponta",Mercado_Receita!$L$2:$L$2022)+SUMIF(Mercado_Receita!$S$2:$S$2022,"44470A3AzulNão se aplicaNão se aplicaAPENão se aplicaIntermediário",Mercado_Receita!$L$2:$L$2022)+SUMIF(Mercado_Receita!$S$2:$S$2022,"44470A3AzulNão se aplicaNão se aplicaAPENão se aplicaNão se aplica",Mercado_Receita!$L$2:$L$2022)+SUMIF(Mercado_Receita!$S$2:$S$2022,"44470A3ConvencionalNão se aplicaNão se aplicaAPENão se aplicaNão se aplica",Mercado_Receita!$L$2:$L$2022)</f>
        <v>0</v>
      </c>
      <c r="N20" s="12">
        <f>SUMIF(Mercado_Receita!$S$2:$S$2022,"44501A3AzulNão se aplicaNão se aplicaAPENão se aplicaPonta",Mercado_Receita!$L$2:$L$2022)+SUMIF(Mercado_Receita!$S$2:$S$2022,"44501A3AzulNão se aplicaNão se aplicaAPENão se aplicaFora ponta",Mercado_Receita!$L$2:$L$2022)+SUMIF(Mercado_Receita!$S$2:$S$2022,"44501A3AzulNão se aplicaNão se aplicaAPENão se aplicaIntermediário",Mercado_Receita!$L$2:$L$2022)+SUMIF(Mercado_Receita!$S$2:$S$2022,"44501A3AzulNão se aplicaNão se aplicaAPENão se aplicaNão se aplica",Mercado_Receita!$L$2:$L$2022)+SUMIF(Mercado_Receita!$S$2:$S$2022,"44501A3ConvencionalNão se aplicaNão se aplicaAPENão se aplicaNão se aplica",Mercado_Receita!$L$2:$L$2022)</f>
        <v>0</v>
      </c>
      <c r="O20" s="12">
        <f>SUMIF(Mercado_Receita!$S$2:$S$2022,"44531A3AzulNão se aplicaNão se aplicaAPENão se aplicaPonta",Mercado_Receita!$L$2:$L$2022)+SUMIF(Mercado_Receita!$S$2:$S$2022,"44531A3AzulNão se aplicaNão se aplicaAPENão se aplicaFora ponta",Mercado_Receita!$L$2:$L$2022)+SUMIF(Mercado_Receita!$S$2:$S$2022,"44531A3AzulNão se aplicaNão se aplicaAPENão se aplicaIntermediário",Mercado_Receita!$L$2:$L$2022)+SUMIF(Mercado_Receita!$S$2:$S$2022,"44531A3AzulNão se aplicaNão se aplicaAPENão se aplicaNão se aplica",Mercado_Receita!$L$2:$L$2022)+SUMIF(Mercado_Receita!$S$2:$S$2022,"44531A3ConvencionalNão se aplicaNão se aplicaAPENão se aplicaNão se aplica",Mercado_Receita!$L$2:$L$2022)</f>
        <v>0</v>
      </c>
      <c r="P20" s="12">
        <f>SUMIF(Mercado_Receita!$S$2:$S$2022,"44562A3AzulNão se aplicaNão se aplicaAPENão se aplicaPonta",Mercado_Receita!$L$2:$L$2022)+SUMIF(Mercado_Receita!$S$2:$S$2022,"44562A3AzulNão se aplicaNão se aplicaAPENão se aplicaFora ponta",Mercado_Receita!$L$2:$L$2022)+SUMIF(Mercado_Receita!$S$2:$S$2022,"44562A3AzulNão se aplicaNão se aplicaAPENão se aplicaIntermediário",Mercado_Receita!$L$2:$L$2022)+SUMIF(Mercado_Receita!$S$2:$S$2022,"44562A3AzulNão se aplicaNão se aplicaAPENão se aplicaNão se aplica",Mercado_Receita!$L$2:$L$2022)+SUMIF(Mercado_Receita!$S$2:$S$2022,"44562A3ConvencionalNão se aplicaNão se aplicaAPENão se aplicaNão se aplica",Mercado_Receita!$L$2:$L$2022)</f>
        <v>0</v>
      </c>
      <c r="Q20" s="12">
        <f>SUMIF(Mercado_Receita!$S$2:$S$2022,"44593A3AzulNão se aplicaNão se aplicaAPENão se aplicaPonta",Mercado_Receita!$L$2:$L$2022)+SUMIF(Mercado_Receita!$S$2:$S$2022,"44593A3AzulNão se aplicaNão se aplicaAPENão se aplicaFora ponta",Mercado_Receita!$L$2:$L$2022)+SUMIF(Mercado_Receita!$S$2:$S$2022,"44593A3AzulNão se aplicaNão se aplicaAPENão se aplicaIntermediário",Mercado_Receita!$L$2:$L$2022)+SUMIF(Mercado_Receita!$S$2:$S$2022,"44593A3AzulNão se aplicaNão se aplicaAPENão se aplicaNão se aplica",Mercado_Receita!$L$2:$L$2022)+SUMIF(Mercado_Receita!$S$2:$S$2022,"44593A3ConvencionalNão se aplicaNão se aplicaAPENão se aplicaNão se aplica",Mercado_Receita!$L$2:$L$2022)</f>
        <v>0</v>
      </c>
      <c r="R20" s="12">
        <f>SUMIF(Mercado_Receita!$S$2:$S$2022,"44621A3AzulNão se aplicaNão se aplicaAPENão se aplicaPonta",Mercado_Receita!$L$2:$L$2022)+SUMIF(Mercado_Receita!$S$2:$S$2022,"44621A3AzulNão se aplicaNão se aplicaAPENão se aplicaFora ponta",Mercado_Receita!$L$2:$L$2022)+SUMIF(Mercado_Receita!$S$2:$S$2022,"44621A3AzulNão se aplicaNão se aplicaAPENão se aplicaIntermediário",Mercado_Receita!$L$2:$L$2022)+SUMIF(Mercado_Receita!$S$2:$S$2022,"44621A3AzulNão se aplicaNão se aplicaAPENão se aplicaNão se aplica",Mercado_Receita!$L$2:$L$2022)+SUMIF(Mercado_Receita!$S$2:$S$2022,"44621A3ConvencionalNão se aplicaNão se aplicaAPENão se aplicaNão se aplica",Mercado_Receita!$L$2:$L$2022)</f>
        <v>0</v>
      </c>
      <c r="S20" s="12">
        <f>SUMIF(Mercado_Receita!$S$2:$S$2022,"44652A3AzulNão se aplicaNão se aplicaAPENão se aplicaPonta",Mercado_Receita!$L$2:$L$2022)+SUMIF(Mercado_Receita!$S$2:$S$2022,"44652A3AzulNão se aplicaNão se aplicaAPENão se aplicaFora ponta",Mercado_Receita!$L$2:$L$2022)+SUMIF(Mercado_Receita!$S$2:$S$2022,"44652A3AzulNão se aplicaNão se aplicaAPENão se aplicaIntermediário",Mercado_Receita!$L$2:$L$2022)+SUMIF(Mercado_Receita!$S$2:$S$2022,"44652A3AzulNão se aplicaNão se aplicaAPENão se aplicaNão se aplica",Mercado_Receita!$L$2:$L$2022)+SUMIF(Mercado_Receita!$S$2:$S$2022,"44652A3ConvencionalNão se aplicaNão se aplicaAPENão se aplicaNão se aplica",Mercado_Receita!$L$2:$L$2022)</f>
        <v>0</v>
      </c>
      <c r="T20" s="12">
        <f>SUMIF(Mercado_Receita!$S$2:$S$2022,"44682A3AzulNão se aplicaNão se aplicaAPENão se aplicaPonta",Mercado_Receita!$L$2:$L$2022)+SUMIF(Mercado_Receita!$S$2:$S$2022,"44682A3AzulNão se aplicaNão se aplicaAPENão se aplicaFora ponta",Mercado_Receita!$L$2:$L$2022)+SUMIF(Mercado_Receita!$S$2:$S$2022,"44682A3AzulNão se aplicaNão se aplicaAPENão se aplicaIntermediário",Mercado_Receita!$L$2:$L$2022)+SUMIF(Mercado_Receita!$S$2:$S$2022,"44682A3AzulNão se aplicaNão se aplicaAPENão se aplicaNão se aplica",Mercado_Receita!$L$2:$L$2022)+SUMIF(Mercado_Receita!$S$2:$S$2022,"44682A3ConvencionalNão se aplicaNão se aplicaAPENão se aplicaNão se aplica",Mercado_Receita!$L$2:$L$2022)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102"/>
      <c r="B21" s="13" t="s">
        <v>64</v>
      </c>
      <c r="C21" s="13" t="s">
        <v>25</v>
      </c>
      <c r="D21" s="13" t="s">
        <v>25</v>
      </c>
      <c r="E21" s="13" t="s">
        <v>25</v>
      </c>
      <c r="F21" s="13" t="s">
        <v>25</v>
      </c>
      <c r="G21" s="12" t="s">
        <v>9</v>
      </c>
      <c r="H21" s="12" t="s">
        <v>120</v>
      </c>
      <c r="I21" s="12">
        <f>SUMIF(Mercado_Receita!$S$2:$S$2022,"44348A3GeraçãoNão se aplicaNão se aplicaNão se aplicaNão se aplicaNão se aplica",Mercado_Receita!$J$2:$J$2022)+SUMIF(Mercado_Receita!$S$2:$S$2022,"44348A3GeraçãoNão se aplicaNão se aplicaAPENão se aplicaNão se aplica",Mercado_Receita!$J$2:$J$2022)</f>
        <v>72190</v>
      </c>
      <c r="J21" s="12">
        <f>SUMIF(Mercado_Receita!$S$2:$S$2022,"44378A3GeraçãoNão se aplicaNão se aplicaNão se aplicaNão se aplicaNão se aplica",Mercado_Receita!$J$2:$J$2022)+SUMIF(Mercado_Receita!$S$2:$S$2022,"44378A3GeraçãoNão se aplicaNão se aplicaAPENão se aplicaNão se aplica",Mercado_Receita!$J$2:$J$2022)</f>
        <v>72190</v>
      </c>
      <c r="K21" s="12">
        <f>SUMIF(Mercado_Receita!$S$2:$S$2022,"44409A3GeraçãoNão se aplicaNão se aplicaNão se aplicaNão se aplicaNão se aplica",Mercado_Receita!$J$2:$J$2022)+SUMIF(Mercado_Receita!$S$2:$S$2022,"44409A3GeraçãoNão se aplicaNão se aplicaAPENão se aplicaNão se aplica",Mercado_Receita!$J$2:$J$2022)</f>
        <v>72190</v>
      </c>
      <c r="L21" s="12">
        <f>SUMIF(Mercado_Receita!$S$2:$S$2022,"44440A3GeraçãoNão se aplicaNão se aplicaNão se aplicaNão se aplicaNão se aplica",Mercado_Receita!$J$2:$J$2022)+SUMIF(Mercado_Receita!$S$2:$S$2022,"44440A3GeraçãoNão se aplicaNão se aplicaAPENão se aplicaNão se aplica",Mercado_Receita!$J$2:$J$2022)</f>
        <v>72190</v>
      </c>
      <c r="M21" s="12">
        <f>SUMIF(Mercado_Receita!$S$2:$S$2022,"44470A3GeraçãoNão se aplicaNão se aplicaNão se aplicaNão se aplicaNão se aplica",Mercado_Receita!$J$2:$J$2022)+SUMIF(Mercado_Receita!$S$2:$S$2022,"44470A3GeraçãoNão se aplicaNão se aplicaAPENão se aplicaNão se aplica",Mercado_Receita!$J$2:$J$2022)</f>
        <v>72190</v>
      </c>
      <c r="N21" s="12">
        <f>SUMIF(Mercado_Receita!$S$2:$S$2022,"44501A3GeraçãoNão se aplicaNão se aplicaNão se aplicaNão se aplicaNão se aplica",Mercado_Receita!$J$2:$J$2022)+SUMIF(Mercado_Receita!$S$2:$S$2022,"44501A3GeraçãoNão se aplicaNão se aplicaAPENão se aplicaNão se aplica",Mercado_Receita!$J$2:$J$2022)</f>
        <v>72190</v>
      </c>
      <c r="O21" s="12">
        <f>SUMIF(Mercado_Receita!$S$2:$S$2022,"44531A3GeraçãoNão se aplicaNão se aplicaNão se aplicaNão se aplicaNão se aplica",Mercado_Receita!$J$2:$J$2022)+SUMIF(Mercado_Receita!$S$2:$S$2022,"44531A3GeraçãoNão se aplicaNão se aplicaAPENão se aplicaNão se aplica",Mercado_Receita!$J$2:$J$2022)</f>
        <v>72190</v>
      </c>
      <c r="P21" s="12">
        <f>SUMIF(Mercado_Receita!$S$2:$S$2022,"44562A3GeraçãoNão se aplicaNão se aplicaNão se aplicaNão se aplicaNão se aplica",Mercado_Receita!$J$2:$J$2022)+SUMIF(Mercado_Receita!$S$2:$S$2022,"44562A3GeraçãoNão se aplicaNão se aplicaAPENão se aplicaNão se aplica",Mercado_Receita!$J$2:$J$2022)</f>
        <v>72190</v>
      </c>
      <c r="Q21" s="12">
        <f>SUMIF(Mercado_Receita!$S$2:$S$2022,"44593A3GeraçãoNão se aplicaNão se aplicaNão se aplicaNão se aplicaNão se aplica",Mercado_Receita!$J$2:$J$2022)+SUMIF(Mercado_Receita!$S$2:$S$2022,"44593A3GeraçãoNão se aplicaNão se aplicaAPENão se aplicaNão se aplica",Mercado_Receita!$J$2:$J$2022)</f>
        <v>72190</v>
      </c>
      <c r="R21" s="12">
        <f>SUMIF(Mercado_Receita!$S$2:$S$2022,"44621A3GeraçãoNão se aplicaNão se aplicaNão se aplicaNão se aplicaNão se aplica",Mercado_Receita!$J$2:$J$2022)+SUMIF(Mercado_Receita!$S$2:$S$2022,"44621A3GeraçãoNão se aplicaNão se aplicaAPENão se aplicaNão se aplica",Mercado_Receita!$J$2:$J$2022)</f>
        <v>72190</v>
      </c>
      <c r="S21" s="12">
        <f>SUMIF(Mercado_Receita!$S$2:$S$2022,"44652A3GeraçãoNão se aplicaNão se aplicaNão se aplicaNão se aplicaNão se aplica",Mercado_Receita!$J$2:$J$2022)+SUMIF(Mercado_Receita!$S$2:$S$2022,"44652A3GeraçãoNão se aplicaNão se aplicaAPENão se aplicaNão se aplica",Mercado_Receita!$J$2:$J$2022)</f>
        <v>72229</v>
      </c>
      <c r="T21" s="12">
        <f>SUMIF(Mercado_Receita!$S$2:$S$2022,"44682A3GeraçãoNão se aplicaNão se aplicaNão se aplicaNão se aplicaNão se aplica",Mercado_Receita!$J$2:$J$2022)+SUMIF(Mercado_Receita!$S$2:$S$2022,"44682A3GeraçãoNão se aplicaNão se aplicaAPENão se aplicaNão se aplica",Mercado_Receita!$J$2:$J$2022)</f>
        <v>72229</v>
      </c>
      <c r="U21" s="12">
        <f t="shared" si="0"/>
        <v>866358</v>
      </c>
      <c r="V21" s="12"/>
      <c r="W21" s="12"/>
    </row>
    <row r="22" spans="1:23" ht="11.25" customHeight="1" x14ac:dyDescent="0.25">
      <c r="A22" s="101" t="s">
        <v>41</v>
      </c>
      <c r="B22" s="101" t="s">
        <v>40</v>
      </c>
      <c r="C22" s="101" t="s">
        <v>25</v>
      </c>
      <c r="D22" s="101" t="s">
        <v>25</v>
      </c>
      <c r="E22" s="101" t="s">
        <v>25</v>
      </c>
      <c r="F22" s="101" t="s">
        <v>25</v>
      </c>
      <c r="G22" s="12" t="s">
        <v>121</v>
      </c>
      <c r="H22" s="12" t="s">
        <v>120</v>
      </c>
      <c r="I22" s="12">
        <f>SUMIF(Mercado_Receita!$S$2:$S$2022,"44348A4AzulNão se aplicaNão se aplicaNão se aplicaNão se aplicaPonta",Mercado_Receita!$J$2:$J$2022)+SUMIF(Mercado_Receita!$S$2:$S$2022,"44348A4AzulNão se aplicaNão se aplicaAPENão se aplicaPonta",Mercado_Receita!$J$2:$J$2022)</f>
        <v>22095</v>
      </c>
      <c r="J22" s="12">
        <f>SUMIF(Mercado_Receita!$S$2:$S$2022,"44378A4AzulNão se aplicaNão se aplicaNão se aplicaNão se aplicaPonta",Mercado_Receita!$J$2:$J$2022)+SUMIF(Mercado_Receita!$S$2:$S$2022,"44378A4AzulNão se aplicaNão se aplicaAPENão se aplicaPonta",Mercado_Receita!$J$2:$J$2022)</f>
        <v>22111</v>
      </c>
      <c r="K22" s="12">
        <f>SUMIF(Mercado_Receita!$S$2:$S$2022,"44409A4AzulNão se aplicaNão se aplicaNão se aplicaNão se aplicaPonta",Mercado_Receita!$J$2:$J$2022)+SUMIF(Mercado_Receita!$S$2:$S$2022,"44409A4AzulNão se aplicaNão se aplicaAPENão se aplicaPonta",Mercado_Receita!$J$2:$J$2022)</f>
        <v>22003</v>
      </c>
      <c r="L22" s="12">
        <f>SUMIF(Mercado_Receita!$S$2:$S$2022,"44440A4AzulNão se aplicaNão se aplicaNão se aplicaNão se aplicaPonta",Mercado_Receita!$J$2:$J$2022)+SUMIF(Mercado_Receita!$S$2:$S$2022,"44440A4AzulNão se aplicaNão se aplicaAPENão se aplicaPonta",Mercado_Receita!$J$2:$J$2022)</f>
        <v>22645</v>
      </c>
      <c r="M22" s="12">
        <f>SUMIF(Mercado_Receita!$S$2:$S$2022,"44470A4AzulNão se aplicaNão se aplicaNão se aplicaNão se aplicaPonta",Mercado_Receita!$J$2:$J$2022)+SUMIF(Mercado_Receita!$S$2:$S$2022,"44470A4AzulNão se aplicaNão se aplicaAPENão se aplicaPonta",Mercado_Receita!$J$2:$J$2022)</f>
        <v>22457</v>
      </c>
      <c r="N22" s="12">
        <f>SUMIF(Mercado_Receita!$S$2:$S$2022,"44501A4AzulNão se aplicaNão se aplicaNão se aplicaNão se aplicaPonta",Mercado_Receita!$J$2:$J$2022)+SUMIF(Mercado_Receita!$S$2:$S$2022,"44501A4AzulNão se aplicaNão se aplicaAPENão se aplicaPonta",Mercado_Receita!$J$2:$J$2022)</f>
        <v>22430</v>
      </c>
      <c r="O22" s="12">
        <f>SUMIF(Mercado_Receita!$S$2:$S$2022,"44531A4AzulNão se aplicaNão se aplicaNão se aplicaNão se aplicaPonta",Mercado_Receita!$J$2:$J$2022)+SUMIF(Mercado_Receita!$S$2:$S$2022,"44531A4AzulNão se aplicaNão se aplicaAPENão se aplicaPonta",Mercado_Receita!$J$2:$J$2022)</f>
        <v>22807</v>
      </c>
      <c r="P22" s="12">
        <f>SUMIF(Mercado_Receita!$S$2:$S$2022,"44562A4AzulNão se aplicaNão se aplicaNão se aplicaNão se aplicaPonta",Mercado_Receita!$J$2:$J$2022)+SUMIF(Mercado_Receita!$S$2:$S$2022,"44562A4AzulNão se aplicaNão se aplicaAPENão se aplicaPonta",Mercado_Receita!$J$2:$J$2022)</f>
        <v>22809</v>
      </c>
      <c r="Q22" s="12">
        <f>SUMIF(Mercado_Receita!$S$2:$S$2022,"44593A4AzulNão se aplicaNão se aplicaNão se aplicaNão se aplicaPonta",Mercado_Receita!$J$2:$J$2022)+SUMIF(Mercado_Receita!$S$2:$S$2022,"44593A4AzulNão se aplicaNão se aplicaAPENão se aplicaPonta",Mercado_Receita!$J$2:$J$2022)</f>
        <v>22166</v>
      </c>
      <c r="R22" s="12">
        <f>SUMIF(Mercado_Receita!$S$2:$S$2022,"44621A4AzulNão se aplicaNão se aplicaNão se aplicaNão se aplicaPonta",Mercado_Receita!$J$2:$J$2022)+SUMIF(Mercado_Receita!$S$2:$S$2022,"44621A4AzulNão se aplicaNão se aplicaAPENão se aplicaPonta",Mercado_Receita!$J$2:$J$2022)</f>
        <v>22514</v>
      </c>
      <c r="S22" s="12">
        <f>SUMIF(Mercado_Receita!$S$2:$S$2022,"44652A4AzulNão se aplicaNão se aplicaNão se aplicaNão se aplicaPonta",Mercado_Receita!$J$2:$J$2022)+SUMIF(Mercado_Receita!$S$2:$S$2022,"44652A4AzulNão se aplicaNão se aplicaAPENão se aplicaPonta",Mercado_Receita!$J$2:$J$2022)</f>
        <v>22550</v>
      </c>
      <c r="T22" s="12">
        <f>SUMIF(Mercado_Receita!$S$2:$S$2022,"44682A4AzulNão se aplicaNão se aplicaNão se aplicaNão se aplicaPonta",Mercado_Receita!$J$2:$J$2022)+SUMIF(Mercado_Receita!$S$2:$S$2022,"44682A4AzulNão se aplicaNão se aplicaAPENão se aplicaPonta",Mercado_Receita!$J$2:$J$2022)</f>
        <v>22550</v>
      </c>
      <c r="U22" s="12">
        <f t="shared" si="0"/>
        <v>269137</v>
      </c>
      <c r="V22" s="12"/>
      <c r="W22" s="12"/>
    </row>
    <row r="23" spans="1:23" ht="11.25" customHeight="1" x14ac:dyDescent="0.25">
      <c r="A23" s="102"/>
      <c r="B23" s="102"/>
      <c r="C23" s="102"/>
      <c r="D23" s="102"/>
      <c r="E23" s="102"/>
      <c r="F23" s="102"/>
      <c r="G23" s="12" t="s">
        <v>122</v>
      </c>
      <c r="H23" s="12" t="s">
        <v>120</v>
      </c>
      <c r="I23" s="12">
        <f>SUMIF(Mercado_Receita!$S$2:$S$2022,"44348A4AzulNão se aplicaNão se aplicaNão se aplicaNão se aplicaFora ponta",Mercado_Receita!$J$2:$J$2022)+SUMIF(Mercado_Receita!$S$2:$S$2022,"44348A4AzulNão se aplicaNão se aplicaAPENão se aplicaFora ponta",Mercado_Receita!$J$2:$J$2022)</f>
        <v>25303</v>
      </c>
      <c r="J23" s="12">
        <f>SUMIF(Mercado_Receita!$S$2:$S$2022,"44378A4AzulNão se aplicaNão se aplicaNão se aplicaNão se aplicaFora ponta",Mercado_Receita!$J$2:$J$2022)+SUMIF(Mercado_Receita!$S$2:$S$2022,"44378A4AzulNão se aplicaNão se aplicaAPENão se aplicaFora ponta",Mercado_Receita!$J$2:$J$2022)</f>
        <v>24685</v>
      </c>
      <c r="K23" s="12">
        <f>SUMIF(Mercado_Receita!$S$2:$S$2022,"44409A4AzulNão se aplicaNão se aplicaNão se aplicaNão se aplicaFora ponta",Mercado_Receita!$J$2:$J$2022)+SUMIF(Mercado_Receita!$S$2:$S$2022,"44409A4AzulNão se aplicaNão se aplicaAPENão se aplicaFora ponta",Mercado_Receita!$J$2:$J$2022)</f>
        <v>25187</v>
      </c>
      <c r="L23" s="12">
        <f>SUMIF(Mercado_Receita!$S$2:$S$2022,"44440A4AzulNão se aplicaNão se aplicaNão se aplicaNão se aplicaFora ponta",Mercado_Receita!$J$2:$J$2022)+SUMIF(Mercado_Receita!$S$2:$S$2022,"44440A4AzulNão se aplicaNão se aplicaAPENão se aplicaFora ponta",Mercado_Receita!$J$2:$J$2022)</f>
        <v>26247</v>
      </c>
      <c r="M23" s="12">
        <f>SUMIF(Mercado_Receita!$S$2:$S$2022,"44470A4AzulNão se aplicaNão se aplicaNão se aplicaNão se aplicaFora ponta",Mercado_Receita!$J$2:$J$2022)+SUMIF(Mercado_Receita!$S$2:$S$2022,"44470A4AzulNão se aplicaNão se aplicaAPENão se aplicaFora ponta",Mercado_Receita!$J$2:$J$2022)</f>
        <v>25768</v>
      </c>
      <c r="N23" s="12">
        <f>SUMIF(Mercado_Receita!$S$2:$S$2022,"44501A4AzulNão se aplicaNão se aplicaNão se aplicaNão se aplicaFora ponta",Mercado_Receita!$J$2:$J$2022)+SUMIF(Mercado_Receita!$S$2:$S$2022,"44501A4AzulNão se aplicaNão se aplicaAPENão se aplicaFora ponta",Mercado_Receita!$J$2:$J$2022)</f>
        <v>25683</v>
      </c>
      <c r="O23" s="12">
        <f>SUMIF(Mercado_Receita!$S$2:$S$2022,"44531A4AzulNão se aplicaNão se aplicaNão se aplicaNão se aplicaFora ponta",Mercado_Receita!$J$2:$J$2022)+SUMIF(Mercado_Receita!$S$2:$S$2022,"44531A4AzulNão se aplicaNão se aplicaAPENão se aplicaFora ponta",Mercado_Receita!$J$2:$J$2022)</f>
        <v>25977</v>
      </c>
      <c r="P23" s="12">
        <f>SUMIF(Mercado_Receita!$S$2:$S$2022,"44562A4AzulNão se aplicaNão se aplicaNão se aplicaNão se aplicaFora ponta",Mercado_Receita!$J$2:$J$2022)+SUMIF(Mercado_Receita!$S$2:$S$2022,"44562A4AzulNão se aplicaNão se aplicaAPENão se aplicaFora ponta",Mercado_Receita!$J$2:$J$2022)</f>
        <v>26015</v>
      </c>
      <c r="Q23" s="12">
        <f>SUMIF(Mercado_Receita!$S$2:$S$2022,"44593A4AzulNão se aplicaNão se aplicaNão se aplicaNão se aplicaFora ponta",Mercado_Receita!$J$2:$J$2022)+SUMIF(Mercado_Receita!$S$2:$S$2022,"44593A4AzulNão se aplicaNão se aplicaAPENão se aplicaFora ponta",Mercado_Receita!$J$2:$J$2022)</f>
        <v>25166</v>
      </c>
      <c r="R23" s="12">
        <f>SUMIF(Mercado_Receita!$S$2:$S$2022,"44621A4AzulNão se aplicaNão se aplicaNão se aplicaNão se aplicaFora ponta",Mercado_Receita!$J$2:$J$2022)+SUMIF(Mercado_Receita!$S$2:$S$2022,"44621A4AzulNão se aplicaNão se aplicaAPENão se aplicaFora ponta",Mercado_Receita!$J$2:$J$2022)</f>
        <v>25500</v>
      </c>
      <c r="S23" s="12">
        <f>SUMIF(Mercado_Receita!$S$2:$S$2022,"44652A4AzulNão se aplicaNão se aplicaNão se aplicaNão se aplicaFora ponta",Mercado_Receita!$J$2:$J$2022)+SUMIF(Mercado_Receita!$S$2:$S$2022,"44652A4AzulNão se aplicaNão se aplicaAPENão se aplicaFora ponta",Mercado_Receita!$J$2:$J$2022)</f>
        <v>25727</v>
      </c>
      <c r="T23" s="12">
        <f>SUMIF(Mercado_Receita!$S$2:$S$2022,"44682A4AzulNão se aplicaNão se aplicaNão se aplicaNão se aplicaFora ponta",Mercado_Receita!$J$2:$J$2022)+SUMIF(Mercado_Receita!$S$2:$S$2022,"44682A4AzulNão se aplicaNão se aplicaAPENão se aplicaFora ponta",Mercado_Receita!$J$2:$J$2022)</f>
        <v>25727</v>
      </c>
      <c r="U23" s="12">
        <f t="shared" si="0"/>
        <v>306985</v>
      </c>
      <c r="V23" s="12"/>
      <c r="W23" s="12"/>
    </row>
    <row r="24" spans="1:23" ht="11.25" customHeight="1" x14ac:dyDescent="0.25">
      <c r="A24" s="102"/>
      <c r="B24" s="102"/>
      <c r="C24" s="102"/>
      <c r="D24" s="102"/>
      <c r="E24" s="102"/>
      <c r="F24" s="102"/>
      <c r="G24" s="12" t="s">
        <v>123</v>
      </c>
      <c r="H24" s="12" t="s">
        <v>117</v>
      </c>
      <c r="I24" s="12">
        <f>SUMIF(Mercado_Receita!$S$2:$S$2022,"44348A4AzulNão se aplicaNão se aplicaNão se aplicaNão se aplicaPonta",Mercado_Receita!$L$2:$L$2022)+SUMIF(Mercado_Receita!$S$2:$S$2022,"44348A4AzulNão se aplicaNão se aplicaNão se aplicaNão se aplicaFora ponta",Mercado_Receita!$L$2:$L$2022)+SUMIF(Mercado_Receita!$S$2:$S$2022,"44348A4AzulNão se aplicaNão se aplicaNão se aplicaNão se aplicaIntermediário",Mercado_Receita!$L$2:$L$2022)+SUMIF(Mercado_Receita!$S$2:$S$2022,"44348A4AzulNão se aplicaNão se aplicaNão se aplicaNão se aplicaNão se aplica",Mercado_Receita!$L$2:$L$2022)</f>
        <v>10148.241</v>
      </c>
      <c r="J24" s="12">
        <f>SUMIF(Mercado_Receita!$S$2:$S$2022,"44378A4AzulNão se aplicaNão se aplicaNão se aplicaNão se aplicaPonta",Mercado_Receita!$L$2:$L$2022)+SUMIF(Mercado_Receita!$S$2:$S$2022,"44378A4AzulNão se aplicaNão se aplicaNão se aplicaNão se aplicaFora ponta",Mercado_Receita!$L$2:$L$2022)+SUMIF(Mercado_Receita!$S$2:$S$2022,"44378A4AzulNão se aplicaNão se aplicaNão se aplicaNão se aplicaIntermediário",Mercado_Receita!$L$2:$L$2022)+SUMIF(Mercado_Receita!$S$2:$S$2022,"44378A4AzulNão se aplicaNão se aplicaNão se aplicaNão se aplicaNão se aplica",Mercado_Receita!$L$2:$L$2022)</f>
        <v>9549.6790000000001</v>
      </c>
      <c r="K24" s="12">
        <f>SUMIF(Mercado_Receita!$S$2:$S$2022,"44409A4AzulNão se aplicaNão se aplicaNão se aplicaNão se aplicaPonta",Mercado_Receita!$L$2:$L$2022)+SUMIF(Mercado_Receita!$S$2:$S$2022,"44409A4AzulNão se aplicaNão se aplicaNão se aplicaNão se aplicaFora ponta",Mercado_Receita!$L$2:$L$2022)+SUMIF(Mercado_Receita!$S$2:$S$2022,"44409A4AzulNão se aplicaNão se aplicaNão se aplicaNão se aplicaIntermediário",Mercado_Receita!$L$2:$L$2022)+SUMIF(Mercado_Receita!$S$2:$S$2022,"44409A4AzulNão se aplicaNão se aplicaNão se aplicaNão se aplicaNão se aplica",Mercado_Receita!$L$2:$L$2022)</f>
        <v>10042.952000000001</v>
      </c>
      <c r="L24" s="12">
        <f>SUMIF(Mercado_Receita!$S$2:$S$2022,"44440A4AzulNão se aplicaNão se aplicaNão se aplicaNão se aplicaPonta",Mercado_Receita!$L$2:$L$2022)+SUMIF(Mercado_Receita!$S$2:$S$2022,"44440A4AzulNão se aplicaNão se aplicaNão se aplicaNão se aplicaFora ponta",Mercado_Receita!$L$2:$L$2022)+SUMIF(Mercado_Receita!$S$2:$S$2022,"44440A4AzulNão se aplicaNão se aplicaNão se aplicaNão se aplicaIntermediário",Mercado_Receita!$L$2:$L$2022)+SUMIF(Mercado_Receita!$S$2:$S$2022,"44440A4AzulNão se aplicaNão se aplicaNão se aplicaNão se aplicaNão se aplica",Mercado_Receita!$L$2:$L$2022)</f>
        <v>10688.918</v>
      </c>
      <c r="M24" s="12">
        <f>SUMIF(Mercado_Receita!$S$2:$S$2022,"44470A4AzulNão se aplicaNão se aplicaNão se aplicaNão se aplicaPonta",Mercado_Receita!$L$2:$L$2022)+SUMIF(Mercado_Receita!$S$2:$S$2022,"44470A4AzulNão se aplicaNão se aplicaNão se aplicaNão se aplicaFora ponta",Mercado_Receita!$L$2:$L$2022)+SUMIF(Mercado_Receita!$S$2:$S$2022,"44470A4AzulNão se aplicaNão se aplicaNão se aplicaNão se aplicaIntermediário",Mercado_Receita!$L$2:$L$2022)+SUMIF(Mercado_Receita!$S$2:$S$2022,"44470A4AzulNão se aplicaNão se aplicaNão se aplicaNão se aplicaNão se aplica",Mercado_Receita!$L$2:$L$2022)</f>
        <v>9911.1190000000006</v>
      </c>
      <c r="N24" s="12">
        <f>SUMIF(Mercado_Receita!$S$2:$S$2022,"44501A4AzulNão se aplicaNão se aplicaNão se aplicaNão se aplicaPonta",Mercado_Receita!$L$2:$L$2022)+SUMIF(Mercado_Receita!$S$2:$S$2022,"44501A4AzulNão se aplicaNão se aplicaNão se aplicaNão se aplicaFora ponta",Mercado_Receita!$L$2:$L$2022)+SUMIF(Mercado_Receita!$S$2:$S$2022,"44501A4AzulNão se aplicaNão se aplicaNão se aplicaNão se aplicaIntermediário",Mercado_Receita!$L$2:$L$2022)+SUMIF(Mercado_Receita!$S$2:$S$2022,"44501A4AzulNão se aplicaNão se aplicaNão se aplicaNão se aplicaNão se aplica",Mercado_Receita!$L$2:$L$2022)</f>
        <v>10483.716</v>
      </c>
      <c r="O24" s="12">
        <f>SUMIF(Mercado_Receita!$S$2:$S$2022,"44531A4AzulNão se aplicaNão se aplicaNão se aplicaNão se aplicaPonta",Mercado_Receita!$L$2:$L$2022)+SUMIF(Mercado_Receita!$S$2:$S$2022,"44531A4AzulNão se aplicaNão se aplicaNão se aplicaNão se aplicaFora ponta",Mercado_Receita!$L$2:$L$2022)+SUMIF(Mercado_Receita!$S$2:$S$2022,"44531A4AzulNão se aplicaNão se aplicaNão se aplicaNão se aplicaIntermediário",Mercado_Receita!$L$2:$L$2022)+SUMIF(Mercado_Receita!$S$2:$S$2022,"44531A4AzulNão se aplicaNão se aplicaNão se aplicaNão se aplicaNão se aplica",Mercado_Receita!$L$2:$L$2022)</f>
        <v>10698.708000000001</v>
      </c>
      <c r="P24" s="12">
        <f>SUMIF(Mercado_Receita!$S$2:$S$2022,"44562A4AzulNão se aplicaNão se aplicaNão se aplicaNão se aplicaPonta",Mercado_Receita!$L$2:$L$2022)+SUMIF(Mercado_Receita!$S$2:$S$2022,"44562A4AzulNão se aplicaNão se aplicaNão se aplicaNão se aplicaFora ponta",Mercado_Receita!$L$2:$L$2022)+SUMIF(Mercado_Receita!$S$2:$S$2022,"44562A4AzulNão se aplicaNão se aplicaNão se aplicaNão se aplicaIntermediário",Mercado_Receita!$L$2:$L$2022)+SUMIF(Mercado_Receita!$S$2:$S$2022,"44562A4AzulNão se aplicaNão se aplicaNão se aplicaNão se aplicaNão se aplica",Mercado_Receita!$L$2:$L$2022)</f>
        <v>9999.8109999999997</v>
      </c>
      <c r="Q24" s="12">
        <f>SUMIF(Mercado_Receita!$S$2:$S$2022,"44593A4AzulNão se aplicaNão se aplicaNão se aplicaNão se aplicaPonta",Mercado_Receita!$L$2:$L$2022)+SUMIF(Mercado_Receita!$S$2:$S$2022,"44593A4AzulNão se aplicaNão se aplicaNão se aplicaNão se aplicaFora ponta",Mercado_Receita!$L$2:$L$2022)+SUMIF(Mercado_Receita!$S$2:$S$2022,"44593A4AzulNão se aplicaNão se aplicaNão se aplicaNão se aplicaIntermediário",Mercado_Receita!$L$2:$L$2022)+SUMIF(Mercado_Receita!$S$2:$S$2022,"44593A4AzulNão se aplicaNão se aplicaNão se aplicaNão se aplicaNão se aplica",Mercado_Receita!$L$2:$L$2022)</f>
        <v>9545.2060000000001</v>
      </c>
      <c r="R24" s="12">
        <f>SUMIF(Mercado_Receita!$S$2:$S$2022,"44621A4AzulNão se aplicaNão se aplicaNão se aplicaNão se aplicaPonta",Mercado_Receita!$L$2:$L$2022)+SUMIF(Mercado_Receita!$S$2:$S$2022,"44621A4AzulNão se aplicaNão se aplicaNão se aplicaNão se aplicaFora ponta",Mercado_Receita!$L$2:$L$2022)+SUMIF(Mercado_Receita!$S$2:$S$2022,"44621A4AzulNão se aplicaNão se aplicaNão se aplicaNão se aplicaIntermediário",Mercado_Receita!$L$2:$L$2022)+SUMIF(Mercado_Receita!$S$2:$S$2022,"44621A4AzulNão se aplicaNão se aplicaNão se aplicaNão se aplicaNão se aplica",Mercado_Receita!$L$2:$L$2022)</f>
        <v>9155.759</v>
      </c>
      <c r="S24" s="12">
        <f>SUMIF(Mercado_Receita!$S$2:$S$2022,"44652A4AzulNão se aplicaNão se aplicaNão se aplicaNão se aplicaPonta",Mercado_Receita!$L$2:$L$2022)+SUMIF(Mercado_Receita!$S$2:$S$2022,"44652A4AzulNão se aplicaNão se aplicaNão se aplicaNão se aplicaFora ponta",Mercado_Receita!$L$2:$L$2022)+SUMIF(Mercado_Receita!$S$2:$S$2022,"44652A4AzulNão se aplicaNão se aplicaNão se aplicaNão se aplicaIntermediário",Mercado_Receita!$L$2:$L$2022)+SUMIF(Mercado_Receita!$S$2:$S$2022,"44652A4AzulNão se aplicaNão se aplicaNão se aplicaNão se aplicaNão se aplica",Mercado_Receita!$L$2:$L$2022)</f>
        <v>10407.548000000001</v>
      </c>
      <c r="T24" s="12">
        <f>SUMIF(Mercado_Receita!$S$2:$S$2022,"44682A4AzulNão se aplicaNão se aplicaNão se aplicaNão se aplicaPonta",Mercado_Receita!$L$2:$L$2022)+SUMIF(Mercado_Receita!$S$2:$S$2022,"44682A4AzulNão se aplicaNão se aplicaNão se aplicaNão se aplicaFora ponta",Mercado_Receita!$L$2:$L$2022)+SUMIF(Mercado_Receita!$S$2:$S$2022,"44682A4AzulNão se aplicaNão se aplicaNão se aplicaNão se aplicaIntermediário",Mercado_Receita!$L$2:$L$2022)+SUMIF(Mercado_Receita!$S$2:$S$2022,"44682A4AzulNão se aplicaNão se aplicaNão se aplicaNão se aplicaNão se aplica",Mercado_Receita!$L$2:$L$2022)</f>
        <v>10407.548000000001</v>
      </c>
      <c r="U24" s="12">
        <f t="shared" si="0"/>
        <v>121039.205</v>
      </c>
      <c r="V24" s="12"/>
      <c r="W24" s="12"/>
    </row>
    <row r="25" spans="1:23" ht="11.25" customHeight="1" x14ac:dyDescent="0.25">
      <c r="A25" s="102"/>
      <c r="B25" s="102"/>
      <c r="C25" s="102"/>
      <c r="D25" s="102"/>
      <c r="E25" s="13" t="s">
        <v>61</v>
      </c>
      <c r="F25" s="13" t="s">
        <v>25</v>
      </c>
      <c r="G25" s="12" t="s">
        <v>123</v>
      </c>
      <c r="H25" s="12" t="s">
        <v>117</v>
      </c>
      <c r="I25" s="12">
        <f>SUMIF(Mercado_Receita!$S$2:$S$2022,"44348A4AzulNão se aplicaNão se aplicaAPENão se aplicaPonta",Mercado_Receita!$L$2:$L$2022)+SUMIF(Mercado_Receita!$S$2:$S$2022,"44348A4AzulNão se aplicaNão se aplicaAPENão se aplicaFora ponta",Mercado_Receita!$L$2:$L$2022)+SUMIF(Mercado_Receita!$S$2:$S$2022,"44348A4AzulNão se aplicaNão se aplicaAPENão se aplicaIntermediário",Mercado_Receita!$L$2:$L$2022)+SUMIF(Mercado_Receita!$S$2:$S$2022,"44348A4AzulNão se aplicaNão se aplicaAPENão se aplicaNão se aplica",Mercado_Receita!$L$2:$L$2022)</f>
        <v>0</v>
      </c>
      <c r="J25" s="12">
        <f>SUMIF(Mercado_Receita!$S$2:$S$2022,"44378A4AzulNão se aplicaNão se aplicaAPENão se aplicaPonta",Mercado_Receita!$L$2:$L$2022)+SUMIF(Mercado_Receita!$S$2:$S$2022,"44378A4AzulNão se aplicaNão se aplicaAPENão se aplicaFora ponta",Mercado_Receita!$L$2:$L$2022)+SUMIF(Mercado_Receita!$S$2:$S$2022,"44378A4AzulNão se aplicaNão se aplicaAPENão se aplicaIntermediário",Mercado_Receita!$L$2:$L$2022)+SUMIF(Mercado_Receita!$S$2:$S$2022,"44378A4AzulNão se aplicaNão se aplicaAPENão se aplicaNão se aplica",Mercado_Receita!$L$2:$L$2022)</f>
        <v>0</v>
      </c>
      <c r="K25" s="12">
        <f>SUMIF(Mercado_Receita!$S$2:$S$2022,"44409A4AzulNão se aplicaNão se aplicaAPENão se aplicaPonta",Mercado_Receita!$L$2:$L$2022)+SUMIF(Mercado_Receita!$S$2:$S$2022,"44409A4AzulNão se aplicaNão se aplicaAPENão se aplicaFora ponta",Mercado_Receita!$L$2:$L$2022)+SUMIF(Mercado_Receita!$S$2:$S$2022,"44409A4AzulNão se aplicaNão se aplicaAPENão se aplicaIntermediário",Mercado_Receita!$L$2:$L$2022)+SUMIF(Mercado_Receita!$S$2:$S$2022,"44409A4AzulNão se aplicaNão se aplicaAPENão se aplicaNão se aplica",Mercado_Receita!$L$2:$L$2022)</f>
        <v>0</v>
      </c>
      <c r="L25" s="12">
        <f>SUMIF(Mercado_Receita!$S$2:$S$2022,"44440A4AzulNão se aplicaNão se aplicaAPENão se aplicaPonta",Mercado_Receita!$L$2:$L$2022)+SUMIF(Mercado_Receita!$S$2:$S$2022,"44440A4AzulNão se aplicaNão se aplicaAPENão se aplicaFora ponta",Mercado_Receita!$L$2:$L$2022)+SUMIF(Mercado_Receita!$S$2:$S$2022,"44440A4AzulNão se aplicaNão se aplicaAPENão se aplicaIntermediário",Mercado_Receita!$L$2:$L$2022)+SUMIF(Mercado_Receita!$S$2:$S$2022,"44440A4AzulNão se aplicaNão se aplicaAPENão se aplicaNão se aplica",Mercado_Receita!$L$2:$L$2022)</f>
        <v>0</v>
      </c>
      <c r="M25" s="12">
        <f>SUMIF(Mercado_Receita!$S$2:$S$2022,"44470A4AzulNão se aplicaNão se aplicaAPENão se aplicaPonta",Mercado_Receita!$L$2:$L$2022)+SUMIF(Mercado_Receita!$S$2:$S$2022,"44470A4AzulNão se aplicaNão se aplicaAPENão se aplicaFora ponta",Mercado_Receita!$L$2:$L$2022)+SUMIF(Mercado_Receita!$S$2:$S$2022,"44470A4AzulNão se aplicaNão se aplicaAPENão se aplicaIntermediário",Mercado_Receita!$L$2:$L$2022)+SUMIF(Mercado_Receita!$S$2:$S$2022,"44470A4AzulNão se aplicaNão se aplicaAPENão se aplicaNão se aplica",Mercado_Receita!$L$2:$L$2022)</f>
        <v>0</v>
      </c>
      <c r="N25" s="12">
        <f>SUMIF(Mercado_Receita!$S$2:$S$2022,"44501A4AzulNão se aplicaNão se aplicaAPENão se aplicaPonta",Mercado_Receita!$L$2:$L$2022)+SUMIF(Mercado_Receita!$S$2:$S$2022,"44501A4AzulNão se aplicaNão se aplicaAPENão se aplicaFora ponta",Mercado_Receita!$L$2:$L$2022)+SUMIF(Mercado_Receita!$S$2:$S$2022,"44501A4AzulNão se aplicaNão se aplicaAPENão se aplicaIntermediário",Mercado_Receita!$L$2:$L$2022)+SUMIF(Mercado_Receita!$S$2:$S$2022,"44501A4AzulNão se aplicaNão se aplicaAPENão se aplicaNão se aplica",Mercado_Receita!$L$2:$L$2022)</f>
        <v>0</v>
      </c>
      <c r="O25" s="12">
        <f>SUMIF(Mercado_Receita!$S$2:$S$2022,"44531A4AzulNão se aplicaNão se aplicaAPENão se aplicaPonta",Mercado_Receita!$L$2:$L$2022)+SUMIF(Mercado_Receita!$S$2:$S$2022,"44531A4AzulNão se aplicaNão se aplicaAPENão se aplicaFora ponta",Mercado_Receita!$L$2:$L$2022)+SUMIF(Mercado_Receita!$S$2:$S$2022,"44531A4AzulNão se aplicaNão se aplicaAPENão se aplicaIntermediário",Mercado_Receita!$L$2:$L$2022)+SUMIF(Mercado_Receita!$S$2:$S$2022,"44531A4AzulNão se aplicaNão se aplicaAPENão se aplicaNão se aplica",Mercado_Receita!$L$2:$L$2022)</f>
        <v>0</v>
      </c>
      <c r="P25" s="12">
        <f>SUMIF(Mercado_Receita!$S$2:$S$2022,"44562A4AzulNão se aplicaNão se aplicaAPENão se aplicaPonta",Mercado_Receita!$L$2:$L$2022)+SUMIF(Mercado_Receita!$S$2:$S$2022,"44562A4AzulNão se aplicaNão se aplicaAPENão se aplicaFora ponta",Mercado_Receita!$L$2:$L$2022)+SUMIF(Mercado_Receita!$S$2:$S$2022,"44562A4AzulNão se aplicaNão se aplicaAPENão se aplicaIntermediário",Mercado_Receita!$L$2:$L$2022)+SUMIF(Mercado_Receita!$S$2:$S$2022,"44562A4AzulNão se aplicaNão se aplicaAPENão se aplicaNão se aplica",Mercado_Receita!$L$2:$L$2022)</f>
        <v>0</v>
      </c>
      <c r="Q25" s="12">
        <f>SUMIF(Mercado_Receita!$S$2:$S$2022,"44593A4AzulNão se aplicaNão se aplicaAPENão se aplicaPonta",Mercado_Receita!$L$2:$L$2022)+SUMIF(Mercado_Receita!$S$2:$S$2022,"44593A4AzulNão se aplicaNão se aplicaAPENão se aplicaFora ponta",Mercado_Receita!$L$2:$L$2022)+SUMIF(Mercado_Receita!$S$2:$S$2022,"44593A4AzulNão se aplicaNão se aplicaAPENão se aplicaIntermediário",Mercado_Receita!$L$2:$L$2022)+SUMIF(Mercado_Receita!$S$2:$S$2022,"44593A4AzulNão se aplicaNão se aplicaAPENão se aplicaNão se aplica",Mercado_Receita!$L$2:$L$2022)</f>
        <v>0</v>
      </c>
      <c r="R25" s="12">
        <f>SUMIF(Mercado_Receita!$S$2:$S$2022,"44621A4AzulNão se aplicaNão se aplicaAPENão se aplicaPonta",Mercado_Receita!$L$2:$L$2022)+SUMIF(Mercado_Receita!$S$2:$S$2022,"44621A4AzulNão se aplicaNão se aplicaAPENão se aplicaFora ponta",Mercado_Receita!$L$2:$L$2022)+SUMIF(Mercado_Receita!$S$2:$S$2022,"44621A4AzulNão se aplicaNão se aplicaAPENão se aplicaIntermediário",Mercado_Receita!$L$2:$L$2022)+SUMIF(Mercado_Receita!$S$2:$S$2022,"44621A4AzulNão se aplicaNão se aplicaAPENão se aplicaNão se aplica",Mercado_Receita!$L$2:$L$2022)</f>
        <v>0</v>
      </c>
      <c r="S25" s="12">
        <f>SUMIF(Mercado_Receita!$S$2:$S$2022,"44652A4AzulNão se aplicaNão se aplicaAPENão se aplicaPonta",Mercado_Receita!$L$2:$L$2022)+SUMIF(Mercado_Receita!$S$2:$S$2022,"44652A4AzulNão se aplicaNão se aplicaAPENão se aplicaFora ponta",Mercado_Receita!$L$2:$L$2022)+SUMIF(Mercado_Receita!$S$2:$S$2022,"44652A4AzulNão se aplicaNão se aplicaAPENão se aplicaIntermediário",Mercado_Receita!$L$2:$L$2022)+SUMIF(Mercado_Receita!$S$2:$S$2022,"44652A4AzulNão se aplicaNão se aplicaAPENão se aplicaNão se aplica",Mercado_Receita!$L$2:$L$2022)</f>
        <v>0</v>
      </c>
      <c r="T25" s="12">
        <f>SUMIF(Mercado_Receita!$S$2:$S$2022,"44682A4AzulNão se aplicaNão se aplicaAPENão se aplicaPonta",Mercado_Receita!$L$2:$L$2022)+SUMIF(Mercado_Receita!$S$2:$S$2022,"44682A4AzulNão se aplicaNão se aplicaAPENão se aplicaFora ponta",Mercado_Receita!$L$2:$L$2022)+SUMIF(Mercado_Receita!$S$2:$S$2022,"44682A4AzulNão se aplicaNão se aplicaAPENão se aplicaIntermediário",Mercado_Receita!$L$2:$L$2022)+SUMIF(Mercado_Receita!$S$2:$S$2022,"44682A4AzulNão se aplicaNão se aplicaAPENão se aplicaNão se aplica",Mercado_Receita!$L$2:$L$2022)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02"/>
      <c r="B26" s="101" t="s">
        <v>81</v>
      </c>
      <c r="C26" s="101" t="s">
        <v>25</v>
      </c>
      <c r="D26" s="101" t="s">
        <v>25</v>
      </c>
      <c r="E26" s="101" t="s">
        <v>25</v>
      </c>
      <c r="F26" s="101" t="s">
        <v>82</v>
      </c>
      <c r="G26" s="12" t="s">
        <v>121</v>
      </c>
      <c r="H26" s="12" t="s">
        <v>120</v>
      </c>
      <c r="I26" s="12">
        <f>SUMIF(Mercado_Receita!$S$2:$S$2022,"44348A4DistribuiçãoNão se aplicaNão se aplicaNão se aplicaCemig-DPonta",Mercado_Receita!$J$2:$J$2022)+SUMIF(Mercado_Receita!$S$2:$S$2022,"44348A4DistribuiçãoNão se aplicaNão se aplicaNão se aplicaCemig-DNão se aplica",Mercado_Receita!$J$2:$J$2022)*0.72</f>
        <v>3500</v>
      </c>
      <c r="J26" s="12">
        <f>SUMIF(Mercado_Receita!$S$2:$S$2022,"44378A4DistribuiçãoNão se aplicaNão se aplicaNão se aplicaCemig-DPonta",Mercado_Receita!$J$2:$J$2022)+SUMIF(Mercado_Receita!$S$2:$S$2022,"44378A4DistribuiçãoNão se aplicaNão se aplicaNão se aplicaCemig-DNão se aplica",Mercado_Receita!$J$2:$J$2022)*0.72</f>
        <v>3500</v>
      </c>
      <c r="K26" s="12">
        <f>SUMIF(Mercado_Receita!$S$2:$S$2022,"44409A4DistribuiçãoNão se aplicaNão se aplicaNão se aplicaCemig-DPonta",Mercado_Receita!$J$2:$J$2022)+SUMIF(Mercado_Receita!$S$2:$S$2022,"44409A4DistribuiçãoNão se aplicaNão se aplicaNão se aplicaCemig-DNão se aplica",Mercado_Receita!$J$2:$J$2022)*0.72</f>
        <v>3500</v>
      </c>
      <c r="L26" s="12">
        <f>SUMIF(Mercado_Receita!$S$2:$S$2022,"44440A4DistribuiçãoNão se aplicaNão se aplicaNão se aplicaCemig-DPonta",Mercado_Receita!$J$2:$J$2022)+SUMIF(Mercado_Receita!$S$2:$S$2022,"44440A4DistribuiçãoNão se aplicaNão se aplicaNão se aplicaCemig-DNão se aplica",Mercado_Receita!$J$2:$J$2022)*0.72</f>
        <v>3500</v>
      </c>
      <c r="M26" s="12">
        <f>SUMIF(Mercado_Receita!$S$2:$S$2022,"44470A4DistribuiçãoNão se aplicaNão se aplicaNão se aplicaCemig-DPonta",Mercado_Receita!$J$2:$J$2022)+SUMIF(Mercado_Receita!$S$2:$S$2022,"44470A4DistribuiçãoNão se aplicaNão se aplicaNão se aplicaCemig-DNão se aplica",Mercado_Receita!$J$2:$J$2022)*0.72</f>
        <v>3500</v>
      </c>
      <c r="N26" s="12">
        <f>SUMIF(Mercado_Receita!$S$2:$S$2022,"44501A4DistribuiçãoNão se aplicaNão se aplicaNão se aplicaCemig-DPonta",Mercado_Receita!$J$2:$J$2022)+SUMIF(Mercado_Receita!$S$2:$S$2022,"44501A4DistribuiçãoNão se aplicaNão se aplicaNão se aplicaCemig-DNão se aplica",Mercado_Receita!$J$2:$J$2022)*0.72</f>
        <v>3500</v>
      </c>
      <c r="O26" s="12">
        <f>SUMIF(Mercado_Receita!$S$2:$S$2022,"44531A4DistribuiçãoNão se aplicaNão se aplicaNão se aplicaCemig-DPonta",Mercado_Receita!$J$2:$J$2022)+SUMIF(Mercado_Receita!$S$2:$S$2022,"44531A4DistribuiçãoNão se aplicaNão se aplicaNão se aplicaCemig-DNão se aplica",Mercado_Receita!$J$2:$J$2022)*0.72</f>
        <v>3500</v>
      </c>
      <c r="P26" s="12">
        <f>SUMIF(Mercado_Receita!$S$2:$S$2022,"44562A4DistribuiçãoNão se aplicaNão se aplicaNão se aplicaCemig-DPonta",Mercado_Receita!$J$2:$J$2022)+SUMIF(Mercado_Receita!$S$2:$S$2022,"44562A4DistribuiçãoNão se aplicaNão se aplicaNão se aplicaCemig-DNão se aplica",Mercado_Receita!$J$2:$J$2022)*0.72</f>
        <v>3500</v>
      </c>
      <c r="Q26" s="12">
        <f>SUMIF(Mercado_Receita!$S$2:$S$2022,"44593A4DistribuiçãoNão se aplicaNão se aplicaNão se aplicaCemig-DPonta",Mercado_Receita!$J$2:$J$2022)+SUMIF(Mercado_Receita!$S$2:$S$2022,"44593A4DistribuiçãoNão se aplicaNão se aplicaNão se aplicaCemig-DNão se aplica",Mercado_Receita!$J$2:$J$2022)*0.72</f>
        <v>3500</v>
      </c>
      <c r="R26" s="12">
        <f>SUMIF(Mercado_Receita!$S$2:$S$2022,"44621A4DistribuiçãoNão se aplicaNão se aplicaNão se aplicaCemig-DPonta",Mercado_Receita!$J$2:$J$2022)+SUMIF(Mercado_Receita!$S$2:$S$2022,"44621A4DistribuiçãoNão se aplicaNão se aplicaNão se aplicaCemig-DNão se aplica",Mercado_Receita!$J$2:$J$2022)*0.72</f>
        <v>3500</v>
      </c>
      <c r="S26" s="12">
        <f>SUMIF(Mercado_Receita!$S$2:$S$2022,"44652A4DistribuiçãoNão se aplicaNão se aplicaNão se aplicaCemig-DPonta",Mercado_Receita!$J$2:$J$2022)+SUMIF(Mercado_Receita!$S$2:$S$2022,"44652A4DistribuiçãoNão se aplicaNão se aplicaNão se aplicaCemig-DNão se aplica",Mercado_Receita!$J$2:$J$2022)*0.72</f>
        <v>3500</v>
      </c>
      <c r="T26" s="12">
        <f>SUMIF(Mercado_Receita!$S$2:$S$2022,"44682A4DistribuiçãoNão se aplicaNão se aplicaNão se aplicaCemig-DPonta",Mercado_Receita!$J$2:$J$2022)+SUMIF(Mercado_Receita!$S$2:$S$2022,"44682A4DistribuiçãoNão se aplicaNão se aplicaNão se aplicaCemig-DNão se aplica",Mercado_Receita!$J$2:$J$2022)*0.72</f>
        <v>3500</v>
      </c>
      <c r="U26" s="12">
        <f t="shared" si="0"/>
        <v>42000</v>
      </c>
      <c r="V26" s="12"/>
      <c r="W26" s="12"/>
    </row>
    <row r="27" spans="1:23" ht="11.25" customHeight="1" x14ac:dyDescent="0.25">
      <c r="A27" s="102"/>
      <c r="B27" s="102"/>
      <c r="C27" s="102"/>
      <c r="D27" s="102"/>
      <c r="E27" s="102"/>
      <c r="F27" s="102"/>
      <c r="G27" s="12" t="s">
        <v>122</v>
      </c>
      <c r="H27" s="12" t="s">
        <v>120</v>
      </c>
      <c r="I27" s="12">
        <f>SUMIF(Mercado_Receita!$S$2:$S$2022,"44348A4DistribuiçãoNão se aplicaNão se aplicaNão se aplicaCemig-DFora ponta",Mercado_Receita!$J$2:$J$2022)+SUMIF(Mercado_Receita!$S$2:$S$2022,"44348A4DistribuiçãoNão se aplicaNão se aplicaNão se aplicaCemig-DNão se aplica",Mercado_Receita!$J$2:$J$2022)*1</f>
        <v>3500</v>
      </c>
      <c r="J27" s="12">
        <f>SUMIF(Mercado_Receita!$S$2:$S$2022,"44378A4DistribuiçãoNão se aplicaNão se aplicaNão se aplicaCemig-DFora ponta",Mercado_Receita!$J$2:$J$2022)+SUMIF(Mercado_Receita!$S$2:$S$2022,"44378A4DistribuiçãoNão se aplicaNão se aplicaNão se aplicaCemig-DNão se aplica",Mercado_Receita!$J$2:$J$2022)*1</f>
        <v>3500</v>
      </c>
      <c r="K27" s="12">
        <f>SUMIF(Mercado_Receita!$S$2:$S$2022,"44409A4DistribuiçãoNão se aplicaNão se aplicaNão se aplicaCemig-DFora ponta",Mercado_Receita!$J$2:$J$2022)+SUMIF(Mercado_Receita!$S$2:$S$2022,"44409A4DistribuiçãoNão se aplicaNão se aplicaNão se aplicaCemig-DNão se aplica",Mercado_Receita!$J$2:$J$2022)*1</f>
        <v>3500</v>
      </c>
      <c r="L27" s="12">
        <f>SUMIF(Mercado_Receita!$S$2:$S$2022,"44440A4DistribuiçãoNão se aplicaNão se aplicaNão se aplicaCemig-DFora ponta",Mercado_Receita!$J$2:$J$2022)+SUMIF(Mercado_Receita!$S$2:$S$2022,"44440A4DistribuiçãoNão se aplicaNão se aplicaNão se aplicaCemig-DNão se aplica",Mercado_Receita!$J$2:$J$2022)*1</f>
        <v>3500</v>
      </c>
      <c r="M27" s="12">
        <f>SUMIF(Mercado_Receita!$S$2:$S$2022,"44470A4DistribuiçãoNão se aplicaNão se aplicaNão se aplicaCemig-DFora ponta",Mercado_Receita!$J$2:$J$2022)+SUMIF(Mercado_Receita!$S$2:$S$2022,"44470A4DistribuiçãoNão se aplicaNão se aplicaNão se aplicaCemig-DNão se aplica",Mercado_Receita!$J$2:$J$2022)*1</f>
        <v>3500</v>
      </c>
      <c r="N27" s="12">
        <f>SUMIF(Mercado_Receita!$S$2:$S$2022,"44501A4DistribuiçãoNão se aplicaNão se aplicaNão se aplicaCemig-DFora ponta",Mercado_Receita!$J$2:$J$2022)+SUMIF(Mercado_Receita!$S$2:$S$2022,"44501A4DistribuiçãoNão se aplicaNão se aplicaNão se aplicaCemig-DNão se aplica",Mercado_Receita!$J$2:$J$2022)*1</f>
        <v>3500</v>
      </c>
      <c r="O27" s="12">
        <f>SUMIF(Mercado_Receita!$S$2:$S$2022,"44531A4DistribuiçãoNão se aplicaNão se aplicaNão se aplicaCemig-DFora ponta",Mercado_Receita!$J$2:$J$2022)+SUMIF(Mercado_Receita!$S$2:$S$2022,"44531A4DistribuiçãoNão se aplicaNão se aplicaNão se aplicaCemig-DNão se aplica",Mercado_Receita!$J$2:$J$2022)*1</f>
        <v>3500</v>
      </c>
      <c r="P27" s="12">
        <f>SUMIF(Mercado_Receita!$S$2:$S$2022,"44562A4DistribuiçãoNão se aplicaNão se aplicaNão se aplicaCemig-DFora ponta",Mercado_Receita!$J$2:$J$2022)+SUMIF(Mercado_Receita!$S$2:$S$2022,"44562A4DistribuiçãoNão se aplicaNão se aplicaNão se aplicaCemig-DNão se aplica",Mercado_Receita!$J$2:$J$2022)*1</f>
        <v>3500</v>
      </c>
      <c r="Q27" s="12">
        <f>SUMIF(Mercado_Receita!$S$2:$S$2022,"44593A4DistribuiçãoNão se aplicaNão se aplicaNão se aplicaCemig-DFora ponta",Mercado_Receita!$J$2:$J$2022)+SUMIF(Mercado_Receita!$S$2:$S$2022,"44593A4DistribuiçãoNão se aplicaNão se aplicaNão se aplicaCemig-DNão se aplica",Mercado_Receita!$J$2:$J$2022)*1</f>
        <v>3500</v>
      </c>
      <c r="R27" s="12">
        <f>SUMIF(Mercado_Receita!$S$2:$S$2022,"44621A4DistribuiçãoNão se aplicaNão se aplicaNão se aplicaCemig-DFora ponta",Mercado_Receita!$J$2:$J$2022)+SUMIF(Mercado_Receita!$S$2:$S$2022,"44621A4DistribuiçãoNão se aplicaNão se aplicaNão se aplicaCemig-DNão se aplica",Mercado_Receita!$J$2:$J$2022)*1</f>
        <v>3500</v>
      </c>
      <c r="S27" s="12">
        <f>SUMIF(Mercado_Receita!$S$2:$S$2022,"44652A4DistribuiçãoNão se aplicaNão se aplicaNão se aplicaCemig-DFora ponta",Mercado_Receita!$J$2:$J$2022)+SUMIF(Mercado_Receita!$S$2:$S$2022,"44652A4DistribuiçãoNão se aplicaNão se aplicaNão se aplicaCemig-DNão se aplica",Mercado_Receita!$J$2:$J$2022)*1</f>
        <v>3500</v>
      </c>
      <c r="T27" s="12">
        <f>SUMIF(Mercado_Receita!$S$2:$S$2022,"44682A4DistribuiçãoNão se aplicaNão se aplicaNão se aplicaCemig-DFora ponta",Mercado_Receita!$J$2:$J$2022)+SUMIF(Mercado_Receita!$S$2:$S$2022,"44682A4DistribuiçãoNão se aplicaNão se aplicaNão se aplicaCemig-DNão se aplica",Mercado_Receita!$J$2:$J$2022)*1</f>
        <v>3500</v>
      </c>
      <c r="U27" s="12">
        <f t="shared" si="0"/>
        <v>42000</v>
      </c>
      <c r="V27" s="12"/>
      <c r="W27" s="12"/>
    </row>
    <row r="28" spans="1:23" ht="11.25" customHeight="1" x14ac:dyDescent="0.25">
      <c r="A28" s="102"/>
      <c r="B28" s="102"/>
      <c r="C28" s="102"/>
      <c r="D28" s="102"/>
      <c r="E28" s="102"/>
      <c r="F28" s="102"/>
      <c r="G28" s="12" t="s">
        <v>123</v>
      </c>
      <c r="H28" s="12" t="s">
        <v>117</v>
      </c>
      <c r="I28" s="12">
        <f>IF((I26+I27)&lt;&gt;0,SUMIF(Mercado_Receita!$S$2:$S$2022,"44348A4DistribuiçãoNão se aplicaNão se aplicaNão se aplicaCemig-DPonta",Mercado_Receita!$L$2:$L$2022)+SUMIF(Mercado_Receita!$S$2:$S$2022,"44348A4DistribuiçãoNão se aplicaNão se aplicaNão se aplicaCemig-DFora ponta",Mercado_Receita!$L$2:$L$2022)+SUMIF(Mercado_Receita!$S$2:$S$2022,"44348A4DistribuiçãoNão se aplicaNão se aplicaNão se aplicaCemig-DIntermediário",Mercado_Receita!$L$2:$L$2022)+SUMIF(Mercado_Receita!$S$2:$S$2022,"44348A4DistribuiçãoNão se aplicaNão se aplicaNão se aplicaCemig-DNão se aplica",Mercado_Receita!$L$2:$L$2022),0)</f>
        <v>823.99800000000005</v>
      </c>
      <c r="J28" s="12">
        <f>IF((J26+J27)&lt;&gt;0,SUMIF(Mercado_Receita!$S$2:$S$2022,"44378A4DistribuiçãoNão se aplicaNão se aplicaNão se aplicaCemig-DPonta",Mercado_Receita!$L$2:$L$2022)+SUMIF(Mercado_Receita!$S$2:$S$2022,"44378A4DistribuiçãoNão se aplicaNão se aplicaNão se aplicaCemig-DFora ponta",Mercado_Receita!$L$2:$L$2022)+SUMIF(Mercado_Receita!$S$2:$S$2022,"44378A4DistribuiçãoNão se aplicaNão se aplicaNão se aplicaCemig-DIntermediário",Mercado_Receita!$L$2:$L$2022)+SUMIF(Mercado_Receita!$S$2:$S$2022,"44378A4DistribuiçãoNão se aplicaNão se aplicaNão se aplicaCemig-DNão se aplica",Mercado_Receita!$L$2:$L$2022),0)</f>
        <v>766.38300000000004</v>
      </c>
      <c r="K28" s="12">
        <f>IF((K26+K27)&lt;&gt;0,SUMIF(Mercado_Receita!$S$2:$S$2022,"44409A4DistribuiçãoNão se aplicaNão se aplicaNão se aplicaCemig-DPonta",Mercado_Receita!$L$2:$L$2022)+SUMIF(Mercado_Receita!$S$2:$S$2022,"44409A4DistribuiçãoNão se aplicaNão se aplicaNão se aplicaCemig-DFora ponta",Mercado_Receita!$L$2:$L$2022)+SUMIF(Mercado_Receita!$S$2:$S$2022,"44409A4DistribuiçãoNão se aplicaNão se aplicaNão se aplicaCemig-DIntermediário",Mercado_Receita!$L$2:$L$2022)+SUMIF(Mercado_Receita!$S$2:$S$2022,"44409A4DistribuiçãoNão se aplicaNão se aplicaNão se aplicaCemig-DNão se aplica",Mercado_Receita!$L$2:$L$2022),0)</f>
        <v>760.92100000000005</v>
      </c>
      <c r="L28" s="12">
        <f>IF((L26+L27)&lt;&gt;0,SUMIF(Mercado_Receita!$S$2:$S$2022,"44440A4DistribuiçãoNão se aplicaNão se aplicaNão se aplicaCemig-DPonta",Mercado_Receita!$L$2:$L$2022)+SUMIF(Mercado_Receita!$S$2:$S$2022,"44440A4DistribuiçãoNão se aplicaNão se aplicaNão se aplicaCemig-DFora ponta",Mercado_Receita!$L$2:$L$2022)+SUMIF(Mercado_Receita!$S$2:$S$2022,"44440A4DistribuiçãoNão se aplicaNão se aplicaNão se aplicaCemig-DIntermediário",Mercado_Receita!$L$2:$L$2022)+SUMIF(Mercado_Receita!$S$2:$S$2022,"44440A4DistribuiçãoNão se aplicaNão se aplicaNão se aplicaCemig-DNão se aplica",Mercado_Receita!$L$2:$L$2022),0)</f>
        <v>794.83</v>
      </c>
      <c r="M28" s="12">
        <f>IF((M26+M27)&lt;&gt;0,SUMIF(Mercado_Receita!$S$2:$S$2022,"44470A4DistribuiçãoNão se aplicaNão se aplicaNão se aplicaCemig-DPonta",Mercado_Receita!$L$2:$L$2022)+SUMIF(Mercado_Receita!$S$2:$S$2022,"44470A4DistribuiçãoNão se aplicaNão se aplicaNão se aplicaCemig-DFora ponta",Mercado_Receita!$L$2:$L$2022)+SUMIF(Mercado_Receita!$S$2:$S$2022,"44470A4DistribuiçãoNão se aplicaNão se aplicaNão se aplicaCemig-DIntermediário",Mercado_Receita!$L$2:$L$2022)+SUMIF(Mercado_Receita!$S$2:$S$2022,"44470A4DistribuiçãoNão se aplicaNão se aplicaNão se aplicaCemig-DNão se aplica",Mercado_Receita!$L$2:$L$2022),0)</f>
        <v>855.04399999999998</v>
      </c>
      <c r="N28" s="12">
        <f>IF((N26+N27)&lt;&gt;0,SUMIF(Mercado_Receita!$S$2:$S$2022,"44501A4DistribuiçãoNão se aplicaNão se aplicaNão se aplicaCemig-DPonta",Mercado_Receita!$L$2:$L$2022)+SUMIF(Mercado_Receita!$S$2:$S$2022,"44501A4DistribuiçãoNão se aplicaNão se aplicaNão se aplicaCemig-DFora ponta",Mercado_Receita!$L$2:$L$2022)+SUMIF(Mercado_Receita!$S$2:$S$2022,"44501A4DistribuiçãoNão se aplicaNão se aplicaNão se aplicaCemig-DIntermediário",Mercado_Receita!$L$2:$L$2022)+SUMIF(Mercado_Receita!$S$2:$S$2022,"44501A4DistribuiçãoNão se aplicaNão se aplicaNão se aplicaCemig-DNão se aplica",Mercado_Receita!$L$2:$L$2022),0)</f>
        <v>827.68399999999997</v>
      </c>
      <c r="O28" s="12">
        <f>IF((O26+O27)&lt;&gt;0,SUMIF(Mercado_Receita!$S$2:$S$2022,"44531A4DistribuiçãoNão se aplicaNão se aplicaNão se aplicaCemig-DPonta",Mercado_Receita!$L$2:$L$2022)+SUMIF(Mercado_Receita!$S$2:$S$2022,"44531A4DistribuiçãoNão se aplicaNão se aplicaNão se aplicaCemig-DFora ponta",Mercado_Receita!$L$2:$L$2022)+SUMIF(Mercado_Receita!$S$2:$S$2022,"44531A4DistribuiçãoNão se aplicaNão se aplicaNão se aplicaCemig-DIntermediário",Mercado_Receita!$L$2:$L$2022)+SUMIF(Mercado_Receita!$S$2:$S$2022,"44531A4DistribuiçãoNão se aplicaNão se aplicaNão se aplicaCemig-DNão se aplica",Mercado_Receita!$L$2:$L$2022),0)</f>
        <v>811.846</v>
      </c>
      <c r="P28" s="12">
        <f>IF((P26+P27)&lt;&gt;0,SUMIF(Mercado_Receita!$S$2:$S$2022,"44562A4DistribuiçãoNão se aplicaNão se aplicaNão se aplicaCemig-DPonta",Mercado_Receita!$L$2:$L$2022)+SUMIF(Mercado_Receita!$S$2:$S$2022,"44562A4DistribuiçãoNão se aplicaNão se aplicaNão se aplicaCemig-DFora ponta",Mercado_Receita!$L$2:$L$2022)+SUMIF(Mercado_Receita!$S$2:$S$2022,"44562A4DistribuiçãoNão se aplicaNão se aplicaNão se aplicaCemig-DIntermediário",Mercado_Receita!$L$2:$L$2022)+SUMIF(Mercado_Receita!$S$2:$S$2022,"44562A4DistribuiçãoNão se aplicaNão se aplicaNão se aplicaCemig-DNão se aplica",Mercado_Receita!$L$2:$L$2022),0)</f>
        <v>898.20899999999995</v>
      </c>
      <c r="Q28" s="12">
        <f>IF((Q26+Q27)&lt;&gt;0,SUMIF(Mercado_Receita!$S$2:$S$2022,"44593A4DistribuiçãoNão se aplicaNão se aplicaNão se aplicaCemig-DPonta",Mercado_Receita!$L$2:$L$2022)+SUMIF(Mercado_Receita!$S$2:$S$2022,"44593A4DistribuiçãoNão se aplicaNão se aplicaNão se aplicaCemig-DFora ponta",Mercado_Receita!$L$2:$L$2022)+SUMIF(Mercado_Receita!$S$2:$S$2022,"44593A4DistribuiçãoNão se aplicaNão se aplicaNão se aplicaCemig-DIntermediário",Mercado_Receita!$L$2:$L$2022)+SUMIF(Mercado_Receita!$S$2:$S$2022,"44593A4DistribuiçãoNão se aplicaNão se aplicaNão se aplicaCemig-DNão se aplica",Mercado_Receita!$L$2:$L$2022),0)</f>
        <v>934.46799999999996</v>
      </c>
      <c r="R28" s="12">
        <f>IF((R26+R27)&lt;&gt;0,SUMIF(Mercado_Receita!$S$2:$S$2022,"44621A4DistribuiçãoNão se aplicaNão se aplicaNão se aplicaCemig-DPonta",Mercado_Receita!$L$2:$L$2022)+SUMIF(Mercado_Receita!$S$2:$S$2022,"44621A4DistribuiçãoNão se aplicaNão se aplicaNão se aplicaCemig-DFora ponta",Mercado_Receita!$L$2:$L$2022)+SUMIF(Mercado_Receita!$S$2:$S$2022,"44621A4DistribuiçãoNão se aplicaNão se aplicaNão se aplicaCemig-DIntermediário",Mercado_Receita!$L$2:$L$2022)+SUMIF(Mercado_Receita!$S$2:$S$2022,"44621A4DistribuiçãoNão se aplicaNão se aplicaNão se aplicaCemig-DNão se aplica",Mercado_Receita!$L$2:$L$2022),0)</f>
        <v>832.11099999999999</v>
      </c>
      <c r="S28" s="12">
        <f>IF((S26+S27)&lt;&gt;0,SUMIF(Mercado_Receita!$S$2:$S$2022,"44652A4DistribuiçãoNão se aplicaNão se aplicaNão se aplicaCemig-DPonta",Mercado_Receita!$L$2:$L$2022)+SUMIF(Mercado_Receita!$S$2:$S$2022,"44652A4DistribuiçãoNão se aplicaNão se aplicaNão se aplicaCemig-DFora ponta",Mercado_Receita!$L$2:$L$2022)+SUMIF(Mercado_Receita!$S$2:$S$2022,"44652A4DistribuiçãoNão se aplicaNão se aplicaNão se aplicaCemig-DIntermediário",Mercado_Receita!$L$2:$L$2022)+SUMIF(Mercado_Receita!$S$2:$S$2022,"44652A4DistribuiçãoNão se aplicaNão se aplicaNão se aplicaCemig-DNão se aplica",Mercado_Receita!$L$2:$L$2022),0)</f>
        <v>991.36300000000006</v>
      </c>
      <c r="T28" s="12">
        <f>IF((T26+T27)&lt;&gt;0,SUMIF(Mercado_Receita!$S$2:$S$2022,"44682A4DistribuiçãoNão se aplicaNão se aplicaNão se aplicaCemig-DPonta",Mercado_Receita!$L$2:$L$2022)+SUMIF(Mercado_Receita!$S$2:$S$2022,"44682A4DistribuiçãoNão se aplicaNão se aplicaNão se aplicaCemig-DFora ponta",Mercado_Receita!$L$2:$L$2022)+SUMIF(Mercado_Receita!$S$2:$S$2022,"44682A4DistribuiçãoNão se aplicaNão se aplicaNão se aplicaCemig-DIntermediário",Mercado_Receita!$L$2:$L$2022)+SUMIF(Mercado_Receita!$S$2:$S$2022,"44682A4DistribuiçãoNão se aplicaNão se aplicaNão se aplicaCemig-DNão se aplica",Mercado_Receita!$L$2:$L$2022),0)</f>
        <v>991.36300000000006</v>
      </c>
      <c r="U28" s="12">
        <f t="shared" si="0"/>
        <v>10288.219999999999</v>
      </c>
      <c r="V28" s="12"/>
      <c r="W28" s="12"/>
    </row>
    <row r="29" spans="1:23" ht="11.25" customHeight="1" x14ac:dyDescent="0.25">
      <c r="A29" s="102"/>
      <c r="B29" s="13" t="s">
        <v>64</v>
      </c>
      <c r="C29" s="13" t="s">
        <v>25</v>
      </c>
      <c r="D29" s="13" t="s">
        <v>25</v>
      </c>
      <c r="E29" s="13" t="s">
        <v>25</v>
      </c>
      <c r="F29" s="13" t="s">
        <v>25</v>
      </c>
      <c r="G29" s="12" t="s">
        <v>9</v>
      </c>
      <c r="H29" s="12" t="s">
        <v>120</v>
      </c>
      <c r="I29" s="12">
        <f>SUMIF(Mercado_Receita!$S$2:$S$2022,"44348A4GeraçãoNão se aplicaNão se aplicaNão se aplicaNão se aplicaNão se aplica",Mercado_Receita!$J$2:$J$2022)+SUMIF(Mercado_Receita!$S$2:$S$2022,"44348A4GeraçãoNão se aplicaNão se aplicaAPENão se aplicaNão se aplica",Mercado_Receita!$J$2:$J$2022)</f>
        <v>40124</v>
      </c>
      <c r="J29" s="12">
        <f>SUMIF(Mercado_Receita!$S$2:$S$2022,"44378A4GeraçãoNão se aplicaNão se aplicaNão se aplicaNão se aplicaNão se aplica",Mercado_Receita!$J$2:$J$2022)+SUMIF(Mercado_Receita!$S$2:$S$2022,"44378A4GeraçãoNão se aplicaNão se aplicaAPENão se aplicaNão se aplica",Mercado_Receita!$J$2:$J$2022)</f>
        <v>40124</v>
      </c>
      <c r="K29" s="12">
        <f>SUMIF(Mercado_Receita!$S$2:$S$2022,"44409A4GeraçãoNão se aplicaNão se aplicaNão se aplicaNão se aplicaNão se aplica",Mercado_Receita!$J$2:$J$2022)+SUMIF(Mercado_Receita!$S$2:$S$2022,"44409A4GeraçãoNão se aplicaNão se aplicaAPENão se aplicaNão se aplica",Mercado_Receita!$J$2:$J$2022)</f>
        <v>40124</v>
      </c>
      <c r="L29" s="12">
        <f>SUMIF(Mercado_Receita!$S$2:$S$2022,"44440A4GeraçãoNão se aplicaNão se aplicaNão se aplicaNão se aplicaNão se aplica",Mercado_Receita!$J$2:$J$2022)+SUMIF(Mercado_Receita!$S$2:$S$2022,"44440A4GeraçãoNão se aplicaNão se aplicaAPENão se aplicaNão se aplica",Mercado_Receita!$J$2:$J$2022)</f>
        <v>40124</v>
      </c>
      <c r="M29" s="12">
        <f>SUMIF(Mercado_Receita!$S$2:$S$2022,"44470A4GeraçãoNão se aplicaNão se aplicaNão se aplicaNão se aplicaNão se aplica",Mercado_Receita!$J$2:$J$2022)+SUMIF(Mercado_Receita!$S$2:$S$2022,"44470A4GeraçãoNão se aplicaNão se aplicaAPENão se aplicaNão se aplica",Mercado_Receita!$J$2:$J$2022)</f>
        <v>40124</v>
      </c>
      <c r="N29" s="12">
        <f>SUMIF(Mercado_Receita!$S$2:$S$2022,"44501A4GeraçãoNão se aplicaNão se aplicaNão se aplicaNão se aplicaNão se aplica",Mercado_Receita!$J$2:$J$2022)+SUMIF(Mercado_Receita!$S$2:$S$2022,"44501A4GeraçãoNão se aplicaNão se aplicaAPENão se aplicaNão se aplica",Mercado_Receita!$J$2:$J$2022)</f>
        <v>40124</v>
      </c>
      <c r="O29" s="12">
        <f>SUMIF(Mercado_Receita!$S$2:$S$2022,"44531A4GeraçãoNão se aplicaNão se aplicaNão se aplicaNão se aplicaNão se aplica",Mercado_Receita!$J$2:$J$2022)+SUMIF(Mercado_Receita!$S$2:$S$2022,"44531A4GeraçãoNão se aplicaNão se aplicaAPENão se aplicaNão se aplica",Mercado_Receita!$J$2:$J$2022)</f>
        <v>40135</v>
      </c>
      <c r="P29" s="12">
        <f>SUMIF(Mercado_Receita!$S$2:$S$2022,"44562A4GeraçãoNão se aplicaNão se aplicaNão se aplicaNão se aplicaNão se aplica",Mercado_Receita!$J$2:$J$2022)+SUMIF(Mercado_Receita!$S$2:$S$2022,"44562A4GeraçãoNão se aplicaNão se aplicaAPENão se aplicaNão se aplica",Mercado_Receita!$J$2:$J$2022)</f>
        <v>40208</v>
      </c>
      <c r="Q29" s="12">
        <f>SUMIF(Mercado_Receita!$S$2:$S$2022,"44593A4GeraçãoNão se aplicaNão se aplicaNão se aplicaNão se aplicaNão se aplica",Mercado_Receita!$J$2:$J$2022)+SUMIF(Mercado_Receita!$S$2:$S$2022,"44593A4GeraçãoNão se aplicaNão se aplicaAPENão se aplicaNão se aplica",Mercado_Receita!$J$2:$J$2022)</f>
        <v>40156</v>
      </c>
      <c r="R29" s="12">
        <f>SUMIF(Mercado_Receita!$S$2:$S$2022,"44621A4GeraçãoNão se aplicaNão se aplicaNão se aplicaNão se aplicaNão se aplica",Mercado_Receita!$J$2:$J$2022)+SUMIF(Mercado_Receita!$S$2:$S$2022,"44621A4GeraçãoNão se aplicaNão se aplicaAPENão se aplicaNão se aplica",Mercado_Receita!$J$2:$J$2022)</f>
        <v>40184</v>
      </c>
      <c r="S29" s="12">
        <f>SUMIF(Mercado_Receita!$S$2:$S$2022,"44652A4GeraçãoNão se aplicaNão se aplicaNão se aplicaNão se aplicaNão se aplica",Mercado_Receita!$J$2:$J$2022)+SUMIF(Mercado_Receita!$S$2:$S$2022,"44652A4GeraçãoNão se aplicaNão se aplicaAPENão se aplicaNão se aplica",Mercado_Receita!$J$2:$J$2022)</f>
        <v>40124</v>
      </c>
      <c r="T29" s="12">
        <f>SUMIF(Mercado_Receita!$S$2:$S$2022,"44682A4GeraçãoNão se aplicaNão se aplicaNão se aplicaNão se aplicaNão se aplica",Mercado_Receita!$J$2:$J$2022)+SUMIF(Mercado_Receita!$S$2:$S$2022,"44682A4GeraçãoNão se aplicaNão se aplicaAPENão se aplicaNão se aplica",Mercado_Receita!$J$2:$J$2022)</f>
        <v>40124</v>
      </c>
      <c r="U29" s="12">
        <f t="shared" si="0"/>
        <v>481675</v>
      </c>
      <c r="V29" s="12"/>
      <c r="W29" s="12"/>
    </row>
    <row r="30" spans="1:23" ht="11.25" customHeight="1" x14ac:dyDescent="0.25">
      <c r="A30" s="102"/>
      <c r="B30" s="101" t="s">
        <v>42</v>
      </c>
      <c r="C30" s="101" t="s">
        <v>25</v>
      </c>
      <c r="D30" s="101" t="s">
        <v>25</v>
      </c>
      <c r="E30" s="101" t="s">
        <v>25</v>
      </c>
      <c r="F30" s="101" t="s">
        <v>25</v>
      </c>
      <c r="G30" s="12" t="s">
        <v>9</v>
      </c>
      <c r="H30" s="12" t="s">
        <v>120</v>
      </c>
      <c r="I30" s="12">
        <f>SUMIF(Mercado_Receita!$S$2:$S$2022,"44348A4VerdeNão se aplicaNão se aplicaNão se aplicaNão se aplicaNão se aplica",Mercado_Receita!$J$2:$J$2022)+SUMIF(Mercado_Receita!$S$2:$S$2022,"44348A4VerdeNão se aplicaNão se aplicaAPENão se aplicaNão se aplica",Mercado_Receita!$J$2:$J$2022)</f>
        <v>101712</v>
      </c>
      <c r="J30" s="12">
        <f>SUMIF(Mercado_Receita!$S$2:$S$2022,"44378A4VerdeNão se aplicaNão se aplicaNão se aplicaNão se aplicaNão se aplica",Mercado_Receita!$J$2:$J$2022)+SUMIF(Mercado_Receita!$S$2:$S$2022,"44378A4VerdeNão se aplicaNão se aplicaAPENão se aplicaNão se aplica",Mercado_Receita!$J$2:$J$2022)</f>
        <v>101623</v>
      </c>
      <c r="K30" s="12">
        <f>SUMIF(Mercado_Receita!$S$2:$S$2022,"44409A4VerdeNão se aplicaNão se aplicaNão se aplicaNão se aplicaNão se aplica",Mercado_Receita!$J$2:$J$2022)+SUMIF(Mercado_Receita!$S$2:$S$2022,"44409A4VerdeNão se aplicaNão se aplicaAPENão se aplicaNão se aplica",Mercado_Receita!$J$2:$J$2022)</f>
        <v>103844</v>
      </c>
      <c r="L30" s="12">
        <f>SUMIF(Mercado_Receita!$S$2:$S$2022,"44440A4VerdeNão se aplicaNão se aplicaNão se aplicaNão se aplicaNão se aplica",Mercado_Receita!$J$2:$J$2022)+SUMIF(Mercado_Receita!$S$2:$S$2022,"44440A4VerdeNão se aplicaNão se aplicaAPENão se aplicaNão se aplica",Mercado_Receita!$J$2:$J$2022)</f>
        <v>105250</v>
      </c>
      <c r="M30" s="12">
        <f>SUMIF(Mercado_Receita!$S$2:$S$2022,"44470A4VerdeNão se aplicaNão se aplicaNão se aplicaNão se aplicaNão se aplica",Mercado_Receita!$J$2:$J$2022)+SUMIF(Mercado_Receita!$S$2:$S$2022,"44470A4VerdeNão se aplicaNão se aplicaAPENão se aplicaNão se aplica",Mercado_Receita!$J$2:$J$2022)</f>
        <v>105437</v>
      </c>
      <c r="N30" s="12">
        <f>SUMIF(Mercado_Receita!$S$2:$S$2022,"44501A4VerdeNão se aplicaNão se aplicaNão se aplicaNão se aplicaNão se aplica",Mercado_Receita!$J$2:$J$2022)+SUMIF(Mercado_Receita!$S$2:$S$2022,"44501A4VerdeNão se aplicaNão se aplicaAPENão se aplicaNão se aplica",Mercado_Receita!$J$2:$J$2022)</f>
        <v>106307</v>
      </c>
      <c r="O30" s="12">
        <f>SUMIF(Mercado_Receita!$S$2:$S$2022,"44531A4VerdeNão se aplicaNão se aplicaNão se aplicaNão se aplicaNão se aplica",Mercado_Receita!$J$2:$J$2022)+SUMIF(Mercado_Receita!$S$2:$S$2022,"44531A4VerdeNão se aplicaNão se aplicaAPENão se aplicaNão se aplica",Mercado_Receita!$J$2:$J$2022)</f>
        <v>107451</v>
      </c>
      <c r="P30" s="12">
        <f>SUMIF(Mercado_Receita!$S$2:$S$2022,"44562A4VerdeNão se aplicaNão se aplicaNão se aplicaNão se aplicaNão se aplica",Mercado_Receita!$J$2:$J$2022)+SUMIF(Mercado_Receita!$S$2:$S$2022,"44562A4VerdeNão se aplicaNão se aplicaAPENão se aplicaNão se aplica",Mercado_Receita!$J$2:$J$2022)</f>
        <v>108893</v>
      </c>
      <c r="Q30" s="12">
        <f>SUMIF(Mercado_Receita!$S$2:$S$2022,"44593A4VerdeNão se aplicaNão se aplicaNão se aplicaNão se aplicaNão se aplica",Mercado_Receita!$J$2:$J$2022)+SUMIF(Mercado_Receita!$S$2:$S$2022,"44593A4VerdeNão se aplicaNão se aplicaAPENão se aplicaNão se aplica",Mercado_Receita!$J$2:$J$2022)</f>
        <v>111975</v>
      </c>
      <c r="R30" s="12">
        <f>SUMIF(Mercado_Receita!$S$2:$S$2022,"44621A4VerdeNão se aplicaNão se aplicaNão se aplicaNão se aplicaNão se aplica",Mercado_Receita!$J$2:$J$2022)+SUMIF(Mercado_Receita!$S$2:$S$2022,"44621A4VerdeNão se aplicaNão se aplicaAPENão se aplicaNão se aplica",Mercado_Receita!$J$2:$J$2022)</f>
        <v>111507</v>
      </c>
      <c r="S30" s="12">
        <f>SUMIF(Mercado_Receita!$S$2:$S$2022,"44652A4VerdeNão se aplicaNão se aplicaNão se aplicaNão se aplicaNão se aplica",Mercado_Receita!$J$2:$J$2022)+SUMIF(Mercado_Receita!$S$2:$S$2022,"44652A4VerdeNão se aplicaNão se aplicaAPENão se aplicaNão se aplica",Mercado_Receita!$J$2:$J$2022)</f>
        <v>114172</v>
      </c>
      <c r="T30" s="12">
        <f>SUMIF(Mercado_Receita!$S$2:$S$2022,"44682A4VerdeNão se aplicaNão se aplicaNão se aplicaNão se aplicaNão se aplica",Mercado_Receita!$J$2:$J$2022)+SUMIF(Mercado_Receita!$S$2:$S$2022,"44682A4VerdeNão se aplicaNão se aplicaAPENão se aplicaNão se aplica",Mercado_Receita!$J$2:$J$2022)</f>
        <v>114172</v>
      </c>
      <c r="U30" s="12">
        <f t="shared" si="0"/>
        <v>1292343</v>
      </c>
      <c r="V30" s="12"/>
      <c r="W30" s="12"/>
    </row>
    <row r="31" spans="1:23" ht="11.25" customHeight="1" x14ac:dyDescent="0.25">
      <c r="A31" s="102"/>
      <c r="B31" s="102"/>
      <c r="C31" s="102"/>
      <c r="D31" s="102"/>
      <c r="E31" s="102"/>
      <c r="F31" s="102"/>
      <c r="G31" s="12" t="s">
        <v>118</v>
      </c>
      <c r="H31" s="12" t="s">
        <v>117</v>
      </c>
      <c r="I31" s="12">
        <f>SUMIF(Mercado_Receita!$S$2:$S$2022,"44348A4VerdeNão se aplicaNão se aplicaNão se aplicaNão se aplicaPonta",Mercado_Receita!$L$2:$L$2022)</f>
        <v>996.83800000000008</v>
      </c>
      <c r="J31" s="12">
        <f>SUMIF(Mercado_Receita!$S$2:$S$2022,"44378A4VerdeNão se aplicaNão se aplicaNão se aplicaNão se aplicaPonta",Mercado_Receita!$L$2:$L$2022)</f>
        <v>1015.0130000000001</v>
      </c>
      <c r="K31" s="12">
        <f>SUMIF(Mercado_Receita!$S$2:$S$2022,"44409A4VerdeNão se aplicaNão se aplicaNão se aplicaNão se aplicaPonta",Mercado_Receita!$L$2:$L$2022)</f>
        <v>1124.373</v>
      </c>
      <c r="L31" s="12">
        <f>SUMIF(Mercado_Receita!$S$2:$S$2022,"44440A4VerdeNão se aplicaNão se aplicaNão se aplicaNão se aplicaPonta",Mercado_Receita!$L$2:$L$2022)</f>
        <v>1222.6540000000002</v>
      </c>
      <c r="M31" s="12">
        <f>SUMIF(Mercado_Receita!$S$2:$S$2022,"44470A4VerdeNão se aplicaNão se aplicaNão se aplicaNão se aplicaPonta",Mercado_Receita!$L$2:$L$2022)</f>
        <v>1176.8810000000001</v>
      </c>
      <c r="N31" s="12">
        <f>SUMIF(Mercado_Receita!$S$2:$S$2022,"44501A4VerdeNão se aplicaNão se aplicaNão se aplicaNão se aplicaPonta",Mercado_Receita!$L$2:$L$2022)</f>
        <v>1149.579</v>
      </c>
      <c r="O31" s="12">
        <f>SUMIF(Mercado_Receita!$S$2:$S$2022,"44531A4VerdeNão se aplicaNão se aplicaNão se aplicaNão se aplicaPonta",Mercado_Receita!$L$2:$L$2022)</f>
        <v>1160.4940000000001</v>
      </c>
      <c r="P31" s="12">
        <f>SUMIF(Mercado_Receita!$S$2:$S$2022,"44562A4VerdeNão se aplicaNão se aplicaNão se aplicaNão se aplicaPonta",Mercado_Receita!$L$2:$L$2022)</f>
        <v>1183.4409999999998</v>
      </c>
      <c r="Q31" s="12">
        <f>SUMIF(Mercado_Receita!$S$2:$S$2022,"44593A4VerdeNão se aplicaNão se aplicaNão se aplicaNão se aplicaPonta",Mercado_Receita!$L$2:$L$2022)</f>
        <v>1184.6500000000001</v>
      </c>
      <c r="R31" s="12">
        <f>SUMIF(Mercado_Receita!$S$2:$S$2022,"44621A4VerdeNão se aplicaNão se aplicaNão se aplicaNão se aplicaPonta",Mercado_Receita!$L$2:$L$2022)</f>
        <v>1206.741</v>
      </c>
      <c r="S31" s="12">
        <f>SUMIF(Mercado_Receita!$S$2:$S$2022,"44652A4VerdeNão se aplicaNão se aplicaNão se aplicaNão se aplicaPonta",Mercado_Receita!$L$2:$L$2022)</f>
        <v>1307.585</v>
      </c>
      <c r="T31" s="12">
        <f>SUMIF(Mercado_Receita!$S$2:$S$2022,"44682A4VerdeNão se aplicaNão se aplicaNão se aplicaNão se aplicaPonta",Mercado_Receita!$L$2:$L$2022)</f>
        <v>1307.585</v>
      </c>
      <c r="U31" s="12">
        <f t="shared" si="0"/>
        <v>14035.833999999999</v>
      </c>
      <c r="V31" s="12"/>
      <c r="W31" s="12"/>
    </row>
    <row r="32" spans="1:23" ht="11.25" customHeight="1" x14ac:dyDescent="0.25">
      <c r="A32" s="102"/>
      <c r="B32" s="102"/>
      <c r="C32" s="102"/>
      <c r="D32" s="102"/>
      <c r="E32" s="102"/>
      <c r="F32" s="102"/>
      <c r="G32" s="12" t="s">
        <v>119</v>
      </c>
      <c r="H32" s="12" t="s">
        <v>117</v>
      </c>
      <c r="I32" s="12">
        <f>SUMIF(Mercado_Receita!$S$2:$S$2022,"44348A4VerdeNão se aplicaNão se aplicaNão se aplicaNão se aplicaFora ponta",Mercado_Receita!$L$2:$L$2022)</f>
        <v>18479.647000000004</v>
      </c>
      <c r="J32" s="12">
        <f>SUMIF(Mercado_Receita!$S$2:$S$2022,"44378A4VerdeNão se aplicaNão se aplicaNão se aplicaNão se aplicaFora ponta",Mercado_Receita!$L$2:$L$2022)</f>
        <v>18699.514999999999</v>
      </c>
      <c r="K32" s="12">
        <f>SUMIF(Mercado_Receita!$S$2:$S$2022,"44409A4VerdeNão se aplicaNão se aplicaNão se aplicaNão se aplicaFora ponta",Mercado_Receita!$L$2:$L$2022)</f>
        <v>19862.502</v>
      </c>
      <c r="L32" s="12">
        <f>SUMIF(Mercado_Receita!$S$2:$S$2022,"44440A4VerdeNão se aplicaNão se aplicaNão se aplicaNão se aplicaFora ponta",Mercado_Receita!$L$2:$L$2022)</f>
        <v>20403.445</v>
      </c>
      <c r="M32" s="12">
        <f>SUMIF(Mercado_Receita!$S$2:$S$2022,"44470A4VerdeNão se aplicaNão se aplicaNão se aplicaNão se aplicaFora ponta",Mercado_Receita!$L$2:$L$2022)</f>
        <v>20654.078000000001</v>
      </c>
      <c r="N32" s="12">
        <f>SUMIF(Mercado_Receita!$S$2:$S$2022,"44501A4VerdeNão se aplicaNão se aplicaNão se aplicaNão se aplicaFora ponta",Mercado_Receita!$L$2:$L$2022)</f>
        <v>20600.829999999998</v>
      </c>
      <c r="O32" s="12">
        <f>SUMIF(Mercado_Receita!$S$2:$S$2022,"44531A4VerdeNão se aplicaNão se aplicaNão se aplicaNão se aplicaFora ponta",Mercado_Receita!$L$2:$L$2022)</f>
        <v>20284.607</v>
      </c>
      <c r="P32" s="12">
        <f>SUMIF(Mercado_Receita!$S$2:$S$2022,"44562A4VerdeNão se aplicaNão se aplicaNão se aplicaNão se aplicaFora ponta",Mercado_Receita!$L$2:$L$2022)</f>
        <v>18978.636999999999</v>
      </c>
      <c r="Q32" s="12">
        <f>SUMIF(Mercado_Receita!$S$2:$S$2022,"44593A4VerdeNão se aplicaNão se aplicaNão se aplicaNão se aplicaFora ponta",Mercado_Receita!$L$2:$L$2022)</f>
        <v>20097.335999999996</v>
      </c>
      <c r="R32" s="12">
        <f>SUMIF(Mercado_Receita!$S$2:$S$2022,"44621A4VerdeNão se aplicaNão se aplicaNão se aplicaNão se aplicaFora ponta",Mercado_Receita!$L$2:$L$2022)</f>
        <v>20268.315000000002</v>
      </c>
      <c r="S32" s="12">
        <f>SUMIF(Mercado_Receita!$S$2:$S$2022,"44652A4VerdeNão se aplicaNão se aplicaNão se aplicaNão se aplicaFora ponta",Mercado_Receita!$L$2:$L$2022)</f>
        <v>21613.237999999998</v>
      </c>
      <c r="T32" s="12">
        <f>SUMIF(Mercado_Receita!$S$2:$S$2022,"44682A4VerdeNão se aplicaNão se aplicaNão se aplicaNão se aplicaFora ponta",Mercado_Receita!$L$2:$L$2022)</f>
        <v>21613.237999999998</v>
      </c>
      <c r="U32" s="12">
        <f t="shared" si="0"/>
        <v>241555.38800000004</v>
      </c>
      <c r="V32" s="12"/>
      <c r="W32" s="12"/>
    </row>
    <row r="33" spans="1:23" ht="11.25" customHeight="1" x14ac:dyDescent="0.25">
      <c r="A33" s="102"/>
      <c r="B33" s="102"/>
      <c r="C33" s="102"/>
      <c r="D33" s="102"/>
      <c r="E33" s="101" t="s">
        <v>61</v>
      </c>
      <c r="F33" s="101" t="s">
        <v>25</v>
      </c>
      <c r="G33" s="12" t="s">
        <v>118</v>
      </c>
      <c r="H33" s="12" t="s">
        <v>117</v>
      </c>
      <c r="I33" s="12">
        <f>SUMIF(Mercado_Receita!$S$2:$S$2022,"44348A4VerdeNão se aplicaNão se aplicaAPENão se aplicaPonta",Mercado_Receita!$L$2:$L$2022)</f>
        <v>0</v>
      </c>
      <c r="J33" s="12">
        <f>SUMIF(Mercado_Receita!$S$2:$S$2022,"44378A4VerdeNão se aplicaNão se aplicaAPENão se aplicaPonta",Mercado_Receita!$L$2:$L$2022)</f>
        <v>0</v>
      </c>
      <c r="K33" s="12">
        <f>SUMIF(Mercado_Receita!$S$2:$S$2022,"44409A4VerdeNão se aplicaNão se aplicaAPENão se aplicaPonta",Mercado_Receita!$L$2:$L$2022)</f>
        <v>0</v>
      </c>
      <c r="L33" s="12">
        <f>SUMIF(Mercado_Receita!$S$2:$S$2022,"44440A4VerdeNão se aplicaNão se aplicaAPENão se aplicaPonta",Mercado_Receita!$L$2:$L$2022)</f>
        <v>0</v>
      </c>
      <c r="M33" s="12">
        <f>SUMIF(Mercado_Receita!$S$2:$S$2022,"44470A4VerdeNão se aplicaNão se aplicaAPENão se aplicaPonta",Mercado_Receita!$L$2:$L$2022)</f>
        <v>0</v>
      </c>
      <c r="N33" s="12">
        <f>SUMIF(Mercado_Receita!$S$2:$S$2022,"44501A4VerdeNão se aplicaNão se aplicaAPENão se aplicaPonta",Mercado_Receita!$L$2:$L$2022)</f>
        <v>0</v>
      </c>
      <c r="O33" s="12">
        <f>SUMIF(Mercado_Receita!$S$2:$S$2022,"44531A4VerdeNão se aplicaNão se aplicaAPENão se aplicaPonta",Mercado_Receita!$L$2:$L$2022)</f>
        <v>0</v>
      </c>
      <c r="P33" s="12">
        <f>SUMIF(Mercado_Receita!$S$2:$S$2022,"44562A4VerdeNão se aplicaNão se aplicaAPENão se aplicaPonta",Mercado_Receita!$L$2:$L$2022)</f>
        <v>0</v>
      </c>
      <c r="Q33" s="12">
        <f>SUMIF(Mercado_Receita!$S$2:$S$2022,"44593A4VerdeNão se aplicaNão se aplicaAPENão se aplicaPonta",Mercado_Receita!$L$2:$L$2022)</f>
        <v>0</v>
      </c>
      <c r="R33" s="12">
        <f>SUMIF(Mercado_Receita!$S$2:$S$2022,"44621A4VerdeNão se aplicaNão se aplicaAPENão se aplicaPonta",Mercado_Receita!$L$2:$L$2022)</f>
        <v>0</v>
      </c>
      <c r="S33" s="12">
        <f>SUMIF(Mercado_Receita!$S$2:$S$2022,"44652A4VerdeNão se aplicaNão se aplicaAPENão se aplicaPonta",Mercado_Receita!$L$2:$L$2022)</f>
        <v>0</v>
      </c>
      <c r="T33" s="12">
        <f>SUMIF(Mercado_Receita!$S$2:$S$2022,"44682A4VerdeNão se aplicaNão se aplicaAPENão se aplicaPonta",Mercado_Receita!$L$2:$L$2022)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02"/>
      <c r="B34" s="102"/>
      <c r="C34" s="102"/>
      <c r="D34" s="102"/>
      <c r="E34" s="102"/>
      <c r="F34" s="102"/>
      <c r="G34" s="12" t="s">
        <v>119</v>
      </c>
      <c r="H34" s="12" t="s">
        <v>117</v>
      </c>
      <c r="I34" s="12">
        <f>SUMIF(Mercado_Receita!$S$2:$S$2022,"44348A4VerdeNão se aplicaNão se aplicaAPENão se aplicaFora ponta",Mercado_Receita!$L$2:$L$2022)</f>
        <v>0</v>
      </c>
      <c r="J34" s="12">
        <f>SUMIF(Mercado_Receita!$S$2:$S$2022,"44378A4VerdeNão se aplicaNão se aplicaAPENão se aplicaFora ponta",Mercado_Receita!$L$2:$L$2022)</f>
        <v>0</v>
      </c>
      <c r="K34" s="12">
        <f>SUMIF(Mercado_Receita!$S$2:$S$2022,"44409A4VerdeNão se aplicaNão se aplicaAPENão se aplicaFora ponta",Mercado_Receita!$L$2:$L$2022)</f>
        <v>0</v>
      </c>
      <c r="L34" s="12">
        <f>SUMIF(Mercado_Receita!$S$2:$S$2022,"44440A4VerdeNão se aplicaNão se aplicaAPENão se aplicaFora ponta",Mercado_Receita!$L$2:$L$2022)</f>
        <v>0</v>
      </c>
      <c r="M34" s="12">
        <f>SUMIF(Mercado_Receita!$S$2:$S$2022,"44470A4VerdeNão se aplicaNão se aplicaAPENão se aplicaFora ponta",Mercado_Receita!$L$2:$L$2022)</f>
        <v>0</v>
      </c>
      <c r="N34" s="12">
        <f>SUMIF(Mercado_Receita!$S$2:$S$2022,"44501A4VerdeNão se aplicaNão se aplicaAPENão se aplicaFora ponta",Mercado_Receita!$L$2:$L$2022)</f>
        <v>0</v>
      </c>
      <c r="O34" s="12">
        <f>SUMIF(Mercado_Receita!$S$2:$S$2022,"44531A4VerdeNão se aplicaNão se aplicaAPENão se aplicaFora ponta",Mercado_Receita!$L$2:$L$2022)</f>
        <v>0</v>
      </c>
      <c r="P34" s="12">
        <f>SUMIF(Mercado_Receita!$S$2:$S$2022,"44562A4VerdeNão se aplicaNão se aplicaAPENão se aplicaFora ponta",Mercado_Receita!$L$2:$L$2022)</f>
        <v>0</v>
      </c>
      <c r="Q34" s="12">
        <f>SUMIF(Mercado_Receita!$S$2:$S$2022,"44593A4VerdeNão se aplicaNão se aplicaAPENão se aplicaFora ponta",Mercado_Receita!$L$2:$L$2022)</f>
        <v>0</v>
      </c>
      <c r="R34" s="12">
        <f>SUMIF(Mercado_Receita!$S$2:$S$2022,"44621A4VerdeNão se aplicaNão se aplicaAPENão se aplicaFora ponta",Mercado_Receita!$L$2:$L$2022)</f>
        <v>0</v>
      </c>
      <c r="S34" s="12">
        <f>SUMIF(Mercado_Receita!$S$2:$S$2022,"44652A4VerdeNão se aplicaNão se aplicaAPENão se aplicaFora ponta",Mercado_Receita!$L$2:$L$2022)</f>
        <v>0</v>
      </c>
      <c r="T34" s="12">
        <f>SUMIF(Mercado_Receita!$S$2:$S$2022,"44682A4VerdeNão se aplicaNão se aplicaAPENão se aplicaFora ponta",Mercado_Receita!$L$2:$L$2022)</f>
        <v>0</v>
      </c>
      <c r="U34" s="12">
        <f t="shared" ref="U34:U65" si="1">SUM(I34:T34)</f>
        <v>0</v>
      </c>
      <c r="V34" s="12"/>
      <c r="W34" s="12"/>
    </row>
    <row r="35" spans="1:23" ht="11.25" customHeight="1" x14ac:dyDescent="0.25">
      <c r="A35" s="101" t="s">
        <v>125</v>
      </c>
      <c r="B35" s="101" t="s">
        <v>64</v>
      </c>
      <c r="C35" s="101" t="s">
        <v>25</v>
      </c>
      <c r="D35" s="101" t="s">
        <v>25</v>
      </c>
      <c r="E35" s="13" t="s">
        <v>126</v>
      </c>
      <c r="F35" s="13" t="s">
        <v>25</v>
      </c>
      <c r="G35" s="12" t="s">
        <v>9</v>
      </c>
      <c r="H35" s="12" t="s">
        <v>120</v>
      </c>
      <c r="I35" s="12">
        <f>SUMIF(Mercado_Receita!$S$2:$S$2022,"44348BGeraçãoNão se aplicaNão se aplicaTIPO 01Não se aplicaNão se aplica",Mercado_Receita!$J$2:$J$2022)+SUMIF(Mercado_Receita!$S$2:$S$2022,"44348BGeraçãoNão se aplicaNão se aplicaAPENão se aplicaNão se aplica",Mercado_Receita!$J$2:$J$2022)</f>
        <v>0</v>
      </c>
      <c r="J35" s="12">
        <f>SUMIF(Mercado_Receita!$S$2:$S$2022,"44378BGeraçãoNão se aplicaNão se aplicaTIPO 01Não se aplicaNão se aplica",Mercado_Receita!$J$2:$J$2022)+SUMIF(Mercado_Receita!$S$2:$S$2022,"44378BGeraçãoNão se aplicaNão se aplicaAPENão se aplicaNão se aplica",Mercado_Receita!$J$2:$J$2022)</f>
        <v>0</v>
      </c>
      <c r="K35" s="12">
        <f>SUMIF(Mercado_Receita!$S$2:$S$2022,"44409BGeraçãoNão se aplicaNão se aplicaTIPO 01Não se aplicaNão se aplica",Mercado_Receita!$J$2:$J$2022)+SUMIF(Mercado_Receita!$S$2:$S$2022,"44409BGeraçãoNão se aplicaNão se aplicaAPENão se aplicaNão se aplica",Mercado_Receita!$J$2:$J$2022)</f>
        <v>0</v>
      </c>
      <c r="L35" s="12">
        <f>SUMIF(Mercado_Receita!$S$2:$S$2022,"44440BGeraçãoNão se aplicaNão se aplicaTIPO 01Não se aplicaNão se aplica",Mercado_Receita!$J$2:$J$2022)+SUMIF(Mercado_Receita!$S$2:$S$2022,"44440BGeraçãoNão se aplicaNão se aplicaAPENão se aplicaNão se aplica",Mercado_Receita!$J$2:$J$2022)</f>
        <v>0</v>
      </c>
      <c r="M35" s="12">
        <f>SUMIF(Mercado_Receita!$S$2:$S$2022,"44470BGeraçãoNão se aplicaNão se aplicaTIPO 01Não se aplicaNão se aplica",Mercado_Receita!$J$2:$J$2022)+SUMIF(Mercado_Receita!$S$2:$S$2022,"44470BGeraçãoNão se aplicaNão se aplicaAPENão se aplicaNão se aplica",Mercado_Receita!$J$2:$J$2022)</f>
        <v>0</v>
      </c>
      <c r="N35" s="12">
        <f>SUMIF(Mercado_Receita!$S$2:$S$2022,"44501BGeraçãoNão se aplicaNão se aplicaTIPO 01Não se aplicaNão se aplica",Mercado_Receita!$J$2:$J$2022)+SUMIF(Mercado_Receita!$S$2:$S$2022,"44501BGeraçãoNão se aplicaNão se aplicaAPENão se aplicaNão se aplica",Mercado_Receita!$J$2:$J$2022)</f>
        <v>0</v>
      </c>
      <c r="O35" s="12">
        <f>SUMIF(Mercado_Receita!$S$2:$S$2022,"44531BGeraçãoNão se aplicaNão se aplicaTIPO 01Não se aplicaNão se aplica",Mercado_Receita!$J$2:$J$2022)+SUMIF(Mercado_Receita!$S$2:$S$2022,"44531BGeraçãoNão se aplicaNão se aplicaAPENão se aplicaNão se aplica",Mercado_Receita!$J$2:$J$2022)</f>
        <v>0</v>
      </c>
      <c r="P35" s="12">
        <f>SUMIF(Mercado_Receita!$S$2:$S$2022,"44562BGeraçãoNão se aplicaNão se aplicaTIPO 01Não se aplicaNão se aplica",Mercado_Receita!$J$2:$J$2022)+SUMIF(Mercado_Receita!$S$2:$S$2022,"44562BGeraçãoNão se aplicaNão se aplicaAPENão se aplicaNão se aplica",Mercado_Receita!$J$2:$J$2022)</f>
        <v>0</v>
      </c>
      <c r="Q35" s="12">
        <f>SUMIF(Mercado_Receita!$S$2:$S$2022,"44593BGeraçãoNão se aplicaNão se aplicaTIPO 01Não se aplicaNão se aplica",Mercado_Receita!$J$2:$J$2022)+SUMIF(Mercado_Receita!$S$2:$S$2022,"44593BGeraçãoNão se aplicaNão se aplicaAPENão se aplicaNão se aplica",Mercado_Receita!$J$2:$J$2022)</f>
        <v>0</v>
      </c>
      <c r="R35" s="12">
        <f>SUMIF(Mercado_Receita!$S$2:$S$2022,"44621BGeraçãoNão se aplicaNão se aplicaTIPO 01Não se aplicaNão se aplica",Mercado_Receita!$J$2:$J$2022)+SUMIF(Mercado_Receita!$S$2:$S$2022,"44621BGeraçãoNão se aplicaNão se aplicaAPENão se aplicaNão se aplica",Mercado_Receita!$J$2:$J$2022)</f>
        <v>0</v>
      </c>
      <c r="S35" s="12">
        <f>SUMIF(Mercado_Receita!$S$2:$S$2022,"44652BGeraçãoNão se aplicaNão se aplicaTIPO 01Não se aplicaNão se aplica",Mercado_Receita!$J$2:$J$2022)+SUMIF(Mercado_Receita!$S$2:$S$2022,"44652BGeraçãoNão se aplicaNão se aplicaAPENão se aplicaNão se aplica",Mercado_Receita!$J$2:$J$2022)</f>
        <v>0</v>
      </c>
      <c r="T35" s="12">
        <f>SUMIF(Mercado_Receita!$S$2:$S$2022,"44682BGeraçãoNão se aplicaNão se aplicaTIPO 01Não se aplicaNão se aplica",Mercado_Receita!$J$2:$J$2022)+SUMIF(Mercado_Receita!$S$2:$S$2022,"44682BGeraçãoNão se aplicaNão se aplicaAPENão se aplicaNão se aplica",Mercado_Receita!$J$2:$J$2022)</f>
        <v>0</v>
      </c>
      <c r="U35" s="12">
        <f t="shared" si="1"/>
        <v>0</v>
      </c>
      <c r="V35" s="12"/>
      <c r="W35" s="12"/>
    </row>
    <row r="36" spans="1:23" ht="11.25" customHeight="1" x14ac:dyDescent="0.25">
      <c r="A36" s="102"/>
      <c r="B36" s="102"/>
      <c r="C36" s="102"/>
      <c r="D36" s="102"/>
      <c r="E36" s="13" t="s">
        <v>127</v>
      </c>
      <c r="F36" s="13" t="s">
        <v>25</v>
      </c>
      <c r="G36" s="12" t="s">
        <v>9</v>
      </c>
      <c r="H36" s="12" t="s">
        <v>120</v>
      </c>
      <c r="I36" s="12">
        <f>SUMIF(Mercado_Receita!$S$2:$S$2022,"44348BGeraçãoNão se aplicaNão se aplicaTIPO 02Não se aplicaNão se aplica",Mercado_Receita!$J$2:$J$2022)+SUMIF(Mercado_Receita!$S$2:$S$2022,"44348BGeraçãoNão se aplicaNão se aplicaAPENão se aplicaNão se aplica",Mercado_Receita!$J$2:$J$2022)</f>
        <v>0</v>
      </c>
      <c r="J36" s="12">
        <f>SUMIF(Mercado_Receita!$S$2:$S$2022,"44378BGeraçãoNão se aplicaNão se aplicaTIPO 02Não se aplicaNão se aplica",Mercado_Receita!$J$2:$J$2022)+SUMIF(Mercado_Receita!$S$2:$S$2022,"44378BGeraçãoNão se aplicaNão se aplicaAPENão se aplicaNão se aplica",Mercado_Receita!$J$2:$J$2022)</f>
        <v>0</v>
      </c>
      <c r="K36" s="12">
        <f>SUMIF(Mercado_Receita!$S$2:$S$2022,"44409BGeraçãoNão se aplicaNão se aplicaTIPO 02Não se aplicaNão se aplica",Mercado_Receita!$J$2:$J$2022)+SUMIF(Mercado_Receita!$S$2:$S$2022,"44409BGeraçãoNão se aplicaNão se aplicaAPENão se aplicaNão se aplica",Mercado_Receita!$J$2:$J$2022)</f>
        <v>0</v>
      </c>
      <c r="L36" s="12">
        <f>SUMIF(Mercado_Receita!$S$2:$S$2022,"44440BGeraçãoNão se aplicaNão se aplicaTIPO 02Não se aplicaNão se aplica",Mercado_Receita!$J$2:$J$2022)+SUMIF(Mercado_Receita!$S$2:$S$2022,"44440BGeraçãoNão se aplicaNão se aplicaAPENão se aplicaNão se aplica",Mercado_Receita!$J$2:$J$2022)</f>
        <v>0</v>
      </c>
      <c r="M36" s="12">
        <f>SUMIF(Mercado_Receita!$S$2:$S$2022,"44470BGeraçãoNão se aplicaNão se aplicaTIPO 02Não se aplicaNão se aplica",Mercado_Receita!$J$2:$J$2022)+SUMIF(Mercado_Receita!$S$2:$S$2022,"44470BGeraçãoNão se aplicaNão se aplicaAPENão se aplicaNão se aplica",Mercado_Receita!$J$2:$J$2022)</f>
        <v>0</v>
      </c>
      <c r="N36" s="12">
        <f>SUMIF(Mercado_Receita!$S$2:$S$2022,"44501BGeraçãoNão se aplicaNão se aplicaTIPO 02Não se aplicaNão se aplica",Mercado_Receita!$J$2:$J$2022)+SUMIF(Mercado_Receita!$S$2:$S$2022,"44501BGeraçãoNão se aplicaNão se aplicaAPENão se aplicaNão se aplica",Mercado_Receita!$J$2:$J$2022)</f>
        <v>0</v>
      </c>
      <c r="O36" s="12">
        <f>SUMIF(Mercado_Receita!$S$2:$S$2022,"44531BGeraçãoNão se aplicaNão se aplicaTIPO 02Não se aplicaNão se aplica",Mercado_Receita!$J$2:$J$2022)+SUMIF(Mercado_Receita!$S$2:$S$2022,"44531BGeraçãoNão se aplicaNão se aplicaAPENão se aplicaNão se aplica",Mercado_Receita!$J$2:$J$2022)</f>
        <v>0</v>
      </c>
      <c r="P36" s="12">
        <f>SUMIF(Mercado_Receita!$S$2:$S$2022,"44562BGeraçãoNão se aplicaNão se aplicaTIPO 02Não se aplicaNão se aplica",Mercado_Receita!$J$2:$J$2022)+SUMIF(Mercado_Receita!$S$2:$S$2022,"44562BGeraçãoNão se aplicaNão se aplicaAPENão se aplicaNão se aplica",Mercado_Receita!$J$2:$J$2022)</f>
        <v>0</v>
      </c>
      <c r="Q36" s="12">
        <f>SUMIF(Mercado_Receita!$S$2:$S$2022,"44593BGeraçãoNão se aplicaNão se aplicaTIPO 02Não se aplicaNão se aplica",Mercado_Receita!$J$2:$J$2022)+SUMIF(Mercado_Receita!$S$2:$S$2022,"44593BGeraçãoNão se aplicaNão se aplicaAPENão se aplicaNão se aplica",Mercado_Receita!$J$2:$J$2022)</f>
        <v>0</v>
      </c>
      <c r="R36" s="12">
        <f>SUMIF(Mercado_Receita!$S$2:$S$2022,"44621BGeraçãoNão se aplicaNão se aplicaTIPO 02Não se aplicaNão se aplica",Mercado_Receita!$J$2:$J$2022)+SUMIF(Mercado_Receita!$S$2:$S$2022,"44621BGeraçãoNão se aplicaNão se aplicaAPENão se aplicaNão se aplica",Mercado_Receita!$J$2:$J$2022)</f>
        <v>0</v>
      </c>
      <c r="S36" s="12">
        <f>SUMIF(Mercado_Receita!$S$2:$S$2022,"44652BGeraçãoNão se aplicaNão se aplicaTIPO 02Não se aplicaNão se aplica",Mercado_Receita!$J$2:$J$2022)+SUMIF(Mercado_Receita!$S$2:$S$2022,"44652BGeraçãoNão se aplicaNão se aplicaAPENão se aplicaNão se aplica",Mercado_Receita!$J$2:$J$2022)</f>
        <v>0</v>
      </c>
      <c r="T36" s="12">
        <f>SUMIF(Mercado_Receita!$S$2:$S$2022,"44682BGeraçãoNão se aplicaNão se aplicaTIPO 02Não se aplicaNão se aplica",Mercado_Receita!$J$2:$J$2022)+SUMIF(Mercado_Receita!$S$2:$S$2022,"44682BGeraçãoNão se aplicaNão se aplicaAPENão se aplicaNão se aplica",Mercado_Receita!$J$2:$J$2022)</f>
        <v>0</v>
      </c>
      <c r="U36" s="12">
        <f t="shared" si="1"/>
        <v>0</v>
      </c>
      <c r="V36" s="12"/>
      <c r="W36" s="12"/>
    </row>
    <row r="37" spans="1:23" ht="11.25" customHeight="1" x14ac:dyDescent="0.25">
      <c r="A37" s="101" t="s">
        <v>22</v>
      </c>
      <c r="B37" s="101" t="s">
        <v>33</v>
      </c>
      <c r="C37" s="101" t="s">
        <v>24</v>
      </c>
      <c r="D37" s="101" t="s">
        <v>24</v>
      </c>
      <c r="E37" s="101" t="s">
        <v>25</v>
      </c>
      <c r="F37" s="101" t="s">
        <v>25</v>
      </c>
      <c r="G37" s="12" t="s">
        <v>118</v>
      </c>
      <c r="H37" s="12" t="s">
        <v>117</v>
      </c>
      <c r="I37" s="12">
        <f>SUMIF(Mercado_Receita!$S$2:$S$2022,"44348B1BrancaResidencialResidencialNão se aplicaNão se aplicaPonta",Mercado_Receita!$L$2:$L$2022)</f>
        <v>1.6620000000000001</v>
      </c>
      <c r="J37" s="12">
        <f>SUMIF(Mercado_Receita!$S$2:$S$2022,"44378B1BrancaResidencialResidencialNão se aplicaNão se aplicaPonta",Mercado_Receita!$L$2:$L$2022)</f>
        <v>1.7049999999999998</v>
      </c>
      <c r="K37" s="12">
        <f>SUMIF(Mercado_Receita!$S$2:$S$2022,"44409B1BrancaResidencialResidencialNão se aplicaNão se aplicaPonta",Mercado_Receita!$L$2:$L$2022)</f>
        <v>1.73</v>
      </c>
      <c r="L37" s="12">
        <f>SUMIF(Mercado_Receita!$S$2:$S$2022,"44440B1BrancaResidencialResidencialNão se aplicaNão se aplicaPonta",Mercado_Receita!$L$2:$L$2022)</f>
        <v>1.6880000000000002</v>
      </c>
      <c r="M37" s="12">
        <f>SUMIF(Mercado_Receita!$S$2:$S$2022,"44470B1BrancaResidencialResidencialNão se aplicaNão se aplicaPonta",Mercado_Receita!$L$2:$L$2022)</f>
        <v>1.083</v>
      </c>
      <c r="N37" s="12">
        <f>SUMIF(Mercado_Receita!$S$2:$S$2022,"44501B1BrancaResidencialResidencialNão se aplicaNão se aplicaPonta",Mercado_Receita!$L$2:$L$2022)</f>
        <v>1.6359999999999999</v>
      </c>
      <c r="O37" s="12">
        <f>SUMIF(Mercado_Receita!$S$2:$S$2022,"44531B1BrancaResidencialResidencialNão se aplicaNão se aplicaPonta",Mercado_Receita!$L$2:$L$2022)</f>
        <v>1.1660000000000001</v>
      </c>
      <c r="P37" s="12">
        <f>SUMIF(Mercado_Receita!$S$2:$S$2022,"44562B1BrancaResidencialResidencialNão se aplicaNão se aplicaPonta",Mercado_Receita!$L$2:$L$2022)</f>
        <v>1.4129999999999998</v>
      </c>
      <c r="Q37" s="12">
        <f>SUMIF(Mercado_Receita!$S$2:$S$2022,"44593B1BrancaResidencialResidencialNão se aplicaNão se aplicaPonta",Mercado_Receita!$L$2:$L$2022)</f>
        <v>1.5429999999999999</v>
      </c>
      <c r="R37" s="12">
        <f>SUMIF(Mercado_Receita!$S$2:$S$2022,"44621B1BrancaResidencialResidencialNão se aplicaNão se aplicaPonta",Mercado_Receita!$L$2:$L$2022)</f>
        <v>1.5469999999999999</v>
      </c>
      <c r="S37" s="12">
        <f>SUMIF(Mercado_Receita!$S$2:$S$2022,"44652B1BrancaResidencialResidencialNão se aplicaNão se aplicaPonta",Mercado_Receita!$L$2:$L$2022)</f>
        <v>1.1280000000000001</v>
      </c>
      <c r="T37" s="12">
        <f>SUMIF(Mercado_Receita!$S$2:$S$2022,"44682B1BrancaResidencialResidencialNão se aplicaNão se aplicaPonta",Mercado_Receita!$L$2:$L$2022)</f>
        <v>1.1280000000000001</v>
      </c>
      <c r="U37" s="12">
        <f t="shared" si="1"/>
        <v>17.429000000000002</v>
      </c>
      <c r="V37" s="12"/>
      <c r="W37" s="12"/>
    </row>
    <row r="38" spans="1:23" ht="11.25" customHeight="1" x14ac:dyDescent="0.25">
      <c r="A38" s="102"/>
      <c r="B38" s="102"/>
      <c r="C38" s="102"/>
      <c r="D38" s="102"/>
      <c r="E38" s="102"/>
      <c r="F38" s="102"/>
      <c r="G38" s="12" t="s">
        <v>128</v>
      </c>
      <c r="H38" s="12" t="s">
        <v>117</v>
      </c>
      <c r="I38" s="12">
        <f>SUMIF(Mercado_Receita!$S$2:$S$2022,"44348B1BrancaResidencialResidencialNão se aplicaNão se aplicaIntermediário",Mercado_Receita!$L$2:$L$2022)</f>
        <v>0.91800000000000004</v>
      </c>
      <c r="J38" s="12">
        <f>SUMIF(Mercado_Receita!$S$2:$S$2022,"44378B1BrancaResidencialResidencialNão se aplicaNão se aplicaIntermediário",Mercado_Receita!$L$2:$L$2022)</f>
        <v>0.94200000000000006</v>
      </c>
      <c r="K38" s="12">
        <f>SUMIF(Mercado_Receita!$S$2:$S$2022,"44409B1BrancaResidencialResidencialNão se aplicaNão se aplicaIntermediário",Mercado_Receita!$L$2:$L$2022)</f>
        <v>0.97199999999999998</v>
      </c>
      <c r="L38" s="12">
        <f>SUMIF(Mercado_Receita!$S$2:$S$2022,"44440B1BrancaResidencialResidencialNão se aplicaNão se aplicaIntermediário",Mercado_Receita!$L$2:$L$2022)</f>
        <v>0.998</v>
      </c>
      <c r="M38" s="12">
        <f>SUMIF(Mercado_Receita!$S$2:$S$2022,"44470B1BrancaResidencialResidencialNão se aplicaNão se aplicaIntermediário",Mercado_Receita!$L$2:$L$2022)</f>
        <v>0.78200000000000003</v>
      </c>
      <c r="N38" s="12">
        <f>SUMIF(Mercado_Receita!$S$2:$S$2022,"44501B1BrancaResidencialResidencialNão se aplicaNão se aplicaIntermediário",Mercado_Receita!$L$2:$L$2022)</f>
        <v>0.84899999999999998</v>
      </c>
      <c r="O38" s="12">
        <f>SUMIF(Mercado_Receita!$S$2:$S$2022,"44531B1BrancaResidencialResidencialNão se aplicaNão se aplicaIntermediário",Mercado_Receita!$L$2:$L$2022)</f>
        <v>0.85499999999999998</v>
      </c>
      <c r="P38" s="12">
        <f>SUMIF(Mercado_Receita!$S$2:$S$2022,"44562B1BrancaResidencialResidencialNão se aplicaNão se aplicaIntermediário",Mercado_Receita!$L$2:$L$2022)</f>
        <v>0.94100000000000006</v>
      </c>
      <c r="Q38" s="12">
        <f>SUMIF(Mercado_Receita!$S$2:$S$2022,"44593B1BrancaResidencialResidencialNão se aplicaNão se aplicaIntermediário",Mercado_Receita!$L$2:$L$2022)</f>
        <v>0.96900000000000008</v>
      </c>
      <c r="R38" s="12">
        <f>SUMIF(Mercado_Receita!$S$2:$S$2022,"44621B1BrancaResidencialResidencialNão se aplicaNão se aplicaIntermediário",Mercado_Receita!$L$2:$L$2022)</f>
        <v>0.96099999999999997</v>
      </c>
      <c r="S38" s="12">
        <f>SUMIF(Mercado_Receita!$S$2:$S$2022,"44652B1BrancaResidencialResidencialNão se aplicaNão se aplicaIntermediário",Mercado_Receita!$L$2:$L$2022)</f>
        <v>0.80999999999999994</v>
      </c>
      <c r="T38" s="12">
        <f>SUMIF(Mercado_Receita!$S$2:$S$2022,"44682B1BrancaResidencialResidencialNão se aplicaNão se aplicaIntermediário",Mercado_Receita!$L$2:$L$2022)</f>
        <v>0.80999999999999994</v>
      </c>
      <c r="U38" s="12">
        <f t="shared" si="1"/>
        <v>10.807000000000002</v>
      </c>
      <c r="V38" s="12"/>
      <c r="W38" s="12"/>
    </row>
    <row r="39" spans="1:23" ht="11.25" customHeight="1" x14ac:dyDescent="0.25">
      <c r="A39" s="102"/>
      <c r="B39" s="102"/>
      <c r="C39" s="102"/>
      <c r="D39" s="102"/>
      <c r="E39" s="102"/>
      <c r="F39" s="102"/>
      <c r="G39" s="12" t="s">
        <v>119</v>
      </c>
      <c r="H39" s="12" t="s">
        <v>117</v>
      </c>
      <c r="I39" s="12">
        <f>SUMIF(Mercado_Receita!$S$2:$S$2022,"44348B1BrancaResidencialResidencialNão se aplicaNão se aplicaFora ponta",Mercado_Receita!$L$2:$L$2022)</f>
        <v>9.1180000000000003</v>
      </c>
      <c r="J39" s="12">
        <f>SUMIF(Mercado_Receita!$S$2:$S$2022,"44378B1BrancaResidencialResidencialNão se aplicaNão se aplicaFora ponta",Mercado_Receita!$L$2:$L$2022)</f>
        <v>8.94</v>
      </c>
      <c r="K39" s="12">
        <f>SUMIF(Mercado_Receita!$S$2:$S$2022,"44409B1BrancaResidencialResidencialNão se aplicaNão se aplicaFora ponta",Mercado_Receita!$L$2:$L$2022)</f>
        <v>10.590999999999999</v>
      </c>
      <c r="L39" s="12">
        <f>SUMIF(Mercado_Receita!$S$2:$S$2022,"44440B1BrancaResidencialResidencialNão se aplicaNão se aplicaFora ponta",Mercado_Receita!$L$2:$L$2022)</f>
        <v>11.494</v>
      </c>
      <c r="M39" s="12">
        <f>SUMIF(Mercado_Receita!$S$2:$S$2022,"44470B1BrancaResidencialResidencialNão se aplicaNão se aplicaFora ponta",Mercado_Receita!$L$2:$L$2022)</f>
        <v>9.27</v>
      </c>
      <c r="N39" s="12">
        <f>SUMIF(Mercado_Receita!$S$2:$S$2022,"44501B1BrancaResidencialResidencialNão se aplicaNão se aplicaFora ponta",Mercado_Receita!$L$2:$L$2022)</f>
        <v>10.753</v>
      </c>
      <c r="O39" s="12">
        <f>SUMIF(Mercado_Receita!$S$2:$S$2022,"44531B1BrancaResidencialResidencialNão se aplicaNão se aplicaFora ponta",Mercado_Receita!$L$2:$L$2022)</f>
        <v>9.2760000000000016</v>
      </c>
      <c r="P39" s="12">
        <f>SUMIF(Mercado_Receita!$S$2:$S$2022,"44562B1BrancaResidencialResidencialNão se aplicaNão se aplicaFora ponta",Mercado_Receita!$L$2:$L$2022)</f>
        <v>9.907</v>
      </c>
      <c r="Q39" s="12">
        <f>SUMIF(Mercado_Receita!$S$2:$S$2022,"44593B1BrancaResidencialResidencialNão se aplicaNão se aplicaFora ponta",Mercado_Receita!$L$2:$L$2022)</f>
        <v>10.772</v>
      </c>
      <c r="R39" s="12">
        <f>SUMIF(Mercado_Receita!$S$2:$S$2022,"44621B1BrancaResidencialResidencialNão se aplicaNão se aplicaFora ponta",Mercado_Receita!$L$2:$L$2022)</f>
        <v>11.706</v>
      </c>
      <c r="S39" s="12">
        <f>SUMIF(Mercado_Receita!$S$2:$S$2022,"44652B1BrancaResidencialResidencialNão se aplicaNão se aplicaFora ponta",Mercado_Receita!$L$2:$L$2022)</f>
        <v>9.3640000000000008</v>
      </c>
      <c r="T39" s="12">
        <f>SUMIF(Mercado_Receita!$S$2:$S$2022,"44682B1BrancaResidencialResidencialNão se aplicaNão se aplicaFora ponta",Mercado_Receita!$L$2:$L$2022)</f>
        <v>9.3640000000000008</v>
      </c>
      <c r="U39" s="12">
        <f t="shared" si="1"/>
        <v>120.55500000000001</v>
      </c>
      <c r="V39" s="12"/>
      <c r="W39" s="12"/>
    </row>
    <row r="40" spans="1:23" ht="11.25" customHeight="1" x14ac:dyDescent="0.25">
      <c r="A40" s="102"/>
      <c r="B40" s="101" t="s">
        <v>23</v>
      </c>
      <c r="C40" s="101" t="s">
        <v>24</v>
      </c>
      <c r="D40" s="13" t="s">
        <v>24</v>
      </c>
      <c r="E40" s="13" t="s">
        <v>25</v>
      </c>
      <c r="F40" s="13" t="s">
        <v>25</v>
      </c>
      <c r="G40" s="12" t="s">
        <v>123</v>
      </c>
      <c r="H40" s="12" t="s">
        <v>117</v>
      </c>
      <c r="I40" s="12">
        <f>SUMIF(Mercado_Receita!$S$2:$S$2022,"44348B1ConvencionalResidencialResidencialNão se aplicaNão se aplicaPonta",Mercado_Receita!$L$2:$L$2022)+SUMIF(Mercado_Receita!$S$2:$S$2022,"44348B1ConvencionalResidencialResidencialNão se aplicaNão se aplicaFora ponta",Mercado_Receita!$L$2:$L$2022)+SUMIF(Mercado_Receita!$S$2:$S$2022,"44348B1ConvencionalResidencialResidencialNão se aplicaNão se aplicaIntermediário",Mercado_Receita!$L$2:$L$2022)+SUMIF(Mercado_Receita!$S$2:$S$2022,"44348B1ConvencionalResidencialResidencialNão se aplicaNão se aplicaNão se aplica",Mercado_Receita!$L$2:$L$2022)</f>
        <v>33130.510999999999</v>
      </c>
      <c r="J40" s="12">
        <f>SUMIF(Mercado_Receita!$S$2:$S$2022,"44378B1ConvencionalResidencialResidencialNão se aplicaNão se aplicaPonta",Mercado_Receita!$L$2:$L$2022)+SUMIF(Mercado_Receita!$S$2:$S$2022,"44378B1ConvencionalResidencialResidencialNão se aplicaNão se aplicaFora ponta",Mercado_Receita!$L$2:$L$2022)+SUMIF(Mercado_Receita!$S$2:$S$2022,"44378B1ConvencionalResidencialResidencialNão se aplicaNão se aplicaIntermediário",Mercado_Receita!$L$2:$L$2022)+SUMIF(Mercado_Receita!$S$2:$S$2022,"44378B1ConvencionalResidencialResidencialNão se aplicaNão se aplicaNão se aplica",Mercado_Receita!$L$2:$L$2022)</f>
        <v>32407.636999999999</v>
      </c>
      <c r="K40" s="12">
        <f>SUMIF(Mercado_Receita!$S$2:$S$2022,"44409B1ConvencionalResidencialResidencialNão se aplicaNão se aplicaPonta",Mercado_Receita!$L$2:$L$2022)+SUMIF(Mercado_Receita!$S$2:$S$2022,"44409B1ConvencionalResidencialResidencialNão se aplicaNão se aplicaFora ponta",Mercado_Receita!$L$2:$L$2022)+SUMIF(Mercado_Receita!$S$2:$S$2022,"44409B1ConvencionalResidencialResidencialNão se aplicaNão se aplicaIntermediário",Mercado_Receita!$L$2:$L$2022)+SUMIF(Mercado_Receita!$S$2:$S$2022,"44409B1ConvencionalResidencialResidencialNão se aplicaNão se aplicaNão se aplica",Mercado_Receita!$L$2:$L$2022)</f>
        <v>32455.563000000002</v>
      </c>
      <c r="L40" s="12">
        <f>SUMIF(Mercado_Receita!$S$2:$S$2022,"44440B1ConvencionalResidencialResidencialNão se aplicaNão se aplicaPonta",Mercado_Receita!$L$2:$L$2022)+SUMIF(Mercado_Receita!$S$2:$S$2022,"44440B1ConvencionalResidencialResidencialNão se aplicaNão se aplicaFora ponta",Mercado_Receita!$L$2:$L$2022)+SUMIF(Mercado_Receita!$S$2:$S$2022,"44440B1ConvencionalResidencialResidencialNão se aplicaNão se aplicaIntermediário",Mercado_Receita!$L$2:$L$2022)+SUMIF(Mercado_Receita!$S$2:$S$2022,"44440B1ConvencionalResidencialResidencialNão se aplicaNão se aplicaNão se aplica",Mercado_Receita!$L$2:$L$2022)</f>
        <v>36252.128999999994</v>
      </c>
      <c r="M40" s="12">
        <f>SUMIF(Mercado_Receita!$S$2:$S$2022,"44470B1ConvencionalResidencialResidencialNão se aplicaNão se aplicaPonta",Mercado_Receita!$L$2:$L$2022)+SUMIF(Mercado_Receita!$S$2:$S$2022,"44470B1ConvencionalResidencialResidencialNão se aplicaNão se aplicaFora ponta",Mercado_Receita!$L$2:$L$2022)+SUMIF(Mercado_Receita!$S$2:$S$2022,"44470B1ConvencionalResidencialResidencialNão se aplicaNão se aplicaIntermediário",Mercado_Receita!$L$2:$L$2022)+SUMIF(Mercado_Receita!$S$2:$S$2022,"44470B1ConvencionalResidencialResidencialNão se aplicaNão se aplicaNão se aplica",Mercado_Receita!$L$2:$L$2022)</f>
        <v>34703.485000000001</v>
      </c>
      <c r="N40" s="12">
        <f>SUMIF(Mercado_Receita!$S$2:$S$2022,"44501B1ConvencionalResidencialResidencialNão se aplicaNão se aplicaPonta",Mercado_Receita!$L$2:$L$2022)+SUMIF(Mercado_Receita!$S$2:$S$2022,"44501B1ConvencionalResidencialResidencialNão se aplicaNão se aplicaFora ponta",Mercado_Receita!$L$2:$L$2022)+SUMIF(Mercado_Receita!$S$2:$S$2022,"44501B1ConvencionalResidencialResidencialNão se aplicaNão se aplicaIntermediário",Mercado_Receita!$L$2:$L$2022)+SUMIF(Mercado_Receita!$S$2:$S$2022,"44501B1ConvencionalResidencialResidencialNão se aplicaNão se aplicaNão se aplica",Mercado_Receita!$L$2:$L$2022)</f>
        <v>34451.146000000001</v>
      </c>
      <c r="O40" s="12">
        <f>SUMIF(Mercado_Receita!$S$2:$S$2022,"44531B1ConvencionalResidencialResidencialNão se aplicaNão se aplicaPonta",Mercado_Receita!$L$2:$L$2022)+SUMIF(Mercado_Receita!$S$2:$S$2022,"44531B1ConvencionalResidencialResidencialNão se aplicaNão se aplicaFora ponta",Mercado_Receita!$L$2:$L$2022)+SUMIF(Mercado_Receita!$S$2:$S$2022,"44531B1ConvencionalResidencialResidencialNão se aplicaNão se aplicaIntermediário",Mercado_Receita!$L$2:$L$2022)+SUMIF(Mercado_Receita!$S$2:$S$2022,"44531B1ConvencionalResidencialResidencialNão se aplicaNão se aplicaNão se aplica",Mercado_Receita!$L$2:$L$2022)</f>
        <v>37006.391999999993</v>
      </c>
      <c r="P40" s="12">
        <f>SUMIF(Mercado_Receita!$S$2:$S$2022,"44562B1ConvencionalResidencialResidencialNão se aplicaNão se aplicaPonta",Mercado_Receita!$L$2:$L$2022)+SUMIF(Mercado_Receita!$S$2:$S$2022,"44562B1ConvencionalResidencialResidencialNão se aplicaNão se aplicaFora ponta",Mercado_Receita!$L$2:$L$2022)+SUMIF(Mercado_Receita!$S$2:$S$2022,"44562B1ConvencionalResidencialResidencialNão se aplicaNão se aplicaIntermediário",Mercado_Receita!$L$2:$L$2022)+SUMIF(Mercado_Receita!$S$2:$S$2022,"44562B1ConvencionalResidencialResidencialNão se aplicaNão se aplicaNão se aplica",Mercado_Receita!$L$2:$L$2022)</f>
        <v>36657.365000000005</v>
      </c>
      <c r="Q40" s="12">
        <f>SUMIF(Mercado_Receita!$S$2:$S$2022,"44593B1ConvencionalResidencialResidencialNão se aplicaNão se aplicaPonta",Mercado_Receita!$L$2:$L$2022)+SUMIF(Mercado_Receita!$S$2:$S$2022,"44593B1ConvencionalResidencialResidencialNão se aplicaNão se aplicaFora ponta",Mercado_Receita!$L$2:$L$2022)+SUMIF(Mercado_Receita!$S$2:$S$2022,"44593B1ConvencionalResidencialResidencialNão se aplicaNão se aplicaIntermediário",Mercado_Receita!$L$2:$L$2022)+SUMIF(Mercado_Receita!$S$2:$S$2022,"44593B1ConvencionalResidencialResidencialNão se aplicaNão se aplicaNão se aplica",Mercado_Receita!$L$2:$L$2022)</f>
        <v>36188.512000000002</v>
      </c>
      <c r="R40" s="12">
        <f>SUMIF(Mercado_Receita!$S$2:$S$2022,"44621B1ConvencionalResidencialResidencialNão se aplicaNão se aplicaPonta",Mercado_Receita!$L$2:$L$2022)+SUMIF(Mercado_Receita!$S$2:$S$2022,"44621B1ConvencionalResidencialResidencialNão se aplicaNão se aplicaFora ponta",Mercado_Receita!$L$2:$L$2022)+SUMIF(Mercado_Receita!$S$2:$S$2022,"44621B1ConvencionalResidencialResidencialNão se aplicaNão se aplicaIntermediário",Mercado_Receita!$L$2:$L$2022)+SUMIF(Mercado_Receita!$S$2:$S$2022,"44621B1ConvencionalResidencialResidencialNão se aplicaNão se aplicaNão se aplica",Mercado_Receita!$L$2:$L$2022)</f>
        <v>39409.202999999994</v>
      </c>
      <c r="S40" s="12">
        <f>SUMIF(Mercado_Receita!$S$2:$S$2022,"44652B1ConvencionalResidencialResidencialNão se aplicaNão se aplicaPonta",Mercado_Receita!$L$2:$L$2022)+SUMIF(Mercado_Receita!$S$2:$S$2022,"44652B1ConvencionalResidencialResidencialNão se aplicaNão se aplicaFora ponta",Mercado_Receita!$L$2:$L$2022)+SUMIF(Mercado_Receita!$S$2:$S$2022,"44652B1ConvencionalResidencialResidencialNão se aplicaNão se aplicaIntermediário",Mercado_Receita!$L$2:$L$2022)+SUMIF(Mercado_Receita!$S$2:$S$2022,"44652B1ConvencionalResidencialResidencialNão se aplicaNão se aplicaNão se aplica",Mercado_Receita!$L$2:$L$2022)</f>
        <v>36892.639000000003</v>
      </c>
      <c r="T40" s="12">
        <f>SUMIF(Mercado_Receita!$S$2:$S$2022,"44682B1ConvencionalResidencialResidencialNão se aplicaNão se aplicaPonta",Mercado_Receita!$L$2:$L$2022)+SUMIF(Mercado_Receita!$S$2:$S$2022,"44682B1ConvencionalResidencialResidencialNão se aplicaNão se aplicaFora ponta",Mercado_Receita!$L$2:$L$2022)+SUMIF(Mercado_Receita!$S$2:$S$2022,"44682B1ConvencionalResidencialResidencialNão se aplicaNão se aplicaIntermediário",Mercado_Receita!$L$2:$L$2022)+SUMIF(Mercado_Receita!$S$2:$S$2022,"44682B1ConvencionalResidencialResidencialNão se aplicaNão se aplicaNão se aplica",Mercado_Receita!$L$2:$L$2022)</f>
        <v>36892.639000000003</v>
      </c>
      <c r="U40" s="12">
        <f t="shared" si="1"/>
        <v>426447.22100000002</v>
      </c>
      <c r="V40" s="12"/>
      <c r="W40" s="12"/>
    </row>
    <row r="41" spans="1:23" ht="11.25" customHeight="1" x14ac:dyDescent="0.25">
      <c r="A41" s="102"/>
      <c r="B41" s="102"/>
      <c r="C41" s="102"/>
      <c r="D41" s="13" t="s">
        <v>29</v>
      </c>
      <c r="E41" s="13" t="s">
        <v>25</v>
      </c>
      <c r="F41" s="13" t="s">
        <v>25</v>
      </c>
      <c r="G41" s="12" t="s">
        <v>123</v>
      </c>
      <c r="H41" s="12" t="s">
        <v>117</v>
      </c>
      <c r="I41" s="12">
        <f>SUMIF(Mercado_Receita!$S$2:$S$2022,"44348B1ConvencionalResidencialResidencial baixa renda – faixa 01Não se aplicaNão se aplicaPonta",Mercado_Receita!$L$2:$L$2022)+SUMIF(Mercado_Receita!$S$2:$S$2022,"44348B1ConvencionalResidencialResidencial baixa renda – faixa 01Não se aplicaNão se aplicaFora ponta",Mercado_Receita!$L$2:$L$2022)+SUMIF(Mercado_Receita!$S$2:$S$2022,"44348B1ConvencionalResidencialResidencial baixa renda – faixa 01Não se aplicaNão se aplicaIntermediário",Mercado_Receita!$L$2:$L$2022)+SUMIF(Mercado_Receita!$S$2:$S$2022,"44348B1ConvencionalResidencialResidencial baixa renda – faixa 01Não se aplicaNão se aplicaNão se aplica",Mercado_Receita!$L$2:$L$2022)</f>
        <v>2449.7840000000001</v>
      </c>
      <c r="J41" s="12">
        <f>SUMIF(Mercado_Receita!$S$2:$S$2022,"44378B1ConvencionalResidencialResidencial baixa renda – faixa 01Não se aplicaNão se aplicaPonta",Mercado_Receita!$L$2:$L$2022)+SUMIF(Mercado_Receita!$S$2:$S$2022,"44378B1ConvencionalResidencialResidencial baixa renda – faixa 01Não se aplicaNão se aplicaFora ponta",Mercado_Receita!$L$2:$L$2022)+SUMIF(Mercado_Receita!$S$2:$S$2022,"44378B1ConvencionalResidencialResidencial baixa renda – faixa 01Não se aplicaNão se aplicaIntermediário",Mercado_Receita!$L$2:$L$2022)+SUMIF(Mercado_Receita!$S$2:$S$2022,"44378B1ConvencionalResidencialResidencial baixa renda – faixa 01Não se aplicaNão se aplicaNão se aplica",Mercado_Receita!$L$2:$L$2022)</f>
        <v>2489.261</v>
      </c>
      <c r="K41" s="12">
        <f>SUMIF(Mercado_Receita!$S$2:$S$2022,"44409B1ConvencionalResidencialResidencial baixa renda – faixa 01Não se aplicaNão se aplicaPonta",Mercado_Receita!$L$2:$L$2022)+SUMIF(Mercado_Receita!$S$2:$S$2022,"44409B1ConvencionalResidencialResidencial baixa renda – faixa 01Não se aplicaNão se aplicaFora ponta",Mercado_Receita!$L$2:$L$2022)+SUMIF(Mercado_Receita!$S$2:$S$2022,"44409B1ConvencionalResidencialResidencial baixa renda – faixa 01Não se aplicaNão se aplicaIntermediário",Mercado_Receita!$L$2:$L$2022)+SUMIF(Mercado_Receita!$S$2:$S$2022,"44409B1ConvencionalResidencialResidencial baixa renda – faixa 01Não se aplicaNão se aplicaNão se aplica",Mercado_Receita!$L$2:$L$2022)</f>
        <v>2514.61</v>
      </c>
      <c r="L41" s="12">
        <f>SUMIF(Mercado_Receita!$S$2:$S$2022,"44440B1ConvencionalResidencialResidencial baixa renda – faixa 01Não se aplicaNão se aplicaPonta",Mercado_Receita!$L$2:$L$2022)+SUMIF(Mercado_Receita!$S$2:$S$2022,"44440B1ConvencionalResidencialResidencial baixa renda – faixa 01Não se aplicaNão se aplicaFora ponta",Mercado_Receita!$L$2:$L$2022)+SUMIF(Mercado_Receita!$S$2:$S$2022,"44440B1ConvencionalResidencialResidencial baixa renda – faixa 01Não se aplicaNão se aplicaIntermediário",Mercado_Receita!$L$2:$L$2022)+SUMIF(Mercado_Receita!$S$2:$S$2022,"44440B1ConvencionalResidencialResidencial baixa renda – faixa 01Não se aplicaNão se aplicaNão se aplica",Mercado_Receita!$L$2:$L$2022)</f>
        <v>2457.3020000000001</v>
      </c>
      <c r="M41" s="12">
        <f>SUMIF(Mercado_Receita!$S$2:$S$2022,"44470B1ConvencionalResidencialResidencial baixa renda – faixa 01Não se aplicaNão se aplicaPonta",Mercado_Receita!$L$2:$L$2022)+SUMIF(Mercado_Receita!$S$2:$S$2022,"44470B1ConvencionalResidencialResidencial baixa renda – faixa 01Não se aplicaNão se aplicaFora ponta",Mercado_Receita!$L$2:$L$2022)+SUMIF(Mercado_Receita!$S$2:$S$2022,"44470B1ConvencionalResidencialResidencial baixa renda – faixa 01Não se aplicaNão se aplicaIntermediário",Mercado_Receita!$L$2:$L$2022)+SUMIF(Mercado_Receita!$S$2:$S$2022,"44470B1ConvencionalResidencialResidencial baixa renda – faixa 01Não se aplicaNão se aplicaNão se aplica",Mercado_Receita!$L$2:$L$2022)</f>
        <v>2503.875</v>
      </c>
      <c r="N41" s="12">
        <f>SUMIF(Mercado_Receita!$S$2:$S$2022,"44501B1ConvencionalResidencialResidencial baixa renda – faixa 01Não se aplicaNão se aplicaPonta",Mercado_Receita!$L$2:$L$2022)+SUMIF(Mercado_Receita!$S$2:$S$2022,"44501B1ConvencionalResidencialResidencial baixa renda – faixa 01Não se aplicaNão se aplicaFora ponta",Mercado_Receita!$L$2:$L$2022)+SUMIF(Mercado_Receita!$S$2:$S$2022,"44501B1ConvencionalResidencialResidencial baixa renda – faixa 01Não se aplicaNão se aplicaIntermediário",Mercado_Receita!$L$2:$L$2022)+SUMIF(Mercado_Receita!$S$2:$S$2022,"44501B1ConvencionalResidencialResidencial baixa renda – faixa 01Não se aplicaNão se aplicaNão se aplica",Mercado_Receita!$L$2:$L$2022)</f>
        <v>2532.7649999999999</v>
      </c>
      <c r="O41" s="12">
        <f>SUMIF(Mercado_Receita!$S$2:$S$2022,"44531B1ConvencionalResidencialResidencial baixa renda – faixa 01Não se aplicaNão se aplicaPonta",Mercado_Receita!$L$2:$L$2022)+SUMIF(Mercado_Receita!$S$2:$S$2022,"44531B1ConvencionalResidencialResidencial baixa renda – faixa 01Não se aplicaNão se aplicaFora ponta",Mercado_Receita!$L$2:$L$2022)+SUMIF(Mercado_Receita!$S$2:$S$2022,"44531B1ConvencionalResidencialResidencial baixa renda – faixa 01Não se aplicaNão se aplicaIntermediário",Mercado_Receita!$L$2:$L$2022)+SUMIF(Mercado_Receita!$S$2:$S$2022,"44531B1ConvencionalResidencialResidencial baixa renda – faixa 01Não se aplicaNão se aplicaNão se aplica",Mercado_Receita!$L$2:$L$2022)</f>
        <v>2553.6689999999999</v>
      </c>
      <c r="P41" s="12">
        <f>SUMIF(Mercado_Receita!$S$2:$S$2022,"44562B1ConvencionalResidencialResidencial baixa renda – faixa 01Não se aplicaNão se aplicaPonta",Mercado_Receita!$L$2:$L$2022)+SUMIF(Mercado_Receita!$S$2:$S$2022,"44562B1ConvencionalResidencialResidencial baixa renda – faixa 01Não se aplicaNão se aplicaFora ponta",Mercado_Receita!$L$2:$L$2022)+SUMIF(Mercado_Receita!$S$2:$S$2022,"44562B1ConvencionalResidencialResidencial baixa renda – faixa 01Não se aplicaNão se aplicaIntermediário",Mercado_Receita!$L$2:$L$2022)+SUMIF(Mercado_Receita!$S$2:$S$2022,"44562B1ConvencionalResidencialResidencial baixa renda – faixa 01Não se aplicaNão se aplicaNão se aplica",Mercado_Receita!$L$2:$L$2022)</f>
        <v>2638.5280000000002</v>
      </c>
      <c r="Q41" s="12">
        <f>SUMIF(Mercado_Receita!$S$2:$S$2022,"44593B1ConvencionalResidencialResidencial baixa renda – faixa 01Não se aplicaNão se aplicaPonta",Mercado_Receita!$L$2:$L$2022)+SUMIF(Mercado_Receita!$S$2:$S$2022,"44593B1ConvencionalResidencialResidencial baixa renda – faixa 01Não se aplicaNão se aplicaFora ponta",Mercado_Receita!$L$2:$L$2022)+SUMIF(Mercado_Receita!$S$2:$S$2022,"44593B1ConvencionalResidencialResidencial baixa renda – faixa 01Não se aplicaNão se aplicaIntermediário",Mercado_Receita!$L$2:$L$2022)+SUMIF(Mercado_Receita!$S$2:$S$2022,"44593B1ConvencionalResidencialResidencial baixa renda – faixa 01Não se aplicaNão se aplicaNão se aplica",Mercado_Receita!$L$2:$L$2022)</f>
        <v>2854.1759999999999</v>
      </c>
      <c r="R41" s="12">
        <f>SUMIF(Mercado_Receita!$S$2:$S$2022,"44621B1ConvencionalResidencialResidencial baixa renda – faixa 01Não se aplicaNão se aplicaPonta",Mercado_Receita!$L$2:$L$2022)+SUMIF(Mercado_Receita!$S$2:$S$2022,"44621B1ConvencionalResidencialResidencial baixa renda – faixa 01Não se aplicaNão se aplicaFora ponta",Mercado_Receita!$L$2:$L$2022)+SUMIF(Mercado_Receita!$S$2:$S$2022,"44621B1ConvencionalResidencialResidencial baixa renda – faixa 01Não se aplicaNão se aplicaIntermediário",Mercado_Receita!$L$2:$L$2022)+SUMIF(Mercado_Receita!$S$2:$S$2022,"44621B1ConvencionalResidencialResidencial baixa renda – faixa 01Não se aplicaNão se aplicaNão se aplica",Mercado_Receita!$L$2:$L$2022)</f>
        <v>2914.1169999999997</v>
      </c>
      <c r="S41" s="12">
        <f>SUMIF(Mercado_Receita!$S$2:$S$2022,"44652B1ConvencionalResidencialResidencial baixa renda – faixa 01Não se aplicaNão se aplicaPonta",Mercado_Receita!$L$2:$L$2022)+SUMIF(Mercado_Receita!$S$2:$S$2022,"44652B1ConvencionalResidencialResidencial baixa renda – faixa 01Não se aplicaNão se aplicaFora ponta",Mercado_Receita!$L$2:$L$2022)+SUMIF(Mercado_Receita!$S$2:$S$2022,"44652B1ConvencionalResidencialResidencial baixa renda – faixa 01Não se aplicaNão se aplicaIntermediário",Mercado_Receita!$L$2:$L$2022)+SUMIF(Mercado_Receita!$S$2:$S$2022,"44652B1ConvencionalResidencialResidencial baixa renda – faixa 01Não se aplicaNão se aplicaNão se aplica",Mercado_Receita!$L$2:$L$2022)</f>
        <v>2957.2820000000002</v>
      </c>
      <c r="T41" s="12">
        <f>SUMIF(Mercado_Receita!$S$2:$S$2022,"44682B1ConvencionalResidencialResidencial baixa renda – faixa 01Não se aplicaNão se aplicaPonta",Mercado_Receita!$L$2:$L$2022)+SUMIF(Mercado_Receita!$S$2:$S$2022,"44682B1ConvencionalResidencialResidencial baixa renda – faixa 01Não se aplicaNão se aplicaFora ponta",Mercado_Receita!$L$2:$L$2022)+SUMIF(Mercado_Receita!$S$2:$S$2022,"44682B1ConvencionalResidencialResidencial baixa renda – faixa 01Não se aplicaNão se aplicaIntermediário",Mercado_Receita!$L$2:$L$2022)+SUMIF(Mercado_Receita!$S$2:$S$2022,"44682B1ConvencionalResidencialResidencial baixa renda – faixa 01Não se aplicaNão se aplicaNão se aplica",Mercado_Receita!$L$2:$L$2022)</f>
        <v>2957.2820000000002</v>
      </c>
      <c r="U41" s="12">
        <f t="shared" si="1"/>
        <v>31822.650999999998</v>
      </c>
      <c r="V41" s="12"/>
      <c r="W41" s="12"/>
    </row>
    <row r="42" spans="1:23" ht="11.25" customHeight="1" x14ac:dyDescent="0.25">
      <c r="A42" s="102"/>
      <c r="B42" s="102"/>
      <c r="C42" s="102"/>
      <c r="D42" s="13" t="s">
        <v>30</v>
      </c>
      <c r="E42" s="13" t="s">
        <v>25</v>
      </c>
      <c r="F42" s="13" t="s">
        <v>25</v>
      </c>
      <c r="G42" s="12" t="s">
        <v>123</v>
      </c>
      <c r="H42" s="12" t="s">
        <v>117</v>
      </c>
      <c r="I42" s="12">
        <f>SUMIF(Mercado_Receita!$S$2:$S$2022,"44348B1ConvencionalResidencialResidencial baixa renda – faixa 02Não se aplicaNão se aplicaPonta",Mercado_Receita!$L$2:$L$2022)+SUMIF(Mercado_Receita!$S$2:$S$2022,"44348B1ConvencionalResidencialResidencial baixa renda – faixa 02Não se aplicaNão se aplicaFora ponta",Mercado_Receita!$L$2:$L$2022)+SUMIF(Mercado_Receita!$S$2:$S$2022,"44348B1ConvencionalResidencialResidencial baixa renda – faixa 02Não se aplicaNão se aplicaIntermediário",Mercado_Receita!$L$2:$L$2022)+SUMIF(Mercado_Receita!$S$2:$S$2022,"44348B1ConvencionalResidencialResidencial baixa renda – faixa 02Não se aplicaNão se aplicaNão se aplica",Mercado_Receita!$L$2:$L$2022)</f>
        <v>4619.4600000000009</v>
      </c>
      <c r="J42" s="12">
        <f>SUMIF(Mercado_Receita!$S$2:$S$2022,"44378B1ConvencionalResidencialResidencial baixa renda – faixa 02Não se aplicaNão se aplicaPonta",Mercado_Receita!$L$2:$L$2022)+SUMIF(Mercado_Receita!$S$2:$S$2022,"44378B1ConvencionalResidencialResidencial baixa renda – faixa 02Não se aplicaNão se aplicaFora ponta",Mercado_Receita!$L$2:$L$2022)+SUMIF(Mercado_Receita!$S$2:$S$2022,"44378B1ConvencionalResidencialResidencial baixa renda – faixa 02Não se aplicaNão se aplicaIntermediário",Mercado_Receita!$L$2:$L$2022)+SUMIF(Mercado_Receita!$S$2:$S$2022,"44378B1ConvencionalResidencialResidencial baixa renda – faixa 02Não se aplicaNão se aplicaNão se aplica",Mercado_Receita!$L$2:$L$2022)</f>
        <v>4624.5339999999997</v>
      </c>
      <c r="K42" s="12">
        <f>SUMIF(Mercado_Receita!$S$2:$S$2022,"44409B1ConvencionalResidencialResidencial baixa renda – faixa 02Não se aplicaNão se aplicaPonta",Mercado_Receita!$L$2:$L$2022)+SUMIF(Mercado_Receita!$S$2:$S$2022,"44409B1ConvencionalResidencialResidencial baixa renda – faixa 02Não se aplicaNão se aplicaFora ponta",Mercado_Receita!$L$2:$L$2022)+SUMIF(Mercado_Receita!$S$2:$S$2022,"44409B1ConvencionalResidencialResidencial baixa renda – faixa 02Não se aplicaNão se aplicaIntermediário",Mercado_Receita!$L$2:$L$2022)+SUMIF(Mercado_Receita!$S$2:$S$2022,"44409B1ConvencionalResidencialResidencial baixa renda – faixa 02Não se aplicaNão se aplicaNão se aplica",Mercado_Receita!$L$2:$L$2022)</f>
        <v>4695.7830000000004</v>
      </c>
      <c r="L42" s="12">
        <f>SUMIF(Mercado_Receita!$S$2:$S$2022,"44440B1ConvencionalResidencialResidencial baixa renda – faixa 02Não se aplicaNão se aplicaPonta",Mercado_Receita!$L$2:$L$2022)+SUMIF(Mercado_Receita!$S$2:$S$2022,"44440B1ConvencionalResidencialResidencial baixa renda – faixa 02Não se aplicaNão se aplicaFora ponta",Mercado_Receita!$L$2:$L$2022)+SUMIF(Mercado_Receita!$S$2:$S$2022,"44440B1ConvencionalResidencialResidencial baixa renda – faixa 02Não se aplicaNão se aplicaIntermediário",Mercado_Receita!$L$2:$L$2022)+SUMIF(Mercado_Receita!$S$2:$S$2022,"44440B1ConvencionalResidencialResidencial baixa renda – faixa 02Não se aplicaNão se aplicaNão se aplica",Mercado_Receita!$L$2:$L$2022)</f>
        <v>4804.009</v>
      </c>
      <c r="M42" s="12">
        <f>SUMIF(Mercado_Receita!$S$2:$S$2022,"44470B1ConvencionalResidencialResidencial baixa renda – faixa 02Não se aplicaNão se aplicaPonta",Mercado_Receita!$L$2:$L$2022)+SUMIF(Mercado_Receita!$S$2:$S$2022,"44470B1ConvencionalResidencialResidencial baixa renda – faixa 02Não se aplicaNão se aplicaFora ponta",Mercado_Receita!$L$2:$L$2022)+SUMIF(Mercado_Receita!$S$2:$S$2022,"44470B1ConvencionalResidencialResidencial baixa renda – faixa 02Não se aplicaNão se aplicaIntermediário",Mercado_Receita!$L$2:$L$2022)+SUMIF(Mercado_Receita!$S$2:$S$2022,"44470B1ConvencionalResidencialResidencial baixa renda – faixa 02Não se aplicaNão se aplicaNão se aplica",Mercado_Receita!$L$2:$L$2022)</f>
        <v>4797.2019999999993</v>
      </c>
      <c r="N42" s="12">
        <f>SUMIF(Mercado_Receita!$S$2:$S$2022,"44501B1ConvencionalResidencialResidencial baixa renda – faixa 02Não se aplicaNão se aplicaPonta",Mercado_Receita!$L$2:$L$2022)+SUMIF(Mercado_Receita!$S$2:$S$2022,"44501B1ConvencionalResidencialResidencial baixa renda – faixa 02Não se aplicaNão se aplicaFora ponta",Mercado_Receita!$L$2:$L$2022)+SUMIF(Mercado_Receita!$S$2:$S$2022,"44501B1ConvencionalResidencialResidencial baixa renda – faixa 02Não se aplicaNão se aplicaIntermediário",Mercado_Receita!$L$2:$L$2022)+SUMIF(Mercado_Receita!$S$2:$S$2022,"44501B1ConvencionalResidencialResidencial baixa renda – faixa 02Não se aplicaNão se aplicaNão se aplica",Mercado_Receita!$L$2:$L$2022)</f>
        <v>4869.4859999999999</v>
      </c>
      <c r="O42" s="12">
        <f>SUMIF(Mercado_Receita!$S$2:$S$2022,"44531B1ConvencionalResidencialResidencial baixa renda – faixa 02Não se aplicaNão se aplicaPonta",Mercado_Receita!$L$2:$L$2022)+SUMIF(Mercado_Receita!$S$2:$S$2022,"44531B1ConvencionalResidencialResidencial baixa renda – faixa 02Não se aplicaNão se aplicaFora ponta",Mercado_Receita!$L$2:$L$2022)+SUMIF(Mercado_Receita!$S$2:$S$2022,"44531B1ConvencionalResidencialResidencial baixa renda – faixa 02Não se aplicaNão se aplicaIntermediário",Mercado_Receita!$L$2:$L$2022)+SUMIF(Mercado_Receita!$S$2:$S$2022,"44531B1ConvencionalResidencialResidencial baixa renda – faixa 02Não se aplicaNão se aplicaNão se aplica",Mercado_Receita!$L$2:$L$2022)</f>
        <v>5033.9840000000004</v>
      </c>
      <c r="P42" s="12">
        <f>SUMIF(Mercado_Receita!$S$2:$S$2022,"44562B1ConvencionalResidencialResidencial baixa renda – faixa 02Não se aplicaNão se aplicaPonta",Mercado_Receita!$L$2:$L$2022)+SUMIF(Mercado_Receita!$S$2:$S$2022,"44562B1ConvencionalResidencialResidencial baixa renda – faixa 02Não se aplicaNão se aplicaFora ponta",Mercado_Receita!$L$2:$L$2022)+SUMIF(Mercado_Receita!$S$2:$S$2022,"44562B1ConvencionalResidencialResidencial baixa renda – faixa 02Não se aplicaNão se aplicaIntermediário",Mercado_Receita!$L$2:$L$2022)+SUMIF(Mercado_Receita!$S$2:$S$2022,"44562B1ConvencionalResidencialResidencial baixa renda – faixa 02Não se aplicaNão se aplicaNão se aplica",Mercado_Receita!$L$2:$L$2022)</f>
        <v>5169.9980000000005</v>
      </c>
      <c r="Q42" s="12">
        <f>SUMIF(Mercado_Receita!$S$2:$S$2022,"44593B1ConvencionalResidencialResidencial baixa renda – faixa 02Não se aplicaNão se aplicaPonta",Mercado_Receita!$L$2:$L$2022)+SUMIF(Mercado_Receita!$S$2:$S$2022,"44593B1ConvencionalResidencialResidencial baixa renda – faixa 02Não se aplicaNão se aplicaFora ponta",Mercado_Receita!$L$2:$L$2022)+SUMIF(Mercado_Receita!$S$2:$S$2022,"44593B1ConvencionalResidencialResidencial baixa renda – faixa 02Não se aplicaNão se aplicaIntermediário",Mercado_Receita!$L$2:$L$2022)+SUMIF(Mercado_Receita!$S$2:$S$2022,"44593B1ConvencionalResidencialResidencial baixa renda – faixa 02Não se aplicaNão se aplicaNão se aplica",Mercado_Receita!$L$2:$L$2022)</f>
        <v>5407.79</v>
      </c>
      <c r="R42" s="12">
        <f>SUMIF(Mercado_Receita!$S$2:$S$2022,"44621B1ConvencionalResidencialResidencial baixa renda – faixa 02Não se aplicaNão se aplicaPonta",Mercado_Receita!$L$2:$L$2022)+SUMIF(Mercado_Receita!$S$2:$S$2022,"44621B1ConvencionalResidencialResidencial baixa renda – faixa 02Não se aplicaNão se aplicaFora ponta",Mercado_Receita!$L$2:$L$2022)+SUMIF(Mercado_Receita!$S$2:$S$2022,"44621B1ConvencionalResidencialResidencial baixa renda – faixa 02Não se aplicaNão se aplicaIntermediário",Mercado_Receita!$L$2:$L$2022)+SUMIF(Mercado_Receita!$S$2:$S$2022,"44621B1ConvencionalResidencialResidencial baixa renda – faixa 02Não se aplicaNão se aplicaNão se aplica",Mercado_Receita!$L$2:$L$2022)</f>
        <v>5740.5670000000009</v>
      </c>
      <c r="S42" s="12">
        <f>SUMIF(Mercado_Receita!$S$2:$S$2022,"44652B1ConvencionalResidencialResidencial baixa renda – faixa 02Não se aplicaNão se aplicaPonta",Mercado_Receita!$L$2:$L$2022)+SUMIF(Mercado_Receita!$S$2:$S$2022,"44652B1ConvencionalResidencialResidencial baixa renda – faixa 02Não se aplicaNão se aplicaFora ponta",Mercado_Receita!$L$2:$L$2022)+SUMIF(Mercado_Receita!$S$2:$S$2022,"44652B1ConvencionalResidencialResidencial baixa renda – faixa 02Não se aplicaNão se aplicaIntermediário",Mercado_Receita!$L$2:$L$2022)+SUMIF(Mercado_Receita!$S$2:$S$2022,"44652B1ConvencionalResidencialResidencial baixa renda – faixa 02Não se aplicaNão se aplicaNão se aplica",Mercado_Receita!$L$2:$L$2022)</f>
        <v>5723.3990000000003</v>
      </c>
      <c r="T42" s="12">
        <f>SUMIF(Mercado_Receita!$S$2:$S$2022,"44682B1ConvencionalResidencialResidencial baixa renda – faixa 02Não se aplicaNão se aplicaPonta",Mercado_Receita!$L$2:$L$2022)+SUMIF(Mercado_Receita!$S$2:$S$2022,"44682B1ConvencionalResidencialResidencial baixa renda – faixa 02Não se aplicaNão se aplicaFora ponta",Mercado_Receita!$L$2:$L$2022)+SUMIF(Mercado_Receita!$S$2:$S$2022,"44682B1ConvencionalResidencialResidencial baixa renda – faixa 02Não se aplicaNão se aplicaIntermediário",Mercado_Receita!$L$2:$L$2022)+SUMIF(Mercado_Receita!$S$2:$S$2022,"44682B1ConvencionalResidencialResidencial baixa renda – faixa 02Não se aplicaNão se aplicaNão se aplica",Mercado_Receita!$L$2:$L$2022)</f>
        <v>5723.3990000000003</v>
      </c>
      <c r="U42" s="12">
        <f t="shared" si="1"/>
        <v>61209.610999999997</v>
      </c>
      <c r="V42" s="12"/>
      <c r="W42" s="12"/>
    </row>
    <row r="43" spans="1:23" ht="11.25" customHeight="1" x14ac:dyDescent="0.25">
      <c r="A43" s="102"/>
      <c r="B43" s="102"/>
      <c r="C43" s="102"/>
      <c r="D43" s="13" t="s">
        <v>31</v>
      </c>
      <c r="E43" s="13" t="s">
        <v>25</v>
      </c>
      <c r="F43" s="13" t="s">
        <v>25</v>
      </c>
      <c r="G43" s="12" t="s">
        <v>123</v>
      </c>
      <c r="H43" s="12" t="s">
        <v>117</v>
      </c>
      <c r="I43" s="12">
        <f>SUMIF(Mercado_Receita!$S$2:$S$2022,"44348B1ConvencionalResidencialResidencial baixa renda – faixa 03Não se aplicaNão se aplicaPonta",Mercado_Receita!$L$2:$L$2022)+SUMIF(Mercado_Receita!$S$2:$S$2022,"44348B1ConvencionalResidencialResidencial baixa renda – faixa 03Não se aplicaNão se aplicaFora ponta",Mercado_Receita!$L$2:$L$2022)+SUMIF(Mercado_Receita!$S$2:$S$2022,"44348B1ConvencionalResidencialResidencial baixa renda – faixa 03Não se aplicaNão se aplicaIntermediário",Mercado_Receita!$L$2:$L$2022)+SUMIF(Mercado_Receita!$S$2:$S$2022,"44348B1ConvencionalResidencialResidencial baixa renda – faixa 03Não se aplicaNão se aplicaNão se aplica",Mercado_Receita!$L$2:$L$2022)</f>
        <v>2712.8020000000001</v>
      </c>
      <c r="J43" s="12">
        <f>SUMIF(Mercado_Receita!$S$2:$S$2022,"44378B1ConvencionalResidencialResidencial baixa renda – faixa 03Não se aplicaNão se aplicaPonta",Mercado_Receita!$L$2:$L$2022)+SUMIF(Mercado_Receita!$S$2:$S$2022,"44378B1ConvencionalResidencialResidencial baixa renda – faixa 03Não se aplicaNão se aplicaFora ponta",Mercado_Receita!$L$2:$L$2022)+SUMIF(Mercado_Receita!$S$2:$S$2022,"44378B1ConvencionalResidencialResidencial baixa renda – faixa 03Não se aplicaNão se aplicaIntermediário",Mercado_Receita!$L$2:$L$2022)+SUMIF(Mercado_Receita!$S$2:$S$2022,"44378B1ConvencionalResidencialResidencial baixa renda – faixa 03Não se aplicaNão se aplicaNão se aplica",Mercado_Receita!$L$2:$L$2022)</f>
        <v>2671.6310000000003</v>
      </c>
      <c r="K43" s="12">
        <f>SUMIF(Mercado_Receita!$S$2:$S$2022,"44409B1ConvencionalResidencialResidencial baixa renda – faixa 03Não se aplicaNão se aplicaPonta",Mercado_Receita!$L$2:$L$2022)+SUMIF(Mercado_Receita!$S$2:$S$2022,"44409B1ConvencionalResidencialResidencial baixa renda – faixa 03Não se aplicaNão se aplicaFora ponta",Mercado_Receita!$L$2:$L$2022)+SUMIF(Mercado_Receita!$S$2:$S$2022,"44409B1ConvencionalResidencialResidencial baixa renda – faixa 03Não se aplicaNão se aplicaIntermediário",Mercado_Receita!$L$2:$L$2022)+SUMIF(Mercado_Receita!$S$2:$S$2022,"44409B1ConvencionalResidencialResidencial baixa renda – faixa 03Não se aplicaNão se aplicaNão se aplica",Mercado_Receita!$L$2:$L$2022)</f>
        <v>2761.3689999999997</v>
      </c>
      <c r="L43" s="12">
        <f>SUMIF(Mercado_Receita!$S$2:$S$2022,"44440B1ConvencionalResidencialResidencial baixa renda – faixa 03Não se aplicaNão se aplicaPonta",Mercado_Receita!$L$2:$L$2022)+SUMIF(Mercado_Receita!$S$2:$S$2022,"44440B1ConvencionalResidencialResidencial baixa renda – faixa 03Não se aplicaNão se aplicaFora ponta",Mercado_Receita!$L$2:$L$2022)+SUMIF(Mercado_Receita!$S$2:$S$2022,"44440B1ConvencionalResidencialResidencial baixa renda – faixa 03Não se aplicaNão se aplicaIntermediário",Mercado_Receita!$L$2:$L$2022)+SUMIF(Mercado_Receita!$S$2:$S$2022,"44440B1ConvencionalResidencialResidencial baixa renda – faixa 03Não se aplicaNão se aplicaNão se aplica",Mercado_Receita!$L$2:$L$2022)</f>
        <v>3328.2669999999998</v>
      </c>
      <c r="M43" s="12">
        <f>SUMIF(Mercado_Receita!$S$2:$S$2022,"44470B1ConvencionalResidencialResidencial baixa renda – faixa 03Não se aplicaNão se aplicaPonta",Mercado_Receita!$L$2:$L$2022)+SUMIF(Mercado_Receita!$S$2:$S$2022,"44470B1ConvencionalResidencialResidencial baixa renda – faixa 03Não se aplicaNão se aplicaFora ponta",Mercado_Receita!$L$2:$L$2022)+SUMIF(Mercado_Receita!$S$2:$S$2022,"44470B1ConvencionalResidencialResidencial baixa renda – faixa 03Não se aplicaNão se aplicaIntermediário",Mercado_Receita!$L$2:$L$2022)+SUMIF(Mercado_Receita!$S$2:$S$2022,"44470B1ConvencionalResidencialResidencial baixa renda – faixa 03Não se aplicaNão se aplicaNão se aplica",Mercado_Receita!$L$2:$L$2022)</f>
        <v>2991.5959999999995</v>
      </c>
      <c r="N43" s="12">
        <f>SUMIF(Mercado_Receita!$S$2:$S$2022,"44501B1ConvencionalResidencialResidencial baixa renda – faixa 03Não se aplicaNão se aplicaPonta",Mercado_Receita!$L$2:$L$2022)+SUMIF(Mercado_Receita!$S$2:$S$2022,"44501B1ConvencionalResidencialResidencial baixa renda – faixa 03Não se aplicaNão se aplicaFora ponta",Mercado_Receita!$L$2:$L$2022)+SUMIF(Mercado_Receita!$S$2:$S$2022,"44501B1ConvencionalResidencialResidencial baixa renda – faixa 03Não se aplicaNão se aplicaIntermediário",Mercado_Receita!$L$2:$L$2022)+SUMIF(Mercado_Receita!$S$2:$S$2022,"44501B1ConvencionalResidencialResidencial baixa renda – faixa 03Não se aplicaNão se aplicaNão se aplica",Mercado_Receita!$L$2:$L$2022)</f>
        <v>3093.145</v>
      </c>
      <c r="O43" s="12">
        <f>SUMIF(Mercado_Receita!$S$2:$S$2022,"44531B1ConvencionalResidencialResidencial baixa renda – faixa 03Não se aplicaNão se aplicaPonta",Mercado_Receita!$L$2:$L$2022)+SUMIF(Mercado_Receita!$S$2:$S$2022,"44531B1ConvencionalResidencialResidencial baixa renda – faixa 03Não se aplicaNão se aplicaFora ponta",Mercado_Receita!$L$2:$L$2022)+SUMIF(Mercado_Receita!$S$2:$S$2022,"44531B1ConvencionalResidencialResidencial baixa renda – faixa 03Não se aplicaNão se aplicaIntermediário",Mercado_Receita!$L$2:$L$2022)+SUMIF(Mercado_Receita!$S$2:$S$2022,"44531B1ConvencionalResidencialResidencial baixa renda – faixa 03Não se aplicaNão se aplicaNão se aplica",Mercado_Receita!$L$2:$L$2022)</f>
        <v>3569.1350000000002</v>
      </c>
      <c r="P43" s="12">
        <f>SUMIF(Mercado_Receita!$S$2:$S$2022,"44562B1ConvencionalResidencialResidencial baixa renda – faixa 03Não se aplicaNão se aplicaPonta",Mercado_Receita!$L$2:$L$2022)+SUMIF(Mercado_Receita!$S$2:$S$2022,"44562B1ConvencionalResidencialResidencial baixa renda – faixa 03Não se aplicaNão se aplicaFora ponta",Mercado_Receita!$L$2:$L$2022)+SUMIF(Mercado_Receita!$S$2:$S$2022,"44562B1ConvencionalResidencialResidencial baixa renda – faixa 03Não se aplicaNão se aplicaIntermediário",Mercado_Receita!$L$2:$L$2022)+SUMIF(Mercado_Receita!$S$2:$S$2022,"44562B1ConvencionalResidencialResidencial baixa renda – faixa 03Não se aplicaNão se aplicaNão se aplica",Mercado_Receita!$L$2:$L$2022)</f>
        <v>3569.0360000000001</v>
      </c>
      <c r="Q43" s="12">
        <f>SUMIF(Mercado_Receita!$S$2:$S$2022,"44593B1ConvencionalResidencialResidencial baixa renda – faixa 03Não se aplicaNão se aplicaPonta",Mercado_Receita!$L$2:$L$2022)+SUMIF(Mercado_Receita!$S$2:$S$2022,"44593B1ConvencionalResidencialResidencial baixa renda – faixa 03Não se aplicaNão se aplicaFora ponta",Mercado_Receita!$L$2:$L$2022)+SUMIF(Mercado_Receita!$S$2:$S$2022,"44593B1ConvencionalResidencialResidencial baixa renda – faixa 03Não se aplicaNão se aplicaIntermediário",Mercado_Receita!$L$2:$L$2022)+SUMIF(Mercado_Receita!$S$2:$S$2022,"44593B1ConvencionalResidencialResidencial baixa renda – faixa 03Não se aplicaNão se aplicaNão se aplica",Mercado_Receita!$L$2:$L$2022)</f>
        <v>3336.6190000000001</v>
      </c>
      <c r="R43" s="12">
        <f>SUMIF(Mercado_Receita!$S$2:$S$2022,"44621B1ConvencionalResidencialResidencial baixa renda – faixa 03Não se aplicaNão se aplicaPonta",Mercado_Receita!$L$2:$L$2022)+SUMIF(Mercado_Receita!$S$2:$S$2022,"44621B1ConvencionalResidencialResidencial baixa renda – faixa 03Não se aplicaNão se aplicaFora ponta",Mercado_Receita!$L$2:$L$2022)+SUMIF(Mercado_Receita!$S$2:$S$2022,"44621B1ConvencionalResidencialResidencial baixa renda – faixa 03Não se aplicaNão se aplicaIntermediário",Mercado_Receita!$L$2:$L$2022)+SUMIF(Mercado_Receita!$S$2:$S$2022,"44621B1ConvencionalResidencialResidencial baixa renda – faixa 03Não se aplicaNão se aplicaNão se aplica",Mercado_Receita!$L$2:$L$2022)</f>
        <v>4148.9840000000004</v>
      </c>
      <c r="S43" s="12">
        <f>SUMIF(Mercado_Receita!$S$2:$S$2022,"44652B1ConvencionalResidencialResidencial baixa renda – faixa 03Não se aplicaNão se aplicaPonta",Mercado_Receita!$L$2:$L$2022)+SUMIF(Mercado_Receita!$S$2:$S$2022,"44652B1ConvencionalResidencialResidencial baixa renda – faixa 03Não se aplicaNão se aplicaFora ponta",Mercado_Receita!$L$2:$L$2022)+SUMIF(Mercado_Receita!$S$2:$S$2022,"44652B1ConvencionalResidencialResidencial baixa renda – faixa 03Não se aplicaNão se aplicaIntermediário",Mercado_Receita!$L$2:$L$2022)+SUMIF(Mercado_Receita!$S$2:$S$2022,"44652B1ConvencionalResidencialResidencial baixa renda – faixa 03Não se aplicaNão se aplicaNão se aplica",Mercado_Receita!$L$2:$L$2022)</f>
        <v>3809.2179999999998</v>
      </c>
      <c r="T43" s="12">
        <f>SUMIF(Mercado_Receita!$S$2:$S$2022,"44682B1ConvencionalResidencialResidencial baixa renda – faixa 03Não se aplicaNão se aplicaPonta",Mercado_Receita!$L$2:$L$2022)+SUMIF(Mercado_Receita!$S$2:$S$2022,"44682B1ConvencionalResidencialResidencial baixa renda – faixa 03Não se aplicaNão se aplicaFora ponta",Mercado_Receita!$L$2:$L$2022)+SUMIF(Mercado_Receita!$S$2:$S$2022,"44682B1ConvencionalResidencialResidencial baixa renda – faixa 03Não se aplicaNão se aplicaIntermediário",Mercado_Receita!$L$2:$L$2022)+SUMIF(Mercado_Receita!$S$2:$S$2022,"44682B1ConvencionalResidencialResidencial baixa renda – faixa 03Não se aplicaNão se aplicaNão se aplica",Mercado_Receita!$L$2:$L$2022)</f>
        <v>3809.2179999999998</v>
      </c>
      <c r="U43" s="12">
        <f t="shared" si="1"/>
        <v>39801.019999999997</v>
      </c>
      <c r="V43" s="12"/>
      <c r="W43" s="12"/>
    </row>
    <row r="44" spans="1:23" ht="11.25" customHeight="1" x14ac:dyDescent="0.25">
      <c r="A44" s="102"/>
      <c r="B44" s="102"/>
      <c r="C44" s="102"/>
      <c r="D44" s="13" t="s">
        <v>32</v>
      </c>
      <c r="E44" s="13" t="s">
        <v>25</v>
      </c>
      <c r="F44" s="13" t="s">
        <v>25</v>
      </c>
      <c r="G44" s="12" t="s">
        <v>123</v>
      </c>
      <c r="H44" s="12" t="s">
        <v>117</v>
      </c>
      <c r="I44" s="12">
        <f>SUMIF(Mercado_Receita!$S$2:$S$2022,"44348B1ConvencionalResidencialResidencial baixa renda – faixa 04Não se aplicaNão se aplicaPonta",Mercado_Receita!$L$2:$L$2022)+SUMIF(Mercado_Receita!$S$2:$S$2022,"44348B1ConvencionalResidencialResidencial baixa renda – faixa 04Não se aplicaNão se aplicaFora ponta",Mercado_Receita!$L$2:$L$2022)+SUMIF(Mercado_Receita!$S$2:$S$2022,"44348B1ConvencionalResidencialResidencial baixa renda – faixa 04Não se aplicaNão se aplicaIntermediário",Mercado_Receita!$L$2:$L$2022)+SUMIF(Mercado_Receita!$S$2:$S$2022,"44348B1ConvencionalResidencialResidencial baixa renda – faixa 04Não se aplicaNão se aplicaNão se aplica",Mercado_Receita!$L$2:$L$2022)</f>
        <v>419.77</v>
      </c>
      <c r="J44" s="12">
        <f>SUMIF(Mercado_Receita!$S$2:$S$2022,"44378B1ConvencionalResidencialResidencial baixa renda – faixa 04Não se aplicaNão se aplicaPonta",Mercado_Receita!$L$2:$L$2022)+SUMIF(Mercado_Receita!$S$2:$S$2022,"44378B1ConvencionalResidencialResidencial baixa renda – faixa 04Não se aplicaNão se aplicaFora ponta",Mercado_Receita!$L$2:$L$2022)+SUMIF(Mercado_Receita!$S$2:$S$2022,"44378B1ConvencionalResidencialResidencial baixa renda – faixa 04Não se aplicaNão se aplicaIntermediário",Mercado_Receita!$L$2:$L$2022)+SUMIF(Mercado_Receita!$S$2:$S$2022,"44378B1ConvencionalResidencialResidencial baixa renda – faixa 04Não se aplicaNão se aplicaNão se aplica",Mercado_Receita!$L$2:$L$2022)</f>
        <v>398.803</v>
      </c>
      <c r="K44" s="12">
        <f>SUMIF(Mercado_Receita!$S$2:$S$2022,"44409B1ConvencionalResidencialResidencial baixa renda – faixa 04Não se aplicaNão se aplicaPonta",Mercado_Receita!$L$2:$L$2022)+SUMIF(Mercado_Receita!$S$2:$S$2022,"44409B1ConvencionalResidencialResidencial baixa renda – faixa 04Não se aplicaNão se aplicaFora ponta",Mercado_Receita!$L$2:$L$2022)+SUMIF(Mercado_Receita!$S$2:$S$2022,"44409B1ConvencionalResidencialResidencial baixa renda – faixa 04Não se aplicaNão se aplicaIntermediário",Mercado_Receita!$L$2:$L$2022)+SUMIF(Mercado_Receita!$S$2:$S$2022,"44409B1ConvencionalResidencialResidencial baixa renda – faixa 04Não se aplicaNão se aplicaNão se aplica",Mercado_Receita!$L$2:$L$2022)</f>
        <v>414.767</v>
      </c>
      <c r="L44" s="12">
        <f>SUMIF(Mercado_Receita!$S$2:$S$2022,"44440B1ConvencionalResidencialResidencial baixa renda – faixa 04Não se aplicaNão se aplicaPonta",Mercado_Receita!$L$2:$L$2022)+SUMIF(Mercado_Receita!$S$2:$S$2022,"44440B1ConvencionalResidencialResidencial baixa renda – faixa 04Não se aplicaNão se aplicaFora ponta",Mercado_Receita!$L$2:$L$2022)+SUMIF(Mercado_Receita!$S$2:$S$2022,"44440B1ConvencionalResidencialResidencial baixa renda – faixa 04Não se aplicaNão se aplicaIntermediário",Mercado_Receita!$L$2:$L$2022)+SUMIF(Mercado_Receita!$S$2:$S$2022,"44440B1ConvencionalResidencialResidencial baixa renda – faixa 04Não se aplicaNão se aplicaNão se aplica",Mercado_Receita!$L$2:$L$2022)</f>
        <v>642.71199999999999</v>
      </c>
      <c r="M44" s="12">
        <f>SUMIF(Mercado_Receita!$S$2:$S$2022,"44470B1ConvencionalResidencialResidencial baixa renda – faixa 04Não se aplicaNão se aplicaPonta",Mercado_Receita!$L$2:$L$2022)+SUMIF(Mercado_Receita!$S$2:$S$2022,"44470B1ConvencionalResidencialResidencial baixa renda – faixa 04Não se aplicaNão se aplicaFora ponta",Mercado_Receita!$L$2:$L$2022)+SUMIF(Mercado_Receita!$S$2:$S$2022,"44470B1ConvencionalResidencialResidencial baixa renda – faixa 04Não se aplicaNão se aplicaIntermediário",Mercado_Receita!$L$2:$L$2022)+SUMIF(Mercado_Receita!$S$2:$S$2022,"44470B1ConvencionalResidencialResidencial baixa renda – faixa 04Não se aplicaNão se aplicaNão se aplica",Mercado_Receita!$L$2:$L$2022)</f>
        <v>520.92900000000009</v>
      </c>
      <c r="N44" s="12">
        <f>SUMIF(Mercado_Receita!$S$2:$S$2022,"44501B1ConvencionalResidencialResidencial baixa renda – faixa 04Não se aplicaNão se aplicaPonta",Mercado_Receita!$L$2:$L$2022)+SUMIF(Mercado_Receita!$S$2:$S$2022,"44501B1ConvencionalResidencialResidencial baixa renda – faixa 04Não se aplicaNão se aplicaFora ponta",Mercado_Receita!$L$2:$L$2022)+SUMIF(Mercado_Receita!$S$2:$S$2022,"44501B1ConvencionalResidencialResidencial baixa renda – faixa 04Não se aplicaNão se aplicaIntermediário",Mercado_Receita!$L$2:$L$2022)+SUMIF(Mercado_Receita!$S$2:$S$2022,"44501B1ConvencionalResidencialResidencial baixa renda – faixa 04Não se aplicaNão se aplicaNão se aplica",Mercado_Receita!$L$2:$L$2022)</f>
        <v>535.53499999999997</v>
      </c>
      <c r="O44" s="12">
        <f>SUMIF(Mercado_Receita!$S$2:$S$2022,"44531B1ConvencionalResidencialResidencial baixa renda – faixa 04Não se aplicaNão se aplicaPonta",Mercado_Receita!$L$2:$L$2022)+SUMIF(Mercado_Receita!$S$2:$S$2022,"44531B1ConvencionalResidencialResidencial baixa renda – faixa 04Não se aplicaNão se aplicaFora ponta",Mercado_Receita!$L$2:$L$2022)+SUMIF(Mercado_Receita!$S$2:$S$2022,"44531B1ConvencionalResidencialResidencial baixa renda – faixa 04Não se aplicaNão se aplicaIntermediário",Mercado_Receita!$L$2:$L$2022)+SUMIF(Mercado_Receita!$S$2:$S$2022,"44531B1ConvencionalResidencialResidencial baixa renda – faixa 04Não se aplicaNão se aplicaNão se aplica",Mercado_Receita!$L$2:$L$2022)</f>
        <v>729.44500000000005</v>
      </c>
      <c r="P44" s="12">
        <f>SUMIF(Mercado_Receita!$S$2:$S$2022,"44562B1ConvencionalResidencialResidencial baixa renda – faixa 04Não se aplicaNão se aplicaPonta",Mercado_Receita!$L$2:$L$2022)+SUMIF(Mercado_Receita!$S$2:$S$2022,"44562B1ConvencionalResidencialResidencial baixa renda – faixa 04Não se aplicaNão se aplicaFora ponta",Mercado_Receita!$L$2:$L$2022)+SUMIF(Mercado_Receita!$S$2:$S$2022,"44562B1ConvencionalResidencialResidencial baixa renda – faixa 04Não se aplicaNão se aplicaIntermediário",Mercado_Receita!$L$2:$L$2022)+SUMIF(Mercado_Receita!$S$2:$S$2022,"44562B1ConvencionalResidencialResidencial baixa renda – faixa 04Não se aplicaNão se aplicaNão se aplica",Mercado_Receita!$L$2:$L$2022)</f>
        <v>744.11199999999997</v>
      </c>
      <c r="Q44" s="12">
        <f>SUMIF(Mercado_Receita!$S$2:$S$2022,"44593B1ConvencionalResidencialResidencial baixa renda – faixa 04Não se aplicaNão se aplicaPonta",Mercado_Receita!$L$2:$L$2022)+SUMIF(Mercado_Receita!$S$2:$S$2022,"44593B1ConvencionalResidencialResidencial baixa renda – faixa 04Não se aplicaNão se aplicaFora ponta",Mercado_Receita!$L$2:$L$2022)+SUMIF(Mercado_Receita!$S$2:$S$2022,"44593B1ConvencionalResidencialResidencial baixa renda – faixa 04Não se aplicaNão se aplicaIntermediário",Mercado_Receita!$L$2:$L$2022)+SUMIF(Mercado_Receita!$S$2:$S$2022,"44593B1ConvencionalResidencialResidencial baixa renda – faixa 04Não se aplicaNão se aplicaNão se aplica",Mercado_Receita!$L$2:$L$2022)</f>
        <v>666.13700000000006</v>
      </c>
      <c r="R44" s="12">
        <f>SUMIF(Mercado_Receita!$S$2:$S$2022,"44621B1ConvencionalResidencialResidencial baixa renda – faixa 04Não se aplicaNão se aplicaPonta",Mercado_Receita!$L$2:$L$2022)+SUMIF(Mercado_Receita!$S$2:$S$2022,"44621B1ConvencionalResidencialResidencial baixa renda – faixa 04Não se aplicaNão se aplicaFora ponta",Mercado_Receita!$L$2:$L$2022)+SUMIF(Mercado_Receita!$S$2:$S$2022,"44621B1ConvencionalResidencialResidencial baixa renda – faixa 04Não se aplicaNão se aplicaIntermediário",Mercado_Receita!$L$2:$L$2022)+SUMIF(Mercado_Receita!$S$2:$S$2022,"44621B1ConvencionalResidencialResidencial baixa renda – faixa 04Não se aplicaNão se aplicaNão se aplica",Mercado_Receita!$L$2:$L$2022)</f>
        <v>1022.0260000000001</v>
      </c>
      <c r="S44" s="12">
        <f>SUMIF(Mercado_Receita!$S$2:$S$2022,"44652B1ConvencionalResidencialResidencial baixa renda – faixa 04Não se aplicaNão se aplicaPonta",Mercado_Receita!$L$2:$L$2022)+SUMIF(Mercado_Receita!$S$2:$S$2022,"44652B1ConvencionalResidencialResidencial baixa renda – faixa 04Não se aplicaNão se aplicaFora ponta",Mercado_Receita!$L$2:$L$2022)+SUMIF(Mercado_Receita!$S$2:$S$2022,"44652B1ConvencionalResidencialResidencial baixa renda – faixa 04Não se aplicaNão se aplicaIntermediário",Mercado_Receita!$L$2:$L$2022)+SUMIF(Mercado_Receita!$S$2:$S$2022,"44652B1ConvencionalResidencialResidencial baixa renda – faixa 04Não se aplicaNão se aplicaNão se aplica",Mercado_Receita!$L$2:$L$2022)</f>
        <v>843.58899999999994</v>
      </c>
      <c r="T44" s="12">
        <f>SUMIF(Mercado_Receita!$S$2:$S$2022,"44682B1ConvencionalResidencialResidencial baixa renda – faixa 04Não se aplicaNão se aplicaPonta",Mercado_Receita!$L$2:$L$2022)+SUMIF(Mercado_Receita!$S$2:$S$2022,"44682B1ConvencionalResidencialResidencial baixa renda – faixa 04Não se aplicaNão se aplicaFora ponta",Mercado_Receita!$L$2:$L$2022)+SUMIF(Mercado_Receita!$S$2:$S$2022,"44682B1ConvencionalResidencialResidencial baixa renda – faixa 04Não se aplicaNão se aplicaIntermediário",Mercado_Receita!$L$2:$L$2022)+SUMIF(Mercado_Receita!$S$2:$S$2022,"44682B1ConvencionalResidencialResidencial baixa renda – faixa 04Não se aplicaNão se aplicaNão se aplica",Mercado_Receita!$L$2:$L$2022)</f>
        <v>843.58899999999994</v>
      </c>
      <c r="U44" s="12">
        <f t="shared" si="1"/>
        <v>7781.4139999999989</v>
      </c>
      <c r="V44" s="12"/>
      <c r="W44" s="12"/>
    </row>
    <row r="45" spans="1:23" ht="11.25" customHeight="1" x14ac:dyDescent="0.25">
      <c r="A45" s="102"/>
      <c r="B45" s="101" t="s">
        <v>131</v>
      </c>
      <c r="C45" s="101" t="s">
        <v>24</v>
      </c>
      <c r="D45" s="13" t="s">
        <v>24</v>
      </c>
      <c r="E45" s="13" t="s">
        <v>25</v>
      </c>
      <c r="F45" s="13" t="s">
        <v>25</v>
      </c>
      <c r="G45" s="12" t="s">
        <v>123</v>
      </c>
      <c r="H45" s="12" t="s">
        <v>117</v>
      </c>
      <c r="I45" s="12">
        <f>SUMIF(Mercado_Receita!$S$2:$S$2022,"44348B1Convencional pré-pagamentoResidencialResidencialNão se aplicaNão se aplicaPonta",Mercado_Receita!$L$2:$L$2022)+SUMIF(Mercado_Receita!$S$2:$S$2022,"44348B1Convencional pré-pagamentoResidencialResidencialNão se aplicaNão se aplicaFora ponta",Mercado_Receita!$L$2:$L$2022)+SUMIF(Mercado_Receita!$S$2:$S$2022,"44348B1Convencional pré-pagamentoResidencialResidencialNão se aplicaNão se aplicaIntermediário",Mercado_Receita!$L$2:$L$2022)+SUMIF(Mercado_Receita!$S$2:$S$2022,"44348B1Convencional pré-pagamentoResidencialResidencialNão se aplicaNão se aplicaNão se aplica",Mercado_Receita!$L$2:$L$2022)</f>
        <v>0</v>
      </c>
      <c r="J45" s="12">
        <f>SUMIF(Mercado_Receita!$S$2:$S$2022,"44378B1Convencional pré-pagamentoResidencialResidencialNão se aplicaNão se aplicaPonta",Mercado_Receita!$L$2:$L$2022)+SUMIF(Mercado_Receita!$S$2:$S$2022,"44378B1Convencional pré-pagamentoResidencialResidencialNão se aplicaNão se aplicaFora ponta",Mercado_Receita!$L$2:$L$2022)+SUMIF(Mercado_Receita!$S$2:$S$2022,"44378B1Convencional pré-pagamentoResidencialResidencialNão se aplicaNão se aplicaIntermediário",Mercado_Receita!$L$2:$L$2022)+SUMIF(Mercado_Receita!$S$2:$S$2022,"44378B1Convencional pré-pagamentoResidencialResidencialNão se aplicaNão se aplicaNão se aplica",Mercado_Receita!$L$2:$L$2022)</f>
        <v>0</v>
      </c>
      <c r="K45" s="12">
        <f>SUMIF(Mercado_Receita!$S$2:$S$2022,"44409B1Convencional pré-pagamentoResidencialResidencialNão se aplicaNão se aplicaPonta",Mercado_Receita!$L$2:$L$2022)+SUMIF(Mercado_Receita!$S$2:$S$2022,"44409B1Convencional pré-pagamentoResidencialResidencialNão se aplicaNão se aplicaFora ponta",Mercado_Receita!$L$2:$L$2022)+SUMIF(Mercado_Receita!$S$2:$S$2022,"44409B1Convencional pré-pagamentoResidencialResidencialNão se aplicaNão se aplicaIntermediário",Mercado_Receita!$L$2:$L$2022)+SUMIF(Mercado_Receita!$S$2:$S$2022,"44409B1Convencional pré-pagamentoResidencialResidencialNão se aplicaNão se aplicaNão se aplica",Mercado_Receita!$L$2:$L$2022)</f>
        <v>0</v>
      </c>
      <c r="L45" s="12">
        <f>SUMIF(Mercado_Receita!$S$2:$S$2022,"44440B1Convencional pré-pagamentoResidencialResidencialNão se aplicaNão se aplicaPonta",Mercado_Receita!$L$2:$L$2022)+SUMIF(Mercado_Receita!$S$2:$S$2022,"44440B1Convencional pré-pagamentoResidencialResidencialNão se aplicaNão se aplicaFora ponta",Mercado_Receita!$L$2:$L$2022)+SUMIF(Mercado_Receita!$S$2:$S$2022,"44440B1Convencional pré-pagamentoResidencialResidencialNão se aplicaNão se aplicaIntermediário",Mercado_Receita!$L$2:$L$2022)+SUMIF(Mercado_Receita!$S$2:$S$2022,"44440B1Convencional pré-pagamentoResidencialResidencialNão se aplicaNão se aplicaNão se aplica",Mercado_Receita!$L$2:$L$2022)</f>
        <v>0</v>
      </c>
      <c r="M45" s="12">
        <f>SUMIF(Mercado_Receita!$S$2:$S$2022,"44470B1Convencional pré-pagamentoResidencialResidencialNão se aplicaNão se aplicaPonta",Mercado_Receita!$L$2:$L$2022)+SUMIF(Mercado_Receita!$S$2:$S$2022,"44470B1Convencional pré-pagamentoResidencialResidencialNão se aplicaNão se aplicaFora ponta",Mercado_Receita!$L$2:$L$2022)+SUMIF(Mercado_Receita!$S$2:$S$2022,"44470B1Convencional pré-pagamentoResidencialResidencialNão se aplicaNão se aplicaIntermediário",Mercado_Receita!$L$2:$L$2022)+SUMIF(Mercado_Receita!$S$2:$S$2022,"44470B1Convencional pré-pagamentoResidencialResidencialNão se aplicaNão se aplicaNão se aplica",Mercado_Receita!$L$2:$L$2022)</f>
        <v>0</v>
      </c>
      <c r="N45" s="12">
        <f>SUMIF(Mercado_Receita!$S$2:$S$2022,"44501B1Convencional pré-pagamentoResidencialResidencialNão se aplicaNão se aplicaPonta",Mercado_Receita!$L$2:$L$2022)+SUMIF(Mercado_Receita!$S$2:$S$2022,"44501B1Convencional pré-pagamentoResidencialResidencialNão se aplicaNão se aplicaFora ponta",Mercado_Receita!$L$2:$L$2022)+SUMIF(Mercado_Receita!$S$2:$S$2022,"44501B1Convencional pré-pagamentoResidencialResidencialNão se aplicaNão se aplicaIntermediário",Mercado_Receita!$L$2:$L$2022)+SUMIF(Mercado_Receita!$S$2:$S$2022,"44501B1Convencional pré-pagamentoResidencialResidencialNão se aplicaNão se aplicaNão se aplica",Mercado_Receita!$L$2:$L$2022)</f>
        <v>0</v>
      </c>
      <c r="O45" s="12">
        <f>SUMIF(Mercado_Receita!$S$2:$S$2022,"44531B1Convencional pré-pagamentoResidencialResidencialNão se aplicaNão se aplicaPonta",Mercado_Receita!$L$2:$L$2022)+SUMIF(Mercado_Receita!$S$2:$S$2022,"44531B1Convencional pré-pagamentoResidencialResidencialNão se aplicaNão se aplicaFora ponta",Mercado_Receita!$L$2:$L$2022)+SUMIF(Mercado_Receita!$S$2:$S$2022,"44531B1Convencional pré-pagamentoResidencialResidencialNão se aplicaNão se aplicaIntermediário",Mercado_Receita!$L$2:$L$2022)+SUMIF(Mercado_Receita!$S$2:$S$2022,"44531B1Convencional pré-pagamentoResidencialResidencialNão se aplicaNão se aplicaNão se aplica",Mercado_Receita!$L$2:$L$2022)</f>
        <v>0</v>
      </c>
      <c r="P45" s="12">
        <f>SUMIF(Mercado_Receita!$S$2:$S$2022,"44562B1Convencional pré-pagamentoResidencialResidencialNão se aplicaNão se aplicaPonta",Mercado_Receita!$L$2:$L$2022)+SUMIF(Mercado_Receita!$S$2:$S$2022,"44562B1Convencional pré-pagamentoResidencialResidencialNão se aplicaNão se aplicaFora ponta",Mercado_Receita!$L$2:$L$2022)+SUMIF(Mercado_Receita!$S$2:$S$2022,"44562B1Convencional pré-pagamentoResidencialResidencialNão se aplicaNão se aplicaIntermediário",Mercado_Receita!$L$2:$L$2022)+SUMIF(Mercado_Receita!$S$2:$S$2022,"44562B1Convencional pré-pagamentoResidencialResidencialNão se aplicaNão se aplicaNão se aplica",Mercado_Receita!$L$2:$L$2022)</f>
        <v>0</v>
      </c>
      <c r="Q45" s="12">
        <f>SUMIF(Mercado_Receita!$S$2:$S$2022,"44593B1Convencional pré-pagamentoResidencialResidencialNão se aplicaNão se aplicaPonta",Mercado_Receita!$L$2:$L$2022)+SUMIF(Mercado_Receita!$S$2:$S$2022,"44593B1Convencional pré-pagamentoResidencialResidencialNão se aplicaNão se aplicaFora ponta",Mercado_Receita!$L$2:$L$2022)+SUMIF(Mercado_Receita!$S$2:$S$2022,"44593B1Convencional pré-pagamentoResidencialResidencialNão se aplicaNão se aplicaIntermediário",Mercado_Receita!$L$2:$L$2022)+SUMIF(Mercado_Receita!$S$2:$S$2022,"44593B1Convencional pré-pagamentoResidencialResidencialNão se aplicaNão se aplicaNão se aplica",Mercado_Receita!$L$2:$L$2022)</f>
        <v>0</v>
      </c>
      <c r="R45" s="12">
        <f>SUMIF(Mercado_Receita!$S$2:$S$2022,"44621B1Convencional pré-pagamentoResidencialResidencialNão se aplicaNão se aplicaPonta",Mercado_Receita!$L$2:$L$2022)+SUMIF(Mercado_Receita!$S$2:$S$2022,"44621B1Convencional pré-pagamentoResidencialResidencialNão se aplicaNão se aplicaFora ponta",Mercado_Receita!$L$2:$L$2022)+SUMIF(Mercado_Receita!$S$2:$S$2022,"44621B1Convencional pré-pagamentoResidencialResidencialNão se aplicaNão se aplicaIntermediário",Mercado_Receita!$L$2:$L$2022)+SUMIF(Mercado_Receita!$S$2:$S$2022,"44621B1Convencional pré-pagamentoResidencialResidencialNão se aplicaNão se aplicaNão se aplica",Mercado_Receita!$L$2:$L$2022)</f>
        <v>0</v>
      </c>
      <c r="S45" s="12">
        <f>SUMIF(Mercado_Receita!$S$2:$S$2022,"44652B1Convencional pré-pagamentoResidencialResidencialNão se aplicaNão se aplicaPonta",Mercado_Receita!$L$2:$L$2022)+SUMIF(Mercado_Receita!$S$2:$S$2022,"44652B1Convencional pré-pagamentoResidencialResidencialNão se aplicaNão se aplicaFora ponta",Mercado_Receita!$L$2:$L$2022)+SUMIF(Mercado_Receita!$S$2:$S$2022,"44652B1Convencional pré-pagamentoResidencialResidencialNão se aplicaNão se aplicaIntermediário",Mercado_Receita!$L$2:$L$2022)+SUMIF(Mercado_Receita!$S$2:$S$2022,"44652B1Convencional pré-pagamentoResidencialResidencialNão se aplicaNão se aplicaNão se aplica",Mercado_Receita!$L$2:$L$2022)</f>
        <v>0</v>
      </c>
      <c r="T45" s="12">
        <f>SUMIF(Mercado_Receita!$S$2:$S$2022,"44682B1Convencional pré-pagamentoResidencialResidencialNão se aplicaNão se aplicaPonta",Mercado_Receita!$L$2:$L$2022)+SUMIF(Mercado_Receita!$S$2:$S$2022,"44682B1Convencional pré-pagamentoResidencialResidencialNão se aplicaNão se aplicaFora ponta",Mercado_Receita!$L$2:$L$2022)+SUMIF(Mercado_Receita!$S$2:$S$2022,"44682B1Convencional pré-pagamentoResidencialResidencialNão se aplicaNão se aplicaIntermediário",Mercado_Receita!$L$2:$L$2022)+SUMIF(Mercado_Receita!$S$2:$S$2022,"44682B1Convencional pré-pagamentoResidencialResidencialNão se aplicaNão se aplicaNão se aplica",Mercado_Receita!$L$2:$L$2022)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102"/>
      <c r="B46" s="102"/>
      <c r="C46" s="102"/>
      <c r="D46" s="13" t="s">
        <v>29</v>
      </c>
      <c r="E46" s="13" t="s">
        <v>25</v>
      </c>
      <c r="F46" s="13" t="s">
        <v>25</v>
      </c>
      <c r="G46" s="12" t="s">
        <v>123</v>
      </c>
      <c r="H46" s="12" t="s">
        <v>117</v>
      </c>
      <c r="I46" s="12">
        <f>SUMIF(Mercado_Receita!$S$2:$S$2022,"44348B1Convencional pré-pagamentoResidencialResidencial baixa renda – faixa 01Não se aplicaNão se aplicaPonta",Mercado_Receita!$L$2:$L$2022)+SUMIF(Mercado_Receita!$S$2:$S$2022,"44348B1Convencional pré-pagamentoResidencialResidencial baixa renda – faixa 01Não se aplicaNão se aplicaFora ponta",Mercado_Receita!$L$2:$L$2022)+SUMIF(Mercado_Receita!$S$2:$S$2022,"44348B1Convencional pré-pagamentoResidencialResidencial baixa renda – faixa 01Não se aplicaNão se aplicaIntermediário",Mercado_Receita!$L$2:$L$2022)+SUMIF(Mercado_Receita!$S$2:$S$2022,"44348B1Convencional pré-pagamentoResidencialResidencial baixa renda – faixa 01Não se aplicaNão se aplicaNão se aplica",Mercado_Receita!$L$2:$L$2022)</f>
        <v>0</v>
      </c>
      <c r="J46" s="12">
        <f>SUMIF(Mercado_Receita!$S$2:$S$2022,"44378B1Convencional pré-pagamentoResidencialResidencial baixa renda – faixa 01Não se aplicaNão se aplicaPonta",Mercado_Receita!$L$2:$L$2022)+SUMIF(Mercado_Receita!$S$2:$S$2022,"44378B1Convencional pré-pagamentoResidencialResidencial baixa renda – faixa 01Não se aplicaNão se aplicaFora ponta",Mercado_Receita!$L$2:$L$2022)+SUMIF(Mercado_Receita!$S$2:$S$2022,"44378B1Convencional pré-pagamentoResidencialResidencial baixa renda – faixa 01Não se aplicaNão se aplicaIntermediário",Mercado_Receita!$L$2:$L$2022)+SUMIF(Mercado_Receita!$S$2:$S$2022,"44378B1Convencional pré-pagamentoResidencialResidencial baixa renda – faixa 01Não se aplicaNão se aplicaNão se aplica",Mercado_Receita!$L$2:$L$2022)</f>
        <v>0</v>
      </c>
      <c r="K46" s="12">
        <f>SUMIF(Mercado_Receita!$S$2:$S$2022,"44409B1Convencional pré-pagamentoResidencialResidencial baixa renda – faixa 01Não se aplicaNão se aplicaPonta",Mercado_Receita!$L$2:$L$2022)+SUMIF(Mercado_Receita!$S$2:$S$2022,"44409B1Convencional pré-pagamentoResidencialResidencial baixa renda – faixa 01Não se aplicaNão se aplicaFora ponta",Mercado_Receita!$L$2:$L$2022)+SUMIF(Mercado_Receita!$S$2:$S$2022,"44409B1Convencional pré-pagamentoResidencialResidencial baixa renda – faixa 01Não se aplicaNão se aplicaIntermediário",Mercado_Receita!$L$2:$L$2022)+SUMIF(Mercado_Receita!$S$2:$S$2022,"44409B1Convencional pré-pagamentoResidencialResidencial baixa renda – faixa 01Não se aplicaNão se aplicaNão se aplica",Mercado_Receita!$L$2:$L$2022)</f>
        <v>0</v>
      </c>
      <c r="L46" s="12">
        <f>SUMIF(Mercado_Receita!$S$2:$S$2022,"44440B1Convencional pré-pagamentoResidencialResidencial baixa renda – faixa 01Não se aplicaNão se aplicaPonta",Mercado_Receita!$L$2:$L$2022)+SUMIF(Mercado_Receita!$S$2:$S$2022,"44440B1Convencional pré-pagamentoResidencialResidencial baixa renda – faixa 01Não se aplicaNão se aplicaFora ponta",Mercado_Receita!$L$2:$L$2022)+SUMIF(Mercado_Receita!$S$2:$S$2022,"44440B1Convencional pré-pagamentoResidencialResidencial baixa renda – faixa 01Não se aplicaNão se aplicaIntermediário",Mercado_Receita!$L$2:$L$2022)+SUMIF(Mercado_Receita!$S$2:$S$2022,"44440B1Convencional pré-pagamentoResidencialResidencial baixa renda – faixa 01Não se aplicaNão se aplicaNão se aplica",Mercado_Receita!$L$2:$L$2022)</f>
        <v>0</v>
      </c>
      <c r="M46" s="12">
        <f>SUMIF(Mercado_Receita!$S$2:$S$2022,"44470B1Convencional pré-pagamentoResidencialResidencial baixa renda – faixa 01Não se aplicaNão se aplicaPonta",Mercado_Receita!$L$2:$L$2022)+SUMIF(Mercado_Receita!$S$2:$S$2022,"44470B1Convencional pré-pagamentoResidencialResidencial baixa renda – faixa 01Não se aplicaNão se aplicaFora ponta",Mercado_Receita!$L$2:$L$2022)+SUMIF(Mercado_Receita!$S$2:$S$2022,"44470B1Convencional pré-pagamentoResidencialResidencial baixa renda – faixa 01Não se aplicaNão se aplicaIntermediário",Mercado_Receita!$L$2:$L$2022)+SUMIF(Mercado_Receita!$S$2:$S$2022,"44470B1Convencional pré-pagamentoResidencialResidencial baixa renda – faixa 01Não se aplicaNão se aplicaNão se aplica",Mercado_Receita!$L$2:$L$2022)</f>
        <v>0</v>
      </c>
      <c r="N46" s="12">
        <f>SUMIF(Mercado_Receita!$S$2:$S$2022,"44501B1Convencional pré-pagamentoResidencialResidencial baixa renda – faixa 01Não se aplicaNão se aplicaPonta",Mercado_Receita!$L$2:$L$2022)+SUMIF(Mercado_Receita!$S$2:$S$2022,"44501B1Convencional pré-pagamentoResidencialResidencial baixa renda – faixa 01Não se aplicaNão se aplicaFora ponta",Mercado_Receita!$L$2:$L$2022)+SUMIF(Mercado_Receita!$S$2:$S$2022,"44501B1Convencional pré-pagamentoResidencialResidencial baixa renda – faixa 01Não se aplicaNão se aplicaIntermediário",Mercado_Receita!$L$2:$L$2022)+SUMIF(Mercado_Receita!$S$2:$S$2022,"44501B1Convencional pré-pagamentoResidencialResidencial baixa renda – faixa 01Não se aplicaNão se aplicaNão se aplica",Mercado_Receita!$L$2:$L$2022)</f>
        <v>0</v>
      </c>
      <c r="O46" s="12">
        <f>SUMIF(Mercado_Receita!$S$2:$S$2022,"44531B1Convencional pré-pagamentoResidencialResidencial baixa renda – faixa 01Não se aplicaNão se aplicaPonta",Mercado_Receita!$L$2:$L$2022)+SUMIF(Mercado_Receita!$S$2:$S$2022,"44531B1Convencional pré-pagamentoResidencialResidencial baixa renda – faixa 01Não se aplicaNão se aplicaFora ponta",Mercado_Receita!$L$2:$L$2022)+SUMIF(Mercado_Receita!$S$2:$S$2022,"44531B1Convencional pré-pagamentoResidencialResidencial baixa renda – faixa 01Não se aplicaNão se aplicaIntermediário",Mercado_Receita!$L$2:$L$2022)+SUMIF(Mercado_Receita!$S$2:$S$2022,"44531B1Convencional pré-pagamentoResidencialResidencial baixa renda – faixa 01Não se aplicaNão se aplicaNão se aplica",Mercado_Receita!$L$2:$L$2022)</f>
        <v>0</v>
      </c>
      <c r="P46" s="12">
        <f>SUMIF(Mercado_Receita!$S$2:$S$2022,"44562B1Convencional pré-pagamentoResidencialResidencial baixa renda – faixa 01Não se aplicaNão se aplicaPonta",Mercado_Receita!$L$2:$L$2022)+SUMIF(Mercado_Receita!$S$2:$S$2022,"44562B1Convencional pré-pagamentoResidencialResidencial baixa renda – faixa 01Não se aplicaNão se aplicaFora ponta",Mercado_Receita!$L$2:$L$2022)+SUMIF(Mercado_Receita!$S$2:$S$2022,"44562B1Convencional pré-pagamentoResidencialResidencial baixa renda – faixa 01Não se aplicaNão se aplicaIntermediário",Mercado_Receita!$L$2:$L$2022)+SUMIF(Mercado_Receita!$S$2:$S$2022,"44562B1Convencional pré-pagamentoResidencialResidencial baixa renda – faixa 01Não se aplicaNão se aplicaNão se aplica",Mercado_Receita!$L$2:$L$2022)</f>
        <v>0</v>
      </c>
      <c r="Q46" s="12">
        <f>SUMIF(Mercado_Receita!$S$2:$S$2022,"44593B1Convencional pré-pagamentoResidencialResidencial baixa renda – faixa 01Não se aplicaNão se aplicaPonta",Mercado_Receita!$L$2:$L$2022)+SUMIF(Mercado_Receita!$S$2:$S$2022,"44593B1Convencional pré-pagamentoResidencialResidencial baixa renda – faixa 01Não se aplicaNão se aplicaFora ponta",Mercado_Receita!$L$2:$L$2022)+SUMIF(Mercado_Receita!$S$2:$S$2022,"44593B1Convencional pré-pagamentoResidencialResidencial baixa renda – faixa 01Não se aplicaNão se aplicaIntermediário",Mercado_Receita!$L$2:$L$2022)+SUMIF(Mercado_Receita!$S$2:$S$2022,"44593B1Convencional pré-pagamentoResidencialResidencial baixa renda – faixa 01Não se aplicaNão se aplicaNão se aplica",Mercado_Receita!$L$2:$L$2022)</f>
        <v>0</v>
      </c>
      <c r="R46" s="12">
        <f>SUMIF(Mercado_Receita!$S$2:$S$2022,"44621B1Convencional pré-pagamentoResidencialResidencial baixa renda – faixa 01Não se aplicaNão se aplicaPonta",Mercado_Receita!$L$2:$L$2022)+SUMIF(Mercado_Receita!$S$2:$S$2022,"44621B1Convencional pré-pagamentoResidencialResidencial baixa renda – faixa 01Não se aplicaNão se aplicaFora ponta",Mercado_Receita!$L$2:$L$2022)+SUMIF(Mercado_Receita!$S$2:$S$2022,"44621B1Convencional pré-pagamentoResidencialResidencial baixa renda – faixa 01Não se aplicaNão se aplicaIntermediário",Mercado_Receita!$L$2:$L$2022)+SUMIF(Mercado_Receita!$S$2:$S$2022,"44621B1Convencional pré-pagamentoResidencialResidencial baixa renda – faixa 01Não se aplicaNão se aplicaNão se aplica",Mercado_Receita!$L$2:$L$2022)</f>
        <v>0</v>
      </c>
      <c r="S46" s="12">
        <f>SUMIF(Mercado_Receita!$S$2:$S$2022,"44652B1Convencional pré-pagamentoResidencialResidencial baixa renda – faixa 01Não se aplicaNão se aplicaPonta",Mercado_Receita!$L$2:$L$2022)+SUMIF(Mercado_Receita!$S$2:$S$2022,"44652B1Convencional pré-pagamentoResidencialResidencial baixa renda – faixa 01Não se aplicaNão se aplicaFora ponta",Mercado_Receita!$L$2:$L$2022)+SUMIF(Mercado_Receita!$S$2:$S$2022,"44652B1Convencional pré-pagamentoResidencialResidencial baixa renda – faixa 01Não se aplicaNão se aplicaIntermediário",Mercado_Receita!$L$2:$L$2022)+SUMIF(Mercado_Receita!$S$2:$S$2022,"44652B1Convencional pré-pagamentoResidencialResidencial baixa renda – faixa 01Não se aplicaNão se aplicaNão se aplica",Mercado_Receita!$L$2:$L$2022)</f>
        <v>0</v>
      </c>
      <c r="T46" s="12">
        <f>SUMIF(Mercado_Receita!$S$2:$S$2022,"44682B1Convencional pré-pagamentoResidencialResidencial baixa renda – faixa 01Não se aplicaNão se aplicaPonta",Mercado_Receita!$L$2:$L$2022)+SUMIF(Mercado_Receita!$S$2:$S$2022,"44682B1Convencional pré-pagamentoResidencialResidencial baixa renda – faixa 01Não se aplicaNão se aplicaFora ponta",Mercado_Receita!$L$2:$L$2022)+SUMIF(Mercado_Receita!$S$2:$S$2022,"44682B1Convencional pré-pagamentoResidencialResidencial baixa renda – faixa 01Não se aplicaNão se aplicaIntermediário",Mercado_Receita!$L$2:$L$2022)+SUMIF(Mercado_Receita!$S$2:$S$2022,"44682B1Convencional pré-pagamentoResidencialResidencial baixa renda – faixa 01Não se aplicaNão se aplicaNão se aplica",Mercado_Receita!$L$2:$L$2022)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102"/>
      <c r="B47" s="102"/>
      <c r="C47" s="102"/>
      <c r="D47" s="13" t="s">
        <v>30</v>
      </c>
      <c r="E47" s="13" t="s">
        <v>25</v>
      </c>
      <c r="F47" s="13" t="s">
        <v>25</v>
      </c>
      <c r="G47" s="12" t="s">
        <v>123</v>
      </c>
      <c r="H47" s="12" t="s">
        <v>117</v>
      </c>
      <c r="I47" s="12">
        <f>SUMIF(Mercado_Receita!$S$2:$S$2022,"44348B1Convencional pré-pagamentoResidencialResidencial baixa renda – faixa 02Não se aplicaNão se aplicaPonta",Mercado_Receita!$L$2:$L$2022)+SUMIF(Mercado_Receita!$S$2:$S$2022,"44348B1Convencional pré-pagamentoResidencialResidencial baixa renda – faixa 02Não se aplicaNão se aplicaFora ponta",Mercado_Receita!$L$2:$L$2022)+SUMIF(Mercado_Receita!$S$2:$S$2022,"44348B1Convencional pré-pagamentoResidencialResidencial baixa renda – faixa 02Não se aplicaNão se aplicaIntermediário",Mercado_Receita!$L$2:$L$2022)+SUMIF(Mercado_Receita!$S$2:$S$2022,"44348B1Convencional pré-pagamentoResidencialResidencial baixa renda – faixa 02Não se aplicaNão se aplicaNão se aplica",Mercado_Receita!$L$2:$L$2022)</f>
        <v>0</v>
      </c>
      <c r="J47" s="12">
        <f>SUMIF(Mercado_Receita!$S$2:$S$2022,"44378B1Convencional pré-pagamentoResidencialResidencial baixa renda – faixa 02Não se aplicaNão se aplicaPonta",Mercado_Receita!$L$2:$L$2022)+SUMIF(Mercado_Receita!$S$2:$S$2022,"44378B1Convencional pré-pagamentoResidencialResidencial baixa renda – faixa 02Não se aplicaNão se aplicaFora ponta",Mercado_Receita!$L$2:$L$2022)+SUMIF(Mercado_Receita!$S$2:$S$2022,"44378B1Convencional pré-pagamentoResidencialResidencial baixa renda – faixa 02Não se aplicaNão se aplicaIntermediário",Mercado_Receita!$L$2:$L$2022)+SUMIF(Mercado_Receita!$S$2:$S$2022,"44378B1Convencional pré-pagamentoResidencialResidencial baixa renda – faixa 02Não se aplicaNão se aplicaNão se aplica",Mercado_Receita!$L$2:$L$2022)</f>
        <v>0</v>
      </c>
      <c r="K47" s="12">
        <f>SUMIF(Mercado_Receita!$S$2:$S$2022,"44409B1Convencional pré-pagamentoResidencialResidencial baixa renda – faixa 02Não se aplicaNão se aplicaPonta",Mercado_Receita!$L$2:$L$2022)+SUMIF(Mercado_Receita!$S$2:$S$2022,"44409B1Convencional pré-pagamentoResidencialResidencial baixa renda – faixa 02Não se aplicaNão se aplicaFora ponta",Mercado_Receita!$L$2:$L$2022)+SUMIF(Mercado_Receita!$S$2:$S$2022,"44409B1Convencional pré-pagamentoResidencialResidencial baixa renda – faixa 02Não se aplicaNão se aplicaIntermediário",Mercado_Receita!$L$2:$L$2022)+SUMIF(Mercado_Receita!$S$2:$S$2022,"44409B1Convencional pré-pagamentoResidencialResidencial baixa renda – faixa 02Não se aplicaNão se aplicaNão se aplica",Mercado_Receita!$L$2:$L$2022)</f>
        <v>0</v>
      </c>
      <c r="L47" s="12">
        <f>SUMIF(Mercado_Receita!$S$2:$S$2022,"44440B1Convencional pré-pagamentoResidencialResidencial baixa renda – faixa 02Não se aplicaNão se aplicaPonta",Mercado_Receita!$L$2:$L$2022)+SUMIF(Mercado_Receita!$S$2:$S$2022,"44440B1Convencional pré-pagamentoResidencialResidencial baixa renda – faixa 02Não se aplicaNão se aplicaFora ponta",Mercado_Receita!$L$2:$L$2022)+SUMIF(Mercado_Receita!$S$2:$S$2022,"44440B1Convencional pré-pagamentoResidencialResidencial baixa renda – faixa 02Não se aplicaNão se aplicaIntermediário",Mercado_Receita!$L$2:$L$2022)+SUMIF(Mercado_Receita!$S$2:$S$2022,"44440B1Convencional pré-pagamentoResidencialResidencial baixa renda – faixa 02Não se aplicaNão se aplicaNão se aplica",Mercado_Receita!$L$2:$L$2022)</f>
        <v>0</v>
      </c>
      <c r="M47" s="12">
        <f>SUMIF(Mercado_Receita!$S$2:$S$2022,"44470B1Convencional pré-pagamentoResidencialResidencial baixa renda – faixa 02Não se aplicaNão se aplicaPonta",Mercado_Receita!$L$2:$L$2022)+SUMIF(Mercado_Receita!$S$2:$S$2022,"44470B1Convencional pré-pagamentoResidencialResidencial baixa renda – faixa 02Não se aplicaNão se aplicaFora ponta",Mercado_Receita!$L$2:$L$2022)+SUMIF(Mercado_Receita!$S$2:$S$2022,"44470B1Convencional pré-pagamentoResidencialResidencial baixa renda – faixa 02Não se aplicaNão se aplicaIntermediário",Mercado_Receita!$L$2:$L$2022)+SUMIF(Mercado_Receita!$S$2:$S$2022,"44470B1Convencional pré-pagamentoResidencialResidencial baixa renda – faixa 02Não se aplicaNão se aplicaNão se aplica",Mercado_Receita!$L$2:$L$2022)</f>
        <v>0</v>
      </c>
      <c r="N47" s="12">
        <f>SUMIF(Mercado_Receita!$S$2:$S$2022,"44501B1Convencional pré-pagamentoResidencialResidencial baixa renda – faixa 02Não se aplicaNão se aplicaPonta",Mercado_Receita!$L$2:$L$2022)+SUMIF(Mercado_Receita!$S$2:$S$2022,"44501B1Convencional pré-pagamentoResidencialResidencial baixa renda – faixa 02Não se aplicaNão se aplicaFora ponta",Mercado_Receita!$L$2:$L$2022)+SUMIF(Mercado_Receita!$S$2:$S$2022,"44501B1Convencional pré-pagamentoResidencialResidencial baixa renda – faixa 02Não se aplicaNão se aplicaIntermediário",Mercado_Receita!$L$2:$L$2022)+SUMIF(Mercado_Receita!$S$2:$S$2022,"44501B1Convencional pré-pagamentoResidencialResidencial baixa renda – faixa 02Não se aplicaNão se aplicaNão se aplica",Mercado_Receita!$L$2:$L$2022)</f>
        <v>0</v>
      </c>
      <c r="O47" s="12">
        <f>SUMIF(Mercado_Receita!$S$2:$S$2022,"44531B1Convencional pré-pagamentoResidencialResidencial baixa renda – faixa 02Não se aplicaNão se aplicaPonta",Mercado_Receita!$L$2:$L$2022)+SUMIF(Mercado_Receita!$S$2:$S$2022,"44531B1Convencional pré-pagamentoResidencialResidencial baixa renda – faixa 02Não se aplicaNão se aplicaFora ponta",Mercado_Receita!$L$2:$L$2022)+SUMIF(Mercado_Receita!$S$2:$S$2022,"44531B1Convencional pré-pagamentoResidencialResidencial baixa renda – faixa 02Não se aplicaNão se aplicaIntermediário",Mercado_Receita!$L$2:$L$2022)+SUMIF(Mercado_Receita!$S$2:$S$2022,"44531B1Convencional pré-pagamentoResidencialResidencial baixa renda – faixa 02Não se aplicaNão se aplicaNão se aplica",Mercado_Receita!$L$2:$L$2022)</f>
        <v>0</v>
      </c>
      <c r="P47" s="12">
        <f>SUMIF(Mercado_Receita!$S$2:$S$2022,"44562B1Convencional pré-pagamentoResidencialResidencial baixa renda – faixa 02Não se aplicaNão se aplicaPonta",Mercado_Receita!$L$2:$L$2022)+SUMIF(Mercado_Receita!$S$2:$S$2022,"44562B1Convencional pré-pagamentoResidencialResidencial baixa renda – faixa 02Não se aplicaNão se aplicaFora ponta",Mercado_Receita!$L$2:$L$2022)+SUMIF(Mercado_Receita!$S$2:$S$2022,"44562B1Convencional pré-pagamentoResidencialResidencial baixa renda – faixa 02Não se aplicaNão se aplicaIntermediário",Mercado_Receita!$L$2:$L$2022)+SUMIF(Mercado_Receita!$S$2:$S$2022,"44562B1Convencional pré-pagamentoResidencialResidencial baixa renda – faixa 02Não se aplicaNão se aplicaNão se aplica",Mercado_Receita!$L$2:$L$2022)</f>
        <v>0</v>
      </c>
      <c r="Q47" s="12">
        <f>SUMIF(Mercado_Receita!$S$2:$S$2022,"44593B1Convencional pré-pagamentoResidencialResidencial baixa renda – faixa 02Não se aplicaNão se aplicaPonta",Mercado_Receita!$L$2:$L$2022)+SUMIF(Mercado_Receita!$S$2:$S$2022,"44593B1Convencional pré-pagamentoResidencialResidencial baixa renda – faixa 02Não se aplicaNão se aplicaFora ponta",Mercado_Receita!$L$2:$L$2022)+SUMIF(Mercado_Receita!$S$2:$S$2022,"44593B1Convencional pré-pagamentoResidencialResidencial baixa renda – faixa 02Não se aplicaNão se aplicaIntermediário",Mercado_Receita!$L$2:$L$2022)+SUMIF(Mercado_Receita!$S$2:$S$2022,"44593B1Convencional pré-pagamentoResidencialResidencial baixa renda – faixa 02Não se aplicaNão se aplicaNão se aplica",Mercado_Receita!$L$2:$L$2022)</f>
        <v>0</v>
      </c>
      <c r="R47" s="12">
        <f>SUMIF(Mercado_Receita!$S$2:$S$2022,"44621B1Convencional pré-pagamentoResidencialResidencial baixa renda – faixa 02Não se aplicaNão se aplicaPonta",Mercado_Receita!$L$2:$L$2022)+SUMIF(Mercado_Receita!$S$2:$S$2022,"44621B1Convencional pré-pagamentoResidencialResidencial baixa renda – faixa 02Não se aplicaNão se aplicaFora ponta",Mercado_Receita!$L$2:$L$2022)+SUMIF(Mercado_Receita!$S$2:$S$2022,"44621B1Convencional pré-pagamentoResidencialResidencial baixa renda – faixa 02Não se aplicaNão se aplicaIntermediário",Mercado_Receita!$L$2:$L$2022)+SUMIF(Mercado_Receita!$S$2:$S$2022,"44621B1Convencional pré-pagamentoResidencialResidencial baixa renda – faixa 02Não se aplicaNão se aplicaNão se aplica",Mercado_Receita!$L$2:$L$2022)</f>
        <v>0</v>
      </c>
      <c r="S47" s="12">
        <f>SUMIF(Mercado_Receita!$S$2:$S$2022,"44652B1Convencional pré-pagamentoResidencialResidencial baixa renda – faixa 02Não se aplicaNão se aplicaPonta",Mercado_Receita!$L$2:$L$2022)+SUMIF(Mercado_Receita!$S$2:$S$2022,"44652B1Convencional pré-pagamentoResidencialResidencial baixa renda – faixa 02Não se aplicaNão se aplicaFora ponta",Mercado_Receita!$L$2:$L$2022)+SUMIF(Mercado_Receita!$S$2:$S$2022,"44652B1Convencional pré-pagamentoResidencialResidencial baixa renda – faixa 02Não se aplicaNão se aplicaIntermediário",Mercado_Receita!$L$2:$L$2022)+SUMIF(Mercado_Receita!$S$2:$S$2022,"44652B1Convencional pré-pagamentoResidencialResidencial baixa renda – faixa 02Não se aplicaNão se aplicaNão se aplica",Mercado_Receita!$L$2:$L$2022)</f>
        <v>0</v>
      </c>
      <c r="T47" s="12">
        <f>SUMIF(Mercado_Receita!$S$2:$S$2022,"44682B1Convencional pré-pagamentoResidencialResidencial baixa renda – faixa 02Não se aplicaNão se aplicaPonta",Mercado_Receita!$L$2:$L$2022)+SUMIF(Mercado_Receita!$S$2:$S$2022,"44682B1Convencional pré-pagamentoResidencialResidencial baixa renda – faixa 02Não se aplicaNão se aplicaFora ponta",Mercado_Receita!$L$2:$L$2022)+SUMIF(Mercado_Receita!$S$2:$S$2022,"44682B1Convencional pré-pagamentoResidencialResidencial baixa renda – faixa 02Não se aplicaNão se aplicaIntermediário",Mercado_Receita!$L$2:$L$2022)+SUMIF(Mercado_Receita!$S$2:$S$2022,"44682B1Convencional pré-pagamentoResidencialResidencial baixa renda – faixa 02Não se aplicaNão se aplicaNão se aplica",Mercado_Receita!$L$2:$L$2022)</f>
        <v>0</v>
      </c>
      <c r="U47" s="12">
        <f t="shared" si="1"/>
        <v>0</v>
      </c>
      <c r="V47" s="12"/>
      <c r="W47" s="12"/>
    </row>
    <row r="48" spans="1:23" ht="11.25" customHeight="1" x14ac:dyDescent="0.25">
      <c r="A48" s="102"/>
      <c r="B48" s="102"/>
      <c r="C48" s="102"/>
      <c r="D48" s="13" t="s">
        <v>31</v>
      </c>
      <c r="E48" s="13" t="s">
        <v>25</v>
      </c>
      <c r="F48" s="13" t="s">
        <v>25</v>
      </c>
      <c r="G48" s="12" t="s">
        <v>123</v>
      </c>
      <c r="H48" s="12" t="s">
        <v>117</v>
      </c>
      <c r="I48" s="12">
        <f>SUMIF(Mercado_Receita!$S$2:$S$2022,"44348B1Convencional pré-pagamentoResidencialResidencial baixa renda – faixa 03Não se aplicaNão se aplicaPonta",Mercado_Receita!$L$2:$L$2022)+SUMIF(Mercado_Receita!$S$2:$S$2022,"44348B1Convencional pré-pagamentoResidencialResidencial baixa renda – faixa 03Não se aplicaNão se aplicaFora ponta",Mercado_Receita!$L$2:$L$2022)+SUMIF(Mercado_Receita!$S$2:$S$2022,"44348B1Convencional pré-pagamentoResidencialResidencial baixa renda – faixa 03Não se aplicaNão se aplicaIntermediário",Mercado_Receita!$L$2:$L$2022)+SUMIF(Mercado_Receita!$S$2:$S$2022,"44348B1Convencional pré-pagamentoResidencialResidencial baixa renda – faixa 03Não se aplicaNão se aplicaNão se aplica",Mercado_Receita!$L$2:$L$2022)</f>
        <v>0</v>
      </c>
      <c r="J48" s="12">
        <f>SUMIF(Mercado_Receita!$S$2:$S$2022,"44378B1Convencional pré-pagamentoResidencialResidencial baixa renda – faixa 03Não se aplicaNão se aplicaPonta",Mercado_Receita!$L$2:$L$2022)+SUMIF(Mercado_Receita!$S$2:$S$2022,"44378B1Convencional pré-pagamentoResidencialResidencial baixa renda – faixa 03Não se aplicaNão se aplicaFora ponta",Mercado_Receita!$L$2:$L$2022)+SUMIF(Mercado_Receita!$S$2:$S$2022,"44378B1Convencional pré-pagamentoResidencialResidencial baixa renda – faixa 03Não se aplicaNão se aplicaIntermediário",Mercado_Receita!$L$2:$L$2022)+SUMIF(Mercado_Receita!$S$2:$S$2022,"44378B1Convencional pré-pagamentoResidencialResidencial baixa renda – faixa 03Não se aplicaNão se aplicaNão se aplica",Mercado_Receita!$L$2:$L$2022)</f>
        <v>0</v>
      </c>
      <c r="K48" s="12">
        <f>SUMIF(Mercado_Receita!$S$2:$S$2022,"44409B1Convencional pré-pagamentoResidencialResidencial baixa renda – faixa 03Não se aplicaNão se aplicaPonta",Mercado_Receita!$L$2:$L$2022)+SUMIF(Mercado_Receita!$S$2:$S$2022,"44409B1Convencional pré-pagamentoResidencialResidencial baixa renda – faixa 03Não se aplicaNão se aplicaFora ponta",Mercado_Receita!$L$2:$L$2022)+SUMIF(Mercado_Receita!$S$2:$S$2022,"44409B1Convencional pré-pagamentoResidencialResidencial baixa renda – faixa 03Não se aplicaNão se aplicaIntermediário",Mercado_Receita!$L$2:$L$2022)+SUMIF(Mercado_Receita!$S$2:$S$2022,"44409B1Convencional pré-pagamentoResidencialResidencial baixa renda – faixa 03Não se aplicaNão se aplicaNão se aplica",Mercado_Receita!$L$2:$L$2022)</f>
        <v>0</v>
      </c>
      <c r="L48" s="12">
        <f>SUMIF(Mercado_Receita!$S$2:$S$2022,"44440B1Convencional pré-pagamentoResidencialResidencial baixa renda – faixa 03Não se aplicaNão se aplicaPonta",Mercado_Receita!$L$2:$L$2022)+SUMIF(Mercado_Receita!$S$2:$S$2022,"44440B1Convencional pré-pagamentoResidencialResidencial baixa renda – faixa 03Não se aplicaNão se aplicaFora ponta",Mercado_Receita!$L$2:$L$2022)+SUMIF(Mercado_Receita!$S$2:$S$2022,"44440B1Convencional pré-pagamentoResidencialResidencial baixa renda – faixa 03Não se aplicaNão se aplicaIntermediário",Mercado_Receita!$L$2:$L$2022)+SUMIF(Mercado_Receita!$S$2:$S$2022,"44440B1Convencional pré-pagamentoResidencialResidencial baixa renda – faixa 03Não se aplicaNão se aplicaNão se aplica",Mercado_Receita!$L$2:$L$2022)</f>
        <v>0</v>
      </c>
      <c r="M48" s="12">
        <f>SUMIF(Mercado_Receita!$S$2:$S$2022,"44470B1Convencional pré-pagamentoResidencialResidencial baixa renda – faixa 03Não se aplicaNão se aplicaPonta",Mercado_Receita!$L$2:$L$2022)+SUMIF(Mercado_Receita!$S$2:$S$2022,"44470B1Convencional pré-pagamentoResidencialResidencial baixa renda – faixa 03Não se aplicaNão se aplicaFora ponta",Mercado_Receita!$L$2:$L$2022)+SUMIF(Mercado_Receita!$S$2:$S$2022,"44470B1Convencional pré-pagamentoResidencialResidencial baixa renda – faixa 03Não se aplicaNão se aplicaIntermediário",Mercado_Receita!$L$2:$L$2022)+SUMIF(Mercado_Receita!$S$2:$S$2022,"44470B1Convencional pré-pagamentoResidencialResidencial baixa renda – faixa 03Não se aplicaNão se aplicaNão se aplica",Mercado_Receita!$L$2:$L$2022)</f>
        <v>0</v>
      </c>
      <c r="N48" s="12">
        <f>SUMIF(Mercado_Receita!$S$2:$S$2022,"44501B1Convencional pré-pagamentoResidencialResidencial baixa renda – faixa 03Não se aplicaNão se aplicaPonta",Mercado_Receita!$L$2:$L$2022)+SUMIF(Mercado_Receita!$S$2:$S$2022,"44501B1Convencional pré-pagamentoResidencialResidencial baixa renda – faixa 03Não se aplicaNão se aplicaFora ponta",Mercado_Receita!$L$2:$L$2022)+SUMIF(Mercado_Receita!$S$2:$S$2022,"44501B1Convencional pré-pagamentoResidencialResidencial baixa renda – faixa 03Não se aplicaNão se aplicaIntermediário",Mercado_Receita!$L$2:$L$2022)+SUMIF(Mercado_Receita!$S$2:$S$2022,"44501B1Convencional pré-pagamentoResidencialResidencial baixa renda – faixa 03Não se aplicaNão se aplicaNão se aplica",Mercado_Receita!$L$2:$L$2022)</f>
        <v>0</v>
      </c>
      <c r="O48" s="12">
        <f>SUMIF(Mercado_Receita!$S$2:$S$2022,"44531B1Convencional pré-pagamentoResidencialResidencial baixa renda – faixa 03Não se aplicaNão se aplicaPonta",Mercado_Receita!$L$2:$L$2022)+SUMIF(Mercado_Receita!$S$2:$S$2022,"44531B1Convencional pré-pagamentoResidencialResidencial baixa renda – faixa 03Não se aplicaNão se aplicaFora ponta",Mercado_Receita!$L$2:$L$2022)+SUMIF(Mercado_Receita!$S$2:$S$2022,"44531B1Convencional pré-pagamentoResidencialResidencial baixa renda – faixa 03Não se aplicaNão se aplicaIntermediário",Mercado_Receita!$L$2:$L$2022)+SUMIF(Mercado_Receita!$S$2:$S$2022,"44531B1Convencional pré-pagamentoResidencialResidencial baixa renda – faixa 03Não se aplicaNão se aplicaNão se aplica",Mercado_Receita!$L$2:$L$2022)</f>
        <v>0</v>
      </c>
      <c r="P48" s="12">
        <f>SUMIF(Mercado_Receita!$S$2:$S$2022,"44562B1Convencional pré-pagamentoResidencialResidencial baixa renda – faixa 03Não se aplicaNão se aplicaPonta",Mercado_Receita!$L$2:$L$2022)+SUMIF(Mercado_Receita!$S$2:$S$2022,"44562B1Convencional pré-pagamentoResidencialResidencial baixa renda – faixa 03Não se aplicaNão se aplicaFora ponta",Mercado_Receita!$L$2:$L$2022)+SUMIF(Mercado_Receita!$S$2:$S$2022,"44562B1Convencional pré-pagamentoResidencialResidencial baixa renda – faixa 03Não se aplicaNão se aplicaIntermediário",Mercado_Receita!$L$2:$L$2022)+SUMIF(Mercado_Receita!$S$2:$S$2022,"44562B1Convencional pré-pagamentoResidencialResidencial baixa renda – faixa 03Não se aplicaNão se aplicaNão se aplica",Mercado_Receita!$L$2:$L$2022)</f>
        <v>0</v>
      </c>
      <c r="Q48" s="12">
        <f>SUMIF(Mercado_Receita!$S$2:$S$2022,"44593B1Convencional pré-pagamentoResidencialResidencial baixa renda – faixa 03Não se aplicaNão se aplicaPonta",Mercado_Receita!$L$2:$L$2022)+SUMIF(Mercado_Receita!$S$2:$S$2022,"44593B1Convencional pré-pagamentoResidencialResidencial baixa renda – faixa 03Não se aplicaNão se aplicaFora ponta",Mercado_Receita!$L$2:$L$2022)+SUMIF(Mercado_Receita!$S$2:$S$2022,"44593B1Convencional pré-pagamentoResidencialResidencial baixa renda – faixa 03Não se aplicaNão se aplicaIntermediário",Mercado_Receita!$L$2:$L$2022)+SUMIF(Mercado_Receita!$S$2:$S$2022,"44593B1Convencional pré-pagamentoResidencialResidencial baixa renda – faixa 03Não se aplicaNão se aplicaNão se aplica",Mercado_Receita!$L$2:$L$2022)</f>
        <v>0</v>
      </c>
      <c r="R48" s="12">
        <f>SUMIF(Mercado_Receita!$S$2:$S$2022,"44621B1Convencional pré-pagamentoResidencialResidencial baixa renda – faixa 03Não se aplicaNão se aplicaPonta",Mercado_Receita!$L$2:$L$2022)+SUMIF(Mercado_Receita!$S$2:$S$2022,"44621B1Convencional pré-pagamentoResidencialResidencial baixa renda – faixa 03Não se aplicaNão se aplicaFora ponta",Mercado_Receita!$L$2:$L$2022)+SUMIF(Mercado_Receita!$S$2:$S$2022,"44621B1Convencional pré-pagamentoResidencialResidencial baixa renda – faixa 03Não se aplicaNão se aplicaIntermediário",Mercado_Receita!$L$2:$L$2022)+SUMIF(Mercado_Receita!$S$2:$S$2022,"44621B1Convencional pré-pagamentoResidencialResidencial baixa renda – faixa 03Não se aplicaNão se aplicaNão se aplica",Mercado_Receita!$L$2:$L$2022)</f>
        <v>0</v>
      </c>
      <c r="S48" s="12">
        <f>SUMIF(Mercado_Receita!$S$2:$S$2022,"44652B1Convencional pré-pagamentoResidencialResidencial baixa renda – faixa 03Não se aplicaNão se aplicaPonta",Mercado_Receita!$L$2:$L$2022)+SUMIF(Mercado_Receita!$S$2:$S$2022,"44652B1Convencional pré-pagamentoResidencialResidencial baixa renda – faixa 03Não se aplicaNão se aplicaFora ponta",Mercado_Receita!$L$2:$L$2022)+SUMIF(Mercado_Receita!$S$2:$S$2022,"44652B1Convencional pré-pagamentoResidencialResidencial baixa renda – faixa 03Não se aplicaNão se aplicaIntermediário",Mercado_Receita!$L$2:$L$2022)+SUMIF(Mercado_Receita!$S$2:$S$2022,"44652B1Convencional pré-pagamentoResidencialResidencial baixa renda – faixa 03Não se aplicaNão se aplicaNão se aplica",Mercado_Receita!$L$2:$L$2022)</f>
        <v>0</v>
      </c>
      <c r="T48" s="12">
        <f>SUMIF(Mercado_Receita!$S$2:$S$2022,"44682B1Convencional pré-pagamentoResidencialResidencial baixa renda – faixa 03Não se aplicaNão se aplicaPonta",Mercado_Receita!$L$2:$L$2022)+SUMIF(Mercado_Receita!$S$2:$S$2022,"44682B1Convencional pré-pagamentoResidencialResidencial baixa renda – faixa 03Não se aplicaNão se aplicaFora ponta",Mercado_Receita!$L$2:$L$2022)+SUMIF(Mercado_Receita!$S$2:$S$2022,"44682B1Convencional pré-pagamentoResidencialResidencial baixa renda – faixa 03Não se aplicaNão se aplicaIntermediário",Mercado_Receita!$L$2:$L$2022)+SUMIF(Mercado_Receita!$S$2:$S$2022,"44682B1Convencional pré-pagamentoResidencialResidencial baixa renda – faixa 03Não se aplicaNão se aplicaNão se aplica",Mercado_Receita!$L$2:$L$2022)</f>
        <v>0</v>
      </c>
      <c r="U48" s="12">
        <f t="shared" si="1"/>
        <v>0</v>
      </c>
      <c r="V48" s="12"/>
      <c r="W48" s="12"/>
    </row>
    <row r="49" spans="1:23" ht="11.25" customHeight="1" x14ac:dyDescent="0.25">
      <c r="A49" s="102"/>
      <c r="B49" s="102"/>
      <c r="C49" s="102"/>
      <c r="D49" s="13" t="s">
        <v>32</v>
      </c>
      <c r="E49" s="13" t="s">
        <v>25</v>
      </c>
      <c r="F49" s="13" t="s">
        <v>25</v>
      </c>
      <c r="G49" s="12" t="s">
        <v>123</v>
      </c>
      <c r="H49" s="12" t="s">
        <v>117</v>
      </c>
      <c r="I49" s="12">
        <f>SUMIF(Mercado_Receita!$S$2:$S$2022,"44348B1Convencional pré-pagamentoResidencialResidencial baixa renda – faixa 04Não se aplicaNão se aplicaPonta",Mercado_Receita!$L$2:$L$2022)+SUMIF(Mercado_Receita!$S$2:$S$2022,"44348B1Convencional pré-pagamentoResidencialResidencial baixa renda – faixa 04Não se aplicaNão se aplicaFora ponta",Mercado_Receita!$L$2:$L$2022)+SUMIF(Mercado_Receita!$S$2:$S$2022,"44348B1Convencional pré-pagamentoResidencialResidencial baixa renda – faixa 04Não se aplicaNão se aplicaIntermediário",Mercado_Receita!$L$2:$L$2022)+SUMIF(Mercado_Receita!$S$2:$S$2022,"44348B1Convencional pré-pagamentoResidencialResidencial baixa renda – faixa 04Não se aplicaNão se aplicaNão se aplica",Mercado_Receita!$L$2:$L$2022)</f>
        <v>0</v>
      </c>
      <c r="J49" s="12">
        <f>SUMIF(Mercado_Receita!$S$2:$S$2022,"44378B1Convencional pré-pagamentoResidencialResidencial baixa renda – faixa 04Não se aplicaNão se aplicaPonta",Mercado_Receita!$L$2:$L$2022)+SUMIF(Mercado_Receita!$S$2:$S$2022,"44378B1Convencional pré-pagamentoResidencialResidencial baixa renda – faixa 04Não se aplicaNão se aplicaFora ponta",Mercado_Receita!$L$2:$L$2022)+SUMIF(Mercado_Receita!$S$2:$S$2022,"44378B1Convencional pré-pagamentoResidencialResidencial baixa renda – faixa 04Não se aplicaNão se aplicaIntermediário",Mercado_Receita!$L$2:$L$2022)+SUMIF(Mercado_Receita!$S$2:$S$2022,"44378B1Convencional pré-pagamentoResidencialResidencial baixa renda – faixa 04Não se aplicaNão se aplicaNão se aplica",Mercado_Receita!$L$2:$L$2022)</f>
        <v>0</v>
      </c>
      <c r="K49" s="12">
        <f>SUMIF(Mercado_Receita!$S$2:$S$2022,"44409B1Convencional pré-pagamentoResidencialResidencial baixa renda – faixa 04Não se aplicaNão se aplicaPonta",Mercado_Receita!$L$2:$L$2022)+SUMIF(Mercado_Receita!$S$2:$S$2022,"44409B1Convencional pré-pagamentoResidencialResidencial baixa renda – faixa 04Não se aplicaNão se aplicaFora ponta",Mercado_Receita!$L$2:$L$2022)+SUMIF(Mercado_Receita!$S$2:$S$2022,"44409B1Convencional pré-pagamentoResidencialResidencial baixa renda – faixa 04Não se aplicaNão se aplicaIntermediário",Mercado_Receita!$L$2:$L$2022)+SUMIF(Mercado_Receita!$S$2:$S$2022,"44409B1Convencional pré-pagamentoResidencialResidencial baixa renda – faixa 04Não se aplicaNão se aplicaNão se aplica",Mercado_Receita!$L$2:$L$2022)</f>
        <v>0</v>
      </c>
      <c r="L49" s="12">
        <f>SUMIF(Mercado_Receita!$S$2:$S$2022,"44440B1Convencional pré-pagamentoResidencialResidencial baixa renda – faixa 04Não se aplicaNão se aplicaPonta",Mercado_Receita!$L$2:$L$2022)+SUMIF(Mercado_Receita!$S$2:$S$2022,"44440B1Convencional pré-pagamentoResidencialResidencial baixa renda – faixa 04Não se aplicaNão se aplicaFora ponta",Mercado_Receita!$L$2:$L$2022)+SUMIF(Mercado_Receita!$S$2:$S$2022,"44440B1Convencional pré-pagamentoResidencialResidencial baixa renda – faixa 04Não se aplicaNão se aplicaIntermediário",Mercado_Receita!$L$2:$L$2022)+SUMIF(Mercado_Receita!$S$2:$S$2022,"44440B1Convencional pré-pagamentoResidencialResidencial baixa renda – faixa 04Não se aplicaNão se aplicaNão se aplica",Mercado_Receita!$L$2:$L$2022)</f>
        <v>0</v>
      </c>
      <c r="M49" s="12">
        <f>SUMIF(Mercado_Receita!$S$2:$S$2022,"44470B1Convencional pré-pagamentoResidencialResidencial baixa renda – faixa 04Não se aplicaNão se aplicaPonta",Mercado_Receita!$L$2:$L$2022)+SUMIF(Mercado_Receita!$S$2:$S$2022,"44470B1Convencional pré-pagamentoResidencialResidencial baixa renda – faixa 04Não se aplicaNão se aplicaFora ponta",Mercado_Receita!$L$2:$L$2022)+SUMIF(Mercado_Receita!$S$2:$S$2022,"44470B1Convencional pré-pagamentoResidencialResidencial baixa renda – faixa 04Não se aplicaNão se aplicaIntermediário",Mercado_Receita!$L$2:$L$2022)+SUMIF(Mercado_Receita!$S$2:$S$2022,"44470B1Convencional pré-pagamentoResidencialResidencial baixa renda – faixa 04Não se aplicaNão se aplicaNão se aplica",Mercado_Receita!$L$2:$L$2022)</f>
        <v>0</v>
      </c>
      <c r="N49" s="12">
        <f>SUMIF(Mercado_Receita!$S$2:$S$2022,"44501B1Convencional pré-pagamentoResidencialResidencial baixa renda – faixa 04Não se aplicaNão se aplicaPonta",Mercado_Receita!$L$2:$L$2022)+SUMIF(Mercado_Receita!$S$2:$S$2022,"44501B1Convencional pré-pagamentoResidencialResidencial baixa renda – faixa 04Não se aplicaNão se aplicaFora ponta",Mercado_Receita!$L$2:$L$2022)+SUMIF(Mercado_Receita!$S$2:$S$2022,"44501B1Convencional pré-pagamentoResidencialResidencial baixa renda – faixa 04Não se aplicaNão se aplicaIntermediário",Mercado_Receita!$L$2:$L$2022)+SUMIF(Mercado_Receita!$S$2:$S$2022,"44501B1Convencional pré-pagamentoResidencialResidencial baixa renda – faixa 04Não se aplicaNão se aplicaNão se aplica",Mercado_Receita!$L$2:$L$2022)</f>
        <v>0</v>
      </c>
      <c r="O49" s="12">
        <f>SUMIF(Mercado_Receita!$S$2:$S$2022,"44531B1Convencional pré-pagamentoResidencialResidencial baixa renda – faixa 04Não se aplicaNão se aplicaPonta",Mercado_Receita!$L$2:$L$2022)+SUMIF(Mercado_Receita!$S$2:$S$2022,"44531B1Convencional pré-pagamentoResidencialResidencial baixa renda – faixa 04Não se aplicaNão se aplicaFora ponta",Mercado_Receita!$L$2:$L$2022)+SUMIF(Mercado_Receita!$S$2:$S$2022,"44531B1Convencional pré-pagamentoResidencialResidencial baixa renda – faixa 04Não se aplicaNão se aplicaIntermediário",Mercado_Receita!$L$2:$L$2022)+SUMIF(Mercado_Receita!$S$2:$S$2022,"44531B1Convencional pré-pagamentoResidencialResidencial baixa renda – faixa 04Não se aplicaNão se aplicaNão se aplica",Mercado_Receita!$L$2:$L$2022)</f>
        <v>0</v>
      </c>
      <c r="P49" s="12">
        <f>SUMIF(Mercado_Receita!$S$2:$S$2022,"44562B1Convencional pré-pagamentoResidencialResidencial baixa renda – faixa 04Não se aplicaNão se aplicaPonta",Mercado_Receita!$L$2:$L$2022)+SUMIF(Mercado_Receita!$S$2:$S$2022,"44562B1Convencional pré-pagamentoResidencialResidencial baixa renda – faixa 04Não se aplicaNão se aplicaFora ponta",Mercado_Receita!$L$2:$L$2022)+SUMIF(Mercado_Receita!$S$2:$S$2022,"44562B1Convencional pré-pagamentoResidencialResidencial baixa renda – faixa 04Não se aplicaNão se aplicaIntermediário",Mercado_Receita!$L$2:$L$2022)+SUMIF(Mercado_Receita!$S$2:$S$2022,"44562B1Convencional pré-pagamentoResidencialResidencial baixa renda – faixa 04Não se aplicaNão se aplicaNão se aplica",Mercado_Receita!$L$2:$L$2022)</f>
        <v>0</v>
      </c>
      <c r="Q49" s="12">
        <f>SUMIF(Mercado_Receita!$S$2:$S$2022,"44593B1Convencional pré-pagamentoResidencialResidencial baixa renda – faixa 04Não se aplicaNão se aplicaPonta",Mercado_Receita!$L$2:$L$2022)+SUMIF(Mercado_Receita!$S$2:$S$2022,"44593B1Convencional pré-pagamentoResidencialResidencial baixa renda – faixa 04Não se aplicaNão se aplicaFora ponta",Mercado_Receita!$L$2:$L$2022)+SUMIF(Mercado_Receita!$S$2:$S$2022,"44593B1Convencional pré-pagamentoResidencialResidencial baixa renda – faixa 04Não se aplicaNão se aplicaIntermediário",Mercado_Receita!$L$2:$L$2022)+SUMIF(Mercado_Receita!$S$2:$S$2022,"44593B1Convencional pré-pagamentoResidencialResidencial baixa renda – faixa 04Não se aplicaNão se aplicaNão se aplica",Mercado_Receita!$L$2:$L$2022)</f>
        <v>0</v>
      </c>
      <c r="R49" s="12">
        <f>SUMIF(Mercado_Receita!$S$2:$S$2022,"44621B1Convencional pré-pagamentoResidencialResidencial baixa renda – faixa 04Não se aplicaNão se aplicaPonta",Mercado_Receita!$L$2:$L$2022)+SUMIF(Mercado_Receita!$S$2:$S$2022,"44621B1Convencional pré-pagamentoResidencialResidencial baixa renda – faixa 04Não se aplicaNão se aplicaFora ponta",Mercado_Receita!$L$2:$L$2022)+SUMIF(Mercado_Receita!$S$2:$S$2022,"44621B1Convencional pré-pagamentoResidencialResidencial baixa renda – faixa 04Não se aplicaNão se aplicaIntermediário",Mercado_Receita!$L$2:$L$2022)+SUMIF(Mercado_Receita!$S$2:$S$2022,"44621B1Convencional pré-pagamentoResidencialResidencial baixa renda – faixa 04Não se aplicaNão se aplicaNão se aplica",Mercado_Receita!$L$2:$L$2022)</f>
        <v>0</v>
      </c>
      <c r="S49" s="12">
        <f>SUMIF(Mercado_Receita!$S$2:$S$2022,"44652B1Convencional pré-pagamentoResidencialResidencial baixa renda – faixa 04Não se aplicaNão se aplicaPonta",Mercado_Receita!$L$2:$L$2022)+SUMIF(Mercado_Receita!$S$2:$S$2022,"44652B1Convencional pré-pagamentoResidencialResidencial baixa renda – faixa 04Não se aplicaNão se aplicaFora ponta",Mercado_Receita!$L$2:$L$2022)+SUMIF(Mercado_Receita!$S$2:$S$2022,"44652B1Convencional pré-pagamentoResidencialResidencial baixa renda – faixa 04Não se aplicaNão se aplicaIntermediário",Mercado_Receita!$L$2:$L$2022)+SUMIF(Mercado_Receita!$S$2:$S$2022,"44652B1Convencional pré-pagamentoResidencialResidencial baixa renda – faixa 04Não se aplicaNão se aplicaNão se aplica",Mercado_Receita!$L$2:$L$2022)</f>
        <v>0</v>
      </c>
      <c r="T49" s="12">
        <f>SUMIF(Mercado_Receita!$S$2:$S$2022,"44682B1Convencional pré-pagamentoResidencialResidencial baixa renda – faixa 04Não se aplicaNão se aplicaPonta",Mercado_Receita!$L$2:$L$2022)+SUMIF(Mercado_Receita!$S$2:$S$2022,"44682B1Convencional pré-pagamentoResidencialResidencial baixa renda – faixa 04Não se aplicaNão se aplicaFora ponta",Mercado_Receita!$L$2:$L$2022)+SUMIF(Mercado_Receita!$S$2:$S$2022,"44682B1Convencional pré-pagamentoResidencialResidencial baixa renda – faixa 04Não se aplicaNão se aplicaIntermediário",Mercado_Receita!$L$2:$L$2022)+SUMIF(Mercado_Receita!$S$2:$S$2022,"44682B1Convencional pré-pagamentoResidencialResidencial baixa renda – faixa 04Não se aplicaNão se aplicaNão se aplica",Mercado_Receita!$L$2:$L$2022)</f>
        <v>0</v>
      </c>
      <c r="U49" s="12">
        <f t="shared" si="1"/>
        <v>0</v>
      </c>
      <c r="V49" s="12"/>
      <c r="W49" s="12"/>
    </row>
    <row r="50" spans="1:23" ht="11.25" customHeight="1" x14ac:dyDescent="0.25">
      <c r="A50" s="101" t="s">
        <v>44</v>
      </c>
      <c r="B50" s="101" t="s">
        <v>33</v>
      </c>
      <c r="C50" s="101" t="s">
        <v>45</v>
      </c>
      <c r="D50" s="101" t="s">
        <v>25</v>
      </c>
      <c r="E50" s="101" t="s">
        <v>25</v>
      </c>
      <c r="F50" s="101" t="s">
        <v>25</v>
      </c>
      <c r="G50" s="12" t="s">
        <v>118</v>
      </c>
      <c r="H50" s="12" t="s">
        <v>117</v>
      </c>
      <c r="I50" s="12">
        <f>SUMIF(Mercado_Receita!$S$2:$S$2022,"44348B2BrancaRuralNão se aplicaNão se aplicaNão se aplicaPonta",Mercado_Receita!$L$2:$L$2022)</f>
        <v>0</v>
      </c>
      <c r="J50" s="12">
        <f>SUMIF(Mercado_Receita!$S$2:$S$2022,"44378B2BrancaRuralNão se aplicaNão se aplicaNão se aplicaPonta",Mercado_Receita!$L$2:$L$2022)</f>
        <v>0.06</v>
      </c>
      <c r="K50" s="12">
        <f>SUMIF(Mercado_Receita!$S$2:$S$2022,"44409B2BrancaRuralNão se aplicaNão se aplicaNão se aplicaPonta",Mercado_Receita!$L$2:$L$2022)</f>
        <v>1.4999999999999999E-2</v>
      </c>
      <c r="L50" s="12">
        <f>SUMIF(Mercado_Receita!$S$2:$S$2022,"44440B2BrancaRuralNão se aplicaNão se aplicaNão se aplicaPonta",Mercado_Receita!$L$2:$L$2022)</f>
        <v>5.3999999999999999E-2</v>
      </c>
      <c r="M50" s="12">
        <f>SUMIF(Mercado_Receita!$S$2:$S$2022,"44470B2BrancaRuralNão se aplicaNão se aplicaNão se aplicaPonta",Mercado_Receita!$L$2:$L$2022)</f>
        <v>5.8000000000000003E-2</v>
      </c>
      <c r="N50" s="12">
        <f>SUMIF(Mercado_Receita!$S$2:$S$2022,"44501B2BrancaRuralNão se aplicaNão se aplicaNão se aplicaPonta",Mercado_Receita!$L$2:$L$2022)</f>
        <v>0.64300000000000002</v>
      </c>
      <c r="O50" s="12">
        <f>SUMIF(Mercado_Receita!$S$2:$S$2022,"44531B2BrancaRuralNão se aplicaNão se aplicaNão se aplicaPonta",Mercado_Receita!$L$2:$L$2022)</f>
        <v>7.4999999999999997E-2</v>
      </c>
      <c r="P50" s="12">
        <f>SUMIF(Mercado_Receita!$S$2:$S$2022,"44562B2BrancaRuralNão se aplicaNão se aplicaNão se aplicaPonta",Mercado_Receita!$L$2:$L$2022)</f>
        <v>-0.56899999999999995</v>
      </c>
      <c r="Q50" s="12">
        <f>SUMIF(Mercado_Receita!$S$2:$S$2022,"44593B2BrancaRuralNão se aplicaNão se aplicaNão se aplicaPonta",Mercado_Receita!$L$2:$L$2022)</f>
        <v>3.1E-2</v>
      </c>
      <c r="R50" s="12">
        <f>SUMIF(Mercado_Receita!$S$2:$S$2022,"44621B2BrancaRuralNão se aplicaNão se aplicaNão se aplicaPonta",Mercado_Receita!$L$2:$L$2022)</f>
        <v>4.1000000000000002E-2</v>
      </c>
      <c r="S50" s="12">
        <f>SUMIF(Mercado_Receita!$S$2:$S$2022,"44652B2BrancaRuralNão se aplicaNão se aplicaNão se aplicaPonta",Mercado_Receita!$L$2:$L$2022)</f>
        <v>4.3999999999999997E-2</v>
      </c>
      <c r="T50" s="12">
        <f>SUMIF(Mercado_Receita!$S$2:$S$2022,"44682B2BrancaRuralNão se aplicaNão se aplicaNão se aplicaPonta",Mercado_Receita!$L$2:$L$2022)</f>
        <v>4.3999999999999997E-2</v>
      </c>
      <c r="U50" s="12">
        <f t="shared" si="1"/>
        <v>0.49600000000000005</v>
      </c>
      <c r="V50" s="12"/>
      <c r="W50" s="12"/>
    </row>
    <row r="51" spans="1:23" ht="11.25" customHeight="1" x14ac:dyDescent="0.25">
      <c r="A51" s="102"/>
      <c r="B51" s="102"/>
      <c r="C51" s="102"/>
      <c r="D51" s="102"/>
      <c r="E51" s="102"/>
      <c r="F51" s="102"/>
      <c r="G51" s="12" t="s">
        <v>128</v>
      </c>
      <c r="H51" s="12" t="s">
        <v>117</v>
      </c>
      <c r="I51" s="12">
        <f>SUMIF(Mercado_Receita!$S$2:$S$2022,"44348B2BrancaRuralNão se aplicaNão se aplicaNão se aplicaIntermediário",Mercado_Receita!$L$2:$L$2022)</f>
        <v>3.0000000000000001E-3</v>
      </c>
      <c r="J51" s="12">
        <f>SUMIF(Mercado_Receita!$S$2:$S$2022,"44378B2BrancaRuralNão se aplicaNão se aplicaNão se aplicaIntermediário",Mercado_Receita!$L$2:$L$2022)</f>
        <v>3.2000000000000001E-2</v>
      </c>
      <c r="K51" s="12">
        <f>SUMIF(Mercado_Receita!$S$2:$S$2022,"44409B2BrancaRuralNão se aplicaNão se aplicaNão se aplicaIntermediário",Mercado_Receita!$L$2:$L$2022)</f>
        <v>7.0000000000000001E-3</v>
      </c>
      <c r="L51" s="12">
        <f>SUMIF(Mercado_Receita!$S$2:$S$2022,"44440B2BrancaRuralNão se aplicaNão se aplicaNão se aplicaIntermediário",Mercado_Receita!$L$2:$L$2022)</f>
        <v>2.9000000000000001E-2</v>
      </c>
      <c r="M51" s="12">
        <f>SUMIF(Mercado_Receita!$S$2:$S$2022,"44470B2BrancaRuralNão se aplicaNão se aplicaNão se aplicaIntermediário",Mercado_Receita!$L$2:$L$2022)</f>
        <v>3.5000000000000003E-2</v>
      </c>
      <c r="N51" s="12">
        <f>SUMIF(Mercado_Receita!$S$2:$S$2022,"44501B2BrancaRuralNão se aplicaNão se aplicaNão se aplicaIntermediário",Mercado_Receita!$L$2:$L$2022)</f>
        <v>7.0000000000000001E-3</v>
      </c>
      <c r="O51" s="12">
        <f>SUMIF(Mercado_Receita!$S$2:$S$2022,"44531B2BrancaRuralNão se aplicaNão se aplicaNão se aplicaIntermediário",Mercado_Receita!$L$2:$L$2022)</f>
        <v>0.01</v>
      </c>
      <c r="P51" s="12">
        <f>SUMIF(Mercado_Receita!$S$2:$S$2022,"44562B2BrancaRuralNão se aplicaNão se aplicaNão se aplicaIntermediário",Mercado_Receita!$L$2:$L$2022)</f>
        <v>6.6000000000000003E-2</v>
      </c>
      <c r="Q51" s="12">
        <f>SUMIF(Mercado_Receita!$S$2:$S$2022,"44593B2BrancaRuralNão se aplicaNão se aplicaNão se aplicaIntermediário",Mercado_Receita!$L$2:$L$2022)</f>
        <v>1.4E-2</v>
      </c>
      <c r="R51" s="12">
        <f>SUMIF(Mercado_Receita!$S$2:$S$2022,"44621B2BrancaRuralNão se aplicaNão se aplicaNão se aplicaIntermediário",Mercado_Receita!$L$2:$L$2022)</f>
        <v>2.3E-2</v>
      </c>
      <c r="S51" s="12">
        <f>SUMIF(Mercado_Receita!$S$2:$S$2022,"44652B2BrancaRuralNão se aplicaNão se aplicaNão se aplicaIntermediário",Mercado_Receita!$L$2:$L$2022)</f>
        <v>2.5000000000000001E-2</v>
      </c>
      <c r="T51" s="12">
        <f>SUMIF(Mercado_Receita!$S$2:$S$2022,"44682B2BrancaRuralNão se aplicaNão se aplicaNão se aplicaIntermediário",Mercado_Receita!$L$2:$L$2022)</f>
        <v>2.5000000000000001E-2</v>
      </c>
      <c r="U51" s="12">
        <f t="shared" si="1"/>
        <v>0.27600000000000002</v>
      </c>
      <c r="V51" s="12"/>
      <c r="W51" s="12"/>
    </row>
    <row r="52" spans="1:23" ht="11.25" customHeight="1" x14ac:dyDescent="0.25">
      <c r="A52" s="102"/>
      <c r="B52" s="102"/>
      <c r="C52" s="102"/>
      <c r="D52" s="102"/>
      <c r="E52" s="102"/>
      <c r="F52" s="102"/>
      <c r="G52" s="12" t="s">
        <v>119</v>
      </c>
      <c r="H52" s="12" t="s">
        <v>117</v>
      </c>
      <c r="I52" s="12">
        <f>SUMIF(Mercado_Receita!$S$2:$S$2022,"44348B2BrancaRuralNão se aplicaNão se aplicaNão se aplicaFora ponta",Mercado_Receita!$L$2:$L$2022)</f>
        <v>0.19800000000000001</v>
      </c>
      <c r="J52" s="12">
        <f>SUMIF(Mercado_Receita!$S$2:$S$2022,"44378B2BrancaRuralNão se aplicaNão se aplicaNão se aplicaFora ponta",Mercado_Receita!$L$2:$L$2022)</f>
        <v>0.501</v>
      </c>
      <c r="K52" s="12">
        <f>SUMIF(Mercado_Receita!$S$2:$S$2022,"44409B2BrancaRuralNão se aplicaNão se aplicaNão se aplicaFora ponta",Mercado_Receita!$L$2:$L$2022)</f>
        <v>0.252</v>
      </c>
      <c r="L52" s="12">
        <f>SUMIF(Mercado_Receita!$S$2:$S$2022,"44440B2BrancaRuralNão se aplicaNão se aplicaNão se aplicaFora ponta",Mercado_Receita!$L$2:$L$2022)</f>
        <v>0.47499999999999998</v>
      </c>
      <c r="M52" s="12">
        <f>SUMIF(Mercado_Receita!$S$2:$S$2022,"44470B2BrancaRuralNão se aplicaNão se aplicaNão se aplicaFora ponta",Mercado_Receita!$L$2:$L$2022)</f>
        <v>0.63600000000000001</v>
      </c>
      <c r="N52" s="12">
        <f>SUMIF(Mercado_Receita!$S$2:$S$2022,"44501B2BrancaRuralNão se aplicaNão se aplicaNão se aplicaFora ponta",Mercado_Receita!$L$2:$L$2022)</f>
        <v>4.8179999999999996</v>
      </c>
      <c r="O52" s="12">
        <f>SUMIF(Mercado_Receita!$S$2:$S$2022,"44531B2BrancaRuralNão se aplicaNão se aplicaNão se aplicaFora ponta",Mercado_Receita!$L$2:$L$2022)</f>
        <v>2.1040000000000001</v>
      </c>
      <c r="P52" s="12">
        <f>SUMIF(Mercado_Receita!$S$2:$S$2022,"44562B2BrancaRuralNão se aplicaNão se aplicaNão se aplicaFora ponta",Mercado_Receita!$L$2:$L$2022)</f>
        <v>-5.4340000000000002</v>
      </c>
      <c r="Q52" s="12">
        <f>SUMIF(Mercado_Receita!$S$2:$S$2022,"44593B2BrancaRuralNão se aplicaNão se aplicaNão se aplicaFora ponta",Mercado_Receita!$L$2:$L$2022)</f>
        <v>0.26800000000000002</v>
      </c>
      <c r="R52" s="12">
        <f>SUMIF(Mercado_Receita!$S$2:$S$2022,"44621B2BrancaRuralNão se aplicaNão se aplicaNão se aplicaFora ponta",Mercado_Receita!$L$2:$L$2022)</f>
        <v>0.42599999999999999</v>
      </c>
      <c r="S52" s="12">
        <f>SUMIF(Mercado_Receita!$S$2:$S$2022,"44652B2BrancaRuralNão se aplicaNão se aplicaNão se aplicaFora ponta",Mercado_Receita!$L$2:$L$2022)</f>
        <v>0.44500000000000001</v>
      </c>
      <c r="T52" s="12">
        <f>SUMIF(Mercado_Receita!$S$2:$S$2022,"44682B2BrancaRuralNão se aplicaNão se aplicaNão se aplicaFora ponta",Mercado_Receita!$L$2:$L$2022)</f>
        <v>0.44500000000000001</v>
      </c>
      <c r="U52" s="12">
        <f t="shared" si="1"/>
        <v>5.1340000000000003</v>
      </c>
      <c r="V52" s="12"/>
      <c r="W52" s="12"/>
    </row>
    <row r="53" spans="1:23" ht="11.25" customHeight="1" x14ac:dyDescent="0.25">
      <c r="A53" s="102"/>
      <c r="B53" s="13" t="s">
        <v>23</v>
      </c>
      <c r="C53" s="13" t="s">
        <v>45</v>
      </c>
      <c r="D53" s="13" t="s">
        <v>25</v>
      </c>
      <c r="E53" s="13" t="s">
        <v>25</v>
      </c>
      <c r="F53" s="13" t="s">
        <v>25</v>
      </c>
      <c r="G53" s="12" t="s">
        <v>123</v>
      </c>
      <c r="H53" s="12" t="s">
        <v>117</v>
      </c>
      <c r="I53" s="12">
        <f>SUMIF(Mercado_Receita!$S$2:$S$2022,"44348B2ConvencionalRuralNão se aplicaNão se aplicaNão se aplicaPonta",Mercado_Receita!$L$2:$L$2022)+SUMIF(Mercado_Receita!$S$2:$S$2022,"44348B2ConvencionalRuralNão se aplicaNão se aplicaNão se aplicaFora ponta",Mercado_Receita!$L$2:$L$2022)+SUMIF(Mercado_Receita!$S$2:$S$2022,"44348B2ConvencionalRuralNão se aplicaNão se aplicaNão se aplicaIntermediário",Mercado_Receita!$L$2:$L$2022)+SUMIF(Mercado_Receita!$S$2:$S$2022,"44348B2ConvencionalRuralNão se aplicaNão se aplicaNão se aplicaNão se aplica",Mercado_Receita!$L$2:$L$2022)</f>
        <v>15529.518</v>
      </c>
      <c r="J53" s="12">
        <f>SUMIF(Mercado_Receita!$S$2:$S$2022,"44378B2ConvencionalRuralNão se aplicaNão se aplicaNão se aplicaPonta",Mercado_Receita!$L$2:$L$2022)+SUMIF(Mercado_Receita!$S$2:$S$2022,"44378B2ConvencionalRuralNão se aplicaNão se aplicaNão se aplicaFora ponta",Mercado_Receita!$L$2:$L$2022)+SUMIF(Mercado_Receita!$S$2:$S$2022,"44378B2ConvencionalRuralNão se aplicaNão se aplicaNão se aplicaIntermediário",Mercado_Receita!$L$2:$L$2022)+SUMIF(Mercado_Receita!$S$2:$S$2022,"44378B2ConvencionalRuralNão se aplicaNão se aplicaNão se aplicaNão se aplica",Mercado_Receita!$L$2:$L$2022)</f>
        <v>15164.076999999999</v>
      </c>
      <c r="K53" s="12">
        <f>SUMIF(Mercado_Receita!$S$2:$S$2022,"44409B2ConvencionalRuralNão se aplicaNão se aplicaNão se aplicaPonta",Mercado_Receita!$L$2:$L$2022)+SUMIF(Mercado_Receita!$S$2:$S$2022,"44409B2ConvencionalRuralNão se aplicaNão se aplicaNão se aplicaFora ponta",Mercado_Receita!$L$2:$L$2022)+SUMIF(Mercado_Receita!$S$2:$S$2022,"44409B2ConvencionalRuralNão se aplicaNão se aplicaNão se aplicaIntermediário",Mercado_Receita!$L$2:$L$2022)+SUMIF(Mercado_Receita!$S$2:$S$2022,"44409B2ConvencionalRuralNão se aplicaNão se aplicaNão se aplicaNão se aplica",Mercado_Receita!$L$2:$L$2022)</f>
        <v>14812.374999999998</v>
      </c>
      <c r="L53" s="12">
        <f>SUMIF(Mercado_Receita!$S$2:$S$2022,"44440B2ConvencionalRuralNão se aplicaNão se aplicaNão se aplicaPonta",Mercado_Receita!$L$2:$L$2022)+SUMIF(Mercado_Receita!$S$2:$S$2022,"44440B2ConvencionalRuralNão se aplicaNão se aplicaNão se aplicaFora ponta",Mercado_Receita!$L$2:$L$2022)+SUMIF(Mercado_Receita!$S$2:$S$2022,"44440B2ConvencionalRuralNão se aplicaNão se aplicaNão se aplicaIntermediário",Mercado_Receita!$L$2:$L$2022)+SUMIF(Mercado_Receita!$S$2:$S$2022,"44440B2ConvencionalRuralNão se aplicaNão se aplicaNão se aplicaNão se aplica",Mercado_Receita!$L$2:$L$2022)</f>
        <v>14686.370999999999</v>
      </c>
      <c r="M53" s="12">
        <f>SUMIF(Mercado_Receita!$S$2:$S$2022,"44470B2ConvencionalRuralNão se aplicaNão se aplicaNão se aplicaPonta",Mercado_Receita!$L$2:$L$2022)+SUMIF(Mercado_Receita!$S$2:$S$2022,"44470B2ConvencionalRuralNão se aplicaNão se aplicaNão se aplicaFora ponta",Mercado_Receita!$L$2:$L$2022)+SUMIF(Mercado_Receita!$S$2:$S$2022,"44470B2ConvencionalRuralNão se aplicaNão se aplicaNão se aplicaIntermediário",Mercado_Receita!$L$2:$L$2022)+SUMIF(Mercado_Receita!$S$2:$S$2022,"44470B2ConvencionalRuralNão se aplicaNão se aplicaNão se aplicaNão se aplica",Mercado_Receita!$L$2:$L$2022)</f>
        <v>14463.327999999998</v>
      </c>
      <c r="N53" s="12">
        <f>SUMIF(Mercado_Receita!$S$2:$S$2022,"44501B2ConvencionalRuralNão se aplicaNão se aplicaNão se aplicaPonta",Mercado_Receita!$L$2:$L$2022)+SUMIF(Mercado_Receita!$S$2:$S$2022,"44501B2ConvencionalRuralNão se aplicaNão se aplicaNão se aplicaFora ponta",Mercado_Receita!$L$2:$L$2022)+SUMIF(Mercado_Receita!$S$2:$S$2022,"44501B2ConvencionalRuralNão se aplicaNão se aplicaNão se aplicaIntermediário",Mercado_Receita!$L$2:$L$2022)+SUMIF(Mercado_Receita!$S$2:$S$2022,"44501B2ConvencionalRuralNão se aplicaNão se aplicaNão se aplicaNão se aplica",Mercado_Receita!$L$2:$L$2022)</f>
        <v>13866.384000000002</v>
      </c>
      <c r="O53" s="12">
        <f>SUMIF(Mercado_Receita!$S$2:$S$2022,"44531B2ConvencionalRuralNão se aplicaNão se aplicaNão se aplicaPonta",Mercado_Receita!$L$2:$L$2022)+SUMIF(Mercado_Receita!$S$2:$S$2022,"44531B2ConvencionalRuralNão se aplicaNão se aplicaNão se aplicaFora ponta",Mercado_Receita!$L$2:$L$2022)+SUMIF(Mercado_Receita!$S$2:$S$2022,"44531B2ConvencionalRuralNão se aplicaNão se aplicaNão se aplicaIntermediário",Mercado_Receita!$L$2:$L$2022)+SUMIF(Mercado_Receita!$S$2:$S$2022,"44531B2ConvencionalRuralNão se aplicaNão se aplicaNão se aplicaNão se aplica",Mercado_Receita!$L$2:$L$2022)</f>
        <v>13884.514000000001</v>
      </c>
      <c r="P53" s="12">
        <f>SUMIF(Mercado_Receita!$S$2:$S$2022,"44562B2ConvencionalRuralNão se aplicaNão se aplicaNão se aplicaPonta",Mercado_Receita!$L$2:$L$2022)+SUMIF(Mercado_Receita!$S$2:$S$2022,"44562B2ConvencionalRuralNão se aplicaNão se aplicaNão se aplicaFora ponta",Mercado_Receita!$L$2:$L$2022)+SUMIF(Mercado_Receita!$S$2:$S$2022,"44562B2ConvencionalRuralNão se aplicaNão se aplicaNão se aplicaIntermediário",Mercado_Receita!$L$2:$L$2022)+SUMIF(Mercado_Receita!$S$2:$S$2022,"44562B2ConvencionalRuralNão se aplicaNão se aplicaNão se aplicaNão se aplica",Mercado_Receita!$L$2:$L$2022)</f>
        <v>13619.866</v>
      </c>
      <c r="Q53" s="12">
        <f>SUMIF(Mercado_Receita!$S$2:$S$2022,"44593B2ConvencionalRuralNão se aplicaNão se aplicaNão se aplicaPonta",Mercado_Receita!$L$2:$L$2022)+SUMIF(Mercado_Receita!$S$2:$S$2022,"44593B2ConvencionalRuralNão se aplicaNão se aplicaNão se aplicaFora ponta",Mercado_Receita!$L$2:$L$2022)+SUMIF(Mercado_Receita!$S$2:$S$2022,"44593B2ConvencionalRuralNão se aplicaNão se aplicaNão se aplicaIntermediário",Mercado_Receita!$L$2:$L$2022)+SUMIF(Mercado_Receita!$S$2:$S$2022,"44593B2ConvencionalRuralNão se aplicaNão se aplicaNão se aplicaNão se aplica",Mercado_Receita!$L$2:$L$2022)</f>
        <v>11130.325999999999</v>
      </c>
      <c r="R53" s="12">
        <f>SUMIF(Mercado_Receita!$S$2:$S$2022,"44621B2ConvencionalRuralNão se aplicaNão se aplicaNão se aplicaPonta",Mercado_Receita!$L$2:$L$2022)+SUMIF(Mercado_Receita!$S$2:$S$2022,"44621B2ConvencionalRuralNão se aplicaNão se aplicaNão se aplicaFora ponta",Mercado_Receita!$L$2:$L$2022)+SUMIF(Mercado_Receita!$S$2:$S$2022,"44621B2ConvencionalRuralNão se aplicaNão se aplicaNão se aplicaIntermediário",Mercado_Receita!$L$2:$L$2022)+SUMIF(Mercado_Receita!$S$2:$S$2022,"44621B2ConvencionalRuralNão se aplicaNão se aplicaNão se aplicaNão se aplica",Mercado_Receita!$L$2:$L$2022)</f>
        <v>11121.469000000001</v>
      </c>
      <c r="S53" s="12">
        <f>SUMIF(Mercado_Receita!$S$2:$S$2022,"44652B2ConvencionalRuralNão se aplicaNão se aplicaNão se aplicaPonta",Mercado_Receita!$L$2:$L$2022)+SUMIF(Mercado_Receita!$S$2:$S$2022,"44652B2ConvencionalRuralNão se aplicaNão se aplicaNão se aplicaFora ponta",Mercado_Receita!$L$2:$L$2022)+SUMIF(Mercado_Receita!$S$2:$S$2022,"44652B2ConvencionalRuralNão se aplicaNão se aplicaNão se aplicaIntermediário",Mercado_Receita!$L$2:$L$2022)+SUMIF(Mercado_Receita!$S$2:$S$2022,"44652B2ConvencionalRuralNão se aplicaNão se aplicaNão se aplicaNão se aplica",Mercado_Receita!$L$2:$L$2022)</f>
        <v>11274.21</v>
      </c>
      <c r="T53" s="12">
        <f>SUMIF(Mercado_Receita!$S$2:$S$2022,"44682B2ConvencionalRuralNão se aplicaNão se aplicaNão se aplicaPonta",Mercado_Receita!$L$2:$L$2022)+SUMIF(Mercado_Receita!$S$2:$S$2022,"44682B2ConvencionalRuralNão se aplicaNão se aplicaNão se aplicaFora ponta",Mercado_Receita!$L$2:$L$2022)+SUMIF(Mercado_Receita!$S$2:$S$2022,"44682B2ConvencionalRuralNão se aplicaNão se aplicaNão se aplicaIntermediário",Mercado_Receita!$L$2:$L$2022)+SUMIF(Mercado_Receita!$S$2:$S$2022,"44682B2ConvencionalRuralNão se aplicaNão se aplicaNão se aplicaNão se aplica",Mercado_Receita!$L$2:$L$2022)</f>
        <v>11274.21</v>
      </c>
      <c r="U53" s="12">
        <f t="shared" si="1"/>
        <v>160826.64799999999</v>
      </c>
      <c r="V53" s="12"/>
      <c r="W53" s="12"/>
    </row>
    <row r="54" spans="1:23" ht="11.25" customHeight="1" x14ac:dyDescent="0.25">
      <c r="A54" s="102"/>
      <c r="B54" s="101" t="s">
        <v>33</v>
      </c>
      <c r="C54" s="101" t="s">
        <v>45</v>
      </c>
      <c r="D54" s="101" t="s">
        <v>132</v>
      </c>
      <c r="E54" s="101" t="s">
        <v>25</v>
      </c>
      <c r="F54" s="101" t="s">
        <v>25</v>
      </c>
      <c r="G54" s="12" t="s">
        <v>118</v>
      </c>
      <c r="H54" s="12" t="s">
        <v>117</v>
      </c>
      <c r="I54" s="12">
        <f>SUMIF(Mercado_Receita!$S$2:$S$2022,"44348B2BrancaRuralCooperativa de eletrificação ruralNão se aplicaNão se aplicaPonta",Mercado_Receita!$L$2:$L$2022)</f>
        <v>0</v>
      </c>
      <c r="J54" s="12">
        <f>SUMIF(Mercado_Receita!$S$2:$S$2022,"44378B2BrancaRuralCooperativa de eletrificação ruralNão se aplicaNão se aplicaPonta",Mercado_Receita!$L$2:$L$2022)</f>
        <v>0</v>
      </c>
      <c r="K54" s="12">
        <f>SUMIF(Mercado_Receita!$S$2:$S$2022,"44409B2BrancaRuralCooperativa de eletrificação ruralNão se aplicaNão se aplicaPonta",Mercado_Receita!$L$2:$L$2022)</f>
        <v>0</v>
      </c>
      <c r="L54" s="12">
        <f>SUMIF(Mercado_Receita!$S$2:$S$2022,"44440B2BrancaRuralCooperativa de eletrificação ruralNão se aplicaNão se aplicaPonta",Mercado_Receita!$L$2:$L$2022)</f>
        <v>0</v>
      </c>
      <c r="M54" s="12">
        <f>SUMIF(Mercado_Receita!$S$2:$S$2022,"44470B2BrancaRuralCooperativa de eletrificação ruralNão se aplicaNão se aplicaPonta",Mercado_Receita!$L$2:$L$2022)</f>
        <v>0</v>
      </c>
      <c r="N54" s="12">
        <f>SUMIF(Mercado_Receita!$S$2:$S$2022,"44501B2BrancaRuralCooperativa de eletrificação ruralNão se aplicaNão se aplicaPonta",Mercado_Receita!$L$2:$L$2022)</f>
        <v>0</v>
      </c>
      <c r="O54" s="12">
        <f>SUMIF(Mercado_Receita!$S$2:$S$2022,"44531B2BrancaRuralCooperativa de eletrificação ruralNão se aplicaNão se aplicaPonta",Mercado_Receita!$L$2:$L$2022)</f>
        <v>0</v>
      </c>
      <c r="P54" s="12">
        <f>SUMIF(Mercado_Receita!$S$2:$S$2022,"44562B2BrancaRuralCooperativa de eletrificação ruralNão se aplicaNão se aplicaPonta",Mercado_Receita!$L$2:$L$2022)</f>
        <v>0</v>
      </c>
      <c r="Q54" s="12">
        <f>SUMIF(Mercado_Receita!$S$2:$S$2022,"44593B2BrancaRuralCooperativa de eletrificação ruralNão se aplicaNão se aplicaPonta",Mercado_Receita!$L$2:$L$2022)</f>
        <v>0</v>
      </c>
      <c r="R54" s="12">
        <f>SUMIF(Mercado_Receita!$S$2:$S$2022,"44621B2BrancaRuralCooperativa de eletrificação ruralNão se aplicaNão se aplicaPonta",Mercado_Receita!$L$2:$L$2022)</f>
        <v>0</v>
      </c>
      <c r="S54" s="12">
        <f>SUMIF(Mercado_Receita!$S$2:$S$2022,"44652B2BrancaRuralCooperativa de eletrificação ruralNão se aplicaNão se aplicaPonta",Mercado_Receita!$L$2:$L$2022)</f>
        <v>0</v>
      </c>
      <c r="T54" s="12">
        <f>SUMIF(Mercado_Receita!$S$2:$S$2022,"44682B2BrancaRuralCooperativa de eletrificação ruralNão se aplicaNão se aplicaPonta",Mercado_Receita!$L$2:$L$2022)</f>
        <v>0</v>
      </c>
      <c r="U54" s="12">
        <f t="shared" si="1"/>
        <v>0</v>
      </c>
      <c r="V54" s="12"/>
      <c r="W54" s="12"/>
    </row>
    <row r="55" spans="1:23" ht="11.25" customHeight="1" x14ac:dyDescent="0.25">
      <c r="A55" s="102"/>
      <c r="B55" s="102"/>
      <c r="C55" s="102"/>
      <c r="D55" s="102"/>
      <c r="E55" s="102"/>
      <c r="F55" s="102"/>
      <c r="G55" s="12" t="s">
        <v>128</v>
      </c>
      <c r="H55" s="12" t="s">
        <v>117</v>
      </c>
      <c r="I55" s="12">
        <f>SUMIF(Mercado_Receita!$S$2:$S$2022,"44348B2BrancaRuralCooperativa de eletrificação ruralNão se aplicaNão se aplicaIntermediário",Mercado_Receita!$L$2:$L$2022)</f>
        <v>0</v>
      </c>
      <c r="J55" s="12">
        <f>SUMIF(Mercado_Receita!$S$2:$S$2022,"44378B2BrancaRuralCooperativa de eletrificação ruralNão se aplicaNão se aplicaIntermediário",Mercado_Receita!$L$2:$L$2022)</f>
        <v>0</v>
      </c>
      <c r="K55" s="12">
        <f>SUMIF(Mercado_Receita!$S$2:$S$2022,"44409B2BrancaRuralCooperativa de eletrificação ruralNão se aplicaNão se aplicaIntermediário",Mercado_Receita!$L$2:$L$2022)</f>
        <v>0</v>
      </c>
      <c r="L55" s="12">
        <f>SUMIF(Mercado_Receita!$S$2:$S$2022,"44440B2BrancaRuralCooperativa de eletrificação ruralNão se aplicaNão se aplicaIntermediário",Mercado_Receita!$L$2:$L$2022)</f>
        <v>0</v>
      </c>
      <c r="M55" s="12">
        <f>SUMIF(Mercado_Receita!$S$2:$S$2022,"44470B2BrancaRuralCooperativa de eletrificação ruralNão se aplicaNão se aplicaIntermediário",Mercado_Receita!$L$2:$L$2022)</f>
        <v>0</v>
      </c>
      <c r="N55" s="12">
        <f>SUMIF(Mercado_Receita!$S$2:$S$2022,"44501B2BrancaRuralCooperativa de eletrificação ruralNão se aplicaNão se aplicaIntermediário",Mercado_Receita!$L$2:$L$2022)</f>
        <v>0</v>
      </c>
      <c r="O55" s="12">
        <f>SUMIF(Mercado_Receita!$S$2:$S$2022,"44531B2BrancaRuralCooperativa de eletrificação ruralNão se aplicaNão se aplicaIntermediário",Mercado_Receita!$L$2:$L$2022)</f>
        <v>0</v>
      </c>
      <c r="P55" s="12">
        <f>SUMIF(Mercado_Receita!$S$2:$S$2022,"44562B2BrancaRuralCooperativa de eletrificação ruralNão se aplicaNão se aplicaIntermediário",Mercado_Receita!$L$2:$L$2022)</f>
        <v>0</v>
      </c>
      <c r="Q55" s="12">
        <f>SUMIF(Mercado_Receita!$S$2:$S$2022,"44593B2BrancaRuralCooperativa de eletrificação ruralNão se aplicaNão se aplicaIntermediário",Mercado_Receita!$L$2:$L$2022)</f>
        <v>0</v>
      </c>
      <c r="R55" s="12">
        <f>SUMIF(Mercado_Receita!$S$2:$S$2022,"44621B2BrancaRuralCooperativa de eletrificação ruralNão se aplicaNão se aplicaIntermediário",Mercado_Receita!$L$2:$L$2022)</f>
        <v>0</v>
      </c>
      <c r="S55" s="12">
        <f>SUMIF(Mercado_Receita!$S$2:$S$2022,"44652B2BrancaRuralCooperativa de eletrificação ruralNão se aplicaNão se aplicaIntermediário",Mercado_Receita!$L$2:$L$2022)</f>
        <v>0</v>
      </c>
      <c r="T55" s="12">
        <f>SUMIF(Mercado_Receita!$S$2:$S$2022,"44682B2BrancaRuralCooperativa de eletrificação ruralNão se aplicaNão se aplicaIntermediário",Mercado_Receita!$L$2:$L$2022)</f>
        <v>0</v>
      </c>
      <c r="U55" s="12">
        <f t="shared" si="1"/>
        <v>0</v>
      </c>
      <c r="V55" s="12"/>
      <c r="W55" s="12"/>
    </row>
    <row r="56" spans="1:23" ht="11.25" customHeight="1" x14ac:dyDescent="0.25">
      <c r="A56" s="102"/>
      <c r="B56" s="102"/>
      <c r="C56" s="102"/>
      <c r="D56" s="102"/>
      <c r="E56" s="102"/>
      <c r="F56" s="102"/>
      <c r="G56" s="12" t="s">
        <v>119</v>
      </c>
      <c r="H56" s="12" t="s">
        <v>117</v>
      </c>
      <c r="I56" s="12">
        <f>SUMIF(Mercado_Receita!$S$2:$S$2022,"44348B2BrancaRuralCooperativa de eletrificação ruralNão se aplicaNão se aplicaFora ponta",Mercado_Receita!$L$2:$L$2022)</f>
        <v>0</v>
      </c>
      <c r="J56" s="12">
        <f>SUMIF(Mercado_Receita!$S$2:$S$2022,"44378B2BrancaRuralCooperativa de eletrificação ruralNão se aplicaNão se aplicaFora ponta",Mercado_Receita!$L$2:$L$2022)</f>
        <v>0</v>
      </c>
      <c r="K56" s="12">
        <f>SUMIF(Mercado_Receita!$S$2:$S$2022,"44409B2BrancaRuralCooperativa de eletrificação ruralNão se aplicaNão se aplicaFora ponta",Mercado_Receita!$L$2:$L$2022)</f>
        <v>0</v>
      </c>
      <c r="L56" s="12">
        <f>SUMIF(Mercado_Receita!$S$2:$S$2022,"44440B2BrancaRuralCooperativa de eletrificação ruralNão se aplicaNão se aplicaFora ponta",Mercado_Receita!$L$2:$L$2022)</f>
        <v>0</v>
      </c>
      <c r="M56" s="12">
        <f>SUMIF(Mercado_Receita!$S$2:$S$2022,"44470B2BrancaRuralCooperativa de eletrificação ruralNão se aplicaNão se aplicaFora ponta",Mercado_Receita!$L$2:$L$2022)</f>
        <v>0</v>
      </c>
      <c r="N56" s="12">
        <f>SUMIF(Mercado_Receita!$S$2:$S$2022,"44501B2BrancaRuralCooperativa de eletrificação ruralNão se aplicaNão se aplicaFora ponta",Mercado_Receita!$L$2:$L$2022)</f>
        <v>0</v>
      </c>
      <c r="O56" s="12">
        <f>SUMIF(Mercado_Receita!$S$2:$S$2022,"44531B2BrancaRuralCooperativa de eletrificação ruralNão se aplicaNão se aplicaFora ponta",Mercado_Receita!$L$2:$L$2022)</f>
        <v>0</v>
      </c>
      <c r="P56" s="12">
        <f>SUMIF(Mercado_Receita!$S$2:$S$2022,"44562B2BrancaRuralCooperativa de eletrificação ruralNão se aplicaNão se aplicaFora ponta",Mercado_Receita!$L$2:$L$2022)</f>
        <v>0</v>
      </c>
      <c r="Q56" s="12">
        <f>SUMIF(Mercado_Receita!$S$2:$S$2022,"44593B2BrancaRuralCooperativa de eletrificação ruralNão se aplicaNão se aplicaFora ponta",Mercado_Receita!$L$2:$L$2022)</f>
        <v>0</v>
      </c>
      <c r="R56" s="12">
        <f>SUMIF(Mercado_Receita!$S$2:$S$2022,"44621B2BrancaRuralCooperativa de eletrificação ruralNão se aplicaNão se aplicaFora ponta",Mercado_Receita!$L$2:$L$2022)</f>
        <v>0</v>
      </c>
      <c r="S56" s="12">
        <f>SUMIF(Mercado_Receita!$S$2:$S$2022,"44652B2BrancaRuralCooperativa de eletrificação ruralNão se aplicaNão se aplicaFora ponta",Mercado_Receita!$L$2:$L$2022)</f>
        <v>0</v>
      </c>
      <c r="T56" s="12">
        <f>SUMIF(Mercado_Receita!$S$2:$S$2022,"44682B2BrancaRuralCooperativa de eletrificação ruralNão se aplicaNão se aplicaFora ponta",Mercado_Receita!$L$2:$L$2022)</f>
        <v>0</v>
      </c>
      <c r="U56" s="12">
        <f t="shared" si="1"/>
        <v>0</v>
      </c>
      <c r="V56" s="12"/>
      <c r="W56" s="12"/>
    </row>
    <row r="57" spans="1:23" ht="11.25" customHeight="1" x14ac:dyDescent="0.25">
      <c r="A57" s="102"/>
      <c r="B57" s="13" t="s">
        <v>23</v>
      </c>
      <c r="C57" s="13" t="s">
        <v>45</v>
      </c>
      <c r="D57" s="13" t="s">
        <v>132</v>
      </c>
      <c r="E57" s="13" t="s">
        <v>25</v>
      </c>
      <c r="F57" s="13" t="s">
        <v>25</v>
      </c>
      <c r="G57" s="12" t="s">
        <v>123</v>
      </c>
      <c r="H57" s="12" t="s">
        <v>117</v>
      </c>
      <c r="I57" s="12">
        <f>SUMIF(Mercado_Receita!$S$2:$S$2022,"44348B2ConvencionalRuralCooperativa de eletrificação ruralNão se aplicaNão se aplicaPonta",Mercado_Receita!$L$2:$L$2022)+SUMIF(Mercado_Receita!$S$2:$S$2022,"44348B2ConvencionalRuralCooperativa de eletrificação ruralNão se aplicaNão se aplicaFora ponta",Mercado_Receita!$L$2:$L$2022)+SUMIF(Mercado_Receita!$S$2:$S$2022,"44348B2ConvencionalRuralCooperativa de eletrificação ruralNão se aplicaNão se aplicaIntermediário",Mercado_Receita!$L$2:$L$2022)+SUMIF(Mercado_Receita!$S$2:$S$2022,"44348B2ConvencionalRuralCooperativa de eletrificação ruralNão se aplicaNão se aplicaNão se aplica",Mercado_Receita!$L$2:$L$2022)</f>
        <v>0</v>
      </c>
      <c r="J57" s="12">
        <f>SUMIF(Mercado_Receita!$S$2:$S$2022,"44378B2ConvencionalRuralCooperativa de eletrificação ruralNão se aplicaNão se aplicaPonta",Mercado_Receita!$L$2:$L$2022)+SUMIF(Mercado_Receita!$S$2:$S$2022,"44378B2ConvencionalRuralCooperativa de eletrificação ruralNão se aplicaNão se aplicaFora ponta",Mercado_Receita!$L$2:$L$2022)+SUMIF(Mercado_Receita!$S$2:$S$2022,"44378B2ConvencionalRuralCooperativa de eletrificação ruralNão se aplicaNão se aplicaIntermediário",Mercado_Receita!$L$2:$L$2022)+SUMIF(Mercado_Receita!$S$2:$S$2022,"44378B2ConvencionalRuralCooperativa de eletrificação ruralNão se aplicaNão se aplicaNão se aplica",Mercado_Receita!$L$2:$L$2022)</f>
        <v>0</v>
      </c>
      <c r="K57" s="12">
        <f>SUMIF(Mercado_Receita!$S$2:$S$2022,"44409B2ConvencionalRuralCooperativa de eletrificação ruralNão se aplicaNão se aplicaPonta",Mercado_Receita!$L$2:$L$2022)+SUMIF(Mercado_Receita!$S$2:$S$2022,"44409B2ConvencionalRuralCooperativa de eletrificação ruralNão se aplicaNão se aplicaFora ponta",Mercado_Receita!$L$2:$L$2022)+SUMIF(Mercado_Receita!$S$2:$S$2022,"44409B2ConvencionalRuralCooperativa de eletrificação ruralNão se aplicaNão se aplicaIntermediário",Mercado_Receita!$L$2:$L$2022)+SUMIF(Mercado_Receita!$S$2:$S$2022,"44409B2ConvencionalRuralCooperativa de eletrificação ruralNão se aplicaNão se aplicaNão se aplica",Mercado_Receita!$L$2:$L$2022)</f>
        <v>0</v>
      </c>
      <c r="L57" s="12">
        <f>SUMIF(Mercado_Receita!$S$2:$S$2022,"44440B2ConvencionalRuralCooperativa de eletrificação ruralNão se aplicaNão se aplicaPonta",Mercado_Receita!$L$2:$L$2022)+SUMIF(Mercado_Receita!$S$2:$S$2022,"44440B2ConvencionalRuralCooperativa de eletrificação ruralNão se aplicaNão se aplicaFora ponta",Mercado_Receita!$L$2:$L$2022)+SUMIF(Mercado_Receita!$S$2:$S$2022,"44440B2ConvencionalRuralCooperativa de eletrificação ruralNão se aplicaNão se aplicaIntermediário",Mercado_Receita!$L$2:$L$2022)+SUMIF(Mercado_Receita!$S$2:$S$2022,"44440B2ConvencionalRuralCooperativa de eletrificação ruralNão se aplicaNão se aplicaNão se aplica",Mercado_Receita!$L$2:$L$2022)</f>
        <v>0</v>
      </c>
      <c r="M57" s="12">
        <f>SUMIF(Mercado_Receita!$S$2:$S$2022,"44470B2ConvencionalRuralCooperativa de eletrificação ruralNão se aplicaNão se aplicaPonta",Mercado_Receita!$L$2:$L$2022)+SUMIF(Mercado_Receita!$S$2:$S$2022,"44470B2ConvencionalRuralCooperativa de eletrificação ruralNão se aplicaNão se aplicaFora ponta",Mercado_Receita!$L$2:$L$2022)+SUMIF(Mercado_Receita!$S$2:$S$2022,"44470B2ConvencionalRuralCooperativa de eletrificação ruralNão se aplicaNão se aplicaIntermediário",Mercado_Receita!$L$2:$L$2022)+SUMIF(Mercado_Receita!$S$2:$S$2022,"44470B2ConvencionalRuralCooperativa de eletrificação ruralNão se aplicaNão se aplicaNão se aplica",Mercado_Receita!$L$2:$L$2022)</f>
        <v>0</v>
      </c>
      <c r="N57" s="12">
        <f>SUMIF(Mercado_Receita!$S$2:$S$2022,"44501B2ConvencionalRuralCooperativa de eletrificação ruralNão se aplicaNão se aplicaPonta",Mercado_Receita!$L$2:$L$2022)+SUMIF(Mercado_Receita!$S$2:$S$2022,"44501B2ConvencionalRuralCooperativa de eletrificação ruralNão se aplicaNão se aplicaFora ponta",Mercado_Receita!$L$2:$L$2022)+SUMIF(Mercado_Receita!$S$2:$S$2022,"44501B2ConvencionalRuralCooperativa de eletrificação ruralNão se aplicaNão se aplicaIntermediário",Mercado_Receita!$L$2:$L$2022)+SUMIF(Mercado_Receita!$S$2:$S$2022,"44501B2ConvencionalRuralCooperativa de eletrificação ruralNão se aplicaNão se aplicaNão se aplica",Mercado_Receita!$L$2:$L$2022)</f>
        <v>0</v>
      </c>
      <c r="O57" s="12">
        <f>SUMIF(Mercado_Receita!$S$2:$S$2022,"44531B2ConvencionalRuralCooperativa de eletrificação ruralNão se aplicaNão se aplicaPonta",Mercado_Receita!$L$2:$L$2022)+SUMIF(Mercado_Receita!$S$2:$S$2022,"44531B2ConvencionalRuralCooperativa de eletrificação ruralNão se aplicaNão se aplicaFora ponta",Mercado_Receita!$L$2:$L$2022)+SUMIF(Mercado_Receita!$S$2:$S$2022,"44531B2ConvencionalRuralCooperativa de eletrificação ruralNão se aplicaNão se aplicaIntermediário",Mercado_Receita!$L$2:$L$2022)+SUMIF(Mercado_Receita!$S$2:$S$2022,"44531B2ConvencionalRuralCooperativa de eletrificação ruralNão se aplicaNão se aplicaNão se aplica",Mercado_Receita!$L$2:$L$2022)</f>
        <v>0</v>
      </c>
      <c r="P57" s="12">
        <f>SUMIF(Mercado_Receita!$S$2:$S$2022,"44562B2ConvencionalRuralCooperativa de eletrificação ruralNão se aplicaNão se aplicaPonta",Mercado_Receita!$L$2:$L$2022)+SUMIF(Mercado_Receita!$S$2:$S$2022,"44562B2ConvencionalRuralCooperativa de eletrificação ruralNão se aplicaNão se aplicaFora ponta",Mercado_Receita!$L$2:$L$2022)+SUMIF(Mercado_Receita!$S$2:$S$2022,"44562B2ConvencionalRuralCooperativa de eletrificação ruralNão se aplicaNão se aplicaIntermediário",Mercado_Receita!$L$2:$L$2022)+SUMIF(Mercado_Receita!$S$2:$S$2022,"44562B2ConvencionalRuralCooperativa de eletrificação ruralNão se aplicaNão se aplicaNão se aplica",Mercado_Receita!$L$2:$L$2022)</f>
        <v>0</v>
      </c>
      <c r="Q57" s="12">
        <f>SUMIF(Mercado_Receita!$S$2:$S$2022,"44593B2ConvencionalRuralCooperativa de eletrificação ruralNão se aplicaNão se aplicaPonta",Mercado_Receita!$L$2:$L$2022)+SUMIF(Mercado_Receita!$S$2:$S$2022,"44593B2ConvencionalRuralCooperativa de eletrificação ruralNão se aplicaNão se aplicaFora ponta",Mercado_Receita!$L$2:$L$2022)+SUMIF(Mercado_Receita!$S$2:$S$2022,"44593B2ConvencionalRuralCooperativa de eletrificação ruralNão se aplicaNão se aplicaIntermediário",Mercado_Receita!$L$2:$L$2022)+SUMIF(Mercado_Receita!$S$2:$S$2022,"44593B2ConvencionalRuralCooperativa de eletrificação ruralNão se aplicaNão se aplicaNão se aplica",Mercado_Receita!$L$2:$L$2022)</f>
        <v>0</v>
      </c>
      <c r="R57" s="12">
        <f>SUMIF(Mercado_Receita!$S$2:$S$2022,"44621B2ConvencionalRuralCooperativa de eletrificação ruralNão se aplicaNão se aplicaPonta",Mercado_Receita!$L$2:$L$2022)+SUMIF(Mercado_Receita!$S$2:$S$2022,"44621B2ConvencionalRuralCooperativa de eletrificação ruralNão se aplicaNão se aplicaFora ponta",Mercado_Receita!$L$2:$L$2022)+SUMIF(Mercado_Receita!$S$2:$S$2022,"44621B2ConvencionalRuralCooperativa de eletrificação ruralNão se aplicaNão se aplicaIntermediário",Mercado_Receita!$L$2:$L$2022)+SUMIF(Mercado_Receita!$S$2:$S$2022,"44621B2ConvencionalRuralCooperativa de eletrificação ruralNão se aplicaNão se aplicaNão se aplica",Mercado_Receita!$L$2:$L$2022)</f>
        <v>0</v>
      </c>
      <c r="S57" s="12">
        <f>SUMIF(Mercado_Receita!$S$2:$S$2022,"44652B2ConvencionalRuralCooperativa de eletrificação ruralNão se aplicaNão se aplicaPonta",Mercado_Receita!$L$2:$L$2022)+SUMIF(Mercado_Receita!$S$2:$S$2022,"44652B2ConvencionalRuralCooperativa de eletrificação ruralNão se aplicaNão se aplicaFora ponta",Mercado_Receita!$L$2:$L$2022)+SUMIF(Mercado_Receita!$S$2:$S$2022,"44652B2ConvencionalRuralCooperativa de eletrificação ruralNão se aplicaNão se aplicaIntermediário",Mercado_Receita!$L$2:$L$2022)+SUMIF(Mercado_Receita!$S$2:$S$2022,"44652B2ConvencionalRuralCooperativa de eletrificação ruralNão se aplicaNão se aplicaNão se aplica",Mercado_Receita!$L$2:$L$2022)</f>
        <v>0</v>
      </c>
      <c r="T57" s="12">
        <f>SUMIF(Mercado_Receita!$S$2:$S$2022,"44682B2ConvencionalRuralCooperativa de eletrificação ruralNão se aplicaNão se aplicaPonta",Mercado_Receita!$L$2:$L$2022)+SUMIF(Mercado_Receita!$S$2:$S$2022,"44682B2ConvencionalRuralCooperativa de eletrificação ruralNão se aplicaNão se aplicaFora ponta",Mercado_Receita!$L$2:$L$2022)+SUMIF(Mercado_Receita!$S$2:$S$2022,"44682B2ConvencionalRuralCooperativa de eletrificação ruralNão se aplicaNão se aplicaIntermediário",Mercado_Receita!$L$2:$L$2022)+SUMIF(Mercado_Receita!$S$2:$S$2022,"44682B2ConvencionalRuralCooperativa de eletrificação ruralNão se aplicaNão se aplicaNão se aplica",Mercado_Receita!$L$2:$L$2022)</f>
        <v>0</v>
      </c>
      <c r="U57" s="12">
        <f t="shared" si="1"/>
        <v>0</v>
      </c>
      <c r="V57" s="12"/>
      <c r="W57" s="12"/>
    </row>
    <row r="58" spans="1:23" ht="11.25" customHeight="1" x14ac:dyDescent="0.25">
      <c r="A58" s="102"/>
      <c r="B58" s="101" t="s">
        <v>33</v>
      </c>
      <c r="C58" s="101" t="s">
        <v>45</v>
      </c>
      <c r="D58" s="101" t="s">
        <v>133</v>
      </c>
      <c r="E58" s="101" t="s">
        <v>25</v>
      </c>
      <c r="F58" s="101" t="s">
        <v>25</v>
      </c>
      <c r="G58" s="12" t="s">
        <v>118</v>
      </c>
      <c r="H58" s="12" t="s">
        <v>117</v>
      </c>
      <c r="I58" s="12">
        <f>SUMIF(Mercado_Receita!$S$2:$S$2022,"44348B2BrancaRuralServiço público de irrigação ruralNão se aplicaNão se aplicaPonta",Mercado_Receita!$L$2:$L$2022)</f>
        <v>0</v>
      </c>
      <c r="J58" s="12">
        <f>SUMIF(Mercado_Receita!$S$2:$S$2022,"44378B2BrancaRuralServiço público de irrigação ruralNão se aplicaNão se aplicaPonta",Mercado_Receita!$L$2:$L$2022)</f>
        <v>0</v>
      </c>
      <c r="K58" s="12">
        <f>SUMIF(Mercado_Receita!$S$2:$S$2022,"44409B2BrancaRuralServiço público de irrigação ruralNão se aplicaNão se aplicaPonta",Mercado_Receita!$L$2:$L$2022)</f>
        <v>0</v>
      </c>
      <c r="L58" s="12">
        <f>SUMIF(Mercado_Receita!$S$2:$S$2022,"44440B2BrancaRuralServiço público de irrigação ruralNão se aplicaNão se aplicaPonta",Mercado_Receita!$L$2:$L$2022)</f>
        <v>0</v>
      </c>
      <c r="M58" s="12">
        <f>SUMIF(Mercado_Receita!$S$2:$S$2022,"44470B2BrancaRuralServiço público de irrigação ruralNão se aplicaNão se aplicaPonta",Mercado_Receita!$L$2:$L$2022)</f>
        <v>0</v>
      </c>
      <c r="N58" s="12">
        <f>SUMIF(Mercado_Receita!$S$2:$S$2022,"44501B2BrancaRuralServiço público de irrigação ruralNão se aplicaNão se aplicaPonta",Mercado_Receita!$L$2:$L$2022)</f>
        <v>0</v>
      </c>
      <c r="O58" s="12">
        <f>SUMIF(Mercado_Receita!$S$2:$S$2022,"44531B2BrancaRuralServiço público de irrigação ruralNão se aplicaNão se aplicaPonta",Mercado_Receita!$L$2:$L$2022)</f>
        <v>0</v>
      </c>
      <c r="P58" s="12">
        <f>SUMIF(Mercado_Receita!$S$2:$S$2022,"44562B2BrancaRuralServiço público de irrigação ruralNão se aplicaNão se aplicaPonta",Mercado_Receita!$L$2:$L$2022)</f>
        <v>0</v>
      </c>
      <c r="Q58" s="12">
        <f>SUMIF(Mercado_Receita!$S$2:$S$2022,"44593B2BrancaRuralServiço público de irrigação ruralNão se aplicaNão se aplicaPonta",Mercado_Receita!$L$2:$L$2022)</f>
        <v>0</v>
      </c>
      <c r="R58" s="12">
        <f>SUMIF(Mercado_Receita!$S$2:$S$2022,"44621B2BrancaRuralServiço público de irrigação ruralNão se aplicaNão se aplicaPonta",Mercado_Receita!$L$2:$L$2022)</f>
        <v>0</v>
      </c>
      <c r="S58" s="12">
        <f>SUMIF(Mercado_Receita!$S$2:$S$2022,"44652B2BrancaRuralServiço público de irrigação ruralNão se aplicaNão se aplicaPonta",Mercado_Receita!$L$2:$L$2022)</f>
        <v>0</v>
      </c>
      <c r="T58" s="12">
        <f>SUMIF(Mercado_Receita!$S$2:$S$2022,"44682B2BrancaRuralServiço público de irrigação ruralNão se aplicaNão se aplicaPonta",Mercado_Receita!$L$2:$L$2022)</f>
        <v>0</v>
      </c>
      <c r="U58" s="12">
        <f t="shared" si="1"/>
        <v>0</v>
      </c>
      <c r="V58" s="12"/>
      <c r="W58" s="12"/>
    </row>
    <row r="59" spans="1:23" ht="11.25" customHeight="1" x14ac:dyDescent="0.25">
      <c r="A59" s="102"/>
      <c r="B59" s="102"/>
      <c r="C59" s="102"/>
      <c r="D59" s="102"/>
      <c r="E59" s="102"/>
      <c r="F59" s="102"/>
      <c r="G59" s="12" t="s">
        <v>128</v>
      </c>
      <c r="H59" s="12" t="s">
        <v>117</v>
      </c>
      <c r="I59" s="12">
        <f>SUMIF(Mercado_Receita!$S$2:$S$2022,"44348B2BrancaRuralServiço público de irrigação ruralNão se aplicaNão se aplicaIntermediário",Mercado_Receita!$L$2:$L$2022)</f>
        <v>0</v>
      </c>
      <c r="J59" s="12">
        <f>SUMIF(Mercado_Receita!$S$2:$S$2022,"44378B2BrancaRuralServiço público de irrigação ruralNão se aplicaNão se aplicaIntermediário",Mercado_Receita!$L$2:$L$2022)</f>
        <v>0</v>
      </c>
      <c r="K59" s="12">
        <f>SUMIF(Mercado_Receita!$S$2:$S$2022,"44409B2BrancaRuralServiço público de irrigação ruralNão se aplicaNão se aplicaIntermediário",Mercado_Receita!$L$2:$L$2022)</f>
        <v>0</v>
      </c>
      <c r="L59" s="12">
        <f>SUMIF(Mercado_Receita!$S$2:$S$2022,"44440B2BrancaRuralServiço público de irrigação ruralNão se aplicaNão se aplicaIntermediário",Mercado_Receita!$L$2:$L$2022)</f>
        <v>0</v>
      </c>
      <c r="M59" s="12">
        <f>SUMIF(Mercado_Receita!$S$2:$S$2022,"44470B2BrancaRuralServiço público de irrigação ruralNão se aplicaNão se aplicaIntermediário",Mercado_Receita!$L$2:$L$2022)</f>
        <v>0</v>
      </c>
      <c r="N59" s="12">
        <f>SUMIF(Mercado_Receita!$S$2:$S$2022,"44501B2BrancaRuralServiço público de irrigação ruralNão se aplicaNão se aplicaIntermediário",Mercado_Receita!$L$2:$L$2022)</f>
        <v>0</v>
      </c>
      <c r="O59" s="12">
        <f>SUMIF(Mercado_Receita!$S$2:$S$2022,"44531B2BrancaRuralServiço público de irrigação ruralNão se aplicaNão se aplicaIntermediário",Mercado_Receita!$L$2:$L$2022)</f>
        <v>0</v>
      </c>
      <c r="P59" s="12">
        <f>SUMIF(Mercado_Receita!$S$2:$S$2022,"44562B2BrancaRuralServiço público de irrigação ruralNão se aplicaNão se aplicaIntermediário",Mercado_Receita!$L$2:$L$2022)</f>
        <v>0</v>
      </c>
      <c r="Q59" s="12">
        <f>SUMIF(Mercado_Receita!$S$2:$S$2022,"44593B2BrancaRuralServiço público de irrigação ruralNão se aplicaNão se aplicaIntermediário",Mercado_Receita!$L$2:$L$2022)</f>
        <v>0</v>
      </c>
      <c r="R59" s="12">
        <f>SUMIF(Mercado_Receita!$S$2:$S$2022,"44621B2BrancaRuralServiço público de irrigação ruralNão se aplicaNão se aplicaIntermediário",Mercado_Receita!$L$2:$L$2022)</f>
        <v>0</v>
      </c>
      <c r="S59" s="12">
        <f>SUMIF(Mercado_Receita!$S$2:$S$2022,"44652B2BrancaRuralServiço público de irrigação ruralNão se aplicaNão se aplicaIntermediário",Mercado_Receita!$L$2:$L$2022)</f>
        <v>0</v>
      </c>
      <c r="T59" s="12">
        <f>SUMIF(Mercado_Receita!$S$2:$S$2022,"44682B2BrancaRuralServiço público de irrigação ruralNão se aplicaNão se aplicaIntermediário",Mercado_Receita!$L$2:$L$2022)</f>
        <v>0</v>
      </c>
      <c r="U59" s="12">
        <f t="shared" si="1"/>
        <v>0</v>
      </c>
      <c r="V59" s="12"/>
      <c r="W59" s="12"/>
    </row>
    <row r="60" spans="1:23" ht="11.25" customHeight="1" x14ac:dyDescent="0.25">
      <c r="A60" s="102"/>
      <c r="B60" s="102"/>
      <c r="C60" s="102"/>
      <c r="D60" s="102"/>
      <c r="E60" s="102"/>
      <c r="F60" s="102"/>
      <c r="G60" s="12" t="s">
        <v>119</v>
      </c>
      <c r="H60" s="12" t="s">
        <v>117</v>
      </c>
      <c r="I60" s="12">
        <f>SUMIF(Mercado_Receita!$S$2:$S$2022,"44348B2BrancaRuralServiço público de irrigação ruralNão se aplicaNão se aplicaFora ponta",Mercado_Receita!$L$2:$L$2022)</f>
        <v>0</v>
      </c>
      <c r="J60" s="12">
        <f>SUMIF(Mercado_Receita!$S$2:$S$2022,"44378B2BrancaRuralServiço público de irrigação ruralNão se aplicaNão se aplicaFora ponta",Mercado_Receita!$L$2:$L$2022)</f>
        <v>0</v>
      </c>
      <c r="K60" s="12">
        <f>SUMIF(Mercado_Receita!$S$2:$S$2022,"44409B2BrancaRuralServiço público de irrigação ruralNão se aplicaNão se aplicaFora ponta",Mercado_Receita!$L$2:$L$2022)</f>
        <v>0</v>
      </c>
      <c r="L60" s="12">
        <f>SUMIF(Mercado_Receita!$S$2:$S$2022,"44440B2BrancaRuralServiço público de irrigação ruralNão se aplicaNão se aplicaFora ponta",Mercado_Receita!$L$2:$L$2022)</f>
        <v>0</v>
      </c>
      <c r="M60" s="12">
        <f>SUMIF(Mercado_Receita!$S$2:$S$2022,"44470B2BrancaRuralServiço público de irrigação ruralNão se aplicaNão se aplicaFora ponta",Mercado_Receita!$L$2:$L$2022)</f>
        <v>0</v>
      </c>
      <c r="N60" s="12">
        <f>SUMIF(Mercado_Receita!$S$2:$S$2022,"44501B2BrancaRuralServiço público de irrigação ruralNão se aplicaNão se aplicaFora ponta",Mercado_Receita!$L$2:$L$2022)</f>
        <v>0</v>
      </c>
      <c r="O60" s="12">
        <f>SUMIF(Mercado_Receita!$S$2:$S$2022,"44531B2BrancaRuralServiço público de irrigação ruralNão se aplicaNão se aplicaFora ponta",Mercado_Receita!$L$2:$L$2022)</f>
        <v>0</v>
      </c>
      <c r="P60" s="12">
        <f>SUMIF(Mercado_Receita!$S$2:$S$2022,"44562B2BrancaRuralServiço público de irrigação ruralNão se aplicaNão se aplicaFora ponta",Mercado_Receita!$L$2:$L$2022)</f>
        <v>0</v>
      </c>
      <c r="Q60" s="12">
        <f>SUMIF(Mercado_Receita!$S$2:$S$2022,"44593B2BrancaRuralServiço público de irrigação ruralNão se aplicaNão se aplicaFora ponta",Mercado_Receita!$L$2:$L$2022)</f>
        <v>0</v>
      </c>
      <c r="R60" s="12">
        <f>SUMIF(Mercado_Receita!$S$2:$S$2022,"44621B2BrancaRuralServiço público de irrigação ruralNão se aplicaNão se aplicaFora ponta",Mercado_Receita!$L$2:$L$2022)</f>
        <v>0</v>
      </c>
      <c r="S60" s="12">
        <f>SUMIF(Mercado_Receita!$S$2:$S$2022,"44652B2BrancaRuralServiço público de irrigação ruralNão se aplicaNão se aplicaFora ponta",Mercado_Receita!$L$2:$L$2022)</f>
        <v>0</v>
      </c>
      <c r="T60" s="12">
        <f>SUMIF(Mercado_Receita!$S$2:$S$2022,"44682B2BrancaRuralServiço público de irrigação ruralNão se aplicaNão se aplicaFora ponta",Mercado_Receita!$L$2:$L$2022)</f>
        <v>0</v>
      </c>
      <c r="U60" s="12">
        <f t="shared" si="1"/>
        <v>0</v>
      </c>
      <c r="V60" s="12"/>
      <c r="W60" s="12"/>
    </row>
    <row r="61" spans="1:23" ht="11.25" customHeight="1" x14ac:dyDescent="0.25">
      <c r="A61" s="102"/>
      <c r="B61" s="13" t="s">
        <v>23</v>
      </c>
      <c r="C61" s="13" t="s">
        <v>45</v>
      </c>
      <c r="D61" s="13" t="s">
        <v>133</v>
      </c>
      <c r="E61" s="13" t="s">
        <v>25</v>
      </c>
      <c r="F61" s="13" t="s">
        <v>25</v>
      </c>
      <c r="G61" s="12" t="s">
        <v>123</v>
      </c>
      <c r="H61" s="12" t="s">
        <v>117</v>
      </c>
      <c r="I61" s="12">
        <f>SUMIF(Mercado_Receita!$S$2:$S$2022,"44348B2ConvencionalRuralServiço público de irrigação ruralNão se aplicaNão se aplicaPonta",Mercado_Receita!$L$2:$L$2022)+SUMIF(Mercado_Receita!$S$2:$S$2022,"44348B2ConvencionalRuralServiço público de irrigação ruralNão se aplicaNão se aplicaFora ponta",Mercado_Receita!$L$2:$L$2022)+SUMIF(Mercado_Receita!$S$2:$S$2022,"44348B2ConvencionalRuralServiço público de irrigação ruralNão se aplicaNão se aplicaIntermediário",Mercado_Receita!$L$2:$L$2022)+SUMIF(Mercado_Receita!$S$2:$S$2022,"44348B2ConvencionalRuralServiço público de irrigação ruralNão se aplicaNão se aplicaNão se aplica",Mercado_Receita!$L$2:$L$2022)</f>
        <v>0</v>
      </c>
      <c r="J61" s="12">
        <f>SUMIF(Mercado_Receita!$S$2:$S$2022,"44378B2ConvencionalRuralServiço público de irrigação ruralNão se aplicaNão se aplicaPonta",Mercado_Receita!$L$2:$L$2022)+SUMIF(Mercado_Receita!$S$2:$S$2022,"44378B2ConvencionalRuralServiço público de irrigação ruralNão se aplicaNão se aplicaFora ponta",Mercado_Receita!$L$2:$L$2022)+SUMIF(Mercado_Receita!$S$2:$S$2022,"44378B2ConvencionalRuralServiço público de irrigação ruralNão se aplicaNão se aplicaIntermediário",Mercado_Receita!$L$2:$L$2022)+SUMIF(Mercado_Receita!$S$2:$S$2022,"44378B2ConvencionalRuralServiço público de irrigação ruralNão se aplicaNão se aplicaNão se aplica",Mercado_Receita!$L$2:$L$2022)</f>
        <v>0</v>
      </c>
      <c r="K61" s="12">
        <f>SUMIF(Mercado_Receita!$S$2:$S$2022,"44409B2ConvencionalRuralServiço público de irrigação ruralNão se aplicaNão se aplicaPonta",Mercado_Receita!$L$2:$L$2022)+SUMIF(Mercado_Receita!$S$2:$S$2022,"44409B2ConvencionalRuralServiço público de irrigação ruralNão se aplicaNão se aplicaFora ponta",Mercado_Receita!$L$2:$L$2022)+SUMIF(Mercado_Receita!$S$2:$S$2022,"44409B2ConvencionalRuralServiço público de irrigação ruralNão se aplicaNão se aplicaIntermediário",Mercado_Receita!$L$2:$L$2022)+SUMIF(Mercado_Receita!$S$2:$S$2022,"44409B2ConvencionalRuralServiço público de irrigação ruralNão se aplicaNão se aplicaNão se aplica",Mercado_Receita!$L$2:$L$2022)</f>
        <v>0</v>
      </c>
      <c r="L61" s="12">
        <f>SUMIF(Mercado_Receita!$S$2:$S$2022,"44440B2ConvencionalRuralServiço público de irrigação ruralNão se aplicaNão se aplicaPonta",Mercado_Receita!$L$2:$L$2022)+SUMIF(Mercado_Receita!$S$2:$S$2022,"44440B2ConvencionalRuralServiço público de irrigação ruralNão se aplicaNão se aplicaFora ponta",Mercado_Receita!$L$2:$L$2022)+SUMIF(Mercado_Receita!$S$2:$S$2022,"44440B2ConvencionalRuralServiço público de irrigação ruralNão se aplicaNão se aplicaIntermediário",Mercado_Receita!$L$2:$L$2022)+SUMIF(Mercado_Receita!$S$2:$S$2022,"44440B2ConvencionalRuralServiço público de irrigação ruralNão se aplicaNão se aplicaNão se aplica",Mercado_Receita!$L$2:$L$2022)</f>
        <v>0</v>
      </c>
      <c r="M61" s="12">
        <f>SUMIF(Mercado_Receita!$S$2:$S$2022,"44470B2ConvencionalRuralServiço público de irrigação ruralNão se aplicaNão se aplicaPonta",Mercado_Receita!$L$2:$L$2022)+SUMIF(Mercado_Receita!$S$2:$S$2022,"44470B2ConvencionalRuralServiço público de irrigação ruralNão se aplicaNão se aplicaFora ponta",Mercado_Receita!$L$2:$L$2022)+SUMIF(Mercado_Receita!$S$2:$S$2022,"44470B2ConvencionalRuralServiço público de irrigação ruralNão se aplicaNão se aplicaIntermediário",Mercado_Receita!$L$2:$L$2022)+SUMIF(Mercado_Receita!$S$2:$S$2022,"44470B2ConvencionalRuralServiço público de irrigação ruralNão se aplicaNão se aplicaNão se aplica",Mercado_Receita!$L$2:$L$2022)</f>
        <v>0</v>
      </c>
      <c r="N61" s="12">
        <f>SUMIF(Mercado_Receita!$S$2:$S$2022,"44501B2ConvencionalRuralServiço público de irrigação ruralNão se aplicaNão se aplicaPonta",Mercado_Receita!$L$2:$L$2022)+SUMIF(Mercado_Receita!$S$2:$S$2022,"44501B2ConvencionalRuralServiço público de irrigação ruralNão se aplicaNão se aplicaFora ponta",Mercado_Receita!$L$2:$L$2022)+SUMIF(Mercado_Receita!$S$2:$S$2022,"44501B2ConvencionalRuralServiço público de irrigação ruralNão se aplicaNão se aplicaIntermediário",Mercado_Receita!$L$2:$L$2022)+SUMIF(Mercado_Receita!$S$2:$S$2022,"44501B2ConvencionalRuralServiço público de irrigação ruralNão se aplicaNão se aplicaNão se aplica",Mercado_Receita!$L$2:$L$2022)</f>
        <v>0</v>
      </c>
      <c r="O61" s="12">
        <f>SUMIF(Mercado_Receita!$S$2:$S$2022,"44531B2ConvencionalRuralServiço público de irrigação ruralNão se aplicaNão se aplicaPonta",Mercado_Receita!$L$2:$L$2022)+SUMIF(Mercado_Receita!$S$2:$S$2022,"44531B2ConvencionalRuralServiço público de irrigação ruralNão se aplicaNão se aplicaFora ponta",Mercado_Receita!$L$2:$L$2022)+SUMIF(Mercado_Receita!$S$2:$S$2022,"44531B2ConvencionalRuralServiço público de irrigação ruralNão se aplicaNão se aplicaIntermediário",Mercado_Receita!$L$2:$L$2022)+SUMIF(Mercado_Receita!$S$2:$S$2022,"44531B2ConvencionalRuralServiço público de irrigação ruralNão se aplicaNão se aplicaNão se aplica",Mercado_Receita!$L$2:$L$2022)</f>
        <v>0</v>
      </c>
      <c r="P61" s="12">
        <f>SUMIF(Mercado_Receita!$S$2:$S$2022,"44562B2ConvencionalRuralServiço público de irrigação ruralNão se aplicaNão se aplicaPonta",Mercado_Receita!$L$2:$L$2022)+SUMIF(Mercado_Receita!$S$2:$S$2022,"44562B2ConvencionalRuralServiço público de irrigação ruralNão se aplicaNão se aplicaFora ponta",Mercado_Receita!$L$2:$L$2022)+SUMIF(Mercado_Receita!$S$2:$S$2022,"44562B2ConvencionalRuralServiço público de irrigação ruralNão se aplicaNão se aplicaIntermediário",Mercado_Receita!$L$2:$L$2022)+SUMIF(Mercado_Receita!$S$2:$S$2022,"44562B2ConvencionalRuralServiço público de irrigação ruralNão se aplicaNão se aplicaNão se aplica",Mercado_Receita!$L$2:$L$2022)</f>
        <v>0</v>
      </c>
      <c r="Q61" s="12">
        <f>SUMIF(Mercado_Receita!$S$2:$S$2022,"44593B2ConvencionalRuralServiço público de irrigação ruralNão se aplicaNão se aplicaPonta",Mercado_Receita!$L$2:$L$2022)+SUMIF(Mercado_Receita!$S$2:$S$2022,"44593B2ConvencionalRuralServiço público de irrigação ruralNão se aplicaNão se aplicaFora ponta",Mercado_Receita!$L$2:$L$2022)+SUMIF(Mercado_Receita!$S$2:$S$2022,"44593B2ConvencionalRuralServiço público de irrigação ruralNão se aplicaNão se aplicaIntermediário",Mercado_Receita!$L$2:$L$2022)+SUMIF(Mercado_Receita!$S$2:$S$2022,"44593B2ConvencionalRuralServiço público de irrigação ruralNão se aplicaNão se aplicaNão se aplica",Mercado_Receita!$L$2:$L$2022)</f>
        <v>0</v>
      </c>
      <c r="R61" s="12">
        <f>SUMIF(Mercado_Receita!$S$2:$S$2022,"44621B2ConvencionalRuralServiço público de irrigação ruralNão se aplicaNão se aplicaPonta",Mercado_Receita!$L$2:$L$2022)+SUMIF(Mercado_Receita!$S$2:$S$2022,"44621B2ConvencionalRuralServiço público de irrigação ruralNão se aplicaNão se aplicaFora ponta",Mercado_Receita!$L$2:$L$2022)+SUMIF(Mercado_Receita!$S$2:$S$2022,"44621B2ConvencionalRuralServiço público de irrigação ruralNão se aplicaNão se aplicaIntermediário",Mercado_Receita!$L$2:$L$2022)+SUMIF(Mercado_Receita!$S$2:$S$2022,"44621B2ConvencionalRuralServiço público de irrigação ruralNão se aplicaNão se aplicaNão se aplica",Mercado_Receita!$L$2:$L$2022)</f>
        <v>0</v>
      </c>
      <c r="S61" s="12">
        <f>SUMIF(Mercado_Receita!$S$2:$S$2022,"44652B2ConvencionalRuralServiço público de irrigação ruralNão se aplicaNão se aplicaPonta",Mercado_Receita!$L$2:$L$2022)+SUMIF(Mercado_Receita!$S$2:$S$2022,"44652B2ConvencionalRuralServiço público de irrigação ruralNão se aplicaNão se aplicaFora ponta",Mercado_Receita!$L$2:$L$2022)+SUMIF(Mercado_Receita!$S$2:$S$2022,"44652B2ConvencionalRuralServiço público de irrigação ruralNão se aplicaNão se aplicaIntermediário",Mercado_Receita!$L$2:$L$2022)+SUMIF(Mercado_Receita!$S$2:$S$2022,"44652B2ConvencionalRuralServiço público de irrigação ruralNão se aplicaNão se aplicaNão se aplica",Mercado_Receita!$L$2:$L$2022)</f>
        <v>0</v>
      </c>
      <c r="T61" s="12">
        <f>SUMIF(Mercado_Receita!$S$2:$S$2022,"44682B2ConvencionalRuralServiço público de irrigação ruralNão se aplicaNão se aplicaPonta",Mercado_Receita!$L$2:$L$2022)+SUMIF(Mercado_Receita!$S$2:$S$2022,"44682B2ConvencionalRuralServiço público de irrigação ruralNão se aplicaNão se aplicaFora ponta",Mercado_Receita!$L$2:$L$2022)+SUMIF(Mercado_Receita!$S$2:$S$2022,"44682B2ConvencionalRuralServiço público de irrigação ruralNão se aplicaNão se aplicaIntermediário",Mercado_Receita!$L$2:$L$2022)+SUMIF(Mercado_Receita!$S$2:$S$2022,"44682B2ConvencionalRuralServiço público de irrigação ruralNão se aplicaNão se aplicaNão se aplica",Mercado_Receita!$L$2:$L$2022)</f>
        <v>0</v>
      </c>
      <c r="U61" s="12">
        <f t="shared" si="1"/>
        <v>0</v>
      </c>
      <c r="V61" s="12"/>
      <c r="W61" s="12"/>
    </row>
    <row r="62" spans="1:23" ht="11.25" customHeight="1" x14ac:dyDescent="0.25">
      <c r="A62" s="102"/>
      <c r="B62" s="101" t="s">
        <v>131</v>
      </c>
      <c r="C62" s="101" t="s">
        <v>45</v>
      </c>
      <c r="D62" s="13" t="s">
        <v>25</v>
      </c>
      <c r="E62" s="13" t="s">
        <v>25</v>
      </c>
      <c r="F62" s="13" t="s">
        <v>25</v>
      </c>
      <c r="G62" s="12" t="s">
        <v>123</v>
      </c>
      <c r="H62" s="12" t="s">
        <v>117</v>
      </c>
      <c r="I62" s="12">
        <f>SUMIF(Mercado_Receita!$S$2:$S$2022,"44348B2Convencional pré-pagamentoRuralNão se aplicaNão se aplicaNão se aplicaPonta",Mercado_Receita!$L$2:$L$2022)+SUMIF(Mercado_Receita!$S$2:$S$2022,"44348B2Convencional pré-pagamentoRuralNão se aplicaNão se aplicaNão se aplicaFora ponta",Mercado_Receita!$L$2:$L$2022)+SUMIF(Mercado_Receita!$S$2:$S$2022,"44348B2Convencional pré-pagamentoRuralNão se aplicaNão se aplicaNão se aplicaIntermediário",Mercado_Receita!$L$2:$L$2022)+SUMIF(Mercado_Receita!$S$2:$S$2022,"44348B2Convencional pré-pagamentoRuralNão se aplicaNão se aplicaNão se aplicaNão se aplica",Mercado_Receita!$L$2:$L$2022)</f>
        <v>0</v>
      </c>
      <c r="J62" s="12">
        <f>SUMIF(Mercado_Receita!$S$2:$S$2022,"44378B2Convencional pré-pagamentoRuralNão se aplicaNão se aplicaNão se aplicaPonta",Mercado_Receita!$L$2:$L$2022)+SUMIF(Mercado_Receita!$S$2:$S$2022,"44378B2Convencional pré-pagamentoRuralNão se aplicaNão se aplicaNão se aplicaFora ponta",Mercado_Receita!$L$2:$L$2022)+SUMIF(Mercado_Receita!$S$2:$S$2022,"44378B2Convencional pré-pagamentoRuralNão se aplicaNão se aplicaNão se aplicaIntermediário",Mercado_Receita!$L$2:$L$2022)+SUMIF(Mercado_Receita!$S$2:$S$2022,"44378B2Convencional pré-pagamentoRuralNão se aplicaNão se aplicaNão se aplicaNão se aplica",Mercado_Receita!$L$2:$L$2022)</f>
        <v>0</v>
      </c>
      <c r="K62" s="12">
        <f>SUMIF(Mercado_Receita!$S$2:$S$2022,"44409B2Convencional pré-pagamentoRuralNão se aplicaNão se aplicaNão se aplicaPonta",Mercado_Receita!$L$2:$L$2022)+SUMIF(Mercado_Receita!$S$2:$S$2022,"44409B2Convencional pré-pagamentoRuralNão se aplicaNão se aplicaNão se aplicaFora ponta",Mercado_Receita!$L$2:$L$2022)+SUMIF(Mercado_Receita!$S$2:$S$2022,"44409B2Convencional pré-pagamentoRuralNão se aplicaNão se aplicaNão se aplicaIntermediário",Mercado_Receita!$L$2:$L$2022)+SUMIF(Mercado_Receita!$S$2:$S$2022,"44409B2Convencional pré-pagamentoRuralNão se aplicaNão se aplicaNão se aplicaNão se aplica",Mercado_Receita!$L$2:$L$2022)</f>
        <v>0</v>
      </c>
      <c r="L62" s="12">
        <f>SUMIF(Mercado_Receita!$S$2:$S$2022,"44440B2Convencional pré-pagamentoRuralNão se aplicaNão se aplicaNão se aplicaPonta",Mercado_Receita!$L$2:$L$2022)+SUMIF(Mercado_Receita!$S$2:$S$2022,"44440B2Convencional pré-pagamentoRuralNão se aplicaNão se aplicaNão se aplicaFora ponta",Mercado_Receita!$L$2:$L$2022)+SUMIF(Mercado_Receita!$S$2:$S$2022,"44440B2Convencional pré-pagamentoRuralNão se aplicaNão se aplicaNão se aplicaIntermediário",Mercado_Receita!$L$2:$L$2022)+SUMIF(Mercado_Receita!$S$2:$S$2022,"44440B2Convencional pré-pagamentoRuralNão se aplicaNão se aplicaNão se aplicaNão se aplica",Mercado_Receita!$L$2:$L$2022)</f>
        <v>0</v>
      </c>
      <c r="M62" s="12">
        <f>SUMIF(Mercado_Receita!$S$2:$S$2022,"44470B2Convencional pré-pagamentoRuralNão se aplicaNão se aplicaNão se aplicaPonta",Mercado_Receita!$L$2:$L$2022)+SUMIF(Mercado_Receita!$S$2:$S$2022,"44470B2Convencional pré-pagamentoRuralNão se aplicaNão se aplicaNão se aplicaFora ponta",Mercado_Receita!$L$2:$L$2022)+SUMIF(Mercado_Receita!$S$2:$S$2022,"44470B2Convencional pré-pagamentoRuralNão se aplicaNão se aplicaNão se aplicaIntermediário",Mercado_Receita!$L$2:$L$2022)+SUMIF(Mercado_Receita!$S$2:$S$2022,"44470B2Convencional pré-pagamentoRuralNão se aplicaNão se aplicaNão se aplicaNão se aplica",Mercado_Receita!$L$2:$L$2022)</f>
        <v>0</v>
      </c>
      <c r="N62" s="12">
        <f>SUMIF(Mercado_Receita!$S$2:$S$2022,"44501B2Convencional pré-pagamentoRuralNão se aplicaNão se aplicaNão se aplicaPonta",Mercado_Receita!$L$2:$L$2022)+SUMIF(Mercado_Receita!$S$2:$S$2022,"44501B2Convencional pré-pagamentoRuralNão se aplicaNão se aplicaNão se aplicaFora ponta",Mercado_Receita!$L$2:$L$2022)+SUMIF(Mercado_Receita!$S$2:$S$2022,"44501B2Convencional pré-pagamentoRuralNão se aplicaNão se aplicaNão se aplicaIntermediário",Mercado_Receita!$L$2:$L$2022)+SUMIF(Mercado_Receita!$S$2:$S$2022,"44501B2Convencional pré-pagamentoRuralNão se aplicaNão se aplicaNão se aplicaNão se aplica",Mercado_Receita!$L$2:$L$2022)</f>
        <v>0</v>
      </c>
      <c r="O62" s="12">
        <f>SUMIF(Mercado_Receita!$S$2:$S$2022,"44531B2Convencional pré-pagamentoRuralNão se aplicaNão se aplicaNão se aplicaPonta",Mercado_Receita!$L$2:$L$2022)+SUMIF(Mercado_Receita!$S$2:$S$2022,"44531B2Convencional pré-pagamentoRuralNão se aplicaNão se aplicaNão se aplicaFora ponta",Mercado_Receita!$L$2:$L$2022)+SUMIF(Mercado_Receita!$S$2:$S$2022,"44531B2Convencional pré-pagamentoRuralNão se aplicaNão se aplicaNão se aplicaIntermediário",Mercado_Receita!$L$2:$L$2022)+SUMIF(Mercado_Receita!$S$2:$S$2022,"44531B2Convencional pré-pagamentoRuralNão se aplicaNão se aplicaNão se aplicaNão se aplica",Mercado_Receita!$L$2:$L$2022)</f>
        <v>0</v>
      </c>
      <c r="P62" s="12">
        <f>SUMIF(Mercado_Receita!$S$2:$S$2022,"44562B2Convencional pré-pagamentoRuralNão se aplicaNão se aplicaNão se aplicaPonta",Mercado_Receita!$L$2:$L$2022)+SUMIF(Mercado_Receita!$S$2:$S$2022,"44562B2Convencional pré-pagamentoRuralNão se aplicaNão se aplicaNão se aplicaFora ponta",Mercado_Receita!$L$2:$L$2022)+SUMIF(Mercado_Receita!$S$2:$S$2022,"44562B2Convencional pré-pagamentoRuralNão se aplicaNão se aplicaNão se aplicaIntermediário",Mercado_Receita!$L$2:$L$2022)+SUMIF(Mercado_Receita!$S$2:$S$2022,"44562B2Convencional pré-pagamentoRuralNão se aplicaNão se aplicaNão se aplicaNão se aplica",Mercado_Receita!$L$2:$L$2022)</f>
        <v>0</v>
      </c>
      <c r="Q62" s="12">
        <f>SUMIF(Mercado_Receita!$S$2:$S$2022,"44593B2Convencional pré-pagamentoRuralNão se aplicaNão se aplicaNão se aplicaPonta",Mercado_Receita!$L$2:$L$2022)+SUMIF(Mercado_Receita!$S$2:$S$2022,"44593B2Convencional pré-pagamentoRuralNão se aplicaNão se aplicaNão se aplicaFora ponta",Mercado_Receita!$L$2:$L$2022)+SUMIF(Mercado_Receita!$S$2:$S$2022,"44593B2Convencional pré-pagamentoRuralNão se aplicaNão se aplicaNão se aplicaIntermediário",Mercado_Receita!$L$2:$L$2022)+SUMIF(Mercado_Receita!$S$2:$S$2022,"44593B2Convencional pré-pagamentoRuralNão se aplicaNão se aplicaNão se aplicaNão se aplica",Mercado_Receita!$L$2:$L$2022)</f>
        <v>0</v>
      </c>
      <c r="R62" s="12">
        <f>SUMIF(Mercado_Receita!$S$2:$S$2022,"44621B2Convencional pré-pagamentoRuralNão se aplicaNão se aplicaNão se aplicaPonta",Mercado_Receita!$L$2:$L$2022)+SUMIF(Mercado_Receita!$S$2:$S$2022,"44621B2Convencional pré-pagamentoRuralNão se aplicaNão se aplicaNão se aplicaFora ponta",Mercado_Receita!$L$2:$L$2022)+SUMIF(Mercado_Receita!$S$2:$S$2022,"44621B2Convencional pré-pagamentoRuralNão se aplicaNão se aplicaNão se aplicaIntermediário",Mercado_Receita!$L$2:$L$2022)+SUMIF(Mercado_Receita!$S$2:$S$2022,"44621B2Convencional pré-pagamentoRuralNão se aplicaNão se aplicaNão se aplicaNão se aplica",Mercado_Receita!$L$2:$L$2022)</f>
        <v>0</v>
      </c>
      <c r="S62" s="12">
        <f>SUMIF(Mercado_Receita!$S$2:$S$2022,"44652B2Convencional pré-pagamentoRuralNão se aplicaNão se aplicaNão se aplicaPonta",Mercado_Receita!$L$2:$L$2022)+SUMIF(Mercado_Receita!$S$2:$S$2022,"44652B2Convencional pré-pagamentoRuralNão se aplicaNão se aplicaNão se aplicaFora ponta",Mercado_Receita!$L$2:$L$2022)+SUMIF(Mercado_Receita!$S$2:$S$2022,"44652B2Convencional pré-pagamentoRuralNão se aplicaNão se aplicaNão se aplicaIntermediário",Mercado_Receita!$L$2:$L$2022)+SUMIF(Mercado_Receita!$S$2:$S$2022,"44652B2Convencional pré-pagamentoRuralNão se aplicaNão se aplicaNão se aplicaNão se aplica",Mercado_Receita!$L$2:$L$2022)</f>
        <v>0</v>
      </c>
      <c r="T62" s="12">
        <f>SUMIF(Mercado_Receita!$S$2:$S$2022,"44682B2Convencional pré-pagamentoRuralNão se aplicaNão se aplicaNão se aplicaPonta",Mercado_Receita!$L$2:$L$2022)+SUMIF(Mercado_Receita!$S$2:$S$2022,"44682B2Convencional pré-pagamentoRuralNão se aplicaNão se aplicaNão se aplicaFora ponta",Mercado_Receita!$L$2:$L$2022)+SUMIF(Mercado_Receita!$S$2:$S$2022,"44682B2Convencional pré-pagamentoRuralNão se aplicaNão se aplicaNão se aplicaIntermediário",Mercado_Receita!$L$2:$L$2022)+SUMIF(Mercado_Receita!$S$2:$S$2022,"44682B2Convencional pré-pagamentoRuralNão se aplicaNão se aplicaNão se aplicaNão se aplica",Mercado_Receita!$L$2:$L$2022)</f>
        <v>0</v>
      </c>
      <c r="U62" s="12">
        <f t="shared" si="1"/>
        <v>0</v>
      </c>
      <c r="V62" s="12"/>
      <c r="W62" s="12"/>
    </row>
    <row r="63" spans="1:23" ht="11.25" customHeight="1" x14ac:dyDescent="0.25">
      <c r="A63" s="102"/>
      <c r="B63" s="102"/>
      <c r="C63" s="102"/>
      <c r="D63" s="13" t="s">
        <v>132</v>
      </c>
      <c r="E63" s="13" t="s">
        <v>25</v>
      </c>
      <c r="F63" s="13" t="s">
        <v>25</v>
      </c>
      <c r="G63" s="12" t="s">
        <v>123</v>
      </c>
      <c r="H63" s="12" t="s">
        <v>117</v>
      </c>
      <c r="I63" s="12">
        <f>SUMIF(Mercado_Receita!$S$2:$S$2022,"44348B2Convencional pré-pagamentoRuralCooperativa de eletrificação ruralNão se aplicaNão se aplicaPonta",Mercado_Receita!$L$2:$L$2022)+SUMIF(Mercado_Receita!$S$2:$S$2022,"44348B2Convencional pré-pagamentoRuralCooperativa de eletrificação ruralNão se aplicaNão se aplicaFora ponta",Mercado_Receita!$L$2:$L$2022)+SUMIF(Mercado_Receita!$S$2:$S$2022,"44348B2Convencional pré-pagamentoRuralCooperativa de eletrificação ruralNão se aplicaNão se aplicaIntermediário",Mercado_Receita!$L$2:$L$2022)+SUMIF(Mercado_Receita!$S$2:$S$2022,"44348B2Convencional pré-pagamentoRuralCooperativa de eletrificação ruralNão se aplicaNão se aplicaNão se aplica",Mercado_Receita!$L$2:$L$2022)</f>
        <v>0</v>
      </c>
      <c r="J63" s="12">
        <f>SUMIF(Mercado_Receita!$S$2:$S$2022,"44378B2Convencional pré-pagamentoRuralCooperativa de eletrificação ruralNão se aplicaNão se aplicaPonta",Mercado_Receita!$L$2:$L$2022)+SUMIF(Mercado_Receita!$S$2:$S$2022,"44378B2Convencional pré-pagamentoRuralCooperativa de eletrificação ruralNão se aplicaNão se aplicaFora ponta",Mercado_Receita!$L$2:$L$2022)+SUMIF(Mercado_Receita!$S$2:$S$2022,"44378B2Convencional pré-pagamentoRuralCooperativa de eletrificação ruralNão se aplicaNão se aplicaIntermediário",Mercado_Receita!$L$2:$L$2022)+SUMIF(Mercado_Receita!$S$2:$S$2022,"44378B2Convencional pré-pagamentoRuralCooperativa de eletrificação ruralNão se aplicaNão se aplicaNão se aplica",Mercado_Receita!$L$2:$L$2022)</f>
        <v>0</v>
      </c>
      <c r="K63" s="12">
        <f>SUMIF(Mercado_Receita!$S$2:$S$2022,"44409B2Convencional pré-pagamentoRuralCooperativa de eletrificação ruralNão se aplicaNão se aplicaPonta",Mercado_Receita!$L$2:$L$2022)+SUMIF(Mercado_Receita!$S$2:$S$2022,"44409B2Convencional pré-pagamentoRuralCooperativa de eletrificação ruralNão se aplicaNão se aplicaFora ponta",Mercado_Receita!$L$2:$L$2022)+SUMIF(Mercado_Receita!$S$2:$S$2022,"44409B2Convencional pré-pagamentoRuralCooperativa de eletrificação ruralNão se aplicaNão se aplicaIntermediário",Mercado_Receita!$L$2:$L$2022)+SUMIF(Mercado_Receita!$S$2:$S$2022,"44409B2Convencional pré-pagamentoRuralCooperativa de eletrificação ruralNão se aplicaNão se aplicaNão se aplica",Mercado_Receita!$L$2:$L$2022)</f>
        <v>0</v>
      </c>
      <c r="L63" s="12">
        <f>SUMIF(Mercado_Receita!$S$2:$S$2022,"44440B2Convencional pré-pagamentoRuralCooperativa de eletrificação ruralNão se aplicaNão se aplicaPonta",Mercado_Receita!$L$2:$L$2022)+SUMIF(Mercado_Receita!$S$2:$S$2022,"44440B2Convencional pré-pagamentoRuralCooperativa de eletrificação ruralNão se aplicaNão se aplicaFora ponta",Mercado_Receita!$L$2:$L$2022)+SUMIF(Mercado_Receita!$S$2:$S$2022,"44440B2Convencional pré-pagamentoRuralCooperativa de eletrificação ruralNão se aplicaNão se aplicaIntermediário",Mercado_Receita!$L$2:$L$2022)+SUMIF(Mercado_Receita!$S$2:$S$2022,"44440B2Convencional pré-pagamentoRuralCooperativa de eletrificação ruralNão se aplicaNão se aplicaNão se aplica",Mercado_Receita!$L$2:$L$2022)</f>
        <v>0</v>
      </c>
      <c r="M63" s="12">
        <f>SUMIF(Mercado_Receita!$S$2:$S$2022,"44470B2Convencional pré-pagamentoRuralCooperativa de eletrificação ruralNão se aplicaNão se aplicaPonta",Mercado_Receita!$L$2:$L$2022)+SUMIF(Mercado_Receita!$S$2:$S$2022,"44470B2Convencional pré-pagamentoRuralCooperativa de eletrificação ruralNão se aplicaNão se aplicaFora ponta",Mercado_Receita!$L$2:$L$2022)+SUMIF(Mercado_Receita!$S$2:$S$2022,"44470B2Convencional pré-pagamentoRuralCooperativa de eletrificação ruralNão se aplicaNão se aplicaIntermediário",Mercado_Receita!$L$2:$L$2022)+SUMIF(Mercado_Receita!$S$2:$S$2022,"44470B2Convencional pré-pagamentoRuralCooperativa de eletrificação ruralNão se aplicaNão se aplicaNão se aplica",Mercado_Receita!$L$2:$L$2022)</f>
        <v>0</v>
      </c>
      <c r="N63" s="12">
        <f>SUMIF(Mercado_Receita!$S$2:$S$2022,"44501B2Convencional pré-pagamentoRuralCooperativa de eletrificação ruralNão se aplicaNão se aplicaPonta",Mercado_Receita!$L$2:$L$2022)+SUMIF(Mercado_Receita!$S$2:$S$2022,"44501B2Convencional pré-pagamentoRuralCooperativa de eletrificação ruralNão se aplicaNão se aplicaFora ponta",Mercado_Receita!$L$2:$L$2022)+SUMIF(Mercado_Receita!$S$2:$S$2022,"44501B2Convencional pré-pagamentoRuralCooperativa de eletrificação ruralNão se aplicaNão se aplicaIntermediário",Mercado_Receita!$L$2:$L$2022)+SUMIF(Mercado_Receita!$S$2:$S$2022,"44501B2Convencional pré-pagamentoRuralCooperativa de eletrificação ruralNão se aplicaNão se aplicaNão se aplica",Mercado_Receita!$L$2:$L$2022)</f>
        <v>0</v>
      </c>
      <c r="O63" s="12">
        <f>SUMIF(Mercado_Receita!$S$2:$S$2022,"44531B2Convencional pré-pagamentoRuralCooperativa de eletrificação ruralNão se aplicaNão se aplicaPonta",Mercado_Receita!$L$2:$L$2022)+SUMIF(Mercado_Receita!$S$2:$S$2022,"44531B2Convencional pré-pagamentoRuralCooperativa de eletrificação ruralNão se aplicaNão se aplicaFora ponta",Mercado_Receita!$L$2:$L$2022)+SUMIF(Mercado_Receita!$S$2:$S$2022,"44531B2Convencional pré-pagamentoRuralCooperativa de eletrificação ruralNão se aplicaNão se aplicaIntermediário",Mercado_Receita!$L$2:$L$2022)+SUMIF(Mercado_Receita!$S$2:$S$2022,"44531B2Convencional pré-pagamentoRuralCooperativa de eletrificação ruralNão se aplicaNão se aplicaNão se aplica",Mercado_Receita!$L$2:$L$2022)</f>
        <v>0</v>
      </c>
      <c r="P63" s="12">
        <f>SUMIF(Mercado_Receita!$S$2:$S$2022,"44562B2Convencional pré-pagamentoRuralCooperativa de eletrificação ruralNão se aplicaNão se aplicaPonta",Mercado_Receita!$L$2:$L$2022)+SUMIF(Mercado_Receita!$S$2:$S$2022,"44562B2Convencional pré-pagamentoRuralCooperativa de eletrificação ruralNão se aplicaNão se aplicaFora ponta",Mercado_Receita!$L$2:$L$2022)+SUMIF(Mercado_Receita!$S$2:$S$2022,"44562B2Convencional pré-pagamentoRuralCooperativa de eletrificação ruralNão se aplicaNão se aplicaIntermediário",Mercado_Receita!$L$2:$L$2022)+SUMIF(Mercado_Receita!$S$2:$S$2022,"44562B2Convencional pré-pagamentoRuralCooperativa de eletrificação ruralNão se aplicaNão se aplicaNão se aplica",Mercado_Receita!$L$2:$L$2022)</f>
        <v>0</v>
      </c>
      <c r="Q63" s="12">
        <f>SUMIF(Mercado_Receita!$S$2:$S$2022,"44593B2Convencional pré-pagamentoRuralCooperativa de eletrificação ruralNão se aplicaNão se aplicaPonta",Mercado_Receita!$L$2:$L$2022)+SUMIF(Mercado_Receita!$S$2:$S$2022,"44593B2Convencional pré-pagamentoRuralCooperativa de eletrificação ruralNão se aplicaNão se aplicaFora ponta",Mercado_Receita!$L$2:$L$2022)+SUMIF(Mercado_Receita!$S$2:$S$2022,"44593B2Convencional pré-pagamentoRuralCooperativa de eletrificação ruralNão se aplicaNão se aplicaIntermediário",Mercado_Receita!$L$2:$L$2022)+SUMIF(Mercado_Receita!$S$2:$S$2022,"44593B2Convencional pré-pagamentoRuralCooperativa de eletrificação ruralNão se aplicaNão se aplicaNão se aplica",Mercado_Receita!$L$2:$L$2022)</f>
        <v>0</v>
      </c>
      <c r="R63" s="12">
        <f>SUMIF(Mercado_Receita!$S$2:$S$2022,"44621B2Convencional pré-pagamentoRuralCooperativa de eletrificação ruralNão se aplicaNão se aplicaPonta",Mercado_Receita!$L$2:$L$2022)+SUMIF(Mercado_Receita!$S$2:$S$2022,"44621B2Convencional pré-pagamentoRuralCooperativa de eletrificação ruralNão se aplicaNão se aplicaFora ponta",Mercado_Receita!$L$2:$L$2022)+SUMIF(Mercado_Receita!$S$2:$S$2022,"44621B2Convencional pré-pagamentoRuralCooperativa de eletrificação ruralNão se aplicaNão se aplicaIntermediário",Mercado_Receita!$L$2:$L$2022)+SUMIF(Mercado_Receita!$S$2:$S$2022,"44621B2Convencional pré-pagamentoRuralCooperativa de eletrificação ruralNão se aplicaNão se aplicaNão se aplica",Mercado_Receita!$L$2:$L$2022)</f>
        <v>0</v>
      </c>
      <c r="S63" s="12">
        <f>SUMIF(Mercado_Receita!$S$2:$S$2022,"44652B2Convencional pré-pagamentoRuralCooperativa de eletrificação ruralNão se aplicaNão se aplicaPonta",Mercado_Receita!$L$2:$L$2022)+SUMIF(Mercado_Receita!$S$2:$S$2022,"44652B2Convencional pré-pagamentoRuralCooperativa de eletrificação ruralNão se aplicaNão se aplicaFora ponta",Mercado_Receita!$L$2:$L$2022)+SUMIF(Mercado_Receita!$S$2:$S$2022,"44652B2Convencional pré-pagamentoRuralCooperativa de eletrificação ruralNão se aplicaNão se aplicaIntermediário",Mercado_Receita!$L$2:$L$2022)+SUMIF(Mercado_Receita!$S$2:$S$2022,"44652B2Convencional pré-pagamentoRuralCooperativa de eletrificação ruralNão se aplicaNão se aplicaNão se aplica",Mercado_Receita!$L$2:$L$2022)</f>
        <v>0</v>
      </c>
      <c r="T63" s="12">
        <f>SUMIF(Mercado_Receita!$S$2:$S$2022,"44682B2Convencional pré-pagamentoRuralCooperativa de eletrificação ruralNão se aplicaNão se aplicaPonta",Mercado_Receita!$L$2:$L$2022)+SUMIF(Mercado_Receita!$S$2:$S$2022,"44682B2Convencional pré-pagamentoRuralCooperativa de eletrificação ruralNão se aplicaNão se aplicaFora ponta",Mercado_Receita!$L$2:$L$2022)+SUMIF(Mercado_Receita!$S$2:$S$2022,"44682B2Convencional pré-pagamentoRuralCooperativa de eletrificação ruralNão se aplicaNão se aplicaIntermediário",Mercado_Receita!$L$2:$L$2022)+SUMIF(Mercado_Receita!$S$2:$S$2022,"44682B2Convencional pré-pagamentoRuralCooperativa de eletrificação ruralNão se aplicaNão se aplicaNão se aplica",Mercado_Receita!$L$2:$L$2022)</f>
        <v>0</v>
      </c>
      <c r="U63" s="12">
        <f t="shared" si="1"/>
        <v>0</v>
      </c>
      <c r="V63" s="12"/>
      <c r="W63" s="12"/>
    </row>
    <row r="64" spans="1:23" ht="11.25" customHeight="1" x14ac:dyDescent="0.25">
      <c r="A64" s="102"/>
      <c r="B64" s="102"/>
      <c r="C64" s="102"/>
      <c r="D64" s="13" t="s">
        <v>133</v>
      </c>
      <c r="E64" s="13" t="s">
        <v>25</v>
      </c>
      <c r="F64" s="13" t="s">
        <v>25</v>
      </c>
      <c r="G64" s="12" t="s">
        <v>123</v>
      </c>
      <c r="H64" s="12" t="s">
        <v>117</v>
      </c>
      <c r="I64" s="12">
        <f>SUMIF(Mercado_Receita!$S$2:$S$2022,"44348B2Convencional pré-pagamentoRuralServiço público de irrigação ruralNão se aplicaNão se aplicaPonta",Mercado_Receita!$L$2:$L$2022)+SUMIF(Mercado_Receita!$S$2:$S$2022,"44348B2Convencional pré-pagamentoRuralServiço público de irrigação ruralNão se aplicaNão se aplicaFora ponta",Mercado_Receita!$L$2:$L$2022)+SUMIF(Mercado_Receita!$S$2:$S$2022,"44348B2Convencional pré-pagamentoRuralServiço público de irrigação ruralNão se aplicaNão se aplicaIntermediário",Mercado_Receita!$L$2:$L$2022)+SUMIF(Mercado_Receita!$S$2:$S$2022,"44348B2Convencional pré-pagamentoRuralServiço público de irrigação ruralNão se aplicaNão se aplicaNão se aplica",Mercado_Receita!$L$2:$L$2022)</f>
        <v>0</v>
      </c>
      <c r="J64" s="12">
        <f>SUMIF(Mercado_Receita!$S$2:$S$2022,"44378B2Convencional pré-pagamentoRuralServiço público de irrigação ruralNão se aplicaNão se aplicaPonta",Mercado_Receita!$L$2:$L$2022)+SUMIF(Mercado_Receita!$S$2:$S$2022,"44378B2Convencional pré-pagamentoRuralServiço público de irrigação ruralNão se aplicaNão se aplicaFora ponta",Mercado_Receita!$L$2:$L$2022)+SUMIF(Mercado_Receita!$S$2:$S$2022,"44378B2Convencional pré-pagamentoRuralServiço público de irrigação ruralNão se aplicaNão se aplicaIntermediário",Mercado_Receita!$L$2:$L$2022)+SUMIF(Mercado_Receita!$S$2:$S$2022,"44378B2Convencional pré-pagamentoRuralServiço público de irrigação ruralNão se aplicaNão se aplicaNão se aplica",Mercado_Receita!$L$2:$L$2022)</f>
        <v>0</v>
      </c>
      <c r="K64" s="12">
        <f>SUMIF(Mercado_Receita!$S$2:$S$2022,"44409B2Convencional pré-pagamentoRuralServiço público de irrigação ruralNão se aplicaNão se aplicaPonta",Mercado_Receita!$L$2:$L$2022)+SUMIF(Mercado_Receita!$S$2:$S$2022,"44409B2Convencional pré-pagamentoRuralServiço público de irrigação ruralNão se aplicaNão se aplicaFora ponta",Mercado_Receita!$L$2:$L$2022)+SUMIF(Mercado_Receita!$S$2:$S$2022,"44409B2Convencional pré-pagamentoRuralServiço público de irrigação ruralNão se aplicaNão se aplicaIntermediário",Mercado_Receita!$L$2:$L$2022)+SUMIF(Mercado_Receita!$S$2:$S$2022,"44409B2Convencional pré-pagamentoRuralServiço público de irrigação ruralNão se aplicaNão se aplicaNão se aplica",Mercado_Receita!$L$2:$L$2022)</f>
        <v>0</v>
      </c>
      <c r="L64" s="12">
        <f>SUMIF(Mercado_Receita!$S$2:$S$2022,"44440B2Convencional pré-pagamentoRuralServiço público de irrigação ruralNão se aplicaNão se aplicaPonta",Mercado_Receita!$L$2:$L$2022)+SUMIF(Mercado_Receita!$S$2:$S$2022,"44440B2Convencional pré-pagamentoRuralServiço público de irrigação ruralNão se aplicaNão se aplicaFora ponta",Mercado_Receita!$L$2:$L$2022)+SUMIF(Mercado_Receita!$S$2:$S$2022,"44440B2Convencional pré-pagamentoRuralServiço público de irrigação ruralNão se aplicaNão se aplicaIntermediário",Mercado_Receita!$L$2:$L$2022)+SUMIF(Mercado_Receita!$S$2:$S$2022,"44440B2Convencional pré-pagamentoRuralServiço público de irrigação ruralNão se aplicaNão se aplicaNão se aplica",Mercado_Receita!$L$2:$L$2022)</f>
        <v>0</v>
      </c>
      <c r="M64" s="12">
        <f>SUMIF(Mercado_Receita!$S$2:$S$2022,"44470B2Convencional pré-pagamentoRuralServiço público de irrigação ruralNão se aplicaNão se aplicaPonta",Mercado_Receita!$L$2:$L$2022)+SUMIF(Mercado_Receita!$S$2:$S$2022,"44470B2Convencional pré-pagamentoRuralServiço público de irrigação ruralNão se aplicaNão se aplicaFora ponta",Mercado_Receita!$L$2:$L$2022)+SUMIF(Mercado_Receita!$S$2:$S$2022,"44470B2Convencional pré-pagamentoRuralServiço público de irrigação ruralNão se aplicaNão se aplicaIntermediário",Mercado_Receita!$L$2:$L$2022)+SUMIF(Mercado_Receita!$S$2:$S$2022,"44470B2Convencional pré-pagamentoRuralServiço público de irrigação ruralNão se aplicaNão se aplicaNão se aplica",Mercado_Receita!$L$2:$L$2022)</f>
        <v>0</v>
      </c>
      <c r="N64" s="12">
        <f>SUMIF(Mercado_Receita!$S$2:$S$2022,"44501B2Convencional pré-pagamentoRuralServiço público de irrigação ruralNão se aplicaNão se aplicaPonta",Mercado_Receita!$L$2:$L$2022)+SUMIF(Mercado_Receita!$S$2:$S$2022,"44501B2Convencional pré-pagamentoRuralServiço público de irrigação ruralNão se aplicaNão se aplicaFora ponta",Mercado_Receita!$L$2:$L$2022)+SUMIF(Mercado_Receita!$S$2:$S$2022,"44501B2Convencional pré-pagamentoRuralServiço público de irrigação ruralNão se aplicaNão se aplicaIntermediário",Mercado_Receita!$L$2:$L$2022)+SUMIF(Mercado_Receita!$S$2:$S$2022,"44501B2Convencional pré-pagamentoRuralServiço público de irrigação ruralNão se aplicaNão se aplicaNão se aplica",Mercado_Receita!$L$2:$L$2022)</f>
        <v>0</v>
      </c>
      <c r="O64" s="12">
        <f>SUMIF(Mercado_Receita!$S$2:$S$2022,"44531B2Convencional pré-pagamentoRuralServiço público de irrigação ruralNão se aplicaNão se aplicaPonta",Mercado_Receita!$L$2:$L$2022)+SUMIF(Mercado_Receita!$S$2:$S$2022,"44531B2Convencional pré-pagamentoRuralServiço público de irrigação ruralNão se aplicaNão se aplicaFora ponta",Mercado_Receita!$L$2:$L$2022)+SUMIF(Mercado_Receita!$S$2:$S$2022,"44531B2Convencional pré-pagamentoRuralServiço público de irrigação ruralNão se aplicaNão se aplicaIntermediário",Mercado_Receita!$L$2:$L$2022)+SUMIF(Mercado_Receita!$S$2:$S$2022,"44531B2Convencional pré-pagamentoRuralServiço público de irrigação ruralNão se aplicaNão se aplicaNão se aplica",Mercado_Receita!$L$2:$L$2022)</f>
        <v>0</v>
      </c>
      <c r="P64" s="12">
        <f>SUMIF(Mercado_Receita!$S$2:$S$2022,"44562B2Convencional pré-pagamentoRuralServiço público de irrigação ruralNão se aplicaNão se aplicaPonta",Mercado_Receita!$L$2:$L$2022)+SUMIF(Mercado_Receita!$S$2:$S$2022,"44562B2Convencional pré-pagamentoRuralServiço público de irrigação ruralNão se aplicaNão se aplicaFora ponta",Mercado_Receita!$L$2:$L$2022)+SUMIF(Mercado_Receita!$S$2:$S$2022,"44562B2Convencional pré-pagamentoRuralServiço público de irrigação ruralNão se aplicaNão se aplicaIntermediário",Mercado_Receita!$L$2:$L$2022)+SUMIF(Mercado_Receita!$S$2:$S$2022,"44562B2Convencional pré-pagamentoRuralServiço público de irrigação ruralNão se aplicaNão se aplicaNão se aplica",Mercado_Receita!$L$2:$L$2022)</f>
        <v>0</v>
      </c>
      <c r="Q64" s="12">
        <f>SUMIF(Mercado_Receita!$S$2:$S$2022,"44593B2Convencional pré-pagamentoRuralServiço público de irrigação ruralNão se aplicaNão se aplicaPonta",Mercado_Receita!$L$2:$L$2022)+SUMIF(Mercado_Receita!$S$2:$S$2022,"44593B2Convencional pré-pagamentoRuralServiço público de irrigação ruralNão se aplicaNão se aplicaFora ponta",Mercado_Receita!$L$2:$L$2022)+SUMIF(Mercado_Receita!$S$2:$S$2022,"44593B2Convencional pré-pagamentoRuralServiço público de irrigação ruralNão se aplicaNão se aplicaIntermediário",Mercado_Receita!$L$2:$L$2022)+SUMIF(Mercado_Receita!$S$2:$S$2022,"44593B2Convencional pré-pagamentoRuralServiço público de irrigação ruralNão se aplicaNão se aplicaNão se aplica",Mercado_Receita!$L$2:$L$2022)</f>
        <v>0</v>
      </c>
      <c r="R64" s="12">
        <f>SUMIF(Mercado_Receita!$S$2:$S$2022,"44621B2Convencional pré-pagamentoRuralServiço público de irrigação ruralNão se aplicaNão se aplicaPonta",Mercado_Receita!$L$2:$L$2022)+SUMIF(Mercado_Receita!$S$2:$S$2022,"44621B2Convencional pré-pagamentoRuralServiço público de irrigação ruralNão se aplicaNão se aplicaFora ponta",Mercado_Receita!$L$2:$L$2022)+SUMIF(Mercado_Receita!$S$2:$S$2022,"44621B2Convencional pré-pagamentoRuralServiço público de irrigação ruralNão se aplicaNão se aplicaIntermediário",Mercado_Receita!$L$2:$L$2022)+SUMIF(Mercado_Receita!$S$2:$S$2022,"44621B2Convencional pré-pagamentoRuralServiço público de irrigação ruralNão se aplicaNão se aplicaNão se aplica",Mercado_Receita!$L$2:$L$2022)</f>
        <v>0</v>
      </c>
      <c r="S64" s="12">
        <f>SUMIF(Mercado_Receita!$S$2:$S$2022,"44652B2Convencional pré-pagamentoRuralServiço público de irrigação ruralNão se aplicaNão se aplicaPonta",Mercado_Receita!$L$2:$L$2022)+SUMIF(Mercado_Receita!$S$2:$S$2022,"44652B2Convencional pré-pagamentoRuralServiço público de irrigação ruralNão se aplicaNão se aplicaFora ponta",Mercado_Receita!$L$2:$L$2022)+SUMIF(Mercado_Receita!$S$2:$S$2022,"44652B2Convencional pré-pagamentoRuralServiço público de irrigação ruralNão se aplicaNão se aplicaIntermediário",Mercado_Receita!$L$2:$L$2022)+SUMIF(Mercado_Receita!$S$2:$S$2022,"44652B2Convencional pré-pagamentoRuralServiço público de irrigação ruralNão se aplicaNão se aplicaNão se aplica",Mercado_Receita!$L$2:$L$2022)</f>
        <v>0</v>
      </c>
      <c r="T64" s="12">
        <f>SUMIF(Mercado_Receita!$S$2:$S$2022,"44682B2Convencional pré-pagamentoRuralServiço público de irrigação ruralNão se aplicaNão se aplicaPonta",Mercado_Receita!$L$2:$L$2022)+SUMIF(Mercado_Receita!$S$2:$S$2022,"44682B2Convencional pré-pagamentoRuralServiço público de irrigação ruralNão se aplicaNão se aplicaFora ponta",Mercado_Receita!$L$2:$L$2022)+SUMIF(Mercado_Receita!$S$2:$S$2022,"44682B2Convencional pré-pagamentoRuralServiço público de irrigação ruralNão se aplicaNão se aplicaIntermediário",Mercado_Receita!$L$2:$L$2022)+SUMIF(Mercado_Receita!$S$2:$S$2022,"44682B2Convencional pré-pagamentoRuralServiço público de irrigação ruralNão se aplicaNão se aplicaNão se aplica",Mercado_Receita!$L$2:$L$2022)</f>
        <v>0</v>
      </c>
      <c r="U64" s="12">
        <f t="shared" si="1"/>
        <v>0</v>
      </c>
      <c r="V64" s="12"/>
      <c r="W64" s="12"/>
    </row>
    <row r="65" spans="1:23" ht="11.25" customHeight="1" x14ac:dyDescent="0.25">
      <c r="A65" s="101" t="s">
        <v>37</v>
      </c>
      <c r="B65" s="101" t="s">
        <v>33</v>
      </c>
      <c r="C65" s="101" t="s">
        <v>25</v>
      </c>
      <c r="D65" s="101" t="s">
        <v>25</v>
      </c>
      <c r="E65" s="101" t="s">
        <v>25</v>
      </c>
      <c r="F65" s="101" t="s">
        <v>25</v>
      </c>
      <c r="G65" s="12" t="s">
        <v>118</v>
      </c>
      <c r="H65" s="12" t="s">
        <v>117</v>
      </c>
      <c r="I65" s="12">
        <f>SUMIF(Mercado_Receita!$S$2:$S$2022,"44348B3BrancaNão se aplicaNão se aplicaNão se aplicaNão se aplicaPonta",Mercado_Receita!$L$2:$L$2022)</f>
        <v>2.5489999999999999</v>
      </c>
      <c r="J65" s="12">
        <f>SUMIF(Mercado_Receita!$S$2:$S$2022,"44378B3BrancaNão se aplicaNão se aplicaNão se aplicaNão se aplicaPonta",Mercado_Receita!$L$2:$L$2022)</f>
        <v>2.5710000000000002</v>
      </c>
      <c r="K65" s="12">
        <f>SUMIF(Mercado_Receita!$S$2:$S$2022,"44409B3BrancaNão se aplicaNão se aplicaNão se aplicaNão se aplicaPonta",Mercado_Receita!$L$2:$L$2022)</f>
        <v>2.7970000000000002</v>
      </c>
      <c r="L65" s="12">
        <f>SUMIF(Mercado_Receita!$S$2:$S$2022,"44440B3BrancaNão se aplicaNão se aplicaNão se aplicaNão se aplicaPonta",Mercado_Receita!$L$2:$L$2022)</f>
        <v>2.8619999999999997</v>
      </c>
      <c r="M65" s="12">
        <f>SUMIF(Mercado_Receita!$S$2:$S$2022,"44470B3BrancaNão se aplicaNão se aplicaNão se aplicaNão se aplicaPonta",Mercado_Receita!$L$2:$L$2022)</f>
        <v>2.758</v>
      </c>
      <c r="N65" s="12">
        <f>SUMIF(Mercado_Receita!$S$2:$S$2022,"44501B3BrancaNão se aplicaNão se aplicaNão se aplicaNão se aplicaPonta",Mercado_Receita!$L$2:$L$2022)</f>
        <v>2.6840000000000002</v>
      </c>
      <c r="O65" s="12">
        <f>SUMIF(Mercado_Receita!$S$2:$S$2022,"44531B3BrancaNão se aplicaNão se aplicaNão se aplicaNão se aplicaPonta",Mercado_Receita!$L$2:$L$2022)</f>
        <v>3.2919999999999998</v>
      </c>
      <c r="P65" s="12">
        <f>SUMIF(Mercado_Receita!$S$2:$S$2022,"44562B3BrancaNão se aplicaNão se aplicaNão se aplicaNão se aplicaPonta",Mercado_Receita!$L$2:$L$2022)</f>
        <v>2.7840000000000003</v>
      </c>
      <c r="Q65" s="12">
        <f>SUMIF(Mercado_Receita!$S$2:$S$2022,"44593B3BrancaNão se aplicaNão se aplicaNão se aplicaNão se aplicaPonta",Mercado_Receita!$L$2:$L$2022)</f>
        <v>2.722</v>
      </c>
      <c r="R65" s="12">
        <f>SUMIF(Mercado_Receita!$S$2:$S$2022,"44621B3BrancaNão se aplicaNão se aplicaNão se aplicaNão se aplicaPonta",Mercado_Receita!$L$2:$L$2022)</f>
        <v>2.294</v>
      </c>
      <c r="S65" s="12">
        <f>SUMIF(Mercado_Receita!$S$2:$S$2022,"44652B3BrancaNão se aplicaNão se aplicaNão se aplicaNão se aplicaPonta",Mercado_Receita!$L$2:$L$2022)</f>
        <v>2.278</v>
      </c>
      <c r="T65" s="12">
        <f>SUMIF(Mercado_Receita!$S$2:$S$2022,"44682B3BrancaNão se aplicaNão se aplicaNão se aplicaNão se aplicaPonta",Mercado_Receita!$L$2:$L$2022)</f>
        <v>2.278</v>
      </c>
      <c r="U65" s="12">
        <f t="shared" si="1"/>
        <v>31.868999999999996</v>
      </c>
      <c r="V65" s="12"/>
      <c r="W65" s="12"/>
    </row>
    <row r="66" spans="1:23" ht="11.25" customHeight="1" x14ac:dyDescent="0.25">
      <c r="A66" s="102"/>
      <c r="B66" s="102"/>
      <c r="C66" s="102"/>
      <c r="D66" s="102"/>
      <c r="E66" s="102"/>
      <c r="F66" s="102"/>
      <c r="G66" s="12" t="s">
        <v>128</v>
      </c>
      <c r="H66" s="12" t="s">
        <v>117</v>
      </c>
      <c r="I66" s="12">
        <f>SUMIF(Mercado_Receita!$S$2:$S$2022,"44348B3BrancaNão se aplicaNão se aplicaNão se aplicaNão se aplicaIntermediário",Mercado_Receita!$L$2:$L$2022)</f>
        <v>2.347</v>
      </c>
      <c r="J66" s="12">
        <f>SUMIF(Mercado_Receita!$S$2:$S$2022,"44378B3BrancaNão se aplicaNão se aplicaNão se aplicaNão se aplicaIntermediário",Mercado_Receita!$L$2:$L$2022)</f>
        <v>2.0780000000000003</v>
      </c>
      <c r="K66" s="12">
        <f>SUMIF(Mercado_Receita!$S$2:$S$2022,"44409B3BrancaNão se aplicaNão se aplicaNão se aplicaNão se aplicaIntermediário",Mercado_Receita!$L$2:$L$2022)</f>
        <v>2.3140000000000001</v>
      </c>
      <c r="L66" s="12">
        <f>SUMIF(Mercado_Receita!$S$2:$S$2022,"44440B3BrancaNão se aplicaNão se aplicaNão se aplicaNão se aplicaIntermediário",Mercado_Receita!$L$2:$L$2022)</f>
        <v>2.8130000000000002</v>
      </c>
      <c r="M66" s="12">
        <f>SUMIF(Mercado_Receita!$S$2:$S$2022,"44470B3BrancaNão se aplicaNão se aplicaNão se aplicaNão se aplicaIntermediário",Mercado_Receita!$L$2:$L$2022)</f>
        <v>2.6689999999999996</v>
      </c>
      <c r="N66" s="12">
        <f>SUMIF(Mercado_Receita!$S$2:$S$2022,"44501B3BrancaNão se aplicaNão se aplicaNão se aplicaNão se aplicaIntermediário",Mercado_Receita!$L$2:$L$2022)</f>
        <v>2.54</v>
      </c>
      <c r="O66" s="12">
        <f>SUMIF(Mercado_Receita!$S$2:$S$2022,"44531B3BrancaNão se aplicaNão se aplicaNão se aplicaNão se aplicaIntermediário",Mercado_Receita!$L$2:$L$2022)</f>
        <v>3.101</v>
      </c>
      <c r="P66" s="12">
        <f>SUMIF(Mercado_Receita!$S$2:$S$2022,"44562B3BrancaNão se aplicaNão se aplicaNão se aplicaNão se aplicaIntermediário",Mercado_Receita!$L$2:$L$2022)</f>
        <v>2.7190000000000003</v>
      </c>
      <c r="Q66" s="12">
        <f>SUMIF(Mercado_Receita!$S$2:$S$2022,"44593B3BrancaNão se aplicaNão se aplicaNão se aplicaNão se aplicaIntermediário",Mercado_Receita!$L$2:$L$2022)</f>
        <v>2.9380000000000002</v>
      </c>
      <c r="R66" s="12">
        <f>SUMIF(Mercado_Receita!$S$2:$S$2022,"44621B3BrancaNão se aplicaNão se aplicaNão se aplicaNão se aplicaIntermediário",Mercado_Receita!$L$2:$L$2022)</f>
        <v>2.3589999999999995</v>
      </c>
      <c r="S66" s="12">
        <f>SUMIF(Mercado_Receita!$S$2:$S$2022,"44652B3BrancaNão se aplicaNão se aplicaNão se aplicaNão se aplicaIntermediário",Mercado_Receita!$L$2:$L$2022)</f>
        <v>2.698</v>
      </c>
      <c r="T66" s="12">
        <f>SUMIF(Mercado_Receita!$S$2:$S$2022,"44682B3BrancaNão se aplicaNão se aplicaNão se aplicaNão se aplicaIntermediário",Mercado_Receita!$L$2:$L$2022)</f>
        <v>2.698</v>
      </c>
      <c r="U66" s="12">
        <f t="shared" ref="U66:U71" si="2">SUM(I66:T66)</f>
        <v>31.273999999999997</v>
      </c>
      <c r="V66" s="12"/>
      <c r="W66" s="12"/>
    </row>
    <row r="67" spans="1:23" ht="11.25" customHeight="1" x14ac:dyDescent="0.25">
      <c r="A67" s="102"/>
      <c r="B67" s="102"/>
      <c r="C67" s="102"/>
      <c r="D67" s="102"/>
      <c r="E67" s="102"/>
      <c r="F67" s="102"/>
      <c r="G67" s="12" t="s">
        <v>119</v>
      </c>
      <c r="H67" s="12" t="s">
        <v>117</v>
      </c>
      <c r="I67" s="12">
        <f>SUMIF(Mercado_Receita!$S$2:$S$2022,"44348B3BrancaNão se aplicaNão se aplicaNão se aplicaNão se aplicaFora ponta",Mercado_Receita!$L$2:$L$2022)</f>
        <v>26.529</v>
      </c>
      <c r="J67" s="12">
        <f>SUMIF(Mercado_Receita!$S$2:$S$2022,"44378B3BrancaNão se aplicaNão se aplicaNão se aplicaNão se aplicaFora ponta",Mercado_Receita!$L$2:$L$2022)</f>
        <v>25.177</v>
      </c>
      <c r="K67" s="12">
        <f>SUMIF(Mercado_Receita!$S$2:$S$2022,"44409B3BrancaNão se aplicaNão se aplicaNão se aplicaNão se aplicaFora ponta",Mercado_Receita!$L$2:$L$2022)</f>
        <v>26.09</v>
      </c>
      <c r="L67" s="12">
        <f>SUMIF(Mercado_Receita!$S$2:$S$2022,"44440B3BrancaNão se aplicaNão se aplicaNão se aplicaNão se aplicaFora ponta",Mercado_Receita!$L$2:$L$2022)</f>
        <v>31.550999999999998</v>
      </c>
      <c r="M67" s="12">
        <f>SUMIF(Mercado_Receita!$S$2:$S$2022,"44470B3BrancaNão se aplicaNão se aplicaNão se aplicaNão se aplicaFora ponta",Mercado_Receita!$L$2:$L$2022)</f>
        <v>31.655999999999995</v>
      </c>
      <c r="N67" s="12">
        <f>SUMIF(Mercado_Receita!$S$2:$S$2022,"44501B3BrancaNão se aplicaNão se aplicaNão se aplicaNão se aplicaFora ponta",Mercado_Receita!$L$2:$L$2022)</f>
        <v>31.446999999999999</v>
      </c>
      <c r="O67" s="12">
        <f>SUMIF(Mercado_Receita!$S$2:$S$2022,"44531B3BrancaNão se aplicaNão se aplicaNão se aplicaNão se aplicaFora ponta",Mercado_Receita!$L$2:$L$2022)</f>
        <v>39.343999999999994</v>
      </c>
      <c r="P67" s="12">
        <f>SUMIF(Mercado_Receita!$S$2:$S$2022,"44562B3BrancaNão se aplicaNão se aplicaNão se aplicaNão se aplicaFora ponta",Mercado_Receita!$L$2:$L$2022)</f>
        <v>34.35</v>
      </c>
      <c r="Q67" s="12">
        <f>SUMIF(Mercado_Receita!$S$2:$S$2022,"44593B3BrancaNão se aplicaNão se aplicaNão se aplicaNão se aplicaFora ponta",Mercado_Receita!$L$2:$L$2022)</f>
        <v>35.558</v>
      </c>
      <c r="R67" s="12">
        <f>SUMIF(Mercado_Receita!$S$2:$S$2022,"44621B3BrancaNão se aplicaNão se aplicaNão se aplicaNão se aplicaFora ponta",Mercado_Receita!$L$2:$L$2022)</f>
        <v>32.64</v>
      </c>
      <c r="S67" s="12">
        <f>SUMIF(Mercado_Receita!$S$2:$S$2022,"44652B3BrancaNão se aplicaNão se aplicaNão se aplicaNão se aplicaFora ponta",Mercado_Receita!$L$2:$L$2022)</f>
        <v>33.746999999999993</v>
      </c>
      <c r="T67" s="12">
        <f>SUMIF(Mercado_Receita!$S$2:$S$2022,"44682B3BrancaNão se aplicaNão se aplicaNão se aplicaNão se aplicaFora ponta",Mercado_Receita!$L$2:$L$2022)</f>
        <v>33.746999999999993</v>
      </c>
      <c r="U67" s="12">
        <f t="shared" si="2"/>
        <v>381.83600000000001</v>
      </c>
      <c r="V67" s="12"/>
      <c r="W67" s="12"/>
    </row>
    <row r="68" spans="1:23" ht="11.25" customHeight="1" x14ac:dyDescent="0.25">
      <c r="A68" s="102"/>
      <c r="B68" s="13" t="s">
        <v>23</v>
      </c>
      <c r="C68" s="13" t="s">
        <v>25</v>
      </c>
      <c r="D68" s="13" t="s">
        <v>25</v>
      </c>
      <c r="E68" s="13" t="s">
        <v>25</v>
      </c>
      <c r="F68" s="13" t="s">
        <v>25</v>
      </c>
      <c r="G68" s="12" t="s">
        <v>123</v>
      </c>
      <c r="H68" s="12" t="s">
        <v>117</v>
      </c>
      <c r="I68" s="12">
        <f>SUMIF(Mercado_Receita!$S$2:$S$2022,"44348B3ConvencionalNão se aplicaNão se aplicaNão se aplicaNão se aplicaPonta",Mercado_Receita!$L$2:$L$2022)+SUMIF(Mercado_Receita!$S$2:$S$2022,"44348B3ConvencionalNão se aplicaNão se aplicaNão se aplicaNão se aplicaFora ponta",Mercado_Receita!$L$2:$L$2022)+SUMIF(Mercado_Receita!$S$2:$S$2022,"44348B3ConvencionalNão se aplicaNão se aplicaNão se aplicaNão se aplicaIntermediário",Mercado_Receita!$L$2:$L$2022)+SUMIF(Mercado_Receita!$S$2:$S$2022,"44348B3ConvencionalNão se aplicaNão se aplicaNão se aplicaNão se aplicaNão se aplica",Mercado_Receita!$L$2:$L$2022)</f>
        <v>16724.360999999997</v>
      </c>
      <c r="J68" s="12">
        <f>SUMIF(Mercado_Receita!$S$2:$S$2022,"44378B3ConvencionalNão se aplicaNão se aplicaNão se aplicaNão se aplicaPonta",Mercado_Receita!$L$2:$L$2022)+SUMIF(Mercado_Receita!$S$2:$S$2022,"44378B3ConvencionalNão se aplicaNão se aplicaNão se aplicaNão se aplicaFora ponta",Mercado_Receita!$L$2:$L$2022)+SUMIF(Mercado_Receita!$S$2:$S$2022,"44378B3ConvencionalNão se aplicaNão se aplicaNão se aplicaNão se aplicaIntermediário",Mercado_Receita!$L$2:$L$2022)+SUMIF(Mercado_Receita!$S$2:$S$2022,"44378B3ConvencionalNão se aplicaNão se aplicaNão se aplicaNão se aplicaNão se aplica",Mercado_Receita!$L$2:$L$2022)</f>
        <v>16329.941999999999</v>
      </c>
      <c r="K68" s="12">
        <f>SUMIF(Mercado_Receita!$S$2:$S$2022,"44409B3ConvencionalNão se aplicaNão se aplicaNão se aplicaNão se aplicaPonta",Mercado_Receita!$L$2:$L$2022)+SUMIF(Mercado_Receita!$S$2:$S$2022,"44409B3ConvencionalNão se aplicaNão se aplicaNão se aplicaNão se aplicaFora ponta",Mercado_Receita!$L$2:$L$2022)+SUMIF(Mercado_Receita!$S$2:$S$2022,"44409B3ConvencionalNão se aplicaNão se aplicaNão se aplicaNão se aplicaIntermediário",Mercado_Receita!$L$2:$L$2022)+SUMIF(Mercado_Receita!$S$2:$S$2022,"44409B3ConvencionalNão se aplicaNão se aplicaNão se aplicaNão se aplicaNão se aplica",Mercado_Receita!$L$2:$L$2022)</f>
        <v>16664.269</v>
      </c>
      <c r="L68" s="12">
        <f>SUMIF(Mercado_Receita!$S$2:$S$2022,"44440B3ConvencionalNão se aplicaNão se aplicaNão se aplicaNão se aplicaPonta",Mercado_Receita!$L$2:$L$2022)+SUMIF(Mercado_Receita!$S$2:$S$2022,"44440B3ConvencionalNão se aplicaNão se aplicaNão se aplicaNão se aplicaFora ponta",Mercado_Receita!$L$2:$L$2022)+SUMIF(Mercado_Receita!$S$2:$S$2022,"44440B3ConvencionalNão se aplicaNão se aplicaNão se aplicaNão se aplicaIntermediário",Mercado_Receita!$L$2:$L$2022)+SUMIF(Mercado_Receita!$S$2:$S$2022,"44440B3ConvencionalNão se aplicaNão se aplicaNão se aplicaNão se aplicaNão se aplica",Mercado_Receita!$L$2:$L$2022)</f>
        <v>19006.918999999998</v>
      </c>
      <c r="M68" s="12">
        <f>SUMIF(Mercado_Receita!$S$2:$S$2022,"44470B3ConvencionalNão se aplicaNão se aplicaNão se aplicaNão se aplicaPonta",Mercado_Receita!$L$2:$L$2022)+SUMIF(Mercado_Receita!$S$2:$S$2022,"44470B3ConvencionalNão se aplicaNão se aplicaNão se aplicaNão se aplicaFora ponta",Mercado_Receita!$L$2:$L$2022)+SUMIF(Mercado_Receita!$S$2:$S$2022,"44470B3ConvencionalNão se aplicaNão se aplicaNão se aplicaNão se aplicaIntermediário",Mercado_Receita!$L$2:$L$2022)+SUMIF(Mercado_Receita!$S$2:$S$2022,"44470B3ConvencionalNão se aplicaNão se aplicaNão se aplicaNão se aplicaNão se aplica",Mercado_Receita!$L$2:$L$2022)</f>
        <v>18641.440999999999</v>
      </c>
      <c r="N68" s="12">
        <f>SUMIF(Mercado_Receita!$S$2:$S$2022,"44501B3ConvencionalNão se aplicaNão se aplicaNão se aplicaNão se aplicaPonta",Mercado_Receita!$L$2:$L$2022)+SUMIF(Mercado_Receita!$S$2:$S$2022,"44501B3ConvencionalNão se aplicaNão se aplicaNão se aplicaNão se aplicaFora ponta",Mercado_Receita!$L$2:$L$2022)+SUMIF(Mercado_Receita!$S$2:$S$2022,"44501B3ConvencionalNão se aplicaNão se aplicaNão se aplicaNão se aplicaIntermediário",Mercado_Receita!$L$2:$L$2022)+SUMIF(Mercado_Receita!$S$2:$S$2022,"44501B3ConvencionalNão se aplicaNão se aplicaNão se aplicaNão se aplicaNão se aplica",Mercado_Receita!$L$2:$L$2022)</f>
        <v>18411.805999999997</v>
      </c>
      <c r="O68" s="12">
        <f>SUMIF(Mercado_Receita!$S$2:$S$2022,"44531B3ConvencionalNão se aplicaNão se aplicaNão se aplicaNão se aplicaPonta",Mercado_Receita!$L$2:$L$2022)+SUMIF(Mercado_Receita!$S$2:$S$2022,"44531B3ConvencionalNão se aplicaNão se aplicaNão se aplicaNão se aplicaFora ponta",Mercado_Receita!$L$2:$L$2022)+SUMIF(Mercado_Receita!$S$2:$S$2022,"44531B3ConvencionalNão se aplicaNão se aplicaNão se aplicaNão se aplicaIntermediário",Mercado_Receita!$L$2:$L$2022)+SUMIF(Mercado_Receita!$S$2:$S$2022,"44531B3ConvencionalNão se aplicaNão se aplicaNão se aplicaNão se aplicaNão se aplica",Mercado_Receita!$L$2:$L$2022)</f>
        <v>20395.167000000001</v>
      </c>
      <c r="P68" s="12">
        <f>SUMIF(Mercado_Receita!$S$2:$S$2022,"44562B3ConvencionalNão se aplicaNão se aplicaNão se aplicaNão se aplicaPonta",Mercado_Receita!$L$2:$L$2022)+SUMIF(Mercado_Receita!$S$2:$S$2022,"44562B3ConvencionalNão se aplicaNão se aplicaNão se aplicaNão se aplicaFora ponta",Mercado_Receita!$L$2:$L$2022)+SUMIF(Mercado_Receita!$S$2:$S$2022,"44562B3ConvencionalNão se aplicaNão se aplicaNão se aplicaNão se aplicaIntermediário",Mercado_Receita!$L$2:$L$2022)+SUMIF(Mercado_Receita!$S$2:$S$2022,"44562B3ConvencionalNão se aplicaNão se aplicaNão se aplicaNão se aplicaNão se aplica",Mercado_Receita!$L$2:$L$2022)</f>
        <v>18904.583000000006</v>
      </c>
      <c r="Q68" s="12">
        <f>SUMIF(Mercado_Receita!$S$2:$S$2022,"44593B3ConvencionalNão se aplicaNão se aplicaNão se aplicaNão se aplicaPonta",Mercado_Receita!$L$2:$L$2022)+SUMIF(Mercado_Receita!$S$2:$S$2022,"44593B3ConvencionalNão se aplicaNão se aplicaNão se aplicaNão se aplicaFora ponta",Mercado_Receita!$L$2:$L$2022)+SUMIF(Mercado_Receita!$S$2:$S$2022,"44593B3ConvencionalNão se aplicaNão se aplicaNão se aplicaNão se aplicaIntermediário",Mercado_Receita!$L$2:$L$2022)+SUMIF(Mercado_Receita!$S$2:$S$2022,"44593B3ConvencionalNão se aplicaNão se aplicaNão se aplicaNão se aplicaNão se aplica",Mercado_Receita!$L$2:$L$2022)</f>
        <v>19278.814000000002</v>
      </c>
      <c r="R68" s="12">
        <f>SUMIF(Mercado_Receita!$S$2:$S$2022,"44621B3ConvencionalNão se aplicaNão se aplicaNão se aplicaNão se aplicaPonta",Mercado_Receita!$L$2:$L$2022)+SUMIF(Mercado_Receita!$S$2:$S$2022,"44621B3ConvencionalNão se aplicaNão se aplicaNão se aplicaNão se aplicaFora ponta",Mercado_Receita!$L$2:$L$2022)+SUMIF(Mercado_Receita!$S$2:$S$2022,"44621B3ConvencionalNão se aplicaNão se aplicaNão se aplicaNão se aplicaIntermediário",Mercado_Receita!$L$2:$L$2022)+SUMIF(Mercado_Receita!$S$2:$S$2022,"44621B3ConvencionalNão se aplicaNão se aplicaNão se aplicaNão se aplicaNão se aplica",Mercado_Receita!$L$2:$L$2022)</f>
        <v>21219.653999999999</v>
      </c>
      <c r="S68" s="12">
        <f>SUMIF(Mercado_Receita!$S$2:$S$2022,"44652B3ConvencionalNão se aplicaNão se aplicaNão se aplicaNão se aplicaPonta",Mercado_Receita!$L$2:$L$2022)+SUMIF(Mercado_Receita!$S$2:$S$2022,"44652B3ConvencionalNão se aplicaNão se aplicaNão se aplicaNão se aplicaFora ponta",Mercado_Receita!$L$2:$L$2022)+SUMIF(Mercado_Receita!$S$2:$S$2022,"44652B3ConvencionalNão se aplicaNão se aplicaNão se aplicaNão se aplicaIntermediário",Mercado_Receita!$L$2:$L$2022)+SUMIF(Mercado_Receita!$S$2:$S$2022,"44652B3ConvencionalNão se aplicaNão se aplicaNão se aplicaNão se aplicaNão se aplica",Mercado_Receita!$L$2:$L$2022)</f>
        <v>20457.577000000001</v>
      </c>
      <c r="T68" s="12">
        <f>SUMIF(Mercado_Receita!$S$2:$S$2022,"44682B3ConvencionalNão se aplicaNão se aplicaNão se aplicaNão se aplicaPonta",Mercado_Receita!$L$2:$L$2022)+SUMIF(Mercado_Receita!$S$2:$S$2022,"44682B3ConvencionalNão se aplicaNão se aplicaNão se aplicaNão se aplicaFora ponta",Mercado_Receita!$L$2:$L$2022)+SUMIF(Mercado_Receita!$S$2:$S$2022,"44682B3ConvencionalNão se aplicaNão se aplicaNão se aplicaNão se aplicaIntermediário",Mercado_Receita!$L$2:$L$2022)+SUMIF(Mercado_Receita!$S$2:$S$2022,"44682B3ConvencionalNão se aplicaNão se aplicaNão se aplicaNão se aplicaNão se aplica",Mercado_Receita!$L$2:$L$2022)</f>
        <v>20457.577000000001</v>
      </c>
      <c r="U68" s="12">
        <f t="shared" si="2"/>
        <v>226492.11000000002</v>
      </c>
      <c r="V68" s="12"/>
      <c r="W68" s="12"/>
    </row>
    <row r="69" spans="1:23" ht="11.25" customHeight="1" x14ac:dyDescent="0.25">
      <c r="A69" s="102"/>
      <c r="B69" s="13" t="s">
        <v>131</v>
      </c>
      <c r="C69" s="13" t="s">
        <v>25</v>
      </c>
      <c r="D69" s="13" t="s">
        <v>25</v>
      </c>
      <c r="E69" s="13" t="s">
        <v>25</v>
      </c>
      <c r="F69" s="13" t="s">
        <v>25</v>
      </c>
      <c r="G69" s="12" t="s">
        <v>123</v>
      </c>
      <c r="H69" s="12" t="s">
        <v>117</v>
      </c>
      <c r="I69" s="12">
        <f>SUMIF(Mercado_Receita!$S$2:$S$2022,"44348B3Convencional pré-pagamentoNão se aplicaNão se aplicaNão se aplicaNão se aplicaPonta",Mercado_Receita!$L$2:$L$2022)+SUMIF(Mercado_Receita!$S$2:$S$2022,"44348B3Convencional pré-pagamentoNão se aplicaNão se aplicaNão se aplicaNão se aplicaFora ponta",Mercado_Receita!$L$2:$L$2022)+SUMIF(Mercado_Receita!$S$2:$S$2022,"44348B3Convencional pré-pagamentoNão se aplicaNão se aplicaNão se aplicaNão se aplicaIntermediário",Mercado_Receita!$L$2:$L$2022)+SUMIF(Mercado_Receita!$S$2:$S$2022,"44348B3Convencional pré-pagamentoNão se aplicaNão se aplicaNão se aplicaNão se aplicaNão se aplica",Mercado_Receita!$L$2:$L$2022)</f>
        <v>0</v>
      </c>
      <c r="J69" s="12">
        <f>SUMIF(Mercado_Receita!$S$2:$S$2022,"44378B3Convencional pré-pagamentoNão se aplicaNão se aplicaNão se aplicaNão se aplicaPonta",Mercado_Receita!$L$2:$L$2022)+SUMIF(Mercado_Receita!$S$2:$S$2022,"44378B3Convencional pré-pagamentoNão se aplicaNão se aplicaNão se aplicaNão se aplicaFora ponta",Mercado_Receita!$L$2:$L$2022)+SUMIF(Mercado_Receita!$S$2:$S$2022,"44378B3Convencional pré-pagamentoNão se aplicaNão se aplicaNão se aplicaNão se aplicaIntermediário",Mercado_Receita!$L$2:$L$2022)+SUMIF(Mercado_Receita!$S$2:$S$2022,"44378B3Convencional pré-pagamentoNão se aplicaNão se aplicaNão se aplicaNão se aplicaNão se aplica",Mercado_Receita!$L$2:$L$2022)</f>
        <v>0</v>
      </c>
      <c r="K69" s="12">
        <f>SUMIF(Mercado_Receita!$S$2:$S$2022,"44409B3Convencional pré-pagamentoNão se aplicaNão se aplicaNão se aplicaNão se aplicaPonta",Mercado_Receita!$L$2:$L$2022)+SUMIF(Mercado_Receita!$S$2:$S$2022,"44409B3Convencional pré-pagamentoNão se aplicaNão se aplicaNão se aplicaNão se aplicaFora ponta",Mercado_Receita!$L$2:$L$2022)+SUMIF(Mercado_Receita!$S$2:$S$2022,"44409B3Convencional pré-pagamentoNão se aplicaNão se aplicaNão se aplicaNão se aplicaIntermediário",Mercado_Receita!$L$2:$L$2022)+SUMIF(Mercado_Receita!$S$2:$S$2022,"44409B3Convencional pré-pagamentoNão se aplicaNão se aplicaNão se aplicaNão se aplicaNão se aplica",Mercado_Receita!$L$2:$L$2022)</f>
        <v>0</v>
      </c>
      <c r="L69" s="12">
        <f>SUMIF(Mercado_Receita!$S$2:$S$2022,"44440B3Convencional pré-pagamentoNão se aplicaNão se aplicaNão se aplicaNão se aplicaPonta",Mercado_Receita!$L$2:$L$2022)+SUMIF(Mercado_Receita!$S$2:$S$2022,"44440B3Convencional pré-pagamentoNão se aplicaNão se aplicaNão se aplicaNão se aplicaFora ponta",Mercado_Receita!$L$2:$L$2022)+SUMIF(Mercado_Receita!$S$2:$S$2022,"44440B3Convencional pré-pagamentoNão se aplicaNão se aplicaNão se aplicaNão se aplicaIntermediário",Mercado_Receita!$L$2:$L$2022)+SUMIF(Mercado_Receita!$S$2:$S$2022,"44440B3Convencional pré-pagamentoNão se aplicaNão se aplicaNão se aplicaNão se aplicaNão se aplica",Mercado_Receita!$L$2:$L$2022)</f>
        <v>0</v>
      </c>
      <c r="M69" s="12">
        <f>SUMIF(Mercado_Receita!$S$2:$S$2022,"44470B3Convencional pré-pagamentoNão se aplicaNão se aplicaNão se aplicaNão se aplicaPonta",Mercado_Receita!$L$2:$L$2022)+SUMIF(Mercado_Receita!$S$2:$S$2022,"44470B3Convencional pré-pagamentoNão se aplicaNão se aplicaNão se aplicaNão se aplicaFora ponta",Mercado_Receita!$L$2:$L$2022)+SUMIF(Mercado_Receita!$S$2:$S$2022,"44470B3Convencional pré-pagamentoNão se aplicaNão se aplicaNão se aplicaNão se aplicaIntermediário",Mercado_Receita!$L$2:$L$2022)+SUMIF(Mercado_Receita!$S$2:$S$2022,"44470B3Convencional pré-pagamentoNão se aplicaNão se aplicaNão se aplicaNão se aplicaNão se aplica",Mercado_Receita!$L$2:$L$2022)</f>
        <v>0</v>
      </c>
      <c r="N69" s="12">
        <f>SUMIF(Mercado_Receita!$S$2:$S$2022,"44501B3Convencional pré-pagamentoNão se aplicaNão se aplicaNão se aplicaNão se aplicaPonta",Mercado_Receita!$L$2:$L$2022)+SUMIF(Mercado_Receita!$S$2:$S$2022,"44501B3Convencional pré-pagamentoNão se aplicaNão se aplicaNão se aplicaNão se aplicaFora ponta",Mercado_Receita!$L$2:$L$2022)+SUMIF(Mercado_Receita!$S$2:$S$2022,"44501B3Convencional pré-pagamentoNão se aplicaNão se aplicaNão se aplicaNão se aplicaIntermediário",Mercado_Receita!$L$2:$L$2022)+SUMIF(Mercado_Receita!$S$2:$S$2022,"44501B3Convencional pré-pagamentoNão se aplicaNão se aplicaNão se aplicaNão se aplicaNão se aplica",Mercado_Receita!$L$2:$L$2022)</f>
        <v>0</v>
      </c>
      <c r="O69" s="12">
        <f>SUMIF(Mercado_Receita!$S$2:$S$2022,"44531B3Convencional pré-pagamentoNão se aplicaNão se aplicaNão se aplicaNão se aplicaPonta",Mercado_Receita!$L$2:$L$2022)+SUMIF(Mercado_Receita!$S$2:$S$2022,"44531B3Convencional pré-pagamentoNão se aplicaNão se aplicaNão se aplicaNão se aplicaFora ponta",Mercado_Receita!$L$2:$L$2022)+SUMIF(Mercado_Receita!$S$2:$S$2022,"44531B3Convencional pré-pagamentoNão se aplicaNão se aplicaNão se aplicaNão se aplicaIntermediário",Mercado_Receita!$L$2:$L$2022)+SUMIF(Mercado_Receita!$S$2:$S$2022,"44531B3Convencional pré-pagamentoNão se aplicaNão se aplicaNão se aplicaNão se aplicaNão se aplica",Mercado_Receita!$L$2:$L$2022)</f>
        <v>0</v>
      </c>
      <c r="P69" s="12">
        <f>SUMIF(Mercado_Receita!$S$2:$S$2022,"44562B3Convencional pré-pagamentoNão se aplicaNão se aplicaNão se aplicaNão se aplicaPonta",Mercado_Receita!$L$2:$L$2022)+SUMIF(Mercado_Receita!$S$2:$S$2022,"44562B3Convencional pré-pagamentoNão se aplicaNão se aplicaNão se aplicaNão se aplicaFora ponta",Mercado_Receita!$L$2:$L$2022)+SUMIF(Mercado_Receita!$S$2:$S$2022,"44562B3Convencional pré-pagamentoNão se aplicaNão se aplicaNão se aplicaNão se aplicaIntermediário",Mercado_Receita!$L$2:$L$2022)+SUMIF(Mercado_Receita!$S$2:$S$2022,"44562B3Convencional pré-pagamentoNão se aplicaNão se aplicaNão se aplicaNão se aplicaNão se aplica",Mercado_Receita!$L$2:$L$2022)</f>
        <v>0</v>
      </c>
      <c r="Q69" s="12">
        <f>SUMIF(Mercado_Receita!$S$2:$S$2022,"44593B3Convencional pré-pagamentoNão se aplicaNão se aplicaNão se aplicaNão se aplicaPonta",Mercado_Receita!$L$2:$L$2022)+SUMIF(Mercado_Receita!$S$2:$S$2022,"44593B3Convencional pré-pagamentoNão se aplicaNão se aplicaNão se aplicaNão se aplicaFora ponta",Mercado_Receita!$L$2:$L$2022)+SUMIF(Mercado_Receita!$S$2:$S$2022,"44593B3Convencional pré-pagamentoNão se aplicaNão se aplicaNão se aplicaNão se aplicaIntermediário",Mercado_Receita!$L$2:$L$2022)+SUMIF(Mercado_Receita!$S$2:$S$2022,"44593B3Convencional pré-pagamentoNão se aplicaNão se aplicaNão se aplicaNão se aplicaNão se aplica",Mercado_Receita!$L$2:$L$2022)</f>
        <v>0</v>
      </c>
      <c r="R69" s="12">
        <f>SUMIF(Mercado_Receita!$S$2:$S$2022,"44621B3Convencional pré-pagamentoNão se aplicaNão se aplicaNão se aplicaNão se aplicaPonta",Mercado_Receita!$L$2:$L$2022)+SUMIF(Mercado_Receita!$S$2:$S$2022,"44621B3Convencional pré-pagamentoNão se aplicaNão se aplicaNão se aplicaNão se aplicaFora ponta",Mercado_Receita!$L$2:$L$2022)+SUMIF(Mercado_Receita!$S$2:$S$2022,"44621B3Convencional pré-pagamentoNão se aplicaNão se aplicaNão se aplicaNão se aplicaIntermediário",Mercado_Receita!$L$2:$L$2022)+SUMIF(Mercado_Receita!$S$2:$S$2022,"44621B3Convencional pré-pagamentoNão se aplicaNão se aplicaNão se aplicaNão se aplicaNão se aplica",Mercado_Receita!$L$2:$L$2022)</f>
        <v>0</v>
      </c>
      <c r="S69" s="12">
        <f>SUMIF(Mercado_Receita!$S$2:$S$2022,"44652B3Convencional pré-pagamentoNão se aplicaNão se aplicaNão se aplicaNão se aplicaPonta",Mercado_Receita!$L$2:$L$2022)+SUMIF(Mercado_Receita!$S$2:$S$2022,"44652B3Convencional pré-pagamentoNão se aplicaNão se aplicaNão se aplicaNão se aplicaFora ponta",Mercado_Receita!$L$2:$L$2022)+SUMIF(Mercado_Receita!$S$2:$S$2022,"44652B3Convencional pré-pagamentoNão se aplicaNão se aplicaNão se aplicaNão se aplicaIntermediário",Mercado_Receita!$L$2:$L$2022)+SUMIF(Mercado_Receita!$S$2:$S$2022,"44652B3Convencional pré-pagamentoNão se aplicaNão se aplicaNão se aplicaNão se aplicaNão se aplica",Mercado_Receita!$L$2:$L$2022)</f>
        <v>0</v>
      </c>
      <c r="T69" s="12">
        <f>SUMIF(Mercado_Receita!$S$2:$S$2022,"44682B3Convencional pré-pagamentoNão se aplicaNão se aplicaNão se aplicaNão se aplicaPonta",Mercado_Receita!$L$2:$L$2022)+SUMIF(Mercado_Receita!$S$2:$S$2022,"44682B3Convencional pré-pagamentoNão se aplicaNão se aplicaNão se aplicaNão se aplicaFora ponta",Mercado_Receita!$L$2:$L$2022)+SUMIF(Mercado_Receita!$S$2:$S$2022,"44682B3Convencional pré-pagamentoNão se aplicaNão se aplicaNão se aplicaNão se aplicaIntermediário",Mercado_Receita!$L$2:$L$2022)+SUMIF(Mercado_Receita!$S$2:$S$2022,"44682B3Convencional pré-pagamentoNão se aplicaNão se aplicaNão se aplicaNão se aplicaNão se aplica",Mercado_Receita!$L$2:$L$2022)</f>
        <v>0</v>
      </c>
      <c r="U69" s="12">
        <f t="shared" si="2"/>
        <v>0</v>
      </c>
      <c r="V69" s="12"/>
      <c r="W69" s="12"/>
    </row>
    <row r="70" spans="1:23" ht="11.25" customHeight="1" x14ac:dyDescent="0.25">
      <c r="A70" s="101" t="s">
        <v>47</v>
      </c>
      <c r="B70" s="101" t="s">
        <v>23</v>
      </c>
      <c r="C70" s="101" t="s">
        <v>48</v>
      </c>
      <c r="D70" s="13" t="s">
        <v>49</v>
      </c>
      <c r="E70" s="13" t="s">
        <v>25</v>
      </c>
      <c r="F70" s="13" t="s">
        <v>25</v>
      </c>
      <c r="G70" s="12" t="s">
        <v>123</v>
      </c>
      <c r="H70" s="12" t="s">
        <v>117</v>
      </c>
      <c r="I70" s="12">
        <f>SUMIF(Mercado_Receita!$S$2:$S$2022,"44348B4ConvencionalIluminação públicaIluminação pública – B4aNão se aplicaNão se aplicaPonta",Mercado_Receita!$L$2:$L$2022)+SUMIF(Mercado_Receita!$S$2:$S$2022,"44348B4ConvencionalIluminação públicaIluminação pública – B4aNão se aplicaNão se aplicaFora ponta",Mercado_Receita!$L$2:$L$2022)+SUMIF(Mercado_Receita!$S$2:$S$2022,"44348B4ConvencionalIluminação públicaIluminação pública – B4aNão se aplicaNão se aplicaIntermediário",Mercado_Receita!$L$2:$L$2022)+SUMIF(Mercado_Receita!$S$2:$S$2022,"44348B4ConvencionalIluminação públicaIluminação pública – B4aNão se aplicaNão se aplicaNão se aplica",Mercado_Receita!$L$2:$L$2022)</f>
        <v>6730.4089999999997</v>
      </c>
      <c r="J70" s="12">
        <f>SUMIF(Mercado_Receita!$S$2:$S$2022,"44378B4ConvencionalIluminação públicaIluminação pública – B4aNão se aplicaNão se aplicaPonta",Mercado_Receita!$L$2:$L$2022)+SUMIF(Mercado_Receita!$S$2:$S$2022,"44378B4ConvencionalIluminação públicaIluminação pública – B4aNão se aplicaNão se aplicaFora ponta",Mercado_Receita!$L$2:$L$2022)+SUMIF(Mercado_Receita!$S$2:$S$2022,"44378B4ConvencionalIluminação públicaIluminação pública – B4aNão se aplicaNão se aplicaIntermediário",Mercado_Receita!$L$2:$L$2022)+SUMIF(Mercado_Receita!$S$2:$S$2022,"44378B4ConvencionalIluminação públicaIluminação pública – B4aNão se aplicaNão se aplicaNão se aplica",Mercado_Receita!$L$2:$L$2022)</f>
        <v>6955.6120000000001</v>
      </c>
      <c r="K70" s="12">
        <f>SUMIF(Mercado_Receita!$S$2:$S$2022,"44409B4ConvencionalIluminação públicaIluminação pública – B4aNão se aplicaNão se aplicaPonta",Mercado_Receita!$L$2:$L$2022)+SUMIF(Mercado_Receita!$S$2:$S$2022,"44409B4ConvencionalIluminação públicaIluminação pública – B4aNão se aplicaNão se aplicaFora ponta",Mercado_Receita!$L$2:$L$2022)+SUMIF(Mercado_Receita!$S$2:$S$2022,"44409B4ConvencionalIluminação públicaIluminação pública – B4aNão se aplicaNão se aplicaIntermediário",Mercado_Receita!$L$2:$L$2022)+SUMIF(Mercado_Receita!$S$2:$S$2022,"44409B4ConvencionalIluminação públicaIluminação pública – B4aNão se aplicaNão se aplicaNão se aplica",Mercado_Receita!$L$2:$L$2022)</f>
        <v>6957.5929999999998</v>
      </c>
      <c r="L70" s="12">
        <f>SUMIF(Mercado_Receita!$S$2:$S$2022,"44440B4ConvencionalIluminação públicaIluminação pública – B4aNão se aplicaNão se aplicaPonta",Mercado_Receita!$L$2:$L$2022)+SUMIF(Mercado_Receita!$S$2:$S$2022,"44440B4ConvencionalIluminação públicaIluminação pública – B4aNão se aplicaNão se aplicaFora ponta",Mercado_Receita!$L$2:$L$2022)+SUMIF(Mercado_Receita!$S$2:$S$2022,"44440B4ConvencionalIluminação públicaIluminação pública – B4aNão se aplicaNão se aplicaIntermediário",Mercado_Receita!$L$2:$L$2022)+SUMIF(Mercado_Receita!$S$2:$S$2022,"44440B4ConvencionalIluminação públicaIluminação pública – B4aNão se aplicaNão se aplicaNão se aplica",Mercado_Receita!$L$2:$L$2022)</f>
        <v>6744.3</v>
      </c>
      <c r="M70" s="12">
        <f>SUMIF(Mercado_Receita!$S$2:$S$2022,"44470B4ConvencionalIluminação públicaIluminação pública – B4aNão se aplicaNão se aplicaPonta",Mercado_Receita!$L$2:$L$2022)+SUMIF(Mercado_Receita!$S$2:$S$2022,"44470B4ConvencionalIluminação públicaIluminação pública – B4aNão se aplicaNão se aplicaFora ponta",Mercado_Receita!$L$2:$L$2022)+SUMIF(Mercado_Receita!$S$2:$S$2022,"44470B4ConvencionalIluminação públicaIluminação pública – B4aNão se aplicaNão se aplicaIntermediário",Mercado_Receita!$L$2:$L$2022)+SUMIF(Mercado_Receita!$S$2:$S$2022,"44470B4ConvencionalIluminação públicaIluminação pública – B4aNão se aplicaNão se aplicaNão se aplica",Mercado_Receita!$L$2:$L$2022)</f>
        <v>6941.9949999999999</v>
      </c>
      <c r="N70" s="12">
        <f>SUMIF(Mercado_Receita!$S$2:$S$2022,"44501B4ConvencionalIluminação públicaIluminação pública – B4aNão se aplicaNão se aplicaPonta",Mercado_Receita!$L$2:$L$2022)+SUMIF(Mercado_Receita!$S$2:$S$2022,"44501B4ConvencionalIluminação públicaIluminação pública – B4aNão se aplicaNão se aplicaFora ponta",Mercado_Receita!$L$2:$L$2022)+SUMIF(Mercado_Receita!$S$2:$S$2022,"44501B4ConvencionalIluminação públicaIluminação pública – B4aNão se aplicaNão se aplicaIntermediário",Mercado_Receita!$L$2:$L$2022)+SUMIF(Mercado_Receita!$S$2:$S$2022,"44501B4ConvencionalIluminação públicaIluminação pública – B4aNão se aplicaNão se aplicaNão se aplica",Mercado_Receita!$L$2:$L$2022)</f>
        <v>6728.86</v>
      </c>
      <c r="O70" s="12">
        <f>SUMIF(Mercado_Receita!$S$2:$S$2022,"44531B4ConvencionalIluminação públicaIluminação pública – B4aNão se aplicaNão se aplicaPonta",Mercado_Receita!$L$2:$L$2022)+SUMIF(Mercado_Receita!$S$2:$S$2022,"44531B4ConvencionalIluminação públicaIluminação pública – B4aNão se aplicaNão se aplicaFora ponta",Mercado_Receita!$L$2:$L$2022)+SUMIF(Mercado_Receita!$S$2:$S$2022,"44531B4ConvencionalIluminação públicaIluminação pública – B4aNão se aplicaNão se aplicaIntermediário",Mercado_Receita!$L$2:$L$2022)+SUMIF(Mercado_Receita!$S$2:$S$2022,"44531B4ConvencionalIluminação públicaIluminação pública – B4aNão se aplicaNão se aplicaNão se aplica",Mercado_Receita!$L$2:$L$2022)</f>
        <v>6923.5389999999998</v>
      </c>
      <c r="P70" s="12">
        <f>SUMIF(Mercado_Receita!$S$2:$S$2022,"44562B4ConvencionalIluminação públicaIluminação pública – B4aNão se aplicaNão se aplicaPonta",Mercado_Receita!$L$2:$L$2022)+SUMIF(Mercado_Receita!$S$2:$S$2022,"44562B4ConvencionalIluminação públicaIluminação pública – B4aNão se aplicaNão se aplicaFora ponta",Mercado_Receita!$L$2:$L$2022)+SUMIF(Mercado_Receita!$S$2:$S$2022,"44562B4ConvencionalIluminação públicaIluminação pública – B4aNão se aplicaNão se aplicaIntermediário",Mercado_Receita!$L$2:$L$2022)+SUMIF(Mercado_Receita!$S$2:$S$2022,"44562B4ConvencionalIluminação públicaIluminação pública – B4aNão se aplicaNão se aplicaNão se aplica",Mercado_Receita!$L$2:$L$2022)</f>
        <v>6921.0289999999995</v>
      </c>
      <c r="Q70" s="12">
        <f>SUMIF(Mercado_Receita!$S$2:$S$2022,"44593B4ConvencionalIluminação públicaIluminação pública – B4aNão se aplicaNão se aplicaPonta",Mercado_Receita!$L$2:$L$2022)+SUMIF(Mercado_Receita!$S$2:$S$2022,"44593B4ConvencionalIluminação públicaIluminação pública – B4aNão se aplicaNão se aplicaFora ponta",Mercado_Receita!$L$2:$L$2022)+SUMIF(Mercado_Receita!$S$2:$S$2022,"44593B4ConvencionalIluminação públicaIluminação pública – B4aNão se aplicaNão se aplicaIntermediário",Mercado_Receita!$L$2:$L$2022)+SUMIF(Mercado_Receita!$S$2:$S$2022,"44593B4ConvencionalIluminação públicaIluminação pública – B4aNão se aplicaNão se aplicaNão se aplica",Mercado_Receita!$L$2:$L$2022)</f>
        <v>6176.7560000000003</v>
      </c>
      <c r="R70" s="12">
        <f>SUMIF(Mercado_Receita!$S$2:$S$2022,"44621B4ConvencionalIluminação públicaIluminação pública – B4aNão se aplicaNão se aplicaPonta",Mercado_Receita!$L$2:$L$2022)+SUMIF(Mercado_Receita!$S$2:$S$2022,"44621B4ConvencionalIluminação públicaIluminação pública – B4aNão se aplicaNão se aplicaFora ponta",Mercado_Receita!$L$2:$L$2022)+SUMIF(Mercado_Receita!$S$2:$S$2022,"44621B4ConvencionalIluminação públicaIluminação pública – B4aNão se aplicaNão se aplicaIntermediário",Mercado_Receita!$L$2:$L$2022)+SUMIF(Mercado_Receita!$S$2:$S$2022,"44621B4ConvencionalIluminação públicaIluminação pública – B4aNão se aplicaNão se aplicaNão se aplica",Mercado_Receita!$L$2:$L$2022)</f>
        <v>6887.21</v>
      </c>
      <c r="S70" s="12">
        <f>SUMIF(Mercado_Receita!$S$2:$S$2022,"44652B4ConvencionalIluminação públicaIluminação pública – B4aNão se aplicaNão se aplicaPonta",Mercado_Receita!$L$2:$L$2022)+SUMIF(Mercado_Receita!$S$2:$S$2022,"44652B4ConvencionalIluminação públicaIluminação pública – B4aNão se aplicaNão se aplicaFora ponta",Mercado_Receita!$L$2:$L$2022)+SUMIF(Mercado_Receita!$S$2:$S$2022,"44652B4ConvencionalIluminação públicaIluminação pública – B4aNão se aplicaNão se aplicaIntermediário",Mercado_Receita!$L$2:$L$2022)+SUMIF(Mercado_Receita!$S$2:$S$2022,"44652B4ConvencionalIluminação públicaIluminação pública – B4aNão se aplicaNão se aplicaNão se aplica",Mercado_Receita!$L$2:$L$2022)</f>
        <v>6669.76</v>
      </c>
      <c r="T70" s="12">
        <f>SUMIF(Mercado_Receita!$S$2:$S$2022,"44682B4ConvencionalIluminação públicaIluminação pública – B4aNão se aplicaNão se aplicaPonta",Mercado_Receita!$L$2:$L$2022)+SUMIF(Mercado_Receita!$S$2:$S$2022,"44682B4ConvencionalIluminação públicaIluminação pública – B4aNão se aplicaNão se aplicaFora ponta",Mercado_Receita!$L$2:$L$2022)+SUMIF(Mercado_Receita!$S$2:$S$2022,"44682B4ConvencionalIluminação públicaIluminação pública – B4aNão se aplicaNão se aplicaIntermediário",Mercado_Receita!$L$2:$L$2022)+SUMIF(Mercado_Receita!$S$2:$S$2022,"44682B4ConvencionalIluminação públicaIluminação pública – B4aNão se aplicaNão se aplicaNão se aplica",Mercado_Receita!$L$2:$L$2022)</f>
        <v>6669.76</v>
      </c>
      <c r="U70" s="12">
        <f t="shared" si="2"/>
        <v>81306.822999999989</v>
      </c>
      <c r="V70" s="12"/>
      <c r="W70" s="12"/>
    </row>
    <row r="71" spans="1:23" ht="11.25" customHeight="1" x14ac:dyDescent="0.25">
      <c r="A71" s="102"/>
      <c r="B71" s="102"/>
      <c r="C71" s="102"/>
      <c r="D71" s="12" t="s">
        <v>50</v>
      </c>
      <c r="E71" s="12" t="s">
        <v>25</v>
      </c>
      <c r="F71" s="12" t="s">
        <v>25</v>
      </c>
      <c r="G71" s="12" t="s">
        <v>123</v>
      </c>
      <c r="H71" s="12" t="s">
        <v>117</v>
      </c>
      <c r="I71" s="12">
        <f>SUMIF(Mercado_Receita!$S$2:$S$2022,"44348B4ConvencionalIluminação públicaIluminação pública – B4bNão se aplicaNão se aplicaPonta",Mercado_Receita!$L$2:$L$2022)+SUMIF(Mercado_Receita!$S$2:$S$2022,"44348B4ConvencionalIluminação públicaIluminação pública – B4bNão se aplicaNão se aplicaFora ponta",Mercado_Receita!$L$2:$L$2022)+SUMIF(Mercado_Receita!$S$2:$S$2022,"44348B4ConvencionalIluminação públicaIluminação pública – B4bNão se aplicaNão se aplicaIntermediário",Mercado_Receita!$L$2:$L$2022)+SUMIF(Mercado_Receita!$S$2:$S$2022,"44348B4ConvencionalIluminação públicaIluminação pública – B4bNão se aplicaNão se aplicaNão se aplica",Mercado_Receita!$L$2:$L$2022)</f>
        <v>138.715</v>
      </c>
      <c r="J71" s="12">
        <f>SUMIF(Mercado_Receita!$S$2:$S$2022,"44378B4ConvencionalIluminação públicaIluminação pública – B4bNão se aplicaNão se aplicaPonta",Mercado_Receita!$L$2:$L$2022)+SUMIF(Mercado_Receita!$S$2:$S$2022,"44378B4ConvencionalIluminação públicaIluminação pública – B4bNão se aplicaNão se aplicaFora ponta",Mercado_Receita!$L$2:$L$2022)+SUMIF(Mercado_Receita!$S$2:$S$2022,"44378B4ConvencionalIluminação públicaIluminação pública – B4bNão se aplicaNão se aplicaIntermediário",Mercado_Receita!$L$2:$L$2022)+SUMIF(Mercado_Receita!$S$2:$S$2022,"44378B4ConvencionalIluminação públicaIluminação pública – B4bNão se aplicaNão se aplicaNão se aplica",Mercado_Receita!$L$2:$L$2022)</f>
        <v>143.33799999999999</v>
      </c>
      <c r="K71" s="12">
        <f>SUMIF(Mercado_Receita!$S$2:$S$2022,"44409B4ConvencionalIluminação públicaIluminação pública – B4bNão se aplicaNão se aplicaPonta",Mercado_Receita!$L$2:$L$2022)+SUMIF(Mercado_Receita!$S$2:$S$2022,"44409B4ConvencionalIluminação públicaIluminação pública – B4bNão se aplicaNão se aplicaFora ponta",Mercado_Receita!$L$2:$L$2022)+SUMIF(Mercado_Receita!$S$2:$S$2022,"44409B4ConvencionalIluminação públicaIluminação pública – B4bNão se aplicaNão se aplicaIntermediário",Mercado_Receita!$L$2:$L$2022)+SUMIF(Mercado_Receita!$S$2:$S$2022,"44409B4ConvencionalIluminação públicaIluminação pública – B4bNão se aplicaNão se aplicaNão se aplica",Mercado_Receita!$L$2:$L$2022)</f>
        <v>143.35599999999999</v>
      </c>
      <c r="L71" s="12">
        <f>SUMIF(Mercado_Receita!$S$2:$S$2022,"44440B4ConvencionalIluminação públicaIluminação pública – B4bNão se aplicaNão se aplicaPonta",Mercado_Receita!$L$2:$L$2022)+SUMIF(Mercado_Receita!$S$2:$S$2022,"44440B4ConvencionalIluminação públicaIluminação pública – B4bNão se aplicaNão se aplicaFora ponta",Mercado_Receita!$L$2:$L$2022)+SUMIF(Mercado_Receita!$S$2:$S$2022,"44440B4ConvencionalIluminação públicaIluminação pública – B4bNão se aplicaNão se aplicaIntermediário",Mercado_Receita!$L$2:$L$2022)+SUMIF(Mercado_Receita!$S$2:$S$2022,"44440B4ConvencionalIluminação públicaIluminação pública – B4bNão se aplicaNão se aplicaNão se aplica",Mercado_Receita!$L$2:$L$2022)</f>
        <v>127.852</v>
      </c>
      <c r="M71" s="12">
        <f>SUMIF(Mercado_Receita!$S$2:$S$2022,"44470B4ConvencionalIluminação públicaIluminação pública – B4bNão se aplicaNão se aplicaPonta",Mercado_Receita!$L$2:$L$2022)+SUMIF(Mercado_Receita!$S$2:$S$2022,"44470B4ConvencionalIluminação públicaIluminação pública – B4bNão se aplicaNão se aplicaFora ponta",Mercado_Receita!$L$2:$L$2022)+SUMIF(Mercado_Receita!$S$2:$S$2022,"44470B4ConvencionalIluminação públicaIluminação pública – B4bNão se aplicaNão se aplicaIntermediário",Mercado_Receita!$L$2:$L$2022)+SUMIF(Mercado_Receita!$S$2:$S$2022,"44470B4ConvencionalIluminação públicaIluminação pública – B4bNão se aplicaNão se aplicaNão se aplica",Mercado_Receita!$L$2:$L$2022)</f>
        <v>132.10499999999999</v>
      </c>
      <c r="N71" s="12">
        <f>SUMIF(Mercado_Receita!$S$2:$S$2022,"44501B4ConvencionalIluminação públicaIluminação pública – B4bNão se aplicaNão se aplicaPonta",Mercado_Receita!$L$2:$L$2022)+SUMIF(Mercado_Receita!$S$2:$S$2022,"44501B4ConvencionalIluminação públicaIluminação pública – B4bNão se aplicaNão se aplicaFora ponta",Mercado_Receita!$L$2:$L$2022)+SUMIF(Mercado_Receita!$S$2:$S$2022,"44501B4ConvencionalIluminação públicaIluminação pública – B4bNão se aplicaNão se aplicaIntermediário",Mercado_Receita!$L$2:$L$2022)+SUMIF(Mercado_Receita!$S$2:$S$2022,"44501B4ConvencionalIluminação públicaIluminação pública – B4bNão se aplicaNão se aplicaNão se aplica",Mercado_Receita!$L$2:$L$2022)</f>
        <v>127.845</v>
      </c>
      <c r="O71" s="12">
        <f>SUMIF(Mercado_Receita!$S$2:$S$2022,"44531B4ConvencionalIluminação públicaIluminação pública – B4bNão se aplicaNão se aplicaPonta",Mercado_Receita!$L$2:$L$2022)+SUMIF(Mercado_Receita!$S$2:$S$2022,"44531B4ConvencionalIluminação públicaIluminação pública – B4bNão se aplicaNão se aplicaFora ponta",Mercado_Receita!$L$2:$L$2022)+SUMIF(Mercado_Receita!$S$2:$S$2022,"44531B4ConvencionalIluminação públicaIluminação pública – B4bNão se aplicaNão se aplicaIntermediário",Mercado_Receita!$L$2:$L$2022)+SUMIF(Mercado_Receita!$S$2:$S$2022,"44531B4ConvencionalIluminação públicaIluminação pública – B4bNão se aplicaNão se aplicaNão se aplica",Mercado_Receita!$L$2:$L$2022)</f>
        <v>131.18299999999999</v>
      </c>
      <c r="P71" s="12">
        <f>SUMIF(Mercado_Receita!$S$2:$S$2022,"44562B4ConvencionalIluminação públicaIluminação pública – B4bNão se aplicaNão se aplicaPonta",Mercado_Receita!$L$2:$L$2022)+SUMIF(Mercado_Receita!$S$2:$S$2022,"44562B4ConvencionalIluminação públicaIluminação pública – B4bNão se aplicaNão se aplicaFora ponta",Mercado_Receita!$L$2:$L$2022)+SUMIF(Mercado_Receita!$S$2:$S$2022,"44562B4ConvencionalIluminação públicaIluminação pública – B4bNão se aplicaNão se aplicaIntermediário",Mercado_Receita!$L$2:$L$2022)+SUMIF(Mercado_Receita!$S$2:$S$2022,"44562B4ConvencionalIluminação públicaIluminação pública – B4bNão se aplicaNão se aplicaNão se aplica",Mercado_Receita!$L$2:$L$2022)</f>
        <v>131.15299999999999</v>
      </c>
      <c r="Q71" s="12">
        <f>SUMIF(Mercado_Receita!$S$2:$S$2022,"44593B4ConvencionalIluminação públicaIluminação pública – B4bNão se aplicaNão se aplicaPonta",Mercado_Receita!$L$2:$L$2022)+SUMIF(Mercado_Receita!$S$2:$S$2022,"44593B4ConvencionalIluminação públicaIluminação pública – B4bNão se aplicaNão se aplicaFora ponta",Mercado_Receita!$L$2:$L$2022)+SUMIF(Mercado_Receita!$S$2:$S$2022,"44593B4ConvencionalIluminação públicaIluminação pública – B4bNão se aplicaNão se aplicaIntermediário",Mercado_Receita!$L$2:$L$2022)+SUMIF(Mercado_Receita!$S$2:$S$2022,"44593B4ConvencionalIluminação públicaIluminação pública – B4bNão se aplicaNão se aplicaNão se aplica",Mercado_Receita!$L$2:$L$2022)</f>
        <v>118.465</v>
      </c>
      <c r="R71" s="12">
        <f>SUMIF(Mercado_Receita!$S$2:$S$2022,"44621B4ConvencionalIluminação públicaIluminação pública – B4bNão se aplicaNão se aplicaPonta",Mercado_Receita!$L$2:$L$2022)+SUMIF(Mercado_Receita!$S$2:$S$2022,"44621B4ConvencionalIluminação públicaIluminação pública – B4bNão se aplicaNão se aplicaFora ponta",Mercado_Receita!$L$2:$L$2022)+SUMIF(Mercado_Receita!$S$2:$S$2022,"44621B4ConvencionalIluminação públicaIluminação pública – B4bNão se aplicaNão se aplicaIntermediário",Mercado_Receita!$L$2:$L$2022)+SUMIF(Mercado_Receita!$S$2:$S$2022,"44621B4ConvencionalIluminação públicaIluminação pública – B4bNão se aplicaNão se aplicaNão se aplica",Mercado_Receita!$L$2:$L$2022)</f>
        <v>131.154</v>
      </c>
      <c r="S71" s="12">
        <f>SUMIF(Mercado_Receita!$S$2:$S$2022,"44652B4ConvencionalIluminação públicaIluminação pública – B4bNão se aplicaNão se aplicaPonta",Mercado_Receita!$L$2:$L$2022)+SUMIF(Mercado_Receita!$S$2:$S$2022,"44652B4ConvencionalIluminação públicaIluminação pública – B4bNão se aplicaNão se aplicaFora ponta",Mercado_Receita!$L$2:$L$2022)+SUMIF(Mercado_Receita!$S$2:$S$2022,"44652B4ConvencionalIluminação públicaIluminação pública – B4bNão se aplicaNão se aplicaIntermediário",Mercado_Receita!$L$2:$L$2022)+SUMIF(Mercado_Receita!$S$2:$S$2022,"44652B4ConvencionalIluminação públicaIluminação pública – B4bNão se aplicaNão se aplicaNão se aplica",Mercado_Receita!$L$2:$L$2022)</f>
        <v>126.926</v>
      </c>
      <c r="T71" s="12">
        <f>SUMIF(Mercado_Receita!$S$2:$S$2022,"44682B4ConvencionalIluminação públicaIluminação pública – B4bNão se aplicaNão se aplicaPonta",Mercado_Receita!$L$2:$L$2022)+SUMIF(Mercado_Receita!$S$2:$S$2022,"44682B4ConvencionalIluminação públicaIluminação pública – B4bNão se aplicaNão se aplicaFora ponta",Mercado_Receita!$L$2:$L$2022)+SUMIF(Mercado_Receita!$S$2:$S$2022,"44682B4ConvencionalIluminação públicaIluminação pública – B4bNão se aplicaNão se aplicaIntermediário",Mercado_Receita!$L$2:$L$2022)+SUMIF(Mercado_Receita!$S$2:$S$2022,"44682B4ConvencionalIluminação públicaIluminação pública – B4bNão se aplicaNão se aplicaNão se aplica",Mercado_Receita!$L$2:$L$2022)</f>
        <v>126.926</v>
      </c>
      <c r="U71" s="12">
        <f t="shared" si="2"/>
        <v>1579.0179999999998</v>
      </c>
      <c r="V71" s="12"/>
      <c r="W71" s="12"/>
    </row>
    <row r="72" spans="1:23" ht="11.25" customHeight="1" x14ac:dyDescent="0.25">
      <c r="A72" s="103" t="s">
        <v>950</v>
      </c>
      <c r="B72" s="104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2"/>
      <c r="W72" s="12"/>
    </row>
  </sheetData>
  <mergeCells count="76">
    <mergeCell ref="A2:A16"/>
    <mergeCell ref="F17:F19"/>
    <mergeCell ref="E17:E19"/>
    <mergeCell ref="D17:D20"/>
    <mergeCell ref="C17:C20"/>
    <mergeCell ref="B17:B20"/>
    <mergeCell ref="A17:A21"/>
    <mergeCell ref="F2:F4"/>
    <mergeCell ref="E2:E4"/>
    <mergeCell ref="D2:D5"/>
    <mergeCell ref="C2:C5"/>
    <mergeCell ref="B2:B5"/>
    <mergeCell ref="E6:E16"/>
    <mergeCell ref="D6:D16"/>
    <mergeCell ref="C6:C16"/>
    <mergeCell ref="B6:B16"/>
    <mergeCell ref="F26:F28"/>
    <mergeCell ref="E26:E28"/>
    <mergeCell ref="D26:D28"/>
    <mergeCell ref="C26:C28"/>
    <mergeCell ref="B26:B28"/>
    <mergeCell ref="F22:F24"/>
    <mergeCell ref="E22:E24"/>
    <mergeCell ref="D22:D25"/>
    <mergeCell ref="C22:C25"/>
    <mergeCell ref="B22:B25"/>
    <mergeCell ref="F30:F32"/>
    <mergeCell ref="E30:E32"/>
    <mergeCell ref="F33:F34"/>
    <mergeCell ref="E33:E34"/>
    <mergeCell ref="D30:D34"/>
    <mergeCell ref="B30:B34"/>
    <mergeCell ref="A22:A34"/>
    <mergeCell ref="D35:D36"/>
    <mergeCell ref="C35:C36"/>
    <mergeCell ref="B35:B36"/>
    <mergeCell ref="A35:A36"/>
    <mergeCell ref="C30:C34"/>
    <mergeCell ref="C45:C49"/>
    <mergeCell ref="B45:B49"/>
    <mergeCell ref="A37:A49"/>
    <mergeCell ref="F50:F52"/>
    <mergeCell ref="E50:E52"/>
    <mergeCell ref="D50:D52"/>
    <mergeCell ref="C50:C52"/>
    <mergeCell ref="B50:B52"/>
    <mergeCell ref="F37:F39"/>
    <mergeCell ref="E37:E39"/>
    <mergeCell ref="D37:D39"/>
    <mergeCell ref="C37:C39"/>
    <mergeCell ref="B37:B39"/>
    <mergeCell ref="C40:C44"/>
    <mergeCell ref="B40:B44"/>
    <mergeCell ref="C54:C56"/>
    <mergeCell ref="B54:B56"/>
    <mergeCell ref="F58:F60"/>
    <mergeCell ref="E58:E60"/>
    <mergeCell ref="D58:D60"/>
    <mergeCell ref="C58:C60"/>
    <mergeCell ref="B58:B60"/>
    <mergeCell ref="A70:A71"/>
    <mergeCell ref="B70:B71"/>
    <mergeCell ref="C70:C71"/>
    <mergeCell ref="A72:U72"/>
    <mergeCell ref="C62:C64"/>
    <mergeCell ref="B62:B64"/>
    <mergeCell ref="A50:A64"/>
    <mergeCell ref="F65:F67"/>
    <mergeCell ref="E65:E67"/>
    <mergeCell ref="D65:D67"/>
    <mergeCell ref="C65:C67"/>
    <mergeCell ref="B65:B67"/>
    <mergeCell ref="A65:A69"/>
    <mergeCell ref="F54:F56"/>
    <mergeCell ref="E54:E56"/>
    <mergeCell ref="D54:D5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045E-7AF1-4375-B491-F515824966EF}">
  <dimension ref="A1:AD43"/>
  <sheetViews>
    <sheetView showGridLines="0" workbookViewId="0">
      <selection sqref="A1:W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107</v>
      </c>
      <c r="B1" s="10" t="s">
        <v>108</v>
      </c>
      <c r="C1" s="10" t="s">
        <v>109</v>
      </c>
      <c r="D1" s="10" t="s">
        <v>110</v>
      </c>
      <c r="E1" s="10" t="s">
        <v>111</v>
      </c>
      <c r="F1" s="10" t="s">
        <v>112</v>
      </c>
      <c r="G1" s="10" t="s">
        <v>113</v>
      </c>
      <c r="H1" s="10" t="s">
        <v>114</v>
      </c>
      <c r="I1" s="11">
        <v>44348</v>
      </c>
      <c r="J1" s="11">
        <v>44378</v>
      </c>
      <c r="K1" s="11">
        <v>44409</v>
      </c>
      <c r="L1" s="11">
        <v>44440</v>
      </c>
      <c r="M1" s="11">
        <v>44470</v>
      </c>
      <c r="N1" s="11">
        <v>44501</v>
      </c>
      <c r="O1" s="11">
        <v>44531</v>
      </c>
      <c r="P1" s="11">
        <v>44562</v>
      </c>
      <c r="Q1" s="11">
        <v>44593</v>
      </c>
      <c r="R1" s="11">
        <v>44621</v>
      </c>
      <c r="S1" s="11">
        <v>44652</v>
      </c>
      <c r="T1" s="11">
        <v>44682</v>
      </c>
      <c r="U1" s="10" t="s">
        <v>115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1" t="s">
        <v>59</v>
      </c>
      <c r="B2" s="101" t="s">
        <v>116</v>
      </c>
      <c r="C2" s="101" t="s">
        <v>25</v>
      </c>
      <c r="D2" s="101" t="s">
        <v>25</v>
      </c>
      <c r="E2" s="101" t="s">
        <v>25</v>
      </c>
      <c r="F2" s="101" t="s">
        <v>25</v>
      </c>
      <c r="G2" s="14" t="s">
        <v>118</v>
      </c>
      <c r="H2" s="14" t="s">
        <v>117</v>
      </c>
      <c r="I2" s="14">
        <f>SUMIF(Mercado_Receita!$T$2:$T$2022,"44348A2Energia horáriaNão se aplicaNão se aplicaNão se aplicaNão se aplicaPonta",Mercado_Receita!$N$2:$N$2022)</f>
        <v>0</v>
      </c>
      <c r="J2" s="14">
        <f>SUMIF(Mercado_Receita!$T$2:$T$2022,"44378A2Energia horáriaNão se aplicaNão se aplicaNão se aplicaNão se aplicaPonta",Mercado_Receita!$N$2:$N$2022)</f>
        <v>0</v>
      </c>
      <c r="K2" s="14">
        <f>SUMIF(Mercado_Receita!$T$2:$T$2022,"44409A2Energia horáriaNão se aplicaNão se aplicaNão se aplicaNão se aplicaPonta",Mercado_Receita!$N$2:$N$2022)</f>
        <v>0</v>
      </c>
      <c r="L2" s="14">
        <f>SUMIF(Mercado_Receita!$T$2:$T$2022,"44440A2Energia horáriaNão se aplicaNão se aplicaNão se aplicaNão se aplicaPonta",Mercado_Receita!$N$2:$N$2022)</f>
        <v>0</v>
      </c>
      <c r="M2" s="14">
        <f>SUMIF(Mercado_Receita!$T$2:$T$2022,"44470A2Energia horáriaNão se aplicaNão se aplicaNão se aplicaNão se aplicaPonta",Mercado_Receita!$N$2:$N$2022)</f>
        <v>0</v>
      </c>
      <c r="N2" s="14">
        <f>SUMIF(Mercado_Receita!$T$2:$T$2022,"44501A2Energia horáriaNão se aplicaNão se aplicaNão se aplicaNão se aplicaPonta",Mercado_Receita!$N$2:$N$2022)</f>
        <v>0</v>
      </c>
      <c r="O2" s="14">
        <f>SUMIF(Mercado_Receita!$T$2:$T$2022,"44531A2Energia horáriaNão se aplicaNão se aplicaNão se aplicaNão se aplicaPonta",Mercado_Receita!$N$2:$N$2022)</f>
        <v>0</v>
      </c>
      <c r="P2" s="14">
        <f>SUMIF(Mercado_Receita!$T$2:$T$2022,"44562A2Energia horáriaNão se aplicaNão se aplicaNão se aplicaNão se aplicaPonta",Mercado_Receita!$N$2:$N$2022)</f>
        <v>0</v>
      </c>
      <c r="Q2" s="14">
        <f>SUMIF(Mercado_Receita!$T$2:$T$2022,"44593A2Energia horáriaNão se aplicaNão se aplicaNão se aplicaNão se aplicaPonta",Mercado_Receita!$N$2:$N$2022)</f>
        <v>0</v>
      </c>
      <c r="R2" s="14">
        <f>SUMIF(Mercado_Receita!$T$2:$T$2022,"44621A2Energia horáriaNão se aplicaNão se aplicaNão se aplicaNão se aplicaPonta",Mercado_Receita!$N$2:$N$2022)</f>
        <v>0</v>
      </c>
      <c r="S2" s="14">
        <f>SUMIF(Mercado_Receita!$T$2:$T$2022,"44652A2Energia horáriaNão se aplicaNão se aplicaNão se aplicaNão se aplicaPonta",Mercado_Receita!$N$2:$N$2022)</f>
        <v>0</v>
      </c>
      <c r="T2" s="14">
        <f>SUMIF(Mercado_Receita!$T$2:$T$2022,"44682A2Energia horáriaNão se aplicaNão se aplicaNão se aplicaNão se aplicaPonta",Mercado_Receita!$N$2:$N$2022)</f>
        <v>0</v>
      </c>
      <c r="U2" s="14">
        <f t="shared" ref="U2:U42" si="0">SUM(I2:T2)</f>
        <v>0</v>
      </c>
      <c r="V2" s="14"/>
      <c r="W2" s="14"/>
    </row>
    <row r="3" spans="1:30" ht="11.25" customHeight="1" x14ac:dyDescent="0.25">
      <c r="A3" s="102"/>
      <c r="B3" s="102"/>
      <c r="C3" s="102"/>
      <c r="D3" s="102"/>
      <c r="E3" s="102"/>
      <c r="F3" s="102"/>
      <c r="G3" s="14" t="s">
        <v>119</v>
      </c>
      <c r="H3" s="14" t="s">
        <v>117</v>
      </c>
      <c r="I3" s="14">
        <f>SUMIF(Mercado_Receita!$T$2:$T$2022,"44348A2Energia horáriaNão se aplicaNão se aplicaNão se aplicaNão se aplicaFora ponta",Mercado_Receita!$N$2:$N$2022)</f>
        <v>0</v>
      </c>
      <c r="J3" s="14">
        <f>SUMIF(Mercado_Receita!$T$2:$T$2022,"44378A2Energia horáriaNão se aplicaNão se aplicaNão se aplicaNão se aplicaFora ponta",Mercado_Receita!$N$2:$N$2022)</f>
        <v>0</v>
      </c>
      <c r="K3" s="14">
        <f>SUMIF(Mercado_Receita!$T$2:$T$2022,"44409A2Energia horáriaNão se aplicaNão se aplicaNão se aplicaNão se aplicaFora ponta",Mercado_Receita!$N$2:$N$2022)</f>
        <v>0</v>
      </c>
      <c r="L3" s="14">
        <f>SUMIF(Mercado_Receita!$T$2:$T$2022,"44440A2Energia horáriaNão se aplicaNão se aplicaNão se aplicaNão se aplicaFora ponta",Mercado_Receita!$N$2:$N$2022)</f>
        <v>0</v>
      </c>
      <c r="M3" s="14">
        <f>SUMIF(Mercado_Receita!$T$2:$T$2022,"44470A2Energia horáriaNão se aplicaNão se aplicaNão se aplicaNão se aplicaFora ponta",Mercado_Receita!$N$2:$N$2022)</f>
        <v>0</v>
      </c>
      <c r="N3" s="14">
        <f>SUMIF(Mercado_Receita!$T$2:$T$2022,"44501A2Energia horáriaNão se aplicaNão se aplicaNão se aplicaNão se aplicaFora ponta",Mercado_Receita!$N$2:$N$2022)</f>
        <v>0</v>
      </c>
      <c r="O3" s="14">
        <f>SUMIF(Mercado_Receita!$T$2:$T$2022,"44531A2Energia horáriaNão se aplicaNão se aplicaNão se aplicaNão se aplicaFora ponta",Mercado_Receita!$N$2:$N$2022)</f>
        <v>0</v>
      </c>
      <c r="P3" s="14">
        <f>SUMIF(Mercado_Receita!$T$2:$T$2022,"44562A2Energia horáriaNão se aplicaNão se aplicaNão se aplicaNão se aplicaFora ponta",Mercado_Receita!$N$2:$N$2022)</f>
        <v>0</v>
      </c>
      <c r="Q3" s="14">
        <f>SUMIF(Mercado_Receita!$T$2:$T$2022,"44593A2Energia horáriaNão se aplicaNão se aplicaNão se aplicaNão se aplicaFora ponta",Mercado_Receita!$N$2:$N$2022)</f>
        <v>0</v>
      </c>
      <c r="R3" s="14">
        <f>SUMIF(Mercado_Receita!$T$2:$T$2022,"44621A2Energia horáriaNão se aplicaNão se aplicaNão se aplicaNão se aplicaFora ponta",Mercado_Receita!$N$2:$N$2022)</f>
        <v>0</v>
      </c>
      <c r="S3" s="14">
        <f>SUMIF(Mercado_Receita!$T$2:$T$2022,"44652A2Energia horáriaNão se aplicaNão se aplicaNão se aplicaNão se aplicaFora ponta",Mercado_Receita!$N$2:$N$2022)</f>
        <v>0</v>
      </c>
      <c r="T3" s="14">
        <f>SUMIF(Mercado_Receita!$T$2:$T$2022,"44682A2Energia horáriaNão se aplicaNão se aplicaNão se aplicaNão se aplicaFora ponta",Mercado_Receita!$N$2:$N$2022)</f>
        <v>0</v>
      </c>
      <c r="U3" s="14">
        <f t="shared" si="0"/>
        <v>0</v>
      </c>
      <c r="V3" s="14"/>
      <c r="W3" s="14"/>
    </row>
    <row r="4" spans="1:30" ht="11.25" customHeight="1" x14ac:dyDescent="0.25">
      <c r="A4" s="101" t="s">
        <v>39</v>
      </c>
      <c r="B4" s="101" t="s">
        <v>116</v>
      </c>
      <c r="C4" s="101" t="s">
        <v>25</v>
      </c>
      <c r="D4" s="101" t="s">
        <v>25</v>
      </c>
      <c r="E4" s="101" t="s">
        <v>25</v>
      </c>
      <c r="F4" s="101" t="s">
        <v>25</v>
      </c>
      <c r="G4" s="14" t="s">
        <v>118</v>
      </c>
      <c r="H4" s="14" t="s">
        <v>117</v>
      </c>
      <c r="I4" s="14">
        <f>SUMIF(Mercado_Receita!$T$2:$T$2022,"44348A3Energia horáriaNão se aplicaNão se aplicaNão se aplicaNão se aplicaPonta",Mercado_Receita!$N$2:$N$2022)</f>
        <v>7</v>
      </c>
      <c r="J4" s="14">
        <f>SUMIF(Mercado_Receita!$T$2:$T$2022,"44378A3Energia horáriaNão se aplicaNão se aplicaNão se aplicaNão se aplicaPonta",Mercado_Receita!$N$2:$N$2022)</f>
        <v>7</v>
      </c>
      <c r="K4" s="14">
        <f>SUMIF(Mercado_Receita!$T$2:$T$2022,"44409A3Energia horáriaNão se aplicaNão se aplicaNão se aplicaNão se aplicaPonta",Mercado_Receita!$N$2:$N$2022)</f>
        <v>7</v>
      </c>
      <c r="L4" s="14">
        <f>SUMIF(Mercado_Receita!$T$2:$T$2022,"44440A3Energia horáriaNão se aplicaNão se aplicaNão se aplicaNão se aplicaPonta",Mercado_Receita!$N$2:$N$2022)</f>
        <v>35</v>
      </c>
      <c r="M4" s="14">
        <f>SUMIF(Mercado_Receita!$T$2:$T$2022,"44470A3Energia horáriaNão se aplicaNão se aplicaNão se aplicaNão se aplicaPonta",Mercado_Receita!$N$2:$N$2022)</f>
        <v>39.298999999999999</v>
      </c>
      <c r="N4" s="14">
        <f>SUMIF(Mercado_Receita!$T$2:$T$2022,"44501A3Energia horáriaNão se aplicaNão se aplicaNão se aplicaNão se aplicaPonta",Mercado_Receita!$N$2:$N$2022)</f>
        <v>7</v>
      </c>
      <c r="O4" s="14">
        <f>SUMIF(Mercado_Receita!$T$2:$T$2022,"44531A3Energia horáriaNão se aplicaNão se aplicaNão se aplicaNão se aplicaPonta",Mercado_Receita!$N$2:$N$2022)</f>
        <v>21</v>
      </c>
      <c r="P4" s="14">
        <f>SUMIF(Mercado_Receita!$T$2:$T$2022,"44562A3Energia horáriaNão se aplicaNão se aplicaNão se aplicaNão se aplicaPonta",Mercado_Receita!$N$2:$N$2022)</f>
        <v>51.475000000000001</v>
      </c>
      <c r="Q4" s="14">
        <f>SUMIF(Mercado_Receita!$T$2:$T$2022,"44593A3Energia horáriaNão se aplicaNão se aplicaNão se aplicaNão se aplicaPonta",Mercado_Receita!$N$2:$N$2022)</f>
        <v>0</v>
      </c>
      <c r="R4" s="14">
        <f>SUMIF(Mercado_Receita!$T$2:$T$2022,"44621A3Energia horáriaNão se aplicaNão se aplicaNão se aplicaNão se aplicaPonta",Mercado_Receita!$N$2:$N$2022)</f>
        <v>0</v>
      </c>
      <c r="S4" s="14">
        <f>SUMIF(Mercado_Receita!$T$2:$T$2022,"44652A3Energia horáriaNão se aplicaNão se aplicaNão se aplicaNão se aplicaPonta",Mercado_Receita!$N$2:$N$2022)</f>
        <v>0</v>
      </c>
      <c r="T4" s="14">
        <f>SUMIF(Mercado_Receita!$T$2:$T$2022,"44682A3Energia horáriaNão se aplicaNão se aplicaNão se aplicaNão se aplicaPonta",Mercado_Receita!$N$2:$N$2022)</f>
        <v>0</v>
      </c>
      <c r="U4" s="14">
        <f t="shared" si="0"/>
        <v>174.774</v>
      </c>
      <c r="V4" s="14"/>
      <c r="W4" s="14"/>
    </row>
    <row r="5" spans="1:30" ht="11.25" customHeight="1" x14ac:dyDescent="0.25">
      <c r="A5" s="102"/>
      <c r="B5" s="102"/>
      <c r="C5" s="102"/>
      <c r="D5" s="102"/>
      <c r="E5" s="102"/>
      <c r="F5" s="102"/>
      <c r="G5" s="14" t="s">
        <v>119</v>
      </c>
      <c r="H5" s="14" t="s">
        <v>117</v>
      </c>
      <c r="I5" s="14">
        <f>SUMIF(Mercado_Receita!$T$2:$T$2022,"44348A3Energia horáriaNão se aplicaNão se aplicaNão se aplicaNão se aplicaFora ponta",Mercado_Receita!$N$2:$N$2022)</f>
        <v>56</v>
      </c>
      <c r="J5" s="14">
        <f>SUMIF(Mercado_Receita!$T$2:$T$2022,"44378A3Energia horáriaNão se aplicaNão se aplicaNão se aplicaNão se aplicaFora ponta",Mercado_Receita!$N$2:$N$2022)</f>
        <v>49</v>
      </c>
      <c r="K5" s="14">
        <f>SUMIF(Mercado_Receita!$T$2:$T$2022,"44409A3Energia horáriaNão se aplicaNão se aplicaNão se aplicaNão se aplicaFora ponta",Mercado_Receita!$N$2:$N$2022)</f>
        <v>42</v>
      </c>
      <c r="L5" s="14">
        <f>SUMIF(Mercado_Receita!$T$2:$T$2022,"44440A3Energia horáriaNão se aplicaNão se aplicaNão se aplicaNão se aplicaFora ponta",Mercado_Receita!$N$2:$N$2022)</f>
        <v>308</v>
      </c>
      <c r="M5" s="14">
        <f>SUMIF(Mercado_Receita!$T$2:$T$2022,"44470A3Energia horáriaNão se aplicaNão se aplicaNão se aplicaNão se aplicaFora ponta",Mercado_Receita!$N$2:$N$2022)</f>
        <v>788.44899999999996</v>
      </c>
      <c r="N5" s="14">
        <f>SUMIF(Mercado_Receita!$T$2:$T$2022,"44501A3Energia horáriaNão se aplicaNão se aplicaNão se aplicaNão se aplicaFora ponta",Mercado_Receita!$N$2:$N$2022)</f>
        <v>84</v>
      </c>
      <c r="O5" s="14">
        <f>SUMIF(Mercado_Receita!$T$2:$T$2022,"44531A3Energia horáriaNão se aplicaNão se aplicaNão se aplicaNão se aplicaFora ponta",Mercado_Receita!$N$2:$N$2022)</f>
        <v>189</v>
      </c>
      <c r="P5" s="14">
        <f>SUMIF(Mercado_Receita!$T$2:$T$2022,"44562A3Energia horáriaNão se aplicaNão se aplicaNão se aplicaNão se aplicaFora ponta",Mercado_Receita!$N$2:$N$2022)</f>
        <v>245.89699999999999</v>
      </c>
      <c r="Q5" s="14">
        <f>SUMIF(Mercado_Receita!$T$2:$T$2022,"44593A3Energia horáriaNão se aplicaNão se aplicaNão se aplicaNão se aplicaFora ponta",Mercado_Receita!$N$2:$N$2022)</f>
        <v>0</v>
      </c>
      <c r="R5" s="14">
        <f>SUMIF(Mercado_Receita!$T$2:$T$2022,"44621A3Energia horáriaNão se aplicaNão se aplicaNão se aplicaNão se aplicaFora ponta",Mercado_Receita!$N$2:$N$2022)</f>
        <v>0</v>
      </c>
      <c r="S5" s="14">
        <f>SUMIF(Mercado_Receita!$T$2:$T$2022,"44652A3Energia horáriaNão se aplicaNão se aplicaNão se aplicaNão se aplicaFora ponta",Mercado_Receita!$N$2:$N$2022)</f>
        <v>0</v>
      </c>
      <c r="T5" s="14">
        <f>SUMIF(Mercado_Receita!$T$2:$T$2022,"44682A3Energia horáriaNão se aplicaNão se aplicaNão se aplicaNão se aplicaFora ponta",Mercado_Receita!$N$2:$N$2022)</f>
        <v>0</v>
      </c>
      <c r="U5" s="14">
        <f t="shared" si="0"/>
        <v>1762.346</v>
      </c>
      <c r="V5" s="14"/>
      <c r="W5" s="14"/>
    </row>
    <row r="6" spans="1:30" ht="11.25" customHeight="1" x14ac:dyDescent="0.25">
      <c r="A6" s="101" t="s">
        <v>41</v>
      </c>
      <c r="B6" s="101" t="s">
        <v>116</v>
      </c>
      <c r="C6" s="101" t="s">
        <v>25</v>
      </c>
      <c r="D6" s="101" t="s">
        <v>25</v>
      </c>
      <c r="E6" s="101" t="s">
        <v>25</v>
      </c>
      <c r="F6" s="101" t="s">
        <v>25</v>
      </c>
      <c r="G6" s="14" t="s">
        <v>118</v>
      </c>
      <c r="H6" s="14" t="s">
        <v>117</v>
      </c>
      <c r="I6" s="14">
        <f>SUMIF(Mercado_Receita!$T$2:$T$2022,"44348A4Energia horáriaNão se aplicaNão se aplicaNão se aplicaNão se aplicaPonta",Mercado_Receita!$N$2:$N$2022)</f>
        <v>572.30400000000009</v>
      </c>
      <c r="J6" s="14">
        <f>SUMIF(Mercado_Receita!$T$2:$T$2022,"44378A4Energia horáriaNão se aplicaNão se aplicaNão se aplicaNão se aplicaPonta",Mercado_Receita!$N$2:$N$2022)</f>
        <v>583.66999999999996</v>
      </c>
      <c r="K6" s="14">
        <f>SUMIF(Mercado_Receita!$T$2:$T$2022,"44409A4Energia horáriaNão se aplicaNão se aplicaNão se aplicaNão se aplicaPonta",Mercado_Receita!$N$2:$N$2022)</f>
        <v>619.83300000000008</v>
      </c>
      <c r="L6" s="14">
        <f>SUMIF(Mercado_Receita!$T$2:$T$2022,"44440A4Energia horáriaNão se aplicaNão se aplicaNão se aplicaNão se aplicaPonta",Mercado_Receita!$N$2:$N$2022)</f>
        <v>681.2650000000001</v>
      </c>
      <c r="M6" s="14">
        <f>SUMIF(Mercado_Receita!$T$2:$T$2022,"44470A4Energia horáriaNão se aplicaNão se aplicaNão se aplicaNão se aplicaPonta",Mercado_Receita!$N$2:$N$2022)</f>
        <v>609.904</v>
      </c>
      <c r="N6" s="14">
        <f>SUMIF(Mercado_Receita!$T$2:$T$2022,"44501A4Energia horáriaNão se aplicaNão se aplicaNão se aplicaNão se aplicaPonta",Mercado_Receita!$N$2:$N$2022)</f>
        <v>613.14499999999998</v>
      </c>
      <c r="O6" s="14">
        <f>SUMIF(Mercado_Receita!$T$2:$T$2022,"44531A4Energia horáriaNão se aplicaNão se aplicaNão se aplicaNão se aplicaPonta",Mercado_Receita!$N$2:$N$2022)</f>
        <v>663.1880000000001</v>
      </c>
      <c r="P6" s="14">
        <f>SUMIF(Mercado_Receita!$T$2:$T$2022,"44562A4Energia horáriaNão se aplicaNão se aplicaNão se aplicaNão se aplicaPonta",Mercado_Receita!$N$2:$N$2022)</f>
        <v>664.21900000000005</v>
      </c>
      <c r="Q6" s="14">
        <f>SUMIF(Mercado_Receita!$T$2:$T$2022,"44593A4Energia horáriaNão se aplicaNão se aplicaNão se aplicaNão se aplicaPonta",Mercado_Receita!$N$2:$N$2022)</f>
        <v>570.35300000000007</v>
      </c>
      <c r="R6" s="14">
        <f>SUMIF(Mercado_Receita!$T$2:$T$2022,"44621A4Energia horáriaNão se aplicaNão se aplicaNão se aplicaNão se aplicaPonta",Mercado_Receita!$N$2:$N$2022)</f>
        <v>586.95800000000008</v>
      </c>
      <c r="S6" s="14">
        <f>SUMIF(Mercado_Receita!$T$2:$T$2022,"44652A4Energia horáriaNão se aplicaNão se aplicaNão se aplicaNão se aplicaPonta",Mercado_Receita!$N$2:$N$2022)</f>
        <v>571.62400000000002</v>
      </c>
      <c r="T6" s="14">
        <f>SUMIF(Mercado_Receita!$T$2:$T$2022,"44682A4Energia horáriaNão se aplicaNão se aplicaNão se aplicaNão se aplicaPonta",Mercado_Receita!$N$2:$N$2022)</f>
        <v>571.62400000000002</v>
      </c>
      <c r="U6" s="14">
        <f t="shared" si="0"/>
        <v>7308.0869999999995</v>
      </c>
      <c r="V6" s="14"/>
      <c r="W6" s="14"/>
    </row>
    <row r="7" spans="1:30" ht="11.25" customHeight="1" x14ac:dyDescent="0.25">
      <c r="A7" s="102"/>
      <c r="B7" s="102"/>
      <c r="C7" s="102"/>
      <c r="D7" s="102"/>
      <c r="E7" s="102"/>
      <c r="F7" s="102"/>
      <c r="G7" s="14" t="s">
        <v>119</v>
      </c>
      <c r="H7" s="14" t="s">
        <v>117</v>
      </c>
      <c r="I7" s="14">
        <f>SUMIF(Mercado_Receita!$T$2:$T$2022,"44348A4Energia horáriaNão se aplicaNão se aplicaNão se aplicaNão se aplicaFora ponta",Mercado_Receita!$N$2:$N$2022)</f>
        <v>11248.124999999998</v>
      </c>
      <c r="J7" s="14">
        <f>SUMIF(Mercado_Receita!$T$2:$T$2022,"44378A4Energia horáriaNão se aplicaNão se aplicaNão se aplicaNão se aplicaFora ponta",Mercado_Receita!$N$2:$N$2022)</f>
        <v>11255.311</v>
      </c>
      <c r="K7" s="14">
        <f>SUMIF(Mercado_Receita!$T$2:$T$2022,"44409A4Energia horáriaNão se aplicaNão se aplicaNão se aplicaNão se aplicaFora ponta",Mercado_Receita!$N$2:$N$2022)</f>
        <v>11208.083000000001</v>
      </c>
      <c r="L7" s="14">
        <f>SUMIF(Mercado_Receita!$T$2:$T$2022,"44440A4Energia horáriaNão se aplicaNão se aplicaNão se aplicaNão se aplicaFora ponta",Mercado_Receita!$N$2:$N$2022)</f>
        <v>11529.371000000001</v>
      </c>
      <c r="M7" s="14">
        <f>SUMIF(Mercado_Receita!$T$2:$T$2022,"44470A4Energia horáriaNão se aplicaNão se aplicaNão se aplicaNão se aplicaFora ponta",Mercado_Receita!$N$2:$N$2022)</f>
        <v>11338.471000000001</v>
      </c>
      <c r="N7" s="14">
        <f>SUMIF(Mercado_Receita!$T$2:$T$2022,"44501A4Energia horáriaNão se aplicaNão se aplicaNão se aplicaNão se aplicaFora ponta",Mercado_Receita!$N$2:$N$2022)</f>
        <v>11105.323</v>
      </c>
      <c r="O7" s="14">
        <f>SUMIF(Mercado_Receita!$T$2:$T$2022,"44531A4Energia horáriaNão se aplicaNão se aplicaNão se aplicaNão se aplicaFora ponta",Mercado_Receita!$N$2:$N$2022)</f>
        <v>11018.197999999999</v>
      </c>
      <c r="P7" s="14">
        <f>SUMIF(Mercado_Receita!$T$2:$T$2022,"44562A4Energia horáriaNão se aplicaNão se aplicaNão se aplicaNão se aplicaFora ponta",Mercado_Receita!$N$2:$N$2022)</f>
        <v>10785.034</v>
      </c>
      <c r="Q7" s="14">
        <f>SUMIF(Mercado_Receita!$T$2:$T$2022,"44593A4Energia horáriaNão se aplicaNão se aplicaNão se aplicaNão se aplicaFora ponta",Mercado_Receita!$N$2:$N$2022)</f>
        <v>9994.9759999999987</v>
      </c>
      <c r="R7" s="14">
        <f>SUMIF(Mercado_Receita!$T$2:$T$2022,"44621A4Energia horáriaNão se aplicaNão se aplicaNão se aplicaNão se aplicaFora ponta",Mercado_Receita!$N$2:$N$2022)</f>
        <v>10380.533000000001</v>
      </c>
      <c r="S7" s="14">
        <f>SUMIF(Mercado_Receita!$T$2:$T$2022,"44652A4Energia horáriaNão se aplicaNão se aplicaNão se aplicaNão se aplicaFora ponta",Mercado_Receita!$N$2:$N$2022)</f>
        <v>10166.026999999998</v>
      </c>
      <c r="T7" s="14">
        <f>SUMIF(Mercado_Receita!$T$2:$T$2022,"44682A4Energia horáriaNão se aplicaNão se aplicaNão se aplicaNão se aplicaFora ponta",Mercado_Receita!$N$2:$N$2022)</f>
        <v>10166.026999999998</v>
      </c>
      <c r="U7" s="14">
        <f t="shared" si="0"/>
        <v>130195.47900000001</v>
      </c>
      <c r="V7" s="14"/>
      <c r="W7" s="14"/>
    </row>
    <row r="8" spans="1:30" ht="11.25" customHeight="1" x14ac:dyDescent="0.25">
      <c r="A8" s="101" t="s">
        <v>22</v>
      </c>
      <c r="B8" s="101" t="s">
        <v>116</v>
      </c>
      <c r="C8" s="101" t="s">
        <v>24</v>
      </c>
      <c r="D8" s="101" t="s">
        <v>24</v>
      </c>
      <c r="E8" s="101" t="s">
        <v>25</v>
      </c>
      <c r="F8" s="101" t="s">
        <v>25</v>
      </c>
      <c r="G8" s="14" t="s">
        <v>118</v>
      </c>
      <c r="H8" s="14" t="s">
        <v>117</v>
      </c>
      <c r="I8" s="14">
        <f>SUMIF(Mercado_Receita!$T$2:$T$2022,"44348B1Energia horáriaResidencialResidencialNão se aplicaNão se aplicaPonta",Mercado_Receita!$N$2:$N$2022)</f>
        <v>1.6620000000000001</v>
      </c>
      <c r="J8" s="14">
        <f>SUMIF(Mercado_Receita!$T$2:$T$2022,"44378B1Energia horáriaResidencialResidencialNão se aplicaNão se aplicaPonta",Mercado_Receita!$N$2:$N$2022)</f>
        <v>1.7049999999999998</v>
      </c>
      <c r="K8" s="14">
        <f>SUMIF(Mercado_Receita!$T$2:$T$2022,"44409B1Energia horáriaResidencialResidencialNão se aplicaNão se aplicaPonta",Mercado_Receita!$N$2:$N$2022)</f>
        <v>1.73</v>
      </c>
      <c r="L8" s="14">
        <f>SUMIF(Mercado_Receita!$T$2:$T$2022,"44440B1Energia horáriaResidencialResidencialNão se aplicaNão se aplicaPonta",Mercado_Receita!$N$2:$N$2022)</f>
        <v>1.6880000000000002</v>
      </c>
      <c r="M8" s="14">
        <f>SUMIF(Mercado_Receita!$T$2:$T$2022,"44470B1Energia horáriaResidencialResidencialNão se aplicaNão se aplicaPonta",Mercado_Receita!$N$2:$N$2022)</f>
        <v>1.083</v>
      </c>
      <c r="N8" s="14">
        <f>SUMIF(Mercado_Receita!$T$2:$T$2022,"44501B1Energia horáriaResidencialResidencialNão se aplicaNão se aplicaPonta",Mercado_Receita!$N$2:$N$2022)</f>
        <v>1.6359999999999999</v>
      </c>
      <c r="O8" s="14">
        <f>SUMIF(Mercado_Receita!$T$2:$T$2022,"44531B1Energia horáriaResidencialResidencialNão se aplicaNão se aplicaPonta",Mercado_Receita!$N$2:$N$2022)</f>
        <v>1.1660000000000001</v>
      </c>
      <c r="P8" s="14">
        <f>SUMIF(Mercado_Receita!$T$2:$T$2022,"44562B1Energia horáriaResidencialResidencialNão se aplicaNão se aplicaPonta",Mercado_Receita!$N$2:$N$2022)</f>
        <v>1.4129999999999998</v>
      </c>
      <c r="Q8" s="14">
        <f>SUMIF(Mercado_Receita!$T$2:$T$2022,"44593B1Energia horáriaResidencialResidencialNão se aplicaNão se aplicaPonta",Mercado_Receita!$N$2:$N$2022)</f>
        <v>1.5429999999999999</v>
      </c>
      <c r="R8" s="14">
        <f>SUMIF(Mercado_Receita!$T$2:$T$2022,"44621B1Energia horáriaResidencialResidencialNão se aplicaNão se aplicaPonta",Mercado_Receita!$N$2:$N$2022)</f>
        <v>1.5469999999999999</v>
      </c>
      <c r="S8" s="14">
        <f>SUMIF(Mercado_Receita!$T$2:$T$2022,"44652B1Energia horáriaResidencialResidencialNão se aplicaNão se aplicaPonta",Mercado_Receita!$N$2:$N$2022)</f>
        <v>1.1280000000000001</v>
      </c>
      <c r="T8" s="14">
        <f>SUMIF(Mercado_Receita!$T$2:$T$2022,"44682B1Energia horáriaResidencialResidencialNão se aplicaNão se aplicaPonta",Mercado_Receita!$N$2:$N$2022)</f>
        <v>1.1280000000000001</v>
      </c>
      <c r="U8" s="14">
        <f t="shared" si="0"/>
        <v>17.429000000000002</v>
      </c>
      <c r="V8" s="14"/>
      <c r="W8" s="14"/>
    </row>
    <row r="9" spans="1:30" ht="11.25" customHeight="1" x14ac:dyDescent="0.25">
      <c r="A9" s="102"/>
      <c r="B9" s="102"/>
      <c r="C9" s="102"/>
      <c r="D9" s="102"/>
      <c r="E9" s="102"/>
      <c r="F9" s="102"/>
      <c r="G9" s="14" t="s">
        <v>128</v>
      </c>
      <c r="H9" s="14" t="s">
        <v>117</v>
      </c>
      <c r="I9" s="14">
        <f>SUMIF(Mercado_Receita!$T$2:$T$2022,"44348B1Energia horáriaResidencialResidencialNão se aplicaNão se aplicaIntermediário",Mercado_Receita!$N$2:$N$2022)</f>
        <v>0.91800000000000004</v>
      </c>
      <c r="J9" s="14">
        <f>SUMIF(Mercado_Receita!$T$2:$T$2022,"44378B1Energia horáriaResidencialResidencialNão se aplicaNão se aplicaIntermediário",Mercado_Receita!$N$2:$N$2022)</f>
        <v>0.94200000000000006</v>
      </c>
      <c r="K9" s="14">
        <f>SUMIF(Mercado_Receita!$T$2:$T$2022,"44409B1Energia horáriaResidencialResidencialNão se aplicaNão se aplicaIntermediário",Mercado_Receita!$N$2:$N$2022)</f>
        <v>0.97199999999999998</v>
      </c>
      <c r="L9" s="14">
        <f>SUMIF(Mercado_Receita!$T$2:$T$2022,"44440B1Energia horáriaResidencialResidencialNão se aplicaNão se aplicaIntermediário",Mercado_Receita!$N$2:$N$2022)</f>
        <v>0.998</v>
      </c>
      <c r="M9" s="14">
        <f>SUMIF(Mercado_Receita!$T$2:$T$2022,"44470B1Energia horáriaResidencialResidencialNão se aplicaNão se aplicaIntermediário",Mercado_Receita!$N$2:$N$2022)</f>
        <v>0.78200000000000003</v>
      </c>
      <c r="N9" s="14">
        <f>SUMIF(Mercado_Receita!$T$2:$T$2022,"44501B1Energia horáriaResidencialResidencialNão se aplicaNão se aplicaIntermediário",Mercado_Receita!$N$2:$N$2022)</f>
        <v>0.84899999999999998</v>
      </c>
      <c r="O9" s="14">
        <f>SUMIF(Mercado_Receita!$T$2:$T$2022,"44531B1Energia horáriaResidencialResidencialNão se aplicaNão se aplicaIntermediário",Mercado_Receita!$N$2:$N$2022)</f>
        <v>0.85499999999999998</v>
      </c>
      <c r="P9" s="14">
        <f>SUMIF(Mercado_Receita!$T$2:$T$2022,"44562B1Energia horáriaResidencialResidencialNão se aplicaNão se aplicaIntermediário",Mercado_Receita!$N$2:$N$2022)</f>
        <v>0.94100000000000006</v>
      </c>
      <c r="Q9" s="14">
        <f>SUMIF(Mercado_Receita!$T$2:$T$2022,"44593B1Energia horáriaResidencialResidencialNão se aplicaNão se aplicaIntermediário",Mercado_Receita!$N$2:$N$2022)</f>
        <v>0.96900000000000008</v>
      </c>
      <c r="R9" s="14">
        <f>SUMIF(Mercado_Receita!$T$2:$T$2022,"44621B1Energia horáriaResidencialResidencialNão se aplicaNão se aplicaIntermediário",Mercado_Receita!$N$2:$N$2022)</f>
        <v>0.96099999999999997</v>
      </c>
      <c r="S9" s="14">
        <f>SUMIF(Mercado_Receita!$T$2:$T$2022,"44652B1Energia horáriaResidencialResidencialNão se aplicaNão se aplicaIntermediário",Mercado_Receita!$N$2:$N$2022)</f>
        <v>0.80999999999999994</v>
      </c>
      <c r="T9" s="14">
        <f>SUMIF(Mercado_Receita!$T$2:$T$2022,"44682B1Energia horáriaResidencialResidencialNão se aplicaNão se aplicaIntermediário",Mercado_Receita!$N$2:$N$2022)</f>
        <v>0.80999999999999994</v>
      </c>
      <c r="U9" s="14">
        <f t="shared" si="0"/>
        <v>10.807000000000002</v>
      </c>
      <c r="V9" s="14"/>
      <c r="W9" s="14"/>
    </row>
    <row r="10" spans="1:30" ht="11.25" customHeight="1" x14ac:dyDescent="0.25">
      <c r="A10" s="102"/>
      <c r="B10" s="102"/>
      <c r="C10" s="102"/>
      <c r="D10" s="102"/>
      <c r="E10" s="102"/>
      <c r="F10" s="102"/>
      <c r="G10" s="14" t="s">
        <v>119</v>
      </c>
      <c r="H10" s="14" t="s">
        <v>117</v>
      </c>
      <c r="I10" s="14">
        <f>SUMIF(Mercado_Receita!$T$2:$T$2022,"44348B1Energia horáriaResidencialResidencialNão se aplicaNão se aplicaFora ponta",Mercado_Receita!$N$2:$N$2022)</f>
        <v>9.1180000000000003</v>
      </c>
      <c r="J10" s="14">
        <f>SUMIF(Mercado_Receita!$T$2:$T$2022,"44378B1Energia horáriaResidencialResidencialNão se aplicaNão se aplicaFora ponta",Mercado_Receita!$N$2:$N$2022)</f>
        <v>8.94</v>
      </c>
      <c r="K10" s="14">
        <f>SUMIF(Mercado_Receita!$T$2:$T$2022,"44409B1Energia horáriaResidencialResidencialNão se aplicaNão se aplicaFora ponta",Mercado_Receita!$N$2:$N$2022)</f>
        <v>10.590999999999999</v>
      </c>
      <c r="L10" s="14">
        <f>SUMIF(Mercado_Receita!$T$2:$T$2022,"44440B1Energia horáriaResidencialResidencialNão se aplicaNão se aplicaFora ponta",Mercado_Receita!$N$2:$N$2022)</f>
        <v>11.494</v>
      </c>
      <c r="M10" s="14">
        <f>SUMIF(Mercado_Receita!$T$2:$T$2022,"44470B1Energia horáriaResidencialResidencialNão se aplicaNão se aplicaFora ponta",Mercado_Receita!$N$2:$N$2022)</f>
        <v>9.27</v>
      </c>
      <c r="N10" s="14">
        <f>SUMIF(Mercado_Receita!$T$2:$T$2022,"44501B1Energia horáriaResidencialResidencialNão se aplicaNão se aplicaFora ponta",Mercado_Receita!$N$2:$N$2022)</f>
        <v>10.753</v>
      </c>
      <c r="O10" s="14">
        <f>SUMIF(Mercado_Receita!$T$2:$T$2022,"44531B1Energia horáriaResidencialResidencialNão se aplicaNão se aplicaFora ponta",Mercado_Receita!$N$2:$N$2022)</f>
        <v>9.2760000000000016</v>
      </c>
      <c r="P10" s="14">
        <f>SUMIF(Mercado_Receita!$T$2:$T$2022,"44562B1Energia horáriaResidencialResidencialNão se aplicaNão se aplicaFora ponta",Mercado_Receita!$N$2:$N$2022)</f>
        <v>9.907</v>
      </c>
      <c r="Q10" s="14">
        <f>SUMIF(Mercado_Receita!$T$2:$T$2022,"44593B1Energia horáriaResidencialResidencialNão se aplicaNão se aplicaFora ponta",Mercado_Receita!$N$2:$N$2022)</f>
        <v>10.772</v>
      </c>
      <c r="R10" s="14">
        <f>SUMIF(Mercado_Receita!$T$2:$T$2022,"44621B1Energia horáriaResidencialResidencialNão se aplicaNão se aplicaFora ponta",Mercado_Receita!$N$2:$N$2022)</f>
        <v>11.706</v>
      </c>
      <c r="S10" s="14">
        <f>SUMIF(Mercado_Receita!$T$2:$T$2022,"44652B1Energia horáriaResidencialResidencialNão se aplicaNão se aplicaFora ponta",Mercado_Receita!$N$2:$N$2022)</f>
        <v>9.3640000000000008</v>
      </c>
      <c r="T10" s="14">
        <f>SUMIF(Mercado_Receita!$T$2:$T$2022,"44682B1Energia horáriaResidencialResidencialNão se aplicaNão se aplicaFora ponta",Mercado_Receita!$N$2:$N$2022)</f>
        <v>9.3640000000000008</v>
      </c>
      <c r="U10" s="14">
        <f t="shared" si="0"/>
        <v>120.55500000000001</v>
      </c>
      <c r="V10" s="14"/>
      <c r="W10" s="14"/>
    </row>
    <row r="11" spans="1:30" ht="11.25" customHeight="1" x14ac:dyDescent="0.25">
      <c r="A11" s="102"/>
      <c r="B11" s="101" t="s">
        <v>129</v>
      </c>
      <c r="C11" s="101" t="s">
        <v>24</v>
      </c>
      <c r="D11" s="13" t="s">
        <v>24</v>
      </c>
      <c r="E11" s="13" t="s">
        <v>25</v>
      </c>
      <c r="F11" s="13" t="s">
        <v>25</v>
      </c>
      <c r="G11" s="14" t="s">
        <v>123</v>
      </c>
      <c r="H11" s="14" t="s">
        <v>117</v>
      </c>
      <c r="I11" s="14">
        <f>SUMIF(Mercado_Receita!$T$2:$T$2022,"44348B1Energia convencionalResidencialResidencialNão se aplicaNão se aplicaNão se aplica",Mercado_Receita!$N$2:$N$2022)</f>
        <v>33130.510999999999</v>
      </c>
      <c r="J11" s="14">
        <f>SUMIF(Mercado_Receita!$T$2:$T$2022,"44378B1Energia convencionalResidencialResidencialNão se aplicaNão se aplicaNão se aplica",Mercado_Receita!$N$2:$N$2022)</f>
        <v>32407.636999999999</v>
      </c>
      <c r="K11" s="14">
        <f>SUMIF(Mercado_Receita!$T$2:$T$2022,"44409B1Energia convencionalResidencialResidencialNão se aplicaNão se aplicaNão se aplica",Mercado_Receita!$N$2:$N$2022)</f>
        <v>32455.563000000002</v>
      </c>
      <c r="L11" s="14">
        <f>SUMIF(Mercado_Receita!$T$2:$T$2022,"44440B1Energia convencionalResidencialResidencialNão se aplicaNão se aplicaNão se aplica",Mercado_Receita!$N$2:$N$2022)</f>
        <v>36252.128999999994</v>
      </c>
      <c r="M11" s="14">
        <f>SUMIF(Mercado_Receita!$T$2:$T$2022,"44470B1Energia convencionalResidencialResidencialNão se aplicaNão se aplicaNão se aplica",Mercado_Receita!$N$2:$N$2022)</f>
        <v>34703.485000000001</v>
      </c>
      <c r="N11" s="14">
        <f>SUMIF(Mercado_Receita!$T$2:$T$2022,"44501B1Energia convencionalResidencialResidencialNão se aplicaNão se aplicaNão se aplica",Mercado_Receita!$N$2:$N$2022)</f>
        <v>34451.146000000001</v>
      </c>
      <c r="O11" s="14">
        <f>SUMIF(Mercado_Receita!$T$2:$T$2022,"44531B1Energia convencionalResidencialResidencialNão se aplicaNão se aplicaNão se aplica",Mercado_Receita!$N$2:$N$2022)</f>
        <v>37006.391999999993</v>
      </c>
      <c r="P11" s="14">
        <f>SUMIF(Mercado_Receita!$T$2:$T$2022,"44562B1Energia convencionalResidencialResidencialNão se aplicaNão se aplicaNão se aplica",Mercado_Receita!$N$2:$N$2022)</f>
        <v>36657.365000000005</v>
      </c>
      <c r="Q11" s="14">
        <f>SUMIF(Mercado_Receita!$T$2:$T$2022,"44593B1Energia convencionalResidencialResidencialNão se aplicaNão se aplicaNão se aplica",Mercado_Receita!$N$2:$N$2022)</f>
        <v>36188.512000000002</v>
      </c>
      <c r="R11" s="14">
        <f>SUMIF(Mercado_Receita!$T$2:$T$2022,"44621B1Energia convencionalResidencialResidencialNão se aplicaNão se aplicaNão se aplica",Mercado_Receita!$N$2:$N$2022)</f>
        <v>39409.202999999994</v>
      </c>
      <c r="S11" s="14">
        <f>SUMIF(Mercado_Receita!$T$2:$T$2022,"44652B1Energia convencionalResidencialResidencialNão se aplicaNão se aplicaNão se aplica",Mercado_Receita!$N$2:$N$2022)</f>
        <v>36892.639000000003</v>
      </c>
      <c r="T11" s="14">
        <f>SUMIF(Mercado_Receita!$T$2:$T$2022,"44682B1Energia convencionalResidencialResidencialNão se aplicaNão se aplicaNão se aplica",Mercado_Receita!$N$2:$N$2022)</f>
        <v>36892.639000000003</v>
      </c>
      <c r="U11" s="14">
        <f t="shared" si="0"/>
        <v>426447.22100000002</v>
      </c>
      <c r="V11" s="14"/>
      <c r="W11" s="14"/>
    </row>
    <row r="12" spans="1:30" ht="11.25" customHeight="1" x14ac:dyDescent="0.25">
      <c r="A12" s="102"/>
      <c r="B12" s="102"/>
      <c r="C12" s="102"/>
      <c r="D12" s="13" t="s">
        <v>29</v>
      </c>
      <c r="E12" s="13" t="s">
        <v>25</v>
      </c>
      <c r="F12" s="13" t="s">
        <v>25</v>
      </c>
      <c r="G12" s="14" t="s">
        <v>123</v>
      </c>
      <c r="H12" s="14" t="s">
        <v>117</v>
      </c>
      <c r="I12" s="14">
        <f>SUMIF(Mercado_Receita!$T$2:$T$2022,"44348B1Energia convencionalResidencialResidencial baixa renda – faixa 01Não se aplicaNão se aplicaNão se aplica",Mercado_Receita!$N$2:$N$2022)</f>
        <v>2449.7840000000001</v>
      </c>
      <c r="J12" s="14">
        <f>SUMIF(Mercado_Receita!$T$2:$T$2022,"44378B1Energia convencionalResidencialResidencial baixa renda – faixa 01Não se aplicaNão se aplicaNão se aplica",Mercado_Receita!$N$2:$N$2022)</f>
        <v>2489.261</v>
      </c>
      <c r="K12" s="14">
        <f>SUMIF(Mercado_Receita!$T$2:$T$2022,"44409B1Energia convencionalResidencialResidencial baixa renda – faixa 01Não se aplicaNão se aplicaNão se aplica",Mercado_Receita!$N$2:$N$2022)</f>
        <v>2514.61</v>
      </c>
      <c r="L12" s="14">
        <f>SUMIF(Mercado_Receita!$T$2:$T$2022,"44440B1Energia convencionalResidencialResidencial baixa renda – faixa 01Não se aplicaNão se aplicaNão se aplica",Mercado_Receita!$N$2:$N$2022)</f>
        <v>2457.3020000000001</v>
      </c>
      <c r="M12" s="14">
        <f>SUMIF(Mercado_Receita!$T$2:$T$2022,"44470B1Energia convencionalResidencialResidencial baixa renda – faixa 01Não se aplicaNão se aplicaNão se aplica",Mercado_Receita!$N$2:$N$2022)</f>
        <v>2503.875</v>
      </c>
      <c r="N12" s="14">
        <f>SUMIF(Mercado_Receita!$T$2:$T$2022,"44501B1Energia convencionalResidencialResidencial baixa renda – faixa 01Não se aplicaNão se aplicaNão se aplica",Mercado_Receita!$N$2:$N$2022)</f>
        <v>2532.7649999999999</v>
      </c>
      <c r="O12" s="14">
        <f>SUMIF(Mercado_Receita!$T$2:$T$2022,"44531B1Energia convencionalResidencialResidencial baixa renda – faixa 01Não se aplicaNão se aplicaNão se aplica",Mercado_Receita!$N$2:$N$2022)</f>
        <v>2553.6689999999999</v>
      </c>
      <c r="P12" s="14">
        <f>SUMIF(Mercado_Receita!$T$2:$T$2022,"44562B1Energia convencionalResidencialResidencial baixa renda – faixa 01Não se aplicaNão se aplicaNão se aplica",Mercado_Receita!$N$2:$N$2022)</f>
        <v>2638.5280000000002</v>
      </c>
      <c r="Q12" s="14">
        <f>SUMIF(Mercado_Receita!$T$2:$T$2022,"44593B1Energia convencionalResidencialResidencial baixa renda – faixa 01Não se aplicaNão se aplicaNão se aplica",Mercado_Receita!$N$2:$N$2022)</f>
        <v>2854.1759999999999</v>
      </c>
      <c r="R12" s="14">
        <f>SUMIF(Mercado_Receita!$T$2:$T$2022,"44621B1Energia convencionalResidencialResidencial baixa renda – faixa 01Não se aplicaNão se aplicaNão se aplica",Mercado_Receita!$N$2:$N$2022)</f>
        <v>2914.1169999999997</v>
      </c>
      <c r="S12" s="14">
        <f>SUMIF(Mercado_Receita!$T$2:$T$2022,"44652B1Energia convencionalResidencialResidencial baixa renda – faixa 01Não se aplicaNão se aplicaNão se aplica",Mercado_Receita!$N$2:$N$2022)</f>
        <v>2957.2820000000002</v>
      </c>
      <c r="T12" s="14">
        <f>SUMIF(Mercado_Receita!$T$2:$T$2022,"44682B1Energia convencionalResidencialResidencial baixa renda – faixa 01Não se aplicaNão se aplicaNão se aplica",Mercado_Receita!$N$2:$N$2022)</f>
        <v>2957.2820000000002</v>
      </c>
      <c r="U12" s="14">
        <f t="shared" si="0"/>
        <v>31822.650999999998</v>
      </c>
      <c r="V12" s="14"/>
      <c r="W12" s="14"/>
    </row>
    <row r="13" spans="1:30" ht="11.25" customHeight="1" x14ac:dyDescent="0.25">
      <c r="A13" s="102"/>
      <c r="B13" s="102"/>
      <c r="C13" s="102"/>
      <c r="D13" s="13" t="s">
        <v>30</v>
      </c>
      <c r="E13" s="13" t="s">
        <v>25</v>
      </c>
      <c r="F13" s="13" t="s">
        <v>25</v>
      </c>
      <c r="G13" s="14" t="s">
        <v>123</v>
      </c>
      <c r="H13" s="14" t="s">
        <v>117</v>
      </c>
      <c r="I13" s="14">
        <f>SUMIF(Mercado_Receita!$T$2:$T$2022,"44348B1Energia convencionalResidencialResidencial baixa renda – faixa 02Não se aplicaNão se aplicaNão se aplica",Mercado_Receita!$N$2:$N$2022)</f>
        <v>4619.4600000000009</v>
      </c>
      <c r="J13" s="14">
        <f>SUMIF(Mercado_Receita!$T$2:$T$2022,"44378B1Energia convencionalResidencialResidencial baixa renda – faixa 02Não se aplicaNão se aplicaNão se aplica",Mercado_Receita!$N$2:$N$2022)</f>
        <v>4624.5339999999997</v>
      </c>
      <c r="K13" s="14">
        <f>SUMIF(Mercado_Receita!$T$2:$T$2022,"44409B1Energia convencionalResidencialResidencial baixa renda – faixa 02Não se aplicaNão se aplicaNão se aplica",Mercado_Receita!$N$2:$N$2022)</f>
        <v>4695.7830000000004</v>
      </c>
      <c r="L13" s="14">
        <f>SUMIF(Mercado_Receita!$T$2:$T$2022,"44440B1Energia convencionalResidencialResidencial baixa renda – faixa 02Não se aplicaNão se aplicaNão se aplica",Mercado_Receita!$N$2:$N$2022)</f>
        <v>4804.009</v>
      </c>
      <c r="M13" s="14">
        <f>SUMIF(Mercado_Receita!$T$2:$T$2022,"44470B1Energia convencionalResidencialResidencial baixa renda – faixa 02Não se aplicaNão se aplicaNão se aplica",Mercado_Receita!$N$2:$N$2022)</f>
        <v>4797.2019999999993</v>
      </c>
      <c r="N13" s="14">
        <f>SUMIF(Mercado_Receita!$T$2:$T$2022,"44501B1Energia convencionalResidencialResidencial baixa renda – faixa 02Não se aplicaNão se aplicaNão se aplica",Mercado_Receita!$N$2:$N$2022)</f>
        <v>4869.4859999999999</v>
      </c>
      <c r="O13" s="14">
        <f>SUMIF(Mercado_Receita!$T$2:$T$2022,"44531B1Energia convencionalResidencialResidencial baixa renda – faixa 02Não se aplicaNão se aplicaNão se aplica",Mercado_Receita!$N$2:$N$2022)</f>
        <v>5033.9840000000004</v>
      </c>
      <c r="P13" s="14">
        <f>SUMIF(Mercado_Receita!$T$2:$T$2022,"44562B1Energia convencionalResidencialResidencial baixa renda – faixa 02Não se aplicaNão se aplicaNão se aplica",Mercado_Receita!$N$2:$N$2022)</f>
        <v>5169.9980000000005</v>
      </c>
      <c r="Q13" s="14">
        <f>SUMIF(Mercado_Receita!$T$2:$T$2022,"44593B1Energia convencionalResidencialResidencial baixa renda – faixa 02Não se aplicaNão se aplicaNão se aplica",Mercado_Receita!$N$2:$N$2022)</f>
        <v>5407.79</v>
      </c>
      <c r="R13" s="14">
        <f>SUMIF(Mercado_Receita!$T$2:$T$2022,"44621B1Energia convencionalResidencialResidencial baixa renda – faixa 02Não se aplicaNão se aplicaNão se aplica",Mercado_Receita!$N$2:$N$2022)</f>
        <v>5740.5670000000009</v>
      </c>
      <c r="S13" s="14">
        <f>SUMIF(Mercado_Receita!$T$2:$T$2022,"44652B1Energia convencionalResidencialResidencial baixa renda – faixa 02Não se aplicaNão se aplicaNão se aplica",Mercado_Receita!$N$2:$N$2022)</f>
        <v>5723.3990000000003</v>
      </c>
      <c r="T13" s="14">
        <f>SUMIF(Mercado_Receita!$T$2:$T$2022,"44682B1Energia convencionalResidencialResidencial baixa renda – faixa 02Não se aplicaNão se aplicaNão se aplica",Mercado_Receita!$N$2:$N$2022)</f>
        <v>5723.3990000000003</v>
      </c>
      <c r="U13" s="14">
        <f t="shared" si="0"/>
        <v>61209.610999999997</v>
      </c>
      <c r="V13" s="14"/>
      <c r="W13" s="14"/>
    </row>
    <row r="14" spans="1:30" ht="11.25" customHeight="1" x14ac:dyDescent="0.25">
      <c r="A14" s="102"/>
      <c r="B14" s="102"/>
      <c r="C14" s="102"/>
      <c r="D14" s="13" t="s">
        <v>31</v>
      </c>
      <c r="E14" s="13" t="s">
        <v>25</v>
      </c>
      <c r="F14" s="13" t="s">
        <v>25</v>
      </c>
      <c r="G14" s="14" t="s">
        <v>123</v>
      </c>
      <c r="H14" s="14" t="s">
        <v>117</v>
      </c>
      <c r="I14" s="14">
        <f>SUMIF(Mercado_Receita!$T$2:$T$2022,"44348B1Energia convencionalResidencialResidencial baixa renda – faixa 03Não se aplicaNão se aplicaNão se aplica",Mercado_Receita!$N$2:$N$2022)</f>
        <v>2712.8020000000001</v>
      </c>
      <c r="J14" s="14">
        <f>SUMIF(Mercado_Receita!$T$2:$T$2022,"44378B1Energia convencionalResidencialResidencial baixa renda – faixa 03Não se aplicaNão se aplicaNão se aplica",Mercado_Receita!$N$2:$N$2022)</f>
        <v>2671.6310000000003</v>
      </c>
      <c r="K14" s="14">
        <f>SUMIF(Mercado_Receita!$T$2:$T$2022,"44409B1Energia convencionalResidencialResidencial baixa renda – faixa 03Não se aplicaNão se aplicaNão se aplica",Mercado_Receita!$N$2:$N$2022)</f>
        <v>2761.3689999999997</v>
      </c>
      <c r="L14" s="14">
        <f>SUMIF(Mercado_Receita!$T$2:$T$2022,"44440B1Energia convencionalResidencialResidencial baixa renda – faixa 03Não se aplicaNão se aplicaNão se aplica",Mercado_Receita!$N$2:$N$2022)</f>
        <v>3328.2669999999998</v>
      </c>
      <c r="M14" s="14">
        <f>SUMIF(Mercado_Receita!$T$2:$T$2022,"44470B1Energia convencionalResidencialResidencial baixa renda – faixa 03Não se aplicaNão se aplicaNão se aplica",Mercado_Receita!$N$2:$N$2022)</f>
        <v>2991.5959999999995</v>
      </c>
      <c r="N14" s="14">
        <f>SUMIF(Mercado_Receita!$T$2:$T$2022,"44501B1Energia convencionalResidencialResidencial baixa renda – faixa 03Não se aplicaNão se aplicaNão se aplica",Mercado_Receita!$N$2:$N$2022)</f>
        <v>3093.145</v>
      </c>
      <c r="O14" s="14">
        <f>SUMIF(Mercado_Receita!$T$2:$T$2022,"44531B1Energia convencionalResidencialResidencial baixa renda – faixa 03Não se aplicaNão se aplicaNão se aplica",Mercado_Receita!$N$2:$N$2022)</f>
        <v>3569.1350000000002</v>
      </c>
      <c r="P14" s="14">
        <f>SUMIF(Mercado_Receita!$T$2:$T$2022,"44562B1Energia convencionalResidencialResidencial baixa renda – faixa 03Não se aplicaNão se aplicaNão se aplica",Mercado_Receita!$N$2:$N$2022)</f>
        <v>3569.0360000000001</v>
      </c>
      <c r="Q14" s="14">
        <f>SUMIF(Mercado_Receita!$T$2:$T$2022,"44593B1Energia convencionalResidencialResidencial baixa renda – faixa 03Não se aplicaNão se aplicaNão se aplica",Mercado_Receita!$N$2:$N$2022)</f>
        <v>3336.6190000000001</v>
      </c>
      <c r="R14" s="14">
        <f>SUMIF(Mercado_Receita!$T$2:$T$2022,"44621B1Energia convencionalResidencialResidencial baixa renda – faixa 03Não se aplicaNão se aplicaNão se aplica",Mercado_Receita!$N$2:$N$2022)</f>
        <v>4148.9840000000004</v>
      </c>
      <c r="S14" s="14">
        <f>SUMIF(Mercado_Receita!$T$2:$T$2022,"44652B1Energia convencionalResidencialResidencial baixa renda – faixa 03Não se aplicaNão se aplicaNão se aplica",Mercado_Receita!$N$2:$N$2022)</f>
        <v>3809.2179999999998</v>
      </c>
      <c r="T14" s="14">
        <f>SUMIF(Mercado_Receita!$T$2:$T$2022,"44682B1Energia convencionalResidencialResidencial baixa renda – faixa 03Não se aplicaNão se aplicaNão se aplica",Mercado_Receita!$N$2:$N$2022)</f>
        <v>3809.2179999999998</v>
      </c>
      <c r="U14" s="14">
        <f t="shared" si="0"/>
        <v>39801.019999999997</v>
      </c>
      <c r="V14" s="14"/>
      <c r="W14" s="14"/>
    </row>
    <row r="15" spans="1:30" ht="11.25" customHeight="1" x14ac:dyDescent="0.25">
      <c r="A15" s="102"/>
      <c r="B15" s="102"/>
      <c r="C15" s="102"/>
      <c r="D15" s="13" t="s">
        <v>32</v>
      </c>
      <c r="E15" s="13" t="s">
        <v>25</v>
      </c>
      <c r="F15" s="13" t="s">
        <v>25</v>
      </c>
      <c r="G15" s="14" t="s">
        <v>123</v>
      </c>
      <c r="H15" s="14" t="s">
        <v>117</v>
      </c>
      <c r="I15" s="14">
        <f>SUMIF(Mercado_Receita!$T$2:$T$2022,"44348B1Energia convencionalResidencialResidencial baixa renda – faixa 04Não se aplicaNão se aplicaNão se aplica",Mercado_Receita!$N$2:$N$2022)</f>
        <v>419.77</v>
      </c>
      <c r="J15" s="14">
        <f>SUMIF(Mercado_Receita!$T$2:$T$2022,"44378B1Energia convencionalResidencialResidencial baixa renda – faixa 04Não se aplicaNão se aplicaNão se aplica",Mercado_Receita!$N$2:$N$2022)</f>
        <v>398.803</v>
      </c>
      <c r="K15" s="14">
        <f>SUMIF(Mercado_Receita!$T$2:$T$2022,"44409B1Energia convencionalResidencialResidencial baixa renda – faixa 04Não se aplicaNão se aplicaNão se aplica",Mercado_Receita!$N$2:$N$2022)</f>
        <v>414.767</v>
      </c>
      <c r="L15" s="14">
        <f>SUMIF(Mercado_Receita!$T$2:$T$2022,"44440B1Energia convencionalResidencialResidencial baixa renda – faixa 04Não se aplicaNão se aplicaNão se aplica",Mercado_Receita!$N$2:$N$2022)</f>
        <v>642.71199999999999</v>
      </c>
      <c r="M15" s="14">
        <f>SUMIF(Mercado_Receita!$T$2:$T$2022,"44470B1Energia convencionalResidencialResidencial baixa renda – faixa 04Não se aplicaNão se aplicaNão se aplica",Mercado_Receita!$N$2:$N$2022)</f>
        <v>520.92900000000009</v>
      </c>
      <c r="N15" s="14">
        <f>SUMIF(Mercado_Receita!$T$2:$T$2022,"44501B1Energia convencionalResidencialResidencial baixa renda – faixa 04Não se aplicaNão se aplicaNão se aplica",Mercado_Receita!$N$2:$N$2022)</f>
        <v>535.53499999999997</v>
      </c>
      <c r="O15" s="14">
        <f>SUMIF(Mercado_Receita!$T$2:$T$2022,"44531B1Energia convencionalResidencialResidencial baixa renda – faixa 04Não se aplicaNão se aplicaNão se aplica",Mercado_Receita!$N$2:$N$2022)</f>
        <v>729.44500000000005</v>
      </c>
      <c r="P15" s="14">
        <f>SUMIF(Mercado_Receita!$T$2:$T$2022,"44562B1Energia convencionalResidencialResidencial baixa renda – faixa 04Não se aplicaNão se aplicaNão se aplica",Mercado_Receita!$N$2:$N$2022)</f>
        <v>744.11199999999997</v>
      </c>
      <c r="Q15" s="14">
        <f>SUMIF(Mercado_Receita!$T$2:$T$2022,"44593B1Energia convencionalResidencialResidencial baixa renda – faixa 04Não se aplicaNão se aplicaNão se aplica",Mercado_Receita!$N$2:$N$2022)</f>
        <v>666.13700000000006</v>
      </c>
      <c r="R15" s="14">
        <f>SUMIF(Mercado_Receita!$T$2:$T$2022,"44621B1Energia convencionalResidencialResidencial baixa renda – faixa 04Não se aplicaNão se aplicaNão se aplica",Mercado_Receita!$N$2:$N$2022)</f>
        <v>1022.0260000000001</v>
      </c>
      <c r="S15" s="14">
        <f>SUMIF(Mercado_Receita!$T$2:$T$2022,"44652B1Energia convencionalResidencialResidencial baixa renda – faixa 04Não se aplicaNão se aplicaNão se aplica",Mercado_Receita!$N$2:$N$2022)</f>
        <v>843.58899999999994</v>
      </c>
      <c r="T15" s="14">
        <f>SUMIF(Mercado_Receita!$T$2:$T$2022,"44682B1Energia convencionalResidencialResidencial baixa renda – faixa 04Não se aplicaNão se aplicaNão se aplica",Mercado_Receita!$N$2:$N$2022)</f>
        <v>843.58899999999994</v>
      </c>
      <c r="U15" s="14">
        <f t="shared" si="0"/>
        <v>7781.4139999999989</v>
      </c>
      <c r="V15" s="14"/>
      <c r="W15" s="14"/>
    </row>
    <row r="16" spans="1:30" ht="11.25" customHeight="1" x14ac:dyDescent="0.25">
      <c r="A16" s="102"/>
      <c r="B16" s="101" t="s">
        <v>130</v>
      </c>
      <c r="C16" s="101" t="s">
        <v>24</v>
      </c>
      <c r="D16" s="13" t="s">
        <v>24</v>
      </c>
      <c r="E16" s="13" t="s">
        <v>25</v>
      </c>
      <c r="F16" s="13" t="s">
        <v>25</v>
      </c>
      <c r="G16" s="14" t="s">
        <v>123</v>
      </c>
      <c r="H16" s="14" t="s">
        <v>117</v>
      </c>
      <c r="I16" s="14">
        <f>SUMIF(Mercado_Receita!$T$2:$T$2022,"44348B1Energia convencional pré-pagamentoResidencialResidencialNão se aplicaNão se aplicaNão se aplica",Mercado_Receita!$N$2:$N$2022)</f>
        <v>0</v>
      </c>
      <c r="J16" s="14">
        <f>SUMIF(Mercado_Receita!$T$2:$T$2022,"44378B1Energia convencional pré-pagamentoResidencialResidencialNão se aplicaNão se aplicaNão se aplica",Mercado_Receita!$N$2:$N$2022)</f>
        <v>0</v>
      </c>
      <c r="K16" s="14">
        <f>SUMIF(Mercado_Receita!$T$2:$T$2022,"44409B1Energia convencional pré-pagamentoResidencialResidencialNão se aplicaNão se aplicaNão se aplica",Mercado_Receita!$N$2:$N$2022)</f>
        <v>0</v>
      </c>
      <c r="L16" s="14">
        <f>SUMIF(Mercado_Receita!$T$2:$T$2022,"44440B1Energia convencional pré-pagamentoResidencialResidencialNão se aplicaNão se aplicaNão se aplica",Mercado_Receita!$N$2:$N$2022)</f>
        <v>0</v>
      </c>
      <c r="M16" s="14">
        <f>SUMIF(Mercado_Receita!$T$2:$T$2022,"44470B1Energia convencional pré-pagamentoResidencialResidencialNão se aplicaNão se aplicaNão se aplica",Mercado_Receita!$N$2:$N$2022)</f>
        <v>0</v>
      </c>
      <c r="N16" s="14">
        <f>SUMIF(Mercado_Receita!$T$2:$T$2022,"44501B1Energia convencional pré-pagamentoResidencialResidencialNão se aplicaNão se aplicaNão se aplica",Mercado_Receita!$N$2:$N$2022)</f>
        <v>0</v>
      </c>
      <c r="O16" s="14">
        <f>SUMIF(Mercado_Receita!$T$2:$T$2022,"44531B1Energia convencional pré-pagamentoResidencialResidencialNão se aplicaNão se aplicaNão se aplica",Mercado_Receita!$N$2:$N$2022)</f>
        <v>0</v>
      </c>
      <c r="P16" s="14">
        <f>SUMIF(Mercado_Receita!$T$2:$T$2022,"44562B1Energia convencional pré-pagamentoResidencialResidencialNão se aplicaNão se aplicaNão se aplica",Mercado_Receita!$N$2:$N$2022)</f>
        <v>0</v>
      </c>
      <c r="Q16" s="14">
        <f>SUMIF(Mercado_Receita!$T$2:$T$2022,"44593B1Energia convencional pré-pagamentoResidencialResidencialNão se aplicaNão se aplicaNão se aplica",Mercado_Receita!$N$2:$N$2022)</f>
        <v>0</v>
      </c>
      <c r="R16" s="14">
        <f>SUMIF(Mercado_Receita!$T$2:$T$2022,"44621B1Energia convencional pré-pagamentoResidencialResidencialNão se aplicaNão se aplicaNão se aplica",Mercado_Receita!$N$2:$N$2022)</f>
        <v>0</v>
      </c>
      <c r="S16" s="14">
        <f>SUMIF(Mercado_Receita!$T$2:$T$2022,"44652B1Energia convencional pré-pagamentoResidencialResidencialNão se aplicaNão se aplicaNão se aplica",Mercado_Receita!$N$2:$N$2022)</f>
        <v>0</v>
      </c>
      <c r="T16" s="14">
        <f>SUMIF(Mercado_Receita!$T$2:$T$2022,"44682B1Energia convencional pré-pagamentoResidencialResidencialNão se aplicaNão se aplicaNão se aplica",Mercado_Receita!$N$2:$N$2022)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02"/>
      <c r="B17" s="102"/>
      <c r="C17" s="102"/>
      <c r="D17" s="13" t="s">
        <v>29</v>
      </c>
      <c r="E17" s="13" t="s">
        <v>25</v>
      </c>
      <c r="F17" s="13" t="s">
        <v>25</v>
      </c>
      <c r="G17" s="14" t="s">
        <v>123</v>
      </c>
      <c r="H17" s="14" t="s">
        <v>117</v>
      </c>
      <c r="I17" s="14">
        <f>SUMIF(Mercado_Receita!$T$2:$T$2022,"44348B1Energia convencional pré-pagamentoResidencialResidencial baixa renda – faixa 01Não se aplicaNão se aplicaNão se aplica",Mercado_Receita!$N$2:$N$2022)</f>
        <v>0</v>
      </c>
      <c r="J17" s="14">
        <f>SUMIF(Mercado_Receita!$T$2:$T$2022,"44378B1Energia convencional pré-pagamentoResidencialResidencial baixa renda – faixa 01Não se aplicaNão se aplicaNão se aplica",Mercado_Receita!$N$2:$N$2022)</f>
        <v>0</v>
      </c>
      <c r="K17" s="14">
        <f>SUMIF(Mercado_Receita!$T$2:$T$2022,"44409B1Energia convencional pré-pagamentoResidencialResidencial baixa renda – faixa 01Não se aplicaNão se aplicaNão se aplica",Mercado_Receita!$N$2:$N$2022)</f>
        <v>0</v>
      </c>
      <c r="L17" s="14">
        <f>SUMIF(Mercado_Receita!$T$2:$T$2022,"44440B1Energia convencional pré-pagamentoResidencialResidencial baixa renda – faixa 01Não se aplicaNão se aplicaNão se aplica",Mercado_Receita!$N$2:$N$2022)</f>
        <v>0</v>
      </c>
      <c r="M17" s="14">
        <f>SUMIF(Mercado_Receita!$T$2:$T$2022,"44470B1Energia convencional pré-pagamentoResidencialResidencial baixa renda – faixa 01Não se aplicaNão se aplicaNão se aplica",Mercado_Receita!$N$2:$N$2022)</f>
        <v>0</v>
      </c>
      <c r="N17" s="14">
        <f>SUMIF(Mercado_Receita!$T$2:$T$2022,"44501B1Energia convencional pré-pagamentoResidencialResidencial baixa renda – faixa 01Não se aplicaNão se aplicaNão se aplica",Mercado_Receita!$N$2:$N$2022)</f>
        <v>0</v>
      </c>
      <c r="O17" s="14">
        <f>SUMIF(Mercado_Receita!$T$2:$T$2022,"44531B1Energia convencional pré-pagamentoResidencialResidencial baixa renda – faixa 01Não se aplicaNão se aplicaNão se aplica",Mercado_Receita!$N$2:$N$2022)</f>
        <v>0</v>
      </c>
      <c r="P17" s="14">
        <f>SUMIF(Mercado_Receita!$T$2:$T$2022,"44562B1Energia convencional pré-pagamentoResidencialResidencial baixa renda – faixa 01Não se aplicaNão se aplicaNão se aplica",Mercado_Receita!$N$2:$N$2022)</f>
        <v>0</v>
      </c>
      <c r="Q17" s="14">
        <f>SUMIF(Mercado_Receita!$T$2:$T$2022,"44593B1Energia convencional pré-pagamentoResidencialResidencial baixa renda – faixa 01Não se aplicaNão se aplicaNão se aplica",Mercado_Receita!$N$2:$N$2022)</f>
        <v>0</v>
      </c>
      <c r="R17" s="14">
        <f>SUMIF(Mercado_Receita!$T$2:$T$2022,"44621B1Energia convencional pré-pagamentoResidencialResidencial baixa renda – faixa 01Não se aplicaNão se aplicaNão se aplica",Mercado_Receita!$N$2:$N$2022)</f>
        <v>0</v>
      </c>
      <c r="S17" s="14">
        <f>SUMIF(Mercado_Receita!$T$2:$T$2022,"44652B1Energia convencional pré-pagamentoResidencialResidencial baixa renda – faixa 01Não se aplicaNão se aplicaNão se aplica",Mercado_Receita!$N$2:$N$2022)</f>
        <v>0</v>
      </c>
      <c r="T17" s="14">
        <f>SUMIF(Mercado_Receita!$T$2:$T$2022,"44682B1Energia convencional pré-pagamentoResidencialResidencial baixa renda – faixa 01Não se aplicaNão se aplicaNão se aplica",Mercado_Receita!$N$2:$N$2022)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02"/>
      <c r="B18" s="102"/>
      <c r="C18" s="102"/>
      <c r="D18" s="13" t="s">
        <v>30</v>
      </c>
      <c r="E18" s="13" t="s">
        <v>25</v>
      </c>
      <c r="F18" s="13" t="s">
        <v>25</v>
      </c>
      <c r="G18" s="14" t="s">
        <v>123</v>
      </c>
      <c r="H18" s="14" t="s">
        <v>117</v>
      </c>
      <c r="I18" s="14">
        <f>SUMIF(Mercado_Receita!$T$2:$T$2022,"44348B1Energia convencional pré-pagamentoResidencialResidencial baixa renda – faixa 02Não se aplicaNão se aplicaNão se aplica",Mercado_Receita!$N$2:$N$2022)</f>
        <v>0</v>
      </c>
      <c r="J18" s="14">
        <f>SUMIF(Mercado_Receita!$T$2:$T$2022,"44378B1Energia convencional pré-pagamentoResidencialResidencial baixa renda – faixa 02Não se aplicaNão se aplicaNão se aplica",Mercado_Receita!$N$2:$N$2022)</f>
        <v>0</v>
      </c>
      <c r="K18" s="14">
        <f>SUMIF(Mercado_Receita!$T$2:$T$2022,"44409B1Energia convencional pré-pagamentoResidencialResidencial baixa renda – faixa 02Não se aplicaNão se aplicaNão se aplica",Mercado_Receita!$N$2:$N$2022)</f>
        <v>0</v>
      </c>
      <c r="L18" s="14">
        <f>SUMIF(Mercado_Receita!$T$2:$T$2022,"44440B1Energia convencional pré-pagamentoResidencialResidencial baixa renda – faixa 02Não se aplicaNão se aplicaNão se aplica",Mercado_Receita!$N$2:$N$2022)</f>
        <v>0</v>
      </c>
      <c r="M18" s="14">
        <f>SUMIF(Mercado_Receita!$T$2:$T$2022,"44470B1Energia convencional pré-pagamentoResidencialResidencial baixa renda – faixa 02Não se aplicaNão se aplicaNão se aplica",Mercado_Receita!$N$2:$N$2022)</f>
        <v>0</v>
      </c>
      <c r="N18" s="14">
        <f>SUMIF(Mercado_Receita!$T$2:$T$2022,"44501B1Energia convencional pré-pagamentoResidencialResidencial baixa renda – faixa 02Não se aplicaNão se aplicaNão se aplica",Mercado_Receita!$N$2:$N$2022)</f>
        <v>0</v>
      </c>
      <c r="O18" s="14">
        <f>SUMIF(Mercado_Receita!$T$2:$T$2022,"44531B1Energia convencional pré-pagamentoResidencialResidencial baixa renda – faixa 02Não se aplicaNão se aplicaNão se aplica",Mercado_Receita!$N$2:$N$2022)</f>
        <v>0</v>
      </c>
      <c r="P18" s="14">
        <f>SUMIF(Mercado_Receita!$T$2:$T$2022,"44562B1Energia convencional pré-pagamentoResidencialResidencial baixa renda – faixa 02Não se aplicaNão se aplicaNão se aplica",Mercado_Receita!$N$2:$N$2022)</f>
        <v>0</v>
      </c>
      <c r="Q18" s="14">
        <f>SUMIF(Mercado_Receita!$T$2:$T$2022,"44593B1Energia convencional pré-pagamentoResidencialResidencial baixa renda – faixa 02Não se aplicaNão se aplicaNão se aplica",Mercado_Receita!$N$2:$N$2022)</f>
        <v>0</v>
      </c>
      <c r="R18" s="14">
        <f>SUMIF(Mercado_Receita!$T$2:$T$2022,"44621B1Energia convencional pré-pagamentoResidencialResidencial baixa renda – faixa 02Não se aplicaNão se aplicaNão se aplica",Mercado_Receita!$N$2:$N$2022)</f>
        <v>0</v>
      </c>
      <c r="S18" s="14">
        <f>SUMIF(Mercado_Receita!$T$2:$T$2022,"44652B1Energia convencional pré-pagamentoResidencialResidencial baixa renda – faixa 02Não se aplicaNão se aplicaNão se aplica",Mercado_Receita!$N$2:$N$2022)</f>
        <v>0</v>
      </c>
      <c r="T18" s="14">
        <f>SUMIF(Mercado_Receita!$T$2:$T$2022,"44682B1Energia convencional pré-pagamentoResidencialResidencial baixa renda – faixa 02Não se aplicaNão se aplicaNão se aplica",Mercado_Receita!$N$2:$N$2022)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02"/>
      <c r="B19" s="102"/>
      <c r="C19" s="102"/>
      <c r="D19" s="13" t="s">
        <v>31</v>
      </c>
      <c r="E19" s="13" t="s">
        <v>25</v>
      </c>
      <c r="F19" s="13" t="s">
        <v>25</v>
      </c>
      <c r="G19" s="14" t="s">
        <v>123</v>
      </c>
      <c r="H19" s="14" t="s">
        <v>117</v>
      </c>
      <c r="I19" s="14">
        <f>SUMIF(Mercado_Receita!$T$2:$T$2022,"44348B1Energia convencional pré-pagamentoResidencialResidencial baixa renda – faixa 03Não se aplicaNão se aplicaNão se aplica",Mercado_Receita!$N$2:$N$2022)</f>
        <v>0</v>
      </c>
      <c r="J19" s="14">
        <f>SUMIF(Mercado_Receita!$T$2:$T$2022,"44378B1Energia convencional pré-pagamentoResidencialResidencial baixa renda – faixa 03Não se aplicaNão se aplicaNão se aplica",Mercado_Receita!$N$2:$N$2022)</f>
        <v>0</v>
      </c>
      <c r="K19" s="14">
        <f>SUMIF(Mercado_Receita!$T$2:$T$2022,"44409B1Energia convencional pré-pagamentoResidencialResidencial baixa renda – faixa 03Não se aplicaNão se aplicaNão se aplica",Mercado_Receita!$N$2:$N$2022)</f>
        <v>0</v>
      </c>
      <c r="L19" s="14">
        <f>SUMIF(Mercado_Receita!$T$2:$T$2022,"44440B1Energia convencional pré-pagamentoResidencialResidencial baixa renda – faixa 03Não se aplicaNão se aplicaNão se aplica",Mercado_Receita!$N$2:$N$2022)</f>
        <v>0</v>
      </c>
      <c r="M19" s="14">
        <f>SUMIF(Mercado_Receita!$T$2:$T$2022,"44470B1Energia convencional pré-pagamentoResidencialResidencial baixa renda – faixa 03Não se aplicaNão se aplicaNão se aplica",Mercado_Receita!$N$2:$N$2022)</f>
        <v>0</v>
      </c>
      <c r="N19" s="14">
        <f>SUMIF(Mercado_Receita!$T$2:$T$2022,"44501B1Energia convencional pré-pagamentoResidencialResidencial baixa renda – faixa 03Não se aplicaNão se aplicaNão se aplica",Mercado_Receita!$N$2:$N$2022)</f>
        <v>0</v>
      </c>
      <c r="O19" s="14">
        <f>SUMIF(Mercado_Receita!$T$2:$T$2022,"44531B1Energia convencional pré-pagamentoResidencialResidencial baixa renda – faixa 03Não se aplicaNão se aplicaNão se aplica",Mercado_Receita!$N$2:$N$2022)</f>
        <v>0</v>
      </c>
      <c r="P19" s="14">
        <f>SUMIF(Mercado_Receita!$T$2:$T$2022,"44562B1Energia convencional pré-pagamentoResidencialResidencial baixa renda – faixa 03Não se aplicaNão se aplicaNão se aplica",Mercado_Receita!$N$2:$N$2022)</f>
        <v>0</v>
      </c>
      <c r="Q19" s="14">
        <f>SUMIF(Mercado_Receita!$T$2:$T$2022,"44593B1Energia convencional pré-pagamentoResidencialResidencial baixa renda – faixa 03Não se aplicaNão se aplicaNão se aplica",Mercado_Receita!$N$2:$N$2022)</f>
        <v>0</v>
      </c>
      <c r="R19" s="14">
        <f>SUMIF(Mercado_Receita!$T$2:$T$2022,"44621B1Energia convencional pré-pagamentoResidencialResidencial baixa renda – faixa 03Não se aplicaNão se aplicaNão se aplica",Mercado_Receita!$N$2:$N$2022)</f>
        <v>0</v>
      </c>
      <c r="S19" s="14">
        <f>SUMIF(Mercado_Receita!$T$2:$T$2022,"44652B1Energia convencional pré-pagamentoResidencialResidencial baixa renda – faixa 03Não se aplicaNão se aplicaNão se aplica",Mercado_Receita!$N$2:$N$2022)</f>
        <v>0</v>
      </c>
      <c r="T19" s="14">
        <f>SUMIF(Mercado_Receita!$T$2:$T$2022,"44682B1Energia convencional pré-pagamentoResidencialResidencial baixa renda – faixa 03Não se aplicaNão se aplicaNão se aplica",Mercado_Receita!$N$2:$N$2022)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02"/>
      <c r="B20" s="102"/>
      <c r="C20" s="102"/>
      <c r="D20" s="13" t="s">
        <v>32</v>
      </c>
      <c r="E20" s="13" t="s">
        <v>25</v>
      </c>
      <c r="F20" s="13" t="s">
        <v>25</v>
      </c>
      <c r="G20" s="14" t="s">
        <v>123</v>
      </c>
      <c r="H20" s="14" t="s">
        <v>117</v>
      </c>
      <c r="I20" s="14">
        <f>SUMIF(Mercado_Receita!$T$2:$T$2022,"44348B1Energia convencional pré-pagamentoResidencialResidencial baixa renda – faixa 04Não se aplicaNão se aplicaNão se aplica",Mercado_Receita!$N$2:$N$2022)</f>
        <v>0</v>
      </c>
      <c r="J20" s="14">
        <f>SUMIF(Mercado_Receita!$T$2:$T$2022,"44378B1Energia convencional pré-pagamentoResidencialResidencial baixa renda – faixa 04Não se aplicaNão se aplicaNão se aplica",Mercado_Receita!$N$2:$N$2022)</f>
        <v>0</v>
      </c>
      <c r="K20" s="14">
        <f>SUMIF(Mercado_Receita!$T$2:$T$2022,"44409B1Energia convencional pré-pagamentoResidencialResidencial baixa renda – faixa 04Não se aplicaNão se aplicaNão se aplica",Mercado_Receita!$N$2:$N$2022)</f>
        <v>0</v>
      </c>
      <c r="L20" s="14">
        <f>SUMIF(Mercado_Receita!$T$2:$T$2022,"44440B1Energia convencional pré-pagamentoResidencialResidencial baixa renda – faixa 04Não se aplicaNão se aplicaNão se aplica",Mercado_Receita!$N$2:$N$2022)</f>
        <v>0</v>
      </c>
      <c r="M20" s="14">
        <f>SUMIF(Mercado_Receita!$T$2:$T$2022,"44470B1Energia convencional pré-pagamentoResidencialResidencial baixa renda – faixa 04Não se aplicaNão se aplicaNão se aplica",Mercado_Receita!$N$2:$N$2022)</f>
        <v>0</v>
      </c>
      <c r="N20" s="14">
        <f>SUMIF(Mercado_Receita!$T$2:$T$2022,"44501B1Energia convencional pré-pagamentoResidencialResidencial baixa renda – faixa 04Não se aplicaNão se aplicaNão se aplica",Mercado_Receita!$N$2:$N$2022)</f>
        <v>0</v>
      </c>
      <c r="O20" s="14">
        <f>SUMIF(Mercado_Receita!$T$2:$T$2022,"44531B1Energia convencional pré-pagamentoResidencialResidencial baixa renda – faixa 04Não se aplicaNão se aplicaNão se aplica",Mercado_Receita!$N$2:$N$2022)</f>
        <v>0</v>
      </c>
      <c r="P20" s="14">
        <f>SUMIF(Mercado_Receita!$T$2:$T$2022,"44562B1Energia convencional pré-pagamentoResidencialResidencial baixa renda – faixa 04Não se aplicaNão se aplicaNão se aplica",Mercado_Receita!$N$2:$N$2022)</f>
        <v>0</v>
      </c>
      <c r="Q20" s="14">
        <f>SUMIF(Mercado_Receita!$T$2:$T$2022,"44593B1Energia convencional pré-pagamentoResidencialResidencial baixa renda – faixa 04Não se aplicaNão se aplicaNão se aplica",Mercado_Receita!$N$2:$N$2022)</f>
        <v>0</v>
      </c>
      <c r="R20" s="14">
        <f>SUMIF(Mercado_Receita!$T$2:$T$2022,"44621B1Energia convencional pré-pagamentoResidencialResidencial baixa renda – faixa 04Não se aplicaNão se aplicaNão se aplica",Mercado_Receita!$N$2:$N$2022)</f>
        <v>0</v>
      </c>
      <c r="S20" s="14">
        <f>SUMIF(Mercado_Receita!$T$2:$T$2022,"44652B1Energia convencional pré-pagamentoResidencialResidencial baixa renda – faixa 04Não se aplicaNão se aplicaNão se aplica",Mercado_Receita!$N$2:$N$2022)</f>
        <v>0</v>
      </c>
      <c r="T20" s="14">
        <f>SUMIF(Mercado_Receita!$T$2:$T$2022,"44682B1Energia convencional pré-pagamentoResidencialResidencial baixa renda – faixa 04Não se aplicaNão se aplicaNão se aplica",Mercado_Receita!$N$2:$N$2022)</f>
        <v>0</v>
      </c>
      <c r="U20" s="14">
        <f t="shared" si="0"/>
        <v>0</v>
      </c>
      <c r="V20" s="14"/>
      <c r="W20" s="14"/>
    </row>
    <row r="21" spans="1:23" ht="11.25" customHeight="1" x14ac:dyDescent="0.25">
      <c r="A21" s="101" t="s">
        <v>44</v>
      </c>
      <c r="B21" s="101" t="s">
        <v>116</v>
      </c>
      <c r="C21" s="101" t="s">
        <v>45</v>
      </c>
      <c r="D21" s="101" t="s">
        <v>25</v>
      </c>
      <c r="E21" s="101" t="s">
        <v>25</v>
      </c>
      <c r="F21" s="101" t="s">
        <v>25</v>
      </c>
      <c r="G21" s="14" t="s">
        <v>118</v>
      </c>
      <c r="H21" s="14" t="s">
        <v>117</v>
      </c>
      <c r="I21" s="14">
        <f>SUMIF(Mercado_Receita!$T$2:$T$2022,"44348B2Energia horáriaRuralNão se aplicaNão se aplicaNão se aplicaPonta",Mercado_Receita!$N$2:$N$2022)</f>
        <v>0</v>
      </c>
      <c r="J21" s="14">
        <f>SUMIF(Mercado_Receita!$T$2:$T$2022,"44378B2Energia horáriaRuralNão se aplicaNão se aplicaNão se aplicaPonta",Mercado_Receita!$N$2:$N$2022)</f>
        <v>0.06</v>
      </c>
      <c r="K21" s="14">
        <f>SUMIF(Mercado_Receita!$T$2:$T$2022,"44409B2Energia horáriaRuralNão se aplicaNão se aplicaNão se aplicaPonta",Mercado_Receita!$N$2:$N$2022)</f>
        <v>1.4999999999999999E-2</v>
      </c>
      <c r="L21" s="14">
        <f>SUMIF(Mercado_Receita!$T$2:$T$2022,"44440B2Energia horáriaRuralNão se aplicaNão se aplicaNão se aplicaPonta",Mercado_Receita!$N$2:$N$2022)</f>
        <v>5.3999999999999999E-2</v>
      </c>
      <c r="M21" s="14">
        <f>SUMIF(Mercado_Receita!$T$2:$T$2022,"44470B2Energia horáriaRuralNão se aplicaNão se aplicaNão se aplicaPonta",Mercado_Receita!$N$2:$N$2022)</f>
        <v>5.8000000000000003E-2</v>
      </c>
      <c r="N21" s="14">
        <f>SUMIF(Mercado_Receita!$T$2:$T$2022,"44501B2Energia horáriaRuralNão se aplicaNão se aplicaNão se aplicaPonta",Mercado_Receita!$N$2:$N$2022)</f>
        <v>0.64300000000000002</v>
      </c>
      <c r="O21" s="14">
        <f>SUMIF(Mercado_Receita!$T$2:$T$2022,"44531B2Energia horáriaRuralNão se aplicaNão se aplicaNão se aplicaPonta",Mercado_Receita!$N$2:$N$2022)</f>
        <v>7.4999999999999997E-2</v>
      </c>
      <c r="P21" s="14">
        <f>SUMIF(Mercado_Receita!$T$2:$T$2022,"44562B2Energia horáriaRuralNão se aplicaNão se aplicaNão se aplicaPonta",Mercado_Receita!$N$2:$N$2022)</f>
        <v>-0.56899999999999995</v>
      </c>
      <c r="Q21" s="14">
        <f>SUMIF(Mercado_Receita!$T$2:$T$2022,"44593B2Energia horáriaRuralNão se aplicaNão se aplicaNão se aplicaPonta",Mercado_Receita!$N$2:$N$2022)</f>
        <v>3.1E-2</v>
      </c>
      <c r="R21" s="14">
        <f>SUMIF(Mercado_Receita!$T$2:$T$2022,"44621B2Energia horáriaRuralNão se aplicaNão se aplicaNão se aplicaPonta",Mercado_Receita!$N$2:$N$2022)</f>
        <v>4.1000000000000002E-2</v>
      </c>
      <c r="S21" s="14">
        <f>SUMIF(Mercado_Receita!$T$2:$T$2022,"44652B2Energia horáriaRuralNão se aplicaNão se aplicaNão se aplicaPonta",Mercado_Receita!$N$2:$N$2022)</f>
        <v>4.3999999999999997E-2</v>
      </c>
      <c r="T21" s="14">
        <f>SUMIF(Mercado_Receita!$T$2:$T$2022,"44682B2Energia horáriaRuralNão se aplicaNão se aplicaNão se aplicaPonta",Mercado_Receita!$N$2:$N$2022)</f>
        <v>4.3999999999999997E-2</v>
      </c>
      <c r="U21" s="14">
        <f t="shared" si="0"/>
        <v>0.49600000000000005</v>
      </c>
      <c r="V21" s="14"/>
      <c r="W21" s="14"/>
    </row>
    <row r="22" spans="1:23" ht="11.25" customHeight="1" x14ac:dyDescent="0.25">
      <c r="A22" s="102"/>
      <c r="B22" s="102"/>
      <c r="C22" s="102"/>
      <c r="D22" s="102"/>
      <c r="E22" s="102"/>
      <c r="F22" s="102"/>
      <c r="G22" s="14" t="s">
        <v>128</v>
      </c>
      <c r="H22" s="14" t="s">
        <v>117</v>
      </c>
      <c r="I22" s="14">
        <f>SUMIF(Mercado_Receita!$T$2:$T$2022,"44348B2Energia horáriaRuralNão se aplicaNão se aplicaNão se aplicaIntermediário",Mercado_Receita!$N$2:$N$2022)</f>
        <v>3.0000000000000001E-3</v>
      </c>
      <c r="J22" s="14">
        <f>SUMIF(Mercado_Receita!$T$2:$T$2022,"44378B2Energia horáriaRuralNão se aplicaNão se aplicaNão se aplicaIntermediário",Mercado_Receita!$N$2:$N$2022)</f>
        <v>3.2000000000000001E-2</v>
      </c>
      <c r="K22" s="14">
        <f>SUMIF(Mercado_Receita!$T$2:$T$2022,"44409B2Energia horáriaRuralNão se aplicaNão se aplicaNão se aplicaIntermediário",Mercado_Receita!$N$2:$N$2022)</f>
        <v>7.0000000000000001E-3</v>
      </c>
      <c r="L22" s="14">
        <f>SUMIF(Mercado_Receita!$T$2:$T$2022,"44440B2Energia horáriaRuralNão se aplicaNão se aplicaNão se aplicaIntermediário",Mercado_Receita!$N$2:$N$2022)</f>
        <v>2.9000000000000001E-2</v>
      </c>
      <c r="M22" s="14">
        <f>SUMIF(Mercado_Receita!$T$2:$T$2022,"44470B2Energia horáriaRuralNão se aplicaNão se aplicaNão se aplicaIntermediário",Mercado_Receita!$N$2:$N$2022)</f>
        <v>3.5000000000000003E-2</v>
      </c>
      <c r="N22" s="14">
        <f>SUMIF(Mercado_Receita!$T$2:$T$2022,"44501B2Energia horáriaRuralNão se aplicaNão se aplicaNão se aplicaIntermediário",Mercado_Receita!$N$2:$N$2022)</f>
        <v>7.0000000000000001E-3</v>
      </c>
      <c r="O22" s="14">
        <f>SUMIF(Mercado_Receita!$T$2:$T$2022,"44531B2Energia horáriaRuralNão se aplicaNão se aplicaNão se aplicaIntermediário",Mercado_Receita!$N$2:$N$2022)</f>
        <v>0.01</v>
      </c>
      <c r="P22" s="14">
        <f>SUMIF(Mercado_Receita!$T$2:$T$2022,"44562B2Energia horáriaRuralNão se aplicaNão se aplicaNão se aplicaIntermediário",Mercado_Receita!$N$2:$N$2022)</f>
        <v>6.6000000000000003E-2</v>
      </c>
      <c r="Q22" s="14">
        <f>SUMIF(Mercado_Receita!$T$2:$T$2022,"44593B2Energia horáriaRuralNão se aplicaNão se aplicaNão se aplicaIntermediário",Mercado_Receita!$N$2:$N$2022)</f>
        <v>1.4E-2</v>
      </c>
      <c r="R22" s="14">
        <f>SUMIF(Mercado_Receita!$T$2:$T$2022,"44621B2Energia horáriaRuralNão se aplicaNão se aplicaNão se aplicaIntermediário",Mercado_Receita!$N$2:$N$2022)</f>
        <v>2.3E-2</v>
      </c>
      <c r="S22" s="14">
        <f>SUMIF(Mercado_Receita!$T$2:$T$2022,"44652B2Energia horáriaRuralNão se aplicaNão se aplicaNão se aplicaIntermediário",Mercado_Receita!$N$2:$N$2022)</f>
        <v>2.5000000000000001E-2</v>
      </c>
      <c r="T22" s="14">
        <f>SUMIF(Mercado_Receita!$T$2:$T$2022,"44682B2Energia horáriaRuralNão se aplicaNão se aplicaNão se aplicaIntermediário",Mercado_Receita!$N$2:$N$2022)</f>
        <v>2.5000000000000001E-2</v>
      </c>
      <c r="U22" s="14">
        <f t="shared" si="0"/>
        <v>0.27600000000000002</v>
      </c>
      <c r="V22" s="14"/>
      <c r="W22" s="14"/>
    </row>
    <row r="23" spans="1:23" ht="11.25" customHeight="1" x14ac:dyDescent="0.25">
      <c r="A23" s="102"/>
      <c r="B23" s="102"/>
      <c r="C23" s="102"/>
      <c r="D23" s="102"/>
      <c r="E23" s="102"/>
      <c r="F23" s="102"/>
      <c r="G23" s="14" t="s">
        <v>119</v>
      </c>
      <c r="H23" s="14" t="s">
        <v>117</v>
      </c>
      <c r="I23" s="14">
        <f>SUMIF(Mercado_Receita!$T$2:$T$2022,"44348B2Energia horáriaRuralNão se aplicaNão se aplicaNão se aplicaFora ponta",Mercado_Receita!$N$2:$N$2022)</f>
        <v>0.19800000000000001</v>
      </c>
      <c r="J23" s="14">
        <f>SUMIF(Mercado_Receita!$T$2:$T$2022,"44378B2Energia horáriaRuralNão se aplicaNão se aplicaNão se aplicaFora ponta",Mercado_Receita!$N$2:$N$2022)</f>
        <v>0.501</v>
      </c>
      <c r="K23" s="14">
        <f>SUMIF(Mercado_Receita!$T$2:$T$2022,"44409B2Energia horáriaRuralNão se aplicaNão se aplicaNão se aplicaFora ponta",Mercado_Receita!$N$2:$N$2022)</f>
        <v>0.252</v>
      </c>
      <c r="L23" s="14">
        <f>SUMIF(Mercado_Receita!$T$2:$T$2022,"44440B2Energia horáriaRuralNão se aplicaNão se aplicaNão se aplicaFora ponta",Mercado_Receita!$N$2:$N$2022)</f>
        <v>0.47499999999999998</v>
      </c>
      <c r="M23" s="14">
        <f>SUMIF(Mercado_Receita!$T$2:$T$2022,"44470B2Energia horáriaRuralNão se aplicaNão se aplicaNão se aplicaFora ponta",Mercado_Receita!$N$2:$N$2022)</f>
        <v>0.63600000000000001</v>
      </c>
      <c r="N23" s="14">
        <f>SUMIF(Mercado_Receita!$T$2:$T$2022,"44501B2Energia horáriaRuralNão se aplicaNão se aplicaNão se aplicaFora ponta",Mercado_Receita!$N$2:$N$2022)</f>
        <v>4.8179999999999996</v>
      </c>
      <c r="O23" s="14">
        <f>SUMIF(Mercado_Receita!$T$2:$T$2022,"44531B2Energia horáriaRuralNão se aplicaNão se aplicaNão se aplicaFora ponta",Mercado_Receita!$N$2:$N$2022)</f>
        <v>2.1040000000000001</v>
      </c>
      <c r="P23" s="14">
        <f>SUMIF(Mercado_Receita!$T$2:$T$2022,"44562B2Energia horáriaRuralNão se aplicaNão se aplicaNão se aplicaFora ponta",Mercado_Receita!$N$2:$N$2022)</f>
        <v>-5.4340000000000002</v>
      </c>
      <c r="Q23" s="14">
        <f>SUMIF(Mercado_Receita!$T$2:$T$2022,"44593B2Energia horáriaRuralNão se aplicaNão se aplicaNão se aplicaFora ponta",Mercado_Receita!$N$2:$N$2022)</f>
        <v>0.26800000000000002</v>
      </c>
      <c r="R23" s="14">
        <f>SUMIF(Mercado_Receita!$T$2:$T$2022,"44621B2Energia horáriaRuralNão se aplicaNão se aplicaNão se aplicaFora ponta",Mercado_Receita!$N$2:$N$2022)</f>
        <v>0.42599999999999999</v>
      </c>
      <c r="S23" s="14">
        <f>SUMIF(Mercado_Receita!$T$2:$T$2022,"44652B2Energia horáriaRuralNão se aplicaNão se aplicaNão se aplicaFora ponta",Mercado_Receita!$N$2:$N$2022)</f>
        <v>0.44500000000000001</v>
      </c>
      <c r="T23" s="14">
        <f>SUMIF(Mercado_Receita!$T$2:$T$2022,"44682B2Energia horáriaRuralNão se aplicaNão se aplicaNão se aplicaFora ponta",Mercado_Receita!$N$2:$N$2022)</f>
        <v>0.44500000000000001</v>
      </c>
      <c r="U23" s="14">
        <f t="shared" si="0"/>
        <v>5.1340000000000003</v>
      </c>
      <c r="V23" s="14"/>
      <c r="W23" s="14"/>
    </row>
    <row r="24" spans="1:23" ht="11.25" customHeight="1" x14ac:dyDescent="0.25">
      <c r="A24" s="102"/>
      <c r="B24" s="13" t="s">
        <v>129</v>
      </c>
      <c r="C24" s="13" t="s">
        <v>45</v>
      </c>
      <c r="D24" s="13" t="s">
        <v>25</v>
      </c>
      <c r="E24" s="13" t="s">
        <v>25</v>
      </c>
      <c r="F24" s="13" t="s">
        <v>25</v>
      </c>
      <c r="G24" s="14" t="s">
        <v>123</v>
      </c>
      <c r="H24" s="14" t="s">
        <v>117</v>
      </c>
      <c r="I24" s="14">
        <f>SUMIF(Mercado_Receita!$T$2:$T$2022,"44348B2Energia convencionalRuralNão se aplicaNão se aplicaNão se aplicaNão se aplica",Mercado_Receita!$N$2:$N$2022)</f>
        <v>15529.518</v>
      </c>
      <c r="J24" s="14">
        <f>SUMIF(Mercado_Receita!$T$2:$T$2022,"44378B2Energia convencionalRuralNão se aplicaNão se aplicaNão se aplicaNão se aplica",Mercado_Receita!$N$2:$N$2022)</f>
        <v>15164.076999999999</v>
      </c>
      <c r="K24" s="14">
        <f>SUMIF(Mercado_Receita!$T$2:$T$2022,"44409B2Energia convencionalRuralNão se aplicaNão se aplicaNão se aplicaNão se aplica",Mercado_Receita!$N$2:$N$2022)</f>
        <v>14812.374999999998</v>
      </c>
      <c r="L24" s="14">
        <f>SUMIF(Mercado_Receita!$T$2:$T$2022,"44440B2Energia convencionalRuralNão se aplicaNão se aplicaNão se aplicaNão se aplica",Mercado_Receita!$N$2:$N$2022)</f>
        <v>14686.370999999999</v>
      </c>
      <c r="M24" s="14">
        <f>SUMIF(Mercado_Receita!$T$2:$T$2022,"44470B2Energia convencionalRuralNão se aplicaNão se aplicaNão se aplicaNão se aplica",Mercado_Receita!$N$2:$N$2022)</f>
        <v>14463.327999999998</v>
      </c>
      <c r="N24" s="14">
        <f>SUMIF(Mercado_Receita!$T$2:$T$2022,"44501B2Energia convencionalRuralNão se aplicaNão se aplicaNão se aplicaNão se aplica",Mercado_Receita!$N$2:$N$2022)</f>
        <v>13866.384000000002</v>
      </c>
      <c r="O24" s="14">
        <f>SUMIF(Mercado_Receita!$T$2:$T$2022,"44531B2Energia convencionalRuralNão se aplicaNão se aplicaNão se aplicaNão se aplica",Mercado_Receita!$N$2:$N$2022)</f>
        <v>13884.514000000001</v>
      </c>
      <c r="P24" s="14">
        <f>SUMIF(Mercado_Receita!$T$2:$T$2022,"44562B2Energia convencionalRuralNão se aplicaNão se aplicaNão se aplicaNão se aplica",Mercado_Receita!$N$2:$N$2022)</f>
        <v>13619.866</v>
      </c>
      <c r="Q24" s="14">
        <f>SUMIF(Mercado_Receita!$T$2:$T$2022,"44593B2Energia convencionalRuralNão se aplicaNão se aplicaNão se aplicaNão se aplica",Mercado_Receita!$N$2:$N$2022)</f>
        <v>11130.325999999999</v>
      </c>
      <c r="R24" s="14">
        <f>SUMIF(Mercado_Receita!$T$2:$T$2022,"44621B2Energia convencionalRuralNão se aplicaNão se aplicaNão se aplicaNão se aplica",Mercado_Receita!$N$2:$N$2022)</f>
        <v>11121.469000000001</v>
      </c>
      <c r="S24" s="14">
        <f>SUMIF(Mercado_Receita!$T$2:$T$2022,"44652B2Energia convencionalRuralNão se aplicaNão se aplicaNão se aplicaNão se aplica",Mercado_Receita!$N$2:$N$2022)</f>
        <v>11274.21</v>
      </c>
      <c r="T24" s="14">
        <f>SUMIF(Mercado_Receita!$T$2:$T$2022,"44682B2Energia convencionalRuralNão se aplicaNão se aplicaNão se aplicaNão se aplica",Mercado_Receita!$N$2:$N$2022)</f>
        <v>11274.21</v>
      </c>
      <c r="U24" s="14">
        <f t="shared" si="0"/>
        <v>160826.64799999999</v>
      </c>
      <c r="V24" s="14"/>
      <c r="W24" s="14"/>
    </row>
    <row r="25" spans="1:23" ht="11.25" customHeight="1" x14ac:dyDescent="0.25">
      <c r="A25" s="102"/>
      <c r="B25" s="101" t="s">
        <v>116</v>
      </c>
      <c r="C25" s="101" t="s">
        <v>45</v>
      </c>
      <c r="D25" s="101" t="s">
        <v>132</v>
      </c>
      <c r="E25" s="101" t="s">
        <v>25</v>
      </c>
      <c r="F25" s="101" t="s">
        <v>25</v>
      </c>
      <c r="G25" s="14" t="s">
        <v>118</v>
      </c>
      <c r="H25" s="14" t="s">
        <v>117</v>
      </c>
      <c r="I25" s="14">
        <f>SUMIF(Mercado_Receita!$T$2:$T$2022,"44348B2Energia horáriaRuralCooperativa de eletrificação ruralNão se aplicaNão se aplicaPonta",Mercado_Receita!$N$2:$N$2022)</f>
        <v>0</v>
      </c>
      <c r="J25" s="14">
        <f>SUMIF(Mercado_Receita!$T$2:$T$2022,"44378B2Energia horáriaRuralCooperativa de eletrificação ruralNão se aplicaNão se aplicaPonta",Mercado_Receita!$N$2:$N$2022)</f>
        <v>0</v>
      </c>
      <c r="K25" s="14">
        <f>SUMIF(Mercado_Receita!$T$2:$T$2022,"44409B2Energia horáriaRuralCooperativa de eletrificação ruralNão se aplicaNão se aplicaPonta",Mercado_Receita!$N$2:$N$2022)</f>
        <v>0</v>
      </c>
      <c r="L25" s="14">
        <f>SUMIF(Mercado_Receita!$T$2:$T$2022,"44440B2Energia horáriaRuralCooperativa de eletrificação ruralNão se aplicaNão se aplicaPonta",Mercado_Receita!$N$2:$N$2022)</f>
        <v>0</v>
      </c>
      <c r="M25" s="14">
        <f>SUMIF(Mercado_Receita!$T$2:$T$2022,"44470B2Energia horáriaRuralCooperativa de eletrificação ruralNão se aplicaNão se aplicaPonta",Mercado_Receita!$N$2:$N$2022)</f>
        <v>0</v>
      </c>
      <c r="N25" s="14">
        <f>SUMIF(Mercado_Receita!$T$2:$T$2022,"44501B2Energia horáriaRuralCooperativa de eletrificação ruralNão se aplicaNão se aplicaPonta",Mercado_Receita!$N$2:$N$2022)</f>
        <v>0</v>
      </c>
      <c r="O25" s="14">
        <f>SUMIF(Mercado_Receita!$T$2:$T$2022,"44531B2Energia horáriaRuralCooperativa de eletrificação ruralNão se aplicaNão se aplicaPonta",Mercado_Receita!$N$2:$N$2022)</f>
        <v>0</v>
      </c>
      <c r="P25" s="14">
        <f>SUMIF(Mercado_Receita!$T$2:$T$2022,"44562B2Energia horáriaRuralCooperativa de eletrificação ruralNão se aplicaNão se aplicaPonta",Mercado_Receita!$N$2:$N$2022)</f>
        <v>0</v>
      </c>
      <c r="Q25" s="14">
        <f>SUMIF(Mercado_Receita!$T$2:$T$2022,"44593B2Energia horáriaRuralCooperativa de eletrificação ruralNão se aplicaNão se aplicaPonta",Mercado_Receita!$N$2:$N$2022)</f>
        <v>0</v>
      </c>
      <c r="R25" s="14">
        <f>SUMIF(Mercado_Receita!$T$2:$T$2022,"44621B2Energia horáriaRuralCooperativa de eletrificação ruralNão se aplicaNão se aplicaPonta",Mercado_Receita!$N$2:$N$2022)</f>
        <v>0</v>
      </c>
      <c r="S25" s="14">
        <f>SUMIF(Mercado_Receita!$T$2:$T$2022,"44652B2Energia horáriaRuralCooperativa de eletrificação ruralNão se aplicaNão se aplicaPonta",Mercado_Receita!$N$2:$N$2022)</f>
        <v>0</v>
      </c>
      <c r="T25" s="14">
        <f>SUMIF(Mercado_Receita!$T$2:$T$2022,"44682B2Energia horáriaRuralCooperativa de eletrificação ruralNão se aplicaNão se aplicaPonta",Mercado_Receita!$N$2:$N$2022)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2"/>
      <c r="B26" s="102"/>
      <c r="C26" s="102"/>
      <c r="D26" s="102"/>
      <c r="E26" s="102"/>
      <c r="F26" s="102"/>
      <c r="G26" s="14" t="s">
        <v>128</v>
      </c>
      <c r="H26" s="14" t="s">
        <v>117</v>
      </c>
      <c r="I26" s="14">
        <f>SUMIF(Mercado_Receita!$T$2:$T$2022,"44348B2Energia horáriaRuralCooperativa de eletrificação ruralNão se aplicaNão se aplicaIntermediário",Mercado_Receita!$N$2:$N$2022)</f>
        <v>0</v>
      </c>
      <c r="J26" s="14">
        <f>SUMIF(Mercado_Receita!$T$2:$T$2022,"44378B2Energia horáriaRuralCooperativa de eletrificação ruralNão se aplicaNão se aplicaIntermediário",Mercado_Receita!$N$2:$N$2022)</f>
        <v>0</v>
      </c>
      <c r="K26" s="14">
        <f>SUMIF(Mercado_Receita!$T$2:$T$2022,"44409B2Energia horáriaRuralCooperativa de eletrificação ruralNão se aplicaNão se aplicaIntermediário",Mercado_Receita!$N$2:$N$2022)</f>
        <v>0</v>
      </c>
      <c r="L26" s="14">
        <f>SUMIF(Mercado_Receita!$T$2:$T$2022,"44440B2Energia horáriaRuralCooperativa de eletrificação ruralNão se aplicaNão se aplicaIntermediário",Mercado_Receita!$N$2:$N$2022)</f>
        <v>0</v>
      </c>
      <c r="M26" s="14">
        <f>SUMIF(Mercado_Receita!$T$2:$T$2022,"44470B2Energia horáriaRuralCooperativa de eletrificação ruralNão se aplicaNão se aplicaIntermediário",Mercado_Receita!$N$2:$N$2022)</f>
        <v>0</v>
      </c>
      <c r="N26" s="14">
        <f>SUMIF(Mercado_Receita!$T$2:$T$2022,"44501B2Energia horáriaRuralCooperativa de eletrificação ruralNão se aplicaNão se aplicaIntermediário",Mercado_Receita!$N$2:$N$2022)</f>
        <v>0</v>
      </c>
      <c r="O26" s="14">
        <f>SUMIF(Mercado_Receita!$T$2:$T$2022,"44531B2Energia horáriaRuralCooperativa de eletrificação ruralNão se aplicaNão se aplicaIntermediário",Mercado_Receita!$N$2:$N$2022)</f>
        <v>0</v>
      </c>
      <c r="P26" s="14">
        <f>SUMIF(Mercado_Receita!$T$2:$T$2022,"44562B2Energia horáriaRuralCooperativa de eletrificação ruralNão se aplicaNão se aplicaIntermediário",Mercado_Receita!$N$2:$N$2022)</f>
        <v>0</v>
      </c>
      <c r="Q26" s="14">
        <f>SUMIF(Mercado_Receita!$T$2:$T$2022,"44593B2Energia horáriaRuralCooperativa de eletrificação ruralNão se aplicaNão se aplicaIntermediário",Mercado_Receita!$N$2:$N$2022)</f>
        <v>0</v>
      </c>
      <c r="R26" s="14">
        <f>SUMIF(Mercado_Receita!$T$2:$T$2022,"44621B2Energia horáriaRuralCooperativa de eletrificação ruralNão se aplicaNão se aplicaIntermediário",Mercado_Receita!$N$2:$N$2022)</f>
        <v>0</v>
      </c>
      <c r="S26" s="14">
        <f>SUMIF(Mercado_Receita!$T$2:$T$2022,"44652B2Energia horáriaRuralCooperativa de eletrificação ruralNão se aplicaNão se aplicaIntermediário",Mercado_Receita!$N$2:$N$2022)</f>
        <v>0</v>
      </c>
      <c r="T26" s="14">
        <f>SUMIF(Mercado_Receita!$T$2:$T$2022,"44682B2Energia horáriaRuralCooperativa de eletrificação ruralNão se aplicaNão se aplicaIntermediário",Mercado_Receita!$N$2:$N$2022)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02"/>
      <c r="B27" s="102"/>
      <c r="C27" s="102"/>
      <c r="D27" s="102"/>
      <c r="E27" s="102"/>
      <c r="F27" s="102"/>
      <c r="G27" s="14" t="s">
        <v>119</v>
      </c>
      <c r="H27" s="14" t="s">
        <v>117</v>
      </c>
      <c r="I27" s="14">
        <f>SUMIF(Mercado_Receita!$T$2:$T$2022,"44348B2Energia horáriaRuralCooperativa de eletrificação ruralNão se aplicaNão se aplicaFora ponta",Mercado_Receita!$N$2:$N$2022)</f>
        <v>0</v>
      </c>
      <c r="J27" s="14">
        <f>SUMIF(Mercado_Receita!$T$2:$T$2022,"44378B2Energia horáriaRuralCooperativa de eletrificação ruralNão se aplicaNão se aplicaFora ponta",Mercado_Receita!$N$2:$N$2022)</f>
        <v>0</v>
      </c>
      <c r="K27" s="14">
        <f>SUMIF(Mercado_Receita!$T$2:$T$2022,"44409B2Energia horáriaRuralCooperativa de eletrificação ruralNão se aplicaNão se aplicaFora ponta",Mercado_Receita!$N$2:$N$2022)</f>
        <v>0</v>
      </c>
      <c r="L27" s="14">
        <f>SUMIF(Mercado_Receita!$T$2:$T$2022,"44440B2Energia horáriaRuralCooperativa de eletrificação ruralNão se aplicaNão se aplicaFora ponta",Mercado_Receita!$N$2:$N$2022)</f>
        <v>0</v>
      </c>
      <c r="M27" s="14">
        <f>SUMIF(Mercado_Receita!$T$2:$T$2022,"44470B2Energia horáriaRuralCooperativa de eletrificação ruralNão se aplicaNão se aplicaFora ponta",Mercado_Receita!$N$2:$N$2022)</f>
        <v>0</v>
      </c>
      <c r="N27" s="14">
        <f>SUMIF(Mercado_Receita!$T$2:$T$2022,"44501B2Energia horáriaRuralCooperativa de eletrificação ruralNão se aplicaNão se aplicaFora ponta",Mercado_Receita!$N$2:$N$2022)</f>
        <v>0</v>
      </c>
      <c r="O27" s="14">
        <f>SUMIF(Mercado_Receita!$T$2:$T$2022,"44531B2Energia horáriaRuralCooperativa de eletrificação ruralNão se aplicaNão se aplicaFora ponta",Mercado_Receita!$N$2:$N$2022)</f>
        <v>0</v>
      </c>
      <c r="P27" s="14">
        <f>SUMIF(Mercado_Receita!$T$2:$T$2022,"44562B2Energia horáriaRuralCooperativa de eletrificação ruralNão se aplicaNão se aplicaFora ponta",Mercado_Receita!$N$2:$N$2022)</f>
        <v>0</v>
      </c>
      <c r="Q27" s="14">
        <f>SUMIF(Mercado_Receita!$T$2:$T$2022,"44593B2Energia horáriaRuralCooperativa de eletrificação ruralNão se aplicaNão se aplicaFora ponta",Mercado_Receita!$N$2:$N$2022)</f>
        <v>0</v>
      </c>
      <c r="R27" s="14">
        <f>SUMIF(Mercado_Receita!$T$2:$T$2022,"44621B2Energia horáriaRuralCooperativa de eletrificação ruralNão se aplicaNão se aplicaFora ponta",Mercado_Receita!$N$2:$N$2022)</f>
        <v>0</v>
      </c>
      <c r="S27" s="14">
        <f>SUMIF(Mercado_Receita!$T$2:$T$2022,"44652B2Energia horáriaRuralCooperativa de eletrificação ruralNão se aplicaNão se aplicaFora ponta",Mercado_Receita!$N$2:$N$2022)</f>
        <v>0</v>
      </c>
      <c r="T27" s="14">
        <f>SUMIF(Mercado_Receita!$T$2:$T$2022,"44682B2Energia horáriaRuralCooperativa de eletrificação ruralNão se aplicaNão se aplicaFora ponta",Mercado_Receita!$N$2:$N$2022)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02"/>
      <c r="B28" s="13" t="s">
        <v>129</v>
      </c>
      <c r="C28" s="13" t="s">
        <v>45</v>
      </c>
      <c r="D28" s="13" t="s">
        <v>132</v>
      </c>
      <c r="E28" s="13" t="s">
        <v>25</v>
      </c>
      <c r="F28" s="13" t="s">
        <v>25</v>
      </c>
      <c r="G28" s="14" t="s">
        <v>123</v>
      </c>
      <c r="H28" s="14" t="s">
        <v>117</v>
      </c>
      <c r="I28" s="14">
        <f>SUMIF(Mercado_Receita!$T$2:$T$2022,"44348B2Energia convencionalRuralCooperativa de eletrificação ruralNão se aplicaNão se aplicaNão se aplica",Mercado_Receita!$N$2:$N$2022)</f>
        <v>0</v>
      </c>
      <c r="J28" s="14">
        <f>SUMIF(Mercado_Receita!$T$2:$T$2022,"44378B2Energia convencionalRuralCooperativa de eletrificação ruralNão se aplicaNão se aplicaNão se aplica",Mercado_Receita!$N$2:$N$2022)</f>
        <v>0</v>
      </c>
      <c r="K28" s="14">
        <f>SUMIF(Mercado_Receita!$T$2:$T$2022,"44409B2Energia convencionalRuralCooperativa de eletrificação ruralNão se aplicaNão se aplicaNão se aplica",Mercado_Receita!$N$2:$N$2022)</f>
        <v>0</v>
      </c>
      <c r="L28" s="14">
        <f>SUMIF(Mercado_Receita!$T$2:$T$2022,"44440B2Energia convencionalRuralCooperativa de eletrificação ruralNão se aplicaNão se aplicaNão se aplica",Mercado_Receita!$N$2:$N$2022)</f>
        <v>0</v>
      </c>
      <c r="M28" s="14">
        <f>SUMIF(Mercado_Receita!$T$2:$T$2022,"44470B2Energia convencionalRuralCooperativa de eletrificação ruralNão se aplicaNão se aplicaNão se aplica",Mercado_Receita!$N$2:$N$2022)</f>
        <v>0</v>
      </c>
      <c r="N28" s="14">
        <f>SUMIF(Mercado_Receita!$T$2:$T$2022,"44501B2Energia convencionalRuralCooperativa de eletrificação ruralNão se aplicaNão se aplicaNão se aplica",Mercado_Receita!$N$2:$N$2022)</f>
        <v>0</v>
      </c>
      <c r="O28" s="14">
        <f>SUMIF(Mercado_Receita!$T$2:$T$2022,"44531B2Energia convencionalRuralCooperativa de eletrificação ruralNão se aplicaNão se aplicaNão se aplica",Mercado_Receita!$N$2:$N$2022)</f>
        <v>0</v>
      </c>
      <c r="P28" s="14">
        <f>SUMIF(Mercado_Receita!$T$2:$T$2022,"44562B2Energia convencionalRuralCooperativa de eletrificação ruralNão se aplicaNão se aplicaNão se aplica",Mercado_Receita!$N$2:$N$2022)</f>
        <v>0</v>
      </c>
      <c r="Q28" s="14">
        <f>SUMIF(Mercado_Receita!$T$2:$T$2022,"44593B2Energia convencionalRuralCooperativa de eletrificação ruralNão se aplicaNão se aplicaNão se aplica",Mercado_Receita!$N$2:$N$2022)</f>
        <v>0</v>
      </c>
      <c r="R28" s="14">
        <f>SUMIF(Mercado_Receita!$T$2:$T$2022,"44621B2Energia convencionalRuralCooperativa de eletrificação ruralNão se aplicaNão se aplicaNão se aplica",Mercado_Receita!$N$2:$N$2022)</f>
        <v>0</v>
      </c>
      <c r="S28" s="14">
        <f>SUMIF(Mercado_Receita!$T$2:$T$2022,"44652B2Energia convencionalRuralCooperativa de eletrificação ruralNão se aplicaNão se aplicaNão se aplica",Mercado_Receita!$N$2:$N$2022)</f>
        <v>0</v>
      </c>
      <c r="T28" s="14">
        <f>SUMIF(Mercado_Receita!$T$2:$T$2022,"44682B2Energia convencionalRuralCooperativa de eletrificação ruralNão se aplicaNão se aplicaNão se aplica",Mercado_Receita!$N$2:$N$2022)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02"/>
      <c r="B29" s="101" t="s">
        <v>116</v>
      </c>
      <c r="C29" s="101" t="s">
        <v>45</v>
      </c>
      <c r="D29" s="101" t="s">
        <v>133</v>
      </c>
      <c r="E29" s="101" t="s">
        <v>25</v>
      </c>
      <c r="F29" s="101" t="s">
        <v>25</v>
      </c>
      <c r="G29" s="14" t="s">
        <v>118</v>
      </c>
      <c r="H29" s="14" t="s">
        <v>117</v>
      </c>
      <c r="I29" s="14">
        <f>SUMIF(Mercado_Receita!$T$2:$T$2022,"44348B2Energia horáriaRuralServiço público de irrigação ruralNão se aplicaNão se aplicaPonta",Mercado_Receita!$N$2:$N$2022)</f>
        <v>0</v>
      </c>
      <c r="J29" s="14">
        <f>SUMIF(Mercado_Receita!$T$2:$T$2022,"44378B2Energia horáriaRuralServiço público de irrigação ruralNão se aplicaNão se aplicaPonta",Mercado_Receita!$N$2:$N$2022)</f>
        <v>0</v>
      </c>
      <c r="K29" s="14">
        <f>SUMIF(Mercado_Receita!$T$2:$T$2022,"44409B2Energia horáriaRuralServiço público de irrigação ruralNão se aplicaNão se aplicaPonta",Mercado_Receita!$N$2:$N$2022)</f>
        <v>0</v>
      </c>
      <c r="L29" s="14">
        <f>SUMIF(Mercado_Receita!$T$2:$T$2022,"44440B2Energia horáriaRuralServiço público de irrigação ruralNão se aplicaNão se aplicaPonta",Mercado_Receita!$N$2:$N$2022)</f>
        <v>0</v>
      </c>
      <c r="M29" s="14">
        <f>SUMIF(Mercado_Receita!$T$2:$T$2022,"44470B2Energia horáriaRuralServiço público de irrigação ruralNão se aplicaNão se aplicaPonta",Mercado_Receita!$N$2:$N$2022)</f>
        <v>0</v>
      </c>
      <c r="N29" s="14">
        <f>SUMIF(Mercado_Receita!$T$2:$T$2022,"44501B2Energia horáriaRuralServiço público de irrigação ruralNão se aplicaNão se aplicaPonta",Mercado_Receita!$N$2:$N$2022)</f>
        <v>0</v>
      </c>
      <c r="O29" s="14">
        <f>SUMIF(Mercado_Receita!$T$2:$T$2022,"44531B2Energia horáriaRuralServiço público de irrigação ruralNão se aplicaNão se aplicaPonta",Mercado_Receita!$N$2:$N$2022)</f>
        <v>0</v>
      </c>
      <c r="P29" s="14">
        <f>SUMIF(Mercado_Receita!$T$2:$T$2022,"44562B2Energia horáriaRuralServiço público de irrigação ruralNão se aplicaNão se aplicaPonta",Mercado_Receita!$N$2:$N$2022)</f>
        <v>0</v>
      </c>
      <c r="Q29" s="14">
        <f>SUMIF(Mercado_Receita!$T$2:$T$2022,"44593B2Energia horáriaRuralServiço público de irrigação ruralNão se aplicaNão se aplicaPonta",Mercado_Receita!$N$2:$N$2022)</f>
        <v>0</v>
      </c>
      <c r="R29" s="14">
        <f>SUMIF(Mercado_Receita!$T$2:$T$2022,"44621B2Energia horáriaRuralServiço público de irrigação ruralNão se aplicaNão se aplicaPonta",Mercado_Receita!$N$2:$N$2022)</f>
        <v>0</v>
      </c>
      <c r="S29" s="14">
        <f>SUMIF(Mercado_Receita!$T$2:$T$2022,"44652B2Energia horáriaRuralServiço público de irrigação ruralNão se aplicaNão se aplicaPonta",Mercado_Receita!$N$2:$N$2022)</f>
        <v>0</v>
      </c>
      <c r="T29" s="14">
        <f>SUMIF(Mercado_Receita!$T$2:$T$2022,"44682B2Energia horáriaRuralServiço público de irrigação ruralNão se aplicaNão se aplicaPonta",Mercado_Receita!$N$2:$N$2022)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02"/>
      <c r="B30" s="102"/>
      <c r="C30" s="102"/>
      <c r="D30" s="102"/>
      <c r="E30" s="102"/>
      <c r="F30" s="102"/>
      <c r="G30" s="14" t="s">
        <v>128</v>
      </c>
      <c r="H30" s="14" t="s">
        <v>117</v>
      </c>
      <c r="I30" s="14">
        <f>SUMIF(Mercado_Receita!$T$2:$T$2022,"44348B2Energia horáriaRuralServiço público de irrigação ruralNão se aplicaNão se aplicaIntermediário",Mercado_Receita!$N$2:$N$2022)</f>
        <v>0</v>
      </c>
      <c r="J30" s="14">
        <f>SUMIF(Mercado_Receita!$T$2:$T$2022,"44378B2Energia horáriaRuralServiço público de irrigação ruralNão se aplicaNão se aplicaIntermediário",Mercado_Receita!$N$2:$N$2022)</f>
        <v>0</v>
      </c>
      <c r="K30" s="14">
        <f>SUMIF(Mercado_Receita!$T$2:$T$2022,"44409B2Energia horáriaRuralServiço público de irrigação ruralNão se aplicaNão se aplicaIntermediário",Mercado_Receita!$N$2:$N$2022)</f>
        <v>0</v>
      </c>
      <c r="L30" s="14">
        <f>SUMIF(Mercado_Receita!$T$2:$T$2022,"44440B2Energia horáriaRuralServiço público de irrigação ruralNão se aplicaNão se aplicaIntermediário",Mercado_Receita!$N$2:$N$2022)</f>
        <v>0</v>
      </c>
      <c r="M30" s="14">
        <f>SUMIF(Mercado_Receita!$T$2:$T$2022,"44470B2Energia horáriaRuralServiço público de irrigação ruralNão se aplicaNão se aplicaIntermediário",Mercado_Receita!$N$2:$N$2022)</f>
        <v>0</v>
      </c>
      <c r="N30" s="14">
        <f>SUMIF(Mercado_Receita!$T$2:$T$2022,"44501B2Energia horáriaRuralServiço público de irrigação ruralNão se aplicaNão se aplicaIntermediário",Mercado_Receita!$N$2:$N$2022)</f>
        <v>0</v>
      </c>
      <c r="O30" s="14">
        <f>SUMIF(Mercado_Receita!$T$2:$T$2022,"44531B2Energia horáriaRuralServiço público de irrigação ruralNão se aplicaNão se aplicaIntermediário",Mercado_Receita!$N$2:$N$2022)</f>
        <v>0</v>
      </c>
      <c r="P30" s="14">
        <f>SUMIF(Mercado_Receita!$T$2:$T$2022,"44562B2Energia horáriaRuralServiço público de irrigação ruralNão se aplicaNão se aplicaIntermediário",Mercado_Receita!$N$2:$N$2022)</f>
        <v>0</v>
      </c>
      <c r="Q30" s="14">
        <f>SUMIF(Mercado_Receita!$T$2:$T$2022,"44593B2Energia horáriaRuralServiço público de irrigação ruralNão se aplicaNão se aplicaIntermediário",Mercado_Receita!$N$2:$N$2022)</f>
        <v>0</v>
      </c>
      <c r="R30" s="14">
        <f>SUMIF(Mercado_Receita!$T$2:$T$2022,"44621B2Energia horáriaRuralServiço público de irrigação ruralNão se aplicaNão se aplicaIntermediário",Mercado_Receita!$N$2:$N$2022)</f>
        <v>0</v>
      </c>
      <c r="S30" s="14">
        <f>SUMIF(Mercado_Receita!$T$2:$T$2022,"44652B2Energia horáriaRuralServiço público de irrigação ruralNão se aplicaNão se aplicaIntermediário",Mercado_Receita!$N$2:$N$2022)</f>
        <v>0</v>
      </c>
      <c r="T30" s="14">
        <f>SUMIF(Mercado_Receita!$T$2:$T$2022,"44682B2Energia horáriaRuralServiço público de irrigação ruralNão se aplicaNão se aplicaIntermediário",Mercado_Receita!$N$2:$N$2022)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2"/>
      <c r="B31" s="102"/>
      <c r="C31" s="102"/>
      <c r="D31" s="102"/>
      <c r="E31" s="102"/>
      <c r="F31" s="102"/>
      <c r="G31" s="14" t="s">
        <v>119</v>
      </c>
      <c r="H31" s="14" t="s">
        <v>117</v>
      </c>
      <c r="I31" s="14">
        <f>SUMIF(Mercado_Receita!$T$2:$T$2022,"44348B2Energia horáriaRuralServiço público de irrigação ruralNão se aplicaNão se aplicaFora ponta",Mercado_Receita!$N$2:$N$2022)</f>
        <v>0</v>
      </c>
      <c r="J31" s="14">
        <f>SUMIF(Mercado_Receita!$T$2:$T$2022,"44378B2Energia horáriaRuralServiço público de irrigação ruralNão se aplicaNão se aplicaFora ponta",Mercado_Receita!$N$2:$N$2022)</f>
        <v>0</v>
      </c>
      <c r="K31" s="14">
        <f>SUMIF(Mercado_Receita!$T$2:$T$2022,"44409B2Energia horáriaRuralServiço público de irrigação ruralNão se aplicaNão se aplicaFora ponta",Mercado_Receita!$N$2:$N$2022)</f>
        <v>0</v>
      </c>
      <c r="L31" s="14">
        <f>SUMIF(Mercado_Receita!$T$2:$T$2022,"44440B2Energia horáriaRuralServiço público de irrigação ruralNão se aplicaNão se aplicaFora ponta",Mercado_Receita!$N$2:$N$2022)</f>
        <v>0</v>
      </c>
      <c r="M31" s="14">
        <f>SUMIF(Mercado_Receita!$T$2:$T$2022,"44470B2Energia horáriaRuralServiço público de irrigação ruralNão se aplicaNão se aplicaFora ponta",Mercado_Receita!$N$2:$N$2022)</f>
        <v>0</v>
      </c>
      <c r="N31" s="14">
        <f>SUMIF(Mercado_Receita!$T$2:$T$2022,"44501B2Energia horáriaRuralServiço público de irrigação ruralNão se aplicaNão se aplicaFora ponta",Mercado_Receita!$N$2:$N$2022)</f>
        <v>0</v>
      </c>
      <c r="O31" s="14">
        <f>SUMIF(Mercado_Receita!$T$2:$T$2022,"44531B2Energia horáriaRuralServiço público de irrigação ruralNão se aplicaNão se aplicaFora ponta",Mercado_Receita!$N$2:$N$2022)</f>
        <v>0</v>
      </c>
      <c r="P31" s="14">
        <f>SUMIF(Mercado_Receita!$T$2:$T$2022,"44562B2Energia horáriaRuralServiço público de irrigação ruralNão se aplicaNão se aplicaFora ponta",Mercado_Receita!$N$2:$N$2022)</f>
        <v>0</v>
      </c>
      <c r="Q31" s="14">
        <f>SUMIF(Mercado_Receita!$T$2:$T$2022,"44593B2Energia horáriaRuralServiço público de irrigação ruralNão se aplicaNão se aplicaFora ponta",Mercado_Receita!$N$2:$N$2022)</f>
        <v>0</v>
      </c>
      <c r="R31" s="14">
        <f>SUMIF(Mercado_Receita!$T$2:$T$2022,"44621B2Energia horáriaRuralServiço público de irrigação ruralNão se aplicaNão se aplicaFora ponta",Mercado_Receita!$N$2:$N$2022)</f>
        <v>0</v>
      </c>
      <c r="S31" s="14">
        <f>SUMIF(Mercado_Receita!$T$2:$T$2022,"44652B2Energia horáriaRuralServiço público de irrigação ruralNão se aplicaNão se aplicaFora ponta",Mercado_Receita!$N$2:$N$2022)</f>
        <v>0</v>
      </c>
      <c r="T31" s="14">
        <f>SUMIF(Mercado_Receita!$T$2:$T$2022,"44682B2Energia horáriaRuralServiço público de irrigação ruralNão se aplicaNão se aplicaFora ponta",Mercado_Receita!$N$2:$N$2022)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2"/>
      <c r="B32" s="13" t="s">
        <v>129</v>
      </c>
      <c r="C32" s="13" t="s">
        <v>45</v>
      </c>
      <c r="D32" s="13" t="s">
        <v>133</v>
      </c>
      <c r="E32" s="13" t="s">
        <v>25</v>
      </c>
      <c r="F32" s="13" t="s">
        <v>25</v>
      </c>
      <c r="G32" s="14" t="s">
        <v>123</v>
      </c>
      <c r="H32" s="14" t="s">
        <v>117</v>
      </c>
      <c r="I32" s="14">
        <f>SUMIF(Mercado_Receita!$T$2:$T$2022,"44348B2Energia convencionalRuralServiço público de irrigação ruralNão se aplicaNão se aplicaNão se aplica",Mercado_Receita!$N$2:$N$2022)</f>
        <v>0</v>
      </c>
      <c r="J32" s="14">
        <f>SUMIF(Mercado_Receita!$T$2:$T$2022,"44378B2Energia convencionalRuralServiço público de irrigação ruralNão se aplicaNão se aplicaNão se aplica",Mercado_Receita!$N$2:$N$2022)</f>
        <v>0</v>
      </c>
      <c r="K32" s="14">
        <f>SUMIF(Mercado_Receita!$T$2:$T$2022,"44409B2Energia convencionalRuralServiço público de irrigação ruralNão se aplicaNão se aplicaNão se aplica",Mercado_Receita!$N$2:$N$2022)</f>
        <v>0</v>
      </c>
      <c r="L32" s="14">
        <f>SUMIF(Mercado_Receita!$T$2:$T$2022,"44440B2Energia convencionalRuralServiço público de irrigação ruralNão se aplicaNão se aplicaNão se aplica",Mercado_Receita!$N$2:$N$2022)</f>
        <v>0</v>
      </c>
      <c r="M32" s="14">
        <f>SUMIF(Mercado_Receita!$T$2:$T$2022,"44470B2Energia convencionalRuralServiço público de irrigação ruralNão se aplicaNão se aplicaNão se aplica",Mercado_Receita!$N$2:$N$2022)</f>
        <v>0</v>
      </c>
      <c r="N32" s="14">
        <f>SUMIF(Mercado_Receita!$T$2:$T$2022,"44501B2Energia convencionalRuralServiço público de irrigação ruralNão se aplicaNão se aplicaNão se aplica",Mercado_Receita!$N$2:$N$2022)</f>
        <v>0</v>
      </c>
      <c r="O32" s="14">
        <f>SUMIF(Mercado_Receita!$T$2:$T$2022,"44531B2Energia convencionalRuralServiço público de irrigação ruralNão se aplicaNão se aplicaNão se aplica",Mercado_Receita!$N$2:$N$2022)</f>
        <v>0</v>
      </c>
      <c r="P32" s="14">
        <f>SUMIF(Mercado_Receita!$T$2:$T$2022,"44562B2Energia convencionalRuralServiço público de irrigação ruralNão se aplicaNão se aplicaNão se aplica",Mercado_Receita!$N$2:$N$2022)</f>
        <v>0</v>
      </c>
      <c r="Q32" s="14">
        <f>SUMIF(Mercado_Receita!$T$2:$T$2022,"44593B2Energia convencionalRuralServiço público de irrigação ruralNão se aplicaNão se aplicaNão se aplica",Mercado_Receita!$N$2:$N$2022)</f>
        <v>0</v>
      </c>
      <c r="R32" s="14">
        <f>SUMIF(Mercado_Receita!$T$2:$T$2022,"44621B2Energia convencionalRuralServiço público de irrigação ruralNão se aplicaNão se aplicaNão se aplica",Mercado_Receita!$N$2:$N$2022)</f>
        <v>0</v>
      </c>
      <c r="S32" s="14">
        <f>SUMIF(Mercado_Receita!$T$2:$T$2022,"44652B2Energia convencionalRuralServiço público de irrigação ruralNão se aplicaNão se aplicaNão se aplica",Mercado_Receita!$N$2:$N$2022)</f>
        <v>0</v>
      </c>
      <c r="T32" s="14">
        <f>SUMIF(Mercado_Receita!$T$2:$T$2022,"44682B2Energia convencionalRuralServiço público de irrigação ruralNão se aplicaNão se aplicaNão se aplica",Mercado_Receita!$N$2:$N$2022)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02"/>
      <c r="B33" s="101" t="s">
        <v>130</v>
      </c>
      <c r="C33" s="101" t="s">
        <v>45</v>
      </c>
      <c r="D33" s="13" t="s">
        <v>25</v>
      </c>
      <c r="E33" s="13" t="s">
        <v>25</v>
      </c>
      <c r="F33" s="13" t="s">
        <v>25</v>
      </c>
      <c r="G33" s="14" t="s">
        <v>123</v>
      </c>
      <c r="H33" s="14" t="s">
        <v>117</v>
      </c>
      <c r="I33" s="14">
        <f>SUMIF(Mercado_Receita!$T$2:$T$2022,"44348B2Energia convencional pré-pagamentoRuralNão se aplicaNão se aplicaNão se aplicaNão se aplica",Mercado_Receita!$N$2:$N$2022)</f>
        <v>0</v>
      </c>
      <c r="J33" s="14">
        <f>SUMIF(Mercado_Receita!$T$2:$T$2022,"44378B2Energia convencional pré-pagamentoRuralNão se aplicaNão se aplicaNão se aplicaNão se aplica",Mercado_Receita!$N$2:$N$2022)</f>
        <v>0</v>
      </c>
      <c r="K33" s="14">
        <f>SUMIF(Mercado_Receita!$T$2:$T$2022,"44409B2Energia convencional pré-pagamentoRuralNão se aplicaNão se aplicaNão se aplicaNão se aplica",Mercado_Receita!$N$2:$N$2022)</f>
        <v>0</v>
      </c>
      <c r="L33" s="14">
        <f>SUMIF(Mercado_Receita!$T$2:$T$2022,"44440B2Energia convencional pré-pagamentoRuralNão se aplicaNão se aplicaNão se aplicaNão se aplica",Mercado_Receita!$N$2:$N$2022)</f>
        <v>0</v>
      </c>
      <c r="M33" s="14">
        <f>SUMIF(Mercado_Receita!$T$2:$T$2022,"44470B2Energia convencional pré-pagamentoRuralNão se aplicaNão se aplicaNão se aplicaNão se aplica",Mercado_Receita!$N$2:$N$2022)</f>
        <v>0</v>
      </c>
      <c r="N33" s="14">
        <f>SUMIF(Mercado_Receita!$T$2:$T$2022,"44501B2Energia convencional pré-pagamentoRuralNão se aplicaNão se aplicaNão se aplicaNão se aplica",Mercado_Receita!$N$2:$N$2022)</f>
        <v>0</v>
      </c>
      <c r="O33" s="14">
        <f>SUMIF(Mercado_Receita!$T$2:$T$2022,"44531B2Energia convencional pré-pagamentoRuralNão se aplicaNão se aplicaNão se aplicaNão se aplica",Mercado_Receita!$N$2:$N$2022)</f>
        <v>0</v>
      </c>
      <c r="P33" s="14">
        <f>SUMIF(Mercado_Receita!$T$2:$T$2022,"44562B2Energia convencional pré-pagamentoRuralNão se aplicaNão se aplicaNão se aplicaNão se aplica",Mercado_Receita!$N$2:$N$2022)</f>
        <v>0</v>
      </c>
      <c r="Q33" s="14">
        <f>SUMIF(Mercado_Receita!$T$2:$T$2022,"44593B2Energia convencional pré-pagamentoRuralNão se aplicaNão se aplicaNão se aplicaNão se aplica",Mercado_Receita!$N$2:$N$2022)</f>
        <v>0</v>
      </c>
      <c r="R33" s="14">
        <f>SUMIF(Mercado_Receita!$T$2:$T$2022,"44621B2Energia convencional pré-pagamentoRuralNão se aplicaNão se aplicaNão se aplicaNão se aplica",Mercado_Receita!$N$2:$N$2022)</f>
        <v>0</v>
      </c>
      <c r="S33" s="14">
        <f>SUMIF(Mercado_Receita!$T$2:$T$2022,"44652B2Energia convencional pré-pagamentoRuralNão se aplicaNão se aplicaNão se aplicaNão se aplica",Mercado_Receita!$N$2:$N$2022)</f>
        <v>0</v>
      </c>
      <c r="T33" s="14">
        <f>SUMIF(Mercado_Receita!$T$2:$T$2022,"44682B2Energia convencional pré-pagamentoRuralNão se aplicaNão se aplicaNão se aplicaNão se aplica",Mercado_Receita!$N$2:$N$2022)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02"/>
      <c r="B34" s="102"/>
      <c r="C34" s="102"/>
      <c r="D34" s="13" t="s">
        <v>132</v>
      </c>
      <c r="E34" s="13" t="s">
        <v>25</v>
      </c>
      <c r="F34" s="13" t="s">
        <v>25</v>
      </c>
      <c r="G34" s="14" t="s">
        <v>123</v>
      </c>
      <c r="H34" s="14" t="s">
        <v>117</v>
      </c>
      <c r="I34" s="14">
        <f>SUMIF(Mercado_Receita!$T$2:$T$2022,"44348B2Energia convencional pré-pagamentoRuralCooperativa de eletrificação ruralNão se aplicaNão se aplicaNão se aplica",Mercado_Receita!$N$2:$N$2022)</f>
        <v>0</v>
      </c>
      <c r="J34" s="14">
        <f>SUMIF(Mercado_Receita!$T$2:$T$2022,"44378B2Energia convencional pré-pagamentoRuralCooperativa de eletrificação ruralNão se aplicaNão se aplicaNão se aplica",Mercado_Receita!$N$2:$N$2022)</f>
        <v>0</v>
      </c>
      <c r="K34" s="14">
        <f>SUMIF(Mercado_Receita!$T$2:$T$2022,"44409B2Energia convencional pré-pagamentoRuralCooperativa de eletrificação ruralNão se aplicaNão se aplicaNão se aplica",Mercado_Receita!$N$2:$N$2022)</f>
        <v>0</v>
      </c>
      <c r="L34" s="14">
        <f>SUMIF(Mercado_Receita!$T$2:$T$2022,"44440B2Energia convencional pré-pagamentoRuralCooperativa de eletrificação ruralNão se aplicaNão se aplicaNão se aplica",Mercado_Receita!$N$2:$N$2022)</f>
        <v>0</v>
      </c>
      <c r="M34" s="14">
        <f>SUMIF(Mercado_Receita!$T$2:$T$2022,"44470B2Energia convencional pré-pagamentoRuralCooperativa de eletrificação ruralNão se aplicaNão se aplicaNão se aplica",Mercado_Receita!$N$2:$N$2022)</f>
        <v>0</v>
      </c>
      <c r="N34" s="14">
        <f>SUMIF(Mercado_Receita!$T$2:$T$2022,"44501B2Energia convencional pré-pagamentoRuralCooperativa de eletrificação ruralNão se aplicaNão se aplicaNão se aplica",Mercado_Receita!$N$2:$N$2022)</f>
        <v>0</v>
      </c>
      <c r="O34" s="14">
        <f>SUMIF(Mercado_Receita!$T$2:$T$2022,"44531B2Energia convencional pré-pagamentoRuralCooperativa de eletrificação ruralNão se aplicaNão se aplicaNão se aplica",Mercado_Receita!$N$2:$N$2022)</f>
        <v>0</v>
      </c>
      <c r="P34" s="14">
        <f>SUMIF(Mercado_Receita!$T$2:$T$2022,"44562B2Energia convencional pré-pagamentoRuralCooperativa de eletrificação ruralNão se aplicaNão se aplicaNão se aplica",Mercado_Receita!$N$2:$N$2022)</f>
        <v>0</v>
      </c>
      <c r="Q34" s="14">
        <f>SUMIF(Mercado_Receita!$T$2:$T$2022,"44593B2Energia convencional pré-pagamentoRuralCooperativa de eletrificação ruralNão se aplicaNão se aplicaNão se aplica",Mercado_Receita!$N$2:$N$2022)</f>
        <v>0</v>
      </c>
      <c r="R34" s="14">
        <f>SUMIF(Mercado_Receita!$T$2:$T$2022,"44621B2Energia convencional pré-pagamentoRuralCooperativa de eletrificação ruralNão se aplicaNão se aplicaNão se aplica",Mercado_Receita!$N$2:$N$2022)</f>
        <v>0</v>
      </c>
      <c r="S34" s="14">
        <f>SUMIF(Mercado_Receita!$T$2:$T$2022,"44652B2Energia convencional pré-pagamentoRuralCooperativa de eletrificação ruralNão se aplicaNão se aplicaNão se aplica",Mercado_Receita!$N$2:$N$2022)</f>
        <v>0</v>
      </c>
      <c r="T34" s="14">
        <f>SUMIF(Mercado_Receita!$T$2:$T$2022,"44682B2Energia convencional pré-pagamentoRuralCooperativa de eletrificação ruralNão se aplicaNão se aplicaNão se aplica",Mercado_Receita!$N$2:$N$2022)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02"/>
      <c r="B35" s="102"/>
      <c r="C35" s="102"/>
      <c r="D35" s="13" t="s">
        <v>133</v>
      </c>
      <c r="E35" s="13" t="s">
        <v>25</v>
      </c>
      <c r="F35" s="13" t="s">
        <v>25</v>
      </c>
      <c r="G35" s="14" t="s">
        <v>123</v>
      </c>
      <c r="H35" s="14" t="s">
        <v>117</v>
      </c>
      <c r="I35" s="14">
        <f>SUMIF(Mercado_Receita!$T$2:$T$2022,"44348B2Energia convencional pré-pagamentoRuralServiço público de irrigação ruralNão se aplicaNão se aplicaNão se aplica",Mercado_Receita!$N$2:$N$2022)</f>
        <v>0</v>
      </c>
      <c r="J35" s="14">
        <f>SUMIF(Mercado_Receita!$T$2:$T$2022,"44378B2Energia convencional pré-pagamentoRuralServiço público de irrigação ruralNão se aplicaNão se aplicaNão se aplica",Mercado_Receita!$N$2:$N$2022)</f>
        <v>0</v>
      </c>
      <c r="K35" s="14">
        <f>SUMIF(Mercado_Receita!$T$2:$T$2022,"44409B2Energia convencional pré-pagamentoRuralServiço público de irrigação ruralNão se aplicaNão se aplicaNão se aplica",Mercado_Receita!$N$2:$N$2022)</f>
        <v>0</v>
      </c>
      <c r="L35" s="14">
        <f>SUMIF(Mercado_Receita!$T$2:$T$2022,"44440B2Energia convencional pré-pagamentoRuralServiço público de irrigação ruralNão se aplicaNão se aplicaNão se aplica",Mercado_Receita!$N$2:$N$2022)</f>
        <v>0</v>
      </c>
      <c r="M35" s="14">
        <f>SUMIF(Mercado_Receita!$T$2:$T$2022,"44470B2Energia convencional pré-pagamentoRuralServiço público de irrigação ruralNão se aplicaNão se aplicaNão se aplica",Mercado_Receita!$N$2:$N$2022)</f>
        <v>0</v>
      </c>
      <c r="N35" s="14">
        <f>SUMIF(Mercado_Receita!$T$2:$T$2022,"44501B2Energia convencional pré-pagamentoRuralServiço público de irrigação ruralNão se aplicaNão se aplicaNão se aplica",Mercado_Receita!$N$2:$N$2022)</f>
        <v>0</v>
      </c>
      <c r="O35" s="14">
        <f>SUMIF(Mercado_Receita!$T$2:$T$2022,"44531B2Energia convencional pré-pagamentoRuralServiço público de irrigação ruralNão se aplicaNão se aplicaNão se aplica",Mercado_Receita!$N$2:$N$2022)</f>
        <v>0</v>
      </c>
      <c r="P35" s="14">
        <f>SUMIF(Mercado_Receita!$T$2:$T$2022,"44562B2Energia convencional pré-pagamentoRuralServiço público de irrigação ruralNão se aplicaNão se aplicaNão se aplica",Mercado_Receita!$N$2:$N$2022)</f>
        <v>0</v>
      </c>
      <c r="Q35" s="14">
        <f>SUMIF(Mercado_Receita!$T$2:$T$2022,"44593B2Energia convencional pré-pagamentoRuralServiço público de irrigação ruralNão se aplicaNão se aplicaNão se aplica",Mercado_Receita!$N$2:$N$2022)</f>
        <v>0</v>
      </c>
      <c r="R35" s="14">
        <f>SUMIF(Mercado_Receita!$T$2:$T$2022,"44621B2Energia convencional pré-pagamentoRuralServiço público de irrigação ruralNão se aplicaNão se aplicaNão se aplica",Mercado_Receita!$N$2:$N$2022)</f>
        <v>0</v>
      </c>
      <c r="S35" s="14">
        <f>SUMIF(Mercado_Receita!$T$2:$T$2022,"44652B2Energia convencional pré-pagamentoRuralServiço público de irrigação ruralNão se aplicaNão se aplicaNão se aplica",Mercado_Receita!$N$2:$N$2022)</f>
        <v>0</v>
      </c>
      <c r="T35" s="14">
        <f>SUMIF(Mercado_Receita!$T$2:$T$2022,"44682B2Energia convencional pré-pagamentoRuralServiço público de irrigação ruralNão se aplicaNão se aplicaNão se aplica",Mercado_Receita!$N$2:$N$2022)</f>
        <v>0</v>
      </c>
      <c r="U35" s="14">
        <f t="shared" si="0"/>
        <v>0</v>
      </c>
      <c r="V35" s="14"/>
      <c r="W35" s="14"/>
    </row>
    <row r="36" spans="1:23" ht="11.25" customHeight="1" x14ac:dyDescent="0.25">
      <c r="A36" s="101" t="s">
        <v>37</v>
      </c>
      <c r="B36" s="101" t="s">
        <v>116</v>
      </c>
      <c r="C36" s="101" t="s">
        <v>25</v>
      </c>
      <c r="D36" s="101" t="s">
        <v>25</v>
      </c>
      <c r="E36" s="101" t="s">
        <v>25</v>
      </c>
      <c r="F36" s="101" t="s">
        <v>25</v>
      </c>
      <c r="G36" s="14" t="s">
        <v>118</v>
      </c>
      <c r="H36" s="14" t="s">
        <v>117</v>
      </c>
      <c r="I36" s="14">
        <f>SUMIF(Mercado_Receita!$T$2:$T$2022,"44348B3Energia horáriaNão se aplicaNão se aplicaNão se aplicaNão se aplicaPonta",Mercado_Receita!$N$2:$N$2022)</f>
        <v>2.5489999999999999</v>
      </c>
      <c r="J36" s="14">
        <f>SUMIF(Mercado_Receita!$T$2:$T$2022,"44378B3Energia horáriaNão se aplicaNão se aplicaNão se aplicaNão se aplicaPonta",Mercado_Receita!$N$2:$N$2022)</f>
        <v>2.5710000000000002</v>
      </c>
      <c r="K36" s="14">
        <f>SUMIF(Mercado_Receita!$T$2:$T$2022,"44409B3Energia horáriaNão se aplicaNão se aplicaNão se aplicaNão se aplicaPonta",Mercado_Receita!$N$2:$N$2022)</f>
        <v>2.7970000000000002</v>
      </c>
      <c r="L36" s="14">
        <f>SUMIF(Mercado_Receita!$T$2:$T$2022,"44440B3Energia horáriaNão se aplicaNão se aplicaNão se aplicaNão se aplicaPonta",Mercado_Receita!$N$2:$N$2022)</f>
        <v>2.8619999999999997</v>
      </c>
      <c r="M36" s="14">
        <f>SUMIF(Mercado_Receita!$T$2:$T$2022,"44470B3Energia horáriaNão se aplicaNão se aplicaNão se aplicaNão se aplicaPonta",Mercado_Receita!$N$2:$N$2022)</f>
        <v>2.758</v>
      </c>
      <c r="N36" s="14">
        <f>SUMIF(Mercado_Receita!$T$2:$T$2022,"44501B3Energia horáriaNão se aplicaNão se aplicaNão se aplicaNão se aplicaPonta",Mercado_Receita!$N$2:$N$2022)</f>
        <v>2.6840000000000002</v>
      </c>
      <c r="O36" s="14">
        <f>SUMIF(Mercado_Receita!$T$2:$T$2022,"44531B3Energia horáriaNão se aplicaNão se aplicaNão se aplicaNão se aplicaPonta",Mercado_Receita!$N$2:$N$2022)</f>
        <v>3.2919999999999998</v>
      </c>
      <c r="P36" s="14">
        <f>SUMIF(Mercado_Receita!$T$2:$T$2022,"44562B3Energia horáriaNão se aplicaNão se aplicaNão se aplicaNão se aplicaPonta",Mercado_Receita!$N$2:$N$2022)</f>
        <v>2.7840000000000003</v>
      </c>
      <c r="Q36" s="14">
        <f>SUMIF(Mercado_Receita!$T$2:$T$2022,"44593B3Energia horáriaNão se aplicaNão se aplicaNão se aplicaNão se aplicaPonta",Mercado_Receita!$N$2:$N$2022)</f>
        <v>2.722</v>
      </c>
      <c r="R36" s="14">
        <f>SUMIF(Mercado_Receita!$T$2:$T$2022,"44621B3Energia horáriaNão se aplicaNão se aplicaNão se aplicaNão se aplicaPonta",Mercado_Receita!$N$2:$N$2022)</f>
        <v>2.294</v>
      </c>
      <c r="S36" s="14">
        <f>SUMIF(Mercado_Receita!$T$2:$T$2022,"44652B3Energia horáriaNão se aplicaNão se aplicaNão se aplicaNão se aplicaPonta",Mercado_Receita!$N$2:$N$2022)</f>
        <v>2.278</v>
      </c>
      <c r="T36" s="14">
        <f>SUMIF(Mercado_Receita!$T$2:$T$2022,"44682B3Energia horáriaNão se aplicaNão se aplicaNão se aplicaNão se aplicaPonta",Mercado_Receita!$N$2:$N$2022)</f>
        <v>2.278</v>
      </c>
      <c r="U36" s="14">
        <f t="shared" si="0"/>
        <v>31.868999999999996</v>
      </c>
      <c r="V36" s="14"/>
      <c r="W36" s="14"/>
    </row>
    <row r="37" spans="1:23" ht="11.25" customHeight="1" x14ac:dyDescent="0.25">
      <c r="A37" s="102"/>
      <c r="B37" s="102"/>
      <c r="C37" s="102"/>
      <c r="D37" s="102"/>
      <c r="E37" s="102"/>
      <c r="F37" s="102"/>
      <c r="G37" s="14" t="s">
        <v>128</v>
      </c>
      <c r="H37" s="14" t="s">
        <v>117</v>
      </c>
      <c r="I37" s="14">
        <f>SUMIF(Mercado_Receita!$T$2:$T$2022,"44348B3Energia horáriaNão se aplicaNão se aplicaNão se aplicaNão se aplicaIntermediário",Mercado_Receita!$N$2:$N$2022)</f>
        <v>2.347</v>
      </c>
      <c r="J37" s="14">
        <f>SUMIF(Mercado_Receita!$T$2:$T$2022,"44378B3Energia horáriaNão se aplicaNão se aplicaNão se aplicaNão se aplicaIntermediário",Mercado_Receita!$N$2:$N$2022)</f>
        <v>2.0780000000000003</v>
      </c>
      <c r="K37" s="14">
        <f>SUMIF(Mercado_Receita!$T$2:$T$2022,"44409B3Energia horáriaNão se aplicaNão se aplicaNão se aplicaNão se aplicaIntermediário",Mercado_Receita!$N$2:$N$2022)</f>
        <v>2.3140000000000001</v>
      </c>
      <c r="L37" s="14">
        <f>SUMIF(Mercado_Receita!$T$2:$T$2022,"44440B3Energia horáriaNão se aplicaNão se aplicaNão se aplicaNão se aplicaIntermediário",Mercado_Receita!$N$2:$N$2022)</f>
        <v>2.8130000000000002</v>
      </c>
      <c r="M37" s="14">
        <f>SUMIF(Mercado_Receita!$T$2:$T$2022,"44470B3Energia horáriaNão se aplicaNão se aplicaNão se aplicaNão se aplicaIntermediário",Mercado_Receita!$N$2:$N$2022)</f>
        <v>2.6689999999999996</v>
      </c>
      <c r="N37" s="14">
        <f>SUMIF(Mercado_Receita!$T$2:$T$2022,"44501B3Energia horáriaNão se aplicaNão se aplicaNão se aplicaNão se aplicaIntermediário",Mercado_Receita!$N$2:$N$2022)</f>
        <v>2.54</v>
      </c>
      <c r="O37" s="14">
        <f>SUMIF(Mercado_Receita!$T$2:$T$2022,"44531B3Energia horáriaNão se aplicaNão se aplicaNão se aplicaNão se aplicaIntermediário",Mercado_Receita!$N$2:$N$2022)</f>
        <v>3.101</v>
      </c>
      <c r="P37" s="14">
        <f>SUMIF(Mercado_Receita!$T$2:$T$2022,"44562B3Energia horáriaNão se aplicaNão se aplicaNão se aplicaNão se aplicaIntermediário",Mercado_Receita!$N$2:$N$2022)</f>
        <v>2.7190000000000003</v>
      </c>
      <c r="Q37" s="14">
        <f>SUMIF(Mercado_Receita!$T$2:$T$2022,"44593B3Energia horáriaNão se aplicaNão se aplicaNão se aplicaNão se aplicaIntermediário",Mercado_Receita!$N$2:$N$2022)</f>
        <v>2.9380000000000002</v>
      </c>
      <c r="R37" s="14">
        <f>SUMIF(Mercado_Receita!$T$2:$T$2022,"44621B3Energia horáriaNão se aplicaNão se aplicaNão se aplicaNão se aplicaIntermediário",Mercado_Receita!$N$2:$N$2022)</f>
        <v>2.3589999999999995</v>
      </c>
      <c r="S37" s="14">
        <f>SUMIF(Mercado_Receita!$T$2:$T$2022,"44652B3Energia horáriaNão se aplicaNão se aplicaNão se aplicaNão se aplicaIntermediário",Mercado_Receita!$N$2:$N$2022)</f>
        <v>2.698</v>
      </c>
      <c r="T37" s="14">
        <f>SUMIF(Mercado_Receita!$T$2:$T$2022,"44682B3Energia horáriaNão se aplicaNão se aplicaNão se aplicaNão se aplicaIntermediário",Mercado_Receita!$N$2:$N$2022)</f>
        <v>2.698</v>
      </c>
      <c r="U37" s="14">
        <f t="shared" si="0"/>
        <v>31.273999999999997</v>
      </c>
      <c r="V37" s="14"/>
      <c r="W37" s="14"/>
    </row>
    <row r="38" spans="1:23" ht="11.25" customHeight="1" x14ac:dyDescent="0.25">
      <c r="A38" s="102"/>
      <c r="B38" s="102"/>
      <c r="C38" s="102"/>
      <c r="D38" s="102"/>
      <c r="E38" s="102"/>
      <c r="F38" s="102"/>
      <c r="G38" s="14" t="s">
        <v>119</v>
      </c>
      <c r="H38" s="14" t="s">
        <v>117</v>
      </c>
      <c r="I38" s="14">
        <f>SUMIF(Mercado_Receita!$T$2:$T$2022,"44348B3Energia horáriaNão se aplicaNão se aplicaNão se aplicaNão se aplicaFora ponta",Mercado_Receita!$N$2:$N$2022)</f>
        <v>26.529</v>
      </c>
      <c r="J38" s="14">
        <f>SUMIF(Mercado_Receita!$T$2:$T$2022,"44378B3Energia horáriaNão se aplicaNão se aplicaNão se aplicaNão se aplicaFora ponta",Mercado_Receita!$N$2:$N$2022)</f>
        <v>25.177</v>
      </c>
      <c r="K38" s="14">
        <f>SUMIF(Mercado_Receita!$T$2:$T$2022,"44409B3Energia horáriaNão se aplicaNão se aplicaNão se aplicaNão se aplicaFora ponta",Mercado_Receita!$N$2:$N$2022)</f>
        <v>26.09</v>
      </c>
      <c r="L38" s="14">
        <f>SUMIF(Mercado_Receita!$T$2:$T$2022,"44440B3Energia horáriaNão se aplicaNão se aplicaNão se aplicaNão se aplicaFora ponta",Mercado_Receita!$N$2:$N$2022)</f>
        <v>31.550999999999998</v>
      </c>
      <c r="M38" s="14">
        <f>SUMIF(Mercado_Receita!$T$2:$T$2022,"44470B3Energia horáriaNão se aplicaNão se aplicaNão se aplicaNão se aplicaFora ponta",Mercado_Receita!$N$2:$N$2022)</f>
        <v>31.655999999999995</v>
      </c>
      <c r="N38" s="14">
        <f>SUMIF(Mercado_Receita!$T$2:$T$2022,"44501B3Energia horáriaNão se aplicaNão se aplicaNão se aplicaNão se aplicaFora ponta",Mercado_Receita!$N$2:$N$2022)</f>
        <v>31.446999999999999</v>
      </c>
      <c r="O38" s="14">
        <f>SUMIF(Mercado_Receita!$T$2:$T$2022,"44531B3Energia horáriaNão se aplicaNão se aplicaNão se aplicaNão se aplicaFora ponta",Mercado_Receita!$N$2:$N$2022)</f>
        <v>39.343999999999994</v>
      </c>
      <c r="P38" s="14">
        <f>SUMIF(Mercado_Receita!$T$2:$T$2022,"44562B3Energia horáriaNão se aplicaNão se aplicaNão se aplicaNão se aplicaFora ponta",Mercado_Receita!$N$2:$N$2022)</f>
        <v>34.35</v>
      </c>
      <c r="Q38" s="14">
        <f>SUMIF(Mercado_Receita!$T$2:$T$2022,"44593B3Energia horáriaNão se aplicaNão se aplicaNão se aplicaNão se aplicaFora ponta",Mercado_Receita!$N$2:$N$2022)</f>
        <v>35.558</v>
      </c>
      <c r="R38" s="14">
        <f>SUMIF(Mercado_Receita!$T$2:$T$2022,"44621B3Energia horáriaNão se aplicaNão se aplicaNão se aplicaNão se aplicaFora ponta",Mercado_Receita!$N$2:$N$2022)</f>
        <v>32.64</v>
      </c>
      <c r="S38" s="14">
        <f>SUMIF(Mercado_Receita!$T$2:$T$2022,"44652B3Energia horáriaNão se aplicaNão se aplicaNão se aplicaNão se aplicaFora ponta",Mercado_Receita!$N$2:$N$2022)</f>
        <v>33.746999999999993</v>
      </c>
      <c r="T38" s="14">
        <f>SUMIF(Mercado_Receita!$T$2:$T$2022,"44682B3Energia horáriaNão se aplicaNão se aplicaNão se aplicaNão se aplicaFora ponta",Mercado_Receita!$N$2:$N$2022)</f>
        <v>33.746999999999993</v>
      </c>
      <c r="U38" s="14">
        <f t="shared" si="0"/>
        <v>381.83600000000001</v>
      </c>
      <c r="V38" s="14"/>
      <c r="W38" s="14"/>
    </row>
    <row r="39" spans="1:23" ht="11.25" customHeight="1" x14ac:dyDescent="0.25">
      <c r="A39" s="102"/>
      <c r="B39" s="13" t="s">
        <v>129</v>
      </c>
      <c r="C39" s="13" t="s">
        <v>25</v>
      </c>
      <c r="D39" s="13" t="s">
        <v>25</v>
      </c>
      <c r="E39" s="13" t="s">
        <v>25</v>
      </c>
      <c r="F39" s="13" t="s">
        <v>25</v>
      </c>
      <c r="G39" s="14" t="s">
        <v>123</v>
      </c>
      <c r="H39" s="14" t="s">
        <v>117</v>
      </c>
      <c r="I39" s="14">
        <f>SUMIF(Mercado_Receita!$T$2:$T$2022,"44348B3Energia convencionalNão se aplicaNão se aplicaNão se aplicaNão se aplicaNão se aplica",Mercado_Receita!$N$2:$N$2022)</f>
        <v>16724.360999999997</v>
      </c>
      <c r="J39" s="14">
        <f>SUMIF(Mercado_Receita!$T$2:$T$2022,"44378B3Energia convencionalNão se aplicaNão se aplicaNão se aplicaNão se aplicaNão se aplica",Mercado_Receita!$N$2:$N$2022)</f>
        <v>16329.941999999999</v>
      </c>
      <c r="K39" s="14">
        <f>SUMIF(Mercado_Receita!$T$2:$T$2022,"44409B3Energia convencionalNão se aplicaNão se aplicaNão se aplicaNão se aplicaNão se aplica",Mercado_Receita!$N$2:$N$2022)</f>
        <v>16664.269</v>
      </c>
      <c r="L39" s="14">
        <f>SUMIF(Mercado_Receita!$T$2:$T$2022,"44440B3Energia convencionalNão se aplicaNão se aplicaNão se aplicaNão se aplicaNão se aplica",Mercado_Receita!$N$2:$N$2022)</f>
        <v>19006.918999999998</v>
      </c>
      <c r="M39" s="14">
        <f>SUMIF(Mercado_Receita!$T$2:$T$2022,"44470B3Energia convencionalNão se aplicaNão se aplicaNão se aplicaNão se aplicaNão se aplica",Mercado_Receita!$N$2:$N$2022)</f>
        <v>18641.440999999999</v>
      </c>
      <c r="N39" s="14">
        <f>SUMIF(Mercado_Receita!$T$2:$T$2022,"44501B3Energia convencionalNão se aplicaNão se aplicaNão se aplicaNão se aplicaNão se aplica",Mercado_Receita!$N$2:$N$2022)</f>
        <v>18411.805999999997</v>
      </c>
      <c r="O39" s="14">
        <f>SUMIF(Mercado_Receita!$T$2:$T$2022,"44531B3Energia convencionalNão se aplicaNão se aplicaNão se aplicaNão se aplicaNão se aplica",Mercado_Receita!$N$2:$N$2022)</f>
        <v>20395.167000000001</v>
      </c>
      <c r="P39" s="14">
        <f>SUMIF(Mercado_Receita!$T$2:$T$2022,"44562B3Energia convencionalNão se aplicaNão se aplicaNão se aplicaNão se aplicaNão se aplica",Mercado_Receita!$N$2:$N$2022)</f>
        <v>18904.583000000006</v>
      </c>
      <c r="Q39" s="14">
        <f>SUMIF(Mercado_Receita!$T$2:$T$2022,"44593B3Energia convencionalNão se aplicaNão se aplicaNão se aplicaNão se aplicaNão se aplica",Mercado_Receita!$N$2:$N$2022)</f>
        <v>19278.814000000002</v>
      </c>
      <c r="R39" s="14">
        <f>SUMIF(Mercado_Receita!$T$2:$T$2022,"44621B3Energia convencionalNão se aplicaNão se aplicaNão se aplicaNão se aplicaNão se aplica",Mercado_Receita!$N$2:$N$2022)</f>
        <v>21219.653999999999</v>
      </c>
      <c r="S39" s="14">
        <f>SUMIF(Mercado_Receita!$T$2:$T$2022,"44652B3Energia convencionalNão se aplicaNão se aplicaNão se aplicaNão se aplicaNão se aplica",Mercado_Receita!$N$2:$N$2022)</f>
        <v>20457.577000000001</v>
      </c>
      <c r="T39" s="14">
        <f>SUMIF(Mercado_Receita!$T$2:$T$2022,"44682B3Energia convencionalNão se aplicaNão se aplicaNão se aplicaNão se aplicaNão se aplica",Mercado_Receita!$N$2:$N$2022)</f>
        <v>20457.577000000001</v>
      </c>
      <c r="U39" s="14">
        <f t="shared" si="0"/>
        <v>226492.11000000002</v>
      </c>
      <c r="V39" s="14"/>
      <c r="W39" s="14"/>
    </row>
    <row r="40" spans="1:23" ht="11.25" customHeight="1" x14ac:dyDescent="0.25">
      <c r="A40" s="102"/>
      <c r="B40" s="13" t="s">
        <v>130</v>
      </c>
      <c r="C40" s="13" t="s">
        <v>25</v>
      </c>
      <c r="D40" s="13" t="s">
        <v>25</v>
      </c>
      <c r="E40" s="13" t="s">
        <v>25</v>
      </c>
      <c r="F40" s="13" t="s">
        <v>25</v>
      </c>
      <c r="G40" s="14" t="s">
        <v>123</v>
      </c>
      <c r="H40" s="14" t="s">
        <v>117</v>
      </c>
      <c r="I40" s="14">
        <f>SUMIF(Mercado_Receita!$T$2:$T$2022,"44348B3Energia convencional pré-pagamentoNão se aplicaNão se aplicaNão se aplicaNão se aplicaNão se aplica",Mercado_Receita!$N$2:$N$2022)</f>
        <v>0</v>
      </c>
      <c r="J40" s="14">
        <f>SUMIF(Mercado_Receita!$T$2:$T$2022,"44378B3Energia convencional pré-pagamentoNão se aplicaNão se aplicaNão se aplicaNão se aplicaNão se aplica",Mercado_Receita!$N$2:$N$2022)</f>
        <v>0</v>
      </c>
      <c r="K40" s="14">
        <f>SUMIF(Mercado_Receita!$T$2:$T$2022,"44409B3Energia convencional pré-pagamentoNão se aplicaNão se aplicaNão se aplicaNão se aplicaNão se aplica",Mercado_Receita!$N$2:$N$2022)</f>
        <v>0</v>
      </c>
      <c r="L40" s="14">
        <f>SUMIF(Mercado_Receita!$T$2:$T$2022,"44440B3Energia convencional pré-pagamentoNão se aplicaNão se aplicaNão se aplicaNão se aplicaNão se aplica",Mercado_Receita!$N$2:$N$2022)</f>
        <v>0</v>
      </c>
      <c r="M40" s="14">
        <f>SUMIF(Mercado_Receita!$T$2:$T$2022,"44470B3Energia convencional pré-pagamentoNão se aplicaNão se aplicaNão se aplicaNão se aplicaNão se aplica",Mercado_Receita!$N$2:$N$2022)</f>
        <v>0</v>
      </c>
      <c r="N40" s="14">
        <f>SUMIF(Mercado_Receita!$T$2:$T$2022,"44501B3Energia convencional pré-pagamentoNão se aplicaNão se aplicaNão se aplicaNão se aplicaNão se aplica",Mercado_Receita!$N$2:$N$2022)</f>
        <v>0</v>
      </c>
      <c r="O40" s="14">
        <f>SUMIF(Mercado_Receita!$T$2:$T$2022,"44531B3Energia convencional pré-pagamentoNão se aplicaNão se aplicaNão se aplicaNão se aplicaNão se aplica",Mercado_Receita!$N$2:$N$2022)</f>
        <v>0</v>
      </c>
      <c r="P40" s="14">
        <f>SUMIF(Mercado_Receita!$T$2:$T$2022,"44562B3Energia convencional pré-pagamentoNão se aplicaNão se aplicaNão se aplicaNão se aplicaNão se aplica",Mercado_Receita!$N$2:$N$2022)</f>
        <v>0</v>
      </c>
      <c r="Q40" s="14">
        <f>SUMIF(Mercado_Receita!$T$2:$T$2022,"44593B3Energia convencional pré-pagamentoNão se aplicaNão se aplicaNão se aplicaNão se aplicaNão se aplica",Mercado_Receita!$N$2:$N$2022)</f>
        <v>0</v>
      </c>
      <c r="R40" s="14">
        <f>SUMIF(Mercado_Receita!$T$2:$T$2022,"44621B3Energia convencional pré-pagamentoNão se aplicaNão se aplicaNão se aplicaNão se aplicaNão se aplica",Mercado_Receita!$N$2:$N$2022)</f>
        <v>0</v>
      </c>
      <c r="S40" s="14">
        <f>SUMIF(Mercado_Receita!$T$2:$T$2022,"44652B3Energia convencional pré-pagamentoNão se aplicaNão se aplicaNão se aplicaNão se aplicaNão se aplica",Mercado_Receita!$N$2:$N$2022)</f>
        <v>0</v>
      </c>
      <c r="T40" s="14">
        <f>SUMIF(Mercado_Receita!$T$2:$T$2022,"44682B3Energia convencional pré-pagamentoNão se aplicaNão se aplicaNão se aplicaNão se aplicaNão se aplica",Mercado_Receita!$N$2:$N$2022)</f>
        <v>0</v>
      </c>
      <c r="U40" s="14">
        <f t="shared" si="0"/>
        <v>0</v>
      </c>
      <c r="V40" s="14"/>
      <c r="W40" s="14"/>
    </row>
    <row r="41" spans="1:23" ht="11.25" customHeight="1" x14ac:dyDescent="0.25">
      <c r="A41" s="101" t="s">
        <v>47</v>
      </c>
      <c r="B41" s="101" t="s">
        <v>129</v>
      </c>
      <c r="C41" s="101" t="s">
        <v>48</v>
      </c>
      <c r="D41" s="13" t="s">
        <v>49</v>
      </c>
      <c r="E41" s="13" t="s">
        <v>25</v>
      </c>
      <c r="F41" s="13" t="s">
        <v>25</v>
      </c>
      <c r="G41" s="14" t="s">
        <v>123</v>
      </c>
      <c r="H41" s="14" t="s">
        <v>117</v>
      </c>
      <c r="I41" s="14">
        <f>SUMIF(Mercado_Receita!$T$2:$T$2022,"44348B4Energia convencionalIluminação públicaIluminação pública – B4aNão se aplicaNão se aplicaNão se aplica",Mercado_Receita!$N$2:$N$2022)</f>
        <v>6730.4089999999997</v>
      </c>
      <c r="J41" s="14">
        <f>SUMIF(Mercado_Receita!$T$2:$T$2022,"44378B4Energia convencionalIluminação públicaIluminação pública – B4aNão se aplicaNão se aplicaNão se aplica",Mercado_Receita!$N$2:$N$2022)</f>
        <v>6955.6120000000001</v>
      </c>
      <c r="K41" s="14">
        <f>SUMIF(Mercado_Receita!$T$2:$T$2022,"44409B4Energia convencionalIluminação públicaIluminação pública – B4aNão se aplicaNão se aplicaNão se aplica",Mercado_Receita!$N$2:$N$2022)</f>
        <v>6957.5929999999998</v>
      </c>
      <c r="L41" s="14">
        <f>SUMIF(Mercado_Receita!$T$2:$T$2022,"44440B4Energia convencionalIluminação públicaIluminação pública – B4aNão se aplicaNão se aplicaNão se aplica",Mercado_Receita!$N$2:$N$2022)</f>
        <v>6744.3</v>
      </c>
      <c r="M41" s="14">
        <f>SUMIF(Mercado_Receita!$T$2:$T$2022,"44470B4Energia convencionalIluminação públicaIluminação pública – B4aNão se aplicaNão se aplicaNão se aplica",Mercado_Receita!$N$2:$N$2022)</f>
        <v>6941.9949999999999</v>
      </c>
      <c r="N41" s="14">
        <f>SUMIF(Mercado_Receita!$T$2:$T$2022,"44501B4Energia convencionalIluminação públicaIluminação pública – B4aNão se aplicaNão se aplicaNão se aplica",Mercado_Receita!$N$2:$N$2022)</f>
        <v>6728.86</v>
      </c>
      <c r="O41" s="14">
        <f>SUMIF(Mercado_Receita!$T$2:$T$2022,"44531B4Energia convencionalIluminação públicaIluminação pública – B4aNão se aplicaNão se aplicaNão se aplica",Mercado_Receita!$N$2:$N$2022)</f>
        <v>6923.5389999999998</v>
      </c>
      <c r="P41" s="14">
        <f>SUMIF(Mercado_Receita!$T$2:$T$2022,"44562B4Energia convencionalIluminação públicaIluminação pública – B4aNão se aplicaNão se aplicaNão se aplica",Mercado_Receita!$N$2:$N$2022)</f>
        <v>6921.0289999999995</v>
      </c>
      <c r="Q41" s="14">
        <f>SUMIF(Mercado_Receita!$T$2:$T$2022,"44593B4Energia convencionalIluminação públicaIluminação pública – B4aNão se aplicaNão se aplicaNão se aplica",Mercado_Receita!$N$2:$N$2022)</f>
        <v>6176.7560000000003</v>
      </c>
      <c r="R41" s="14">
        <f>SUMIF(Mercado_Receita!$T$2:$T$2022,"44621B4Energia convencionalIluminação públicaIluminação pública – B4aNão se aplicaNão se aplicaNão se aplica",Mercado_Receita!$N$2:$N$2022)</f>
        <v>6887.21</v>
      </c>
      <c r="S41" s="14">
        <f>SUMIF(Mercado_Receita!$T$2:$T$2022,"44652B4Energia convencionalIluminação públicaIluminação pública – B4aNão se aplicaNão se aplicaNão se aplica",Mercado_Receita!$N$2:$N$2022)</f>
        <v>6669.76</v>
      </c>
      <c r="T41" s="14">
        <f>SUMIF(Mercado_Receita!$T$2:$T$2022,"44682B4Energia convencionalIluminação públicaIluminação pública – B4aNão se aplicaNão se aplicaNão se aplica",Mercado_Receita!$N$2:$N$2022)</f>
        <v>6669.76</v>
      </c>
      <c r="U41" s="14">
        <f t="shared" si="0"/>
        <v>81306.822999999989</v>
      </c>
      <c r="V41" s="14"/>
      <c r="W41" s="14"/>
    </row>
    <row r="42" spans="1:23" ht="11.25" customHeight="1" x14ac:dyDescent="0.25">
      <c r="A42" s="102"/>
      <c r="B42" s="102"/>
      <c r="C42" s="102"/>
      <c r="D42" s="14" t="s">
        <v>50</v>
      </c>
      <c r="E42" s="14" t="s">
        <v>25</v>
      </c>
      <c r="F42" s="14" t="s">
        <v>25</v>
      </c>
      <c r="G42" s="14" t="s">
        <v>123</v>
      </c>
      <c r="H42" s="14" t="s">
        <v>117</v>
      </c>
      <c r="I42" s="14">
        <f>SUMIF(Mercado_Receita!$T$2:$T$2022,"44348B4Energia convencionalIluminação públicaIluminação pública – B4bNão se aplicaNão se aplicaNão se aplica",Mercado_Receita!$N$2:$N$2022)</f>
        <v>138.715</v>
      </c>
      <c r="J42" s="14">
        <f>SUMIF(Mercado_Receita!$T$2:$T$2022,"44378B4Energia convencionalIluminação públicaIluminação pública – B4bNão se aplicaNão se aplicaNão se aplica",Mercado_Receita!$N$2:$N$2022)</f>
        <v>143.33799999999999</v>
      </c>
      <c r="K42" s="14">
        <f>SUMIF(Mercado_Receita!$T$2:$T$2022,"44409B4Energia convencionalIluminação públicaIluminação pública – B4bNão se aplicaNão se aplicaNão se aplica",Mercado_Receita!$N$2:$N$2022)</f>
        <v>143.35599999999999</v>
      </c>
      <c r="L42" s="14">
        <f>SUMIF(Mercado_Receita!$T$2:$T$2022,"44440B4Energia convencionalIluminação públicaIluminação pública – B4bNão se aplicaNão se aplicaNão se aplica",Mercado_Receita!$N$2:$N$2022)</f>
        <v>127.852</v>
      </c>
      <c r="M42" s="14">
        <f>SUMIF(Mercado_Receita!$T$2:$T$2022,"44470B4Energia convencionalIluminação públicaIluminação pública – B4bNão se aplicaNão se aplicaNão se aplica",Mercado_Receita!$N$2:$N$2022)</f>
        <v>132.10499999999999</v>
      </c>
      <c r="N42" s="14">
        <f>SUMIF(Mercado_Receita!$T$2:$T$2022,"44501B4Energia convencionalIluminação públicaIluminação pública – B4bNão se aplicaNão se aplicaNão se aplica",Mercado_Receita!$N$2:$N$2022)</f>
        <v>127.845</v>
      </c>
      <c r="O42" s="14">
        <f>SUMIF(Mercado_Receita!$T$2:$T$2022,"44531B4Energia convencionalIluminação públicaIluminação pública – B4bNão se aplicaNão se aplicaNão se aplica",Mercado_Receita!$N$2:$N$2022)</f>
        <v>131.18299999999999</v>
      </c>
      <c r="P42" s="14">
        <f>SUMIF(Mercado_Receita!$T$2:$T$2022,"44562B4Energia convencionalIluminação públicaIluminação pública – B4bNão se aplicaNão se aplicaNão se aplica",Mercado_Receita!$N$2:$N$2022)</f>
        <v>131.15299999999999</v>
      </c>
      <c r="Q42" s="14">
        <f>SUMIF(Mercado_Receita!$T$2:$T$2022,"44593B4Energia convencionalIluminação públicaIluminação pública – B4bNão se aplicaNão se aplicaNão se aplica",Mercado_Receita!$N$2:$N$2022)</f>
        <v>118.465</v>
      </c>
      <c r="R42" s="14">
        <f>SUMIF(Mercado_Receita!$T$2:$T$2022,"44621B4Energia convencionalIluminação públicaIluminação pública – B4bNão se aplicaNão se aplicaNão se aplica",Mercado_Receita!$N$2:$N$2022)</f>
        <v>131.154</v>
      </c>
      <c r="S42" s="14">
        <f>SUMIF(Mercado_Receita!$T$2:$T$2022,"44652B4Energia convencionalIluminação públicaIluminação pública – B4bNão se aplicaNão se aplicaNão se aplica",Mercado_Receita!$N$2:$N$2022)</f>
        <v>126.926</v>
      </c>
      <c r="T42" s="14">
        <f>SUMIF(Mercado_Receita!$T$2:$T$2022,"44682B4Energia convencionalIluminação públicaIluminação pública – B4bNão se aplicaNão se aplicaNão se aplica",Mercado_Receita!$N$2:$N$2022)</f>
        <v>126.926</v>
      </c>
      <c r="U42" s="14">
        <f t="shared" si="0"/>
        <v>1579.0179999999998</v>
      </c>
      <c r="V42" s="14"/>
      <c r="W42" s="14"/>
    </row>
    <row r="43" spans="1:23" ht="11.25" customHeight="1" x14ac:dyDescent="0.25">
      <c r="A43" s="103" t="s">
        <v>950</v>
      </c>
      <c r="B43" s="104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4"/>
      <c r="W43" s="14"/>
    </row>
  </sheetData>
  <mergeCells count="56">
    <mergeCell ref="A41:A42"/>
    <mergeCell ref="B41:B42"/>
    <mergeCell ref="C41:C42"/>
    <mergeCell ref="A43:U43"/>
    <mergeCell ref="C33:C35"/>
    <mergeCell ref="B33:B35"/>
    <mergeCell ref="A21:A35"/>
    <mergeCell ref="F36:F38"/>
    <mergeCell ref="E36:E38"/>
    <mergeCell ref="D36:D38"/>
    <mergeCell ref="C36:C38"/>
    <mergeCell ref="B36:B38"/>
    <mergeCell ref="A36:A40"/>
    <mergeCell ref="F25:F27"/>
    <mergeCell ref="E25:E27"/>
    <mergeCell ref="D25:D27"/>
    <mergeCell ref="C25:C27"/>
    <mergeCell ref="B25:B27"/>
    <mergeCell ref="F29:F31"/>
    <mergeCell ref="E29:E31"/>
    <mergeCell ref="D29:D31"/>
    <mergeCell ref="C29:C31"/>
    <mergeCell ref="B29:B31"/>
    <mergeCell ref="C16:C20"/>
    <mergeCell ref="B16:B20"/>
    <mergeCell ref="A8:A20"/>
    <mergeCell ref="F21:F23"/>
    <mergeCell ref="E21:E23"/>
    <mergeCell ref="D21:D23"/>
    <mergeCell ref="C21:C23"/>
    <mergeCell ref="B21:B23"/>
    <mergeCell ref="F8:F10"/>
    <mergeCell ref="E8:E10"/>
    <mergeCell ref="D8:D10"/>
    <mergeCell ref="C8:C10"/>
    <mergeCell ref="B8:B10"/>
    <mergeCell ref="C11:C15"/>
    <mergeCell ref="B11:B15"/>
    <mergeCell ref="A6:A7"/>
    <mergeCell ref="F4:F5"/>
    <mergeCell ref="E4:E5"/>
    <mergeCell ref="D4:D5"/>
    <mergeCell ref="C4:C5"/>
    <mergeCell ref="B4:B5"/>
    <mergeCell ref="A4:A5"/>
    <mergeCell ref="F6:F7"/>
    <mergeCell ref="E6:E7"/>
    <mergeCell ref="D6:D7"/>
    <mergeCell ref="C6:C7"/>
    <mergeCell ref="B6:B7"/>
    <mergeCell ref="A2:A3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96D8-EF37-4D79-AD68-1FFBD0E1C8FF}">
  <dimension ref="A1:AD200"/>
  <sheetViews>
    <sheetView showGridLines="0" topLeftCell="A36" workbookViewId="0">
      <selection activeCell="H56" sqref="H56"/>
    </sheetView>
  </sheetViews>
  <sheetFormatPr defaultRowHeight="12" customHeight="1" x14ac:dyDescent="0.2"/>
  <cols>
    <col min="1" max="1" width="10.5703125" style="15" bestFit="1" customWidth="1"/>
    <col min="2" max="2" width="14.42578125" style="15" bestFit="1" customWidth="1"/>
    <col min="3" max="3" width="18.42578125" style="15" bestFit="1" customWidth="1"/>
    <col min="4" max="4" width="15" style="15" bestFit="1" customWidth="1"/>
    <col min="5" max="5" width="14.5703125" style="15" bestFit="1" customWidth="1"/>
    <col min="6" max="6" width="10.85546875" style="15" bestFit="1" customWidth="1"/>
    <col min="7" max="7" width="13.5703125" style="15" bestFit="1" customWidth="1"/>
    <col min="8" max="11" width="9.140625" style="15"/>
    <col min="12" max="12" width="34.140625" style="15" bestFit="1" customWidth="1"/>
    <col min="13" max="13" width="11.7109375" style="15" bestFit="1" customWidth="1"/>
    <col min="14" max="14" width="36.140625" style="15" bestFit="1" customWidth="1"/>
    <col min="15" max="15" width="30.7109375" style="15" customWidth="1"/>
    <col min="16" max="16" width="13.140625" style="15" bestFit="1" customWidth="1"/>
    <col min="17" max="17" width="10" style="15" bestFit="1" customWidth="1"/>
    <col min="18" max="18" width="9.42578125" style="15" bestFit="1" customWidth="1"/>
    <col min="19" max="19" width="12.5703125" style="15" bestFit="1" customWidth="1"/>
    <col min="20" max="20" width="15.42578125" style="15" bestFit="1" customWidth="1"/>
    <col min="21" max="21" width="10.85546875" style="15" bestFit="1" customWidth="1"/>
    <col min="22" max="22" width="13.28515625" style="15" bestFit="1" customWidth="1"/>
    <col min="23" max="23" width="5" style="15" bestFit="1" customWidth="1"/>
    <col min="24" max="24" width="50" style="15" bestFit="1" customWidth="1"/>
    <col min="25" max="26" width="5" style="15" bestFit="1" customWidth="1"/>
    <col min="27" max="27" width="2" style="15" bestFit="1" customWidth="1"/>
    <col min="28" max="16384" width="9.140625" style="15"/>
  </cols>
  <sheetData>
    <row r="1" spans="1:30" ht="12" customHeight="1" x14ac:dyDescent="0.2">
      <c r="A1" s="32" t="s">
        <v>989</v>
      </c>
      <c r="B1" s="32" t="s">
        <v>990</v>
      </c>
      <c r="C1" s="32" t="s">
        <v>991</v>
      </c>
      <c r="D1" s="32" t="s">
        <v>992</v>
      </c>
      <c r="E1" s="32" t="s">
        <v>993</v>
      </c>
      <c r="F1" s="32" t="s">
        <v>994</v>
      </c>
      <c r="G1" s="31"/>
      <c r="H1" s="31"/>
      <c r="I1" s="31"/>
      <c r="J1" s="31"/>
      <c r="K1" s="31"/>
      <c r="L1" s="107" t="s">
        <v>995</v>
      </c>
      <c r="M1" s="107"/>
      <c r="N1" s="31"/>
      <c r="O1" s="114" t="s">
        <v>1633</v>
      </c>
      <c r="P1" s="115"/>
      <c r="Q1" s="115"/>
      <c r="R1" s="115"/>
      <c r="S1" s="115"/>
      <c r="T1" s="115"/>
      <c r="U1" s="115"/>
      <c r="V1" s="31"/>
      <c r="W1" s="31"/>
      <c r="X1" s="31"/>
      <c r="Y1" s="31"/>
      <c r="Z1" s="31"/>
      <c r="AA1" s="31"/>
      <c r="AB1" s="31"/>
      <c r="AC1" s="31"/>
      <c r="AD1" s="31"/>
    </row>
    <row r="2" spans="1:30" ht="12" customHeight="1" x14ac:dyDescent="0.2">
      <c r="A2" s="108" t="s">
        <v>951</v>
      </c>
      <c r="B2" s="108" t="s">
        <v>952</v>
      </c>
      <c r="C2" s="30" t="s">
        <v>1036</v>
      </c>
      <c r="D2" s="33">
        <v>7798736.2537669456</v>
      </c>
      <c r="E2" s="33">
        <v>-5390757.8840866573</v>
      </c>
      <c r="F2" s="33">
        <v>523607.77271502389</v>
      </c>
      <c r="G2" s="16"/>
      <c r="H2" s="16"/>
      <c r="I2" s="16"/>
      <c r="J2" s="16"/>
      <c r="K2" s="16"/>
      <c r="L2" s="45" t="s">
        <v>996</v>
      </c>
      <c r="M2" s="85">
        <v>0.10689141782426614</v>
      </c>
      <c r="N2" s="16"/>
      <c r="O2" s="56" t="s">
        <v>59</v>
      </c>
      <c r="P2" s="56" t="s">
        <v>39</v>
      </c>
      <c r="Q2" s="56" t="s">
        <v>1063</v>
      </c>
      <c r="R2" s="56" t="s">
        <v>41</v>
      </c>
      <c r="S2" s="56" t="s">
        <v>1064</v>
      </c>
      <c r="T2" s="56" t="s">
        <v>125</v>
      </c>
      <c r="U2" s="56"/>
      <c r="V2" s="16"/>
      <c r="W2" s="16"/>
      <c r="X2" s="45" t="s">
        <v>1623</v>
      </c>
      <c r="Y2" s="16"/>
      <c r="Z2" s="16"/>
      <c r="AA2" s="16" t="s">
        <v>1070</v>
      </c>
      <c r="AB2" s="16"/>
      <c r="AC2" s="16"/>
      <c r="AD2" s="16"/>
    </row>
    <row r="3" spans="1:30" ht="12" customHeight="1" x14ac:dyDescent="0.2">
      <c r="A3" s="109"/>
      <c r="B3" s="109"/>
      <c r="C3" s="30" t="s">
        <v>953</v>
      </c>
      <c r="D3" s="33">
        <v>1389993.181679629</v>
      </c>
      <c r="E3" s="33">
        <v>29343.007811108968</v>
      </c>
      <c r="F3" s="33">
        <v>0</v>
      </c>
      <c r="G3" s="16"/>
      <c r="H3" s="16"/>
      <c r="I3" s="16"/>
      <c r="J3" s="16"/>
      <c r="K3" s="16"/>
      <c r="L3" s="45" t="s">
        <v>997</v>
      </c>
      <c r="M3" s="85"/>
      <c r="N3" s="16"/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 t="s">
        <v>1634</v>
      </c>
      <c r="V3" s="16"/>
      <c r="W3" s="16"/>
      <c r="X3" s="45" t="s">
        <v>1624</v>
      </c>
      <c r="Y3" s="16"/>
      <c r="Z3" s="16"/>
      <c r="AA3" s="16">
        <v>0</v>
      </c>
      <c r="AB3" s="16"/>
      <c r="AC3" s="16"/>
      <c r="AD3" s="16"/>
    </row>
    <row r="4" spans="1:30" ht="12" customHeight="1" x14ac:dyDescent="0.2">
      <c r="A4" s="109"/>
      <c r="B4" s="109"/>
      <c r="C4" s="30" t="s">
        <v>954</v>
      </c>
      <c r="D4" s="33">
        <f>$M$22-D$30</f>
        <v>4932534.9922433579</v>
      </c>
      <c r="E4" s="33">
        <f>IF((D4+D$30)&lt;&gt;0,$M$20*D4/(D4+D$30),0)</f>
        <v>-2.8011271029698053</v>
      </c>
      <c r="F4" s="33">
        <f>IF((D4+D$30)&lt;&gt;0,$M$21*D4/(D4+D$30),0)</f>
        <v>0</v>
      </c>
      <c r="G4" s="16"/>
      <c r="H4" s="16"/>
      <c r="I4" s="16"/>
      <c r="J4" s="16"/>
      <c r="K4" s="16"/>
      <c r="L4" s="45" t="s">
        <v>998</v>
      </c>
      <c r="M4" s="85">
        <v>0.10723387222724634</v>
      </c>
      <c r="N4" s="16"/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 t="s">
        <v>64</v>
      </c>
      <c r="V4" s="16"/>
      <c r="W4" s="16"/>
      <c r="X4" s="16"/>
      <c r="Y4" s="16"/>
      <c r="Z4" s="16"/>
      <c r="AA4" s="16"/>
      <c r="AB4" s="16"/>
      <c r="AC4" s="16"/>
      <c r="AD4" s="16"/>
    </row>
    <row r="5" spans="1:30" ht="12" customHeight="1" x14ac:dyDescent="0.2">
      <c r="A5" s="109"/>
      <c r="B5" s="109"/>
      <c r="C5" s="30" t="s">
        <v>955</v>
      </c>
      <c r="D5" s="33">
        <v>0</v>
      </c>
      <c r="E5" s="33">
        <v>0</v>
      </c>
      <c r="F5" s="33">
        <v>0</v>
      </c>
      <c r="G5" s="16"/>
      <c r="H5" s="16"/>
      <c r="I5" s="16"/>
      <c r="J5" s="16"/>
      <c r="K5" s="16"/>
      <c r="L5" s="45" t="s">
        <v>999</v>
      </c>
      <c r="M5" s="85">
        <v>0.01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</row>
    <row r="6" spans="1:30" ht="12" customHeight="1" x14ac:dyDescent="0.2">
      <c r="A6" s="109"/>
      <c r="B6" s="109"/>
      <c r="C6" s="30" t="s">
        <v>956</v>
      </c>
      <c r="D6" s="33">
        <v>0</v>
      </c>
      <c r="E6" s="33">
        <v>0</v>
      </c>
      <c r="F6" s="33">
        <v>0</v>
      </c>
      <c r="G6" s="16"/>
      <c r="H6" s="16"/>
      <c r="I6" s="16"/>
      <c r="J6" s="16"/>
      <c r="K6" s="16"/>
      <c r="L6" s="45" t="s">
        <v>1000</v>
      </c>
      <c r="M6" s="85">
        <v>0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 ht="12" customHeight="1" x14ac:dyDescent="0.2">
      <c r="A7" s="109"/>
      <c r="B7" s="109"/>
      <c r="C7" s="30" t="s">
        <v>957</v>
      </c>
      <c r="D7" s="33">
        <v>117442763.25632352</v>
      </c>
      <c r="E7" s="33">
        <v>2820715.4778494239</v>
      </c>
      <c r="F7" s="33">
        <v>14168345.274700001</v>
      </c>
      <c r="G7" s="16"/>
      <c r="H7" s="16"/>
      <c r="I7" s="16"/>
      <c r="J7" s="16"/>
      <c r="K7" s="16"/>
      <c r="L7" s="45" t="s">
        <v>1001</v>
      </c>
      <c r="M7" s="45">
        <f>M8+M9+M10+M11</f>
        <v>199370.18976033715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</row>
    <row r="8" spans="1:30" ht="12" customHeight="1" x14ac:dyDescent="0.2">
      <c r="A8" s="109"/>
      <c r="B8" s="109"/>
      <c r="C8" s="30" t="s">
        <v>958</v>
      </c>
      <c r="D8" s="33">
        <v>20367331.420126051</v>
      </c>
      <c r="E8" s="33">
        <v>441880.26996036107</v>
      </c>
      <c r="F8" s="33">
        <v>3923758.0709000002</v>
      </c>
      <c r="G8" s="16"/>
      <c r="H8" s="16"/>
      <c r="I8" s="16"/>
      <c r="J8" s="16"/>
      <c r="K8" s="16"/>
      <c r="L8" s="86" t="s">
        <v>1002</v>
      </c>
      <c r="M8" s="45">
        <v>188996.88950225714</v>
      </c>
      <c r="N8" s="16"/>
      <c r="O8" s="45" t="s">
        <v>1035</v>
      </c>
      <c r="P8" s="57">
        <v>0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</row>
    <row r="9" spans="1:30" ht="12" customHeight="1" x14ac:dyDescent="0.2">
      <c r="A9" s="109"/>
      <c r="B9" s="109"/>
      <c r="C9" s="30" t="s">
        <v>959</v>
      </c>
      <c r="D9" s="33"/>
      <c r="E9" s="33"/>
      <c r="F9" s="33"/>
      <c r="G9" s="16"/>
      <c r="H9" s="16"/>
      <c r="I9" s="16"/>
      <c r="J9" s="16"/>
      <c r="K9" s="16"/>
      <c r="L9" s="87" t="s">
        <v>1003</v>
      </c>
      <c r="M9" s="45">
        <v>3881.6195580799917</v>
      </c>
      <c r="N9" s="16"/>
      <c r="O9" s="45" t="s">
        <v>1614</v>
      </c>
      <c r="P9" s="57">
        <f>SUM(Mercado_Receita!$J$2:$J$2022)</f>
        <v>6293320</v>
      </c>
      <c r="Q9" s="57">
        <v>6293320</v>
      </c>
      <c r="R9" s="57" t="str">
        <f>IF(ABS(P9-Q9)&gt;1,"ERRO BADNET","OK BADNET")</f>
        <v>OK BADNET</v>
      </c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</row>
    <row r="10" spans="1:30" ht="12" customHeight="1" x14ac:dyDescent="0.2">
      <c r="A10" s="109"/>
      <c r="B10" s="110"/>
      <c r="C10" s="30" t="s">
        <v>960</v>
      </c>
      <c r="D10" s="33">
        <f>SUM(D$2:D9)</f>
        <v>151931359.10413951</v>
      </c>
      <c r="E10" s="33">
        <f>SUM(E$2:E9)</f>
        <v>-2098821.9295928669</v>
      </c>
      <c r="F10" s="33">
        <f>SUM(F$2:F9)</f>
        <v>18615711.118315026</v>
      </c>
      <c r="G10" s="16"/>
      <c r="H10" s="16"/>
      <c r="I10" s="16"/>
      <c r="J10" s="16"/>
      <c r="K10" s="16"/>
      <c r="L10" s="86" t="s">
        <v>1004</v>
      </c>
      <c r="M10" s="45">
        <v>913.8221050496652</v>
      </c>
      <c r="N10" s="16"/>
      <c r="O10" s="45" t="s">
        <v>1615</v>
      </c>
      <c r="P10" s="57">
        <f>SUM(Mercado_Receita!$L$2:$L$2022)</f>
        <v>1559526.5860000006</v>
      </c>
      <c r="Q10" s="57">
        <v>1559526.5859999999</v>
      </c>
      <c r="R10" s="57" t="str">
        <f>IF(ABS(P10-Q10)&gt;1,"ERRO BADNET","OK BADNET")</f>
        <v>OK BADNET</v>
      </c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</row>
    <row r="11" spans="1:30" ht="12" customHeight="1" x14ac:dyDescent="0.2">
      <c r="A11" s="109"/>
      <c r="B11" s="108" t="s">
        <v>961</v>
      </c>
      <c r="C11" s="30" t="s">
        <v>962</v>
      </c>
      <c r="D11" s="33">
        <v>18011682</v>
      </c>
      <c r="E11" s="33">
        <v>4697441.1676554838</v>
      </c>
      <c r="F11" s="33">
        <f>IF((+$D$11+$D$12+$D$16+$D$17+$D$39)&lt;&gt;0,$M$19*$D$11/(+$D$11+$D$12+$D$16+$D$17+$D$39),0)</f>
        <v>1002313.1581036572</v>
      </c>
      <c r="G11" s="16"/>
      <c r="H11" s="16"/>
      <c r="I11" s="16"/>
      <c r="J11" s="16"/>
      <c r="K11" s="16"/>
      <c r="L11" s="86" t="s">
        <v>1005</v>
      </c>
      <c r="M11" s="45">
        <v>5577.8585949503349</v>
      </c>
      <c r="N11" s="16"/>
      <c r="O11" s="45" t="s">
        <v>1616</v>
      </c>
      <c r="P11" s="57">
        <f>SUM(Mercado_Receita!$N$2:$N$2022)</f>
        <v>1177306.8779999996</v>
      </c>
      <c r="Q11" s="57">
        <v>1177306.878</v>
      </c>
      <c r="R11" s="57" t="str">
        <f>IF(ABS(P11-Q11)&gt;1,"ERRO BADNET","OK BADNET")</f>
        <v>OK BADNET</v>
      </c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</row>
    <row r="12" spans="1:30" ht="12" customHeight="1" x14ac:dyDescent="0.2">
      <c r="A12" s="109"/>
      <c r="B12" s="109"/>
      <c r="C12" s="30" t="s">
        <v>963</v>
      </c>
      <c r="D12" s="33">
        <v>4292262</v>
      </c>
      <c r="E12" s="33">
        <v>-38079.856863334833</v>
      </c>
      <c r="F12" s="33">
        <f>IF((+$D$11+$D$12+$D$16+$D$17+$D$39)&lt;&gt;0,$M$19*$D$12/(+$D$11+$D$12+$D$16+$D$17+$D$39),0)</f>
        <v>238855.57609935154</v>
      </c>
      <c r="G12" s="16"/>
      <c r="H12" s="16"/>
      <c r="I12" s="16"/>
      <c r="J12" s="16"/>
      <c r="K12" s="16"/>
      <c r="L12" s="45" t="s">
        <v>1006</v>
      </c>
      <c r="M12" s="45">
        <v>1376677.067760335</v>
      </c>
      <c r="N12" s="16"/>
      <c r="O12" s="45" t="s">
        <v>1617</v>
      </c>
      <c r="P12" s="57">
        <f>SUMIF('MERCADO TUSD'!$H$2:$H$71,"kW",'MERCADO TUSD'!$U$2:$U$71)</f>
        <v>6293320</v>
      </c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</row>
    <row r="13" spans="1:30" ht="12" customHeight="1" x14ac:dyDescent="0.2">
      <c r="A13" s="109"/>
      <c r="B13" s="109"/>
      <c r="C13" s="30" t="s">
        <v>964</v>
      </c>
      <c r="D13" s="33">
        <f>-$M$51+0</f>
        <v>0</v>
      </c>
      <c r="E13" s="33">
        <v>0</v>
      </c>
      <c r="F13" s="33">
        <v>0</v>
      </c>
      <c r="G13" s="16"/>
      <c r="H13" s="16"/>
      <c r="I13" s="16"/>
      <c r="J13" s="16"/>
      <c r="K13" s="16"/>
      <c r="L13" s="45" t="s">
        <v>1007</v>
      </c>
      <c r="M13" s="45">
        <v>29042.935211228352</v>
      </c>
      <c r="N13" s="16"/>
      <c r="O13" s="45" t="s">
        <v>1618</v>
      </c>
      <c r="P13" s="57">
        <f>SUMIF('MERCADO TUSD'!$H$2:$H$71,"MWh",'MERCADO TUSD'!$U$2:$U$71)</f>
        <v>1559526.5860000001</v>
      </c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</row>
    <row r="14" spans="1:30" ht="12" customHeight="1" x14ac:dyDescent="0.2">
      <c r="A14" s="109"/>
      <c r="B14" s="109"/>
      <c r="C14" s="30" t="s">
        <v>965</v>
      </c>
      <c r="D14" s="33">
        <v>0</v>
      </c>
      <c r="E14" s="33">
        <v>0</v>
      </c>
      <c r="F14" s="33">
        <v>0</v>
      </c>
      <c r="G14" s="16"/>
      <c r="H14" s="16"/>
      <c r="I14" s="16"/>
      <c r="J14" s="16"/>
      <c r="K14" s="16"/>
      <c r="L14" s="45" t="s">
        <v>1008</v>
      </c>
      <c r="M14" s="45">
        <v>287.4500442140108</v>
      </c>
      <c r="N14" s="16"/>
      <c r="O14" s="45" t="s">
        <v>1619</v>
      </c>
      <c r="P14" s="57">
        <f>SUMIF('MERCADO TE'!$H$2:$H$42,"MWh",'MERCADO TE'!$U$2:$U$42)</f>
        <v>1177306.878</v>
      </c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</row>
    <row r="15" spans="1:30" ht="12" customHeight="1" x14ac:dyDescent="0.2">
      <c r="A15" s="109"/>
      <c r="B15" s="109"/>
      <c r="C15" s="30" t="s">
        <v>966</v>
      </c>
      <c r="D15" s="33">
        <v>77840815.248234794</v>
      </c>
      <c r="E15" s="33">
        <v>1899093.1074773462</v>
      </c>
      <c r="F15" s="33">
        <v>0</v>
      </c>
      <c r="G15" s="16"/>
      <c r="H15" s="16"/>
      <c r="I15" s="16"/>
      <c r="J15" s="16"/>
      <c r="K15" s="16"/>
      <c r="L15" s="45" t="s">
        <v>1009</v>
      </c>
      <c r="M15" s="45">
        <f>M14*M12</f>
        <v>395725883.99612308</v>
      </c>
      <c r="N15" s="16"/>
      <c r="O15" s="45" t="s">
        <v>1620</v>
      </c>
      <c r="P15" s="57" t="str">
        <f>IF(ABS(P9-P12)&gt;1,"ERRO","OK")</f>
        <v>OK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</row>
    <row r="16" spans="1:30" ht="12" customHeight="1" x14ac:dyDescent="0.2">
      <c r="A16" s="109"/>
      <c r="B16" s="109"/>
      <c r="C16" s="30" t="s">
        <v>967</v>
      </c>
      <c r="D16" s="33">
        <v>0</v>
      </c>
      <c r="E16" s="33">
        <v>0</v>
      </c>
      <c r="F16" s="33">
        <f>IF((+$D$11+$D$12+$D$16+$D$17+$D$39)&lt;&gt;0,$M$19*$D$16/(+$D$11+$D$12+$D$16+$D$17+$D$39),0)</f>
        <v>0</v>
      </c>
      <c r="G16" s="16"/>
      <c r="H16" s="16"/>
      <c r="I16" s="16"/>
      <c r="J16" s="16"/>
      <c r="K16" s="16"/>
      <c r="L16" s="45" t="s">
        <v>1010</v>
      </c>
      <c r="M16" s="45">
        <v>-36663188.178991593</v>
      </c>
      <c r="N16" s="16"/>
      <c r="O16" s="45" t="s">
        <v>1621</v>
      </c>
      <c r="P16" s="57" t="str">
        <f>IF(ABS(P10-P13)&gt;1,"ERRO","OK")</f>
        <v>OK</v>
      </c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</row>
    <row r="17" spans="1:30" ht="12" customHeight="1" x14ac:dyDescent="0.2">
      <c r="A17" s="109"/>
      <c r="B17" s="109"/>
      <c r="C17" s="30" t="s">
        <v>968</v>
      </c>
      <c r="D17" s="33">
        <v>526299.84000000008</v>
      </c>
      <c r="E17" s="33">
        <v>-5686.8063288253252</v>
      </c>
      <c r="F17" s="33">
        <f>IF((+$D$11+$D$12+$D$16+$D$17+$D$39)&lt;&gt;0,$M$19*$D$17/(+$D$11+$D$12+$D$16+$D$17+$D$39),0)</f>
        <v>29287.506560456131</v>
      </c>
      <c r="G17" s="16"/>
      <c r="H17" s="16"/>
      <c r="I17" s="16"/>
      <c r="J17" s="16"/>
      <c r="K17" s="16"/>
      <c r="L17" s="45" t="s">
        <v>1011</v>
      </c>
      <c r="M17" s="45">
        <v>26285308.092399999</v>
      </c>
      <c r="N17" s="16"/>
      <c r="O17" s="45" t="s">
        <v>1622</v>
      </c>
      <c r="P17" s="57" t="str">
        <f>IF(ABS(P11-P14)&gt;1,"ERRO","OK")</f>
        <v>OK</v>
      </c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</row>
    <row r="18" spans="1:30" ht="12" customHeight="1" x14ac:dyDescent="0.2">
      <c r="A18" s="109"/>
      <c r="B18" s="110"/>
      <c r="C18" s="30" t="s">
        <v>960</v>
      </c>
      <c r="D18" s="33">
        <f>SUM(D$11:D17)</f>
        <v>100671059.0882348</v>
      </c>
      <c r="E18" s="33">
        <f>SUM(E$11:E17)</f>
        <v>6552767.6119406698</v>
      </c>
      <c r="F18" s="33">
        <f>SUM(F$11:F17)</f>
        <v>1270456.2407634649</v>
      </c>
      <c r="G18" s="16"/>
      <c r="H18" s="16"/>
      <c r="I18" s="16"/>
      <c r="J18" s="16"/>
      <c r="K18" s="16"/>
      <c r="L18" s="45" t="s">
        <v>1012</v>
      </c>
      <c r="M18" s="45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</row>
    <row r="19" spans="1:30" ht="12" customHeight="1" x14ac:dyDescent="0.2">
      <c r="A19" s="109"/>
      <c r="B19" s="108" t="s">
        <v>969</v>
      </c>
      <c r="C19" s="30" t="s">
        <v>970</v>
      </c>
      <c r="D19" s="33">
        <v>291198452.27662063</v>
      </c>
      <c r="E19" s="33">
        <v>-119.03127275816443</v>
      </c>
      <c r="F19" s="33">
        <v>0</v>
      </c>
      <c r="G19" s="16"/>
      <c r="H19" s="16"/>
      <c r="I19" s="16"/>
      <c r="J19" s="16"/>
      <c r="K19" s="16"/>
      <c r="L19" s="45" t="s">
        <v>1013</v>
      </c>
      <c r="M19" s="45">
        <v>1542860.7224999999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</row>
    <row r="20" spans="1:30" ht="12" customHeight="1" x14ac:dyDescent="0.2">
      <c r="A20" s="109"/>
      <c r="B20" s="110"/>
      <c r="C20" s="30" t="s">
        <v>960</v>
      </c>
      <c r="D20" s="33">
        <f>SUM(D$19:D19)</f>
        <v>291198452.27662063</v>
      </c>
      <c r="E20" s="33">
        <f>SUM(E$19:E19)</f>
        <v>-119.03127275816443</v>
      </c>
      <c r="F20" s="33">
        <f>SUM(F$19:F19)</f>
        <v>0</v>
      </c>
      <c r="G20" s="16"/>
      <c r="H20" s="16"/>
      <c r="I20" s="16"/>
      <c r="J20" s="16"/>
      <c r="K20" s="16"/>
      <c r="L20" s="45" t="s">
        <v>1014</v>
      </c>
      <c r="M20" s="45">
        <v>-4.8799269425579439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</row>
    <row r="21" spans="1:30" ht="12" customHeight="1" x14ac:dyDescent="0.2">
      <c r="A21" s="109"/>
      <c r="B21" s="108" t="s">
        <v>971</v>
      </c>
      <c r="C21" s="30" t="s">
        <v>972</v>
      </c>
      <c r="D21" s="33"/>
      <c r="E21" s="33">
        <f>IF($D$47&lt;&gt;0,(1-$D$46/$D$47)*0,0)+0</f>
        <v>0</v>
      </c>
      <c r="F21" s="33"/>
      <c r="G21" s="16"/>
      <c r="H21" s="16"/>
      <c r="I21" s="16"/>
      <c r="J21" s="16"/>
      <c r="K21" s="16"/>
      <c r="L21" s="45" t="s">
        <v>1015</v>
      </c>
      <c r="M21" s="45">
        <v>0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</row>
    <row r="22" spans="1:30" ht="12" customHeight="1" x14ac:dyDescent="0.2">
      <c r="A22" s="109"/>
      <c r="B22" s="109"/>
      <c r="C22" s="30" t="s">
        <v>973</v>
      </c>
      <c r="D22" s="33"/>
      <c r="E22" s="33"/>
      <c r="F22" s="33"/>
      <c r="G22" s="16"/>
      <c r="H22" s="16"/>
      <c r="I22" s="16"/>
      <c r="J22" s="16"/>
      <c r="K22" s="16"/>
      <c r="L22" s="45" t="s">
        <v>1037</v>
      </c>
      <c r="M22" s="45">
        <v>8593116.0989582799</v>
      </c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</row>
    <row r="23" spans="1:30" ht="12" customHeight="1" x14ac:dyDescent="0.2">
      <c r="A23" s="109"/>
      <c r="B23" s="110"/>
      <c r="C23" s="30" t="s">
        <v>960</v>
      </c>
      <c r="D23" s="33">
        <f>SUM(D$21:D22)</f>
        <v>0</v>
      </c>
      <c r="E23" s="33">
        <f>SUM(E$21:E22)</f>
        <v>0</v>
      </c>
      <c r="F23" s="33">
        <f>SUM(F$21:F22)</f>
        <v>0</v>
      </c>
      <c r="G23" s="16"/>
      <c r="H23" s="16"/>
      <c r="I23" s="16"/>
      <c r="J23" s="16"/>
      <c r="K23" s="16"/>
      <c r="L23" s="45" t="s">
        <v>1016</v>
      </c>
      <c r="M23" s="45">
        <v>13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</row>
    <row r="24" spans="1:30" ht="12" customHeight="1" x14ac:dyDescent="0.2">
      <c r="A24" s="109"/>
      <c r="B24" s="108" t="s">
        <v>974</v>
      </c>
      <c r="C24" s="30" t="s">
        <v>975</v>
      </c>
      <c r="D24" s="33">
        <f>$M$14*$M$8</f>
        <v>54327164.24373433</v>
      </c>
      <c r="E24" s="33">
        <f>$M$16*$M$8/$M$12</f>
        <v>-5033299.8837107383</v>
      </c>
      <c r="F24" s="33">
        <f>$M$17*$M$8/$M$12</f>
        <v>3608574.2876171432</v>
      </c>
      <c r="G24" s="16"/>
      <c r="H24" s="16"/>
      <c r="I24" s="16"/>
      <c r="J24" s="16"/>
      <c r="K24" s="16"/>
      <c r="L24" s="45" t="s">
        <v>1017</v>
      </c>
      <c r="M24" s="45">
        <v>0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</row>
    <row r="25" spans="1:30" ht="12" customHeight="1" x14ac:dyDescent="0.2">
      <c r="A25" s="109"/>
      <c r="B25" s="109"/>
      <c r="C25" s="30" t="s">
        <v>976</v>
      </c>
      <c r="D25" s="33">
        <f>$M$14*$M$10</f>
        <v>262678.2045002667</v>
      </c>
      <c r="E25" s="33">
        <f>$M$16*$M$10/$M$12</f>
        <v>-24336.594677257111</v>
      </c>
      <c r="F25" s="33">
        <f>$M$17*$M$10/$M$12</f>
        <v>17447.879488508785</v>
      </c>
      <c r="G25" s="16"/>
      <c r="H25" s="16"/>
      <c r="I25" s="16"/>
      <c r="J25" s="16"/>
      <c r="K25" s="16"/>
      <c r="L25" s="45" t="s">
        <v>1018</v>
      </c>
      <c r="M25" s="45">
        <v>0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</row>
    <row r="26" spans="1:30" ht="12" customHeight="1" x14ac:dyDescent="0.2">
      <c r="A26" s="109"/>
      <c r="B26" s="109"/>
      <c r="C26" s="30" t="s">
        <v>977</v>
      </c>
      <c r="D26" s="33">
        <f>$M$14*$M$9</f>
        <v>1115771.7135920627</v>
      </c>
      <c r="E26" s="33">
        <f>$M$16*$M$9/$M$12</f>
        <v>-103373.9514007188</v>
      </c>
      <c r="F26" s="33">
        <f>$M$17*$M$9/$M$12</f>
        <v>74112.926241741094</v>
      </c>
      <c r="G26" s="16"/>
      <c r="H26" s="16"/>
      <c r="I26" s="16"/>
      <c r="J26" s="16"/>
      <c r="K26" s="16"/>
      <c r="L26" s="45" t="s">
        <v>1019</v>
      </c>
      <c r="M26" s="45">
        <v>0</v>
      </c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</row>
    <row r="27" spans="1:30" ht="12" customHeight="1" x14ac:dyDescent="0.2">
      <c r="A27" s="109"/>
      <c r="B27" s="109"/>
      <c r="C27" s="30" t="s">
        <v>978</v>
      </c>
      <c r="D27" s="33">
        <v>6685467.4646079298</v>
      </c>
      <c r="E27" s="33">
        <v>313395.54827799276</v>
      </c>
      <c r="F27" s="33">
        <v>0</v>
      </c>
      <c r="G27" s="16"/>
      <c r="H27" s="16"/>
      <c r="I27" s="16"/>
      <c r="J27" s="16"/>
      <c r="K27" s="16"/>
      <c r="L27" s="45" t="s">
        <v>1020</v>
      </c>
      <c r="M27" s="45">
        <v>0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</row>
    <row r="28" spans="1:30" ht="12" customHeight="1" x14ac:dyDescent="0.2">
      <c r="A28" s="109"/>
      <c r="B28" s="110"/>
      <c r="C28" s="30" t="s">
        <v>960</v>
      </c>
      <c r="D28" s="33">
        <f>SUM(D$24:D27)</f>
        <v>62391081.626434587</v>
      </c>
      <c r="E28" s="33">
        <f>SUM(E$24:E27)</f>
        <v>-4847614.8815107215</v>
      </c>
      <c r="F28" s="33">
        <f>SUM(F$24:F27)</f>
        <v>3700135.093347393</v>
      </c>
      <c r="G28" s="16"/>
      <c r="H28" s="16"/>
      <c r="I28" s="16"/>
      <c r="J28" s="16"/>
      <c r="K28" s="16"/>
      <c r="L28" s="45" t="s">
        <v>1021</v>
      </c>
      <c r="M28" s="45">
        <v>0</v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</row>
    <row r="29" spans="1:30" ht="12" customHeight="1" x14ac:dyDescent="0.2">
      <c r="A29" s="110"/>
      <c r="B29" s="111" t="s">
        <v>960</v>
      </c>
      <c r="C29" s="112"/>
      <c r="D29" s="33">
        <f>SUMIF(C$2:C28,"SUBTOTAL",D$2:D28)</f>
        <v>606191952.09542942</v>
      </c>
      <c r="E29" s="33">
        <f>SUMIF(C$2:C28,"SUBTOTAL",E$2:E28)</f>
        <v>-393788.23043567687</v>
      </c>
      <c r="F29" s="33">
        <f>SUMIF(C$2:C28,"SUBTOTAL",F$2:F28)</f>
        <v>23586302.452425882</v>
      </c>
      <c r="G29" s="16"/>
      <c r="H29" s="16"/>
      <c r="I29" s="16"/>
      <c r="J29" s="16"/>
      <c r="K29" s="16"/>
      <c r="L29" s="45" t="s">
        <v>1022</v>
      </c>
      <c r="M29" s="45">
        <v>0</v>
      </c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</row>
    <row r="30" spans="1:30" ht="12" customHeight="1" x14ac:dyDescent="0.2">
      <c r="A30" s="108" t="s">
        <v>979</v>
      </c>
      <c r="B30" s="108" t="s">
        <v>952</v>
      </c>
      <c r="C30" s="30" t="s">
        <v>954</v>
      </c>
      <c r="D30" s="3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3660581.106714922</v>
      </c>
      <c r="E30" s="33">
        <f>IF((D30+D$4)&lt;&gt;0,$M$20*D30/(D30+D$4),0)</f>
        <v>-2.0787998395881386</v>
      </c>
      <c r="F30" s="33">
        <f>IF((D30+D$4)&lt;&gt;0,$M$21*D30/(D30+D$4),0)</f>
        <v>0</v>
      </c>
      <c r="G30" s="16"/>
      <c r="H30" s="16"/>
      <c r="I30" s="16"/>
      <c r="J30" s="16"/>
      <c r="K30" s="16"/>
      <c r="L30" s="45" t="s">
        <v>1023</v>
      </c>
      <c r="M30" s="45">
        <v>0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</row>
    <row r="31" spans="1:30" ht="12" customHeight="1" x14ac:dyDescent="0.2">
      <c r="A31" s="109"/>
      <c r="B31" s="109"/>
      <c r="C31" s="30" t="s">
        <v>980</v>
      </c>
      <c r="D31" s="33">
        <v>14736731.351028152</v>
      </c>
      <c r="E31" s="33">
        <v>-3085583.4352911115</v>
      </c>
      <c r="F31" s="33">
        <v>15865968.807700001</v>
      </c>
      <c r="G31" s="16"/>
      <c r="H31" s="16"/>
      <c r="I31" s="16"/>
      <c r="J31" s="16"/>
      <c r="K31" s="16"/>
      <c r="L31" s="45" t="s">
        <v>1024</v>
      </c>
      <c r="M31" s="45">
        <v>0</v>
      </c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</row>
    <row r="32" spans="1:30" ht="12" customHeight="1" x14ac:dyDescent="0.2">
      <c r="A32" s="109"/>
      <c r="B32" s="109"/>
      <c r="C32" s="30" t="s">
        <v>981</v>
      </c>
      <c r="D32" s="33">
        <v>0</v>
      </c>
      <c r="E32" s="33">
        <v>0</v>
      </c>
      <c r="F32" s="33">
        <v>0</v>
      </c>
      <c r="G32" s="16"/>
      <c r="H32" s="16"/>
      <c r="I32" s="16"/>
      <c r="J32" s="16"/>
      <c r="K32" s="16"/>
      <c r="L32" s="45" t="s">
        <v>1025</v>
      </c>
      <c r="M32" s="45">
        <v>0.45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</row>
    <row r="33" spans="1:30" ht="12" customHeight="1" x14ac:dyDescent="0.2">
      <c r="A33" s="109"/>
      <c r="B33" s="109"/>
      <c r="C33" s="30" t="s">
        <v>1039</v>
      </c>
      <c r="D33" s="33">
        <v>12214113.286631148</v>
      </c>
      <c r="E33" s="33">
        <v>5965711.8347441349</v>
      </c>
      <c r="F33" s="33">
        <v>820056.53808497591</v>
      </c>
      <c r="G33" s="16"/>
      <c r="H33" s="16"/>
      <c r="I33" s="16"/>
      <c r="J33" s="16"/>
      <c r="K33" s="16"/>
      <c r="L33" s="45" t="s">
        <v>1026</v>
      </c>
      <c r="M33" s="45">
        <v>0.4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</row>
    <row r="34" spans="1:30" ht="12" customHeight="1" x14ac:dyDescent="0.2">
      <c r="A34" s="109"/>
      <c r="B34" s="109"/>
      <c r="C34" s="30" t="s">
        <v>1613</v>
      </c>
      <c r="D34" s="33">
        <v>-19890000</v>
      </c>
      <c r="E34" s="33">
        <v>0</v>
      </c>
      <c r="F34" s="33">
        <v>0</v>
      </c>
      <c r="G34" s="16"/>
      <c r="H34" s="16"/>
      <c r="I34" s="16"/>
      <c r="J34" s="16"/>
      <c r="K34" s="16"/>
      <c r="L34" s="45" t="s">
        <v>1027</v>
      </c>
      <c r="M34" s="45">
        <v>0.65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</row>
    <row r="35" spans="1:30" ht="12" customHeight="1" x14ac:dyDescent="0.2">
      <c r="A35" s="109"/>
      <c r="B35" s="110"/>
      <c r="C35" s="30" t="s">
        <v>960</v>
      </c>
      <c r="D35" s="33">
        <f>SUM(D$30:D34)</f>
        <v>10721425.744374223</v>
      </c>
      <c r="E35" s="33">
        <f>SUM(E$30:E34)</f>
        <v>2880126.3206531839</v>
      </c>
      <c r="F35" s="33">
        <f>SUM(F$30:F34)</f>
        <v>16686025.345784977</v>
      </c>
      <c r="G35" s="16"/>
      <c r="H35" s="16"/>
      <c r="I35" s="16"/>
      <c r="J35" s="16"/>
      <c r="K35" s="16"/>
      <c r="L35" s="45" t="s">
        <v>1028</v>
      </c>
      <c r="M35" s="45">
        <v>0.4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</row>
    <row r="36" spans="1:30" ht="12" customHeight="1" x14ac:dyDescent="0.2">
      <c r="A36" s="109"/>
      <c r="B36" s="108" t="s">
        <v>982</v>
      </c>
      <c r="C36" s="30" t="s">
        <v>983</v>
      </c>
      <c r="D36" s="33">
        <f>$M$14*($M$12-$M$7)</f>
        <v>338416914.13455844</v>
      </c>
      <c r="E36" s="33">
        <f>$M$16*($M$12-$M$7)/$M$12</f>
        <v>-31353630.145635135</v>
      </c>
      <c r="F36" s="33">
        <f>$M$17*($M$12-$M$7)/$M$12</f>
        <v>22478673.272212066</v>
      </c>
      <c r="G36" s="16"/>
      <c r="H36" s="16"/>
      <c r="I36" s="16"/>
      <c r="J36" s="16"/>
      <c r="K36" s="16"/>
      <c r="L36" s="45" t="s">
        <v>1029</v>
      </c>
      <c r="M36" s="45">
        <v>0.1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</row>
    <row r="37" spans="1:30" ht="12" customHeight="1" x14ac:dyDescent="0.2">
      <c r="A37" s="109"/>
      <c r="B37" s="110"/>
      <c r="C37" s="30" t="s">
        <v>960</v>
      </c>
      <c r="D37" s="33">
        <f>SUM(D$36:D36)</f>
        <v>338416914.13455844</v>
      </c>
      <c r="E37" s="33">
        <f>SUM(E$36:E36)</f>
        <v>-31353630.145635135</v>
      </c>
      <c r="F37" s="33">
        <f>SUM(F$36:F36)</f>
        <v>22478673.272212066</v>
      </c>
      <c r="G37" s="16"/>
      <c r="H37" s="16"/>
      <c r="I37" s="16"/>
      <c r="J37" s="16"/>
      <c r="K37" s="16"/>
      <c r="L37" s="45" t="s">
        <v>1030</v>
      </c>
      <c r="M37" s="45">
        <v>0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</row>
    <row r="38" spans="1:30" ht="12" customHeight="1" x14ac:dyDescent="0.2">
      <c r="A38" s="109"/>
      <c r="B38" s="108" t="s">
        <v>961</v>
      </c>
      <c r="C38" s="30" t="s">
        <v>984</v>
      </c>
      <c r="D38" s="33">
        <v>5890129.4745977521</v>
      </c>
      <c r="E38" s="33">
        <v>2577326.8666546531</v>
      </c>
      <c r="F38" s="33">
        <v>-384844.36339999997</v>
      </c>
      <c r="G38" s="16"/>
      <c r="H38" s="16"/>
      <c r="I38" s="16"/>
      <c r="J38" s="16"/>
      <c r="K38" s="16"/>
      <c r="L38" s="45" t="s">
        <v>1031</v>
      </c>
      <c r="M38" s="45">
        <f>IFERROR(VLOOKUP("Convencional1RuralNão se aplicaRURALB2",Descontos!B1:U88,VLOOKUP("Convencional1RuralNão se aplicaRURALB2",Descontos!B1:U88,20,FALSE)+12,FALSE),100)</f>
        <v>0.06</v>
      </c>
      <c r="N38" s="16" t="s">
        <v>1635</v>
      </c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</row>
    <row r="39" spans="1:30" ht="12" customHeight="1" x14ac:dyDescent="0.2">
      <c r="A39" s="109"/>
      <c r="B39" s="109"/>
      <c r="C39" s="30" t="s">
        <v>985</v>
      </c>
      <c r="D39" s="33">
        <v>4895139.6684207348</v>
      </c>
      <c r="E39" s="33">
        <v>352547.98520048341</v>
      </c>
      <c r="F39" s="33">
        <f>IF((+$D$11+$D$12+$D$16+$D$17+$D$39)&lt;&gt;0,$M$19*$D$39/(+$D$11+$D$12+$D$16+$D$17+$D$39),0)</f>
        <v>272404.48173653503</v>
      </c>
      <c r="G39" s="16"/>
      <c r="H39" s="16"/>
      <c r="I39" s="16"/>
      <c r="J39" s="16"/>
      <c r="K39" s="16"/>
      <c r="L39" s="45" t="s">
        <v>1032</v>
      </c>
      <c r="M39" s="45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6">
        <v>0.3</v>
      </c>
      <c r="O39" s="16" t="s">
        <v>1636</v>
      </c>
      <c r="P39" s="16" t="s">
        <v>1637</v>
      </c>
      <c r="Q39" s="16" t="s">
        <v>1638</v>
      </c>
      <c r="R39" s="16" t="s">
        <v>1639</v>
      </c>
      <c r="S39" s="16" t="s">
        <v>1</v>
      </c>
      <c r="T39" s="16" t="s">
        <v>1640</v>
      </c>
      <c r="U39" s="16"/>
      <c r="V39" s="16"/>
      <c r="W39" s="16"/>
      <c r="X39" s="16"/>
      <c r="Y39" s="16"/>
      <c r="Z39" s="16"/>
      <c r="AA39" s="16"/>
      <c r="AB39" s="16"/>
      <c r="AC39" s="16"/>
      <c r="AD39" s="16"/>
    </row>
    <row r="40" spans="1:30" ht="12" customHeight="1" x14ac:dyDescent="0.25">
      <c r="A40" s="109"/>
      <c r="B40" s="109"/>
      <c r="C40" s="30" t="s">
        <v>986</v>
      </c>
      <c r="D40" s="33"/>
      <c r="E40" s="33">
        <v>0</v>
      </c>
      <c r="F40" s="33">
        <v>0</v>
      </c>
      <c r="G40" s="16"/>
      <c r="H40" s="16"/>
      <c r="I40" s="16"/>
      <c r="J40" s="16"/>
      <c r="K40" s="16"/>
      <c r="L40" s="45" t="s">
        <v>1033</v>
      </c>
      <c r="M40" s="45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6">
        <v>0.4</v>
      </c>
      <c r="O40" s="60"/>
      <c r="P40" s="60"/>
      <c r="Q40" s="60"/>
      <c r="R40" s="60"/>
      <c r="S40" s="60"/>
      <c r="T40" s="60"/>
      <c r="U40" s="16"/>
      <c r="V40" s="16"/>
      <c r="W40" s="16"/>
      <c r="X40" s="16"/>
      <c r="Y40" s="16"/>
      <c r="Z40" s="16"/>
      <c r="AA40" s="16"/>
      <c r="AB40" s="16"/>
      <c r="AC40" s="16"/>
      <c r="AD40" s="16"/>
    </row>
    <row r="41" spans="1:30" ht="12" customHeight="1" x14ac:dyDescent="0.25">
      <c r="A41" s="109"/>
      <c r="B41" s="110"/>
      <c r="C41" s="30" t="s">
        <v>960</v>
      </c>
      <c r="D41" s="33">
        <f>SUM(D$38:D40)</f>
        <v>10785269.143018488</v>
      </c>
      <c r="E41" s="33">
        <f>SUM(E$38:E40)</f>
        <v>2929874.8518551365</v>
      </c>
      <c r="F41" s="33">
        <f>SUM(F$38:F40)</f>
        <v>-112439.88166346494</v>
      </c>
      <c r="G41" s="16"/>
      <c r="H41" s="16"/>
      <c r="I41" s="16"/>
      <c r="J41" s="16"/>
      <c r="K41" s="16"/>
      <c r="L41" s="16"/>
      <c r="M41" s="16"/>
      <c r="N41" s="16"/>
      <c r="O41" s="60"/>
      <c r="P41" s="60"/>
      <c r="Q41" s="60"/>
      <c r="R41" s="60"/>
      <c r="S41" s="60"/>
      <c r="T41" s="60"/>
      <c r="U41" s="16"/>
      <c r="V41" s="16"/>
      <c r="W41" s="16"/>
      <c r="X41" s="16"/>
      <c r="Y41" s="16"/>
      <c r="Z41" s="16"/>
      <c r="AA41" s="16"/>
      <c r="AB41" s="16"/>
      <c r="AC41" s="16"/>
      <c r="AD41" s="16"/>
    </row>
    <row r="42" spans="1:30" ht="12" customHeight="1" x14ac:dyDescent="0.25">
      <c r="A42" s="109"/>
      <c r="B42" s="108" t="s">
        <v>971</v>
      </c>
      <c r="C42" s="30" t="s">
        <v>972</v>
      </c>
      <c r="D42" s="33"/>
      <c r="E42" s="33">
        <f>IF($D$47&lt;&gt;0,($D$46/$D$47)* 0,0)+0</f>
        <v>0</v>
      </c>
      <c r="F42" s="33"/>
      <c r="G42" s="16"/>
      <c r="H42" s="16"/>
      <c r="I42" s="16"/>
      <c r="J42" s="16"/>
      <c r="K42" s="16"/>
      <c r="L42" s="16"/>
      <c r="M42" s="16"/>
      <c r="N42" s="16"/>
      <c r="O42" s="60"/>
      <c r="P42" s="60"/>
      <c r="Q42" s="60"/>
      <c r="R42" s="60"/>
      <c r="S42" s="60"/>
      <c r="T42" s="60"/>
      <c r="U42" s="16"/>
      <c r="V42" s="16"/>
      <c r="W42" s="16"/>
      <c r="X42" s="16"/>
      <c r="Y42" s="16"/>
      <c r="Z42" s="16"/>
      <c r="AA42" s="16"/>
      <c r="AB42" s="16"/>
      <c r="AC42" s="16"/>
      <c r="AD42" s="16"/>
    </row>
    <row r="43" spans="1:30" ht="12" customHeight="1" x14ac:dyDescent="0.25">
      <c r="A43" s="109"/>
      <c r="B43" s="110"/>
      <c r="C43" s="30" t="s">
        <v>960</v>
      </c>
      <c r="D43" s="33">
        <f>SUM(D$42:D42)</f>
        <v>0</v>
      </c>
      <c r="E43" s="33">
        <f>SUM(E$42:E42)</f>
        <v>0</v>
      </c>
      <c r="F43" s="33">
        <f>SUM(F$42:F42)</f>
        <v>0</v>
      </c>
      <c r="G43" s="16"/>
      <c r="H43" s="16"/>
      <c r="I43" s="16"/>
      <c r="J43" s="16"/>
      <c r="K43" s="16"/>
      <c r="L43" s="16"/>
      <c r="M43" s="16"/>
      <c r="N43" s="16"/>
      <c r="O43" s="60"/>
      <c r="P43" s="60"/>
      <c r="Q43" s="60"/>
      <c r="R43" s="60"/>
      <c r="S43" s="60"/>
      <c r="T43" s="60"/>
      <c r="U43" s="16"/>
      <c r="V43" s="16"/>
      <c r="W43" s="16"/>
      <c r="X43" s="16"/>
      <c r="Y43" s="16"/>
      <c r="Z43" s="16"/>
      <c r="AA43" s="16"/>
      <c r="AB43" s="16"/>
      <c r="AC43" s="16"/>
      <c r="AD43" s="16"/>
    </row>
    <row r="44" spans="1:30" ht="12" customHeight="1" x14ac:dyDescent="0.25">
      <c r="A44" s="109"/>
      <c r="B44" s="108" t="s">
        <v>974</v>
      </c>
      <c r="C44" s="30" t="s">
        <v>987</v>
      </c>
      <c r="D44" s="33">
        <f>$M$14*$M$11</f>
        <v>1603355.699737974</v>
      </c>
      <c r="E44" s="33">
        <f>$M$16*$M$11/$M$12</f>
        <v>-148547.60356774638</v>
      </c>
      <c r="F44" s="33">
        <f>$M$17*$M$11/$M$12</f>
        <v>106499.72684053976</v>
      </c>
      <c r="G44" s="16"/>
      <c r="H44" s="16"/>
      <c r="I44" s="16"/>
      <c r="J44" s="16"/>
      <c r="K44" s="16"/>
      <c r="L44" s="16"/>
      <c r="M44" s="16"/>
      <c r="N44" s="16"/>
      <c r="O44" s="60"/>
      <c r="P44" s="60"/>
      <c r="Q44" s="60"/>
      <c r="R44" s="60"/>
      <c r="S44" s="60"/>
      <c r="T44" s="60"/>
      <c r="U44" s="16"/>
      <c r="V44" s="16"/>
      <c r="W44" s="16"/>
      <c r="X44" s="16"/>
      <c r="Y44" s="16"/>
      <c r="Z44" s="16"/>
      <c r="AA44" s="16"/>
      <c r="AB44" s="16"/>
      <c r="AC44" s="16"/>
      <c r="AD44" s="16"/>
    </row>
    <row r="45" spans="1:30" ht="12" customHeight="1" x14ac:dyDescent="0.25">
      <c r="A45" s="109"/>
      <c r="B45" s="110"/>
      <c r="C45" s="30" t="s">
        <v>960</v>
      </c>
      <c r="D45" s="33">
        <f>SUM(D$44:D44)</f>
        <v>1603355.699737974</v>
      </c>
      <c r="E45" s="33">
        <f>SUM(E$44:E44)</f>
        <v>-148547.60356774638</v>
      </c>
      <c r="F45" s="33">
        <f>SUM(F$44:F44)</f>
        <v>106499.72684053976</v>
      </c>
      <c r="G45" s="16"/>
      <c r="H45" s="16"/>
      <c r="I45" s="16"/>
      <c r="J45" s="16"/>
      <c r="K45" s="16"/>
      <c r="L45" s="16"/>
      <c r="M45" s="16"/>
      <c r="N45" s="16"/>
      <c r="O45" s="60"/>
      <c r="P45" s="60"/>
      <c r="Q45" s="60"/>
      <c r="R45" s="60"/>
      <c r="S45" s="60"/>
      <c r="T45" s="60"/>
      <c r="U45" s="16"/>
      <c r="V45" s="16"/>
      <c r="W45" s="16"/>
      <c r="X45" s="16"/>
      <c r="Y45" s="16"/>
      <c r="Z45" s="16"/>
      <c r="AA45" s="16"/>
      <c r="AB45" s="16"/>
      <c r="AC45" s="16"/>
      <c r="AD45" s="16"/>
    </row>
    <row r="46" spans="1:30" ht="12" customHeight="1" x14ac:dyDescent="0.25">
      <c r="A46" s="110"/>
      <c r="B46" s="111" t="s">
        <v>960</v>
      </c>
      <c r="C46" s="112"/>
      <c r="D46" s="33">
        <f>SUMIF(C$30:C45,"SUBTOTAL",D$30:D45)</f>
        <v>361526964.72168911</v>
      </c>
      <c r="E46" s="33">
        <f>SUMIF(C$30:C45,"SUBTOTAL",E$30:E45)</f>
        <v>-25692176.576694559</v>
      </c>
      <c r="F46" s="33">
        <f>SUMIF(C$30:C45,"SUBTOTAL",F$30:F45)</f>
        <v>39158758.46317412</v>
      </c>
      <c r="G46" s="16"/>
      <c r="H46" s="16"/>
      <c r="I46" s="16"/>
      <c r="J46" s="16"/>
      <c r="K46" s="16"/>
      <c r="L46" s="16"/>
      <c r="M46" s="16"/>
      <c r="N46" s="16"/>
      <c r="O46" s="60"/>
      <c r="P46" s="60"/>
      <c r="Q46" s="60"/>
      <c r="R46" s="60"/>
      <c r="S46" s="60"/>
      <c r="T46" s="60"/>
      <c r="U46" s="16"/>
      <c r="V46" s="16"/>
      <c r="W46" s="16"/>
      <c r="X46" s="16"/>
      <c r="Y46" s="16"/>
      <c r="Z46" s="16"/>
      <c r="AA46" s="16"/>
      <c r="AB46" s="16"/>
      <c r="AC46" s="16"/>
      <c r="AD46" s="16"/>
    </row>
    <row r="47" spans="1:30" ht="12" customHeight="1" x14ac:dyDescent="0.25">
      <c r="A47" s="111" t="s">
        <v>988</v>
      </c>
      <c r="B47" s="113"/>
      <c r="C47" s="112"/>
      <c r="D47" s="33">
        <f>SUMIF(C$2:C46,"SUBTOTAL",D$2:D46)</f>
        <v>967718916.81711864</v>
      </c>
      <c r="E47" s="33">
        <f>SUMIF(C$2:C46,"SUBTOTAL",E$2:E46)</f>
        <v>-26085964.807130236</v>
      </c>
      <c r="F47" s="33">
        <f>SUMIF(C$2:C46,"SUBTOTAL",F$2:F46)</f>
        <v>62745060.915600002</v>
      </c>
      <c r="G47" s="16">
        <f>D47+E47+F47</f>
        <v>1004378012.9255884</v>
      </c>
      <c r="H47" s="16"/>
      <c r="I47" s="16"/>
      <c r="J47" s="16"/>
      <c r="K47" s="16"/>
      <c r="L47" s="16"/>
      <c r="M47" s="16"/>
      <c r="N47" s="16"/>
      <c r="O47" s="60"/>
      <c r="P47" s="60"/>
      <c r="Q47" s="60"/>
      <c r="R47" s="60"/>
      <c r="S47" s="60"/>
      <c r="T47" s="60"/>
      <c r="U47" s="16"/>
      <c r="V47" s="16"/>
      <c r="W47" s="16"/>
      <c r="X47" s="16"/>
      <c r="Y47" s="16"/>
      <c r="Z47" s="16"/>
      <c r="AA47" s="16"/>
      <c r="AB47" s="16"/>
      <c r="AC47" s="16"/>
      <c r="AD47" s="16"/>
    </row>
    <row r="48" spans="1:30" ht="12" customHeight="1" x14ac:dyDescent="0.25">
      <c r="A48" s="105" t="s">
        <v>1631</v>
      </c>
      <c r="B48" s="106"/>
      <c r="C48" s="106"/>
      <c r="D48" s="54">
        <f ca="1">'TUSD BE'!$AM$76+'TUSD BE'!$AM$80+'TE BE'!$AB$47</f>
        <v>967718916.81711864</v>
      </c>
      <c r="E48" s="54">
        <f ca="1">'TUSD BF'!$AM$76+'TE BF'!$AB$47</f>
        <v>-26085964.80713024</v>
      </c>
      <c r="F48" s="54">
        <f ca="1">'TUSD CVA'!$AM$76+'TE CVA'!$AB$47</f>
        <v>62745060.915600002</v>
      </c>
      <c r="G48" s="84">
        <f ca="1">EFEITO!AU11+SUBSIDIO!AJ2+SUBSIDIO!AJ3+SUBSIDIO!AJ5+SUBSIDIO!AJ6+SUBSIDIO!AJ7+SUBSIDIO!AJ8</f>
        <v>1004378012.9255887</v>
      </c>
      <c r="L48" s="83"/>
      <c r="M48" s="45"/>
      <c r="O48" s="60"/>
      <c r="P48" s="60"/>
      <c r="Q48" s="60"/>
      <c r="R48" s="60"/>
      <c r="S48" s="60"/>
      <c r="T48" s="60"/>
    </row>
    <row r="49" spans="1:20" ht="12" customHeight="1" x14ac:dyDescent="0.25">
      <c r="A49" s="105" t="s">
        <v>1632</v>
      </c>
      <c r="B49" s="106"/>
      <c r="C49" s="106"/>
      <c r="D49" s="55" t="str">
        <f ca="1">IF(ABS(D48-D47)&gt;1,"ERRO","OK")</f>
        <v>OK</v>
      </c>
      <c r="E49" s="55" t="str">
        <f ca="1">IF(ABS(E48-E47)&gt;1,"ERRO","OK")</f>
        <v>OK</v>
      </c>
      <c r="F49" s="55" t="str">
        <f ca="1">IF(ABS(F48-F47)&gt;1,"ERRO","OK")</f>
        <v>OK</v>
      </c>
      <c r="G49" s="84">
        <f ca="1">G47-G48</f>
        <v>0</v>
      </c>
      <c r="L49" s="83"/>
      <c r="M49" s="45"/>
      <c r="O49" s="60"/>
      <c r="P49" s="60"/>
      <c r="Q49" s="60"/>
      <c r="R49" s="60"/>
      <c r="S49" s="60"/>
      <c r="T49" s="60"/>
    </row>
    <row r="50" spans="1:20" ht="12" customHeight="1" x14ac:dyDescent="0.25">
      <c r="L50" s="83"/>
      <c r="M50" s="45"/>
      <c r="O50" s="60"/>
      <c r="P50" s="60"/>
      <c r="Q50" s="60"/>
      <c r="R50" s="60"/>
      <c r="S50" s="60"/>
      <c r="T50" s="60"/>
    </row>
    <row r="51" spans="1:20" ht="12" customHeight="1" x14ac:dyDescent="0.25">
      <c r="D51" s="68">
        <v>967718916.81711864</v>
      </c>
      <c r="E51" s="68">
        <v>-26085964.80713021</v>
      </c>
      <c r="F51" s="68">
        <v>62745060.915600002</v>
      </c>
      <c r="L51" s="68" t="s">
        <v>1034</v>
      </c>
      <c r="M51" s="76">
        <v>0</v>
      </c>
      <c r="O51" s="60"/>
      <c r="P51" s="60"/>
      <c r="Q51" s="60"/>
      <c r="R51" s="60"/>
      <c r="S51" s="60"/>
      <c r="T51" s="60"/>
    </row>
    <row r="52" spans="1:20" ht="12" customHeight="1" x14ac:dyDescent="0.25">
      <c r="D52" s="84">
        <f ca="1">D48-D51</f>
        <v>0</v>
      </c>
      <c r="E52" s="84">
        <f t="shared" ref="E52:F52" ca="1" si="0">E48-E51</f>
        <v>-2.9802322387695313E-8</v>
      </c>
      <c r="F52" s="84">
        <f t="shared" ca="1" si="0"/>
        <v>0</v>
      </c>
      <c r="O52" s="60"/>
      <c r="P52" s="60"/>
      <c r="Q52" s="60"/>
      <c r="R52" s="60"/>
      <c r="S52" s="60"/>
      <c r="T52" s="60"/>
    </row>
    <row r="53" spans="1:20" ht="12" customHeight="1" x14ac:dyDescent="0.25">
      <c r="O53" s="60"/>
      <c r="P53" s="60"/>
      <c r="Q53" s="60"/>
      <c r="R53" s="60"/>
      <c r="S53" s="60"/>
      <c r="T53" s="60"/>
    </row>
    <row r="54" spans="1:20" ht="12" customHeight="1" x14ac:dyDescent="0.25">
      <c r="O54" s="60"/>
      <c r="P54" s="60"/>
      <c r="Q54" s="60"/>
      <c r="R54" s="60"/>
      <c r="S54" s="60"/>
      <c r="T54" s="60"/>
    </row>
    <row r="55" spans="1:20" ht="12" customHeight="1" x14ac:dyDescent="0.25">
      <c r="O55" s="60"/>
      <c r="P55" s="60"/>
      <c r="Q55" s="60"/>
      <c r="R55" s="60"/>
      <c r="S55" s="60"/>
      <c r="T55" s="60"/>
    </row>
    <row r="56" spans="1:20" ht="12" customHeight="1" x14ac:dyDescent="0.25">
      <c r="O56" s="60"/>
      <c r="P56" s="60"/>
      <c r="Q56" s="60"/>
      <c r="R56" s="60"/>
      <c r="S56" s="60"/>
      <c r="T56" s="60"/>
    </row>
    <row r="57" spans="1:20" ht="12" customHeight="1" x14ac:dyDescent="0.25">
      <c r="O57" s="60"/>
      <c r="P57" s="60"/>
      <c r="Q57" s="60"/>
      <c r="R57" s="60"/>
      <c r="S57" s="60"/>
      <c r="T57" s="60"/>
    </row>
    <row r="58" spans="1:20" ht="12" customHeight="1" x14ac:dyDescent="0.25">
      <c r="O58" s="60"/>
      <c r="P58" s="60"/>
      <c r="Q58" s="60"/>
      <c r="R58" s="60"/>
      <c r="S58" s="60"/>
      <c r="T58" s="60"/>
    </row>
    <row r="59" spans="1:20" ht="12" customHeight="1" x14ac:dyDescent="0.25">
      <c r="O59" s="60"/>
      <c r="P59" s="60"/>
      <c r="Q59" s="60"/>
      <c r="R59" s="60"/>
      <c r="S59" s="60"/>
      <c r="T59" s="60"/>
    </row>
    <row r="60" spans="1:20" ht="12" customHeight="1" x14ac:dyDescent="0.25">
      <c r="O60" s="60"/>
      <c r="P60" s="60"/>
      <c r="Q60" s="60"/>
      <c r="R60" s="60"/>
      <c r="S60" s="60"/>
      <c r="T60" s="60"/>
    </row>
    <row r="61" spans="1:20" ht="12" customHeight="1" x14ac:dyDescent="0.25">
      <c r="O61" s="60"/>
      <c r="P61" s="60"/>
      <c r="Q61" s="60"/>
      <c r="R61" s="60"/>
      <c r="S61" s="60"/>
      <c r="T61" s="60"/>
    </row>
    <row r="62" spans="1:20" ht="12" customHeight="1" x14ac:dyDescent="0.25">
      <c r="O62" s="60"/>
      <c r="P62" s="60"/>
      <c r="Q62" s="60"/>
      <c r="R62" s="60"/>
      <c r="S62" s="60"/>
      <c r="T62" s="60"/>
    </row>
    <row r="63" spans="1:20" ht="12" customHeight="1" x14ac:dyDescent="0.25">
      <c r="O63" s="60"/>
      <c r="P63" s="60"/>
      <c r="Q63" s="60"/>
      <c r="R63" s="60"/>
      <c r="S63" s="60"/>
      <c r="T63" s="60"/>
    </row>
    <row r="64" spans="1:20" ht="12" customHeight="1" x14ac:dyDescent="0.25">
      <c r="O64" s="60"/>
      <c r="P64" s="60"/>
      <c r="Q64" s="60"/>
      <c r="R64" s="60"/>
      <c r="S64" s="60"/>
      <c r="T64" s="60"/>
    </row>
    <row r="65" spans="15:20" ht="12" customHeight="1" x14ac:dyDescent="0.25">
      <c r="O65" s="60"/>
      <c r="P65" s="60"/>
      <c r="Q65" s="60"/>
      <c r="R65" s="60"/>
      <c r="S65" s="60"/>
      <c r="T65" s="60"/>
    </row>
    <row r="66" spans="15:20" ht="12" customHeight="1" x14ac:dyDescent="0.25">
      <c r="O66" s="60"/>
      <c r="P66" s="60"/>
      <c r="Q66" s="60"/>
      <c r="R66" s="60"/>
      <c r="S66" s="60"/>
      <c r="T66" s="60"/>
    </row>
    <row r="67" spans="15:20" ht="12" customHeight="1" x14ac:dyDescent="0.25">
      <c r="O67" s="60"/>
      <c r="P67" s="60"/>
      <c r="Q67" s="60"/>
      <c r="R67" s="60"/>
      <c r="S67" s="60"/>
      <c r="T67" s="60"/>
    </row>
    <row r="68" spans="15:20" ht="12" customHeight="1" x14ac:dyDescent="0.25">
      <c r="O68" s="60"/>
      <c r="P68" s="60"/>
      <c r="Q68" s="60"/>
      <c r="R68" s="60"/>
      <c r="S68" s="60"/>
      <c r="T68" s="60"/>
    </row>
    <row r="69" spans="15:20" ht="12" customHeight="1" x14ac:dyDescent="0.25">
      <c r="O69" s="60"/>
      <c r="P69" s="60"/>
      <c r="Q69" s="60"/>
      <c r="R69" s="60"/>
      <c r="S69" s="60"/>
      <c r="T69" s="60"/>
    </row>
    <row r="70" spans="15:20" ht="12" customHeight="1" x14ac:dyDescent="0.25">
      <c r="O70" s="60"/>
      <c r="P70" s="60"/>
      <c r="Q70" s="60"/>
      <c r="R70" s="60"/>
      <c r="S70" s="60"/>
      <c r="T70" s="60"/>
    </row>
    <row r="71" spans="15:20" ht="12" customHeight="1" x14ac:dyDescent="0.25">
      <c r="O71" s="60"/>
      <c r="P71" s="60"/>
      <c r="Q71" s="60"/>
      <c r="R71" s="60"/>
      <c r="S71" s="60"/>
      <c r="T71" s="60"/>
    </row>
    <row r="72" spans="15:20" ht="12" customHeight="1" x14ac:dyDescent="0.25">
      <c r="O72" s="60"/>
      <c r="P72" s="60"/>
      <c r="Q72" s="60"/>
      <c r="R72" s="60"/>
      <c r="S72" s="60"/>
      <c r="T72" s="60"/>
    </row>
    <row r="73" spans="15:20" ht="12" customHeight="1" x14ac:dyDescent="0.25">
      <c r="O73" s="60"/>
      <c r="P73" s="60"/>
      <c r="Q73" s="60"/>
      <c r="R73" s="60"/>
      <c r="S73" s="60"/>
      <c r="T73" s="60"/>
    </row>
    <row r="74" spans="15:20" ht="12" customHeight="1" x14ac:dyDescent="0.25">
      <c r="O74" s="60"/>
      <c r="P74" s="60"/>
      <c r="Q74" s="60"/>
      <c r="R74" s="60"/>
      <c r="S74" s="60"/>
      <c r="T74" s="60"/>
    </row>
    <row r="75" spans="15:20" ht="12" customHeight="1" x14ac:dyDescent="0.25">
      <c r="O75" s="60"/>
      <c r="P75" s="60"/>
      <c r="Q75" s="60"/>
      <c r="R75" s="60"/>
      <c r="S75" s="60"/>
      <c r="T75" s="60"/>
    </row>
    <row r="76" spans="15:20" ht="12" customHeight="1" x14ac:dyDescent="0.25">
      <c r="O76" s="60"/>
      <c r="P76" s="60"/>
      <c r="Q76" s="60"/>
      <c r="R76" s="60"/>
      <c r="S76" s="60"/>
      <c r="T76" s="60"/>
    </row>
    <row r="77" spans="15:20" ht="12" customHeight="1" x14ac:dyDescent="0.25">
      <c r="O77" s="60"/>
      <c r="P77" s="60"/>
      <c r="Q77" s="60"/>
      <c r="R77" s="60"/>
      <c r="S77" s="60"/>
      <c r="T77" s="60"/>
    </row>
    <row r="78" spans="15:20" ht="12" customHeight="1" x14ac:dyDescent="0.25">
      <c r="O78" s="60"/>
      <c r="P78" s="60"/>
      <c r="Q78" s="60"/>
      <c r="R78" s="60"/>
      <c r="S78" s="60"/>
      <c r="T78" s="60"/>
    </row>
    <row r="79" spans="15:20" ht="12" customHeight="1" x14ac:dyDescent="0.25">
      <c r="O79" s="60"/>
      <c r="P79" s="60"/>
      <c r="Q79" s="60"/>
      <c r="R79" s="60"/>
      <c r="S79" s="60"/>
      <c r="T79" s="60"/>
    </row>
    <row r="80" spans="15:20" ht="12" customHeight="1" x14ac:dyDescent="0.25">
      <c r="O80" s="60"/>
      <c r="P80" s="60"/>
      <c r="Q80" s="60"/>
      <c r="R80" s="60"/>
      <c r="S80" s="60"/>
      <c r="T80" s="60"/>
    </row>
    <row r="81" spans="15:20" ht="12" customHeight="1" x14ac:dyDescent="0.25">
      <c r="O81" s="60"/>
      <c r="P81" s="60"/>
      <c r="Q81" s="60"/>
      <c r="R81" s="60"/>
      <c r="S81" s="60"/>
      <c r="T81" s="60"/>
    </row>
    <row r="82" spans="15:20" ht="12" customHeight="1" x14ac:dyDescent="0.25">
      <c r="O82" s="60"/>
      <c r="P82" s="60"/>
      <c r="Q82" s="60"/>
      <c r="R82" s="60"/>
      <c r="S82" s="60"/>
      <c r="T82" s="60"/>
    </row>
    <row r="83" spans="15:20" ht="12" customHeight="1" x14ac:dyDescent="0.25">
      <c r="O83" s="60"/>
      <c r="P83" s="60"/>
      <c r="Q83" s="60"/>
      <c r="R83" s="60"/>
      <c r="S83" s="60"/>
      <c r="T83" s="60"/>
    </row>
    <row r="84" spans="15:20" ht="12" customHeight="1" x14ac:dyDescent="0.25">
      <c r="O84" s="60"/>
      <c r="P84" s="60"/>
      <c r="Q84" s="60"/>
      <c r="R84" s="60"/>
      <c r="S84" s="60"/>
      <c r="T84" s="60"/>
    </row>
    <row r="85" spans="15:20" ht="12" customHeight="1" x14ac:dyDescent="0.25">
      <c r="O85" s="60"/>
      <c r="P85" s="60"/>
      <c r="Q85" s="60"/>
      <c r="R85" s="60"/>
      <c r="S85" s="60"/>
      <c r="T85" s="60"/>
    </row>
    <row r="86" spans="15:20" ht="12" customHeight="1" x14ac:dyDescent="0.25">
      <c r="O86" s="60"/>
      <c r="P86" s="60"/>
      <c r="Q86" s="60"/>
      <c r="R86" s="60"/>
      <c r="S86" s="60"/>
      <c r="T86" s="60"/>
    </row>
    <row r="87" spans="15:20" ht="12" customHeight="1" x14ac:dyDescent="0.25">
      <c r="O87" s="60"/>
      <c r="P87" s="60"/>
      <c r="Q87" s="60"/>
      <c r="R87" s="60"/>
      <c r="S87" s="60"/>
      <c r="T87" s="60"/>
    </row>
    <row r="88" spans="15:20" ht="12" customHeight="1" x14ac:dyDescent="0.25">
      <c r="O88" s="60"/>
      <c r="P88" s="60"/>
      <c r="Q88" s="60"/>
      <c r="R88" s="60"/>
      <c r="S88" s="60"/>
      <c r="T88" s="60"/>
    </row>
    <row r="89" spans="15:20" ht="12" customHeight="1" x14ac:dyDescent="0.25">
      <c r="O89" s="60"/>
      <c r="P89" s="60"/>
      <c r="Q89" s="60"/>
      <c r="R89" s="60"/>
      <c r="S89" s="60"/>
      <c r="T89" s="60"/>
    </row>
    <row r="90" spans="15:20" ht="12" customHeight="1" x14ac:dyDescent="0.25">
      <c r="O90" s="60"/>
      <c r="P90" s="60"/>
      <c r="Q90" s="60"/>
      <c r="R90" s="60"/>
      <c r="S90" s="60"/>
      <c r="T90" s="60"/>
    </row>
    <row r="91" spans="15:20" ht="12" customHeight="1" x14ac:dyDescent="0.25">
      <c r="O91" s="60"/>
      <c r="P91" s="60"/>
      <c r="Q91" s="60"/>
      <c r="R91" s="60"/>
      <c r="S91" s="60"/>
      <c r="T91" s="60"/>
    </row>
    <row r="92" spans="15:20" ht="12" customHeight="1" x14ac:dyDescent="0.25">
      <c r="O92" s="60"/>
      <c r="P92" s="60"/>
      <c r="Q92" s="60"/>
      <c r="R92" s="60"/>
      <c r="S92" s="60"/>
      <c r="T92" s="60"/>
    </row>
    <row r="93" spans="15:20" ht="12" customHeight="1" x14ac:dyDescent="0.25">
      <c r="O93" s="60"/>
      <c r="P93" s="60"/>
      <c r="Q93" s="60"/>
      <c r="R93" s="60"/>
      <c r="S93" s="60"/>
      <c r="T93" s="60"/>
    </row>
    <row r="94" spans="15:20" ht="12" customHeight="1" x14ac:dyDescent="0.25">
      <c r="O94" s="60"/>
      <c r="P94" s="60"/>
      <c r="Q94" s="60"/>
      <c r="R94" s="60"/>
      <c r="S94" s="60"/>
      <c r="T94" s="60"/>
    </row>
    <row r="95" spans="15:20" ht="12" customHeight="1" x14ac:dyDescent="0.25">
      <c r="O95" s="60"/>
      <c r="P95" s="60"/>
      <c r="Q95" s="60"/>
      <c r="R95" s="60"/>
      <c r="S95" s="60"/>
      <c r="T95" s="60"/>
    </row>
    <row r="96" spans="15:20" ht="12" customHeight="1" x14ac:dyDescent="0.25">
      <c r="O96" s="60"/>
      <c r="P96" s="60"/>
      <c r="Q96" s="60"/>
      <c r="R96" s="60"/>
      <c r="S96" s="60"/>
      <c r="T96" s="60"/>
    </row>
    <row r="97" spans="15:30" ht="12" customHeight="1" x14ac:dyDescent="0.25">
      <c r="O97" s="60"/>
      <c r="P97" s="60"/>
      <c r="Q97" s="60"/>
      <c r="R97" s="60"/>
      <c r="S97" s="60"/>
      <c r="T97" s="60"/>
    </row>
    <row r="98" spans="15:30" ht="12" customHeight="1" x14ac:dyDescent="0.25">
      <c r="O98" s="60"/>
      <c r="P98" s="60"/>
      <c r="Q98" s="60"/>
      <c r="R98" s="60"/>
      <c r="S98" s="60"/>
      <c r="T98" s="60"/>
    </row>
    <row r="99" spans="15:30" ht="12" customHeight="1" x14ac:dyDescent="0.25">
      <c r="O99" s="59"/>
      <c r="P99" s="59"/>
      <c r="Q99" s="59"/>
      <c r="R99" s="59"/>
      <c r="S99" s="59"/>
      <c r="T99" s="59"/>
    </row>
    <row r="100" spans="15:30" ht="12" customHeight="1" x14ac:dyDescent="0.25"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</row>
    <row r="101" spans="15:30" ht="12" customHeight="1" x14ac:dyDescent="0.25">
      <c r="O101" s="60" t="s">
        <v>1636</v>
      </c>
      <c r="P101" s="60" t="s">
        <v>1641</v>
      </c>
      <c r="Q101" s="60" t="s">
        <v>1642</v>
      </c>
      <c r="R101" s="60" t="s">
        <v>1643</v>
      </c>
      <c r="S101" s="60" t="s">
        <v>1644</v>
      </c>
      <c r="T101" s="60" t="s">
        <v>1645</v>
      </c>
      <c r="U101" s="60" t="s">
        <v>1646</v>
      </c>
      <c r="V101" s="60" t="s">
        <v>1647</v>
      </c>
      <c r="W101" s="60"/>
      <c r="X101" s="60"/>
      <c r="Y101" s="60"/>
      <c r="Z101" s="60"/>
      <c r="AA101" s="60"/>
      <c r="AB101" s="60"/>
      <c r="AC101" s="60"/>
      <c r="AD101" s="60"/>
    </row>
    <row r="102" spans="15:30" ht="12" customHeight="1" x14ac:dyDescent="0.25">
      <c r="O102" s="60" t="s">
        <v>38</v>
      </c>
      <c r="P102" s="60" t="s">
        <v>23</v>
      </c>
      <c r="Q102" s="60" t="s">
        <v>44</v>
      </c>
      <c r="R102" s="60" t="s">
        <v>45</v>
      </c>
      <c r="S102" s="60" t="s">
        <v>25</v>
      </c>
      <c r="T102" s="60" t="s">
        <v>45</v>
      </c>
      <c r="U102" s="60">
        <v>4</v>
      </c>
      <c r="V102" s="60">
        <v>0.3</v>
      </c>
      <c r="W102" s="60">
        <v>0.24</v>
      </c>
      <c r="X102" s="60">
        <v>0.18</v>
      </c>
      <c r="Y102" s="60">
        <v>0.12</v>
      </c>
      <c r="Z102" s="60">
        <v>0.06</v>
      </c>
      <c r="AA102" s="60">
        <v>0</v>
      </c>
      <c r="AB102" s="60"/>
      <c r="AC102" s="60"/>
      <c r="AD102" s="60"/>
    </row>
    <row r="103" spans="15:30" ht="12" customHeight="1" x14ac:dyDescent="0.25"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</row>
    <row r="104" spans="15:30" ht="12" customHeight="1" x14ac:dyDescent="0.25"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</row>
    <row r="105" spans="15:30" ht="12" customHeight="1" x14ac:dyDescent="0.25"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</row>
    <row r="106" spans="15:30" ht="12" customHeight="1" x14ac:dyDescent="0.25"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</row>
    <row r="107" spans="15:30" ht="12" customHeight="1" x14ac:dyDescent="0.25"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</row>
    <row r="108" spans="15:30" ht="12" customHeight="1" x14ac:dyDescent="0.25"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</row>
    <row r="109" spans="15:30" ht="12" customHeight="1" x14ac:dyDescent="0.25"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</row>
    <row r="110" spans="15:30" ht="12" customHeight="1" x14ac:dyDescent="0.25"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</row>
    <row r="111" spans="15:30" ht="12" customHeight="1" x14ac:dyDescent="0.25"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</row>
    <row r="112" spans="15:30" ht="12" customHeight="1" x14ac:dyDescent="0.25"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</row>
    <row r="113" spans="15:30" ht="12" customHeight="1" x14ac:dyDescent="0.25"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</row>
    <row r="114" spans="15:30" ht="12" customHeight="1" x14ac:dyDescent="0.25"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</row>
    <row r="115" spans="15:30" ht="12" customHeight="1" x14ac:dyDescent="0.25"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</row>
    <row r="116" spans="15:30" ht="12" customHeight="1" x14ac:dyDescent="0.25"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</row>
    <row r="117" spans="15:30" ht="12" customHeight="1" x14ac:dyDescent="0.25"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</row>
    <row r="118" spans="15:30" ht="12" customHeight="1" x14ac:dyDescent="0.25"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</row>
    <row r="119" spans="15:30" ht="12" customHeight="1" x14ac:dyDescent="0.25"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</row>
    <row r="120" spans="15:30" ht="12" customHeight="1" x14ac:dyDescent="0.25"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</row>
    <row r="121" spans="15:30" ht="12" customHeight="1" x14ac:dyDescent="0.25"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</row>
    <row r="122" spans="15:30" ht="12" customHeight="1" x14ac:dyDescent="0.25"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</row>
    <row r="123" spans="15:30" ht="12" customHeight="1" x14ac:dyDescent="0.25"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</row>
    <row r="124" spans="15:30" ht="12" customHeight="1" x14ac:dyDescent="0.25"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</row>
    <row r="125" spans="15:30" ht="12" customHeight="1" x14ac:dyDescent="0.25"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</row>
    <row r="126" spans="15:30" ht="12" customHeight="1" x14ac:dyDescent="0.25"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</row>
    <row r="127" spans="15:30" ht="12" customHeight="1" x14ac:dyDescent="0.25"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</row>
    <row r="128" spans="15:30" ht="12" customHeight="1" x14ac:dyDescent="0.25"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</row>
    <row r="129" spans="15:30" ht="12" customHeight="1" x14ac:dyDescent="0.25"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</row>
    <row r="130" spans="15:30" ht="12" customHeight="1" x14ac:dyDescent="0.25"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</row>
    <row r="131" spans="15:30" ht="12" customHeight="1" x14ac:dyDescent="0.25"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</row>
    <row r="132" spans="15:30" ht="12" customHeight="1" x14ac:dyDescent="0.25"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</row>
    <row r="133" spans="15:30" ht="12" customHeight="1" x14ac:dyDescent="0.25"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</row>
    <row r="134" spans="15:30" ht="12" customHeight="1" x14ac:dyDescent="0.25"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</row>
    <row r="135" spans="15:30" ht="12" customHeight="1" x14ac:dyDescent="0.25"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</row>
    <row r="136" spans="15:30" ht="12" customHeight="1" x14ac:dyDescent="0.25"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</row>
    <row r="137" spans="15:30" ht="12" customHeight="1" x14ac:dyDescent="0.25"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</row>
    <row r="138" spans="15:30" ht="12" customHeight="1" x14ac:dyDescent="0.25"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</row>
    <row r="139" spans="15:30" ht="12" customHeight="1" x14ac:dyDescent="0.25"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</row>
    <row r="140" spans="15:30" ht="12" customHeight="1" x14ac:dyDescent="0.25"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</row>
    <row r="141" spans="15:30" ht="12" customHeight="1" x14ac:dyDescent="0.25"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</row>
    <row r="142" spans="15:30" ht="12" customHeight="1" x14ac:dyDescent="0.25"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</row>
    <row r="143" spans="15:30" ht="12" customHeight="1" x14ac:dyDescent="0.25"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</row>
    <row r="144" spans="15:30" ht="12" customHeight="1" x14ac:dyDescent="0.25"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</row>
    <row r="145" spans="15:30" ht="12" customHeight="1" x14ac:dyDescent="0.25"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</row>
    <row r="146" spans="15:30" ht="12" customHeight="1" x14ac:dyDescent="0.25"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</row>
    <row r="147" spans="15:30" ht="12" customHeight="1" x14ac:dyDescent="0.25"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</row>
    <row r="148" spans="15:30" ht="12" customHeight="1" x14ac:dyDescent="0.25"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</row>
    <row r="149" spans="15:30" ht="12" customHeight="1" x14ac:dyDescent="0.25"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</row>
    <row r="150" spans="15:30" ht="12" customHeight="1" x14ac:dyDescent="0.25"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</row>
    <row r="151" spans="15:30" ht="12" customHeight="1" x14ac:dyDescent="0.25"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</row>
    <row r="152" spans="15:30" ht="12" customHeight="1" x14ac:dyDescent="0.25"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</row>
    <row r="153" spans="15:30" ht="12" customHeight="1" x14ac:dyDescent="0.25"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</row>
    <row r="154" spans="15:30" ht="12" customHeight="1" x14ac:dyDescent="0.25"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</row>
    <row r="155" spans="15:30" ht="12" customHeight="1" x14ac:dyDescent="0.25"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</row>
    <row r="156" spans="15:30" ht="12" customHeight="1" x14ac:dyDescent="0.25"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</row>
    <row r="157" spans="15:30" ht="12" customHeight="1" x14ac:dyDescent="0.25"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</row>
    <row r="158" spans="15:30" ht="12" customHeight="1" x14ac:dyDescent="0.25"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</row>
    <row r="159" spans="15:30" ht="12" customHeight="1" x14ac:dyDescent="0.25"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</row>
    <row r="160" spans="15:30" ht="12" customHeight="1" x14ac:dyDescent="0.25"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</row>
    <row r="161" spans="15:30" ht="12" customHeight="1" x14ac:dyDescent="0.25"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</row>
    <row r="162" spans="15:30" ht="12" customHeight="1" x14ac:dyDescent="0.25"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</row>
    <row r="163" spans="15:30" ht="12" customHeight="1" x14ac:dyDescent="0.25"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</row>
    <row r="164" spans="15:30" ht="12" customHeight="1" x14ac:dyDescent="0.25"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</row>
    <row r="165" spans="15:30" ht="12" customHeight="1" x14ac:dyDescent="0.25"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</row>
    <row r="166" spans="15:30" ht="12" customHeight="1" x14ac:dyDescent="0.25"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</row>
    <row r="167" spans="15:30" ht="12" customHeight="1" x14ac:dyDescent="0.25"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</row>
    <row r="168" spans="15:30" ht="12" customHeight="1" x14ac:dyDescent="0.25"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</row>
    <row r="169" spans="15:30" ht="12" customHeight="1" x14ac:dyDescent="0.25"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</row>
    <row r="170" spans="15:30" ht="12" customHeight="1" x14ac:dyDescent="0.25"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</row>
    <row r="171" spans="15:30" ht="12" customHeight="1" x14ac:dyDescent="0.25"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</row>
    <row r="172" spans="15:30" ht="12" customHeight="1" x14ac:dyDescent="0.25"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</row>
    <row r="173" spans="15:30" ht="12" customHeight="1" x14ac:dyDescent="0.25"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</row>
    <row r="174" spans="15:30" ht="12" customHeight="1" x14ac:dyDescent="0.25"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</row>
    <row r="175" spans="15:30" ht="12" customHeight="1" x14ac:dyDescent="0.25"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</row>
    <row r="176" spans="15:30" ht="12" customHeight="1" x14ac:dyDescent="0.25"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</row>
    <row r="177" spans="15:30" ht="12" customHeight="1" x14ac:dyDescent="0.25"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</row>
    <row r="178" spans="15:30" ht="12" customHeight="1" x14ac:dyDescent="0.25"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</row>
    <row r="179" spans="15:30" ht="12" customHeight="1" x14ac:dyDescent="0.25"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</row>
    <row r="180" spans="15:30" ht="12" customHeight="1" x14ac:dyDescent="0.25"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</row>
    <row r="181" spans="15:30" ht="12" customHeight="1" x14ac:dyDescent="0.25"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</row>
    <row r="182" spans="15:30" ht="12" customHeight="1" x14ac:dyDescent="0.25"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</row>
    <row r="183" spans="15:30" ht="12" customHeight="1" x14ac:dyDescent="0.25"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</row>
    <row r="184" spans="15:30" ht="12" customHeight="1" x14ac:dyDescent="0.25"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</row>
    <row r="185" spans="15:30" ht="12" customHeight="1" x14ac:dyDescent="0.25"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</row>
    <row r="186" spans="15:30" ht="12" customHeight="1" x14ac:dyDescent="0.25"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</row>
    <row r="187" spans="15:30" ht="12" customHeight="1" x14ac:dyDescent="0.25"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</row>
    <row r="188" spans="15:30" ht="12" customHeight="1" x14ac:dyDescent="0.25"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</row>
    <row r="189" spans="15:30" ht="12" customHeight="1" x14ac:dyDescent="0.25"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</row>
    <row r="190" spans="15:30" ht="12" customHeight="1" x14ac:dyDescent="0.25"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</row>
    <row r="191" spans="15:30" ht="12" customHeight="1" x14ac:dyDescent="0.25"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</row>
    <row r="192" spans="15:30" ht="12" customHeight="1" x14ac:dyDescent="0.25"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</row>
    <row r="193" spans="15:30" ht="12" customHeight="1" x14ac:dyDescent="0.25"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</row>
    <row r="194" spans="15:30" ht="12" customHeight="1" x14ac:dyDescent="0.25"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</row>
    <row r="195" spans="15:30" ht="12" customHeight="1" x14ac:dyDescent="0.25"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</row>
    <row r="196" spans="15:30" ht="12" customHeight="1" x14ac:dyDescent="0.25"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</row>
    <row r="197" spans="15:30" ht="12" customHeight="1" x14ac:dyDescent="0.25"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</row>
    <row r="198" spans="15:30" ht="12" customHeight="1" x14ac:dyDescent="0.25"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</row>
    <row r="199" spans="15:30" ht="12" customHeight="1" x14ac:dyDescent="0.25"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</row>
    <row r="200" spans="15:30" ht="12" customHeight="1" x14ac:dyDescent="0.25"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</row>
  </sheetData>
  <mergeCells count="19">
    <mergeCell ref="B46:C46"/>
    <mergeCell ref="O1:U1"/>
    <mergeCell ref="A48:C48"/>
    <mergeCell ref="A49:C49"/>
    <mergeCell ref="L1:M1"/>
    <mergeCell ref="A2:A29"/>
    <mergeCell ref="B2:B10"/>
    <mergeCell ref="B11:B18"/>
    <mergeCell ref="B19:B20"/>
    <mergeCell ref="B21:B23"/>
    <mergeCell ref="B24:B28"/>
    <mergeCell ref="B29:C29"/>
    <mergeCell ref="A30:A46"/>
    <mergeCell ref="B30:B35"/>
    <mergeCell ref="A47:C47"/>
    <mergeCell ref="B36:B37"/>
    <mergeCell ref="B38:B41"/>
    <mergeCell ref="B42:B43"/>
    <mergeCell ref="B44:B45"/>
  </mergeCells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A281-3B47-41C7-A69E-EA242B142D37}">
  <dimension ref="A1:AP74"/>
  <sheetViews>
    <sheetView showGridLines="0" topLeftCell="D63" workbookViewId="0">
      <selection activeCell="K85" sqref="K85:P8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26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0" width="11.7109375" style="9" bestFit="1" customWidth="1"/>
    <col min="21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8" t="s">
        <v>107</v>
      </c>
      <c r="B1" s="118" t="s">
        <v>108</v>
      </c>
      <c r="C1" s="118" t="s">
        <v>109</v>
      </c>
      <c r="D1" s="118" t="s">
        <v>110</v>
      </c>
      <c r="E1" s="118" t="s">
        <v>111</v>
      </c>
      <c r="F1" s="118" t="s">
        <v>15</v>
      </c>
      <c r="G1" s="118" t="s">
        <v>113</v>
      </c>
      <c r="H1" s="118" t="s">
        <v>114</v>
      </c>
      <c r="I1" s="118" t="s">
        <v>1040</v>
      </c>
      <c r="J1" s="114"/>
      <c r="L1" s="117" t="s">
        <v>1041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P1" s="117" t="s">
        <v>1042</v>
      </c>
    </row>
    <row r="2" spans="1:42" ht="11.25" customHeight="1" x14ac:dyDescent="0.25">
      <c r="A2" s="118"/>
      <c r="B2" s="118"/>
      <c r="C2" s="118"/>
      <c r="D2" s="118"/>
      <c r="E2" s="118"/>
      <c r="F2" s="118"/>
      <c r="G2" s="118"/>
      <c r="H2" s="118"/>
      <c r="I2" s="118"/>
      <c r="J2" s="114"/>
      <c r="L2" s="117" t="s">
        <v>951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P2" s="119"/>
    </row>
    <row r="3" spans="1:42" ht="11.25" customHeigh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4"/>
      <c r="L3" s="117" t="s">
        <v>952</v>
      </c>
      <c r="M3" s="117"/>
      <c r="N3" s="117"/>
      <c r="O3" s="117"/>
      <c r="P3" s="117"/>
      <c r="Q3" s="117"/>
      <c r="R3" s="117"/>
      <c r="S3" s="117"/>
      <c r="T3" s="117"/>
      <c r="U3" s="117" t="s">
        <v>961</v>
      </c>
      <c r="V3" s="117"/>
      <c r="W3" s="117"/>
      <c r="X3" s="117"/>
      <c r="Y3" s="117"/>
      <c r="Z3" s="117"/>
      <c r="AA3" s="117"/>
      <c r="AB3" s="117"/>
      <c r="AC3" s="117" t="s">
        <v>969</v>
      </c>
      <c r="AD3" s="117"/>
      <c r="AE3" s="117" t="s">
        <v>971</v>
      </c>
      <c r="AF3" s="117"/>
      <c r="AG3" s="117"/>
      <c r="AH3" s="117" t="s">
        <v>974</v>
      </c>
      <c r="AI3" s="117"/>
      <c r="AJ3" s="117"/>
      <c r="AK3" s="117"/>
      <c r="AL3" s="117"/>
      <c r="AM3" s="117" t="s">
        <v>960</v>
      </c>
      <c r="AP3" s="119"/>
    </row>
    <row r="4" spans="1:42" ht="11.25" customHeigh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4"/>
      <c r="L4" s="53" t="s">
        <v>1036</v>
      </c>
      <c r="M4" s="53" t="s">
        <v>953</v>
      </c>
      <c r="N4" s="53" t="s">
        <v>954</v>
      </c>
      <c r="O4" s="53" t="s">
        <v>955</v>
      </c>
      <c r="P4" s="53" t="s">
        <v>956</v>
      </c>
      <c r="Q4" s="53" t="s">
        <v>957</v>
      </c>
      <c r="R4" s="53" t="s">
        <v>958</v>
      </c>
      <c r="S4" s="53" t="s">
        <v>959</v>
      </c>
      <c r="T4" s="53" t="s">
        <v>960</v>
      </c>
      <c r="U4" s="53" t="s">
        <v>962</v>
      </c>
      <c r="V4" s="53" t="s">
        <v>963</v>
      </c>
      <c r="W4" s="53" t="s">
        <v>964</v>
      </c>
      <c r="X4" s="53" t="s">
        <v>965</v>
      </c>
      <c r="Y4" s="53" t="s">
        <v>966</v>
      </c>
      <c r="Z4" s="53" t="s">
        <v>967</v>
      </c>
      <c r="AA4" s="53" t="s">
        <v>968</v>
      </c>
      <c r="AB4" s="53" t="s">
        <v>960</v>
      </c>
      <c r="AC4" s="53" t="s">
        <v>970</v>
      </c>
      <c r="AD4" s="53" t="s">
        <v>960</v>
      </c>
      <c r="AE4" s="53" t="s">
        <v>972</v>
      </c>
      <c r="AF4" s="53" t="s">
        <v>973</v>
      </c>
      <c r="AG4" s="53" t="s">
        <v>960</v>
      </c>
      <c r="AH4" s="53" t="s">
        <v>975</v>
      </c>
      <c r="AI4" s="53" t="s">
        <v>976</v>
      </c>
      <c r="AJ4" s="53" t="s">
        <v>977</v>
      </c>
      <c r="AK4" s="53" t="s">
        <v>978</v>
      </c>
      <c r="AL4" s="53" t="s">
        <v>960</v>
      </c>
      <c r="AM4" s="120"/>
      <c r="AP4" s="119"/>
    </row>
    <row r="5" spans="1:42" ht="11.25" customHeight="1" x14ac:dyDescent="0.25">
      <c r="A5" s="116" t="s">
        <v>59</v>
      </c>
      <c r="B5" s="116" t="s">
        <v>40</v>
      </c>
      <c r="C5" s="116" t="s">
        <v>25</v>
      </c>
      <c r="D5" s="116" t="s">
        <v>25</v>
      </c>
      <c r="E5" s="116" t="s">
        <v>25</v>
      </c>
      <c r="F5" s="116" t="s">
        <v>25</v>
      </c>
      <c r="G5" s="36" t="s">
        <v>121</v>
      </c>
      <c r="H5" s="36" t="s">
        <v>120</v>
      </c>
      <c r="I5" s="36">
        <f>'MERCADO TUSD'!$U$2</f>
        <v>103200</v>
      </c>
      <c r="J5" s="16"/>
      <c r="L5" s="33"/>
      <c r="M5" s="33"/>
      <c r="N5" s="33"/>
      <c r="O5" s="33"/>
      <c r="P5" s="33"/>
      <c r="Q5" s="33"/>
      <c r="R5" s="33"/>
      <c r="S5" s="33"/>
      <c r="T5" s="33"/>
      <c r="U5" s="33">
        <v>3.0461</v>
      </c>
      <c r="V5" s="33">
        <v>0.39329999999999998</v>
      </c>
      <c r="W5" s="33">
        <v>0</v>
      </c>
      <c r="X5" s="33">
        <v>0</v>
      </c>
      <c r="Y5" s="33">
        <v>9.7851999999999997</v>
      </c>
      <c r="Z5" s="33">
        <v>0</v>
      </c>
      <c r="AA5" s="33">
        <v>0</v>
      </c>
      <c r="AB5" s="33"/>
      <c r="AC5" s="33">
        <v>4.2309999999999999</v>
      </c>
      <c r="AD5" s="33"/>
      <c r="AE5" s="33"/>
      <c r="AF5" s="33"/>
      <c r="AG5" s="33"/>
      <c r="AH5" s="33"/>
      <c r="AI5" s="33"/>
      <c r="AJ5" s="33"/>
      <c r="AK5" s="33"/>
      <c r="AL5" s="33"/>
      <c r="AM5" s="33"/>
      <c r="AP5" s="33">
        <v>1</v>
      </c>
    </row>
    <row r="6" spans="1:42" ht="11.25" customHeight="1" x14ac:dyDescent="0.25">
      <c r="A6" s="116"/>
      <c r="B6" s="116"/>
      <c r="C6" s="116"/>
      <c r="D6" s="116"/>
      <c r="E6" s="116"/>
      <c r="F6" s="116"/>
      <c r="G6" s="36" t="s">
        <v>122</v>
      </c>
      <c r="H6" s="36" t="s">
        <v>120</v>
      </c>
      <c r="I6" s="36">
        <f>'MERCADO TUSD'!$U$3</f>
        <v>151200</v>
      </c>
      <c r="J6" s="16"/>
      <c r="L6" s="33"/>
      <c r="M6" s="33"/>
      <c r="N6" s="33"/>
      <c r="O6" s="33"/>
      <c r="P6" s="33"/>
      <c r="Q6" s="33"/>
      <c r="R6" s="33"/>
      <c r="S6" s="33"/>
      <c r="T6" s="33"/>
      <c r="U6" s="33">
        <v>0.89259999999999995</v>
      </c>
      <c r="V6" s="33">
        <v>0.1171</v>
      </c>
      <c r="W6" s="33">
        <v>0</v>
      </c>
      <c r="X6" s="33">
        <v>0</v>
      </c>
      <c r="Y6" s="33">
        <v>2.0072999999999999</v>
      </c>
      <c r="Z6" s="33">
        <v>0</v>
      </c>
      <c r="AA6" s="33">
        <v>0</v>
      </c>
      <c r="AB6" s="33"/>
      <c r="AC6" s="33">
        <v>4.2309999999999999</v>
      </c>
      <c r="AD6" s="33"/>
      <c r="AE6" s="33"/>
      <c r="AF6" s="33"/>
      <c r="AG6" s="33"/>
      <c r="AH6" s="33"/>
      <c r="AI6" s="33"/>
      <c r="AJ6" s="33"/>
      <c r="AK6" s="33"/>
      <c r="AL6" s="33"/>
      <c r="AM6" s="33"/>
      <c r="AP6" s="33">
        <v>1</v>
      </c>
    </row>
    <row r="7" spans="1:42" ht="11.25" customHeight="1" x14ac:dyDescent="0.25">
      <c r="A7" s="116"/>
      <c r="B7" s="116"/>
      <c r="C7" s="116"/>
      <c r="D7" s="116"/>
      <c r="E7" s="116"/>
      <c r="F7" s="116"/>
      <c r="G7" s="36" t="s">
        <v>123</v>
      </c>
      <c r="H7" s="36" t="s">
        <v>117</v>
      </c>
      <c r="I7" s="36">
        <f>'MERCADO TUSD'!$U$4</f>
        <v>30201.055</v>
      </c>
      <c r="J7" s="16"/>
      <c r="L7" s="33"/>
      <c r="M7" s="33"/>
      <c r="N7" s="33"/>
      <c r="O7" s="33"/>
      <c r="P7" s="33"/>
      <c r="Q7" s="33"/>
      <c r="R7" s="33"/>
      <c r="S7" s="33"/>
      <c r="T7" s="33"/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/>
      <c r="AC7" s="33">
        <v>0</v>
      </c>
      <c r="AD7" s="33"/>
      <c r="AE7" s="33"/>
      <c r="AF7" s="33"/>
      <c r="AG7" s="33"/>
      <c r="AH7" s="33"/>
      <c r="AI7" s="33"/>
      <c r="AJ7" s="33"/>
      <c r="AK7" s="33"/>
      <c r="AL7" s="33"/>
      <c r="AM7" s="33"/>
      <c r="AP7" s="33">
        <v>1</v>
      </c>
    </row>
    <row r="8" spans="1:42" ht="11.25" customHeight="1" x14ac:dyDescent="0.25">
      <c r="A8" s="116"/>
      <c r="B8" s="116"/>
      <c r="C8" s="116"/>
      <c r="D8" s="116"/>
      <c r="E8" s="52" t="s">
        <v>61</v>
      </c>
      <c r="F8" s="52" t="s">
        <v>25</v>
      </c>
      <c r="G8" s="36" t="s">
        <v>123</v>
      </c>
      <c r="H8" s="36" t="s">
        <v>117</v>
      </c>
      <c r="I8" s="36">
        <f>'MERCADO TUSD'!$U$5</f>
        <v>4666.2299999999996</v>
      </c>
      <c r="J8" s="16"/>
      <c r="L8" s="33"/>
      <c r="M8" s="33"/>
      <c r="N8" s="33"/>
      <c r="O8" s="33"/>
      <c r="P8" s="33"/>
      <c r="Q8" s="33"/>
      <c r="R8" s="33"/>
      <c r="S8" s="33"/>
      <c r="T8" s="33"/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/>
      <c r="AC8" s="33">
        <v>0</v>
      </c>
      <c r="AD8" s="33"/>
      <c r="AE8" s="33"/>
      <c r="AF8" s="33"/>
      <c r="AG8" s="33"/>
      <c r="AH8" s="33"/>
      <c r="AI8" s="33"/>
      <c r="AJ8" s="33"/>
      <c r="AK8" s="33"/>
      <c r="AL8" s="33"/>
      <c r="AM8" s="33"/>
      <c r="AP8" s="33">
        <v>1</v>
      </c>
    </row>
    <row r="9" spans="1:42" ht="11.25" customHeight="1" x14ac:dyDescent="0.25">
      <c r="A9" s="116"/>
      <c r="B9" s="116" t="s">
        <v>64</v>
      </c>
      <c r="C9" s="116" t="s">
        <v>25</v>
      </c>
      <c r="D9" s="116" t="s">
        <v>25</v>
      </c>
      <c r="E9" s="116" t="s">
        <v>25</v>
      </c>
      <c r="F9" s="52" t="s">
        <v>65</v>
      </c>
      <c r="G9" s="36" t="s">
        <v>9</v>
      </c>
      <c r="H9" s="36" t="s">
        <v>120</v>
      </c>
      <c r="I9" s="36">
        <f>'MERCADO TUSD'!$U$6</f>
        <v>19680</v>
      </c>
      <c r="J9" s="16"/>
      <c r="L9" s="33"/>
      <c r="M9" s="33"/>
      <c r="N9" s="33"/>
      <c r="O9" s="33"/>
      <c r="P9" s="33"/>
      <c r="Q9" s="33"/>
      <c r="R9" s="33"/>
      <c r="S9" s="33"/>
      <c r="T9" s="33"/>
      <c r="U9" s="33">
        <v>0</v>
      </c>
      <c r="V9" s="33">
        <v>1.7190000000000001</v>
      </c>
      <c r="W9" s="33">
        <v>0</v>
      </c>
      <c r="X9" s="33">
        <v>0</v>
      </c>
      <c r="Y9" s="33">
        <v>0</v>
      </c>
      <c r="Z9" s="33">
        <v>0</v>
      </c>
      <c r="AA9" s="33">
        <v>0.24579999999999999</v>
      </c>
      <c r="AB9" s="33"/>
      <c r="AC9" s="33">
        <v>2.9622000000000002</v>
      </c>
      <c r="AD9" s="33"/>
      <c r="AE9" s="33"/>
      <c r="AF9" s="33"/>
      <c r="AG9" s="33"/>
      <c r="AH9" s="33"/>
      <c r="AI9" s="33"/>
      <c r="AJ9" s="33"/>
      <c r="AK9" s="33"/>
      <c r="AL9" s="33"/>
      <c r="AM9" s="33"/>
      <c r="AP9" s="33"/>
    </row>
    <row r="10" spans="1:42" ht="11.25" customHeight="1" x14ac:dyDescent="0.25">
      <c r="A10" s="116"/>
      <c r="B10" s="116"/>
      <c r="C10" s="116"/>
      <c r="D10" s="116"/>
      <c r="E10" s="116"/>
      <c r="F10" s="52" t="s">
        <v>67</v>
      </c>
      <c r="G10" s="36" t="s">
        <v>9</v>
      </c>
      <c r="H10" s="36" t="s">
        <v>120</v>
      </c>
      <c r="I10" s="36">
        <f>'MERCADO TUSD'!$U$7</f>
        <v>474000</v>
      </c>
      <c r="J10" s="16"/>
      <c r="L10" s="33"/>
      <c r="M10" s="33"/>
      <c r="N10" s="33"/>
      <c r="O10" s="33"/>
      <c r="P10" s="33"/>
      <c r="Q10" s="33"/>
      <c r="R10" s="33"/>
      <c r="S10" s="33"/>
      <c r="T10" s="33"/>
      <c r="U10" s="33">
        <v>0</v>
      </c>
      <c r="V10" s="33">
        <v>1.3056000000000001</v>
      </c>
      <c r="W10" s="33">
        <v>0</v>
      </c>
      <c r="X10" s="33">
        <v>0</v>
      </c>
      <c r="Y10" s="33">
        <v>0</v>
      </c>
      <c r="Z10" s="33">
        <v>0</v>
      </c>
      <c r="AA10" s="33">
        <v>0.24579999999999999</v>
      </c>
      <c r="AB10" s="33"/>
      <c r="AC10" s="33">
        <v>2.2498999999999998</v>
      </c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P10" s="33"/>
    </row>
    <row r="11" spans="1:42" ht="11.25" customHeight="1" x14ac:dyDescent="0.25">
      <c r="A11" s="116"/>
      <c r="B11" s="116"/>
      <c r="C11" s="116"/>
      <c r="D11" s="116"/>
      <c r="E11" s="116"/>
      <c r="F11" s="52" t="s">
        <v>69</v>
      </c>
      <c r="G11" s="36" t="s">
        <v>9</v>
      </c>
      <c r="H11" s="36" t="s">
        <v>120</v>
      </c>
      <c r="I11" s="36">
        <f>'MERCADO TUSD'!$U$8</f>
        <v>264004</v>
      </c>
      <c r="J11" s="16"/>
      <c r="L11" s="33"/>
      <c r="M11" s="33"/>
      <c r="N11" s="33"/>
      <c r="O11" s="33"/>
      <c r="P11" s="33"/>
      <c r="Q11" s="33"/>
      <c r="R11" s="33"/>
      <c r="S11" s="33"/>
      <c r="T11" s="33"/>
      <c r="U11" s="33">
        <v>0</v>
      </c>
      <c r="V11" s="33">
        <v>1.9283999999999999</v>
      </c>
      <c r="W11" s="33">
        <v>0</v>
      </c>
      <c r="X11" s="33">
        <v>0</v>
      </c>
      <c r="Y11" s="33">
        <v>0</v>
      </c>
      <c r="Z11" s="33">
        <v>0</v>
      </c>
      <c r="AA11" s="33">
        <v>0.24579999999999999</v>
      </c>
      <c r="AB11" s="33"/>
      <c r="AC11" s="33">
        <v>3.3231000000000002</v>
      </c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P11" s="33"/>
    </row>
    <row r="12" spans="1:42" ht="11.25" customHeight="1" x14ac:dyDescent="0.25">
      <c r="A12" s="116"/>
      <c r="B12" s="116"/>
      <c r="C12" s="116"/>
      <c r="D12" s="116"/>
      <c r="E12" s="116"/>
      <c r="F12" s="52" t="s">
        <v>72</v>
      </c>
      <c r="G12" s="36" t="s">
        <v>9</v>
      </c>
      <c r="H12" s="36" t="s">
        <v>120</v>
      </c>
      <c r="I12" s="36">
        <f>'MERCADO TUSD'!$U$9</f>
        <v>198000</v>
      </c>
      <c r="J12" s="16"/>
      <c r="L12" s="33"/>
      <c r="M12" s="33"/>
      <c r="N12" s="33"/>
      <c r="O12" s="33"/>
      <c r="P12" s="33"/>
      <c r="Q12" s="33"/>
      <c r="R12" s="33"/>
      <c r="S12" s="33"/>
      <c r="T12" s="33"/>
      <c r="U12" s="33">
        <v>0</v>
      </c>
      <c r="V12" s="33">
        <v>1.8287</v>
      </c>
      <c r="W12" s="33">
        <v>0</v>
      </c>
      <c r="X12" s="33">
        <v>0</v>
      </c>
      <c r="Y12" s="33">
        <v>0</v>
      </c>
      <c r="Z12" s="33">
        <v>0</v>
      </c>
      <c r="AA12" s="33">
        <v>0.24579999999999999</v>
      </c>
      <c r="AB12" s="33"/>
      <c r="AC12" s="33">
        <v>3.1513</v>
      </c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P12" s="33"/>
    </row>
    <row r="13" spans="1:42" ht="11.25" customHeight="1" x14ac:dyDescent="0.25">
      <c r="A13" s="116"/>
      <c r="B13" s="116"/>
      <c r="C13" s="116"/>
      <c r="D13" s="116"/>
      <c r="E13" s="116"/>
      <c r="F13" s="52" t="s">
        <v>73</v>
      </c>
      <c r="G13" s="36" t="s">
        <v>9</v>
      </c>
      <c r="H13" s="36" t="s">
        <v>120</v>
      </c>
      <c r="I13" s="36">
        <f>'MERCADO TUSD'!$U$10</f>
        <v>63840</v>
      </c>
      <c r="J13" s="16"/>
      <c r="L13" s="33"/>
      <c r="M13" s="33"/>
      <c r="N13" s="33"/>
      <c r="O13" s="33"/>
      <c r="P13" s="33"/>
      <c r="Q13" s="33"/>
      <c r="R13" s="33"/>
      <c r="S13" s="33"/>
      <c r="T13" s="33"/>
      <c r="U13" s="33">
        <v>0</v>
      </c>
      <c r="V13" s="33">
        <v>1.7190000000000001</v>
      </c>
      <c r="W13" s="33">
        <v>0</v>
      </c>
      <c r="X13" s="33">
        <v>0</v>
      </c>
      <c r="Y13" s="33">
        <v>0</v>
      </c>
      <c r="Z13" s="33">
        <v>0</v>
      </c>
      <c r="AA13" s="33">
        <v>0.24579999999999999</v>
      </c>
      <c r="AB13" s="33"/>
      <c r="AC13" s="33">
        <v>2.9622000000000002</v>
      </c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P13" s="33"/>
    </row>
    <row r="14" spans="1:42" ht="11.25" customHeight="1" x14ac:dyDescent="0.25">
      <c r="A14" s="116"/>
      <c r="B14" s="116"/>
      <c r="C14" s="116"/>
      <c r="D14" s="116"/>
      <c r="E14" s="116"/>
      <c r="F14" s="52" t="s">
        <v>75</v>
      </c>
      <c r="G14" s="36" t="s">
        <v>9</v>
      </c>
      <c r="H14" s="36" t="s">
        <v>120</v>
      </c>
      <c r="I14" s="36">
        <f>'MERCADO TUSD'!$U$11</f>
        <v>513773</v>
      </c>
      <c r="J14" s="16"/>
      <c r="L14" s="33"/>
      <c r="M14" s="33"/>
      <c r="N14" s="33"/>
      <c r="O14" s="33"/>
      <c r="P14" s="33"/>
      <c r="Q14" s="33"/>
      <c r="R14" s="33"/>
      <c r="S14" s="33"/>
      <c r="T14" s="33"/>
      <c r="U14" s="33">
        <v>0</v>
      </c>
      <c r="V14" s="33">
        <v>1.7190000000000001</v>
      </c>
      <c r="W14" s="33">
        <v>0</v>
      </c>
      <c r="X14" s="33">
        <v>0</v>
      </c>
      <c r="Y14" s="33">
        <v>0</v>
      </c>
      <c r="Z14" s="33">
        <v>0</v>
      </c>
      <c r="AA14" s="33">
        <v>0.24579999999999999</v>
      </c>
      <c r="AB14" s="33"/>
      <c r="AC14" s="33">
        <v>2.9622000000000002</v>
      </c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P14" s="33"/>
    </row>
    <row r="15" spans="1:42" ht="11.25" customHeight="1" x14ac:dyDescent="0.25">
      <c r="A15" s="116"/>
      <c r="B15" s="116"/>
      <c r="C15" s="116"/>
      <c r="D15" s="116"/>
      <c r="E15" s="116"/>
      <c r="F15" s="52" t="s">
        <v>86</v>
      </c>
      <c r="G15" s="36" t="s">
        <v>9</v>
      </c>
      <c r="H15" s="36" t="s">
        <v>120</v>
      </c>
      <c r="I15" s="36">
        <f>'MERCADO TUSD'!$U$12</f>
        <v>292800</v>
      </c>
      <c r="J15" s="16"/>
      <c r="L15" s="33"/>
      <c r="M15" s="33"/>
      <c r="N15" s="33"/>
      <c r="O15" s="33"/>
      <c r="P15" s="33"/>
      <c r="Q15" s="33"/>
      <c r="R15" s="33"/>
      <c r="S15" s="33"/>
      <c r="T15" s="33"/>
      <c r="U15" s="33">
        <v>0</v>
      </c>
      <c r="V15" s="33">
        <v>1.5504</v>
      </c>
      <c r="W15" s="33">
        <v>0</v>
      </c>
      <c r="X15" s="33">
        <v>0</v>
      </c>
      <c r="Y15" s="33">
        <v>0</v>
      </c>
      <c r="Z15" s="33">
        <v>0</v>
      </c>
      <c r="AA15" s="33">
        <v>0.24579999999999999</v>
      </c>
      <c r="AB15" s="33"/>
      <c r="AC15" s="33">
        <v>2.6717</v>
      </c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P15" s="33"/>
    </row>
    <row r="16" spans="1:42" ht="11.25" customHeight="1" x14ac:dyDescent="0.25">
      <c r="A16" s="116"/>
      <c r="B16" s="116"/>
      <c r="C16" s="116"/>
      <c r="D16" s="116"/>
      <c r="E16" s="116"/>
      <c r="F16" s="52" t="s">
        <v>87</v>
      </c>
      <c r="G16" s="36" t="s">
        <v>9</v>
      </c>
      <c r="H16" s="36" t="s">
        <v>120</v>
      </c>
      <c r="I16" s="36">
        <f>'MERCADO TUSD'!$U$13</f>
        <v>300000</v>
      </c>
      <c r="J16" s="16"/>
      <c r="L16" s="33"/>
      <c r="M16" s="33"/>
      <c r="N16" s="33"/>
      <c r="O16" s="33"/>
      <c r="P16" s="33"/>
      <c r="Q16" s="33"/>
      <c r="R16" s="33"/>
      <c r="S16" s="33"/>
      <c r="T16" s="33"/>
      <c r="U16" s="33">
        <v>0</v>
      </c>
      <c r="V16" s="33">
        <v>1.8914</v>
      </c>
      <c r="W16" s="33">
        <v>0</v>
      </c>
      <c r="X16" s="33">
        <v>0</v>
      </c>
      <c r="Y16" s="33">
        <v>0</v>
      </c>
      <c r="Z16" s="33">
        <v>0</v>
      </c>
      <c r="AA16" s="33">
        <v>0.24579999999999999</v>
      </c>
      <c r="AB16" s="33"/>
      <c r="AC16" s="33">
        <v>3.2593999999999999</v>
      </c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P16" s="33"/>
    </row>
    <row r="17" spans="1:42" ht="11.25" customHeight="1" x14ac:dyDescent="0.25">
      <c r="A17" s="116"/>
      <c r="B17" s="116"/>
      <c r="C17" s="116"/>
      <c r="D17" s="116"/>
      <c r="E17" s="116"/>
      <c r="F17" s="52" t="s">
        <v>89</v>
      </c>
      <c r="G17" s="36" t="s">
        <v>9</v>
      </c>
      <c r="H17" s="36" t="s">
        <v>120</v>
      </c>
      <c r="I17" s="36">
        <f>'MERCADO TUSD'!$U$14</f>
        <v>151200</v>
      </c>
      <c r="J17" s="16"/>
      <c r="L17" s="33"/>
      <c r="M17" s="33"/>
      <c r="N17" s="33"/>
      <c r="O17" s="33"/>
      <c r="P17" s="33"/>
      <c r="Q17" s="33"/>
      <c r="R17" s="33"/>
      <c r="S17" s="33"/>
      <c r="T17" s="33"/>
      <c r="U17" s="33">
        <v>0</v>
      </c>
      <c r="V17" s="33">
        <v>1.8145</v>
      </c>
      <c r="W17" s="33">
        <v>0</v>
      </c>
      <c r="X17" s="33">
        <v>0</v>
      </c>
      <c r="Y17" s="33">
        <v>0</v>
      </c>
      <c r="Z17" s="33">
        <v>0</v>
      </c>
      <c r="AA17" s="33">
        <v>0.24579999999999999</v>
      </c>
      <c r="AB17" s="33"/>
      <c r="AC17" s="33">
        <v>3.1267</v>
      </c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P17" s="33"/>
    </row>
    <row r="18" spans="1:42" ht="11.25" customHeight="1" x14ac:dyDescent="0.25">
      <c r="A18" s="116"/>
      <c r="B18" s="116"/>
      <c r="C18" s="116"/>
      <c r="D18" s="116"/>
      <c r="E18" s="116"/>
      <c r="F18" s="52" t="s">
        <v>92</v>
      </c>
      <c r="G18" s="36" t="s">
        <v>9</v>
      </c>
      <c r="H18" s="36" t="s">
        <v>120</v>
      </c>
      <c r="I18" s="36">
        <f>'MERCADO TUSD'!$U$15</f>
        <v>97200</v>
      </c>
      <c r="J18" s="16"/>
      <c r="L18" s="33"/>
      <c r="M18" s="33"/>
      <c r="N18" s="33"/>
      <c r="O18" s="33"/>
      <c r="P18" s="33"/>
      <c r="Q18" s="33"/>
      <c r="R18" s="33"/>
      <c r="S18" s="33"/>
      <c r="T18" s="33"/>
      <c r="U18" s="33">
        <v>0</v>
      </c>
      <c r="V18" s="33">
        <v>1.6959</v>
      </c>
      <c r="W18" s="33">
        <v>0</v>
      </c>
      <c r="X18" s="33">
        <v>0</v>
      </c>
      <c r="Y18" s="33">
        <v>0</v>
      </c>
      <c r="Z18" s="33">
        <v>0</v>
      </c>
      <c r="AA18" s="33">
        <v>0.24579999999999999</v>
      </c>
      <c r="AB18" s="33"/>
      <c r="AC18" s="33">
        <v>2.9224000000000001</v>
      </c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P18" s="33"/>
    </row>
    <row r="19" spans="1:42" ht="11.25" customHeight="1" x14ac:dyDescent="0.25">
      <c r="A19" s="116"/>
      <c r="B19" s="116"/>
      <c r="C19" s="116"/>
      <c r="D19" s="116"/>
      <c r="E19" s="116"/>
      <c r="F19" s="52" t="s">
        <v>124</v>
      </c>
      <c r="G19" s="36" t="s">
        <v>9</v>
      </c>
      <c r="H19" s="36" t="s">
        <v>120</v>
      </c>
      <c r="I19" s="36">
        <f>'MERCADO TUSD'!$U$16</f>
        <v>0</v>
      </c>
      <c r="J19" s="16"/>
      <c r="L19" s="33"/>
      <c r="M19" s="33"/>
      <c r="N19" s="33"/>
      <c r="O19" s="33"/>
      <c r="P19" s="33"/>
      <c r="Q19" s="33"/>
      <c r="R19" s="33"/>
      <c r="S19" s="33"/>
      <c r="T19" s="33"/>
      <c r="U19" s="33">
        <v>0</v>
      </c>
      <c r="V19" s="33">
        <v>0.90210000000000001</v>
      </c>
      <c r="W19" s="33">
        <v>0.29409999999999997</v>
      </c>
      <c r="X19" s="33">
        <v>0</v>
      </c>
      <c r="Y19" s="33">
        <v>0</v>
      </c>
      <c r="Z19" s="33">
        <v>0</v>
      </c>
      <c r="AA19" s="33">
        <v>0</v>
      </c>
      <c r="AB19" s="33"/>
      <c r="AC19" s="33">
        <v>3.5579000000000001</v>
      </c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P19" s="33"/>
    </row>
    <row r="20" spans="1:42" ht="11.25" customHeight="1" x14ac:dyDescent="0.25">
      <c r="A20" s="116" t="s">
        <v>39</v>
      </c>
      <c r="B20" s="116" t="s">
        <v>40</v>
      </c>
      <c r="C20" s="116" t="s">
        <v>25</v>
      </c>
      <c r="D20" s="116" t="s">
        <v>25</v>
      </c>
      <c r="E20" s="116" t="s">
        <v>25</v>
      </c>
      <c r="F20" s="116" t="s">
        <v>25</v>
      </c>
      <c r="G20" s="36" t="s">
        <v>121</v>
      </c>
      <c r="H20" s="36" t="s">
        <v>120</v>
      </c>
      <c r="I20" s="36">
        <f>'MERCADO TUSD'!$U$17</f>
        <v>180459</v>
      </c>
      <c r="J20" s="16"/>
      <c r="L20" s="33"/>
      <c r="M20" s="33"/>
      <c r="N20" s="33"/>
      <c r="O20" s="33"/>
      <c r="P20" s="33"/>
      <c r="Q20" s="33"/>
      <c r="R20" s="33"/>
      <c r="S20" s="33"/>
      <c r="T20" s="33"/>
      <c r="U20" s="33">
        <v>2.9540999999999999</v>
      </c>
      <c r="V20" s="33">
        <v>0.38140000000000002</v>
      </c>
      <c r="W20" s="33">
        <v>0</v>
      </c>
      <c r="X20" s="33">
        <v>0</v>
      </c>
      <c r="Y20" s="33">
        <v>9.8765999999999998</v>
      </c>
      <c r="Z20" s="33">
        <v>0</v>
      </c>
      <c r="AA20" s="33">
        <v>0</v>
      </c>
      <c r="AB20" s="33"/>
      <c r="AC20" s="33">
        <v>12.1441</v>
      </c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P20" s="33">
        <v>1</v>
      </c>
    </row>
    <row r="21" spans="1:42" ht="11.25" customHeight="1" x14ac:dyDescent="0.25">
      <c r="A21" s="116"/>
      <c r="B21" s="116"/>
      <c r="C21" s="116"/>
      <c r="D21" s="116"/>
      <c r="E21" s="116"/>
      <c r="F21" s="116"/>
      <c r="G21" s="36" t="s">
        <v>122</v>
      </c>
      <c r="H21" s="36" t="s">
        <v>120</v>
      </c>
      <c r="I21" s="36">
        <f>'MERCADO TUSD'!$U$18</f>
        <v>183466</v>
      </c>
      <c r="J21" s="16"/>
      <c r="L21" s="33"/>
      <c r="M21" s="33"/>
      <c r="N21" s="33"/>
      <c r="O21" s="33"/>
      <c r="P21" s="33"/>
      <c r="Q21" s="33"/>
      <c r="R21" s="33"/>
      <c r="S21" s="33"/>
      <c r="T21" s="33"/>
      <c r="U21" s="33">
        <v>2.6490999999999998</v>
      </c>
      <c r="V21" s="33">
        <v>0.34760000000000002</v>
      </c>
      <c r="W21" s="33">
        <v>0</v>
      </c>
      <c r="X21" s="33">
        <v>0</v>
      </c>
      <c r="Y21" s="33">
        <v>6.1582999999999997</v>
      </c>
      <c r="Z21" s="33">
        <v>0</v>
      </c>
      <c r="AA21" s="33">
        <v>0</v>
      </c>
      <c r="AB21" s="33"/>
      <c r="AC21" s="33">
        <v>1.2143999999999999</v>
      </c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P21" s="33">
        <v>1</v>
      </c>
    </row>
    <row r="22" spans="1:42" ht="11.25" customHeight="1" x14ac:dyDescent="0.25">
      <c r="A22" s="116"/>
      <c r="B22" s="116"/>
      <c r="C22" s="116"/>
      <c r="D22" s="116"/>
      <c r="E22" s="116"/>
      <c r="F22" s="116"/>
      <c r="G22" s="36" t="s">
        <v>123</v>
      </c>
      <c r="H22" s="36" t="s">
        <v>117</v>
      </c>
      <c r="I22" s="36">
        <f>'MERCADO TUSD'!$U$19</f>
        <v>99874.462</v>
      </c>
      <c r="J22" s="16"/>
      <c r="L22" s="33"/>
      <c r="M22" s="33"/>
      <c r="N22" s="33"/>
      <c r="O22" s="33"/>
      <c r="P22" s="33"/>
      <c r="Q22" s="33"/>
      <c r="R22" s="33"/>
      <c r="S22" s="33"/>
      <c r="T22" s="33"/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/>
      <c r="AC22" s="33">
        <v>0</v>
      </c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P22" s="33">
        <v>1</v>
      </c>
    </row>
    <row r="23" spans="1:42" ht="11.25" customHeight="1" x14ac:dyDescent="0.25">
      <c r="A23" s="116"/>
      <c r="B23" s="116"/>
      <c r="C23" s="116"/>
      <c r="D23" s="116"/>
      <c r="E23" s="52" t="s">
        <v>61</v>
      </c>
      <c r="F23" s="52" t="s">
        <v>25</v>
      </c>
      <c r="G23" s="36" t="s">
        <v>123</v>
      </c>
      <c r="H23" s="36" t="s">
        <v>117</v>
      </c>
      <c r="I23" s="36">
        <f>'MERCADO TUSD'!$U$20</f>
        <v>0</v>
      </c>
      <c r="J23" s="16"/>
      <c r="L23" s="33"/>
      <c r="M23" s="33"/>
      <c r="N23" s="33"/>
      <c r="O23" s="33"/>
      <c r="P23" s="33"/>
      <c r="Q23" s="33"/>
      <c r="R23" s="33"/>
      <c r="S23" s="33"/>
      <c r="T23" s="33"/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/>
      <c r="AC23" s="33">
        <v>0</v>
      </c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P23" s="33">
        <v>1</v>
      </c>
    </row>
    <row r="24" spans="1:42" ht="11.25" customHeight="1" x14ac:dyDescent="0.25">
      <c r="A24" s="116"/>
      <c r="B24" s="52" t="s">
        <v>64</v>
      </c>
      <c r="C24" s="52" t="s">
        <v>25</v>
      </c>
      <c r="D24" s="52" t="s">
        <v>25</v>
      </c>
      <c r="E24" s="52" t="s">
        <v>25</v>
      </c>
      <c r="F24" s="52" t="s">
        <v>25</v>
      </c>
      <c r="G24" s="36" t="s">
        <v>9</v>
      </c>
      <c r="H24" s="36" t="s">
        <v>120</v>
      </c>
      <c r="I24" s="36">
        <f>'MERCADO TUSD'!$U$21</f>
        <v>866358</v>
      </c>
      <c r="J24" s="16"/>
      <c r="L24" s="33"/>
      <c r="M24" s="33"/>
      <c r="N24" s="33"/>
      <c r="O24" s="33"/>
      <c r="P24" s="33"/>
      <c r="Q24" s="33"/>
      <c r="R24" s="33"/>
      <c r="S24" s="33"/>
      <c r="T24" s="33"/>
      <c r="U24" s="33">
        <f>(1+CUSTOS!$M$4)*0</f>
        <v>0</v>
      </c>
      <c r="V24" s="33">
        <f>(1+CUSTOS!$M$4)*0</f>
        <v>0</v>
      </c>
      <c r="W24" s="33">
        <f>(1+CUSTOS!$M$4)*0</f>
        <v>0</v>
      </c>
      <c r="X24" s="33">
        <f>(1+CUSTOS!$M$4)*0</f>
        <v>0</v>
      </c>
      <c r="Y24" s="33">
        <f>(1+CUSTOS!$M$4)*11.8206380582879</f>
        <v>13.088210849474869</v>
      </c>
      <c r="Z24" s="33">
        <v>0</v>
      </c>
      <c r="AA24" s="33">
        <v>0</v>
      </c>
      <c r="AB24" s="33"/>
      <c r="AC24" s="33">
        <f>(1+CUSTOS!$M$4)*5.97176779751605</f>
        <v>6.6121435824856709</v>
      </c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P24" s="33"/>
    </row>
    <row r="25" spans="1:42" ht="11.25" customHeight="1" x14ac:dyDescent="0.25">
      <c r="A25" s="116" t="s">
        <v>41</v>
      </c>
      <c r="B25" s="116" t="s">
        <v>40</v>
      </c>
      <c r="C25" s="116" t="s">
        <v>25</v>
      </c>
      <c r="D25" s="116" t="s">
        <v>25</v>
      </c>
      <c r="E25" s="116" t="s">
        <v>25</v>
      </c>
      <c r="F25" s="116" t="s">
        <v>25</v>
      </c>
      <c r="G25" s="36" t="s">
        <v>121</v>
      </c>
      <c r="H25" s="36" t="s">
        <v>120</v>
      </c>
      <c r="I25" s="36">
        <f>'MERCADO TUSD'!$U$22</f>
        <v>269137</v>
      </c>
      <c r="J25" s="16"/>
      <c r="L25" s="33"/>
      <c r="M25" s="33"/>
      <c r="N25" s="33"/>
      <c r="O25" s="33"/>
      <c r="P25" s="33"/>
      <c r="Q25" s="33"/>
      <c r="R25" s="33"/>
      <c r="S25" s="33"/>
      <c r="T25" s="33"/>
      <c r="U25" s="33">
        <v>2.9651999999999998</v>
      </c>
      <c r="V25" s="33">
        <v>0.38279999999999997</v>
      </c>
      <c r="W25" s="33">
        <v>0</v>
      </c>
      <c r="X25" s="33">
        <v>0</v>
      </c>
      <c r="Y25" s="33">
        <v>10.030900000000001</v>
      </c>
      <c r="Z25" s="33">
        <v>0</v>
      </c>
      <c r="AA25" s="33">
        <v>0</v>
      </c>
      <c r="AB25" s="33"/>
      <c r="AC25" s="33">
        <v>54.1203</v>
      </c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P25" s="33">
        <v>1</v>
      </c>
    </row>
    <row r="26" spans="1:42" ht="11.25" customHeight="1" x14ac:dyDescent="0.25">
      <c r="A26" s="116"/>
      <c r="B26" s="116"/>
      <c r="C26" s="116"/>
      <c r="D26" s="116"/>
      <c r="E26" s="116"/>
      <c r="F26" s="116"/>
      <c r="G26" s="36" t="s">
        <v>122</v>
      </c>
      <c r="H26" s="36" t="s">
        <v>120</v>
      </c>
      <c r="I26" s="36">
        <f>'MERCADO TUSD'!$U$23</f>
        <v>306985</v>
      </c>
      <c r="J26" s="16"/>
      <c r="L26" s="33"/>
      <c r="M26" s="33"/>
      <c r="N26" s="33"/>
      <c r="O26" s="33"/>
      <c r="P26" s="33"/>
      <c r="Q26" s="33"/>
      <c r="R26" s="33"/>
      <c r="S26" s="33"/>
      <c r="T26" s="33"/>
      <c r="U26" s="33">
        <v>2.5049999999999999</v>
      </c>
      <c r="V26" s="33">
        <v>0.32869999999999999</v>
      </c>
      <c r="W26" s="33">
        <v>0</v>
      </c>
      <c r="X26" s="33">
        <v>0</v>
      </c>
      <c r="Y26" s="33">
        <v>5.8818000000000001</v>
      </c>
      <c r="Z26" s="33">
        <v>0</v>
      </c>
      <c r="AA26" s="33">
        <v>0</v>
      </c>
      <c r="AB26" s="33"/>
      <c r="AC26" s="33">
        <v>17.960100000000001</v>
      </c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P26" s="33">
        <v>1</v>
      </c>
    </row>
    <row r="27" spans="1:42" ht="11.25" customHeight="1" x14ac:dyDescent="0.25">
      <c r="A27" s="116"/>
      <c r="B27" s="116"/>
      <c r="C27" s="116"/>
      <c r="D27" s="116"/>
      <c r="E27" s="116"/>
      <c r="F27" s="116"/>
      <c r="G27" s="36" t="s">
        <v>123</v>
      </c>
      <c r="H27" s="36" t="s">
        <v>117</v>
      </c>
      <c r="I27" s="36">
        <f>'MERCADO TUSD'!$U$24</f>
        <v>121039.205</v>
      </c>
      <c r="J27" s="16"/>
      <c r="L27" s="33"/>
      <c r="M27" s="33"/>
      <c r="N27" s="33"/>
      <c r="O27" s="33"/>
      <c r="P27" s="33"/>
      <c r="Q27" s="33"/>
      <c r="R27" s="33"/>
      <c r="S27" s="33"/>
      <c r="T27" s="33"/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/>
      <c r="AC27" s="33">
        <v>0</v>
      </c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P27" s="33">
        <v>1</v>
      </c>
    </row>
    <row r="28" spans="1:42" ht="11.25" customHeight="1" x14ac:dyDescent="0.25">
      <c r="A28" s="116"/>
      <c r="B28" s="116"/>
      <c r="C28" s="116"/>
      <c r="D28" s="116"/>
      <c r="E28" s="52" t="s">
        <v>61</v>
      </c>
      <c r="F28" s="52" t="s">
        <v>25</v>
      </c>
      <c r="G28" s="36" t="s">
        <v>123</v>
      </c>
      <c r="H28" s="36" t="s">
        <v>117</v>
      </c>
      <c r="I28" s="36">
        <f>'MERCADO TUSD'!$U$25</f>
        <v>0</v>
      </c>
      <c r="J28" s="16"/>
      <c r="L28" s="33"/>
      <c r="M28" s="33"/>
      <c r="N28" s="33"/>
      <c r="O28" s="33"/>
      <c r="P28" s="33"/>
      <c r="Q28" s="33"/>
      <c r="R28" s="33"/>
      <c r="S28" s="33"/>
      <c r="T28" s="33"/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/>
      <c r="AC28" s="33">
        <v>0</v>
      </c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P28" s="33">
        <v>1</v>
      </c>
    </row>
    <row r="29" spans="1:42" ht="11.25" customHeight="1" x14ac:dyDescent="0.25">
      <c r="A29" s="116"/>
      <c r="B29" s="116" t="s">
        <v>81</v>
      </c>
      <c r="C29" s="116" t="s">
        <v>25</v>
      </c>
      <c r="D29" s="116" t="s">
        <v>25</v>
      </c>
      <c r="E29" s="116" t="s">
        <v>25</v>
      </c>
      <c r="F29" s="116" t="s">
        <v>82</v>
      </c>
      <c r="G29" s="36" t="s">
        <v>121</v>
      </c>
      <c r="H29" s="36" t="s">
        <v>120</v>
      </c>
      <c r="I29" s="36">
        <f>'MERCADO TUSD'!$U$26</f>
        <v>42000</v>
      </c>
      <c r="J29" s="16"/>
      <c r="L29" s="33"/>
      <c r="M29" s="33"/>
      <c r="N29" s="33"/>
      <c r="O29" s="33"/>
      <c r="P29" s="33"/>
      <c r="Q29" s="33"/>
      <c r="R29" s="33"/>
      <c r="S29" s="33"/>
      <c r="T29" s="33"/>
      <c r="U29" s="33">
        <v>2.9651999999999998</v>
      </c>
      <c r="V29" s="33">
        <v>0.38279999999999997</v>
      </c>
      <c r="W29" s="33">
        <v>0</v>
      </c>
      <c r="X29" s="33">
        <v>0</v>
      </c>
      <c r="Y29" s="33">
        <v>10.030900000000001</v>
      </c>
      <c r="Z29" s="33">
        <v>0</v>
      </c>
      <c r="AA29" s="33">
        <v>0</v>
      </c>
      <c r="AB29" s="33"/>
      <c r="AC29" s="33">
        <v>15.983499999999999</v>
      </c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P29" s="33">
        <v>1</v>
      </c>
    </row>
    <row r="30" spans="1:42" ht="11.25" customHeight="1" x14ac:dyDescent="0.25">
      <c r="A30" s="116"/>
      <c r="B30" s="116"/>
      <c r="C30" s="116"/>
      <c r="D30" s="116"/>
      <c r="E30" s="116"/>
      <c r="F30" s="116"/>
      <c r="G30" s="36" t="s">
        <v>122</v>
      </c>
      <c r="H30" s="36" t="s">
        <v>120</v>
      </c>
      <c r="I30" s="36">
        <f>'MERCADO TUSD'!$U$27</f>
        <v>42000</v>
      </c>
      <c r="J30" s="16"/>
      <c r="L30" s="33"/>
      <c r="M30" s="33"/>
      <c r="N30" s="33"/>
      <c r="O30" s="33"/>
      <c r="P30" s="33"/>
      <c r="Q30" s="33"/>
      <c r="R30" s="33"/>
      <c r="S30" s="33"/>
      <c r="T30" s="33"/>
      <c r="U30" s="33">
        <v>2.5049999999999999</v>
      </c>
      <c r="V30" s="33">
        <v>0.32869999999999999</v>
      </c>
      <c r="W30" s="33">
        <v>0</v>
      </c>
      <c r="X30" s="33">
        <v>0</v>
      </c>
      <c r="Y30" s="33">
        <v>5.8818000000000001</v>
      </c>
      <c r="Z30" s="33">
        <v>0</v>
      </c>
      <c r="AA30" s="33">
        <v>0</v>
      </c>
      <c r="AB30" s="33"/>
      <c r="AC30" s="33">
        <v>5.3041999999999998</v>
      </c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P30" s="33">
        <v>1</v>
      </c>
    </row>
    <row r="31" spans="1:42" ht="11.25" customHeight="1" x14ac:dyDescent="0.25">
      <c r="A31" s="116"/>
      <c r="B31" s="116"/>
      <c r="C31" s="116"/>
      <c r="D31" s="116"/>
      <c r="E31" s="116"/>
      <c r="F31" s="116"/>
      <c r="G31" s="36" t="s">
        <v>123</v>
      </c>
      <c r="H31" s="36" t="s">
        <v>117</v>
      </c>
      <c r="I31" s="36">
        <f>'MERCADO TUSD'!$U$28</f>
        <v>10288.219999999999</v>
      </c>
      <c r="J31" s="16"/>
      <c r="L31" s="33"/>
      <c r="M31" s="33"/>
      <c r="N31" s="33"/>
      <c r="O31" s="33"/>
      <c r="P31" s="33"/>
      <c r="Q31" s="33"/>
      <c r="R31" s="33"/>
      <c r="S31" s="33"/>
      <c r="T31" s="33"/>
      <c r="U31" s="33">
        <v>0</v>
      </c>
      <c r="V31" s="33">
        <v>0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/>
      <c r="AC31" s="33">
        <v>0</v>
      </c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P31" s="33">
        <v>1</v>
      </c>
    </row>
    <row r="32" spans="1:42" ht="11.25" customHeight="1" x14ac:dyDescent="0.25">
      <c r="A32" s="116"/>
      <c r="B32" s="52" t="s">
        <v>64</v>
      </c>
      <c r="C32" s="52" t="s">
        <v>25</v>
      </c>
      <c r="D32" s="52" t="s">
        <v>25</v>
      </c>
      <c r="E32" s="52" t="s">
        <v>25</v>
      </c>
      <c r="F32" s="52" t="s">
        <v>25</v>
      </c>
      <c r="G32" s="36" t="s">
        <v>9</v>
      </c>
      <c r="H32" s="36" t="s">
        <v>120</v>
      </c>
      <c r="I32" s="36">
        <f>'MERCADO TUSD'!$U$29</f>
        <v>481675</v>
      </c>
      <c r="J32" s="16"/>
      <c r="L32" s="33"/>
      <c r="M32" s="33"/>
      <c r="N32" s="33"/>
      <c r="O32" s="33"/>
      <c r="P32" s="33"/>
      <c r="Q32" s="33"/>
      <c r="R32" s="33"/>
      <c r="S32" s="33"/>
      <c r="T32" s="33"/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/>
      <c r="AC32" s="33">
        <v>15.2041</v>
      </c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P32" s="33"/>
    </row>
    <row r="33" spans="1:42" ht="11.25" customHeight="1" x14ac:dyDescent="0.25">
      <c r="A33" s="116"/>
      <c r="B33" s="116" t="s">
        <v>42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36" t="s">
        <v>9</v>
      </c>
      <c r="H33" s="36" t="s">
        <v>120</v>
      </c>
      <c r="I33" s="36">
        <f>'MERCADO TUSD'!$U$30</f>
        <v>1292343</v>
      </c>
      <c r="J33" s="16"/>
      <c r="L33" s="33"/>
      <c r="M33" s="33"/>
      <c r="N33" s="33"/>
      <c r="O33" s="33"/>
      <c r="P33" s="33"/>
      <c r="Q33" s="33"/>
      <c r="R33" s="33"/>
      <c r="S33" s="33"/>
      <c r="T33" s="33"/>
      <c r="U33" s="33">
        <v>2.5049999999999999</v>
      </c>
      <c r="V33" s="33">
        <v>0.32869999999999999</v>
      </c>
      <c r="W33" s="33">
        <v>0</v>
      </c>
      <c r="X33" s="33">
        <v>0</v>
      </c>
      <c r="Y33" s="33">
        <v>5.8818000000000001</v>
      </c>
      <c r="Z33" s="33">
        <v>0</v>
      </c>
      <c r="AA33" s="33">
        <v>0</v>
      </c>
      <c r="AB33" s="33"/>
      <c r="AC33" s="33">
        <v>17.960100000000001</v>
      </c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P33" s="33">
        <v>1</v>
      </c>
    </row>
    <row r="34" spans="1:42" ht="11.25" customHeight="1" x14ac:dyDescent="0.25">
      <c r="A34" s="116"/>
      <c r="B34" s="116"/>
      <c r="C34" s="116"/>
      <c r="D34" s="116"/>
      <c r="E34" s="116"/>
      <c r="F34" s="116"/>
      <c r="G34" s="36" t="s">
        <v>118</v>
      </c>
      <c r="H34" s="36" t="s">
        <v>117</v>
      </c>
      <c r="I34" s="36">
        <f>'MERCADO TUSD'!$U$31</f>
        <v>14035.833999999999</v>
      </c>
      <c r="J34" s="16"/>
      <c r="L34" s="33"/>
      <c r="M34" s="33"/>
      <c r="N34" s="33"/>
      <c r="O34" s="33"/>
      <c r="P34" s="33"/>
      <c r="Q34" s="33"/>
      <c r="R34" s="33"/>
      <c r="S34" s="33"/>
      <c r="T34" s="33"/>
      <c r="U34" s="33">
        <v>71.312700000000007</v>
      </c>
      <c r="V34" s="33">
        <v>9.2065000000000001</v>
      </c>
      <c r="W34" s="33">
        <v>0</v>
      </c>
      <c r="X34" s="33">
        <v>0</v>
      </c>
      <c r="Y34" s="33">
        <v>241.2432</v>
      </c>
      <c r="Z34" s="33">
        <v>0</v>
      </c>
      <c r="AA34" s="33">
        <v>0</v>
      </c>
      <c r="AB34" s="33"/>
      <c r="AC34" s="33">
        <v>1301.5934999999999</v>
      </c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P34" s="33">
        <v>1</v>
      </c>
    </row>
    <row r="35" spans="1:42" ht="11.25" customHeight="1" x14ac:dyDescent="0.25">
      <c r="A35" s="116"/>
      <c r="B35" s="116"/>
      <c r="C35" s="116"/>
      <c r="D35" s="116"/>
      <c r="E35" s="116"/>
      <c r="F35" s="116"/>
      <c r="G35" s="36" t="s">
        <v>119</v>
      </c>
      <c r="H35" s="36" t="s">
        <v>117</v>
      </c>
      <c r="I35" s="36">
        <f>'MERCADO TUSD'!$U$32</f>
        <v>241555.38800000004</v>
      </c>
      <c r="J35" s="16"/>
      <c r="L35" s="33"/>
      <c r="M35" s="33"/>
      <c r="N35" s="33"/>
      <c r="O35" s="33"/>
      <c r="P35" s="33"/>
      <c r="Q35" s="33"/>
      <c r="R35" s="33"/>
      <c r="S35" s="33"/>
      <c r="T35" s="33"/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/>
      <c r="AC35" s="33">
        <v>0</v>
      </c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P35" s="33">
        <v>1</v>
      </c>
    </row>
    <row r="36" spans="1:42" ht="11.25" customHeight="1" x14ac:dyDescent="0.25">
      <c r="A36" s="116"/>
      <c r="B36" s="116"/>
      <c r="C36" s="116"/>
      <c r="D36" s="116"/>
      <c r="E36" s="116" t="s">
        <v>61</v>
      </c>
      <c r="F36" s="116" t="s">
        <v>25</v>
      </c>
      <c r="G36" s="36" t="s">
        <v>118</v>
      </c>
      <c r="H36" s="36" t="s">
        <v>117</v>
      </c>
      <c r="I36" s="36">
        <f>'MERCADO TUSD'!$U$33</f>
        <v>0</v>
      </c>
      <c r="J36" s="16"/>
      <c r="L36" s="33"/>
      <c r="M36" s="33"/>
      <c r="N36" s="33"/>
      <c r="O36" s="33"/>
      <c r="P36" s="33"/>
      <c r="Q36" s="33"/>
      <c r="R36" s="33"/>
      <c r="S36" s="33"/>
      <c r="T36" s="33"/>
      <c r="U36" s="33">
        <v>71.312700000000007</v>
      </c>
      <c r="V36" s="33">
        <v>9.2065000000000001</v>
      </c>
      <c r="W36" s="33">
        <v>0</v>
      </c>
      <c r="X36" s="33">
        <v>0</v>
      </c>
      <c r="Y36" s="33">
        <v>241.2432</v>
      </c>
      <c r="Z36" s="33">
        <v>0</v>
      </c>
      <c r="AA36" s="33">
        <v>0</v>
      </c>
      <c r="AB36" s="33"/>
      <c r="AC36" s="33">
        <v>1301.5934999999999</v>
      </c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P36" s="33">
        <v>1</v>
      </c>
    </row>
    <row r="37" spans="1:42" ht="11.25" customHeight="1" x14ac:dyDescent="0.25">
      <c r="A37" s="116"/>
      <c r="B37" s="116"/>
      <c r="C37" s="116"/>
      <c r="D37" s="116"/>
      <c r="E37" s="116"/>
      <c r="F37" s="116"/>
      <c r="G37" s="36" t="s">
        <v>119</v>
      </c>
      <c r="H37" s="36" t="s">
        <v>117</v>
      </c>
      <c r="I37" s="36">
        <f>'MERCADO TUSD'!$U$34</f>
        <v>0</v>
      </c>
      <c r="J37" s="16"/>
      <c r="L37" s="33"/>
      <c r="M37" s="33"/>
      <c r="N37" s="33"/>
      <c r="O37" s="33"/>
      <c r="P37" s="33"/>
      <c r="Q37" s="33"/>
      <c r="R37" s="33"/>
      <c r="S37" s="33"/>
      <c r="T37" s="33"/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/>
      <c r="AC37" s="33">
        <v>0</v>
      </c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P37" s="33">
        <v>1</v>
      </c>
    </row>
    <row r="38" spans="1:42" ht="11.25" customHeight="1" x14ac:dyDescent="0.25">
      <c r="A38" s="116" t="s">
        <v>125</v>
      </c>
      <c r="B38" s="116" t="s">
        <v>64</v>
      </c>
      <c r="C38" s="116" t="s">
        <v>25</v>
      </c>
      <c r="D38" s="116" t="s">
        <v>25</v>
      </c>
      <c r="E38" s="52" t="s">
        <v>126</v>
      </c>
      <c r="F38" s="52" t="s">
        <v>25</v>
      </c>
      <c r="G38" s="36" t="s">
        <v>9</v>
      </c>
      <c r="H38" s="36" t="s">
        <v>120</v>
      </c>
      <c r="I38" s="36">
        <f>'MERCADO TUSD'!$U$35+0.00000001</f>
        <v>1E-8</v>
      </c>
      <c r="J38" s="16"/>
      <c r="L38" s="33"/>
      <c r="M38" s="33"/>
      <c r="N38" s="33"/>
      <c r="O38" s="33"/>
      <c r="P38" s="33"/>
      <c r="Q38" s="33"/>
      <c r="R38" s="33"/>
      <c r="S38" s="33"/>
      <c r="T38" s="33"/>
      <c r="U38" s="33">
        <v>0</v>
      </c>
      <c r="V38" s="33">
        <v>0</v>
      </c>
      <c r="W38" s="33">
        <v>0</v>
      </c>
      <c r="X38" s="33">
        <v>0</v>
      </c>
      <c r="Y38" s="33">
        <v>0</v>
      </c>
      <c r="Z38" s="33">
        <v>0</v>
      </c>
      <c r="AA38" s="33">
        <v>0</v>
      </c>
      <c r="AB38" s="33"/>
      <c r="AC38" s="33">
        <v>1.0415000000000001</v>
      </c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P38" s="33"/>
    </row>
    <row r="39" spans="1:42" ht="11.25" customHeight="1" x14ac:dyDescent="0.25">
      <c r="A39" s="116"/>
      <c r="B39" s="116"/>
      <c r="C39" s="116"/>
      <c r="D39" s="116"/>
      <c r="E39" s="52" t="s">
        <v>127</v>
      </c>
      <c r="F39" s="52" t="s">
        <v>25</v>
      </c>
      <c r="G39" s="36" t="s">
        <v>9</v>
      </c>
      <c r="H39" s="36" t="s">
        <v>120</v>
      </c>
      <c r="I39" s="36">
        <f>'MERCADO TUSD'!$U$36+0.00000001</f>
        <v>1E-8</v>
      </c>
      <c r="J39" s="16"/>
      <c r="L39" s="33"/>
      <c r="M39" s="33"/>
      <c r="N39" s="33"/>
      <c r="O39" s="33"/>
      <c r="P39" s="33"/>
      <c r="Q39" s="33"/>
      <c r="R39" s="33"/>
      <c r="S39" s="33"/>
      <c r="T39" s="33"/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/>
      <c r="AC39" s="33">
        <v>9.9433000000000007</v>
      </c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P39" s="33"/>
    </row>
    <row r="40" spans="1:42" ht="11.25" customHeight="1" x14ac:dyDescent="0.25">
      <c r="A40" s="116" t="s">
        <v>22</v>
      </c>
      <c r="B40" s="116" t="s">
        <v>33</v>
      </c>
      <c r="C40" s="116" t="s">
        <v>24</v>
      </c>
      <c r="D40" s="116" t="s">
        <v>24</v>
      </c>
      <c r="E40" s="116" t="s">
        <v>25</v>
      </c>
      <c r="F40" s="116" t="s">
        <v>25</v>
      </c>
      <c r="G40" s="36" t="s">
        <v>118</v>
      </c>
      <c r="H40" s="36" t="s">
        <v>117</v>
      </c>
      <c r="I40" s="36">
        <f>'MERCADO TUSD'!$U$37</f>
        <v>17.429000000000002</v>
      </c>
      <c r="J40" s="16"/>
      <c r="L40" s="33"/>
      <c r="M40" s="33"/>
      <c r="N40" s="33"/>
      <c r="O40" s="33"/>
      <c r="P40" s="33"/>
      <c r="Q40" s="33"/>
      <c r="R40" s="33"/>
      <c r="S40" s="33"/>
      <c r="T40" s="33"/>
      <c r="U40" s="33">
        <v>34.116300000000003</v>
      </c>
      <c r="V40" s="33">
        <v>4.4356</v>
      </c>
      <c r="W40" s="33">
        <v>0</v>
      </c>
      <c r="X40" s="33">
        <v>0</v>
      </c>
      <c r="Y40" s="33">
        <v>100.1022</v>
      </c>
      <c r="Z40" s="33">
        <v>0</v>
      </c>
      <c r="AA40" s="33">
        <v>0</v>
      </c>
      <c r="AB40" s="33"/>
      <c r="AC40" s="33">
        <v>469.59460000000001</v>
      </c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P40" s="33">
        <v>1</v>
      </c>
    </row>
    <row r="41" spans="1:42" ht="11.25" customHeight="1" x14ac:dyDescent="0.25">
      <c r="A41" s="116"/>
      <c r="B41" s="116"/>
      <c r="C41" s="116"/>
      <c r="D41" s="116"/>
      <c r="E41" s="116"/>
      <c r="F41" s="116"/>
      <c r="G41" s="36" t="s">
        <v>128</v>
      </c>
      <c r="H41" s="36" t="s">
        <v>117</v>
      </c>
      <c r="I41" s="36">
        <f>'MERCADO TUSD'!$U$38</f>
        <v>10.807000000000002</v>
      </c>
      <c r="J41" s="16"/>
      <c r="L41" s="33"/>
      <c r="M41" s="33"/>
      <c r="N41" s="33"/>
      <c r="O41" s="33"/>
      <c r="P41" s="33"/>
      <c r="Q41" s="33"/>
      <c r="R41" s="33"/>
      <c r="S41" s="33"/>
      <c r="T41" s="33"/>
      <c r="U41" s="33">
        <v>20.469799999999999</v>
      </c>
      <c r="V41" s="33">
        <v>2.6614</v>
      </c>
      <c r="W41" s="33">
        <v>0</v>
      </c>
      <c r="X41" s="33">
        <v>0</v>
      </c>
      <c r="Y41" s="33">
        <v>60.061300000000003</v>
      </c>
      <c r="Z41" s="33">
        <v>0</v>
      </c>
      <c r="AA41" s="33">
        <v>0</v>
      </c>
      <c r="AB41" s="33"/>
      <c r="AC41" s="33">
        <v>281.75670000000002</v>
      </c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P41" s="33">
        <v>1</v>
      </c>
    </row>
    <row r="42" spans="1:42" ht="11.25" customHeight="1" x14ac:dyDescent="0.25">
      <c r="A42" s="116"/>
      <c r="B42" s="116"/>
      <c r="C42" s="116"/>
      <c r="D42" s="116"/>
      <c r="E42" s="116"/>
      <c r="F42" s="116"/>
      <c r="G42" s="36" t="s">
        <v>119</v>
      </c>
      <c r="H42" s="36" t="s">
        <v>117</v>
      </c>
      <c r="I42" s="36">
        <f>'MERCADO TUSD'!$U$39</f>
        <v>120.55500000000001</v>
      </c>
      <c r="J42" s="16"/>
      <c r="L42" s="33"/>
      <c r="M42" s="33"/>
      <c r="N42" s="33"/>
      <c r="O42" s="33"/>
      <c r="P42" s="33"/>
      <c r="Q42" s="33"/>
      <c r="R42" s="33"/>
      <c r="S42" s="33"/>
      <c r="T42" s="33"/>
      <c r="U42" s="33">
        <v>6.8232999999999997</v>
      </c>
      <c r="V42" s="33">
        <v>0.8871</v>
      </c>
      <c r="W42" s="33">
        <v>0</v>
      </c>
      <c r="X42" s="33">
        <v>0</v>
      </c>
      <c r="Y42" s="33">
        <v>20.020399999999999</v>
      </c>
      <c r="Z42" s="33">
        <v>0</v>
      </c>
      <c r="AA42" s="33">
        <v>0</v>
      </c>
      <c r="AB42" s="33"/>
      <c r="AC42" s="33">
        <v>93.918899999999994</v>
      </c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P42" s="33">
        <v>1</v>
      </c>
    </row>
    <row r="43" spans="1:42" ht="11.25" customHeight="1" x14ac:dyDescent="0.25">
      <c r="A43" s="116"/>
      <c r="B43" s="116" t="s">
        <v>23</v>
      </c>
      <c r="C43" s="116" t="s">
        <v>24</v>
      </c>
      <c r="D43" s="52" t="s">
        <v>24</v>
      </c>
      <c r="E43" s="52" t="s">
        <v>25</v>
      </c>
      <c r="F43" s="52" t="s">
        <v>25</v>
      </c>
      <c r="G43" s="36" t="s">
        <v>123</v>
      </c>
      <c r="H43" s="36" t="s">
        <v>117</v>
      </c>
      <c r="I43" s="36">
        <f>'MERCADO TUSD'!$U$40</f>
        <v>426447.22100000002</v>
      </c>
      <c r="J43" s="16"/>
      <c r="L43" s="33"/>
      <c r="M43" s="33"/>
      <c r="N43" s="33"/>
      <c r="O43" s="33"/>
      <c r="P43" s="33"/>
      <c r="Q43" s="33"/>
      <c r="R43" s="33"/>
      <c r="S43" s="33"/>
      <c r="T43" s="33"/>
      <c r="U43" s="33">
        <v>12.8741</v>
      </c>
      <c r="V43" s="33">
        <v>1.6738</v>
      </c>
      <c r="W43" s="33">
        <v>0</v>
      </c>
      <c r="X43" s="33">
        <v>0</v>
      </c>
      <c r="Y43" s="33">
        <v>37.7744</v>
      </c>
      <c r="Z43" s="33">
        <v>0</v>
      </c>
      <c r="AA43" s="33">
        <v>0</v>
      </c>
      <c r="AB43" s="33"/>
      <c r="AC43" s="33">
        <v>177.2055</v>
      </c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P43" s="33">
        <v>1</v>
      </c>
    </row>
    <row r="44" spans="1:42" ht="11.25" customHeight="1" x14ac:dyDescent="0.25">
      <c r="A44" s="116"/>
      <c r="B44" s="116"/>
      <c r="C44" s="116"/>
      <c r="D44" s="52" t="s">
        <v>29</v>
      </c>
      <c r="E44" s="52" t="s">
        <v>25</v>
      </c>
      <c r="F44" s="52" t="s">
        <v>25</v>
      </c>
      <c r="G44" s="36" t="s">
        <v>123</v>
      </c>
      <c r="H44" s="36" t="s">
        <v>117</v>
      </c>
      <c r="I44" s="36">
        <f>'MERCADO TUSD'!$U$41</f>
        <v>31822.650999999998</v>
      </c>
      <c r="J44" s="16"/>
      <c r="L44" s="33"/>
      <c r="M44" s="33"/>
      <c r="N44" s="33"/>
      <c r="O44" s="33"/>
      <c r="P44" s="33"/>
      <c r="Q44" s="33"/>
      <c r="R44" s="33"/>
      <c r="S44" s="33"/>
      <c r="T44" s="33"/>
      <c r="U44" s="33">
        <f>(1 - CUSTOS!$M$24)*12.8741</f>
        <v>12.8741</v>
      </c>
      <c r="V44" s="33">
        <f>(1 - CUSTOS!$M$24)*1.6738</f>
        <v>1.6738</v>
      </c>
      <c r="W44" s="33">
        <v>0</v>
      </c>
      <c r="X44" s="33">
        <v>0</v>
      </c>
      <c r="Y44" s="33">
        <f>(1 - CUSTOS!$M$24)*37.7744</f>
        <v>37.7744</v>
      </c>
      <c r="Z44" s="33">
        <v>0</v>
      </c>
      <c r="AA44" s="33">
        <v>0</v>
      </c>
      <c r="AB44" s="33"/>
      <c r="AC44" s="33">
        <f>(1 - CUSTOS!$M$24)*177.2055</f>
        <v>177.2055</v>
      </c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P44" s="33">
        <f>IF((1 - CUSTOS!$M$24)&lt;&gt;0,1/(1 - CUSTOS!$M$24),1)</f>
        <v>1</v>
      </c>
    </row>
    <row r="45" spans="1:42" ht="11.25" customHeight="1" x14ac:dyDescent="0.25">
      <c r="A45" s="116"/>
      <c r="B45" s="116"/>
      <c r="C45" s="116"/>
      <c r="D45" s="52" t="s">
        <v>30</v>
      </c>
      <c r="E45" s="52" t="s">
        <v>25</v>
      </c>
      <c r="F45" s="52" t="s">
        <v>25</v>
      </c>
      <c r="G45" s="36" t="s">
        <v>123</v>
      </c>
      <c r="H45" s="36" t="s">
        <v>117</v>
      </c>
      <c r="I45" s="36">
        <f>'MERCADO TUSD'!$U$42</f>
        <v>61209.610999999997</v>
      </c>
      <c r="J45" s="16"/>
      <c r="L45" s="33"/>
      <c r="M45" s="33"/>
      <c r="N45" s="33"/>
      <c r="O45" s="33"/>
      <c r="P45" s="33"/>
      <c r="Q45" s="33"/>
      <c r="R45" s="33"/>
      <c r="S45" s="33"/>
      <c r="T45" s="33"/>
      <c r="U45" s="33">
        <f>(1 - CUSTOS!$M$25)*12.8741</f>
        <v>12.8741</v>
      </c>
      <c r="V45" s="33">
        <f>(1 - CUSTOS!$M$25)*1.6738</f>
        <v>1.6738</v>
      </c>
      <c r="W45" s="33">
        <v>0</v>
      </c>
      <c r="X45" s="33">
        <v>0</v>
      </c>
      <c r="Y45" s="33">
        <f>(1 - CUSTOS!$M$25)*37.7744</f>
        <v>37.7744</v>
      </c>
      <c r="Z45" s="33">
        <v>0</v>
      </c>
      <c r="AA45" s="33">
        <v>0</v>
      </c>
      <c r="AB45" s="33"/>
      <c r="AC45" s="33">
        <f>(1 - CUSTOS!$M$25)*177.2055</f>
        <v>177.2055</v>
      </c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P45" s="33">
        <f>IF((1 - CUSTOS!$M$25)&lt;&gt;0,1/(1 - CUSTOS!$M$25),1)</f>
        <v>1</v>
      </c>
    </row>
    <row r="46" spans="1:42" ht="11.25" customHeight="1" x14ac:dyDescent="0.25">
      <c r="A46" s="116"/>
      <c r="B46" s="116"/>
      <c r="C46" s="116"/>
      <c r="D46" s="52" t="s">
        <v>31</v>
      </c>
      <c r="E46" s="52" t="s">
        <v>25</v>
      </c>
      <c r="F46" s="52" t="s">
        <v>25</v>
      </c>
      <c r="G46" s="36" t="s">
        <v>123</v>
      </c>
      <c r="H46" s="36" t="s">
        <v>117</v>
      </c>
      <c r="I46" s="36">
        <f>'MERCADO TUSD'!$U$43</f>
        <v>39801.019999999997</v>
      </c>
      <c r="J46" s="16"/>
      <c r="L46" s="33"/>
      <c r="M46" s="33"/>
      <c r="N46" s="33"/>
      <c r="O46" s="33"/>
      <c r="P46" s="33"/>
      <c r="Q46" s="33"/>
      <c r="R46" s="33"/>
      <c r="S46" s="33"/>
      <c r="T46" s="33"/>
      <c r="U46" s="33">
        <f>(1 - CUSTOS!$M$26)*12.8741</f>
        <v>12.8741</v>
      </c>
      <c r="V46" s="33">
        <f>(1 - CUSTOS!$M$26)*1.6738</f>
        <v>1.6738</v>
      </c>
      <c r="W46" s="33">
        <v>0</v>
      </c>
      <c r="X46" s="33">
        <v>0</v>
      </c>
      <c r="Y46" s="33">
        <f>(1 - CUSTOS!$M$26)*37.7744</f>
        <v>37.7744</v>
      </c>
      <c r="Z46" s="33">
        <v>0</v>
      </c>
      <c r="AA46" s="33">
        <v>0</v>
      </c>
      <c r="AB46" s="33"/>
      <c r="AC46" s="33">
        <f>(1 - CUSTOS!$M$26)*177.2055</f>
        <v>177.2055</v>
      </c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P46" s="33">
        <f>IF((1 - CUSTOS!$M$26)&lt;&gt;0,1/(1 - CUSTOS!$M$26),1)</f>
        <v>1</v>
      </c>
    </row>
    <row r="47" spans="1:42" ht="11.25" customHeight="1" x14ac:dyDescent="0.25">
      <c r="A47" s="116"/>
      <c r="B47" s="116"/>
      <c r="C47" s="116"/>
      <c r="D47" s="52" t="s">
        <v>32</v>
      </c>
      <c r="E47" s="52" t="s">
        <v>25</v>
      </c>
      <c r="F47" s="52" t="s">
        <v>25</v>
      </c>
      <c r="G47" s="36" t="s">
        <v>123</v>
      </c>
      <c r="H47" s="36" t="s">
        <v>117</v>
      </c>
      <c r="I47" s="36">
        <f>'MERCADO TUSD'!$U$44</f>
        <v>7781.4139999999989</v>
      </c>
      <c r="J47" s="16"/>
      <c r="L47" s="33"/>
      <c r="M47" s="33"/>
      <c r="N47" s="33"/>
      <c r="O47" s="33"/>
      <c r="P47" s="33"/>
      <c r="Q47" s="33"/>
      <c r="R47" s="33"/>
      <c r="S47" s="33"/>
      <c r="T47" s="33"/>
      <c r="U47" s="33">
        <f>(1 - CUSTOS!$M$27)*12.8741</f>
        <v>12.8741</v>
      </c>
      <c r="V47" s="33">
        <f>(1 - CUSTOS!$M$27)*1.6738</f>
        <v>1.6738</v>
      </c>
      <c r="W47" s="33">
        <v>0</v>
      </c>
      <c r="X47" s="33">
        <v>0</v>
      </c>
      <c r="Y47" s="33">
        <f>(1 - CUSTOS!$M$27)*37.7744</f>
        <v>37.7744</v>
      </c>
      <c r="Z47" s="33">
        <v>0</v>
      </c>
      <c r="AA47" s="33">
        <v>0</v>
      </c>
      <c r="AB47" s="33"/>
      <c r="AC47" s="33">
        <f>(1 - CUSTOS!$M$27)*177.2055</f>
        <v>177.2055</v>
      </c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P47" s="33">
        <f>IF((1 - CUSTOS!$M$27)&lt;&gt;0,1/(1 - CUSTOS!$M$27),1)</f>
        <v>1</v>
      </c>
    </row>
    <row r="48" spans="1:42" ht="11.25" customHeight="1" x14ac:dyDescent="0.25">
      <c r="A48" s="116"/>
      <c r="B48" s="116" t="s">
        <v>131</v>
      </c>
      <c r="C48" s="116" t="s">
        <v>24</v>
      </c>
      <c r="D48" s="52" t="s">
        <v>24</v>
      </c>
      <c r="E48" s="52" t="s">
        <v>25</v>
      </c>
      <c r="F48" s="52" t="s">
        <v>25</v>
      </c>
      <c r="G48" s="36" t="s">
        <v>123</v>
      </c>
      <c r="H48" s="36" t="s">
        <v>117</v>
      </c>
      <c r="I48" s="36">
        <f>'MERCADO TUSD'!$U$45</f>
        <v>0</v>
      </c>
      <c r="J48" s="16"/>
      <c r="L48" s="33"/>
      <c r="M48" s="33"/>
      <c r="N48" s="33"/>
      <c r="O48" s="33"/>
      <c r="P48" s="33"/>
      <c r="Q48" s="33"/>
      <c r="R48" s="33"/>
      <c r="S48" s="33"/>
      <c r="T48" s="33"/>
      <c r="U48" s="33">
        <v>12.8741</v>
      </c>
      <c r="V48" s="33">
        <v>1.6738</v>
      </c>
      <c r="W48" s="33">
        <v>0</v>
      </c>
      <c r="X48" s="33">
        <v>0</v>
      </c>
      <c r="Y48" s="33">
        <v>37.7744</v>
      </c>
      <c r="Z48" s="33">
        <v>0</v>
      </c>
      <c r="AA48" s="33">
        <v>0</v>
      </c>
      <c r="AB48" s="33"/>
      <c r="AC48" s="33">
        <v>177.2055</v>
      </c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P48" s="33">
        <v>1</v>
      </c>
    </row>
    <row r="49" spans="1:42" ht="11.25" customHeight="1" x14ac:dyDescent="0.25">
      <c r="A49" s="116"/>
      <c r="B49" s="116"/>
      <c r="C49" s="116"/>
      <c r="D49" s="52" t="s">
        <v>29</v>
      </c>
      <c r="E49" s="52" t="s">
        <v>25</v>
      </c>
      <c r="F49" s="52" t="s">
        <v>25</v>
      </c>
      <c r="G49" s="36" t="s">
        <v>123</v>
      </c>
      <c r="H49" s="36" t="s">
        <v>117</v>
      </c>
      <c r="I49" s="36">
        <f>'MERCADO TUSD'!$U$46</f>
        <v>0</v>
      </c>
      <c r="J49" s="16"/>
      <c r="L49" s="33"/>
      <c r="M49" s="33"/>
      <c r="N49" s="33"/>
      <c r="O49" s="33"/>
      <c r="P49" s="33"/>
      <c r="Q49" s="33"/>
      <c r="R49" s="33"/>
      <c r="S49" s="33"/>
      <c r="T49" s="33"/>
      <c r="U49" s="33">
        <f>(1 - CUSTOS!$M$24)*12.8741</f>
        <v>12.8741</v>
      </c>
      <c r="V49" s="33">
        <f>(1 - CUSTOS!$M$24)*1.6738</f>
        <v>1.6738</v>
      </c>
      <c r="W49" s="33">
        <v>0</v>
      </c>
      <c r="X49" s="33">
        <v>0</v>
      </c>
      <c r="Y49" s="33">
        <f>(1 - CUSTOS!$M$24)*37.7744</f>
        <v>37.7744</v>
      </c>
      <c r="Z49" s="33">
        <v>0</v>
      </c>
      <c r="AA49" s="33">
        <v>0</v>
      </c>
      <c r="AB49" s="33"/>
      <c r="AC49" s="33">
        <f>(1 - CUSTOS!$M$24)*177.2055</f>
        <v>177.2055</v>
      </c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P49" s="33">
        <f>IF((1 - CUSTOS!$M$24)&lt;&gt;0,1/(1 - CUSTOS!$M$24),1)</f>
        <v>1</v>
      </c>
    </row>
    <row r="50" spans="1:42" ht="11.25" customHeight="1" x14ac:dyDescent="0.25">
      <c r="A50" s="116"/>
      <c r="B50" s="116"/>
      <c r="C50" s="116"/>
      <c r="D50" s="52" t="s">
        <v>30</v>
      </c>
      <c r="E50" s="52" t="s">
        <v>25</v>
      </c>
      <c r="F50" s="52" t="s">
        <v>25</v>
      </c>
      <c r="G50" s="36" t="s">
        <v>123</v>
      </c>
      <c r="H50" s="36" t="s">
        <v>117</v>
      </c>
      <c r="I50" s="36">
        <f>'MERCADO TUSD'!$U$47</f>
        <v>0</v>
      </c>
      <c r="J50" s="16"/>
      <c r="L50" s="33"/>
      <c r="M50" s="33"/>
      <c r="N50" s="33"/>
      <c r="O50" s="33"/>
      <c r="P50" s="33"/>
      <c r="Q50" s="33"/>
      <c r="R50" s="33"/>
      <c r="S50" s="33"/>
      <c r="T50" s="33"/>
      <c r="U50" s="33">
        <f>(1 - CUSTOS!$M$25)*12.8741</f>
        <v>12.8741</v>
      </c>
      <c r="V50" s="33">
        <f>(1 - CUSTOS!$M$25)*1.6738</f>
        <v>1.6738</v>
      </c>
      <c r="W50" s="33">
        <v>0</v>
      </c>
      <c r="X50" s="33">
        <v>0</v>
      </c>
      <c r="Y50" s="33">
        <f>(1 - CUSTOS!$M$25)*37.7744</f>
        <v>37.7744</v>
      </c>
      <c r="Z50" s="33">
        <v>0</v>
      </c>
      <c r="AA50" s="33">
        <v>0</v>
      </c>
      <c r="AB50" s="33"/>
      <c r="AC50" s="33">
        <f>(1 - CUSTOS!$M$25)*177.2055</f>
        <v>177.2055</v>
      </c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P50" s="33">
        <f>IF((1 - CUSTOS!$M$25)&lt;&gt;0,1/(1 - CUSTOS!$M$25),1)</f>
        <v>1</v>
      </c>
    </row>
    <row r="51" spans="1:42" ht="11.25" customHeight="1" x14ac:dyDescent="0.25">
      <c r="A51" s="116"/>
      <c r="B51" s="116"/>
      <c r="C51" s="116"/>
      <c r="D51" s="52" t="s">
        <v>31</v>
      </c>
      <c r="E51" s="52" t="s">
        <v>25</v>
      </c>
      <c r="F51" s="52" t="s">
        <v>25</v>
      </c>
      <c r="G51" s="36" t="s">
        <v>123</v>
      </c>
      <c r="H51" s="36" t="s">
        <v>117</v>
      </c>
      <c r="I51" s="36">
        <f>'MERCADO TUSD'!$U$48</f>
        <v>0</v>
      </c>
      <c r="J51" s="16"/>
      <c r="L51" s="33"/>
      <c r="M51" s="33"/>
      <c r="N51" s="33"/>
      <c r="O51" s="33"/>
      <c r="P51" s="33"/>
      <c r="Q51" s="33"/>
      <c r="R51" s="33"/>
      <c r="S51" s="33"/>
      <c r="T51" s="33"/>
      <c r="U51" s="33">
        <f>(1 - CUSTOS!$M$26)*12.8741</f>
        <v>12.8741</v>
      </c>
      <c r="V51" s="33">
        <f>(1 - CUSTOS!$M$26)*1.6738</f>
        <v>1.6738</v>
      </c>
      <c r="W51" s="33">
        <v>0</v>
      </c>
      <c r="X51" s="33">
        <v>0</v>
      </c>
      <c r="Y51" s="33">
        <f>(1 - CUSTOS!$M$26)*37.7744</f>
        <v>37.7744</v>
      </c>
      <c r="Z51" s="33">
        <v>0</v>
      </c>
      <c r="AA51" s="33">
        <v>0</v>
      </c>
      <c r="AB51" s="33"/>
      <c r="AC51" s="33">
        <f>(1 - CUSTOS!$M$26)*177.2055</f>
        <v>177.2055</v>
      </c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P51" s="33">
        <f>IF((1 - CUSTOS!$M$26)&lt;&gt;0,1/(1 - CUSTOS!$M$26),1)</f>
        <v>1</v>
      </c>
    </row>
    <row r="52" spans="1:42" ht="11.25" customHeight="1" x14ac:dyDescent="0.25">
      <c r="A52" s="116"/>
      <c r="B52" s="116"/>
      <c r="C52" s="116"/>
      <c r="D52" s="52" t="s">
        <v>32</v>
      </c>
      <c r="E52" s="52" t="s">
        <v>25</v>
      </c>
      <c r="F52" s="52" t="s">
        <v>25</v>
      </c>
      <c r="G52" s="36" t="s">
        <v>123</v>
      </c>
      <c r="H52" s="36" t="s">
        <v>117</v>
      </c>
      <c r="I52" s="36">
        <f>'MERCADO TUSD'!$U$49</f>
        <v>0</v>
      </c>
      <c r="J52" s="16"/>
      <c r="L52" s="33"/>
      <c r="M52" s="33"/>
      <c r="N52" s="33"/>
      <c r="O52" s="33"/>
      <c r="P52" s="33"/>
      <c r="Q52" s="33"/>
      <c r="R52" s="33"/>
      <c r="S52" s="33"/>
      <c r="T52" s="33"/>
      <c r="U52" s="33">
        <f>(1 - CUSTOS!$M$27)*12.8741</f>
        <v>12.8741</v>
      </c>
      <c r="V52" s="33">
        <f>(1 - CUSTOS!$M$27)*1.6738</f>
        <v>1.6738</v>
      </c>
      <c r="W52" s="33">
        <v>0</v>
      </c>
      <c r="X52" s="33">
        <v>0</v>
      </c>
      <c r="Y52" s="33">
        <f>(1 - CUSTOS!$M$27)*37.7744</f>
        <v>37.7744</v>
      </c>
      <c r="Z52" s="33">
        <v>0</v>
      </c>
      <c r="AA52" s="33">
        <v>0</v>
      </c>
      <c r="AB52" s="33"/>
      <c r="AC52" s="33">
        <f>(1 - CUSTOS!$M$27)*177.2055</f>
        <v>177.2055</v>
      </c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P52" s="33">
        <f>IF((1 - CUSTOS!$M$27)&lt;&gt;0,1/(1 - CUSTOS!$M$27),1)</f>
        <v>1</v>
      </c>
    </row>
    <row r="53" spans="1:42" ht="11.25" customHeight="1" x14ac:dyDescent="0.25">
      <c r="A53" s="116" t="s">
        <v>44</v>
      </c>
      <c r="B53" s="116" t="s">
        <v>33</v>
      </c>
      <c r="C53" s="116" t="s">
        <v>45</v>
      </c>
      <c r="D53" s="116" t="s">
        <v>25</v>
      </c>
      <c r="E53" s="116" t="s">
        <v>25</v>
      </c>
      <c r="F53" s="116" t="s">
        <v>25</v>
      </c>
      <c r="G53" s="36" t="s">
        <v>118</v>
      </c>
      <c r="H53" s="36" t="s">
        <v>117</v>
      </c>
      <c r="I53" s="36">
        <f>'MERCADO TUSD'!$U$50</f>
        <v>0.49600000000000005</v>
      </c>
      <c r="J53" s="16"/>
      <c r="L53" s="33"/>
      <c r="M53" s="33"/>
      <c r="N53" s="33"/>
      <c r="O53" s="33"/>
      <c r="P53" s="33"/>
      <c r="Q53" s="33"/>
      <c r="R53" s="33"/>
      <c r="S53" s="33"/>
      <c r="T53" s="33"/>
      <c r="U53" s="33">
        <f>(1 - CUSTOS!$M$28)*36.6911</f>
        <v>36.691099999999999</v>
      </c>
      <c r="V53" s="33">
        <f>(1 - CUSTOS!$M$28)*4.7704</f>
        <v>4.7704000000000004</v>
      </c>
      <c r="W53" s="33">
        <v>0</v>
      </c>
      <c r="X53" s="33">
        <v>0</v>
      </c>
      <c r="Y53" s="33">
        <f>(1 - CUSTOS!$M$28)*107.6571</f>
        <v>107.6571</v>
      </c>
      <c r="Z53" s="33">
        <v>0</v>
      </c>
      <c r="AA53" s="33">
        <v>0</v>
      </c>
      <c r="AB53" s="33"/>
      <c r="AC53" s="33">
        <f>(1 - CUSTOS!$M$28)*505.0357</f>
        <v>505.03570000000002</v>
      </c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P53" s="33">
        <f>IF((1 - CUSTOS!$M$28)&lt;&gt;0,1/(1 - CUSTOS!$M$28),1)</f>
        <v>1</v>
      </c>
    </row>
    <row r="54" spans="1:42" ht="11.25" customHeight="1" x14ac:dyDescent="0.25">
      <c r="A54" s="116"/>
      <c r="B54" s="116"/>
      <c r="C54" s="116"/>
      <c r="D54" s="116"/>
      <c r="E54" s="116"/>
      <c r="F54" s="116"/>
      <c r="G54" s="36" t="s">
        <v>128</v>
      </c>
      <c r="H54" s="36" t="s">
        <v>117</v>
      </c>
      <c r="I54" s="36">
        <f>'MERCADO TUSD'!$U$51</f>
        <v>0.27600000000000002</v>
      </c>
      <c r="J54" s="16"/>
      <c r="L54" s="33"/>
      <c r="M54" s="33"/>
      <c r="N54" s="33"/>
      <c r="O54" s="33"/>
      <c r="P54" s="33"/>
      <c r="Q54" s="33"/>
      <c r="R54" s="33"/>
      <c r="S54" s="33"/>
      <c r="T54" s="33"/>
      <c r="U54" s="33">
        <f>(1 - CUSTOS!$M$28)*22.0147</f>
        <v>22.014700000000001</v>
      </c>
      <c r="V54" s="33">
        <f>(1 - CUSTOS!$M$28)*2.8622</f>
        <v>2.8622000000000001</v>
      </c>
      <c r="W54" s="33">
        <v>0</v>
      </c>
      <c r="X54" s="33">
        <v>0</v>
      </c>
      <c r="Y54" s="33">
        <f>(1 - CUSTOS!$M$28)*64.5942</f>
        <v>64.594200000000001</v>
      </c>
      <c r="Z54" s="33">
        <v>0</v>
      </c>
      <c r="AA54" s="33">
        <v>0</v>
      </c>
      <c r="AB54" s="33"/>
      <c r="AC54" s="33">
        <f>(1 - CUSTOS!$M$28)*303.0214</f>
        <v>303.02140000000003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P54" s="33">
        <f>IF((1 - CUSTOS!$M$28)&lt;&gt;0,1/(1 - CUSTOS!$M$28),1)</f>
        <v>1</v>
      </c>
    </row>
    <row r="55" spans="1:42" ht="11.25" customHeight="1" x14ac:dyDescent="0.25">
      <c r="A55" s="116"/>
      <c r="B55" s="116"/>
      <c r="C55" s="116"/>
      <c r="D55" s="116"/>
      <c r="E55" s="116"/>
      <c r="F55" s="116"/>
      <c r="G55" s="36" t="s">
        <v>119</v>
      </c>
      <c r="H55" s="36" t="s">
        <v>117</v>
      </c>
      <c r="I55" s="36">
        <f>'MERCADO TUSD'!$U$52</f>
        <v>5.1340000000000003</v>
      </c>
      <c r="J55" s="16"/>
      <c r="L55" s="33"/>
      <c r="M55" s="33"/>
      <c r="N55" s="33"/>
      <c r="O55" s="33"/>
      <c r="P55" s="33"/>
      <c r="Q55" s="33"/>
      <c r="R55" s="33"/>
      <c r="S55" s="33"/>
      <c r="T55" s="33"/>
      <c r="U55" s="33">
        <f>(1 - CUSTOS!$M$28)*7.3382</f>
        <v>7.3381999999999996</v>
      </c>
      <c r="V55" s="33">
        <f>(1 - CUSTOS!$M$28)*0.9541</f>
        <v>0.95409999999999995</v>
      </c>
      <c r="W55" s="33">
        <v>0</v>
      </c>
      <c r="X55" s="33">
        <v>0</v>
      </c>
      <c r="Y55" s="33">
        <f>(1 - CUSTOS!$M$28)*21.5314</f>
        <v>21.531400000000001</v>
      </c>
      <c r="Z55" s="33">
        <v>0</v>
      </c>
      <c r="AA55" s="33">
        <v>0</v>
      </c>
      <c r="AB55" s="33"/>
      <c r="AC55" s="33">
        <f>(1 - CUSTOS!$M$28)*101.0071</f>
        <v>101.00709999999999</v>
      </c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P55" s="33">
        <f>IF((1 - CUSTOS!$M$28)&lt;&gt;0,1/(1 - CUSTOS!$M$28),1)</f>
        <v>1</v>
      </c>
    </row>
    <row r="56" spans="1:42" ht="11.25" customHeight="1" x14ac:dyDescent="0.25">
      <c r="A56" s="116"/>
      <c r="B56" s="52" t="s">
        <v>23</v>
      </c>
      <c r="C56" s="52" t="s">
        <v>45</v>
      </c>
      <c r="D56" s="52" t="s">
        <v>25</v>
      </c>
      <c r="E56" s="52" t="s">
        <v>25</v>
      </c>
      <c r="F56" s="52" t="s">
        <v>25</v>
      </c>
      <c r="G56" s="36" t="s">
        <v>123</v>
      </c>
      <c r="H56" s="36" t="s">
        <v>117</v>
      </c>
      <c r="I56" s="36">
        <f>'MERCADO TUSD'!$U$53</f>
        <v>160826.64799999999</v>
      </c>
      <c r="J56" s="16"/>
      <c r="L56" s="33"/>
      <c r="M56" s="33"/>
      <c r="N56" s="33"/>
      <c r="O56" s="33"/>
      <c r="P56" s="33"/>
      <c r="Q56" s="33"/>
      <c r="R56" s="33"/>
      <c r="S56" s="33"/>
      <c r="T56" s="33"/>
      <c r="U56" s="33">
        <f>(1 - CUSTOS!$M$28)*12.8741</f>
        <v>12.8741</v>
      </c>
      <c r="V56" s="33">
        <f>(1 - CUSTOS!$M$28)*1.6738</f>
        <v>1.6738</v>
      </c>
      <c r="W56" s="33">
        <v>0</v>
      </c>
      <c r="X56" s="33">
        <v>0</v>
      </c>
      <c r="Y56" s="33">
        <f>(1 - CUSTOS!$M$28)*37.7744</f>
        <v>37.7744</v>
      </c>
      <c r="Z56" s="33">
        <v>0</v>
      </c>
      <c r="AA56" s="33">
        <v>0</v>
      </c>
      <c r="AB56" s="33"/>
      <c r="AC56" s="33">
        <f>(1 - CUSTOS!$M$28)*177.2055</f>
        <v>177.2055</v>
      </c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P56" s="33">
        <f>IF((1 - CUSTOS!$M$28)&lt;&gt;0,1/(1 - CUSTOS!$M$28),1)</f>
        <v>1</v>
      </c>
    </row>
    <row r="57" spans="1:42" ht="11.25" customHeight="1" x14ac:dyDescent="0.25">
      <c r="A57" s="116"/>
      <c r="B57" s="116" t="s">
        <v>33</v>
      </c>
      <c r="C57" s="116" t="s">
        <v>45</v>
      </c>
      <c r="D57" s="116" t="s">
        <v>132</v>
      </c>
      <c r="E57" s="116" t="s">
        <v>25</v>
      </c>
      <c r="F57" s="116" t="s">
        <v>25</v>
      </c>
      <c r="G57" s="36" t="s">
        <v>118</v>
      </c>
      <c r="H57" s="36" t="s">
        <v>117</v>
      </c>
      <c r="I57" s="36">
        <f>'MERCADO TUSD'!$U$54</f>
        <v>0</v>
      </c>
      <c r="J57" s="16"/>
      <c r="L57" s="33"/>
      <c r="M57" s="33"/>
      <c r="N57" s="33"/>
      <c r="O57" s="33"/>
      <c r="P57" s="33"/>
      <c r="Q57" s="33"/>
      <c r="R57" s="33"/>
      <c r="S57" s="33"/>
      <c r="T57" s="33"/>
      <c r="U57" s="33">
        <f>(1 - CUSTOS!$M$29)*36.6911</f>
        <v>36.691099999999999</v>
      </c>
      <c r="V57" s="33">
        <f>(1 - CUSTOS!$M$29)*4.7704</f>
        <v>4.7704000000000004</v>
      </c>
      <c r="W57" s="33">
        <v>0</v>
      </c>
      <c r="X57" s="33">
        <v>0</v>
      </c>
      <c r="Y57" s="33">
        <f>(1 - CUSTOS!$M$29)*107.6571</f>
        <v>107.6571</v>
      </c>
      <c r="Z57" s="33">
        <v>0</v>
      </c>
      <c r="AA57" s="33">
        <v>0</v>
      </c>
      <c r="AB57" s="33"/>
      <c r="AC57" s="33">
        <f>(1 - CUSTOS!$M$29)*505.0357</f>
        <v>505.03570000000002</v>
      </c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P57" s="33">
        <f>IF((1 - CUSTOS!$M$29)&lt;&gt;0,1/(1 - CUSTOS!$M$29),1)</f>
        <v>1</v>
      </c>
    </row>
    <row r="58" spans="1:42" ht="11.25" customHeight="1" x14ac:dyDescent="0.25">
      <c r="A58" s="116"/>
      <c r="B58" s="116"/>
      <c r="C58" s="116"/>
      <c r="D58" s="116"/>
      <c r="E58" s="116"/>
      <c r="F58" s="116"/>
      <c r="G58" s="36" t="s">
        <v>128</v>
      </c>
      <c r="H58" s="36" t="s">
        <v>117</v>
      </c>
      <c r="I58" s="36">
        <f>'MERCADO TUSD'!$U$55</f>
        <v>0</v>
      </c>
      <c r="J58" s="16"/>
      <c r="L58" s="33"/>
      <c r="M58" s="33"/>
      <c r="N58" s="33"/>
      <c r="O58" s="33"/>
      <c r="P58" s="33"/>
      <c r="Q58" s="33"/>
      <c r="R58" s="33"/>
      <c r="S58" s="33"/>
      <c r="T58" s="33"/>
      <c r="U58" s="33">
        <f>(1 - CUSTOS!$M$29)*22.0147</f>
        <v>22.014700000000001</v>
      </c>
      <c r="V58" s="33">
        <f>(1 - CUSTOS!$M$29)*2.8622</f>
        <v>2.8622000000000001</v>
      </c>
      <c r="W58" s="33">
        <v>0</v>
      </c>
      <c r="X58" s="33">
        <v>0</v>
      </c>
      <c r="Y58" s="33">
        <f>(1 - CUSTOS!$M$29)*64.5942</f>
        <v>64.594200000000001</v>
      </c>
      <c r="Z58" s="33">
        <v>0</v>
      </c>
      <c r="AA58" s="33">
        <v>0</v>
      </c>
      <c r="AB58" s="33"/>
      <c r="AC58" s="33">
        <f>(1 - CUSTOS!$M$29)*303.0214</f>
        <v>303.02140000000003</v>
      </c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P58" s="33">
        <f>IF((1 - CUSTOS!$M$29)&lt;&gt;0,1/(1 - CUSTOS!$M$29),1)</f>
        <v>1</v>
      </c>
    </row>
    <row r="59" spans="1:42" ht="11.25" customHeight="1" x14ac:dyDescent="0.25">
      <c r="A59" s="116"/>
      <c r="B59" s="116"/>
      <c r="C59" s="116"/>
      <c r="D59" s="116"/>
      <c r="E59" s="116"/>
      <c r="F59" s="116"/>
      <c r="G59" s="36" t="s">
        <v>119</v>
      </c>
      <c r="H59" s="36" t="s">
        <v>117</v>
      </c>
      <c r="I59" s="36">
        <f>'MERCADO TUSD'!$U$56</f>
        <v>0</v>
      </c>
      <c r="J59" s="16"/>
      <c r="L59" s="33"/>
      <c r="M59" s="33"/>
      <c r="N59" s="33"/>
      <c r="O59" s="33"/>
      <c r="P59" s="33"/>
      <c r="Q59" s="33"/>
      <c r="R59" s="33"/>
      <c r="S59" s="33"/>
      <c r="T59" s="33"/>
      <c r="U59" s="33">
        <f>(1 - CUSTOS!$M$29)*7.3382</f>
        <v>7.3381999999999996</v>
      </c>
      <c r="V59" s="33">
        <f>(1 - CUSTOS!$M$29)*0.9541</f>
        <v>0.95409999999999995</v>
      </c>
      <c r="W59" s="33">
        <v>0</v>
      </c>
      <c r="X59" s="33">
        <v>0</v>
      </c>
      <c r="Y59" s="33">
        <f>(1 - CUSTOS!$M$29)*21.5314</f>
        <v>21.531400000000001</v>
      </c>
      <c r="Z59" s="33">
        <v>0</v>
      </c>
      <c r="AA59" s="33">
        <v>0</v>
      </c>
      <c r="AB59" s="33"/>
      <c r="AC59" s="33">
        <f>(1 - CUSTOS!$M$29)*101.0071</f>
        <v>101.00709999999999</v>
      </c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P59" s="33">
        <f>IF((1 - CUSTOS!$M$29)&lt;&gt;0,1/(1 - CUSTOS!$M$29),1)</f>
        <v>1</v>
      </c>
    </row>
    <row r="60" spans="1:42" ht="11.25" customHeight="1" x14ac:dyDescent="0.25">
      <c r="A60" s="116"/>
      <c r="B60" s="52" t="s">
        <v>23</v>
      </c>
      <c r="C60" s="52" t="s">
        <v>45</v>
      </c>
      <c r="D60" s="52" t="s">
        <v>132</v>
      </c>
      <c r="E60" s="52" t="s">
        <v>25</v>
      </c>
      <c r="F60" s="52" t="s">
        <v>25</v>
      </c>
      <c r="G60" s="36" t="s">
        <v>123</v>
      </c>
      <c r="H60" s="36" t="s">
        <v>117</v>
      </c>
      <c r="I60" s="36">
        <f>'MERCADO TUSD'!$U$57</f>
        <v>0</v>
      </c>
      <c r="J60" s="16"/>
      <c r="L60" s="33"/>
      <c r="M60" s="33"/>
      <c r="N60" s="33"/>
      <c r="O60" s="33"/>
      <c r="P60" s="33"/>
      <c r="Q60" s="33"/>
      <c r="R60" s="33"/>
      <c r="S60" s="33"/>
      <c r="T60" s="33"/>
      <c r="U60" s="33">
        <f>(1 - CUSTOS!$M$29)*12.8741</f>
        <v>12.8741</v>
      </c>
      <c r="V60" s="33">
        <f>(1 - CUSTOS!$M$29)*1.6738</f>
        <v>1.6738</v>
      </c>
      <c r="W60" s="33">
        <v>0</v>
      </c>
      <c r="X60" s="33">
        <v>0</v>
      </c>
      <c r="Y60" s="33">
        <f>(1 - CUSTOS!$M$29)*37.7744</f>
        <v>37.7744</v>
      </c>
      <c r="Z60" s="33">
        <v>0</v>
      </c>
      <c r="AA60" s="33">
        <v>0</v>
      </c>
      <c r="AB60" s="33"/>
      <c r="AC60" s="33">
        <f>(1 - CUSTOS!$M$29)*177.2055</f>
        <v>177.2055</v>
      </c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P60" s="33">
        <f>IF((1 - CUSTOS!$M$29)&lt;&gt;0,1/(1 - CUSTOS!$M$29),1)</f>
        <v>1</v>
      </c>
    </row>
    <row r="61" spans="1:42" ht="11.25" customHeight="1" x14ac:dyDescent="0.25">
      <c r="A61" s="116"/>
      <c r="B61" s="116" t="s">
        <v>33</v>
      </c>
      <c r="C61" s="116" t="s">
        <v>45</v>
      </c>
      <c r="D61" s="116" t="s">
        <v>133</v>
      </c>
      <c r="E61" s="116" t="s">
        <v>25</v>
      </c>
      <c r="F61" s="116" t="s">
        <v>25</v>
      </c>
      <c r="G61" s="36" t="s">
        <v>118</v>
      </c>
      <c r="H61" s="36" t="s">
        <v>117</v>
      </c>
      <c r="I61" s="36">
        <f>'MERCADO TUSD'!$U$58</f>
        <v>0</v>
      </c>
      <c r="J61" s="16"/>
      <c r="L61" s="33"/>
      <c r="M61" s="33"/>
      <c r="N61" s="33"/>
      <c r="O61" s="33"/>
      <c r="P61" s="33"/>
      <c r="Q61" s="33"/>
      <c r="R61" s="33"/>
      <c r="S61" s="33"/>
      <c r="T61" s="33"/>
      <c r="U61" s="33">
        <f>(1 - CUSTOS!$M$30)*36.6911</f>
        <v>36.691099999999999</v>
      </c>
      <c r="V61" s="33">
        <f>(1 - CUSTOS!$M$30)*4.7704</f>
        <v>4.7704000000000004</v>
      </c>
      <c r="W61" s="33">
        <v>0</v>
      </c>
      <c r="X61" s="33">
        <v>0</v>
      </c>
      <c r="Y61" s="33">
        <f>(1 - CUSTOS!$M$30)*107.6571</f>
        <v>107.6571</v>
      </c>
      <c r="Z61" s="33">
        <v>0</v>
      </c>
      <c r="AA61" s="33">
        <v>0</v>
      </c>
      <c r="AB61" s="33"/>
      <c r="AC61" s="33">
        <f>(1 - CUSTOS!$M$30)*505.0357</f>
        <v>505.03570000000002</v>
      </c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P61" s="33">
        <f>IF((1 - CUSTOS!$M$30)&lt;&gt;0,1/(1 - CUSTOS!$M$30),1)</f>
        <v>1</v>
      </c>
    </row>
    <row r="62" spans="1:42" ht="11.25" customHeight="1" x14ac:dyDescent="0.25">
      <c r="A62" s="116"/>
      <c r="B62" s="116"/>
      <c r="C62" s="116"/>
      <c r="D62" s="116"/>
      <c r="E62" s="116"/>
      <c r="F62" s="116"/>
      <c r="G62" s="36" t="s">
        <v>128</v>
      </c>
      <c r="H62" s="36" t="s">
        <v>117</v>
      </c>
      <c r="I62" s="36">
        <f>'MERCADO TUSD'!$U$59</f>
        <v>0</v>
      </c>
      <c r="J62" s="16"/>
      <c r="L62" s="33"/>
      <c r="M62" s="33"/>
      <c r="N62" s="33"/>
      <c r="O62" s="33"/>
      <c r="P62" s="33"/>
      <c r="Q62" s="33"/>
      <c r="R62" s="33"/>
      <c r="S62" s="33"/>
      <c r="T62" s="33"/>
      <c r="U62" s="33">
        <f>(1 - CUSTOS!$M$30)*22.0147</f>
        <v>22.014700000000001</v>
      </c>
      <c r="V62" s="33">
        <f>(1 - CUSTOS!$M$30)*2.8622</f>
        <v>2.8622000000000001</v>
      </c>
      <c r="W62" s="33">
        <v>0</v>
      </c>
      <c r="X62" s="33">
        <v>0</v>
      </c>
      <c r="Y62" s="33">
        <f>(1 - CUSTOS!$M$30)*64.5942</f>
        <v>64.594200000000001</v>
      </c>
      <c r="Z62" s="33">
        <v>0</v>
      </c>
      <c r="AA62" s="33">
        <v>0</v>
      </c>
      <c r="AB62" s="33"/>
      <c r="AC62" s="33">
        <f>(1 - CUSTOS!$M$30)*303.0214</f>
        <v>303.02140000000003</v>
      </c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P62" s="33">
        <f>IF((1 - CUSTOS!$M$30)&lt;&gt;0,1/(1 - CUSTOS!$M$30),1)</f>
        <v>1</v>
      </c>
    </row>
    <row r="63" spans="1:42" ht="11.25" customHeight="1" x14ac:dyDescent="0.25">
      <c r="A63" s="116"/>
      <c r="B63" s="116"/>
      <c r="C63" s="116"/>
      <c r="D63" s="116"/>
      <c r="E63" s="116"/>
      <c r="F63" s="116"/>
      <c r="G63" s="36" t="s">
        <v>119</v>
      </c>
      <c r="H63" s="36" t="s">
        <v>117</v>
      </c>
      <c r="I63" s="36">
        <f>'MERCADO TUSD'!$U$60</f>
        <v>0</v>
      </c>
      <c r="J63" s="16"/>
      <c r="L63" s="33"/>
      <c r="M63" s="33"/>
      <c r="N63" s="33"/>
      <c r="O63" s="33"/>
      <c r="P63" s="33"/>
      <c r="Q63" s="33"/>
      <c r="R63" s="33"/>
      <c r="S63" s="33"/>
      <c r="T63" s="33"/>
      <c r="U63" s="33">
        <f>(1 - CUSTOS!$M$30)*7.3382</f>
        <v>7.3381999999999996</v>
      </c>
      <c r="V63" s="33">
        <f>(1 - CUSTOS!$M$30)*0.9541</f>
        <v>0.95409999999999995</v>
      </c>
      <c r="W63" s="33">
        <v>0</v>
      </c>
      <c r="X63" s="33">
        <v>0</v>
      </c>
      <c r="Y63" s="33">
        <f>(1 - CUSTOS!$M$30)*21.5314</f>
        <v>21.531400000000001</v>
      </c>
      <c r="Z63" s="33">
        <v>0</v>
      </c>
      <c r="AA63" s="33">
        <v>0</v>
      </c>
      <c r="AB63" s="33"/>
      <c r="AC63" s="33">
        <f>(1 - CUSTOS!$M$30)*101.0071</f>
        <v>101.00709999999999</v>
      </c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P63" s="33">
        <f>IF((1 - CUSTOS!$M$30)&lt;&gt;0,1/(1 - CUSTOS!$M$30),1)</f>
        <v>1</v>
      </c>
    </row>
    <row r="64" spans="1:42" ht="11.25" customHeight="1" x14ac:dyDescent="0.25">
      <c r="A64" s="116"/>
      <c r="B64" s="52" t="s">
        <v>23</v>
      </c>
      <c r="C64" s="52" t="s">
        <v>45</v>
      </c>
      <c r="D64" s="52" t="s">
        <v>133</v>
      </c>
      <c r="E64" s="52" t="s">
        <v>25</v>
      </c>
      <c r="F64" s="52" t="s">
        <v>25</v>
      </c>
      <c r="G64" s="36" t="s">
        <v>123</v>
      </c>
      <c r="H64" s="36" t="s">
        <v>117</v>
      </c>
      <c r="I64" s="36">
        <f>'MERCADO TUSD'!$U$61</f>
        <v>0</v>
      </c>
      <c r="J64" s="16"/>
      <c r="L64" s="33"/>
      <c r="M64" s="33"/>
      <c r="N64" s="33"/>
      <c r="O64" s="33"/>
      <c r="P64" s="33"/>
      <c r="Q64" s="33"/>
      <c r="R64" s="33"/>
      <c r="S64" s="33"/>
      <c r="T64" s="33"/>
      <c r="U64" s="33">
        <f>(1 - CUSTOS!$M$30)*12.8741</f>
        <v>12.8741</v>
      </c>
      <c r="V64" s="33">
        <f>(1 - CUSTOS!$M$30)*1.6738</f>
        <v>1.6738</v>
      </c>
      <c r="W64" s="33">
        <v>0</v>
      </c>
      <c r="X64" s="33">
        <v>0</v>
      </c>
      <c r="Y64" s="33">
        <f>(1 - CUSTOS!$M$30)*37.7744</f>
        <v>37.7744</v>
      </c>
      <c r="Z64" s="33">
        <v>0</v>
      </c>
      <c r="AA64" s="33">
        <v>0</v>
      </c>
      <c r="AB64" s="33"/>
      <c r="AC64" s="33">
        <f>(1 - CUSTOS!$M$30)*177.2055</f>
        <v>177.2055</v>
      </c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P64" s="33">
        <f>IF((1 - CUSTOS!$M$30)&lt;&gt;0,1/(1 - CUSTOS!$M$30),1)</f>
        <v>1</v>
      </c>
    </row>
    <row r="65" spans="1:42" ht="11.25" customHeight="1" x14ac:dyDescent="0.25">
      <c r="A65" s="116"/>
      <c r="B65" s="116" t="s">
        <v>131</v>
      </c>
      <c r="C65" s="116" t="s">
        <v>45</v>
      </c>
      <c r="D65" s="52" t="s">
        <v>25</v>
      </c>
      <c r="E65" s="52" t="s">
        <v>25</v>
      </c>
      <c r="F65" s="52" t="s">
        <v>25</v>
      </c>
      <c r="G65" s="36" t="s">
        <v>123</v>
      </c>
      <c r="H65" s="36" t="s">
        <v>117</v>
      </c>
      <c r="I65" s="36">
        <f>'MERCADO TUSD'!$U$62</f>
        <v>0</v>
      </c>
      <c r="J65" s="16"/>
      <c r="L65" s="33"/>
      <c r="M65" s="33"/>
      <c r="N65" s="33"/>
      <c r="O65" s="33"/>
      <c r="P65" s="33"/>
      <c r="Q65" s="33"/>
      <c r="R65" s="33"/>
      <c r="S65" s="33"/>
      <c r="T65" s="33"/>
      <c r="U65" s="33">
        <f>(1 - CUSTOS!$M$28)*12.8741</f>
        <v>12.8741</v>
      </c>
      <c r="V65" s="33">
        <f>(1 - CUSTOS!$M$28)*1.6738</f>
        <v>1.6738</v>
      </c>
      <c r="W65" s="33">
        <v>0</v>
      </c>
      <c r="X65" s="33">
        <v>0</v>
      </c>
      <c r="Y65" s="33">
        <f>(1 - CUSTOS!$M$28)*37.7744</f>
        <v>37.7744</v>
      </c>
      <c r="Z65" s="33">
        <v>0</v>
      </c>
      <c r="AA65" s="33">
        <v>0</v>
      </c>
      <c r="AB65" s="33"/>
      <c r="AC65" s="33">
        <f>(1 - CUSTOS!$M$28)*177.2055</f>
        <v>177.2055</v>
      </c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P65" s="33">
        <f>IF((1 - CUSTOS!$M$28)&lt;&gt;0,1/(1 - CUSTOS!$M$28),1)</f>
        <v>1</v>
      </c>
    </row>
    <row r="66" spans="1:42" ht="11.25" customHeight="1" x14ac:dyDescent="0.25">
      <c r="A66" s="116"/>
      <c r="B66" s="116"/>
      <c r="C66" s="116"/>
      <c r="D66" s="52" t="s">
        <v>132</v>
      </c>
      <c r="E66" s="52" t="s">
        <v>25</v>
      </c>
      <c r="F66" s="52" t="s">
        <v>25</v>
      </c>
      <c r="G66" s="36" t="s">
        <v>123</v>
      </c>
      <c r="H66" s="36" t="s">
        <v>117</v>
      </c>
      <c r="I66" s="36">
        <f>'MERCADO TUSD'!$U$63</f>
        <v>0</v>
      </c>
      <c r="J66" s="16"/>
      <c r="L66" s="33"/>
      <c r="M66" s="33"/>
      <c r="N66" s="33"/>
      <c r="O66" s="33"/>
      <c r="P66" s="33"/>
      <c r="Q66" s="33"/>
      <c r="R66" s="33"/>
      <c r="S66" s="33"/>
      <c r="T66" s="33"/>
      <c r="U66" s="33">
        <f>(1 - CUSTOS!$M$29)*12.8741</f>
        <v>12.8741</v>
      </c>
      <c r="V66" s="33">
        <f>(1 - CUSTOS!$M$29)*1.6738</f>
        <v>1.6738</v>
      </c>
      <c r="W66" s="33">
        <v>0</v>
      </c>
      <c r="X66" s="33">
        <v>0</v>
      </c>
      <c r="Y66" s="33">
        <f>(1 - CUSTOS!$M$29)*37.7744</f>
        <v>37.7744</v>
      </c>
      <c r="Z66" s="33">
        <v>0</v>
      </c>
      <c r="AA66" s="33">
        <v>0</v>
      </c>
      <c r="AB66" s="33"/>
      <c r="AC66" s="33">
        <f>(1 - CUSTOS!$M$29)*177.2055</f>
        <v>177.2055</v>
      </c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P66" s="33">
        <f>IF((1 - CUSTOS!$M$29)&lt;&gt;0,1/(1 - CUSTOS!$M$29),1)</f>
        <v>1</v>
      </c>
    </row>
    <row r="67" spans="1:42" ht="11.25" customHeight="1" x14ac:dyDescent="0.25">
      <c r="A67" s="116"/>
      <c r="B67" s="116"/>
      <c r="C67" s="116"/>
      <c r="D67" s="52" t="s">
        <v>133</v>
      </c>
      <c r="E67" s="52" t="s">
        <v>25</v>
      </c>
      <c r="F67" s="52" t="s">
        <v>25</v>
      </c>
      <c r="G67" s="36" t="s">
        <v>123</v>
      </c>
      <c r="H67" s="36" t="s">
        <v>117</v>
      </c>
      <c r="I67" s="36">
        <f>'MERCADO TUSD'!$U$64</f>
        <v>0</v>
      </c>
      <c r="J67" s="16"/>
      <c r="L67" s="33"/>
      <c r="M67" s="33"/>
      <c r="N67" s="33"/>
      <c r="O67" s="33"/>
      <c r="P67" s="33"/>
      <c r="Q67" s="33"/>
      <c r="R67" s="33"/>
      <c r="S67" s="33"/>
      <c r="T67" s="33"/>
      <c r="U67" s="33">
        <f>(1 - CUSTOS!$M$30)*12.8741</f>
        <v>12.8741</v>
      </c>
      <c r="V67" s="33">
        <f>(1 - CUSTOS!$M$30)*1.6738</f>
        <v>1.6738</v>
      </c>
      <c r="W67" s="33">
        <v>0</v>
      </c>
      <c r="X67" s="33">
        <v>0</v>
      </c>
      <c r="Y67" s="33">
        <f>(1 - CUSTOS!$M$30)*37.7744</f>
        <v>37.7744</v>
      </c>
      <c r="Z67" s="33">
        <v>0</v>
      </c>
      <c r="AA67" s="33">
        <v>0</v>
      </c>
      <c r="AB67" s="33"/>
      <c r="AC67" s="33">
        <f>(1 - CUSTOS!$M$30)*177.2055</f>
        <v>177.2055</v>
      </c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P67" s="33">
        <f>IF((1 - CUSTOS!$M$30)&lt;&gt;0,1/(1 - CUSTOS!$M$30),1)</f>
        <v>1</v>
      </c>
    </row>
    <row r="68" spans="1:42" ht="11.25" customHeight="1" x14ac:dyDescent="0.25">
      <c r="A68" s="116" t="s">
        <v>37</v>
      </c>
      <c r="B68" s="116" t="s">
        <v>33</v>
      </c>
      <c r="C68" s="116" t="s">
        <v>25</v>
      </c>
      <c r="D68" s="116" t="s">
        <v>25</v>
      </c>
      <c r="E68" s="116" t="s">
        <v>25</v>
      </c>
      <c r="F68" s="116" t="s">
        <v>25</v>
      </c>
      <c r="G68" s="36" t="s">
        <v>118</v>
      </c>
      <c r="H68" s="36" t="s">
        <v>117</v>
      </c>
      <c r="I68" s="36">
        <f>'MERCADO TUSD'!$U$65</f>
        <v>31.868999999999996</v>
      </c>
      <c r="J68" s="16"/>
      <c r="L68" s="33"/>
      <c r="M68" s="33"/>
      <c r="N68" s="33"/>
      <c r="O68" s="33"/>
      <c r="P68" s="33"/>
      <c r="Q68" s="33"/>
      <c r="R68" s="33"/>
      <c r="S68" s="33"/>
      <c r="T68" s="33"/>
      <c r="U68" s="33">
        <f>(1 - CUSTOS!$M$31)*43.7718</f>
        <v>43.771799999999999</v>
      </c>
      <c r="V68" s="33">
        <f>(1 - CUSTOS!$M$31)*5.691</f>
        <v>5.6909999999999998</v>
      </c>
      <c r="W68" s="33">
        <v>0</v>
      </c>
      <c r="X68" s="33">
        <v>0</v>
      </c>
      <c r="Y68" s="33">
        <f>(1 - CUSTOS!$M$31)*128.433</f>
        <v>128.43299999999999</v>
      </c>
      <c r="Z68" s="33">
        <v>0</v>
      </c>
      <c r="AA68" s="33">
        <v>0</v>
      </c>
      <c r="AB68" s="33"/>
      <c r="AC68" s="33">
        <f>(1 - CUSTOS!$M$31)*602.4987</f>
        <v>602.49869999999999</v>
      </c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P68" s="33">
        <f>IF((1 - CUSTOS!$M$31)&lt;&gt;0,1/(1 - CUSTOS!$M$31),1)</f>
        <v>1</v>
      </c>
    </row>
    <row r="69" spans="1:42" ht="11.25" customHeight="1" x14ac:dyDescent="0.25">
      <c r="A69" s="116"/>
      <c r="B69" s="116"/>
      <c r="C69" s="116"/>
      <c r="D69" s="116"/>
      <c r="E69" s="116"/>
      <c r="F69" s="116"/>
      <c r="G69" s="36" t="s">
        <v>128</v>
      </c>
      <c r="H69" s="36" t="s">
        <v>117</v>
      </c>
      <c r="I69" s="36">
        <f>'MERCADO TUSD'!$U$66</f>
        <v>31.273999999999997</v>
      </c>
      <c r="J69" s="16"/>
      <c r="L69" s="33"/>
      <c r="M69" s="33"/>
      <c r="N69" s="33"/>
      <c r="O69" s="33"/>
      <c r="P69" s="33"/>
      <c r="Q69" s="33"/>
      <c r="R69" s="33"/>
      <c r="S69" s="33"/>
      <c r="T69" s="33"/>
      <c r="U69" s="33">
        <f>(1 - CUSTOS!$M$31)*26.2631</f>
        <v>26.263100000000001</v>
      </c>
      <c r="V69" s="33">
        <f>(1 - CUSTOS!$M$31)*3.4146</f>
        <v>3.4146000000000001</v>
      </c>
      <c r="W69" s="33">
        <v>0</v>
      </c>
      <c r="X69" s="33">
        <v>0</v>
      </c>
      <c r="Y69" s="33">
        <f>(1 - CUSTOS!$M$31)*77.0598</f>
        <v>77.059799999999996</v>
      </c>
      <c r="Z69" s="33">
        <v>0</v>
      </c>
      <c r="AA69" s="33">
        <v>0</v>
      </c>
      <c r="AB69" s="33"/>
      <c r="AC69" s="33">
        <f>(1 - CUSTOS!$M$31)*361.4992</f>
        <v>361.49919999999997</v>
      </c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P69" s="33">
        <f>IF((1 - CUSTOS!$M$31)&lt;&gt;0,1/(1 - CUSTOS!$M$31),1)</f>
        <v>1</v>
      </c>
    </row>
    <row r="70" spans="1:42" ht="11.25" customHeight="1" x14ac:dyDescent="0.25">
      <c r="A70" s="116"/>
      <c r="B70" s="116"/>
      <c r="C70" s="116"/>
      <c r="D70" s="116"/>
      <c r="E70" s="116"/>
      <c r="F70" s="116"/>
      <c r="G70" s="36" t="s">
        <v>119</v>
      </c>
      <c r="H70" s="36" t="s">
        <v>117</v>
      </c>
      <c r="I70" s="36">
        <f>'MERCADO TUSD'!$U$67</f>
        <v>381.83600000000001</v>
      </c>
      <c r="J70" s="16"/>
      <c r="L70" s="33"/>
      <c r="M70" s="33"/>
      <c r="N70" s="33"/>
      <c r="O70" s="33"/>
      <c r="P70" s="33"/>
      <c r="Q70" s="33"/>
      <c r="R70" s="33"/>
      <c r="S70" s="33"/>
      <c r="T70" s="33"/>
      <c r="U70" s="33">
        <f>(1 - CUSTOS!$M$31)*8.7544</f>
        <v>8.7544000000000004</v>
      </c>
      <c r="V70" s="33">
        <f>(1 - CUSTOS!$M$31)*1.1382</f>
        <v>1.1382000000000001</v>
      </c>
      <c r="W70" s="33">
        <v>0</v>
      </c>
      <c r="X70" s="33">
        <v>0</v>
      </c>
      <c r="Y70" s="33">
        <f>(1 - CUSTOS!$M$31)*25.6866</f>
        <v>25.686599999999999</v>
      </c>
      <c r="Z70" s="33">
        <v>0</v>
      </c>
      <c r="AA70" s="33">
        <v>0</v>
      </c>
      <c r="AB70" s="33"/>
      <c r="AC70" s="33">
        <f>(1 - CUSTOS!$M$31)*120.4997</f>
        <v>120.4997</v>
      </c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P70" s="33">
        <f>IF((1 - CUSTOS!$M$31)&lt;&gt;0,1/(1 - CUSTOS!$M$31),1)</f>
        <v>1</v>
      </c>
    </row>
    <row r="71" spans="1:42" ht="11.25" customHeight="1" x14ac:dyDescent="0.25">
      <c r="A71" s="116"/>
      <c r="B71" s="52" t="s">
        <v>23</v>
      </c>
      <c r="C71" s="52" t="s">
        <v>25</v>
      </c>
      <c r="D71" s="52" t="s">
        <v>25</v>
      </c>
      <c r="E71" s="52" t="s">
        <v>25</v>
      </c>
      <c r="F71" s="52" t="s">
        <v>25</v>
      </c>
      <c r="G71" s="36" t="s">
        <v>123</v>
      </c>
      <c r="H71" s="36" t="s">
        <v>117</v>
      </c>
      <c r="I71" s="36">
        <f>'MERCADO TUSD'!$U$68</f>
        <v>226492.11000000002</v>
      </c>
      <c r="J71" s="16"/>
      <c r="L71" s="33"/>
      <c r="M71" s="33"/>
      <c r="N71" s="33"/>
      <c r="O71" s="33"/>
      <c r="P71" s="33"/>
      <c r="Q71" s="33"/>
      <c r="R71" s="33"/>
      <c r="S71" s="33"/>
      <c r="T71" s="33"/>
      <c r="U71" s="33">
        <f>(1 - CUSTOS!$M$31)*12.8741</f>
        <v>12.8741</v>
      </c>
      <c r="V71" s="33">
        <f>(1 - CUSTOS!$M$31)*1.6738</f>
        <v>1.6738</v>
      </c>
      <c r="W71" s="33">
        <v>0</v>
      </c>
      <c r="X71" s="33">
        <v>0</v>
      </c>
      <c r="Y71" s="33">
        <f>(1 - CUSTOS!$M$31)*37.7744</f>
        <v>37.7744</v>
      </c>
      <c r="Z71" s="33">
        <v>0</v>
      </c>
      <c r="AA71" s="33">
        <v>0</v>
      </c>
      <c r="AB71" s="33"/>
      <c r="AC71" s="33">
        <f>(1 - CUSTOS!$M$31)*177.2055</f>
        <v>177.2055</v>
      </c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P71" s="33">
        <f>IF((1 - CUSTOS!$M$31)&lt;&gt;0,1/(1 - CUSTOS!$M$31),1)</f>
        <v>1</v>
      </c>
    </row>
    <row r="72" spans="1:42" ht="11.25" customHeight="1" x14ac:dyDescent="0.25">
      <c r="A72" s="116"/>
      <c r="B72" s="52" t="s">
        <v>131</v>
      </c>
      <c r="C72" s="52" t="s">
        <v>25</v>
      </c>
      <c r="D72" s="52" t="s">
        <v>25</v>
      </c>
      <c r="E72" s="52" t="s">
        <v>25</v>
      </c>
      <c r="F72" s="52" t="s">
        <v>25</v>
      </c>
      <c r="G72" s="36" t="s">
        <v>123</v>
      </c>
      <c r="H72" s="36" t="s">
        <v>117</v>
      </c>
      <c r="I72" s="36">
        <f>'MERCADO TUSD'!$U$69</f>
        <v>0</v>
      </c>
      <c r="J72" s="16"/>
      <c r="L72" s="33"/>
      <c r="M72" s="33"/>
      <c r="N72" s="33"/>
      <c r="O72" s="33"/>
      <c r="P72" s="33"/>
      <c r="Q72" s="33"/>
      <c r="R72" s="33"/>
      <c r="S72" s="33"/>
      <c r="T72" s="33"/>
      <c r="U72" s="33">
        <f>(1 - CUSTOS!$M$31)*12.8741</f>
        <v>12.8741</v>
      </c>
      <c r="V72" s="33">
        <f>(1 - CUSTOS!$M$31)*1.6738</f>
        <v>1.6738</v>
      </c>
      <c r="W72" s="33">
        <v>0</v>
      </c>
      <c r="X72" s="33">
        <v>0</v>
      </c>
      <c r="Y72" s="33">
        <f>(1 - CUSTOS!$M$31)*37.7744</f>
        <v>37.7744</v>
      </c>
      <c r="Z72" s="33">
        <v>0</v>
      </c>
      <c r="AA72" s="33">
        <v>0</v>
      </c>
      <c r="AB72" s="33"/>
      <c r="AC72" s="33">
        <f>(1 - CUSTOS!$M$31)*177.2055</f>
        <v>177.2055</v>
      </c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P72" s="33">
        <f>IF((1 - CUSTOS!$M$31)&lt;&gt;0,1/(1 - CUSTOS!$M$31),1)</f>
        <v>1</v>
      </c>
    </row>
    <row r="73" spans="1:42" ht="11.25" customHeight="1" x14ac:dyDescent="0.25">
      <c r="A73" s="116" t="s">
        <v>47</v>
      </c>
      <c r="B73" s="116" t="s">
        <v>23</v>
      </c>
      <c r="C73" s="116" t="s">
        <v>48</v>
      </c>
      <c r="D73" s="52" t="s">
        <v>49</v>
      </c>
      <c r="E73" s="52" t="s">
        <v>25</v>
      </c>
      <c r="F73" s="52" t="s">
        <v>25</v>
      </c>
      <c r="G73" s="36" t="s">
        <v>123</v>
      </c>
      <c r="H73" s="36" t="s">
        <v>117</v>
      </c>
      <c r="I73" s="36">
        <f>'MERCADO TUSD'!$U$70</f>
        <v>81306.822999999989</v>
      </c>
      <c r="J73" s="16"/>
      <c r="L73" s="33"/>
      <c r="M73" s="33"/>
      <c r="N73" s="33"/>
      <c r="O73" s="33"/>
      <c r="P73" s="33"/>
      <c r="Q73" s="33"/>
      <c r="R73" s="33"/>
      <c r="S73" s="33"/>
      <c r="T73" s="33"/>
      <c r="U73" s="33">
        <f>(1 - CUSTOS!$M$32)*12.8741</f>
        <v>7.0807550000000008</v>
      </c>
      <c r="V73" s="33">
        <f>(1 - CUSTOS!$M$32)*1.6738</f>
        <v>0.92059000000000002</v>
      </c>
      <c r="W73" s="33">
        <v>0</v>
      </c>
      <c r="X73" s="33">
        <v>0</v>
      </c>
      <c r="Y73" s="33">
        <f>(1 - CUSTOS!$M$32)*37.7744</f>
        <v>20.775920000000003</v>
      </c>
      <c r="Z73" s="33">
        <v>0</v>
      </c>
      <c r="AA73" s="33">
        <v>0</v>
      </c>
      <c r="AB73" s="33"/>
      <c r="AC73" s="33">
        <f>(1 - CUSTOS!$M$32)*177.2055</f>
        <v>97.463025000000002</v>
      </c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P73" s="33">
        <f>IF((1 - CUSTOS!$M$32)&lt;&gt;0,1/(1 - CUSTOS!$M$32),1)</f>
        <v>1.8181818181818181</v>
      </c>
    </row>
    <row r="74" spans="1:42" ht="11.25" customHeight="1" x14ac:dyDescent="0.25">
      <c r="A74" s="116"/>
      <c r="B74" s="116"/>
      <c r="C74" s="116"/>
      <c r="D74" s="36" t="s">
        <v>50</v>
      </c>
      <c r="E74" s="36" t="s">
        <v>25</v>
      </c>
      <c r="F74" s="36" t="s">
        <v>25</v>
      </c>
      <c r="G74" s="36" t="s">
        <v>123</v>
      </c>
      <c r="H74" s="36" t="s">
        <v>117</v>
      </c>
      <c r="I74" s="36">
        <f>'MERCADO TUSD'!$U$71</f>
        <v>1579.0179999999998</v>
      </c>
      <c r="J74" s="16"/>
      <c r="L74" s="33"/>
      <c r="M74" s="33"/>
      <c r="N74" s="33"/>
      <c r="O74" s="33"/>
      <c r="P74" s="33"/>
      <c r="Q74" s="33"/>
      <c r="R74" s="33"/>
      <c r="S74" s="33"/>
      <c r="T74" s="33"/>
      <c r="U74" s="33">
        <f>(1 - CUSTOS!$M$33)*12.8741</f>
        <v>7.7244599999999997</v>
      </c>
      <c r="V74" s="33">
        <f>(1 - CUSTOS!$M$33)*1.6738</f>
        <v>1.0042799999999998</v>
      </c>
      <c r="W74" s="33">
        <v>0</v>
      </c>
      <c r="X74" s="33">
        <v>0</v>
      </c>
      <c r="Y74" s="33">
        <f>(1 - CUSTOS!$M$33)*37.7744</f>
        <v>22.664639999999999</v>
      </c>
      <c r="Z74" s="33">
        <v>0</v>
      </c>
      <c r="AA74" s="33">
        <v>0</v>
      </c>
      <c r="AB74" s="33"/>
      <c r="AC74" s="33">
        <f>(1 - CUSTOS!$M$33)*177.2055</f>
        <v>106.3233</v>
      </c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P74" s="33">
        <f>IF((1 - CUSTOS!$M$33)&lt;&gt;0,1/(1 - CUSTOS!$M$33),1)</f>
        <v>1.6666666666666667</v>
      </c>
    </row>
  </sheetData>
  <mergeCells count="94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J1:J4"/>
    <mergeCell ref="L1:AM1"/>
    <mergeCell ref="A1:A4"/>
    <mergeCell ref="C9:C19"/>
    <mergeCell ref="D9:D19"/>
    <mergeCell ref="E9:E19"/>
    <mergeCell ref="F5:F7"/>
    <mergeCell ref="B9:B19"/>
    <mergeCell ref="G1:G4"/>
    <mergeCell ref="H1:H4"/>
    <mergeCell ref="I1:I4"/>
    <mergeCell ref="A5:A19"/>
    <mergeCell ref="B5:B8"/>
    <mergeCell ref="C5:C8"/>
    <mergeCell ref="D5:D8"/>
    <mergeCell ref="E5:E7"/>
    <mergeCell ref="A20:A24"/>
    <mergeCell ref="B20:B23"/>
    <mergeCell ref="C20:C23"/>
    <mergeCell ref="D20:D23"/>
    <mergeCell ref="E20:E22"/>
    <mergeCell ref="F20:F22"/>
    <mergeCell ref="A25:A37"/>
    <mergeCell ref="B25:B28"/>
    <mergeCell ref="C25:C28"/>
    <mergeCell ref="D25:D28"/>
    <mergeCell ref="E25:E27"/>
    <mergeCell ref="F25:F27"/>
    <mergeCell ref="B29:B31"/>
    <mergeCell ref="C29:C31"/>
    <mergeCell ref="D29:D31"/>
    <mergeCell ref="E29:E31"/>
    <mergeCell ref="F29:F31"/>
    <mergeCell ref="B33:B37"/>
    <mergeCell ref="C33:C37"/>
    <mergeCell ref="D33:D37"/>
    <mergeCell ref="E33:E35"/>
    <mergeCell ref="F33:F35"/>
    <mergeCell ref="E36:E37"/>
    <mergeCell ref="F36:F37"/>
    <mergeCell ref="A38:A39"/>
    <mergeCell ref="B38:B39"/>
    <mergeCell ref="C38:C39"/>
    <mergeCell ref="D38:D39"/>
    <mergeCell ref="A40:A52"/>
    <mergeCell ref="B40:B42"/>
    <mergeCell ref="C40:C42"/>
    <mergeCell ref="D40:D42"/>
    <mergeCell ref="E40:E42"/>
    <mergeCell ref="F40:F42"/>
    <mergeCell ref="B43:B47"/>
    <mergeCell ref="C43:C47"/>
    <mergeCell ref="B48:B52"/>
    <mergeCell ref="C48:C52"/>
    <mergeCell ref="D61:D63"/>
    <mergeCell ref="E61:E63"/>
    <mergeCell ref="F61:F63"/>
    <mergeCell ref="D53:D55"/>
    <mergeCell ref="E53:E55"/>
    <mergeCell ref="F53:F55"/>
    <mergeCell ref="D57:D59"/>
    <mergeCell ref="E57:E59"/>
    <mergeCell ref="F57:F59"/>
    <mergeCell ref="B65:B67"/>
    <mergeCell ref="C65:C67"/>
    <mergeCell ref="A68:A72"/>
    <mergeCell ref="B68:B70"/>
    <mergeCell ref="C68:C70"/>
    <mergeCell ref="A53:A67"/>
    <mergeCell ref="B53:B55"/>
    <mergeCell ref="C53:C55"/>
    <mergeCell ref="B61:B63"/>
    <mergeCell ref="C61:C63"/>
    <mergeCell ref="B57:B59"/>
    <mergeCell ref="C57:C59"/>
    <mergeCell ref="E68:E70"/>
    <mergeCell ref="F68:F70"/>
    <mergeCell ref="A73:A74"/>
    <mergeCell ref="B73:B74"/>
    <mergeCell ref="C73:C74"/>
    <mergeCell ref="D68:D70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0403D-CBCE-45A2-B5F4-5979D59D6FE5}">
  <dimension ref="A1:AP95"/>
  <sheetViews>
    <sheetView showGridLines="0" topLeftCell="D63" workbookViewId="0">
      <selection activeCell="K85" sqref="K85:P8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26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0" width="11.7109375" style="9" bestFit="1" customWidth="1"/>
    <col min="21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8" t="s">
        <v>107</v>
      </c>
      <c r="B1" s="118" t="s">
        <v>108</v>
      </c>
      <c r="C1" s="118" t="s">
        <v>109</v>
      </c>
      <c r="D1" s="118" t="s">
        <v>110</v>
      </c>
      <c r="E1" s="118" t="s">
        <v>111</v>
      </c>
      <c r="F1" s="118" t="s">
        <v>15</v>
      </c>
      <c r="G1" s="118" t="s">
        <v>113</v>
      </c>
      <c r="H1" s="118" t="s">
        <v>114</v>
      </c>
      <c r="I1" s="118" t="s">
        <v>1040</v>
      </c>
      <c r="J1" s="114"/>
      <c r="L1" s="117" t="s">
        <v>1041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P1" s="117" t="s">
        <v>1042</v>
      </c>
    </row>
    <row r="2" spans="1:42" ht="11.25" customHeight="1" x14ac:dyDescent="0.25">
      <c r="A2" s="118"/>
      <c r="B2" s="118"/>
      <c r="C2" s="118"/>
      <c r="D2" s="118"/>
      <c r="E2" s="118"/>
      <c r="F2" s="118"/>
      <c r="G2" s="118"/>
      <c r="H2" s="118"/>
      <c r="I2" s="118"/>
      <c r="J2" s="114"/>
      <c r="L2" s="117" t="s">
        <v>951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P2" s="119"/>
    </row>
    <row r="3" spans="1:42" ht="11.25" customHeigh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4"/>
      <c r="L3" s="117" t="s">
        <v>952</v>
      </c>
      <c r="M3" s="117"/>
      <c r="N3" s="117"/>
      <c r="O3" s="117"/>
      <c r="P3" s="117"/>
      <c r="Q3" s="117"/>
      <c r="R3" s="117"/>
      <c r="S3" s="117"/>
      <c r="T3" s="117"/>
      <c r="U3" s="117" t="s">
        <v>961</v>
      </c>
      <c r="V3" s="117"/>
      <c r="W3" s="117"/>
      <c r="X3" s="117"/>
      <c r="Y3" s="117"/>
      <c r="Z3" s="117"/>
      <c r="AA3" s="117"/>
      <c r="AB3" s="117"/>
      <c r="AC3" s="117" t="s">
        <v>969</v>
      </c>
      <c r="AD3" s="117"/>
      <c r="AE3" s="117" t="s">
        <v>971</v>
      </c>
      <c r="AF3" s="117"/>
      <c r="AG3" s="117"/>
      <c r="AH3" s="117" t="s">
        <v>974</v>
      </c>
      <c r="AI3" s="117"/>
      <c r="AJ3" s="117"/>
      <c r="AK3" s="117"/>
      <c r="AL3" s="117"/>
      <c r="AM3" s="117" t="s">
        <v>960</v>
      </c>
      <c r="AP3" s="119"/>
    </row>
    <row r="4" spans="1:42" ht="11.25" customHeigh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4"/>
      <c r="L4" s="34" t="s">
        <v>1036</v>
      </c>
      <c r="M4" s="34" t="s">
        <v>953</v>
      </c>
      <c r="N4" s="34" t="s">
        <v>954</v>
      </c>
      <c r="O4" s="34" t="s">
        <v>955</v>
      </c>
      <c r="P4" s="34" t="s">
        <v>956</v>
      </c>
      <c r="Q4" s="34" t="s">
        <v>957</v>
      </c>
      <c r="R4" s="34" t="s">
        <v>958</v>
      </c>
      <c r="S4" s="34" t="s">
        <v>959</v>
      </c>
      <c r="T4" s="34" t="s">
        <v>960</v>
      </c>
      <c r="U4" s="34" t="s">
        <v>962</v>
      </c>
      <c r="V4" s="34" t="s">
        <v>963</v>
      </c>
      <c r="W4" s="34" t="s">
        <v>964</v>
      </c>
      <c r="X4" s="34" t="s">
        <v>965</v>
      </c>
      <c r="Y4" s="34" t="s">
        <v>966</v>
      </c>
      <c r="Z4" s="34" t="s">
        <v>967</v>
      </c>
      <c r="AA4" s="34" t="s">
        <v>968</v>
      </c>
      <c r="AB4" s="34" t="s">
        <v>960</v>
      </c>
      <c r="AC4" s="34" t="s">
        <v>970</v>
      </c>
      <c r="AD4" s="34" t="s">
        <v>960</v>
      </c>
      <c r="AE4" s="34" t="s">
        <v>972</v>
      </c>
      <c r="AF4" s="34" t="s">
        <v>973</v>
      </c>
      <c r="AG4" s="34" t="s">
        <v>960</v>
      </c>
      <c r="AH4" s="34" t="s">
        <v>975</v>
      </c>
      <c r="AI4" s="34" t="s">
        <v>976</v>
      </c>
      <c r="AJ4" s="34" t="s">
        <v>977</v>
      </c>
      <c r="AK4" s="34" t="s">
        <v>978</v>
      </c>
      <c r="AL4" s="34" t="s">
        <v>960</v>
      </c>
      <c r="AM4" s="120"/>
      <c r="AP4" s="119"/>
    </row>
    <row r="5" spans="1:42" ht="11.25" customHeight="1" x14ac:dyDescent="0.25">
      <c r="A5" s="116" t="s">
        <v>59</v>
      </c>
      <c r="B5" s="116" t="s">
        <v>40</v>
      </c>
      <c r="C5" s="116" t="s">
        <v>25</v>
      </c>
      <c r="D5" s="116" t="s">
        <v>25</v>
      </c>
      <c r="E5" s="116" t="s">
        <v>25</v>
      </c>
      <c r="F5" s="116" t="s">
        <v>25</v>
      </c>
      <c r="G5" s="36" t="s">
        <v>121</v>
      </c>
      <c r="H5" s="36" t="s">
        <v>120</v>
      </c>
      <c r="I5" s="36">
        <f>'MERCADO TUSD'!$U$2</f>
        <v>103200</v>
      </c>
      <c r="J5" s="16"/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/>
      <c r="U5" s="33">
        <f>TRANSICAO!$U$5*CUSTOS!$O$3</f>
        <v>3.0461</v>
      </c>
      <c r="V5" s="33">
        <f>TRANSICAO!$V$5*CUSTOS!$O$3</f>
        <v>0.39329999999999998</v>
      </c>
      <c r="W5" s="33">
        <f>TRANSICAO!$W$5*CUSTOS!$O$3</f>
        <v>0</v>
      </c>
      <c r="X5" s="33">
        <f>TRANSICAO!$X$5*CUSTOS!$O$3</f>
        <v>0</v>
      </c>
      <c r="Y5" s="33">
        <f>TRANSICAO!$Y$5*CUSTOS!$O$3</f>
        <v>9.7851999999999997</v>
      </c>
      <c r="Z5" s="33">
        <f>TRANSICAO!$Z$5*CUSTOS!$O$3</f>
        <v>0</v>
      </c>
      <c r="AA5" s="33">
        <f>TRANSICAO!$AA$5*CUSTOS!$O$3</f>
        <v>0</v>
      </c>
      <c r="AB5" s="33">
        <f>TRANSICAO!$AB$5*CUSTOS!$O$3</f>
        <v>0</v>
      </c>
      <c r="AC5" s="33">
        <f>TRANSICAO!$AC$5*CUSTOS!$O$3</f>
        <v>4.2309999999999999</v>
      </c>
      <c r="AD5" s="33">
        <f>TRANSICAO!$AD$5*CUSTOS!$O$3</f>
        <v>0</v>
      </c>
      <c r="AE5" s="33">
        <v>0</v>
      </c>
      <c r="AF5" s="33">
        <v>0</v>
      </c>
      <c r="AG5" s="33"/>
      <c r="AH5" s="33">
        <v>0</v>
      </c>
      <c r="AI5" s="33">
        <v>0</v>
      </c>
      <c r="AJ5" s="33">
        <v>0</v>
      </c>
      <c r="AK5" s="33">
        <f t="shared" ref="AK5:AK36" si="0">AJ5</f>
        <v>0</v>
      </c>
      <c r="AL5" s="33"/>
      <c r="AM5" s="33"/>
      <c r="AP5" s="33">
        <v>1</v>
      </c>
    </row>
    <row r="6" spans="1:42" ht="11.25" customHeight="1" x14ac:dyDescent="0.25">
      <c r="A6" s="116"/>
      <c r="B6" s="116"/>
      <c r="C6" s="116"/>
      <c r="D6" s="116"/>
      <c r="E6" s="116"/>
      <c r="F6" s="116"/>
      <c r="G6" s="36" t="s">
        <v>122</v>
      </c>
      <c r="H6" s="36" t="s">
        <v>120</v>
      </c>
      <c r="I6" s="36">
        <f>'MERCADO TUSD'!$U$3</f>
        <v>151200</v>
      </c>
      <c r="J6" s="16"/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/>
      <c r="U6" s="33">
        <f>TRANSICAO!$U$6*CUSTOS!$O$3</f>
        <v>0.89259999999999995</v>
      </c>
      <c r="V6" s="33">
        <f>TRANSICAO!$V$6*CUSTOS!$O$3</f>
        <v>0.1171</v>
      </c>
      <c r="W6" s="33">
        <f>TRANSICAO!$W$6*CUSTOS!$O$3</f>
        <v>0</v>
      </c>
      <c r="X6" s="33">
        <f>TRANSICAO!$X$6*CUSTOS!$O$3</f>
        <v>0</v>
      </c>
      <c r="Y6" s="33">
        <f>TRANSICAO!$Y$6*CUSTOS!$O$3</f>
        <v>2.0072999999999999</v>
      </c>
      <c r="Z6" s="33">
        <f>TRANSICAO!$Z$6*CUSTOS!$O$3</f>
        <v>0</v>
      </c>
      <c r="AA6" s="33">
        <f>TRANSICAO!$AA$6*CUSTOS!$O$3</f>
        <v>0</v>
      </c>
      <c r="AB6" s="33">
        <f>TRANSICAO!$AB$6*CUSTOS!$O$3</f>
        <v>0</v>
      </c>
      <c r="AC6" s="33">
        <f>TRANSICAO!$AC$6*CUSTOS!$O$3</f>
        <v>4.2309999999999999</v>
      </c>
      <c r="AD6" s="33">
        <f>TRANSICAO!$AD$6*CUSTOS!$O$3</f>
        <v>0</v>
      </c>
      <c r="AE6" s="33">
        <v>0</v>
      </c>
      <c r="AF6" s="33">
        <v>0</v>
      </c>
      <c r="AG6" s="33"/>
      <c r="AH6" s="33">
        <v>0</v>
      </c>
      <c r="AI6" s="33">
        <v>0</v>
      </c>
      <c r="AJ6" s="33">
        <v>0</v>
      </c>
      <c r="AK6" s="33">
        <f t="shared" si="0"/>
        <v>0</v>
      </c>
      <c r="AL6" s="33"/>
      <c r="AM6" s="33"/>
      <c r="AP6" s="33">
        <v>1</v>
      </c>
    </row>
    <row r="7" spans="1:42" ht="11.25" customHeight="1" x14ac:dyDescent="0.25">
      <c r="A7" s="116"/>
      <c r="B7" s="116"/>
      <c r="C7" s="116"/>
      <c r="D7" s="116"/>
      <c r="E7" s="116"/>
      <c r="F7" s="116"/>
      <c r="G7" s="36" t="s">
        <v>123</v>
      </c>
      <c r="H7" s="36" t="s">
        <v>117</v>
      </c>
      <c r="I7" s="36">
        <f>'MERCADO TUSD'!$U$4</f>
        <v>30201.055</v>
      </c>
      <c r="J7" s="16"/>
      <c r="L7" s="33">
        <f>0.62</f>
        <v>0.62</v>
      </c>
      <c r="M7" s="33">
        <f>IF(AND((+$I$7+$I$8)&lt;&gt;0,SUMPRODUCT($I$5:$I$74,$AC$5:$AC$74,$AP$5:$AP$74)&lt;&gt;0),$M$79*SUMPRODUCT($I$5:$I$19,$AC$5:$AC$19,$AP$5:$AP$19)/SUMPRODUCT($I$5:$I$74,$AC$5:$AC$74,$AP$5:$AP$74)/(+$I$7+$I$8),0)</f>
        <v>0.17173957826068065</v>
      </c>
      <c r="N7" s="33">
        <f ca="1">(+M7+O7+R7+U7+V7+W7+X7+Y7+Z7+AA7+AC7+AH7+AI7+AJ7+AK7)*CUSTOS!$M$5</f>
        <v>0.19440595447285616</v>
      </c>
      <c r="O7" s="33">
        <v>1</v>
      </c>
      <c r="P7" s="33">
        <v>1</v>
      </c>
      <c r="Q7" s="33">
        <f>0.62</f>
        <v>0.62</v>
      </c>
      <c r="R7" s="33">
        <v>1</v>
      </c>
      <c r="S7" s="33">
        <v>1</v>
      </c>
      <c r="T7" s="33"/>
      <c r="U7" s="33">
        <f>TRANSICAO!$U$7*CUSTOS!$O$3</f>
        <v>0</v>
      </c>
      <c r="V7" s="33">
        <f>TRANSICAO!$V$7*CUSTOS!$O$3</f>
        <v>0</v>
      </c>
      <c r="W7" s="33">
        <f>TRANSICAO!$W$7*CUSTOS!$O$3</f>
        <v>0</v>
      </c>
      <c r="X7" s="33">
        <f>TRANSICAO!$X$7*CUSTOS!$O$3</f>
        <v>0</v>
      </c>
      <c r="Y7" s="33">
        <f>TRANSICAO!$Y$7*CUSTOS!$O$3</f>
        <v>0</v>
      </c>
      <c r="Z7" s="33">
        <f>TRANSICAO!$Z$7*CUSTOS!$O$3</f>
        <v>0</v>
      </c>
      <c r="AA7" s="33">
        <f>TRANSICAO!$AA$7*CUSTOS!$O$3</f>
        <v>0</v>
      </c>
      <c r="AB7" s="33">
        <f>TRANSICAO!$AB$7*CUSTOS!$O$3</f>
        <v>0</v>
      </c>
      <c r="AC7" s="33">
        <f>TRANSICAO!$AC$7*CUSTOS!$O$3</f>
        <v>0</v>
      </c>
      <c r="AD7" s="33">
        <f>TRANSICAO!$AD$7*CUSTOS!$O$3</f>
        <v>0</v>
      </c>
      <c r="AE7" s="33">
        <v>0</v>
      </c>
      <c r="AF7" s="33">
        <v>0</v>
      </c>
      <c r="AG7" s="33"/>
      <c r="AH7" s="33">
        <v>8.3054000000000006</v>
      </c>
      <c r="AI7" s="33">
        <v>8.3054000000000006</v>
      </c>
      <c r="AJ7" s="33">
        <f ca="1">$N$86</f>
        <v>0.32902793451246704</v>
      </c>
      <c r="AK7" s="33">
        <f t="shared" ca="1" si="0"/>
        <v>0.32902793451246704</v>
      </c>
      <c r="AL7" s="33"/>
      <c r="AM7" s="33"/>
      <c r="AP7" s="33">
        <v>1</v>
      </c>
    </row>
    <row r="8" spans="1:42" ht="11.25" customHeight="1" x14ac:dyDescent="0.25">
      <c r="A8" s="116"/>
      <c r="B8" s="116"/>
      <c r="C8" s="116"/>
      <c r="D8" s="116"/>
      <c r="E8" s="37" t="s">
        <v>61</v>
      </c>
      <c r="F8" s="37" t="s">
        <v>25</v>
      </c>
      <c r="G8" s="36" t="s">
        <v>123</v>
      </c>
      <c r="H8" s="36" t="s">
        <v>117</v>
      </c>
      <c r="I8" s="36">
        <f>'MERCADO TUSD'!$U$5</f>
        <v>4666.2299999999996</v>
      </c>
      <c r="J8" s="16"/>
      <c r="L8" s="33">
        <v>0</v>
      </c>
      <c r="M8" s="33">
        <f>IF(AND((+$I$7+$I$8)&lt;&gt;0,SUMPRODUCT($I$5:$I$74,$AC$5:$AC$74,$AP$5:$AP$74)&lt;&gt;0),$M$79*SUMPRODUCT($I$5:$I$19,$AC$5:$AC$19,$AP$5:$AP$19)/SUMPRODUCT($I$5:$I$74,$AC$5:$AC$74,$AP$5:$AP$74)/(+$I$7+$I$8),0)</f>
        <v>0.17173957826068065</v>
      </c>
      <c r="N8" s="33">
        <f ca="1">(+M8+O8+R8+U8+V8+W8+X8+Y8+Z8+AA8+AC8+AH8+AI8+AJ8+AK8)*CUSTOS!$M$5</f>
        <v>0.18440595447285618</v>
      </c>
      <c r="O8" s="33">
        <v>1</v>
      </c>
      <c r="P8" s="33">
        <v>0</v>
      </c>
      <c r="Q8" s="33">
        <v>0</v>
      </c>
      <c r="R8" s="33">
        <v>0</v>
      </c>
      <c r="S8" s="33">
        <v>0</v>
      </c>
      <c r="T8" s="33"/>
      <c r="U8" s="33">
        <f>TRANSICAO!$U$8*CUSTOS!$O$3</f>
        <v>0</v>
      </c>
      <c r="V8" s="33">
        <f>TRANSICAO!$V$8*CUSTOS!$O$3</f>
        <v>0</v>
      </c>
      <c r="W8" s="33">
        <f>TRANSICAO!$W$8*CUSTOS!$O$3</f>
        <v>0</v>
      </c>
      <c r="X8" s="33">
        <f>TRANSICAO!$X$8*CUSTOS!$O$3</f>
        <v>0</v>
      </c>
      <c r="Y8" s="33">
        <f>TRANSICAO!$Y$8*CUSTOS!$O$3</f>
        <v>0</v>
      </c>
      <c r="Z8" s="33">
        <f>TRANSICAO!$Z$8*CUSTOS!$O$3</f>
        <v>0</v>
      </c>
      <c r="AA8" s="33">
        <f>TRANSICAO!$AA$8*CUSTOS!$O$3</f>
        <v>0</v>
      </c>
      <c r="AB8" s="33">
        <f>TRANSICAO!$AB$8*CUSTOS!$O$3</f>
        <v>0</v>
      </c>
      <c r="AC8" s="33">
        <f>TRANSICAO!$AC$8*CUSTOS!$O$3</f>
        <v>0</v>
      </c>
      <c r="AD8" s="33">
        <f>TRANSICAO!$AD$8*CUSTOS!$O$3</f>
        <v>0</v>
      </c>
      <c r="AE8" s="33">
        <v>0</v>
      </c>
      <c r="AF8" s="33">
        <v>0</v>
      </c>
      <c r="AG8" s="33"/>
      <c r="AH8" s="33">
        <v>8.3054000000000006</v>
      </c>
      <c r="AI8" s="33">
        <v>8.3054000000000006</v>
      </c>
      <c r="AJ8" s="33">
        <f ca="1">$N$86</f>
        <v>0.32902793451246704</v>
      </c>
      <c r="AK8" s="33">
        <f t="shared" ca="1" si="0"/>
        <v>0.32902793451246704</v>
      </c>
      <c r="AL8" s="33"/>
      <c r="AM8" s="33"/>
      <c r="AP8" s="33">
        <v>1</v>
      </c>
    </row>
    <row r="9" spans="1:42" ht="11.25" customHeight="1" x14ac:dyDescent="0.25">
      <c r="A9" s="116"/>
      <c r="B9" s="116" t="s">
        <v>64</v>
      </c>
      <c r="C9" s="116" t="s">
        <v>25</v>
      </c>
      <c r="D9" s="116" t="s">
        <v>25</v>
      </c>
      <c r="E9" s="116" t="s">
        <v>25</v>
      </c>
      <c r="F9" s="37" t="s">
        <v>65</v>
      </c>
      <c r="G9" s="36" t="s">
        <v>9</v>
      </c>
      <c r="H9" s="36" t="s">
        <v>120</v>
      </c>
      <c r="I9" s="36">
        <f>'MERCADO TUSD'!$U$6</f>
        <v>19680</v>
      </c>
      <c r="J9" s="16"/>
      <c r="L9" s="33">
        <v>0</v>
      </c>
      <c r="M9" s="33">
        <v>9.4E-2</v>
      </c>
      <c r="N9" s="33">
        <f>0.2374</f>
        <v>0.2374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/>
      <c r="U9" s="33">
        <f>TRANSICAO!$U$9*CUSTOS!$O$4</f>
        <v>0</v>
      </c>
      <c r="V9" s="33">
        <f>TRANSICAO!$V$9*CUSTOS!$O$4</f>
        <v>1.7190000000000001</v>
      </c>
      <c r="W9" s="33">
        <f>TRANSICAO!$W$9*CUSTOS!$O$4</f>
        <v>0</v>
      </c>
      <c r="X9" s="33">
        <f>TRANSICAO!$X$9*CUSTOS!$O$4</f>
        <v>0</v>
      </c>
      <c r="Y9" s="33">
        <f>TRANSICAO!$Y$9*CUSTOS!$O$4</f>
        <v>0</v>
      </c>
      <c r="Z9" s="33">
        <f>TRANSICAO!$Z$9*CUSTOS!$O$4</f>
        <v>0</v>
      </c>
      <c r="AA9" s="33">
        <f>TRANSICAO!$AA$9*CUSTOS!$O$4</f>
        <v>0.24579999999999999</v>
      </c>
      <c r="AB9" s="33">
        <f>TRANSICAO!$AB$9*CUSTOS!$O$4</f>
        <v>0</v>
      </c>
      <c r="AC9" s="33">
        <f>TRANSICAO!$AC$9*CUSTOS!$O$4</f>
        <v>2.9622000000000002</v>
      </c>
      <c r="AD9" s="33">
        <f>TRANSICAO!$AD$9*CUSTOS!$O$4</f>
        <v>0</v>
      </c>
      <c r="AE9" s="33">
        <v>0</v>
      </c>
      <c r="AF9" s="33">
        <v>0</v>
      </c>
      <c r="AG9" s="33"/>
      <c r="AH9" s="33">
        <v>0</v>
      </c>
      <c r="AI9" s="33">
        <v>0</v>
      </c>
      <c r="AJ9" s="33">
        <v>0</v>
      </c>
      <c r="AK9" s="33">
        <f t="shared" si="0"/>
        <v>0</v>
      </c>
      <c r="AL9" s="33"/>
      <c r="AM9" s="33"/>
      <c r="AP9" s="33"/>
    </row>
    <row r="10" spans="1:42" ht="11.25" customHeight="1" x14ac:dyDescent="0.25">
      <c r="A10" s="116"/>
      <c r="B10" s="116"/>
      <c r="C10" s="116"/>
      <c r="D10" s="116"/>
      <c r="E10" s="116"/>
      <c r="F10" s="37" t="s">
        <v>67</v>
      </c>
      <c r="G10" s="36" t="s">
        <v>9</v>
      </c>
      <c r="H10" s="36" t="s">
        <v>120</v>
      </c>
      <c r="I10" s="36">
        <f>'MERCADO TUSD'!$U$7</f>
        <v>474000</v>
      </c>
      <c r="J10" s="16"/>
      <c r="L10" s="33">
        <v>0</v>
      </c>
      <c r="M10" s="33">
        <v>7.1400000000000005E-2</v>
      </c>
      <c r="N10" s="33">
        <f>0.1803</f>
        <v>0.18029999999999999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/>
      <c r="U10" s="33">
        <f>TRANSICAO!$U$10*CUSTOS!$O$4</f>
        <v>0</v>
      </c>
      <c r="V10" s="33">
        <f>TRANSICAO!$V$10*CUSTOS!$O$4</f>
        <v>1.3056000000000001</v>
      </c>
      <c r="W10" s="33">
        <f>TRANSICAO!$W$10*CUSTOS!$O$4</f>
        <v>0</v>
      </c>
      <c r="X10" s="33">
        <f>TRANSICAO!$X$10*CUSTOS!$O$4</f>
        <v>0</v>
      </c>
      <c r="Y10" s="33">
        <f>TRANSICAO!$Y$10*CUSTOS!$O$4</f>
        <v>0</v>
      </c>
      <c r="Z10" s="33">
        <f>TRANSICAO!$Z$10*CUSTOS!$O$4</f>
        <v>0</v>
      </c>
      <c r="AA10" s="33">
        <f>TRANSICAO!$AA$10*CUSTOS!$O$4</f>
        <v>0.24579999999999999</v>
      </c>
      <c r="AB10" s="33">
        <f>TRANSICAO!$AB$10*CUSTOS!$O$4</f>
        <v>0</v>
      </c>
      <c r="AC10" s="33">
        <f>TRANSICAO!$AC$10*CUSTOS!$O$4</f>
        <v>2.2498999999999998</v>
      </c>
      <c r="AD10" s="33">
        <f>TRANSICAO!$AD$10*CUSTOS!$O$4</f>
        <v>0</v>
      </c>
      <c r="AE10" s="33">
        <v>0</v>
      </c>
      <c r="AF10" s="33">
        <v>0</v>
      </c>
      <c r="AG10" s="33"/>
      <c r="AH10" s="33">
        <v>0</v>
      </c>
      <c r="AI10" s="33">
        <v>0</v>
      </c>
      <c r="AJ10" s="33">
        <v>0</v>
      </c>
      <c r="AK10" s="33">
        <f t="shared" si="0"/>
        <v>0</v>
      </c>
      <c r="AL10" s="33"/>
      <c r="AM10" s="33"/>
      <c r="AP10" s="33"/>
    </row>
    <row r="11" spans="1:42" ht="11.25" customHeight="1" x14ac:dyDescent="0.25">
      <c r="A11" s="116"/>
      <c r="B11" s="116"/>
      <c r="C11" s="116"/>
      <c r="D11" s="116"/>
      <c r="E11" s="116"/>
      <c r="F11" s="37" t="s">
        <v>69</v>
      </c>
      <c r="G11" s="36" t="s">
        <v>9</v>
      </c>
      <c r="H11" s="36" t="s">
        <v>120</v>
      </c>
      <c r="I11" s="36">
        <f>'MERCADO TUSD'!$U$8</f>
        <v>264004</v>
      </c>
      <c r="J11" s="16"/>
      <c r="L11" s="33">
        <v>0</v>
      </c>
      <c r="M11" s="33">
        <v>0.10539999999999999</v>
      </c>
      <c r="N11" s="33">
        <f>0.2663</f>
        <v>0.26629999999999998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/>
      <c r="U11" s="33">
        <f>TRANSICAO!$U$11*CUSTOS!$O$4</f>
        <v>0</v>
      </c>
      <c r="V11" s="33">
        <f>TRANSICAO!$V$11*CUSTOS!$O$4</f>
        <v>1.9283999999999999</v>
      </c>
      <c r="W11" s="33">
        <f>TRANSICAO!$W$11*CUSTOS!$O$4</f>
        <v>0</v>
      </c>
      <c r="X11" s="33">
        <f>TRANSICAO!$X$11*CUSTOS!$O$4</f>
        <v>0</v>
      </c>
      <c r="Y11" s="33">
        <f>TRANSICAO!$Y$11*CUSTOS!$O$4</f>
        <v>0</v>
      </c>
      <c r="Z11" s="33">
        <f>TRANSICAO!$Z$11*CUSTOS!$O$4</f>
        <v>0</v>
      </c>
      <c r="AA11" s="33">
        <f>TRANSICAO!$AA$11*CUSTOS!$O$4</f>
        <v>0.24579999999999999</v>
      </c>
      <c r="AB11" s="33">
        <f>TRANSICAO!$AB$11*CUSTOS!$O$4</f>
        <v>0</v>
      </c>
      <c r="AC11" s="33">
        <f>TRANSICAO!$AC$11*CUSTOS!$O$4</f>
        <v>3.3231000000000002</v>
      </c>
      <c r="AD11" s="33">
        <f>TRANSICAO!$AD$11*CUSTOS!$O$4</f>
        <v>0</v>
      </c>
      <c r="AE11" s="33">
        <v>0</v>
      </c>
      <c r="AF11" s="33">
        <v>0</v>
      </c>
      <c r="AG11" s="33"/>
      <c r="AH11" s="33">
        <v>0</v>
      </c>
      <c r="AI11" s="33">
        <v>0</v>
      </c>
      <c r="AJ11" s="33">
        <v>0</v>
      </c>
      <c r="AK11" s="33">
        <f t="shared" si="0"/>
        <v>0</v>
      </c>
      <c r="AL11" s="33"/>
      <c r="AM11" s="33"/>
      <c r="AP11" s="33"/>
    </row>
    <row r="12" spans="1:42" ht="11.25" customHeight="1" x14ac:dyDescent="0.25">
      <c r="A12" s="116"/>
      <c r="B12" s="116"/>
      <c r="C12" s="116"/>
      <c r="D12" s="116"/>
      <c r="E12" s="116"/>
      <c r="F12" s="37" t="s">
        <v>72</v>
      </c>
      <c r="G12" s="36" t="s">
        <v>9</v>
      </c>
      <c r="H12" s="36" t="s">
        <v>120</v>
      </c>
      <c r="I12" s="36">
        <f>'MERCADO TUSD'!$U$9</f>
        <v>198000</v>
      </c>
      <c r="J12" s="16"/>
      <c r="L12" s="33">
        <v>0</v>
      </c>
      <c r="M12" s="33">
        <v>0.1</v>
      </c>
      <c r="N12" s="33">
        <f>0.2525</f>
        <v>0.2525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/>
      <c r="U12" s="33">
        <f>TRANSICAO!$U$12*CUSTOS!$O$4</f>
        <v>0</v>
      </c>
      <c r="V12" s="33">
        <f>TRANSICAO!$V$12*CUSTOS!$O$4</f>
        <v>1.8287</v>
      </c>
      <c r="W12" s="33">
        <f>TRANSICAO!$W$12*CUSTOS!$O$4</f>
        <v>0</v>
      </c>
      <c r="X12" s="33">
        <f>TRANSICAO!$X$12*CUSTOS!$O$4</f>
        <v>0</v>
      </c>
      <c r="Y12" s="33">
        <f>TRANSICAO!$Y$12*CUSTOS!$O$4</f>
        <v>0</v>
      </c>
      <c r="Z12" s="33">
        <f>TRANSICAO!$Z$12*CUSTOS!$O$4</f>
        <v>0</v>
      </c>
      <c r="AA12" s="33">
        <f>TRANSICAO!$AA$12*CUSTOS!$O$4</f>
        <v>0.24579999999999999</v>
      </c>
      <c r="AB12" s="33">
        <f>TRANSICAO!$AB$12*CUSTOS!$O$4</f>
        <v>0</v>
      </c>
      <c r="AC12" s="33">
        <f>TRANSICAO!$AC$12*CUSTOS!$O$4</f>
        <v>3.1513</v>
      </c>
      <c r="AD12" s="33">
        <f>TRANSICAO!$AD$12*CUSTOS!$O$4</f>
        <v>0</v>
      </c>
      <c r="AE12" s="33">
        <v>0</v>
      </c>
      <c r="AF12" s="33">
        <v>0</v>
      </c>
      <c r="AG12" s="33"/>
      <c r="AH12" s="33">
        <v>0</v>
      </c>
      <c r="AI12" s="33">
        <v>0</v>
      </c>
      <c r="AJ12" s="33">
        <v>0</v>
      </c>
      <c r="AK12" s="33">
        <f t="shared" si="0"/>
        <v>0</v>
      </c>
      <c r="AL12" s="33"/>
      <c r="AM12" s="33"/>
      <c r="AP12" s="33"/>
    </row>
    <row r="13" spans="1:42" ht="11.25" customHeight="1" x14ac:dyDescent="0.25">
      <c r="A13" s="116"/>
      <c r="B13" s="116"/>
      <c r="C13" s="116"/>
      <c r="D13" s="116"/>
      <c r="E13" s="116"/>
      <c r="F13" s="37" t="s">
        <v>73</v>
      </c>
      <c r="G13" s="36" t="s">
        <v>9</v>
      </c>
      <c r="H13" s="36" t="s">
        <v>120</v>
      </c>
      <c r="I13" s="36">
        <f>'MERCADO TUSD'!$U$10</f>
        <v>63840</v>
      </c>
      <c r="J13" s="16"/>
      <c r="L13" s="33">
        <v>0</v>
      </c>
      <c r="M13" s="33">
        <v>9.4E-2</v>
      </c>
      <c r="N13" s="33">
        <f>0.2374</f>
        <v>0.2374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/>
      <c r="U13" s="33">
        <f>TRANSICAO!$U$13*CUSTOS!$O$4</f>
        <v>0</v>
      </c>
      <c r="V13" s="33">
        <f>TRANSICAO!$V$13*CUSTOS!$O$4</f>
        <v>1.7190000000000001</v>
      </c>
      <c r="W13" s="33">
        <f>TRANSICAO!$W$13*CUSTOS!$O$4</f>
        <v>0</v>
      </c>
      <c r="X13" s="33">
        <f>TRANSICAO!$X$13*CUSTOS!$O$4</f>
        <v>0</v>
      </c>
      <c r="Y13" s="33">
        <f>TRANSICAO!$Y$13*CUSTOS!$O$4</f>
        <v>0</v>
      </c>
      <c r="Z13" s="33">
        <f>TRANSICAO!$Z$13*CUSTOS!$O$4</f>
        <v>0</v>
      </c>
      <c r="AA13" s="33">
        <f>TRANSICAO!$AA$13*CUSTOS!$O$4</f>
        <v>0.24579999999999999</v>
      </c>
      <c r="AB13" s="33">
        <f>TRANSICAO!$AB$13*CUSTOS!$O$4</f>
        <v>0</v>
      </c>
      <c r="AC13" s="33">
        <f>TRANSICAO!$AC$13*CUSTOS!$O$4</f>
        <v>2.9622000000000002</v>
      </c>
      <c r="AD13" s="33">
        <f>TRANSICAO!$AD$13*CUSTOS!$O$4</f>
        <v>0</v>
      </c>
      <c r="AE13" s="33">
        <v>0</v>
      </c>
      <c r="AF13" s="33">
        <v>0</v>
      </c>
      <c r="AG13" s="33"/>
      <c r="AH13" s="33">
        <v>0</v>
      </c>
      <c r="AI13" s="33">
        <v>0</v>
      </c>
      <c r="AJ13" s="33">
        <v>0</v>
      </c>
      <c r="AK13" s="33">
        <f t="shared" si="0"/>
        <v>0</v>
      </c>
      <c r="AL13" s="33"/>
      <c r="AM13" s="33"/>
      <c r="AP13" s="33"/>
    </row>
    <row r="14" spans="1:42" ht="11.25" customHeight="1" x14ac:dyDescent="0.25">
      <c r="A14" s="116"/>
      <c r="B14" s="116"/>
      <c r="C14" s="116"/>
      <c r="D14" s="116"/>
      <c r="E14" s="116"/>
      <c r="F14" s="37" t="s">
        <v>75</v>
      </c>
      <c r="G14" s="36" t="s">
        <v>9</v>
      </c>
      <c r="H14" s="36" t="s">
        <v>120</v>
      </c>
      <c r="I14" s="36">
        <f>'MERCADO TUSD'!$U$11</f>
        <v>513773</v>
      </c>
      <c r="J14" s="16"/>
      <c r="L14" s="33">
        <v>0</v>
      </c>
      <c r="M14" s="33">
        <v>9.4E-2</v>
      </c>
      <c r="N14" s="33">
        <f>0.2374</f>
        <v>0.2374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/>
      <c r="U14" s="33">
        <f>TRANSICAO!$U$14*CUSTOS!$O$4</f>
        <v>0</v>
      </c>
      <c r="V14" s="33">
        <f>TRANSICAO!$V$14*CUSTOS!$O$4</f>
        <v>1.7190000000000001</v>
      </c>
      <c r="W14" s="33">
        <f>TRANSICAO!$W$14*CUSTOS!$O$4</f>
        <v>0</v>
      </c>
      <c r="X14" s="33">
        <f>TRANSICAO!$X$14*CUSTOS!$O$4</f>
        <v>0</v>
      </c>
      <c r="Y14" s="33">
        <f>TRANSICAO!$Y$14*CUSTOS!$O$4</f>
        <v>0</v>
      </c>
      <c r="Z14" s="33">
        <f>TRANSICAO!$Z$14*CUSTOS!$O$4</f>
        <v>0</v>
      </c>
      <c r="AA14" s="33">
        <f>TRANSICAO!$AA$14*CUSTOS!$O$4</f>
        <v>0.24579999999999999</v>
      </c>
      <c r="AB14" s="33">
        <f>TRANSICAO!$AB$14*CUSTOS!$O$4</f>
        <v>0</v>
      </c>
      <c r="AC14" s="33">
        <f>TRANSICAO!$AC$14*CUSTOS!$O$4</f>
        <v>2.9622000000000002</v>
      </c>
      <c r="AD14" s="33">
        <f>TRANSICAO!$AD$14*CUSTOS!$O$4</f>
        <v>0</v>
      </c>
      <c r="AE14" s="33">
        <v>0</v>
      </c>
      <c r="AF14" s="33">
        <v>0</v>
      </c>
      <c r="AG14" s="33"/>
      <c r="AH14" s="33">
        <v>0</v>
      </c>
      <c r="AI14" s="33">
        <v>0</v>
      </c>
      <c r="AJ14" s="33">
        <v>0</v>
      </c>
      <c r="AK14" s="33">
        <f t="shared" si="0"/>
        <v>0</v>
      </c>
      <c r="AL14" s="33"/>
      <c r="AM14" s="33"/>
      <c r="AP14" s="33"/>
    </row>
    <row r="15" spans="1:42" ht="11.25" customHeight="1" x14ac:dyDescent="0.25">
      <c r="A15" s="116"/>
      <c r="B15" s="116"/>
      <c r="C15" s="116"/>
      <c r="D15" s="116"/>
      <c r="E15" s="116"/>
      <c r="F15" s="37" t="s">
        <v>86</v>
      </c>
      <c r="G15" s="36" t="s">
        <v>9</v>
      </c>
      <c r="H15" s="36" t="s">
        <v>120</v>
      </c>
      <c r="I15" s="36">
        <f>'MERCADO TUSD'!$U$12</f>
        <v>292800</v>
      </c>
      <c r="J15" s="16"/>
      <c r="L15" s="33">
        <v>0</v>
      </c>
      <c r="M15" s="33">
        <v>8.48E-2</v>
      </c>
      <c r="N15" s="33">
        <f>0.2141</f>
        <v>0.21410000000000001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/>
      <c r="U15" s="33">
        <f>TRANSICAO!$U$15*CUSTOS!$O$4</f>
        <v>0</v>
      </c>
      <c r="V15" s="33">
        <f>TRANSICAO!$V$15*CUSTOS!$O$4</f>
        <v>1.5504</v>
      </c>
      <c r="W15" s="33">
        <f>TRANSICAO!$W$15*CUSTOS!$O$4</f>
        <v>0</v>
      </c>
      <c r="X15" s="33">
        <f>TRANSICAO!$X$15*CUSTOS!$O$4</f>
        <v>0</v>
      </c>
      <c r="Y15" s="33">
        <f>TRANSICAO!$Y$15*CUSTOS!$O$4</f>
        <v>0</v>
      </c>
      <c r="Z15" s="33">
        <f>TRANSICAO!$Z$15*CUSTOS!$O$4</f>
        <v>0</v>
      </c>
      <c r="AA15" s="33">
        <f>TRANSICAO!$AA$15*CUSTOS!$O$4</f>
        <v>0.24579999999999999</v>
      </c>
      <c r="AB15" s="33">
        <f>TRANSICAO!$AB$15*CUSTOS!$O$4</f>
        <v>0</v>
      </c>
      <c r="AC15" s="33">
        <f>TRANSICAO!$AC$15*CUSTOS!$O$4</f>
        <v>2.6717</v>
      </c>
      <c r="AD15" s="33">
        <f>TRANSICAO!$AD$15*CUSTOS!$O$4</f>
        <v>0</v>
      </c>
      <c r="AE15" s="33">
        <v>0</v>
      </c>
      <c r="AF15" s="33">
        <v>0</v>
      </c>
      <c r="AG15" s="33"/>
      <c r="AH15" s="33">
        <v>0</v>
      </c>
      <c r="AI15" s="33">
        <v>0</v>
      </c>
      <c r="AJ15" s="33">
        <v>0</v>
      </c>
      <c r="AK15" s="33">
        <f t="shared" si="0"/>
        <v>0</v>
      </c>
      <c r="AL15" s="33"/>
      <c r="AM15" s="33"/>
      <c r="AP15" s="33"/>
    </row>
    <row r="16" spans="1:42" ht="11.25" customHeight="1" x14ac:dyDescent="0.25">
      <c r="A16" s="116"/>
      <c r="B16" s="116"/>
      <c r="C16" s="116"/>
      <c r="D16" s="116"/>
      <c r="E16" s="116"/>
      <c r="F16" s="37" t="s">
        <v>87</v>
      </c>
      <c r="G16" s="36" t="s">
        <v>9</v>
      </c>
      <c r="H16" s="36" t="s">
        <v>120</v>
      </c>
      <c r="I16" s="36">
        <f>'MERCADO TUSD'!$U$13</f>
        <v>300000</v>
      </c>
      <c r="J16" s="16"/>
      <c r="L16" s="33">
        <v>0</v>
      </c>
      <c r="M16" s="33">
        <v>0.10340000000000001</v>
      </c>
      <c r="N16" s="33">
        <f>0.2612</f>
        <v>0.26119999999999999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/>
      <c r="U16" s="33">
        <f>TRANSICAO!$U$16*CUSTOS!$O$4</f>
        <v>0</v>
      </c>
      <c r="V16" s="33">
        <f>TRANSICAO!$V$16*CUSTOS!$O$4</f>
        <v>1.8914</v>
      </c>
      <c r="W16" s="33">
        <f>TRANSICAO!$W$16*CUSTOS!$O$4</f>
        <v>0</v>
      </c>
      <c r="X16" s="33">
        <f>TRANSICAO!$X$16*CUSTOS!$O$4</f>
        <v>0</v>
      </c>
      <c r="Y16" s="33">
        <f>TRANSICAO!$Y$16*CUSTOS!$O$4</f>
        <v>0</v>
      </c>
      <c r="Z16" s="33">
        <f>TRANSICAO!$Z$16*CUSTOS!$O$4</f>
        <v>0</v>
      </c>
      <c r="AA16" s="33">
        <f>TRANSICAO!$AA$16*CUSTOS!$O$4</f>
        <v>0.24579999999999999</v>
      </c>
      <c r="AB16" s="33">
        <f>TRANSICAO!$AB$16*CUSTOS!$O$4</f>
        <v>0</v>
      </c>
      <c r="AC16" s="33">
        <f>TRANSICAO!$AC$16*CUSTOS!$O$4</f>
        <v>3.2593999999999999</v>
      </c>
      <c r="AD16" s="33">
        <f>TRANSICAO!$AD$16*CUSTOS!$O$4</f>
        <v>0</v>
      </c>
      <c r="AE16" s="33">
        <v>0</v>
      </c>
      <c r="AF16" s="33">
        <v>0</v>
      </c>
      <c r="AG16" s="33"/>
      <c r="AH16" s="33">
        <v>0</v>
      </c>
      <c r="AI16" s="33">
        <v>0</v>
      </c>
      <c r="AJ16" s="33">
        <v>0</v>
      </c>
      <c r="AK16" s="33">
        <f t="shared" si="0"/>
        <v>0</v>
      </c>
      <c r="AL16" s="33"/>
      <c r="AM16" s="33"/>
      <c r="AP16" s="33"/>
    </row>
    <row r="17" spans="1:42" ht="11.25" customHeight="1" x14ac:dyDescent="0.25">
      <c r="A17" s="116"/>
      <c r="B17" s="116"/>
      <c r="C17" s="116"/>
      <c r="D17" s="116"/>
      <c r="E17" s="116"/>
      <c r="F17" s="37" t="s">
        <v>89</v>
      </c>
      <c r="G17" s="36" t="s">
        <v>9</v>
      </c>
      <c r="H17" s="36" t="s">
        <v>120</v>
      </c>
      <c r="I17" s="36">
        <f>'MERCADO TUSD'!$U$14</f>
        <v>151200</v>
      </c>
      <c r="J17" s="16"/>
      <c r="L17" s="33">
        <v>0</v>
      </c>
      <c r="M17" s="33">
        <v>9.9199999999999997E-2</v>
      </c>
      <c r="N17" s="33">
        <f>0.2505</f>
        <v>0.2505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/>
      <c r="U17" s="33">
        <f>TRANSICAO!$U$17*CUSTOS!$O$4</f>
        <v>0</v>
      </c>
      <c r="V17" s="33">
        <f>TRANSICAO!$V$17*CUSTOS!$O$4</f>
        <v>1.8145</v>
      </c>
      <c r="W17" s="33">
        <f>TRANSICAO!$W$17*CUSTOS!$O$4</f>
        <v>0</v>
      </c>
      <c r="X17" s="33">
        <f>TRANSICAO!$X$17*CUSTOS!$O$4</f>
        <v>0</v>
      </c>
      <c r="Y17" s="33">
        <f>TRANSICAO!$Y$17*CUSTOS!$O$4</f>
        <v>0</v>
      </c>
      <c r="Z17" s="33">
        <f>TRANSICAO!$Z$17*CUSTOS!$O$4</f>
        <v>0</v>
      </c>
      <c r="AA17" s="33">
        <f>TRANSICAO!$AA$17*CUSTOS!$O$4</f>
        <v>0.24579999999999999</v>
      </c>
      <c r="AB17" s="33">
        <f>TRANSICAO!$AB$17*CUSTOS!$O$4</f>
        <v>0</v>
      </c>
      <c r="AC17" s="33">
        <f>TRANSICAO!$AC$17*CUSTOS!$O$4</f>
        <v>3.1267</v>
      </c>
      <c r="AD17" s="33">
        <f>TRANSICAO!$AD$17*CUSTOS!$O$4</f>
        <v>0</v>
      </c>
      <c r="AE17" s="33">
        <v>0</v>
      </c>
      <c r="AF17" s="33">
        <v>0</v>
      </c>
      <c r="AG17" s="33"/>
      <c r="AH17" s="33">
        <v>0</v>
      </c>
      <c r="AI17" s="33">
        <v>0</v>
      </c>
      <c r="AJ17" s="33">
        <v>0</v>
      </c>
      <c r="AK17" s="33">
        <f t="shared" si="0"/>
        <v>0</v>
      </c>
      <c r="AL17" s="33"/>
      <c r="AM17" s="33"/>
      <c r="AP17" s="33"/>
    </row>
    <row r="18" spans="1:42" ht="11.25" customHeight="1" x14ac:dyDescent="0.25">
      <c r="A18" s="116"/>
      <c r="B18" s="116"/>
      <c r="C18" s="116"/>
      <c r="D18" s="116"/>
      <c r="E18" s="116"/>
      <c r="F18" s="37" t="s">
        <v>92</v>
      </c>
      <c r="G18" s="36" t="s">
        <v>9</v>
      </c>
      <c r="H18" s="36" t="s">
        <v>120</v>
      </c>
      <c r="I18" s="36">
        <f>'MERCADO TUSD'!$U$15</f>
        <v>97200</v>
      </c>
      <c r="J18" s="16"/>
      <c r="L18" s="33">
        <v>0</v>
      </c>
      <c r="M18" s="33">
        <v>9.2700000000000005E-2</v>
      </c>
      <c r="N18" s="33">
        <f>0.2342</f>
        <v>0.23419999999999999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/>
      <c r="U18" s="33">
        <f>TRANSICAO!$U$18*CUSTOS!$O$4</f>
        <v>0</v>
      </c>
      <c r="V18" s="33">
        <f>TRANSICAO!$V$18*CUSTOS!$O$4</f>
        <v>1.6959</v>
      </c>
      <c r="W18" s="33">
        <f>TRANSICAO!$W$18*CUSTOS!$O$4</f>
        <v>0</v>
      </c>
      <c r="X18" s="33">
        <f>TRANSICAO!$X$18*CUSTOS!$O$4</f>
        <v>0</v>
      </c>
      <c r="Y18" s="33">
        <f>TRANSICAO!$Y$18*CUSTOS!$O$4</f>
        <v>0</v>
      </c>
      <c r="Z18" s="33">
        <f>TRANSICAO!$Z$18*CUSTOS!$O$4</f>
        <v>0</v>
      </c>
      <c r="AA18" s="33">
        <f>TRANSICAO!$AA$18*CUSTOS!$O$4</f>
        <v>0.24579999999999999</v>
      </c>
      <c r="AB18" s="33">
        <f>TRANSICAO!$AB$18*CUSTOS!$O$4</f>
        <v>0</v>
      </c>
      <c r="AC18" s="33">
        <f>TRANSICAO!$AC$18*CUSTOS!$O$4</f>
        <v>2.9224000000000001</v>
      </c>
      <c r="AD18" s="33">
        <f>TRANSICAO!$AD$18*CUSTOS!$O$4</f>
        <v>0</v>
      </c>
      <c r="AE18" s="33">
        <v>0</v>
      </c>
      <c r="AF18" s="33">
        <v>0</v>
      </c>
      <c r="AG18" s="33"/>
      <c r="AH18" s="33">
        <v>0</v>
      </c>
      <c r="AI18" s="33">
        <v>0</v>
      </c>
      <c r="AJ18" s="33">
        <v>0</v>
      </c>
      <c r="AK18" s="33">
        <f t="shared" si="0"/>
        <v>0</v>
      </c>
      <c r="AL18" s="33"/>
      <c r="AM18" s="33"/>
      <c r="AP18" s="33"/>
    </row>
    <row r="19" spans="1:42" ht="11.25" customHeight="1" x14ac:dyDescent="0.25">
      <c r="A19" s="116"/>
      <c r="B19" s="116"/>
      <c r="C19" s="116"/>
      <c r="D19" s="116"/>
      <c r="E19" s="116"/>
      <c r="F19" s="37" t="s">
        <v>124</v>
      </c>
      <c r="G19" s="36" t="s">
        <v>9</v>
      </c>
      <c r="H19" s="36" t="s">
        <v>120</v>
      </c>
      <c r="I19" s="36">
        <f>'MERCADO TUSD'!$U$16</f>
        <v>0</v>
      </c>
      <c r="J19" s="16"/>
      <c r="L19" s="33">
        <v>0</v>
      </c>
      <c r="M19" s="33">
        <v>0.13020000000000001</v>
      </c>
      <c r="N19" s="33">
        <f>0.3287</f>
        <v>0.32869999999999999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/>
      <c r="U19" s="33">
        <f>TRANSICAO!$U$19*CUSTOS!$O$4</f>
        <v>0</v>
      </c>
      <c r="V19" s="33">
        <f>TRANSICAO!$V$19*CUSTOS!$O$4</f>
        <v>0.90210000000000001</v>
      </c>
      <c r="W19" s="33">
        <f>TRANSICAO!$W$19*CUSTOS!$O$4</f>
        <v>0.29409999999999997</v>
      </c>
      <c r="X19" s="33">
        <f>TRANSICAO!$X$19*CUSTOS!$O$4</f>
        <v>0</v>
      </c>
      <c r="Y19" s="33">
        <f>TRANSICAO!$Y$19*CUSTOS!$O$4</f>
        <v>0</v>
      </c>
      <c r="Z19" s="33">
        <f>TRANSICAO!$Z$19*CUSTOS!$O$4</f>
        <v>0</v>
      </c>
      <c r="AA19" s="33">
        <f>TRANSICAO!$AA$19*CUSTOS!$O$4</f>
        <v>0</v>
      </c>
      <c r="AB19" s="33">
        <f>TRANSICAO!$AB$19*CUSTOS!$O$4</f>
        <v>0</v>
      </c>
      <c r="AC19" s="33">
        <f>TRANSICAO!$AC$19*CUSTOS!$O$4</f>
        <v>3.5579000000000001</v>
      </c>
      <c r="AD19" s="33">
        <f>TRANSICAO!$AD$19*CUSTOS!$O$4</f>
        <v>0</v>
      </c>
      <c r="AE19" s="33">
        <v>0</v>
      </c>
      <c r="AF19" s="33">
        <v>0</v>
      </c>
      <c r="AG19" s="33"/>
      <c r="AH19" s="33">
        <v>0</v>
      </c>
      <c r="AI19" s="33">
        <v>0</v>
      </c>
      <c r="AJ19" s="33">
        <v>0</v>
      </c>
      <c r="AK19" s="33">
        <f t="shared" si="0"/>
        <v>0</v>
      </c>
      <c r="AL19" s="33"/>
      <c r="AM19" s="33"/>
      <c r="AP19" s="33"/>
    </row>
    <row r="20" spans="1:42" ht="11.25" customHeight="1" x14ac:dyDescent="0.25">
      <c r="A20" s="116" t="s">
        <v>39</v>
      </c>
      <c r="B20" s="116" t="s">
        <v>40</v>
      </c>
      <c r="C20" s="116" t="s">
        <v>25</v>
      </c>
      <c r="D20" s="116" t="s">
        <v>25</v>
      </c>
      <c r="E20" s="116" t="s">
        <v>25</v>
      </c>
      <c r="F20" s="116" t="s">
        <v>25</v>
      </c>
      <c r="G20" s="36" t="s">
        <v>121</v>
      </c>
      <c r="H20" s="36" t="s">
        <v>120</v>
      </c>
      <c r="I20" s="36">
        <f>'MERCADO TUSD'!$U$17</f>
        <v>180459</v>
      </c>
      <c r="J20" s="16"/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/>
      <c r="U20" s="33">
        <f>TRANSICAO!$U$20*CUSTOS!$P$3</f>
        <v>2.9540999999999999</v>
      </c>
      <c r="V20" s="33">
        <f>TRANSICAO!$V$20*CUSTOS!$P$3</f>
        <v>0.38140000000000002</v>
      </c>
      <c r="W20" s="33">
        <f>TRANSICAO!$W$20*CUSTOS!$P$3</f>
        <v>0</v>
      </c>
      <c r="X20" s="33">
        <f>TRANSICAO!$X$20*CUSTOS!$P$3</f>
        <v>0</v>
      </c>
      <c r="Y20" s="33">
        <f>TRANSICAO!$Y$20*CUSTOS!$P$3</f>
        <v>9.8765999999999998</v>
      </c>
      <c r="Z20" s="33">
        <f>TRANSICAO!$Z$20*CUSTOS!$P$3</f>
        <v>0</v>
      </c>
      <c r="AA20" s="33">
        <f>TRANSICAO!$AA$20*CUSTOS!$P$3</f>
        <v>0</v>
      </c>
      <c r="AB20" s="33">
        <f>TRANSICAO!$AB$20*CUSTOS!$P$3</f>
        <v>0</v>
      </c>
      <c r="AC20" s="33">
        <f>TRANSICAO!$AC$20*CUSTOS!$P$3</f>
        <v>12.1441</v>
      </c>
      <c r="AD20" s="33">
        <f>TRANSICAO!$AD$20*CUSTOS!$P$3</f>
        <v>0</v>
      </c>
      <c r="AE20" s="33">
        <v>0</v>
      </c>
      <c r="AF20" s="33">
        <v>0</v>
      </c>
      <c r="AG20" s="33"/>
      <c r="AH20" s="33">
        <v>0</v>
      </c>
      <c r="AI20" s="33">
        <v>0</v>
      </c>
      <c r="AJ20" s="33">
        <v>0</v>
      </c>
      <c r="AK20" s="33">
        <f t="shared" si="0"/>
        <v>0</v>
      </c>
      <c r="AL20" s="33"/>
      <c r="AM20" s="33"/>
      <c r="AP20" s="33">
        <v>1</v>
      </c>
    </row>
    <row r="21" spans="1:42" ht="11.25" customHeight="1" x14ac:dyDescent="0.25">
      <c r="A21" s="116"/>
      <c r="B21" s="116"/>
      <c r="C21" s="116"/>
      <c r="D21" s="116"/>
      <c r="E21" s="116"/>
      <c r="F21" s="116"/>
      <c r="G21" s="36" t="s">
        <v>122</v>
      </c>
      <c r="H21" s="36" t="s">
        <v>120</v>
      </c>
      <c r="I21" s="36">
        <f>'MERCADO TUSD'!$U$18</f>
        <v>183466</v>
      </c>
      <c r="J21" s="16"/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/>
      <c r="U21" s="33">
        <f>TRANSICAO!$U$21*CUSTOS!$P$3</f>
        <v>2.6490999999999998</v>
      </c>
      <c r="V21" s="33">
        <f>TRANSICAO!$V$21*CUSTOS!$P$3</f>
        <v>0.34760000000000002</v>
      </c>
      <c r="W21" s="33">
        <f>TRANSICAO!$W$21*CUSTOS!$P$3</f>
        <v>0</v>
      </c>
      <c r="X21" s="33">
        <f>TRANSICAO!$X$21*CUSTOS!$P$3</f>
        <v>0</v>
      </c>
      <c r="Y21" s="33">
        <f>TRANSICAO!$Y$21*CUSTOS!$P$3</f>
        <v>6.1582999999999997</v>
      </c>
      <c r="Z21" s="33">
        <f>TRANSICAO!$Z$21*CUSTOS!$P$3</f>
        <v>0</v>
      </c>
      <c r="AA21" s="33">
        <f>TRANSICAO!$AA$21*CUSTOS!$P$3</f>
        <v>0</v>
      </c>
      <c r="AB21" s="33">
        <f>TRANSICAO!$AB$21*CUSTOS!$P$3</f>
        <v>0</v>
      </c>
      <c r="AC21" s="33">
        <f>TRANSICAO!$AC$21*CUSTOS!$P$3</f>
        <v>1.2143999999999999</v>
      </c>
      <c r="AD21" s="33">
        <f>TRANSICAO!$AD$21*CUSTOS!$P$3</f>
        <v>0</v>
      </c>
      <c r="AE21" s="33">
        <v>0</v>
      </c>
      <c r="AF21" s="33">
        <v>0</v>
      </c>
      <c r="AG21" s="33"/>
      <c r="AH21" s="33">
        <v>0</v>
      </c>
      <c r="AI21" s="33">
        <v>0</v>
      </c>
      <c r="AJ21" s="33">
        <v>0</v>
      </c>
      <c r="AK21" s="33">
        <f t="shared" si="0"/>
        <v>0</v>
      </c>
      <c r="AL21" s="33"/>
      <c r="AM21" s="33"/>
      <c r="AP21" s="33">
        <v>1</v>
      </c>
    </row>
    <row r="22" spans="1:42" ht="11.25" customHeight="1" x14ac:dyDescent="0.25">
      <c r="A22" s="116"/>
      <c r="B22" s="116"/>
      <c r="C22" s="116"/>
      <c r="D22" s="116"/>
      <c r="E22" s="116"/>
      <c r="F22" s="116"/>
      <c r="G22" s="36" t="s">
        <v>123</v>
      </c>
      <c r="H22" s="36" t="s">
        <v>117</v>
      </c>
      <c r="I22" s="36">
        <f>'MERCADO TUSD'!$U$19</f>
        <v>99874.462</v>
      </c>
      <c r="J22" s="16"/>
      <c r="L22" s="33">
        <f>0.62</f>
        <v>0.62</v>
      </c>
      <c r="M22" s="33">
        <f>IF(AND((+$I$22+$I$23)&lt;&gt;0,SUMPRODUCT($I$5:$I$74,$AC$5:$AC$74,$AP$5:$AP$74)&lt;&gt;0),$M$79*SUMPRODUCT($I$20:$I$24,$AC$20:$AC$24,$AP$20:$AP$24)/SUMPRODUCT($I$5:$I$74,$AC$5:$AC$74,$AP$5:$AP$74)/(+$I$22+$I$23),0)</f>
        <v>0.13448305206007224</v>
      </c>
      <c r="N22" s="33">
        <f ca="1">(+M22+O22+R22+U22+V22+W22+X22+Y22+Z22+AA22+AC22+AH22+AI22+AJ22+AK22)*CUSTOS!$M$5</f>
        <v>0.27217715200970721</v>
      </c>
      <c r="O22" s="33">
        <v>1</v>
      </c>
      <c r="P22" s="33">
        <v>1</v>
      </c>
      <c r="Q22" s="33">
        <f>0.62</f>
        <v>0.62</v>
      </c>
      <c r="R22" s="33">
        <v>1</v>
      </c>
      <c r="S22" s="33">
        <v>1</v>
      </c>
      <c r="T22" s="33"/>
      <c r="U22" s="33">
        <f>TRANSICAO!$U$22*CUSTOS!$P$3</f>
        <v>0</v>
      </c>
      <c r="V22" s="33">
        <f>TRANSICAO!$V$22*CUSTOS!$P$3</f>
        <v>0</v>
      </c>
      <c r="W22" s="33">
        <f>TRANSICAO!$W$22*CUSTOS!$P$3</f>
        <v>0</v>
      </c>
      <c r="X22" s="33">
        <f>TRANSICAO!$X$22*CUSTOS!$P$3</f>
        <v>0</v>
      </c>
      <c r="Y22" s="33">
        <f>TRANSICAO!$Y$22*CUSTOS!$P$3</f>
        <v>0</v>
      </c>
      <c r="Z22" s="33">
        <f>TRANSICAO!$Z$22*CUSTOS!$P$3</f>
        <v>0</v>
      </c>
      <c r="AA22" s="33">
        <f>TRANSICAO!$AA$22*CUSTOS!$P$3</f>
        <v>0</v>
      </c>
      <c r="AB22" s="33">
        <f>TRANSICAO!$AB$22*CUSTOS!$P$3</f>
        <v>0</v>
      </c>
      <c r="AC22" s="33">
        <f>TRANSICAO!$AC$22*CUSTOS!$P$3</f>
        <v>0</v>
      </c>
      <c r="AD22" s="33">
        <f>TRANSICAO!$AD$22*CUSTOS!$P$3</f>
        <v>0</v>
      </c>
      <c r="AE22" s="33">
        <v>0</v>
      </c>
      <c r="AF22" s="33">
        <v>0</v>
      </c>
      <c r="AG22" s="33"/>
      <c r="AH22" s="33">
        <v>12.222799999999999</v>
      </c>
      <c r="AI22" s="33">
        <v>12.222799999999999</v>
      </c>
      <c r="AJ22" s="33">
        <f ca="1">$N$87</f>
        <v>0.31881607445532328</v>
      </c>
      <c r="AK22" s="33">
        <f t="shared" ca="1" si="0"/>
        <v>0.31881607445532328</v>
      </c>
      <c r="AL22" s="33"/>
      <c r="AM22" s="33"/>
      <c r="AP22" s="33">
        <v>1</v>
      </c>
    </row>
    <row r="23" spans="1:42" ht="11.25" customHeight="1" x14ac:dyDescent="0.25">
      <c r="A23" s="116"/>
      <c r="B23" s="116"/>
      <c r="C23" s="116"/>
      <c r="D23" s="116"/>
      <c r="E23" s="37" t="s">
        <v>61</v>
      </c>
      <c r="F23" s="37" t="s">
        <v>25</v>
      </c>
      <c r="G23" s="36" t="s">
        <v>123</v>
      </c>
      <c r="H23" s="36" t="s">
        <v>117</v>
      </c>
      <c r="I23" s="36">
        <f>'MERCADO TUSD'!$U$20</f>
        <v>0</v>
      </c>
      <c r="J23" s="16"/>
      <c r="L23" s="33">
        <v>0</v>
      </c>
      <c r="M23" s="33">
        <f>IF(AND((+$I$22+$I$23)&lt;&gt;0,SUMPRODUCT($I$5:$I$74,$AC$5:$AC$74,$AP$5:$AP$74)&lt;&gt;0),$M$79*SUMPRODUCT($I$20:$I$24,$AC$20:$AC$24,$AP$20:$AP$24)/SUMPRODUCT($I$5:$I$74,$AC$5:$AC$74,$AP$5:$AP$74)/(+$I$22+$I$23),0)</f>
        <v>0.13448305206007224</v>
      </c>
      <c r="N23" s="33">
        <f ca="1">(+M23+O23+R23+U23+V23+W23+X23+Y23+Z23+AA23+AC23+AH23+AI23+AJ23+AK23)*CUSTOS!$M$5</f>
        <v>0.2621771520097072</v>
      </c>
      <c r="O23" s="33">
        <v>1</v>
      </c>
      <c r="P23" s="33">
        <v>0</v>
      </c>
      <c r="Q23" s="33">
        <v>0</v>
      </c>
      <c r="R23" s="33">
        <v>0</v>
      </c>
      <c r="S23" s="33">
        <v>0</v>
      </c>
      <c r="T23" s="33"/>
      <c r="U23" s="33">
        <f>TRANSICAO!$U$23*CUSTOS!$P$3</f>
        <v>0</v>
      </c>
      <c r="V23" s="33">
        <f>TRANSICAO!$V$23*CUSTOS!$P$3</f>
        <v>0</v>
      </c>
      <c r="W23" s="33">
        <f>TRANSICAO!$W$23*CUSTOS!$P$3</f>
        <v>0</v>
      </c>
      <c r="X23" s="33">
        <f>TRANSICAO!$X$23*CUSTOS!$P$3</f>
        <v>0</v>
      </c>
      <c r="Y23" s="33">
        <f>TRANSICAO!$Y$23*CUSTOS!$P$3</f>
        <v>0</v>
      </c>
      <c r="Z23" s="33">
        <f>TRANSICAO!$Z$23*CUSTOS!$P$3</f>
        <v>0</v>
      </c>
      <c r="AA23" s="33">
        <f>TRANSICAO!$AA$23*CUSTOS!$P$3</f>
        <v>0</v>
      </c>
      <c r="AB23" s="33">
        <f>TRANSICAO!$AB$23*CUSTOS!$P$3</f>
        <v>0</v>
      </c>
      <c r="AC23" s="33">
        <f>TRANSICAO!$AC$23*CUSTOS!$P$3</f>
        <v>0</v>
      </c>
      <c r="AD23" s="33">
        <f>TRANSICAO!$AD$23*CUSTOS!$P$3</f>
        <v>0</v>
      </c>
      <c r="AE23" s="33">
        <v>0</v>
      </c>
      <c r="AF23" s="33">
        <v>0</v>
      </c>
      <c r="AG23" s="33"/>
      <c r="AH23" s="33">
        <v>12.222799999999999</v>
      </c>
      <c r="AI23" s="33">
        <v>12.222799999999999</v>
      </c>
      <c r="AJ23" s="33">
        <f ca="1">$N$87</f>
        <v>0.31881607445532328</v>
      </c>
      <c r="AK23" s="33">
        <f t="shared" ca="1" si="0"/>
        <v>0.31881607445532328</v>
      </c>
      <c r="AL23" s="33"/>
      <c r="AM23" s="33"/>
      <c r="AP23" s="33">
        <v>1</v>
      </c>
    </row>
    <row r="24" spans="1:42" ht="11.25" customHeight="1" x14ac:dyDescent="0.25">
      <c r="A24" s="116"/>
      <c r="B24" s="37" t="s">
        <v>64</v>
      </c>
      <c r="C24" s="37" t="s">
        <v>25</v>
      </c>
      <c r="D24" s="37" t="s">
        <v>25</v>
      </c>
      <c r="E24" s="37" t="s">
        <v>25</v>
      </c>
      <c r="F24" s="37" t="s">
        <v>25</v>
      </c>
      <c r="G24" s="36" t="s">
        <v>9</v>
      </c>
      <c r="H24" s="36" t="s">
        <v>120</v>
      </c>
      <c r="I24" s="36">
        <f>'MERCADO TUSD'!$U$21</f>
        <v>866358</v>
      </c>
      <c r="J24" s="16"/>
      <c r="L24" s="33">
        <v>0</v>
      </c>
      <c r="M24" s="33">
        <f>(1+CUSTOS!$M$4)*0.0342633184902141</f>
        <v>3.7937506807275166E-2</v>
      </c>
      <c r="N24" s="33">
        <f>(1+CUSTOS!$M$4)*0.102973796213715</f>
        <v>0.11401607511965102</v>
      </c>
      <c r="O24" s="33">
        <f>(1+CUSTOS!$M$4)*0.0079328803223349</f>
        <v>8.7835537972141969E-3</v>
      </c>
      <c r="P24" s="33">
        <v>0</v>
      </c>
      <c r="Q24" s="33">
        <v>0</v>
      </c>
      <c r="R24" s="33">
        <v>0</v>
      </c>
      <c r="S24" s="33">
        <v>0</v>
      </c>
      <c r="T24" s="33"/>
      <c r="U24" s="33">
        <f>TRANSICAO!$U$24*CUSTOS!$P$4</f>
        <v>0</v>
      </c>
      <c r="V24" s="33">
        <f>TRANSICAO!$V$24*CUSTOS!$P$4</f>
        <v>0</v>
      </c>
      <c r="W24" s="33">
        <f>TRANSICAO!$W$24*CUSTOS!$P$4</f>
        <v>0</v>
      </c>
      <c r="X24" s="33">
        <f>TRANSICAO!$X$24*CUSTOS!$P$4</f>
        <v>0</v>
      </c>
      <c r="Y24" s="33">
        <f>TRANSICAO!$Y$24*CUSTOS!$P$4</f>
        <v>13.088210849474869</v>
      </c>
      <c r="Z24" s="33">
        <f>TRANSICAO!$Z$24*CUSTOS!$P$4</f>
        <v>0</v>
      </c>
      <c r="AA24" s="33">
        <f>TRANSICAO!$AA$24*CUSTOS!$P$4</f>
        <v>0</v>
      </c>
      <c r="AB24" s="33">
        <f>TRANSICAO!$AB$24*CUSTOS!$P$4</f>
        <v>0</v>
      </c>
      <c r="AC24" s="33">
        <f>TRANSICAO!$AC$24*CUSTOS!$P$4</f>
        <v>6.6121435824856709</v>
      </c>
      <c r="AD24" s="33">
        <f>TRANSICAO!$AD$24*CUSTOS!$P$4</f>
        <v>0</v>
      </c>
      <c r="AE24" s="33">
        <v>0</v>
      </c>
      <c r="AF24" s="33">
        <v>0</v>
      </c>
      <c r="AG24" s="33"/>
      <c r="AH24" s="33">
        <f>(1+CUSTOS!$M$4)*0.641810283147616</f>
        <v>0.7106340850448003</v>
      </c>
      <c r="AI24" s="33">
        <f>(1+CUSTOS!$M$4)*0.149512980515473</f>
        <v>0.165545836364384</v>
      </c>
      <c r="AJ24" s="33">
        <v>0</v>
      </c>
      <c r="AK24" s="33">
        <f t="shared" si="0"/>
        <v>0</v>
      </c>
      <c r="AL24" s="33"/>
      <c r="AM24" s="33"/>
      <c r="AP24" s="33"/>
    </row>
    <row r="25" spans="1:42" ht="11.25" customHeight="1" x14ac:dyDescent="0.25">
      <c r="A25" s="116" t="s">
        <v>41</v>
      </c>
      <c r="B25" s="116" t="s">
        <v>40</v>
      </c>
      <c r="C25" s="116" t="s">
        <v>25</v>
      </c>
      <c r="D25" s="116" t="s">
        <v>25</v>
      </c>
      <c r="E25" s="116" t="s">
        <v>25</v>
      </c>
      <c r="F25" s="116" t="s">
        <v>25</v>
      </c>
      <c r="G25" s="36" t="s">
        <v>121</v>
      </c>
      <c r="H25" s="36" t="s">
        <v>120</v>
      </c>
      <c r="I25" s="36">
        <f>'MERCADO TUSD'!$U$22</f>
        <v>269137</v>
      </c>
      <c r="J25" s="16"/>
      <c r="L25" s="33">
        <v>0</v>
      </c>
      <c r="M25" s="33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/>
      <c r="U25" s="33">
        <f>TRANSICAO!$U$25*CUSTOS!$R$3</f>
        <v>2.9651999999999998</v>
      </c>
      <c r="V25" s="33">
        <f>TRANSICAO!$V$25*CUSTOS!$R$3</f>
        <v>0.38279999999999997</v>
      </c>
      <c r="W25" s="33">
        <f>TRANSICAO!$W$25*CUSTOS!$R$3</f>
        <v>0</v>
      </c>
      <c r="X25" s="33">
        <f>TRANSICAO!$X$25*CUSTOS!$R$3</f>
        <v>0</v>
      </c>
      <c r="Y25" s="33">
        <f>TRANSICAO!$Y$25*CUSTOS!$R$3</f>
        <v>10.030900000000001</v>
      </c>
      <c r="Z25" s="33">
        <f>TRANSICAO!$Z$25*CUSTOS!$R$3</f>
        <v>0</v>
      </c>
      <c r="AA25" s="33">
        <f>TRANSICAO!$AA$25*CUSTOS!$R$3</f>
        <v>0</v>
      </c>
      <c r="AB25" s="33">
        <f>TRANSICAO!$AB$25*CUSTOS!$R$3</f>
        <v>0</v>
      </c>
      <c r="AC25" s="33">
        <f>TRANSICAO!$AC$25*CUSTOS!$R$3</f>
        <v>54.1203</v>
      </c>
      <c r="AD25" s="33">
        <f>TRANSICAO!$AD$25*CUSTOS!$R$3</f>
        <v>0</v>
      </c>
      <c r="AE25" s="33">
        <v>0</v>
      </c>
      <c r="AF25" s="33">
        <v>0</v>
      </c>
      <c r="AG25" s="33"/>
      <c r="AH25" s="33">
        <v>0</v>
      </c>
      <c r="AI25" s="33">
        <v>0</v>
      </c>
      <c r="AJ25" s="33">
        <v>0</v>
      </c>
      <c r="AK25" s="33">
        <f t="shared" si="0"/>
        <v>0</v>
      </c>
      <c r="AL25" s="33"/>
      <c r="AM25" s="33"/>
      <c r="AP25" s="33">
        <v>1</v>
      </c>
    </row>
    <row r="26" spans="1:42" ht="11.25" customHeight="1" x14ac:dyDescent="0.25">
      <c r="A26" s="116"/>
      <c r="B26" s="116"/>
      <c r="C26" s="116"/>
      <c r="D26" s="116"/>
      <c r="E26" s="116"/>
      <c r="F26" s="116"/>
      <c r="G26" s="36" t="s">
        <v>122</v>
      </c>
      <c r="H26" s="36" t="s">
        <v>120</v>
      </c>
      <c r="I26" s="36">
        <f>'MERCADO TUSD'!$U$23</f>
        <v>306985</v>
      </c>
      <c r="J26" s="16"/>
      <c r="L26" s="33">
        <v>0</v>
      </c>
      <c r="M26" s="33">
        <v>0</v>
      </c>
      <c r="N26" s="33">
        <v>0</v>
      </c>
      <c r="O26" s="33">
        <v>0</v>
      </c>
      <c r="P26" s="33">
        <v>0</v>
      </c>
      <c r="Q26" s="33">
        <v>0</v>
      </c>
      <c r="R26" s="33">
        <v>0</v>
      </c>
      <c r="S26" s="33">
        <v>0</v>
      </c>
      <c r="T26" s="33"/>
      <c r="U26" s="33">
        <f>TRANSICAO!$U$26*CUSTOS!$R$3</f>
        <v>2.5049999999999999</v>
      </c>
      <c r="V26" s="33">
        <f>TRANSICAO!$V$26*CUSTOS!$R$3</f>
        <v>0.32869999999999999</v>
      </c>
      <c r="W26" s="33">
        <f>TRANSICAO!$W$26*CUSTOS!$R$3</f>
        <v>0</v>
      </c>
      <c r="X26" s="33">
        <f>TRANSICAO!$X$26*CUSTOS!$R$3</f>
        <v>0</v>
      </c>
      <c r="Y26" s="33">
        <f>TRANSICAO!$Y$26*CUSTOS!$R$3</f>
        <v>5.8818000000000001</v>
      </c>
      <c r="Z26" s="33">
        <f>TRANSICAO!$Z$26*CUSTOS!$R$3</f>
        <v>0</v>
      </c>
      <c r="AA26" s="33">
        <f>TRANSICAO!$AA$26*CUSTOS!$R$3</f>
        <v>0</v>
      </c>
      <c r="AB26" s="33">
        <f>TRANSICAO!$AB$26*CUSTOS!$R$3</f>
        <v>0</v>
      </c>
      <c r="AC26" s="33">
        <f>TRANSICAO!$AC$26*CUSTOS!$R$3</f>
        <v>17.960100000000001</v>
      </c>
      <c r="AD26" s="33">
        <f>TRANSICAO!$AD$26*CUSTOS!$R$3</f>
        <v>0</v>
      </c>
      <c r="AE26" s="33">
        <v>0</v>
      </c>
      <c r="AF26" s="33">
        <v>0</v>
      </c>
      <c r="AG26" s="33"/>
      <c r="AH26" s="33">
        <v>0</v>
      </c>
      <c r="AI26" s="33">
        <v>0</v>
      </c>
      <c r="AJ26" s="33">
        <v>0</v>
      </c>
      <c r="AK26" s="33">
        <f t="shared" si="0"/>
        <v>0</v>
      </c>
      <c r="AL26" s="33"/>
      <c r="AM26" s="33"/>
      <c r="AP26" s="33">
        <v>1</v>
      </c>
    </row>
    <row r="27" spans="1:42" ht="11.25" customHeight="1" x14ac:dyDescent="0.25">
      <c r="A27" s="116"/>
      <c r="B27" s="116"/>
      <c r="C27" s="116"/>
      <c r="D27" s="116"/>
      <c r="E27" s="116"/>
      <c r="F27" s="116"/>
      <c r="G27" s="36" t="s">
        <v>123</v>
      </c>
      <c r="H27" s="36" t="s">
        <v>117</v>
      </c>
      <c r="I27" s="36">
        <f>'MERCADO TUSD'!$U$24</f>
        <v>121039.205</v>
      </c>
      <c r="J27" s="16"/>
      <c r="L27" s="33">
        <f>0.84</f>
        <v>0.84</v>
      </c>
      <c r="M27" s="33">
        <f>IF(AND((+$I$27+$I$28+$I$34+$I$35+$I$36+$I$37)&lt;&gt;0,SUMPRODUCT($I$5:$I$74,$AC$5:$AC$74,$AP$5:$AP$74)&lt;&gt;0),$M$79*SUMPRODUCT($I$25:$I$37,$AC$25:$AC$37,$AP$25:$AP$37)/SUMPRODUCT($I$5:$I$74,$AC$5:$AC$74,$AP$5:$AP$74)/(+$I$27+$I$28+$I$34+$I$35+$I$36+$I$37),0)</f>
        <v>0.92249834624624172</v>
      </c>
      <c r="N27" s="33">
        <f ca="1">(+M27+O27+R27+U27+V27+W27+X27+Y27+Z27+AA27+AC27+AH27+AI27+AJ27+AK27)*CUSTOS!$M$5</f>
        <v>0.44799836605216897</v>
      </c>
      <c r="O27" s="33">
        <v>1</v>
      </c>
      <c r="P27" s="33">
        <v>1</v>
      </c>
      <c r="Q27" s="33">
        <f>0.84</f>
        <v>0.84</v>
      </c>
      <c r="R27" s="33">
        <v>1</v>
      </c>
      <c r="S27" s="33">
        <v>1</v>
      </c>
      <c r="T27" s="33"/>
      <c r="U27" s="33">
        <f>TRANSICAO!$U$27*CUSTOS!$R$3</f>
        <v>0</v>
      </c>
      <c r="V27" s="33">
        <f>TRANSICAO!$V$27*CUSTOS!$R$3</f>
        <v>0</v>
      </c>
      <c r="W27" s="33">
        <f>TRANSICAO!$W$27*CUSTOS!$R$3</f>
        <v>0</v>
      </c>
      <c r="X27" s="33">
        <f>TRANSICAO!$X$27*CUSTOS!$R$3</f>
        <v>0</v>
      </c>
      <c r="Y27" s="33">
        <f>TRANSICAO!$Y$27*CUSTOS!$R$3</f>
        <v>0</v>
      </c>
      <c r="Z27" s="33">
        <f>TRANSICAO!$Z$27*CUSTOS!$R$3</f>
        <v>0</v>
      </c>
      <c r="AA27" s="33">
        <f>TRANSICAO!$AA$27*CUSTOS!$R$3</f>
        <v>0</v>
      </c>
      <c r="AB27" s="33">
        <f>TRANSICAO!$AB$27*CUSTOS!$R$3</f>
        <v>0</v>
      </c>
      <c r="AC27" s="33">
        <f>TRANSICAO!$AC$27*CUSTOS!$R$3</f>
        <v>0</v>
      </c>
      <c r="AD27" s="33">
        <f>TRANSICAO!$AD$27*CUSTOS!$R$3</f>
        <v>0</v>
      </c>
      <c r="AE27" s="33">
        <v>0</v>
      </c>
      <c r="AF27" s="33">
        <v>0</v>
      </c>
      <c r="AG27" s="33"/>
      <c r="AH27" s="33">
        <v>20.209499999999998</v>
      </c>
      <c r="AI27" s="33">
        <v>20.209499999999998</v>
      </c>
      <c r="AJ27" s="33">
        <f ca="1">$N$88</f>
        <v>0.72916912948532975</v>
      </c>
      <c r="AK27" s="33">
        <f t="shared" ca="1" si="0"/>
        <v>0.72916912948532975</v>
      </c>
      <c r="AL27" s="33"/>
      <c r="AM27" s="33"/>
      <c r="AP27" s="33">
        <v>1</v>
      </c>
    </row>
    <row r="28" spans="1:42" ht="11.25" customHeight="1" x14ac:dyDescent="0.25">
      <c r="A28" s="116"/>
      <c r="B28" s="116"/>
      <c r="C28" s="116"/>
      <c r="D28" s="116"/>
      <c r="E28" s="37" t="s">
        <v>61</v>
      </c>
      <c r="F28" s="37" t="s">
        <v>25</v>
      </c>
      <c r="G28" s="36" t="s">
        <v>123</v>
      </c>
      <c r="H28" s="36" t="s">
        <v>117</v>
      </c>
      <c r="I28" s="36">
        <f>'MERCADO TUSD'!$U$25</f>
        <v>0</v>
      </c>
      <c r="J28" s="16"/>
      <c r="L28" s="33">
        <v>0</v>
      </c>
      <c r="M28" s="33">
        <f>IF(AND((+$I$27+$I$28+$I$34+$I$35+$I$36+$I$37)&lt;&gt;0,SUMPRODUCT($I$5:$I$74,$AC$5:$AC$74,$AP$5:$AP$74)&lt;&gt;0),$M$79*SUMPRODUCT($I$25:$I$37,$AC$25:$AC$37,$AP$25:$AP$37)/SUMPRODUCT($I$5:$I$74,$AC$5:$AC$74,$AP$5:$AP$74)/(+$I$27+$I$28+$I$34+$I$35+$I$36+$I$37),0)</f>
        <v>0.92249834624624172</v>
      </c>
      <c r="N28" s="33">
        <f ca="1">(+M28+O28+R28+U28+V28+W28+X28+Y28+Z28+AA28+AC28+AH28+AI28+AJ28+AK28)*CUSTOS!$M$5</f>
        <v>0.43799836605216896</v>
      </c>
      <c r="O28" s="33">
        <v>1</v>
      </c>
      <c r="P28" s="33">
        <v>0</v>
      </c>
      <c r="Q28" s="33">
        <v>0</v>
      </c>
      <c r="R28" s="33">
        <v>0</v>
      </c>
      <c r="S28" s="33">
        <v>0</v>
      </c>
      <c r="T28" s="33"/>
      <c r="U28" s="33">
        <f>TRANSICAO!$U$28*CUSTOS!$R$3</f>
        <v>0</v>
      </c>
      <c r="V28" s="33">
        <f>TRANSICAO!$V$28*CUSTOS!$R$3</f>
        <v>0</v>
      </c>
      <c r="W28" s="33">
        <f>TRANSICAO!$W$28*CUSTOS!$R$3</f>
        <v>0</v>
      </c>
      <c r="X28" s="33">
        <f>TRANSICAO!$X$28*CUSTOS!$R$3</f>
        <v>0</v>
      </c>
      <c r="Y28" s="33">
        <f>TRANSICAO!$Y$28*CUSTOS!$R$3</f>
        <v>0</v>
      </c>
      <c r="Z28" s="33">
        <f>TRANSICAO!$Z$28*CUSTOS!$R$3</f>
        <v>0</v>
      </c>
      <c r="AA28" s="33">
        <f>TRANSICAO!$AA$28*CUSTOS!$R$3</f>
        <v>0</v>
      </c>
      <c r="AB28" s="33">
        <f>TRANSICAO!$AB$28*CUSTOS!$R$3</f>
        <v>0</v>
      </c>
      <c r="AC28" s="33">
        <f>TRANSICAO!$AC$28*CUSTOS!$R$3</f>
        <v>0</v>
      </c>
      <c r="AD28" s="33">
        <f>TRANSICAO!$AD$28*CUSTOS!$R$3</f>
        <v>0</v>
      </c>
      <c r="AE28" s="33">
        <v>0</v>
      </c>
      <c r="AF28" s="33">
        <v>0</v>
      </c>
      <c r="AG28" s="33"/>
      <c r="AH28" s="33">
        <v>20.209499999999998</v>
      </c>
      <c r="AI28" s="33">
        <v>20.209499999999998</v>
      </c>
      <c r="AJ28" s="33">
        <f ca="1">$N$88</f>
        <v>0.72916912948532975</v>
      </c>
      <c r="AK28" s="33">
        <f t="shared" ca="1" si="0"/>
        <v>0.72916912948532975</v>
      </c>
      <c r="AL28" s="33"/>
      <c r="AM28" s="33"/>
      <c r="AP28" s="33">
        <v>1</v>
      </c>
    </row>
    <row r="29" spans="1:42" ht="11.25" customHeight="1" x14ac:dyDescent="0.25">
      <c r="A29" s="116"/>
      <c r="B29" s="116" t="s">
        <v>81</v>
      </c>
      <c r="C29" s="116" t="s">
        <v>25</v>
      </c>
      <c r="D29" s="116" t="s">
        <v>25</v>
      </c>
      <c r="E29" s="116" t="s">
        <v>25</v>
      </c>
      <c r="F29" s="116" t="s">
        <v>82</v>
      </c>
      <c r="G29" s="36" t="s">
        <v>121</v>
      </c>
      <c r="H29" s="36" t="s">
        <v>120</v>
      </c>
      <c r="I29" s="36">
        <f>'MERCADO TUSD'!$U$26</f>
        <v>42000</v>
      </c>
      <c r="J29" s="16"/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/>
      <c r="U29" s="33">
        <f>TRANSICAO!$U$29*CUSTOS!$R$3</f>
        <v>2.9651999999999998</v>
      </c>
      <c r="V29" s="33">
        <f>TRANSICAO!$V$29*CUSTOS!$R$3</f>
        <v>0.38279999999999997</v>
      </c>
      <c r="W29" s="33">
        <f>TRANSICAO!$W$29*CUSTOS!$R$3</f>
        <v>0</v>
      </c>
      <c r="X29" s="33">
        <f>TRANSICAO!$X$29*CUSTOS!$R$3</f>
        <v>0</v>
      </c>
      <c r="Y29" s="33">
        <f>TRANSICAO!$Y$29*CUSTOS!$R$3</f>
        <v>10.030900000000001</v>
      </c>
      <c r="Z29" s="33">
        <f>TRANSICAO!$Z$29*CUSTOS!$R$3</f>
        <v>0</v>
      </c>
      <c r="AA29" s="33">
        <f>TRANSICAO!$AA$29*CUSTOS!$R$3</f>
        <v>0</v>
      </c>
      <c r="AB29" s="33">
        <f>TRANSICAO!$AB$29*CUSTOS!$R$3</f>
        <v>0</v>
      </c>
      <c r="AC29" s="33">
        <f>TRANSICAO!$AC$29*CUSTOS!$R$3</f>
        <v>15.983499999999999</v>
      </c>
      <c r="AD29" s="33">
        <f>TRANSICAO!$AD$29*CUSTOS!$R$3</f>
        <v>0</v>
      </c>
      <c r="AE29" s="33">
        <v>0</v>
      </c>
      <c r="AF29" s="33">
        <v>0</v>
      </c>
      <c r="AG29" s="33"/>
      <c r="AH29" s="33">
        <v>0</v>
      </c>
      <c r="AI29" s="33">
        <v>0</v>
      </c>
      <c r="AJ29" s="33">
        <v>0</v>
      </c>
      <c r="AK29" s="33">
        <f t="shared" si="0"/>
        <v>0</v>
      </c>
      <c r="AL29" s="33"/>
      <c r="AM29" s="33"/>
      <c r="AP29" s="33">
        <v>1</v>
      </c>
    </row>
    <row r="30" spans="1:42" ht="11.25" customHeight="1" x14ac:dyDescent="0.25">
      <c r="A30" s="116"/>
      <c r="B30" s="116"/>
      <c r="C30" s="116"/>
      <c r="D30" s="116"/>
      <c r="E30" s="116"/>
      <c r="F30" s="116"/>
      <c r="G30" s="36" t="s">
        <v>122</v>
      </c>
      <c r="H30" s="36" t="s">
        <v>120</v>
      </c>
      <c r="I30" s="36">
        <f>'MERCADO TUSD'!$U$27</f>
        <v>42000</v>
      </c>
      <c r="J30" s="16"/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/>
      <c r="U30" s="33">
        <f>TRANSICAO!$U$30*CUSTOS!$R$3</f>
        <v>2.5049999999999999</v>
      </c>
      <c r="V30" s="33">
        <f>TRANSICAO!$V$30*CUSTOS!$R$3</f>
        <v>0.32869999999999999</v>
      </c>
      <c r="W30" s="33">
        <f>TRANSICAO!$W$30*CUSTOS!$R$3</f>
        <v>0</v>
      </c>
      <c r="X30" s="33">
        <f>TRANSICAO!$X$30*CUSTOS!$R$3</f>
        <v>0</v>
      </c>
      <c r="Y30" s="33">
        <f>TRANSICAO!$Y$30*CUSTOS!$R$3</f>
        <v>5.8818000000000001</v>
      </c>
      <c r="Z30" s="33">
        <f>TRANSICAO!$Z$30*CUSTOS!$R$3</f>
        <v>0</v>
      </c>
      <c r="AA30" s="33">
        <f>TRANSICAO!$AA$30*CUSTOS!$R$3</f>
        <v>0</v>
      </c>
      <c r="AB30" s="33">
        <f>TRANSICAO!$AB$30*CUSTOS!$R$3</f>
        <v>0</v>
      </c>
      <c r="AC30" s="33">
        <f>TRANSICAO!$AC$30*CUSTOS!$R$3</f>
        <v>5.3041999999999998</v>
      </c>
      <c r="AD30" s="33">
        <f>TRANSICAO!$AD$30*CUSTOS!$R$3</f>
        <v>0</v>
      </c>
      <c r="AE30" s="33">
        <v>0</v>
      </c>
      <c r="AF30" s="33">
        <v>0</v>
      </c>
      <c r="AG30" s="33"/>
      <c r="AH30" s="33">
        <v>0</v>
      </c>
      <c r="AI30" s="33">
        <v>0</v>
      </c>
      <c r="AJ30" s="33">
        <v>0</v>
      </c>
      <c r="AK30" s="33">
        <f t="shared" si="0"/>
        <v>0</v>
      </c>
      <c r="AL30" s="33"/>
      <c r="AM30" s="33"/>
      <c r="AP30" s="33">
        <v>1</v>
      </c>
    </row>
    <row r="31" spans="1:42" ht="11.25" customHeight="1" x14ac:dyDescent="0.25">
      <c r="A31" s="116"/>
      <c r="B31" s="116"/>
      <c r="C31" s="116"/>
      <c r="D31" s="116"/>
      <c r="E31" s="116"/>
      <c r="F31" s="116"/>
      <c r="G31" s="36" t="s">
        <v>123</v>
      </c>
      <c r="H31" s="36" t="s">
        <v>117</v>
      </c>
      <c r="I31" s="36">
        <f>'MERCADO TUSD'!$U$28</f>
        <v>10288.219999999999</v>
      </c>
      <c r="J31" s="16"/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/>
      <c r="U31" s="33">
        <f>TRANSICAO!$U$31*CUSTOS!$R$3</f>
        <v>0</v>
      </c>
      <c r="V31" s="33">
        <f>TRANSICAO!$V$31*CUSTOS!$R$3</f>
        <v>0</v>
      </c>
      <c r="W31" s="33">
        <f>TRANSICAO!$W$31*CUSTOS!$R$3</f>
        <v>0</v>
      </c>
      <c r="X31" s="33">
        <f>TRANSICAO!$X$31*CUSTOS!$R$3</f>
        <v>0</v>
      </c>
      <c r="Y31" s="33">
        <f>TRANSICAO!$Y$31*CUSTOS!$R$3</f>
        <v>0</v>
      </c>
      <c r="Z31" s="33">
        <f>TRANSICAO!$Z$31*CUSTOS!$R$3</f>
        <v>0</v>
      </c>
      <c r="AA31" s="33">
        <f>TRANSICAO!$AA$31*CUSTOS!$R$3</f>
        <v>0</v>
      </c>
      <c r="AB31" s="33">
        <f>TRANSICAO!$AB$31*CUSTOS!$R$3</f>
        <v>0</v>
      </c>
      <c r="AC31" s="33">
        <f>TRANSICAO!$AC$31*CUSTOS!$R$3</f>
        <v>0</v>
      </c>
      <c r="AD31" s="33">
        <f>TRANSICAO!$AD$31*CUSTOS!$R$3</f>
        <v>0</v>
      </c>
      <c r="AE31" s="33">
        <v>0</v>
      </c>
      <c r="AF31" s="33">
        <v>0</v>
      </c>
      <c r="AG31" s="33"/>
      <c r="AH31" s="33">
        <v>20.209499999999998</v>
      </c>
      <c r="AI31" s="33">
        <v>20.209499999999998</v>
      </c>
      <c r="AJ31" s="33">
        <v>0</v>
      </c>
      <c r="AK31" s="33">
        <f t="shared" si="0"/>
        <v>0</v>
      </c>
      <c r="AL31" s="33"/>
      <c r="AM31" s="33"/>
      <c r="AP31" s="33">
        <v>1</v>
      </c>
    </row>
    <row r="32" spans="1:42" ht="11.25" customHeight="1" x14ac:dyDescent="0.25">
      <c r="A32" s="116"/>
      <c r="B32" s="37" t="s">
        <v>64</v>
      </c>
      <c r="C32" s="37" t="s">
        <v>25</v>
      </c>
      <c r="D32" s="37" t="s">
        <v>25</v>
      </c>
      <c r="E32" s="37" t="s">
        <v>25</v>
      </c>
      <c r="F32" s="37" t="s">
        <v>25</v>
      </c>
      <c r="G32" s="36" t="s">
        <v>9</v>
      </c>
      <c r="H32" s="36" t="s">
        <v>120</v>
      </c>
      <c r="I32" s="36">
        <f>'MERCADO TUSD'!$U$29</f>
        <v>481675</v>
      </c>
      <c r="J32" s="16"/>
      <c r="L32" s="33">
        <v>0</v>
      </c>
      <c r="M32" s="33">
        <v>6.08E-2</v>
      </c>
      <c r="N32" s="33">
        <f>0.1527</f>
        <v>0.1527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/>
      <c r="U32" s="33">
        <f>TRANSICAO!$U$32*CUSTOS!$R$4</f>
        <v>0</v>
      </c>
      <c r="V32" s="33">
        <f>TRANSICAO!$V$32*CUSTOS!$R$4</f>
        <v>0</v>
      </c>
      <c r="W32" s="33">
        <f>TRANSICAO!$W$32*CUSTOS!$R$4</f>
        <v>0</v>
      </c>
      <c r="X32" s="33">
        <f>TRANSICAO!$X$32*CUSTOS!$R$4</f>
        <v>0</v>
      </c>
      <c r="Y32" s="33">
        <f>TRANSICAO!$Y$32*CUSTOS!$R$4</f>
        <v>0</v>
      </c>
      <c r="Z32" s="33">
        <f>TRANSICAO!$Z$32*CUSTOS!$R$4</f>
        <v>0</v>
      </c>
      <c r="AA32" s="33">
        <f>TRANSICAO!$AA$32*CUSTOS!$R$4</f>
        <v>0</v>
      </c>
      <c r="AB32" s="33">
        <f>TRANSICAO!$AB$32*CUSTOS!$R$4</f>
        <v>0</v>
      </c>
      <c r="AC32" s="33">
        <f>TRANSICAO!$AC$32*CUSTOS!$R$4</f>
        <v>15.2041</v>
      </c>
      <c r="AD32" s="33">
        <f>TRANSICAO!$AD$32*CUSTOS!$R$4</f>
        <v>0</v>
      </c>
      <c r="AE32" s="33">
        <v>0</v>
      </c>
      <c r="AF32" s="33">
        <v>0</v>
      </c>
      <c r="AG32" s="33"/>
      <c r="AH32" s="33">
        <v>4.4000000000000003E-3</v>
      </c>
      <c r="AI32" s="33">
        <v>0</v>
      </c>
      <c r="AJ32" s="33">
        <v>0</v>
      </c>
      <c r="AK32" s="33">
        <f t="shared" si="0"/>
        <v>0</v>
      </c>
      <c r="AL32" s="33"/>
      <c r="AM32" s="33"/>
      <c r="AP32" s="33"/>
    </row>
    <row r="33" spans="1:42" ht="11.25" customHeight="1" x14ac:dyDescent="0.25">
      <c r="A33" s="116"/>
      <c r="B33" s="116" t="s">
        <v>42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36" t="s">
        <v>9</v>
      </c>
      <c r="H33" s="36" t="s">
        <v>120</v>
      </c>
      <c r="I33" s="36">
        <f>'MERCADO TUSD'!$U$30</f>
        <v>1292343</v>
      </c>
      <c r="J33" s="16"/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/>
      <c r="U33" s="33">
        <f>TRANSICAO!$U$33*CUSTOS!$R$3</f>
        <v>2.5049999999999999</v>
      </c>
      <c r="V33" s="33">
        <f>TRANSICAO!$V$33*CUSTOS!$R$3</f>
        <v>0.32869999999999999</v>
      </c>
      <c r="W33" s="33">
        <f>TRANSICAO!$W$33*CUSTOS!$R$3</f>
        <v>0</v>
      </c>
      <c r="X33" s="33">
        <f>TRANSICAO!$X$33*CUSTOS!$R$3</f>
        <v>0</v>
      </c>
      <c r="Y33" s="33">
        <f>TRANSICAO!$Y$33*CUSTOS!$R$3</f>
        <v>5.8818000000000001</v>
      </c>
      <c r="Z33" s="33">
        <f>TRANSICAO!$Z$33*CUSTOS!$R$3</f>
        <v>0</v>
      </c>
      <c r="AA33" s="33">
        <f>TRANSICAO!$AA$33*CUSTOS!$R$3</f>
        <v>0</v>
      </c>
      <c r="AB33" s="33">
        <f>TRANSICAO!$AB$33*CUSTOS!$R$3</f>
        <v>0</v>
      </c>
      <c r="AC33" s="33">
        <f>TRANSICAO!$AC$33*CUSTOS!$R$3</f>
        <v>17.960100000000001</v>
      </c>
      <c r="AD33" s="33">
        <f>TRANSICAO!$AD$33*CUSTOS!$R$3</f>
        <v>0</v>
      </c>
      <c r="AE33" s="33">
        <v>0</v>
      </c>
      <c r="AF33" s="33">
        <v>0</v>
      </c>
      <c r="AG33" s="33"/>
      <c r="AH33" s="33">
        <v>0</v>
      </c>
      <c r="AI33" s="33">
        <v>0</v>
      </c>
      <c r="AJ33" s="33">
        <v>0</v>
      </c>
      <c r="AK33" s="33">
        <f t="shared" si="0"/>
        <v>0</v>
      </c>
      <c r="AL33" s="33"/>
      <c r="AM33" s="33"/>
      <c r="AP33" s="33">
        <v>1</v>
      </c>
    </row>
    <row r="34" spans="1:42" ht="11.25" customHeight="1" x14ac:dyDescent="0.25">
      <c r="A34" s="116"/>
      <c r="B34" s="116"/>
      <c r="C34" s="116"/>
      <c r="D34" s="116"/>
      <c r="E34" s="116"/>
      <c r="F34" s="116"/>
      <c r="G34" s="36" t="s">
        <v>118</v>
      </c>
      <c r="H34" s="36" t="s">
        <v>117</v>
      </c>
      <c r="I34" s="36">
        <f>'MERCADO TUSD'!$U$31</f>
        <v>14035.833999999999</v>
      </c>
      <c r="J34" s="16"/>
      <c r="L34" s="33">
        <f>0.84</f>
        <v>0.84</v>
      </c>
      <c r="M34" s="33">
        <f>IF(AND((+$I$27+$I$28+$I$34+$I$35+$I$36+$I$37)&lt;&gt;0,SUMPRODUCT($I$5:$I$74,$AC$5:$AC$74,$AP$5:$AP$74)&lt;&gt;0),$M$79*SUMPRODUCT($I$25:$I$37,$AC$25:$AC$37,$AP$25:$AP$37)/SUMPRODUCT($I$5:$I$74,$AC$5:$AC$74,$AP$5:$AP$74)/(+$I$27+$I$28+$I$34+$I$35+$I$36+$I$37),0)</f>
        <v>0.92249834624624172</v>
      </c>
      <c r="N34" s="33">
        <f ca="1">(+M34+O34+R34+U34+V34+W34+X34+Y34+Z34+AA34+AC34+AH34+AI34+AJ34+AK34)*CUSTOS!$M$5</f>
        <v>16.681557366052168</v>
      </c>
      <c r="O34" s="33">
        <v>1</v>
      </c>
      <c r="P34" s="33">
        <v>1</v>
      </c>
      <c r="Q34" s="33">
        <f>0.84</f>
        <v>0.84</v>
      </c>
      <c r="R34" s="33">
        <v>1</v>
      </c>
      <c r="S34" s="33">
        <v>1</v>
      </c>
      <c r="T34" s="33"/>
      <c r="U34" s="33">
        <f>TRANSICAO!$U$34*CUSTOS!$R$3</f>
        <v>71.312700000000007</v>
      </c>
      <c r="V34" s="33">
        <f>TRANSICAO!$V$34*CUSTOS!$R$3</f>
        <v>9.2065000000000001</v>
      </c>
      <c r="W34" s="33">
        <f>TRANSICAO!$W$34*CUSTOS!$R$3</f>
        <v>0</v>
      </c>
      <c r="X34" s="33">
        <f>TRANSICAO!$X$34*CUSTOS!$R$3</f>
        <v>0</v>
      </c>
      <c r="Y34" s="33">
        <f>TRANSICAO!$Y$34*CUSTOS!$R$3</f>
        <v>241.2432</v>
      </c>
      <c r="Z34" s="33">
        <f>TRANSICAO!$Z$34*CUSTOS!$R$3</f>
        <v>0</v>
      </c>
      <c r="AA34" s="33">
        <f>TRANSICAO!$AA$34*CUSTOS!$R$3</f>
        <v>0</v>
      </c>
      <c r="AB34" s="33">
        <f>TRANSICAO!$AB$34*CUSTOS!$R$3</f>
        <v>0</v>
      </c>
      <c r="AC34" s="33">
        <f>TRANSICAO!$AC$34*CUSTOS!$R$3</f>
        <v>1301.5934999999999</v>
      </c>
      <c r="AD34" s="33">
        <f>TRANSICAO!$AD$34*CUSTOS!$R$3</f>
        <v>0</v>
      </c>
      <c r="AE34" s="33">
        <v>0</v>
      </c>
      <c r="AF34" s="33">
        <v>0</v>
      </c>
      <c r="AG34" s="33"/>
      <c r="AH34" s="33">
        <v>20.209499999999998</v>
      </c>
      <c r="AI34" s="33">
        <v>20.209499999999998</v>
      </c>
      <c r="AJ34" s="33">
        <f ca="1">$N$88</f>
        <v>0.72916912948532975</v>
      </c>
      <c r="AK34" s="33">
        <f t="shared" ca="1" si="0"/>
        <v>0.72916912948532975</v>
      </c>
      <c r="AL34" s="33"/>
      <c r="AM34" s="33"/>
      <c r="AP34" s="33">
        <v>1</v>
      </c>
    </row>
    <row r="35" spans="1:42" ht="11.25" customHeight="1" x14ac:dyDescent="0.25">
      <c r="A35" s="116"/>
      <c r="B35" s="116"/>
      <c r="C35" s="116"/>
      <c r="D35" s="116"/>
      <c r="E35" s="116"/>
      <c r="F35" s="116"/>
      <c r="G35" s="36" t="s">
        <v>119</v>
      </c>
      <c r="H35" s="36" t="s">
        <v>117</v>
      </c>
      <c r="I35" s="36">
        <f>'MERCADO TUSD'!$U$32</f>
        <v>241555.38800000004</v>
      </c>
      <c r="J35" s="16"/>
      <c r="L35" s="33">
        <f>0.84</f>
        <v>0.84</v>
      </c>
      <c r="M35" s="33">
        <f>IF(AND((+$I$27+$I$28+$I$34+$I$35+$I$36+$I$37)&lt;&gt;0,SUMPRODUCT($I$5:$I$74,$AC$5:$AC$74,$AP$5:$AP$74)&lt;&gt;0),$M$79*SUMPRODUCT($I$25:$I$37,$AC$25:$AC$37,$AP$25:$AP$37)/SUMPRODUCT($I$5:$I$74,$AC$5:$AC$74,$AP$5:$AP$74)/(+$I$27+$I$28+$I$34+$I$35+$I$36+$I$37),0)</f>
        <v>0.92249834624624172</v>
      </c>
      <c r="N35" s="33">
        <f ca="1">(+M35+O35+R35+U35+V35+W35+X35+Y35+Z35+AA35+AC35+AH35+AI35+AJ35+AK35)*CUSTOS!$M$5</f>
        <v>0.44799836605216897</v>
      </c>
      <c r="O35" s="33">
        <v>1</v>
      </c>
      <c r="P35" s="33">
        <v>1</v>
      </c>
      <c r="Q35" s="33">
        <f>0.84</f>
        <v>0.84</v>
      </c>
      <c r="R35" s="33">
        <v>1</v>
      </c>
      <c r="S35" s="33">
        <v>1</v>
      </c>
      <c r="T35" s="33"/>
      <c r="U35" s="33">
        <f>TRANSICAO!$U$35*CUSTOS!$R$3</f>
        <v>0</v>
      </c>
      <c r="V35" s="33">
        <f>TRANSICAO!$V$35*CUSTOS!$R$3</f>
        <v>0</v>
      </c>
      <c r="W35" s="33">
        <f>TRANSICAO!$W$35*CUSTOS!$R$3</f>
        <v>0</v>
      </c>
      <c r="X35" s="33">
        <f>TRANSICAO!$X$35*CUSTOS!$R$3</f>
        <v>0</v>
      </c>
      <c r="Y35" s="33">
        <f>TRANSICAO!$Y$35*CUSTOS!$R$3</f>
        <v>0</v>
      </c>
      <c r="Z35" s="33">
        <f>TRANSICAO!$Z$35*CUSTOS!$R$3</f>
        <v>0</v>
      </c>
      <c r="AA35" s="33">
        <f>TRANSICAO!$AA$35*CUSTOS!$R$3</f>
        <v>0</v>
      </c>
      <c r="AB35" s="33">
        <f>TRANSICAO!$AB$35*CUSTOS!$R$3</f>
        <v>0</v>
      </c>
      <c r="AC35" s="33">
        <f>TRANSICAO!$AC$35*CUSTOS!$R$3</f>
        <v>0</v>
      </c>
      <c r="AD35" s="33">
        <f>TRANSICAO!$AD$35*CUSTOS!$R$3</f>
        <v>0</v>
      </c>
      <c r="AE35" s="33">
        <v>0</v>
      </c>
      <c r="AF35" s="33">
        <v>0</v>
      </c>
      <c r="AG35" s="33"/>
      <c r="AH35" s="33">
        <v>20.209499999999998</v>
      </c>
      <c r="AI35" s="33">
        <v>20.209499999999998</v>
      </c>
      <c r="AJ35" s="33">
        <f ca="1">$N$88</f>
        <v>0.72916912948532975</v>
      </c>
      <c r="AK35" s="33">
        <f t="shared" ca="1" si="0"/>
        <v>0.72916912948532975</v>
      </c>
      <c r="AL35" s="33"/>
      <c r="AM35" s="33"/>
      <c r="AP35" s="33">
        <v>1</v>
      </c>
    </row>
    <row r="36" spans="1:42" ht="11.25" customHeight="1" x14ac:dyDescent="0.25">
      <c r="A36" s="116"/>
      <c r="B36" s="116"/>
      <c r="C36" s="116"/>
      <c r="D36" s="116"/>
      <c r="E36" s="116" t="s">
        <v>61</v>
      </c>
      <c r="F36" s="116" t="s">
        <v>25</v>
      </c>
      <c r="G36" s="36" t="s">
        <v>118</v>
      </c>
      <c r="H36" s="36" t="s">
        <v>117</v>
      </c>
      <c r="I36" s="36">
        <f>'MERCADO TUSD'!$U$33</f>
        <v>0</v>
      </c>
      <c r="J36" s="16"/>
      <c r="L36" s="33">
        <v>0</v>
      </c>
      <c r="M36" s="33">
        <f>IF(AND((+$I$27+$I$28+$I$34+$I$35+$I$36+$I$37)&lt;&gt;0,SUMPRODUCT($I$5:$I$74,$AC$5:$AC$74,$AP$5:$AP$74)&lt;&gt;0),$M$79*SUMPRODUCT($I$25:$I$37,$AC$25:$AC$37,$AP$25:$AP$37)/SUMPRODUCT($I$5:$I$74,$AC$5:$AC$74,$AP$5:$AP$74)/(+$I$27+$I$28+$I$34+$I$35+$I$36+$I$37),0)</f>
        <v>0.92249834624624172</v>
      </c>
      <c r="N36" s="33">
        <f ca="1">(+M36+O36+R36+U36+V36+W36+X36+Y36+Z36+AA36+AC36+AH36+AI36+AJ36+AK36)*CUSTOS!$M$5</f>
        <v>16.67155736605217</v>
      </c>
      <c r="O36" s="33">
        <v>1</v>
      </c>
      <c r="P36" s="33">
        <v>0</v>
      </c>
      <c r="Q36" s="33">
        <v>0</v>
      </c>
      <c r="R36" s="33">
        <v>0</v>
      </c>
      <c r="S36" s="33">
        <v>0</v>
      </c>
      <c r="T36" s="33"/>
      <c r="U36" s="33">
        <f>TRANSICAO!$U$36*CUSTOS!$R$3</f>
        <v>71.312700000000007</v>
      </c>
      <c r="V36" s="33">
        <f>TRANSICAO!$V$36*CUSTOS!$R$3</f>
        <v>9.2065000000000001</v>
      </c>
      <c r="W36" s="33">
        <f>TRANSICAO!$W$36*CUSTOS!$R$3</f>
        <v>0</v>
      </c>
      <c r="X36" s="33">
        <f>TRANSICAO!$X$36*CUSTOS!$R$3</f>
        <v>0</v>
      </c>
      <c r="Y36" s="33">
        <f>TRANSICAO!$Y$36*CUSTOS!$R$3</f>
        <v>241.2432</v>
      </c>
      <c r="Z36" s="33">
        <f>TRANSICAO!$Z$36*CUSTOS!$R$3</f>
        <v>0</v>
      </c>
      <c r="AA36" s="33">
        <f>TRANSICAO!$AA$36*CUSTOS!$R$3</f>
        <v>0</v>
      </c>
      <c r="AB36" s="33">
        <f>TRANSICAO!$AB$36*CUSTOS!$R$3</f>
        <v>0</v>
      </c>
      <c r="AC36" s="33">
        <f>TRANSICAO!$AC$36*CUSTOS!$R$3</f>
        <v>1301.5934999999999</v>
      </c>
      <c r="AD36" s="33">
        <f>TRANSICAO!$AD$36*CUSTOS!$R$3</f>
        <v>0</v>
      </c>
      <c r="AE36" s="33">
        <v>0</v>
      </c>
      <c r="AF36" s="33">
        <v>0</v>
      </c>
      <c r="AG36" s="33"/>
      <c r="AH36" s="33">
        <v>20.209499999999998</v>
      </c>
      <c r="AI36" s="33">
        <v>20.209499999999998</v>
      </c>
      <c r="AJ36" s="33">
        <f ca="1">$N$88</f>
        <v>0.72916912948532975</v>
      </c>
      <c r="AK36" s="33">
        <f t="shared" ca="1" si="0"/>
        <v>0.72916912948532975</v>
      </c>
      <c r="AL36" s="33"/>
      <c r="AM36" s="33"/>
      <c r="AP36" s="33">
        <v>1</v>
      </c>
    </row>
    <row r="37" spans="1:42" ht="11.25" customHeight="1" x14ac:dyDescent="0.25">
      <c r="A37" s="116"/>
      <c r="B37" s="116"/>
      <c r="C37" s="116"/>
      <c r="D37" s="116"/>
      <c r="E37" s="116"/>
      <c r="F37" s="116"/>
      <c r="G37" s="36" t="s">
        <v>119</v>
      </c>
      <c r="H37" s="36" t="s">
        <v>117</v>
      </c>
      <c r="I37" s="36">
        <f>'MERCADO TUSD'!$U$34</f>
        <v>0</v>
      </c>
      <c r="J37" s="16"/>
      <c r="L37" s="33">
        <v>0</v>
      </c>
      <c r="M37" s="33">
        <f>IF(AND((+$I$27+$I$28+$I$34+$I$35+$I$36+$I$37)&lt;&gt;0,SUMPRODUCT($I$5:$I$74,$AC$5:$AC$74,$AP$5:$AP$74)&lt;&gt;0),$M$79*SUMPRODUCT($I$25:$I$37,$AC$25:$AC$37,$AP$25:$AP$37)/SUMPRODUCT($I$5:$I$74,$AC$5:$AC$74,$AP$5:$AP$74)/(+$I$27+$I$28+$I$34+$I$35+$I$36+$I$37),0)</f>
        <v>0.92249834624624172</v>
      </c>
      <c r="N37" s="33">
        <f ca="1">(+M37+O37+R37+U37+V37+W37+X37+Y37+Z37+AA37+AC37+AH37+AI37+AJ37+AK37)*CUSTOS!$M$5</f>
        <v>0.43799836605216896</v>
      </c>
      <c r="O37" s="33">
        <v>1</v>
      </c>
      <c r="P37" s="33">
        <v>0</v>
      </c>
      <c r="Q37" s="33">
        <v>0</v>
      </c>
      <c r="R37" s="33">
        <v>0</v>
      </c>
      <c r="S37" s="33">
        <v>0</v>
      </c>
      <c r="T37" s="33"/>
      <c r="U37" s="33">
        <f>TRANSICAO!$U$37*CUSTOS!$R$3</f>
        <v>0</v>
      </c>
      <c r="V37" s="33">
        <f>TRANSICAO!$V$37*CUSTOS!$R$3</f>
        <v>0</v>
      </c>
      <c r="W37" s="33">
        <f>TRANSICAO!$W$37*CUSTOS!$R$3</f>
        <v>0</v>
      </c>
      <c r="X37" s="33">
        <f>TRANSICAO!$X$37*CUSTOS!$R$3</f>
        <v>0</v>
      </c>
      <c r="Y37" s="33">
        <f>TRANSICAO!$Y$37*CUSTOS!$R$3</f>
        <v>0</v>
      </c>
      <c r="Z37" s="33">
        <f>TRANSICAO!$Z$37*CUSTOS!$R$3</f>
        <v>0</v>
      </c>
      <c r="AA37" s="33">
        <f>TRANSICAO!$AA$37*CUSTOS!$R$3</f>
        <v>0</v>
      </c>
      <c r="AB37" s="33">
        <f>TRANSICAO!$AB$37*CUSTOS!$R$3</f>
        <v>0</v>
      </c>
      <c r="AC37" s="33">
        <f>TRANSICAO!$AC$37*CUSTOS!$R$3</f>
        <v>0</v>
      </c>
      <c r="AD37" s="33">
        <f>TRANSICAO!$AD$37*CUSTOS!$R$3</f>
        <v>0</v>
      </c>
      <c r="AE37" s="33">
        <v>0</v>
      </c>
      <c r="AF37" s="33">
        <v>0</v>
      </c>
      <c r="AG37" s="33"/>
      <c r="AH37" s="33">
        <v>20.209499999999998</v>
      </c>
      <c r="AI37" s="33">
        <v>20.209499999999998</v>
      </c>
      <c r="AJ37" s="33">
        <f ca="1">$N$88</f>
        <v>0.72916912948532975</v>
      </c>
      <c r="AK37" s="33">
        <f t="shared" ref="AK37:AK68" ca="1" si="1">AJ37</f>
        <v>0.72916912948532975</v>
      </c>
      <c r="AL37" s="33"/>
      <c r="AM37" s="33"/>
      <c r="AP37" s="33">
        <v>1</v>
      </c>
    </row>
    <row r="38" spans="1:42" ht="11.25" customHeight="1" x14ac:dyDescent="0.25">
      <c r="A38" s="116" t="s">
        <v>125</v>
      </c>
      <c r="B38" s="116" t="s">
        <v>64</v>
      </c>
      <c r="C38" s="116" t="s">
        <v>25</v>
      </c>
      <c r="D38" s="116" t="s">
        <v>25</v>
      </c>
      <c r="E38" s="37" t="s">
        <v>126</v>
      </c>
      <c r="F38" s="37" t="s">
        <v>25</v>
      </c>
      <c r="G38" s="36" t="s">
        <v>9</v>
      </c>
      <c r="H38" s="36" t="s">
        <v>120</v>
      </c>
      <c r="I38" s="36">
        <f>'MERCADO TUSD'!$U$35+0.00000001</f>
        <v>1E-8</v>
      </c>
      <c r="J38" s="16"/>
      <c r="L38" s="33">
        <v>0</v>
      </c>
      <c r="M38" s="33">
        <v>4.1999999999999997E-3</v>
      </c>
      <c r="N38" s="33">
        <f>0.0105</f>
        <v>1.0500000000000001E-2</v>
      </c>
      <c r="O38" s="33">
        <v>0</v>
      </c>
      <c r="P38" s="33">
        <v>0</v>
      </c>
      <c r="Q38" s="33">
        <v>0</v>
      </c>
      <c r="R38" s="33">
        <v>0</v>
      </c>
      <c r="S38" s="33">
        <v>0</v>
      </c>
      <c r="T38" s="33"/>
      <c r="U38" s="33">
        <f>TRANSICAO!$U$38*CUSTOS!$T$4</f>
        <v>0</v>
      </c>
      <c r="V38" s="33">
        <f>TRANSICAO!$V$38*CUSTOS!$T$4</f>
        <v>0</v>
      </c>
      <c r="W38" s="33">
        <f>TRANSICAO!$W$38*CUSTOS!$T$4</f>
        <v>0</v>
      </c>
      <c r="X38" s="33">
        <f>TRANSICAO!$X$38*CUSTOS!$T$4</f>
        <v>0</v>
      </c>
      <c r="Y38" s="33">
        <f>TRANSICAO!$Y$38*CUSTOS!$T$4</f>
        <v>0</v>
      </c>
      <c r="Z38" s="33">
        <f>TRANSICAO!$Z$38*CUSTOS!$T$4</f>
        <v>0</v>
      </c>
      <c r="AA38" s="33">
        <f>TRANSICAO!$AA$38*CUSTOS!$T$4</f>
        <v>0</v>
      </c>
      <c r="AB38" s="33">
        <f>TRANSICAO!$AB$38*CUSTOS!$T$4</f>
        <v>0</v>
      </c>
      <c r="AC38" s="33">
        <f>TRANSICAO!$AC$38*CUSTOS!$T$4</f>
        <v>1.0415000000000001</v>
      </c>
      <c r="AD38" s="33">
        <f>TRANSICAO!$AD$38*CUSTOS!$T$4</f>
        <v>0</v>
      </c>
      <c r="AE38" s="33">
        <v>0</v>
      </c>
      <c r="AF38" s="33">
        <v>0</v>
      </c>
      <c r="AG38" s="33"/>
      <c r="AH38" s="33">
        <v>0</v>
      </c>
      <c r="AI38" s="33">
        <v>0</v>
      </c>
      <c r="AJ38" s="33">
        <v>0</v>
      </c>
      <c r="AK38" s="33">
        <f t="shared" si="1"/>
        <v>0</v>
      </c>
      <c r="AL38" s="33"/>
      <c r="AM38" s="33"/>
      <c r="AP38" s="33"/>
    </row>
    <row r="39" spans="1:42" ht="11.25" customHeight="1" x14ac:dyDescent="0.25">
      <c r="A39" s="116"/>
      <c r="B39" s="116"/>
      <c r="C39" s="116"/>
      <c r="D39" s="116"/>
      <c r="E39" s="37" t="s">
        <v>127</v>
      </c>
      <c r="F39" s="37" t="s">
        <v>25</v>
      </c>
      <c r="G39" s="36" t="s">
        <v>9</v>
      </c>
      <c r="H39" s="36" t="s">
        <v>120</v>
      </c>
      <c r="I39" s="36">
        <f>'MERCADO TUSD'!$U$36+0.00000001</f>
        <v>1E-8</v>
      </c>
      <c r="J39" s="16"/>
      <c r="L39" s="33">
        <v>0</v>
      </c>
      <c r="M39" s="33">
        <v>4.1999999999999997E-3</v>
      </c>
      <c r="N39" s="33">
        <f>0.0105</f>
        <v>1.0500000000000001E-2</v>
      </c>
      <c r="O39" s="33">
        <v>0</v>
      </c>
      <c r="P39" s="33">
        <v>0</v>
      </c>
      <c r="Q39" s="33">
        <v>0</v>
      </c>
      <c r="R39" s="33">
        <v>0</v>
      </c>
      <c r="S39" s="33">
        <v>0</v>
      </c>
      <c r="T39" s="33"/>
      <c r="U39" s="33">
        <f>TRANSICAO!$U$39*CUSTOS!$T$4</f>
        <v>0</v>
      </c>
      <c r="V39" s="33">
        <f>TRANSICAO!$V$39*CUSTOS!$T$4</f>
        <v>0</v>
      </c>
      <c r="W39" s="33">
        <f>TRANSICAO!$W$39*CUSTOS!$T$4</f>
        <v>0</v>
      </c>
      <c r="X39" s="33">
        <f>TRANSICAO!$X$39*CUSTOS!$T$4</f>
        <v>0</v>
      </c>
      <c r="Y39" s="33">
        <f>TRANSICAO!$Y$39*CUSTOS!$T$4</f>
        <v>0</v>
      </c>
      <c r="Z39" s="33">
        <f>TRANSICAO!$Z$39*CUSTOS!$T$4</f>
        <v>0</v>
      </c>
      <c r="AA39" s="33">
        <f>TRANSICAO!$AA$39*CUSTOS!$T$4</f>
        <v>0</v>
      </c>
      <c r="AB39" s="33">
        <f>TRANSICAO!$AB$39*CUSTOS!$T$4</f>
        <v>0</v>
      </c>
      <c r="AC39" s="33">
        <f>TRANSICAO!$AC$39*CUSTOS!$T$4</f>
        <v>9.9433000000000007</v>
      </c>
      <c r="AD39" s="33">
        <f>TRANSICAO!$AD$39*CUSTOS!$T$4</f>
        <v>0</v>
      </c>
      <c r="AE39" s="33">
        <v>0</v>
      </c>
      <c r="AF39" s="33">
        <v>0</v>
      </c>
      <c r="AG39" s="33"/>
      <c r="AH39" s="33">
        <v>0</v>
      </c>
      <c r="AI39" s="33">
        <v>0</v>
      </c>
      <c r="AJ39" s="33">
        <v>0</v>
      </c>
      <c r="AK39" s="33">
        <f t="shared" si="1"/>
        <v>0</v>
      </c>
      <c r="AL39" s="33"/>
      <c r="AM39" s="33"/>
      <c r="AP39" s="33"/>
    </row>
    <row r="40" spans="1:42" ht="11.25" customHeight="1" x14ac:dyDescent="0.25">
      <c r="A40" s="116" t="s">
        <v>22</v>
      </c>
      <c r="B40" s="116" t="s">
        <v>33</v>
      </c>
      <c r="C40" s="116" t="s">
        <v>24</v>
      </c>
      <c r="D40" s="116" t="s">
        <v>24</v>
      </c>
      <c r="E40" s="116" t="s">
        <v>25</v>
      </c>
      <c r="F40" s="116" t="s">
        <v>25</v>
      </c>
      <c r="G40" s="36" t="s">
        <v>118</v>
      </c>
      <c r="H40" s="36" t="s">
        <v>117</v>
      </c>
      <c r="I40" s="36">
        <f>'MERCADO TUSD'!$U$37</f>
        <v>17.429000000000002</v>
      </c>
      <c r="J40" s="16"/>
      <c r="L40" s="33">
        <f>1</f>
        <v>1</v>
      </c>
      <c r="M40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</f>
        <v>0.98580407399232461</v>
      </c>
      <c r="N40" s="33">
        <f ca="1">(+M40+O40+R40+U40+V40+W40+X40+Y40+Z40+AA40+AC40+AH40+AI40+AJ40+AK40)*CUSTOS!$M$5</f>
        <v>6.9575894800360452</v>
      </c>
      <c r="O40" s="33">
        <v>1</v>
      </c>
      <c r="P40" s="33">
        <v>1</v>
      </c>
      <c r="Q40" s="33">
        <f>1</f>
        <v>1</v>
      </c>
      <c r="R40" s="33">
        <v>1</v>
      </c>
      <c r="S40" s="33">
        <v>1</v>
      </c>
      <c r="T40" s="33"/>
      <c r="U40" s="33">
        <f>TRANSICAO!$U$40*CUSTOS!$T$3</f>
        <v>34.116300000000003</v>
      </c>
      <c r="V40" s="33">
        <f>TRANSICAO!$V$40*CUSTOS!$T$3</f>
        <v>4.4356</v>
      </c>
      <c r="W40" s="33">
        <f>TRANSICAO!$W$40*CUSTOS!$T$3</f>
        <v>0</v>
      </c>
      <c r="X40" s="33">
        <f>TRANSICAO!$X$40*CUSTOS!$T$3</f>
        <v>0</v>
      </c>
      <c r="Y40" s="33">
        <f>TRANSICAO!$Y$40*CUSTOS!$T$3</f>
        <v>100.1022</v>
      </c>
      <c r="Z40" s="33">
        <f>TRANSICAO!$Z$40*CUSTOS!$T$3</f>
        <v>0</v>
      </c>
      <c r="AA40" s="33">
        <f>TRANSICAO!$AA$40*CUSTOS!$T$3</f>
        <v>0</v>
      </c>
      <c r="AB40" s="33">
        <f>TRANSICAO!$AB$40*CUSTOS!$T$3</f>
        <v>0</v>
      </c>
      <c r="AC40" s="33">
        <f>TRANSICAO!$AC$40*CUSTOS!$T$3</f>
        <v>469.59460000000001</v>
      </c>
      <c r="AD40" s="33">
        <f>TRANSICAO!$AD$40*CUSTOS!$T$3</f>
        <v>0</v>
      </c>
      <c r="AE40" s="33">
        <v>0</v>
      </c>
      <c r="AF40" s="33">
        <v>0</v>
      </c>
      <c r="AG40" s="33"/>
      <c r="AH40" s="33">
        <v>41.493499999999997</v>
      </c>
      <c r="AI40" s="33">
        <v>41.493499999999997</v>
      </c>
      <c r="AJ40" s="33">
        <f ca="1">$N$89</f>
        <v>0.76872196480603727</v>
      </c>
      <c r="AK40" s="33">
        <f t="shared" ca="1" si="1"/>
        <v>0.76872196480603727</v>
      </c>
      <c r="AL40" s="33"/>
      <c r="AM40" s="33"/>
      <c r="AP40" s="33">
        <v>1</v>
      </c>
    </row>
    <row r="41" spans="1:42" ht="11.25" customHeight="1" x14ac:dyDescent="0.25">
      <c r="A41" s="116"/>
      <c r="B41" s="116"/>
      <c r="C41" s="116"/>
      <c r="D41" s="116"/>
      <c r="E41" s="116"/>
      <c r="F41" s="116"/>
      <c r="G41" s="36" t="s">
        <v>128</v>
      </c>
      <c r="H41" s="36" t="s">
        <v>117</v>
      </c>
      <c r="I41" s="36">
        <f>'MERCADO TUSD'!$U$38</f>
        <v>10.807000000000002</v>
      </c>
      <c r="J41" s="16"/>
      <c r="L41" s="33">
        <f>1</f>
        <v>1</v>
      </c>
      <c r="M41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</f>
        <v>0.98580407399232461</v>
      </c>
      <c r="N41" s="33">
        <f ca="1">(+M41+O41+R41+U41+V41+W41+X41+Y41+Z41+AA41+AC41+AH41+AI41+AJ41+AK41)*CUSTOS!$M$5</f>
        <v>4.5245944800360443</v>
      </c>
      <c r="O41" s="33">
        <v>1</v>
      </c>
      <c r="P41" s="33">
        <v>1</v>
      </c>
      <c r="Q41" s="33">
        <f>1</f>
        <v>1</v>
      </c>
      <c r="R41" s="33">
        <v>1</v>
      </c>
      <c r="S41" s="33">
        <v>1</v>
      </c>
      <c r="T41" s="33"/>
      <c r="U41" s="33">
        <f>TRANSICAO!$U$41*CUSTOS!$T$3</f>
        <v>20.469799999999999</v>
      </c>
      <c r="V41" s="33">
        <f>TRANSICAO!$V$41*CUSTOS!$T$3</f>
        <v>2.6614</v>
      </c>
      <c r="W41" s="33">
        <f>TRANSICAO!$W$41*CUSTOS!$T$3</f>
        <v>0</v>
      </c>
      <c r="X41" s="33">
        <f>TRANSICAO!$X$41*CUSTOS!$T$3</f>
        <v>0</v>
      </c>
      <c r="Y41" s="33">
        <f>TRANSICAO!$Y$41*CUSTOS!$T$3</f>
        <v>60.061300000000003</v>
      </c>
      <c r="Z41" s="33">
        <f>TRANSICAO!$Z$41*CUSTOS!$T$3</f>
        <v>0</v>
      </c>
      <c r="AA41" s="33">
        <f>TRANSICAO!$AA$41*CUSTOS!$T$3</f>
        <v>0</v>
      </c>
      <c r="AB41" s="33">
        <f>TRANSICAO!$AB$41*CUSTOS!$T$3</f>
        <v>0</v>
      </c>
      <c r="AC41" s="33">
        <f>TRANSICAO!$AC$41*CUSTOS!$T$3</f>
        <v>281.75670000000002</v>
      </c>
      <c r="AD41" s="33">
        <f>TRANSICAO!$AD$41*CUSTOS!$T$3</f>
        <v>0</v>
      </c>
      <c r="AE41" s="33">
        <v>0</v>
      </c>
      <c r="AF41" s="33">
        <v>0</v>
      </c>
      <c r="AG41" s="33"/>
      <c r="AH41" s="33">
        <v>41.493499999999997</v>
      </c>
      <c r="AI41" s="33">
        <v>41.493499999999997</v>
      </c>
      <c r="AJ41" s="33">
        <f ca="1">$N$89</f>
        <v>0.76872196480603727</v>
      </c>
      <c r="AK41" s="33">
        <f t="shared" ca="1" si="1"/>
        <v>0.76872196480603727</v>
      </c>
      <c r="AL41" s="33"/>
      <c r="AM41" s="33"/>
      <c r="AP41" s="33">
        <v>1</v>
      </c>
    </row>
    <row r="42" spans="1:42" ht="11.25" customHeight="1" x14ac:dyDescent="0.25">
      <c r="A42" s="116"/>
      <c r="B42" s="116"/>
      <c r="C42" s="116"/>
      <c r="D42" s="116"/>
      <c r="E42" s="116"/>
      <c r="F42" s="116"/>
      <c r="G42" s="36" t="s">
        <v>119</v>
      </c>
      <c r="H42" s="36" t="s">
        <v>117</v>
      </c>
      <c r="I42" s="36">
        <f>'MERCADO TUSD'!$U$39</f>
        <v>120.55500000000001</v>
      </c>
      <c r="J42" s="16"/>
      <c r="L42" s="33">
        <f>1</f>
        <v>1</v>
      </c>
      <c r="M42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</f>
        <v>0.98580407399232461</v>
      </c>
      <c r="N42" s="33">
        <f ca="1">(+M42+O42+R42+U42+V42+W42+X42+Y42+Z42+AA42+AC42+AH42+AI42+AJ42+AK42)*CUSTOS!$M$5</f>
        <v>2.0915994800360438</v>
      </c>
      <c r="O42" s="33">
        <v>1</v>
      </c>
      <c r="P42" s="33">
        <v>1</v>
      </c>
      <c r="Q42" s="33">
        <f>1</f>
        <v>1</v>
      </c>
      <c r="R42" s="33">
        <v>1</v>
      </c>
      <c r="S42" s="33">
        <v>1</v>
      </c>
      <c r="T42" s="33"/>
      <c r="U42" s="33">
        <f>TRANSICAO!$U$42*CUSTOS!$T$3</f>
        <v>6.8232999999999997</v>
      </c>
      <c r="V42" s="33">
        <f>TRANSICAO!$V$42*CUSTOS!$T$3</f>
        <v>0.8871</v>
      </c>
      <c r="W42" s="33">
        <f>TRANSICAO!$W$42*CUSTOS!$T$3</f>
        <v>0</v>
      </c>
      <c r="X42" s="33">
        <f>TRANSICAO!$X$42*CUSTOS!$T$3</f>
        <v>0</v>
      </c>
      <c r="Y42" s="33">
        <f>TRANSICAO!$Y$42*CUSTOS!$T$3</f>
        <v>20.020399999999999</v>
      </c>
      <c r="Z42" s="33">
        <f>TRANSICAO!$Z$42*CUSTOS!$T$3</f>
        <v>0</v>
      </c>
      <c r="AA42" s="33">
        <f>TRANSICAO!$AA$42*CUSTOS!$T$3</f>
        <v>0</v>
      </c>
      <c r="AB42" s="33">
        <f>TRANSICAO!$AB$42*CUSTOS!$T$3</f>
        <v>0</v>
      </c>
      <c r="AC42" s="33">
        <f>TRANSICAO!$AC$42*CUSTOS!$T$3</f>
        <v>93.918899999999994</v>
      </c>
      <c r="AD42" s="33">
        <f>TRANSICAO!$AD$42*CUSTOS!$T$3</f>
        <v>0</v>
      </c>
      <c r="AE42" s="33">
        <v>0</v>
      </c>
      <c r="AF42" s="33">
        <v>0</v>
      </c>
      <c r="AG42" s="33"/>
      <c r="AH42" s="33">
        <v>41.493499999999997</v>
      </c>
      <c r="AI42" s="33">
        <v>41.493499999999997</v>
      </c>
      <c r="AJ42" s="33">
        <f ca="1">$N$89</f>
        <v>0.76872196480603727</v>
      </c>
      <c r="AK42" s="33">
        <f t="shared" ca="1" si="1"/>
        <v>0.76872196480603727</v>
      </c>
      <c r="AL42" s="33"/>
      <c r="AM42" s="33"/>
      <c r="AP42" s="33">
        <v>1</v>
      </c>
    </row>
    <row r="43" spans="1:42" ht="11.25" customHeight="1" x14ac:dyDescent="0.25">
      <c r="A43" s="116"/>
      <c r="B43" s="116" t="s">
        <v>23</v>
      </c>
      <c r="C43" s="116" t="s">
        <v>24</v>
      </c>
      <c r="D43" s="37" t="s">
        <v>24</v>
      </c>
      <c r="E43" s="37" t="s">
        <v>25</v>
      </c>
      <c r="F43" s="37" t="s">
        <v>25</v>
      </c>
      <c r="G43" s="36" t="s">
        <v>123</v>
      </c>
      <c r="H43" s="36" t="s">
        <v>117</v>
      </c>
      <c r="I43" s="36">
        <f>'MERCADO TUSD'!$U$40</f>
        <v>426447.22100000002</v>
      </c>
      <c r="J43" s="16"/>
      <c r="L43" s="33">
        <f>1</f>
        <v>1</v>
      </c>
      <c r="M43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</f>
        <v>0.98580407399232461</v>
      </c>
      <c r="N43" s="33">
        <f ca="1">(+M43+O43+R43+U43+V43+W43+X43+Y43+Z43+AA43+AC43+AH43+AI43+AJ43+AK43)*CUSTOS!$M$5</f>
        <v>3.170380480036044</v>
      </c>
      <c r="O43" s="33">
        <v>1</v>
      </c>
      <c r="P43" s="33">
        <v>1</v>
      </c>
      <c r="Q43" s="33">
        <f>1</f>
        <v>1</v>
      </c>
      <c r="R43" s="33">
        <v>1</v>
      </c>
      <c r="S43" s="33">
        <v>1</v>
      </c>
      <c r="T43" s="33"/>
      <c r="U43" s="33">
        <f>TRANSICAO!$U$43*CUSTOS!$T$3</f>
        <v>12.8741</v>
      </c>
      <c r="V43" s="33">
        <f>TRANSICAO!$V$43*CUSTOS!$T$3</f>
        <v>1.6738</v>
      </c>
      <c r="W43" s="33">
        <f>TRANSICAO!$W$43*CUSTOS!$T$3</f>
        <v>0</v>
      </c>
      <c r="X43" s="33">
        <f>TRANSICAO!$X$43*CUSTOS!$T$3</f>
        <v>0</v>
      </c>
      <c r="Y43" s="33">
        <f>TRANSICAO!$Y$43*CUSTOS!$T$3</f>
        <v>37.7744</v>
      </c>
      <c r="Z43" s="33">
        <f>TRANSICAO!$Z$43*CUSTOS!$T$3</f>
        <v>0</v>
      </c>
      <c r="AA43" s="33">
        <f>TRANSICAO!$AA$43*CUSTOS!$T$3</f>
        <v>0</v>
      </c>
      <c r="AB43" s="33">
        <f>TRANSICAO!$AB$43*CUSTOS!$T$3</f>
        <v>0</v>
      </c>
      <c r="AC43" s="33">
        <f>TRANSICAO!$AC$43*CUSTOS!$T$3</f>
        <v>177.2055</v>
      </c>
      <c r="AD43" s="33">
        <f>TRANSICAO!$AD$43*CUSTOS!$T$3</f>
        <v>0</v>
      </c>
      <c r="AE43" s="33">
        <v>0</v>
      </c>
      <c r="AF43" s="33">
        <v>0</v>
      </c>
      <c r="AG43" s="33"/>
      <c r="AH43" s="33">
        <v>41.493499999999997</v>
      </c>
      <c r="AI43" s="33">
        <v>41.493499999999997</v>
      </c>
      <c r="AJ43" s="33">
        <f ca="1">$N$89</f>
        <v>0.76872196480603727</v>
      </c>
      <c r="AK43" s="33">
        <f t="shared" ca="1" si="1"/>
        <v>0.76872196480603727</v>
      </c>
      <c r="AL43" s="33"/>
      <c r="AM43" s="33"/>
      <c r="AP43" s="33">
        <v>1</v>
      </c>
    </row>
    <row r="44" spans="1:42" ht="11.25" customHeight="1" x14ac:dyDescent="0.25">
      <c r="A44" s="116"/>
      <c r="B44" s="116"/>
      <c r="C44" s="116"/>
      <c r="D44" s="37" t="s">
        <v>29</v>
      </c>
      <c r="E44" s="37" t="s">
        <v>25</v>
      </c>
      <c r="F44" s="37" t="s">
        <v>25</v>
      </c>
      <c r="G44" s="36" t="s">
        <v>123</v>
      </c>
      <c r="H44" s="36" t="s">
        <v>117</v>
      </c>
      <c r="I44" s="36">
        <f>'MERCADO TUSD'!$U$41</f>
        <v>31822.650999999998</v>
      </c>
      <c r="J44" s="16"/>
      <c r="L44" s="33">
        <v>0</v>
      </c>
      <c r="M44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CUSTOS!$M$24)</f>
        <v>0.98580407399232461</v>
      </c>
      <c r="N44" s="33">
        <f ca="1">(+M44+O44+R44+U44+V44+W44+X44+Y44+Z44+AA44+AC44+AH44+AI44+AJ44+AK44)*CUSTOS!$M$5</f>
        <v>3.1603804800360438</v>
      </c>
      <c r="O44" s="33">
        <f>1 - CUSTOS!$M$24</f>
        <v>1</v>
      </c>
      <c r="P44" s="33">
        <v>0</v>
      </c>
      <c r="Q44" s="33">
        <v>0</v>
      </c>
      <c r="R44" s="33">
        <v>0</v>
      </c>
      <c r="S44" s="33">
        <f>1 - CUSTOS!$M$24</f>
        <v>1</v>
      </c>
      <c r="T44" s="33"/>
      <c r="U44" s="33">
        <f>TRANSICAO!$U$44*CUSTOS!$T$3</f>
        <v>12.8741</v>
      </c>
      <c r="V44" s="33">
        <f>TRANSICAO!$V$44*CUSTOS!$T$3</f>
        <v>1.6738</v>
      </c>
      <c r="W44" s="33">
        <f>TRANSICAO!$W$44*CUSTOS!$T$3</f>
        <v>0</v>
      </c>
      <c r="X44" s="33">
        <f>TRANSICAO!$X$44*CUSTOS!$T$3</f>
        <v>0</v>
      </c>
      <c r="Y44" s="33">
        <f>TRANSICAO!$Y$44*CUSTOS!$T$3</f>
        <v>37.7744</v>
      </c>
      <c r="Z44" s="33">
        <f>TRANSICAO!$Z$44*CUSTOS!$T$3</f>
        <v>0</v>
      </c>
      <c r="AA44" s="33">
        <f>TRANSICAO!$AA$44*CUSTOS!$T$3</f>
        <v>0</v>
      </c>
      <c r="AB44" s="33">
        <f>TRANSICAO!$AB$44*CUSTOS!$T$3</f>
        <v>0</v>
      </c>
      <c r="AC44" s="33">
        <f>TRANSICAO!$AC$44*CUSTOS!$T$3</f>
        <v>177.2055</v>
      </c>
      <c r="AD44" s="33">
        <f>TRANSICAO!$AD$44*CUSTOS!$T$3</f>
        <v>0</v>
      </c>
      <c r="AE44" s="33">
        <v>0</v>
      </c>
      <c r="AF44" s="33">
        <v>0</v>
      </c>
      <c r="AG44" s="33"/>
      <c r="AH44" s="33">
        <f>(1 - CUSTOS!$M$24)*41.4935</f>
        <v>41.493499999999997</v>
      </c>
      <c r="AI44" s="33">
        <f>(1 - CUSTOS!$M$24)*41.4935</f>
        <v>41.493499999999997</v>
      </c>
      <c r="AJ44" s="33">
        <f ca="1">$N$89*(1-CUSTOS!$M$24)</f>
        <v>0.76872196480603727</v>
      </c>
      <c r="AK44" s="33">
        <f t="shared" ca="1" si="1"/>
        <v>0.76872196480603727</v>
      </c>
      <c r="AL44" s="33"/>
      <c r="AM44" s="33"/>
      <c r="AP44" s="33">
        <f>IF((1 - CUSTOS!$M$24)&lt;&gt;0,1/(1 - CUSTOS!$M$24),1)</f>
        <v>1</v>
      </c>
    </row>
    <row r="45" spans="1:42" ht="11.25" customHeight="1" x14ac:dyDescent="0.25">
      <c r="A45" s="116"/>
      <c r="B45" s="116"/>
      <c r="C45" s="116"/>
      <c r="D45" s="37" t="s">
        <v>30</v>
      </c>
      <c r="E45" s="37" t="s">
        <v>25</v>
      </c>
      <c r="F45" s="37" t="s">
        <v>25</v>
      </c>
      <c r="G45" s="36" t="s">
        <v>123</v>
      </c>
      <c r="H45" s="36" t="s">
        <v>117</v>
      </c>
      <c r="I45" s="36">
        <f>'MERCADO TUSD'!$U$42</f>
        <v>61209.610999999997</v>
      </c>
      <c r="J45" s="16"/>
      <c r="L45" s="33">
        <v>0</v>
      </c>
      <c r="M45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CUSTOS!$M$25)</f>
        <v>0.98580407399232461</v>
      </c>
      <c r="N45" s="33">
        <f ca="1">(+M45+O45+R45+U45+V45+W45+X45+Y45+Z45+AA45+AC45+AH45+AI45+AJ45+AK45)*CUSTOS!$M$5</f>
        <v>3.1603804800360438</v>
      </c>
      <c r="O45" s="33">
        <f>1 - CUSTOS!$M$25</f>
        <v>1</v>
      </c>
      <c r="P45" s="33">
        <v>0</v>
      </c>
      <c r="Q45" s="33">
        <v>0</v>
      </c>
      <c r="R45" s="33">
        <v>0</v>
      </c>
      <c r="S45" s="33">
        <f>1 - CUSTOS!$M$25</f>
        <v>1</v>
      </c>
      <c r="T45" s="33"/>
      <c r="U45" s="33">
        <f>TRANSICAO!$U$45*CUSTOS!$T$3</f>
        <v>12.8741</v>
      </c>
      <c r="V45" s="33">
        <f>TRANSICAO!$V$45*CUSTOS!$T$3</f>
        <v>1.6738</v>
      </c>
      <c r="W45" s="33">
        <f>TRANSICAO!$W$45*CUSTOS!$T$3</f>
        <v>0</v>
      </c>
      <c r="X45" s="33">
        <f>TRANSICAO!$X$45*CUSTOS!$T$3</f>
        <v>0</v>
      </c>
      <c r="Y45" s="33">
        <f>TRANSICAO!$Y$45*CUSTOS!$T$3</f>
        <v>37.7744</v>
      </c>
      <c r="Z45" s="33">
        <f>TRANSICAO!$Z$45*CUSTOS!$T$3</f>
        <v>0</v>
      </c>
      <c r="AA45" s="33">
        <f>TRANSICAO!$AA$45*CUSTOS!$T$3</f>
        <v>0</v>
      </c>
      <c r="AB45" s="33">
        <f>TRANSICAO!$AB$45*CUSTOS!$T$3</f>
        <v>0</v>
      </c>
      <c r="AC45" s="33">
        <f>TRANSICAO!$AC$45*CUSTOS!$T$3</f>
        <v>177.2055</v>
      </c>
      <c r="AD45" s="33">
        <f>TRANSICAO!$AD$45*CUSTOS!$T$3</f>
        <v>0</v>
      </c>
      <c r="AE45" s="33">
        <v>0</v>
      </c>
      <c r="AF45" s="33">
        <v>0</v>
      </c>
      <c r="AG45" s="33"/>
      <c r="AH45" s="33">
        <f>(1 - CUSTOS!$M$25)*41.4935</f>
        <v>41.493499999999997</v>
      </c>
      <c r="AI45" s="33">
        <f>(1 - CUSTOS!$M$25)*41.4935</f>
        <v>41.493499999999997</v>
      </c>
      <c r="AJ45" s="33">
        <f ca="1">$N$89*(1-CUSTOS!$M$25)</f>
        <v>0.76872196480603727</v>
      </c>
      <c r="AK45" s="33">
        <f t="shared" ca="1" si="1"/>
        <v>0.76872196480603727</v>
      </c>
      <c r="AL45" s="33"/>
      <c r="AM45" s="33"/>
      <c r="AP45" s="33">
        <f>IF((1 - CUSTOS!$M$25)&lt;&gt;0,1/(1 - CUSTOS!$M$25),1)</f>
        <v>1</v>
      </c>
    </row>
    <row r="46" spans="1:42" ht="11.25" customHeight="1" x14ac:dyDescent="0.25">
      <c r="A46" s="116"/>
      <c r="B46" s="116"/>
      <c r="C46" s="116"/>
      <c r="D46" s="37" t="s">
        <v>31</v>
      </c>
      <c r="E46" s="37" t="s">
        <v>25</v>
      </c>
      <c r="F46" s="37" t="s">
        <v>25</v>
      </c>
      <c r="G46" s="36" t="s">
        <v>123</v>
      </c>
      <c r="H46" s="36" t="s">
        <v>117</v>
      </c>
      <c r="I46" s="36">
        <f>'MERCADO TUSD'!$U$43</f>
        <v>39801.019999999997</v>
      </c>
      <c r="J46" s="16"/>
      <c r="L46" s="33">
        <v>0</v>
      </c>
      <c r="M46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CUSTOS!$M$26)</f>
        <v>0.98580407399232461</v>
      </c>
      <c r="N46" s="33">
        <f ca="1">(+M46+O46+R46+U46+V46+W46+X46+Y46+Z46+AA46+AC46+AH46+AI46+AJ46+AK46)*CUSTOS!$M$5</f>
        <v>3.1603804800360438</v>
      </c>
      <c r="O46" s="33">
        <f>1 - CUSTOS!$M$26</f>
        <v>1</v>
      </c>
      <c r="P46" s="33">
        <v>0</v>
      </c>
      <c r="Q46" s="33">
        <v>0</v>
      </c>
      <c r="R46" s="33">
        <v>0</v>
      </c>
      <c r="S46" s="33">
        <f>1 - CUSTOS!$M$26</f>
        <v>1</v>
      </c>
      <c r="T46" s="33"/>
      <c r="U46" s="33">
        <f>TRANSICAO!$U$46*CUSTOS!$T$3</f>
        <v>12.8741</v>
      </c>
      <c r="V46" s="33">
        <f>TRANSICAO!$V$46*CUSTOS!$T$3</f>
        <v>1.6738</v>
      </c>
      <c r="W46" s="33">
        <f>TRANSICAO!$W$46*CUSTOS!$T$3</f>
        <v>0</v>
      </c>
      <c r="X46" s="33">
        <f>TRANSICAO!$X$46*CUSTOS!$T$3</f>
        <v>0</v>
      </c>
      <c r="Y46" s="33">
        <f>TRANSICAO!$Y$46*CUSTOS!$T$3</f>
        <v>37.7744</v>
      </c>
      <c r="Z46" s="33">
        <f>TRANSICAO!$Z$46*CUSTOS!$T$3</f>
        <v>0</v>
      </c>
      <c r="AA46" s="33">
        <f>TRANSICAO!$AA$46*CUSTOS!$T$3</f>
        <v>0</v>
      </c>
      <c r="AB46" s="33">
        <f>TRANSICAO!$AB$46*CUSTOS!$T$3</f>
        <v>0</v>
      </c>
      <c r="AC46" s="33">
        <f>TRANSICAO!$AC$46*CUSTOS!$T$3</f>
        <v>177.2055</v>
      </c>
      <c r="AD46" s="33">
        <f>TRANSICAO!$AD$46*CUSTOS!$T$3</f>
        <v>0</v>
      </c>
      <c r="AE46" s="33">
        <v>0</v>
      </c>
      <c r="AF46" s="33">
        <v>0</v>
      </c>
      <c r="AG46" s="33"/>
      <c r="AH46" s="33">
        <f>(1 - CUSTOS!$M$26)*41.4935</f>
        <v>41.493499999999997</v>
      </c>
      <c r="AI46" s="33">
        <f>(1 - CUSTOS!$M$26)*41.4935</f>
        <v>41.493499999999997</v>
      </c>
      <c r="AJ46" s="33">
        <f ca="1">$N$89*(1-CUSTOS!$M$26)</f>
        <v>0.76872196480603727</v>
      </c>
      <c r="AK46" s="33">
        <f t="shared" ca="1" si="1"/>
        <v>0.76872196480603727</v>
      </c>
      <c r="AL46" s="33"/>
      <c r="AM46" s="33"/>
      <c r="AP46" s="33">
        <f>IF((1 - CUSTOS!$M$26)&lt;&gt;0,1/(1 - CUSTOS!$M$26),1)</f>
        <v>1</v>
      </c>
    </row>
    <row r="47" spans="1:42" ht="11.25" customHeight="1" x14ac:dyDescent="0.25">
      <c r="A47" s="116"/>
      <c r="B47" s="116"/>
      <c r="C47" s="116"/>
      <c r="D47" s="37" t="s">
        <v>32</v>
      </c>
      <c r="E47" s="37" t="s">
        <v>25</v>
      </c>
      <c r="F47" s="37" t="s">
        <v>25</v>
      </c>
      <c r="G47" s="36" t="s">
        <v>123</v>
      </c>
      <c r="H47" s="36" t="s">
        <v>117</v>
      </c>
      <c r="I47" s="36">
        <f>'MERCADO TUSD'!$U$44</f>
        <v>7781.4139999999989</v>
      </c>
      <c r="J47" s="16"/>
      <c r="L47" s="33">
        <v>0</v>
      </c>
      <c r="M47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CUSTOS!$M$27)</f>
        <v>0.98580407399232461</v>
      </c>
      <c r="N47" s="33">
        <f ca="1">(+M47+O47+R47+U47+V47+W47+X47+Y47+Z47+AA47+AC47+AH47+AI47+AJ47+AK47)*CUSTOS!$M$5</f>
        <v>3.1603804800360438</v>
      </c>
      <c r="O47" s="33">
        <f>1 - CUSTOS!$M$27</f>
        <v>1</v>
      </c>
      <c r="P47" s="33">
        <v>0</v>
      </c>
      <c r="Q47" s="33">
        <v>0</v>
      </c>
      <c r="R47" s="33">
        <v>0</v>
      </c>
      <c r="S47" s="33">
        <f>1 - CUSTOS!$M$27</f>
        <v>1</v>
      </c>
      <c r="T47" s="33"/>
      <c r="U47" s="33">
        <f>TRANSICAO!$U$47*CUSTOS!$T$3</f>
        <v>12.8741</v>
      </c>
      <c r="V47" s="33">
        <f>TRANSICAO!$V$47*CUSTOS!$T$3</f>
        <v>1.6738</v>
      </c>
      <c r="W47" s="33">
        <f>TRANSICAO!$W$47*CUSTOS!$T$3</f>
        <v>0</v>
      </c>
      <c r="X47" s="33">
        <f>TRANSICAO!$X$47*CUSTOS!$T$3</f>
        <v>0</v>
      </c>
      <c r="Y47" s="33">
        <f>TRANSICAO!$Y$47*CUSTOS!$T$3</f>
        <v>37.7744</v>
      </c>
      <c r="Z47" s="33">
        <f>TRANSICAO!$Z$47*CUSTOS!$T$3</f>
        <v>0</v>
      </c>
      <c r="AA47" s="33">
        <f>TRANSICAO!$AA$47*CUSTOS!$T$3</f>
        <v>0</v>
      </c>
      <c r="AB47" s="33">
        <f>TRANSICAO!$AB$47*CUSTOS!$T$3</f>
        <v>0</v>
      </c>
      <c r="AC47" s="33">
        <f>TRANSICAO!$AC$47*CUSTOS!$T$3</f>
        <v>177.2055</v>
      </c>
      <c r="AD47" s="33">
        <f>TRANSICAO!$AD$47*CUSTOS!$T$3</f>
        <v>0</v>
      </c>
      <c r="AE47" s="33">
        <v>0</v>
      </c>
      <c r="AF47" s="33">
        <v>0</v>
      </c>
      <c r="AG47" s="33"/>
      <c r="AH47" s="33">
        <f>(1 - CUSTOS!$M$27)*41.4935</f>
        <v>41.493499999999997</v>
      </c>
      <c r="AI47" s="33">
        <f>(1 - CUSTOS!$M$27)*41.4935</f>
        <v>41.493499999999997</v>
      </c>
      <c r="AJ47" s="33">
        <f ca="1">$N$89*(1-CUSTOS!$M$27)</f>
        <v>0.76872196480603727</v>
      </c>
      <c r="AK47" s="33">
        <f t="shared" ca="1" si="1"/>
        <v>0.76872196480603727</v>
      </c>
      <c r="AL47" s="33"/>
      <c r="AM47" s="33"/>
      <c r="AP47" s="33">
        <f>IF((1 - CUSTOS!$M$27)&lt;&gt;0,1/(1 - CUSTOS!$M$27),1)</f>
        <v>1</v>
      </c>
    </row>
    <row r="48" spans="1:42" ht="11.25" customHeight="1" x14ac:dyDescent="0.25">
      <c r="A48" s="116"/>
      <c r="B48" s="116" t="s">
        <v>131</v>
      </c>
      <c r="C48" s="116" t="s">
        <v>24</v>
      </c>
      <c r="D48" s="37" t="s">
        <v>24</v>
      </c>
      <c r="E48" s="37" t="s">
        <v>25</v>
      </c>
      <c r="F48" s="37" t="s">
        <v>25</v>
      </c>
      <c r="G48" s="36" t="s">
        <v>123</v>
      </c>
      <c r="H48" s="36" t="s">
        <v>117</v>
      </c>
      <c r="I48" s="36">
        <f>'MERCADO TUSD'!$U$45</f>
        <v>0</v>
      </c>
      <c r="J48" s="16"/>
      <c r="L48" s="33">
        <f>1</f>
        <v>1</v>
      </c>
      <c r="M48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</f>
        <v>0.98580407399232461</v>
      </c>
      <c r="N48" s="33">
        <f ca="1">(+M48+O48+R48+U48+V48+W48+X48+Y48+Z48+AA48+AC48+AH48+AI48+AJ48+AK48)*CUSTOS!$M$5</f>
        <v>3.170380480036044</v>
      </c>
      <c r="O48" s="33">
        <v>1</v>
      </c>
      <c r="P48" s="33">
        <v>1</v>
      </c>
      <c r="Q48" s="33">
        <f>1</f>
        <v>1</v>
      </c>
      <c r="R48" s="33">
        <v>1</v>
      </c>
      <c r="S48" s="33">
        <v>1</v>
      </c>
      <c r="T48" s="33"/>
      <c r="U48" s="33">
        <f>TRANSICAO!$U$48*CUSTOS!$T$3</f>
        <v>12.8741</v>
      </c>
      <c r="V48" s="33">
        <f>TRANSICAO!$V$48*CUSTOS!$T$3</f>
        <v>1.6738</v>
      </c>
      <c r="W48" s="33">
        <f>TRANSICAO!$W$48*CUSTOS!$T$3</f>
        <v>0</v>
      </c>
      <c r="X48" s="33">
        <f>TRANSICAO!$X$48*CUSTOS!$T$3</f>
        <v>0</v>
      </c>
      <c r="Y48" s="33">
        <f>TRANSICAO!$Y$48*CUSTOS!$T$3</f>
        <v>37.7744</v>
      </c>
      <c r="Z48" s="33">
        <f>TRANSICAO!$Z$48*CUSTOS!$T$3</f>
        <v>0</v>
      </c>
      <c r="AA48" s="33">
        <f>TRANSICAO!$AA$48*CUSTOS!$T$3</f>
        <v>0</v>
      </c>
      <c r="AB48" s="33">
        <f>TRANSICAO!$AB$48*CUSTOS!$T$3</f>
        <v>0</v>
      </c>
      <c r="AC48" s="33">
        <f>TRANSICAO!$AC$48*CUSTOS!$T$3</f>
        <v>177.2055</v>
      </c>
      <c r="AD48" s="33">
        <f>TRANSICAO!$AD$48*CUSTOS!$T$3</f>
        <v>0</v>
      </c>
      <c r="AE48" s="33">
        <v>0</v>
      </c>
      <c r="AF48" s="33">
        <v>0</v>
      </c>
      <c r="AG48" s="33"/>
      <c r="AH48" s="33">
        <v>41.493499999999997</v>
      </c>
      <c r="AI48" s="33">
        <v>41.493499999999997</v>
      </c>
      <c r="AJ48" s="33">
        <f ca="1">$N$89</f>
        <v>0.76872196480603727</v>
      </c>
      <c r="AK48" s="33">
        <f t="shared" ca="1" si="1"/>
        <v>0.76872196480603727</v>
      </c>
      <c r="AL48" s="33"/>
      <c r="AM48" s="33"/>
      <c r="AP48" s="33">
        <v>1</v>
      </c>
    </row>
    <row r="49" spans="1:42" ht="11.25" customHeight="1" x14ac:dyDescent="0.25">
      <c r="A49" s="116"/>
      <c r="B49" s="116"/>
      <c r="C49" s="116"/>
      <c r="D49" s="37" t="s">
        <v>29</v>
      </c>
      <c r="E49" s="37" t="s">
        <v>25</v>
      </c>
      <c r="F49" s="37" t="s">
        <v>25</v>
      </c>
      <c r="G49" s="36" t="s">
        <v>123</v>
      </c>
      <c r="H49" s="36" t="s">
        <v>117</v>
      </c>
      <c r="I49" s="36">
        <f>'MERCADO TUSD'!$U$46</f>
        <v>0</v>
      </c>
      <c r="J49" s="16"/>
      <c r="L49" s="33">
        <v>0</v>
      </c>
      <c r="M49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CUSTOS!$M$24)</f>
        <v>0.98580407399232461</v>
      </c>
      <c r="N49" s="33">
        <f ca="1">(+M49+O49+R49+U49+V49+W49+X49+Y49+Z49+AA49+AC49+AH49+AI49+AJ49+AK49)*CUSTOS!$M$5</f>
        <v>3.1603804800360438</v>
      </c>
      <c r="O49" s="33">
        <f>1 - CUSTOS!$M$24</f>
        <v>1</v>
      </c>
      <c r="P49" s="33">
        <v>0</v>
      </c>
      <c r="Q49" s="33">
        <v>0</v>
      </c>
      <c r="R49" s="33">
        <v>0</v>
      </c>
      <c r="S49" s="33">
        <f>1 - CUSTOS!$M$24</f>
        <v>1</v>
      </c>
      <c r="T49" s="33"/>
      <c r="U49" s="33">
        <f>TRANSICAO!$U$49*CUSTOS!$T$3</f>
        <v>12.8741</v>
      </c>
      <c r="V49" s="33">
        <f>TRANSICAO!$V$49*CUSTOS!$T$3</f>
        <v>1.6738</v>
      </c>
      <c r="W49" s="33">
        <f>TRANSICAO!$W$49*CUSTOS!$T$3</f>
        <v>0</v>
      </c>
      <c r="X49" s="33">
        <f>TRANSICAO!$X$49*CUSTOS!$T$3</f>
        <v>0</v>
      </c>
      <c r="Y49" s="33">
        <f>TRANSICAO!$Y$49*CUSTOS!$T$3</f>
        <v>37.7744</v>
      </c>
      <c r="Z49" s="33">
        <f>TRANSICAO!$Z$49*CUSTOS!$T$3</f>
        <v>0</v>
      </c>
      <c r="AA49" s="33">
        <f>TRANSICAO!$AA$49*CUSTOS!$T$3</f>
        <v>0</v>
      </c>
      <c r="AB49" s="33">
        <f>TRANSICAO!$AB$49*CUSTOS!$T$3</f>
        <v>0</v>
      </c>
      <c r="AC49" s="33">
        <f>TRANSICAO!$AC$49*CUSTOS!$T$3</f>
        <v>177.2055</v>
      </c>
      <c r="AD49" s="33">
        <f>TRANSICAO!$AD$49*CUSTOS!$T$3</f>
        <v>0</v>
      </c>
      <c r="AE49" s="33">
        <v>0</v>
      </c>
      <c r="AF49" s="33">
        <v>0</v>
      </c>
      <c r="AG49" s="33"/>
      <c r="AH49" s="33">
        <f>(1 - CUSTOS!$M$24)*41.4935</f>
        <v>41.493499999999997</v>
      </c>
      <c r="AI49" s="33">
        <f>(1 - CUSTOS!$M$24)*41.4935</f>
        <v>41.493499999999997</v>
      </c>
      <c r="AJ49" s="33">
        <f ca="1">$N$89*(1-CUSTOS!$M$24)</f>
        <v>0.76872196480603727</v>
      </c>
      <c r="AK49" s="33">
        <f t="shared" ca="1" si="1"/>
        <v>0.76872196480603727</v>
      </c>
      <c r="AL49" s="33"/>
      <c r="AM49" s="33"/>
      <c r="AP49" s="33">
        <f>IF((1 - CUSTOS!$M$24)&lt;&gt;0,1/(1 - CUSTOS!$M$24),1)</f>
        <v>1</v>
      </c>
    </row>
    <row r="50" spans="1:42" ht="11.25" customHeight="1" x14ac:dyDescent="0.25">
      <c r="A50" s="116"/>
      <c r="B50" s="116"/>
      <c r="C50" s="116"/>
      <c r="D50" s="37" t="s">
        <v>30</v>
      </c>
      <c r="E50" s="37" t="s">
        <v>25</v>
      </c>
      <c r="F50" s="37" t="s">
        <v>25</v>
      </c>
      <c r="G50" s="36" t="s">
        <v>123</v>
      </c>
      <c r="H50" s="36" t="s">
        <v>117</v>
      </c>
      <c r="I50" s="36">
        <f>'MERCADO TUSD'!$U$47</f>
        <v>0</v>
      </c>
      <c r="J50" s="16"/>
      <c r="L50" s="33">
        <v>0</v>
      </c>
      <c r="M50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CUSTOS!$M$25)</f>
        <v>0.98580407399232461</v>
      </c>
      <c r="N50" s="33">
        <f ca="1">(+M50+O50+R50+U50+V50+W50+X50+Y50+Z50+AA50+AC50+AH50+AI50+AJ50+AK50)*CUSTOS!$M$5</f>
        <v>3.1603804800360438</v>
      </c>
      <c r="O50" s="33">
        <f>1 - CUSTOS!$M$25</f>
        <v>1</v>
      </c>
      <c r="P50" s="33">
        <v>0</v>
      </c>
      <c r="Q50" s="33">
        <v>0</v>
      </c>
      <c r="R50" s="33">
        <v>0</v>
      </c>
      <c r="S50" s="33">
        <f>1 - CUSTOS!$M$25</f>
        <v>1</v>
      </c>
      <c r="T50" s="33"/>
      <c r="U50" s="33">
        <f>TRANSICAO!$U$50*CUSTOS!$T$3</f>
        <v>12.8741</v>
      </c>
      <c r="V50" s="33">
        <f>TRANSICAO!$V$50*CUSTOS!$T$3</f>
        <v>1.6738</v>
      </c>
      <c r="W50" s="33">
        <f>TRANSICAO!$W$50*CUSTOS!$T$3</f>
        <v>0</v>
      </c>
      <c r="X50" s="33">
        <f>TRANSICAO!$X$50*CUSTOS!$T$3</f>
        <v>0</v>
      </c>
      <c r="Y50" s="33">
        <f>TRANSICAO!$Y$50*CUSTOS!$T$3</f>
        <v>37.7744</v>
      </c>
      <c r="Z50" s="33">
        <f>TRANSICAO!$Z$50*CUSTOS!$T$3</f>
        <v>0</v>
      </c>
      <c r="AA50" s="33">
        <f>TRANSICAO!$AA$50*CUSTOS!$T$3</f>
        <v>0</v>
      </c>
      <c r="AB50" s="33">
        <f>TRANSICAO!$AB$50*CUSTOS!$T$3</f>
        <v>0</v>
      </c>
      <c r="AC50" s="33">
        <f>TRANSICAO!$AC$50*CUSTOS!$T$3</f>
        <v>177.2055</v>
      </c>
      <c r="AD50" s="33">
        <f>TRANSICAO!$AD$50*CUSTOS!$T$3</f>
        <v>0</v>
      </c>
      <c r="AE50" s="33">
        <v>0</v>
      </c>
      <c r="AF50" s="33">
        <v>0</v>
      </c>
      <c r="AG50" s="33"/>
      <c r="AH50" s="33">
        <f>(1 - CUSTOS!$M$25)*41.4935</f>
        <v>41.493499999999997</v>
      </c>
      <c r="AI50" s="33">
        <f>(1 - CUSTOS!$M$25)*41.4935</f>
        <v>41.493499999999997</v>
      </c>
      <c r="AJ50" s="33">
        <f ca="1">$N$89*(1-CUSTOS!$M$25)</f>
        <v>0.76872196480603727</v>
      </c>
      <c r="AK50" s="33">
        <f t="shared" ca="1" si="1"/>
        <v>0.76872196480603727</v>
      </c>
      <c r="AL50" s="33"/>
      <c r="AM50" s="33"/>
      <c r="AP50" s="33">
        <f>IF((1 - CUSTOS!$M$25)&lt;&gt;0,1/(1 - CUSTOS!$M$25),1)</f>
        <v>1</v>
      </c>
    </row>
    <row r="51" spans="1:42" ht="11.25" customHeight="1" x14ac:dyDescent="0.25">
      <c r="A51" s="116"/>
      <c r="B51" s="116"/>
      <c r="C51" s="116"/>
      <c r="D51" s="37" t="s">
        <v>31</v>
      </c>
      <c r="E51" s="37" t="s">
        <v>25</v>
      </c>
      <c r="F51" s="37" t="s">
        <v>25</v>
      </c>
      <c r="G51" s="36" t="s">
        <v>123</v>
      </c>
      <c r="H51" s="36" t="s">
        <v>117</v>
      </c>
      <c r="I51" s="36">
        <f>'MERCADO TUSD'!$U$48</f>
        <v>0</v>
      </c>
      <c r="J51" s="16"/>
      <c r="L51" s="33">
        <v>0</v>
      </c>
      <c r="M51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CUSTOS!$M$26)</f>
        <v>0.98580407399232461</v>
      </c>
      <c r="N51" s="33">
        <f ca="1">(+M51+O51+R51+U51+V51+W51+X51+Y51+Z51+AA51+AC51+AH51+AI51+AJ51+AK51)*CUSTOS!$M$5</f>
        <v>3.1603804800360438</v>
      </c>
      <c r="O51" s="33">
        <f>1 - CUSTOS!$M$26</f>
        <v>1</v>
      </c>
      <c r="P51" s="33">
        <v>0</v>
      </c>
      <c r="Q51" s="33">
        <v>0</v>
      </c>
      <c r="R51" s="33">
        <v>0</v>
      </c>
      <c r="S51" s="33">
        <f>1 - CUSTOS!$M$26</f>
        <v>1</v>
      </c>
      <c r="T51" s="33"/>
      <c r="U51" s="33">
        <f>TRANSICAO!$U$51*CUSTOS!$T$3</f>
        <v>12.8741</v>
      </c>
      <c r="V51" s="33">
        <f>TRANSICAO!$V$51*CUSTOS!$T$3</f>
        <v>1.6738</v>
      </c>
      <c r="W51" s="33">
        <f>TRANSICAO!$W$51*CUSTOS!$T$3</f>
        <v>0</v>
      </c>
      <c r="X51" s="33">
        <f>TRANSICAO!$X$51*CUSTOS!$T$3</f>
        <v>0</v>
      </c>
      <c r="Y51" s="33">
        <f>TRANSICAO!$Y$51*CUSTOS!$T$3</f>
        <v>37.7744</v>
      </c>
      <c r="Z51" s="33">
        <f>TRANSICAO!$Z$51*CUSTOS!$T$3</f>
        <v>0</v>
      </c>
      <c r="AA51" s="33">
        <f>TRANSICAO!$AA$51*CUSTOS!$T$3</f>
        <v>0</v>
      </c>
      <c r="AB51" s="33">
        <f>TRANSICAO!$AB$51*CUSTOS!$T$3</f>
        <v>0</v>
      </c>
      <c r="AC51" s="33">
        <f>TRANSICAO!$AC$51*CUSTOS!$T$3</f>
        <v>177.2055</v>
      </c>
      <c r="AD51" s="33">
        <f>TRANSICAO!$AD$51*CUSTOS!$T$3</f>
        <v>0</v>
      </c>
      <c r="AE51" s="33">
        <v>0</v>
      </c>
      <c r="AF51" s="33">
        <v>0</v>
      </c>
      <c r="AG51" s="33"/>
      <c r="AH51" s="33">
        <f>(1 - CUSTOS!$M$26)*41.4935</f>
        <v>41.493499999999997</v>
      </c>
      <c r="AI51" s="33">
        <f>(1 - CUSTOS!$M$26)*41.4935</f>
        <v>41.493499999999997</v>
      </c>
      <c r="AJ51" s="33">
        <f ca="1">$N$89*(1-CUSTOS!$M$26)</f>
        <v>0.76872196480603727</v>
      </c>
      <c r="AK51" s="33">
        <f t="shared" ca="1" si="1"/>
        <v>0.76872196480603727</v>
      </c>
      <c r="AL51" s="33"/>
      <c r="AM51" s="33"/>
      <c r="AP51" s="33">
        <f>IF((1 - CUSTOS!$M$26)&lt;&gt;0,1/(1 - CUSTOS!$M$26),1)</f>
        <v>1</v>
      </c>
    </row>
    <row r="52" spans="1:42" ht="11.25" customHeight="1" x14ac:dyDescent="0.25">
      <c r="A52" s="116"/>
      <c r="B52" s="116"/>
      <c r="C52" s="116"/>
      <c r="D52" s="37" t="s">
        <v>32</v>
      </c>
      <c r="E52" s="37" t="s">
        <v>25</v>
      </c>
      <c r="F52" s="37" t="s">
        <v>25</v>
      </c>
      <c r="G52" s="36" t="s">
        <v>123</v>
      </c>
      <c r="H52" s="36" t="s">
        <v>117</v>
      </c>
      <c r="I52" s="36">
        <f>'MERCADO TUSD'!$U$49</f>
        <v>0</v>
      </c>
      <c r="J52" s="16"/>
      <c r="L52" s="33">
        <v>0</v>
      </c>
      <c r="M52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CUSTOS!$M$27)</f>
        <v>0.98580407399232461</v>
      </c>
      <c r="N52" s="33">
        <f ca="1">(+M52+O52+R52+U52+V52+W52+X52+Y52+Z52+AA52+AC52+AH52+AI52+AJ52+AK52)*CUSTOS!$M$5</f>
        <v>3.1603804800360438</v>
      </c>
      <c r="O52" s="33">
        <f>1 - CUSTOS!$M$27</f>
        <v>1</v>
      </c>
      <c r="P52" s="33">
        <v>0</v>
      </c>
      <c r="Q52" s="33">
        <v>0</v>
      </c>
      <c r="R52" s="33">
        <v>0</v>
      </c>
      <c r="S52" s="33">
        <f>1 - CUSTOS!$M$27</f>
        <v>1</v>
      </c>
      <c r="T52" s="33"/>
      <c r="U52" s="33">
        <f>TRANSICAO!$U$52*CUSTOS!$T$3</f>
        <v>12.8741</v>
      </c>
      <c r="V52" s="33">
        <f>TRANSICAO!$V$52*CUSTOS!$T$3</f>
        <v>1.6738</v>
      </c>
      <c r="W52" s="33">
        <f>TRANSICAO!$W$52*CUSTOS!$T$3</f>
        <v>0</v>
      </c>
      <c r="X52" s="33">
        <f>TRANSICAO!$X$52*CUSTOS!$T$3</f>
        <v>0</v>
      </c>
      <c r="Y52" s="33">
        <f>TRANSICAO!$Y$52*CUSTOS!$T$3</f>
        <v>37.7744</v>
      </c>
      <c r="Z52" s="33">
        <f>TRANSICAO!$Z$52*CUSTOS!$T$3</f>
        <v>0</v>
      </c>
      <c r="AA52" s="33">
        <f>TRANSICAO!$AA$52*CUSTOS!$T$3</f>
        <v>0</v>
      </c>
      <c r="AB52" s="33">
        <f>TRANSICAO!$AB$52*CUSTOS!$T$3</f>
        <v>0</v>
      </c>
      <c r="AC52" s="33">
        <f>TRANSICAO!$AC$52*CUSTOS!$T$3</f>
        <v>177.2055</v>
      </c>
      <c r="AD52" s="33">
        <f>TRANSICAO!$AD$52*CUSTOS!$T$3</f>
        <v>0</v>
      </c>
      <c r="AE52" s="33">
        <v>0</v>
      </c>
      <c r="AF52" s="33">
        <v>0</v>
      </c>
      <c r="AG52" s="33"/>
      <c r="AH52" s="33">
        <f>(1 - CUSTOS!$M$27)*41.4935</f>
        <v>41.493499999999997</v>
      </c>
      <c r="AI52" s="33">
        <f>(1 - CUSTOS!$M$27)*41.4935</f>
        <v>41.493499999999997</v>
      </c>
      <c r="AJ52" s="33">
        <f ca="1">$N$89*(1-CUSTOS!$M$27)</f>
        <v>0.76872196480603727</v>
      </c>
      <c r="AK52" s="33">
        <f t="shared" ca="1" si="1"/>
        <v>0.76872196480603727</v>
      </c>
      <c r="AL52" s="33"/>
      <c r="AM52" s="33"/>
      <c r="AP52" s="33">
        <f>IF((1 - CUSTOS!$M$27)&lt;&gt;0,1/(1 - CUSTOS!$M$27),1)</f>
        <v>1</v>
      </c>
    </row>
    <row r="53" spans="1:42" ht="11.25" customHeight="1" x14ac:dyDescent="0.25">
      <c r="A53" s="116" t="s">
        <v>44</v>
      </c>
      <c r="B53" s="116" t="s">
        <v>33</v>
      </c>
      <c r="C53" s="116" t="s">
        <v>45</v>
      </c>
      <c r="D53" s="116" t="s">
        <v>25</v>
      </c>
      <c r="E53" s="116" t="s">
        <v>25</v>
      </c>
      <c r="F53" s="116" t="s">
        <v>25</v>
      </c>
      <c r="G53" s="36" t="s">
        <v>118</v>
      </c>
      <c r="H53" s="36" t="s">
        <v>117</v>
      </c>
      <c r="I53" s="36">
        <f>'MERCADO TUSD'!$U$50</f>
        <v>0.49600000000000005</v>
      </c>
      <c r="J53" s="16"/>
      <c r="L53" s="33">
        <f>1*(1 - CUSTOS!$M$28)</f>
        <v>1</v>
      </c>
      <c r="M53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CUSTOS!$M$28)</f>
        <v>0.98580407399232461</v>
      </c>
      <c r="N53" s="33">
        <f ca="1">(+M53+O53+R53+U53+V53+W53+X53+Y53+Z53+AA53+AC53+AH53+AI53+AJ53+AK53)*CUSTOS!$M$5</f>
        <v>7.4166454800360446</v>
      </c>
      <c r="O53" s="33">
        <f>1 - CUSTOS!$M$28</f>
        <v>1</v>
      </c>
      <c r="P53" s="33">
        <f>1 - CUSTOS!$M$28</f>
        <v>1</v>
      </c>
      <c r="Q53" s="33">
        <f>1*(1 - CUSTOS!$M$28)</f>
        <v>1</v>
      </c>
      <c r="R53" s="33">
        <f>1 - CUSTOS!$M$28</f>
        <v>1</v>
      </c>
      <c r="S53" s="33">
        <f>1 - CUSTOS!$M$28</f>
        <v>1</v>
      </c>
      <c r="T53" s="33"/>
      <c r="U53" s="33">
        <f>TRANSICAO!$U$53*CUSTOS!$T$3</f>
        <v>36.691099999999999</v>
      </c>
      <c r="V53" s="33">
        <f>TRANSICAO!$V$53*CUSTOS!$T$3</f>
        <v>4.7704000000000004</v>
      </c>
      <c r="W53" s="33">
        <f>TRANSICAO!$W$53*CUSTOS!$T$3</f>
        <v>0</v>
      </c>
      <c r="X53" s="33">
        <f>TRANSICAO!$X$53*CUSTOS!$T$3</f>
        <v>0</v>
      </c>
      <c r="Y53" s="33">
        <f>TRANSICAO!$Y$53*CUSTOS!$T$3</f>
        <v>107.6571</v>
      </c>
      <c r="Z53" s="33">
        <f>TRANSICAO!$Z$53*CUSTOS!$T$3</f>
        <v>0</v>
      </c>
      <c r="AA53" s="33">
        <f>TRANSICAO!$AA$53*CUSTOS!$T$3</f>
        <v>0</v>
      </c>
      <c r="AB53" s="33">
        <f>TRANSICAO!$AB$53*CUSTOS!$T$3</f>
        <v>0</v>
      </c>
      <c r="AC53" s="33">
        <f>TRANSICAO!$AC$53*CUSTOS!$T$3</f>
        <v>505.03570000000002</v>
      </c>
      <c r="AD53" s="33">
        <f>TRANSICAO!$AD$53*CUSTOS!$T$3</f>
        <v>0</v>
      </c>
      <c r="AE53" s="33">
        <v>0</v>
      </c>
      <c r="AF53" s="33">
        <v>0</v>
      </c>
      <c r="AG53" s="33"/>
      <c r="AH53" s="33">
        <f>(1 - CUSTOS!$M$28)*41.4935</f>
        <v>41.493499999999997</v>
      </c>
      <c r="AI53" s="33">
        <f>(1 - CUSTOS!$M$28)*41.4935</f>
        <v>41.493499999999997</v>
      </c>
      <c r="AJ53" s="33">
        <f ca="1">$N$89*(1-CUSTOS!$M$28)</f>
        <v>0.76872196480603727</v>
      </c>
      <c r="AK53" s="33">
        <f t="shared" ca="1" si="1"/>
        <v>0.76872196480603727</v>
      </c>
      <c r="AL53" s="33"/>
      <c r="AM53" s="33"/>
      <c r="AP53" s="33">
        <f>IF((1 - CUSTOS!$M$28)&lt;&gt;0,1/(1 - CUSTOS!$M$28),1)</f>
        <v>1</v>
      </c>
    </row>
    <row r="54" spans="1:42" ht="11.25" customHeight="1" x14ac:dyDescent="0.25">
      <c r="A54" s="116"/>
      <c r="B54" s="116"/>
      <c r="C54" s="116"/>
      <c r="D54" s="116"/>
      <c r="E54" s="116"/>
      <c r="F54" s="116"/>
      <c r="G54" s="36" t="s">
        <v>128</v>
      </c>
      <c r="H54" s="36" t="s">
        <v>117</v>
      </c>
      <c r="I54" s="36">
        <f>'MERCADO TUSD'!$U$51</f>
        <v>0.27600000000000002</v>
      </c>
      <c r="J54" s="16"/>
      <c r="L54" s="33">
        <f>1*(1 - CUSTOS!$M$28)</f>
        <v>1</v>
      </c>
      <c r="M54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CUSTOS!$M$28)</f>
        <v>0.98580407399232461</v>
      </c>
      <c r="N54" s="33">
        <f ca="1">(+M54+O54+R54+U54+V54+W54+X54+Y54+Z54+AA54+AC54+AH54+AI54+AJ54+AK54)*CUSTOS!$M$5</f>
        <v>4.8000274800360447</v>
      </c>
      <c r="O54" s="33">
        <f>1 - CUSTOS!$M$28</f>
        <v>1</v>
      </c>
      <c r="P54" s="33">
        <f>1 - CUSTOS!$M$28</f>
        <v>1</v>
      </c>
      <c r="Q54" s="33">
        <f>1*(1 - CUSTOS!$M$28)</f>
        <v>1</v>
      </c>
      <c r="R54" s="33">
        <f>1 - CUSTOS!$M$28</f>
        <v>1</v>
      </c>
      <c r="S54" s="33">
        <f>1 - CUSTOS!$M$28</f>
        <v>1</v>
      </c>
      <c r="T54" s="33"/>
      <c r="U54" s="33">
        <f>TRANSICAO!$U$54*CUSTOS!$T$3</f>
        <v>22.014700000000001</v>
      </c>
      <c r="V54" s="33">
        <f>TRANSICAO!$V$54*CUSTOS!$T$3</f>
        <v>2.8622000000000001</v>
      </c>
      <c r="W54" s="33">
        <f>TRANSICAO!$W$54*CUSTOS!$T$3</f>
        <v>0</v>
      </c>
      <c r="X54" s="33">
        <f>TRANSICAO!$X$54*CUSTOS!$T$3</f>
        <v>0</v>
      </c>
      <c r="Y54" s="33">
        <f>TRANSICAO!$Y$54*CUSTOS!$T$3</f>
        <v>64.594200000000001</v>
      </c>
      <c r="Z54" s="33">
        <f>TRANSICAO!$Z$54*CUSTOS!$T$3</f>
        <v>0</v>
      </c>
      <c r="AA54" s="33">
        <f>TRANSICAO!$AA$54*CUSTOS!$T$3</f>
        <v>0</v>
      </c>
      <c r="AB54" s="33">
        <f>TRANSICAO!$AB$54*CUSTOS!$T$3</f>
        <v>0</v>
      </c>
      <c r="AC54" s="33">
        <f>TRANSICAO!$AC$54*CUSTOS!$T$3</f>
        <v>303.02140000000003</v>
      </c>
      <c r="AD54" s="33">
        <f>TRANSICAO!$AD$54*CUSTOS!$T$3</f>
        <v>0</v>
      </c>
      <c r="AE54" s="33">
        <v>0</v>
      </c>
      <c r="AF54" s="33">
        <v>0</v>
      </c>
      <c r="AG54" s="33"/>
      <c r="AH54" s="33">
        <f>(1 - CUSTOS!$M$28)*41.4935</f>
        <v>41.493499999999997</v>
      </c>
      <c r="AI54" s="33">
        <f>(1 - CUSTOS!$M$28)*41.4935</f>
        <v>41.493499999999997</v>
      </c>
      <c r="AJ54" s="33">
        <f ca="1">$N$89*(1-CUSTOS!$M$28)</f>
        <v>0.76872196480603727</v>
      </c>
      <c r="AK54" s="33">
        <f t="shared" ca="1" si="1"/>
        <v>0.76872196480603727</v>
      </c>
      <c r="AL54" s="33"/>
      <c r="AM54" s="33"/>
      <c r="AP54" s="33">
        <f>IF((1 - CUSTOS!$M$28)&lt;&gt;0,1/(1 - CUSTOS!$M$28),1)</f>
        <v>1</v>
      </c>
    </row>
    <row r="55" spans="1:42" ht="11.25" customHeight="1" x14ac:dyDescent="0.25">
      <c r="A55" s="116"/>
      <c r="B55" s="116"/>
      <c r="C55" s="116"/>
      <c r="D55" s="116"/>
      <c r="E55" s="116"/>
      <c r="F55" s="116"/>
      <c r="G55" s="36" t="s">
        <v>119</v>
      </c>
      <c r="H55" s="36" t="s">
        <v>117</v>
      </c>
      <c r="I55" s="36">
        <f>'MERCADO TUSD'!$U$52</f>
        <v>5.1340000000000003</v>
      </c>
      <c r="J55" s="16"/>
      <c r="L55" s="33">
        <f>1*(1 - CUSTOS!$M$28)</f>
        <v>1</v>
      </c>
      <c r="M55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CUSTOS!$M$28)</f>
        <v>0.98580407399232461</v>
      </c>
      <c r="N55" s="33">
        <f ca="1">(+M55+O55+R55+U55+V55+W55+X55+Y55+Z55+AA55+AC55+AH55+AI55+AJ55+AK55)*CUSTOS!$M$5</f>
        <v>2.1834104800360441</v>
      </c>
      <c r="O55" s="33">
        <f>1 - CUSTOS!$M$28</f>
        <v>1</v>
      </c>
      <c r="P55" s="33">
        <f>1 - CUSTOS!$M$28</f>
        <v>1</v>
      </c>
      <c r="Q55" s="33">
        <f>1*(1 - CUSTOS!$M$28)</f>
        <v>1</v>
      </c>
      <c r="R55" s="33">
        <f>1 - CUSTOS!$M$28</f>
        <v>1</v>
      </c>
      <c r="S55" s="33">
        <f>1 - CUSTOS!$M$28</f>
        <v>1</v>
      </c>
      <c r="T55" s="33"/>
      <c r="U55" s="33">
        <f>TRANSICAO!$U$55*CUSTOS!$T$3</f>
        <v>7.3381999999999996</v>
      </c>
      <c r="V55" s="33">
        <f>TRANSICAO!$V$55*CUSTOS!$T$3</f>
        <v>0.95409999999999995</v>
      </c>
      <c r="W55" s="33">
        <f>TRANSICAO!$W$55*CUSTOS!$T$3</f>
        <v>0</v>
      </c>
      <c r="X55" s="33">
        <f>TRANSICAO!$X$55*CUSTOS!$T$3</f>
        <v>0</v>
      </c>
      <c r="Y55" s="33">
        <f>TRANSICAO!$Y$55*CUSTOS!$T$3</f>
        <v>21.531400000000001</v>
      </c>
      <c r="Z55" s="33">
        <f>TRANSICAO!$Z$55*CUSTOS!$T$3</f>
        <v>0</v>
      </c>
      <c r="AA55" s="33">
        <f>TRANSICAO!$AA$55*CUSTOS!$T$3</f>
        <v>0</v>
      </c>
      <c r="AB55" s="33">
        <f>TRANSICAO!$AB$55*CUSTOS!$T$3</f>
        <v>0</v>
      </c>
      <c r="AC55" s="33">
        <f>TRANSICAO!$AC$55*CUSTOS!$T$3</f>
        <v>101.00709999999999</v>
      </c>
      <c r="AD55" s="33">
        <f>TRANSICAO!$AD$55*CUSTOS!$T$3</f>
        <v>0</v>
      </c>
      <c r="AE55" s="33">
        <v>0</v>
      </c>
      <c r="AF55" s="33">
        <v>0</v>
      </c>
      <c r="AG55" s="33"/>
      <c r="AH55" s="33">
        <f>(1 - CUSTOS!$M$28)*41.4935</f>
        <v>41.493499999999997</v>
      </c>
      <c r="AI55" s="33">
        <f>(1 - CUSTOS!$M$28)*41.4935</f>
        <v>41.493499999999997</v>
      </c>
      <c r="AJ55" s="33">
        <f ca="1">$N$89*(1-CUSTOS!$M$28)</f>
        <v>0.76872196480603727</v>
      </c>
      <c r="AK55" s="33">
        <f t="shared" ca="1" si="1"/>
        <v>0.76872196480603727</v>
      </c>
      <c r="AL55" s="33"/>
      <c r="AM55" s="33"/>
      <c r="AP55" s="33">
        <f>IF((1 - CUSTOS!$M$28)&lt;&gt;0,1/(1 - CUSTOS!$M$28),1)</f>
        <v>1</v>
      </c>
    </row>
    <row r="56" spans="1:42" ht="11.25" customHeight="1" x14ac:dyDescent="0.25">
      <c r="A56" s="116"/>
      <c r="B56" s="37" t="s">
        <v>23</v>
      </c>
      <c r="C56" s="37" t="s">
        <v>45</v>
      </c>
      <c r="D56" s="37" t="s">
        <v>25</v>
      </c>
      <c r="E56" s="37" t="s">
        <v>25</v>
      </c>
      <c r="F56" s="37" t="s">
        <v>25</v>
      </c>
      <c r="G56" s="36" t="s">
        <v>123</v>
      </c>
      <c r="H56" s="36" t="s">
        <v>117</v>
      </c>
      <c r="I56" s="36">
        <f>'MERCADO TUSD'!$U$53</f>
        <v>160826.64799999999</v>
      </c>
      <c r="J56" s="16"/>
      <c r="L56" s="33">
        <f>1*(1 - CUSTOS!$M$28)</f>
        <v>1</v>
      </c>
      <c r="M56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CUSTOS!$M$28)</f>
        <v>0.98580407399232461</v>
      </c>
      <c r="N56" s="33">
        <f ca="1">(+M56+O56+R56+U56+V56+W56+X56+Y56+Z56+AA56+AC56+AH56+AI56+AJ56+AK56)*CUSTOS!$M$5</f>
        <v>3.170380480036044</v>
      </c>
      <c r="O56" s="33">
        <f>1 - CUSTOS!$M$28</f>
        <v>1</v>
      </c>
      <c r="P56" s="33">
        <f>1 - CUSTOS!$M$28</f>
        <v>1</v>
      </c>
      <c r="Q56" s="33">
        <f>1*(1 - CUSTOS!$M$28)</f>
        <v>1</v>
      </c>
      <c r="R56" s="33">
        <f>1 - CUSTOS!$M$28</f>
        <v>1</v>
      </c>
      <c r="S56" s="33">
        <f>1 - CUSTOS!$M$28</f>
        <v>1</v>
      </c>
      <c r="T56" s="33"/>
      <c r="U56" s="33">
        <f>TRANSICAO!$U$56*CUSTOS!$T$3</f>
        <v>12.8741</v>
      </c>
      <c r="V56" s="33">
        <f>TRANSICAO!$V$56*CUSTOS!$T$3</f>
        <v>1.6738</v>
      </c>
      <c r="W56" s="33">
        <f>TRANSICAO!$W$56*CUSTOS!$T$3</f>
        <v>0</v>
      </c>
      <c r="X56" s="33">
        <f>TRANSICAO!$X$56*CUSTOS!$T$3</f>
        <v>0</v>
      </c>
      <c r="Y56" s="33">
        <f>TRANSICAO!$Y$56*CUSTOS!$T$3</f>
        <v>37.7744</v>
      </c>
      <c r="Z56" s="33">
        <f>TRANSICAO!$Z$56*CUSTOS!$T$3</f>
        <v>0</v>
      </c>
      <c r="AA56" s="33">
        <f>TRANSICAO!$AA$56*CUSTOS!$T$3</f>
        <v>0</v>
      </c>
      <c r="AB56" s="33">
        <f>TRANSICAO!$AB$56*CUSTOS!$T$3</f>
        <v>0</v>
      </c>
      <c r="AC56" s="33">
        <f>TRANSICAO!$AC$56*CUSTOS!$T$3</f>
        <v>177.2055</v>
      </c>
      <c r="AD56" s="33">
        <f>TRANSICAO!$AD$56*CUSTOS!$T$3</f>
        <v>0</v>
      </c>
      <c r="AE56" s="33">
        <v>0</v>
      </c>
      <c r="AF56" s="33">
        <v>0</v>
      </c>
      <c r="AG56" s="33"/>
      <c r="AH56" s="33">
        <f>(1 - CUSTOS!$M$28)*41.4935</f>
        <v>41.493499999999997</v>
      </c>
      <c r="AI56" s="33">
        <f>(1 - CUSTOS!$M$28)*41.4935</f>
        <v>41.493499999999997</v>
      </c>
      <c r="AJ56" s="33">
        <f ca="1">$N$89*(1-CUSTOS!$M$28)</f>
        <v>0.76872196480603727</v>
      </c>
      <c r="AK56" s="33">
        <f t="shared" ca="1" si="1"/>
        <v>0.76872196480603727</v>
      </c>
      <c r="AL56" s="33"/>
      <c r="AM56" s="33"/>
      <c r="AP56" s="33">
        <f>IF((1 - CUSTOS!$M$28)&lt;&gt;0,1/(1 - CUSTOS!$M$28),1)</f>
        <v>1</v>
      </c>
    </row>
    <row r="57" spans="1:42" ht="11.25" customHeight="1" x14ac:dyDescent="0.25">
      <c r="A57" s="116"/>
      <c r="B57" s="116" t="s">
        <v>33</v>
      </c>
      <c r="C57" s="116" t="s">
        <v>45</v>
      </c>
      <c r="D57" s="116" t="s">
        <v>132</v>
      </c>
      <c r="E57" s="116" t="s">
        <v>25</v>
      </c>
      <c r="F57" s="116" t="s">
        <v>25</v>
      </c>
      <c r="G57" s="36" t="s">
        <v>118</v>
      </c>
      <c r="H57" s="36" t="s">
        <v>117</v>
      </c>
      <c r="I57" s="36">
        <f>'MERCADO TUSD'!$U$54</f>
        <v>0</v>
      </c>
      <c r="J57" s="16"/>
      <c r="L57" s="33">
        <f>1*(1 - CUSTOS!$M$29)</f>
        <v>1</v>
      </c>
      <c r="M57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CUSTOS!$M$29)</f>
        <v>0.98580407399232461</v>
      </c>
      <c r="N57" s="33">
        <f ca="1">(+M57+O57+R57+U57+V57+W57+X57+Y57+Z57+AA57+AC57+AH57+AI57+AJ57+AK57)*CUSTOS!$M$5</f>
        <v>7.4166454800360446</v>
      </c>
      <c r="O57" s="33">
        <f>1 - CUSTOS!$M$29</f>
        <v>1</v>
      </c>
      <c r="P57" s="33">
        <f>1 - CUSTOS!$M$29</f>
        <v>1</v>
      </c>
      <c r="Q57" s="33">
        <f>1*(1 - CUSTOS!$M$29)</f>
        <v>1</v>
      </c>
      <c r="R57" s="33">
        <f>1 - CUSTOS!$M$29</f>
        <v>1</v>
      </c>
      <c r="S57" s="33">
        <f>1 - CUSTOS!$M$29</f>
        <v>1</v>
      </c>
      <c r="T57" s="33"/>
      <c r="U57" s="33">
        <f>TRANSICAO!$U$57*CUSTOS!$T$3</f>
        <v>36.691099999999999</v>
      </c>
      <c r="V57" s="33">
        <f>TRANSICAO!$V$57*CUSTOS!$T$3</f>
        <v>4.7704000000000004</v>
      </c>
      <c r="W57" s="33">
        <f>TRANSICAO!$W$57*CUSTOS!$T$3</f>
        <v>0</v>
      </c>
      <c r="X57" s="33">
        <f>TRANSICAO!$X$57*CUSTOS!$T$3</f>
        <v>0</v>
      </c>
      <c r="Y57" s="33">
        <f>TRANSICAO!$Y$57*CUSTOS!$T$3</f>
        <v>107.6571</v>
      </c>
      <c r="Z57" s="33">
        <f>TRANSICAO!$Z$57*CUSTOS!$T$3</f>
        <v>0</v>
      </c>
      <c r="AA57" s="33">
        <f>TRANSICAO!$AA$57*CUSTOS!$T$3</f>
        <v>0</v>
      </c>
      <c r="AB57" s="33">
        <f>TRANSICAO!$AB$57*CUSTOS!$T$3</f>
        <v>0</v>
      </c>
      <c r="AC57" s="33">
        <f>TRANSICAO!$AC$57*CUSTOS!$T$3</f>
        <v>505.03570000000002</v>
      </c>
      <c r="AD57" s="33">
        <f>TRANSICAO!$AD$57*CUSTOS!$T$3</f>
        <v>0</v>
      </c>
      <c r="AE57" s="33">
        <v>0</v>
      </c>
      <c r="AF57" s="33">
        <v>0</v>
      </c>
      <c r="AG57" s="33"/>
      <c r="AH57" s="33">
        <f>(1 - CUSTOS!$M$29)*41.4935</f>
        <v>41.493499999999997</v>
      </c>
      <c r="AI57" s="33">
        <f>(1 - CUSTOS!$M$29)*41.4935</f>
        <v>41.493499999999997</v>
      </c>
      <c r="AJ57" s="33">
        <f ca="1">$N$89*(1-CUSTOS!$M$29)</f>
        <v>0.76872196480603727</v>
      </c>
      <c r="AK57" s="33">
        <f t="shared" ca="1" si="1"/>
        <v>0.76872196480603727</v>
      </c>
      <c r="AL57" s="33"/>
      <c r="AM57" s="33"/>
      <c r="AP57" s="33">
        <f>IF((1 - CUSTOS!$M$29)&lt;&gt;0,1/(1 - CUSTOS!$M$29),1)</f>
        <v>1</v>
      </c>
    </row>
    <row r="58" spans="1:42" ht="11.25" customHeight="1" x14ac:dyDescent="0.25">
      <c r="A58" s="116"/>
      <c r="B58" s="116"/>
      <c r="C58" s="116"/>
      <c r="D58" s="116"/>
      <c r="E58" s="116"/>
      <c r="F58" s="116"/>
      <c r="G58" s="36" t="s">
        <v>128</v>
      </c>
      <c r="H58" s="36" t="s">
        <v>117</v>
      </c>
      <c r="I58" s="36">
        <f>'MERCADO TUSD'!$U$55</f>
        <v>0</v>
      </c>
      <c r="J58" s="16"/>
      <c r="L58" s="33">
        <f>1*(1 - CUSTOS!$M$29)</f>
        <v>1</v>
      </c>
      <c r="M58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CUSTOS!$M$29)</f>
        <v>0.98580407399232461</v>
      </c>
      <c r="N58" s="33">
        <f ca="1">(+M58+O58+R58+U58+V58+W58+X58+Y58+Z58+AA58+AC58+AH58+AI58+AJ58+AK58)*CUSTOS!$M$5</f>
        <v>4.8000274800360447</v>
      </c>
      <c r="O58" s="33">
        <f>1 - CUSTOS!$M$29</f>
        <v>1</v>
      </c>
      <c r="P58" s="33">
        <f>1 - CUSTOS!$M$29</f>
        <v>1</v>
      </c>
      <c r="Q58" s="33">
        <f>1*(1 - CUSTOS!$M$29)</f>
        <v>1</v>
      </c>
      <c r="R58" s="33">
        <f>1 - CUSTOS!$M$29</f>
        <v>1</v>
      </c>
      <c r="S58" s="33">
        <f>1 - CUSTOS!$M$29</f>
        <v>1</v>
      </c>
      <c r="T58" s="33"/>
      <c r="U58" s="33">
        <f>TRANSICAO!$U$58*CUSTOS!$T$3</f>
        <v>22.014700000000001</v>
      </c>
      <c r="V58" s="33">
        <f>TRANSICAO!$V$58*CUSTOS!$T$3</f>
        <v>2.8622000000000001</v>
      </c>
      <c r="W58" s="33">
        <f>TRANSICAO!$W$58*CUSTOS!$T$3</f>
        <v>0</v>
      </c>
      <c r="X58" s="33">
        <f>TRANSICAO!$X$58*CUSTOS!$T$3</f>
        <v>0</v>
      </c>
      <c r="Y58" s="33">
        <f>TRANSICAO!$Y$58*CUSTOS!$T$3</f>
        <v>64.594200000000001</v>
      </c>
      <c r="Z58" s="33">
        <f>TRANSICAO!$Z$58*CUSTOS!$T$3</f>
        <v>0</v>
      </c>
      <c r="AA58" s="33">
        <f>TRANSICAO!$AA$58*CUSTOS!$T$3</f>
        <v>0</v>
      </c>
      <c r="AB58" s="33">
        <f>TRANSICAO!$AB$58*CUSTOS!$T$3</f>
        <v>0</v>
      </c>
      <c r="AC58" s="33">
        <f>TRANSICAO!$AC$58*CUSTOS!$T$3</f>
        <v>303.02140000000003</v>
      </c>
      <c r="AD58" s="33">
        <f>TRANSICAO!$AD$58*CUSTOS!$T$3</f>
        <v>0</v>
      </c>
      <c r="AE58" s="33">
        <v>0</v>
      </c>
      <c r="AF58" s="33">
        <v>0</v>
      </c>
      <c r="AG58" s="33"/>
      <c r="AH58" s="33">
        <f>(1 - CUSTOS!$M$29)*41.4935</f>
        <v>41.493499999999997</v>
      </c>
      <c r="AI58" s="33">
        <f>(1 - CUSTOS!$M$29)*41.4935</f>
        <v>41.493499999999997</v>
      </c>
      <c r="AJ58" s="33">
        <f ca="1">$N$89*(1-CUSTOS!$M$29)</f>
        <v>0.76872196480603727</v>
      </c>
      <c r="AK58" s="33">
        <f t="shared" ca="1" si="1"/>
        <v>0.76872196480603727</v>
      </c>
      <c r="AL58" s="33"/>
      <c r="AM58" s="33"/>
      <c r="AP58" s="33">
        <f>IF((1 - CUSTOS!$M$29)&lt;&gt;0,1/(1 - CUSTOS!$M$29),1)</f>
        <v>1</v>
      </c>
    </row>
    <row r="59" spans="1:42" ht="11.25" customHeight="1" x14ac:dyDescent="0.25">
      <c r="A59" s="116"/>
      <c r="B59" s="116"/>
      <c r="C59" s="116"/>
      <c r="D59" s="116"/>
      <c r="E59" s="116"/>
      <c r="F59" s="116"/>
      <c r="G59" s="36" t="s">
        <v>119</v>
      </c>
      <c r="H59" s="36" t="s">
        <v>117</v>
      </c>
      <c r="I59" s="36">
        <f>'MERCADO TUSD'!$U$56</f>
        <v>0</v>
      </c>
      <c r="J59" s="16"/>
      <c r="L59" s="33">
        <f>1*(1 - CUSTOS!$M$29)</f>
        <v>1</v>
      </c>
      <c r="M59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CUSTOS!$M$29)</f>
        <v>0.98580407399232461</v>
      </c>
      <c r="N59" s="33">
        <f ca="1">(+M59+O59+R59+U59+V59+W59+X59+Y59+Z59+AA59+AC59+AH59+AI59+AJ59+AK59)*CUSTOS!$M$5</f>
        <v>2.1834104800360441</v>
      </c>
      <c r="O59" s="33">
        <f>1 - CUSTOS!$M$29</f>
        <v>1</v>
      </c>
      <c r="P59" s="33">
        <f>1 - CUSTOS!$M$29</f>
        <v>1</v>
      </c>
      <c r="Q59" s="33">
        <f>1*(1 - CUSTOS!$M$29)</f>
        <v>1</v>
      </c>
      <c r="R59" s="33">
        <f>1 - CUSTOS!$M$29</f>
        <v>1</v>
      </c>
      <c r="S59" s="33">
        <f>1 - CUSTOS!$M$29</f>
        <v>1</v>
      </c>
      <c r="T59" s="33"/>
      <c r="U59" s="33">
        <f>TRANSICAO!$U$59*CUSTOS!$T$3</f>
        <v>7.3381999999999996</v>
      </c>
      <c r="V59" s="33">
        <f>TRANSICAO!$V$59*CUSTOS!$T$3</f>
        <v>0.95409999999999995</v>
      </c>
      <c r="W59" s="33">
        <f>TRANSICAO!$W$59*CUSTOS!$T$3</f>
        <v>0</v>
      </c>
      <c r="X59" s="33">
        <f>TRANSICAO!$X$59*CUSTOS!$T$3</f>
        <v>0</v>
      </c>
      <c r="Y59" s="33">
        <f>TRANSICAO!$Y$59*CUSTOS!$T$3</f>
        <v>21.531400000000001</v>
      </c>
      <c r="Z59" s="33">
        <f>TRANSICAO!$Z$59*CUSTOS!$T$3</f>
        <v>0</v>
      </c>
      <c r="AA59" s="33">
        <f>TRANSICAO!$AA$59*CUSTOS!$T$3</f>
        <v>0</v>
      </c>
      <c r="AB59" s="33">
        <f>TRANSICAO!$AB$59*CUSTOS!$T$3</f>
        <v>0</v>
      </c>
      <c r="AC59" s="33">
        <f>TRANSICAO!$AC$59*CUSTOS!$T$3</f>
        <v>101.00709999999999</v>
      </c>
      <c r="AD59" s="33">
        <f>TRANSICAO!$AD$59*CUSTOS!$T$3</f>
        <v>0</v>
      </c>
      <c r="AE59" s="33">
        <v>0</v>
      </c>
      <c r="AF59" s="33">
        <v>0</v>
      </c>
      <c r="AG59" s="33"/>
      <c r="AH59" s="33">
        <f>(1 - CUSTOS!$M$29)*41.4935</f>
        <v>41.493499999999997</v>
      </c>
      <c r="AI59" s="33">
        <f>(1 - CUSTOS!$M$29)*41.4935</f>
        <v>41.493499999999997</v>
      </c>
      <c r="AJ59" s="33">
        <f ca="1">$N$89*(1-CUSTOS!$M$29)</f>
        <v>0.76872196480603727</v>
      </c>
      <c r="AK59" s="33">
        <f t="shared" ca="1" si="1"/>
        <v>0.76872196480603727</v>
      </c>
      <c r="AL59" s="33"/>
      <c r="AM59" s="33"/>
      <c r="AP59" s="33">
        <f>IF((1 - CUSTOS!$M$29)&lt;&gt;0,1/(1 - CUSTOS!$M$29),1)</f>
        <v>1</v>
      </c>
    </row>
    <row r="60" spans="1:42" ht="11.25" customHeight="1" x14ac:dyDescent="0.25">
      <c r="A60" s="116"/>
      <c r="B60" s="37" t="s">
        <v>23</v>
      </c>
      <c r="C60" s="37" t="s">
        <v>45</v>
      </c>
      <c r="D60" s="37" t="s">
        <v>132</v>
      </c>
      <c r="E60" s="37" t="s">
        <v>25</v>
      </c>
      <c r="F60" s="37" t="s">
        <v>25</v>
      </c>
      <c r="G60" s="36" t="s">
        <v>123</v>
      </c>
      <c r="H60" s="36" t="s">
        <v>117</v>
      </c>
      <c r="I60" s="36">
        <f>'MERCADO TUSD'!$U$57</f>
        <v>0</v>
      </c>
      <c r="J60" s="16"/>
      <c r="L60" s="33">
        <f>1*(1 - CUSTOS!$M$29)</f>
        <v>1</v>
      </c>
      <c r="M60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CUSTOS!$M$29)</f>
        <v>0.98580407399232461</v>
      </c>
      <c r="N60" s="33">
        <f ca="1">(+M60+O60+R60+U60+V60+W60+X60+Y60+Z60+AA60+AC60+AH60+AI60+AJ60+AK60)*CUSTOS!$M$5</f>
        <v>3.170380480036044</v>
      </c>
      <c r="O60" s="33">
        <f>1 - CUSTOS!$M$29</f>
        <v>1</v>
      </c>
      <c r="P60" s="33">
        <f>1 - CUSTOS!$M$29</f>
        <v>1</v>
      </c>
      <c r="Q60" s="33">
        <f>1*(1 - CUSTOS!$M$29)</f>
        <v>1</v>
      </c>
      <c r="R60" s="33">
        <f>1 - CUSTOS!$M$29</f>
        <v>1</v>
      </c>
      <c r="S60" s="33">
        <f>1 - CUSTOS!$M$29</f>
        <v>1</v>
      </c>
      <c r="T60" s="33"/>
      <c r="U60" s="33">
        <f>TRANSICAO!$U$60*CUSTOS!$T$3</f>
        <v>12.8741</v>
      </c>
      <c r="V60" s="33">
        <f>TRANSICAO!$V$60*CUSTOS!$T$3</f>
        <v>1.6738</v>
      </c>
      <c r="W60" s="33">
        <f>TRANSICAO!$W$60*CUSTOS!$T$3</f>
        <v>0</v>
      </c>
      <c r="X60" s="33">
        <f>TRANSICAO!$X$60*CUSTOS!$T$3</f>
        <v>0</v>
      </c>
      <c r="Y60" s="33">
        <f>TRANSICAO!$Y$60*CUSTOS!$T$3</f>
        <v>37.7744</v>
      </c>
      <c r="Z60" s="33">
        <f>TRANSICAO!$Z$60*CUSTOS!$T$3</f>
        <v>0</v>
      </c>
      <c r="AA60" s="33">
        <f>TRANSICAO!$AA$60*CUSTOS!$T$3</f>
        <v>0</v>
      </c>
      <c r="AB60" s="33">
        <f>TRANSICAO!$AB$60*CUSTOS!$T$3</f>
        <v>0</v>
      </c>
      <c r="AC60" s="33">
        <f>TRANSICAO!$AC$60*CUSTOS!$T$3</f>
        <v>177.2055</v>
      </c>
      <c r="AD60" s="33">
        <f>TRANSICAO!$AD$60*CUSTOS!$T$3</f>
        <v>0</v>
      </c>
      <c r="AE60" s="33">
        <v>0</v>
      </c>
      <c r="AF60" s="33">
        <v>0</v>
      </c>
      <c r="AG60" s="33"/>
      <c r="AH60" s="33">
        <f>(1 - CUSTOS!$M$29)*41.4935</f>
        <v>41.493499999999997</v>
      </c>
      <c r="AI60" s="33">
        <f>(1 - CUSTOS!$M$29)*41.4935</f>
        <v>41.493499999999997</v>
      </c>
      <c r="AJ60" s="33">
        <f ca="1">$N$89*(1-CUSTOS!$M$29)</f>
        <v>0.76872196480603727</v>
      </c>
      <c r="AK60" s="33">
        <f t="shared" ca="1" si="1"/>
        <v>0.76872196480603727</v>
      </c>
      <c r="AL60" s="33"/>
      <c r="AM60" s="33"/>
      <c r="AP60" s="33">
        <f>IF((1 - CUSTOS!$M$29)&lt;&gt;0,1/(1 - CUSTOS!$M$29),1)</f>
        <v>1</v>
      </c>
    </row>
    <row r="61" spans="1:42" ht="11.25" customHeight="1" x14ac:dyDescent="0.25">
      <c r="A61" s="116"/>
      <c r="B61" s="116" t="s">
        <v>33</v>
      </c>
      <c r="C61" s="116" t="s">
        <v>45</v>
      </c>
      <c r="D61" s="116" t="s">
        <v>133</v>
      </c>
      <c r="E61" s="116" t="s">
        <v>25</v>
      </c>
      <c r="F61" s="116" t="s">
        <v>25</v>
      </c>
      <c r="G61" s="36" t="s">
        <v>118</v>
      </c>
      <c r="H61" s="36" t="s">
        <v>117</v>
      </c>
      <c r="I61" s="36">
        <f>'MERCADO TUSD'!$U$58</f>
        <v>0</v>
      </c>
      <c r="J61" s="16"/>
      <c r="L61" s="33">
        <f>1*(1 - CUSTOS!$M$30)</f>
        <v>1</v>
      </c>
      <c r="M61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CUSTOS!$M$30)</f>
        <v>0.98580407399232461</v>
      </c>
      <c r="N61" s="33">
        <f ca="1">(+M61+O61+R61+U61+V61+W61+X61+Y61+Z61+AA61+AC61+AH61+AI61+AJ61+AK61)*CUSTOS!$M$5</f>
        <v>7.4166454800360446</v>
      </c>
      <c r="O61" s="33">
        <f>1 - CUSTOS!$M$30</f>
        <v>1</v>
      </c>
      <c r="P61" s="33">
        <f>1 - CUSTOS!$M$30</f>
        <v>1</v>
      </c>
      <c r="Q61" s="33">
        <f>1*(1 - CUSTOS!$M$30)</f>
        <v>1</v>
      </c>
      <c r="R61" s="33">
        <f>1 - CUSTOS!$M$30</f>
        <v>1</v>
      </c>
      <c r="S61" s="33">
        <f>1 - CUSTOS!$M$30</f>
        <v>1</v>
      </c>
      <c r="T61" s="33"/>
      <c r="U61" s="33">
        <f>TRANSICAO!$U$61*CUSTOS!$T$3</f>
        <v>36.691099999999999</v>
      </c>
      <c r="V61" s="33">
        <f>TRANSICAO!$V$61*CUSTOS!$T$3</f>
        <v>4.7704000000000004</v>
      </c>
      <c r="W61" s="33">
        <f>TRANSICAO!$W$61*CUSTOS!$T$3</f>
        <v>0</v>
      </c>
      <c r="X61" s="33">
        <f>TRANSICAO!$X$61*CUSTOS!$T$3</f>
        <v>0</v>
      </c>
      <c r="Y61" s="33">
        <f>TRANSICAO!$Y$61*CUSTOS!$T$3</f>
        <v>107.6571</v>
      </c>
      <c r="Z61" s="33">
        <f>TRANSICAO!$Z$61*CUSTOS!$T$3</f>
        <v>0</v>
      </c>
      <c r="AA61" s="33">
        <f>TRANSICAO!$AA$61*CUSTOS!$T$3</f>
        <v>0</v>
      </c>
      <c r="AB61" s="33">
        <f>TRANSICAO!$AB$61*CUSTOS!$T$3</f>
        <v>0</v>
      </c>
      <c r="AC61" s="33">
        <f>TRANSICAO!$AC$61*CUSTOS!$T$3</f>
        <v>505.03570000000002</v>
      </c>
      <c r="AD61" s="33">
        <f>TRANSICAO!$AD$61*CUSTOS!$T$3</f>
        <v>0</v>
      </c>
      <c r="AE61" s="33">
        <v>0</v>
      </c>
      <c r="AF61" s="33">
        <v>0</v>
      </c>
      <c r="AG61" s="33"/>
      <c r="AH61" s="33">
        <f>(1 - CUSTOS!$M$30)*41.4935</f>
        <v>41.493499999999997</v>
      </c>
      <c r="AI61" s="33">
        <f>(1 - CUSTOS!$M$30)*41.4935</f>
        <v>41.493499999999997</v>
      </c>
      <c r="AJ61" s="33">
        <f ca="1">$N$89*(1-CUSTOS!$M$30)</f>
        <v>0.76872196480603727</v>
      </c>
      <c r="AK61" s="33">
        <f t="shared" ca="1" si="1"/>
        <v>0.76872196480603727</v>
      </c>
      <c r="AL61" s="33"/>
      <c r="AM61" s="33"/>
      <c r="AP61" s="33">
        <f>IF((1 - CUSTOS!$M$30)&lt;&gt;0,1/(1 - CUSTOS!$M$30),1)</f>
        <v>1</v>
      </c>
    </row>
    <row r="62" spans="1:42" ht="11.25" customHeight="1" x14ac:dyDescent="0.25">
      <c r="A62" s="116"/>
      <c r="B62" s="116"/>
      <c r="C62" s="116"/>
      <c r="D62" s="116"/>
      <c r="E62" s="116"/>
      <c r="F62" s="116"/>
      <c r="G62" s="36" t="s">
        <v>128</v>
      </c>
      <c r="H62" s="36" t="s">
        <v>117</v>
      </c>
      <c r="I62" s="36">
        <f>'MERCADO TUSD'!$U$59</f>
        <v>0</v>
      </c>
      <c r="J62" s="16"/>
      <c r="L62" s="33">
        <f>1*(1 - CUSTOS!$M$30)</f>
        <v>1</v>
      </c>
      <c r="M62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CUSTOS!$M$30)</f>
        <v>0.98580407399232461</v>
      </c>
      <c r="N62" s="33">
        <f ca="1">(+M62+O62+R62+U62+V62+W62+X62+Y62+Z62+AA62+AC62+AH62+AI62+AJ62+AK62)*CUSTOS!$M$5</f>
        <v>4.8000274800360447</v>
      </c>
      <c r="O62" s="33">
        <f>1 - CUSTOS!$M$30</f>
        <v>1</v>
      </c>
      <c r="P62" s="33">
        <f>1 - CUSTOS!$M$30</f>
        <v>1</v>
      </c>
      <c r="Q62" s="33">
        <f>1*(1 - CUSTOS!$M$30)</f>
        <v>1</v>
      </c>
      <c r="R62" s="33">
        <f>1 - CUSTOS!$M$30</f>
        <v>1</v>
      </c>
      <c r="S62" s="33">
        <f>1 - CUSTOS!$M$30</f>
        <v>1</v>
      </c>
      <c r="T62" s="33"/>
      <c r="U62" s="33">
        <f>TRANSICAO!$U$62*CUSTOS!$T$3</f>
        <v>22.014700000000001</v>
      </c>
      <c r="V62" s="33">
        <f>TRANSICAO!$V$62*CUSTOS!$T$3</f>
        <v>2.8622000000000001</v>
      </c>
      <c r="W62" s="33">
        <f>TRANSICAO!$W$62*CUSTOS!$T$3</f>
        <v>0</v>
      </c>
      <c r="X62" s="33">
        <f>TRANSICAO!$X$62*CUSTOS!$T$3</f>
        <v>0</v>
      </c>
      <c r="Y62" s="33">
        <f>TRANSICAO!$Y$62*CUSTOS!$T$3</f>
        <v>64.594200000000001</v>
      </c>
      <c r="Z62" s="33">
        <f>TRANSICAO!$Z$62*CUSTOS!$T$3</f>
        <v>0</v>
      </c>
      <c r="AA62" s="33">
        <f>TRANSICAO!$AA$62*CUSTOS!$T$3</f>
        <v>0</v>
      </c>
      <c r="AB62" s="33">
        <f>TRANSICAO!$AB$62*CUSTOS!$T$3</f>
        <v>0</v>
      </c>
      <c r="AC62" s="33">
        <f>TRANSICAO!$AC$62*CUSTOS!$T$3</f>
        <v>303.02140000000003</v>
      </c>
      <c r="AD62" s="33">
        <f>TRANSICAO!$AD$62*CUSTOS!$T$3</f>
        <v>0</v>
      </c>
      <c r="AE62" s="33">
        <v>0</v>
      </c>
      <c r="AF62" s="33">
        <v>0</v>
      </c>
      <c r="AG62" s="33"/>
      <c r="AH62" s="33">
        <f>(1 - CUSTOS!$M$30)*41.4935</f>
        <v>41.493499999999997</v>
      </c>
      <c r="AI62" s="33">
        <f>(1 - CUSTOS!$M$30)*41.4935</f>
        <v>41.493499999999997</v>
      </c>
      <c r="AJ62" s="33">
        <f ca="1">$N$89*(1-CUSTOS!$M$30)</f>
        <v>0.76872196480603727</v>
      </c>
      <c r="AK62" s="33">
        <f t="shared" ca="1" si="1"/>
        <v>0.76872196480603727</v>
      </c>
      <c r="AL62" s="33"/>
      <c r="AM62" s="33"/>
      <c r="AP62" s="33">
        <f>IF((1 - CUSTOS!$M$30)&lt;&gt;0,1/(1 - CUSTOS!$M$30),1)</f>
        <v>1</v>
      </c>
    </row>
    <row r="63" spans="1:42" ht="11.25" customHeight="1" x14ac:dyDescent="0.25">
      <c r="A63" s="116"/>
      <c r="B63" s="116"/>
      <c r="C63" s="116"/>
      <c r="D63" s="116"/>
      <c r="E63" s="116"/>
      <c r="F63" s="116"/>
      <c r="G63" s="36" t="s">
        <v>119</v>
      </c>
      <c r="H63" s="36" t="s">
        <v>117</v>
      </c>
      <c r="I63" s="36">
        <f>'MERCADO TUSD'!$U$60</f>
        <v>0</v>
      </c>
      <c r="J63" s="16"/>
      <c r="L63" s="33">
        <f>1*(1 - CUSTOS!$M$30)</f>
        <v>1</v>
      </c>
      <c r="M63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CUSTOS!$M$30)</f>
        <v>0.98580407399232461</v>
      </c>
      <c r="N63" s="33">
        <f ca="1">(+M63+O63+R63+U63+V63+W63+X63+Y63+Z63+AA63+AC63+AH63+AI63+AJ63+AK63)*CUSTOS!$M$5</f>
        <v>2.1834104800360441</v>
      </c>
      <c r="O63" s="33">
        <f>1 - CUSTOS!$M$30</f>
        <v>1</v>
      </c>
      <c r="P63" s="33">
        <f>1 - CUSTOS!$M$30</f>
        <v>1</v>
      </c>
      <c r="Q63" s="33">
        <f>1*(1 - CUSTOS!$M$30)</f>
        <v>1</v>
      </c>
      <c r="R63" s="33">
        <f>1 - CUSTOS!$M$30</f>
        <v>1</v>
      </c>
      <c r="S63" s="33">
        <f>1 - CUSTOS!$M$30</f>
        <v>1</v>
      </c>
      <c r="T63" s="33"/>
      <c r="U63" s="33">
        <f>TRANSICAO!$U$63*CUSTOS!$T$3</f>
        <v>7.3381999999999996</v>
      </c>
      <c r="V63" s="33">
        <f>TRANSICAO!$V$63*CUSTOS!$T$3</f>
        <v>0.95409999999999995</v>
      </c>
      <c r="W63" s="33">
        <f>TRANSICAO!$W$63*CUSTOS!$T$3</f>
        <v>0</v>
      </c>
      <c r="X63" s="33">
        <f>TRANSICAO!$X$63*CUSTOS!$T$3</f>
        <v>0</v>
      </c>
      <c r="Y63" s="33">
        <f>TRANSICAO!$Y$63*CUSTOS!$T$3</f>
        <v>21.531400000000001</v>
      </c>
      <c r="Z63" s="33">
        <f>TRANSICAO!$Z$63*CUSTOS!$T$3</f>
        <v>0</v>
      </c>
      <c r="AA63" s="33">
        <f>TRANSICAO!$AA$63*CUSTOS!$T$3</f>
        <v>0</v>
      </c>
      <c r="AB63" s="33">
        <f>TRANSICAO!$AB$63*CUSTOS!$T$3</f>
        <v>0</v>
      </c>
      <c r="AC63" s="33">
        <f>TRANSICAO!$AC$63*CUSTOS!$T$3</f>
        <v>101.00709999999999</v>
      </c>
      <c r="AD63" s="33">
        <f>TRANSICAO!$AD$63*CUSTOS!$T$3</f>
        <v>0</v>
      </c>
      <c r="AE63" s="33">
        <v>0</v>
      </c>
      <c r="AF63" s="33">
        <v>0</v>
      </c>
      <c r="AG63" s="33"/>
      <c r="AH63" s="33">
        <f>(1 - CUSTOS!$M$30)*41.4935</f>
        <v>41.493499999999997</v>
      </c>
      <c r="AI63" s="33">
        <f>(1 - CUSTOS!$M$30)*41.4935</f>
        <v>41.493499999999997</v>
      </c>
      <c r="AJ63" s="33">
        <f ca="1">$N$89*(1-CUSTOS!$M$30)</f>
        <v>0.76872196480603727</v>
      </c>
      <c r="AK63" s="33">
        <f t="shared" ca="1" si="1"/>
        <v>0.76872196480603727</v>
      </c>
      <c r="AL63" s="33"/>
      <c r="AM63" s="33"/>
      <c r="AP63" s="33">
        <f>IF((1 - CUSTOS!$M$30)&lt;&gt;0,1/(1 - CUSTOS!$M$30),1)</f>
        <v>1</v>
      </c>
    </row>
    <row r="64" spans="1:42" ht="11.25" customHeight="1" x14ac:dyDescent="0.25">
      <c r="A64" s="116"/>
      <c r="B64" s="37" t="s">
        <v>23</v>
      </c>
      <c r="C64" s="37" t="s">
        <v>45</v>
      </c>
      <c r="D64" s="37" t="s">
        <v>133</v>
      </c>
      <c r="E64" s="37" t="s">
        <v>25</v>
      </c>
      <c r="F64" s="37" t="s">
        <v>25</v>
      </c>
      <c r="G64" s="36" t="s">
        <v>123</v>
      </c>
      <c r="H64" s="36" t="s">
        <v>117</v>
      </c>
      <c r="I64" s="36">
        <f>'MERCADO TUSD'!$U$61</f>
        <v>0</v>
      </c>
      <c r="J64" s="16"/>
      <c r="L64" s="33">
        <f>1*(1 - CUSTOS!$M$30)</f>
        <v>1</v>
      </c>
      <c r="M64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CUSTOS!$M$30)</f>
        <v>0.98580407399232461</v>
      </c>
      <c r="N64" s="33">
        <f ca="1">(+M64+O64+R64+U64+V64+W64+X64+Y64+Z64+AA64+AC64+AH64+AI64+AJ64+AK64)*CUSTOS!$M$5</f>
        <v>3.170380480036044</v>
      </c>
      <c r="O64" s="33">
        <f>1 - CUSTOS!$M$30</f>
        <v>1</v>
      </c>
      <c r="P64" s="33">
        <f>1 - CUSTOS!$M$30</f>
        <v>1</v>
      </c>
      <c r="Q64" s="33">
        <f>1*(1 - CUSTOS!$M$30)</f>
        <v>1</v>
      </c>
      <c r="R64" s="33">
        <f>1 - CUSTOS!$M$30</f>
        <v>1</v>
      </c>
      <c r="S64" s="33">
        <f>1 - CUSTOS!$M$30</f>
        <v>1</v>
      </c>
      <c r="T64" s="33"/>
      <c r="U64" s="33">
        <f>TRANSICAO!$U$64*CUSTOS!$T$3</f>
        <v>12.8741</v>
      </c>
      <c r="V64" s="33">
        <f>TRANSICAO!$V$64*CUSTOS!$T$3</f>
        <v>1.6738</v>
      </c>
      <c r="W64" s="33">
        <f>TRANSICAO!$W$64*CUSTOS!$T$3</f>
        <v>0</v>
      </c>
      <c r="X64" s="33">
        <f>TRANSICAO!$X$64*CUSTOS!$T$3</f>
        <v>0</v>
      </c>
      <c r="Y64" s="33">
        <f>TRANSICAO!$Y$64*CUSTOS!$T$3</f>
        <v>37.7744</v>
      </c>
      <c r="Z64" s="33">
        <f>TRANSICAO!$Z$64*CUSTOS!$T$3</f>
        <v>0</v>
      </c>
      <c r="AA64" s="33">
        <f>TRANSICAO!$AA$64*CUSTOS!$T$3</f>
        <v>0</v>
      </c>
      <c r="AB64" s="33">
        <f>TRANSICAO!$AB$64*CUSTOS!$T$3</f>
        <v>0</v>
      </c>
      <c r="AC64" s="33">
        <f>TRANSICAO!$AC$64*CUSTOS!$T$3</f>
        <v>177.2055</v>
      </c>
      <c r="AD64" s="33">
        <f>TRANSICAO!$AD$64*CUSTOS!$T$3</f>
        <v>0</v>
      </c>
      <c r="AE64" s="33">
        <v>0</v>
      </c>
      <c r="AF64" s="33">
        <v>0</v>
      </c>
      <c r="AG64" s="33"/>
      <c r="AH64" s="33">
        <f>(1 - CUSTOS!$M$30)*41.4935</f>
        <v>41.493499999999997</v>
      </c>
      <c r="AI64" s="33">
        <f>(1 - CUSTOS!$M$30)*41.4935</f>
        <v>41.493499999999997</v>
      </c>
      <c r="AJ64" s="33">
        <f ca="1">$N$89*(1-CUSTOS!$M$30)</f>
        <v>0.76872196480603727</v>
      </c>
      <c r="AK64" s="33">
        <f t="shared" ca="1" si="1"/>
        <v>0.76872196480603727</v>
      </c>
      <c r="AL64" s="33"/>
      <c r="AM64" s="33"/>
      <c r="AP64" s="33">
        <f>IF((1 - CUSTOS!$M$30)&lt;&gt;0,1/(1 - CUSTOS!$M$30),1)</f>
        <v>1</v>
      </c>
    </row>
    <row r="65" spans="1:42" ht="11.25" customHeight="1" x14ac:dyDescent="0.25">
      <c r="A65" s="116"/>
      <c r="B65" s="116" t="s">
        <v>131</v>
      </c>
      <c r="C65" s="116" t="s">
        <v>45</v>
      </c>
      <c r="D65" s="37" t="s">
        <v>25</v>
      </c>
      <c r="E65" s="37" t="s">
        <v>25</v>
      </c>
      <c r="F65" s="37" t="s">
        <v>25</v>
      </c>
      <c r="G65" s="36" t="s">
        <v>123</v>
      </c>
      <c r="H65" s="36" t="s">
        <v>117</v>
      </c>
      <c r="I65" s="36">
        <f>'MERCADO TUSD'!$U$62</f>
        <v>0</v>
      </c>
      <c r="J65" s="16"/>
      <c r="L65" s="33">
        <f>1*(1 - CUSTOS!$M$28)</f>
        <v>1</v>
      </c>
      <c r="M65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CUSTOS!$M$28)</f>
        <v>0.98580407399232461</v>
      </c>
      <c r="N65" s="33">
        <f ca="1">(+M65+O65+R65+U65+V65+W65+X65+Y65+Z65+AA65+AC65+AH65+AI65+AJ65+AK65)*CUSTOS!$M$5</f>
        <v>3.170380480036044</v>
      </c>
      <c r="O65" s="33">
        <f>1 - CUSTOS!$M$28</f>
        <v>1</v>
      </c>
      <c r="P65" s="33">
        <f>1 - CUSTOS!$M$28</f>
        <v>1</v>
      </c>
      <c r="Q65" s="33">
        <f>1*(1 - CUSTOS!$M$28)</f>
        <v>1</v>
      </c>
      <c r="R65" s="33">
        <f>1 - CUSTOS!$M$28</f>
        <v>1</v>
      </c>
      <c r="S65" s="33">
        <f>1 - CUSTOS!$M$28</f>
        <v>1</v>
      </c>
      <c r="T65" s="33"/>
      <c r="U65" s="33">
        <f>TRANSICAO!$U$65*CUSTOS!$T$3</f>
        <v>12.8741</v>
      </c>
      <c r="V65" s="33">
        <f>TRANSICAO!$V$65*CUSTOS!$T$3</f>
        <v>1.6738</v>
      </c>
      <c r="W65" s="33">
        <f>TRANSICAO!$W$65*CUSTOS!$T$3</f>
        <v>0</v>
      </c>
      <c r="X65" s="33">
        <f>TRANSICAO!$X$65*CUSTOS!$T$3</f>
        <v>0</v>
      </c>
      <c r="Y65" s="33">
        <f>TRANSICAO!$Y$65*CUSTOS!$T$3</f>
        <v>37.7744</v>
      </c>
      <c r="Z65" s="33">
        <f>TRANSICAO!$Z$65*CUSTOS!$T$3</f>
        <v>0</v>
      </c>
      <c r="AA65" s="33">
        <f>TRANSICAO!$AA$65*CUSTOS!$T$3</f>
        <v>0</v>
      </c>
      <c r="AB65" s="33">
        <f>TRANSICAO!$AB$65*CUSTOS!$T$3</f>
        <v>0</v>
      </c>
      <c r="AC65" s="33">
        <f>TRANSICAO!$AC$65*CUSTOS!$T$3</f>
        <v>177.2055</v>
      </c>
      <c r="AD65" s="33">
        <f>TRANSICAO!$AD$65*CUSTOS!$T$3</f>
        <v>0</v>
      </c>
      <c r="AE65" s="33">
        <v>0</v>
      </c>
      <c r="AF65" s="33">
        <v>0</v>
      </c>
      <c r="AG65" s="33"/>
      <c r="AH65" s="33">
        <f>(1 - CUSTOS!$M$28)*41.4935</f>
        <v>41.493499999999997</v>
      </c>
      <c r="AI65" s="33">
        <f>(1 - CUSTOS!$M$28)*41.4935</f>
        <v>41.493499999999997</v>
      </c>
      <c r="AJ65" s="33">
        <f ca="1">$N$89*(1-CUSTOS!$M$28)</f>
        <v>0.76872196480603727</v>
      </c>
      <c r="AK65" s="33">
        <f t="shared" ca="1" si="1"/>
        <v>0.76872196480603727</v>
      </c>
      <c r="AL65" s="33"/>
      <c r="AM65" s="33"/>
      <c r="AP65" s="33">
        <f>IF((1 - CUSTOS!$M$28)&lt;&gt;0,1/(1 - CUSTOS!$M$28),1)</f>
        <v>1</v>
      </c>
    </row>
    <row r="66" spans="1:42" ht="11.25" customHeight="1" x14ac:dyDescent="0.25">
      <c r="A66" s="116"/>
      <c r="B66" s="116"/>
      <c r="C66" s="116"/>
      <c r="D66" s="37" t="s">
        <v>132</v>
      </c>
      <c r="E66" s="37" t="s">
        <v>25</v>
      </c>
      <c r="F66" s="37" t="s">
        <v>25</v>
      </c>
      <c r="G66" s="36" t="s">
        <v>123</v>
      </c>
      <c r="H66" s="36" t="s">
        <v>117</v>
      </c>
      <c r="I66" s="36">
        <f>'MERCADO TUSD'!$U$63</f>
        <v>0</v>
      </c>
      <c r="J66" s="16"/>
      <c r="L66" s="33">
        <f>1*(1 - CUSTOS!$M$29)</f>
        <v>1</v>
      </c>
      <c r="M66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CUSTOS!$M$29)</f>
        <v>0.98580407399232461</v>
      </c>
      <c r="N66" s="33">
        <f ca="1">(+M66+O66+R66+U66+V66+W66+X66+Y66+Z66+AA66+AC66+AH66+AI66+AJ66+AK66)*CUSTOS!$M$5</f>
        <v>3.170380480036044</v>
      </c>
      <c r="O66" s="33">
        <f>1 - CUSTOS!$M$29</f>
        <v>1</v>
      </c>
      <c r="P66" s="33">
        <f>1 - CUSTOS!$M$29</f>
        <v>1</v>
      </c>
      <c r="Q66" s="33">
        <f>1*(1 - CUSTOS!$M$29)</f>
        <v>1</v>
      </c>
      <c r="R66" s="33">
        <f>1 - CUSTOS!$M$29</f>
        <v>1</v>
      </c>
      <c r="S66" s="33">
        <f>1 - CUSTOS!$M$29</f>
        <v>1</v>
      </c>
      <c r="T66" s="33"/>
      <c r="U66" s="33">
        <f>TRANSICAO!$U$66*CUSTOS!$T$3</f>
        <v>12.8741</v>
      </c>
      <c r="V66" s="33">
        <f>TRANSICAO!$V$66*CUSTOS!$T$3</f>
        <v>1.6738</v>
      </c>
      <c r="W66" s="33">
        <f>TRANSICAO!$W$66*CUSTOS!$T$3</f>
        <v>0</v>
      </c>
      <c r="X66" s="33">
        <f>TRANSICAO!$X$66*CUSTOS!$T$3</f>
        <v>0</v>
      </c>
      <c r="Y66" s="33">
        <f>TRANSICAO!$Y$66*CUSTOS!$T$3</f>
        <v>37.7744</v>
      </c>
      <c r="Z66" s="33">
        <f>TRANSICAO!$Z$66*CUSTOS!$T$3</f>
        <v>0</v>
      </c>
      <c r="AA66" s="33">
        <f>TRANSICAO!$AA$66*CUSTOS!$T$3</f>
        <v>0</v>
      </c>
      <c r="AB66" s="33">
        <f>TRANSICAO!$AB$66*CUSTOS!$T$3</f>
        <v>0</v>
      </c>
      <c r="AC66" s="33">
        <f>TRANSICAO!$AC$66*CUSTOS!$T$3</f>
        <v>177.2055</v>
      </c>
      <c r="AD66" s="33">
        <f>TRANSICAO!$AD$66*CUSTOS!$T$3</f>
        <v>0</v>
      </c>
      <c r="AE66" s="33">
        <v>0</v>
      </c>
      <c r="AF66" s="33">
        <v>0</v>
      </c>
      <c r="AG66" s="33"/>
      <c r="AH66" s="33">
        <f>(1 - CUSTOS!$M$29)*41.4935</f>
        <v>41.493499999999997</v>
      </c>
      <c r="AI66" s="33">
        <f>(1 - CUSTOS!$M$29)*41.4935</f>
        <v>41.493499999999997</v>
      </c>
      <c r="AJ66" s="33">
        <f ca="1">$N$89*(1-CUSTOS!$M$29)</f>
        <v>0.76872196480603727</v>
      </c>
      <c r="AK66" s="33">
        <f t="shared" ca="1" si="1"/>
        <v>0.76872196480603727</v>
      </c>
      <c r="AL66" s="33"/>
      <c r="AM66" s="33"/>
      <c r="AP66" s="33">
        <f>IF((1 - CUSTOS!$M$29)&lt;&gt;0,1/(1 - CUSTOS!$M$29),1)</f>
        <v>1</v>
      </c>
    </row>
    <row r="67" spans="1:42" ht="11.25" customHeight="1" x14ac:dyDescent="0.25">
      <c r="A67" s="116"/>
      <c r="B67" s="116"/>
      <c r="C67" s="116"/>
      <c r="D67" s="37" t="s">
        <v>133</v>
      </c>
      <c r="E67" s="37" t="s">
        <v>25</v>
      </c>
      <c r="F67" s="37" t="s">
        <v>25</v>
      </c>
      <c r="G67" s="36" t="s">
        <v>123</v>
      </c>
      <c r="H67" s="36" t="s">
        <v>117</v>
      </c>
      <c r="I67" s="36">
        <f>'MERCADO TUSD'!$U$64</f>
        <v>0</v>
      </c>
      <c r="J67" s="16"/>
      <c r="L67" s="33">
        <f>1*(1 - CUSTOS!$M$30)</f>
        <v>1</v>
      </c>
      <c r="M67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CUSTOS!$M$30)</f>
        <v>0.98580407399232461</v>
      </c>
      <c r="N67" s="33">
        <f ca="1">(+M67+O67+R67+U67+V67+W67+X67+Y67+Z67+AA67+AC67+AH67+AI67+AJ67+AK67)*CUSTOS!$M$5</f>
        <v>3.170380480036044</v>
      </c>
      <c r="O67" s="33">
        <f>1 - CUSTOS!$M$30</f>
        <v>1</v>
      </c>
      <c r="P67" s="33">
        <f>1 - CUSTOS!$M$30</f>
        <v>1</v>
      </c>
      <c r="Q67" s="33">
        <f>1*(1 - CUSTOS!$M$30)</f>
        <v>1</v>
      </c>
      <c r="R67" s="33">
        <f>1 - CUSTOS!$M$30</f>
        <v>1</v>
      </c>
      <c r="S67" s="33">
        <f>1 - CUSTOS!$M$30</f>
        <v>1</v>
      </c>
      <c r="T67" s="33"/>
      <c r="U67" s="33">
        <f>TRANSICAO!$U$67*CUSTOS!$T$3</f>
        <v>12.8741</v>
      </c>
      <c r="V67" s="33">
        <f>TRANSICAO!$V$67*CUSTOS!$T$3</f>
        <v>1.6738</v>
      </c>
      <c r="W67" s="33">
        <f>TRANSICAO!$W$67*CUSTOS!$T$3</f>
        <v>0</v>
      </c>
      <c r="X67" s="33">
        <f>TRANSICAO!$X$67*CUSTOS!$T$3</f>
        <v>0</v>
      </c>
      <c r="Y67" s="33">
        <f>TRANSICAO!$Y$67*CUSTOS!$T$3</f>
        <v>37.7744</v>
      </c>
      <c r="Z67" s="33">
        <f>TRANSICAO!$Z$67*CUSTOS!$T$3</f>
        <v>0</v>
      </c>
      <c r="AA67" s="33">
        <f>TRANSICAO!$AA$67*CUSTOS!$T$3</f>
        <v>0</v>
      </c>
      <c r="AB67" s="33">
        <f>TRANSICAO!$AB$67*CUSTOS!$T$3</f>
        <v>0</v>
      </c>
      <c r="AC67" s="33">
        <f>TRANSICAO!$AC$67*CUSTOS!$T$3</f>
        <v>177.2055</v>
      </c>
      <c r="AD67" s="33">
        <f>TRANSICAO!$AD$67*CUSTOS!$T$3</f>
        <v>0</v>
      </c>
      <c r="AE67" s="33">
        <v>0</v>
      </c>
      <c r="AF67" s="33">
        <v>0</v>
      </c>
      <c r="AG67" s="33"/>
      <c r="AH67" s="33">
        <f>(1 - CUSTOS!$M$30)*41.4935</f>
        <v>41.493499999999997</v>
      </c>
      <c r="AI67" s="33">
        <f>(1 - CUSTOS!$M$30)*41.4935</f>
        <v>41.493499999999997</v>
      </c>
      <c r="AJ67" s="33">
        <f ca="1">$N$89*(1-CUSTOS!$M$30)</f>
        <v>0.76872196480603727</v>
      </c>
      <c r="AK67" s="33">
        <f t="shared" ca="1" si="1"/>
        <v>0.76872196480603727</v>
      </c>
      <c r="AL67" s="33"/>
      <c r="AM67" s="33"/>
      <c r="AP67" s="33">
        <f>IF((1 - CUSTOS!$M$30)&lt;&gt;0,1/(1 - CUSTOS!$M$30),1)</f>
        <v>1</v>
      </c>
    </row>
    <row r="68" spans="1:42" ht="11.25" customHeight="1" x14ac:dyDescent="0.25">
      <c r="A68" s="116" t="s">
        <v>37</v>
      </c>
      <c r="B68" s="116" t="s">
        <v>33</v>
      </c>
      <c r="C68" s="116" t="s">
        <v>25</v>
      </c>
      <c r="D68" s="116" t="s">
        <v>25</v>
      </c>
      <c r="E68" s="116" t="s">
        <v>25</v>
      </c>
      <c r="F68" s="116" t="s">
        <v>25</v>
      </c>
      <c r="G68" s="36" t="s">
        <v>118</v>
      </c>
      <c r="H68" s="36" t="s">
        <v>117</v>
      </c>
      <c r="I68" s="36">
        <f>'MERCADO TUSD'!$U$65</f>
        <v>31.868999999999996</v>
      </c>
      <c r="J68" s="16"/>
      <c r="L68" s="33">
        <f>1*(1 - CUSTOS!$M$31)</f>
        <v>1</v>
      </c>
      <c r="M68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CUSTOS!$M$31)</f>
        <v>0.98580407399232461</v>
      </c>
      <c r="N68" s="33">
        <f ca="1">(+M68+O68+R68+U68+V68+W68+X68+Y68+Z68+AA68+AC68+AH68+AI68+AJ68+AK68)*CUSTOS!$M$5</f>
        <v>8.6790474800360435</v>
      </c>
      <c r="O68" s="33">
        <f>1 - CUSTOS!$M$31</f>
        <v>1</v>
      </c>
      <c r="P68" s="33">
        <f>1 - CUSTOS!$M$31</f>
        <v>1</v>
      </c>
      <c r="Q68" s="33">
        <f>1*(1 - CUSTOS!$M$31)</f>
        <v>1</v>
      </c>
      <c r="R68" s="33">
        <f>1 - CUSTOS!$M$31</f>
        <v>1</v>
      </c>
      <c r="S68" s="33">
        <f>1 - CUSTOS!$M$31</f>
        <v>1</v>
      </c>
      <c r="T68" s="33"/>
      <c r="U68" s="33">
        <f>TRANSICAO!$U$68*CUSTOS!$T$3</f>
        <v>43.771799999999999</v>
      </c>
      <c r="V68" s="33">
        <f>TRANSICAO!$V$68*CUSTOS!$T$3</f>
        <v>5.6909999999999998</v>
      </c>
      <c r="W68" s="33">
        <f>TRANSICAO!$W$68*CUSTOS!$T$3</f>
        <v>0</v>
      </c>
      <c r="X68" s="33">
        <f>TRANSICAO!$X$68*CUSTOS!$T$3</f>
        <v>0</v>
      </c>
      <c r="Y68" s="33">
        <f>TRANSICAO!$Y$68*CUSTOS!$T$3</f>
        <v>128.43299999999999</v>
      </c>
      <c r="Z68" s="33">
        <f>TRANSICAO!$Z$68*CUSTOS!$T$3</f>
        <v>0</v>
      </c>
      <c r="AA68" s="33">
        <f>TRANSICAO!$AA$68*CUSTOS!$T$3</f>
        <v>0</v>
      </c>
      <c r="AB68" s="33">
        <f>TRANSICAO!$AB$68*CUSTOS!$T$3</f>
        <v>0</v>
      </c>
      <c r="AC68" s="33">
        <f>TRANSICAO!$AC$68*CUSTOS!$T$3</f>
        <v>602.49869999999999</v>
      </c>
      <c r="AD68" s="33">
        <f>TRANSICAO!$AD$68*CUSTOS!$T$3</f>
        <v>0</v>
      </c>
      <c r="AE68" s="33">
        <v>0</v>
      </c>
      <c r="AF68" s="33">
        <v>0</v>
      </c>
      <c r="AG68" s="33"/>
      <c r="AH68" s="33">
        <f>(1 - CUSTOS!$M$31)*41.4935</f>
        <v>41.493499999999997</v>
      </c>
      <c r="AI68" s="33">
        <f>(1 - CUSTOS!$M$31)*41.4935</f>
        <v>41.493499999999997</v>
      </c>
      <c r="AJ68" s="33">
        <f ca="1">$N$89*(1-CUSTOS!$M$31)</f>
        <v>0.76872196480603727</v>
      </c>
      <c r="AK68" s="33">
        <f t="shared" ca="1" si="1"/>
        <v>0.76872196480603727</v>
      </c>
      <c r="AL68" s="33"/>
      <c r="AM68" s="33"/>
      <c r="AP68" s="33">
        <f>IF((1 - CUSTOS!$M$31)&lt;&gt;0,1/(1 - CUSTOS!$M$31),1)</f>
        <v>1</v>
      </c>
    </row>
    <row r="69" spans="1:42" ht="11.25" customHeight="1" x14ac:dyDescent="0.25">
      <c r="A69" s="116"/>
      <c r="B69" s="116"/>
      <c r="C69" s="116"/>
      <c r="D69" s="116"/>
      <c r="E69" s="116"/>
      <c r="F69" s="116"/>
      <c r="G69" s="36" t="s">
        <v>128</v>
      </c>
      <c r="H69" s="36" t="s">
        <v>117</v>
      </c>
      <c r="I69" s="36">
        <f>'MERCADO TUSD'!$U$66</f>
        <v>31.273999999999997</v>
      </c>
      <c r="J69" s="16"/>
      <c r="L69" s="33">
        <f>1*(1 - CUSTOS!$M$31)</f>
        <v>1</v>
      </c>
      <c r="M69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CUSTOS!$M$31)</f>
        <v>0.98580407399232461</v>
      </c>
      <c r="N69" s="33">
        <f ca="1">(+M69+O69+R69+U69+V69+W69+X69+Y69+Z69+AA69+AC69+AH69+AI69+AJ69+AK69)*CUSTOS!$M$5</f>
        <v>5.5574694800360431</v>
      </c>
      <c r="O69" s="33">
        <f>1 - CUSTOS!$M$31</f>
        <v>1</v>
      </c>
      <c r="P69" s="33">
        <f>1 - CUSTOS!$M$31</f>
        <v>1</v>
      </c>
      <c r="Q69" s="33">
        <f>1*(1 - CUSTOS!$M$31)</f>
        <v>1</v>
      </c>
      <c r="R69" s="33">
        <f>1 - CUSTOS!$M$31</f>
        <v>1</v>
      </c>
      <c r="S69" s="33">
        <f>1 - CUSTOS!$M$31</f>
        <v>1</v>
      </c>
      <c r="T69" s="33"/>
      <c r="U69" s="33">
        <f>TRANSICAO!$U$69*CUSTOS!$T$3</f>
        <v>26.263100000000001</v>
      </c>
      <c r="V69" s="33">
        <f>TRANSICAO!$V$69*CUSTOS!$T$3</f>
        <v>3.4146000000000001</v>
      </c>
      <c r="W69" s="33">
        <f>TRANSICAO!$W$69*CUSTOS!$T$3</f>
        <v>0</v>
      </c>
      <c r="X69" s="33">
        <f>TRANSICAO!$X$69*CUSTOS!$T$3</f>
        <v>0</v>
      </c>
      <c r="Y69" s="33">
        <f>TRANSICAO!$Y$69*CUSTOS!$T$3</f>
        <v>77.059799999999996</v>
      </c>
      <c r="Z69" s="33">
        <f>TRANSICAO!$Z$69*CUSTOS!$T$3</f>
        <v>0</v>
      </c>
      <c r="AA69" s="33">
        <f>TRANSICAO!$AA$69*CUSTOS!$T$3</f>
        <v>0</v>
      </c>
      <c r="AB69" s="33">
        <f>TRANSICAO!$AB$69*CUSTOS!$T$3</f>
        <v>0</v>
      </c>
      <c r="AC69" s="33">
        <f>TRANSICAO!$AC$69*CUSTOS!$T$3</f>
        <v>361.49919999999997</v>
      </c>
      <c r="AD69" s="33">
        <f>TRANSICAO!$AD$69*CUSTOS!$T$3</f>
        <v>0</v>
      </c>
      <c r="AE69" s="33">
        <v>0</v>
      </c>
      <c r="AF69" s="33">
        <v>0</v>
      </c>
      <c r="AG69" s="33"/>
      <c r="AH69" s="33">
        <f>(1 - CUSTOS!$M$31)*41.4935</f>
        <v>41.493499999999997</v>
      </c>
      <c r="AI69" s="33">
        <f>(1 - CUSTOS!$M$31)*41.4935</f>
        <v>41.493499999999997</v>
      </c>
      <c r="AJ69" s="33">
        <f ca="1">$N$89*(1-CUSTOS!$M$31)</f>
        <v>0.76872196480603727</v>
      </c>
      <c r="AK69" s="33">
        <f t="shared" ref="AK69:AK74" ca="1" si="2">AJ69</f>
        <v>0.76872196480603727</v>
      </c>
      <c r="AL69" s="33"/>
      <c r="AM69" s="33"/>
      <c r="AP69" s="33">
        <f>IF((1 - CUSTOS!$M$31)&lt;&gt;0,1/(1 - CUSTOS!$M$31),1)</f>
        <v>1</v>
      </c>
    </row>
    <row r="70" spans="1:42" ht="11.25" customHeight="1" x14ac:dyDescent="0.25">
      <c r="A70" s="116"/>
      <c r="B70" s="116"/>
      <c r="C70" s="116"/>
      <c r="D70" s="116"/>
      <c r="E70" s="116"/>
      <c r="F70" s="116"/>
      <c r="G70" s="36" t="s">
        <v>119</v>
      </c>
      <c r="H70" s="36" t="s">
        <v>117</v>
      </c>
      <c r="I70" s="36">
        <f>'MERCADO TUSD'!$U$67</f>
        <v>381.83600000000001</v>
      </c>
      <c r="J70" s="16"/>
      <c r="L70" s="33">
        <f>1*(1 - CUSTOS!$M$31)</f>
        <v>1</v>
      </c>
      <c r="M70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CUSTOS!$M$31)</f>
        <v>0.98580407399232461</v>
      </c>
      <c r="N70" s="33">
        <f ca="1">(+M70+O70+R70+U70+V70+W70+X70+Y70+Z70+AA70+AC70+AH70+AI70+AJ70+AK70)*CUSTOS!$M$5</f>
        <v>2.4358914800360441</v>
      </c>
      <c r="O70" s="33">
        <f>1 - CUSTOS!$M$31</f>
        <v>1</v>
      </c>
      <c r="P70" s="33">
        <f>1 - CUSTOS!$M$31</f>
        <v>1</v>
      </c>
      <c r="Q70" s="33">
        <f>1*(1 - CUSTOS!$M$31)</f>
        <v>1</v>
      </c>
      <c r="R70" s="33">
        <f>1 - CUSTOS!$M$31</f>
        <v>1</v>
      </c>
      <c r="S70" s="33">
        <f>1 - CUSTOS!$M$31</f>
        <v>1</v>
      </c>
      <c r="T70" s="33"/>
      <c r="U70" s="33">
        <f>TRANSICAO!$U$70*CUSTOS!$T$3</f>
        <v>8.7544000000000004</v>
      </c>
      <c r="V70" s="33">
        <f>TRANSICAO!$V$70*CUSTOS!$T$3</f>
        <v>1.1382000000000001</v>
      </c>
      <c r="W70" s="33">
        <f>TRANSICAO!$W$70*CUSTOS!$T$3</f>
        <v>0</v>
      </c>
      <c r="X70" s="33">
        <f>TRANSICAO!$X$70*CUSTOS!$T$3</f>
        <v>0</v>
      </c>
      <c r="Y70" s="33">
        <f>TRANSICAO!$Y$70*CUSTOS!$T$3</f>
        <v>25.686599999999999</v>
      </c>
      <c r="Z70" s="33">
        <f>TRANSICAO!$Z$70*CUSTOS!$T$3</f>
        <v>0</v>
      </c>
      <c r="AA70" s="33">
        <f>TRANSICAO!$AA$70*CUSTOS!$T$3</f>
        <v>0</v>
      </c>
      <c r="AB70" s="33">
        <f>TRANSICAO!$AB$70*CUSTOS!$T$3</f>
        <v>0</v>
      </c>
      <c r="AC70" s="33">
        <f>TRANSICAO!$AC$70*CUSTOS!$T$3</f>
        <v>120.4997</v>
      </c>
      <c r="AD70" s="33">
        <f>TRANSICAO!$AD$70*CUSTOS!$T$3</f>
        <v>0</v>
      </c>
      <c r="AE70" s="33">
        <v>0</v>
      </c>
      <c r="AF70" s="33">
        <v>0</v>
      </c>
      <c r="AG70" s="33"/>
      <c r="AH70" s="33">
        <f>(1 - CUSTOS!$M$31)*41.4935</f>
        <v>41.493499999999997</v>
      </c>
      <c r="AI70" s="33">
        <f>(1 - CUSTOS!$M$31)*41.4935</f>
        <v>41.493499999999997</v>
      </c>
      <c r="AJ70" s="33">
        <f ca="1">$N$89*(1-CUSTOS!$M$31)</f>
        <v>0.76872196480603727</v>
      </c>
      <c r="AK70" s="33">
        <f t="shared" ca="1" si="2"/>
        <v>0.76872196480603727</v>
      </c>
      <c r="AL70" s="33"/>
      <c r="AM70" s="33"/>
      <c r="AP70" s="33">
        <f>IF((1 - CUSTOS!$M$31)&lt;&gt;0,1/(1 - CUSTOS!$M$31),1)</f>
        <v>1</v>
      </c>
    </row>
    <row r="71" spans="1:42" ht="11.25" customHeight="1" x14ac:dyDescent="0.25">
      <c r="A71" s="116"/>
      <c r="B71" s="37" t="s">
        <v>23</v>
      </c>
      <c r="C71" s="37" t="s">
        <v>25</v>
      </c>
      <c r="D71" s="37" t="s">
        <v>25</v>
      </c>
      <c r="E71" s="37" t="s">
        <v>25</v>
      </c>
      <c r="F71" s="37" t="s">
        <v>25</v>
      </c>
      <c r="G71" s="36" t="s">
        <v>123</v>
      </c>
      <c r="H71" s="36" t="s">
        <v>117</v>
      </c>
      <c r="I71" s="36">
        <f>'MERCADO TUSD'!$U$68</f>
        <v>226492.11000000002</v>
      </c>
      <c r="J71" s="16"/>
      <c r="L71" s="33">
        <f>1*(1 - CUSTOS!$M$31)</f>
        <v>1</v>
      </c>
      <c r="M71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CUSTOS!$M$31)</f>
        <v>0.98580407399232461</v>
      </c>
      <c r="N71" s="33">
        <f ca="1">(+M71+O71+R71+U71+V71+W71+X71+Y71+Z71+AA71+AC71+AH71+AI71+AJ71+AK71)*CUSTOS!$M$5</f>
        <v>3.170380480036044</v>
      </c>
      <c r="O71" s="33">
        <f>1 - CUSTOS!$M$31</f>
        <v>1</v>
      </c>
      <c r="P71" s="33">
        <f>1 - CUSTOS!$M$31</f>
        <v>1</v>
      </c>
      <c r="Q71" s="33">
        <f>1*(1 - CUSTOS!$M$31)</f>
        <v>1</v>
      </c>
      <c r="R71" s="33">
        <f>1 - CUSTOS!$M$31</f>
        <v>1</v>
      </c>
      <c r="S71" s="33">
        <f>1 - CUSTOS!$M$31</f>
        <v>1</v>
      </c>
      <c r="T71" s="33"/>
      <c r="U71" s="33">
        <f>TRANSICAO!$U$71*CUSTOS!$T$3</f>
        <v>12.8741</v>
      </c>
      <c r="V71" s="33">
        <f>TRANSICAO!$V$71*CUSTOS!$T$3</f>
        <v>1.6738</v>
      </c>
      <c r="W71" s="33">
        <f>TRANSICAO!$W$71*CUSTOS!$T$3</f>
        <v>0</v>
      </c>
      <c r="X71" s="33">
        <f>TRANSICAO!$X$71*CUSTOS!$T$3</f>
        <v>0</v>
      </c>
      <c r="Y71" s="33">
        <f>TRANSICAO!$Y$71*CUSTOS!$T$3</f>
        <v>37.7744</v>
      </c>
      <c r="Z71" s="33">
        <f>TRANSICAO!$Z$71*CUSTOS!$T$3</f>
        <v>0</v>
      </c>
      <c r="AA71" s="33">
        <f>TRANSICAO!$AA$71*CUSTOS!$T$3</f>
        <v>0</v>
      </c>
      <c r="AB71" s="33">
        <f>TRANSICAO!$AB$71*CUSTOS!$T$3</f>
        <v>0</v>
      </c>
      <c r="AC71" s="33">
        <f>TRANSICAO!$AC$71*CUSTOS!$T$3</f>
        <v>177.2055</v>
      </c>
      <c r="AD71" s="33">
        <f>TRANSICAO!$AD$71*CUSTOS!$T$3</f>
        <v>0</v>
      </c>
      <c r="AE71" s="33">
        <v>0</v>
      </c>
      <c r="AF71" s="33">
        <v>0</v>
      </c>
      <c r="AG71" s="33"/>
      <c r="AH71" s="33">
        <f>(1 - CUSTOS!$M$31)*41.4935</f>
        <v>41.493499999999997</v>
      </c>
      <c r="AI71" s="33">
        <f>(1 - CUSTOS!$M$31)*41.4935</f>
        <v>41.493499999999997</v>
      </c>
      <c r="AJ71" s="33">
        <f ca="1">$N$89*(1-CUSTOS!$M$31)</f>
        <v>0.76872196480603727</v>
      </c>
      <c r="AK71" s="33">
        <f t="shared" ca="1" si="2"/>
        <v>0.76872196480603727</v>
      </c>
      <c r="AL71" s="33"/>
      <c r="AM71" s="33"/>
      <c r="AP71" s="33">
        <f>IF((1 - CUSTOS!$M$31)&lt;&gt;0,1/(1 - CUSTOS!$M$31),1)</f>
        <v>1</v>
      </c>
    </row>
    <row r="72" spans="1:42" ht="11.25" customHeight="1" x14ac:dyDescent="0.25">
      <c r="A72" s="116"/>
      <c r="B72" s="37" t="s">
        <v>131</v>
      </c>
      <c r="C72" s="37" t="s">
        <v>25</v>
      </c>
      <c r="D72" s="37" t="s">
        <v>25</v>
      </c>
      <c r="E72" s="37" t="s">
        <v>25</v>
      </c>
      <c r="F72" s="37" t="s">
        <v>25</v>
      </c>
      <c r="G72" s="36" t="s">
        <v>123</v>
      </c>
      <c r="H72" s="36" t="s">
        <v>117</v>
      </c>
      <c r="I72" s="36">
        <f>'MERCADO TUSD'!$U$69</f>
        <v>0</v>
      </c>
      <c r="J72" s="16"/>
      <c r="L72" s="33">
        <f>1*(1 - CUSTOS!$M$31)</f>
        <v>1</v>
      </c>
      <c r="M72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CUSTOS!$M$31)</f>
        <v>0.98580407399232461</v>
      </c>
      <c r="N72" s="33">
        <f ca="1">(+M72+O72+R72+U72+V72+W72+X72+Y72+Z72+AA72+AC72+AH72+AI72+AJ72+AK72)*CUSTOS!$M$5</f>
        <v>3.170380480036044</v>
      </c>
      <c r="O72" s="33">
        <f>1 - CUSTOS!$M$31</f>
        <v>1</v>
      </c>
      <c r="P72" s="33">
        <f>1 - CUSTOS!$M$31</f>
        <v>1</v>
      </c>
      <c r="Q72" s="33">
        <f>1*(1 - CUSTOS!$M$31)</f>
        <v>1</v>
      </c>
      <c r="R72" s="33">
        <f>1 - CUSTOS!$M$31</f>
        <v>1</v>
      </c>
      <c r="S72" s="33">
        <f>1 - CUSTOS!$M$31</f>
        <v>1</v>
      </c>
      <c r="T72" s="33"/>
      <c r="U72" s="33">
        <f>TRANSICAO!$U$72*CUSTOS!$T$3</f>
        <v>12.8741</v>
      </c>
      <c r="V72" s="33">
        <f>TRANSICAO!$V$72*CUSTOS!$T$3</f>
        <v>1.6738</v>
      </c>
      <c r="W72" s="33">
        <f>TRANSICAO!$W$72*CUSTOS!$T$3</f>
        <v>0</v>
      </c>
      <c r="X72" s="33">
        <f>TRANSICAO!$X$72*CUSTOS!$T$3</f>
        <v>0</v>
      </c>
      <c r="Y72" s="33">
        <f>TRANSICAO!$Y$72*CUSTOS!$T$3</f>
        <v>37.7744</v>
      </c>
      <c r="Z72" s="33">
        <f>TRANSICAO!$Z$72*CUSTOS!$T$3</f>
        <v>0</v>
      </c>
      <c r="AA72" s="33">
        <f>TRANSICAO!$AA$72*CUSTOS!$T$3</f>
        <v>0</v>
      </c>
      <c r="AB72" s="33">
        <f>TRANSICAO!$AB$72*CUSTOS!$T$3</f>
        <v>0</v>
      </c>
      <c r="AC72" s="33">
        <f>TRANSICAO!$AC$72*CUSTOS!$T$3</f>
        <v>177.2055</v>
      </c>
      <c r="AD72" s="33">
        <f>TRANSICAO!$AD$72*CUSTOS!$T$3</f>
        <v>0</v>
      </c>
      <c r="AE72" s="33">
        <v>0</v>
      </c>
      <c r="AF72" s="33">
        <v>0</v>
      </c>
      <c r="AG72" s="33"/>
      <c r="AH72" s="33">
        <f>(1 - CUSTOS!$M$31)*41.4935</f>
        <v>41.493499999999997</v>
      </c>
      <c r="AI72" s="33">
        <f>(1 - CUSTOS!$M$31)*41.4935</f>
        <v>41.493499999999997</v>
      </c>
      <c r="AJ72" s="33">
        <f ca="1">$N$89*(1-CUSTOS!$M$31)</f>
        <v>0.76872196480603727</v>
      </c>
      <c r="AK72" s="33">
        <f t="shared" ca="1" si="2"/>
        <v>0.76872196480603727</v>
      </c>
      <c r="AL72" s="33"/>
      <c r="AM72" s="33"/>
      <c r="AP72" s="33">
        <f>IF((1 - CUSTOS!$M$31)&lt;&gt;0,1/(1 - CUSTOS!$M$31),1)</f>
        <v>1</v>
      </c>
    </row>
    <row r="73" spans="1:42" ht="11.25" customHeight="1" x14ac:dyDescent="0.25">
      <c r="A73" s="116" t="s">
        <v>47</v>
      </c>
      <c r="B73" s="116" t="s">
        <v>23</v>
      </c>
      <c r="C73" s="116" t="s">
        <v>48</v>
      </c>
      <c r="D73" s="37" t="s">
        <v>49</v>
      </c>
      <c r="E73" s="37" t="s">
        <v>25</v>
      </c>
      <c r="F73" s="37" t="s">
        <v>25</v>
      </c>
      <c r="G73" s="36" t="s">
        <v>123</v>
      </c>
      <c r="H73" s="36" t="s">
        <v>117</v>
      </c>
      <c r="I73" s="36">
        <f>'MERCADO TUSD'!$U$70</f>
        <v>81306.822999999989</v>
      </c>
      <c r="J73" s="16"/>
      <c r="L73" s="33">
        <f>1*(1 - CUSTOS!$M$32)</f>
        <v>0.55000000000000004</v>
      </c>
      <c r="M73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CUSTOS!$M$32)</f>
        <v>0.54219224069577854</v>
      </c>
      <c r="N73" s="33">
        <f ca="1">(+M73+O73+R73+U73+V73+W73+X73+Y73+Z73+AA73+AC73+AH73+AI73+AJ73+AK73)*CUSTOS!$M$5</f>
        <v>1.7437092640198244</v>
      </c>
      <c r="O73" s="33">
        <f>1 - CUSTOS!$M$32</f>
        <v>0.55000000000000004</v>
      </c>
      <c r="P73" s="33">
        <f>1 - CUSTOS!$M$32</f>
        <v>0.55000000000000004</v>
      </c>
      <c r="Q73" s="33">
        <f>1*(1 - CUSTOS!$M$32)</f>
        <v>0.55000000000000004</v>
      </c>
      <c r="R73" s="33">
        <f>1 - CUSTOS!$M$32</f>
        <v>0.55000000000000004</v>
      </c>
      <c r="S73" s="33">
        <f>1 - CUSTOS!$M$32</f>
        <v>0.55000000000000004</v>
      </c>
      <c r="T73" s="33"/>
      <c r="U73" s="33">
        <f>TRANSICAO!$U$73*CUSTOS!$T$3</f>
        <v>7.0807550000000008</v>
      </c>
      <c r="V73" s="33">
        <f>TRANSICAO!$V$73*CUSTOS!$T$3</f>
        <v>0.92059000000000002</v>
      </c>
      <c r="W73" s="33">
        <f>TRANSICAO!$W$73*CUSTOS!$T$3</f>
        <v>0</v>
      </c>
      <c r="X73" s="33">
        <f>TRANSICAO!$X$73*CUSTOS!$T$3</f>
        <v>0</v>
      </c>
      <c r="Y73" s="33">
        <f>TRANSICAO!$Y$73*CUSTOS!$T$3</f>
        <v>20.775920000000003</v>
      </c>
      <c r="Z73" s="33">
        <f>TRANSICAO!$Z$73*CUSTOS!$T$3</f>
        <v>0</v>
      </c>
      <c r="AA73" s="33">
        <f>TRANSICAO!$AA$73*CUSTOS!$T$3</f>
        <v>0</v>
      </c>
      <c r="AB73" s="33">
        <f>TRANSICAO!$AB$73*CUSTOS!$T$3</f>
        <v>0</v>
      </c>
      <c r="AC73" s="33">
        <f>TRANSICAO!$AC$73*CUSTOS!$T$3</f>
        <v>97.463025000000002</v>
      </c>
      <c r="AD73" s="33">
        <f>TRANSICAO!$AD$73*CUSTOS!$T$3</f>
        <v>0</v>
      </c>
      <c r="AE73" s="33">
        <v>0</v>
      </c>
      <c r="AF73" s="33">
        <v>0</v>
      </c>
      <c r="AG73" s="33"/>
      <c r="AH73" s="33">
        <f>(1 - CUSTOS!$M$32)*41.4935</f>
        <v>22.821425000000001</v>
      </c>
      <c r="AI73" s="33">
        <f>(1 - CUSTOS!$M$32)*41.4935</f>
        <v>22.821425000000001</v>
      </c>
      <c r="AJ73" s="33">
        <f ca="1">$N$89*(1-CUSTOS!$M$32)</f>
        <v>0.42279708064332056</v>
      </c>
      <c r="AK73" s="33">
        <f t="shared" ca="1" si="2"/>
        <v>0.42279708064332056</v>
      </c>
      <c r="AL73" s="33"/>
      <c r="AM73" s="33"/>
      <c r="AP73" s="33">
        <f>IF((1 - CUSTOS!$M$32)&lt;&gt;0,1/(1 - CUSTOS!$M$32),1)</f>
        <v>1.8181818181818181</v>
      </c>
    </row>
    <row r="74" spans="1:42" ht="11.25" customHeight="1" x14ac:dyDescent="0.25">
      <c r="A74" s="116"/>
      <c r="B74" s="116"/>
      <c r="C74" s="116"/>
      <c r="D74" s="36" t="s">
        <v>50</v>
      </c>
      <c r="E74" s="36" t="s">
        <v>25</v>
      </c>
      <c r="F74" s="36" t="s">
        <v>25</v>
      </c>
      <c r="G74" s="36" t="s">
        <v>123</v>
      </c>
      <c r="H74" s="36" t="s">
        <v>117</v>
      </c>
      <c r="I74" s="36">
        <f>'MERCADO TUSD'!$U$71</f>
        <v>1579.0179999999998</v>
      </c>
      <c r="J74" s="16"/>
      <c r="L74" s="33">
        <f>1*(1 - CUSTOS!$M$33)</f>
        <v>0.6</v>
      </c>
      <c r="M74" s="33">
        <f>IF(AND((+$I$40+$I$41+$I$42+$I$43+$I$44+$I$45+$I$46+$I$47+$I$48+$I$49+$I$50+$I$51+$I$52+$I$53+$I$54+$I$55+$I$56+$I$57+$I$58+$I$59+$I$60+$I$61+$I$62+$I$63+$I$64+$I$65+$I$66+$I$67+$I$68+$I$69+$I$70+$I$71+$I$72+$I$73+$I$74)&lt;&gt;0,SUMPRODUCT($I$5:$I$74,$AC$5:$AC$74,$AP$5:$AP$74)&lt;&gt;0),$M$79*SUMPRODUCT($I$40:$I$74,$AC$40:$AC$74,$AP$40:$AP$74)/SUMPRODUCT($I$5:$I$74,$AC$5:$AC$74,$AP$5:$AP$74)/(+$I$40+$I$41+$I$42+$I$43+$I$44+$I$45+$I$46+$I$47+$I$48+$I$49+$I$50+$I$51+$I$52+$I$53+$I$54+$I$55+$I$56+$I$57+$I$58+$I$59+$I$60+$I$61+$I$62+$I$63+$I$64+$I$65+$I$66+$I$67+$I$68+$I$69+$I$70+$I$71+$I$72+$I$73+$I$74),0)*(1 - CUSTOS!$M$33)</f>
        <v>0.59148244439539477</v>
      </c>
      <c r="N74" s="33">
        <f ca="1">(+M74+O74+R74+U74+V74+W74+X74+Y74+Z74+AA74+AC74+AH74+AI74+AJ74+AK74)*CUSTOS!$M$5</f>
        <v>1.9022282880216261</v>
      </c>
      <c r="O74" s="33">
        <f>1 - CUSTOS!$M$33</f>
        <v>0.6</v>
      </c>
      <c r="P74" s="33">
        <f>1 - CUSTOS!$M$33</f>
        <v>0.6</v>
      </c>
      <c r="Q74" s="33">
        <f>1*(1 - CUSTOS!$M$33)</f>
        <v>0.6</v>
      </c>
      <c r="R74" s="33">
        <f>1 - CUSTOS!$M$33</f>
        <v>0.6</v>
      </c>
      <c r="S74" s="33">
        <f>1 - CUSTOS!$M$33</f>
        <v>0.6</v>
      </c>
      <c r="T74" s="33"/>
      <c r="U74" s="33">
        <f>TRANSICAO!$U$74*CUSTOS!$T$3</f>
        <v>7.7244599999999997</v>
      </c>
      <c r="V74" s="33">
        <f>TRANSICAO!$V$74*CUSTOS!$T$3</f>
        <v>1.0042799999999998</v>
      </c>
      <c r="W74" s="33">
        <f>TRANSICAO!$W$74*CUSTOS!$T$3</f>
        <v>0</v>
      </c>
      <c r="X74" s="33">
        <f>TRANSICAO!$X$74*CUSTOS!$T$3</f>
        <v>0</v>
      </c>
      <c r="Y74" s="33">
        <f>TRANSICAO!$Y$74*CUSTOS!$T$3</f>
        <v>22.664639999999999</v>
      </c>
      <c r="Z74" s="33">
        <f>TRANSICAO!$Z$74*CUSTOS!$T$3</f>
        <v>0</v>
      </c>
      <c r="AA74" s="33">
        <f>TRANSICAO!$AA$74*CUSTOS!$T$3</f>
        <v>0</v>
      </c>
      <c r="AB74" s="33">
        <f>TRANSICAO!$AB$74*CUSTOS!$T$3</f>
        <v>0</v>
      </c>
      <c r="AC74" s="33">
        <f>TRANSICAO!$AC$74*CUSTOS!$T$3</f>
        <v>106.3233</v>
      </c>
      <c r="AD74" s="33">
        <f>TRANSICAO!$AD$74*CUSTOS!$T$3</f>
        <v>0</v>
      </c>
      <c r="AE74" s="33">
        <v>0</v>
      </c>
      <c r="AF74" s="33">
        <v>0</v>
      </c>
      <c r="AG74" s="33"/>
      <c r="AH74" s="33">
        <f>(1 - CUSTOS!$M$33)*41.4935</f>
        <v>24.896099999999997</v>
      </c>
      <c r="AI74" s="33">
        <f>(1 - CUSTOS!$M$33)*41.4935</f>
        <v>24.896099999999997</v>
      </c>
      <c r="AJ74" s="33">
        <f ca="1">$N$89*(1-CUSTOS!$M$33)</f>
        <v>0.46123317888362236</v>
      </c>
      <c r="AK74" s="33">
        <f t="shared" ca="1" si="2"/>
        <v>0.46123317888362236</v>
      </c>
      <c r="AL74" s="33"/>
      <c r="AM74" s="33"/>
      <c r="AP74" s="33">
        <f>IF((1 - CUSTOS!$M$33)&lt;&gt;0,1/(1 - CUSTOS!$M$33),1)</f>
        <v>1.6666666666666667</v>
      </c>
    </row>
    <row r="76" spans="1:42" ht="11.25" customHeight="1" x14ac:dyDescent="0.25">
      <c r="K76" s="30" t="s">
        <v>1043</v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</row>
    <row r="77" spans="1:42" ht="11.25" customHeight="1" x14ac:dyDescent="0.25">
      <c r="K77" s="30" t="s">
        <v>1044</v>
      </c>
      <c r="L77" s="33">
        <f>IF(ISERROR(+SUMPRODUCT($L$9:$L$19,$I$9:$I$19)+SUMPRODUCT($L$24:$L$24,$I$24:$I$24)),0,+SUMPRODUCT($L$9:$L$19,$I$9:$I$19)+SUMPRODUCT($L$24:$L$24,$I$24:$I$24))</f>
        <v>0</v>
      </c>
      <c r="M77" s="33">
        <f>IF(ISERROR(+SUMPRODUCT($M$9:$M$19,$I$9:$I$19)+SUMPRODUCT($M$24:$M$24,$I$24:$I$24)),0,+SUMPRODUCT($M$9:$M$19,$I$9:$I$19)+SUMPRODUCT($M$24:$M$24,$I$24:$I$24))</f>
        <v>250341.54612253731</v>
      </c>
      <c r="N77" s="33">
        <f>IF(ISERROR(+SUMPRODUCT($N$9:$N$19,$I$9:$I$19)+SUMPRODUCT($N$24:$N$24,$I$24:$I$24)),0,+SUMPRODUCT($N$9:$N$19,$I$9:$I$19)+SUMPRODUCT($N$24:$N$24,$I$24:$I$24))</f>
        <v>648025.88220851053</v>
      </c>
      <c r="O77" s="33">
        <f>IF(ISERROR(+SUMPRODUCT($O$9:$O$19,$I$9:$I$19)+SUMPRODUCT($O$24:$O$24,$I$24:$I$24)),0,+SUMPRODUCT($O$9:$O$19,$I$9:$I$19)+SUMPRODUCT($O$24:$O$24,$I$24:$I$24))</f>
        <v>7609.7021006468976</v>
      </c>
      <c r="P77" s="33">
        <f>IF(ISERROR(+SUMPRODUCT($P$9:$P$19,$I$9:$I$19)+SUMPRODUCT($P$24:$P$24,$I$24:$I$24)),0,+SUMPRODUCT($P$9:$P$19,$I$9:$I$19)+SUMPRODUCT($P$24:$P$24,$I$24:$I$24))</f>
        <v>0</v>
      </c>
      <c r="Q77" s="33">
        <f>IF(ISERROR(+SUMPRODUCT($Q$9:$Q$19,$I$9:$I$19)+SUMPRODUCT($Q$24:$Q$24,$I$24:$I$24)),0,+SUMPRODUCT($Q$9:$Q$19,$I$9:$I$19)+SUMPRODUCT($Q$24:$Q$24,$I$24:$I$24))</f>
        <v>0</v>
      </c>
      <c r="R77" s="33">
        <f>IF(ISERROR(+SUMPRODUCT($R$9:$R$19,$I$9:$I$19)+SUMPRODUCT($R$24:$R$24,$I$24:$I$24)),0,+SUMPRODUCT($R$9:$R$19,$I$9:$I$19)+SUMPRODUCT($R$24:$R$24,$I$24:$I$24))</f>
        <v>0</v>
      </c>
      <c r="S77" s="33">
        <f>IF(ISERROR(+SUMPRODUCT($S$9:$S$19,$I$9:$I$19)+SUMPRODUCT($S$24:$S$24,$I$24:$I$24)),0,+SUMPRODUCT($S$9:$S$19,$I$9:$I$19)+SUMPRODUCT($S$24:$S$24,$I$24:$I$24))</f>
        <v>0</v>
      </c>
      <c r="T77" s="33"/>
      <c r="U77" s="33">
        <f>IF(ISERROR(+SUMPRODUCT($U$9:$U$19,$I$9:$I$19)+SUMPRODUCT($U$24:$U$24,$I$24:$I$24)),0,+SUMPRODUCT($U$9:$U$19,$I$9:$I$19)+SUMPRODUCT($U$24:$U$24,$I$24:$I$24))</f>
        <v>0</v>
      </c>
      <c r="V77" s="33">
        <f>IF(ISERROR(+SUMPRODUCT($V$9:$V$19,$I$9:$I$19)+SUMPRODUCT($V$24:$V$24,$I$24:$I$24)),0,+SUMPRODUCT($V$9:$V$19,$I$9:$I$19)+SUMPRODUCT($V$24:$V$24,$I$24:$I$24))</f>
        <v>3977359.9805999999</v>
      </c>
      <c r="W77" s="33">
        <f>IF(ISERROR(+SUMPRODUCT($W$9:$W$19,$I$9:$I$19)+SUMPRODUCT($W$24:$W$24,$I$24:$I$24)),0,+SUMPRODUCT($W$9:$W$19,$I$9:$I$19)+SUMPRODUCT($W$24:$W$24,$I$24:$I$24))</f>
        <v>0</v>
      </c>
      <c r="X77" s="33">
        <f>IF(ISERROR(+SUMPRODUCT($X$9:$X$19,$I$9:$I$19)+SUMPRODUCT($X$24:$X$24,$I$24:$I$24)),0,+SUMPRODUCT($X$9:$X$19,$I$9:$I$19)+SUMPRODUCT($X$24:$X$24,$I$24:$I$24))</f>
        <v>0</v>
      </c>
      <c r="Y77" s="33">
        <f>IF(ISERROR(+SUMPRODUCT($Y$9:$Y$19,$I$9:$I$19)+SUMPRODUCT($Y$24:$Y$24,$I$24:$I$24)),0,+SUMPRODUCT($Y$9:$Y$19,$I$9:$I$19)+SUMPRODUCT($Y$24:$Y$24,$I$24:$I$24))</f>
        <v>11339076.175129348</v>
      </c>
      <c r="Z77" s="33">
        <f>IF(ISERROR(+SUMPRODUCT($Z$9:$Z$19,$I$9:$I$19)+SUMPRODUCT($Z$24:$Z$24,$I$24:$I$24)),0,+SUMPRODUCT($Z$9:$Z$19,$I$9:$I$19)+SUMPRODUCT($Z$24:$Z$24,$I$24:$I$24))</f>
        <v>0</v>
      </c>
      <c r="AA77" s="33">
        <f>IF(ISERROR(+SUMPRODUCT($AA$9:$AA$19,$I$9:$I$19)+SUMPRODUCT($AA$24:$AA$24,$I$24:$I$24)),0,+SUMPRODUCT($AA$9:$AA$19,$I$9:$I$19)+SUMPRODUCT($AA$24:$AA$24,$I$24:$I$24))</f>
        <v>583651.36259999999</v>
      </c>
      <c r="AB77" s="33"/>
      <c r="AC77" s="33">
        <f>IF(ISERROR(+SUMPRODUCT($AC$9:$AC$19,$I$9:$I$19)+SUMPRODUCT($AC$24:$AC$24,$I$24:$I$24)),0,+SUMPRODUCT($AC$9:$AC$19,$I$9:$I$19)+SUMPRODUCT($AC$24:$AC$24,$I$24:$I$24))</f>
        <v>12582414.58683512</v>
      </c>
      <c r="AD77" s="33"/>
      <c r="AE77" s="33">
        <f>IF(ISERROR(+SUMPRODUCT($AE$9:$AE$19,$I$9:$I$19)+SUMPRODUCT($AE$24:$AE$24,$I$24:$I$24)),0,+SUMPRODUCT($AE$9:$AE$19,$I$9:$I$19)+SUMPRODUCT($AE$24:$AE$24,$I$24:$I$24))</f>
        <v>0</v>
      </c>
      <c r="AF77" s="33">
        <f>IF(ISERROR(+SUMPRODUCT($AF$9:$AF$19,$I$9:$I$19)+SUMPRODUCT($AF$24:$AF$24,$I$24:$I$24)),0,+SUMPRODUCT($AF$9:$AF$19,$I$9:$I$19)+SUMPRODUCT($AF$24:$AF$24,$I$24:$I$24))</f>
        <v>0</v>
      </c>
      <c r="AG77" s="33"/>
      <c r="AH77" s="33">
        <f>IF(ISERROR(+SUMPRODUCT($AH$9:$AH$19,$I$9:$I$19)+SUMPRODUCT($AH$24:$AH$24,$I$24:$I$24)),0,+SUMPRODUCT($AH$9:$AH$19,$I$9:$I$19)+SUMPRODUCT($AH$24:$AH$24,$I$24:$I$24))</f>
        <v>615663.52465124312</v>
      </c>
      <c r="AI77" s="33">
        <f>IF(ISERROR(+SUMPRODUCT($AI$9:$AI$19,$I$9:$I$19)+SUMPRODUCT($AI$24:$AI$24,$I$24:$I$24)),0,+SUMPRODUCT($AI$9:$AI$19,$I$9:$I$19)+SUMPRODUCT($AI$24:$AI$24,$I$24:$I$24))</f>
        <v>143421.95970097499</v>
      </c>
      <c r="AJ77" s="33">
        <f>IF(ISERROR(+SUMPRODUCT($AJ$9:$AJ$19,$I$9:$I$19)+SUMPRODUCT($AJ$24:$AJ$24,$I$24:$I$24)),0,+SUMPRODUCT($AJ$9:$AJ$19,$I$9:$I$19)+SUMPRODUCT($AJ$24:$AJ$24,$I$24:$I$24))</f>
        <v>0</v>
      </c>
      <c r="AK77" s="33">
        <f>IF(ISERROR(+SUMPRODUCT($AK$9:$AK$19,$I$9:$I$19)+SUMPRODUCT($AK$24:$AK$24,$I$24:$I$24)),0,+SUMPRODUCT($AK$9:$AK$19,$I$9:$I$19)+SUMPRODUCT($AK$24:$AK$24,$I$24:$I$24))</f>
        <v>0</v>
      </c>
      <c r="AL77" s="33"/>
      <c r="AM77" s="33"/>
    </row>
    <row r="78" spans="1:42" ht="11.25" customHeight="1" x14ac:dyDescent="0.25">
      <c r="K78" s="30" t="s">
        <v>1045</v>
      </c>
      <c r="L78" s="33">
        <f>IF(ISERROR(+SUMPRODUCT($L$5:$L$8,$I$5:$I$8)+SUMPRODUCT($L$20:$L$23,$I$20:$I$23)+SUMPRODUCT($L$25:$L$28,$I$25:$I$28)+SUMPRODUCT($L$29:$L$31,$I$29:$I$31)+SUMPRODUCT($L$32:$L$32,$I$32:$I$32)+SUMPRODUCT($L$33:$L$37,$I$33:$I$37)+SUMPRODUCT($L$38:$L$39,$I$38:$I$39)+SUMPRODUCT($L$40:$L$42,$I$40:$I$42)+SUMPRODUCT($L$43:$L$47,$I$43:$I$47)+SUMPRODUCT($L$48:$L$52,$I$48:$I$52)+SUMPRODUCT($L$53:$L$55,$I$53:$I$55)+SUMPRODUCT($L$56:$L$56,$I$56:$I$56)+SUMPRODUCT($L$57:$L$59,$I$57:$I$59)+SUMPRODUCT($L$60:$L$60,$I$60:$I$60)+SUMPRODUCT($L$61:$L$63,$I$61:$I$63)+SUMPRODUCT($L$64:$L$64,$I$64:$I$64)+SUMPRODUCT($L$65:$L$67,$I$65:$I$67)+SUMPRODUCT($L$68:$L$70,$I$68:$I$70)+SUMPRODUCT($L$71:$L$71,$I$71:$I$71)+SUMPRODUCT($L$72:$L$72,$I$72:$I$72)+SUMPRODUCT($L$73:$L$74,$I$73:$I$74)),0,+SUMPRODUCT($L$5:$L$8,$I$5:$I$8)+SUMPRODUCT($L$20:$L$23,$I$20:$I$23)+SUMPRODUCT($L$25:$L$28,$I$25:$I$28)+SUMPRODUCT($L$29:$L$31,$I$29:$I$31)+SUMPRODUCT($L$32:$L$32,$I$32:$I$32)+SUMPRODUCT($L$33:$L$37,$I$33:$I$37)+SUMPRODUCT($L$38:$L$39,$I$38:$I$39)+SUMPRODUCT($L$40:$L$42,$I$40:$I$42)+SUMPRODUCT($L$43:$L$47,$I$43:$I$47)+SUMPRODUCT($L$48:$L$52,$I$48:$I$52)+SUMPRODUCT($L$53:$L$55,$I$53:$I$55)+SUMPRODUCT($L$56:$L$56,$I$56:$I$56)+SUMPRODUCT($L$57:$L$59,$I$57:$I$59)+SUMPRODUCT($L$60:$L$60,$I$60:$I$60)+SUMPRODUCT($L$61:$L$63,$I$61:$I$63)+SUMPRODUCT($L$64:$L$64,$I$64:$I$64)+SUMPRODUCT($L$65:$L$67,$I$65:$I$67)+SUMPRODUCT($L$68:$L$70,$I$68:$I$70)+SUMPRODUCT($L$71:$L$71,$I$71:$I$71)+SUMPRODUCT($L$72:$L$72,$I$72:$I$72)+SUMPRODUCT($L$73:$L$74,$I$73:$I$74))</f>
        <v>1257048.1976700001</v>
      </c>
      <c r="M78" s="33">
        <f>IF(ISERROR(+SUMPRODUCT($M$5:$M$8,$I$5:$I$8)+SUMPRODUCT($M$20:$M$23,$I$20:$I$23)+SUMPRODUCT($M$25:$M$28,$I$25:$I$28)+SUMPRODUCT($M$29:$M$31,$I$29:$I$31)+SUMPRODUCT($M$32:$M$32,$I$32:$I$32)+SUMPRODUCT($M$33:$M$37,$I$33:$I$37)+SUMPRODUCT($M$38:$M$39,$I$38:$I$39)+SUMPRODUCT($M$40:$M$42,$I$40:$I$42)+SUMPRODUCT($M$43:$M$47,$I$43:$I$47)+SUMPRODUCT($M$48:$M$52,$I$48:$I$52)+SUMPRODUCT($M$53:$M$55,$I$53:$I$55)+SUMPRODUCT($M$56:$M$56,$I$56:$I$56)+SUMPRODUCT($M$57:$M$59,$I$57:$I$59)+SUMPRODUCT($M$60:$M$60,$I$60:$I$60)+SUMPRODUCT($M$61:$M$63,$I$61:$I$63)+SUMPRODUCT($M$64:$M$64,$I$64:$I$64)+SUMPRODUCT($M$65:$M$67,$I$65:$I$67)+SUMPRODUCT($M$68:$M$70,$I$68:$I$70)+SUMPRODUCT($M$71:$M$71,$I$71:$I$71)+SUMPRODUCT($M$72:$M$72,$I$72:$I$72)+SUMPRODUCT($M$73:$M$74,$I$73:$I$74)),0,+SUMPRODUCT($M$5:$M$8,$I$5:$I$8)+SUMPRODUCT($M$20:$M$23,$I$20:$I$23)+SUMPRODUCT($M$25:$M$28,$I$25:$I$28)+SUMPRODUCT($M$29:$M$31,$I$29:$I$31)+SUMPRODUCT($M$32:$M$32,$I$32:$I$32)+SUMPRODUCT($M$33:$M$37,$I$33:$I$37)+SUMPRODUCT($M$38:$M$39,$I$38:$I$39)+SUMPRODUCT($M$40:$M$42,$I$40:$I$42)+SUMPRODUCT($M$43:$M$47,$I$43:$I$47)+SUMPRODUCT($M$48:$M$52,$I$48:$I$52)+SUMPRODUCT($M$53:$M$55,$I$53:$I$55)+SUMPRODUCT($M$56:$M$56,$I$56:$I$56)+SUMPRODUCT($M$57:$M$59,$I$57:$I$59)+SUMPRODUCT($M$60:$M$60,$I$60:$I$60)+SUMPRODUCT($M$61:$M$63,$I$61:$I$63)+SUMPRODUCT($M$64:$M$64,$I$64:$I$64)+SUMPRODUCT($M$65:$M$67,$I$65:$I$67)+SUMPRODUCT($M$68:$M$70,$I$68:$I$70)+SUMPRODUCT($M$71:$M$71,$I$71:$I$71)+SUMPRODUCT($M$72:$M$72,$I$72:$I$72)+SUMPRODUCT($M$73:$M$74,$I$73:$I$74))</f>
        <v>1382587.7119181585</v>
      </c>
      <c r="N78" s="33">
        <f ca="1">IF(ISERROR(+SUMPRODUCT($N$5:$N$8,$I$5:$I$8)+SUMPRODUCT($N$20:$N$23,$I$20:$I$23)+SUMPRODUCT($N$25:$N$28,$I$25:$I$28)+SUMPRODUCT($N$29:$N$31,$I$29:$I$31)+SUMPRODUCT($N$32:$N$32,$I$32:$I$32)+SUMPRODUCT($N$33:$N$37,$I$33:$I$37)+SUMPRODUCT($N$38:$N$39,$I$38:$I$39)+SUMPRODUCT($N$40:$N$42,$I$40:$I$42)+SUMPRODUCT($N$43:$N$47,$I$43:$I$47)+SUMPRODUCT($N$48:$N$52,$I$48:$I$52)+SUMPRODUCT($N$53:$N$55,$I$53:$I$55)+SUMPRODUCT($N$56:$N$56,$I$56:$I$56)+SUMPRODUCT($N$57:$N$59,$I$57:$I$59)+SUMPRODUCT($N$60:$N$60,$I$60:$I$60)+SUMPRODUCT($N$61:$N$63,$I$61:$I$63)+SUMPRODUCT($N$64:$N$64,$I$64:$I$64)+SUMPRODUCT($N$65:$N$67,$I$65:$I$67)+SUMPRODUCT($N$68:$N$70,$I$68:$I$70)+SUMPRODUCT($N$71:$N$71,$I$71:$I$71)+SUMPRODUCT($N$72:$N$72,$I$72:$I$72)+SUMPRODUCT($N$73:$N$74,$I$73:$I$74)),0,+SUMPRODUCT($N$5:$N$8,$I$5:$I$8)+SUMPRODUCT($N$20:$N$23,$I$20:$I$23)+SUMPRODUCT($N$25:$N$28,$I$25:$I$28)+SUMPRODUCT($N$29:$N$31,$I$29:$I$31)+SUMPRODUCT($N$32:$N$32,$I$32:$I$32)+SUMPRODUCT($N$33:$N$37,$I$33:$I$37)+SUMPRODUCT($N$38:$N$39,$I$38:$I$39)+SUMPRODUCT($N$40:$N$42,$I$40:$I$42)+SUMPRODUCT($N$43:$N$47,$I$43:$I$47)+SUMPRODUCT($N$48:$N$52,$I$48:$I$52)+SUMPRODUCT($N$53:$N$55,$I$53:$I$55)+SUMPRODUCT($N$56:$N$56,$I$56:$I$56)+SUMPRODUCT($N$57:$N$59,$I$57:$I$59)+SUMPRODUCT($N$60:$N$60,$I$60:$I$60)+SUMPRODUCT($N$61:$N$63,$I$61:$I$63)+SUMPRODUCT($N$64:$N$64,$I$64:$I$64)+SUMPRODUCT($N$65:$N$67,$I$65:$I$67)+SUMPRODUCT($N$68:$N$70,$I$68:$I$70)+SUMPRODUCT($N$71:$N$71,$I$71:$I$71)+SUMPRODUCT($N$72:$N$72,$I$72:$I$72)+SUMPRODUCT($N$73:$N$74,$I$73:$I$74))</f>
        <v>3674990.2835962269</v>
      </c>
      <c r="O78" s="33">
        <f>IF(ISERROR(+SUMPRODUCT($O$5:$O$8,$I$5:$I$8)+SUMPRODUCT($O$20:$O$23,$I$20:$I$23)+SUMPRODUCT($O$25:$O$28,$I$25:$I$28)+SUMPRODUCT($O$29:$O$31,$I$29:$I$31)+SUMPRODUCT($O$32:$O$32,$I$32:$I$32)+SUMPRODUCT($O$33:$O$37,$I$33:$I$37)+SUMPRODUCT($O$38:$O$39,$I$38:$I$39)+SUMPRODUCT($O$40:$O$42,$I$40:$I$42)+SUMPRODUCT($O$43:$O$47,$I$43:$I$47)+SUMPRODUCT($O$48:$O$52,$I$48:$I$52)+SUMPRODUCT($O$53:$O$55,$I$53:$I$55)+SUMPRODUCT($O$56:$O$56,$I$56:$I$56)+SUMPRODUCT($O$57:$O$59,$I$57:$I$59)+SUMPRODUCT($O$60:$O$60,$I$60:$I$60)+SUMPRODUCT($O$61:$O$63,$I$61:$I$63)+SUMPRODUCT($O$64:$O$64,$I$64:$I$64)+SUMPRODUCT($O$65:$O$67,$I$65:$I$67)+SUMPRODUCT($O$68:$O$70,$I$68:$I$70)+SUMPRODUCT($O$71:$O$71,$I$71:$I$71)+SUMPRODUCT($O$72:$O$72,$I$72:$I$72)+SUMPRODUCT($O$73:$O$74,$I$73:$I$74)),0,+SUMPRODUCT($O$5:$O$8,$I$5:$I$8)+SUMPRODUCT($O$20:$O$23,$I$20:$I$23)+SUMPRODUCT($O$25:$O$28,$I$25:$I$28)+SUMPRODUCT($O$29:$O$31,$I$29:$I$31)+SUMPRODUCT($O$32:$O$32,$I$32:$I$32)+SUMPRODUCT($O$33:$O$37,$I$33:$I$37)+SUMPRODUCT($O$38:$O$39,$I$38:$I$39)+SUMPRODUCT($O$40:$O$42,$I$40:$I$42)+SUMPRODUCT($O$43:$O$47,$I$43:$I$47)+SUMPRODUCT($O$48:$O$52,$I$48:$I$52)+SUMPRODUCT($O$53:$O$55,$I$53:$I$55)+SUMPRODUCT($O$56:$O$56,$I$56:$I$56)+SUMPRODUCT($O$57:$O$59,$I$57:$I$59)+SUMPRODUCT($O$60:$O$60,$I$60:$I$60)+SUMPRODUCT($O$61:$O$63,$I$61:$I$63)+SUMPRODUCT($O$64:$O$64,$I$64:$I$64)+SUMPRODUCT($O$65:$O$67,$I$65:$I$67)+SUMPRODUCT($O$68:$O$70,$I$68:$I$70)+SUMPRODUCT($O$71:$O$71,$I$71:$I$71)+SUMPRODUCT($O$72:$O$72,$I$72:$I$72)+SUMPRODUCT($O$73:$O$74,$I$73:$I$74))</f>
        <v>1512018.6884500002</v>
      </c>
      <c r="P78" s="33">
        <f>IF(ISERROR(+SUMPRODUCT($P$5:$P$8,$I$5:$I$8)+SUMPRODUCT($P$20:$P$23,$I$20:$I$23)+SUMPRODUCT($P$25:$P$28,$I$25:$I$28)+SUMPRODUCT($P$29:$P$31,$I$29:$I$31)+SUMPRODUCT($P$32:$P$32,$I$32:$I$32)+SUMPRODUCT($P$33:$P$37,$I$33:$I$37)+SUMPRODUCT($P$38:$P$39,$I$38:$I$39)+SUMPRODUCT($P$40:$P$42,$I$40:$I$42)+SUMPRODUCT($P$43:$P$47,$I$43:$I$47)+SUMPRODUCT($P$48:$P$52,$I$48:$I$52)+SUMPRODUCT($P$53:$P$55,$I$53:$I$55)+SUMPRODUCT($P$56:$P$56,$I$56:$I$56)+SUMPRODUCT($P$57:$P$59,$I$57:$I$59)+SUMPRODUCT($P$60:$P$60,$I$60:$I$60)+SUMPRODUCT($P$61:$P$63,$I$61:$I$63)+SUMPRODUCT($P$64:$P$64,$I$64:$I$64)+SUMPRODUCT($P$65:$P$67,$I$65:$I$67)+SUMPRODUCT($P$68:$P$70,$I$68:$I$70)+SUMPRODUCT($P$71:$P$71,$I$71:$I$71)+SUMPRODUCT($P$72:$P$72,$I$72:$I$72)+SUMPRODUCT($P$73:$P$74,$I$73:$I$74)),0,+SUMPRODUCT($P$5:$P$8,$I$5:$I$8)+SUMPRODUCT($P$20:$P$23,$I$20:$I$23)+SUMPRODUCT($P$25:$P$28,$I$25:$I$28)+SUMPRODUCT($P$29:$P$31,$I$29:$I$31)+SUMPRODUCT($P$32:$P$32,$I$32:$I$32)+SUMPRODUCT($P$33:$P$37,$I$33:$I$37)+SUMPRODUCT($P$38:$P$39,$I$38:$I$39)+SUMPRODUCT($P$40:$P$42,$I$40:$I$42)+SUMPRODUCT($P$43:$P$47,$I$43:$I$47)+SUMPRODUCT($P$48:$P$52,$I$48:$I$52)+SUMPRODUCT($P$53:$P$55,$I$53:$I$55)+SUMPRODUCT($P$56:$P$56,$I$56:$I$56)+SUMPRODUCT($P$57:$P$59,$I$57:$I$59)+SUMPRODUCT($P$60:$P$60,$I$60:$I$60)+SUMPRODUCT($P$61:$P$63,$I$61:$I$63)+SUMPRODUCT($P$64:$P$64,$I$64:$I$64)+SUMPRODUCT($P$65:$P$67,$I$65:$I$67)+SUMPRODUCT($P$68:$P$70,$I$68:$I$70)+SUMPRODUCT($P$71:$P$71,$I$71:$I$71)+SUMPRODUCT($P$72:$P$72,$I$72:$I$72)+SUMPRODUCT($P$73:$P$74,$I$73:$I$74))</f>
        <v>1366737.7624500003</v>
      </c>
      <c r="Q78" s="33">
        <f>IF(ISERROR(+SUMPRODUCT($Q$5:$Q$8,$I$5:$I$8)+SUMPRODUCT($Q$20:$Q$23,$I$20:$I$23)+SUMPRODUCT($Q$25:$Q$28,$I$25:$I$28)+SUMPRODUCT($Q$29:$Q$31,$I$29:$I$31)+SUMPRODUCT($Q$32:$Q$32,$I$32:$I$32)+SUMPRODUCT($Q$33:$Q$37,$I$33:$I$37)+SUMPRODUCT($Q$38:$Q$39,$I$38:$I$39)+SUMPRODUCT($Q$40:$Q$42,$I$40:$I$42)+SUMPRODUCT($Q$43:$Q$47,$I$43:$I$47)+SUMPRODUCT($Q$48:$Q$52,$I$48:$I$52)+SUMPRODUCT($Q$53:$Q$55,$I$53:$I$55)+SUMPRODUCT($Q$56:$Q$56,$I$56:$I$56)+SUMPRODUCT($Q$57:$Q$59,$I$57:$I$59)+SUMPRODUCT($Q$60:$Q$60,$I$60:$I$60)+SUMPRODUCT($Q$61:$Q$63,$I$61:$I$63)+SUMPRODUCT($Q$64:$Q$64,$I$64:$I$64)+SUMPRODUCT($Q$65:$Q$67,$I$65:$I$67)+SUMPRODUCT($Q$68:$Q$70,$I$68:$I$70)+SUMPRODUCT($Q$71:$Q$71,$I$71:$I$71)+SUMPRODUCT($Q$72:$Q$72,$I$72:$I$72)+SUMPRODUCT($Q$73:$Q$74,$I$73:$I$74)),0,+SUMPRODUCT($Q$5:$Q$8,$I$5:$I$8)+SUMPRODUCT($Q$20:$Q$23,$I$20:$I$23)+SUMPRODUCT($Q$25:$Q$28,$I$25:$I$28)+SUMPRODUCT($Q$29:$Q$31,$I$29:$I$31)+SUMPRODUCT($Q$32:$Q$32,$I$32:$I$32)+SUMPRODUCT($Q$33:$Q$37,$I$33:$I$37)+SUMPRODUCT($Q$38:$Q$39,$I$38:$I$39)+SUMPRODUCT($Q$40:$Q$42,$I$40:$I$42)+SUMPRODUCT($Q$43:$Q$47,$I$43:$I$47)+SUMPRODUCT($Q$48:$Q$52,$I$48:$I$52)+SUMPRODUCT($Q$53:$Q$55,$I$53:$I$55)+SUMPRODUCT($Q$56:$Q$56,$I$56:$I$56)+SUMPRODUCT($Q$57:$Q$59,$I$57:$I$59)+SUMPRODUCT($Q$60:$Q$60,$I$60:$I$60)+SUMPRODUCT($Q$61:$Q$63,$I$61:$I$63)+SUMPRODUCT($Q$64:$Q$64,$I$64:$I$64)+SUMPRODUCT($Q$65:$Q$67,$I$65:$I$67)+SUMPRODUCT($Q$68:$Q$70,$I$68:$I$70)+SUMPRODUCT($Q$71:$Q$71,$I$71:$I$71)+SUMPRODUCT($Q$72:$Q$72,$I$72:$I$72)+SUMPRODUCT($Q$73:$Q$74,$I$73:$I$74))</f>
        <v>1257048.1976700001</v>
      </c>
      <c r="R78" s="33">
        <f>IF(ISERROR(+SUMPRODUCT($R$5:$R$8,$I$5:$I$8)+SUMPRODUCT($R$20:$R$23,$I$20:$I$23)+SUMPRODUCT($R$25:$R$28,$I$25:$I$28)+SUMPRODUCT($R$29:$R$31,$I$29:$I$31)+SUMPRODUCT($R$32:$R$32,$I$32:$I$32)+SUMPRODUCT($R$33:$R$37,$I$33:$I$37)+SUMPRODUCT($R$38:$R$39,$I$38:$I$39)+SUMPRODUCT($R$40:$R$42,$I$40:$I$42)+SUMPRODUCT($R$43:$R$47,$I$43:$I$47)+SUMPRODUCT($R$48:$R$52,$I$48:$I$52)+SUMPRODUCT($R$53:$R$55,$I$53:$I$55)+SUMPRODUCT($R$56:$R$56,$I$56:$I$56)+SUMPRODUCT($R$57:$R$59,$I$57:$I$59)+SUMPRODUCT($R$60:$R$60,$I$60:$I$60)+SUMPRODUCT($R$61:$R$63,$I$61:$I$63)+SUMPRODUCT($R$64:$R$64,$I$64:$I$64)+SUMPRODUCT($R$65:$R$67,$I$65:$I$67)+SUMPRODUCT($R$68:$R$70,$I$68:$I$70)+SUMPRODUCT($R$71:$R$71,$I$71:$I$71)+SUMPRODUCT($R$72:$R$72,$I$72:$I$72)+SUMPRODUCT($R$73:$R$74,$I$73:$I$74)),0,+SUMPRODUCT($R$5:$R$8,$I$5:$I$8)+SUMPRODUCT($R$20:$R$23,$I$20:$I$23)+SUMPRODUCT($R$25:$R$28,$I$25:$I$28)+SUMPRODUCT($R$29:$R$31,$I$29:$I$31)+SUMPRODUCT($R$32:$R$32,$I$32:$I$32)+SUMPRODUCT($R$33:$R$37,$I$33:$I$37)+SUMPRODUCT($R$38:$R$39,$I$38:$I$39)+SUMPRODUCT($R$40:$R$42,$I$40:$I$42)+SUMPRODUCT($R$43:$R$47,$I$43:$I$47)+SUMPRODUCT($R$48:$R$52,$I$48:$I$52)+SUMPRODUCT($R$53:$R$55,$I$53:$I$55)+SUMPRODUCT($R$56:$R$56,$I$56:$I$56)+SUMPRODUCT($R$57:$R$59,$I$57:$I$59)+SUMPRODUCT($R$60:$R$60,$I$60:$I$60)+SUMPRODUCT($R$61:$R$63,$I$61:$I$63)+SUMPRODUCT($R$64:$R$64,$I$64:$I$64)+SUMPRODUCT($R$65:$R$67,$I$65:$I$67)+SUMPRODUCT($R$68:$R$70,$I$68:$I$70)+SUMPRODUCT($R$71:$R$71,$I$71:$I$71)+SUMPRODUCT($R$72:$R$72,$I$72:$I$72)+SUMPRODUCT($R$73:$R$74,$I$73:$I$74))</f>
        <v>1366737.7624500003</v>
      </c>
      <c r="S78" s="33">
        <f>IF(ISERROR(+SUMPRODUCT($S$5:$S$8,$I$5:$I$8)+SUMPRODUCT($S$20:$S$23,$I$20:$I$23)+SUMPRODUCT($S$25:$S$28,$I$25:$I$28)+SUMPRODUCT($S$29:$S$31,$I$29:$I$31)+SUMPRODUCT($S$32:$S$32,$I$32:$I$32)+SUMPRODUCT($S$33:$S$37,$I$33:$I$37)+SUMPRODUCT($S$38:$S$39,$I$38:$I$39)+SUMPRODUCT($S$40:$S$42,$I$40:$I$42)+SUMPRODUCT($S$43:$S$47,$I$43:$I$47)+SUMPRODUCT($S$48:$S$52,$I$48:$I$52)+SUMPRODUCT($S$53:$S$55,$I$53:$I$55)+SUMPRODUCT($S$56:$S$56,$I$56:$I$56)+SUMPRODUCT($S$57:$S$59,$I$57:$I$59)+SUMPRODUCT($S$60:$S$60,$I$60:$I$60)+SUMPRODUCT($S$61:$S$63,$I$61:$I$63)+SUMPRODUCT($S$64:$S$64,$I$64:$I$64)+SUMPRODUCT($S$65:$S$67,$I$65:$I$67)+SUMPRODUCT($S$68:$S$70,$I$68:$I$70)+SUMPRODUCT($S$71:$S$71,$I$71:$I$71)+SUMPRODUCT($S$72:$S$72,$I$72:$I$72)+SUMPRODUCT($S$73:$S$74,$I$73:$I$74)),0,+SUMPRODUCT($S$5:$S$8,$I$5:$I$8)+SUMPRODUCT($S$20:$S$23,$I$20:$I$23)+SUMPRODUCT($S$25:$S$28,$I$25:$I$28)+SUMPRODUCT($S$29:$S$31,$I$29:$I$31)+SUMPRODUCT($S$32:$S$32,$I$32:$I$32)+SUMPRODUCT($S$33:$S$37,$I$33:$I$37)+SUMPRODUCT($S$38:$S$39,$I$38:$I$39)+SUMPRODUCT($S$40:$S$42,$I$40:$I$42)+SUMPRODUCT($S$43:$S$47,$I$43:$I$47)+SUMPRODUCT($S$48:$S$52,$I$48:$I$52)+SUMPRODUCT($S$53:$S$55,$I$53:$I$55)+SUMPRODUCT($S$56:$S$56,$I$56:$I$56)+SUMPRODUCT($S$57:$S$59,$I$57:$I$59)+SUMPRODUCT($S$60:$S$60,$I$60:$I$60)+SUMPRODUCT($S$61:$S$63,$I$61:$I$63)+SUMPRODUCT($S$64:$S$64,$I$64:$I$64)+SUMPRODUCT($S$65:$S$67,$I$65:$I$67)+SUMPRODUCT($S$68:$S$70,$I$68:$I$70)+SUMPRODUCT($S$71:$S$71,$I$71:$I$71)+SUMPRODUCT($S$72:$S$72,$I$72:$I$72)+SUMPRODUCT($S$73:$S$74,$I$73:$I$74))</f>
        <v>1507352.4584500003</v>
      </c>
      <c r="T78" s="33"/>
      <c r="U78" s="33">
        <f>IF(ISERROR(+SUMPRODUCT($U$5:$U$8,$I$5:$I$8)+SUMPRODUCT($U$20:$U$23,$I$20:$I$23)+SUMPRODUCT($U$25:$U$28,$I$25:$I$28)+SUMPRODUCT($U$29:$U$31,$I$29:$I$31)+SUMPRODUCT($U$32:$U$32,$I$32:$I$32)+SUMPRODUCT($U$33:$U$37,$I$33:$I$37)+SUMPRODUCT($U$38:$U$39,$I$38:$I$39)+SUMPRODUCT($U$40:$U$42,$I$40:$I$42)+SUMPRODUCT($U$43:$U$47,$I$43:$I$47)+SUMPRODUCT($U$48:$U$52,$I$48:$I$52)+SUMPRODUCT($U$53:$U$55,$I$53:$I$55)+SUMPRODUCT($U$56:$U$56,$I$56:$I$56)+SUMPRODUCT($U$57:$U$59,$I$57:$I$59)+SUMPRODUCT($U$60:$U$60,$I$60:$I$60)+SUMPRODUCT($U$61:$U$63,$I$61:$I$63)+SUMPRODUCT($U$64:$U$64,$I$64:$I$64)+SUMPRODUCT($U$65:$U$67,$I$65:$I$67)+SUMPRODUCT($U$68:$U$70,$I$68:$I$70)+SUMPRODUCT($U$71:$U$71,$I$71:$I$71)+SUMPRODUCT($U$72:$U$72,$I$72:$I$72)+SUMPRODUCT($U$73:$U$74,$I$73:$I$74)),0,+SUMPRODUCT($U$5:$U$8,$I$5:$I$8)+SUMPRODUCT($U$20:$U$23,$I$20:$I$23)+SUMPRODUCT($U$25:$U$28,$I$25:$I$28)+SUMPRODUCT($U$29:$U$31,$I$29:$I$31)+SUMPRODUCT($U$32:$U$32,$I$32:$I$32)+SUMPRODUCT($U$33:$U$37,$I$33:$I$37)+SUMPRODUCT($U$38:$U$39,$I$38:$I$39)+SUMPRODUCT($U$40:$U$42,$I$40:$I$42)+SUMPRODUCT($U$43:$U$47,$I$43:$I$47)+SUMPRODUCT($U$48:$U$52,$I$48:$I$52)+SUMPRODUCT($U$53:$U$55,$I$53:$I$55)+SUMPRODUCT($U$56:$U$56,$I$56:$I$56)+SUMPRODUCT($U$57:$U$59,$I$57:$I$59)+SUMPRODUCT($U$60:$U$60,$I$60:$I$60)+SUMPRODUCT($U$61:$U$63,$I$61:$I$63)+SUMPRODUCT($U$64:$U$64,$I$64:$I$64)+SUMPRODUCT($U$65:$U$67,$I$65:$I$67)+SUMPRODUCT($U$68:$U$70,$I$68:$I$70)+SUMPRODUCT($U$71:$U$71,$I$71:$I$71)+SUMPRODUCT($U$72:$U$72,$I$72:$I$72)+SUMPRODUCT($U$73:$U$74,$I$73:$I$74))</f>
        <v>20385438.070057344</v>
      </c>
      <c r="V78" s="33">
        <f>IF(ISERROR(+SUMPRODUCT($V$5:$V$8,$I$5:$I$8)+SUMPRODUCT($V$20:$V$23,$I$20:$I$23)+SUMPRODUCT($V$25:$V$28,$I$25:$I$28)+SUMPRODUCT($V$29:$V$31,$I$29:$I$31)+SUMPRODUCT($V$32:$V$32,$I$32:$I$32)+SUMPRODUCT($V$33:$V$37,$I$33:$I$37)+SUMPRODUCT($V$38:$V$39,$I$38:$I$39)+SUMPRODUCT($V$40:$V$42,$I$40:$I$42)+SUMPRODUCT($V$43:$V$47,$I$43:$I$47)+SUMPRODUCT($V$48:$V$52,$I$48:$I$52)+SUMPRODUCT($V$53:$V$55,$I$53:$I$55)+SUMPRODUCT($V$56:$V$56,$I$56:$I$56)+SUMPRODUCT($V$57:$V$59,$I$57:$I$59)+SUMPRODUCT($V$60:$V$60,$I$60:$I$60)+SUMPRODUCT($V$61:$V$63,$I$61:$I$63)+SUMPRODUCT($V$64:$V$64,$I$64:$I$64)+SUMPRODUCT($V$65:$V$67,$I$65:$I$67)+SUMPRODUCT($V$68:$V$70,$I$68:$I$70)+SUMPRODUCT($V$71:$V$71,$I$71:$I$71)+SUMPRODUCT($V$72:$V$72,$I$72:$I$72)+SUMPRODUCT($V$73:$V$74,$I$73:$I$74)),0,+SUMPRODUCT($V$5:$V$8,$I$5:$I$8)+SUMPRODUCT($V$20:$V$23,$I$20:$I$23)+SUMPRODUCT($V$25:$V$28,$I$25:$I$28)+SUMPRODUCT($V$29:$V$31,$I$29:$I$31)+SUMPRODUCT($V$32:$V$32,$I$32:$I$32)+SUMPRODUCT($V$33:$V$37,$I$33:$I$37)+SUMPRODUCT($V$38:$V$39,$I$38:$I$39)+SUMPRODUCT($V$40:$V$42,$I$40:$I$42)+SUMPRODUCT($V$43:$V$47,$I$43:$I$47)+SUMPRODUCT($V$48:$V$52,$I$48:$I$52)+SUMPRODUCT($V$53:$V$55,$I$53:$I$55)+SUMPRODUCT($V$56:$V$56,$I$56:$I$56)+SUMPRODUCT($V$57:$V$59,$I$57:$I$59)+SUMPRODUCT($V$60:$V$60,$I$60:$I$60)+SUMPRODUCT($V$61:$V$63,$I$61:$I$63)+SUMPRODUCT($V$64:$V$64,$I$64:$I$64)+SUMPRODUCT($V$65:$V$67,$I$65:$I$67)+SUMPRODUCT($V$68:$V$70,$I$68:$I$70)+SUMPRODUCT($V$71:$V$71,$I$71:$I$71)+SUMPRODUCT($V$72:$V$72,$I$72:$I$72)+SUMPRODUCT($V$73:$V$74,$I$73:$I$74))</f>
        <v>2653544.8143309099</v>
      </c>
      <c r="W78" s="33">
        <f>IF(ISERROR(+SUMPRODUCT($W$5:$W$8,$I$5:$I$8)+SUMPRODUCT($W$20:$W$23,$I$20:$I$23)+SUMPRODUCT($W$25:$W$28,$I$25:$I$28)+SUMPRODUCT($W$29:$W$31,$I$29:$I$31)+SUMPRODUCT($W$32:$W$32,$I$32:$I$32)+SUMPRODUCT($W$33:$W$37,$I$33:$I$37)+SUMPRODUCT($W$38:$W$39,$I$38:$I$39)+SUMPRODUCT($W$40:$W$42,$I$40:$I$42)+SUMPRODUCT($W$43:$W$47,$I$43:$I$47)+SUMPRODUCT($W$48:$W$52,$I$48:$I$52)+SUMPRODUCT($W$53:$W$55,$I$53:$I$55)+SUMPRODUCT($W$56:$W$56,$I$56:$I$56)+SUMPRODUCT($W$57:$W$59,$I$57:$I$59)+SUMPRODUCT($W$60:$W$60,$I$60:$I$60)+SUMPRODUCT($W$61:$W$63,$I$61:$I$63)+SUMPRODUCT($W$64:$W$64,$I$64:$I$64)+SUMPRODUCT($W$65:$W$67,$I$65:$I$67)+SUMPRODUCT($W$68:$W$70,$I$68:$I$70)+SUMPRODUCT($W$71:$W$71,$I$71:$I$71)+SUMPRODUCT($W$72:$W$72,$I$72:$I$72)+SUMPRODUCT($W$73:$W$74,$I$73:$I$74)),0,+SUMPRODUCT($W$5:$W$8,$I$5:$I$8)+SUMPRODUCT($W$20:$W$23,$I$20:$I$23)+SUMPRODUCT($W$25:$W$28,$I$25:$I$28)+SUMPRODUCT($W$29:$W$31,$I$29:$I$31)+SUMPRODUCT($W$32:$W$32,$I$32:$I$32)+SUMPRODUCT($W$33:$W$37,$I$33:$I$37)+SUMPRODUCT($W$38:$W$39,$I$38:$I$39)+SUMPRODUCT($W$40:$W$42,$I$40:$I$42)+SUMPRODUCT($W$43:$W$47,$I$43:$I$47)+SUMPRODUCT($W$48:$W$52,$I$48:$I$52)+SUMPRODUCT($W$53:$W$55,$I$53:$I$55)+SUMPRODUCT($W$56:$W$56,$I$56:$I$56)+SUMPRODUCT($W$57:$W$59,$I$57:$I$59)+SUMPRODUCT($W$60:$W$60,$I$60:$I$60)+SUMPRODUCT($W$61:$W$63,$I$61:$I$63)+SUMPRODUCT($W$64:$W$64,$I$64:$I$64)+SUMPRODUCT($W$65:$W$67,$I$65:$I$67)+SUMPRODUCT($W$68:$W$70,$I$68:$I$70)+SUMPRODUCT($W$71:$W$71,$I$71:$I$71)+SUMPRODUCT($W$72:$W$72,$I$72:$I$72)+SUMPRODUCT($W$73:$W$74,$I$73:$I$74))</f>
        <v>0</v>
      </c>
      <c r="X78" s="33">
        <f>IF(ISERROR(+SUMPRODUCT($X$5:$X$8,$I$5:$I$8)+SUMPRODUCT($X$20:$X$23,$I$20:$I$23)+SUMPRODUCT($X$25:$X$28,$I$25:$I$28)+SUMPRODUCT($X$29:$X$31,$I$29:$I$31)+SUMPRODUCT($X$32:$X$32,$I$32:$I$32)+SUMPRODUCT($X$33:$X$37,$I$33:$I$37)+SUMPRODUCT($X$38:$X$39,$I$38:$I$39)+SUMPRODUCT($X$40:$X$42,$I$40:$I$42)+SUMPRODUCT($X$43:$X$47,$I$43:$I$47)+SUMPRODUCT($X$48:$X$52,$I$48:$I$52)+SUMPRODUCT($X$53:$X$55,$I$53:$I$55)+SUMPRODUCT($X$56:$X$56,$I$56:$I$56)+SUMPRODUCT($X$57:$X$59,$I$57:$I$59)+SUMPRODUCT($X$60:$X$60,$I$60:$I$60)+SUMPRODUCT($X$61:$X$63,$I$61:$I$63)+SUMPRODUCT($X$64:$X$64,$I$64:$I$64)+SUMPRODUCT($X$65:$X$67,$I$65:$I$67)+SUMPRODUCT($X$68:$X$70,$I$68:$I$70)+SUMPRODUCT($X$71:$X$71,$I$71:$I$71)+SUMPRODUCT($X$72:$X$72,$I$72:$I$72)+SUMPRODUCT($X$73:$X$74,$I$73:$I$74)),0,+SUMPRODUCT($X$5:$X$8,$I$5:$I$8)+SUMPRODUCT($X$20:$X$23,$I$20:$I$23)+SUMPRODUCT($X$25:$X$28,$I$25:$I$28)+SUMPRODUCT($X$29:$X$31,$I$29:$I$31)+SUMPRODUCT($X$32:$X$32,$I$32:$I$32)+SUMPRODUCT($X$33:$X$37,$I$33:$I$37)+SUMPRODUCT($X$38:$X$39,$I$38:$I$39)+SUMPRODUCT($X$40:$X$42,$I$40:$I$42)+SUMPRODUCT($X$43:$X$47,$I$43:$I$47)+SUMPRODUCT($X$48:$X$52,$I$48:$I$52)+SUMPRODUCT($X$53:$X$55,$I$53:$I$55)+SUMPRODUCT($X$56:$X$56,$I$56:$I$56)+SUMPRODUCT($X$57:$X$59,$I$57:$I$59)+SUMPRODUCT($X$60:$X$60,$I$60:$I$60)+SUMPRODUCT($X$61:$X$63,$I$61:$I$63)+SUMPRODUCT($X$64:$X$64,$I$64:$I$64)+SUMPRODUCT($X$65:$X$67,$I$65:$I$67)+SUMPRODUCT($X$68:$X$70,$I$68:$I$70)+SUMPRODUCT($X$71:$X$71,$I$71:$I$71)+SUMPRODUCT($X$72:$X$72,$I$72:$I$72)+SUMPRODUCT($X$73:$X$74,$I$73:$I$74))</f>
        <v>0</v>
      </c>
      <c r="Y78" s="33">
        <f>IF(ISERROR(+SUMPRODUCT($Y$5:$Y$8,$I$5:$I$8)+SUMPRODUCT($Y$20:$Y$23,$I$20:$I$23)+SUMPRODUCT($Y$25:$Y$28,$I$25:$I$28)+SUMPRODUCT($Y$29:$Y$31,$I$29:$I$31)+SUMPRODUCT($Y$32:$Y$32,$I$32:$I$32)+SUMPRODUCT($Y$33:$Y$37,$I$33:$I$37)+SUMPRODUCT($Y$38:$Y$39,$I$38:$I$39)+SUMPRODUCT($Y$40:$Y$42,$I$40:$I$42)+SUMPRODUCT($Y$43:$Y$47,$I$43:$I$47)+SUMPRODUCT($Y$48:$Y$52,$I$48:$I$52)+SUMPRODUCT($Y$53:$Y$55,$I$53:$I$55)+SUMPRODUCT($Y$56:$Y$56,$I$56:$I$56)+SUMPRODUCT($Y$57:$Y$59,$I$57:$I$59)+SUMPRODUCT($Y$60:$Y$60,$I$60:$I$60)+SUMPRODUCT($Y$61:$Y$63,$I$61:$I$63)+SUMPRODUCT($Y$64:$Y$64,$I$64:$I$64)+SUMPRODUCT($Y$65:$Y$67,$I$65:$I$67)+SUMPRODUCT($Y$68:$Y$70,$I$68:$I$70)+SUMPRODUCT($Y$71:$Y$71,$I$71:$I$71)+SUMPRODUCT($Y$72:$Y$72,$I$72:$I$72)+SUMPRODUCT($Y$73:$Y$74,$I$73:$I$74)),0,+SUMPRODUCT($Y$5:$Y$8,$I$5:$I$8)+SUMPRODUCT($Y$20:$Y$23,$I$20:$I$23)+SUMPRODUCT($Y$25:$Y$28,$I$25:$I$28)+SUMPRODUCT($Y$29:$Y$31,$I$29:$I$31)+SUMPRODUCT($Y$32:$Y$32,$I$32:$I$32)+SUMPRODUCT($Y$33:$Y$37,$I$33:$I$37)+SUMPRODUCT($Y$38:$Y$39,$I$38:$I$39)+SUMPRODUCT($Y$40:$Y$42,$I$40:$I$42)+SUMPRODUCT($Y$43:$Y$47,$I$43:$I$47)+SUMPRODUCT($Y$48:$Y$52,$I$48:$I$52)+SUMPRODUCT($Y$53:$Y$55,$I$53:$I$55)+SUMPRODUCT($Y$56:$Y$56,$I$56:$I$56)+SUMPRODUCT($Y$57:$Y$59,$I$57:$I$59)+SUMPRODUCT($Y$60:$Y$60,$I$60:$I$60)+SUMPRODUCT($Y$61:$Y$63,$I$61:$I$63)+SUMPRODUCT($Y$64:$Y$64,$I$64:$I$64)+SUMPRODUCT($Y$65:$Y$67,$I$65:$I$67)+SUMPRODUCT($Y$68:$Y$70,$I$68:$I$70)+SUMPRODUCT($Y$71:$Y$71,$I$71:$I$71)+SUMPRODUCT($Y$72:$Y$72,$I$72:$I$72)+SUMPRODUCT($Y$73:$Y$74,$I$73:$I$74))</f>
        <v>58183962.553297579</v>
      </c>
      <c r="Z78" s="33">
        <f>IF(ISERROR(+SUMPRODUCT($Z$5:$Z$8,$I$5:$I$8)+SUMPRODUCT($Z$20:$Z$23,$I$20:$I$23)+SUMPRODUCT($Z$25:$Z$28,$I$25:$I$28)+SUMPRODUCT($Z$29:$Z$31,$I$29:$I$31)+SUMPRODUCT($Z$32:$Z$32,$I$32:$I$32)+SUMPRODUCT($Z$33:$Z$37,$I$33:$I$37)+SUMPRODUCT($Z$38:$Z$39,$I$38:$I$39)+SUMPRODUCT($Z$40:$Z$42,$I$40:$I$42)+SUMPRODUCT($Z$43:$Z$47,$I$43:$I$47)+SUMPRODUCT($Z$48:$Z$52,$I$48:$I$52)+SUMPRODUCT($Z$53:$Z$55,$I$53:$I$55)+SUMPRODUCT($Z$56:$Z$56,$I$56:$I$56)+SUMPRODUCT($Z$57:$Z$59,$I$57:$I$59)+SUMPRODUCT($Z$60:$Z$60,$I$60:$I$60)+SUMPRODUCT($Z$61:$Z$63,$I$61:$I$63)+SUMPRODUCT($Z$64:$Z$64,$I$64:$I$64)+SUMPRODUCT($Z$65:$Z$67,$I$65:$I$67)+SUMPRODUCT($Z$68:$Z$70,$I$68:$I$70)+SUMPRODUCT($Z$71:$Z$71,$I$71:$I$71)+SUMPRODUCT($Z$72:$Z$72,$I$72:$I$72)+SUMPRODUCT($Z$73:$Z$74,$I$73:$I$74)),0,+SUMPRODUCT($Z$5:$Z$8,$I$5:$I$8)+SUMPRODUCT($Z$20:$Z$23,$I$20:$I$23)+SUMPRODUCT($Z$25:$Z$28,$I$25:$I$28)+SUMPRODUCT($Z$29:$Z$31,$I$29:$I$31)+SUMPRODUCT($Z$32:$Z$32,$I$32:$I$32)+SUMPRODUCT($Z$33:$Z$37,$I$33:$I$37)+SUMPRODUCT($Z$38:$Z$39,$I$38:$I$39)+SUMPRODUCT($Z$40:$Z$42,$I$40:$I$42)+SUMPRODUCT($Z$43:$Z$47,$I$43:$I$47)+SUMPRODUCT($Z$48:$Z$52,$I$48:$I$52)+SUMPRODUCT($Z$53:$Z$55,$I$53:$I$55)+SUMPRODUCT($Z$56:$Z$56,$I$56:$I$56)+SUMPRODUCT($Z$57:$Z$59,$I$57:$I$59)+SUMPRODUCT($Z$60:$Z$60,$I$60:$I$60)+SUMPRODUCT($Z$61:$Z$63,$I$61:$I$63)+SUMPRODUCT($Z$64:$Z$64,$I$64:$I$64)+SUMPRODUCT($Z$65:$Z$67,$I$65:$I$67)+SUMPRODUCT($Z$68:$Z$70,$I$68:$I$70)+SUMPRODUCT($Z$71:$Z$71,$I$71:$I$71)+SUMPRODUCT($Z$72:$Z$72,$I$72:$I$72)+SUMPRODUCT($Z$73:$Z$74,$I$73:$I$74))</f>
        <v>0</v>
      </c>
      <c r="AA78" s="33">
        <f>IF(ISERROR(+SUMPRODUCT($AA$5:$AA$8,$I$5:$I$8)+SUMPRODUCT($AA$20:$AA$23,$I$20:$I$23)+SUMPRODUCT($AA$25:$AA$28,$I$25:$I$28)+SUMPRODUCT($AA$29:$AA$31,$I$29:$I$31)+SUMPRODUCT($AA$32:$AA$32,$I$32:$I$32)+SUMPRODUCT($AA$33:$AA$37,$I$33:$I$37)+SUMPRODUCT($AA$38:$AA$39,$I$38:$I$39)+SUMPRODUCT($AA$40:$AA$42,$I$40:$I$42)+SUMPRODUCT($AA$43:$AA$47,$I$43:$I$47)+SUMPRODUCT($AA$48:$AA$52,$I$48:$I$52)+SUMPRODUCT($AA$53:$AA$55,$I$53:$I$55)+SUMPRODUCT($AA$56:$AA$56,$I$56:$I$56)+SUMPRODUCT($AA$57:$AA$59,$I$57:$I$59)+SUMPRODUCT($AA$60:$AA$60,$I$60:$I$60)+SUMPRODUCT($AA$61:$AA$63,$I$61:$I$63)+SUMPRODUCT($AA$64:$AA$64,$I$64:$I$64)+SUMPRODUCT($AA$65:$AA$67,$I$65:$I$67)+SUMPRODUCT($AA$68:$AA$70,$I$68:$I$70)+SUMPRODUCT($AA$71:$AA$71,$I$71:$I$71)+SUMPRODUCT($AA$72:$AA$72,$I$72:$I$72)+SUMPRODUCT($AA$73:$AA$74,$I$73:$I$74)),0,+SUMPRODUCT($AA$5:$AA$8,$I$5:$I$8)+SUMPRODUCT($AA$20:$AA$23,$I$20:$I$23)+SUMPRODUCT($AA$25:$AA$28,$I$25:$I$28)+SUMPRODUCT($AA$29:$AA$31,$I$29:$I$31)+SUMPRODUCT($AA$32:$AA$32,$I$32:$I$32)+SUMPRODUCT($AA$33:$AA$37,$I$33:$I$37)+SUMPRODUCT($AA$38:$AA$39,$I$38:$I$39)+SUMPRODUCT($AA$40:$AA$42,$I$40:$I$42)+SUMPRODUCT($AA$43:$AA$47,$I$43:$I$47)+SUMPRODUCT($AA$48:$AA$52,$I$48:$I$52)+SUMPRODUCT($AA$53:$AA$55,$I$53:$I$55)+SUMPRODUCT($AA$56:$AA$56,$I$56:$I$56)+SUMPRODUCT($AA$57:$AA$59,$I$57:$I$59)+SUMPRODUCT($AA$60:$AA$60,$I$60:$I$60)+SUMPRODUCT($AA$61:$AA$63,$I$61:$I$63)+SUMPRODUCT($AA$64:$AA$64,$I$64:$I$64)+SUMPRODUCT($AA$65:$AA$67,$I$65:$I$67)+SUMPRODUCT($AA$68:$AA$70,$I$68:$I$70)+SUMPRODUCT($AA$71:$AA$71,$I$71:$I$71)+SUMPRODUCT($AA$72:$AA$72,$I$72:$I$72)+SUMPRODUCT($AA$73:$AA$74,$I$73:$I$74))</f>
        <v>0</v>
      </c>
      <c r="AB78" s="33"/>
      <c r="AC78" s="33">
        <f>IF(ISERROR(+SUMPRODUCT($AC$5:$AC$8,$I$5:$I$8)+SUMPRODUCT($AC$20:$AC$23,$I$20:$I$23)+SUMPRODUCT($AC$25:$AC$28,$I$25:$I$28)+SUMPRODUCT($AC$29:$AC$31,$I$29:$I$31)+SUMPRODUCT($AC$32:$AC$32,$I$32:$I$32)+SUMPRODUCT($AC$33:$AC$37,$I$33:$I$37)+SUMPRODUCT($AC$38:$AC$39,$I$38:$I$39)+SUMPRODUCT($AC$40:$AC$42,$I$40:$I$42)+SUMPRODUCT($AC$43:$AC$47,$I$43:$I$47)+SUMPRODUCT($AC$48:$AC$52,$I$48:$I$52)+SUMPRODUCT($AC$53:$AC$55,$I$53:$I$55)+SUMPRODUCT($AC$56:$AC$56,$I$56:$I$56)+SUMPRODUCT($AC$57:$AC$59,$I$57:$I$59)+SUMPRODUCT($AC$60:$AC$60,$I$60:$I$60)+SUMPRODUCT($AC$61:$AC$63,$I$61:$I$63)+SUMPRODUCT($AC$64:$AC$64,$I$64:$I$64)+SUMPRODUCT($AC$65:$AC$67,$I$65:$I$67)+SUMPRODUCT($AC$68:$AC$70,$I$68:$I$70)+SUMPRODUCT($AC$71:$AC$71,$I$71:$I$71)+SUMPRODUCT($AC$72:$AC$72,$I$72:$I$72)+SUMPRODUCT($AC$73:$AC$74,$I$73:$I$74)),0,+SUMPRODUCT($AC$5:$AC$8,$I$5:$I$8)+SUMPRODUCT($AC$20:$AC$23,$I$20:$I$23)+SUMPRODUCT($AC$25:$AC$28,$I$25:$I$28)+SUMPRODUCT($AC$29:$AC$31,$I$29:$I$31)+SUMPRODUCT($AC$32:$AC$32,$I$32:$I$32)+SUMPRODUCT($AC$33:$AC$37,$I$33:$I$37)+SUMPRODUCT($AC$38:$AC$39,$I$38:$I$39)+SUMPRODUCT($AC$40:$AC$42,$I$40:$I$42)+SUMPRODUCT($AC$43:$AC$47,$I$43:$I$47)+SUMPRODUCT($AC$48:$AC$52,$I$48:$I$52)+SUMPRODUCT($AC$53:$AC$55,$I$53:$I$55)+SUMPRODUCT($AC$56:$AC$56,$I$56:$I$56)+SUMPRODUCT($AC$57:$AC$59,$I$57:$I$59)+SUMPRODUCT($AC$60:$AC$60,$I$60:$I$60)+SUMPRODUCT($AC$61:$AC$63,$I$61:$I$63)+SUMPRODUCT($AC$64:$AC$64,$I$64:$I$64)+SUMPRODUCT($AC$65:$AC$67,$I$65:$I$67)+SUMPRODUCT($AC$68:$AC$70,$I$68:$I$70)+SUMPRODUCT($AC$71:$AC$71,$I$71:$I$71)+SUMPRODUCT($AC$72:$AC$72,$I$72:$I$72)+SUMPRODUCT($AC$73:$AC$74,$I$73:$I$74))</f>
        <v>250580736.53062567</v>
      </c>
      <c r="AD78" s="33"/>
      <c r="AE78" s="33">
        <f>IF(ISERROR(+SUMPRODUCT($AE$5:$AE$8,$I$5:$I$8)+SUMPRODUCT($AE$20:$AE$23,$I$20:$I$23)+SUMPRODUCT($AE$25:$AE$28,$I$25:$I$28)+SUMPRODUCT($AE$29:$AE$31,$I$29:$I$31)+SUMPRODUCT($AE$32:$AE$32,$I$32:$I$32)+SUMPRODUCT($AE$33:$AE$37,$I$33:$I$37)+SUMPRODUCT($AE$38:$AE$39,$I$38:$I$39)+SUMPRODUCT($AE$40:$AE$42,$I$40:$I$42)+SUMPRODUCT($AE$43:$AE$47,$I$43:$I$47)+SUMPRODUCT($AE$48:$AE$52,$I$48:$I$52)+SUMPRODUCT($AE$53:$AE$55,$I$53:$I$55)+SUMPRODUCT($AE$56:$AE$56,$I$56:$I$56)+SUMPRODUCT($AE$57:$AE$59,$I$57:$I$59)+SUMPRODUCT($AE$60:$AE$60,$I$60:$I$60)+SUMPRODUCT($AE$61:$AE$63,$I$61:$I$63)+SUMPRODUCT($AE$64:$AE$64,$I$64:$I$64)+SUMPRODUCT($AE$65:$AE$67,$I$65:$I$67)+SUMPRODUCT($AE$68:$AE$70,$I$68:$I$70)+SUMPRODUCT($AE$71:$AE$71,$I$71:$I$71)+SUMPRODUCT($AE$72:$AE$72,$I$72:$I$72)+SUMPRODUCT($AE$73:$AE$74,$I$73:$I$74)),0,+SUMPRODUCT($AE$5:$AE$8,$I$5:$I$8)+SUMPRODUCT($AE$20:$AE$23,$I$20:$I$23)+SUMPRODUCT($AE$25:$AE$28,$I$25:$I$28)+SUMPRODUCT($AE$29:$AE$31,$I$29:$I$31)+SUMPRODUCT($AE$32:$AE$32,$I$32:$I$32)+SUMPRODUCT($AE$33:$AE$37,$I$33:$I$37)+SUMPRODUCT($AE$38:$AE$39,$I$38:$I$39)+SUMPRODUCT($AE$40:$AE$42,$I$40:$I$42)+SUMPRODUCT($AE$43:$AE$47,$I$43:$I$47)+SUMPRODUCT($AE$48:$AE$52,$I$48:$I$52)+SUMPRODUCT($AE$53:$AE$55,$I$53:$I$55)+SUMPRODUCT($AE$56:$AE$56,$I$56:$I$56)+SUMPRODUCT($AE$57:$AE$59,$I$57:$I$59)+SUMPRODUCT($AE$60:$AE$60,$I$60:$I$60)+SUMPRODUCT($AE$61:$AE$63,$I$61:$I$63)+SUMPRODUCT($AE$64:$AE$64,$I$64:$I$64)+SUMPRODUCT($AE$65:$AE$67,$I$65:$I$67)+SUMPRODUCT($AE$68:$AE$70,$I$68:$I$70)+SUMPRODUCT($AE$71:$AE$71,$I$71:$I$71)+SUMPRODUCT($AE$72:$AE$72,$I$72:$I$72)+SUMPRODUCT($AE$73:$AE$74,$I$73:$I$74))</f>
        <v>0</v>
      </c>
      <c r="AF78" s="33">
        <f>IF(ISERROR(+SUMPRODUCT($AF$5:$AF$8,$I$5:$I$8)+SUMPRODUCT($AF$20:$AF$23,$I$20:$I$23)+SUMPRODUCT($AF$25:$AF$28,$I$25:$I$28)+SUMPRODUCT($AF$29:$AF$31,$I$29:$I$31)+SUMPRODUCT($AF$32:$AF$32,$I$32:$I$32)+SUMPRODUCT($AF$33:$AF$37,$I$33:$I$37)+SUMPRODUCT($AF$38:$AF$39,$I$38:$I$39)+SUMPRODUCT($AF$40:$AF$42,$I$40:$I$42)+SUMPRODUCT($AF$43:$AF$47,$I$43:$I$47)+SUMPRODUCT($AF$48:$AF$52,$I$48:$I$52)+SUMPRODUCT($AF$53:$AF$55,$I$53:$I$55)+SUMPRODUCT($AF$56:$AF$56,$I$56:$I$56)+SUMPRODUCT($AF$57:$AF$59,$I$57:$I$59)+SUMPRODUCT($AF$60:$AF$60,$I$60:$I$60)+SUMPRODUCT($AF$61:$AF$63,$I$61:$I$63)+SUMPRODUCT($AF$64:$AF$64,$I$64:$I$64)+SUMPRODUCT($AF$65:$AF$67,$I$65:$I$67)+SUMPRODUCT($AF$68:$AF$70,$I$68:$I$70)+SUMPRODUCT($AF$71:$AF$71,$I$71:$I$71)+SUMPRODUCT($AF$72:$AF$72,$I$72:$I$72)+SUMPRODUCT($AF$73:$AF$74,$I$73:$I$74)),0,+SUMPRODUCT($AF$5:$AF$8,$I$5:$I$8)+SUMPRODUCT($AF$20:$AF$23,$I$20:$I$23)+SUMPRODUCT($AF$25:$AF$28,$I$25:$I$28)+SUMPRODUCT($AF$29:$AF$31,$I$29:$I$31)+SUMPRODUCT($AF$32:$AF$32,$I$32:$I$32)+SUMPRODUCT($AF$33:$AF$37,$I$33:$I$37)+SUMPRODUCT($AF$38:$AF$39,$I$38:$I$39)+SUMPRODUCT($AF$40:$AF$42,$I$40:$I$42)+SUMPRODUCT($AF$43:$AF$47,$I$43:$I$47)+SUMPRODUCT($AF$48:$AF$52,$I$48:$I$52)+SUMPRODUCT($AF$53:$AF$55,$I$53:$I$55)+SUMPRODUCT($AF$56:$AF$56,$I$56:$I$56)+SUMPRODUCT($AF$57:$AF$59,$I$57:$I$59)+SUMPRODUCT($AF$60:$AF$60,$I$60:$I$60)+SUMPRODUCT($AF$61:$AF$63,$I$61:$I$63)+SUMPRODUCT($AF$64:$AF$64,$I$64:$I$64)+SUMPRODUCT($AF$65:$AF$67,$I$65:$I$67)+SUMPRODUCT($AF$68:$AF$70,$I$68:$I$70)+SUMPRODUCT($AF$71:$AF$71,$I$71:$I$71)+SUMPRODUCT($AF$72:$AF$72,$I$72:$I$72)+SUMPRODUCT($AF$73:$AF$74,$I$73:$I$74))</f>
        <v>0</v>
      </c>
      <c r="AG78" s="33"/>
      <c r="AH78" s="33">
        <f>IF(ISERROR(+SUMPRODUCT($AH$5:$AH$8,$I$5:$I$8)+SUMPRODUCT($AH$20:$AH$23,$I$20:$I$23)+SUMPRODUCT($AH$25:$AH$28,$I$25:$I$28)+SUMPRODUCT($AH$29:$AH$31,$I$29:$I$31)+SUMPRODUCT($AH$32:$AH$32,$I$32:$I$32)+SUMPRODUCT($AH$33:$AH$37,$I$33:$I$37)+SUMPRODUCT($AH$38:$AH$39,$I$38:$I$39)+SUMPRODUCT($AH$40:$AH$42,$I$40:$I$42)+SUMPRODUCT($AH$43:$AH$47,$I$43:$I$47)+SUMPRODUCT($AH$48:$AH$52,$I$48:$I$52)+SUMPRODUCT($AH$53:$AH$55,$I$53:$I$55)+SUMPRODUCT($AH$56:$AH$56,$I$56:$I$56)+SUMPRODUCT($AH$57:$AH$59,$I$57:$I$59)+SUMPRODUCT($AH$60:$AH$60,$I$60:$I$60)+SUMPRODUCT($AH$61:$AH$63,$I$61:$I$63)+SUMPRODUCT($AH$64:$AH$64,$I$64:$I$64)+SUMPRODUCT($AH$65:$AH$67,$I$65:$I$67)+SUMPRODUCT($AH$68:$AH$70,$I$68:$I$70)+SUMPRODUCT($AH$71:$AH$71,$I$71:$I$71)+SUMPRODUCT($AH$72:$AH$72,$I$72:$I$72)+SUMPRODUCT($AH$73:$AH$74,$I$73:$I$74)),0,+SUMPRODUCT($AH$5:$AH$8,$I$5:$I$8)+SUMPRODUCT($AH$20:$AH$23,$I$20:$I$23)+SUMPRODUCT($AH$25:$AH$28,$I$25:$I$28)+SUMPRODUCT($AH$29:$AH$31,$I$29:$I$31)+SUMPRODUCT($AH$32:$AH$32,$I$32:$I$32)+SUMPRODUCT($AH$33:$AH$37,$I$33:$I$37)+SUMPRODUCT($AH$38:$AH$39,$I$38:$I$39)+SUMPRODUCT($AH$40:$AH$42,$I$40:$I$42)+SUMPRODUCT($AH$43:$AH$47,$I$43:$I$47)+SUMPRODUCT($AH$48:$AH$52,$I$48:$I$52)+SUMPRODUCT($AH$53:$AH$55,$I$53:$I$55)+SUMPRODUCT($AH$56:$AH$56,$I$56:$I$56)+SUMPRODUCT($AH$57:$AH$59,$I$57:$I$59)+SUMPRODUCT($AH$60:$AH$60,$I$60:$I$60)+SUMPRODUCT($AH$61:$AH$63,$I$61:$I$63)+SUMPRODUCT($AH$64:$AH$64,$I$64:$I$64)+SUMPRODUCT($AH$65:$AH$67,$I$65:$I$67)+SUMPRODUCT($AH$68:$AH$70,$I$68:$I$70)+SUMPRODUCT($AH$71:$AH$71,$I$71:$I$71)+SUMPRODUCT($AH$72:$AH$72,$I$72:$I$72)+SUMPRODUCT($AH$73:$AH$74,$I$73:$I$74))</f>
        <v>50852210.236850172</v>
      </c>
      <c r="AI78" s="33">
        <f>IF(ISERROR(+SUMPRODUCT($AI$5:$AI$8,$I$5:$I$8)+SUMPRODUCT($AI$20:$AI$23,$I$20:$I$23)+SUMPRODUCT($AI$25:$AI$28,$I$25:$I$28)+SUMPRODUCT($AI$29:$AI$31,$I$29:$I$31)+SUMPRODUCT($AI$32:$AI$32,$I$32:$I$32)+SUMPRODUCT($AI$33:$AI$37,$I$33:$I$37)+SUMPRODUCT($AI$38:$AI$39,$I$38:$I$39)+SUMPRODUCT($AI$40:$AI$42,$I$40:$I$42)+SUMPRODUCT($AI$43:$AI$47,$I$43:$I$47)+SUMPRODUCT($AI$48:$AI$52,$I$48:$I$52)+SUMPRODUCT($AI$53:$AI$55,$I$53:$I$55)+SUMPRODUCT($AI$56:$AI$56,$I$56:$I$56)+SUMPRODUCT($AI$57:$AI$59,$I$57:$I$59)+SUMPRODUCT($AI$60:$AI$60,$I$60:$I$60)+SUMPRODUCT($AI$61:$AI$63,$I$61:$I$63)+SUMPRODUCT($AI$64:$AI$64,$I$64:$I$64)+SUMPRODUCT($AI$65:$AI$67,$I$65:$I$67)+SUMPRODUCT($AI$68:$AI$70,$I$68:$I$70)+SUMPRODUCT($AI$71:$AI$71,$I$71:$I$71)+SUMPRODUCT($AI$72:$AI$72,$I$72:$I$72)+SUMPRODUCT($AI$73:$AI$74,$I$73:$I$74)),0,+SUMPRODUCT($AI$5:$AI$8,$I$5:$I$8)+SUMPRODUCT($AI$20:$AI$23,$I$20:$I$23)+SUMPRODUCT($AI$25:$AI$28,$I$25:$I$28)+SUMPRODUCT($AI$29:$AI$31,$I$29:$I$31)+SUMPRODUCT($AI$32:$AI$32,$I$32:$I$32)+SUMPRODUCT($AI$33:$AI$37,$I$33:$I$37)+SUMPRODUCT($AI$38:$AI$39,$I$38:$I$39)+SUMPRODUCT($AI$40:$AI$42,$I$40:$I$42)+SUMPRODUCT($AI$43:$AI$47,$I$43:$I$47)+SUMPRODUCT($AI$48:$AI$52,$I$48:$I$52)+SUMPRODUCT($AI$53:$AI$55,$I$53:$I$55)+SUMPRODUCT($AI$56:$AI$56,$I$56:$I$56)+SUMPRODUCT($AI$57:$AI$59,$I$57:$I$59)+SUMPRODUCT($AI$60:$AI$60,$I$60:$I$60)+SUMPRODUCT($AI$61:$AI$63,$I$61:$I$63)+SUMPRODUCT($AI$64:$AI$64,$I$64:$I$64)+SUMPRODUCT($AI$65:$AI$67,$I$65:$I$67)+SUMPRODUCT($AI$68:$AI$70,$I$68:$I$70)+SUMPRODUCT($AI$71:$AI$71,$I$71:$I$71)+SUMPRODUCT($AI$72:$AI$72,$I$72:$I$72)+SUMPRODUCT($AI$73:$AI$74,$I$73:$I$74))</f>
        <v>50850090.866850168</v>
      </c>
      <c r="AJ78" s="33">
        <f ca="1">IF(ISERROR(+SUMPRODUCT($AJ$5:$AJ$8,$I$5:$I$8)+SUMPRODUCT($AJ$20:$AJ$23,$I$20:$I$23)+SUMPRODUCT($AJ$25:$AJ$28,$I$25:$I$28)+SUMPRODUCT($AJ$29:$AJ$31,$I$29:$I$31)+SUMPRODUCT($AJ$32:$AJ$32,$I$32:$I$32)+SUMPRODUCT($AJ$33:$AJ$37,$I$33:$I$37)+SUMPRODUCT($AJ$38:$AJ$39,$I$38:$I$39)+SUMPRODUCT($AJ$40:$AJ$42,$I$40:$I$42)+SUMPRODUCT($AJ$43:$AJ$47,$I$43:$I$47)+SUMPRODUCT($AJ$48:$AJ$52,$I$48:$I$52)+SUMPRODUCT($AJ$53:$AJ$55,$I$53:$I$55)+SUMPRODUCT($AJ$56:$AJ$56,$I$56:$I$56)+SUMPRODUCT($AJ$57:$AJ$59,$I$57:$I$59)+SUMPRODUCT($AJ$60:$AJ$60,$I$60:$I$60)+SUMPRODUCT($AJ$61:$AJ$63,$I$61:$I$63)+SUMPRODUCT($AJ$64:$AJ$64,$I$64:$I$64)+SUMPRODUCT($AJ$65:$AJ$67,$I$65:$I$67)+SUMPRODUCT($AJ$68:$AJ$70,$I$68:$I$70)+SUMPRODUCT($AJ$71:$AJ$71,$I$71:$I$71)+SUMPRODUCT($AJ$72:$AJ$72,$I$72:$I$72)+SUMPRODUCT($AJ$73:$AJ$74,$I$73:$I$74)),0,+SUMPRODUCT($AJ$5:$AJ$8,$I$5:$I$8)+SUMPRODUCT($AJ$20:$AJ$23,$I$20:$I$23)+SUMPRODUCT($AJ$25:$AJ$28,$I$25:$I$28)+SUMPRODUCT($AJ$29:$AJ$31,$I$29:$I$31)+SUMPRODUCT($AJ$32:$AJ$32,$I$32:$I$32)+SUMPRODUCT($AJ$33:$AJ$37,$I$33:$I$37)+SUMPRODUCT($AJ$38:$AJ$39,$I$38:$I$39)+SUMPRODUCT($AJ$40:$AJ$42,$I$40:$I$42)+SUMPRODUCT($AJ$43:$AJ$47,$I$43:$I$47)+SUMPRODUCT($AJ$48:$AJ$52,$I$48:$I$52)+SUMPRODUCT($AJ$53:$AJ$55,$I$53:$I$55)+SUMPRODUCT($AJ$56:$AJ$56,$I$56:$I$56)+SUMPRODUCT($AJ$57:$AJ$59,$I$57:$I$59)+SUMPRODUCT($AJ$60:$AJ$60,$I$60:$I$60)+SUMPRODUCT($AJ$61:$AJ$63,$I$61:$I$63)+SUMPRODUCT($AJ$64:$AJ$64,$I$64:$I$64)+SUMPRODUCT($AJ$65:$AJ$67,$I$65:$I$67)+SUMPRODUCT($AJ$68:$AJ$70,$I$68:$I$70)+SUMPRODUCT($AJ$71:$AJ$71,$I$71:$I$71)+SUMPRODUCT($AJ$72:$AJ$72,$I$72:$I$72)+SUMPRODUCT($AJ$73:$AJ$74,$I$73:$I$74))</f>
        <v>1087160.1299363796</v>
      </c>
      <c r="AK78" s="33">
        <f ca="1">IF(ISERROR(+SUMPRODUCT($AK$5:$AK$8,$I$5:$I$8)+SUMPRODUCT($AK$20:$AK$23,$I$20:$I$23)+SUMPRODUCT($AK$25:$AK$28,$I$25:$I$28)+SUMPRODUCT($AK$29:$AK$31,$I$29:$I$31)+SUMPRODUCT($AK$32:$AK$32,$I$32:$I$32)+SUMPRODUCT($AK$33:$AK$37,$I$33:$I$37)+SUMPRODUCT($AK$38:$AK$39,$I$38:$I$39)+SUMPRODUCT($AK$40:$AK$42,$I$40:$I$42)+SUMPRODUCT($AK$43:$AK$47,$I$43:$I$47)+SUMPRODUCT($AK$48:$AK$52,$I$48:$I$52)+SUMPRODUCT($AK$53:$AK$55,$I$53:$I$55)+SUMPRODUCT($AK$56:$AK$56,$I$56:$I$56)+SUMPRODUCT($AK$57:$AK$59,$I$57:$I$59)+SUMPRODUCT($AK$60:$AK$60,$I$60:$I$60)+SUMPRODUCT($AK$61:$AK$63,$I$61:$I$63)+SUMPRODUCT($AK$64:$AK$64,$I$64:$I$64)+SUMPRODUCT($AK$65:$AK$67,$I$65:$I$67)+SUMPRODUCT($AK$68:$AK$70,$I$68:$I$70)+SUMPRODUCT($AK$71:$AK$71,$I$71:$I$71)+SUMPRODUCT($AK$72:$AK$72,$I$72:$I$72)+SUMPRODUCT($AK$73:$AK$74,$I$73:$I$74)),0,+SUMPRODUCT($AK$5:$AK$8,$I$5:$I$8)+SUMPRODUCT($AK$20:$AK$23,$I$20:$I$23)+SUMPRODUCT($AK$25:$AK$28,$I$25:$I$28)+SUMPRODUCT($AK$29:$AK$31,$I$29:$I$31)+SUMPRODUCT($AK$32:$AK$32,$I$32:$I$32)+SUMPRODUCT($AK$33:$AK$37,$I$33:$I$37)+SUMPRODUCT($AK$38:$AK$39,$I$38:$I$39)+SUMPRODUCT($AK$40:$AK$42,$I$40:$I$42)+SUMPRODUCT($AK$43:$AK$47,$I$43:$I$47)+SUMPRODUCT($AK$48:$AK$52,$I$48:$I$52)+SUMPRODUCT($AK$53:$AK$55,$I$53:$I$55)+SUMPRODUCT($AK$56:$AK$56,$I$56:$I$56)+SUMPRODUCT($AK$57:$AK$59,$I$57:$I$59)+SUMPRODUCT($AK$60:$AK$60,$I$60:$I$60)+SUMPRODUCT($AK$61:$AK$63,$I$61:$I$63)+SUMPRODUCT($AK$64:$AK$64,$I$64:$I$64)+SUMPRODUCT($AK$65:$AK$67,$I$65:$I$67)+SUMPRODUCT($AK$68:$AK$70,$I$68:$I$70)+SUMPRODUCT($AK$71:$AK$71,$I$71:$I$71)+SUMPRODUCT($AK$72:$AK$72,$I$72:$I$72)+SUMPRODUCT($AK$73:$AK$74,$I$73:$I$74))</f>
        <v>1087160.1299363796</v>
      </c>
      <c r="AL78" s="33"/>
      <c r="AM78" s="33"/>
    </row>
    <row r="79" spans="1:42" ht="11.25" customHeight="1" x14ac:dyDescent="0.25">
      <c r="K79" s="30" t="s">
        <v>992</v>
      </c>
      <c r="L79" s="33">
        <f>CUSTOS!$D$2</f>
        <v>7798736.2537669456</v>
      </c>
      <c r="M79" s="33">
        <f>CUSTOS!$D$3</f>
        <v>1389993.181679629</v>
      </c>
      <c r="N79" s="33">
        <f>CUSTOS!$D$4</f>
        <v>4932534.9922433579</v>
      </c>
      <c r="O79" s="33">
        <f>CUSTOS!$D$5</f>
        <v>0</v>
      </c>
      <c r="P79" s="33">
        <f>CUSTOS!$D$6</f>
        <v>0</v>
      </c>
      <c r="Q79" s="33">
        <f>CUSTOS!$D$7</f>
        <v>117442763.25632352</v>
      </c>
      <c r="R79" s="33">
        <f>CUSTOS!$D$8</f>
        <v>20367331.420126051</v>
      </c>
      <c r="S79" s="33">
        <f>CUSTOS!$D$9</f>
        <v>0</v>
      </c>
      <c r="T79" s="33">
        <f>CUSTOS!$D$10</f>
        <v>151931359.10413951</v>
      </c>
      <c r="U79" s="33">
        <f>CUSTOS!$D$11</f>
        <v>18011682</v>
      </c>
      <c r="V79" s="33">
        <f>IF(SUM(V76:V78)&lt;&gt;0,CUSTOS!$D$12+CUSTOS!$D$16+CUSTOS!$D$17-'TR TUSD'!$Z$77-'TR TUSD'!$AA$77,0)</f>
        <v>4234910.4774000002</v>
      </c>
      <c r="W79" s="33">
        <f>CUSTOS!$D$13</f>
        <v>0</v>
      </c>
      <c r="X79" s="33">
        <f>CUSTOS!$D$14</f>
        <v>0</v>
      </c>
      <c r="Y79" s="33">
        <f>IF(SUM(V76:V78)=0,CUSTOS!$D$15+CUSTOS!$D$16+CUSTOS!$D$17-'TR TUSD'!$Z$77-'TR TUSD'!$AA$77,CUSTOS!$D$15)</f>
        <v>77840815.248234794</v>
      </c>
      <c r="Z79" s="33">
        <f>Z77</f>
        <v>0</v>
      </c>
      <c r="AA79" s="33">
        <f>AA77</f>
        <v>583651.36259999999</v>
      </c>
      <c r="AB79" s="33">
        <f>CUSTOS!$D$18</f>
        <v>100671059.0882348</v>
      </c>
      <c r="AC79" s="33">
        <f>CUSTOS!$D$19</f>
        <v>291198452.27662063</v>
      </c>
      <c r="AD79" s="33">
        <f>CUSTOS!$D$20</f>
        <v>291198452.27662063</v>
      </c>
      <c r="AE79" s="33">
        <f>CUSTOS!$D$21</f>
        <v>0</v>
      </c>
      <c r="AF79" s="33">
        <f>CUSTOS!$D$22</f>
        <v>0</v>
      </c>
      <c r="AG79" s="33">
        <f>CUSTOS!$D$23</f>
        <v>0</v>
      </c>
      <c r="AH79" s="33">
        <f>CUSTOS!$D$24</f>
        <v>54327164.24373433</v>
      </c>
      <c r="AI79" s="33">
        <f>CUSTOS!$D$25</f>
        <v>262678.2045002667</v>
      </c>
      <c r="AJ79" s="33">
        <f>CUSTOS!$D$26</f>
        <v>1115771.7135920627</v>
      </c>
      <c r="AK79" s="33">
        <f>CUSTOS!$D$27</f>
        <v>6685467.4646079298</v>
      </c>
      <c r="AL79" s="33">
        <f>CUSTOS!$D$28</f>
        <v>62391081.626434587</v>
      </c>
      <c r="AM79" s="33">
        <f>CUSTOS!$D$29</f>
        <v>606191952.09542942</v>
      </c>
    </row>
    <row r="80" spans="1:42" ht="11.25" customHeight="1" x14ac:dyDescent="0.25">
      <c r="K80" s="30" t="s">
        <v>993</v>
      </c>
      <c r="L80" s="33">
        <f>CUSTOS!$E$2</f>
        <v>-5390757.8840866573</v>
      </c>
      <c r="M80" s="33">
        <f>CUSTOS!$E$3</f>
        <v>29343.007811108968</v>
      </c>
      <c r="N80" s="33">
        <f>CUSTOS!$E$4</f>
        <v>-2.8011271029698053</v>
      </c>
      <c r="O80" s="33">
        <f>CUSTOS!$E$5</f>
        <v>0</v>
      </c>
      <c r="P80" s="33">
        <f>CUSTOS!$E$6</f>
        <v>0</v>
      </c>
      <c r="Q80" s="33">
        <f>CUSTOS!$E$7</f>
        <v>2820715.4778494239</v>
      </c>
      <c r="R80" s="33">
        <f>CUSTOS!$E$8</f>
        <v>441880.26996036107</v>
      </c>
      <c r="S80" s="33">
        <f>CUSTOS!$E$9</f>
        <v>0</v>
      </c>
      <c r="T80" s="33">
        <f>CUSTOS!$E$10</f>
        <v>-2098821.9295928669</v>
      </c>
      <c r="U80" s="33">
        <f>CUSTOS!$E$11</f>
        <v>4697441.1676554838</v>
      </c>
      <c r="V80" s="33">
        <f>CUSTOS!$E$12</f>
        <v>-38079.856863334833</v>
      </c>
      <c r="W80" s="33">
        <f>CUSTOS!$E$13</f>
        <v>0</v>
      </c>
      <c r="X80" s="33">
        <f>CUSTOS!$E$14</f>
        <v>0</v>
      </c>
      <c r="Y80" s="33">
        <f>CUSTOS!$E$15</f>
        <v>1899093.1074773462</v>
      </c>
      <c r="Z80" s="33">
        <f>CUSTOS!$E$16</f>
        <v>0</v>
      </c>
      <c r="AA80" s="33">
        <f>CUSTOS!$E$17</f>
        <v>-5686.8063288253252</v>
      </c>
      <c r="AB80" s="33">
        <f>CUSTOS!$E$18</f>
        <v>6552767.6119406698</v>
      </c>
      <c r="AC80" s="33">
        <f>CUSTOS!$E$19</f>
        <v>-119.03127275816443</v>
      </c>
      <c r="AD80" s="33">
        <f>CUSTOS!$E$20</f>
        <v>-119.03127275816443</v>
      </c>
      <c r="AE80" s="33">
        <f>CUSTOS!$E$21</f>
        <v>0</v>
      </c>
      <c r="AF80" s="33">
        <f>CUSTOS!$E$22</f>
        <v>0</v>
      </c>
      <c r="AG80" s="33">
        <f>CUSTOS!$E$23</f>
        <v>0</v>
      </c>
      <c r="AH80" s="33">
        <f>CUSTOS!$E$24</f>
        <v>-5033299.8837107383</v>
      </c>
      <c r="AI80" s="33">
        <f>CUSTOS!$E$25</f>
        <v>-24336.594677257111</v>
      </c>
      <c r="AJ80" s="33">
        <f>CUSTOS!$E$26</f>
        <v>-103373.9514007188</v>
      </c>
      <c r="AK80" s="33">
        <f>CUSTOS!$E$27</f>
        <v>313395.54827799276</v>
      </c>
      <c r="AL80" s="33">
        <f>CUSTOS!$E$28</f>
        <v>-4847614.8815107215</v>
      </c>
      <c r="AM80" s="33">
        <f>CUSTOS!$E$29</f>
        <v>-393788.23043567687</v>
      </c>
    </row>
    <row r="81" spans="11:39" ht="11.25" customHeight="1" x14ac:dyDescent="0.25">
      <c r="K81" s="30" t="s">
        <v>994</v>
      </c>
      <c r="L81" s="33">
        <f>CUSTOS!$F$2</f>
        <v>523607.77271502389</v>
      </c>
      <c r="M81" s="33">
        <f>CUSTOS!$F$3</f>
        <v>0</v>
      </c>
      <c r="N81" s="33">
        <f>CUSTOS!$F$4</f>
        <v>0</v>
      </c>
      <c r="O81" s="33">
        <f>CUSTOS!$F$5</f>
        <v>0</v>
      </c>
      <c r="P81" s="33">
        <f>CUSTOS!$F$6</f>
        <v>0</v>
      </c>
      <c r="Q81" s="33">
        <f>CUSTOS!$F$7</f>
        <v>14168345.274700001</v>
      </c>
      <c r="R81" s="33">
        <f>CUSTOS!$F$8</f>
        <v>3923758.0709000002</v>
      </c>
      <c r="S81" s="33">
        <f>CUSTOS!$F$9</f>
        <v>0</v>
      </c>
      <c r="T81" s="33">
        <f>CUSTOS!$F$10</f>
        <v>18615711.118315026</v>
      </c>
      <c r="U81" s="33">
        <f>CUSTOS!$F$11</f>
        <v>1002313.1581036572</v>
      </c>
      <c r="V81" s="33">
        <f>CUSTOS!$F$12</f>
        <v>238855.57609935154</v>
      </c>
      <c r="W81" s="33">
        <f>CUSTOS!$F$13</f>
        <v>0</v>
      </c>
      <c r="X81" s="33">
        <f>CUSTOS!$F$14</f>
        <v>0</v>
      </c>
      <c r="Y81" s="33">
        <f>CUSTOS!$F$15</f>
        <v>0</v>
      </c>
      <c r="Z81" s="33">
        <f>CUSTOS!$F$16</f>
        <v>0</v>
      </c>
      <c r="AA81" s="33">
        <f>CUSTOS!$F$17</f>
        <v>29287.506560456131</v>
      </c>
      <c r="AB81" s="33">
        <f>CUSTOS!$F$18</f>
        <v>1270456.2407634649</v>
      </c>
      <c r="AC81" s="33">
        <f>CUSTOS!$F$19</f>
        <v>0</v>
      </c>
      <c r="AD81" s="33">
        <f>CUSTOS!$F$20</f>
        <v>0</v>
      </c>
      <c r="AE81" s="33">
        <f>CUSTOS!$F$21</f>
        <v>0</v>
      </c>
      <c r="AF81" s="33">
        <f>CUSTOS!$F$22</f>
        <v>0</v>
      </c>
      <c r="AG81" s="33">
        <f>CUSTOS!$F$23</f>
        <v>0</v>
      </c>
      <c r="AH81" s="33">
        <f>CUSTOS!$F$24</f>
        <v>3608574.2876171432</v>
      </c>
      <c r="AI81" s="33">
        <f>CUSTOS!$F$25</f>
        <v>17447.879488508785</v>
      </c>
      <c r="AJ81" s="33">
        <f>CUSTOS!$F$26</f>
        <v>74112.926241741094</v>
      </c>
      <c r="AK81" s="33">
        <f>CUSTOS!$F$27</f>
        <v>0</v>
      </c>
      <c r="AL81" s="33">
        <f>CUSTOS!$F$28</f>
        <v>3700135.093347393</v>
      </c>
      <c r="AM81" s="33">
        <f>CUSTOS!$F$29</f>
        <v>23586302.452425882</v>
      </c>
    </row>
    <row r="82" spans="11:39" ht="11.25" customHeight="1" x14ac:dyDescent="0.25">
      <c r="K82" s="30" t="s">
        <v>1046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/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/>
      <c r="AC82" s="33">
        <v>0</v>
      </c>
      <c r="AD82" s="33"/>
      <c r="AE82" s="33">
        <v>0</v>
      </c>
      <c r="AF82" s="33">
        <v>0</v>
      </c>
      <c r="AG82" s="33"/>
      <c r="AH82" s="33">
        <v>0</v>
      </c>
      <c r="AI82" s="33">
        <v>0</v>
      </c>
      <c r="AJ82" s="33">
        <v>0</v>
      </c>
      <c r="AK82" s="33">
        <v>0</v>
      </c>
      <c r="AL82" s="33"/>
      <c r="AM82" s="33"/>
    </row>
    <row r="83" spans="11:39" ht="11.25" customHeight="1" x14ac:dyDescent="0.25">
      <c r="K83" s="30" t="s">
        <v>1047</v>
      </c>
      <c r="L83" s="33">
        <f t="shared" ref="L83:S83" si="3">IF((L78+L76)&lt;&gt;0,(L79-L77-L82)/(L78+L76),0)</f>
        <v>6.2040073469118227</v>
      </c>
      <c r="M83" s="33">
        <f t="shared" si="3"/>
        <v>0.82428885034423971</v>
      </c>
      <c r="N83" s="33">
        <f t="shared" ca="1" si="3"/>
        <v>1.1658559014861301</v>
      </c>
      <c r="O83" s="33">
        <f t="shared" si="3"/>
        <v>-5.032809553728302E-3</v>
      </c>
      <c r="P83" s="33">
        <f t="shared" si="3"/>
        <v>0</v>
      </c>
      <c r="Q83" s="33">
        <f t="shared" si="3"/>
        <v>93.427414695800351</v>
      </c>
      <c r="R83" s="33">
        <f t="shared" si="3"/>
        <v>14.902150200061627</v>
      </c>
      <c r="S83" s="33">
        <f t="shared" si="3"/>
        <v>0</v>
      </c>
      <c r="T83" s="33"/>
      <c r="U83" s="33">
        <f>IF(U78&lt;&gt;0,(U79-U77-U76-U82)/U78,0)</f>
        <v>0.88355628846926881</v>
      </c>
      <c r="V83" s="33">
        <f>IF(V78&lt;&gt;0,(V79-V77-V76-V82)/V78,0)</f>
        <v>9.7059034167825631E-2</v>
      </c>
      <c r="W83" s="33">
        <f>IF(W78&lt;&gt;0,(W79-W77-W76-W82)/W78,0)</f>
        <v>0</v>
      </c>
      <c r="X83" s="33">
        <f>IF(X78&lt;&gt;0,(X79-X77-X76-X82)/X78,0)</f>
        <v>0</v>
      </c>
      <c r="Y83" s="33">
        <f>IF(Y78&lt;&gt;0,(Y79-Y77-Y76-Y82)/Y78,0)</f>
        <v>1.1429565150738681</v>
      </c>
      <c r="Z83" s="33"/>
      <c r="AA83" s="33"/>
      <c r="AB83" s="33"/>
      <c r="AC83" s="33">
        <f>IF(AC78&lt;&gt;0,(AC79-AC77-AC76-AC82)/AC78,0)</f>
        <v>1.1118813103805103</v>
      </c>
      <c r="AD83" s="33"/>
      <c r="AE83" s="33">
        <f>IF((AE78+AE76)&lt;&gt;0,(AE79-AE77-AE82)/(AE78+AE76),0)</f>
        <v>0</v>
      </c>
      <c r="AF83" s="33">
        <f>IF((AF78+AF76)&lt;&gt;0,(AF79-AF77-AF82)/(AF78+AF76),0)</f>
        <v>0</v>
      </c>
      <c r="AG83" s="33"/>
      <c r="AH83" s="33">
        <f>IF(AH78&lt;&gt;0,(AH79-AH77-AH76-AH82)/AH78,0)</f>
        <v>1.0562274573497481</v>
      </c>
      <c r="AI83" s="33">
        <f>IF(AI78&lt;&gt;0,(AI79-AI77-AI76-AI82)/AI78,0)</f>
        <v>2.3452513607411548E-3</v>
      </c>
      <c r="AJ83" s="33">
        <f ca="1">IF((AJ78+AJ76)&lt;&gt;0,(AJ79-AJ77-AJ82)/(AJ78+AJ76),0)</f>
        <v>1.0263177271386483</v>
      </c>
      <c r="AK83" s="33">
        <f ca="1">IF((AK78+AK76)&lt;&gt;0,(AK79-AK77-AK82)/(AK78+AK76),0)</f>
        <v>6.1494781500119604</v>
      </c>
      <c r="AL83" s="33"/>
      <c r="AM83" s="33"/>
    </row>
    <row r="85" spans="11:39" ht="11.25" customHeight="1" x14ac:dyDescent="0.25">
      <c r="K85" s="42" t="s">
        <v>1625</v>
      </c>
      <c r="L85" s="42" t="s">
        <v>1626</v>
      </c>
      <c r="M85" s="42" t="s">
        <v>1627</v>
      </c>
      <c r="N85" s="42" t="s">
        <v>1628</v>
      </c>
      <c r="O85" s="42" t="s">
        <v>1629</v>
      </c>
      <c r="P85" s="42" t="s">
        <v>1630</v>
      </c>
    </row>
    <row r="86" spans="11:39" ht="11.25" customHeight="1" x14ac:dyDescent="0.25">
      <c r="K86" s="36" t="s">
        <v>59</v>
      </c>
      <c r="L86" s="36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5735316.2403068189</v>
      </c>
      <c r="M86" s="36">
        <f>+'TUSD BE'!$I$7+'TUSD BE'!$I$8</f>
        <v>34867.285000000003</v>
      </c>
      <c r="N86" s="36">
        <f ca="1">IF(AND($L$95&lt;&gt;0,M86&lt;&gt;0),(L86/$L$95*$AJ$79)/M86,0)</f>
        <v>0.32902793451246704</v>
      </c>
      <c r="O86" s="36"/>
      <c r="P86" s="36"/>
    </row>
    <row r="87" spans="11:39" ht="11.25" customHeight="1" x14ac:dyDescent="0.25">
      <c r="K87" s="36" t="s">
        <v>39</v>
      </c>
      <c r="L87" s="36">
        <f ca="1">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</f>
        <v>15918462.903028548</v>
      </c>
      <c r="M87" s="36">
        <f>+'TUSD BE'!$I$22+'TUSD BE'!$I$23</f>
        <v>99874.462</v>
      </c>
      <c r="N87" s="36">
        <f ca="1">IF(AND($L$95&lt;&gt;0,M87&lt;&gt;0),(L87/$L$95*$AJ$79)/M87,0)</f>
        <v>0.31881607445532328</v>
      </c>
      <c r="O87" s="36"/>
      <c r="P87" s="36"/>
    </row>
    <row r="88" spans="11:39" ht="11.25" customHeight="1" x14ac:dyDescent="0.25">
      <c r="K88" s="36" t="s">
        <v>41</v>
      </c>
      <c r="L88" s="36">
        <f ca="1">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</f>
        <v>137293552.67639631</v>
      </c>
      <c r="M88" s="36">
        <f>+'TUSD BE'!$I$27+'TUSD BE'!$I$28+'TUSD BE'!$I$34+'TUSD BE'!$I$35+'TUSD BE'!$I$36+'TUSD BE'!$I$37</f>
        <v>376630.42700000003</v>
      </c>
      <c r="N88" s="36">
        <f ca="1">IF(AND($L$95&lt;&gt;0,M88&lt;&gt;0),(L88/$L$95*$AJ$79)/M88,0)</f>
        <v>0.72916912948532975</v>
      </c>
      <c r="O88" s="36"/>
      <c r="P88" s="36"/>
    </row>
    <row r="89" spans="11:39" ht="11.25" customHeight="1" x14ac:dyDescent="0.25">
      <c r="K89" s="36" t="s">
        <v>125</v>
      </c>
      <c r="L89" s="36">
        <f ca="1">+$L$90+$L$91+$L$92+$L$93+$L$94</f>
        <v>398856911.8226037</v>
      </c>
      <c r="M89" s="36">
        <f>+$M$90+$M$91+$M$92+$M$93+$M$94</f>
        <v>1037866.192</v>
      </c>
      <c r="N89" s="36">
        <f ca="1">IF(AND($L$95&lt;&gt;0,M89&lt;&gt;0),(L89/$L$95*$AJ$79)/M89,0)</f>
        <v>0.76872196480603727</v>
      </c>
      <c r="O89" s="36"/>
      <c r="P89" s="36"/>
    </row>
    <row r="90" spans="11:39" ht="11.25" customHeight="1" x14ac:dyDescent="0.25">
      <c r="K90" s="36" t="s">
        <v>125</v>
      </c>
      <c r="L90" s="36"/>
      <c r="M90" s="36"/>
      <c r="N90" s="36">
        <f ca="1">IF(AND($L$95&lt;&gt;0,M90&lt;&gt;0),(L90/$L$95*$AJ$79)/M90,0)</f>
        <v>0</v>
      </c>
      <c r="O90" s="36"/>
      <c r="P90" s="36"/>
    </row>
    <row r="91" spans="11:39" ht="11.25" customHeight="1" x14ac:dyDescent="0.25">
      <c r="K91" s="36" t="s">
        <v>22</v>
      </c>
      <c r="L91" s="36">
        <f ca="1">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</f>
        <v>219112698.34562758</v>
      </c>
      <c r="M91" s="36">
        <f>+'TUSD BE'!$I$40+'TUSD BE'!$I$41+'TUSD BE'!$I$42+'TUSD BE'!$I$43+'TUSD BE'!$I$44+'TUSD BE'!$I$45+'TUSD BE'!$I$46+'TUSD BE'!$I$47+'TUSD BE'!$I$48+'TUSD BE'!$I$49+'TUSD BE'!$I$50+'TUSD BE'!$I$51+'TUSD BE'!$I$52</f>
        <v>567210.70799999998</v>
      </c>
      <c r="N91" s="36"/>
      <c r="O91" s="36"/>
      <c r="P91" s="36"/>
    </row>
    <row r="92" spans="11:39" ht="11.25" customHeight="1" x14ac:dyDescent="0.25">
      <c r="K92" s="36" t="s">
        <v>44</v>
      </c>
      <c r="L92" s="36">
        <f ca="1">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BE'!$I$65+(+'TUSD BE'!$L$66+'TUSD BE'!$M$66+'TUSD BE'!$N$66+'TUSD BE'!$O$66+'TUSD BE'!$P$66+'TUSD BE'!$Q$66+'TUSD BE'!$R$66+'TUSD BE'!$S$66+'TUSD BE'!$U$66+'TUSD BE'!$V$66+'TUSD BE'!$W$66+'TUSD BE'!$X$66+'TUSD BE'!$Y$66+'TUSD BE'!$Z$66+'TUSD BE'!$AA$66+'TUSD BE'!$AC$66+'TUSD BE'!$AH$66+'TUSD BE'!$AI$66)*'TUSD BE'!$I$66+(+'TUSD BE'!$L$67+'TUSD BE'!$M$67+'TUSD BE'!$N$67+'TUSD BE'!$O$67+'TUSD BE'!$P$67+'TUSD BE'!$Q$67+'TUSD BE'!$R$67+'TUSD BE'!$S$67+'TUSD BE'!$U$67+'TUSD BE'!$V$67+'TUSD BE'!$W$67+'TUSD BE'!$X$67+'TUSD BE'!$Y$67+'TUSD BE'!$Z$67+'TUSD BE'!$AA$67+'TUSD BE'!$AC$67+'TUSD BE'!$AH$67+'TUSD BE'!$AI$67)*'TUSD BE'!$I$67</f>
        <v>66697729.628659874</v>
      </c>
      <c r="M92" s="36">
        <f>+'TUSD BE'!$I$53+'TUSD BE'!$I$54+'TUSD BE'!$I$55+'TUSD BE'!$I$56+'TUSD BE'!$I$57+'TUSD BE'!$I$58+'TUSD BE'!$I$59+'TUSD BE'!$I$60+'TUSD BE'!$I$61+'TUSD BE'!$I$62+'TUSD BE'!$I$63+'TUSD BE'!$I$64+'TUSD BE'!$I$65+'TUSD BE'!$I$66+'TUSD BE'!$I$67</f>
        <v>160832.55399999997</v>
      </c>
      <c r="N92" s="36"/>
      <c r="O92" s="36"/>
      <c r="P92" s="36"/>
    </row>
    <row r="93" spans="11:39" ht="11.25" customHeight="1" x14ac:dyDescent="0.25">
      <c r="K93" s="36" t="s">
        <v>37</v>
      </c>
      <c r="L93" s="36">
        <f ca="1">+(+'TUSD BE'!$L$68+'TUSD BE'!$M$68+'TUSD BE'!$N$68+'TUSD BE'!$O$68+'TUSD BE'!$P$68+'TUSD BE'!$Q$68+'TUSD BE'!$R$68+'TUSD BE'!$S$68+'TUSD BE'!$U$68+'TUSD BE'!$V$68+'TUSD BE'!$W$68+'TUSD BE'!$X$68+'TUSD BE'!$Y$68+'TUSD BE'!$Z$68+'TUSD BE'!$AA$68+'TUSD BE'!$AC$68+'TUSD BE'!$AH$68+'TUSD BE'!$AI$68)*'TUSD BE'!$I$68+(+'TUSD BE'!$L$69+'TUSD BE'!$M$69+'TUSD BE'!$N$69+'TUSD BE'!$O$69+'TUSD BE'!$P$69+'TUSD BE'!$Q$69+'TUSD BE'!$R$69+'TUSD BE'!$S$69+'TUSD BE'!$U$69+'TUSD BE'!$V$69+'TUSD BE'!$W$69+'TUSD BE'!$X$69+'TUSD BE'!$Y$69+'TUSD BE'!$Z$69+'TUSD BE'!$AA$69+'TUSD BE'!$AC$69+'TUSD BE'!$AH$69+'TUSD BE'!$AI$69)*'TUSD BE'!$I$69+(+'TUSD BE'!$L$70+'TUSD BE'!$M$70+'TUSD BE'!$N$70+'TUSD BE'!$O$70+'TUSD BE'!$P$70+'TUSD BE'!$Q$70+'TUSD BE'!$R$70+'TUSD BE'!$S$70+'TUSD BE'!$U$70+'TUSD BE'!$V$70+'TUSD BE'!$W$70+'TUSD BE'!$X$70+'TUSD BE'!$Y$70+'TUSD BE'!$Z$70+'TUSD BE'!$AA$70+'TUSD BE'!$AC$70+'TUSD BE'!$AH$70+'TUSD BE'!$AI$70)*'TUSD BE'!$I$70+(+'TUSD BE'!$L$71+'TUSD BE'!$M$71+'TUSD BE'!$N$71+'TUSD BE'!$O$71+'TUSD BE'!$P$71+'TUSD BE'!$Q$71+'TUSD BE'!$R$71+'TUSD BE'!$S$71+'TUSD BE'!$U$71+'TUSD BE'!$V$71+'TUSD BE'!$W$71+'TUSD BE'!$X$71+'TUSD BE'!$Y$71+'TUSD BE'!$Z$71+'TUSD BE'!$AA$71+'TUSD BE'!$AC$71+'TUSD BE'!$AH$71+'TUSD BE'!$AI$71)*'TUSD BE'!$I$71+(+'TUSD BE'!$L$72+'TUSD BE'!$M$72+'TUSD BE'!$N$72+'TUSD BE'!$O$72+'TUSD BE'!$P$72+'TUSD BE'!$Q$72+'TUSD BE'!$R$72+'TUSD BE'!$S$72+'TUSD BE'!$U$72+'TUSD BE'!$V$72+'TUSD BE'!$W$72+'TUSD BE'!$X$72+'TUSD BE'!$Y$72+'TUSD BE'!$Z$72+'TUSD BE'!$AA$72+'TUSD BE'!$AC$72+'TUSD BE'!$AH$72+'TUSD BE'!$AI$72)*'TUSD BE'!$I$72</f>
        <v>94108513.528173491</v>
      </c>
      <c r="M93" s="36">
        <f>+'TUSD BE'!$I$68+'TUSD BE'!$I$69+'TUSD BE'!$I$70+'TUSD BE'!$I$71+'TUSD BE'!$I$72</f>
        <v>226937.08900000001</v>
      </c>
      <c r="N93" s="36"/>
      <c r="O93" s="36"/>
      <c r="P93" s="36"/>
    </row>
    <row r="94" spans="11:39" ht="11.25" customHeight="1" x14ac:dyDescent="0.25">
      <c r="K94" s="36" t="s">
        <v>47</v>
      </c>
      <c r="L94" s="36">
        <f ca="1">+(+'TUSD BE'!$L$73+'TUSD BE'!$M$73+'TUSD BE'!$N$73+'TUSD BE'!$O$73+'TUSD BE'!$P$73+'TUSD BE'!$Q$73+'TUSD BE'!$R$73+'TUSD BE'!$S$73+'TUSD BE'!$U$73+'TUSD BE'!$V$73+'TUSD BE'!$W$73+'TUSD BE'!$X$73+'TUSD BE'!$Y$73+'TUSD BE'!$Z$73+'TUSD BE'!$AA$73+'TUSD BE'!$AC$73+'TUSD BE'!$AH$73+'TUSD BE'!$AI$73)*'TUSD BE'!$I$73+(+'TUSD BE'!$L$74+'TUSD BE'!$M$74+'TUSD BE'!$N$74+'TUSD BE'!$O$74+'TUSD BE'!$P$74+'TUSD BE'!$Q$74+'TUSD BE'!$R$74+'TUSD BE'!$S$74+'TUSD BE'!$U$74+'TUSD BE'!$V$74+'TUSD BE'!$W$74+'TUSD BE'!$X$74+'TUSD BE'!$Y$74+'TUSD BE'!$Z$74+'TUSD BE'!$AA$74+'TUSD BE'!$AC$74+'TUSD BE'!$AH$74+'TUSD BE'!$AI$74)*'TUSD BE'!$I$74</f>
        <v>18937970.320142765</v>
      </c>
      <c r="M94" s="36">
        <f>+'TUSD BE'!$I$73+'TUSD BE'!$I$74</f>
        <v>82885.840999999986</v>
      </c>
      <c r="N94" s="36"/>
      <c r="O94" s="36"/>
      <c r="P94" s="36"/>
    </row>
    <row r="95" spans="11:39" ht="11.25" customHeight="1" x14ac:dyDescent="0.25">
      <c r="K95" s="36"/>
      <c r="L95" s="36">
        <f ca="1">SUM($L$86:$L$94,-$L$89)</f>
        <v>557804243.6423353</v>
      </c>
      <c r="M95" s="36">
        <f>SUM($M$86:$M$94,-$M$89)</f>
        <v>1549238.3660000002</v>
      </c>
      <c r="N95" s="36"/>
      <c r="O95" s="36"/>
      <c r="P95" s="36"/>
    </row>
  </sheetData>
  <mergeCells count="94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68:E70"/>
    <mergeCell ref="F68:F70"/>
    <mergeCell ref="A73:A74"/>
    <mergeCell ref="B73:B74"/>
    <mergeCell ref="C73:C74"/>
    <mergeCell ref="B65:B67"/>
    <mergeCell ref="C65:C67"/>
    <mergeCell ref="A68:A72"/>
    <mergeCell ref="B68:B70"/>
    <mergeCell ref="C68:C70"/>
    <mergeCell ref="D68:D70"/>
    <mergeCell ref="F57:F59"/>
    <mergeCell ref="B61:B63"/>
    <mergeCell ref="C61:C63"/>
    <mergeCell ref="D61:D63"/>
    <mergeCell ref="E61:E63"/>
    <mergeCell ref="F61:F63"/>
    <mergeCell ref="A53:A67"/>
    <mergeCell ref="B53:B55"/>
    <mergeCell ref="C53:C55"/>
    <mergeCell ref="D53:D55"/>
    <mergeCell ref="E53:E55"/>
    <mergeCell ref="F53:F55"/>
    <mergeCell ref="B57:B59"/>
    <mergeCell ref="C57:C59"/>
    <mergeCell ref="D57:D59"/>
    <mergeCell ref="E57:E59"/>
    <mergeCell ref="F40:F42"/>
    <mergeCell ref="B43:B47"/>
    <mergeCell ref="C43:C47"/>
    <mergeCell ref="B48:B52"/>
    <mergeCell ref="C48:C52"/>
    <mergeCell ref="A40:A52"/>
    <mergeCell ref="B40:B42"/>
    <mergeCell ref="C40:C42"/>
    <mergeCell ref="D40:D42"/>
    <mergeCell ref="E40:E42"/>
    <mergeCell ref="F33:F35"/>
    <mergeCell ref="E36:E37"/>
    <mergeCell ref="F36:F37"/>
    <mergeCell ref="A38:A39"/>
    <mergeCell ref="B38:B39"/>
    <mergeCell ref="C38:C39"/>
    <mergeCell ref="D38:D39"/>
    <mergeCell ref="A25:A37"/>
    <mergeCell ref="B25:B28"/>
    <mergeCell ref="C25:C28"/>
    <mergeCell ref="D25:D28"/>
    <mergeCell ref="E25:E27"/>
    <mergeCell ref="B33:B37"/>
    <mergeCell ref="C33:C37"/>
    <mergeCell ref="D33:D37"/>
    <mergeCell ref="E33:E35"/>
    <mergeCell ref="F25:F27"/>
    <mergeCell ref="B29:B31"/>
    <mergeCell ref="C29:C31"/>
    <mergeCell ref="D29:D31"/>
    <mergeCell ref="E29:E31"/>
    <mergeCell ref="F29:F31"/>
    <mergeCell ref="F20:F22"/>
    <mergeCell ref="A5:A19"/>
    <mergeCell ref="B5:B8"/>
    <mergeCell ref="C5:C8"/>
    <mergeCell ref="D5:D8"/>
    <mergeCell ref="E5:E7"/>
    <mergeCell ref="F5:F7"/>
    <mergeCell ref="B9:B19"/>
    <mergeCell ref="C9:C19"/>
    <mergeCell ref="D9:D19"/>
    <mergeCell ref="E9:E19"/>
    <mergeCell ref="A20:A24"/>
    <mergeCell ref="B20:B23"/>
    <mergeCell ref="C20:C23"/>
    <mergeCell ref="D20:D23"/>
    <mergeCell ref="E20:E2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2593-3711-4AF0-A622-95E4A1BC6074}">
  <dimension ref="A1:AP81"/>
  <sheetViews>
    <sheetView showGridLines="0" topLeftCell="W63" workbookViewId="0">
      <selection activeCell="AM76" sqref="AM7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26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570312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0" width="11.7109375" style="9" bestFit="1" customWidth="1"/>
    <col min="21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8" t="s">
        <v>107</v>
      </c>
      <c r="B1" s="118" t="s">
        <v>108</v>
      </c>
      <c r="C1" s="118" t="s">
        <v>109</v>
      </c>
      <c r="D1" s="118" t="s">
        <v>110</v>
      </c>
      <c r="E1" s="118" t="s">
        <v>111</v>
      </c>
      <c r="F1" s="118" t="s">
        <v>15</v>
      </c>
      <c r="G1" s="118" t="s">
        <v>113</v>
      </c>
      <c r="H1" s="118" t="s">
        <v>114</v>
      </c>
      <c r="I1" s="118" t="s">
        <v>1040</v>
      </c>
      <c r="J1" s="114"/>
      <c r="L1" s="117" t="s">
        <v>1048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P1" s="117" t="s">
        <v>1042</v>
      </c>
    </row>
    <row r="2" spans="1:42" ht="11.25" customHeight="1" x14ac:dyDescent="0.25">
      <c r="A2" s="118"/>
      <c r="B2" s="118"/>
      <c r="C2" s="118"/>
      <c r="D2" s="118"/>
      <c r="E2" s="118"/>
      <c r="F2" s="118"/>
      <c r="G2" s="118"/>
      <c r="H2" s="118"/>
      <c r="I2" s="118"/>
      <c r="J2" s="114"/>
      <c r="L2" s="117" t="s">
        <v>951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P2" s="119"/>
    </row>
    <row r="3" spans="1:42" ht="11.25" customHeigh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4"/>
      <c r="L3" s="117" t="s">
        <v>952</v>
      </c>
      <c r="M3" s="117"/>
      <c r="N3" s="117"/>
      <c r="O3" s="117"/>
      <c r="P3" s="117"/>
      <c r="Q3" s="117"/>
      <c r="R3" s="117"/>
      <c r="S3" s="117"/>
      <c r="T3" s="117"/>
      <c r="U3" s="117" t="s">
        <v>961</v>
      </c>
      <c r="V3" s="117"/>
      <c r="W3" s="117"/>
      <c r="X3" s="117"/>
      <c r="Y3" s="117"/>
      <c r="Z3" s="117"/>
      <c r="AA3" s="117"/>
      <c r="AB3" s="117"/>
      <c r="AC3" s="117" t="s">
        <v>969</v>
      </c>
      <c r="AD3" s="117"/>
      <c r="AE3" s="117" t="s">
        <v>971</v>
      </c>
      <c r="AF3" s="117"/>
      <c r="AG3" s="117"/>
      <c r="AH3" s="117" t="s">
        <v>974</v>
      </c>
      <c r="AI3" s="117"/>
      <c r="AJ3" s="117"/>
      <c r="AK3" s="117"/>
      <c r="AL3" s="117"/>
      <c r="AM3" s="117" t="s">
        <v>960</v>
      </c>
      <c r="AP3" s="119"/>
    </row>
    <row r="4" spans="1:42" ht="11.25" customHeigh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4"/>
      <c r="L4" s="35" t="s">
        <v>1036</v>
      </c>
      <c r="M4" s="35" t="s">
        <v>953</v>
      </c>
      <c r="N4" s="35" t="s">
        <v>954</v>
      </c>
      <c r="O4" s="35" t="s">
        <v>955</v>
      </c>
      <c r="P4" s="35" t="s">
        <v>956</v>
      </c>
      <c r="Q4" s="35" t="s">
        <v>957</v>
      </c>
      <c r="R4" s="35" t="s">
        <v>958</v>
      </c>
      <c r="S4" s="35" t="s">
        <v>959</v>
      </c>
      <c r="T4" s="35" t="s">
        <v>960</v>
      </c>
      <c r="U4" s="35" t="s">
        <v>962</v>
      </c>
      <c r="V4" s="35" t="s">
        <v>963</v>
      </c>
      <c r="W4" s="35" t="s">
        <v>964</v>
      </c>
      <c r="X4" s="35" t="s">
        <v>965</v>
      </c>
      <c r="Y4" s="35" t="s">
        <v>966</v>
      </c>
      <c r="Z4" s="35" t="s">
        <v>967</v>
      </c>
      <c r="AA4" s="35" t="s">
        <v>968</v>
      </c>
      <c r="AB4" s="35" t="s">
        <v>960</v>
      </c>
      <c r="AC4" s="35" t="s">
        <v>970</v>
      </c>
      <c r="AD4" s="35" t="s">
        <v>960</v>
      </c>
      <c r="AE4" s="35" t="s">
        <v>972</v>
      </c>
      <c r="AF4" s="35" t="s">
        <v>973</v>
      </c>
      <c r="AG4" s="35" t="s">
        <v>960</v>
      </c>
      <c r="AH4" s="35" t="s">
        <v>975</v>
      </c>
      <c r="AI4" s="35" t="s">
        <v>976</v>
      </c>
      <c r="AJ4" s="35" t="s">
        <v>977</v>
      </c>
      <c r="AK4" s="35" t="s">
        <v>978</v>
      </c>
      <c r="AL4" s="35" t="s">
        <v>960</v>
      </c>
      <c r="AM4" s="120"/>
      <c r="AP4" s="119"/>
    </row>
    <row r="5" spans="1:42" ht="11.25" customHeight="1" x14ac:dyDescent="0.25">
      <c r="A5" s="116" t="s">
        <v>59</v>
      </c>
      <c r="B5" s="116" t="s">
        <v>40</v>
      </c>
      <c r="C5" s="116" t="s">
        <v>25</v>
      </c>
      <c r="D5" s="116" t="s">
        <v>25</v>
      </c>
      <c r="E5" s="116" t="s">
        <v>25</v>
      </c>
      <c r="F5" s="116" t="s">
        <v>25</v>
      </c>
      <c r="G5" s="36" t="s">
        <v>121</v>
      </c>
      <c r="H5" s="36" t="s">
        <v>120</v>
      </c>
      <c r="I5" s="36">
        <f>'MERCADO TUSD'!$U$2</f>
        <v>103200</v>
      </c>
      <c r="J5" s="16"/>
      <c r="L5" s="33">
        <f>'TR TUSD'!$L$5*'TR TUSD'!$L$83</f>
        <v>0</v>
      </c>
      <c r="M5" s="33">
        <f>'TR TUSD'!$M$5*'TR TUSD'!$M$83</f>
        <v>0</v>
      </c>
      <c r="N5" s="33">
        <f ca="1">'TR TUSD'!$N$5*'TR TUSD'!$N$83</f>
        <v>0</v>
      </c>
      <c r="O5" s="33">
        <f>'TR TUSD'!$O$5*'TR TUSD'!$O$83</f>
        <v>0</v>
      </c>
      <c r="P5" s="33">
        <f>'TR TUSD'!$P$5*'TR TUSD'!$P$83</f>
        <v>0</v>
      </c>
      <c r="Q5" s="33">
        <f>'TR TUSD'!$Q$5*'TR TUSD'!$Q$83</f>
        <v>0</v>
      </c>
      <c r="R5" s="33">
        <f>'TR TUSD'!$R$5*'TR TUSD'!$R$83</f>
        <v>0</v>
      </c>
      <c r="S5" s="33">
        <f>'TR TUSD'!$S$5*'TR TUSD'!$S$83</f>
        <v>0</v>
      </c>
      <c r="T5" s="33">
        <f ca="1">SUM($L$5:$S$5)</f>
        <v>0</v>
      </c>
      <c r="U5" s="33">
        <f>'TR TUSD'!$U$5*'TR TUSD'!$U$83</f>
        <v>2.6914008103062397</v>
      </c>
      <c r="V5" s="33">
        <f>'TR TUSD'!$V$5*'TR TUSD'!$V$83</f>
        <v>3.817331813820582E-2</v>
      </c>
      <c r="W5" s="33">
        <f>'TR TUSD'!$W$5*'TR TUSD'!$W$83</f>
        <v>0</v>
      </c>
      <c r="X5" s="33">
        <f>'TR TUSD'!$X$5*'TR TUSD'!$X$83</f>
        <v>0</v>
      </c>
      <c r="Y5" s="33">
        <f>'TR TUSD'!$Y$5*'TR TUSD'!$Y$83</f>
        <v>11.184058091300814</v>
      </c>
      <c r="Z5" s="33">
        <f>'TR TUSD'!$Z$5</f>
        <v>0</v>
      </c>
      <c r="AA5" s="33">
        <f>'TR TUSD'!$AA$5</f>
        <v>0</v>
      </c>
      <c r="AB5" s="33">
        <f>SUM($U$5:$AA$5)</f>
        <v>13.91363221974526</v>
      </c>
      <c r="AC5" s="33">
        <f>'TR TUSD'!$AC$5*'TR TUSD'!$AC$83</f>
        <v>4.7043698242199392</v>
      </c>
      <c r="AD5" s="33">
        <f>SUM($AC$5:$AC$5)</f>
        <v>4.7043698242199392</v>
      </c>
      <c r="AE5" s="33">
        <v>0</v>
      </c>
      <c r="AF5" s="33">
        <v>0</v>
      </c>
      <c r="AG5" s="33">
        <f>SUM($AE$5:$AF$5)</f>
        <v>0</v>
      </c>
      <c r="AH5" s="33">
        <f>'TR TUSD'!$AH$5*'TR TUSD'!$AH$83</f>
        <v>0</v>
      </c>
      <c r="AI5" s="33">
        <f>'TR TUSD'!$AI$5*'TR TUSD'!$AI$83</f>
        <v>0</v>
      </c>
      <c r="AJ5" s="33">
        <f ca="1">'TR TUSD'!$AJ$5*'TR TUSD'!$AJ$83</f>
        <v>0</v>
      </c>
      <c r="AK5" s="33">
        <f ca="1">'TR TUSD'!$AK$5*'TR TUSD'!$AK$83</f>
        <v>0</v>
      </c>
      <c r="AL5" s="33">
        <f ca="1">SUM($AH$5:$AK$5)</f>
        <v>0</v>
      </c>
      <c r="AM5" s="33">
        <f ca="1">SUMIF($L$4:$AL$4,"SUBTOTAL",$L$5:$AL$5)</f>
        <v>18.618002043965198</v>
      </c>
      <c r="AP5" s="33">
        <v>1</v>
      </c>
    </row>
    <row r="6" spans="1:42" ht="11.25" customHeight="1" x14ac:dyDescent="0.25">
      <c r="A6" s="116"/>
      <c r="B6" s="116"/>
      <c r="C6" s="116"/>
      <c r="D6" s="116"/>
      <c r="E6" s="116"/>
      <c r="F6" s="116"/>
      <c r="G6" s="36" t="s">
        <v>122</v>
      </c>
      <c r="H6" s="36" t="s">
        <v>120</v>
      </c>
      <c r="I6" s="36">
        <f>'MERCADO TUSD'!$U$3</f>
        <v>151200</v>
      </c>
      <c r="J6" s="16"/>
      <c r="L6" s="33">
        <f>'TR TUSD'!$L$6*'TR TUSD'!$L$83</f>
        <v>0</v>
      </c>
      <c r="M6" s="33">
        <f>'TR TUSD'!$M$6*'TR TUSD'!$M$83</f>
        <v>0</v>
      </c>
      <c r="N6" s="33">
        <f ca="1">'TR TUSD'!$N$6*'TR TUSD'!$N$83</f>
        <v>0</v>
      </c>
      <c r="O6" s="33">
        <f>'TR TUSD'!$O$6*'TR TUSD'!$O$83</f>
        <v>0</v>
      </c>
      <c r="P6" s="33">
        <f>'TR TUSD'!$P$6*'TR TUSD'!$P$83</f>
        <v>0</v>
      </c>
      <c r="Q6" s="33">
        <f>'TR TUSD'!$Q$6*'TR TUSD'!$Q$83</f>
        <v>0</v>
      </c>
      <c r="R6" s="33">
        <f>'TR TUSD'!$R$6*'TR TUSD'!$R$83</f>
        <v>0</v>
      </c>
      <c r="S6" s="33">
        <f>'TR TUSD'!$S$6*'TR TUSD'!$S$83</f>
        <v>0</v>
      </c>
      <c r="T6" s="33">
        <f ca="1">SUM($L$6:$S$6)</f>
        <v>0</v>
      </c>
      <c r="U6" s="33">
        <f>'TR TUSD'!$U$6*'TR TUSD'!$U$83</f>
        <v>0.78866234308766925</v>
      </c>
      <c r="V6" s="33">
        <f>'TR TUSD'!$V$6*'TR TUSD'!$V$83</f>
        <v>1.1365612901052381E-2</v>
      </c>
      <c r="W6" s="33">
        <f>'TR TUSD'!$W$6*'TR TUSD'!$W$83</f>
        <v>0</v>
      </c>
      <c r="X6" s="33">
        <f>'TR TUSD'!$X$6*'TR TUSD'!$X$83</f>
        <v>0</v>
      </c>
      <c r="Y6" s="33">
        <f>'TR TUSD'!$Y$6*'TR TUSD'!$Y$83</f>
        <v>2.294256612707775</v>
      </c>
      <c r="Z6" s="33">
        <f>'TR TUSD'!$Z$6</f>
        <v>0</v>
      </c>
      <c r="AA6" s="33">
        <f>'TR TUSD'!$AA$6</f>
        <v>0</v>
      </c>
      <c r="AB6" s="33">
        <f>SUM($U$6:$AA$6)</f>
        <v>3.0942845686964966</v>
      </c>
      <c r="AC6" s="33">
        <f>'TR TUSD'!$AC$6*'TR TUSD'!$AC$83</f>
        <v>4.7043698242199392</v>
      </c>
      <c r="AD6" s="33">
        <f>SUM($AC$6:$AC$6)</f>
        <v>4.7043698242199392</v>
      </c>
      <c r="AE6" s="33">
        <v>0</v>
      </c>
      <c r="AF6" s="33">
        <v>0</v>
      </c>
      <c r="AG6" s="33">
        <f>SUM($AE$6:$AF$6)</f>
        <v>0</v>
      </c>
      <c r="AH6" s="33">
        <f>'TR TUSD'!$AH$6*'TR TUSD'!$AH$83</f>
        <v>0</v>
      </c>
      <c r="AI6" s="33">
        <f>'TR TUSD'!$AI$6*'TR TUSD'!$AI$83</f>
        <v>0</v>
      </c>
      <c r="AJ6" s="33">
        <f ca="1">'TR TUSD'!$AJ$6*'TR TUSD'!$AJ$83</f>
        <v>0</v>
      </c>
      <c r="AK6" s="33">
        <f ca="1">'TR TUSD'!$AK$6*'TR TUSD'!$AK$83</f>
        <v>0</v>
      </c>
      <c r="AL6" s="33">
        <f ca="1">SUM($AH$6:$AK$6)</f>
        <v>0</v>
      </c>
      <c r="AM6" s="33">
        <f ca="1">SUMIF($L$4:$AL$4,"SUBTOTAL",$L$6:$AL$6)</f>
        <v>7.7986543929164363</v>
      </c>
      <c r="AP6" s="33">
        <v>1</v>
      </c>
    </row>
    <row r="7" spans="1:42" ht="11.25" customHeight="1" x14ac:dyDescent="0.25">
      <c r="A7" s="116"/>
      <c r="B7" s="116"/>
      <c r="C7" s="116"/>
      <c r="D7" s="116"/>
      <c r="E7" s="116"/>
      <c r="F7" s="116"/>
      <c r="G7" s="36" t="s">
        <v>123</v>
      </c>
      <c r="H7" s="36" t="s">
        <v>117</v>
      </c>
      <c r="I7" s="36">
        <f>'MERCADO TUSD'!$U$4</f>
        <v>30201.055</v>
      </c>
      <c r="J7" s="16"/>
      <c r="L7" s="33">
        <f>'TR TUSD'!$L$7*'TR TUSD'!$L$83</f>
        <v>3.8464845550853299</v>
      </c>
      <c r="M7" s="33">
        <f>'TR TUSD'!$M$7*'TR TUSD'!$M$83</f>
        <v>0.14156301952310105</v>
      </c>
      <c r="N7" s="33">
        <f ca="1">'TR TUSD'!$N$7*'TR TUSD'!$N$83</f>
        <v>0.22664932930622328</v>
      </c>
      <c r="O7" s="33">
        <f>'TR TUSD'!$O$7*'TR TUSD'!$O$83</f>
        <v>-5.032809553728302E-3</v>
      </c>
      <c r="P7" s="33">
        <f>'TR TUSD'!$P$7*'TR TUSD'!$P$83</f>
        <v>0</v>
      </c>
      <c r="Q7" s="33">
        <f>'TR TUSD'!$Q$7*'TR TUSD'!$Q$83</f>
        <v>57.924997111396216</v>
      </c>
      <c r="R7" s="33">
        <f>'TR TUSD'!$R$7*'TR TUSD'!$R$83</f>
        <v>14.902150200061627</v>
      </c>
      <c r="S7" s="33">
        <f>'TR TUSD'!$S$7*'TR TUSD'!$S$83</f>
        <v>0</v>
      </c>
      <c r="T7" s="33">
        <f ca="1">SUM($L$7:$S$7)</f>
        <v>77.036811405818767</v>
      </c>
      <c r="U7" s="33">
        <f>'TR TUSD'!$U$7*'TR TUSD'!$U$83</f>
        <v>0</v>
      </c>
      <c r="V7" s="33">
        <f>'TR TUSD'!$V$7*'TR TUSD'!$V$83</f>
        <v>0</v>
      </c>
      <c r="W7" s="33">
        <f>'TR TUSD'!$W$7*'TR TUSD'!$W$83</f>
        <v>0</v>
      </c>
      <c r="X7" s="33">
        <f>'TR TUSD'!$X$7*'TR TUSD'!$X$83</f>
        <v>0</v>
      </c>
      <c r="Y7" s="33">
        <f>'TR TUSD'!$Y$7*'TR TUSD'!$Y$83</f>
        <v>0</v>
      </c>
      <c r="Z7" s="33">
        <f>'TR TUSD'!$Z$7</f>
        <v>0</v>
      </c>
      <c r="AA7" s="33">
        <f>'TR TUSD'!$AA$7</f>
        <v>0</v>
      </c>
      <c r="AB7" s="33">
        <f>SUM($U$7:$AA$7)</f>
        <v>0</v>
      </c>
      <c r="AC7" s="33">
        <f>'TR TUSD'!$AC$7*'TR TUSD'!$AC$83</f>
        <v>0</v>
      </c>
      <c r="AD7" s="33">
        <f>SUM($AC$7:$AC$7)</f>
        <v>0</v>
      </c>
      <c r="AE7" s="33">
        <v>0</v>
      </c>
      <c r="AF7" s="33">
        <v>0</v>
      </c>
      <c r="AG7" s="33">
        <f>SUM($AE$7:$AF$7)</f>
        <v>0</v>
      </c>
      <c r="AH7" s="33">
        <f>'TR TUSD'!$AH$7*'TR TUSD'!$AH$83</f>
        <v>8.7723915242725976</v>
      </c>
      <c r="AI7" s="33">
        <f>'TR TUSD'!$AI$7*'TR TUSD'!$AI$83</f>
        <v>1.9478250651499589E-2</v>
      </c>
      <c r="AJ7" s="33">
        <f ca="1">'TR TUSD'!$AJ$7*'TR TUSD'!$AJ$83</f>
        <v>0.33768720191395918</v>
      </c>
      <c r="AK7" s="33">
        <f ca="1">'TR TUSD'!$AK$7*'TR TUSD'!$AK$83</f>
        <v>2.023350094027982</v>
      </c>
      <c r="AL7" s="33">
        <f ca="1">SUM($AH$7:$AK$7)</f>
        <v>11.152907070866039</v>
      </c>
      <c r="AM7" s="33">
        <f ca="1">SUMIF($L$4:$AL$4,"SUBTOTAL",$L$7:$AL$7)</f>
        <v>88.189718476684803</v>
      </c>
      <c r="AP7" s="33">
        <v>1</v>
      </c>
    </row>
    <row r="8" spans="1:42" ht="11.25" customHeight="1" x14ac:dyDescent="0.25">
      <c r="A8" s="116"/>
      <c r="B8" s="116"/>
      <c r="C8" s="116"/>
      <c r="D8" s="116"/>
      <c r="E8" s="37" t="s">
        <v>61</v>
      </c>
      <c r="F8" s="37" t="s">
        <v>25</v>
      </c>
      <c r="G8" s="36" t="s">
        <v>123</v>
      </c>
      <c r="H8" s="36" t="s">
        <v>117</v>
      </c>
      <c r="I8" s="36">
        <f>'MERCADO TUSD'!$U$5</f>
        <v>4666.2299999999996</v>
      </c>
      <c r="J8" s="16"/>
      <c r="L8" s="33">
        <f>'TR TUSD'!$L$8*'TR TUSD'!$L$83</f>
        <v>0</v>
      </c>
      <c r="M8" s="33">
        <f>'TR TUSD'!$M$8*'TR TUSD'!$M$83</f>
        <v>0.14156301952310105</v>
      </c>
      <c r="N8" s="33">
        <f ca="1">'TR TUSD'!$N$8*'TR TUSD'!$N$83</f>
        <v>0.21499077029136199</v>
      </c>
      <c r="O8" s="33">
        <f>'TR TUSD'!$O$8*'TR TUSD'!$O$83</f>
        <v>-5.032809553728302E-3</v>
      </c>
      <c r="P8" s="33">
        <f>'TR TUSD'!$P$8*'TR TUSD'!$P$83</f>
        <v>0</v>
      </c>
      <c r="Q8" s="33">
        <f>'TR TUSD'!$Q$8*'TR TUSD'!$Q$83</f>
        <v>0</v>
      </c>
      <c r="R8" s="33">
        <f>'TR TUSD'!$R$8*'TR TUSD'!$R$83</f>
        <v>0</v>
      </c>
      <c r="S8" s="33">
        <f>'TR TUSD'!$S$8*'TR TUSD'!$S$83</f>
        <v>0</v>
      </c>
      <c r="T8" s="33">
        <f ca="1">SUM($L$8:$S$8)</f>
        <v>0.35152098026073475</v>
      </c>
      <c r="U8" s="33">
        <f>'TR TUSD'!$U$8*'TR TUSD'!$U$83</f>
        <v>0</v>
      </c>
      <c r="V8" s="33">
        <f>'TR TUSD'!$V$8*'TR TUSD'!$V$83</f>
        <v>0</v>
      </c>
      <c r="W8" s="33">
        <f>'TR TUSD'!$W$8*'TR TUSD'!$W$83</f>
        <v>0</v>
      </c>
      <c r="X8" s="33">
        <f>'TR TUSD'!$X$8*'TR TUSD'!$X$83</f>
        <v>0</v>
      </c>
      <c r="Y8" s="33">
        <f>'TR TUSD'!$Y$8*'TR TUSD'!$Y$83</f>
        <v>0</v>
      </c>
      <c r="Z8" s="33">
        <f>'TR TUSD'!$Z$8</f>
        <v>0</v>
      </c>
      <c r="AA8" s="33">
        <f>'TR TUSD'!$AA$8</f>
        <v>0</v>
      </c>
      <c r="AB8" s="33">
        <f>SUM($U$8:$AA$8)</f>
        <v>0</v>
      </c>
      <c r="AC8" s="33">
        <f>'TR TUSD'!$AC$8*'TR TUSD'!$AC$83</f>
        <v>0</v>
      </c>
      <c r="AD8" s="33">
        <f>SUM($AC$8:$AC$8)</f>
        <v>0</v>
      </c>
      <c r="AE8" s="33">
        <v>0</v>
      </c>
      <c r="AF8" s="33">
        <v>0</v>
      </c>
      <c r="AG8" s="33">
        <f>SUM($AE$8:$AF$8)</f>
        <v>0</v>
      </c>
      <c r="AH8" s="33">
        <f>'TR TUSD'!$AH$8*'TR TUSD'!$AH$83</f>
        <v>8.7723915242725976</v>
      </c>
      <c r="AI8" s="33">
        <f>'TR TUSD'!$AI$8*'TR TUSD'!$AI$83</f>
        <v>1.9478250651499589E-2</v>
      </c>
      <c r="AJ8" s="33">
        <f ca="1">'TR TUSD'!$AJ$8*'TR TUSD'!$AJ$83</f>
        <v>0.33768720191395918</v>
      </c>
      <c r="AK8" s="33">
        <f ca="1">'TR TUSD'!$AK$8*'TR TUSD'!$AK$83</f>
        <v>2.023350094027982</v>
      </c>
      <c r="AL8" s="33">
        <f ca="1">SUM($AH$8:$AK$8)</f>
        <v>11.152907070866039</v>
      </c>
      <c r="AM8" s="33">
        <f ca="1">SUMIF($L$4:$AL$4,"SUBTOTAL",$L$8:$AL$8)</f>
        <v>11.504428051126775</v>
      </c>
      <c r="AP8" s="33">
        <v>1</v>
      </c>
    </row>
    <row r="9" spans="1:42" ht="11.25" customHeight="1" x14ac:dyDescent="0.25">
      <c r="A9" s="116"/>
      <c r="B9" s="116" t="s">
        <v>64</v>
      </c>
      <c r="C9" s="116" t="s">
        <v>25</v>
      </c>
      <c r="D9" s="116" t="s">
        <v>25</v>
      </c>
      <c r="E9" s="116" t="s">
        <v>25</v>
      </c>
      <c r="F9" s="37" t="s">
        <v>65</v>
      </c>
      <c r="G9" s="36" t="s">
        <v>9</v>
      </c>
      <c r="H9" s="36" t="s">
        <v>120</v>
      </c>
      <c r="I9" s="36">
        <f>'MERCADO TUSD'!$U$6</f>
        <v>19680</v>
      </c>
      <c r="J9" s="16"/>
      <c r="L9" s="33">
        <f>'TR TUSD'!$L$9</f>
        <v>0</v>
      </c>
      <c r="M9" s="33">
        <f>'TR TUSD'!$M$9</f>
        <v>9.4E-2</v>
      </c>
      <c r="N9" s="33">
        <f>'TR TUSD'!$N$9</f>
        <v>0.2374</v>
      </c>
      <c r="O9" s="33">
        <f>'TR TUSD'!$O$9</f>
        <v>0</v>
      </c>
      <c r="P9" s="33">
        <f>'TR TUSD'!$P$9</f>
        <v>0</v>
      </c>
      <c r="Q9" s="33">
        <f>'TR TUSD'!$Q$9</f>
        <v>0</v>
      </c>
      <c r="R9" s="33">
        <f>'TR TUSD'!$R$9</f>
        <v>0</v>
      </c>
      <c r="S9" s="33">
        <f>'TR TUSD'!$S$9</f>
        <v>0</v>
      </c>
      <c r="T9" s="33">
        <f>SUM($L$9:$S$9)</f>
        <v>0.33140000000000003</v>
      </c>
      <c r="U9" s="33">
        <f>'TR TUSD'!$U$9</f>
        <v>0</v>
      </c>
      <c r="V9" s="33">
        <f>'TR TUSD'!$V$9</f>
        <v>1.7190000000000001</v>
      </c>
      <c r="W9" s="33">
        <f>'TR TUSD'!$W$9</f>
        <v>0</v>
      </c>
      <c r="X9" s="33">
        <f>'TR TUSD'!$X$9</f>
        <v>0</v>
      </c>
      <c r="Y9" s="33">
        <f>'TR TUSD'!$Y$9</f>
        <v>0</v>
      </c>
      <c r="Z9" s="33">
        <f>'TR TUSD'!$Z$9</f>
        <v>0</v>
      </c>
      <c r="AA9" s="33">
        <f>'TR TUSD'!$AA$9</f>
        <v>0.24579999999999999</v>
      </c>
      <c r="AB9" s="33">
        <f>SUM($U$9:$AA$9)</f>
        <v>1.9648000000000001</v>
      </c>
      <c r="AC9" s="33">
        <f>'TR TUSD'!$AC$9</f>
        <v>2.9622000000000002</v>
      </c>
      <c r="AD9" s="33">
        <f>SUM($AC$9:$AC$9)</f>
        <v>2.9622000000000002</v>
      </c>
      <c r="AE9" s="33">
        <v>0</v>
      </c>
      <c r="AF9" s="33">
        <v>0</v>
      </c>
      <c r="AG9" s="33">
        <f>SUM($AE$9:$AF$9)</f>
        <v>0</v>
      </c>
      <c r="AH9" s="33">
        <f>'TR TUSD'!$AH$9</f>
        <v>0</v>
      </c>
      <c r="AI9" s="33">
        <f>'TR TUSD'!$AI$9</f>
        <v>0</v>
      </c>
      <c r="AJ9" s="33">
        <f>'TR TUSD'!$AJ$9</f>
        <v>0</v>
      </c>
      <c r="AK9" s="33">
        <f>'TR TUSD'!$AK$9</f>
        <v>0</v>
      </c>
      <c r="AL9" s="33">
        <f>SUM($AH$9:$AK$9)</f>
        <v>0</v>
      </c>
      <c r="AM9" s="33">
        <f>SUMIF($L$4:$AL$4,"SUBTOTAL",$L$9:$AL$9)</f>
        <v>5.2584</v>
      </c>
      <c r="AP9" s="33"/>
    </row>
    <row r="10" spans="1:42" ht="11.25" customHeight="1" x14ac:dyDescent="0.25">
      <c r="A10" s="116"/>
      <c r="B10" s="116"/>
      <c r="C10" s="116"/>
      <c r="D10" s="116"/>
      <c r="E10" s="116"/>
      <c r="F10" s="37" t="s">
        <v>67</v>
      </c>
      <c r="G10" s="36" t="s">
        <v>9</v>
      </c>
      <c r="H10" s="36" t="s">
        <v>120</v>
      </c>
      <c r="I10" s="36">
        <f>'MERCADO TUSD'!$U$7</f>
        <v>474000</v>
      </c>
      <c r="J10" s="16"/>
      <c r="L10" s="33">
        <f>'TR TUSD'!$L$10</f>
        <v>0</v>
      </c>
      <c r="M10" s="33">
        <f>'TR TUSD'!$M$10</f>
        <v>7.1400000000000005E-2</v>
      </c>
      <c r="N10" s="33">
        <f>'TR TUSD'!$N$10</f>
        <v>0.18029999999999999</v>
      </c>
      <c r="O10" s="33">
        <f>'TR TUSD'!$O$10</f>
        <v>0</v>
      </c>
      <c r="P10" s="33">
        <f>'TR TUSD'!$P$10</f>
        <v>0</v>
      </c>
      <c r="Q10" s="33">
        <f>'TR TUSD'!$Q$10</f>
        <v>0</v>
      </c>
      <c r="R10" s="33">
        <f>'TR TUSD'!$R$10</f>
        <v>0</v>
      </c>
      <c r="S10" s="33">
        <f>'TR TUSD'!$S$10</f>
        <v>0</v>
      </c>
      <c r="T10" s="33">
        <f>SUM($L$10:$S$10)</f>
        <v>0.25169999999999998</v>
      </c>
      <c r="U10" s="33">
        <f>'TR TUSD'!$U$10</f>
        <v>0</v>
      </c>
      <c r="V10" s="33">
        <f>'TR TUSD'!$V$10</f>
        <v>1.3056000000000001</v>
      </c>
      <c r="W10" s="33">
        <f>'TR TUSD'!$W$10</f>
        <v>0</v>
      </c>
      <c r="X10" s="33">
        <f>'TR TUSD'!$X$10</f>
        <v>0</v>
      </c>
      <c r="Y10" s="33">
        <f>'TR TUSD'!$Y$10</f>
        <v>0</v>
      </c>
      <c r="Z10" s="33">
        <f>'TR TUSD'!$Z$10</f>
        <v>0</v>
      </c>
      <c r="AA10" s="33">
        <f>'TR TUSD'!$AA$10</f>
        <v>0.24579999999999999</v>
      </c>
      <c r="AB10" s="33">
        <f>SUM($U$10:$AA$10)</f>
        <v>1.5514000000000001</v>
      </c>
      <c r="AC10" s="33">
        <f>'TR TUSD'!$AC$10</f>
        <v>2.2498999999999998</v>
      </c>
      <c r="AD10" s="33">
        <f>SUM($AC$10:$AC$10)</f>
        <v>2.2498999999999998</v>
      </c>
      <c r="AE10" s="33">
        <v>0</v>
      </c>
      <c r="AF10" s="33">
        <v>0</v>
      </c>
      <c r="AG10" s="33">
        <f>SUM($AE$10:$AF$10)</f>
        <v>0</v>
      </c>
      <c r="AH10" s="33">
        <f>'TR TUSD'!$AH$10</f>
        <v>0</v>
      </c>
      <c r="AI10" s="33">
        <f>'TR TUSD'!$AI$10</f>
        <v>0</v>
      </c>
      <c r="AJ10" s="33">
        <f>'TR TUSD'!$AJ$10</f>
        <v>0</v>
      </c>
      <c r="AK10" s="33">
        <f>'TR TUSD'!$AK$10</f>
        <v>0</v>
      </c>
      <c r="AL10" s="33">
        <f>SUM($AH$10:$AK$10)</f>
        <v>0</v>
      </c>
      <c r="AM10" s="33">
        <f>SUMIF($L$4:$AL$4,"SUBTOTAL",$L$10:$AL$10)</f>
        <v>4.0529999999999999</v>
      </c>
      <c r="AP10" s="33"/>
    </row>
    <row r="11" spans="1:42" ht="11.25" customHeight="1" x14ac:dyDescent="0.25">
      <c r="A11" s="116"/>
      <c r="B11" s="116"/>
      <c r="C11" s="116"/>
      <c r="D11" s="116"/>
      <c r="E11" s="116"/>
      <c r="F11" s="37" t="s">
        <v>69</v>
      </c>
      <c r="G11" s="36" t="s">
        <v>9</v>
      </c>
      <c r="H11" s="36" t="s">
        <v>120</v>
      </c>
      <c r="I11" s="36">
        <f>'MERCADO TUSD'!$U$8</f>
        <v>264004</v>
      </c>
      <c r="J11" s="16"/>
      <c r="L11" s="33">
        <f>'TR TUSD'!$L$11</f>
        <v>0</v>
      </c>
      <c r="M11" s="33">
        <f>'TR TUSD'!$M$11</f>
        <v>0.10539999999999999</v>
      </c>
      <c r="N11" s="33">
        <f>'TR TUSD'!$N$11</f>
        <v>0.26629999999999998</v>
      </c>
      <c r="O11" s="33">
        <f>'TR TUSD'!$O$11</f>
        <v>0</v>
      </c>
      <c r="P11" s="33">
        <f>'TR TUSD'!$P$11</f>
        <v>0</v>
      </c>
      <c r="Q11" s="33">
        <f>'TR TUSD'!$Q$11</f>
        <v>0</v>
      </c>
      <c r="R11" s="33">
        <f>'TR TUSD'!$R$11</f>
        <v>0</v>
      </c>
      <c r="S11" s="33">
        <f>'TR TUSD'!$S$11</f>
        <v>0</v>
      </c>
      <c r="T11" s="33">
        <f>SUM($L$11:$S$11)</f>
        <v>0.37169999999999997</v>
      </c>
      <c r="U11" s="33">
        <f>'TR TUSD'!$U$11</f>
        <v>0</v>
      </c>
      <c r="V11" s="33">
        <f>'TR TUSD'!$V$11</f>
        <v>1.9283999999999999</v>
      </c>
      <c r="W11" s="33">
        <f>'TR TUSD'!$W$11</f>
        <v>0</v>
      </c>
      <c r="X11" s="33">
        <f>'TR TUSD'!$X$11</f>
        <v>0</v>
      </c>
      <c r="Y11" s="33">
        <f>'TR TUSD'!$Y$11</f>
        <v>0</v>
      </c>
      <c r="Z11" s="33">
        <f>'TR TUSD'!$Z$11</f>
        <v>0</v>
      </c>
      <c r="AA11" s="33">
        <f>'TR TUSD'!$AA$11</f>
        <v>0.24579999999999999</v>
      </c>
      <c r="AB11" s="33">
        <f>SUM($U$11:$AA$11)</f>
        <v>2.1741999999999999</v>
      </c>
      <c r="AC11" s="33">
        <f>'TR TUSD'!$AC$11</f>
        <v>3.3231000000000002</v>
      </c>
      <c r="AD11" s="33">
        <f>SUM($AC$11:$AC$11)</f>
        <v>3.3231000000000002</v>
      </c>
      <c r="AE11" s="33">
        <v>0</v>
      </c>
      <c r="AF11" s="33">
        <v>0</v>
      </c>
      <c r="AG11" s="33">
        <f>SUM($AE$11:$AF$11)</f>
        <v>0</v>
      </c>
      <c r="AH11" s="33">
        <f>'TR TUSD'!$AH$11</f>
        <v>0</v>
      </c>
      <c r="AI11" s="33">
        <f>'TR TUSD'!$AI$11</f>
        <v>0</v>
      </c>
      <c r="AJ11" s="33">
        <f>'TR TUSD'!$AJ$11</f>
        <v>0</v>
      </c>
      <c r="AK11" s="33">
        <f>'TR TUSD'!$AK$11</f>
        <v>0</v>
      </c>
      <c r="AL11" s="33">
        <f>SUM($AH$11:$AK$11)</f>
        <v>0</v>
      </c>
      <c r="AM11" s="33">
        <f>SUMIF($L$4:$AL$4,"SUBTOTAL",$L$11:$AL$11)</f>
        <v>5.8689999999999998</v>
      </c>
      <c r="AP11" s="33"/>
    </row>
    <row r="12" spans="1:42" ht="11.25" customHeight="1" x14ac:dyDescent="0.25">
      <c r="A12" s="116"/>
      <c r="B12" s="116"/>
      <c r="C12" s="116"/>
      <c r="D12" s="116"/>
      <c r="E12" s="116"/>
      <c r="F12" s="37" t="s">
        <v>72</v>
      </c>
      <c r="G12" s="36" t="s">
        <v>9</v>
      </c>
      <c r="H12" s="36" t="s">
        <v>120</v>
      </c>
      <c r="I12" s="36">
        <f>'MERCADO TUSD'!$U$9</f>
        <v>198000</v>
      </c>
      <c r="J12" s="16"/>
      <c r="L12" s="33">
        <f>'TR TUSD'!$L$12</f>
        <v>0</v>
      </c>
      <c r="M12" s="33">
        <f>'TR TUSD'!$M$12</f>
        <v>0.1</v>
      </c>
      <c r="N12" s="33">
        <f>'TR TUSD'!$N$12</f>
        <v>0.2525</v>
      </c>
      <c r="O12" s="33">
        <f>'TR TUSD'!$O$12</f>
        <v>0</v>
      </c>
      <c r="P12" s="33">
        <f>'TR TUSD'!$P$12</f>
        <v>0</v>
      </c>
      <c r="Q12" s="33">
        <f>'TR TUSD'!$Q$12</f>
        <v>0</v>
      </c>
      <c r="R12" s="33">
        <f>'TR TUSD'!$R$12</f>
        <v>0</v>
      </c>
      <c r="S12" s="33">
        <f>'TR TUSD'!$S$12</f>
        <v>0</v>
      </c>
      <c r="T12" s="33">
        <f>SUM($L$12:$S$12)</f>
        <v>0.35250000000000004</v>
      </c>
      <c r="U12" s="33">
        <f>'TR TUSD'!$U$12</f>
        <v>0</v>
      </c>
      <c r="V12" s="33">
        <f>'TR TUSD'!$V$12</f>
        <v>1.8287</v>
      </c>
      <c r="W12" s="33">
        <f>'TR TUSD'!$W$12</f>
        <v>0</v>
      </c>
      <c r="X12" s="33">
        <f>'TR TUSD'!$X$12</f>
        <v>0</v>
      </c>
      <c r="Y12" s="33">
        <f>'TR TUSD'!$Y$12</f>
        <v>0</v>
      </c>
      <c r="Z12" s="33">
        <f>'TR TUSD'!$Z$12</f>
        <v>0</v>
      </c>
      <c r="AA12" s="33">
        <f>'TR TUSD'!$AA$12</f>
        <v>0.24579999999999999</v>
      </c>
      <c r="AB12" s="33">
        <f>SUM($U$12:$AA$12)</f>
        <v>2.0745</v>
      </c>
      <c r="AC12" s="33">
        <f>'TR TUSD'!$AC$12</f>
        <v>3.1513</v>
      </c>
      <c r="AD12" s="33">
        <f>SUM($AC$12:$AC$12)</f>
        <v>3.1513</v>
      </c>
      <c r="AE12" s="33">
        <v>0</v>
      </c>
      <c r="AF12" s="33">
        <v>0</v>
      </c>
      <c r="AG12" s="33">
        <f>SUM($AE$12:$AF$12)</f>
        <v>0</v>
      </c>
      <c r="AH12" s="33">
        <f>'TR TUSD'!$AH$12</f>
        <v>0</v>
      </c>
      <c r="AI12" s="33">
        <f>'TR TUSD'!$AI$12</f>
        <v>0</v>
      </c>
      <c r="AJ12" s="33">
        <f>'TR TUSD'!$AJ$12</f>
        <v>0</v>
      </c>
      <c r="AK12" s="33">
        <f>'TR TUSD'!$AK$12</f>
        <v>0</v>
      </c>
      <c r="AL12" s="33">
        <f>SUM($AH$12:$AK$12)</f>
        <v>0</v>
      </c>
      <c r="AM12" s="33">
        <f>SUMIF($L$4:$AL$4,"SUBTOTAL",$L$12:$AL$12)</f>
        <v>5.5783000000000005</v>
      </c>
      <c r="AP12" s="33"/>
    </row>
    <row r="13" spans="1:42" ht="11.25" customHeight="1" x14ac:dyDescent="0.25">
      <c r="A13" s="116"/>
      <c r="B13" s="116"/>
      <c r="C13" s="116"/>
      <c r="D13" s="116"/>
      <c r="E13" s="116"/>
      <c r="F13" s="37" t="s">
        <v>73</v>
      </c>
      <c r="G13" s="36" t="s">
        <v>9</v>
      </c>
      <c r="H13" s="36" t="s">
        <v>120</v>
      </c>
      <c r="I13" s="36">
        <f>'MERCADO TUSD'!$U$10</f>
        <v>63840</v>
      </c>
      <c r="J13" s="16"/>
      <c r="L13" s="33">
        <f>'TR TUSD'!$L$13</f>
        <v>0</v>
      </c>
      <c r="M13" s="33">
        <f>'TR TUSD'!$M$13</f>
        <v>9.4E-2</v>
      </c>
      <c r="N13" s="33">
        <f>'TR TUSD'!$N$13</f>
        <v>0.2374</v>
      </c>
      <c r="O13" s="33">
        <f>'TR TUSD'!$O$13</f>
        <v>0</v>
      </c>
      <c r="P13" s="33">
        <f>'TR TUSD'!$P$13</f>
        <v>0</v>
      </c>
      <c r="Q13" s="33">
        <f>'TR TUSD'!$Q$13</f>
        <v>0</v>
      </c>
      <c r="R13" s="33">
        <f>'TR TUSD'!$R$13</f>
        <v>0</v>
      </c>
      <c r="S13" s="33">
        <f>'TR TUSD'!$S$13</f>
        <v>0</v>
      </c>
      <c r="T13" s="33">
        <f>SUM($L$13:$S$13)</f>
        <v>0.33140000000000003</v>
      </c>
      <c r="U13" s="33">
        <f>'TR TUSD'!$U$13</f>
        <v>0</v>
      </c>
      <c r="V13" s="33">
        <f>'TR TUSD'!$V$13</f>
        <v>1.7190000000000001</v>
      </c>
      <c r="W13" s="33">
        <f>'TR TUSD'!$W$13</f>
        <v>0</v>
      </c>
      <c r="X13" s="33">
        <f>'TR TUSD'!$X$13</f>
        <v>0</v>
      </c>
      <c r="Y13" s="33">
        <f>'TR TUSD'!$Y$13</f>
        <v>0</v>
      </c>
      <c r="Z13" s="33">
        <f>'TR TUSD'!$Z$13</f>
        <v>0</v>
      </c>
      <c r="AA13" s="33">
        <f>'TR TUSD'!$AA$13</f>
        <v>0.24579999999999999</v>
      </c>
      <c r="AB13" s="33">
        <f>SUM($U$13:$AA$13)</f>
        <v>1.9648000000000001</v>
      </c>
      <c r="AC13" s="33">
        <f>'TR TUSD'!$AC$13</f>
        <v>2.9622000000000002</v>
      </c>
      <c r="AD13" s="33">
        <f>SUM($AC$13:$AC$13)</f>
        <v>2.9622000000000002</v>
      </c>
      <c r="AE13" s="33">
        <v>0</v>
      </c>
      <c r="AF13" s="33">
        <v>0</v>
      </c>
      <c r="AG13" s="33">
        <f>SUM($AE$13:$AF$13)</f>
        <v>0</v>
      </c>
      <c r="AH13" s="33">
        <f>'TR TUSD'!$AH$13</f>
        <v>0</v>
      </c>
      <c r="AI13" s="33">
        <f>'TR TUSD'!$AI$13</f>
        <v>0</v>
      </c>
      <c r="AJ13" s="33">
        <f>'TR TUSD'!$AJ$13</f>
        <v>0</v>
      </c>
      <c r="AK13" s="33">
        <f>'TR TUSD'!$AK$13</f>
        <v>0</v>
      </c>
      <c r="AL13" s="33">
        <f>SUM($AH$13:$AK$13)</f>
        <v>0</v>
      </c>
      <c r="AM13" s="33">
        <f>SUMIF($L$4:$AL$4,"SUBTOTAL",$L$13:$AL$13)</f>
        <v>5.2584</v>
      </c>
      <c r="AP13" s="33"/>
    </row>
    <row r="14" spans="1:42" ht="11.25" customHeight="1" x14ac:dyDescent="0.25">
      <c r="A14" s="116"/>
      <c r="B14" s="116"/>
      <c r="C14" s="116"/>
      <c r="D14" s="116"/>
      <c r="E14" s="116"/>
      <c r="F14" s="37" t="s">
        <v>75</v>
      </c>
      <c r="G14" s="36" t="s">
        <v>9</v>
      </c>
      <c r="H14" s="36" t="s">
        <v>120</v>
      </c>
      <c r="I14" s="36">
        <f>'MERCADO TUSD'!$U$11</f>
        <v>513773</v>
      </c>
      <c r="J14" s="16"/>
      <c r="L14" s="33">
        <f>'TR TUSD'!$L$14</f>
        <v>0</v>
      </c>
      <c r="M14" s="33">
        <f>'TR TUSD'!$M$14</f>
        <v>9.4E-2</v>
      </c>
      <c r="N14" s="33">
        <f>'TR TUSD'!$N$14</f>
        <v>0.2374</v>
      </c>
      <c r="O14" s="33">
        <f>'TR TUSD'!$O$14</f>
        <v>0</v>
      </c>
      <c r="P14" s="33">
        <f>'TR TUSD'!$P$14</f>
        <v>0</v>
      </c>
      <c r="Q14" s="33">
        <f>'TR TUSD'!$Q$14</f>
        <v>0</v>
      </c>
      <c r="R14" s="33">
        <f>'TR TUSD'!$R$14</f>
        <v>0</v>
      </c>
      <c r="S14" s="33">
        <f>'TR TUSD'!$S$14</f>
        <v>0</v>
      </c>
      <c r="T14" s="33">
        <f>SUM($L$14:$S$14)</f>
        <v>0.33140000000000003</v>
      </c>
      <c r="U14" s="33">
        <f>'TR TUSD'!$U$14</f>
        <v>0</v>
      </c>
      <c r="V14" s="33">
        <f>'TR TUSD'!$V$14</f>
        <v>1.7190000000000001</v>
      </c>
      <c r="W14" s="33">
        <f>'TR TUSD'!$W$14</f>
        <v>0</v>
      </c>
      <c r="X14" s="33">
        <f>'TR TUSD'!$X$14</f>
        <v>0</v>
      </c>
      <c r="Y14" s="33">
        <f>'TR TUSD'!$Y$14</f>
        <v>0</v>
      </c>
      <c r="Z14" s="33">
        <f>'TR TUSD'!$Z$14</f>
        <v>0</v>
      </c>
      <c r="AA14" s="33">
        <f>'TR TUSD'!$AA$14</f>
        <v>0.24579999999999999</v>
      </c>
      <c r="AB14" s="33">
        <f>SUM($U$14:$AA$14)</f>
        <v>1.9648000000000001</v>
      </c>
      <c r="AC14" s="33">
        <f>'TR TUSD'!$AC$14</f>
        <v>2.9622000000000002</v>
      </c>
      <c r="AD14" s="33">
        <f>SUM($AC$14:$AC$14)</f>
        <v>2.9622000000000002</v>
      </c>
      <c r="AE14" s="33">
        <v>0</v>
      </c>
      <c r="AF14" s="33">
        <v>0</v>
      </c>
      <c r="AG14" s="33">
        <f>SUM($AE$14:$AF$14)</f>
        <v>0</v>
      </c>
      <c r="AH14" s="33">
        <f>'TR TUSD'!$AH$14</f>
        <v>0</v>
      </c>
      <c r="AI14" s="33">
        <f>'TR TUSD'!$AI$14</f>
        <v>0</v>
      </c>
      <c r="AJ14" s="33">
        <f>'TR TUSD'!$AJ$14</f>
        <v>0</v>
      </c>
      <c r="AK14" s="33">
        <f>'TR TUSD'!$AK$14</f>
        <v>0</v>
      </c>
      <c r="AL14" s="33">
        <f>SUM($AH$14:$AK$14)</f>
        <v>0</v>
      </c>
      <c r="AM14" s="33">
        <f>SUMIF($L$4:$AL$4,"SUBTOTAL",$L$14:$AL$14)</f>
        <v>5.2584</v>
      </c>
      <c r="AP14" s="33"/>
    </row>
    <row r="15" spans="1:42" ht="11.25" customHeight="1" x14ac:dyDescent="0.25">
      <c r="A15" s="116"/>
      <c r="B15" s="116"/>
      <c r="C15" s="116"/>
      <c r="D15" s="116"/>
      <c r="E15" s="116"/>
      <c r="F15" s="37" t="s">
        <v>86</v>
      </c>
      <c r="G15" s="36" t="s">
        <v>9</v>
      </c>
      <c r="H15" s="36" t="s">
        <v>120</v>
      </c>
      <c r="I15" s="36">
        <f>'MERCADO TUSD'!$U$12</f>
        <v>292800</v>
      </c>
      <c r="J15" s="16"/>
      <c r="L15" s="33">
        <f>'TR TUSD'!$L$15</f>
        <v>0</v>
      </c>
      <c r="M15" s="33">
        <f>'TR TUSD'!$M$15</f>
        <v>8.48E-2</v>
      </c>
      <c r="N15" s="33">
        <f>'TR TUSD'!$N$15</f>
        <v>0.21410000000000001</v>
      </c>
      <c r="O15" s="33">
        <f>'TR TUSD'!$O$15</f>
        <v>0</v>
      </c>
      <c r="P15" s="33">
        <f>'TR TUSD'!$P$15</f>
        <v>0</v>
      </c>
      <c r="Q15" s="33">
        <f>'TR TUSD'!$Q$15</f>
        <v>0</v>
      </c>
      <c r="R15" s="33">
        <f>'TR TUSD'!$R$15</f>
        <v>0</v>
      </c>
      <c r="S15" s="33">
        <f>'TR TUSD'!$S$15</f>
        <v>0</v>
      </c>
      <c r="T15" s="33">
        <f>SUM($L$15:$S$15)</f>
        <v>0.2989</v>
      </c>
      <c r="U15" s="33">
        <f>'TR TUSD'!$U$15</f>
        <v>0</v>
      </c>
      <c r="V15" s="33">
        <f>'TR TUSD'!$V$15</f>
        <v>1.5504</v>
      </c>
      <c r="W15" s="33">
        <f>'TR TUSD'!$W$15</f>
        <v>0</v>
      </c>
      <c r="X15" s="33">
        <f>'TR TUSD'!$X$15</f>
        <v>0</v>
      </c>
      <c r="Y15" s="33">
        <f>'TR TUSD'!$Y$15</f>
        <v>0</v>
      </c>
      <c r="Z15" s="33">
        <f>'TR TUSD'!$Z$15</f>
        <v>0</v>
      </c>
      <c r="AA15" s="33">
        <f>'TR TUSD'!$AA$15</f>
        <v>0.24579999999999999</v>
      </c>
      <c r="AB15" s="33">
        <f>SUM($U$15:$AA$15)</f>
        <v>1.7962</v>
      </c>
      <c r="AC15" s="33">
        <f>'TR TUSD'!$AC$15</f>
        <v>2.6717</v>
      </c>
      <c r="AD15" s="33">
        <f>SUM($AC$15:$AC$15)</f>
        <v>2.6717</v>
      </c>
      <c r="AE15" s="33">
        <v>0</v>
      </c>
      <c r="AF15" s="33">
        <v>0</v>
      </c>
      <c r="AG15" s="33">
        <f>SUM($AE$15:$AF$15)</f>
        <v>0</v>
      </c>
      <c r="AH15" s="33">
        <f>'TR TUSD'!$AH$15</f>
        <v>0</v>
      </c>
      <c r="AI15" s="33">
        <f>'TR TUSD'!$AI$15</f>
        <v>0</v>
      </c>
      <c r="AJ15" s="33">
        <f>'TR TUSD'!$AJ$15</f>
        <v>0</v>
      </c>
      <c r="AK15" s="33">
        <f>'TR TUSD'!$AK$15</f>
        <v>0</v>
      </c>
      <c r="AL15" s="33">
        <f>SUM($AH$15:$AK$15)</f>
        <v>0</v>
      </c>
      <c r="AM15" s="33">
        <f>SUMIF($L$4:$AL$4,"SUBTOTAL",$L$15:$AL$15)</f>
        <v>4.7667999999999999</v>
      </c>
      <c r="AP15" s="33"/>
    </row>
    <row r="16" spans="1:42" ht="11.25" customHeight="1" x14ac:dyDescent="0.25">
      <c r="A16" s="116"/>
      <c r="B16" s="116"/>
      <c r="C16" s="116"/>
      <c r="D16" s="116"/>
      <c r="E16" s="116"/>
      <c r="F16" s="37" t="s">
        <v>87</v>
      </c>
      <c r="G16" s="36" t="s">
        <v>9</v>
      </c>
      <c r="H16" s="36" t="s">
        <v>120</v>
      </c>
      <c r="I16" s="36">
        <f>'MERCADO TUSD'!$U$13</f>
        <v>300000</v>
      </c>
      <c r="J16" s="16"/>
      <c r="L16" s="33">
        <f>'TR TUSD'!$L$16</f>
        <v>0</v>
      </c>
      <c r="M16" s="33">
        <f>'TR TUSD'!$M$16</f>
        <v>0.10340000000000001</v>
      </c>
      <c r="N16" s="33">
        <f>'TR TUSD'!$N$16</f>
        <v>0.26119999999999999</v>
      </c>
      <c r="O16" s="33">
        <f>'TR TUSD'!$O$16</f>
        <v>0</v>
      </c>
      <c r="P16" s="33">
        <f>'TR TUSD'!$P$16</f>
        <v>0</v>
      </c>
      <c r="Q16" s="33">
        <f>'TR TUSD'!$Q$16</f>
        <v>0</v>
      </c>
      <c r="R16" s="33">
        <f>'TR TUSD'!$R$16</f>
        <v>0</v>
      </c>
      <c r="S16" s="33">
        <f>'TR TUSD'!$S$16</f>
        <v>0</v>
      </c>
      <c r="T16" s="33">
        <f>SUM($L$16:$S$16)</f>
        <v>0.36459999999999998</v>
      </c>
      <c r="U16" s="33">
        <f>'TR TUSD'!$U$16</f>
        <v>0</v>
      </c>
      <c r="V16" s="33">
        <f>'TR TUSD'!$V$16</f>
        <v>1.8914</v>
      </c>
      <c r="W16" s="33">
        <f>'TR TUSD'!$W$16</f>
        <v>0</v>
      </c>
      <c r="X16" s="33">
        <f>'TR TUSD'!$X$16</f>
        <v>0</v>
      </c>
      <c r="Y16" s="33">
        <f>'TR TUSD'!$Y$16</f>
        <v>0</v>
      </c>
      <c r="Z16" s="33">
        <f>'TR TUSD'!$Z$16</f>
        <v>0</v>
      </c>
      <c r="AA16" s="33">
        <f>'TR TUSD'!$AA$16</f>
        <v>0.24579999999999999</v>
      </c>
      <c r="AB16" s="33">
        <f>SUM($U$16:$AA$16)</f>
        <v>2.1372</v>
      </c>
      <c r="AC16" s="33">
        <f>'TR TUSD'!$AC$16</f>
        <v>3.2593999999999999</v>
      </c>
      <c r="AD16" s="33">
        <f>SUM($AC$16:$AC$16)</f>
        <v>3.2593999999999999</v>
      </c>
      <c r="AE16" s="33">
        <v>0</v>
      </c>
      <c r="AF16" s="33">
        <v>0</v>
      </c>
      <c r="AG16" s="33">
        <f>SUM($AE$16:$AF$16)</f>
        <v>0</v>
      </c>
      <c r="AH16" s="33">
        <f>'TR TUSD'!$AH$16</f>
        <v>0</v>
      </c>
      <c r="AI16" s="33">
        <f>'TR TUSD'!$AI$16</f>
        <v>0</v>
      </c>
      <c r="AJ16" s="33">
        <f>'TR TUSD'!$AJ$16</f>
        <v>0</v>
      </c>
      <c r="AK16" s="33">
        <f>'TR TUSD'!$AK$16</f>
        <v>0</v>
      </c>
      <c r="AL16" s="33">
        <f>SUM($AH$16:$AK$16)</f>
        <v>0</v>
      </c>
      <c r="AM16" s="33">
        <f>SUMIF($L$4:$AL$4,"SUBTOTAL",$L$16:$AL$16)</f>
        <v>5.7611999999999997</v>
      </c>
      <c r="AP16" s="33"/>
    </row>
    <row r="17" spans="1:42" ht="11.25" customHeight="1" x14ac:dyDescent="0.25">
      <c r="A17" s="116"/>
      <c r="B17" s="116"/>
      <c r="C17" s="116"/>
      <c r="D17" s="116"/>
      <c r="E17" s="116"/>
      <c r="F17" s="37" t="s">
        <v>89</v>
      </c>
      <c r="G17" s="36" t="s">
        <v>9</v>
      </c>
      <c r="H17" s="36" t="s">
        <v>120</v>
      </c>
      <c r="I17" s="36">
        <f>'MERCADO TUSD'!$U$14</f>
        <v>151200</v>
      </c>
      <c r="J17" s="16"/>
      <c r="L17" s="33">
        <f>'TR TUSD'!$L$17</f>
        <v>0</v>
      </c>
      <c r="M17" s="33">
        <f>'TR TUSD'!$M$17</f>
        <v>9.9199999999999997E-2</v>
      </c>
      <c r="N17" s="33">
        <f>'TR TUSD'!$N$17</f>
        <v>0.2505</v>
      </c>
      <c r="O17" s="33">
        <f>'TR TUSD'!$O$17</f>
        <v>0</v>
      </c>
      <c r="P17" s="33">
        <f>'TR TUSD'!$P$17</f>
        <v>0</v>
      </c>
      <c r="Q17" s="33">
        <f>'TR TUSD'!$Q$17</f>
        <v>0</v>
      </c>
      <c r="R17" s="33">
        <f>'TR TUSD'!$R$17</f>
        <v>0</v>
      </c>
      <c r="S17" s="33">
        <f>'TR TUSD'!$S$17</f>
        <v>0</v>
      </c>
      <c r="T17" s="33">
        <f>SUM($L$17:$S$17)</f>
        <v>0.34970000000000001</v>
      </c>
      <c r="U17" s="33">
        <f>'TR TUSD'!$U$17</f>
        <v>0</v>
      </c>
      <c r="V17" s="33">
        <f>'TR TUSD'!$V$17</f>
        <v>1.8145</v>
      </c>
      <c r="W17" s="33">
        <f>'TR TUSD'!$W$17</f>
        <v>0</v>
      </c>
      <c r="X17" s="33">
        <f>'TR TUSD'!$X$17</f>
        <v>0</v>
      </c>
      <c r="Y17" s="33">
        <f>'TR TUSD'!$Y$17</f>
        <v>0</v>
      </c>
      <c r="Z17" s="33">
        <f>'TR TUSD'!$Z$17</f>
        <v>0</v>
      </c>
      <c r="AA17" s="33">
        <f>'TR TUSD'!$AA$17</f>
        <v>0.24579999999999999</v>
      </c>
      <c r="AB17" s="33">
        <f>SUM($U$17:$AA$17)</f>
        <v>2.0602999999999998</v>
      </c>
      <c r="AC17" s="33">
        <f>'TR TUSD'!$AC$17</f>
        <v>3.1267</v>
      </c>
      <c r="AD17" s="33">
        <f>SUM($AC$17:$AC$17)</f>
        <v>3.1267</v>
      </c>
      <c r="AE17" s="33">
        <v>0</v>
      </c>
      <c r="AF17" s="33">
        <v>0</v>
      </c>
      <c r="AG17" s="33">
        <f>SUM($AE$17:$AF$17)</f>
        <v>0</v>
      </c>
      <c r="AH17" s="33">
        <f>'TR TUSD'!$AH$17</f>
        <v>0</v>
      </c>
      <c r="AI17" s="33">
        <f>'TR TUSD'!$AI$17</f>
        <v>0</v>
      </c>
      <c r="AJ17" s="33">
        <f>'TR TUSD'!$AJ$17</f>
        <v>0</v>
      </c>
      <c r="AK17" s="33">
        <f>'TR TUSD'!$AK$17</f>
        <v>0</v>
      </c>
      <c r="AL17" s="33">
        <f>SUM($AH$17:$AK$17)</f>
        <v>0</v>
      </c>
      <c r="AM17" s="33">
        <f>SUMIF($L$4:$AL$4,"SUBTOTAL",$L$17:$AL$17)</f>
        <v>5.5366999999999997</v>
      </c>
      <c r="AP17" s="33"/>
    </row>
    <row r="18" spans="1:42" ht="11.25" customHeight="1" x14ac:dyDescent="0.25">
      <c r="A18" s="116"/>
      <c r="B18" s="116"/>
      <c r="C18" s="116"/>
      <c r="D18" s="116"/>
      <c r="E18" s="116"/>
      <c r="F18" s="37" t="s">
        <v>92</v>
      </c>
      <c r="G18" s="36" t="s">
        <v>9</v>
      </c>
      <c r="H18" s="36" t="s">
        <v>120</v>
      </c>
      <c r="I18" s="36">
        <f>'MERCADO TUSD'!$U$15</f>
        <v>97200</v>
      </c>
      <c r="J18" s="16"/>
      <c r="L18" s="33">
        <f>'TR TUSD'!$L$18</f>
        <v>0</v>
      </c>
      <c r="M18" s="33">
        <f>'TR TUSD'!$M$18</f>
        <v>9.2700000000000005E-2</v>
      </c>
      <c r="N18" s="33">
        <f>'TR TUSD'!$N$18</f>
        <v>0.23419999999999999</v>
      </c>
      <c r="O18" s="33">
        <f>'TR TUSD'!$O$18</f>
        <v>0</v>
      </c>
      <c r="P18" s="33">
        <f>'TR TUSD'!$P$18</f>
        <v>0</v>
      </c>
      <c r="Q18" s="33">
        <f>'TR TUSD'!$Q$18</f>
        <v>0</v>
      </c>
      <c r="R18" s="33">
        <f>'TR TUSD'!$R$18</f>
        <v>0</v>
      </c>
      <c r="S18" s="33">
        <f>'TR TUSD'!$S$18</f>
        <v>0</v>
      </c>
      <c r="T18" s="33">
        <f>SUM($L$18:$S$18)</f>
        <v>0.32689999999999997</v>
      </c>
      <c r="U18" s="33">
        <f>'TR TUSD'!$U$18</f>
        <v>0</v>
      </c>
      <c r="V18" s="33">
        <f>'TR TUSD'!$V$18</f>
        <v>1.6959</v>
      </c>
      <c r="W18" s="33">
        <f>'TR TUSD'!$W$18</f>
        <v>0</v>
      </c>
      <c r="X18" s="33">
        <f>'TR TUSD'!$X$18</f>
        <v>0</v>
      </c>
      <c r="Y18" s="33">
        <f>'TR TUSD'!$Y$18</f>
        <v>0</v>
      </c>
      <c r="Z18" s="33">
        <f>'TR TUSD'!$Z$18</f>
        <v>0</v>
      </c>
      <c r="AA18" s="33">
        <f>'TR TUSD'!$AA$18</f>
        <v>0.24579999999999999</v>
      </c>
      <c r="AB18" s="33">
        <f>SUM($U$18:$AA$18)</f>
        <v>1.9417</v>
      </c>
      <c r="AC18" s="33">
        <f>'TR TUSD'!$AC$18</f>
        <v>2.9224000000000001</v>
      </c>
      <c r="AD18" s="33">
        <f>SUM($AC$18:$AC$18)</f>
        <v>2.9224000000000001</v>
      </c>
      <c r="AE18" s="33">
        <v>0</v>
      </c>
      <c r="AF18" s="33">
        <v>0</v>
      </c>
      <c r="AG18" s="33">
        <f>SUM($AE$18:$AF$18)</f>
        <v>0</v>
      </c>
      <c r="AH18" s="33">
        <f>'TR TUSD'!$AH$18</f>
        <v>0</v>
      </c>
      <c r="AI18" s="33">
        <f>'TR TUSD'!$AI$18</f>
        <v>0</v>
      </c>
      <c r="AJ18" s="33">
        <f>'TR TUSD'!$AJ$18</f>
        <v>0</v>
      </c>
      <c r="AK18" s="33">
        <f>'TR TUSD'!$AK$18</f>
        <v>0</v>
      </c>
      <c r="AL18" s="33">
        <f>SUM($AH$18:$AK$18)</f>
        <v>0</v>
      </c>
      <c r="AM18" s="33">
        <f>SUMIF($L$4:$AL$4,"SUBTOTAL",$L$18:$AL$18)</f>
        <v>5.1910000000000007</v>
      </c>
      <c r="AP18" s="33"/>
    </row>
    <row r="19" spans="1:42" ht="11.25" customHeight="1" x14ac:dyDescent="0.25">
      <c r="A19" s="116"/>
      <c r="B19" s="116"/>
      <c r="C19" s="116"/>
      <c r="D19" s="116"/>
      <c r="E19" s="116"/>
      <c r="F19" s="37" t="s">
        <v>124</v>
      </c>
      <c r="G19" s="36" t="s">
        <v>9</v>
      </c>
      <c r="H19" s="36" t="s">
        <v>120</v>
      </c>
      <c r="I19" s="36">
        <f>'MERCADO TUSD'!$U$16</f>
        <v>0</v>
      </c>
      <c r="J19" s="16"/>
      <c r="L19" s="33">
        <f>'TR TUSD'!$L$19</f>
        <v>0</v>
      </c>
      <c r="M19" s="33">
        <f>'TR TUSD'!$M$19</f>
        <v>0.13020000000000001</v>
      </c>
      <c r="N19" s="33">
        <f>'TR TUSD'!$N$19</f>
        <v>0.32869999999999999</v>
      </c>
      <c r="O19" s="33">
        <f>'TR TUSD'!$O$19</f>
        <v>0</v>
      </c>
      <c r="P19" s="33">
        <f>'TR TUSD'!$P$19</f>
        <v>0</v>
      </c>
      <c r="Q19" s="33">
        <f>'TR TUSD'!$Q$19</f>
        <v>0</v>
      </c>
      <c r="R19" s="33">
        <f>'TR TUSD'!$R$19</f>
        <v>0</v>
      </c>
      <c r="S19" s="33">
        <f>'TR TUSD'!$S$19</f>
        <v>0</v>
      </c>
      <c r="T19" s="33">
        <f>SUM($L$19:$S$19)</f>
        <v>0.45889999999999997</v>
      </c>
      <c r="U19" s="33">
        <f>'TR TUSD'!$U$19</f>
        <v>0</v>
      </c>
      <c r="V19" s="33">
        <f>'TR TUSD'!$V$19</f>
        <v>0.90210000000000001</v>
      </c>
      <c r="W19" s="33">
        <f>'TR TUSD'!$W$19</f>
        <v>0.29409999999999997</v>
      </c>
      <c r="X19" s="33">
        <f>'TR TUSD'!$X$19</f>
        <v>0</v>
      </c>
      <c r="Y19" s="33">
        <f>'TR TUSD'!$Y$19</f>
        <v>0</v>
      </c>
      <c r="Z19" s="33">
        <f>'TR TUSD'!$Z$19</f>
        <v>0</v>
      </c>
      <c r="AA19" s="33">
        <f>'TR TUSD'!$AA$19</f>
        <v>0</v>
      </c>
      <c r="AB19" s="33">
        <f>SUM($U$19:$AA$19)</f>
        <v>1.1961999999999999</v>
      </c>
      <c r="AC19" s="33">
        <f>'TR TUSD'!$AC$19</f>
        <v>3.5579000000000001</v>
      </c>
      <c r="AD19" s="33">
        <f>SUM($AC$19:$AC$19)</f>
        <v>3.5579000000000001</v>
      </c>
      <c r="AE19" s="33">
        <v>0</v>
      </c>
      <c r="AF19" s="33">
        <v>0</v>
      </c>
      <c r="AG19" s="33">
        <f>SUM($AE$19:$AF$19)</f>
        <v>0</v>
      </c>
      <c r="AH19" s="33">
        <f>'TR TUSD'!$AH$19</f>
        <v>0</v>
      </c>
      <c r="AI19" s="33">
        <f>'TR TUSD'!$AI$19</f>
        <v>0</v>
      </c>
      <c r="AJ19" s="33">
        <f>'TR TUSD'!$AJ$19</f>
        <v>0</v>
      </c>
      <c r="AK19" s="33">
        <f>'TR TUSD'!$AK$19</f>
        <v>0</v>
      </c>
      <c r="AL19" s="33">
        <f>SUM($AH$19:$AK$19)</f>
        <v>0</v>
      </c>
      <c r="AM19" s="33">
        <f>SUMIF($L$4:$AL$4,"SUBTOTAL",$L$19:$AL$19)</f>
        <v>5.2130000000000001</v>
      </c>
      <c r="AP19" s="33"/>
    </row>
    <row r="20" spans="1:42" ht="11.25" customHeight="1" x14ac:dyDescent="0.25">
      <c r="A20" s="116" t="s">
        <v>39</v>
      </c>
      <c r="B20" s="116" t="s">
        <v>40</v>
      </c>
      <c r="C20" s="116" t="s">
        <v>25</v>
      </c>
      <c r="D20" s="116" t="s">
        <v>25</v>
      </c>
      <c r="E20" s="116" t="s">
        <v>25</v>
      </c>
      <c r="F20" s="116" t="s">
        <v>25</v>
      </c>
      <c r="G20" s="36" t="s">
        <v>121</v>
      </c>
      <c r="H20" s="36" t="s">
        <v>120</v>
      </c>
      <c r="I20" s="36">
        <f>'MERCADO TUSD'!$U$17</f>
        <v>180459</v>
      </c>
      <c r="J20" s="16"/>
      <c r="L20" s="33">
        <f>'TR TUSD'!$L$20*'TR TUSD'!$L$83</f>
        <v>0</v>
      </c>
      <c r="M20" s="33">
        <f>'TR TUSD'!$M$20*'TR TUSD'!$M$83</f>
        <v>0</v>
      </c>
      <c r="N20" s="33">
        <f ca="1">'TR TUSD'!$N$20*'TR TUSD'!$N$83</f>
        <v>0</v>
      </c>
      <c r="O20" s="33">
        <f>'TR TUSD'!$O$20*'TR TUSD'!$O$83</f>
        <v>0</v>
      </c>
      <c r="P20" s="33">
        <f>'TR TUSD'!$P$20*'TR TUSD'!$P$83</f>
        <v>0</v>
      </c>
      <c r="Q20" s="33">
        <f>'TR TUSD'!$Q$20*'TR TUSD'!$Q$83</f>
        <v>0</v>
      </c>
      <c r="R20" s="33">
        <f>'TR TUSD'!$R$20*'TR TUSD'!$R$83</f>
        <v>0</v>
      </c>
      <c r="S20" s="33">
        <f>'TR TUSD'!$S$20*'TR TUSD'!$S$83</f>
        <v>0</v>
      </c>
      <c r="T20" s="33">
        <f ca="1">SUM($L$20:$S$20)</f>
        <v>0</v>
      </c>
      <c r="U20" s="33">
        <f>'TR TUSD'!$U$20*'TR TUSD'!$U$83</f>
        <v>2.6101136317670668</v>
      </c>
      <c r="V20" s="33">
        <f>'TR TUSD'!$V$20*'TR TUSD'!$V$83</f>
        <v>3.7018315631608699E-2</v>
      </c>
      <c r="W20" s="33">
        <f>'TR TUSD'!$W$20*'TR TUSD'!$W$83</f>
        <v>0</v>
      </c>
      <c r="X20" s="33">
        <f>'TR TUSD'!$X$20*'TR TUSD'!$X$83</f>
        <v>0</v>
      </c>
      <c r="Y20" s="33">
        <f>'TR TUSD'!$Y$20*'TR TUSD'!$Y$83</f>
        <v>11.288524316778565</v>
      </c>
      <c r="Z20" s="33">
        <f>'TR TUSD'!$Z$20</f>
        <v>0</v>
      </c>
      <c r="AA20" s="33">
        <f>'TR TUSD'!$AA$20</f>
        <v>0</v>
      </c>
      <c r="AB20" s="33">
        <f>SUM($U$20:$AA$20)</f>
        <v>13.93565626417724</v>
      </c>
      <c r="AC20" s="33">
        <f>'TR TUSD'!$AC$20*'TR TUSD'!$AC$83</f>
        <v>13.502797821391955</v>
      </c>
      <c r="AD20" s="33">
        <f>SUM($AC$20:$AC$20)</f>
        <v>13.502797821391955</v>
      </c>
      <c r="AE20" s="33">
        <v>0</v>
      </c>
      <c r="AF20" s="33">
        <v>0</v>
      </c>
      <c r="AG20" s="33">
        <f>SUM($AE$20:$AF$20)</f>
        <v>0</v>
      </c>
      <c r="AH20" s="33">
        <f>'TR TUSD'!$AH$20*'TR TUSD'!$AH$83</f>
        <v>0</v>
      </c>
      <c r="AI20" s="33">
        <f>'TR TUSD'!$AI$20*'TR TUSD'!$AI$83</f>
        <v>0</v>
      </c>
      <c r="AJ20" s="33">
        <f ca="1">'TR TUSD'!$AJ$20*'TR TUSD'!$AJ$83</f>
        <v>0</v>
      </c>
      <c r="AK20" s="33">
        <f ca="1">'TR TUSD'!$AK$20*'TR TUSD'!$AK$83</f>
        <v>0</v>
      </c>
      <c r="AL20" s="33">
        <f ca="1">SUM($AH$20:$AK$20)</f>
        <v>0</v>
      </c>
      <c r="AM20" s="33">
        <f ca="1">SUMIF($L$4:$AL$4,"SUBTOTAL",$L$20:$AL$20)</f>
        <v>27.438454085569195</v>
      </c>
      <c r="AP20" s="33">
        <v>1</v>
      </c>
    </row>
    <row r="21" spans="1:42" ht="11.25" customHeight="1" x14ac:dyDescent="0.25">
      <c r="A21" s="116"/>
      <c r="B21" s="116"/>
      <c r="C21" s="116"/>
      <c r="D21" s="116"/>
      <c r="E21" s="116"/>
      <c r="F21" s="116"/>
      <c r="G21" s="36" t="s">
        <v>122</v>
      </c>
      <c r="H21" s="36" t="s">
        <v>120</v>
      </c>
      <c r="I21" s="36">
        <f>'MERCADO TUSD'!$U$18</f>
        <v>183466</v>
      </c>
      <c r="J21" s="16"/>
      <c r="L21" s="33">
        <f>'TR TUSD'!$L$21*'TR TUSD'!$L$83</f>
        <v>0</v>
      </c>
      <c r="M21" s="33">
        <f>'TR TUSD'!$M$21*'TR TUSD'!$M$83</f>
        <v>0</v>
      </c>
      <c r="N21" s="33">
        <f ca="1">'TR TUSD'!$N$21*'TR TUSD'!$N$83</f>
        <v>0</v>
      </c>
      <c r="O21" s="33">
        <f>'TR TUSD'!$O$21*'TR TUSD'!$O$83</f>
        <v>0</v>
      </c>
      <c r="P21" s="33">
        <f>'TR TUSD'!$P$21*'TR TUSD'!$P$83</f>
        <v>0</v>
      </c>
      <c r="Q21" s="33">
        <f>'TR TUSD'!$Q$21*'TR TUSD'!$Q$83</f>
        <v>0</v>
      </c>
      <c r="R21" s="33">
        <f>'TR TUSD'!$R$21*'TR TUSD'!$R$83</f>
        <v>0</v>
      </c>
      <c r="S21" s="33">
        <f>'TR TUSD'!$S$21*'TR TUSD'!$S$83</f>
        <v>0</v>
      </c>
      <c r="T21" s="33">
        <f ca="1">SUM($L$21:$S$21)</f>
        <v>0</v>
      </c>
      <c r="U21" s="33">
        <f>'TR TUSD'!$U$21*'TR TUSD'!$U$83</f>
        <v>2.3406289637839399</v>
      </c>
      <c r="V21" s="33">
        <f>'TR TUSD'!$V$21*'TR TUSD'!$V$83</f>
        <v>3.3737720276736188E-2</v>
      </c>
      <c r="W21" s="33">
        <f>'TR TUSD'!$W$21*'TR TUSD'!$W$83</f>
        <v>0</v>
      </c>
      <c r="X21" s="33">
        <f>'TR TUSD'!$X$21*'TR TUSD'!$X$83</f>
        <v>0</v>
      </c>
      <c r="Y21" s="33">
        <f>'TR TUSD'!$Y$21*'TR TUSD'!$Y$83</f>
        <v>7.0386691067794018</v>
      </c>
      <c r="Z21" s="33">
        <f>'TR TUSD'!$Z$21</f>
        <v>0</v>
      </c>
      <c r="AA21" s="33">
        <f>'TR TUSD'!$AA$21</f>
        <v>0</v>
      </c>
      <c r="AB21" s="33">
        <f>SUM($U$21:$AA$21)</f>
        <v>9.4130357908400786</v>
      </c>
      <c r="AC21" s="33">
        <f>'TR TUSD'!$AC$21*'TR TUSD'!$AC$83</f>
        <v>1.3502686633260916</v>
      </c>
      <c r="AD21" s="33">
        <f>SUM($AC$21:$AC$21)</f>
        <v>1.3502686633260916</v>
      </c>
      <c r="AE21" s="33">
        <v>0</v>
      </c>
      <c r="AF21" s="33">
        <v>0</v>
      </c>
      <c r="AG21" s="33">
        <f>SUM($AE$21:$AF$21)</f>
        <v>0</v>
      </c>
      <c r="AH21" s="33">
        <f>'TR TUSD'!$AH$21*'TR TUSD'!$AH$83</f>
        <v>0</v>
      </c>
      <c r="AI21" s="33">
        <f>'TR TUSD'!$AI$21*'TR TUSD'!$AI$83</f>
        <v>0</v>
      </c>
      <c r="AJ21" s="33">
        <f ca="1">'TR TUSD'!$AJ$21*'TR TUSD'!$AJ$83</f>
        <v>0</v>
      </c>
      <c r="AK21" s="33">
        <f ca="1">'TR TUSD'!$AK$21*'TR TUSD'!$AK$83</f>
        <v>0</v>
      </c>
      <c r="AL21" s="33">
        <f ca="1">SUM($AH$21:$AK$21)</f>
        <v>0</v>
      </c>
      <c r="AM21" s="33">
        <f ca="1">SUMIF($L$4:$AL$4,"SUBTOTAL",$L$21:$AL$21)</f>
        <v>10.763304454166171</v>
      </c>
      <c r="AP21" s="33">
        <v>1</v>
      </c>
    </row>
    <row r="22" spans="1:42" ht="11.25" customHeight="1" x14ac:dyDescent="0.25">
      <c r="A22" s="116"/>
      <c r="B22" s="116"/>
      <c r="C22" s="116"/>
      <c r="D22" s="116"/>
      <c r="E22" s="116"/>
      <c r="F22" s="116"/>
      <c r="G22" s="36" t="s">
        <v>123</v>
      </c>
      <c r="H22" s="36" t="s">
        <v>117</v>
      </c>
      <c r="I22" s="36">
        <f>'MERCADO TUSD'!$U$19</f>
        <v>99874.462</v>
      </c>
      <c r="J22" s="16"/>
      <c r="L22" s="33">
        <f>'TR TUSD'!$L$22*'TR TUSD'!$L$83</f>
        <v>3.8464845550853299</v>
      </c>
      <c r="M22" s="33">
        <f>'TR TUSD'!$M$22*'TR TUSD'!$M$83</f>
        <v>0.11085288037338149</v>
      </c>
      <c r="N22" s="33">
        <f ca="1">'TR TUSD'!$N$22*'TR TUSD'!$N$83</f>
        <v>0.31731933892020464</v>
      </c>
      <c r="O22" s="33">
        <f>'TR TUSD'!$O$22*'TR TUSD'!$O$83</f>
        <v>-5.032809553728302E-3</v>
      </c>
      <c r="P22" s="33">
        <f>'TR TUSD'!$P$22*'TR TUSD'!$P$83</f>
        <v>0</v>
      </c>
      <c r="Q22" s="33">
        <f>'TR TUSD'!$Q$22*'TR TUSD'!$Q$83</f>
        <v>57.924997111396216</v>
      </c>
      <c r="R22" s="33">
        <f>'TR TUSD'!$R$22*'TR TUSD'!$R$83</f>
        <v>14.902150200061627</v>
      </c>
      <c r="S22" s="33">
        <f>'TR TUSD'!$S$22*'TR TUSD'!$S$83</f>
        <v>0</v>
      </c>
      <c r="T22" s="33">
        <f ca="1">SUM($L$22:$S$22)</f>
        <v>77.096771276283022</v>
      </c>
      <c r="U22" s="33">
        <f>'TR TUSD'!$U$22*'TR TUSD'!$U$83</f>
        <v>0</v>
      </c>
      <c r="V22" s="33">
        <f>'TR TUSD'!$V$22*'TR TUSD'!$V$83</f>
        <v>0</v>
      </c>
      <c r="W22" s="33">
        <f>'TR TUSD'!$W$22*'TR TUSD'!$W$83</f>
        <v>0</v>
      </c>
      <c r="X22" s="33">
        <f>'TR TUSD'!$X$22*'TR TUSD'!$X$83</f>
        <v>0</v>
      </c>
      <c r="Y22" s="33">
        <f>'TR TUSD'!$Y$22*'TR TUSD'!$Y$83</f>
        <v>0</v>
      </c>
      <c r="Z22" s="33">
        <f>'TR TUSD'!$Z$22</f>
        <v>0</v>
      </c>
      <c r="AA22" s="33">
        <f>'TR TUSD'!$AA$22</f>
        <v>0</v>
      </c>
      <c r="AB22" s="33">
        <f>SUM($U$22:$AA$22)</f>
        <v>0</v>
      </c>
      <c r="AC22" s="33">
        <f>'TR TUSD'!$AC$22*'TR TUSD'!$AC$83</f>
        <v>0</v>
      </c>
      <c r="AD22" s="33">
        <f>SUM($AC$22:$AC$22)</f>
        <v>0</v>
      </c>
      <c r="AE22" s="33">
        <v>0</v>
      </c>
      <c r="AF22" s="33">
        <v>0</v>
      </c>
      <c r="AG22" s="33">
        <f>SUM($AE$22:$AF$22)</f>
        <v>0</v>
      </c>
      <c r="AH22" s="33">
        <f>'TR TUSD'!$AH$22*'TR TUSD'!$AH$83</f>
        <v>12.910056965694501</v>
      </c>
      <c r="AI22" s="33">
        <f>'TR TUSD'!$AI$22*'TR TUSD'!$AI$83</f>
        <v>2.8665538332066986E-2</v>
      </c>
      <c r="AJ22" s="33">
        <f ca="1">'TR TUSD'!$AJ$22*'TR TUSD'!$AJ$83</f>
        <v>0.32720658891025345</v>
      </c>
      <c r="AK22" s="33">
        <f ca="1">'TR TUSD'!$AK$22*'TR TUSD'!$AK$83</f>
        <v>1.9605524837355968</v>
      </c>
      <c r="AL22" s="33">
        <f ca="1">SUM($AH$22:$AK$22)</f>
        <v>15.22648157667242</v>
      </c>
      <c r="AM22" s="33">
        <f ca="1">SUMIF($L$4:$AL$4,"SUBTOTAL",$L$22:$AL$22)</f>
        <v>92.323252852955449</v>
      </c>
      <c r="AP22" s="33">
        <v>1</v>
      </c>
    </row>
    <row r="23" spans="1:42" ht="11.25" customHeight="1" x14ac:dyDescent="0.25">
      <c r="A23" s="116"/>
      <c r="B23" s="116"/>
      <c r="C23" s="116"/>
      <c r="D23" s="116"/>
      <c r="E23" s="37" t="s">
        <v>61</v>
      </c>
      <c r="F23" s="37" t="s">
        <v>25</v>
      </c>
      <c r="G23" s="36" t="s">
        <v>123</v>
      </c>
      <c r="H23" s="36" t="s">
        <v>117</v>
      </c>
      <c r="I23" s="36">
        <f>'MERCADO TUSD'!$U$20</f>
        <v>0</v>
      </c>
      <c r="J23" s="16"/>
      <c r="L23" s="33">
        <f>'TR TUSD'!$L$23*'TR TUSD'!$L$83</f>
        <v>0</v>
      </c>
      <c r="M23" s="33">
        <f>'TR TUSD'!$M$23*'TR TUSD'!$M$83</f>
        <v>0.11085288037338149</v>
      </c>
      <c r="N23" s="33">
        <f ca="1">'TR TUSD'!$N$23*'TR TUSD'!$N$83</f>
        <v>0.30566077990534335</v>
      </c>
      <c r="O23" s="33">
        <f>'TR TUSD'!$O$23*'TR TUSD'!$O$83</f>
        <v>-5.032809553728302E-3</v>
      </c>
      <c r="P23" s="33">
        <f>'TR TUSD'!$P$23*'TR TUSD'!$P$83</f>
        <v>0</v>
      </c>
      <c r="Q23" s="33">
        <f>'TR TUSD'!$Q$23*'TR TUSD'!$Q$83</f>
        <v>0</v>
      </c>
      <c r="R23" s="33">
        <f>'TR TUSD'!$R$23*'TR TUSD'!$R$83</f>
        <v>0</v>
      </c>
      <c r="S23" s="33">
        <f>'TR TUSD'!$S$23*'TR TUSD'!$S$83</f>
        <v>0</v>
      </c>
      <c r="T23" s="33">
        <f ca="1">SUM($L$23:$S$23)</f>
        <v>0.41148085072499652</v>
      </c>
      <c r="U23" s="33">
        <f>'TR TUSD'!$U$23*'TR TUSD'!$U$83</f>
        <v>0</v>
      </c>
      <c r="V23" s="33">
        <f>'TR TUSD'!$V$23*'TR TUSD'!$V$83</f>
        <v>0</v>
      </c>
      <c r="W23" s="33">
        <f>'TR TUSD'!$W$23*'TR TUSD'!$W$83</f>
        <v>0</v>
      </c>
      <c r="X23" s="33">
        <f>'TR TUSD'!$X$23*'TR TUSD'!$X$83</f>
        <v>0</v>
      </c>
      <c r="Y23" s="33">
        <f>'TR TUSD'!$Y$23*'TR TUSD'!$Y$83</f>
        <v>0</v>
      </c>
      <c r="Z23" s="33">
        <f>'TR TUSD'!$Z$23</f>
        <v>0</v>
      </c>
      <c r="AA23" s="33">
        <f>'TR TUSD'!$AA$23</f>
        <v>0</v>
      </c>
      <c r="AB23" s="33">
        <f>SUM($U$23:$AA$23)</f>
        <v>0</v>
      </c>
      <c r="AC23" s="33">
        <f>'TR TUSD'!$AC$23*'TR TUSD'!$AC$83</f>
        <v>0</v>
      </c>
      <c r="AD23" s="33">
        <f>SUM($AC$23:$AC$23)</f>
        <v>0</v>
      </c>
      <c r="AE23" s="33">
        <v>0</v>
      </c>
      <c r="AF23" s="33">
        <v>0</v>
      </c>
      <c r="AG23" s="33">
        <f>SUM($AE$23:$AF$23)</f>
        <v>0</v>
      </c>
      <c r="AH23" s="33">
        <f>'TR TUSD'!$AH$23*'TR TUSD'!$AH$83</f>
        <v>12.910056965694501</v>
      </c>
      <c r="AI23" s="33">
        <f>'TR TUSD'!$AI$23*'TR TUSD'!$AI$83</f>
        <v>2.8665538332066986E-2</v>
      </c>
      <c r="AJ23" s="33">
        <f ca="1">'TR TUSD'!$AJ$23*'TR TUSD'!$AJ$83</f>
        <v>0.32720658891025345</v>
      </c>
      <c r="AK23" s="33">
        <f ca="1">'TR TUSD'!$AK$23*'TR TUSD'!$AK$83</f>
        <v>1.9605524837355968</v>
      </c>
      <c r="AL23" s="33">
        <f ca="1">SUM($AH$23:$AK$23)</f>
        <v>15.22648157667242</v>
      </c>
      <c r="AM23" s="33">
        <f ca="1">SUMIF($L$4:$AL$4,"SUBTOTAL",$L$23:$AL$23)</f>
        <v>15.637962427397417</v>
      </c>
      <c r="AP23" s="33">
        <v>1</v>
      </c>
    </row>
    <row r="24" spans="1:42" ht="11.25" customHeight="1" x14ac:dyDescent="0.25">
      <c r="A24" s="116"/>
      <c r="B24" s="37" t="s">
        <v>64</v>
      </c>
      <c r="C24" s="37" t="s">
        <v>25</v>
      </c>
      <c r="D24" s="37" t="s">
        <v>25</v>
      </c>
      <c r="E24" s="37" t="s">
        <v>25</v>
      </c>
      <c r="F24" s="37" t="s">
        <v>25</v>
      </c>
      <c r="G24" s="36" t="s">
        <v>9</v>
      </c>
      <c r="H24" s="36" t="s">
        <v>120</v>
      </c>
      <c r="I24" s="36">
        <f>'MERCADO TUSD'!$U$21</f>
        <v>866358</v>
      </c>
      <c r="J24" s="16"/>
      <c r="L24" s="33">
        <f>'TR TUSD'!$L$24</f>
        <v>0</v>
      </c>
      <c r="M24" s="33">
        <f>'TR TUSD'!$M$24</f>
        <v>3.7937506807275166E-2</v>
      </c>
      <c r="N24" s="33">
        <f>'TR TUSD'!$N$24</f>
        <v>0.11401607511965102</v>
      </c>
      <c r="O24" s="33">
        <f>'TR TUSD'!$O$24</f>
        <v>8.7835537972141969E-3</v>
      </c>
      <c r="P24" s="33">
        <f>'TR TUSD'!$P$24</f>
        <v>0</v>
      </c>
      <c r="Q24" s="33">
        <f>'TR TUSD'!$Q$24</f>
        <v>0</v>
      </c>
      <c r="R24" s="33">
        <f>'TR TUSD'!$R$24</f>
        <v>0</v>
      </c>
      <c r="S24" s="33">
        <f>'TR TUSD'!$S$24</f>
        <v>0</v>
      </c>
      <c r="T24" s="33">
        <f>SUM($L$24:$S$24)</f>
        <v>0.16073713572414039</v>
      </c>
      <c r="U24" s="33">
        <f>'TR TUSD'!$U$24</f>
        <v>0</v>
      </c>
      <c r="V24" s="33">
        <f>'TR TUSD'!$V$24</f>
        <v>0</v>
      </c>
      <c r="W24" s="33">
        <f>'TR TUSD'!$W$24</f>
        <v>0</v>
      </c>
      <c r="X24" s="33">
        <f>'TR TUSD'!$X$24</f>
        <v>0</v>
      </c>
      <c r="Y24" s="33">
        <f>'TR TUSD'!$Y$24</f>
        <v>13.088210849474869</v>
      </c>
      <c r="Z24" s="33">
        <f>'TR TUSD'!$Z$24</f>
        <v>0</v>
      </c>
      <c r="AA24" s="33">
        <f>'TR TUSD'!$AA$24</f>
        <v>0</v>
      </c>
      <c r="AB24" s="33">
        <f>SUM($U$24:$AA$24)</f>
        <v>13.088210849474869</v>
      </c>
      <c r="AC24" s="33">
        <f>'TR TUSD'!$AC$24</f>
        <v>6.6121435824856709</v>
      </c>
      <c r="AD24" s="33">
        <f>SUM($AC$24:$AC$24)</f>
        <v>6.6121435824856709</v>
      </c>
      <c r="AE24" s="33">
        <v>0</v>
      </c>
      <c r="AF24" s="33">
        <v>0</v>
      </c>
      <c r="AG24" s="33">
        <f>SUM($AE$24:$AF$24)</f>
        <v>0</v>
      </c>
      <c r="AH24" s="33">
        <f>'TR TUSD'!$AH$24</f>
        <v>0.7106340850448003</v>
      </c>
      <c r="AI24" s="33">
        <f>'TR TUSD'!$AI$24</f>
        <v>0.165545836364384</v>
      </c>
      <c r="AJ24" s="33">
        <f>'TR TUSD'!$AJ$24</f>
        <v>0</v>
      </c>
      <c r="AK24" s="33">
        <f>'TR TUSD'!$AK$24</f>
        <v>0</v>
      </c>
      <c r="AL24" s="33">
        <f>SUM($AH$24:$AK$24)</f>
        <v>0.87617992140918433</v>
      </c>
      <c r="AM24" s="33">
        <f>SUMIF($L$4:$AL$4,"SUBTOTAL",$L$24:$AL$24)</f>
        <v>20.737271489093867</v>
      </c>
      <c r="AP24" s="33"/>
    </row>
    <row r="25" spans="1:42" ht="11.25" customHeight="1" x14ac:dyDescent="0.25">
      <c r="A25" s="116" t="s">
        <v>41</v>
      </c>
      <c r="B25" s="116" t="s">
        <v>40</v>
      </c>
      <c r="C25" s="116" t="s">
        <v>25</v>
      </c>
      <c r="D25" s="116" t="s">
        <v>25</v>
      </c>
      <c r="E25" s="116" t="s">
        <v>25</v>
      </c>
      <c r="F25" s="116" t="s">
        <v>25</v>
      </c>
      <c r="G25" s="36" t="s">
        <v>121</v>
      </c>
      <c r="H25" s="36" t="s">
        <v>120</v>
      </c>
      <c r="I25" s="36">
        <f>'MERCADO TUSD'!$U$22</f>
        <v>269137</v>
      </c>
      <c r="J25" s="16"/>
      <c r="L25" s="33">
        <f>'TR TUSD'!$L$25*'TR TUSD'!$L$83</f>
        <v>0</v>
      </c>
      <c r="M25" s="33">
        <f>'TR TUSD'!$M$25*'TR TUSD'!$M$83</f>
        <v>0</v>
      </c>
      <c r="N25" s="33">
        <f ca="1">'TR TUSD'!$N$25*'TR TUSD'!$N$83</f>
        <v>0</v>
      </c>
      <c r="O25" s="33">
        <f>'TR TUSD'!$O$25*'TR TUSD'!$O$83</f>
        <v>0</v>
      </c>
      <c r="P25" s="33">
        <f>'TR TUSD'!$P$25*'TR TUSD'!$P$83</f>
        <v>0</v>
      </c>
      <c r="Q25" s="33">
        <f>'TR TUSD'!$Q$25*'TR TUSD'!$Q$83</f>
        <v>0</v>
      </c>
      <c r="R25" s="33">
        <f>'TR TUSD'!$R$25*'TR TUSD'!$R$83</f>
        <v>0</v>
      </c>
      <c r="S25" s="33">
        <f>'TR TUSD'!$S$25*'TR TUSD'!$S$83</f>
        <v>0</v>
      </c>
      <c r="T25" s="33">
        <f ca="1">SUM($L$25:$S$25)</f>
        <v>0</v>
      </c>
      <c r="U25" s="33">
        <f>'TR TUSD'!$U$25*'TR TUSD'!$U$83</f>
        <v>2.619921106569076</v>
      </c>
      <c r="V25" s="33">
        <f>'TR TUSD'!$V$25*'TR TUSD'!$V$83</f>
        <v>3.7154198279443648E-2</v>
      </c>
      <c r="W25" s="33">
        <f>'TR TUSD'!$W$25*'TR TUSD'!$W$83</f>
        <v>0</v>
      </c>
      <c r="X25" s="33">
        <f>'TR TUSD'!$X$25*'TR TUSD'!$X$83</f>
        <v>0</v>
      </c>
      <c r="Y25" s="33">
        <f>'TR TUSD'!$Y$25*'TR TUSD'!$Y$83</f>
        <v>11.464882507054464</v>
      </c>
      <c r="Z25" s="33">
        <f>'TR TUSD'!$Z$25</f>
        <v>0</v>
      </c>
      <c r="AA25" s="33">
        <f>'TR TUSD'!$AA$25</f>
        <v>0</v>
      </c>
      <c r="AB25" s="33">
        <f>SUM($U$25:$AA$25)</f>
        <v>14.121957811902984</v>
      </c>
      <c r="AC25" s="33">
        <f>'TR TUSD'!$AC$25*'TR TUSD'!$AC$83</f>
        <v>60.175350082186334</v>
      </c>
      <c r="AD25" s="33">
        <f>SUM($AC$25:$AC$25)</f>
        <v>60.175350082186334</v>
      </c>
      <c r="AE25" s="33">
        <v>0</v>
      </c>
      <c r="AF25" s="33">
        <v>0</v>
      </c>
      <c r="AG25" s="33">
        <f>SUM($AE$25:$AF$25)</f>
        <v>0</v>
      </c>
      <c r="AH25" s="33">
        <f>'TR TUSD'!$AH$25*'TR TUSD'!$AH$83</f>
        <v>0</v>
      </c>
      <c r="AI25" s="33">
        <f>'TR TUSD'!$AI$25*'TR TUSD'!$AI$83</f>
        <v>0</v>
      </c>
      <c r="AJ25" s="33">
        <f ca="1">'TR TUSD'!$AJ$25*'TR TUSD'!$AJ$83</f>
        <v>0</v>
      </c>
      <c r="AK25" s="33">
        <f ca="1">'TR TUSD'!$AK$25*'TR TUSD'!$AK$83</f>
        <v>0</v>
      </c>
      <c r="AL25" s="33">
        <f ca="1">SUM($AH$25:$AK$25)</f>
        <v>0</v>
      </c>
      <c r="AM25" s="33">
        <f ca="1">SUMIF($L$4:$AL$4,"SUBTOTAL",$L$25:$AL$25)</f>
        <v>74.297307894089315</v>
      </c>
      <c r="AP25" s="33">
        <v>1</v>
      </c>
    </row>
    <row r="26" spans="1:42" ht="11.25" customHeight="1" x14ac:dyDescent="0.25">
      <c r="A26" s="116"/>
      <c r="B26" s="116"/>
      <c r="C26" s="116"/>
      <c r="D26" s="116"/>
      <c r="E26" s="116"/>
      <c r="F26" s="116"/>
      <c r="G26" s="36" t="s">
        <v>122</v>
      </c>
      <c r="H26" s="36" t="s">
        <v>120</v>
      </c>
      <c r="I26" s="36">
        <f>'MERCADO TUSD'!$U$23</f>
        <v>306985</v>
      </c>
      <c r="J26" s="16"/>
      <c r="L26" s="33">
        <f>'TR TUSD'!$L$26*'TR TUSD'!$L$83</f>
        <v>0</v>
      </c>
      <c r="M26" s="33">
        <f>'TR TUSD'!$M$26*'TR TUSD'!$M$83</f>
        <v>0</v>
      </c>
      <c r="N26" s="33">
        <f ca="1">'TR TUSD'!$N$26*'TR TUSD'!$N$83</f>
        <v>0</v>
      </c>
      <c r="O26" s="33">
        <f>'TR TUSD'!$O$26*'TR TUSD'!$O$83</f>
        <v>0</v>
      </c>
      <c r="P26" s="33">
        <f>'TR TUSD'!$P$26*'TR TUSD'!$P$83</f>
        <v>0</v>
      </c>
      <c r="Q26" s="33">
        <f>'TR TUSD'!$Q$26*'TR TUSD'!$Q$83</f>
        <v>0</v>
      </c>
      <c r="R26" s="33">
        <f>'TR TUSD'!$R$26*'TR TUSD'!$R$83</f>
        <v>0</v>
      </c>
      <c r="S26" s="33">
        <f>'TR TUSD'!$S$26*'TR TUSD'!$S$83</f>
        <v>0</v>
      </c>
      <c r="T26" s="33">
        <f ca="1">SUM($L$26:$S$26)</f>
        <v>0</v>
      </c>
      <c r="U26" s="33">
        <f>'TR TUSD'!$U$26*'TR TUSD'!$U$83</f>
        <v>2.2133085026155181</v>
      </c>
      <c r="V26" s="33">
        <f>'TR TUSD'!$V$26*'TR TUSD'!$V$83</f>
        <v>3.1903304530964287E-2</v>
      </c>
      <c r="W26" s="33">
        <f>'TR TUSD'!$W$26*'TR TUSD'!$W$83</f>
        <v>0</v>
      </c>
      <c r="X26" s="33">
        <f>'TR TUSD'!$X$26*'TR TUSD'!$X$83</f>
        <v>0</v>
      </c>
      <c r="Y26" s="33">
        <f>'TR TUSD'!$Y$26*'TR TUSD'!$Y$83</f>
        <v>6.7226416303614771</v>
      </c>
      <c r="Z26" s="33">
        <f>'TR TUSD'!$Z$26</f>
        <v>0</v>
      </c>
      <c r="AA26" s="33">
        <f>'TR TUSD'!$AA$26</f>
        <v>0</v>
      </c>
      <c r="AB26" s="33">
        <f>SUM($U$26:$AA$26)</f>
        <v>8.9678534375079586</v>
      </c>
      <c r="AC26" s="33">
        <f>'TR TUSD'!$AC$26*'TR TUSD'!$AC$83</f>
        <v>19.969499522565005</v>
      </c>
      <c r="AD26" s="33">
        <f>SUM($AC$26:$AC$26)</f>
        <v>19.969499522565005</v>
      </c>
      <c r="AE26" s="33">
        <v>0</v>
      </c>
      <c r="AF26" s="33">
        <v>0</v>
      </c>
      <c r="AG26" s="33">
        <f>SUM($AE$26:$AF$26)</f>
        <v>0</v>
      </c>
      <c r="AH26" s="33">
        <f>'TR TUSD'!$AH$26*'TR TUSD'!$AH$83</f>
        <v>0</v>
      </c>
      <c r="AI26" s="33">
        <f>'TR TUSD'!$AI$26*'TR TUSD'!$AI$83</f>
        <v>0</v>
      </c>
      <c r="AJ26" s="33">
        <f ca="1">'TR TUSD'!$AJ$26*'TR TUSD'!$AJ$83</f>
        <v>0</v>
      </c>
      <c r="AK26" s="33">
        <f ca="1">'TR TUSD'!$AK$26*'TR TUSD'!$AK$83</f>
        <v>0</v>
      </c>
      <c r="AL26" s="33">
        <f ca="1">SUM($AH$26:$AK$26)</f>
        <v>0</v>
      </c>
      <c r="AM26" s="33">
        <f ca="1">SUMIF($L$4:$AL$4,"SUBTOTAL",$L$26:$AL$26)</f>
        <v>28.937352960072964</v>
      </c>
      <c r="AP26" s="33">
        <v>1</v>
      </c>
    </row>
    <row r="27" spans="1:42" ht="11.25" customHeight="1" x14ac:dyDescent="0.25">
      <c r="A27" s="116"/>
      <c r="B27" s="116"/>
      <c r="C27" s="116"/>
      <c r="D27" s="116"/>
      <c r="E27" s="116"/>
      <c r="F27" s="116"/>
      <c r="G27" s="36" t="s">
        <v>123</v>
      </c>
      <c r="H27" s="36" t="s">
        <v>117</v>
      </c>
      <c r="I27" s="36">
        <f>'MERCADO TUSD'!$U$24</f>
        <v>121039.205</v>
      </c>
      <c r="J27" s="16"/>
      <c r="L27" s="33">
        <f>'TR TUSD'!$L$27*'TR TUSD'!$L$83</f>
        <v>5.2113661714059312</v>
      </c>
      <c r="M27" s="33">
        <f>'TR TUSD'!$M$27*'TR TUSD'!$M$83</f>
        <v>0.76040510127177696</v>
      </c>
      <c r="N27" s="33">
        <f ca="1">'TR TUSD'!$N$27*'TR TUSD'!$N$83</f>
        <v>0.52230153891806474</v>
      </c>
      <c r="O27" s="33">
        <f>'TR TUSD'!$O$27*'TR TUSD'!$O$83</f>
        <v>-5.032809553728302E-3</v>
      </c>
      <c r="P27" s="33">
        <f>'TR TUSD'!$P$27*'TR TUSD'!$P$83</f>
        <v>0</v>
      </c>
      <c r="Q27" s="33">
        <f>'TR TUSD'!$Q$27*'TR TUSD'!$Q$83</f>
        <v>78.479028344472297</v>
      </c>
      <c r="R27" s="33">
        <f>'TR TUSD'!$R$27*'TR TUSD'!$R$83</f>
        <v>14.902150200061627</v>
      </c>
      <c r="S27" s="33">
        <f>'TR TUSD'!$S$27*'TR TUSD'!$S$83</f>
        <v>0</v>
      </c>
      <c r="T27" s="33">
        <f ca="1">SUM($L$27:$S$27)</f>
        <v>99.87021854657597</v>
      </c>
      <c r="U27" s="33">
        <f>'TR TUSD'!$U$27*'TR TUSD'!$U$83</f>
        <v>0</v>
      </c>
      <c r="V27" s="33">
        <f>'TR TUSD'!$V$27*'TR TUSD'!$V$83</f>
        <v>0</v>
      </c>
      <c r="W27" s="33">
        <f>'TR TUSD'!$W$27*'TR TUSD'!$W$83</f>
        <v>0</v>
      </c>
      <c r="X27" s="33">
        <f>'TR TUSD'!$X$27*'TR TUSD'!$X$83</f>
        <v>0</v>
      </c>
      <c r="Y27" s="33">
        <f>'TR TUSD'!$Y$27*'TR TUSD'!$Y$83</f>
        <v>0</v>
      </c>
      <c r="Z27" s="33">
        <f>'TR TUSD'!$Z$27</f>
        <v>0</v>
      </c>
      <c r="AA27" s="33">
        <f>'TR TUSD'!$AA$27</f>
        <v>0</v>
      </c>
      <c r="AB27" s="33">
        <f>SUM($U$27:$AA$27)</f>
        <v>0</v>
      </c>
      <c r="AC27" s="33">
        <f>'TR TUSD'!$AC$27*'TR TUSD'!$AC$83</f>
        <v>0</v>
      </c>
      <c r="AD27" s="33">
        <f>SUM($AC$27:$AC$27)</f>
        <v>0</v>
      </c>
      <c r="AE27" s="33">
        <v>0</v>
      </c>
      <c r="AF27" s="33">
        <v>0</v>
      </c>
      <c r="AG27" s="33">
        <f>SUM($AE$27:$AF$27)</f>
        <v>0</v>
      </c>
      <c r="AH27" s="33">
        <f>'TR TUSD'!$AH$27*'TR TUSD'!$AH$83</f>
        <v>21.345828799309732</v>
      </c>
      <c r="AI27" s="33">
        <f>'TR TUSD'!$AI$27*'TR TUSD'!$AI$83</f>
        <v>4.7396357374898362E-2</v>
      </c>
      <c r="AJ27" s="33">
        <f ca="1">'TR TUSD'!$AJ$27*'TR TUSD'!$AJ$83</f>
        <v>0.74835920367305042</v>
      </c>
      <c r="AK27" s="33">
        <f ca="1">'TR TUSD'!$AK$27*'TR TUSD'!$AK$83</f>
        <v>4.4840096294332774</v>
      </c>
      <c r="AL27" s="33">
        <f ca="1">SUM($AH$27:$AK$27)</f>
        <v>26.625593989790957</v>
      </c>
      <c r="AM27" s="33">
        <f ca="1">SUMIF($L$4:$AL$4,"SUBTOTAL",$L$27:$AL$27)</f>
        <v>126.49581253636693</v>
      </c>
      <c r="AP27" s="33">
        <v>1</v>
      </c>
    </row>
    <row r="28" spans="1:42" ht="11.25" customHeight="1" x14ac:dyDescent="0.25">
      <c r="A28" s="116"/>
      <c r="B28" s="116"/>
      <c r="C28" s="116"/>
      <c r="D28" s="116"/>
      <c r="E28" s="37" t="s">
        <v>61</v>
      </c>
      <c r="F28" s="37" t="s">
        <v>25</v>
      </c>
      <c r="G28" s="36" t="s">
        <v>123</v>
      </c>
      <c r="H28" s="36" t="s">
        <v>117</v>
      </c>
      <c r="I28" s="36">
        <f>'MERCADO TUSD'!$U$25</f>
        <v>0</v>
      </c>
      <c r="J28" s="16"/>
      <c r="L28" s="33">
        <f>'TR TUSD'!$L$28*'TR TUSD'!$L$83</f>
        <v>0</v>
      </c>
      <c r="M28" s="33">
        <f>'TR TUSD'!$M$28*'TR TUSD'!$M$83</f>
        <v>0.76040510127177696</v>
      </c>
      <c r="N28" s="33">
        <f ca="1">'TR TUSD'!$N$28*'TR TUSD'!$N$83</f>
        <v>0.5106429799032034</v>
      </c>
      <c r="O28" s="33">
        <f>'TR TUSD'!$O$28*'TR TUSD'!$O$83</f>
        <v>-5.032809553728302E-3</v>
      </c>
      <c r="P28" s="33">
        <f>'TR TUSD'!$P$28*'TR TUSD'!$P$83</f>
        <v>0</v>
      </c>
      <c r="Q28" s="33">
        <f>'TR TUSD'!$Q$28*'TR TUSD'!$Q$83</f>
        <v>0</v>
      </c>
      <c r="R28" s="33">
        <f>'TR TUSD'!$R$28*'TR TUSD'!$R$83</f>
        <v>0</v>
      </c>
      <c r="S28" s="33">
        <f>'TR TUSD'!$S$28*'TR TUSD'!$S$83</f>
        <v>0</v>
      </c>
      <c r="T28" s="33">
        <f ca="1">SUM($L$28:$S$28)</f>
        <v>1.2660152716212523</v>
      </c>
      <c r="U28" s="33">
        <f>'TR TUSD'!$U$28*'TR TUSD'!$U$83</f>
        <v>0</v>
      </c>
      <c r="V28" s="33">
        <f>'TR TUSD'!$V$28*'TR TUSD'!$V$83</f>
        <v>0</v>
      </c>
      <c r="W28" s="33">
        <f>'TR TUSD'!$W$28*'TR TUSD'!$W$83</f>
        <v>0</v>
      </c>
      <c r="X28" s="33">
        <f>'TR TUSD'!$X$28*'TR TUSD'!$X$83</f>
        <v>0</v>
      </c>
      <c r="Y28" s="33">
        <f>'TR TUSD'!$Y$28*'TR TUSD'!$Y$83</f>
        <v>0</v>
      </c>
      <c r="Z28" s="33">
        <f>'TR TUSD'!$Z$28</f>
        <v>0</v>
      </c>
      <c r="AA28" s="33">
        <f>'TR TUSD'!$AA$28</f>
        <v>0</v>
      </c>
      <c r="AB28" s="33">
        <f>SUM($U$28:$AA$28)</f>
        <v>0</v>
      </c>
      <c r="AC28" s="33">
        <f>'TR TUSD'!$AC$28*'TR TUSD'!$AC$83</f>
        <v>0</v>
      </c>
      <c r="AD28" s="33">
        <f>SUM($AC$28:$AC$28)</f>
        <v>0</v>
      </c>
      <c r="AE28" s="33">
        <v>0</v>
      </c>
      <c r="AF28" s="33">
        <v>0</v>
      </c>
      <c r="AG28" s="33">
        <f>SUM($AE$28:$AF$28)</f>
        <v>0</v>
      </c>
      <c r="AH28" s="33">
        <f>'TR TUSD'!$AH$28*'TR TUSD'!$AH$83</f>
        <v>21.345828799309732</v>
      </c>
      <c r="AI28" s="33">
        <f>'TR TUSD'!$AI$28*'TR TUSD'!$AI$83</f>
        <v>4.7396357374898362E-2</v>
      </c>
      <c r="AJ28" s="33">
        <f ca="1">'TR TUSD'!$AJ$28*'TR TUSD'!$AJ$83</f>
        <v>0.74835920367305042</v>
      </c>
      <c r="AK28" s="33">
        <f ca="1">'TR TUSD'!$AK$28*'TR TUSD'!$AK$83</f>
        <v>4.4840096294332774</v>
      </c>
      <c r="AL28" s="33">
        <f ca="1">SUM($AH$28:$AK$28)</f>
        <v>26.625593989790957</v>
      </c>
      <c r="AM28" s="33">
        <f ca="1">SUMIF($L$4:$AL$4,"SUBTOTAL",$L$28:$AL$28)</f>
        <v>27.89160926141221</v>
      </c>
      <c r="AP28" s="33">
        <v>1</v>
      </c>
    </row>
    <row r="29" spans="1:42" ht="11.25" customHeight="1" x14ac:dyDescent="0.25">
      <c r="A29" s="116"/>
      <c r="B29" s="116" t="s">
        <v>81</v>
      </c>
      <c r="C29" s="116" t="s">
        <v>25</v>
      </c>
      <c r="D29" s="116" t="s">
        <v>25</v>
      </c>
      <c r="E29" s="116" t="s">
        <v>25</v>
      </c>
      <c r="F29" s="116" t="s">
        <v>82</v>
      </c>
      <c r="G29" s="36" t="s">
        <v>121</v>
      </c>
      <c r="H29" s="36" t="s">
        <v>120</v>
      </c>
      <c r="I29" s="36">
        <f>'MERCADO TUSD'!$U$26</f>
        <v>42000</v>
      </c>
      <c r="J29" s="16"/>
      <c r="L29" s="33">
        <f>'TR TUSD'!$L$29*'TR TUSD'!$L$83</f>
        <v>0</v>
      </c>
      <c r="M29" s="33">
        <f>'TR TUSD'!$M$29*'TR TUSD'!$M$83</f>
        <v>0</v>
      </c>
      <c r="N29" s="33">
        <f ca="1">'TR TUSD'!$N$29*'TR TUSD'!$N$83</f>
        <v>0</v>
      </c>
      <c r="O29" s="33">
        <f>'TR TUSD'!$O$29*'TR TUSD'!$O$83</f>
        <v>0</v>
      </c>
      <c r="P29" s="33">
        <f>'TR TUSD'!$P$29*'TR TUSD'!$P$83</f>
        <v>0</v>
      </c>
      <c r="Q29" s="33">
        <f>'TR TUSD'!$Q$29*'TR TUSD'!$Q$83</f>
        <v>0</v>
      </c>
      <c r="R29" s="33">
        <f>'TR TUSD'!$R$29*'TR TUSD'!$R$83</f>
        <v>0</v>
      </c>
      <c r="S29" s="33">
        <f>'TR TUSD'!$S$29*'TR TUSD'!$S$83</f>
        <v>0</v>
      </c>
      <c r="T29" s="33">
        <f ca="1">SUM($L$29:$S$29)</f>
        <v>0</v>
      </c>
      <c r="U29" s="33">
        <f>'TR TUSD'!$U$29*'TR TUSD'!$U$83</f>
        <v>2.619921106569076</v>
      </c>
      <c r="V29" s="33">
        <f>'TR TUSD'!$V$29*'TR TUSD'!$V$83</f>
        <v>3.7154198279443648E-2</v>
      </c>
      <c r="W29" s="33">
        <f>'TR TUSD'!$W$29*'TR TUSD'!$W$83</f>
        <v>0</v>
      </c>
      <c r="X29" s="33">
        <f>'TR TUSD'!$X$29*'TR TUSD'!$X$83</f>
        <v>0</v>
      </c>
      <c r="Y29" s="33">
        <f>'TR TUSD'!$Y$29*'TR TUSD'!$Y$83</f>
        <v>11.464882507054464</v>
      </c>
      <c r="Z29" s="33">
        <f>'TR TUSD'!$Z$29</f>
        <v>0</v>
      </c>
      <c r="AA29" s="33">
        <f>'TR TUSD'!$AA$29</f>
        <v>0</v>
      </c>
      <c r="AB29" s="33">
        <f>SUM($U$29:$AA$29)</f>
        <v>14.121957811902984</v>
      </c>
      <c r="AC29" s="33">
        <f>'TR TUSD'!$AC$29*'TR TUSD'!$AC$83</f>
        <v>17.771754924466887</v>
      </c>
      <c r="AD29" s="33">
        <f>SUM($AC$29:$AC$29)</f>
        <v>17.771754924466887</v>
      </c>
      <c r="AE29" s="33">
        <v>0</v>
      </c>
      <c r="AF29" s="33">
        <v>0</v>
      </c>
      <c r="AG29" s="33">
        <f>SUM($AE$29:$AF$29)</f>
        <v>0</v>
      </c>
      <c r="AH29" s="33">
        <f>'TR TUSD'!$AH$29*'TR TUSD'!$AH$83</f>
        <v>0</v>
      </c>
      <c r="AI29" s="33">
        <f>'TR TUSD'!$AI$29*'TR TUSD'!$AI$83</f>
        <v>0</v>
      </c>
      <c r="AJ29" s="33">
        <f ca="1">'TR TUSD'!$AJ$29*'TR TUSD'!$AJ$83</f>
        <v>0</v>
      </c>
      <c r="AK29" s="33">
        <f ca="1">'TR TUSD'!$AK$29*'TR TUSD'!$AK$83</f>
        <v>0</v>
      </c>
      <c r="AL29" s="33">
        <f ca="1">SUM($AH$29:$AK$29)</f>
        <v>0</v>
      </c>
      <c r="AM29" s="33">
        <f ca="1">SUMIF($L$4:$AL$4,"SUBTOTAL",$L$29:$AL$29)</f>
        <v>31.893712736369871</v>
      </c>
      <c r="AP29" s="33">
        <v>1</v>
      </c>
    </row>
    <row r="30" spans="1:42" ht="11.25" customHeight="1" x14ac:dyDescent="0.25">
      <c r="A30" s="116"/>
      <c r="B30" s="116"/>
      <c r="C30" s="116"/>
      <c r="D30" s="116"/>
      <c r="E30" s="116"/>
      <c r="F30" s="116"/>
      <c r="G30" s="36" t="s">
        <v>122</v>
      </c>
      <c r="H30" s="36" t="s">
        <v>120</v>
      </c>
      <c r="I30" s="36">
        <f>'MERCADO TUSD'!$U$27</f>
        <v>42000</v>
      </c>
      <c r="J30" s="16"/>
      <c r="L30" s="33">
        <f>'TR TUSD'!$L$30*'TR TUSD'!$L$83</f>
        <v>0</v>
      </c>
      <c r="M30" s="33">
        <f>'TR TUSD'!$M$30*'TR TUSD'!$M$83</f>
        <v>0</v>
      </c>
      <c r="N30" s="33">
        <f ca="1">'TR TUSD'!$N$30*'TR TUSD'!$N$83</f>
        <v>0</v>
      </c>
      <c r="O30" s="33">
        <f>'TR TUSD'!$O$30*'TR TUSD'!$O$83</f>
        <v>0</v>
      </c>
      <c r="P30" s="33">
        <f>'TR TUSD'!$P$30*'TR TUSD'!$P$83</f>
        <v>0</v>
      </c>
      <c r="Q30" s="33">
        <f>'TR TUSD'!$Q$30*'TR TUSD'!$Q$83</f>
        <v>0</v>
      </c>
      <c r="R30" s="33">
        <f>'TR TUSD'!$R$30*'TR TUSD'!$R$83</f>
        <v>0</v>
      </c>
      <c r="S30" s="33">
        <f>'TR TUSD'!$S$30*'TR TUSD'!$S$83</f>
        <v>0</v>
      </c>
      <c r="T30" s="33">
        <f ca="1">SUM($L$30:$S$30)</f>
        <v>0</v>
      </c>
      <c r="U30" s="33">
        <f>'TR TUSD'!$U$30*'TR TUSD'!$U$83</f>
        <v>2.2133085026155181</v>
      </c>
      <c r="V30" s="33">
        <f>'TR TUSD'!$V$30*'TR TUSD'!$V$83</f>
        <v>3.1903304530964287E-2</v>
      </c>
      <c r="W30" s="33">
        <f>'TR TUSD'!$W$30*'TR TUSD'!$W$83</f>
        <v>0</v>
      </c>
      <c r="X30" s="33">
        <f>'TR TUSD'!$X$30*'TR TUSD'!$X$83</f>
        <v>0</v>
      </c>
      <c r="Y30" s="33">
        <f>'TR TUSD'!$Y$30*'TR TUSD'!$Y$83</f>
        <v>6.7226416303614771</v>
      </c>
      <c r="Z30" s="33">
        <f>'TR TUSD'!$Z$30</f>
        <v>0</v>
      </c>
      <c r="AA30" s="33">
        <f>'TR TUSD'!$AA$30</f>
        <v>0</v>
      </c>
      <c r="AB30" s="33">
        <f>SUM($U$30:$AA$30)</f>
        <v>8.9678534375079586</v>
      </c>
      <c r="AC30" s="33">
        <f>'TR TUSD'!$AC$30*'TR TUSD'!$AC$83</f>
        <v>5.8976408465203027</v>
      </c>
      <c r="AD30" s="33">
        <f>SUM($AC$30:$AC$30)</f>
        <v>5.8976408465203027</v>
      </c>
      <c r="AE30" s="33">
        <v>0</v>
      </c>
      <c r="AF30" s="33">
        <v>0</v>
      </c>
      <c r="AG30" s="33">
        <f>SUM($AE$30:$AF$30)</f>
        <v>0</v>
      </c>
      <c r="AH30" s="33">
        <f>'TR TUSD'!$AH$30*'TR TUSD'!$AH$83</f>
        <v>0</v>
      </c>
      <c r="AI30" s="33">
        <f>'TR TUSD'!$AI$30*'TR TUSD'!$AI$83</f>
        <v>0</v>
      </c>
      <c r="AJ30" s="33">
        <f ca="1">'TR TUSD'!$AJ$30*'TR TUSD'!$AJ$83</f>
        <v>0</v>
      </c>
      <c r="AK30" s="33">
        <f ca="1">'TR TUSD'!$AK$30*'TR TUSD'!$AK$83</f>
        <v>0</v>
      </c>
      <c r="AL30" s="33">
        <f ca="1">SUM($AH$30:$AK$30)</f>
        <v>0</v>
      </c>
      <c r="AM30" s="33">
        <f ca="1">SUMIF($L$4:$AL$4,"SUBTOTAL",$L$30:$AL$30)</f>
        <v>14.865494284028262</v>
      </c>
      <c r="AP30" s="33">
        <v>1</v>
      </c>
    </row>
    <row r="31" spans="1:42" ht="11.25" customHeight="1" x14ac:dyDescent="0.25">
      <c r="A31" s="116"/>
      <c r="B31" s="116"/>
      <c r="C31" s="116"/>
      <c r="D31" s="116"/>
      <c r="E31" s="116"/>
      <c r="F31" s="116"/>
      <c r="G31" s="36" t="s">
        <v>123</v>
      </c>
      <c r="H31" s="36" t="s">
        <v>117</v>
      </c>
      <c r="I31" s="36">
        <f>'MERCADO TUSD'!$U$28</f>
        <v>10288.219999999999</v>
      </c>
      <c r="J31" s="16"/>
      <c r="L31" s="33">
        <f>'TR TUSD'!$L$31*'TR TUSD'!$L$83</f>
        <v>0</v>
      </c>
      <c r="M31" s="33">
        <f>'TR TUSD'!$M$31*'TR TUSD'!$M$83</f>
        <v>0</v>
      </c>
      <c r="N31" s="33">
        <f ca="1">'TR TUSD'!$N$31*'TR TUSD'!$N$83</f>
        <v>0</v>
      </c>
      <c r="O31" s="33">
        <f>'TR TUSD'!$O$31*'TR TUSD'!$O$83</f>
        <v>0</v>
      </c>
      <c r="P31" s="33">
        <f>'TR TUSD'!$P$31*'TR TUSD'!$P$83</f>
        <v>0</v>
      </c>
      <c r="Q31" s="33">
        <f>'TR TUSD'!$Q$31*'TR TUSD'!$Q$83</f>
        <v>0</v>
      </c>
      <c r="R31" s="33">
        <f>'TR TUSD'!$R$31*'TR TUSD'!$R$83</f>
        <v>0</v>
      </c>
      <c r="S31" s="33">
        <f>'TR TUSD'!$S$31*'TR TUSD'!$S$83</f>
        <v>0</v>
      </c>
      <c r="T31" s="33">
        <f ca="1">SUM($L$31:$S$31)</f>
        <v>0</v>
      </c>
      <c r="U31" s="33">
        <f>'TR TUSD'!$U$31*'TR TUSD'!$U$83</f>
        <v>0</v>
      </c>
      <c r="V31" s="33">
        <f>'TR TUSD'!$V$31*'TR TUSD'!$V$83</f>
        <v>0</v>
      </c>
      <c r="W31" s="33">
        <f>'TR TUSD'!$W$31*'TR TUSD'!$W$83</f>
        <v>0</v>
      </c>
      <c r="X31" s="33">
        <f>'TR TUSD'!$X$31*'TR TUSD'!$X$83</f>
        <v>0</v>
      </c>
      <c r="Y31" s="33">
        <f>'TR TUSD'!$Y$31*'TR TUSD'!$Y$83</f>
        <v>0</v>
      </c>
      <c r="Z31" s="33">
        <f>'TR TUSD'!$Z$31</f>
        <v>0</v>
      </c>
      <c r="AA31" s="33">
        <f>'TR TUSD'!$AA$31</f>
        <v>0</v>
      </c>
      <c r="AB31" s="33">
        <f>SUM($U$31:$AA$31)</f>
        <v>0</v>
      </c>
      <c r="AC31" s="33">
        <f>'TR TUSD'!$AC$31*'TR TUSD'!$AC$83</f>
        <v>0</v>
      </c>
      <c r="AD31" s="33">
        <f>SUM($AC$31:$AC$31)</f>
        <v>0</v>
      </c>
      <c r="AE31" s="33">
        <v>0</v>
      </c>
      <c r="AF31" s="33">
        <v>0</v>
      </c>
      <c r="AG31" s="33">
        <f>SUM($AE$31:$AF$31)</f>
        <v>0</v>
      </c>
      <c r="AH31" s="33">
        <f>'TR TUSD'!$AH$31*'TR TUSD'!$AH$83</f>
        <v>21.345828799309732</v>
      </c>
      <c r="AI31" s="33">
        <f>'TR TUSD'!$AI$31*'TR TUSD'!$AI$83</f>
        <v>4.7396357374898362E-2</v>
      </c>
      <c r="AJ31" s="33">
        <f ca="1">'TR TUSD'!$AJ$31*'TR TUSD'!$AJ$83</f>
        <v>0</v>
      </c>
      <c r="AK31" s="33">
        <f ca="1">'TR TUSD'!$AK$31*'TR TUSD'!$AK$83</f>
        <v>0</v>
      </c>
      <c r="AL31" s="33">
        <f ca="1">SUM($AH$31:$AK$31)</f>
        <v>21.393225156684629</v>
      </c>
      <c r="AM31" s="33">
        <f ca="1">SUMIF($L$4:$AL$4,"SUBTOTAL",$L$31:$AL$31)</f>
        <v>21.393225156684629</v>
      </c>
      <c r="AP31" s="33">
        <v>1</v>
      </c>
    </row>
    <row r="32" spans="1:42" ht="11.25" customHeight="1" x14ac:dyDescent="0.25">
      <c r="A32" s="116"/>
      <c r="B32" s="37" t="s">
        <v>64</v>
      </c>
      <c r="C32" s="37" t="s">
        <v>25</v>
      </c>
      <c r="D32" s="37" t="s">
        <v>25</v>
      </c>
      <c r="E32" s="37" t="s">
        <v>25</v>
      </c>
      <c r="F32" s="37" t="s">
        <v>25</v>
      </c>
      <c r="G32" s="36" t="s">
        <v>9</v>
      </c>
      <c r="H32" s="36" t="s">
        <v>120</v>
      </c>
      <c r="I32" s="36">
        <f>'MERCADO TUSD'!$U$29</f>
        <v>481675</v>
      </c>
      <c r="J32" s="16"/>
      <c r="L32" s="33">
        <f>'TR TUSD'!$L$32*'TR TUSD'!$L$83</f>
        <v>0</v>
      </c>
      <c r="M32" s="33">
        <f>'TR TUSD'!$M$32*'TR TUSD'!$M$83</f>
        <v>5.0116762100929774E-2</v>
      </c>
      <c r="N32" s="33">
        <f ca="1">'TR TUSD'!$N$32*'TR TUSD'!$N$83</f>
        <v>0.17802619615693205</v>
      </c>
      <c r="O32" s="33">
        <f>'TR TUSD'!$O$32*'TR TUSD'!$O$83</f>
        <v>0</v>
      </c>
      <c r="P32" s="33">
        <f>'TR TUSD'!$P$32*'TR TUSD'!$P$83</f>
        <v>0</v>
      </c>
      <c r="Q32" s="33">
        <f>'TR TUSD'!$Q$32*'TR TUSD'!$Q$83</f>
        <v>0</v>
      </c>
      <c r="R32" s="33">
        <f>'TR TUSD'!$R$32*'TR TUSD'!$R$83</f>
        <v>0</v>
      </c>
      <c r="S32" s="33">
        <f>'TR TUSD'!$S$32*'TR TUSD'!$S$83</f>
        <v>0</v>
      </c>
      <c r="T32" s="33">
        <f ca="1">SUM($L$32:$S$32)</f>
        <v>0.22814295825786182</v>
      </c>
      <c r="U32" s="33">
        <f>'TR TUSD'!$U$32*'TR TUSD'!$U$83</f>
        <v>0</v>
      </c>
      <c r="V32" s="33">
        <f>'TR TUSD'!$V$32*'TR TUSD'!$V$83</f>
        <v>0</v>
      </c>
      <c r="W32" s="33">
        <f>'TR TUSD'!$W$32*'TR TUSD'!$W$83</f>
        <v>0</v>
      </c>
      <c r="X32" s="33">
        <f>'TR TUSD'!$X$32*'TR TUSD'!$X$83</f>
        <v>0</v>
      </c>
      <c r="Y32" s="33">
        <f>'TR TUSD'!$Y$32*'TR TUSD'!$Y$83</f>
        <v>0</v>
      </c>
      <c r="Z32" s="33">
        <f>'TR TUSD'!$Z$32*'TR TUSD'!$Z$83</f>
        <v>0</v>
      </c>
      <c r="AA32" s="33">
        <f>'TR TUSD'!$AA$32*'TR TUSD'!$AA$83</f>
        <v>0</v>
      </c>
      <c r="AB32" s="33">
        <f>SUM($U$32:$AA$32)</f>
        <v>0</v>
      </c>
      <c r="AC32" s="33">
        <f>'TR TUSD'!$AC$32*'TR TUSD'!$AC$83</f>
        <v>16.905154631156318</v>
      </c>
      <c r="AD32" s="33">
        <f>SUM($AC$32:$AC$32)</f>
        <v>16.905154631156318</v>
      </c>
      <c r="AE32" s="33">
        <v>0</v>
      </c>
      <c r="AF32" s="33">
        <v>0</v>
      </c>
      <c r="AG32" s="33">
        <f>SUM($AE$32:$AF$32)</f>
        <v>0</v>
      </c>
      <c r="AH32" s="33">
        <f>'TR TUSD'!$AH$32*'TR TUSD'!$AH$83</f>
        <v>4.6474008123388918E-3</v>
      </c>
      <c r="AI32" s="33">
        <f>'TR TUSD'!$AI$32*'TR TUSD'!$AI$83</f>
        <v>0</v>
      </c>
      <c r="AJ32" s="33">
        <f ca="1">'TR TUSD'!$AJ$32*'TR TUSD'!$AJ$83</f>
        <v>0</v>
      </c>
      <c r="AK32" s="33">
        <f ca="1">'TR TUSD'!$AK$32*'TR TUSD'!$AK$83</f>
        <v>0</v>
      </c>
      <c r="AL32" s="33">
        <f ca="1">SUM($AH$32:$AK$32)</f>
        <v>4.6474008123388918E-3</v>
      </c>
      <c r="AM32" s="33">
        <f ca="1">SUMIF($L$4:$AL$4,"SUBTOTAL",$L$32:$AL$32)</f>
        <v>17.137944990226519</v>
      </c>
      <c r="AP32" s="33"/>
    </row>
    <row r="33" spans="1:42" ht="11.25" customHeight="1" x14ac:dyDescent="0.25">
      <c r="A33" s="116"/>
      <c r="B33" s="116" t="s">
        <v>42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36" t="s">
        <v>9</v>
      </c>
      <c r="H33" s="36" t="s">
        <v>120</v>
      </c>
      <c r="I33" s="36">
        <f>'MERCADO TUSD'!$U$30</f>
        <v>1292343</v>
      </c>
      <c r="J33" s="16"/>
      <c r="L33" s="33">
        <f>'TR TUSD'!$L$33*'TR TUSD'!$L$83</f>
        <v>0</v>
      </c>
      <c r="M33" s="33">
        <f>'TR TUSD'!$M$33*'TR TUSD'!$M$83</f>
        <v>0</v>
      </c>
      <c r="N33" s="33">
        <f ca="1">'TR TUSD'!$N$33*'TR TUSD'!$N$83</f>
        <v>0</v>
      </c>
      <c r="O33" s="33">
        <f>'TR TUSD'!$O$33*'TR TUSD'!$O$83</f>
        <v>0</v>
      </c>
      <c r="P33" s="33">
        <f>'TR TUSD'!$P$33*'TR TUSD'!$P$83</f>
        <v>0</v>
      </c>
      <c r="Q33" s="33">
        <f>'TR TUSD'!$Q$33*'TR TUSD'!$Q$83</f>
        <v>0</v>
      </c>
      <c r="R33" s="33">
        <f>'TR TUSD'!$R$33*'TR TUSD'!$R$83</f>
        <v>0</v>
      </c>
      <c r="S33" s="33">
        <f>'TR TUSD'!$S$33*'TR TUSD'!$S$83</f>
        <v>0</v>
      </c>
      <c r="T33" s="33">
        <f ca="1">SUM($L$33:$S$33)</f>
        <v>0</v>
      </c>
      <c r="U33" s="33">
        <f>'TR TUSD'!$U$33*'TR TUSD'!$U$83</f>
        <v>2.2133085026155181</v>
      </c>
      <c r="V33" s="33">
        <f>'TR TUSD'!$V$33*'TR TUSD'!$V$83</f>
        <v>3.1903304530964287E-2</v>
      </c>
      <c r="W33" s="33">
        <f>'TR TUSD'!$W$33*'TR TUSD'!$W$83</f>
        <v>0</v>
      </c>
      <c r="X33" s="33">
        <f>'TR TUSD'!$X$33*'TR TUSD'!$X$83</f>
        <v>0</v>
      </c>
      <c r="Y33" s="33">
        <f>'TR TUSD'!$Y$33*'TR TUSD'!$Y$83</f>
        <v>6.7226416303614771</v>
      </c>
      <c r="Z33" s="33">
        <f>'TR TUSD'!$Z$33</f>
        <v>0</v>
      </c>
      <c r="AA33" s="33">
        <f>'TR TUSD'!$AA$33</f>
        <v>0</v>
      </c>
      <c r="AB33" s="33">
        <f>SUM($U$33:$AA$33)</f>
        <v>8.9678534375079586</v>
      </c>
      <c r="AC33" s="33">
        <f>'TR TUSD'!$AC$33*'TR TUSD'!$AC$83</f>
        <v>19.969499522565005</v>
      </c>
      <c r="AD33" s="33">
        <f>SUM($AC$33:$AC$33)</f>
        <v>19.969499522565005</v>
      </c>
      <c r="AE33" s="33">
        <v>0</v>
      </c>
      <c r="AF33" s="33">
        <v>0</v>
      </c>
      <c r="AG33" s="33">
        <f>SUM($AE$33:$AF$33)</f>
        <v>0</v>
      </c>
      <c r="AH33" s="33">
        <f>'TR TUSD'!$AH$33*'TR TUSD'!$AH$83</f>
        <v>0</v>
      </c>
      <c r="AI33" s="33">
        <f>'TR TUSD'!$AI$33*'TR TUSD'!$AI$83</f>
        <v>0</v>
      </c>
      <c r="AJ33" s="33">
        <f ca="1">'TR TUSD'!$AJ$33*'TR TUSD'!$AJ$83</f>
        <v>0</v>
      </c>
      <c r="AK33" s="33">
        <f ca="1">'TR TUSD'!$AK$33*'TR TUSD'!$AK$83</f>
        <v>0</v>
      </c>
      <c r="AL33" s="33">
        <f ca="1">SUM($AH$33:$AK$33)</f>
        <v>0</v>
      </c>
      <c r="AM33" s="33">
        <f ca="1">SUMIF($L$4:$AL$4,"SUBTOTAL",$L$33:$AL$33)</f>
        <v>28.937352960072964</v>
      </c>
      <c r="AP33" s="33">
        <v>1</v>
      </c>
    </row>
    <row r="34" spans="1:42" ht="11.25" customHeight="1" x14ac:dyDescent="0.25">
      <c r="A34" s="116"/>
      <c r="B34" s="116"/>
      <c r="C34" s="116"/>
      <c r="D34" s="116"/>
      <c r="E34" s="116"/>
      <c r="F34" s="116"/>
      <c r="G34" s="36" t="s">
        <v>118</v>
      </c>
      <c r="H34" s="36" t="s">
        <v>117</v>
      </c>
      <c r="I34" s="36">
        <f>'MERCADO TUSD'!$U$31</f>
        <v>14035.833999999999</v>
      </c>
      <c r="J34" s="16"/>
      <c r="L34" s="33">
        <f>'TR TUSD'!$L$34*'TR TUSD'!$L$83</f>
        <v>5.2113661714059312</v>
      </c>
      <c r="M34" s="33">
        <f>'TR TUSD'!$M$34*'TR TUSD'!$M$83</f>
        <v>0.76040510127177696</v>
      </c>
      <c r="N34" s="33">
        <f ca="1">'TR TUSD'!$N$34*'TR TUSD'!$N$83</f>
        <v>19.448292101191342</v>
      </c>
      <c r="O34" s="33">
        <f>'TR TUSD'!$O$34*'TR TUSD'!$O$83</f>
        <v>-5.032809553728302E-3</v>
      </c>
      <c r="P34" s="33">
        <f>'TR TUSD'!$P$34*'TR TUSD'!$P$83</f>
        <v>0</v>
      </c>
      <c r="Q34" s="33">
        <f>'TR TUSD'!$Q$34*'TR TUSD'!$Q$83</f>
        <v>78.479028344472297</v>
      </c>
      <c r="R34" s="33">
        <f>'TR TUSD'!$R$34*'TR TUSD'!$R$83</f>
        <v>14.902150200061627</v>
      </c>
      <c r="S34" s="33">
        <f>'TR TUSD'!$S$34*'TR TUSD'!$S$83</f>
        <v>0</v>
      </c>
      <c r="T34" s="33">
        <f ca="1">SUM($L$34:$S$34)</f>
        <v>118.79620910884924</v>
      </c>
      <c r="U34" s="33">
        <f>'TR TUSD'!$U$34*'TR TUSD'!$U$83</f>
        <v>63.00878453272243</v>
      </c>
      <c r="V34" s="33">
        <f>'TR TUSD'!$V$34*'TR TUSD'!$V$83</f>
        <v>0.89357399806608673</v>
      </c>
      <c r="W34" s="33">
        <f>'TR TUSD'!$W$34*'TR TUSD'!$W$83</f>
        <v>0</v>
      </c>
      <c r="X34" s="33">
        <f>'TR TUSD'!$X$34*'TR TUSD'!$X$83</f>
        <v>0</v>
      </c>
      <c r="Y34" s="33">
        <f>'TR TUSD'!$Y$34*'TR TUSD'!$Y$83</f>
        <v>275.73048715726816</v>
      </c>
      <c r="Z34" s="33">
        <f>'TR TUSD'!$Z$34</f>
        <v>0</v>
      </c>
      <c r="AA34" s="33">
        <f>'TR TUSD'!$AA$34</f>
        <v>0</v>
      </c>
      <c r="AB34" s="33">
        <f>SUM($U$34:$AA$34)</f>
        <v>339.6328456880567</v>
      </c>
      <c r="AC34" s="33">
        <f>'TR TUSD'!$AC$34*'TR TUSD'!$AC$83</f>
        <v>1447.2174863627547</v>
      </c>
      <c r="AD34" s="33">
        <f>SUM($AC$34:$AC$34)</f>
        <v>1447.2174863627547</v>
      </c>
      <c r="AE34" s="33">
        <v>0</v>
      </c>
      <c r="AF34" s="33">
        <v>0</v>
      </c>
      <c r="AG34" s="33">
        <f>SUM($AE$34:$AF$34)</f>
        <v>0</v>
      </c>
      <c r="AH34" s="33">
        <f>'TR TUSD'!$AH$34*'TR TUSD'!$AH$83</f>
        <v>21.345828799309732</v>
      </c>
      <c r="AI34" s="33">
        <f>'TR TUSD'!$AI$34*'TR TUSD'!$AI$83</f>
        <v>4.7396357374898362E-2</v>
      </c>
      <c r="AJ34" s="33">
        <f ca="1">'TR TUSD'!$AJ$34*'TR TUSD'!$AJ$83</f>
        <v>0.74835920367305042</v>
      </c>
      <c r="AK34" s="33">
        <f ca="1">'TR TUSD'!$AK$34*'TR TUSD'!$AK$83</f>
        <v>4.4840096294332774</v>
      </c>
      <c r="AL34" s="33">
        <f ca="1">SUM($AH$34:$AK$34)</f>
        <v>26.625593989790957</v>
      </c>
      <c r="AM34" s="33">
        <f ca="1">SUMIF($L$4:$AL$4,"SUBTOTAL",$L$34:$AL$34)</f>
        <v>1932.2721351494515</v>
      </c>
      <c r="AP34" s="33">
        <v>1</v>
      </c>
    </row>
    <row r="35" spans="1:42" ht="11.25" customHeight="1" x14ac:dyDescent="0.25">
      <c r="A35" s="116"/>
      <c r="B35" s="116"/>
      <c r="C35" s="116"/>
      <c r="D35" s="116"/>
      <c r="E35" s="116"/>
      <c r="F35" s="116"/>
      <c r="G35" s="36" t="s">
        <v>119</v>
      </c>
      <c r="H35" s="36" t="s">
        <v>117</v>
      </c>
      <c r="I35" s="36">
        <f>'MERCADO TUSD'!$U$32</f>
        <v>241555.38800000004</v>
      </c>
      <c r="J35" s="16"/>
      <c r="L35" s="33">
        <f>'TR TUSD'!$L$35*'TR TUSD'!$L$83</f>
        <v>5.2113661714059312</v>
      </c>
      <c r="M35" s="33">
        <f>'TR TUSD'!$M$35*'TR TUSD'!$M$83</f>
        <v>0.76040510127177696</v>
      </c>
      <c r="N35" s="33">
        <f ca="1">'TR TUSD'!$N$35*'TR TUSD'!$N$83</f>
        <v>0.52230153891806474</v>
      </c>
      <c r="O35" s="33">
        <f>'TR TUSD'!$O$35*'TR TUSD'!$O$83</f>
        <v>-5.032809553728302E-3</v>
      </c>
      <c r="P35" s="33">
        <f>'TR TUSD'!$P$35*'TR TUSD'!$P$83</f>
        <v>0</v>
      </c>
      <c r="Q35" s="33">
        <f>'TR TUSD'!$Q$35*'TR TUSD'!$Q$83</f>
        <v>78.479028344472297</v>
      </c>
      <c r="R35" s="33">
        <f>'TR TUSD'!$R$35*'TR TUSD'!$R$83</f>
        <v>14.902150200061627</v>
      </c>
      <c r="S35" s="33">
        <f>'TR TUSD'!$S$35*'TR TUSD'!$S$83</f>
        <v>0</v>
      </c>
      <c r="T35" s="33">
        <f ca="1">SUM($L$35:$S$35)</f>
        <v>99.87021854657597</v>
      </c>
      <c r="U35" s="33">
        <f>'TR TUSD'!$U$35*'TR TUSD'!$U$83</f>
        <v>0</v>
      </c>
      <c r="V35" s="33">
        <f>'TR TUSD'!$V$35*'TR TUSD'!$V$83</f>
        <v>0</v>
      </c>
      <c r="W35" s="33">
        <f>'TR TUSD'!$W$35*'TR TUSD'!$W$83</f>
        <v>0</v>
      </c>
      <c r="X35" s="33">
        <f>'TR TUSD'!$X$35*'TR TUSD'!$X$83</f>
        <v>0</v>
      </c>
      <c r="Y35" s="33">
        <f>'TR TUSD'!$Y$35*'TR TUSD'!$Y$83</f>
        <v>0</v>
      </c>
      <c r="Z35" s="33">
        <f>'TR TUSD'!$Z$35</f>
        <v>0</v>
      </c>
      <c r="AA35" s="33">
        <f>'TR TUSD'!$AA$35</f>
        <v>0</v>
      </c>
      <c r="AB35" s="33">
        <f>SUM($U$35:$AA$35)</f>
        <v>0</v>
      </c>
      <c r="AC35" s="33">
        <f>'TR TUSD'!$AC$35*'TR TUSD'!$AC$83</f>
        <v>0</v>
      </c>
      <c r="AD35" s="33">
        <f>SUM($AC$35:$AC$35)</f>
        <v>0</v>
      </c>
      <c r="AE35" s="33">
        <v>0</v>
      </c>
      <c r="AF35" s="33">
        <v>0</v>
      </c>
      <c r="AG35" s="33">
        <f>SUM($AE$35:$AF$35)</f>
        <v>0</v>
      </c>
      <c r="AH35" s="33">
        <f>'TR TUSD'!$AH$35*'TR TUSD'!$AH$83</f>
        <v>21.345828799309732</v>
      </c>
      <c r="AI35" s="33">
        <f>'TR TUSD'!$AI$35*'TR TUSD'!$AI$83</f>
        <v>4.7396357374898362E-2</v>
      </c>
      <c r="AJ35" s="33">
        <f ca="1">'TR TUSD'!$AJ$35*'TR TUSD'!$AJ$83</f>
        <v>0.74835920367305042</v>
      </c>
      <c r="AK35" s="33">
        <f ca="1">'TR TUSD'!$AK$35*'TR TUSD'!$AK$83</f>
        <v>4.4840096294332774</v>
      </c>
      <c r="AL35" s="33">
        <f ca="1">SUM($AH$35:$AK$35)</f>
        <v>26.625593989790957</v>
      </c>
      <c r="AM35" s="33">
        <f ca="1">SUMIF($L$4:$AL$4,"SUBTOTAL",$L$35:$AL$35)</f>
        <v>126.49581253636693</v>
      </c>
      <c r="AP35" s="33">
        <v>1</v>
      </c>
    </row>
    <row r="36" spans="1:42" ht="11.25" customHeight="1" x14ac:dyDescent="0.25">
      <c r="A36" s="116"/>
      <c r="B36" s="116"/>
      <c r="C36" s="116"/>
      <c r="D36" s="116"/>
      <c r="E36" s="116" t="s">
        <v>61</v>
      </c>
      <c r="F36" s="116" t="s">
        <v>25</v>
      </c>
      <c r="G36" s="36" t="s">
        <v>118</v>
      </c>
      <c r="H36" s="36" t="s">
        <v>117</v>
      </c>
      <c r="I36" s="36">
        <f>'MERCADO TUSD'!$U$33</f>
        <v>0</v>
      </c>
      <c r="J36" s="16"/>
      <c r="L36" s="33">
        <f>'TR TUSD'!$L$36*'TR TUSD'!$L$83</f>
        <v>0</v>
      </c>
      <c r="M36" s="33">
        <f>'TR TUSD'!$M$36*'TR TUSD'!$M$83</f>
        <v>0.76040510127177696</v>
      </c>
      <c r="N36" s="33">
        <f ca="1">'TR TUSD'!$N$36*'TR TUSD'!$N$83</f>
        <v>19.436633542176484</v>
      </c>
      <c r="O36" s="33">
        <f>'TR TUSD'!$O$36*'TR TUSD'!$O$83</f>
        <v>-5.032809553728302E-3</v>
      </c>
      <c r="P36" s="33">
        <f>'TR TUSD'!$P$36*'TR TUSD'!$P$83</f>
        <v>0</v>
      </c>
      <c r="Q36" s="33">
        <f>'TR TUSD'!$Q$36*'TR TUSD'!$Q$83</f>
        <v>0</v>
      </c>
      <c r="R36" s="33">
        <f>'TR TUSD'!$R$36*'TR TUSD'!$R$83</f>
        <v>0</v>
      </c>
      <c r="S36" s="33">
        <f>'TR TUSD'!$S$36*'TR TUSD'!$S$83</f>
        <v>0</v>
      </c>
      <c r="T36" s="33">
        <f ca="1">SUM($L$36:$S$36)</f>
        <v>20.19200583389453</v>
      </c>
      <c r="U36" s="33">
        <f>'TR TUSD'!$U$36*'TR TUSD'!$U$83</f>
        <v>63.00878453272243</v>
      </c>
      <c r="V36" s="33">
        <f>'TR TUSD'!$V$36*'TR TUSD'!$V$83</f>
        <v>0.89357399806608673</v>
      </c>
      <c r="W36" s="33">
        <f>'TR TUSD'!$W$36*'TR TUSD'!$W$83</f>
        <v>0</v>
      </c>
      <c r="X36" s="33">
        <f>'TR TUSD'!$X$36*'TR TUSD'!$X$83</f>
        <v>0</v>
      </c>
      <c r="Y36" s="33">
        <f>'TR TUSD'!$Y$36*'TR TUSD'!$Y$83</f>
        <v>275.73048715726816</v>
      </c>
      <c r="Z36" s="33">
        <f>'TR TUSD'!$Z$36</f>
        <v>0</v>
      </c>
      <c r="AA36" s="33">
        <f>'TR TUSD'!$AA$36</f>
        <v>0</v>
      </c>
      <c r="AB36" s="33">
        <f>SUM($U$36:$AA$36)</f>
        <v>339.6328456880567</v>
      </c>
      <c r="AC36" s="33">
        <f>'TR TUSD'!$AC$36*'TR TUSD'!$AC$83</f>
        <v>1447.2174863627547</v>
      </c>
      <c r="AD36" s="33">
        <f>SUM($AC$36:$AC$36)</f>
        <v>1447.2174863627547</v>
      </c>
      <c r="AE36" s="33">
        <v>0</v>
      </c>
      <c r="AF36" s="33">
        <v>0</v>
      </c>
      <c r="AG36" s="33">
        <f>SUM($AE$36:$AF$36)</f>
        <v>0</v>
      </c>
      <c r="AH36" s="33">
        <f>'TR TUSD'!$AH$36*'TR TUSD'!$AH$83</f>
        <v>21.345828799309732</v>
      </c>
      <c r="AI36" s="33">
        <f>'TR TUSD'!$AI$36*'TR TUSD'!$AI$83</f>
        <v>4.7396357374898362E-2</v>
      </c>
      <c r="AJ36" s="33">
        <f ca="1">'TR TUSD'!$AJ$36*'TR TUSD'!$AJ$83</f>
        <v>0.74835920367305042</v>
      </c>
      <c r="AK36" s="33">
        <f ca="1">'TR TUSD'!$AK$36*'TR TUSD'!$AK$83</f>
        <v>4.4840096294332774</v>
      </c>
      <c r="AL36" s="33">
        <f ca="1">SUM($AH$36:$AK$36)</f>
        <v>26.625593989790957</v>
      </c>
      <c r="AM36" s="33">
        <f ca="1">SUMIF($L$4:$AL$4,"SUBTOTAL",$L$36:$AL$36)</f>
        <v>1833.6679318744968</v>
      </c>
      <c r="AP36" s="33">
        <v>1</v>
      </c>
    </row>
    <row r="37" spans="1:42" ht="11.25" customHeight="1" x14ac:dyDescent="0.25">
      <c r="A37" s="116"/>
      <c r="B37" s="116"/>
      <c r="C37" s="116"/>
      <c r="D37" s="116"/>
      <c r="E37" s="116"/>
      <c r="F37" s="116"/>
      <c r="G37" s="36" t="s">
        <v>119</v>
      </c>
      <c r="H37" s="36" t="s">
        <v>117</v>
      </c>
      <c r="I37" s="36">
        <f>'MERCADO TUSD'!$U$34</f>
        <v>0</v>
      </c>
      <c r="J37" s="16"/>
      <c r="L37" s="33">
        <f>'TR TUSD'!$L$37*'TR TUSD'!$L$83</f>
        <v>0</v>
      </c>
      <c r="M37" s="33">
        <f>'TR TUSD'!$M$37*'TR TUSD'!$M$83</f>
        <v>0.76040510127177696</v>
      </c>
      <c r="N37" s="33">
        <f ca="1">'TR TUSD'!$N$37*'TR TUSD'!$N$83</f>
        <v>0.5106429799032034</v>
      </c>
      <c r="O37" s="33">
        <f>'TR TUSD'!$O$37*'TR TUSD'!$O$83</f>
        <v>-5.032809553728302E-3</v>
      </c>
      <c r="P37" s="33">
        <f>'TR TUSD'!$P$37*'TR TUSD'!$P$83</f>
        <v>0</v>
      </c>
      <c r="Q37" s="33">
        <f>'TR TUSD'!$Q$37*'TR TUSD'!$Q$83</f>
        <v>0</v>
      </c>
      <c r="R37" s="33">
        <f>'TR TUSD'!$R$37*'TR TUSD'!$R$83</f>
        <v>0</v>
      </c>
      <c r="S37" s="33">
        <f>'TR TUSD'!$S$37*'TR TUSD'!$S$83</f>
        <v>0</v>
      </c>
      <c r="T37" s="33">
        <f ca="1">SUM($L$37:$S$37)</f>
        <v>1.2660152716212523</v>
      </c>
      <c r="U37" s="33">
        <f>'TR TUSD'!$U$37*'TR TUSD'!$U$83</f>
        <v>0</v>
      </c>
      <c r="V37" s="33">
        <f>'TR TUSD'!$V$37*'TR TUSD'!$V$83</f>
        <v>0</v>
      </c>
      <c r="W37" s="33">
        <f>'TR TUSD'!$W$37*'TR TUSD'!$W$83</f>
        <v>0</v>
      </c>
      <c r="X37" s="33">
        <f>'TR TUSD'!$X$37*'TR TUSD'!$X$83</f>
        <v>0</v>
      </c>
      <c r="Y37" s="33">
        <f>'TR TUSD'!$Y$37*'TR TUSD'!$Y$83</f>
        <v>0</v>
      </c>
      <c r="Z37" s="33">
        <f>'TR TUSD'!$Z$37</f>
        <v>0</v>
      </c>
      <c r="AA37" s="33">
        <f>'TR TUSD'!$AA$37</f>
        <v>0</v>
      </c>
      <c r="AB37" s="33">
        <f>SUM($U$37:$AA$37)</f>
        <v>0</v>
      </c>
      <c r="AC37" s="33">
        <f>'TR TUSD'!$AC$37*'TR TUSD'!$AC$83</f>
        <v>0</v>
      </c>
      <c r="AD37" s="33">
        <f>SUM($AC$37:$AC$37)</f>
        <v>0</v>
      </c>
      <c r="AE37" s="33">
        <v>0</v>
      </c>
      <c r="AF37" s="33">
        <v>0</v>
      </c>
      <c r="AG37" s="33">
        <f>SUM($AE$37:$AF$37)</f>
        <v>0</v>
      </c>
      <c r="AH37" s="33">
        <f>'TR TUSD'!$AH$37*'TR TUSD'!$AH$83</f>
        <v>21.345828799309732</v>
      </c>
      <c r="AI37" s="33">
        <f>'TR TUSD'!$AI$37*'TR TUSD'!$AI$83</f>
        <v>4.7396357374898362E-2</v>
      </c>
      <c r="AJ37" s="33">
        <f ca="1">'TR TUSD'!$AJ$37*'TR TUSD'!$AJ$83</f>
        <v>0.74835920367305042</v>
      </c>
      <c r="AK37" s="33">
        <f ca="1">'TR TUSD'!$AK$37*'TR TUSD'!$AK$83</f>
        <v>4.4840096294332774</v>
      </c>
      <c r="AL37" s="33">
        <f ca="1">SUM($AH$37:$AK$37)</f>
        <v>26.625593989790957</v>
      </c>
      <c r="AM37" s="33">
        <f ca="1">SUMIF($L$4:$AL$4,"SUBTOTAL",$L$37:$AL$37)</f>
        <v>27.89160926141221</v>
      </c>
      <c r="AP37" s="33">
        <v>1</v>
      </c>
    </row>
    <row r="38" spans="1:42" ht="11.25" customHeight="1" x14ac:dyDescent="0.25">
      <c r="A38" s="116" t="s">
        <v>125</v>
      </c>
      <c r="B38" s="116" t="s">
        <v>64</v>
      </c>
      <c r="C38" s="116" t="s">
        <v>25</v>
      </c>
      <c r="D38" s="116" t="s">
        <v>25</v>
      </c>
      <c r="E38" s="37" t="s">
        <v>126</v>
      </c>
      <c r="F38" s="37" t="s">
        <v>25</v>
      </c>
      <c r="G38" s="36" t="s">
        <v>9</v>
      </c>
      <c r="H38" s="36" t="s">
        <v>120</v>
      </c>
      <c r="I38" s="36">
        <f>'MERCADO TUSD'!$U$35+0.00000001</f>
        <v>1E-8</v>
      </c>
      <c r="J38" s="16"/>
      <c r="L38" s="33">
        <f>'TR TUSD'!$L$38*'TR TUSD'!$L$83</f>
        <v>0</v>
      </c>
      <c r="M38" s="33">
        <f>'TR TUSD'!$M$38*'TR TUSD'!$M$83</f>
        <v>3.4620131714458067E-3</v>
      </c>
      <c r="N38" s="33">
        <f ca="1">'TR TUSD'!$N$38*'TR TUSD'!$N$83</f>
        <v>1.2241486965604367E-2</v>
      </c>
      <c r="O38" s="33">
        <f>'TR TUSD'!$O$38*'TR TUSD'!$O$83</f>
        <v>0</v>
      </c>
      <c r="P38" s="33">
        <f>'TR TUSD'!$P$38*'TR TUSD'!$P$83</f>
        <v>0</v>
      </c>
      <c r="Q38" s="33">
        <f>'TR TUSD'!$Q$38*'TR TUSD'!$Q$83</f>
        <v>0</v>
      </c>
      <c r="R38" s="33">
        <f>'TR TUSD'!$R$38*'TR TUSD'!$R$83</f>
        <v>0</v>
      </c>
      <c r="S38" s="33">
        <f>'TR TUSD'!$S$38*'TR TUSD'!$S$83</f>
        <v>0</v>
      </c>
      <c r="T38" s="33">
        <f ca="1">SUM($L$38:$S$38)</f>
        <v>1.5703500137050172E-2</v>
      </c>
      <c r="U38" s="33">
        <f>'TR TUSD'!$U$38*'TR TUSD'!$U$83</f>
        <v>0</v>
      </c>
      <c r="V38" s="33">
        <f>'TR TUSD'!$V$38*'TR TUSD'!$V$83</f>
        <v>0</v>
      </c>
      <c r="W38" s="33">
        <f>'TR TUSD'!$W$38*'TR TUSD'!$W$83</f>
        <v>0</v>
      </c>
      <c r="X38" s="33">
        <f>'TR TUSD'!$X$38*'TR TUSD'!$X$83</f>
        <v>0</v>
      </c>
      <c r="Y38" s="33">
        <f>'TR TUSD'!$Y$38*'TR TUSD'!$Y$83</f>
        <v>0</v>
      </c>
      <c r="Z38" s="33">
        <f>'TR TUSD'!$Z$38*'TR TUSD'!$Z$83</f>
        <v>0</v>
      </c>
      <c r="AA38" s="33">
        <f>'TR TUSD'!$AA$38*'TR TUSD'!$AA$83</f>
        <v>0</v>
      </c>
      <c r="AB38" s="33">
        <f>SUM($U$38:$AA$38)</f>
        <v>0</v>
      </c>
      <c r="AC38" s="33">
        <f>'TR TUSD'!$AC$38*'TR TUSD'!$AC$83</f>
        <v>1.1580243847613017</v>
      </c>
      <c r="AD38" s="33">
        <f>SUM($AC$38:$AC$38)</f>
        <v>1.1580243847613017</v>
      </c>
      <c r="AE38" s="33">
        <v>0</v>
      </c>
      <c r="AF38" s="33">
        <v>0</v>
      </c>
      <c r="AG38" s="33">
        <f>SUM($AE$38:$AF$38)</f>
        <v>0</v>
      </c>
      <c r="AH38" s="33">
        <f>'TR TUSD'!$AH$38*'TR TUSD'!$AH$83</f>
        <v>0</v>
      </c>
      <c r="AI38" s="33">
        <f>'TR TUSD'!$AI$38*'TR TUSD'!$AI$83</f>
        <v>0</v>
      </c>
      <c r="AJ38" s="33">
        <f ca="1">'TR TUSD'!$AJ$38*'TR TUSD'!$AJ$83</f>
        <v>0</v>
      </c>
      <c r="AK38" s="33">
        <f ca="1">'TR TUSD'!$AK$38*'TR TUSD'!$AK$83</f>
        <v>0</v>
      </c>
      <c r="AL38" s="33">
        <f ca="1">SUM($AH$38:$AK$38)</f>
        <v>0</v>
      </c>
      <c r="AM38" s="33">
        <f ca="1">SUMIF($L$4:$AL$4,"SUBTOTAL",$L$38:$AL$38)</f>
        <v>1.1737278848983519</v>
      </c>
      <c r="AP38" s="33"/>
    </row>
    <row r="39" spans="1:42" ht="11.25" customHeight="1" x14ac:dyDescent="0.25">
      <c r="A39" s="116"/>
      <c r="B39" s="116"/>
      <c r="C39" s="116"/>
      <c r="D39" s="116"/>
      <c r="E39" s="37" t="s">
        <v>127</v>
      </c>
      <c r="F39" s="37" t="s">
        <v>25</v>
      </c>
      <c r="G39" s="36" t="s">
        <v>9</v>
      </c>
      <c r="H39" s="36" t="s">
        <v>120</v>
      </c>
      <c r="I39" s="36">
        <f>'MERCADO TUSD'!$U$36+0.00000001</f>
        <v>1E-8</v>
      </c>
      <c r="J39" s="16"/>
      <c r="L39" s="33">
        <f>'TR TUSD'!$L$39*'TR TUSD'!$L$83</f>
        <v>0</v>
      </c>
      <c r="M39" s="33">
        <f>'TR TUSD'!$M$39*'TR TUSD'!$M$83</f>
        <v>3.4620131714458067E-3</v>
      </c>
      <c r="N39" s="33">
        <f ca="1">'TR TUSD'!$N$39*'TR TUSD'!$N$83</f>
        <v>1.2241486965604367E-2</v>
      </c>
      <c r="O39" s="33">
        <f>'TR TUSD'!$O$39*'TR TUSD'!$O$83</f>
        <v>0</v>
      </c>
      <c r="P39" s="33">
        <f>'TR TUSD'!$P$39*'TR TUSD'!$P$83</f>
        <v>0</v>
      </c>
      <c r="Q39" s="33">
        <f>'TR TUSD'!$Q$39*'TR TUSD'!$Q$83</f>
        <v>0</v>
      </c>
      <c r="R39" s="33">
        <f>'TR TUSD'!$R$39*'TR TUSD'!$R$83</f>
        <v>0</v>
      </c>
      <c r="S39" s="33">
        <f>'TR TUSD'!$S$39*'TR TUSD'!$S$83</f>
        <v>0</v>
      </c>
      <c r="T39" s="33">
        <f ca="1">SUM($L$39:$S$39)</f>
        <v>1.5703500137050172E-2</v>
      </c>
      <c r="U39" s="33">
        <f>'TR TUSD'!$U$39*'TR TUSD'!$U$83</f>
        <v>0</v>
      </c>
      <c r="V39" s="33">
        <f>'TR TUSD'!$V$39*'TR TUSD'!$V$83</f>
        <v>0</v>
      </c>
      <c r="W39" s="33">
        <f>'TR TUSD'!$W$39*'TR TUSD'!$W$83</f>
        <v>0</v>
      </c>
      <c r="X39" s="33">
        <f>'TR TUSD'!$X$39*'TR TUSD'!$X$83</f>
        <v>0</v>
      </c>
      <c r="Y39" s="33">
        <f>'TR TUSD'!$Y$39*'TR TUSD'!$Y$83</f>
        <v>0</v>
      </c>
      <c r="Z39" s="33">
        <f>'TR TUSD'!$Z$39*'TR TUSD'!$Z$83</f>
        <v>0</v>
      </c>
      <c r="AA39" s="33">
        <f>'TR TUSD'!$AA$39*'TR TUSD'!$AA$83</f>
        <v>0</v>
      </c>
      <c r="AB39" s="33">
        <f>SUM($U$39:$AA$39)</f>
        <v>0</v>
      </c>
      <c r="AC39" s="33">
        <f>'TR TUSD'!$AC$39*'TR TUSD'!$AC$83</f>
        <v>11.055769433506528</v>
      </c>
      <c r="AD39" s="33">
        <f>SUM($AC$39:$AC$39)</f>
        <v>11.055769433506528</v>
      </c>
      <c r="AE39" s="33">
        <v>0</v>
      </c>
      <c r="AF39" s="33">
        <v>0</v>
      </c>
      <c r="AG39" s="33">
        <f>SUM($AE$39:$AF$39)</f>
        <v>0</v>
      </c>
      <c r="AH39" s="33">
        <f>'TR TUSD'!$AH$39*'TR TUSD'!$AH$83</f>
        <v>0</v>
      </c>
      <c r="AI39" s="33">
        <f>'TR TUSD'!$AI$39*'TR TUSD'!$AI$83</f>
        <v>0</v>
      </c>
      <c r="AJ39" s="33">
        <f ca="1">'TR TUSD'!$AJ$39*'TR TUSD'!$AJ$83</f>
        <v>0</v>
      </c>
      <c r="AK39" s="33">
        <f ca="1">'TR TUSD'!$AK$39*'TR TUSD'!$AK$83</f>
        <v>0</v>
      </c>
      <c r="AL39" s="33">
        <f ca="1">SUM($AH$39:$AK$39)</f>
        <v>0</v>
      </c>
      <c r="AM39" s="33">
        <f ca="1">SUMIF($L$4:$AL$4,"SUBTOTAL",$L$39:$AL$39)</f>
        <v>11.071472933643578</v>
      </c>
      <c r="AP39" s="33"/>
    </row>
    <row r="40" spans="1:42" ht="11.25" customHeight="1" x14ac:dyDescent="0.25">
      <c r="A40" s="116" t="s">
        <v>22</v>
      </c>
      <c r="B40" s="116" t="s">
        <v>33</v>
      </c>
      <c r="C40" s="116" t="s">
        <v>24</v>
      </c>
      <c r="D40" s="116" t="s">
        <v>24</v>
      </c>
      <c r="E40" s="116" t="s">
        <v>25</v>
      </c>
      <c r="F40" s="116" t="s">
        <v>25</v>
      </c>
      <c r="G40" s="36" t="s">
        <v>118</v>
      </c>
      <c r="H40" s="36" t="s">
        <v>117</v>
      </c>
      <c r="I40" s="36">
        <f>'MERCADO TUSD'!$U$37</f>
        <v>17.429000000000002</v>
      </c>
      <c r="J40" s="16"/>
      <c r="L40" s="33">
        <f>'TR TUSD'!$L$40*'TR TUSD'!$L$83</f>
        <v>6.2040073469118227</v>
      </c>
      <c r="M40" s="33">
        <f>'TR TUSD'!$M$40*'TR TUSD'!$M$83</f>
        <v>0.81258730681580105</v>
      </c>
      <c r="N40" s="33">
        <f ca="1">'TR TUSD'!$N$40*'TR TUSD'!$N$83</f>
        <v>8.1115467554178391</v>
      </c>
      <c r="O40" s="33">
        <f>'TR TUSD'!$O$40*'TR TUSD'!$O$83</f>
        <v>-5.032809553728302E-3</v>
      </c>
      <c r="P40" s="33">
        <f>'TR TUSD'!$P$40*'TR TUSD'!$P$83</f>
        <v>0</v>
      </c>
      <c r="Q40" s="33">
        <f>'TR TUSD'!$Q$40*'TR TUSD'!$Q$83</f>
        <v>93.427414695800351</v>
      </c>
      <c r="R40" s="33">
        <f>'TR TUSD'!$R$40*'TR TUSD'!$R$83</f>
        <v>14.902150200061627</v>
      </c>
      <c r="S40" s="33">
        <f>'TR TUSD'!$S$40*'TR TUSD'!$S$83</f>
        <v>0</v>
      </c>
      <c r="T40" s="33">
        <f ca="1">SUM($L$40:$S$40)</f>
        <v>123.45267349545371</v>
      </c>
      <c r="U40" s="33">
        <f>'TR TUSD'!$U$40*'TR TUSD'!$U$83</f>
        <v>30.143671404304119</v>
      </c>
      <c r="V40" s="33">
        <f>'TR TUSD'!$V$40*'TR TUSD'!$V$83</f>
        <v>0.43051505195480738</v>
      </c>
      <c r="W40" s="33">
        <f>'TR TUSD'!$W$40*'TR TUSD'!$W$83</f>
        <v>0</v>
      </c>
      <c r="X40" s="33">
        <f>'TR TUSD'!$X$40*'TR TUSD'!$X$83</f>
        <v>0</v>
      </c>
      <c r="Y40" s="33">
        <f>'TR TUSD'!$Y$40*'TR TUSD'!$Y$83</f>
        <v>114.41246166322735</v>
      </c>
      <c r="Z40" s="33">
        <f>'TR TUSD'!$Z$40</f>
        <v>0</v>
      </c>
      <c r="AA40" s="33">
        <f>'TR TUSD'!$AA$40</f>
        <v>0</v>
      </c>
      <c r="AB40" s="33">
        <f>SUM($U$40:$AA$40)</f>
        <v>144.98664811948626</v>
      </c>
      <c r="AC40" s="33">
        <f>'TR TUSD'!$AC$40*'TR TUSD'!$AC$83</f>
        <v>522.13345919561164</v>
      </c>
      <c r="AD40" s="33">
        <f>SUM($AC$40:$AC$40)</f>
        <v>522.13345919561164</v>
      </c>
      <c r="AE40" s="33">
        <v>0</v>
      </c>
      <c r="AF40" s="33">
        <v>0</v>
      </c>
      <c r="AG40" s="33">
        <f>SUM($AE$40:$AF$40)</f>
        <v>0</v>
      </c>
      <c r="AH40" s="33">
        <f>'TR TUSD'!$AH$40*'TR TUSD'!$AH$83</f>
        <v>43.826574001541772</v>
      </c>
      <c r="AI40" s="33">
        <f>'TR TUSD'!$AI$40*'TR TUSD'!$AI$83</f>
        <v>9.7312687336913103E-2</v>
      </c>
      <c r="AJ40" s="33">
        <f ca="1">'TR TUSD'!$AJ$40*'TR TUSD'!$AJ$83</f>
        <v>0.78895297972128819</v>
      </c>
      <c r="AK40" s="33">
        <f ca="1">'TR TUSD'!$AK$40*'TR TUSD'!$AK$83</f>
        <v>4.7272389260089893</v>
      </c>
      <c r="AL40" s="33">
        <f ca="1">SUM($AH$40:$AK$40)</f>
        <v>49.440078594608956</v>
      </c>
      <c r="AM40" s="33">
        <f ca="1">SUMIF($L$4:$AL$4,"SUBTOTAL",$L$40:$AL$40)</f>
        <v>840.01285940516061</v>
      </c>
      <c r="AP40" s="33">
        <v>1</v>
      </c>
    </row>
    <row r="41" spans="1:42" ht="11.25" customHeight="1" x14ac:dyDescent="0.25">
      <c r="A41" s="116"/>
      <c r="B41" s="116"/>
      <c r="C41" s="116"/>
      <c r="D41" s="116"/>
      <c r="E41" s="116"/>
      <c r="F41" s="116"/>
      <c r="G41" s="36" t="s">
        <v>128</v>
      </c>
      <c r="H41" s="36" t="s">
        <v>117</v>
      </c>
      <c r="I41" s="36">
        <f>'MERCADO TUSD'!$U$38</f>
        <v>10.807000000000002</v>
      </c>
      <c r="J41" s="16"/>
      <c r="L41" s="33">
        <f>'TR TUSD'!$L$41*'TR TUSD'!$L$83</f>
        <v>6.2040073469118227</v>
      </c>
      <c r="M41" s="33">
        <f>'TR TUSD'!$M$41*'TR TUSD'!$M$83</f>
        <v>0.81258730681580105</v>
      </c>
      <c r="N41" s="33">
        <f ca="1">'TR TUSD'!$N$41*'TR TUSD'!$N$83</f>
        <v>5.2750251763815905</v>
      </c>
      <c r="O41" s="33">
        <f>'TR TUSD'!$O$41*'TR TUSD'!$O$83</f>
        <v>-5.032809553728302E-3</v>
      </c>
      <c r="P41" s="33">
        <f>'TR TUSD'!$P$41*'TR TUSD'!$P$83</f>
        <v>0</v>
      </c>
      <c r="Q41" s="33">
        <f>'TR TUSD'!$Q$41*'TR TUSD'!$Q$83</f>
        <v>93.427414695800351</v>
      </c>
      <c r="R41" s="33">
        <f>'TR TUSD'!$R$41*'TR TUSD'!$R$83</f>
        <v>14.902150200061627</v>
      </c>
      <c r="S41" s="33">
        <f>'TR TUSD'!$S$41*'TR TUSD'!$S$83</f>
        <v>0</v>
      </c>
      <c r="T41" s="33">
        <f ca="1">SUM($L$41:$S$41)</f>
        <v>120.61615191641746</v>
      </c>
      <c r="U41" s="33">
        <f>'TR TUSD'!$U$41*'TR TUSD'!$U$83</f>
        <v>18.086220513708238</v>
      </c>
      <c r="V41" s="33">
        <f>'TR TUSD'!$V$41*'TR TUSD'!$V$83</f>
        <v>0.25831291353425112</v>
      </c>
      <c r="W41" s="33">
        <f>'TR TUSD'!$W$41*'TR TUSD'!$W$83</f>
        <v>0</v>
      </c>
      <c r="X41" s="33">
        <f>'TR TUSD'!$X$41*'TR TUSD'!$X$83</f>
        <v>0</v>
      </c>
      <c r="Y41" s="33">
        <f>'TR TUSD'!$Y$41*'TR TUSD'!$Y$83</f>
        <v>68.647454138806111</v>
      </c>
      <c r="Z41" s="33">
        <f>'TR TUSD'!$Z$41</f>
        <v>0</v>
      </c>
      <c r="AA41" s="33">
        <f>'TR TUSD'!$AA$41</f>
        <v>0</v>
      </c>
      <c r="AB41" s="33">
        <f>SUM($U$41:$AA$41)</f>
        <v>86.991987566048607</v>
      </c>
      <c r="AC41" s="33">
        <f>'TR TUSD'!$AC$41*'TR TUSD'!$AC$83</f>
        <v>313.28000880448838</v>
      </c>
      <c r="AD41" s="33">
        <f>SUM($AC$41:$AC$41)</f>
        <v>313.28000880448838</v>
      </c>
      <c r="AE41" s="33">
        <v>0</v>
      </c>
      <c r="AF41" s="33">
        <v>0</v>
      </c>
      <c r="AG41" s="33">
        <f>SUM($AE$41:$AF$41)</f>
        <v>0</v>
      </c>
      <c r="AH41" s="33">
        <f>'TR TUSD'!$AH$41*'TR TUSD'!$AH$83</f>
        <v>43.826574001541772</v>
      </c>
      <c r="AI41" s="33">
        <f>'TR TUSD'!$AI$41*'TR TUSD'!$AI$83</f>
        <v>9.7312687336913103E-2</v>
      </c>
      <c r="AJ41" s="33">
        <f ca="1">'TR TUSD'!$AJ$41*'TR TUSD'!$AJ$83</f>
        <v>0.78895297972128819</v>
      </c>
      <c r="AK41" s="33">
        <f ca="1">'TR TUSD'!$AK$41*'TR TUSD'!$AK$83</f>
        <v>4.7272389260089893</v>
      </c>
      <c r="AL41" s="33">
        <f ca="1">SUM($AH$41:$AK$41)</f>
        <v>49.440078594608956</v>
      </c>
      <c r="AM41" s="33">
        <f ca="1">SUMIF($L$4:$AL$4,"SUBTOTAL",$L$41:$AL$41)</f>
        <v>570.32822688156341</v>
      </c>
      <c r="AP41" s="33">
        <v>1</v>
      </c>
    </row>
    <row r="42" spans="1:42" ht="11.25" customHeight="1" x14ac:dyDescent="0.25">
      <c r="A42" s="116"/>
      <c r="B42" s="116"/>
      <c r="C42" s="116"/>
      <c r="D42" s="116"/>
      <c r="E42" s="116"/>
      <c r="F42" s="116"/>
      <c r="G42" s="36" t="s">
        <v>119</v>
      </c>
      <c r="H42" s="36" t="s">
        <v>117</v>
      </c>
      <c r="I42" s="36">
        <f>'MERCADO TUSD'!$U$39</f>
        <v>120.55500000000001</v>
      </c>
      <c r="J42" s="16"/>
      <c r="L42" s="33">
        <f>'TR TUSD'!$L$42*'TR TUSD'!$L$83</f>
        <v>6.2040073469118227</v>
      </c>
      <c r="M42" s="33">
        <f>'TR TUSD'!$M$42*'TR TUSD'!$M$83</f>
        <v>0.81258730681580105</v>
      </c>
      <c r="N42" s="33">
        <f ca="1">'TR TUSD'!$N$42*'TR TUSD'!$N$83</f>
        <v>2.4385035973453428</v>
      </c>
      <c r="O42" s="33">
        <f>'TR TUSD'!$O$42*'TR TUSD'!$O$83</f>
        <v>-5.032809553728302E-3</v>
      </c>
      <c r="P42" s="33">
        <f>'TR TUSD'!$P$42*'TR TUSD'!$P$83</f>
        <v>0</v>
      </c>
      <c r="Q42" s="33">
        <f>'TR TUSD'!$Q$42*'TR TUSD'!$Q$83</f>
        <v>93.427414695800351</v>
      </c>
      <c r="R42" s="33">
        <f>'TR TUSD'!$R$42*'TR TUSD'!$R$83</f>
        <v>14.902150200061627</v>
      </c>
      <c r="S42" s="33">
        <f>'TR TUSD'!$S$42*'TR TUSD'!$S$83</f>
        <v>0</v>
      </c>
      <c r="T42" s="33">
        <f ca="1">SUM($L$42:$S$42)</f>
        <v>117.77963033738122</v>
      </c>
      <c r="U42" s="33">
        <f>'TR TUSD'!$U$42*'TR TUSD'!$U$83</f>
        <v>6.0287696231123613</v>
      </c>
      <c r="V42" s="33">
        <f>'TR TUSD'!$V$42*'TR TUSD'!$V$83</f>
        <v>8.6101069210278117E-2</v>
      </c>
      <c r="W42" s="33">
        <f>'TR TUSD'!$W$42*'TR TUSD'!$W$83</f>
        <v>0</v>
      </c>
      <c r="X42" s="33">
        <f>'TR TUSD'!$X$42*'TR TUSD'!$X$83</f>
        <v>0</v>
      </c>
      <c r="Y42" s="33">
        <f>'TR TUSD'!$Y$42*'TR TUSD'!$Y$83</f>
        <v>22.882446614384868</v>
      </c>
      <c r="Z42" s="33">
        <f>'TR TUSD'!$Z$42</f>
        <v>0</v>
      </c>
      <c r="AA42" s="33">
        <f>'TR TUSD'!$AA$42</f>
        <v>0</v>
      </c>
      <c r="AB42" s="33">
        <f>SUM($U$42:$AA$42)</f>
        <v>28.997317306707508</v>
      </c>
      <c r="AC42" s="33">
        <f>'TR TUSD'!$AC$42*'TR TUSD'!$AC$83</f>
        <v>104.4266696014961</v>
      </c>
      <c r="AD42" s="33">
        <f>SUM($AC$42:$AC$42)</f>
        <v>104.4266696014961</v>
      </c>
      <c r="AE42" s="33">
        <v>0</v>
      </c>
      <c r="AF42" s="33">
        <v>0</v>
      </c>
      <c r="AG42" s="33">
        <f>SUM($AE$42:$AF$42)</f>
        <v>0</v>
      </c>
      <c r="AH42" s="33">
        <f>'TR TUSD'!$AH$42*'TR TUSD'!$AH$83</f>
        <v>43.826574001541772</v>
      </c>
      <c r="AI42" s="33">
        <f>'TR TUSD'!$AI$42*'TR TUSD'!$AI$83</f>
        <v>9.7312687336913103E-2</v>
      </c>
      <c r="AJ42" s="33">
        <f ca="1">'TR TUSD'!$AJ$42*'TR TUSD'!$AJ$83</f>
        <v>0.78895297972128819</v>
      </c>
      <c r="AK42" s="33">
        <f ca="1">'TR TUSD'!$AK$42*'TR TUSD'!$AK$83</f>
        <v>4.7272389260089893</v>
      </c>
      <c r="AL42" s="33">
        <f ca="1">SUM($AH$42:$AK$42)</f>
        <v>49.440078594608956</v>
      </c>
      <c r="AM42" s="33">
        <f ca="1">SUMIF($L$4:$AL$4,"SUBTOTAL",$L$42:$AL$42)</f>
        <v>300.6436958401938</v>
      </c>
      <c r="AP42" s="33">
        <v>1</v>
      </c>
    </row>
    <row r="43" spans="1:42" ht="11.25" customHeight="1" x14ac:dyDescent="0.25">
      <c r="A43" s="116"/>
      <c r="B43" s="116" t="s">
        <v>23</v>
      </c>
      <c r="C43" s="116" t="s">
        <v>24</v>
      </c>
      <c r="D43" s="37" t="s">
        <v>24</v>
      </c>
      <c r="E43" s="37" t="s">
        <v>25</v>
      </c>
      <c r="F43" s="37" t="s">
        <v>25</v>
      </c>
      <c r="G43" s="36" t="s">
        <v>123</v>
      </c>
      <c r="H43" s="36" t="s">
        <v>117</v>
      </c>
      <c r="I43" s="36">
        <f>'MERCADO TUSD'!$U$40</f>
        <v>426447.22100000002</v>
      </c>
      <c r="J43" s="16"/>
      <c r="L43" s="33">
        <f>'TR TUSD'!$L$43*'TR TUSD'!$L$83</f>
        <v>6.2040073469118227</v>
      </c>
      <c r="M43" s="33">
        <f>'TR TUSD'!$M$43*'TR TUSD'!$M$83</f>
        <v>0.81258730681580105</v>
      </c>
      <c r="N43" s="33">
        <f ca="1">'TR TUSD'!$N$43*'TR TUSD'!$N$83</f>
        <v>3.6962067926064517</v>
      </c>
      <c r="O43" s="33">
        <f>'TR TUSD'!$O$43*'TR TUSD'!$O$83</f>
        <v>-5.032809553728302E-3</v>
      </c>
      <c r="P43" s="33">
        <f>'TR TUSD'!$P$43*'TR TUSD'!$P$83</f>
        <v>0</v>
      </c>
      <c r="Q43" s="33">
        <f>'TR TUSD'!$Q$43*'TR TUSD'!$Q$83</f>
        <v>93.427414695800351</v>
      </c>
      <c r="R43" s="33">
        <f>'TR TUSD'!$R$43*'TR TUSD'!$R$83</f>
        <v>14.902150200061627</v>
      </c>
      <c r="S43" s="33">
        <f>'TR TUSD'!$S$43*'TR TUSD'!$S$83</f>
        <v>0</v>
      </c>
      <c r="T43" s="33">
        <f ca="1">SUM($L$43:$S$43)</f>
        <v>119.03733353264232</v>
      </c>
      <c r="U43" s="33">
        <f>'TR TUSD'!$U$43*'TR TUSD'!$U$83</f>
        <v>11.374992013382213</v>
      </c>
      <c r="V43" s="33">
        <f>'TR TUSD'!$V$43*'TR TUSD'!$V$83</f>
        <v>0.16245741139010653</v>
      </c>
      <c r="W43" s="33">
        <f>'TR TUSD'!$W$43*'TR TUSD'!$W$83</f>
        <v>0</v>
      </c>
      <c r="X43" s="33">
        <f>'TR TUSD'!$X$43*'TR TUSD'!$X$83</f>
        <v>0</v>
      </c>
      <c r="Y43" s="33">
        <f>'TR TUSD'!$Y$43*'TR TUSD'!$Y$83</f>
        <v>43.174496583006324</v>
      </c>
      <c r="Z43" s="33">
        <f>'TR TUSD'!$Z$43</f>
        <v>0</v>
      </c>
      <c r="AA43" s="33">
        <f>'TR TUSD'!$AA$43</f>
        <v>0</v>
      </c>
      <c r="AB43" s="33">
        <f>SUM($U$43:$AA$43)</f>
        <v>54.711946007778643</v>
      </c>
      <c r="AC43" s="33">
        <f>'TR TUSD'!$AC$43*'TR TUSD'!$AC$83</f>
        <v>197.03148354663352</v>
      </c>
      <c r="AD43" s="33">
        <f>SUM($AC$43:$AC$43)</f>
        <v>197.03148354663352</v>
      </c>
      <c r="AE43" s="33">
        <v>0</v>
      </c>
      <c r="AF43" s="33">
        <v>0</v>
      </c>
      <c r="AG43" s="33">
        <f>SUM($AE$43:$AF$43)</f>
        <v>0</v>
      </c>
      <c r="AH43" s="33">
        <f>'TR TUSD'!$AH$43*'TR TUSD'!$AH$83</f>
        <v>43.826574001541772</v>
      </c>
      <c r="AI43" s="33">
        <f>'TR TUSD'!$AI$43*'TR TUSD'!$AI$83</f>
        <v>9.7312687336913103E-2</v>
      </c>
      <c r="AJ43" s="33">
        <f ca="1">'TR TUSD'!$AJ$43*'TR TUSD'!$AJ$83</f>
        <v>0.78895297972128819</v>
      </c>
      <c r="AK43" s="33">
        <f ca="1">'TR TUSD'!$AK$43*'TR TUSD'!$AK$83</f>
        <v>4.7272389260089893</v>
      </c>
      <c r="AL43" s="33">
        <f ca="1">SUM($AH$43:$AK$43)</f>
        <v>49.440078594608956</v>
      </c>
      <c r="AM43" s="33">
        <f ca="1">SUMIF($L$4:$AL$4,"SUBTOTAL",$L$43:$AL$43)</f>
        <v>420.22084168166344</v>
      </c>
      <c r="AP43" s="33">
        <v>1</v>
      </c>
    </row>
    <row r="44" spans="1:42" ht="11.25" customHeight="1" x14ac:dyDescent="0.25">
      <c r="A44" s="116"/>
      <c r="B44" s="116"/>
      <c r="C44" s="116"/>
      <c r="D44" s="37" t="s">
        <v>29</v>
      </c>
      <c r="E44" s="37" t="s">
        <v>25</v>
      </c>
      <c r="F44" s="37" t="s">
        <v>25</v>
      </c>
      <c r="G44" s="36" t="s">
        <v>123</v>
      </c>
      <c r="H44" s="36" t="s">
        <v>117</v>
      </c>
      <c r="I44" s="36">
        <f>'MERCADO TUSD'!$U$41</f>
        <v>31822.650999999998</v>
      </c>
      <c r="J44" s="16"/>
      <c r="L44" s="33">
        <f>'TR TUSD'!$L$44*'TR TUSD'!$L$83</f>
        <v>0</v>
      </c>
      <c r="M44" s="33">
        <f>'TR TUSD'!$M$44*'TR TUSD'!$M$83</f>
        <v>0.81258730681580105</v>
      </c>
      <c r="N44" s="33">
        <f ca="1">'TR TUSD'!$N$44*'TR TUSD'!$N$83</f>
        <v>3.6845482335915904</v>
      </c>
      <c r="O44" s="33">
        <f>'TR TUSD'!$O$44*'TR TUSD'!$O$83</f>
        <v>-5.032809553728302E-3</v>
      </c>
      <c r="P44" s="33">
        <f>'TR TUSD'!$P$44*'TR TUSD'!$P$83</f>
        <v>0</v>
      </c>
      <c r="Q44" s="33">
        <f>'TR TUSD'!$Q$44*'TR TUSD'!$Q$83</f>
        <v>0</v>
      </c>
      <c r="R44" s="33">
        <f>'TR TUSD'!$R$44*'TR TUSD'!$R$83</f>
        <v>0</v>
      </c>
      <c r="S44" s="33">
        <f>'TR TUSD'!$S$44*'TR TUSD'!$S$83</f>
        <v>0</v>
      </c>
      <c r="T44" s="33">
        <f ca="1">SUM($L$44:$S$44)</f>
        <v>4.4921027308536639</v>
      </c>
      <c r="U44" s="33">
        <f>'TR TUSD'!$U$44*'TR TUSD'!$U$83</f>
        <v>11.374992013382213</v>
      </c>
      <c r="V44" s="33">
        <f>'TR TUSD'!$V$44*'TR TUSD'!$V$83</f>
        <v>0.16245741139010653</v>
      </c>
      <c r="W44" s="33">
        <f>'TR TUSD'!$W$44*'TR TUSD'!$W$83</f>
        <v>0</v>
      </c>
      <c r="X44" s="33">
        <f>'TR TUSD'!$X$44*'TR TUSD'!$X$83</f>
        <v>0</v>
      </c>
      <c r="Y44" s="33">
        <f>'TR TUSD'!$Y$44*'TR TUSD'!$Y$83</f>
        <v>43.174496583006324</v>
      </c>
      <c r="Z44" s="33">
        <f>'TR TUSD'!$Z$44</f>
        <v>0</v>
      </c>
      <c r="AA44" s="33">
        <f>'TR TUSD'!$AA$44</f>
        <v>0</v>
      </c>
      <c r="AB44" s="33">
        <f>SUM($U$44:$AA$44)</f>
        <v>54.711946007778643</v>
      </c>
      <c r="AC44" s="33">
        <f>'TR TUSD'!$AC$44*'TR TUSD'!$AC$83</f>
        <v>197.03148354663352</v>
      </c>
      <c r="AD44" s="33">
        <f>SUM($AC$44:$AC$44)</f>
        <v>197.03148354663352</v>
      </c>
      <c r="AE44" s="33">
        <v>0</v>
      </c>
      <c r="AF44" s="33">
        <v>0</v>
      </c>
      <c r="AG44" s="33">
        <f>SUM($AE$44:$AF$44)</f>
        <v>0</v>
      </c>
      <c r="AH44" s="33">
        <f>'TR TUSD'!$AH$44*'TR TUSD'!$AH$83</f>
        <v>43.826574001541772</v>
      </c>
      <c r="AI44" s="33">
        <f>'TR TUSD'!$AI$44*'TR TUSD'!$AI$83</f>
        <v>9.7312687336913103E-2</v>
      </c>
      <c r="AJ44" s="33">
        <f ca="1">'TR TUSD'!$AJ$44*'TR TUSD'!$AJ$83</f>
        <v>0.78895297972128819</v>
      </c>
      <c r="AK44" s="33">
        <f ca="1">'TR TUSD'!$AK$44*'TR TUSD'!$AK$83</f>
        <v>4.7272389260089893</v>
      </c>
      <c r="AL44" s="33">
        <f ca="1">SUM($AH$44:$AK$44)</f>
        <v>49.440078594608956</v>
      </c>
      <c r="AM44" s="33">
        <f ca="1">SUMIF($L$4:$AL$4,"SUBTOTAL",$L$44:$AL$44)</f>
        <v>305.6756108798748</v>
      </c>
      <c r="AP44" s="33">
        <f>IF((1 - CUSTOS!$M$24)&lt;&gt;0,1/(1 - CUSTOS!$M$24),1)</f>
        <v>1</v>
      </c>
    </row>
    <row r="45" spans="1:42" ht="11.25" customHeight="1" x14ac:dyDescent="0.25">
      <c r="A45" s="116"/>
      <c r="B45" s="116"/>
      <c r="C45" s="116"/>
      <c r="D45" s="37" t="s">
        <v>30</v>
      </c>
      <c r="E45" s="37" t="s">
        <v>25</v>
      </c>
      <c r="F45" s="37" t="s">
        <v>25</v>
      </c>
      <c r="G45" s="36" t="s">
        <v>123</v>
      </c>
      <c r="H45" s="36" t="s">
        <v>117</v>
      </c>
      <c r="I45" s="36">
        <f>'MERCADO TUSD'!$U$42</f>
        <v>61209.610999999997</v>
      </c>
      <c r="J45" s="16"/>
      <c r="L45" s="33">
        <f>'TR TUSD'!$L$45*'TR TUSD'!$L$83</f>
        <v>0</v>
      </c>
      <c r="M45" s="33">
        <f>'TR TUSD'!$M$45*'TR TUSD'!$M$83</f>
        <v>0.81258730681580105</v>
      </c>
      <c r="N45" s="33">
        <f ca="1">'TR TUSD'!$N$45*'TR TUSD'!$N$83</f>
        <v>3.6845482335915904</v>
      </c>
      <c r="O45" s="33">
        <f>'TR TUSD'!$O$45*'TR TUSD'!$O$83</f>
        <v>-5.032809553728302E-3</v>
      </c>
      <c r="P45" s="33">
        <f>'TR TUSD'!$P$45*'TR TUSD'!$P$83</f>
        <v>0</v>
      </c>
      <c r="Q45" s="33">
        <f>'TR TUSD'!$Q$45*'TR TUSD'!$Q$83</f>
        <v>0</v>
      </c>
      <c r="R45" s="33">
        <f>'TR TUSD'!$R$45*'TR TUSD'!$R$83</f>
        <v>0</v>
      </c>
      <c r="S45" s="33">
        <f>'TR TUSD'!$S$45*'TR TUSD'!$S$83</f>
        <v>0</v>
      </c>
      <c r="T45" s="33">
        <f ca="1">SUM($L$45:$S$45)</f>
        <v>4.4921027308536639</v>
      </c>
      <c r="U45" s="33">
        <f>'TR TUSD'!$U$45*'TR TUSD'!$U$83</f>
        <v>11.374992013382213</v>
      </c>
      <c r="V45" s="33">
        <f>'TR TUSD'!$V$45*'TR TUSD'!$V$83</f>
        <v>0.16245741139010653</v>
      </c>
      <c r="W45" s="33">
        <f>'TR TUSD'!$W$45*'TR TUSD'!$W$83</f>
        <v>0</v>
      </c>
      <c r="X45" s="33">
        <f>'TR TUSD'!$X$45*'TR TUSD'!$X$83</f>
        <v>0</v>
      </c>
      <c r="Y45" s="33">
        <f>'TR TUSD'!$Y$45*'TR TUSD'!$Y$83</f>
        <v>43.174496583006324</v>
      </c>
      <c r="Z45" s="33">
        <f>'TR TUSD'!$Z$45</f>
        <v>0</v>
      </c>
      <c r="AA45" s="33">
        <f>'TR TUSD'!$AA$45</f>
        <v>0</v>
      </c>
      <c r="AB45" s="33">
        <f>SUM($U$45:$AA$45)</f>
        <v>54.711946007778643</v>
      </c>
      <c r="AC45" s="33">
        <f>'TR TUSD'!$AC$45*'TR TUSD'!$AC$83</f>
        <v>197.03148354663352</v>
      </c>
      <c r="AD45" s="33">
        <f>SUM($AC$45:$AC$45)</f>
        <v>197.03148354663352</v>
      </c>
      <c r="AE45" s="33">
        <v>0</v>
      </c>
      <c r="AF45" s="33">
        <v>0</v>
      </c>
      <c r="AG45" s="33">
        <f>SUM($AE$45:$AF$45)</f>
        <v>0</v>
      </c>
      <c r="AH45" s="33">
        <f>'TR TUSD'!$AH$45*'TR TUSD'!$AH$83</f>
        <v>43.826574001541772</v>
      </c>
      <c r="AI45" s="33">
        <f>'TR TUSD'!$AI$45*'TR TUSD'!$AI$83</f>
        <v>9.7312687336913103E-2</v>
      </c>
      <c r="AJ45" s="33">
        <f ca="1">'TR TUSD'!$AJ$45*'TR TUSD'!$AJ$83</f>
        <v>0.78895297972128819</v>
      </c>
      <c r="AK45" s="33">
        <f ca="1">'TR TUSD'!$AK$45*'TR TUSD'!$AK$83</f>
        <v>4.7272389260089893</v>
      </c>
      <c r="AL45" s="33">
        <f ca="1">SUM($AH$45:$AK$45)</f>
        <v>49.440078594608956</v>
      </c>
      <c r="AM45" s="33">
        <f ca="1">SUMIF($L$4:$AL$4,"SUBTOTAL",$L$45:$AL$45)</f>
        <v>305.6756108798748</v>
      </c>
      <c r="AP45" s="33">
        <f>IF((1 - CUSTOS!$M$25)&lt;&gt;0,1/(1 - CUSTOS!$M$25),1)</f>
        <v>1</v>
      </c>
    </row>
    <row r="46" spans="1:42" ht="11.25" customHeight="1" x14ac:dyDescent="0.25">
      <c r="A46" s="116"/>
      <c r="B46" s="116"/>
      <c r="C46" s="116"/>
      <c r="D46" s="37" t="s">
        <v>31</v>
      </c>
      <c r="E46" s="37" t="s">
        <v>25</v>
      </c>
      <c r="F46" s="37" t="s">
        <v>25</v>
      </c>
      <c r="G46" s="36" t="s">
        <v>123</v>
      </c>
      <c r="H46" s="36" t="s">
        <v>117</v>
      </c>
      <c r="I46" s="36">
        <f>'MERCADO TUSD'!$U$43</f>
        <v>39801.019999999997</v>
      </c>
      <c r="J46" s="16"/>
      <c r="L46" s="33">
        <f>'TR TUSD'!$L$46*'TR TUSD'!$L$83</f>
        <v>0</v>
      </c>
      <c r="M46" s="33">
        <f>'TR TUSD'!$M$46*'TR TUSD'!$M$83</f>
        <v>0.81258730681580105</v>
      </c>
      <c r="N46" s="33">
        <f ca="1">'TR TUSD'!$N$46*'TR TUSD'!$N$83</f>
        <v>3.6845482335915904</v>
      </c>
      <c r="O46" s="33">
        <f>'TR TUSD'!$O$46*'TR TUSD'!$O$83</f>
        <v>-5.032809553728302E-3</v>
      </c>
      <c r="P46" s="33">
        <f>'TR TUSD'!$P$46*'TR TUSD'!$P$83</f>
        <v>0</v>
      </c>
      <c r="Q46" s="33">
        <f>'TR TUSD'!$Q$46*'TR TUSD'!$Q$83</f>
        <v>0</v>
      </c>
      <c r="R46" s="33">
        <f>'TR TUSD'!$R$46*'TR TUSD'!$R$83</f>
        <v>0</v>
      </c>
      <c r="S46" s="33">
        <f>'TR TUSD'!$S$46*'TR TUSD'!$S$83</f>
        <v>0</v>
      </c>
      <c r="T46" s="33">
        <f ca="1">SUM($L$46:$S$46)</f>
        <v>4.4921027308536639</v>
      </c>
      <c r="U46" s="33">
        <f>'TR TUSD'!$U$46*'TR TUSD'!$U$83</f>
        <v>11.374992013382213</v>
      </c>
      <c r="V46" s="33">
        <f>'TR TUSD'!$V$46*'TR TUSD'!$V$83</f>
        <v>0.16245741139010653</v>
      </c>
      <c r="W46" s="33">
        <f>'TR TUSD'!$W$46*'TR TUSD'!$W$83</f>
        <v>0</v>
      </c>
      <c r="X46" s="33">
        <f>'TR TUSD'!$X$46*'TR TUSD'!$X$83</f>
        <v>0</v>
      </c>
      <c r="Y46" s="33">
        <f>'TR TUSD'!$Y$46*'TR TUSD'!$Y$83</f>
        <v>43.174496583006324</v>
      </c>
      <c r="Z46" s="33">
        <f>'TR TUSD'!$Z$46</f>
        <v>0</v>
      </c>
      <c r="AA46" s="33">
        <f>'TR TUSD'!$AA$46</f>
        <v>0</v>
      </c>
      <c r="AB46" s="33">
        <f>SUM($U$46:$AA$46)</f>
        <v>54.711946007778643</v>
      </c>
      <c r="AC46" s="33">
        <f>'TR TUSD'!$AC$46*'TR TUSD'!$AC$83</f>
        <v>197.03148354663352</v>
      </c>
      <c r="AD46" s="33">
        <f>SUM($AC$46:$AC$46)</f>
        <v>197.03148354663352</v>
      </c>
      <c r="AE46" s="33">
        <v>0</v>
      </c>
      <c r="AF46" s="33">
        <v>0</v>
      </c>
      <c r="AG46" s="33">
        <f>SUM($AE$46:$AF$46)</f>
        <v>0</v>
      </c>
      <c r="AH46" s="33">
        <f>'TR TUSD'!$AH$46*'TR TUSD'!$AH$83</f>
        <v>43.826574001541772</v>
      </c>
      <c r="AI46" s="33">
        <f>'TR TUSD'!$AI$46*'TR TUSD'!$AI$83</f>
        <v>9.7312687336913103E-2</v>
      </c>
      <c r="AJ46" s="33">
        <f ca="1">'TR TUSD'!$AJ$46*'TR TUSD'!$AJ$83</f>
        <v>0.78895297972128819</v>
      </c>
      <c r="AK46" s="33">
        <f ca="1">'TR TUSD'!$AK$46*'TR TUSD'!$AK$83</f>
        <v>4.7272389260089893</v>
      </c>
      <c r="AL46" s="33">
        <f ca="1">SUM($AH$46:$AK$46)</f>
        <v>49.440078594608956</v>
      </c>
      <c r="AM46" s="33">
        <f ca="1">SUMIF($L$4:$AL$4,"SUBTOTAL",$L$46:$AL$46)</f>
        <v>305.6756108798748</v>
      </c>
      <c r="AP46" s="33">
        <f>IF((1 - CUSTOS!$M$26)&lt;&gt;0,1/(1 - CUSTOS!$M$26),1)</f>
        <v>1</v>
      </c>
    </row>
    <row r="47" spans="1:42" ht="11.25" customHeight="1" x14ac:dyDescent="0.25">
      <c r="A47" s="116"/>
      <c r="B47" s="116"/>
      <c r="C47" s="116"/>
      <c r="D47" s="37" t="s">
        <v>32</v>
      </c>
      <c r="E47" s="37" t="s">
        <v>25</v>
      </c>
      <c r="F47" s="37" t="s">
        <v>25</v>
      </c>
      <c r="G47" s="36" t="s">
        <v>123</v>
      </c>
      <c r="H47" s="36" t="s">
        <v>117</v>
      </c>
      <c r="I47" s="36">
        <f>'MERCADO TUSD'!$U$44</f>
        <v>7781.4139999999989</v>
      </c>
      <c r="J47" s="16"/>
      <c r="L47" s="33">
        <f>'TR TUSD'!$L$47*'TR TUSD'!$L$83</f>
        <v>0</v>
      </c>
      <c r="M47" s="33">
        <f>'TR TUSD'!$M$47*'TR TUSD'!$M$83</f>
        <v>0.81258730681580105</v>
      </c>
      <c r="N47" s="33">
        <f ca="1">'TR TUSD'!$N$47*'TR TUSD'!$N$83</f>
        <v>3.6845482335915904</v>
      </c>
      <c r="O47" s="33">
        <f>'TR TUSD'!$O$47*'TR TUSD'!$O$83</f>
        <v>-5.032809553728302E-3</v>
      </c>
      <c r="P47" s="33">
        <f>'TR TUSD'!$P$47*'TR TUSD'!$P$83</f>
        <v>0</v>
      </c>
      <c r="Q47" s="33">
        <f>'TR TUSD'!$Q$47*'TR TUSD'!$Q$83</f>
        <v>0</v>
      </c>
      <c r="R47" s="33">
        <f>'TR TUSD'!$R$47*'TR TUSD'!$R$83</f>
        <v>0</v>
      </c>
      <c r="S47" s="33">
        <f>'TR TUSD'!$S$47*'TR TUSD'!$S$83</f>
        <v>0</v>
      </c>
      <c r="T47" s="33">
        <f ca="1">SUM($L$47:$S$47)</f>
        <v>4.4921027308536639</v>
      </c>
      <c r="U47" s="33">
        <f>'TR TUSD'!$U$47*'TR TUSD'!$U$83</f>
        <v>11.374992013382213</v>
      </c>
      <c r="V47" s="33">
        <f>'TR TUSD'!$V$47*'TR TUSD'!$V$83</f>
        <v>0.16245741139010653</v>
      </c>
      <c r="W47" s="33">
        <f>'TR TUSD'!$W$47*'TR TUSD'!$W$83</f>
        <v>0</v>
      </c>
      <c r="X47" s="33">
        <f>'TR TUSD'!$X$47*'TR TUSD'!$X$83</f>
        <v>0</v>
      </c>
      <c r="Y47" s="33">
        <f>'TR TUSD'!$Y$47*'TR TUSD'!$Y$83</f>
        <v>43.174496583006324</v>
      </c>
      <c r="Z47" s="33">
        <f>'TR TUSD'!$Z$47</f>
        <v>0</v>
      </c>
      <c r="AA47" s="33">
        <f>'TR TUSD'!$AA$47</f>
        <v>0</v>
      </c>
      <c r="AB47" s="33">
        <f>SUM($U$47:$AA$47)</f>
        <v>54.711946007778643</v>
      </c>
      <c r="AC47" s="33">
        <f>'TR TUSD'!$AC$47*'TR TUSD'!$AC$83</f>
        <v>197.03148354663352</v>
      </c>
      <c r="AD47" s="33">
        <f>SUM($AC$47:$AC$47)</f>
        <v>197.03148354663352</v>
      </c>
      <c r="AE47" s="33">
        <v>0</v>
      </c>
      <c r="AF47" s="33">
        <v>0</v>
      </c>
      <c r="AG47" s="33">
        <f>SUM($AE$47:$AF$47)</f>
        <v>0</v>
      </c>
      <c r="AH47" s="33">
        <f>'TR TUSD'!$AH$47*'TR TUSD'!$AH$83</f>
        <v>43.826574001541772</v>
      </c>
      <c r="AI47" s="33">
        <f>'TR TUSD'!$AI$47*'TR TUSD'!$AI$83</f>
        <v>9.7312687336913103E-2</v>
      </c>
      <c r="AJ47" s="33">
        <f ca="1">'TR TUSD'!$AJ$47*'TR TUSD'!$AJ$83</f>
        <v>0.78895297972128819</v>
      </c>
      <c r="AK47" s="33">
        <f ca="1">'TR TUSD'!$AK$47*'TR TUSD'!$AK$83</f>
        <v>4.7272389260089893</v>
      </c>
      <c r="AL47" s="33">
        <f ca="1">SUM($AH$47:$AK$47)</f>
        <v>49.440078594608956</v>
      </c>
      <c r="AM47" s="33">
        <f ca="1">SUMIF($L$4:$AL$4,"SUBTOTAL",$L$47:$AL$47)</f>
        <v>305.6756108798748</v>
      </c>
      <c r="AP47" s="33">
        <f>IF((1 - CUSTOS!$M$27)&lt;&gt;0,1/(1 - CUSTOS!$M$27),1)</f>
        <v>1</v>
      </c>
    </row>
    <row r="48" spans="1:42" ht="11.25" customHeight="1" x14ac:dyDescent="0.25">
      <c r="A48" s="116"/>
      <c r="B48" s="116" t="s">
        <v>131</v>
      </c>
      <c r="C48" s="116" t="s">
        <v>24</v>
      </c>
      <c r="D48" s="37" t="s">
        <v>24</v>
      </c>
      <c r="E48" s="37" t="s">
        <v>25</v>
      </c>
      <c r="F48" s="37" t="s">
        <v>25</v>
      </c>
      <c r="G48" s="36" t="s">
        <v>123</v>
      </c>
      <c r="H48" s="36" t="s">
        <v>117</v>
      </c>
      <c r="I48" s="36">
        <f>'MERCADO TUSD'!$U$45</f>
        <v>0</v>
      </c>
      <c r="J48" s="16"/>
      <c r="L48" s="33">
        <f>'TR TUSD'!$L$48*'TR TUSD'!$L$83</f>
        <v>6.2040073469118227</v>
      </c>
      <c r="M48" s="33">
        <f>'TR TUSD'!$M$48*'TR TUSD'!$M$83</f>
        <v>0.81258730681580105</v>
      </c>
      <c r="N48" s="33">
        <f ca="1">'TR TUSD'!$N$48*'TR TUSD'!$N$83</f>
        <v>3.6962067926064517</v>
      </c>
      <c r="O48" s="33">
        <f>'TR TUSD'!$O$48*'TR TUSD'!$O$83</f>
        <v>-5.032809553728302E-3</v>
      </c>
      <c r="P48" s="33">
        <f>'TR TUSD'!$P$48*'TR TUSD'!$P$83</f>
        <v>0</v>
      </c>
      <c r="Q48" s="33">
        <f>'TR TUSD'!$Q$48*'TR TUSD'!$Q$83</f>
        <v>93.427414695800351</v>
      </c>
      <c r="R48" s="33">
        <f>'TR TUSD'!$R$48*'TR TUSD'!$R$83</f>
        <v>14.902150200061627</v>
      </c>
      <c r="S48" s="33">
        <f>'TR TUSD'!$S$48*'TR TUSD'!$S$83</f>
        <v>0</v>
      </c>
      <c r="T48" s="33">
        <f ca="1">SUM($L$48:$S$48)</f>
        <v>119.03733353264232</v>
      </c>
      <c r="U48" s="33">
        <f>'TR TUSD'!$U$48*'TR TUSD'!$U$83</f>
        <v>11.374992013382213</v>
      </c>
      <c r="V48" s="33">
        <f>'TR TUSD'!$V$48*'TR TUSD'!$V$83</f>
        <v>0.16245741139010653</v>
      </c>
      <c r="W48" s="33">
        <f>'TR TUSD'!$W$48*'TR TUSD'!$W$83</f>
        <v>0</v>
      </c>
      <c r="X48" s="33">
        <f>'TR TUSD'!$X$48*'TR TUSD'!$X$83</f>
        <v>0</v>
      </c>
      <c r="Y48" s="33">
        <f>'TR TUSD'!$Y$48*'TR TUSD'!$Y$83</f>
        <v>43.174496583006324</v>
      </c>
      <c r="Z48" s="33">
        <f>'TR TUSD'!$Z$48</f>
        <v>0</v>
      </c>
      <c r="AA48" s="33">
        <f>'TR TUSD'!$AA$48</f>
        <v>0</v>
      </c>
      <c r="AB48" s="33">
        <f>SUM($U$48:$AA$48)</f>
        <v>54.711946007778643</v>
      </c>
      <c r="AC48" s="33">
        <f>'TR TUSD'!$AC$48*'TR TUSD'!$AC$83</f>
        <v>197.03148354663352</v>
      </c>
      <c r="AD48" s="33">
        <f>SUM($AC$48:$AC$48)</f>
        <v>197.03148354663352</v>
      </c>
      <c r="AE48" s="33">
        <v>0</v>
      </c>
      <c r="AF48" s="33">
        <v>0</v>
      </c>
      <c r="AG48" s="33">
        <f>SUM($AE$48:$AF$48)</f>
        <v>0</v>
      </c>
      <c r="AH48" s="33">
        <f>'TR TUSD'!$AH$48*'TR TUSD'!$AH$83</f>
        <v>43.826574001541772</v>
      </c>
      <c r="AI48" s="33">
        <f>'TR TUSD'!$AI$48*'TR TUSD'!$AI$83</f>
        <v>9.7312687336913103E-2</v>
      </c>
      <c r="AJ48" s="33">
        <f ca="1">'TR TUSD'!$AJ$48*'TR TUSD'!$AJ$83</f>
        <v>0.78895297972128819</v>
      </c>
      <c r="AK48" s="33">
        <f ca="1">'TR TUSD'!$AK$48*'TR TUSD'!$AK$83</f>
        <v>4.7272389260089893</v>
      </c>
      <c r="AL48" s="33">
        <f ca="1">SUM($AH$48:$AK$48)</f>
        <v>49.440078594608956</v>
      </c>
      <c r="AM48" s="33">
        <f ca="1">SUMIF($L$4:$AL$4,"SUBTOTAL",$L$48:$AL$48)</f>
        <v>420.22084168166344</v>
      </c>
      <c r="AP48" s="33">
        <v>1</v>
      </c>
    </row>
    <row r="49" spans="1:42" ht="11.25" customHeight="1" x14ac:dyDescent="0.25">
      <c r="A49" s="116"/>
      <c r="B49" s="116"/>
      <c r="C49" s="116"/>
      <c r="D49" s="37" t="s">
        <v>29</v>
      </c>
      <c r="E49" s="37" t="s">
        <v>25</v>
      </c>
      <c r="F49" s="37" t="s">
        <v>25</v>
      </c>
      <c r="G49" s="36" t="s">
        <v>123</v>
      </c>
      <c r="H49" s="36" t="s">
        <v>117</v>
      </c>
      <c r="I49" s="36">
        <f>'MERCADO TUSD'!$U$46</f>
        <v>0</v>
      </c>
      <c r="J49" s="16"/>
      <c r="L49" s="33">
        <f>'TR TUSD'!$L$49*'TR TUSD'!$L$83</f>
        <v>0</v>
      </c>
      <c r="M49" s="33">
        <f>'TR TUSD'!$M$49*'TR TUSD'!$M$83</f>
        <v>0.81258730681580105</v>
      </c>
      <c r="N49" s="33">
        <f ca="1">'TR TUSD'!$N$49*'TR TUSD'!$N$83</f>
        <v>3.6845482335915904</v>
      </c>
      <c r="O49" s="33">
        <f>'TR TUSD'!$O$49*'TR TUSD'!$O$83</f>
        <v>-5.032809553728302E-3</v>
      </c>
      <c r="P49" s="33">
        <f>'TR TUSD'!$P$49*'TR TUSD'!$P$83</f>
        <v>0</v>
      </c>
      <c r="Q49" s="33">
        <f>'TR TUSD'!$Q$49*'TR TUSD'!$Q$83</f>
        <v>0</v>
      </c>
      <c r="R49" s="33">
        <f>'TR TUSD'!$R$49*'TR TUSD'!$R$83</f>
        <v>0</v>
      </c>
      <c r="S49" s="33">
        <f>'TR TUSD'!$S$49*'TR TUSD'!$S$83</f>
        <v>0</v>
      </c>
      <c r="T49" s="33">
        <f ca="1">SUM($L$49:$S$49)</f>
        <v>4.4921027308536639</v>
      </c>
      <c r="U49" s="33">
        <f>'TR TUSD'!$U$49*'TR TUSD'!$U$83</f>
        <v>11.374992013382213</v>
      </c>
      <c r="V49" s="33">
        <f>'TR TUSD'!$V$49*'TR TUSD'!$V$83</f>
        <v>0.16245741139010653</v>
      </c>
      <c r="W49" s="33">
        <f>'TR TUSD'!$W$49*'TR TUSD'!$W$83</f>
        <v>0</v>
      </c>
      <c r="X49" s="33">
        <f>'TR TUSD'!$X$49*'TR TUSD'!$X$83</f>
        <v>0</v>
      </c>
      <c r="Y49" s="33">
        <f>'TR TUSD'!$Y$49*'TR TUSD'!$Y$83</f>
        <v>43.174496583006324</v>
      </c>
      <c r="Z49" s="33">
        <f>'TR TUSD'!$Z$49</f>
        <v>0</v>
      </c>
      <c r="AA49" s="33">
        <f>'TR TUSD'!$AA$49</f>
        <v>0</v>
      </c>
      <c r="AB49" s="33">
        <f>SUM($U$49:$AA$49)</f>
        <v>54.711946007778643</v>
      </c>
      <c r="AC49" s="33">
        <f>'TR TUSD'!$AC$49*'TR TUSD'!$AC$83</f>
        <v>197.03148354663352</v>
      </c>
      <c r="AD49" s="33">
        <f>SUM($AC$49:$AC$49)</f>
        <v>197.03148354663352</v>
      </c>
      <c r="AE49" s="33">
        <v>0</v>
      </c>
      <c r="AF49" s="33">
        <v>0</v>
      </c>
      <c r="AG49" s="33">
        <f>SUM($AE$49:$AF$49)</f>
        <v>0</v>
      </c>
      <c r="AH49" s="33">
        <f>'TR TUSD'!$AH$49*'TR TUSD'!$AH$83</f>
        <v>43.826574001541772</v>
      </c>
      <c r="AI49" s="33">
        <f>'TR TUSD'!$AI$49*'TR TUSD'!$AI$83</f>
        <v>9.7312687336913103E-2</v>
      </c>
      <c r="AJ49" s="33">
        <f ca="1">'TR TUSD'!$AJ$49*'TR TUSD'!$AJ$83</f>
        <v>0.78895297972128819</v>
      </c>
      <c r="AK49" s="33">
        <f ca="1">'TR TUSD'!$AK$49*'TR TUSD'!$AK$83</f>
        <v>4.7272389260089893</v>
      </c>
      <c r="AL49" s="33">
        <f ca="1">SUM($AH$49:$AK$49)</f>
        <v>49.440078594608956</v>
      </c>
      <c r="AM49" s="33">
        <f ca="1">SUMIF($L$4:$AL$4,"SUBTOTAL",$L$49:$AL$49)</f>
        <v>305.6756108798748</v>
      </c>
      <c r="AP49" s="33">
        <f>IF((1 - CUSTOS!$M$24)&lt;&gt;0,1/(1 - CUSTOS!$M$24),1)</f>
        <v>1</v>
      </c>
    </row>
    <row r="50" spans="1:42" ht="11.25" customHeight="1" x14ac:dyDescent="0.25">
      <c r="A50" s="116"/>
      <c r="B50" s="116"/>
      <c r="C50" s="116"/>
      <c r="D50" s="37" t="s">
        <v>30</v>
      </c>
      <c r="E50" s="37" t="s">
        <v>25</v>
      </c>
      <c r="F50" s="37" t="s">
        <v>25</v>
      </c>
      <c r="G50" s="36" t="s">
        <v>123</v>
      </c>
      <c r="H50" s="36" t="s">
        <v>117</v>
      </c>
      <c r="I50" s="36">
        <f>'MERCADO TUSD'!$U$47</f>
        <v>0</v>
      </c>
      <c r="J50" s="16"/>
      <c r="L50" s="33">
        <f>'TR TUSD'!$L$50*'TR TUSD'!$L$83</f>
        <v>0</v>
      </c>
      <c r="M50" s="33">
        <f>'TR TUSD'!$M$50*'TR TUSD'!$M$83</f>
        <v>0.81258730681580105</v>
      </c>
      <c r="N50" s="33">
        <f ca="1">'TR TUSD'!$N$50*'TR TUSD'!$N$83</f>
        <v>3.6845482335915904</v>
      </c>
      <c r="O50" s="33">
        <f>'TR TUSD'!$O$50*'TR TUSD'!$O$83</f>
        <v>-5.032809553728302E-3</v>
      </c>
      <c r="P50" s="33">
        <f>'TR TUSD'!$P$50*'TR TUSD'!$P$83</f>
        <v>0</v>
      </c>
      <c r="Q50" s="33">
        <f>'TR TUSD'!$Q$50*'TR TUSD'!$Q$83</f>
        <v>0</v>
      </c>
      <c r="R50" s="33">
        <f>'TR TUSD'!$R$50*'TR TUSD'!$R$83</f>
        <v>0</v>
      </c>
      <c r="S50" s="33">
        <f>'TR TUSD'!$S$50*'TR TUSD'!$S$83</f>
        <v>0</v>
      </c>
      <c r="T50" s="33">
        <f ca="1">SUM($L$50:$S$50)</f>
        <v>4.4921027308536639</v>
      </c>
      <c r="U50" s="33">
        <f>'TR TUSD'!$U$50*'TR TUSD'!$U$83</f>
        <v>11.374992013382213</v>
      </c>
      <c r="V50" s="33">
        <f>'TR TUSD'!$V$50*'TR TUSD'!$V$83</f>
        <v>0.16245741139010653</v>
      </c>
      <c r="W50" s="33">
        <f>'TR TUSD'!$W$50*'TR TUSD'!$W$83</f>
        <v>0</v>
      </c>
      <c r="X50" s="33">
        <f>'TR TUSD'!$X$50*'TR TUSD'!$X$83</f>
        <v>0</v>
      </c>
      <c r="Y50" s="33">
        <f>'TR TUSD'!$Y$50*'TR TUSD'!$Y$83</f>
        <v>43.174496583006324</v>
      </c>
      <c r="Z50" s="33">
        <f>'TR TUSD'!$Z$50</f>
        <v>0</v>
      </c>
      <c r="AA50" s="33">
        <f>'TR TUSD'!$AA$50</f>
        <v>0</v>
      </c>
      <c r="AB50" s="33">
        <f>SUM($U$50:$AA$50)</f>
        <v>54.711946007778643</v>
      </c>
      <c r="AC50" s="33">
        <f>'TR TUSD'!$AC$50*'TR TUSD'!$AC$83</f>
        <v>197.03148354663352</v>
      </c>
      <c r="AD50" s="33">
        <f>SUM($AC$50:$AC$50)</f>
        <v>197.03148354663352</v>
      </c>
      <c r="AE50" s="33">
        <v>0</v>
      </c>
      <c r="AF50" s="33">
        <v>0</v>
      </c>
      <c r="AG50" s="33">
        <f>SUM($AE$50:$AF$50)</f>
        <v>0</v>
      </c>
      <c r="AH50" s="33">
        <f>'TR TUSD'!$AH$50*'TR TUSD'!$AH$83</f>
        <v>43.826574001541772</v>
      </c>
      <c r="AI50" s="33">
        <f>'TR TUSD'!$AI$50*'TR TUSD'!$AI$83</f>
        <v>9.7312687336913103E-2</v>
      </c>
      <c r="AJ50" s="33">
        <f ca="1">'TR TUSD'!$AJ$50*'TR TUSD'!$AJ$83</f>
        <v>0.78895297972128819</v>
      </c>
      <c r="AK50" s="33">
        <f ca="1">'TR TUSD'!$AK$50*'TR TUSD'!$AK$83</f>
        <v>4.7272389260089893</v>
      </c>
      <c r="AL50" s="33">
        <f ca="1">SUM($AH$50:$AK$50)</f>
        <v>49.440078594608956</v>
      </c>
      <c r="AM50" s="33">
        <f ca="1">SUMIF($L$4:$AL$4,"SUBTOTAL",$L$50:$AL$50)</f>
        <v>305.6756108798748</v>
      </c>
      <c r="AP50" s="33">
        <f>IF((1 - CUSTOS!$M$25)&lt;&gt;0,1/(1 - CUSTOS!$M$25),1)</f>
        <v>1</v>
      </c>
    </row>
    <row r="51" spans="1:42" ht="11.25" customHeight="1" x14ac:dyDescent="0.25">
      <c r="A51" s="116"/>
      <c r="B51" s="116"/>
      <c r="C51" s="116"/>
      <c r="D51" s="37" t="s">
        <v>31</v>
      </c>
      <c r="E51" s="37" t="s">
        <v>25</v>
      </c>
      <c r="F51" s="37" t="s">
        <v>25</v>
      </c>
      <c r="G51" s="36" t="s">
        <v>123</v>
      </c>
      <c r="H51" s="36" t="s">
        <v>117</v>
      </c>
      <c r="I51" s="36">
        <f>'MERCADO TUSD'!$U$48</f>
        <v>0</v>
      </c>
      <c r="J51" s="16"/>
      <c r="L51" s="33">
        <f>'TR TUSD'!$L$51*'TR TUSD'!$L$83</f>
        <v>0</v>
      </c>
      <c r="M51" s="33">
        <f>'TR TUSD'!$M$51*'TR TUSD'!$M$83</f>
        <v>0.81258730681580105</v>
      </c>
      <c r="N51" s="33">
        <f ca="1">'TR TUSD'!$N$51*'TR TUSD'!$N$83</f>
        <v>3.6845482335915904</v>
      </c>
      <c r="O51" s="33">
        <f>'TR TUSD'!$O$51*'TR TUSD'!$O$83</f>
        <v>-5.032809553728302E-3</v>
      </c>
      <c r="P51" s="33">
        <f>'TR TUSD'!$P$51*'TR TUSD'!$P$83</f>
        <v>0</v>
      </c>
      <c r="Q51" s="33">
        <f>'TR TUSD'!$Q$51*'TR TUSD'!$Q$83</f>
        <v>0</v>
      </c>
      <c r="R51" s="33">
        <f>'TR TUSD'!$R$51*'TR TUSD'!$R$83</f>
        <v>0</v>
      </c>
      <c r="S51" s="33">
        <f>'TR TUSD'!$S$51*'TR TUSD'!$S$83</f>
        <v>0</v>
      </c>
      <c r="T51" s="33">
        <f ca="1">SUM($L$51:$S$51)</f>
        <v>4.4921027308536639</v>
      </c>
      <c r="U51" s="33">
        <f>'TR TUSD'!$U$51*'TR TUSD'!$U$83</f>
        <v>11.374992013382213</v>
      </c>
      <c r="V51" s="33">
        <f>'TR TUSD'!$V$51*'TR TUSD'!$V$83</f>
        <v>0.16245741139010653</v>
      </c>
      <c r="W51" s="33">
        <f>'TR TUSD'!$W$51*'TR TUSD'!$W$83</f>
        <v>0</v>
      </c>
      <c r="X51" s="33">
        <f>'TR TUSD'!$X$51*'TR TUSD'!$X$83</f>
        <v>0</v>
      </c>
      <c r="Y51" s="33">
        <f>'TR TUSD'!$Y$51*'TR TUSD'!$Y$83</f>
        <v>43.174496583006324</v>
      </c>
      <c r="Z51" s="33">
        <f>'TR TUSD'!$Z$51</f>
        <v>0</v>
      </c>
      <c r="AA51" s="33">
        <f>'TR TUSD'!$AA$51</f>
        <v>0</v>
      </c>
      <c r="AB51" s="33">
        <f>SUM($U$51:$AA$51)</f>
        <v>54.711946007778643</v>
      </c>
      <c r="AC51" s="33">
        <f>'TR TUSD'!$AC$51*'TR TUSD'!$AC$83</f>
        <v>197.03148354663352</v>
      </c>
      <c r="AD51" s="33">
        <f>SUM($AC$51:$AC$51)</f>
        <v>197.03148354663352</v>
      </c>
      <c r="AE51" s="33">
        <v>0</v>
      </c>
      <c r="AF51" s="33">
        <v>0</v>
      </c>
      <c r="AG51" s="33">
        <f>SUM($AE$51:$AF$51)</f>
        <v>0</v>
      </c>
      <c r="AH51" s="33">
        <f>'TR TUSD'!$AH$51*'TR TUSD'!$AH$83</f>
        <v>43.826574001541772</v>
      </c>
      <c r="AI51" s="33">
        <f>'TR TUSD'!$AI$51*'TR TUSD'!$AI$83</f>
        <v>9.7312687336913103E-2</v>
      </c>
      <c r="AJ51" s="33">
        <f ca="1">'TR TUSD'!$AJ$51*'TR TUSD'!$AJ$83</f>
        <v>0.78895297972128819</v>
      </c>
      <c r="AK51" s="33">
        <f ca="1">'TR TUSD'!$AK$51*'TR TUSD'!$AK$83</f>
        <v>4.7272389260089893</v>
      </c>
      <c r="AL51" s="33">
        <f ca="1">SUM($AH$51:$AK$51)</f>
        <v>49.440078594608956</v>
      </c>
      <c r="AM51" s="33">
        <f ca="1">SUMIF($L$4:$AL$4,"SUBTOTAL",$L$51:$AL$51)</f>
        <v>305.6756108798748</v>
      </c>
      <c r="AP51" s="33">
        <f>IF((1 - CUSTOS!$M$26)&lt;&gt;0,1/(1 - CUSTOS!$M$26),1)</f>
        <v>1</v>
      </c>
    </row>
    <row r="52" spans="1:42" ht="11.25" customHeight="1" x14ac:dyDescent="0.25">
      <c r="A52" s="116"/>
      <c r="B52" s="116"/>
      <c r="C52" s="116"/>
      <c r="D52" s="37" t="s">
        <v>32</v>
      </c>
      <c r="E52" s="37" t="s">
        <v>25</v>
      </c>
      <c r="F52" s="37" t="s">
        <v>25</v>
      </c>
      <c r="G52" s="36" t="s">
        <v>123</v>
      </c>
      <c r="H52" s="36" t="s">
        <v>117</v>
      </c>
      <c r="I52" s="36">
        <f>'MERCADO TUSD'!$U$49</f>
        <v>0</v>
      </c>
      <c r="J52" s="16"/>
      <c r="L52" s="33">
        <f>'TR TUSD'!$L$52*'TR TUSD'!$L$83</f>
        <v>0</v>
      </c>
      <c r="M52" s="33">
        <f>'TR TUSD'!$M$52*'TR TUSD'!$M$83</f>
        <v>0.81258730681580105</v>
      </c>
      <c r="N52" s="33">
        <f ca="1">'TR TUSD'!$N$52*'TR TUSD'!$N$83</f>
        <v>3.6845482335915904</v>
      </c>
      <c r="O52" s="33">
        <f>'TR TUSD'!$O$52*'TR TUSD'!$O$83</f>
        <v>-5.032809553728302E-3</v>
      </c>
      <c r="P52" s="33">
        <f>'TR TUSD'!$P$52*'TR TUSD'!$P$83</f>
        <v>0</v>
      </c>
      <c r="Q52" s="33">
        <f>'TR TUSD'!$Q$52*'TR TUSD'!$Q$83</f>
        <v>0</v>
      </c>
      <c r="R52" s="33">
        <f>'TR TUSD'!$R$52*'TR TUSD'!$R$83</f>
        <v>0</v>
      </c>
      <c r="S52" s="33">
        <f>'TR TUSD'!$S$52*'TR TUSD'!$S$83</f>
        <v>0</v>
      </c>
      <c r="T52" s="33">
        <f ca="1">SUM($L$52:$S$52)</f>
        <v>4.4921027308536639</v>
      </c>
      <c r="U52" s="33">
        <f>'TR TUSD'!$U$52*'TR TUSD'!$U$83</f>
        <v>11.374992013382213</v>
      </c>
      <c r="V52" s="33">
        <f>'TR TUSD'!$V$52*'TR TUSD'!$V$83</f>
        <v>0.16245741139010653</v>
      </c>
      <c r="W52" s="33">
        <f>'TR TUSD'!$W$52*'TR TUSD'!$W$83</f>
        <v>0</v>
      </c>
      <c r="X52" s="33">
        <f>'TR TUSD'!$X$52*'TR TUSD'!$X$83</f>
        <v>0</v>
      </c>
      <c r="Y52" s="33">
        <f>'TR TUSD'!$Y$52*'TR TUSD'!$Y$83</f>
        <v>43.174496583006324</v>
      </c>
      <c r="Z52" s="33">
        <f>'TR TUSD'!$Z$52</f>
        <v>0</v>
      </c>
      <c r="AA52" s="33">
        <f>'TR TUSD'!$AA$52</f>
        <v>0</v>
      </c>
      <c r="AB52" s="33">
        <f>SUM($U$52:$AA$52)</f>
        <v>54.711946007778643</v>
      </c>
      <c r="AC52" s="33">
        <f>'TR TUSD'!$AC$52*'TR TUSD'!$AC$83</f>
        <v>197.03148354663352</v>
      </c>
      <c r="AD52" s="33">
        <f>SUM($AC$52:$AC$52)</f>
        <v>197.03148354663352</v>
      </c>
      <c r="AE52" s="33">
        <v>0</v>
      </c>
      <c r="AF52" s="33">
        <v>0</v>
      </c>
      <c r="AG52" s="33">
        <f>SUM($AE$52:$AF$52)</f>
        <v>0</v>
      </c>
      <c r="AH52" s="33">
        <f>'TR TUSD'!$AH$52*'TR TUSD'!$AH$83</f>
        <v>43.826574001541772</v>
      </c>
      <c r="AI52" s="33">
        <f>'TR TUSD'!$AI$52*'TR TUSD'!$AI$83</f>
        <v>9.7312687336913103E-2</v>
      </c>
      <c r="AJ52" s="33">
        <f ca="1">'TR TUSD'!$AJ$52*'TR TUSD'!$AJ$83</f>
        <v>0.78895297972128819</v>
      </c>
      <c r="AK52" s="33">
        <f ca="1">'TR TUSD'!$AK$52*'TR TUSD'!$AK$83</f>
        <v>4.7272389260089893</v>
      </c>
      <c r="AL52" s="33">
        <f ca="1">SUM($AH$52:$AK$52)</f>
        <v>49.440078594608956</v>
      </c>
      <c r="AM52" s="33">
        <f ca="1">SUMIF($L$4:$AL$4,"SUBTOTAL",$L$52:$AL$52)</f>
        <v>305.6756108798748</v>
      </c>
      <c r="AP52" s="33">
        <f>IF((1 - CUSTOS!$M$27)&lt;&gt;0,1/(1 - CUSTOS!$M$27),1)</f>
        <v>1</v>
      </c>
    </row>
    <row r="53" spans="1:42" ht="11.25" customHeight="1" x14ac:dyDescent="0.25">
      <c r="A53" s="116" t="s">
        <v>44</v>
      </c>
      <c r="B53" s="116" t="s">
        <v>33</v>
      </c>
      <c r="C53" s="116" t="s">
        <v>45</v>
      </c>
      <c r="D53" s="116" t="s">
        <v>25</v>
      </c>
      <c r="E53" s="116" t="s">
        <v>25</v>
      </c>
      <c r="F53" s="116" t="s">
        <v>25</v>
      </c>
      <c r="G53" s="36" t="s">
        <v>118</v>
      </c>
      <c r="H53" s="36" t="s">
        <v>117</v>
      </c>
      <c r="I53" s="36">
        <f>'MERCADO TUSD'!$U$50</f>
        <v>0.49600000000000005</v>
      </c>
      <c r="J53" s="16"/>
      <c r="L53" s="33">
        <f>'TR TUSD'!$L$53*'TR TUSD'!$L$83</f>
        <v>6.2040073469118227</v>
      </c>
      <c r="M53" s="33">
        <f>'TR TUSD'!$M$53*'TR TUSD'!$M$83</f>
        <v>0.81258730681580105</v>
      </c>
      <c r="N53" s="33">
        <f ca="1">'TR TUSD'!$N$53*'TR TUSD'!$N$83</f>
        <v>8.6467399021304541</v>
      </c>
      <c r="O53" s="33">
        <f>'TR TUSD'!$O$53*'TR TUSD'!$O$83</f>
        <v>-5.032809553728302E-3</v>
      </c>
      <c r="P53" s="33">
        <f>'TR TUSD'!$P$53*'TR TUSD'!$P$83</f>
        <v>0</v>
      </c>
      <c r="Q53" s="33">
        <f>'TR TUSD'!$Q$53*'TR TUSD'!$Q$83</f>
        <v>93.427414695800351</v>
      </c>
      <c r="R53" s="33">
        <f>'TR TUSD'!$R$53*'TR TUSD'!$R$83</f>
        <v>14.902150200061627</v>
      </c>
      <c r="S53" s="33">
        <f>'TR TUSD'!$S$53*'TR TUSD'!$S$83</f>
        <v>0</v>
      </c>
      <c r="T53" s="33">
        <f ca="1">SUM($L$53:$S$53)</f>
        <v>123.98786664216632</v>
      </c>
      <c r="U53" s="33">
        <f>'TR TUSD'!$U$53*'TR TUSD'!$U$83</f>
        <v>32.418652135854785</v>
      </c>
      <c r="V53" s="33">
        <f>'TR TUSD'!$V$53*'TR TUSD'!$V$83</f>
        <v>0.46301041659419545</v>
      </c>
      <c r="W53" s="33">
        <f>'TR TUSD'!$W$53*'TR TUSD'!$W$83</f>
        <v>0</v>
      </c>
      <c r="X53" s="33">
        <f>'TR TUSD'!$X$53*'TR TUSD'!$X$83</f>
        <v>0</v>
      </c>
      <c r="Y53" s="33">
        <f>'TR TUSD'!$Y$53*'TR TUSD'!$Y$83</f>
        <v>123.04738383895892</v>
      </c>
      <c r="Z53" s="33">
        <f>'TR TUSD'!$Z$53</f>
        <v>0</v>
      </c>
      <c r="AA53" s="33">
        <f>'TR TUSD'!$AA$53</f>
        <v>0</v>
      </c>
      <c r="AB53" s="33">
        <f>SUM($U$53:$AA$53)</f>
        <v>155.92904639140789</v>
      </c>
      <c r="AC53" s="33">
        <f>'TR TUSD'!$AC$53*'TR TUSD'!$AC$83</f>
        <v>561.53975590493826</v>
      </c>
      <c r="AD53" s="33">
        <f>SUM($AC$53:$AC$53)</f>
        <v>561.53975590493826</v>
      </c>
      <c r="AE53" s="33">
        <v>0</v>
      </c>
      <c r="AF53" s="33">
        <v>0</v>
      </c>
      <c r="AG53" s="33">
        <f>SUM($AE$53:$AF$53)</f>
        <v>0</v>
      </c>
      <c r="AH53" s="33">
        <f>'TR TUSD'!$AH$53*'TR TUSD'!$AH$83</f>
        <v>43.826574001541772</v>
      </c>
      <c r="AI53" s="33">
        <f>'TR TUSD'!$AI$53*'TR TUSD'!$AI$83</f>
        <v>9.7312687336913103E-2</v>
      </c>
      <c r="AJ53" s="33">
        <f ca="1">'TR TUSD'!$AJ$53*'TR TUSD'!$AJ$83</f>
        <v>0.78895297972128819</v>
      </c>
      <c r="AK53" s="33">
        <f ca="1">'TR TUSD'!$AK$53*'TR TUSD'!$AK$83</f>
        <v>4.7272389260089893</v>
      </c>
      <c r="AL53" s="33">
        <f ca="1">SUM($AH$53:$AK$53)</f>
        <v>49.440078594608956</v>
      </c>
      <c r="AM53" s="33">
        <f ca="1">SUMIF($L$4:$AL$4,"SUBTOTAL",$L$53:$AL$53)</f>
        <v>890.89674753312147</v>
      </c>
      <c r="AP53" s="33">
        <f>IF((1 - CUSTOS!$M$28)&lt;&gt;0,1/(1 - CUSTOS!$M$28),1)</f>
        <v>1</v>
      </c>
    </row>
    <row r="54" spans="1:42" ht="11.25" customHeight="1" x14ac:dyDescent="0.25">
      <c r="A54" s="116"/>
      <c r="B54" s="116"/>
      <c r="C54" s="116"/>
      <c r="D54" s="116"/>
      <c r="E54" s="116"/>
      <c r="F54" s="116"/>
      <c r="G54" s="36" t="s">
        <v>128</v>
      </c>
      <c r="H54" s="36" t="s">
        <v>117</v>
      </c>
      <c r="I54" s="36">
        <f>'MERCADO TUSD'!$U$51</f>
        <v>0.27600000000000002</v>
      </c>
      <c r="J54" s="16"/>
      <c r="L54" s="33">
        <f>'TR TUSD'!$L$54*'TR TUSD'!$L$83</f>
        <v>6.2040073469118227</v>
      </c>
      <c r="M54" s="33">
        <f>'TR TUSD'!$M$54*'TR TUSD'!$M$83</f>
        <v>0.81258730681580105</v>
      </c>
      <c r="N54" s="33">
        <f ca="1">'TR TUSD'!$N$54*'TR TUSD'!$N$83</f>
        <v>5.5961403648956205</v>
      </c>
      <c r="O54" s="33">
        <f>'TR TUSD'!$O$54*'TR TUSD'!$O$83</f>
        <v>-5.032809553728302E-3</v>
      </c>
      <c r="P54" s="33">
        <f>'TR TUSD'!$P$54*'TR TUSD'!$P$83</f>
        <v>0</v>
      </c>
      <c r="Q54" s="33">
        <f>'TR TUSD'!$Q$54*'TR TUSD'!$Q$83</f>
        <v>93.427414695800351</v>
      </c>
      <c r="R54" s="33">
        <f>'TR TUSD'!$R$54*'TR TUSD'!$R$83</f>
        <v>14.902150200061627</v>
      </c>
      <c r="S54" s="33">
        <f>'TR TUSD'!$S$54*'TR TUSD'!$S$83</f>
        <v>0</v>
      </c>
      <c r="T54" s="33">
        <f ca="1">SUM($L$54:$S$54)</f>
        <v>120.93726710493149</v>
      </c>
      <c r="U54" s="33">
        <f>'TR TUSD'!$U$54*'TR TUSD'!$U$83</f>
        <v>19.451226623764413</v>
      </c>
      <c r="V54" s="33">
        <f>'TR TUSD'!$V$54*'TR TUSD'!$V$83</f>
        <v>0.27780236759515053</v>
      </c>
      <c r="W54" s="33">
        <f>'TR TUSD'!$W$54*'TR TUSD'!$W$83</f>
        <v>0</v>
      </c>
      <c r="X54" s="33">
        <f>'TR TUSD'!$X$54*'TR TUSD'!$X$83</f>
        <v>0</v>
      </c>
      <c r="Y54" s="33">
        <f>'TR TUSD'!$Y$54*'TR TUSD'!$Y$83</f>
        <v>73.82836172598445</v>
      </c>
      <c r="Z54" s="33">
        <f>'TR TUSD'!$Z$54</f>
        <v>0</v>
      </c>
      <c r="AA54" s="33">
        <f>'TR TUSD'!$AA$54</f>
        <v>0</v>
      </c>
      <c r="AB54" s="33">
        <f>SUM($U$54:$AA$54)</f>
        <v>93.55739071734402</v>
      </c>
      <c r="AC54" s="33">
        <f>'TR TUSD'!$AC$54*'TR TUSD'!$AC$83</f>
        <v>336.92383130533682</v>
      </c>
      <c r="AD54" s="33">
        <f>SUM($AC$54:$AC$54)</f>
        <v>336.92383130533682</v>
      </c>
      <c r="AE54" s="33">
        <v>0</v>
      </c>
      <c r="AF54" s="33">
        <v>0</v>
      </c>
      <c r="AG54" s="33">
        <f>SUM($AE$54:$AF$54)</f>
        <v>0</v>
      </c>
      <c r="AH54" s="33">
        <f>'TR TUSD'!$AH$54*'TR TUSD'!$AH$83</f>
        <v>43.826574001541772</v>
      </c>
      <c r="AI54" s="33">
        <f>'TR TUSD'!$AI$54*'TR TUSD'!$AI$83</f>
        <v>9.7312687336913103E-2</v>
      </c>
      <c r="AJ54" s="33">
        <f ca="1">'TR TUSD'!$AJ$54*'TR TUSD'!$AJ$83</f>
        <v>0.78895297972128819</v>
      </c>
      <c r="AK54" s="33">
        <f ca="1">'TR TUSD'!$AK$54*'TR TUSD'!$AK$83</f>
        <v>4.7272389260089893</v>
      </c>
      <c r="AL54" s="33">
        <f ca="1">SUM($AH$54:$AK$54)</f>
        <v>49.440078594608956</v>
      </c>
      <c r="AM54" s="33">
        <f ca="1">SUMIF($L$4:$AL$4,"SUBTOTAL",$L$54:$AL$54)</f>
        <v>600.85856772222132</v>
      </c>
      <c r="AP54" s="33">
        <f>IF((1 - CUSTOS!$M$28)&lt;&gt;0,1/(1 - CUSTOS!$M$28),1)</f>
        <v>1</v>
      </c>
    </row>
    <row r="55" spans="1:42" ht="11.25" customHeight="1" x14ac:dyDescent="0.25">
      <c r="A55" s="116"/>
      <c r="B55" s="116"/>
      <c r="C55" s="116"/>
      <c r="D55" s="116"/>
      <c r="E55" s="116"/>
      <c r="F55" s="116"/>
      <c r="G55" s="36" t="s">
        <v>119</v>
      </c>
      <c r="H55" s="36" t="s">
        <v>117</v>
      </c>
      <c r="I55" s="36">
        <f>'MERCADO TUSD'!$U$52</f>
        <v>5.1340000000000003</v>
      </c>
      <c r="J55" s="16"/>
      <c r="L55" s="33">
        <f>'TR TUSD'!$L$55*'TR TUSD'!$L$83</f>
        <v>6.2040073469118227</v>
      </c>
      <c r="M55" s="33">
        <f>'TR TUSD'!$M$55*'TR TUSD'!$M$83</f>
        <v>0.81258730681580105</v>
      </c>
      <c r="N55" s="33">
        <f ca="1">'TR TUSD'!$N$55*'TR TUSD'!$N$83</f>
        <v>2.5455419935166863</v>
      </c>
      <c r="O55" s="33">
        <f>'TR TUSD'!$O$55*'TR TUSD'!$O$83</f>
        <v>-5.032809553728302E-3</v>
      </c>
      <c r="P55" s="33">
        <f>'TR TUSD'!$P$55*'TR TUSD'!$P$83</f>
        <v>0</v>
      </c>
      <c r="Q55" s="33">
        <f>'TR TUSD'!$Q$55*'TR TUSD'!$Q$83</f>
        <v>93.427414695800351</v>
      </c>
      <c r="R55" s="33">
        <f>'TR TUSD'!$R$55*'TR TUSD'!$R$83</f>
        <v>14.902150200061627</v>
      </c>
      <c r="S55" s="33">
        <f>'TR TUSD'!$S$55*'TR TUSD'!$S$83</f>
        <v>0</v>
      </c>
      <c r="T55" s="33">
        <f ca="1">SUM($L$55:$S$55)</f>
        <v>117.88666873355255</v>
      </c>
      <c r="U55" s="33">
        <f>'TR TUSD'!$U$55*'TR TUSD'!$U$83</f>
        <v>6.4837127560451879</v>
      </c>
      <c r="V55" s="33">
        <f>'TR TUSD'!$V$55*'TR TUSD'!$V$83</f>
        <v>9.260402449952243E-2</v>
      </c>
      <c r="W55" s="33">
        <f>'TR TUSD'!$W$55*'TR TUSD'!$W$83</f>
        <v>0</v>
      </c>
      <c r="X55" s="33">
        <f>'TR TUSD'!$X$55*'TR TUSD'!$X$83</f>
        <v>0</v>
      </c>
      <c r="Y55" s="33">
        <f>'TR TUSD'!$Y$55*'TR TUSD'!$Y$83</f>
        <v>24.609453908661486</v>
      </c>
      <c r="Z55" s="33">
        <f>'TR TUSD'!$Z$55</f>
        <v>0</v>
      </c>
      <c r="AA55" s="33">
        <f>'TR TUSD'!$AA$55</f>
        <v>0</v>
      </c>
      <c r="AB55" s="33">
        <f>SUM($U$55:$AA$55)</f>
        <v>31.185770689206194</v>
      </c>
      <c r="AC55" s="33">
        <f>'TR TUSD'!$AC$55*'TR TUSD'!$AC$83</f>
        <v>112.30790670573523</v>
      </c>
      <c r="AD55" s="33">
        <f>SUM($AC$55:$AC$55)</f>
        <v>112.30790670573523</v>
      </c>
      <c r="AE55" s="33">
        <v>0</v>
      </c>
      <c r="AF55" s="33">
        <v>0</v>
      </c>
      <c r="AG55" s="33">
        <f>SUM($AE$55:$AF$55)</f>
        <v>0</v>
      </c>
      <c r="AH55" s="33">
        <f>'TR TUSD'!$AH$55*'TR TUSD'!$AH$83</f>
        <v>43.826574001541772</v>
      </c>
      <c r="AI55" s="33">
        <f>'TR TUSD'!$AI$55*'TR TUSD'!$AI$83</f>
        <v>9.7312687336913103E-2</v>
      </c>
      <c r="AJ55" s="33">
        <f ca="1">'TR TUSD'!$AJ$55*'TR TUSD'!$AJ$83</f>
        <v>0.78895297972128819</v>
      </c>
      <c r="AK55" s="33">
        <f ca="1">'TR TUSD'!$AK$55*'TR TUSD'!$AK$83</f>
        <v>4.7272389260089893</v>
      </c>
      <c r="AL55" s="33">
        <f ca="1">SUM($AH$55:$AK$55)</f>
        <v>49.440078594608956</v>
      </c>
      <c r="AM55" s="33">
        <f ca="1">SUMIF($L$4:$AL$4,"SUBTOTAL",$L$55:$AL$55)</f>
        <v>310.82042472310297</v>
      </c>
      <c r="AP55" s="33">
        <f>IF((1 - CUSTOS!$M$28)&lt;&gt;0,1/(1 - CUSTOS!$M$28),1)</f>
        <v>1</v>
      </c>
    </row>
    <row r="56" spans="1:42" ht="11.25" customHeight="1" x14ac:dyDescent="0.25">
      <c r="A56" s="116"/>
      <c r="B56" s="37" t="s">
        <v>23</v>
      </c>
      <c r="C56" s="37" t="s">
        <v>45</v>
      </c>
      <c r="D56" s="37" t="s">
        <v>25</v>
      </c>
      <c r="E56" s="37" t="s">
        <v>25</v>
      </c>
      <c r="F56" s="37" t="s">
        <v>25</v>
      </c>
      <c r="G56" s="36" t="s">
        <v>123</v>
      </c>
      <c r="H56" s="36" t="s">
        <v>117</v>
      </c>
      <c r="I56" s="36">
        <f>'MERCADO TUSD'!$U$53</f>
        <v>160826.64799999999</v>
      </c>
      <c r="J56" s="16"/>
      <c r="L56" s="33">
        <f>'TR TUSD'!$L$56*'TR TUSD'!$L$83</f>
        <v>6.2040073469118227</v>
      </c>
      <c r="M56" s="33">
        <f>'TR TUSD'!$M$56*'TR TUSD'!$M$83</f>
        <v>0.81258730681580105</v>
      </c>
      <c r="N56" s="33">
        <f ca="1">'TR TUSD'!$N$56*'TR TUSD'!$N$83</f>
        <v>3.6962067926064517</v>
      </c>
      <c r="O56" s="33">
        <f>'TR TUSD'!$O$56*'TR TUSD'!$O$83</f>
        <v>-5.032809553728302E-3</v>
      </c>
      <c r="P56" s="33">
        <f>'TR TUSD'!$P$56*'TR TUSD'!$P$83</f>
        <v>0</v>
      </c>
      <c r="Q56" s="33">
        <f>'TR TUSD'!$Q$56*'TR TUSD'!$Q$83</f>
        <v>93.427414695800351</v>
      </c>
      <c r="R56" s="33">
        <f>'TR TUSD'!$R$56*'TR TUSD'!$R$83</f>
        <v>14.902150200061627</v>
      </c>
      <c r="S56" s="33">
        <f>'TR TUSD'!$S$56*'TR TUSD'!$S$83</f>
        <v>0</v>
      </c>
      <c r="T56" s="33">
        <f ca="1">SUM($L$56:$S$56)</f>
        <v>119.03733353264232</v>
      </c>
      <c r="U56" s="33">
        <f>'TR TUSD'!$U$56*'TR TUSD'!$U$83</f>
        <v>11.374992013382213</v>
      </c>
      <c r="V56" s="33">
        <f>'TR TUSD'!$V$56*'TR TUSD'!$V$83</f>
        <v>0.16245741139010653</v>
      </c>
      <c r="W56" s="33">
        <f>'TR TUSD'!$W$56*'TR TUSD'!$W$83</f>
        <v>0</v>
      </c>
      <c r="X56" s="33">
        <f>'TR TUSD'!$X$56*'TR TUSD'!$X$83</f>
        <v>0</v>
      </c>
      <c r="Y56" s="33">
        <f>'TR TUSD'!$Y$56*'TR TUSD'!$Y$83</f>
        <v>43.174496583006324</v>
      </c>
      <c r="Z56" s="33">
        <f>'TR TUSD'!$Z$56</f>
        <v>0</v>
      </c>
      <c r="AA56" s="33">
        <f>'TR TUSD'!$AA$56</f>
        <v>0</v>
      </c>
      <c r="AB56" s="33">
        <f>SUM($U$56:$AA$56)</f>
        <v>54.711946007778643</v>
      </c>
      <c r="AC56" s="33">
        <f>'TR TUSD'!$AC$56*'TR TUSD'!$AC$83</f>
        <v>197.03148354663352</v>
      </c>
      <c r="AD56" s="33">
        <f>SUM($AC$56:$AC$56)</f>
        <v>197.03148354663352</v>
      </c>
      <c r="AE56" s="33">
        <v>0</v>
      </c>
      <c r="AF56" s="33">
        <v>0</v>
      </c>
      <c r="AG56" s="33">
        <f>SUM($AE$56:$AF$56)</f>
        <v>0</v>
      </c>
      <c r="AH56" s="33">
        <f>'TR TUSD'!$AH$56*'TR TUSD'!$AH$83</f>
        <v>43.826574001541772</v>
      </c>
      <c r="AI56" s="33">
        <f>'TR TUSD'!$AI$56*'TR TUSD'!$AI$83</f>
        <v>9.7312687336913103E-2</v>
      </c>
      <c r="AJ56" s="33">
        <f ca="1">'TR TUSD'!$AJ$56*'TR TUSD'!$AJ$83</f>
        <v>0.78895297972128819</v>
      </c>
      <c r="AK56" s="33">
        <f ca="1">'TR TUSD'!$AK$56*'TR TUSD'!$AK$83</f>
        <v>4.7272389260089893</v>
      </c>
      <c r="AL56" s="33">
        <f ca="1">SUM($AH$56:$AK$56)</f>
        <v>49.440078594608956</v>
      </c>
      <c r="AM56" s="33">
        <f ca="1">SUMIF($L$4:$AL$4,"SUBTOTAL",$L$56:$AL$56)</f>
        <v>420.22084168166344</v>
      </c>
      <c r="AP56" s="33">
        <f>IF((1 - CUSTOS!$M$28)&lt;&gt;0,1/(1 - CUSTOS!$M$28),1)</f>
        <v>1</v>
      </c>
    </row>
    <row r="57" spans="1:42" ht="11.25" customHeight="1" x14ac:dyDescent="0.25">
      <c r="A57" s="116"/>
      <c r="B57" s="116" t="s">
        <v>33</v>
      </c>
      <c r="C57" s="116" t="s">
        <v>45</v>
      </c>
      <c r="D57" s="116" t="s">
        <v>132</v>
      </c>
      <c r="E57" s="116" t="s">
        <v>25</v>
      </c>
      <c r="F57" s="116" t="s">
        <v>25</v>
      </c>
      <c r="G57" s="36" t="s">
        <v>118</v>
      </c>
      <c r="H57" s="36" t="s">
        <v>117</v>
      </c>
      <c r="I57" s="36">
        <f>'MERCADO TUSD'!$U$54</f>
        <v>0</v>
      </c>
      <c r="J57" s="16"/>
      <c r="L57" s="33">
        <f>'TR TUSD'!$L$57*'TR TUSD'!$L$83</f>
        <v>6.2040073469118227</v>
      </c>
      <c r="M57" s="33">
        <f>'TR TUSD'!$M$57*'TR TUSD'!$M$83</f>
        <v>0.81258730681580105</v>
      </c>
      <c r="N57" s="33">
        <f ca="1">'TR TUSD'!$N$57*'TR TUSD'!$N$83</f>
        <v>8.6467399021304541</v>
      </c>
      <c r="O57" s="33">
        <f>'TR TUSD'!$O$57*'TR TUSD'!$O$83</f>
        <v>-5.032809553728302E-3</v>
      </c>
      <c r="P57" s="33">
        <f>'TR TUSD'!$P$57*'TR TUSD'!$P$83</f>
        <v>0</v>
      </c>
      <c r="Q57" s="33">
        <f>'TR TUSD'!$Q$57*'TR TUSD'!$Q$83</f>
        <v>93.427414695800351</v>
      </c>
      <c r="R57" s="33">
        <f>'TR TUSD'!$R$57*'TR TUSD'!$R$83</f>
        <v>14.902150200061627</v>
      </c>
      <c r="S57" s="33">
        <f>'TR TUSD'!$S$57*'TR TUSD'!$S$83</f>
        <v>0</v>
      </c>
      <c r="T57" s="33">
        <f ca="1">SUM($L$57:$S$57)</f>
        <v>123.98786664216632</v>
      </c>
      <c r="U57" s="33">
        <f>'TR TUSD'!$U$57*'TR TUSD'!$U$83</f>
        <v>32.418652135854785</v>
      </c>
      <c r="V57" s="33">
        <f>'TR TUSD'!$V$57*'TR TUSD'!$V$83</f>
        <v>0.46301041659419545</v>
      </c>
      <c r="W57" s="33">
        <f>'TR TUSD'!$W$57*'TR TUSD'!$W$83</f>
        <v>0</v>
      </c>
      <c r="X57" s="33">
        <f>'TR TUSD'!$X$57*'TR TUSD'!$X$83</f>
        <v>0</v>
      </c>
      <c r="Y57" s="33">
        <f>'TR TUSD'!$Y$57*'TR TUSD'!$Y$83</f>
        <v>123.04738383895892</v>
      </c>
      <c r="Z57" s="33">
        <f>'TR TUSD'!$Z$57</f>
        <v>0</v>
      </c>
      <c r="AA57" s="33">
        <f>'TR TUSD'!$AA$57</f>
        <v>0</v>
      </c>
      <c r="AB57" s="33">
        <f>SUM($U$57:$AA$57)</f>
        <v>155.92904639140789</v>
      </c>
      <c r="AC57" s="33">
        <f>'TR TUSD'!$AC$57*'TR TUSD'!$AC$83</f>
        <v>561.53975590493826</v>
      </c>
      <c r="AD57" s="33">
        <f>SUM($AC$57:$AC$57)</f>
        <v>561.53975590493826</v>
      </c>
      <c r="AE57" s="33">
        <v>0</v>
      </c>
      <c r="AF57" s="33">
        <v>0</v>
      </c>
      <c r="AG57" s="33">
        <f>SUM($AE$57:$AF$57)</f>
        <v>0</v>
      </c>
      <c r="AH57" s="33">
        <f>'TR TUSD'!$AH$57*'TR TUSD'!$AH$83</f>
        <v>43.826574001541772</v>
      </c>
      <c r="AI57" s="33">
        <f>'TR TUSD'!$AI$57*'TR TUSD'!$AI$83</f>
        <v>9.7312687336913103E-2</v>
      </c>
      <c r="AJ57" s="33">
        <f ca="1">'TR TUSD'!$AJ$57*'TR TUSD'!$AJ$83</f>
        <v>0.78895297972128819</v>
      </c>
      <c r="AK57" s="33">
        <f ca="1">'TR TUSD'!$AK$57*'TR TUSD'!$AK$83</f>
        <v>4.7272389260089893</v>
      </c>
      <c r="AL57" s="33">
        <f ca="1">SUM($AH$57:$AK$57)</f>
        <v>49.440078594608956</v>
      </c>
      <c r="AM57" s="33">
        <f ca="1">SUMIF($L$4:$AL$4,"SUBTOTAL",$L$57:$AL$57)</f>
        <v>890.89674753312147</v>
      </c>
      <c r="AP57" s="33">
        <f>IF((1 - CUSTOS!$M$29)&lt;&gt;0,1/(1 - CUSTOS!$M$29),1)</f>
        <v>1</v>
      </c>
    </row>
    <row r="58" spans="1:42" ht="11.25" customHeight="1" x14ac:dyDescent="0.25">
      <c r="A58" s="116"/>
      <c r="B58" s="116"/>
      <c r="C58" s="116"/>
      <c r="D58" s="116"/>
      <c r="E58" s="116"/>
      <c r="F58" s="116"/>
      <c r="G58" s="36" t="s">
        <v>128</v>
      </c>
      <c r="H58" s="36" t="s">
        <v>117</v>
      </c>
      <c r="I58" s="36">
        <f>'MERCADO TUSD'!$U$55</f>
        <v>0</v>
      </c>
      <c r="J58" s="16"/>
      <c r="L58" s="33">
        <f>'TR TUSD'!$L$58*'TR TUSD'!$L$83</f>
        <v>6.2040073469118227</v>
      </c>
      <c r="M58" s="33">
        <f>'TR TUSD'!$M$58*'TR TUSD'!$M$83</f>
        <v>0.81258730681580105</v>
      </c>
      <c r="N58" s="33">
        <f ca="1">'TR TUSD'!$N$58*'TR TUSD'!$N$83</f>
        <v>5.5961403648956205</v>
      </c>
      <c r="O58" s="33">
        <f>'TR TUSD'!$O$58*'TR TUSD'!$O$83</f>
        <v>-5.032809553728302E-3</v>
      </c>
      <c r="P58" s="33">
        <f>'TR TUSD'!$P$58*'TR TUSD'!$P$83</f>
        <v>0</v>
      </c>
      <c r="Q58" s="33">
        <f>'TR TUSD'!$Q$58*'TR TUSD'!$Q$83</f>
        <v>93.427414695800351</v>
      </c>
      <c r="R58" s="33">
        <f>'TR TUSD'!$R$58*'TR TUSD'!$R$83</f>
        <v>14.902150200061627</v>
      </c>
      <c r="S58" s="33">
        <f>'TR TUSD'!$S$58*'TR TUSD'!$S$83</f>
        <v>0</v>
      </c>
      <c r="T58" s="33">
        <f ca="1">SUM($L$58:$S$58)</f>
        <v>120.93726710493149</v>
      </c>
      <c r="U58" s="33">
        <f>'TR TUSD'!$U$58*'TR TUSD'!$U$83</f>
        <v>19.451226623764413</v>
      </c>
      <c r="V58" s="33">
        <f>'TR TUSD'!$V$58*'TR TUSD'!$V$83</f>
        <v>0.27780236759515053</v>
      </c>
      <c r="W58" s="33">
        <f>'TR TUSD'!$W$58*'TR TUSD'!$W$83</f>
        <v>0</v>
      </c>
      <c r="X58" s="33">
        <f>'TR TUSD'!$X$58*'TR TUSD'!$X$83</f>
        <v>0</v>
      </c>
      <c r="Y58" s="33">
        <f>'TR TUSD'!$Y$58*'TR TUSD'!$Y$83</f>
        <v>73.82836172598445</v>
      </c>
      <c r="Z58" s="33">
        <f>'TR TUSD'!$Z$58</f>
        <v>0</v>
      </c>
      <c r="AA58" s="33">
        <f>'TR TUSD'!$AA$58</f>
        <v>0</v>
      </c>
      <c r="AB58" s="33">
        <f>SUM($U$58:$AA$58)</f>
        <v>93.55739071734402</v>
      </c>
      <c r="AC58" s="33">
        <f>'TR TUSD'!$AC$58*'TR TUSD'!$AC$83</f>
        <v>336.92383130533682</v>
      </c>
      <c r="AD58" s="33">
        <f>SUM($AC$58:$AC$58)</f>
        <v>336.92383130533682</v>
      </c>
      <c r="AE58" s="33">
        <v>0</v>
      </c>
      <c r="AF58" s="33">
        <v>0</v>
      </c>
      <c r="AG58" s="33">
        <f>SUM($AE$58:$AF$58)</f>
        <v>0</v>
      </c>
      <c r="AH58" s="33">
        <f>'TR TUSD'!$AH$58*'TR TUSD'!$AH$83</f>
        <v>43.826574001541772</v>
      </c>
      <c r="AI58" s="33">
        <f>'TR TUSD'!$AI$58*'TR TUSD'!$AI$83</f>
        <v>9.7312687336913103E-2</v>
      </c>
      <c r="AJ58" s="33">
        <f ca="1">'TR TUSD'!$AJ$58*'TR TUSD'!$AJ$83</f>
        <v>0.78895297972128819</v>
      </c>
      <c r="AK58" s="33">
        <f ca="1">'TR TUSD'!$AK$58*'TR TUSD'!$AK$83</f>
        <v>4.7272389260089893</v>
      </c>
      <c r="AL58" s="33">
        <f ca="1">SUM($AH$58:$AK$58)</f>
        <v>49.440078594608956</v>
      </c>
      <c r="AM58" s="33">
        <f ca="1">SUMIF($L$4:$AL$4,"SUBTOTAL",$L$58:$AL$58)</f>
        <v>600.85856772222132</v>
      </c>
      <c r="AP58" s="33">
        <f>IF((1 - CUSTOS!$M$29)&lt;&gt;0,1/(1 - CUSTOS!$M$29),1)</f>
        <v>1</v>
      </c>
    </row>
    <row r="59" spans="1:42" ht="11.25" customHeight="1" x14ac:dyDescent="0.25">
      <c r="A59" s="116"/>
      <c r="B59" s="116"/>
      <c r="C59" s="116"/>
      <c r="D59" s="116"/>
      <c r="E59" s="116"/>
      <c r="F59" s="116"/>
      <c r="G59" s="36" t="s">
        <v>119</v>
      </c>
      <c r="H59" s="36" t="s">
        <v>117</v>
      </c>
      <c r="I59" s="36">
        <f>'MERCADO TUSD'!$U$56</f>
        <v>0</v>
      </c>
      <c r="J59" s="16"/>
      <c r="L59" s="33">
        <f>'TR TUSD'!$L$59*'TR TUSD'!$L$83</f>
        <v>6.2040073469118227</v>
      </c>
      <c r="M59" s="33">
        <f>'TR TUSD'!$M$59*'TR TUSD'!$M$83</f>
        <v>0.81258730681580105</v>
      </c>
      <c r="N59" s="33">
        <f ca="1">'TR TUSD'!$N$59*'TR TUSD'!$N$83</f>
        <v>2.5455419935166863</v>
      </c>
      <c r="O59" s="33">
        <f>'TR TUSD'!$O$59*'TR TUSD'!$O$83</f>
        <v>-5.032809553728302E-3</v>
      </c>
      <c r="P59" s="33">
        <f>'TR TUSD'!$P$59*'TR TUSD'!$P$83</f>
        <v>0</v>
      </c>
      <c r="Q59" s="33">
        <f>'TR TUSD'!$Q$59*'TR TUSD'!$Q$83</f>
        <v>93.427414695800351</v>
      </c>
      <c r="R59" s="33">
        <f>'TR TUSD'!$R$59*'TR TUSD'!$R$83</f>
        <v>14.902150200061627</v>
      </c>
      <c r="S59" s="33">
        <f>'TR TUSD'!$S$59*'TR TUSD'!$S$83</f>
        <v>0</v>
      </c>
      <c r="T59" s="33">
        <f ca="1">SUM($L$59:$S$59)</f>
        <v>117.88666873355255</v>
      </c>
      <c r="U59" s="33">
        <f>'TR TUSD'!$U$59*'TR TUSD'!$U$83</f>
        <v>6.4837127560451879</v>
      </c>
      <c r="V59" s="33">
        <f>'TR TUSD'!$V$59*'TR TUSD'!$V$83</f>
        <v>9.260402449952243E-2</v>
      </c>
      <c r="W59" s="33">
        <f>'TR TUSD'!$W$59*'TR TUSD'!$W$83</f>
        <v>0</v>
      </c>
      <c r="X59" s="33">
        <f>'TR TUSD'!$X$59*'TR TUSD'!$X$83</f>
        <v>0</v>
      </c>
      <c r="Y59" s="33">
        <f>'TR TUSD'!$Y$59*'TR TUSD'!$Y$83</f>
        <v>24.609453908661486</v>
      </c>
      <c r="Z59" s="33">
        <f>'TR TUSD'!$Z$59</f>
        <v>0</v>
      </c>
      <c r="AA59" s="33">
        <f>'TR TUSD'!$AA$59</f>
        <v>0</v>
      </c>
      <c r="AB59" s="33">
        <f>SUM($U$59:$AA$59)</f>
        <v>31.185770689206194</v>
      </c>
      <c r="AC59" s="33">
        <f>'TR TUSD'!$AC$59*'TR TUSD'!$AC$83</f>
        <v>112.30790670573523</v>
      </c>
      <c r="AD59" s="33">
        <f>SUM($AC$59:$AC$59)</f>
        <v>112.30790670573523</v>
      </c>
      <c r="AE59" s="33">
        <v>0</v>
      </c>
      <c r="AF59" s="33">
        <v>0</v>
      </c>
      <c r="AG59" s="33">
        <f>SUM($AE$59:$AF$59)</f>
        <v>0</v>
      </c>
      <c r="AH59" s="33">
        <f>'TR TUSD'!$AH$59*'TR TUSD'!$AH$83</f>
        <v>43.826574001541772</v>
      </c>
      <c r="AI59" s="33">
        <f>'TR TUSD'!$AI$59*'TR TUSD'!$AI$83</f>
        <v>9.7312687336913103E-2</v>
      </c>
      <c r="AJ59" s="33">
        <f ca="1">'TR TUSD'!$AJ$59*'TR TUSD'!$AJ$83</f>
        <v>0.78895297972128819</v>
      </c>
      <c r="AK59" s="33">
        <f ca="1">'TR TUSD'!$AK$59*'TR TUSD'!$AK$83</f>
        <v>4.7272389260089893</v>
      </c>
      <c r="AL59" s="33">
        <f ca="1">SUM($AH$59:$AK$59)</f>
        <v>49.440078594608956</v>
      </c>
      <c r="AM59" s="33">
        <f ca="1">SUMIF($L$4:$AL$4,"SUBTOTAL",$L$59:$AL$59)</f>
        <v>310.82042472310297</v>
      </c>
      <c r="AP59" s="33">
        <f>IF((1 - CUSTOS!$M$29)&lt;&gt;0,1/(1 - CUSTOS!$M$29),1)</f>
        <v>1</v>
      </c>
    </row>
    <row r="60" spans="1:42" ht="11.25" customHeight="1" x14ac:dyDescent="0.25">
      <c r="A60" s="116"/>
      <c r="B60" s="37" t="s">
        <v>23</v>
      </c>
      <c r="C60" s="37" t="s">
        <v>45</v>
      </c>
      <c r="D60" s="37" t="s">
        <v>132</v>
      </c>
      <c r="E60" s="37" t="s">
        <v>25</v>
      </c>
      <c r="F60" s="37" t="s">
        <v>25</v>
      </c>
      <c r="G60" s="36" t="s">
        <v>123</v>
      </c>
      <c r="H60" s="36" t="s">
        <v>117</v>
      </c>
      <c r="I60" s="36">
        <f>'MERCADO TUSD'!$U$57</f>
        <v>0</v>
      </c>
      <c r="J60" s="16"/>
      <c r="L60" s="33">
        <f>'TR TUSD'!$L$60*'TR TUSD'!$L$83</f>
        <v>6.2040073469118227</v>
      </c>
      <c r="M60" s="33">
        <f>'TR TUSD'!$M$60*'TR TUSD'!$M$83</f>
        <v>0.81258730681580105</v>
      </c>
      <c r="N60" s="33">
        <f ca="1">'TR TUSD'!$N$60*'TR TUSD'!$N$83</f>
        <v>3.6962067926064517</v>
      </c>
      <c r="O60" s="33">
        <f>'TR TUSD'!$O$60*'TR TUSD'!$O$83</f>
        <v>-5.032809553728302E-3</v>
      </c>
      <c r="P60" s="33">
        <f>'TR TUSD'!$P$60*'TR TUSD'!$P$83</f>
        <v>0</v>
      </c>
      <c r="Q60" s="33">
        <f>'TR TUSD'!$Q$60*'TR TUSD'!$Q$83</f>
        <v>93.427414695800351</v>
      </c>
      <c r="R60" s="33">
        <f>'TR TUSD'!$R$60*'TR TUSD'!$R$83</f>
        <v>14.902150200061627</v>
      </c>
      <c r="S60" s="33">
        <f>'TR TUSD'!$S$60*'TR TUSD'!$S$83</f>
        <v>0</v>
      </c>
      <c r="T60" s="33">
        <f ca="1">SUM($L$60:$S$60)</f>
        <v>119.03733353264232</v>
      </c>
      <c r="U60" s="33">
        <f>'TR TUSD'!$U$60*'TR TUSD'!$U$83</f>
        <v>11.374992013382213</v>
      </c>
      <c r="V60" s="33">
        <f>'TR TUSD'!$V$60*'TR TUSD'!$V$83</f>
        <v>0.16245741139010653</v>
      </c>
      <c r="W60" s="33">
        <f>'TR TUSD'!$W$60*'TR TUSD'!$W$83</f>
        <v>0</v>
      </c>
      <c r="X60" s="33">
        <f>'TR TUSD'!$X$60*'TR TUSD'!$X$83</f>
        <v>0</v>
      </c>
      <c r="Y60" s="33">
        <f>'TR TUSD'!$Y$60*'TR TUSD'!$Y$83</f>
        <v>43.174496583006324</v>
      </c>
      <c r="Z60" s="33">
        <f>'TR TUSD'!$Z$60</f>
        <v>0</v>
      </c>
      <c r="AA60" s="33">
        <f>'TR TUSD'!$AA$60</f>
        <v>0</v>
      </c>
      <c r="AB60" s="33">
        <f>SUM($U$60:$AA$60)</f>
        <v>54.711946007778643</v>
      </c>
      <c r="AC60" s="33">
        <f>'TR TUSD'!$AC$60*'TR TUSD'!$AC$83</f>
        <v>197.03148354663352</v>
      </c>
      <c r="AD60" s="33">
        <f>SUM($AC$60:$AC$60)</f>
        <v>197.03148354663352</v>
      </c>
      <c r="AE60" s="33">
        <v>0</v>
      </c>
      <c r="AF60" s="33">
        <v>0</v>
      </c>
      <c r="AG60" s="33">
        <f>SUM($AE$60:$AF$60)</f>
        <v>0</v>
      </c>
      <c r="AH60" s="33">
        <f>'TR TUSD'!$AH$60*'TR TUSD'!$AH$83</f>
        <v>43.826574001541772</v>
      </c>
      <c r="AI60" s="33">
        <f>'TR TUSD'!$AI$60*'TR TUSD'!$AI$83</f>
        <v>9.7312687336913103E-2</v>
      </c>
      <c r="AJ60" s="33">
        <f ca="1">'TR TUSD'!$AJ$60*'TR TUSD'!$AJ$83</f>
        <v>0.78895297972128819</v>
      </c>
      <c r="AK60" s="33">
        <f ca="1">'TR TUSD'!$AK$60*'TR TUSD'!$AK$83</f>
        <v>4.7272389260089893</v>
      </c>
      <c r="AL60" s="33">
        <f ca="1">SUM($AH$60:$AK$60)</f>
        <v>49.440078594608956</v>
      </c>
      <c r="AM60" s="33">
        <f ca="1">SUMIF($L$4:$AL$4,"SUBTOTAL",$L$60:$AL$60)</f>
        <v>420.22084168166344</v>
      </c>
      <c r="AP60" s="33">
        <f>IF((1 - CUSTOS!$M$29)&lt;&gt;0,1/(1 - CUSTOS!$M$29),1)</f>
        <v>1</v>
      </c>
    </row>
    <row r="61" spans="1:42" ht="11.25" customHeight="1" x14ac:dyDescent="0.25">
      <c r="A61" s="116"/>
      <c r="B61" s="116" t="s">
        <v>33</v>
      </c>
      <c r="C61" s="116" t="s">
        <v>45</v>
      </c>
      <c r="D61" s="116" t="s">
        <v>133</v>
      </c>
      <c r="E61" s="116" t="s">
        <v>25</v>
      </c>
      <c r="F61" s="116" t="s">
        <v>25</v>
      </c>
      <c r="G61" s="36" t="s">
        <v>118</v>
      </c>
      <c r="H61" s="36" t="s">
        <v>117</v>
      </c>
      <c r="I61" s="36">
        <f>'MERCADO TUSD'!$U$58</f>
        <v>0</v>
      </c>
      <c r="J61" s="16"/>
      <c r="L61" s="33">
        <f>'TR TUSD'!$L$61*'TR TUSD'!$L$83</f>
        <v>6.2040073469118227</v>
      </c>
      <c r="M61" s="33">
        <f>'TR TUSD'!$M$61*'TR TUSD'!$M$83</f>
        <v>0.81258730681580105</v>
      </c>
      <c r="N61" s="33">
        <f ca="1">'TR TUSD'!$N$61*'TR TUSD'!$N$83</f>
        <v>8.6467399021304541</v>
      </c>
      <c r="O61" s="33">
        <f>'TR TUSD'!$O$61*'TR TUSD'!$O$83</f>
        <v>-5.032809553728302E-3</v>
      </c>
      <c r="P61" s="33">
        <f>'TR TUSD'!$P$61*'TR TUSD'!$P$83</f>
        <v>0</v>
      </c>
      <c r="Q61" s="33">
        <f>'TR TUSD'!$Q$61*'TR TUSD'!$Q$83</f>
        <v>93.427414695800351</v>
      </c>
      <c r="R61" s="33">
        <f>'TR TUSD'!$R$61*'TR TUSD'!$R$83</f>
        <v>14.902150200061627</v>
      </c>
      <c r="S61" s="33">
        <f>'TR TUSD'!$S$61*'TR TUSD'!$S$83</f>
        <v>0</v>
      </c>
      <c r="T61" s="33">
        <f ca="1">SUM($L$61:$S$61)</f>
        <v>123.98786664216632</v>
      </c>
      <c r="U61" s="33">
        <f>'TR TUSD'!$U$61*'TR TUSD'!$U$83</f>
        <v>32.418652135854785</v>
      </c>
      <c r="V61" s="33">
        <f>'TR TUSD'!$V$61*'TR TUSD'!$V$83</f>
        <v>0.46301041659419545</v>
      </c>
      <c r="W61" s="33">
        <f>'TR TUSD'!$W$61*'TR TUSD'!$W$83</f>
        <v>0</v>
      </c>
      <c r="X61" s="33">
        <f>'TR TUSD'!$X$61*'TR TUSD'!$X$83</f>
        <v>0</v>
      </c>
      <c r="Y61" s="33">
        <f>'TR TUSD'!$Y$61*'TR TUSD'!$Y$83</f>
        <v>123.04738383895892</v>
      </c>
      <c r="Z61" s="33">
        <f>'TR TUSD'!$Z$61</f>
        <v>0</v>
      </c>
      <c r="AA61" s="33">
        <f>'TR TUSD'!$AA$61</f>
        <v>0</v>
      </c>
      <c r="AB61" s="33">
        <f>SUM($U$61:$AA$61)</f>
        <v>155.92904639140789</v>
      </c>
      <c r="AC61" s="33">
        <f>'TR TUSD'!$AC$61*'TR TUSD'!$AC$83</f>
        <v>561.53975590493826</v>
      </c>
      <c r="AD61" s="33">
        <f>SUM($AC$61:$AC$61)</f>
        <v>561.53975590493826</v>
      </c>
      <c r="AE61" s="33">
        <v>0</v>
      </c>
      <c r="AF61" s="33">
        <v>0</v>
      </c>
      <c r="AG61" s="33">
        <f>SUM($AE$61:$AF$61)</f>
        <v>0</v>
      </c>
      <c r="AH61" s="33">
        <f>'TR TUSD'!$AH$61*'TR TUSD'!$AH$83</f>
        <v>43.826574001541772</v>
      </c>
      <c r="AI61" s="33">
        <f>'TR TUSD'!$AI$61*'TR TUSD'!$AI$83</f>
        <v>9.7312687336913103E-2</v>
      </c>
      <c r="AJ61" s="33">
        <f ca="1">'TR TUSD'!$AJ$61*'TR TUSD'!$AJ$83</f>
        <v>0.78895297972128819</v>
      </c>
      <c r="AK61" s="33">
        <f ca="1">'TR TUSD'!$AK$61*'TR TUSD'!$AK$83</f>
        <v>4.7272389260089893</v>
      </c>
      <c r="AL61" s="33">
        <f ca="1">SUM($AH$61:$AK$61)</f>
        <v>49.440078594608956</v>
      </c>
      <c r="AM61" s="33">
        <f ca="1">SUMIF($L$4:$AL$4,"SUBTOTAL",$L$61:$AL$61)</f>
        <v>890.89674753312147</v>
      </c>
      <c r="AP61" s="33">
        <f>IF((1 - CUSTOS!$M$30)&lt;&gt;0,1/(1 - CUSTOS!$M$30),1)</f>
        <v>1</v>
      </c>
    </row>
    <row r="62" spans="1:42" ht="11.25" customHeight="1" x14ac:dyDescent="0.25">
      <c r="A62" s="116"/>
      <c r="B62" s="116"/>
      <c r="C62" s="116"/>
      <c r="D62" s="116"/>
      <c r="E62" s="116"/>
      <c r="F62" s="116"/>
      <c r="G62" s="36" t="s">
        <v>128</v>
      </c>
      <c r="H62" s="36" t="s">
        <v>117</v>
      </c>
      <c r="I62" s="36">
        <f>'MERCADO TUSD'!$U$59</f>
        <v>0</v>
      </c>
      <c r="J62" s="16"/>
      <c r="L62" s="33">
        <f>'TR TUSD'!$L$62*'TR TUSD'!$L$83</f>
        <v>6.2040073469118227</v>
      </c>
      <c r="M62" s="33">
        <f>'TR TUSD'!$M$62*'TR TUSD'!$M$83</f>
        <v>0.81258730681580105</v>
      </c>
      <c r="N62" s="33">
        <f ca="1">'TR TUSD'!$N$62*'TR TUSD'!$N$83</f>
        <v>5.5961403648956205</v>
      </c>
      <c r="O62" s="33">
        <f>'TR TUSD'!$O$62*'TR TUSD'!$O$83</f>
        <v>-5.032809553728302E-3</v>
      </c>
      <c r="P62" s="33">
        <f>'TR TUSD'!$P$62*'TR TUSD'!$P$83</f>
        <v>0</v>
      </c>
      <c r="Q62" s="33">
        <f>'TR TUSD'!$Q$62*'TR TUSD'!$Q$83</f>
        <v>93.427414695800351</v>
      </c>
      <c r="R62" s="33">
        <f>'TR TUSD'!$R$62*'TR TUSD'!$R$83</f>
        <v>14.902150200061627</v>
      </c>
      <c r="S62" s="33">
        <f>'TR TUSD'!$S$62*'TR TUSD'!$S$83</f>
        <v>0</v>
      </c>
      <c r="T62" s="33">
        <f ca="1">SUM($L$62:$S$62)</f>
        <v>120.93726710493149</v>
      </c>
      <c r="U62" s="33">
        <f>'TR TUSD'!$U$62*'TR TUSD'!$U$83</f>
        <v>19.451226623764413</v>
      </c>
      <c r="V62" s="33">
        <f>'TR TUSD'!$V$62*'TR TUSD'!$V$83</f>
        <v>0.27780236759515053</v>
      </c>
      <c r="W62" s="33">
        <f>'TR TUSD'!$W$62*'TR TUSD'!$W$83</f>
        <v>0</v>
      </c>
      <c r="X62" s="33">
        <f>'TR TUSD'!$X$62*'TR TUSD'!$X$83</f>
        <v>0</v>
      </c>
      <c r="Y62" s="33">
        <f>'TR TUSD'!$Y$62*'TR TUSD'!$Y$83</f>
        <v>73.82836172598445</v>
      </c>
      <c r="Z62" s="33">
        <f>'TR TUSD'!$Z$62</f>
        <v>0</v>
      </c>
      <c r="AA62" s="33">
        <f>'TR TUSD'!$AA$62</f>
        <v>0</v>
      </c>
      <c r="AB62" s="33">
        <f>SUM($U$62:$AA$62)</f>
        <v>93.55739071734402</v>
      </c>
      <c r="AC62" s="33">
        <f>'TR TUSD'!$AC$62*'TR TUSD'!$AC$83</f>
        <v>336.92383130533682</v>
      </c>
      <c r="AD62" s="33">
        <f>SUM($AC$62:$AC$62)</f>
        <v>336.92383130533682</v>
      </c>
      <c r="AE62" s="33">
        <v>0</v>
      </c>
      <c r="AF62" s="33">
        <v>0</v>
      </c>
      <c r="AG62" s="33">
        <f>SUM($AE$62:$AF$62)</f>
        <v>0</v>
      </c>
      <c r="AH62" s="33">
        <f>'TR TUSD'!$AH$62*'TR TUSD'!$AH$83</f>
        <v>43.826574001541772</v>
      </c>
      <c r="AI62" s="33">
        <f>'TR TUSD'!$AI$62*'TR TUSD'!$AI$83</f>
        <v>9.7312687336913103E-2</v>
      </c>
      <c r="AJ62" s="33">
        <f ca="1">'TR TUSD'!$AJ$62*'TR TUSD'!$AJ$83</f>
        <v>0.78895297972128819</v>
      </c>
      <c r="AK62" s="33">
        <f ca="1">'TR TUSD'!$AK$62*'TR TUSD'!$AK$83</f>
        <v>4.7272389260089893</v>
      </c>
      <c r="AL62" s="33">
        <f ca="1">SUM($AH$62:$AK$62)</f>
        <v>49.440078594608956</v>
      </c>
      <c r="AM62" s="33">
        <f ca="1">SUMIF($L$4:$AL$4,"SUBTOTAL",$L$62:$AL$62)</f>
        <v>600.85856772222132</v>
      </c>
      <c r="AP62" s="33">
        <f>IF((1 - CUSTOS!$M$30)&lt;&gt;0,1/(1 - CUSTOS!$M$30),1)</f>
        <v>1</v>
      </c>
    </row>
    <row r="63" spans="1:42" ht="11.25" customHeight="1" x14ac:dyDescent="0.25">
      <c r="A63" s="116"/>
      <c r="B63" s="116"/>
      <c r="C63" s="116"/>
      <c r="D63" s="116"/>
      <c r="E63" s="116"/>
      <c r="F63" s="116"/>
      <c r="G63" s="36" t="s">
        <v>119</v>
      </c>
      <c r="H63" s="36" t="s">
        <v>117</v>
      </c>
      <c r="I63" s="36">
        <f>'MERCADO TUSD'!$U$60</f>
        <v>0</v>
      </c>
      <c r="J63" s="16"/>
      <c r="L63" s="33">
        <f>'TR TUSD'!$L$63*'TR TUSD'!$L$83</f>
        <v>6.2040073469118227</v>
      </c>
      <c r="M63" s="33">
        <f>'TR TUSD'!$M$63*'TR TUSD'!$M$83</f>
        <v>0.81258730681580105</v>
      </c>
      <c r="N63" s="33">
        <f ca="1">'TR TUSD'!$N$63*'TR TUSD'!$N$83</f>
        <v>2.5455419935166863</v>
      </c>
      <c r="O63" s="33">
        <f>'TR TUSD'!$O$63*'TR TUSD'!$O$83</f>
        <v>-5.032809553728302E-3</v>
      </c>
      <c r="P63" s="33">
        <f>'TR TUSD'!$P$63*'TR TUSD'!$P$83</f>
        <v>0</v>
      </c>
      <c r="Q63" s="33">
        <f>'TR TUSD'!$Q$63*'TR TUSD'!$Q$83</f>
        <v>93.427414695800351</v>
      </c>
      <c r="R63" s="33">
        <f>'TR TUSD'!$R$63*'TR TUSD'!$R$83</f>
        <v>14.902150200061627</v>
      </c>
      <c r="S63" s="33">
        <f>'TR TUSD'!$S$63*'TR TUSD'!$S$83</f>
        <v>0</v>
      </c>
      <c r="T63" s="33">
        <f ca="1">SUM($L$63:$S$63)</f>
        <v>117.88666873355255</v>
      </c>
      <c r="U63" s="33">
        <f>'TR TUSD'!$U$63*'TR TUSD'!$U$83</f>
        <v>6.4837127560451879</v>
      </c>
      <c r="V63" s="33">
        <f>'TR TUSD'!$V$63*'TR TUSD'!$V$83</f>
        <v>9.260402449952243E-2</v>
      </c>
      <c r="W63" s="33">
        <f>'TR TUSD'!$W$63*'TR TUSD'!$W$83</f>
        <v>0</v>
      </c>
      <c r="X63" s="33">
        <f>'TR TUSD'!$X$63*'TR TUSD'!$X$83</f>
        <v>0</v>
      </c>
      <c r="Y63" s="33">
        <f>'TR TUSD'!$Y$63*'TR TUSD'!$Y$83</f>
        <v>24.609453908661486</v>
      </c>
      <c r="Z63" s="33">
        <f>'TR TUSD'!$Z$63</f>
        <v>0</v>
      </c>
      <c r="AA63" s="33">
        <f>'TR TUSD'!$AA$63</f>
        <v>0</v>
      </c>
      <c r="AB63" s="33">
        <f>SUM($U$63:$AA$63)</f>
        <v>31.185770689206194</v>
      </c>
      <c r="AC63" s="33">
        <f>'TR TUSD'!$AC$63*'TR TUSD'!$AC$83</f>
        <v>112.30790670573523</v>
      </c>
      <c r="AD63" s="33">
        <f>SUM($AC$63:$AC$63)</f>
        <v>112.30790670573523</v>
      </c>
      <c r="AE63" s="33">
        <v>0</v>
      </c>
      <c r="AF63" s="33">
        <v>0</v>
      </c>
      <c r="AG63" s="33">
        <f>SUM($AE$63:$AF$63)</f>
        <v>0</v>
      </c>
      <c r="AH63" s="33">
        <f>'TR TUSD'!$AH$63*'TR TUSD'!$AH$83</f>
        <v>43.826574001541772</v>
      </c>
      <c r="AI63" s="33">
        <f>'TR TUSD'!$AI$63*'TR TUSD'!$AI$83</f>
        <v>9.7312687336913103E-2</v>
      </c>
      <c r="AJ63" s="33">
        <f ca="1">'TR TUSD'!$AJ$63*'TR TUSD'!$AJ$83</f>
        <v>0.78895297972128819</v>
      </c>
      <c r="AK63" s="33">
        <f ca="1">'TR TUSD'!$AK$63*'TR TUSD'!$AK$83</f>
        <v>4.7272389260089893</v>
      </c>
      <c r="AL63" s="33">
        <f ca="1">SUM($AH$63:$AK$63)</f>
        <v>49.440078594608956</v>
      </c>
      <c r="AM63" s="33">
        <f ca="1">SUMIF($L$4:$AL$4,"SUBTOTAL",$L$63:$AL$63)</f>
        <v>310.82042472310297</v>
      </c>
      <c r="AP63" s="33">
        <f>IF((1 - CUSTOS!$M$30)&lt;&gt;0,1/(1 - CUSTOS!$M$30),1)</f>
        <v>1</v>
      </c>
    </row>
    <row r="64" spans="1:42" ht="11.25" customHeight="1" x14ac:dyDescent="0.25">
      <c r="A64" s="116"/>
      <c r="B64" s="37" t="s">
        <v>23</v>
      </c>
      <c r="C64" s="37" t="s">
        <v>45</v>
      </c>
      <c r="D64" s="37" t="s">
        <v>133</v>
      </c>
      <c r="E64" s="37" t="s">
        <v>25</v>
      </c>
      <c r="F64" s="37" t="s">
        <v>25</v>
      </c>
      <c r="G64" s="36" t="s">
        <v>123</v>
      </c>
      <c r="H64" s="36" t="s">
        <v>117</v>
      </c>
      <c r="I64" s="36">
        <f>'MERCADO TUSD'!$U$61</f>
        <v>0</v>
      </c>
      <c r="J64" s="16"/>
      <c r="L64" s="33">
        <f>'TR TUSD'!$L$64*'TR TUSD'!$L$83</f>
        <v>6.2040073469118227</v>
      </c>
      <c r="M64" s="33">
        <f>'TR TUSD'!$M$64*'TR TUSD'!$M$83</f>
        <v>0.81258730681580105</v>
      </c>
      <c r="N64" s="33">
        <f ca="1">'TR TUSD'!$N$64*'TR TUSD'!$N$83</f>
        <v>3.6962067926064517</v>
      </c>
      <c r="O64" s="33">
        <f>'TR TUSD'!$O$64*'TR TUSD'!$O$83</f>
        <v>-5.032809553728302E-3</v>
      </c>
      <c r="P64" s="33">
        <f>'TR TUSD'!$P$64*'TR TUSD'!$P$83</f>
        <v>0</v>
      </c>
      <c r="Q64" s="33">
        <f>'TR TUSD'!$Q$64*'TR TUSD'!$Q$83</f>
        <v>93.427414695800351</v>
      </c>
      <c r="R64" s="33">
        <f>'TR TUSD'!$R$64*'TR TUSD'!$R$83</f>
        <v>14.902150200061627</v>
      </c>
      <c r="S64" s="33">
        <f>'TR TUSD'!$S$64*'TR TUSD'!$S$83</f>
        <v>0</v>
      </c>
      <c r="T64" s="33">
        <f ca="1">SUM($L$64:$S$64)</f>
        <v>119.03733353264232</v>
      </c>
      <c r="U64" s="33">
        <f>'TR TUSD'!$U$64*'TR TUSD'!$U$83</f>
        <v>11.374992013382213</v>
      </c>
      <c r="V64" s="33">
        <f>'TR TUSD'!$V$64*'TR TUSD'!$V$83</f>
        <v>0.16245741139010653</v>
      </c>
      <c r="W64" s="33">
        <f>'TR TUSD'!$W$64*'TR TUSD'!$W$83</f>
        <v>0</v>
      </c>
      <c r="X64" s="33">
        <f>'TR TUSD'!$X$64*'TR TUSD'!$X$83</f>
        <v>0</v>
      </c>
      <c r="Y64" s="33">
        <f>'TR TUSD'!$Y$64*'TR TUSD'!$Y$83</f>
        <v>43.174496583006324</v>
      </c>
      <c r="Z64" s="33">
        <f>'TR TUSD'!$Z$64</f>
        <v>0</v>
      </c>
      <c r="AA64" s="33">
        <f>'TR TUSD'!$AA$64</f>
        <v>0</v>
      </c>
      <c r="AB64" s="33">
        <f>SUM($U$64:$AA$64)</f>
        <v>54.711946007778643</v>
      </c>
      <c r="AC64" s="33">
        <f>'TR TUSD'!$AC$64*'TR TUSD'!$AC$83</f>
        <v>197.03148354663352</v>
      </c>
      <c r="AD64" s="33">
        <f>SUM($AC$64:$AC$64)</f>
        <v>197.03148354663352</v>
      </c>
      <c r="AE64" s="33">
        <v>0</v>
      </c>
      <c r="AF64" s="33">
        <v>0</v>
      </c>
      <c r="AG64" s="33">
        <f>SUM($AE$64:$AF$64)</f>
        <v>0</v>
      </c>
      <c r="AH64" s="33">
        <f>'TR TUSD'!$AH$64*'TR TUSD'!$AH$83</f>
        <v>43.826574001541772</v>
      </c>
      <c r="AI64" s="33">
        <f>'TR TUSD'!$AI$64*'TR TUSD'!$AI$83</f>
        <v>9.7312687336913103E-2</v>
      </c>
      <c r="AJ64" s="33">
        <f ca="1">'TR TUSD'!$AJ$64*'TR TUSD'!$AJ$83</f>
        <v>0.78895297972128819</v>
      </c>
      <c r="AK64" s="33">
        <f ca="1">'TR TUSD'!$AK$64*'TR TUSD'!$AK$83</f>
        <v>4.7272389260089893</v>
      </c>
      <c r="AL64" s="33">
        <f ca="1">SUM($AH$64:$AK$64)</f>
        <v>49.440078594608956</v>
      </c>
      <c r="AM64" s="33">
        <f ca="1">SUMIF($L$4:$AL$4,"SUBTOTAL",$L$64:$AL$64)</f>
        <v>420.22084168166344</v>
      </c>
      <c r="AP64" s="33">
        <f>IF((1 - CUSTOS!$M$30)&lt;&gt;0,1/(1 - CUSTOS!$M$30),1)</f>
        <v>1</v>
      </c>
    </row>
    <row r="65" spans="1:42" ht="11.25" customHeight="1" x14ac:dyDescent="0.25">
      <c r="A65" s="116"/>
      <c r="B65" s="116" t="s">
        <v>131</v>
      </c>
      <c r="C65" s="116" t="s">
        <v>45</v>
      </c>
      <c r="D65" s="37" t="s">
        <v>25</v>
      </c>
      <c r="E65" s="37" t="s">
        <v>25</v>
      </c>
      <c r="F65" s="37" t="s">
        <v>25</v>
      </c>
      <c r="G65" s="36" t="s">
        <v>123</v>
      </c>
      <c r="H65" s="36" t="s">
        <v>117</v>
      </c>
      <c r="I65" s="36">
        <f>'MERCADO TUSD'!$U$62</f>
        <v>0</v>
      </c>
      <c r="J65" s="16"/>
      <c r="L65" s="33">
        <f>'TR TUSD'!$L$65*'TR TUSD'!$L$83</f>
        <v>6.2040073469118227</v>
      </c>
      <c r="M65" s="33">
        <f>'TR TUSD'!$M$65*'TR TUSD'!$M$83</f>
        <v>0.81258730681580105</v>
      </c>
      <c r="N65" s="33">
        <f ca="1">'TR TUSD'!$N$65*'TR TUSD'!$N$83</f>
        <v>3.6962067926064517</v>
      </c>
      <c r="O65" s="33">
        <f>'TR TUSD'!$O$65*'TR TUSD'!$O$83</f>
        <v>-5.032809553728302E-3</v>
      </c>
      <c r="P65" s="33">
        <f>'TR TUSD'!$P$65*'TR TUSD'!$P$83</f>
        <v>0</v>
      </c>
      <c r="Q65" s="33">
        <f>'TR TUSD'!$Q$65*'TR TUSD'!$Q$83</f>
        <v>93.427414695800351</v>
      </c>
      <c r="R65" s="33">
        <f>'TR TUSD'!$R$65*'TR TUSD'!$R$83</f>
        <v>14.902150200061627</v>
      </c>
      <c r="S65" s="33">
        <f>'TR TUSD'!$S$65*'TR TUSD'!$S$83</f>
        <v>0</v>
      </c>
      <c r="T65" s="33">
        <f ca="1">SUM($L$65:$S$65)</f>
        <v>119.03733353264232</v>
      </c>
      <c r="U65" s="33">
        <f>'TR TUSD'!$U$65*'TR TUSD'!$U$83</f>
        <v>11.374992013382213</v>
      </c>
      <c r="V65" s="33">
        <f>'TR TUSD'!$V$65*'TR TUSD'!$V$83</f>
        <v>0.16245741139010653</v>
      </c>
      <c r="W65" s="33">
        <f>'TR TUSD'!$W$65*'TR TUSD'!$W$83</f>
        <v>0</v>
      </c>
      <c r="X65" s="33">
        <f>'TR TUSD'!$X$65*'TR TUSD'!$X$83</f>
        <v>0</v>
      </c>
      <c r="Y65" s="33">
        <f>'TR TUSD'!$Y$65*'TR TUSD'!$Y$83</f>
        <v>43.174496583006324</v>
      </c>
      <c r="Z65" s="33">
        <f>'TR TUSD'!$Z$65</f>
        <v>0</v>
      </c>
      <c r="AA65" s="33">
        <f>'TR TUSD'!$AA$65</f>
        <v>0</v>
      </c>
      <c r="AB65" s="33">
        <f>SUM($U$65:$AA$65)</f>
        <v>54.711946007778643</v>
      </c>
      <c r="AC65" s="33">
        <f>'TR TUSD'!$AC$65*'TR TUSD'!$AC$83</f>
        <v>197.03148354663352</v>
      </c>
      <c r="AD65" s="33">
        <f>SUM($AC$65:$AC$65)</f>
        <v>197.03148354663352</v>
      </c>
      <c r="AE65" s="33">
        <v>0</v>
      </c>
      <c r="AF65" s="33">
        <v>0</v>
      </c>
      <c r="AG65" s="33">
        <f>SUM($AE$65:$AF$65)</f>
        <v>0</v>
      </c>
      <c r="AH65" s="33">
        <f>'TR TUSD'!$AH$65*'TR TUSD'!$AH$83</f>
        <v>43.826574001541772</v>
      </c>
      <c r="AI65" s="33">
        <f>'TR TUSD'!$AI$65*'TR TUSD'!$AI$83</f>
        <v>9.7312687336913103E-2</v>
      </c>
      <c r="AJ65" s="33">
        <f ca="1">'TR TUSD'!$AJ$65*'TR TUSD'!$AJ$83</f>
        <v>0.78895297972128819</v>
      </c>
      <c r="AK65" s="33">
        <f ca="1">'TR TUSD'!$AK$65*'TR TUSD'!$AK$83</f>
        <v>4.7272389260089893</v>
      </c>
      <c r="AL65" s="33">
        <f ca="1">SUM($AH$65:$AK$65)</f>
        <v>49.440078594608956</v>
      </c>
      <c r="AM65" s="33">
        <f ca="1">SUMIF($L$4:$AL$4,"SUBTOTAL",$L$65:$AL$65)</f>
        <v>420.22084168166344</v>
      </c>
      <c r="AP65" s="33">
        <f>IF((1 - CUSTOS!$M$28)&lt;&gt;0,1/(1 - CUSTOS!$M$28),1)</f>
        <v>1</v>
      </c>
    </row>
    <row r="66" spans="1:42" ht="11.25" customHeight="1" x14ac:dyDescent="0.25">
      <c r="A66" s="116"/>
      <c r="B66" s="116"/>
      <c r="C66" s="116"/>
      <c r="D66" s="37" t="s">
        <v>132</v>
      </c>
      <c r="E66" s="37" t="s">
        <v>25</v>
      </c>
      <c r="F66" s="37" t="s">
        <v>25</v>
      </c>
      <c r="G66" s="36" t="s">
        <v>123</v>
      </c>
      <c r="H66" s="36" t="s">
        <v>117</v>
      </c>
      <c r="I66" s="36">
        <f>'MERCADO TUSD'!$U$63</f>
        <v>0</v>
      </c>
      <c r="J66" s="16"/>
      <c r="L66" s="33">
        <f>'TR TUSD'!$L$66*'TR TUSD'!$L$83</f>
        <v>6.2040073469118227</v>
      </c>
      <c r="M66" s="33">
        <f>'TR TUSD'!$M$66*'TR TUSD'!$M$83</f>
        <v>0.81258730681580105</v>
      </c>
      <c r="N66" s="33">
        <f ca="1">'TR TUSD'!$N$66*'TR TUSD'!$N$83</f>
        <v>3.6962067926064517</v>
      </c>
      <c r="O66" s="33">
        <f>'TR TUSD'!$O$66*'TR TUSD'!$O$83</f>
        <v>-5.032809553728302E-3</v>
      </c>
      <c r="P66" s="33">
        <f>'TR TUSD'!$P$66*'TR TUSD'!$P$83</f>
        <v>0</v>
      </c>
      <c r="Q66" s="33">
        <f>'TR TUSD'!$Q$66*'TR TUSD'!$Q$83</f>
        <v>93.427414695800351</v>
      </c>
      <c r="R66" s="33">
        <f>'TR TUSD'!$R$66*'TR TUSD'!$R$83</f>
        <v>14.902150200061627</v>
      </c>
      <c r="S66" s="33">
        <f>'TR TUSD'!$S$66*'TR TUSD'!$S$83</f>
        <v>0</v>
      </c>
      <c r="T66" s="33">
        <f ca="1">SUM($L$66:$S$66)</f>
        <v>119.03733353264232</v>
      </c>
      <c r="U66" s="33">
        <f>'TR TUSD'!$U$66*'TR TUSD'!$U$83</f>
        <v>11.374992013382213</v>
      </c>
      <c r="V66" s="33">
        <f>'TR TUSD'!$V$66*'TR TUSD'!$V$83</f>
        <v>0.16245741139010653</v>
      </c>
      <c r="W66" s="33">
        <f>'TR TUSD'!$W$66*'TR TUSD'!$W$83</f>
        <v>0</v>
      </c>
      <c r="X66" s="33">
        <f>'TR TUSD'!$X$66*'TR TUSD'!$X$83</f>
        <v>0</v>
      </c>
      <c r="Y66" s="33">
        <f>'TR TUSD'!$Y$66*'TR TUSD'!$Y$83</f>
        <v>43.174496583006324</v>
      </c>
      <c r="Z66" s="33">
        <f>'TR TUSD'!$Z$66</f>
        <v>0</v>
      </c>
      <c r="AA66" s="33">
        <f>'TR TUSD'!$AA$66</f>
        <v>0</v>
      </c>
      <c r="AB66" s="33">
        <f>SUM($U$66:$AA$66)</f>
        <v>54.711946007778643</v>
      </c>
      <c r="AC66" s="33">
        <f>'TR TUSD'!$AC$66*'TR TUSD'!$AC$83</f>
        <v>197.03148354663352</v>
      </c>
      <c r="AD66" s="33">
        <f>SUM($AC$66:$AC$66)</f>
        <v>197.03148354663352</v>
      </c>
      <c r="AE66" s="33">
        <v>0</v>
      </c>
      <c r="AF66" s="33">
        <v>0</v>
      </c>
      <c r="AG66" s="33">
        <f>SUM($AE$66:$AF$66)</f>
        <v>0</v>
      </c>
      <c r="AH66" s="33">
        <f>'TR TUSD'!$AH$66*'TR TUSD'!$AH$83</f>
        <v>43.826574001541772</v>
      </c>
      <c r="AI66" s="33">
        <f>'TR TUSD'!$AI$66*'TR TUSD'!$AI$83</f>
        <v>9.7312687336913103E-2</v>
      </c>
      <c r="AJ66" s="33">
        <f ca="1">'TR TUSD'!$AJ$66*'TR TUSD'!$AJ$83</f>
        <v>0.78895297972128819</v>
      </c>
      <c r="AK66" s="33">
        <f ca="1">'TR TUSD'!$AK$66*'TR TUSD'!$AK$83</f>
        <v>4.7272389260089893</v>
      </c>
      <c r="AL66" s="33">
        <f ca="1">SUM($AH$66:$AK$66)</f>
        <v>49.440078594608956</v>
      </c>
      <c r="AM66" s="33">
        <f ca="1">SUMIF($L$4:$AL$4,"SUBTOTAL",$L$66:$AL$66)</f>
        <v>420.22084168166344</v>
      </c>
      <c r="AP66" s="33">
        <f>IF((1 - CUSTOS!$M$29)&lt;&gt;0,1/(1 - CUSTOS!$M$29),1)</f>
        <v>1</v>
      </c>
    </row>
    <row r="67" spans="1:42" ht="11.25" customHeight="1" x14ac:dyDescent="0.25">
      <c r="A67" s="116"/>
      <c r="B67" s="116"/>
      <c r="C67" s="116"/>
      <c r="D67" s="37" t="s">
        <v>133</v>
      </c>
      <c r="E67" s="37" t="s">
        <v>25</v>
      </c>
      <c r="F67" s="37" t="s">
        <v>25</v>
      </c>
      <c r="G67" s="36" t="s">
        <v>123</v>
      </c>
      <c r="H67" s="36" t="s">
        <v>117</v>
      </c>
      <c r="I67" s="36">
        <f>'MERCADO TUSD'!$U$64</f>
        <v>0</v>
      </c>
      <c r="J67" s="16"/>
      <c r="L67" s="33">
        <f>'TR TUSD'!$L$67*'TR TUSD'!$L$83</f>
        <v>6.2040073469118227</v>
      </c>
      <c r="M67" s="33">
        <f>'TR TUSD'!$M$67*'TR TUSD'!$M$83</f>
        <v>0.81258730681580105</v>
      </c>
      <c r="N67" s="33">
        <f ca="1">'TR TUSD'!$N$67*'TR TUSD'!$N$83</f>
        <v>3.6962067926064517</v>
      </c>
      <c r="O67" s="33">
        <f>'TR TUSD'!$O$67*'TR TUSD'!$O$83</f>
        <v>-5.032809553728302E-3</v>
      </c>
      <c r="P67" s="33">
        <f>'TR TUSD'!$P$67*'TR TUSD'!$P$83</f>
        <v>0</v>
      </c>
      <c r="Q67" s="33">
        <f>'TR TUSD'!$Q$67*'TR TUSD'!$Q$83</f>
        <v>93.427414695800351</v>
      </c>
      <c r="R67" s="33">
        <f>'TR TUSD'!$R$67*'TR TUSD'!$R$83</f>
        <v>14.902150200061627</v>
      </c>
      <c r="S67" s="33">
        <f>'TR TUSD'!$S$67*'TR TUSD'!$S$83</f>
        <v>0</v>
      </c>
      <c r="T67" s="33">
        <f ca="1">SUM($L$67:$S$67)</f>
        <v>119.03733353264232</v>
      </c>
      <c r="U67" s="33">
        <f>'TR TUSD'!$U$67*'TR TUSD'!$U$83</f>
        <v>11.374992013382213</v>
      </c>
      <c r="V67" s="33">
        <f>'TR TUSD'!$V$67*'TR TUSD'!$V$83</f>
        <v>0.16245741139010653</v>
      </c>
      <c r="W67" s="33">
        <f>'TR TUSD'!$W$67*'TR TUSD'!$W$83</f>
        <v>0</v>
      </c>
      <c r="X67" s="33">
        <f>'TR TUSD'!$X$67*'TR TUSD'!$X$83</f>
        <v>0</v>
      </c>
      <c r="Y67" s="33">
        <f>'TR TUSD'!$Y$67*'TR TUSD'!$Y$83</f>
        <v>43.174496583006324</v>
      </c>
      <c r="Z67" s="33">
        <f>'TR TUSD'!$Z$67</f>
        <v>0</v>
      </c>
      <c r="AA67" s="33">
        <f>'TR TUSD'!$AA$67</f>
        <v>0</v>
      </c>
      <c r="AB67" s="33">
        <f>SUM($U$67:$AA$67)</f>
        <v>54.711946007778643</v>
      </c>
      <c r="AC67" s="33">
        <f>'TR TUSD'!$AC$67*'TR TUSD'!$AC$83</f>
        <v>197.03148354663352</v>
      </c>
      <c r="AD67" s="33">
        <f>SUM($AC$67:$AC$67)</f>
        <v>197.03148354663352</v>
      </c>
      <c r="AE67" s="33">
        <v>0</v>
      </c>
      <c r="AF67" s="33">
        <v>0</v>
      </c>
      <c r="AG67" s="33">
        <f>SUM($AE$67:$AF$67)</f>
        <v>0</v>
      </c>
      <c r="AH67" s="33">
        <f>'TR TUSD'!$AH$67*'TR TUSD'!$AH$83</f>
        <v>43.826574001541772</v>
      </c>
      <c r="AI67" s="33">
        <f>'TR TUSD'!$AI$67*'TR TUSD'!$AI$83</f>
        <v>9.7312687336913103E-2</v>
      </c>
      <c r="AJ67" s="33">
        <f ca="1">'TR TUSD'!$AJ$67*'TR TUSD'!$AJ$83</f>
        <v>0.78895297972128819</v>
      </c>
      <c r="AK67" s="33">
        <f ca="1">'TR TUSD'!$AK$67*'TR TUSD'!$AK$83</f>
        <v>4.7272389260089893</v>
      </c>
      <c r="AL67" s="33">
        <f ca="1">SUM($AH$67:$AK$67)</f>
        <v>49.440078594608956</v>
      </c>
      <c r="AM67" s="33">
        <f ca="1">SUMIF($L$4:$AL$4,"SUBTOTAL",$L$67:$AL$67)</f>
        <v>420.22084168166344</v>
      </c>
      <c r="AP67" s="33">
        <f>IF((1 - CUSTOS!$M$30)&lt;&gt;0,1/(1 - CUSTOS!$M$30),1)</f>
        <v>1</v>
      </c>
    </row>
    <row r="68" spans="1:42" ht="11.25" customHeight="1" x14ac:dyDescent="0.25">
      <c r="A68" s="116" t="s">
        <v>37</v>
      </c>
      <c r="B68" s="116" t="s">
        <v>33</v>
      </c>
      <c r="C68" s="116" t="s">
        <v>25</v>
      </c>
      <c r="D68" s="116" t="s">
        <v>25</v>
      </c>
      <c r="E68" s="116" t="s">
        <v>25</v>
      </c>
      <c r="F68" s="116" t="s">
        <v>25</v>
      </c>
      <c r="G68" s="36" t="s">
        <v>118</v>
      </c>
      <c r="H68" s="36" t="s">
        <v>117</v>
      </c>
      <c r="I68" s="36">
        <f>'MERCADO TUSD'!$U$65</f>
        <v>31.868999999999996</v>
      </c>
      <c r="J68" s="16"/>
      <c r="L68" s="33">
        <f>'TR TUSD'!$L$68*'TR TUSD'!$L$83</f>
        <v>6.2040073469118227</v>
      </c>
      <c r="M68" s="33">
        <f>'TR TUSD'!$M$68*'TR TUSD'!$M$83</f>
        <v>0.81258730681580105</v>
      </c>
      <c r="N68" s="33">
        <f ca="1">'TR TUSD'!$N$68*'TR TUSD'!$N$83</f>
        <v>10.118518723878347</v>
      </c>
      <c r="O68" s="33">
        <f>'TR TUSD'!$O$68*'TR TUSD'!$O$83</f>
        <v>-5.032809553728302E-3</v>
      </c>
      <c r="P68" s="33">
        <f>'TR TUSD'!$P$68*'TR TUSD'!$P$83</f>
        <v>0</v>
      </c>
      <c r="Q68" s="33">
        <f>'TR TUSD'!$Q$68*'TR TUSD'!$Q$83</f>
        <v>93.427414695800351</v>
      </c>
      <c r="R68" s="33">
        <f>'TR TUSD'!$R$68*'TR TUSD'!$R$83</f>
        <v>14.902150200061627</v>
      </c>
      <c r="S68" s="33">
        <f>'TR TUSD'!$S$68*'TR TUSD'!$S$83</f>
        <v>0</v>
      </c>
      <c r="T68" s="33">
        <f ca="1">SUM($L$68:$S$68)</f>
        <v>125.45964546391421</v>
      </c>
      <c r="U68" s="33">
        <f>'TR TUSD'!$U$68*'TR TUSD'!$U$83</f>
        <v>38.674849147619142</v>
      </c>
      <c r="V68" s="33">
        <f>'TR TUSD'!$V$68*'TR TUSD'!$V$83</f>
        <v>0.55236296344909563</v>
      </c>
      <c r="W68" s="33">
        <f>'TR TUSD'!$W$68*'TR TUSD'!$W$83</f>
        <v>0</v>
      </c>
      <c r="X68" s="33">
        <f>'TR TUSD'!$X$68*'TR TUSD'!$X$83</f>
        <v>0</v>
      </c>
      <c r="Y68" s="33">
        <f>'TR TUSD'!$Y$68*'TR TUSD'!$Y$83</f>
        <v>146.7933341004821</v>
      </c>
      <c r="Z68" s="33">
        <f>'TR TUSD'!$Z$68</f>
        <v>0</v>
      </c>
      <c r="AA68" s="33">
        <f>'TR TUSD'!$AA$68</f>
        <v>0</v>
      </c>
      <c r="AB68" s="33">
        <f>SUM($U$68:$AA$68)</f>
        <v>186.02054621155034</v>
      </c>
      <c r="AC68" s="33">
        <f>'TR TUSD'!$AC$68*'TR TUSD'!$AC$83</f>
        <v>669.90704405855399</v>
      </c>
      <c r="AD68" s="33">
        <f>SUM($AC$68:$AC$68)</f>
        <v>669.90704405855399</v>
      </c>
      <c r="AE68" s="33">
        <v>0</v>
      </c>
      <c r="AF68" s="33">
        <v>0</v>
      </c>
      <c r="AG68" s="33">
        <f>SUM($AE$68:$AF$68)</f>
        <v>0</v>
      </c>
      <c r="AH68" s="33">
        <f>'TR TUSD'!$AH$68*'TR TUSD'!$AH$83</f>
        <v>43.826574001541772</v>
      </c>
      <c r="AI68" s="33">
        <f>'TR TUSD'!$AI$68*'TR TUSD'!$AI$83</f>
        <v>9.7312687336913103E-2</v>
      </c>
      <c r="AJ68" s="33">
        <f ca="1">'TR TUSD'!$AJ$68*'TR TUSD'!$AJ$83</f>
        <v>0.78895297972128819</v>
      </c>
      <c r="AK68" s="33">
        <f ca="1">'TR TUSD'!$AK$68*'TR TUSD'!$AK$83</f>
        <v>4.7272389260089893</v>
      </c>
      <c r="AL68" s="33">
        <f ca="1">SUM($AH$68:$AK$68)</f>
        <v>49.440078594608956</v>
      </c>
      <c r="AM68" s="33">
        <f ca="1">SUMIF($L$4:$AL$4,"SUBTOTAL",$L$68:$AL$68)</f>
        <v>1030.8273143286274</v>
      </c>
      <c r="AP68" s="33">
        <f>IF((1 - CUSTOS!$M$31)&lt;&gt;0,1/(1 - CUSTOS!$M$31),1)</f>
        <v>1</v>
      </c>
    </row>
    <row r="69" spans="1:42" ht="11.25" customHeight="1" x14ac:dyDescent="0.25">
      <c r="A69" s="116"/>
      <c r="B69" s="116"/>
      <c r="C69" s="116"/>
      <c r="D69" s="116"/>
      <c r="E69" s="116"/>
      <c r="F69" s="116"/>
      <c r="G69" s="36" t="s">
        <v>128</v>
      </c>
      <c r="H69" s="36" t="s">
        <v>117</v>
      </c>
      <c r="I69" s="36">
        <f>'MERCADO TUSD'!$U$66</f>
        <v>31.273999999999997</v>
      </c>
      <c r="J69" s="16"/>
      <c r="L69" s="33">
        <f>'TR TUSD'!$L$69*'TR TUSD'!$L$83</f>
        <v>6.2040073469118227</v>
      </c>
      <c r="M69" s="33">
        <f>'TR TUSD'!$M$69*'TR TUSD'!$M$83</f>
        <v>0.81258730681580105</v>
      </c>
      <c r="N69" s="33">
        <f ca="1">'TR TUSD'!$N$69*'TR TUSD'!$N$83</f>
        <v>6.4792085906290753</v>
      </c>
      <c r="O69" s="33">
        <f>'TR TUSD'!$O$69*'TR TUSD'!$O$83</f>
        <v>-5.032809553728302E-3</v>
      </c>
      <c r="P69" s="33">
        <f>'TR TUSD'!$P$69*'TR TUSD'!$P$83</f>
        <v>0</v>
      </c>
      <c r="Q69" s="33">
        <f>'TR TUSD'!$Q$69*'TR TUSD'!$Q$83</f>
        <v>93.427414695800351</v>
      </c>
      <c r="R69" s="33">
        <f>'TR TUSD'!$R$69*'TR TUSD'!$R$83</f>
        <v>14.902150200061627</v>
      </c>
      <c r="S69" s="33">
        <f>'TR TUSD'!$S$69*'TR TUSD'!$S$83</f>
        <v>0</v>
      </c>
      <c r="T69" s="33">
        <f ca="1">SUM($L$69:$S$69)</f>
        <v>121.82033533066495</v>
      </c>
      <c r="U69" s="33">
        <f>'TR TUSD'!$U$69*'TR TUSD'!$U$83</f>
        <v>23.204927159697256</v>
      </c>
      <c r="V69" s="33">
        <f>'TR TUSD'!$V$69*'TR TUSD'!$V$83</f>
        <v>0.33141777806945738</v>
      </c>
      <c r="W69" s="33">
        <f>'TR TUSD'!$W$69*'TR TUSD'!$W$83</f>
        <v>0</v>
      </c>
      <c r="X69" s="33">
        <f>'TR TUSD'!$X$69*'TR TUSD'!$X$83</f>
        <v>0</v>
      </c>
      <c r="Y69" s="33">
        <f>'TR TUSD'!$Y$69*'TR TUSD'!$Y$83</f>
        <v>88.076000460289251</v>
      </c>
      <c r="Z69" s="33">
        <f>'TR TUSD'!$Z$69</f>
        <v>0</v>
      </c>
      <c r="AA69" s="33">
        <f>'TR TUSD'!$AA$69</f>
        <v>0</v>
      </c>
      <c r="AB69" s="33">
        <f>SUM($U$69:$AA$69)</f>
        <v>111.61234539805596</v>
      </c>
      <c r="AC69" s="33">
        <f>'TR TUSD'!$AC$69*'TR TUSD'!$AC$83</f>
        <v>401.94420419750617</v>
      </c>
      <c r="AD69" s="33">
        <f>SUM($AC$69:$AC$69)</f>
        <v>401.94420419750617</v>
      </c>
      <c r="AE69" s="33">
        <v>0</v>
      </c>
      <c r="AF69" s="33">
        <v>0</v>
      </c>
      <c r="AG69" s="33">
        <f>SUM($AE$69:$AF$69)</f>
        <v>0</v>
      </c>
      <c r="AH69" s="33">
        <f>'TR TUSD'!$AH$69*'TR TUSD'!$AH$83</f>
        <v>43.826574001541772</v>
      </c>
      <c r="AI69" s="33">
        <f>'TR TUSD'!$AI$69*'TR TUSD'!$AI$83</f>
        <v>9.7312687336913103E-2</v>
      </c>
      <c r="AJ69" s="33">
        <f ca="1">'TR TUSD'!$AJ$69*'TR TUSD'!$AJ$83</f>
        <v>0.78895297972128819</v>
      </c>
      <c r="AK69" s="33">
        <f ca="1">'TR TUSD'!$AK$69*'TR TUSD'!$AK$83</f>
        <v>4.7272389260089893</v>
      </c>
      <c r="AL69" s="33">
        <f ca="1">SUM($AH$69:$AK$69)</f>
        <v>49.440078594608956</v>
      </c>
      <c r="AM69" s="33">
        <f ca="1">SUMIF($L$4:$AL$4,"SUBTOTAL",$L$69:$AL$69)</f>
        <v>684.81696352083611</v>
      </c>
      <c r="AP69" s="33">
        <f>IF((1 - CUSTOS!$M$31)&lt;&gt;0,1/(1 - CUSTOS!$M$31),1)</f>
        <v>1</v>
      </c>
    </row>
    <row r="70" spans="1:42" ht="11.25" customHeight="1" x14ac:dyDescent="0.25">
      <c r="A70" s="116"/>
      <c r="B70" s="116"/>
      <c r="C70" s="116"/>
      <c r="D70" s="116"/>
      <c r="E70" s="116"/>
      <c r="F70" s="116"/>
      <c r="G70" s="36" t="s">
        <v>119</v>
      </c>
      <c r="H70" s="36" t="s">
        <v>117</v>
      </c>
      <c r="I70" s="36">
        <f>'MERCADO TUSD'!$U$67</f>
        <v>381.83600000000001</v>
      </c>
      <c r="J70" s="16"/>
      <c r="L70" s="33">
        <f>'TR TUSD'!$L$70*'TR TUSD'!$L$83</f>
        <v>6.2040073469118227</v>
      </c>
      <c r="M70" s="33">
        <f>'TR TUSD'!$M$70*'TR TUSD'!$M$83</f>
        <v>0.81258730681580105</v>
      </c>
      <c r="N70" s="33">
        <f ca="1">'TR TUSD'!$N$70*'TR TUSD'!$N$83</f>
        <v>2.8398984573798058</v>
      </c>
      <c r="O70" s="33">
        <f>'TR TUSD'!$O$70*'TR TUSD'!$O$83</f>
        <v>-5.032809553728302E-3</v>
      </c>
      <c r="P70" s="33">
        <f>'TR TUSD'!$P$70*'TR TUSD'!$P$83</f>
        <v>0</v>
      </c>
      <c r="Q70" s="33">
        <f>'TR TUSD'!$Q$70*'TR TUSD'!$Q$83</f>
        <v>93.427414695800351</v>
      </c>
      <c r="R70" s="33">
        <f>'TR TUSD'!$R$70*'TR TUSD'!$R$83</f>
        <v>14.902150200061627</v>
      </c>
      <c r="S70" s="33">
        <f>'TR TUSD'!$S$70*'TR TUSD'!$S$83</f>
        <v>0</v>
      </c>
      <c r="T70" s="33">
        <f ca="1">SUM($L$70:$S$70)</f>
        <v>118.18102519741568</v>
      </c>
      <c r="U70" s="33">
        <f>'TR TUSD'!$U$70*'TR TUSD'!$U$83</f>
        <v>7.7350051717753674</v>
      </c>
      <c r="V70" s="33">
        <f>'TR TUSD'!$V$70*'TR TUSD'!$V$83</f>
        <v>0.11047259268981914</v>
      </c>
      <c r="W70" s="33">
        <f>'TR TUSD'!$W$70*'TR TUSD'!$W$83</f>
        <v>0</v>
      </c>
      <c r="X70" s="33">
        <f>'TR TUSD'!$X$70*'TR TUSD'!$X$83</f>
        <v>0</v>
      </c>
      <c r="Y70" s="33">
        <f>'TR TUSD'!$Y$70*'TR TUSD'!$Y$83</f>
        <v>29.358666820096417</v>
      </c>
      <c r="Z70" s="33">
        <f>'TR TUSD'!$Z$70</f>
        <v>0</v>
      </c>
      <c r="AA70" s="33">
        <f>'TR TUSD'!$AA$70</f>
        <v>0</v>
      </c>
      <c r="AB70" s="33">
        <f>SUM($U$70:$AA$70)</f>
        <v>37.204144584561604</v>
      </c>
      <c r="AC70" s="33">
        <f>'TR TUSD'!$AC$70*'TR TUSD'!$AC$83</f>
        <v>133.98136433645837</v>
      </c>
      <c r="AD70" s="33">
        <f>SUM($AC$70:$AC$70)</f>
        <v>133.98136433645837</v>
      </c>
      <c r="AE70" s="33">
        <v>0</v>
      </c>
      <c r="AF70" s="33">
        <v>0</v>
      </c>
      <c r="AG70" s="33">
        <f>SUM($AE$70:$AF$70)</f>
        <v>0</v>
      </c>
      <c r="AH70" s="33">
        <f>'TR TUSD'!$AH$70*'TR TUSD'!$AH$83</f>
        <v>43.826574001541772</v>
      </c>
      <c r="AI70" s="33">
        <f>'TR TUSD'!$AI$70*'TR TUSD'!$AI$83</f>
        <v>9.7312687336913103E-2</v>
      </c>
      <c r="AJ70" s="33">
        <f ca="1">'TR TUSD'!$AJ$70*'TR TUSD'!$AJ$83</f>
        <v>0.78895297972128819</v>
      </c>
      <c r="AK70" s="33">
        <f ca="1">'TR TUSD'!$AK$70*'TR TUSD'!$AK$83</f>
        <v>4.7272389260089893</v>
      </c>
      <c r="AL70" s="33">
        <f ca="1">SUM($AH$70:$AK$70)</f>
        <v>49.440078594608956</v>
      </c>
      <c r="AM70" s="33">
        <f ca="1">SUMIF($L$4:$AL$4,"SUBTOTAL",$L$70:$AL$70)</f>
        <v>338.80661271304461</v>
      </c>
      <c r="AP70" s="33">
        <f>IF((1 - CUSTOS!$M$31)&lt;&gt;0,1/(1 - CUSTOS!$M$31),1)</f>
        <v>1</v>
      </c>
    </row>
    <row r="71" spans="1:42" ht="11.25" customHeight="1" x14ac:dyDescent="0.25">
      <c r="A71" s="116"/>
      <c r="B71" s="37" t="s">
        <v>23</v>
      </c>
      <c r="C71" s="37" t="s">
        <v>25</v>
      </c>
      <c r="D71" s="37" t="s">
        <v>25</v>
      </c>
      <c r="E71" s="37" t="s">
        <v>25</v>
      </c>
      <c r="F71" s="37" t="s">
        <v>25</v>
      </c>
      <c r="G71" s="36" t="s">
        <v>123</v>
      </c>
      <c r="H71" s="36" t="s">
        <v>117</v>
      </c>
      <c r="I71" s="36">
        <f>'MERCADO TUSD'!$U$68</f>
        <v>226492.11000000002</v>
      </c>
      <c r="J71" s="16"/>
      <c r="L71" s="33">
        <f>'TR TUSD'!$L$71*'TR TUSD'!$L$83</f>
        <v>6.2040073469118227</v>
      </c>
      <c r="M71" s="33">
        <f>'TR TUSD'!$M$71*'TR TUSD'!$M$83</f>
        <v>0.81258730681580105</v>
      </c>
      <c r="N71" s="33">
        <f ca="1">'TR TUSD'!$N$71*'TR TUSD'!$N$83</f>
        <v>3.6962067926064517</v>
      </c>
      <c r="O71" s="33">
        <f>'TR TUSD'!$O$71*'TR TUSD'!$O$83</f>
        <v>-5.032809553728302E-3</v>
      </c>
      <c r="P71" s="33">
        <f>'TR TUSD'!$P$71*'TR TUSD'!$P$83</f>
        <v>0</v>
      </c>
      <c r="Q71" s="33">
        <f>'TR TUSD'!$Q$71*'TR TUSD'!$Q$83</f>
        <v>93.427414695800351</v>
      </c>
      <c r="R71" s="33">
        <f>'TR TUSD'!$R$71*'TR TUSD'!$R$83</f>
        <v>14.902150200061627</v>
      </c>
      <c r="S71" s="33">
        <f>'TR TUSD'!$S$71*'TR TUSD'!$S$83</f>
        <v>0</v>
      </c>
      <c r="T71" s="33">
        <f ca="1">SUM($L$71:$S$71)</f>
        <v>119.03733353264232</v>
      </c>
      <c r="U71" s="33">
        <f>'TR TUSD'!$U$71*'TR TUSD'!$U$83</f>
        <v>11.374992013382213</v>
      </c>
      <c r="V71" s="33">
        <f>'TR TUSD'!$V$71*'TR TUSD'!$V$83</f>
        <v>0.16245741139010653</v>
      </c>
      <c r="W71" s="33">
        <f>'TR TUSD'!$W$71*'TR TUSD'!$W$83</f>
        <v>0</v>
      </c>
      <c r="X71" s="33">
        <f>'TR TUSD'!$X$71*'TR TUSD'!$X$83</f>
        <v>0</v>
      </c>
      <c r="Y71" s="33">
        <f>'TR TUSD'!$Y$71*'TR TUSD'!$Y$83</f>
        <v>43.174496583006324</v>
      </c>
      <c r="Z71" s="33">
        <f>'TR TUSD'!$Z$71</f>
        <v>0</v>
      </c>
      <c r="AA71" s="33">
        <f>'TR TUSD'!$AA$71</f>
        <v>0</v>
      </c>
      <c r="AB71" s="33">
        <f>SUM($U$71:$AA$71)</f>
        <v>54.711946007778643</v>
      </c>
      <c r="AC71" s="33">
        <f>'TR TUSD'!$AC$71*'TR TUSD'!$AC$83</f>
        <v>197.03148354663352</v>
      </c>
      <c r="AD71" s="33">
        <f>SUM($AC$71:$AC$71)</f>
        <v>197.03148354663352</v>
      </c>
      <c r="AE71" s="33">
        <v>0</v>
      </c>
      <c r="AF71" s="33">
        <v>0</v>
      </c>
      <c r="AG71" s="33">
        <f>SUM($AE$71:$AF$71)</f>
        <v>0</v>
      </c>
      <c r="AH71" s="33">
        <f>'TR TUSD'!$AH$71*'TR TUSD'!$AH$83</f>
        <v>43.826574001541772</v>
      </c>
      <c r="AI71" s="33">
        <f>'TR TUSD'!$AI$71*'TR TUSD'!$AI$83</f>
        <v>9.7312687336913103E-2</v>
      </c>
      <c r="AJ71" s="33">
        <f ca="1">'TR TUSD'!$AJ$71*'TR TUSD'!$AJ$83</f>
        <v>0.78895297972128819</v>
      </c>
      <c r="AK71" s="33">
        <f ca="1">'TR TUSD'!$AK$71*'TR TUSD'!$AK$83</f>
        <v>4.7272389260089893</v>
      </c>
      <c r="AL71" s="33">
        <f ca="1">SUM($AH$71:$AK$71)</f>
        <v>49.440078594608956</v>
      </c>
      <c r="AM71" s="33">
        <f ca="1">SUMIF($L$4:$AL$4,"SUBTOTAL",$L$71:$AL$71)</f>
        <v>420.22084168166344</v>
      </c>
      <c r="AP71" s="33">
        <f>IF((1 - CUSTOS!$M$31)&lt;&gt;0,1/(1 - CUSTOS!$M$31),1)</f>
        <v>1</v>
      </c>
    </row>
    <row r="72" spans="1:42" ht="11.25" customHeight="1" x14ac:dyDescent="0.25">
      <c r="A72" s="116"/>
      <c r="B72" s="37" t="s">
        <v>131</v>
      </c>
      <c r="C72" s="37" t="s">
        <v>25</v>
      </c>
      <c r="D72" s="37" t="s">
        <v>25</v>
      </c>
      <c r="E72" s="37" t="s">
        <v>25</v>
      </c>
      <c r="F72" s="37" t="s">
        <v>25</v>
      </c>
      <c r="G72" s="36" t="s">
        <v>123</v>
      </c>
      <c r="H72" s="36" t="s">
        <v>117</v>
      </c>
      <c r="I72" s="36">
        <f>'MERCADO TUSD'!$U$69</f>
        <v>0</v>
      </c>
      <c r="J72" s="16"/>
      <c r="L72" s="33">
        <f>'TR TUSD'!$L$72*'TR TUSD'!$L$83</f>
        <v>6.2040073469118227</v>
      </c>
      <c r="M72" s="33">
        <f>'TR TUSD'!$M$72*'TR TUSD'!$M$83</f>
        <v>0.81258730681580105</v>
      </c>
      <c r="N72" s="33">
        <f ca="1">'TR TUSD'!$N$72*'TR TUSD'!$N$83</f>
        <v>3.6962067926064517</v>
      </c>
      <c r="O72" s="33">
        <f>'TR TUSD'!$O$72*'TR TUSD'!$O$83</f>
        <v>-5.032809553728302E-3</v>
      </c>
      <c r="P72" s="33">
        <f>'TR TUSD'!$P$72*'TR TUSD'!$P$83</f>
        <v>0</v>
      </c>
      <c r="Q72" s="33">
        <f>'TR TUSD'!$Q$72*'TR TUSD'!$Q$83</f>
        <v>93.427414695800351</v>
      </c>
      <c r="R72" s="33">
        <f>'TR TUSD'!$R$72*'TR TUSD'!$R$83</f>
        <v>14.902150200061627</v>
      </c>
      <c r="S72" s="33">
        <f>'TR TUSD'!$S$72*'TR TUSD'!$S$83</f>
        <v>0</v>
      </c>
      <c r="T72" s="33">
        <f ca="1">SUM($L$72:$S$72)</f>
        <v>119.03733353264232</v>
      </c>
      <c r="U72" s="33">
        <f>'TR TUSD'!$U$72*'TR TUSD'!$U$83</f>
        <v>11.374992013382213</v>
      </c>
      <c r="V72" s="33">
        <f>'TR TUSD'!$V$72*'TR TUSD'!$V$83</f>
        <v>0.16245741139010653</v>
      </c>
      <c r="W72" s="33">
        <f>'TR TUSD'!$W$72*'TR TUSD'!$W$83</f>
        <v>0</v>
      </c>
      <c r="X72" s="33">
        <f>'TR TUSD'!$X$72*'TR TUSD'!$X$83</f>
        <v>0</v>
      </c>
      <c r="Y72" s="33">
        <f>'TR TUSD'!$Y$72*'TR TUSD'!$Y$83</f>
        <v>43.174496583006324</v>
      </c>
      <c r="Z72" s="33">
        <f>'TR TUSD'!$Z$72</f>
        <v>0</v>
      </c>
      <c r="AA72" s="33">
        <f>'TR TUSD'!$AA$72</f>
        <v>0</v>
      </c>
      <c r="AB72" s="33">
        <f>SUM($U$72:$AA$72)</f>
        <v>54.711946007778643</v>
      </c>
      <c r="AC72" s="33">
        <f>'TR TUSD'!$AC$72*'TR TUSD'!$AC$83</f>
        <v>197.03148354663352</v>
      </c>
      <c r="AD72" s="33">
        <f>SUM($AC$72:$AC$72)</f>
        <v>197.03148354663352</v>
      </c>
      <c r="AE72" s="33">
        <v>0</v>
      </c>
      <c r="AF72" s="33">
        <v>0</v>
      </c>
      <c r="AG72" s="33">
        <f>SUM($AE$72:$AF$72)</f>
        <v>0</v>
      </c>
      <c r="AH72" s="33">
        <f>'TR TUSD'!$AH$72*'TR TUSD'!$AH$83</f>
        <v>43.826574001541772</v>
      </c>
      <c r="AI72" s="33">
        <f>'TR TUSD'!$AI$72*'TR TUSD'!$AI$83</f>
        <v>9.7312687336913103E-2</v>
      </c>
      <c r="AJ72" s="33">
        <f ca="1">'TR TUSD'!$AJ$72*'TR TUSD'!$AJ$83</f>
        <v>0.78895297972128819</v>
      </c>
      <c r="AK72" s="33">
        <f ca="1">'TR TUSD'!$AK$72*'TR TUSD'!$AK$83</f>
        <v>4.7272389260089893</v>
      </c>
      <c r="AL72" s="33">
        <f ca="1">SUM($AH$72:$AK$72)</f>
        <v>49.440078594608956</v>
      </c>
      <c r="AM72" s="33">
        <f ca="1">SUMIF($L$4:$AL$4,"SUBTOTAL",$L$72:$AL$72)</f>
        <v>420.22084168166344</v>
      </c>
      <c r="AP72" s="33">
        <f>IF((1 - CUSTOS!$M$31)&lt;&gt;0,1/(1 - CUSTOS!$M$31),1)</f>
        <v>1</v>
      </c>
    </row>
    <row r="73" spans="1:42" ht="11.25" customHeight="1" x14ac:dyDescent="0.25">
      <c r="A73" s="116" t="s">
        <v>47</v>
      </c>
      <c r="B73" s="116" t="s">
        <v>23</v>
      </c>
      <c r="C73" s="116" t="s">
        <v>48</v>
      </c>
      <c r="D73" s="37" t="s">
        <v>49</v>
      </c>
      <c r="E73" s="37" t="s">
        <v>25</v>
      </c>
      <c r="F73" s="37" t="s">
        <v>25</v>
      </c>
      <c r="G73" s="36" t="s">
        <v>123</v>
      </c>
      <c r="H73" s="36" t="s">
        <v>117</v>
      </c>
      <c r="I73" s="36">
        <f>'MERCADO TUSD'!$U$70</f>
        <v>81306.822999999989</v>
      </c>
      <c r="J73" s="16"/>
      <c r="L73" s="33">
        <f>'TR TUSD'!$L$73*'TR TUSD'!$L$83</f>
        <v>3.4122040408015026</v>
      </c>
      <c r="M73" s="33">
        <f>'TR TUSD'!$M$73*'TR TUSD'!$M$83</f>
        <v>0.44692301874869061</v>
      </c>
      <c r="N73" s="33">
        <f ca="1">'TR TUSD'!$N$73*'TR TUSD'!$N$83</f>
        <v>2.0329137359335485</v>
      </c>
      <c r="O73" s="33">
        <f>'TR TUSD'!$O$73*'TR TUSD'!$O$83</f>
        <v>-2.7680452545505662E-3</v>
      </c>
      <c r="P73" s="33">
        <f>'TR TUSD'!$P$73*'TR TUSD'!$P$83</f>
        <v>0</v>
      </c>
      <c r="Q73" s="33">
        <f>'TR TUSD'!$Q$73*'TR TUSD'!$Q$83</f>
        <v>51.3850780826902</v>
      </c>
      <c r="R73" s="33">
        <f>'TR TUSD'!$R$73*'TR TUSD'!$R$83</f>
        <v>8.1961826100338957</v>
      </c>
      <c r="S73" s="33">
        <f>'TR TUSD'!$S$73*'TR TUSD'!$S$83</f>
        <v>0</v>
      </c>
      <c r="T73" s="33">
        <f ca="1">SUM($L$73:$S$73)</f>
        <v>65.470533442953283</v>
      </c>
      <c r="U73" s="33">
        <f>'TR TUSD'!$U$73*'TR TUSD'!$U$83</f>
        <v>6.256245607360218</v>
      </c>
      <c r="V73" s="33">
        <f>'TR TUSD'!$V$73*'TR TUSD'!$V$83</f>
        <v>8.9351576264558599E-2</v>
      </c>
      <c r="W73" s="33">
        <f>'TR TUSD'!$W$73*'TR TUSD'!$W$83</f>
        <v>0</v>
      </c>
      <c r="X73" s="33">
        <f>'TR TUSD'!$X$73*'TR TUSD'!$X$83</f>
        <v>0</v>
      </c>
      <c r="Y73" s="33">
        <f>'TR TUSD'!$Y$73*'TR TUSD'!$Y$83</f>
        <v>23.745973120653481</v>
      </c>
      <c r="Z73" s="33">
        <f>'TR TUSD'!$Z$73</f>
        <v>0</v>
      </c>
      <c r="AA73" s="33">
        <f>'TR TUSD'!$AA$73</f>
        <v>0</v>
      </c>
      <c r="AB73" s="33">
        <f>SUM($U$73:$AA$73)</f>
        <v>30.091570304278257</v>
      </c>
      <c r="AC73" s="33">
        <f>'TR TUSD'!$AC$73*'TR TUSD'!$AC$83</f>
        <v>108.36731595064843</v>
      </c>
      <c r="AD73" s="33">
        <f>SUM($AC$73:$AC$73)</f>
        <v>108.36731595064843</v>
      </c>
      <c r="AE73" s="33">
        <v>0</v>
      </c>
      <c r="AF73" s="33">
        <v>0</v>
      </c>
      <c r="AG73" s="33">
        <f>SUM($AE$73:$AF$73)</f>
        <v>0</v>
      </c>
      <c r="AH73" s="33">
        <f>'TR TUSD'!$AH$73*'TR TUSD'!$AH$83</f>
        <v>24.104615700847976</v>
      </c>
      <c r="AI73" s="33">
        <f>'TR TUSD'!$AI$73*'TR TUSD'!$AI$83</f>
        <v>5.352197803530221E-2</v>
      </c>
      <c r="AJ73" s="33">
        <f ca="1">'TR TUSD'!$AJ$73*'TR TUSD'!$AJ$83</f>
        <v>0.43392413884670855</v>
      </c>
      <c r="AK73" s="33">
        <f ca="1">'TR TUSD'!$AK$73*'TR TUSD'!$AK$83</f>
        <v>2.5999814093049447</v>
      </c>
      <c r="AL73" s="33">
        <f ca="1">SUM($AH$73:$AK$73)</f>
        <v>27.192043227034933</v>
      </c>
      <c r="AM73" s="33">
        <f ca="1">SUMIF($L$4:$AL$4,"SUBTOTAL",$L$73:$AL$73)</f>
        <v>231.12146292491488</v>
      </c>
      <c r="AP73" s="33">
        <f>IF((1 - CUSTOS!$M$32)&lt;&gt;0,1/(1 - CUSTOS!$M$32),1)</f>
        <v>1.8181818181818181</v>
      </c>
    </row>
    <row r="74" spans="1:42" ht="11.25" customHeight="1" x14ac:dyDescent="0.25">
      <c r="A74" s="116"/>
      <c r="B74" s="116"/>
      <c r="C74" s="116"/>
      <c r="D74" s="36" t="s">
        <v>50</v>
      </c>
      <c r="E74" s="36" t="s">
        <v>25</v>
      </c>
      <c r="F74" s="36" t="s">
        <v>25</v>
      </c>
      <c r="G74" s="36" t="s">
        <v>123</v>
      </c>
      <c r="H74" s="36" t="s">
        <v>117</v>
      </c>
      <c r="I74" s="36">
        <f>'MERCADO TUSD'!$U$71</f>
        <v>1579.0179999999998</v>
      </c>
      <c r="J74" s="16"/>
      <c r="L74" s="33">
        <f>'TR TUSD'!$L$74*'TR TUSD'!$L$83</f>
        <v>3.7224044081470935</v>
      </c>
      <c r="M74" s="33">
        <f>'TR TUSD'!$M$74*'TR TUSD'!$M$83</f>
        <v>0.48755238408948065</v>
      </c>
      <c r="N74" s="33">
        <f ca="1">'TR TUSD'!$N$74*'TR TUSD'!$N$83</f>
        <v>2.2177240755638707</v>
      </c>
      <c r="O74" s="33">
        <f>'TR TUSD'!$O$74*'TR TUSD'!$O$83</f>
        <v>-3.0196857322369809E-3</v>
      </c>
      <c r="P74" s="33">
        <f>'TR TUSD'!$P$74*'TR TUSD'!$P$83</f>
        <v>0</v>
      </c>
      <c r="Q74" s="33">
        <f>'TR TUSD'!$Q$74*'TR TUSD'!$Q$83</f>
        <v>56.056448817480209</v>
      </c>
      <c r="R74" s="33">
        <f>'TR TUSD'!$R$74*'TR TUSD'!$R$83</f>
        <v>8.9412901200369763</v>
      </c>
      <c r="S74" s="33">
        <f>'TR TUSD'!$S$74*'TR TUSD'!$S$83</f>
        <v>0</v>
      </c>
      <c r="T74" s="33">
        <f ca="1">SUM($L$74:$S$74)</f>
        <v>71.42240011958539</v>
      </c>
      <c r="U74" s="33">
        <f>'TR TUSD'!$U$74*'TR TUSD'!$U$83</f>
        <v>6.8249952080293275</v>
      </c>
      <c r="V74" s="33">
        <f>'TR TUSD'!$V$74*'TR TUSD'!$V$83</f>
        <v>9.7474446834063908E-2</v>
      </c>
      <c r="W74" s="33">
        <f>'TR TUSD'!$W$74*'TR TUSD'!$W$83</f>
        <v>0</v>
      </c>
      <c r="X74" s="33">
        <f>'TR TUSD'!$X$74*'TR TUSD'!$X$83</f>
        <v>0</v>
      </c>
      <c r="Y74" s="33">
        <f>'TR TUSD'!$Y$74*'TR TUSD'!$Y$83</f>
        <v>25.904697949803793</v>
      </c>
      <c r="Z74" s="33">
        <f>'TR TUSD'!$Z$74</f>
        <v>0</v>
      </c>
      <c r="AA74" s="33">
        <f>'TR TUSD'!$AA$74</f>
        <v>0</v>
      </c>
      <c r="AB74" s="33">
        <f>SUM($U$74:$AA$74)</f>
        <v>32.827167604667181</v>
      </c>
      <c r="AC74" s="33">
        <f>'TR TUSD'!$AC$74*'TR TUSD'!$AC$83</f>
        <v>118.21889012798012</v>
      </c>
      <c r="AD74" s="33">
        <f>SUM($AC$74:$AC$74)</f>
        <v>118.21889012798012</v>
      </c>
      <c r="AE74" s="33">
        <v>0</v>
      </c>
      <c r="AF74" s="33">
        <v>0</v>
      </c>
      <c r="AG74" s="33">
        <f>SUM($AE$74:$AF$74)</f>
        <v>0</v>
      </c>
      <c r="AH74" s="33">
        <f>'TR TUSD'!$AH$74*'TR TUSD'!$AH$83</f>
        <v>26.295944400925059</v>
      </c>
      <c r="AI74" s="33">
        <f>'TR TUSD'!$AI$74*'TR TUSD'!$AI$83</f>
        <v>5.8387612402147855E-2</v>
      </c>
      <c r="AJ74" s="33">
        <f ca="1">'TR TUSD'!$AJ$74*'TR TUSD'!$AJ$83</f>
        <v>0.47337178783277289</v>
      </c>
      <c r="AK74" s="33">
        <f ca="1">'TR TUSD'!$AK$74*'TR TUSD'!$AK$83</f>
        <v>2.8363433556053939</v>
      </c>
      <c r="AL74" s="33">
        <f ca="1">SUM($AH$74:$AK$74)</f>
        <v>29.664047156765371</v>
      </c>
      <c r="AM74" s="33">
        <f ca="1">SUMIF($L$4:$AL$4,"SUBTOTAL",$L$74:$AL$74)</f>
        <v>252.13250500899807</v>
      </c>
      <c r="AP74" s="33">
        <f>IF((1 - CUSTOS!$M$33)&lt;&gt;0,1/(1 - CUSTOS!$M$33),1)</f>
        <v>1.6666666666666667</v>
      </c>
    </row>
    <row r="76" spans="1:42" ht="11.25" customHeight="1" x14ac:dyDescent="0.25">
      <c r="K76" s="38" t="s">
        <v>1049</v>
      </c>
      <c r="L76" s="33">
        <f>SUMPRODUCT($I$5:$I74,$L$5:$L74)</f>
        <v>7798736.2537669446</v>
      </c>
      <c r="M76" s="33">
        <f>SUMPRODUCT($I$5:$I74,$M$5:$M74)</f>
        <v>1389993.1816796286</v>
      </c>
      <c r="N76" s="33">
        <f ca="1">SUMPRODUCT($I$5:$I74,$N$5:$N74)</f>
        <v>4932534.9922433579</v>
      </c>
      <c r="O76" s="33">
        <f>SUMPRODUCT($I$5:$I74,$O$5:$O74)</f>
        <v>1.468158927764307E-12</v>
      </c>
      <c r="P76" s="33">
        <f>SUMPRODUCT($I$5:$I74,$P$5:$P74)</f>
        <v>0</v>
      </c>
      <c r="Q76" s="33">
        <f>SUMPRODUCT($I$5:$I74,$Q$5:$Q74)</f>
        <v>117442763.2563235</v>
      </c>
      <c r="R76" s="33">
        <f>SUMPRODUCT($I$5:$I74,$R$5:$R74)</f>
        <v>20367331.420126043</v>
      </c>
      <c r="S76" s="33">
        <f>SUMPRODUCT($I$5:$I74,$S$5:$S74)</f>
        <v>0</v>
      </c>
      <c r="T76" s="33">
        <f ca="1">SUMPRODUCT($I$5:$I74,$T$5:$T74)</f>
        <v>151931359.10413945</v>
      </c>
      <c r="U76" s="33">
        <f>SUMPRODUCT($I$5:$I74,$U$5:$U74)</f>
        <v>18011682</v>
      </c>
      <c r="V76" s="33">
        <f>SUMPRODUCT($I$5:$I74,$V$5:$V74)</f>
        <v>4234910.4774000002</v>
      </c>
      <c r="W76" s="33">
        <f>SUMPRODUCT($I$5:$I74,$W$5:$W74)</f>
        <v>0</v>
      </c>
      <c r="X76" s="33">
        <f>SUMPRODUCT($I$5:$I74,$X$5:$X74)</f>
        <v>0</v>
      </c>
      <c r="Y76" s="33">
        <f>SUMPRODUCT($I$5:$I74,$Y$5:$Y74)</f>
        <v>77840815.248234764</v>
      </c>
      <c r="Z76" s="33">
        <f>SUMPRODUCT($I$5:$I74,$Z$5:$Z74)</f>
        <v>0</v>
      </c>
      <c r="AA76" s="33">
        <f>SUMPRODUCT($I$5:$I74,$AA$5:$AA74)</f>
        <v>583651.36259999999</v>
      </c>
      <c r="AB76" s="33">
        <f>SUMPRODUCT($I$5:$I74,$AB$5:$AB74)</f>
        <v>100671059.08823478</v>
      </c>
      <c r="AC76" s="33">
        <f>SUMPRODUCT($I$5:$I74,$AC$5:$AC74)</f>
        <v>291198452.27662063</v>
      </c>
      <c r="AD76" s="33">
        <f>SUMPRODUCT($I$5:$I74,$AD$5:$AD74)</f>
        <v>291198452.27662063</v>
      </c>
      <c r="AE76" s="33">
        <f>SUMPRODUCT($I$5:$I74,$AE$5:$AE74)</f>
        <v>0</v>
      </c>
      <c r="AF76" s="33">
        <f>SUMPRODUCT($I$5:$I74,$AF$5:$AF74)</f>
        <v>0</v>
      </c>
      <c r="AG76" s="33">
        <f>SUMPRODUCT($I$5:$I74,$AG$5:$AG74)</f>
        <v>0</v>
      </c>
      <c r="AH76" s="33">
        <f>SUMPRODUCT($I$5:$I74,$AH$5:$AH74)</f>
        <v>54327164.243734345</v>
      </c>
      <c r="AI76" s="33">
        <f>SUMPRODUCT($I$5:$I74,$AI$5:$AI74)</f>
        <v>262678.2045002667</v>
      </c>
      <c r="AJ76" s="33">
        <f ca="1">SUMPRODUCT($I$5:$I74,$AJ$5:$AJ74)</f>
        <v>1115771.7135920632</v>
      </c>
      <c r="AK76" s="33">
        <f ca="1">SUMPRODUCT($I$5:$I74,$AK$5:$AK74)</f>
        <v>6685467.4646079298</v>
      </c>
      <c r="AL76" s="33">
        <f ca="1">SUMPRODUCT($I$5:$I74,$AL$5:$AL74)</f>
        <v>62391081.626434572</v>
      </c>
      <c r="AM76" s="33">
        <f ca="1">SUMPRODUCT($I$5:$I74,$AM$5:$AM74)</f>
        <v>606191952.09542942</v>
      </c>
    </row>
    <row r="77" spans="1:42" ht="11.25" customHeight="1" x14ac:dyDescent="0.25">
      <c r="K77" s="38" t="s">
        <v>992</v>
      </c>
      <c r="L77" s="33">
        <f>'TR TUSD'!$L$79</f>
        <v>7798736.2537669456</v>
      </c>
      <c r="M77" s="33">
        <f>'TR TUSD'!$M$79</f>
        <v>1389993.181679629</v>
      </c>
      <c r="N77" s="33">
        <f>'TR TUSD'!$N$79</f>
        <v>4932534.9922433579</v>
      </c>
      <c r="O77" s="33">
        <f>'TR TUSD'!$O$79</f>
        <v>0</v>
      </c>
      <c r="P77" s="33">
        <f>'TR TUSD'!$P$79</f>
        <v>0</v>
      </c>
      <c r="Q77" s="33">
        <f>'TR TUSD'!$Q$79</f>
        <v>117442763.25632352</v>
      </c>
      <c r="R77" s="33">
        <f>'TR TUSD'!$R$79</f>
        <v>20367331.420126051</v>
      </c>
      <c r="S77" s="33">
        <f>'TR TUSD'!$S$79</f>
        <v>0</v>
      </c>
      <c r="T77" s="33">
        <f>'TR TUSD'!$T$79</f>
        <v>151931359.10413951</v>
      </c>
      <c r="U77" s="33">
        <f>'TR TUSD'!$U$79</f>
        <v>18011682</v>
      </c>
      <c r="V77" s="33">
        <f>'TR TUSD'!$V$79</f>
        <v>4234910.4774000002</v>
      </c>
      <c r="W77" s="33">
        <f>'TR TUSD'!$W$79</f>
        <v>0</v>
      </c>
      <c r="X77" s="33">
        <f>'TR TUSD'!$X$79</f>
        <v>0</v>
      </c>
      <c r="Y77" s="33">
        <f>'TR TUSD'!$Y$79</f>
        <v>77840815.248234794</v>
      </c>
      <c r="Z77" s="33">
        <f>'TR TUSD'!$Z$79</f>
        <v>0</v>
      </c>
      <c r="AA77" s="33">
        <f>'TR TUSD'!$AA$79</f>
        <v>583651.36259999999</v>
      </c>
      <c r="AB77" s="33">
        <f>'TR TUSD'!$AB$79</f>
        <v>100671059.0882348</v>
      </c>
      <c r="AC77" s="33">
        <f>'TR TUSD'!$AC$79</f>
        <v>291198452.27662063</v>
      </c>
      <c r="AD77" s="33">
        <f>'TR TUSD'!$AD$79</f>
        <v>291198452.27662063</v>
      </c>
      <c r="AE77" s="33">
        <f>'TR TUSD'!$AE$79</f>
        <v>0</v>
      </c>
      <c r="AF77" s="33">
        <f>'TR TUSD'!$AF$79</f>
        <v>0</v>
      </c>
      <c r="AG77" s="33">
        <f>'TR TUSD'!$AG$79</f>
        <v>0</v>
      </c>
      <c r="AH77" s="33">
        <f>'TR TUSD'!$AH$79</f>
        <v>54327164.24373433</v>
      </c>
      <c r="AI77" s="33">
        <f>'TR TUSD'!$AI$79</f>
        <v>262678.2045002667</v>
      </c>
      <c r="AJ77" s="33">
        <f>'TR TUSD'!$AJ$79</f>
        <v>1115771.7135920627</v>
      </c>
      <c r="AK77" s="33">
        <f>'TR TUSD'!$AK$79</f>
        <v>6685467.4646079298</v>
      </c>
      <c r="AL77" s="33">
        <f>'TR TUSD'!$AL$79</f>
        <v>62391081.626434587</v>
      </c>
      <c r="AM77" s="33">
        <f>CUSTOS!$D$29</f>
        <v>606191952.09542942</v>
      </c>
    </row>
    <row r="78" spans="1:42" ht="11.25" customHeight="1" x14ac:dyDescent="0.25">
      <c r="K78" s="38" t="s">
        <v>993</v>
      </c>
      <c r="L78" s="33">
        <f>CUSTOS!$E$2</f>
        <v>-5390757.8840866573</v>
      </c>
      <c r="M78" s="33">
        <f>CUSTOS!$E$3</f>
        <v>29343.007811108968</v>
      </c>
      <c r="N78" s="33">
        <f>CUSTOS!$E$4</f>
        <v>-2.8011271029698053</v>
      </c>
      <c r="O78" s="33">
        <f>CUSTOS!$E$5</f>
        <v>0</v>
      </c>
      <c r="P78" s="33">
        <f>CUSTOS!$E$6</f>
        <v>0</v>
      </c>
      <c r="Q78" s="33">
        <f>CUSTOS!$E$7</f>
        <v>2820715.4778494239</v>
      </c>
      <c r="R78" s="33">
        <f>CUSTOS!$E$8</f>
        <v>441880.26996036107</v>
      </c>
      <c r="S78" s="33">
        <f>CUSTOS!$E$9</f>
        <v>0</v>
      </c>
      <c r="T78" s="33">
        <f>CUSTOS!$E$10</f>
        <v>-2098821.9295928669</v>
      </c>
      <c r="U78" s="33">
        <f>CUSTOS!$E$11</f>
        <v>4697441.1676554838</v>
      </c>
      <c r="V78" s="33">
        <f>CUSTOS!$E$12</f>
        <v>-38079.856863334833</v>
      </c>
      <c r="W78" s="33">
        <f>CUSTOS!$E$13</f>
        <v>0</v>
      </c>
      <c r="X78" s="33">
        <f>CUSTOS!$E$14</f>
        <v>0</v>
      </c>
      <c r="Y78" s="33">
        <f>CUSTOS!$E$15</f>
        <v>1899093.1074773462</v>
      </c>
      <c r="Z78" s="33">
        <f>CUSTOS!$E$16</f>
        <v>0</v>
      </c>
      <c r="AA78" s="33">
        <f>CUSTOS!$E$17</f>
        <v>-5686.8063288253252</v>
      </c>
      <c r="AB78" s="33">
        <f>CUSTOS!$E$18</f>
        <v>6552767.6119406698</v>
      </c>
      <c r="AC78" s="33">
        <f>CUSTOS!$E$19</f>
        <v>-119.03127275816443</v>
      </c>
      <c r="AD78" s="33">
        <f>CUSTOS!$E$20</f>
        <v>-119.03127275816443</v>
      </c>
      <c r="AE78" s="33">
        <f>CUSTOS!$E$21</f>
        <v>0</v>
      </c>
      <c r="AF78" s="33">
        <f>CUSTOS!$E$22</f>
        <v>0</v>
      </c>
      <c r="AG78" s="33">
        <f>CUSTOS!$E$23</f>
        <v>0</v>
      </c>
      <c r="AH78" s="33">
        <f>CUSTOS!$E$24</f>
        <v>-5033299.8837107383</v>
      </c>
      <c r="AI78" s="33">
        <f>CUSTOS!$E$25</f>
        <v>-24336.594677257111</v>
      </c>
      <c r="AJ78" s="33">
        <f>CUSTOS!$E$26</f>
        <v>-103373.9514007188</v>
      </c>
      <c r="AK78" s="33">
        <f>CUSTOS!$E$27</f>
        <v>313395.54827799276</v>
      </c>
      <c r="AL78" s="33">
        <f>CUSTOS!$E$28</f>
        <v>-4847614.8815107215</v>
      </c>
      <c r="AM78" s="33">
        <f>CUSTOS!$E$29</f>
        <v>-393788.23043567687</v>
      </c>
    </row>
    <row r="79" spans="1:42" ht="11.25" customHeight="1" x14ac:dyDescent="0.25">
      <c r="K79" s="38" t="s">
        <v>994</v>
      </c>
      <c r="L79" s="33">
        <f>CUSTOS!$F$2</f>
        <v>523607.77271502389</v>
      </c>
      <c r="M79" s="33">
        <f>CUSTOS!$F$3</f>
        <v>0</v>
      </c>
      <c r="N79" s="33">
        <f>CUSTOS!$F$4</f>
        <v>0</v>
      </c>
      <c r="O79" s="33">
        <f>CUSTOS!$F$5</f>
        <v>0</v>
      </c>
      <c r="P79" s="33">
        <f>CUSTOS!$F$6</f>
        <v>0</v>
      </c>
      <c r="Q79" s="33">
        <f>CUSTOS!$F$7</f>
        <v>14168345.274700001</v>
      </c>
      <c r="R79" s="33">
        <f>CUSTOS!$F$8</f>
        <v>3923758.0709000002</v>
      </c>
      <c r="S79" s="33">
        <f>CUSTOS!$F$9</f>
        <v>0</v>
      </c>
      <c r="T79" s="33">
        <f>CUSTOS!$F$10</f>
        <v>18615711.118315026</v>
      </c>
      <c r="U79" s="33">
        <f>CUSTOS!$F$11</f>
        <v>1002313.1581036572</v>
      </c>
      <c r="V79" s="33">
        <f>CUSTOS!$F$12</f>
        <v>238855.57609935154</v>
      </c>
      <c r="W79" s="33">
        <f>CUSTOS!$F$13</f>
        <v>0</v>
      </c>
      <c r="X79" s="33">
        <f>CUSTOS!$F$14</f>
        <v>0</v>
      </c>
      <c r="Y79" s="33">
        <f>CUSTOS!$F$15</f>
        <v>0</v>
      </c>
      <c r="Z79" s="33">
        <f>CUSTOS!$F$16</f>
        <v>0</v>
      </c>
      <c r="AA79" s="33">
        <f>CUSTOS!$F$17</f>
        <v>29287.506560456131</v>
      </c>
      <c r="AB79" s="33">
        <f>CUSTOS!$F$18</f>
        <v>1270456.2407634649</v>
      </c>
      <c r="AC79" s="33">
        <f>CUSTOS!$F$19</f>
        <v>0</v>
      </c>
      <c r="AD79" s="33">
        <f>CUSTOS!$F$20</f>
        <v>0</v>
      </c>
      <c r="AE79" s="33">
        <f>CUSTOS!$F$21</f>
        <v>0</v>
      </c>
      <c r="AF79" s="33">
        <f>CUSTOS!$F$22</f>
        <v>0</v>
      </c>
      <c r="AG79" s="33">
        <f>CUSTOS!$F$23</f>
        <v>0</v>
      </c>
      <c r="AH79" s="33">
        <f>CUSTOS!$F$24</f>
        <v>3608574.2876171432</v>
      </c>
      <c r="AI79" s="33">
        <f>CUSTOS!$F$25</f>
        <v>17447.879488508785</v>
      </c>
      <c r="AJ79" s="33">
        <f>CUSTOS!$F$26</f>
        <v>74112.926241741094</v>
      </c>
      <c r="AK79" s="33">
        <f>CUSTOS!$F$27</f>
        <v>0</v>
      </c>
      <c r="AL79" s="33">
        <f>CUSTOS!$F$28</f>
        <v>3700135.093347393</v>
      </c>
      <c r="AM79" s="33">
        <f>CUSTOS!$F$29</f>
        <v>23586302.452425882</v>
      </c>
    </row>
    <row r="80" spans="1:42" ht="11.25" customHeight="1" x14ac:dyDescent="0.25">
      <c r="K80" s="38" t="s">
        <v>1046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f>SUM($L$80:$S$80)</f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f>SUM($U$80:$AA$80)</f>
        <v>0</v>
      </c>
      <c r="AC80" s="33">
        <v>0</v>
      </c>
      <c r="AD80" s="33">
        <f>SUM($AC$80:$AC$80)</f>
        <v>0</v>
      </c>
      <c r="AE80" s="33">
        <v>0</v>
      </c>
      <c r="AF80" s="33">
        <v>0</v>
      </c>
      <c r="AG80" s="33">
        <f>SUM($AE$80:$AF$80)</f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f>SUM($AH$80:$AK$80)</f>
        <v>0</v>
      </c>
      <c r="AM80" s="33">
        <f>SUMIF($L$4:$AL$4,"SUBTOTAL",$L$80:$AL$80)</f>
        <v>0</v>
      </c>
    </row>
    <row r="81" spans="11:39" ht="11.25" customHeight="1" x14ac:dyDescent="0.25">
      <c r="K81" s="38" t="s">
        <v>1050</v>
      </c>
      <c r="L81" s="33">
        <f t="shared" ref="L81:R81" si="0">IF((L76-(0))&lt;&gt;0,(L78)/(L76-(0)),0)</f>
        <v>-0.69123479864866744</v>
      </c>
      <c r="M81" s="33">
        <f t="shared" si="0"/>
        <v>2.1110181113012154E-2</v>
      </c>
      <c r="N81" s="33">
        <f t="shared" ca="1" si="0"/>
        <v>-5.6788793335976502E-7</v>
      </c>
      <c r="O81" s="33">
        <f t="shared" si="0"/>
        <v>0</v>
      </c>
      <c r="P81" s="33">
        <f t="shared" si="0"/>
        <v>0</v>
      </c>
      <c r="Q81" s="33">
        <f t="shared" si="0"/>
        <v>2.4017788747809861E-2</v>
      </c>
      <c r="R81" s="33">
        <f t="shared" si="0"/>
        <v>2.1695540807261361E-2</v>
      </c>
      <c r="S81" s="33">
        <f>IF((R76-(0)&lt;&gt;0),(S78)/(R76-(0)),0)</f>
        <v>0</v>
      </c>
      <c r="T81" s="33"/>
      <c r="U81" s="33">
        <f t="shared" ref="U81:AA81" si="1">IF((U76-(0))&lt;&gt;0,(U78)/(U76-(0)),0)</f>
        <v>0.26079969475674086</v>
      </c>
      <c r="V81" s="33">
        <f t="shared" si="1"/>
        <v>-8.9918918160257662E-3</v>
      </c>
      <c r="W81" s="33">
        <f t="shared" si="1"/>
        <v>0</v>
      </c>
      <c r="X81" s="33">
        <f t="shared" si="1"/>
        <v>0</v>
      </c>
      <c r="Y81" s="33">
        <f t="shared" si="1"/>
        <v>2.4397137946476133E-2</v>
      </c>
      <c r="Z81" s="33">
        <f t="shared" si="1"/>
        <v>0</v>
      </c>
      <c r="AA81" s="33">
        <f t="shared" si="1"/>
        <v>-9.7434987618160076E-3</v>
      </c>
      <c r="AB81" s="33"/>
      <c r="AC81" s="33">
        <f>IF((AC76-(0))&lt;&gt;0,(AC78)/(AC76-(0)),0)</f>
        <v>-4.0876341143836867E-7</v>
      </c>
      <c r="AD81" s="33"/>
      <c r="AE81" s="33">
        <f ca="1">IF(($AM76-(0))&lt;&gt;0,(AE78)/($AM76-(0)),0)</f>
        <v>0</v>
      </c>
      <c r="AF81" s="33">
        <f ca="1">IF(($AM76-(0))&lt;&gt;0,(AF78)/($AM76-(0)),0)</f>
        <v>0</v>
      </c>
      <c r="AG81" s="33"/>
      <c r="AH81" s="33">
        <f>IF((AH76-(0))&lt;&gt;0,(AH78)/(AH76-(0)),0)</f>
        <v>-9.2647940561175868E-2</v>
      </c>
      <c r="AI81" s="33">
        <f>IF((AI76-(0))&lt;&gt;0,(AI78)/(AI76-(0)),0)</f>
        <v>-9.2647940561175882E-2</v>
      </c>
      <c r="AJ81" s="33">
        <f ca="1">IF((AJ76-(0))&lt;&gt;0,(AJ78)/(AJ76-(0)),0)</f>
        <v>-9.2647940561175854E-2</v>
      </c>
      <c r="AK81" s="33">
        <f ca="1">IF((AK76-(0))&lt;&gt;0,(AK78)/(AK76-(0)),0)</f>
        <v>4.6877133115533286E-2</v>
      </c>
      <c r="AL81" s="33"/>
      <c r="AM81" s="33"/>
    </row>
  </sheetData>
  <mergeCells count="94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J1:J4"/>
    <mergeCell ref="L1:AM1"/>
    <mergeCell ref="A1:A4"/>
    <mergeCell ref="C9:C19"/>
    <mergeCell ref="D9:D19"/>
    <mergeCell ref="E9:E19"/>
    <mergeCell ref="F5:F7"/>
    <mergeCell ref="B9:B19"/>
    <mergeCell ref="G1:G4"/>
    <mergeCell ref="H1:H4"/>
    <mergeCell ref="I1:I4"/>
    <mergeCell ref="A5:A19"/>
    <mergeCell ref="B5:B8"/>
    <mergeCell ref="C5:C8"/>
    <mergeCell ref="D5:D8"/>
    <mergeCell ref="E5:E7"/>
    <mergeCell ref="A20:A24"/>
    <mergeCell ref="B20:B23"/>
    <mergeCell ref="C20:C23"/>
    <mergeCell ref="D20:D23"/>
    <mergeCell ref="E20:E22"/>
    <mergeCell ref="F20:F22"/>
    <mergeCell ref="A25:A37"/>
    <mergeCell ref="B25:B28"/>
    <mergeCell ref="C25:C28"/>
    <mergeCell ref="D25:D28"/>
    <mergeCell ref="E25:E27"/>
    <mergeCell ref="F25:F27"/>
    <mergeCell ref="B29:B31"/>
    <mergeCell ref="C29:C31"/>
    <mergeCell ref="D29:D31"/>
    <mergeCell ref="E29:E31"/>
    <mergeCell ref="F29:F31"/>
    <mergeCell ref="B33:B37"/>
    <mergeCell ref="C33:C37"/>
    <mergeCell ref="D33:D37"/>
    <mergeCell ref="E33:E35"/>
    <mergeCell ref="F33:F35"/>
    <mergeCell ref="E36:E37"/>
    <mergeCell ref="F36:F37"/>
    <mergeCell ref="A38:A39"/>
    <mergeCell ref="B38:B39"/>
    <mergeCell ref="C38:C39"/>
    <mergeCell ref="D38:D39"/>
    <mergeCell ref="A40:A52"/>
    <mergeCell ref="B40:B42"/>
    <mergeCell ref="C40:C42"/>
    <mergeCell ref="D40:D42"/>
    <mergeCell ref="E40:E42"/>
    <mergeCell ref="F40:F42"/>
    <mergeCell ref="B43:B47"/>
    <mergeCell ref="C43:C47"/>
    <mergeCell ref="B48:B52"/>
    <mergeCell ref="C48:C52"/>
    <mergeCell ref="D61:D63"/>
    <mergeCell ref="E61:E63"/>
    <mergeCell ref="F61:F63"/>
    <mergeCell ref="D53:D55"/>
    <mergeCell ref="E53:E55"/>
    <mergeCell ref="F53:F55"/>
    <mergeCell ref="D57:D59"/>
    <mergeCell ref="E57:E59"/>
    <mergeCell ref="F57:F59"/>
    <mergeCell ref="B65:B67"/>
    <mergeCell ref="C65:C67"/>
    <mergeCell ref="A68:A72"/>
    <mergeCell ref="B68:B70"/>
    <mergeCell ref="C68:C70"/>
    <mergeCell ref="A53:A67"/>
    <mergeCell ref="B53:B55"/>
    <mergeCell ref="C53:C55"/>
    <mergeCell ref="B61:B63"/>
    <mergeCell ref="C61:C63"/>
    <mergeCell ref="B57:B59"/>
    <mergeCell ref="C57:C59"/>
    <mergeCell ref="E68:E70"/>
    <mergeCell ref="F68:F70"/>
    <mergeCell ref="A73:A74"/>
    <mergeCell ref="B73:B74"/>
    <mergeCell ref="C73:C74"/>
    <mergeCell ref="D68:D70"/>
  </mergeCells>
  <conditionalFormatting sqref="L76">
    <cfRule type="cellIs" dxfId="1606" priority="55" operator="notEqual">
      <formula>$L$77-$L$80</formula>
    </cfRule>
    <cfRule type="cellIs" dxfId="1605" priority="56" operator="equal">
      <formula>$L$77-$L$80</formula>
    </cfRule>
  </conditionalFormatting>
  <conditionalFormatting sqref="M76">
    <cfRule type="cellIs" dxfId="1604" priority="53" operator="notEqual">
      <formula>$M$77-$M$80</formula>
    </cfRule>
    <cfRule type="cellIs" dxfId="1603" priority="54" operator="equal">
      <formula>$M$77-$M$80</formula>
    </cfRule>
  </conditionalFormatting>
  <conditionalFormatting sqref="N76">
    <cfRule type="cellIs" dxfId="1602" priority="51" operator="notEqual">
      <formula>$N$77-$N$80</formula>
    </cfRule>
    <cfRule type="cellIs" dxfId="1601" priority="52" operator="equal">
      <formula>$N$77-$N$80</formula>
    </cfRule>
  </conditionalFormatting>
  <conditionalFormatting sqref="O76">
    <cfRule type="cellIs" dxfId="1600" priority="49" operator="notEqual">
      <formula>$O$77-$O$80</formula>
    </cfRule>
    <cfRule type="cellIs" dxfId="1599" priority="50" operator="equal">
      <formula>$O$77-$O$80</formula>
    </cfRule>
  </conditionalFormatting>
  <conditionalFormatting sqref="P76">
    <cfRule type="cellIs" dxfId="1598" priority="47" operator="notEqual">
      <formula>$P$77-$P$80</formula>
    </cfRule>
    <cfRule type="cellIs" dxfId="1597" priority="48" operator="equal">
      <formula>$P$77-$P$80</formula>
    </cfRule>
  </conditionalFormatting>
  <conditionalFormatting sqref="Q76">
    <cfRule type="cellIs" dxfId="1596" priority="45" operator="notEqual">
      <formula>$Q$77-$Q$80</formula>
    </cfRule>
    <cfRule type="cellIs" dxfId="1595" priority="46" operator="equal">
      <formula>$Q$77-$Q$80</formula>
    </cfRule>
  </conditionalFormatting>
  <conditionalFormatting sqref="R76">
    <cfRule type="cellIs" dxfId="1594" priority="43" operator="notEqual">
      <formula>$R$77-$R$80</formula>
    </cfRule>
    <cfRule type="cellIs" dxfId="1593" priority="44" operator="equal">
      <formula>$R$77-$R$80</formula>
    </cfRule>
  </conditionalFormatting>
  <conditionalFormatting sqref="S76">
    <cfRule type="cellIs" dxfId="1592" priority="41" operator="notEqual">
      <formula>$S$77-$S$80</formula>
    </cfRule>
    <cfRule type="cellIs" dxfId="1591" priority="42" operator="equal">
      <formula>$S$77-$S$80</formula>
    </cfRule>
  </conditionalFormatting>
  <conditionalFormatting sqref="T76">
    <cfRule type="cellIs" dxfId="1590" priority="39" operator="notEqual">
      <formula>$T$77-$T$80</formula>
    </cfRule>
    <cfRule type="cellIs" dxfId="1589" priority="40" operator="equal">
      <formula>$T$77-$T$80</formula>
    </cfRule>
  </conditionalFormatting>
  <conditionalFormatting sqref="U76">
    <cfRule type="cellIs" dxfId="1588" priority="37" operator="notEqual">
      <formula>$U$77-$U$80</formula>
    </cfRule>
    <cfRule type="cellIs" dxfId="1587" priority="38" operator="equal">
      <formula>$U$77-$U$80</formula>
    </cfRule>
  </conditionalFormatting>
  <conditionalFormatting sqref="V76">
    <cfRule type="cellIs" dxfId="1586" priority="35" operator="notEqual">
      <formula>$V$77-$V$80</formula>
    </cfRule>
    <cfRule type="cellIs" dxfId="1585" priority="36" operator="equal">
      <formula>$V$77-$V$80</formula>
    </cfRule>
  </conditionalFormatting>
  <conditionalFormatting sqref="W76">
    <cfRule type="cellIs" dxfId="1584" priority="33" operator="notEqual">
      <formula>$W$77-$W$80</formula>
    </cfRule>
    <cfRule type="cellIs" dxfId="1583" priority="34" operator="equal">
      <formula>$W$77-$W$80</formula>
    </cfRule>
  </conditionalFormatting>
  <conditionalFormatting sqref="X76">
    <cfRule type="cellIs" dxfId="1582" priority="31" operator="notEqual">
      <formula>$X$77-$X$80</formula>
    </cfRule>
    <cfRule type="cellIs" dxfId="1581" priority="32" operator="equal">
      <formula>$X$77-$X$80</formula>
    </cfRule>
  </conditionalFormatting>
  <conditionalFormatting sqref="Y76">
    <cfRule type="cellIs" dxfId="1580" priority="29" operator="notEqual">
      <formula>$Y$77-$Y$80</formula>
    </cfRule>
    <cfRule type="cellIs" dxfId="1579" priority="30" operator="equal">
      <formula>$Y$77-$Y$80</formula>
    </cfRule>
  </conditionalFormatting>
  <conditionalFormatting sqref="Z76">
    <cfRule type="cellIs" dxfId="1578" priority="27" operator="notEqual">
      <formula>$Z$77-$Z$80</formula>
    </cfRule>
    <cfRule type="cellIs" dxfId="1577" priority="28" operator="equal">
      <formula>$Z$77-$Z$80</formula>
    </cfRule>
  </conditionalFormatting>
  <conditionalFormatting sqref="AA76">
    <cfRule type="cellIs" dxfId="1576" priority="25" operator="notEqual">
      <formula>$AA$77-$AA$80</formula>
    </cfRule>
    <cfRule type="cellIs" dxfId="1575" priority="26" operator="equal">
      <formula>$AA$77-$AA$80</formula>
    </cfRule>
  </conditionalFormatting>
  <conditionalFormatting sqref="AB76">
    <cfRule type="cellIs" dxfId="1574" priority="23" operator="notEqual">
      <formula>$AB$77-$AB$80</formula>
    </cfRule>
    <cfRule type="cellIs" dxfId="1573" priority="24" operator="equal">
      <formula>$AB$77-$AB$80</formula>
    </cfRule>
  </conditionalFormatting>
  <conditionalFormatting sqref="AC76">
    <cfRule type="cellIs" dxfId="1572" priority="21" operator="notEqual">
      <formula>$AC$77-$AC$80</formula>
    </cfRule>
    <cfRule type="cellIs" dxfId="1571" priority="22" operator="equal">
      <formula>$AC$77-$AC$80</formula>
    </cfRule>
  </conditionalFormatting>
  <conditionalFormatting sqref="AD76">
    <cfRule type="cellIs" dxfId="1570" priority="19" operator="notEqual">
      <formula>$AD$77-$AD$80</formula>
    </cfRule>
    <cfRule type="cellIs" dxfId="1569" priority="20" operator="equal">
      <formula>$AD$77-$AD$80</formula>
    </cfRule>
  </conditionalFormatting>
  <conditionalFormatting sqref="AE76">
    <cfRule type="cellIs" dxfId="1568" priority="17" operator="notEqual">
      <formula>$AE$77-$AE$80</formula>
    </cfRule>
    <cfRule type="cellIs" dxfId="1567" priority="18" operator="equal">
      <formula>$AE$77-$AE$80</formula>
    </cfRule>
  </conditionalFormatting>
  <conditionalFormatting sqref="AF76">
    <cfRule type="cellIs" dxfId="1566" priority="16" operator="equal">
      <formula>$AF$77-$AF$80</formula>
    </cfRule>
  </conditionalFormatting>
  <conditionalFormatting sqref="AF76">
    <cfRule type="cellIs" dxfId="1565" priority="15" operator="notEqual">
      <formula>$AF$77-$AF$80</formula>
    </cfRule>
  </conditionalFormatting>
  <conditionalFormatting sqref="AG76">
    <cfRule type="cellIs" dxfId="1564" priority="14" operator="equal">
      <formula>$AG$77-$AG$80</formula>
    </cfRule>
  </conditionalFormatting>
  <conditionalFormatting sqref="AG76">
    <cfRule type="cellIs" dxfId="1563" priority="13" operator="notEqual">
      <formula>$AG$77-$AG$80</formula>
    </cfRule>
  </conditionalFormatting>
  <conditionalFormatting sqref="AH76">
    <cfRule type="cellIs" dxfId="1562" priority="12" operator="equal">
      <formula>$AH$77-$AH$80</formula>
    </cfRule>
  </conditionalFormatting>
  <conditionalFormatting sqref="AH76">
    <cfRule type="cellIs" dxfId="1561" priority="11" operator="notEqual">
      <formula>$AH$77-$AH$80</formula>
    </cfRule>
  </conditionalFormatting>
  <conditionalFormatting sqref="AI76">
    <cfRule type="cellIs" dxfId="1560" priority="10" operator="equal">
      <formula>$AI$77-$AI$80</formula>
    </cfRule>
  </conditionalFormatting>
  <conditionalFormatting sqref="AI76">
    <cfRule type="cellIs" dxfId="1559" priority="9" operator="notEqual">
      <formula>$AI$77-$AI$80</formula>
    </cfRule>
  </conditionalFormatting>
  <conditionalFormatting sqref="AJ76">
    <cfRule type="cellIs" dxfId="1558" priority="8" operator="equal">
      <formula>$AJ$77-$AJ$80</formula>
    </cfRule>
  </conditionalFormatting>
  <conditionalFormatting sqref="AJ76">
    <cfRule type="cellIs" dxfId="1557" priority="7" operator="notEqual">
      <formula>$AJ$77-$AJ$80</formula>
    </cfRule>
  </conditionalFormatting>
  <conditionalFormatting sqref="AK76">
    <cfRule type="cellIs" dxfId="1556" priority="6" operator="equal">
      <formula>$AK$77-$AK$80</formula>
    </cfRule>
  </conditionalFormatting>
  <conditionalFormatting sqref="AK76">
    <cfRule type="cellIs" dxfId="1555" priority="5" operator="notEqual">
      <formula>$AK$77-$AK$80</formula>
    </cfRule>
  </conditionalFormatting>
  <conditionalFormatting sqref="AL76">
    <cfRule type="cellIs" dxfId="1554" priority="4" operator="equal">
      <formula>$AL$77-$AL$80</formula>
    </cfRule>
  </conditionalFormatting>
  <conditionalFormatting sqref="AL76">
    <cfRule type="cellIs" dxfId="1553" priority="3" operator="notEqual">
      <formula>$AL$77-$AL$80</formula>
    </cfRule>
  </conditionalFormatting>
  <conditionalFormatting sqref="AM76">
    <cfRule type="cellIs" dxfId="1552" priority="2" operator="equal">
      <formula>$AM$77-$AM$80</formula>
    </cfRule>
  </conditionalFormatting>
  <conditionalFormatting sqref="AM76">
    <cfRule type="cellIs" dxfId="1551" priority="1" operator="notEqual">
      <formula>$AM$77-$AM$80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1B397-0EF0-4F11-94DF-F4E9255D860F}">
  <dimension ref="A1:AP81"/>
  <sheetViews>
    <sheetView showGridLines="0" topLeftCell="W63" workbookViewId="0">
      <selection activeCell="AO76" sqref="AO76:AP7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26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0" width="11.7109375" style="9" bestFit="1" customWidth="1"/>
    <col min="21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8" t="s">
        <v>107</v>
      </c>
      <c r="B1" s="118" t="s">
        <v>108</v>
      </c>
      <c r="C1" s="118" t="s">
        <v>109</v>
      </c>
      <c r="D1" s="118" t="s">
        <v>110</v>
      </c>
      <c r="E1" s="118" t="s">
        <v>111</v>
      </c>
      <c r="F1" s="118" t="s">
        <v>15</v>
      </c>
      <c r="G1" s="118" t="s">
        <v>113</v>
      </c>
      <c r="H1" s="118" t="s">
        <v>114</v>
      </c>
      <c r="I1" s="118" t="s">
        <v>1040</v>
      </c>
      <c r="J1" s="114"/>
      <c r="L1" s="117" t="s">
        <v>1051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O1" s="43"/>
      <c r="AP1" s="121" t="s">
        <v>1042</v>
      </c>
    </row>
    <row r="2" spans="1:42" ht="11.25" customHeight="1" x14ac:dyDescent="0.25">
      <c r="A2" s="118"/>
      <c r="B2" s="118"/>
      <c r="C2" s="118"/>
      <c r="D2" s="118"/>
      <c r="E2" s="118"/>
      <c r="F2" s="118"/>
      <c r="G2" s="118"/>
      <c r="H2" s="118"/>
      <c r="I2" s="118"/>
      <c r="J2" s="114"/>
      <c r="L2" s="117" t="s">
        <v>951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O2" s="43"/>
      <c r="AP2" s="122"/>
    </row>
    <row r="3" spans="1:42" ht="11.25" customHeigh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4"/>
      <c r="L3" s="117" t="s">
        <v>952</v>
      </c>
      <c r="M3" s="117"/>
      <c r="N3" s="117"/>
      <c r="O3" s="117"/>
      <c r="P3" s="117"/>
      <c r="Q3" s="117"/>
      <c r="R3" s="117"/>
      <c r="S3" s="117"/>
      <c r="T3" s="117"/>
      <c r="U3" s="117" t="s">
        <v>961</v>
      </c>
      <c r="V3" s="117"/>
      <c r="W3" s="117"/>
      <c r="X3" s="117"/>
      <c r="Y3" s="117"/>
      <c r="Z3" s="117"/>
      <c r="AA3" s="117"/>
      <c r="AB3" s="117"/>
      <c r="AC3" s="117" t="s">
        <v>969</v>
      </c>
      <c r="AD3" s="117"/>
      <c r="AE3" s="117" t="s">
        <v>971</v>
      </c>
      <c r="AF3" s="117"/>
      <c r="AG3" s="117"/>
      <c r="AH3" s="117" t="s">
        <v>974</v>
      </c>
      <c r="AI3" s="117"/>
      <c r="AJ3" s="117"/>
      <c r="AK3" s="117"/>
      <c r="AL3" s="117"/>
      <c r="AM3" s="117" t="s">
        <v>960</v>
      </c>
      <c r="AO3" s="43"/>
      <c r="AP3" s="122"/>
    </row>
    <row r="4" spans="1:42" ht="11.25" customHeigh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4"/>
      <c r="L4" s="39" t="s">
        <v>1036</v>
      </c>
      <c r="M4" s="39" t="s">
        <v>953</v>
      </c>
      <c r="N4" s="39" t="s">
        <v>954</v>
      </c>
      <c r="O4" s="39" t="s">
        <v>955</v>
      </c>
      <c r="P4" s="39" t="s">
        <v>956</v>
      </c>
      <c r="Q4" s="39" t="s">
        <v>957</v>
      </c>
      <c r="R4" s="39" t="s">
        <v>958</v>
      </c>
      <c r="S4" s="39" t="s">
        <v>959</v>
      </c>
      <c r="T4" s="39" t="s">
        <v>960</v>
      </c>
      <c r="U4" s="39" t="s">
        <v>962</v>
      </c>
      <c r="V4" s="39" t="s">
        <v>963</v>
      </c>
      <c r="W4" s="39" t="s">
        <v>964</v>
      </c>
      <c r="X4" s="39" t="s">
        <v>965</v>
      </c>
      <c r="Y4" s="39" t="s">
        <v>966</v>
      </c>
      <c r="Z4" s="39" t="s">
        <v>967</v>
      </c>
      <c r="AA4" s="39" t="s">
        <v>968</v>
      </c>
      <c r="AB4" s="39" t="s">
        <v>960</v>
      </c>
      <c r="AC4" s="39" t="s">
        <v>970</v>
      </c>
      <c r="AD4" s="39" t="s">
        <v>960</v>
      </c>
      <c r="AE4" s="39" t="s">
        <v>972</v>
      </c>
      <c r="AF4" s="39" t="s">
        <v>973</v>
      </c>
      <c r="AG4" s="39" t="s">
        <v>960</v>
      </c>
      <c r="AH4" s="39" t="s">
        <v>975</v>
      </c>
      <c r="AI4" s="39" t="s">
        <v>976</v>
      </c>
      <c r="AJ4" s="39" t="s">
        <v>977</v>
      </c>
      <c r="AK4" s="39" t="s">
        <v>978</v>
      </c>
      <c r="AL4" s="39" t="s">
        <v>960</v>
      </c>
      <c r="AM4" s="120"/>
      <c r="AO4" s="44" t="s">
        <v>1053</v>
      </c>
      <c r="AP4" s="123"/>
    </row>
    <row r="5" spans="1:42" ht="11.25" customHeight="1" x14ac:dyDescent="0.25">
      <c r="A5" s="116" t="s">
        <v>59</v>
      </c>
      <c r="B5" s="116" t="s">
        <v>40</v>
      </c>
      <c r="C5" s="116" t="s">
        <v>25</v>
      </c>
      <c r="D5" s="116" t="s">
        <v>25</v>
      </c>
      <c r="E5" s="116" t="s">
        <v>25</v>
      </c>
      <c r="F5" s="116" t="s">
        <v>25</v>
      </c>
      <c r="G5" s="36" t="s">
        <v>121</v>
      </c>
      <c r="H5" s="36" t="s">
        <v>120</v>
      </c>
      <c r="I5" s="36">
        <f>'MERCADO TUSD'!$U$2</f>
        <v>103200</v>
      </c>
      <c r="J5" s="16"/>
      <c r="L5" s="33">
        <f>'TUSD BE'!$L$5*'TUSD BE'!$L$81</f>
        <v>0</v>
      </c>
      <c r="M5" s="33">
        <f>'TUSD BE'!$M$5*'TUSD BE'!$M$81</f>
        <v>0</v>
      </c>
      <c r="N5" s="33">
        <f ca="1">'TUSD BE'!$N$5*'TUSD BE'!$N$81</f>
        <v>0</v>
      </c>
      <c r="O5" s="33">
        <f>'TUSD BE'!$O$5*'TUSD BE'!$O$81</f>
        <v>0</v>
      </c>
      <c r="P5" s="33">
        <f>'TUSD BE'!$P$5*'TUSD BE'!$P$81</f>
        <v>0</v>
      </c>
      <c r="Q5" s="33">
        <f>'TUSD BE'!$Q$5*'TUSD BE'!$Q$81</f>
        <v>0</v>
      </c>
      <c r="R5" s="33">
        <f>'TUSD BE'!$R$5*'TUSD BE'!$R$81</f>
        <v>0</v>
      </c>
      <c r="S5" s="33">
        <f>'TUSD BE'!$R$5*'TUSD BE'!$S$81</f>
        <v>0</v>
      </c>
      <c r="T5" s="33">
        <f ca="1">SUM($L$5:$S$5)</f>
        <v>0</v>
      </c>
      <c r="U5" s="33">
        <f>'TUSD BE'!$U$5*'TUSD BE'!$U$81</f>
        <v>0.70191650979591236</v>
      </c>
      <c r="V5" s="33">
        <f>'TUSD BE'!$V$5*'TUSD BE'!$V$81</f>
        <v>-3.4325034695748083E-4</v>
      </c>
      <c r="W5" s="33">
        <f>'TUSD BE'!$W$5*'TUSD BE'!$W$81</f>
        <v>0</v>
      </c>
      <c r="X5" s="33">
        <f>'TUSD BE'!$X$5*'TUSD BE'!$X$81</f>
        <v>0</v>
      </c>
      <c r="Y5" s="33">
        <f>'TUSD BE'!$Y$5*'TUSD BE'!$Y$81</f>
        <v>0.27285900805486851</v>
      </c>
      <c r="Z5" s="33">
        <f>'TUSD BE'!$Z$5*'TUSD BE'!$Z$81</f>
        <v>0</v>
      </c>
      <c r="AA5" s="33">
        <f>'TUSD BE'!$AA$5*'TUSD BE'!$AA$81</f>
        <v>0</v>
      </c>
      <c r="AB5" s="33">
        <f>SUM($U$5:$AA$5)</f>
        <v>0.97443226750382339</v>
      </c>
      <c r="AC5" s="33">
        <f>'TUSD BE'!$AC$5*'TUSD BE'!$AC$81</f>
        <v>-1.9229742580158612E-6</v>
      </c>
      <c r="AD5" s="33">
        <f>SUM($AC$5:$AC$5)</f>
        <v>-1.9229742580158612E-6</v>
      </c>
      <c r="AE5" s="33">
        <f ca="1">$AO$5*$AO$78</f>
        <v>0</v>
      </c>
      <c r="AF5" s="33">
        <f ca="1">$AP$5*$AP$78</f>
        <v>0</v>
      </c>
      <c r="AG5" s="33">
        <f ca="1">SUM($AE$5:$AF$5)</f>
        <v>0</v>
      </c>
      <c r="AH5" s="33">
        <f>'TUSD BE'!$AH$5*'TUSD BE'!$AH$81</f>
        <v>0</v>
      </c>
      <c r="AI5" s="33">
        <f>'TUSD BE'!$AI$5*'TUSD BE'!$AI$81</f>
        <v>0</v>
      </c>
      <c r="AJ5" s="33">
        <f ca="1">'TUSD BE'!$AJ$5*'TUSD BE'!$AJ$81</f>
        <v>0</v>
      </c>
      <c r="AK5" s="33">
        <f ca="1">'TUSD BE'!$AK$5*'TUSD BE'!$AK$81</f>
        <v>0</v>
      </c>
      <c r="AL5" s="33">
        <f ca="1">SUM($AH$5:$AK$5)</f>
        <v>0</v>
      </c>
      <c r="AM5" s="33">
        <f ca="1">SUMIF($L$4:$AL$4,"SUBTOTAL",$L$5:$AL$5)</f>
        <v>0.97443034452956534</v>
      </c>
      <c r="AO5" s="43">
        <f ca="1">+'TUSD BE'!$T$5+'TUSD BE'!$AB$5+'TUSD BE'!$AD$5+'TUSD BE'!$AL$5</f>
        <v>18.618002043965198</v>
      </c>
      <c r="AP5" s="43">
        <f ca="1">+'TUSD BE'!$T$5+'TUSD BE'!$AB$5+'TUSD BE'!$AD$5+'TUSD BE'!$AL$5</f>
        <v>18.618002043965198</v>
      </c>
    </row>
    <row r="6" spans="1:42" ht="11.25" customHeight="1" x14ac:dyDescent="0.25">
      <c r="A6" s="116"/>
      <c r="B6" s="116"/>
      <c r="C6" s="116"/>
      <c r="D6" s="116"/>
      <c r="E6" s="116"/>
      <c r="F6" s="116"/>
      <c r="G6" s="36" t="s">
        <v>122</v>
      </c>
      <c r="H6" s="36" t="s">
        <v>120</v>
      </c>
      <c r="I6" s="36">
        <f>'MERCADO TUSD'!$U$3</f>
        <v>151200</v>
      </c>
      <c r="J6" s="16"/>
      <c r="L6" s="33">
        <f>'TUSD BE'!$L$6*'TUSD BE'!$L$81</f>
        <v>0</v>
      </c>
      <c r="M6" s="33">
        <f>'TUSD BE'!$M$6*'TUSD BE'!$M$81</f>
        <v>0</v>
      </c>
      <c r="N6" s="33">
        <f ca="1">'TUSD BE'!$N$6*'TUSD BE'!$N$81</f>
        <v>0</v>
      </c>
      <c r="O6" s="33">
        <f>'TUSD BE'!$O$6*'TUSD BE'!$O$81</f>
        <v>0</v>
      </c>
      <c r="P6" s="33">
        <f>'TUSD BE'!$P$6*'TUSD BE'!$P$81</f>
        <v>0</v>
      </c>
      <c r="Q6" s="33">
        <f>'TUSD BE'!$Q$6*'TUSD BE'!$Q$81</f>
        <v>0</v>
      </c>
      <c r="R6" s="33">
        <f>'TUSD BE'!$R$6*'TUSD BE'!$R$81</f>
        <v>0</v>
      </c>
      <c r="S6" s="33">
        <f>'TUSD BE'!$R$6*'TUSD BE'!$S$81</f>
        <v>0</v>
      </c>
      <c r="T6" s="33">
        <f ca="1">SUM($L$6:$S$6)</f>
        <v>0</v>
      </c>
      <c r="U6" s="33">
        <f>'TUSD BE'!$U$6*'TUSD BE'!$U$81</f>
        <v>0.20568289834340017</v>
      </c>
      <c r="V6" s="33">
        <f>'TUSD BE'!$V$6*'TUSD BE'!$V$81</f>
        <v>-1.0219836162908976E-4</v>
      </c>
      <c r="W6" s="33">
        <f>'TUSD BE'!$W$6*'TUSD BE'!$W$81</f>
        <v>0</v>
      </c>
      <c r="X6" s="33">
        <f>'TUSD BE'!$X$6*'TUSD BE'!$X$81</f>
        <v>0</v>
      </c>
      <c r="Y6" s="33">
        <f>'TUSD BE'!$Y$6*'TUSD BE'!$Y$81</f>
        <v>5.5973295064846655E-2</v>
      </c>
      <c r="Z6" s="33">
        <f>'TUSD BE'!$Z$6*'TUSD BE'!$Z$81</f>
        <v>0</v>
      </c>
      <c r="AA6" s="33">
        <f>'TUSD BE'!$AA$6*'TUSD BE'!$AA$81</f>
        <v>0</v>
      </c>
      <c r="AB6" s="33">
        <f>SUM($U$6:$AA$6)</f>
        <v>0.26155399504661775</v>
      </c>
      <c r="AC6" s="33">
        <f>'TUSD BE'!$AC$6*'TUSD BE'!$AC$81</f>
        <v>-1.9229742580158612E-6</v>
      </c>
      <c r="AD6" s="33">
        <f>SUM($AC$6:$AC$6)</f>
        <v>-1.9229742580158612E-6</v>
      </c>
      <c r="AE6" s="33">
        <f ca="1">$AO$6*$AO$78</f>
        <v>0</v>
      </c>
      <c r="AF6" s="33">
        <f ca="1">$AP$6*$AP$78</f>
        <v>0</v>
      </c>
      <c r="AG6" s="33">
        <f ca="1">SUM($AE$6:$AF$6)</f>
        <v>0</v>
      </c>
      <c r="AH6" s="33">
        <f>'TUSD BE'!$AH$6*'TUSD BE'!$AH$81</f>
        <v>0</v>
      </c>
      <c r="AI6" s="33">
        <f>'TUSD BE'!$AI$6*'TUSD BE'!$AI$81</f>
        <v>0</v>
      </c>
      <c r="AJ6" s="33">
        <f ca="1">'TUSD BE'!$AJ$6*'TUSD BE'!$AJ$81</f>
        <v>0</v>
      </c>
      <c r="AK6" s="33">
        <f ca="1">'TUSD BE'!$AK$6*'TUSD BE'!$AK$81</f>
        <v>0</v>
      </c>
      <c r="AL6" s="33">
        <f ca="1">SUM($AH$6:$AK$6)</f>
        <v>0</v>
      </c>
      <c r="AM6" s="33">
        <f ca="1">SUMIF($L$4:$AL$4,"SUBTOTAL",$L$6:$AL$6)</f>
        <v>0.26155207207235975</v>
      </c>
      <c r="AO6" s="43">
        <f ca="1">+'TUSD BE'!$T$6+'TUSD BE'!$AB$6+'TUSD BE'!$AD$6+'TUSD BE'!$AL$6</f>
        <v>7.7986543929164363</v>
      </c>
      <c r="AP6" s="43">
        <f ca="1">+'TUSD BE'!$T$6+'TUSD BE'!$AB$6+'TUSD BE'!$AD$6+'TUSD BE'!$AL$6</f>
        <v>7.7986543929164363</v>
      </c>
    </row>
    <row r="7" spans="1:42" ht="11.25" customHeight="1" x14ac:dyDescent="0.25">
      <c r="A7" s="116"/>
      <c r="B7" s="116"/>
      <c r="C7" s="116"/>
      <c r="D7" s="116"/>
      <c r="E7" s="116"/>
      <c r="F7" s="116"/>
      <c r="G7" s="36" t="s">
        <v>123</v>
      </c>
      <c r="H7" s="36" t="s">
        <v>117</v>
      </c>
      <c r="I7" s="36">
        <f>'MERCADO TUSD'!$U$4</f>
        <v>30201.055</v>
      </c>
      <c r="J7" s="16"/>
      <c r="L7" s="33">
        <f>'TUSD BE'!$L$7*'TUSD BE'!$L$81</f>
        <v>-2.6588239769396171</v>
      </c>
      <c r="M7" s="33">
        <f>'TUSD BE'!$M$7*'TUSD BE'!$M$81</f>
        <v>2.9884209810375384E-3</v>
      </c>
      <c r="N7" s="33">
        <f ca="1">'TUSD BE'!$N$7*'TUSD BE'!$N$81</f>
        <v>-1.2871141921708796E-7</v>
      </c>
      <c r="O7" s="33">
        <f>'TUSD BE'!$O$7*'TUSD BE'!$O$81</f>
        <v>0</v>
      </c>
      <c r="P7" s="33">
        <f>'TUSD BE'!$P$7*'TUSD BE'!$P$81</f>
        <v>0</v>
      </c>
      <c r="Q7" s="33">
        <f>'TUSD BE'!$Q$7*'TUSD BE'!$Q$81</f>
        <v>1.3912303438390108</v>
      </c>
      <c r="R7" s="33">
        <f>'TUSD BE'!$R$7*'TUSD BE'!$R$81</f>
        <v>0.32331020778137509</v>
      </c>
      <c r="S7" s="33">
        <f>'TUSD BE'!$R$7*'TUSD BE'!$S$81</f>
        <v>0</v>
      </c>
      <c r="T7" s="33">
        <f ca="1">SUM($L$7:$S$7)</f>
        <v>-0.94129513304961321</v>
      </c>
      <c r="U7" s="33">
        <f>'TUSD BE'!$U$7*'TUSD BE'!$U$81</f>
        <v>0</v>
      </c>
      <c r="V7" s="33">
        <f>'TUSD BE'!$V$7*'TUSD BE'!$V$81</f>
        <v>0</v>
      </c>
      <c r="W7" s="33">
        <f>'TUSD BE'!$W$7*'TUSD BE'!$W$81</f>
        <v>0</v>
      </c>
      <c r="X7" s="33">
        <f>'TUSD BE'!$X$7*'TUSD BE'!$X$81</f>
        <v>0</v>
      </c>
      <c r="Y7" s="33">
        <f>'TUSD BE'!$Y$7*'TUSD BE'!$Y$81</f>
        <v>0</v>
      </c>
      <c r="Z7" s="33">
        <f>'TUSD BE'!$Z$7*'TUSD BE'!$Z$81</f>
        <v>0</v>
      </c>
      <c r="AA7" s="33">
        <f>'TUSD BE'!$AA$7*'TUSD BE'!$AA$81</f>
        <v>0</v>
      </c>
      <c r="AB7" s="33">
        <f>SUM($U$7:$AA$7)</f>
        <v>0</v>
      </c>
      <c r="AC7" s="33">
        <f>'TUSD BE'!$AC$7*'TUSD BE'!$AC$81</f>
        <v>0</v>
      </c>
      <c r="AD7" s="33">
        <f>SUM($AC$7:$AC$7)</f>
        <v>0</v>
      </c>
      <c r="AE7" s="33">
        <f ca="1">$AO$7*$AO$78</f>
        <v>0</v>
      </c>
      <c r="AF7" s="33">
        <f ca="1">$AP$7*$AP$78</f>
        <v>0</v>
      </c>
      <c r="AG7" s="33">
        <f ca="1">SUM($AE$7:$AF$7)</f>
        <v>0</v>
      </c>
      <c r="AH7" s="33">
        <f>'TUSD BE'!$AH$7*'TUSD BE'!$AH$81</f>
        <v>-0.81274400852017059</v>
      </c>
      <c r="AI7" s="33">
        <f>'TUSD BE'!$AI$7*'TUSD BE'!$AI$81</f>
        <v>-1.8046198085958194E-3</v>
      </c>
      <c r="AJ7" s="33">
        <f ca="1">'TUSD BE'!$AJ$7*'TUSD BE'!$AJ$81</f>
        <v>-3.1286023811194281E-2</v>
      </c>
      <c r="AK7" s="33">
        <f ca="1">'TUSD BE'!$AK$7*'TUSD BE'!$AK$81</f>
        <v>9.4848851697076506E-2</v>
      </c>
      <c r="AL7" s="33">
        <f ca="1">SUM($AH$7:$AK$7)</f>
        <v>-0.75098580044288421</v>
      </c>
      <c r="AM7" s="33">
        <f ca="1">SUMIF($L$4:$AL$4,"SUBTOTAL",$L$7:$AL$7)</f>
        <v>-1.6922809334924973</v>
      </c>
      <c r="AO7" s="43">
        <f ca="1">+'TUSD BE'!$T$7+'TUSD BE'!$AB$7+'TUSD BE'!$AD$7+'TUSD BE'!$AL$7</f>
        <v>88.189718476684803</v>
      </c>
      <c r="AP7" s="43">
        <f ca="1">+'TUSD BE'!$T$7+'TUSD BE'!$AB$7+'TUSD BE'!$AD$7+'TUSD BE'!$AL$7</f>
        <v>88.189718476684803</v>
      </c>
    </row>
    <row r="8" spans="1:42" ht="11.25" customHeight="1" x14ac:dyDescent="0.25">
      <c r="A8" s="116"/>
      <c r="B8" s="116"/>
      <c r="C8" s="116"/>
      <c r="D8" s="116"/>
      <c r="E8" s="41" t="s">
        <v>61</v>
      </c>
      <c r="F8" s="41" t="s">
        <v>25</v>
      </c>
      <c r="G8" s="36" t="s">
        <v>123</v>
      </c>
      <c r="H8" s="36" t="s">
        <v>117</v>
      </c>
      <c r="I8" s="36">
        <f>'MERCADO TUSD'!$U$5</f>
        <v>4666.2299999999996</v>
      </c>
      <c r="J8" s="16"/>
      <c r="L8" s="33">
        <f>'TUSD BE'!$L$8*'TUSD BE'!$L$81</f>
        <v>0</v>
      </c>
      <c r="M8" s="33">
        <f>'TUSD BE'!$M$8*'TUSD BE'!$M$81</f>
        <v>2.9884209810375384E-3</v>
      </c>
      <c r="N8" s="33">
        <f ca="1">'TUSD BE'!$N$8*'TUSD BE'!$N$81</f>
        <v>-1.2209066423218552E-7</v>
      </c>
      <c r="O8" s="33">
        <f>'TUSD BE'!$O$8*'TUSD BE'!$O$81</f>
        <v>0</v>
      </c>
      <c r="P8" s="33">
        <f>'TUSD BE'!$P$8*'TUSD BE'!$P$81</f>
        <v>0</v>
      </c>
      <c r="Q8" s="33">
        <f>'TUSD BE'!$Q$8*'TUSD BE'!$Q$81</f>
        <v>0</v>
      </c>
      <c r="R8" s="33">
        <f>'TUSD BE'!$R$8*'TUSD BE'!$R$81</f>
        <v>0</v>
      </c>
      <c r="S8" s="33">
        <f>'TUSD BE'!$R$8*'TUSD BE'!$S$81</f>
        <v>0</v>
      </c>
      <c r="T8" s="33">
        <f ca="1">SUM($L$8:$S$8)</f>
        <v>2.9882988903733062E-3</v>
      </c>
      <c r="U8" s="33">
        <f>'TUSD BE'!$U$8*'TUSD BE'!$U$81</f>
        <v>0</v>
      </c>
      <c r="V8" s="33">
        <f>'TUSD BE'!$V$8*'TUSD BE'!$V$81</f>
        <v>0</v>
      </c>
      <c r="W8" s="33">
        <f>'TUSD BE'!$W$8*'TUSD BE'!$W$81</f>
        <v>0</v>
      </c>
      <c r="X8" s="33">
        <f>'TUSD BE'!$X$8*'TUSD BE'!$X$81</f>
        <v>0</v>
      </c>
      <c r="Y8" s="33">
        <f>'TUSD BE'!$Y$8*'TUSD BE'!$Y$81</f>
        <v>0</v>
      </c>
      <c r="Z8" s="33">
        <f>'TUSD BE'!$Z$8*'TUSD BE'!$Z$81</f>
        <v>0</v>
      </c>
      <c r="AA8" s="33">
        <f>'TUSD BE'!$AA$8*'TUSD BE'!$AA$81</f>
        <v>0</v>
      </c>
      <c r="AB8" s="33">
        <f>SUM($U$8:$AA$8)</f>
        <v>0</v>
      </c>
      <c r="AC8" s="33">
        <f>'TUSD BE'!$AC$8*'TUSD BE'!$AC$81</f>
        <v>0</v>
      </c>
      <c r="AD8" s="33">
        <f>SUM($AC$8:$AC$8)</f>
        <v>0</v>
      </c>
      <c r="AE8" s="33">
        <f ca="1">$AO$8*$AO$78</f>
        <v>0</v>
      </c>
      <c r="AF8" s="33">
        <f ca="1">$AP$8*$AP$78</f>
        <v>0</v>
      </c>
      <c r="AG8" s="33">
        <f ca="1">SUM($AE$8:$AF$8)</f>
        <v>0</v>
      </c>
      <c r="AH8" s="33">
        <f>'TUSD BE'!$AH$8*'TUSD BE'!$AH$81</f>
        <v>-0.81274400852017059</v>
      </c>
      <c r="AI8" s="33">
        <f>'TUSD BE'!$AI$8*'TUSD BE'!$AI$81</f>
        <v>-1.8046198085958194E-3</v>
      </c>
      <c r="AJ8" s="33">
        <f ca="1">'TUSD BE'!$AJ$8*'TUSD BE'!$AJ$81</f>
        <v>-3.1286023811194281E-2</v>
      </c>
      <c r="AK8" s="33">
        <f ca="1">'TUSD BE'!$AK$8*'TUSD BE'!$AK$81</f>
        <v>9.4848851697076506E-2</v>
      </c>
      <c r="AL8" s="33">
        <f ca="1">SUM($AH$8:$AK$8)</f>
        <v>-0.75098580044288421</v>
      </c>
      <c r="AM8" s="33">
        <f ca="1">SUMIF($L$4:$AL$4,"SUBTOTAL",$L$8:$AL$8)</f>
        <v>-0.74799750155251088</v>
      </c>
      <c r="AO8" s="43">
        <f ca="1">+'TUSD BE'!$T$8+'TUSD BE'!$AB$8+'TUSD BE'!$AD$8+'TUSD BE'!$AL$8</f>
        <v>11.504428051126775</v>
      </c>
      <c r="AP8" s="43">
        <f ca="1">+'TUSD BE'!$T$8+'TUSD BE'!$AB$8+'TUSD BE'!$AD$8+'TUSD BE'!$AL$8</f>
        <v>11.504428051126775</v>
      </c>
    </row>
    <row r="9" spans="1:42" ht="11.25" customHeight="1" x14ac:dyDescent="0.25">
      <c r="A9" s="116"/>
      <c r="B9" s="116" t="s">
        <v>64</v>
      </c>
      <c r="C9" s="116" t="s">
        <v>25</v>
      </c>
      <c r="D9" s="116" t="s">
        <v>25</v>
      </c>
      <c r="E9" s="116" t="s">
        <v>25</v>
      </c>
      <c r="F9" s="41" t="s">
        <v>65</v>
      </c>
      <c r="G9" s="36" t="s">
        <v>9</v>
      </c>
      <c r="H9" s="36" t="s">
        <v>120</v>
      </c>
      <c r="I9" s="36">
        <f>'MERCADO TUSD'!$U$6</f>
        <v>19680</v>
      </c>
      <c r="J9" s="16"/>
      <c r="L9" s="33">
        <f>'TUSD BE'!$L$9*'TUSD BE'!$L$81</f>
        <v>0</v>
      </c>
      <c r="M9" s="33">
        <f>'TUSD BE'!$M$9*'TUSD BE'!$M$81</f>
        <v>1.9843570246231425E-3</v>
      </c>
      <c r="N9" s="33">
        <f ca="1">'TUSD BE'!$N$9*'TUSD BE'!$N$81</f>
        <v>-1.3481659537960821E-7</v>
      </c>
      <c r="O9" s="33">
        <f>'TUSD BE'!$O$9*'TUSD BE'!$O$81</f>
        <v>0</v>
      </c>
      <c r="P9" s="33">
        <f>'TUSD BE'!$P$9*'TUSD BE'!$P$81</f>
        <v>0</v>
      </c>
      <c r="Q9" s="33">
        <f>'TUSD BE'!$Q$9*'TUSD BE'!$Q$81</f>
        <v>0</v>
      </c>
      <c r="R9" s="33">
        <f>'TUSD BE'!$R$9*'TUSD BE'!$R$81</f>
        <v>0</v>
      </c>
      <c r="S9" s="33">
        <f>'TUSD BE'!$R$9*'TUSD BE'!$S$81</f>
        <v>0</v>
      </c>
      <c r="T9" s="33">
        <f ca="1">SUM($L$9:$S$9)</f>
        <v>1.9842222080277629E-3</v>
      </c>
      <c r="U9" s="33">
        <f>'TUSD BE'!$U$9*'TUSD BE'!$U$81</f>
        <v>0</v>
      </c>
      <c r="V9" s="33">
        <f>'TUSD BE'!$V$9*'TUSD BE'!$V$81</f>
        <v>-1.5457062031748292E-2</v>
      </c>
      <c r="W9" s="33">
        <f>'TUSD BE'!$W$9*'TUSD BE'!$W$81</f>
        <v>0</v>
      </c>
      <c r="X9" s="33">
        <f>'TUSD BE'!$X$9*'TUSD BE'!$X$81</f>
        <v>0</v>
      </c>
      <c r="Y9" s="33">
        <f>'TUSD BE'!$Y$9*'TUSD BE'!$Y$81</f>
        <v>0</v>
      </c>
      <c r="Z9" s="33">
        <f>'TUSD BE'!$Z$9*'TUSD BE'!$Z$81</f>
        <v>0</v>
      </c>
      <c r="AA9" s="33">
        <f>'TUSD BE'!$AA$9*'TUSD BE'!$AA$81</f>
        <v>-2.3949519956543747E-3</v>
      </c>
      <c r="AB9" s="33">
        <f>SUM($U$9:$AA$9)</f>
        <v>-1.7852014027402666E-2</v>
      </c>
      <c r="AC9" s="33">
        <f>'TUSD BE'!$AC$9*'TUSD BE'!$AC$81</f>
        <v>-1.2108389773627357E-6</v>
      </c>
      <c r="AD9" s="33">
        <f>SUM($AC$9:$AC$9)</f>
        <v>-1.2108389773627357E-6</v>
      </c>
      <c r="AE9" s="33">
        <f ca="1">$AO$9*$AO$78</f>
        <v>0</v>
      </c>
      <c r="AF9" s="33">
        <f ca="1">$AP$9*$AP$78</f>
        <v>0</v>
      </c>
      <c r="AG9" s="33">
        <f ca="1">SUM($AE$9:$AF$9)</f>
        <v>0</v>
      </c>
      <c r="AH9" s="33">
        <f>'TUSD BE'!$AH$9*'TUSD BE'!$AH$81</f>
        <v>0</v>
      </c>
      <c r="AI9" s="33">
        <f>'TUSD BE'!$AI$9*'TUSD BE'!$AI$81</f>
        <v>0</v>
      </c>
      <c r="AJ9" s="33">
        <f ca="1">'TUSD BE'!$AJ$9*'TUSD BE'!$AJ$81</f>
        <v>0</v>
      </c>
      <c r="AK9" s="33">
        <f ca="1">'TUSD BE'!$AK$9*'TUSD BE'!$AK$81</f>
        <v>0</v>
      </c>
      <c r="AL9" s="33">
        <f ca="1">SUM($AH$9:$AK$9)</f>
        <v>0</v>
      </c>
      <c r="AM9" s="33">
        <f ca="1">SUMIF($L$4:$AL$4,"SUBTOTAL",$L$9:$AL$9)</f>
        <v>-1.5869002658352265E-2</v>
      </c>
      <c r="AO9" s="43">
        <f>+'TUSD BE'!$T$9+'TUSD BE'!$AB$9+'TUSD BE'!$AD$9+'TUSD BE'!$AL$9</f>
        <v>5.2584</v>
      </c>
      <c r="AP9" s="43">
        <f>+'TUSD BE'!$T$9+'TUSD BE'!$AB$9+'TUSD BE'!$AD$9+'TUSD BE'!$AL$9</f>
        <v>5.2584</v>
      </c>
    </row>
    <row r="10" spans="1:42" ht="11.25" customHeight="1" x14ac:dyDescent="0.25">
      <c r="A10" s="116"/>
      <c r="B10" s="116"/>
      <c r="C10" s="116"/>
      <c r="D10" s="116"/>
      <c r="E10" s="116"/>
      <c r="F10" s="41" t="s">
        <v>67</v>
      </c>
      <c r="G10" s="36" t="s">
        <v>9</v>
      </c>
      <c r="H10" s="36" t="s">
        <v>120</v>
      </c>
      <c r="I10" s="36">
        <f>'MERCADO TUSD'!$U$7</f>
        <v>474000</v>
      </c>
      <c r="J10" s="16"/>
      <c r="L10" s="33">
        <f>'TUSD BE'!$L$10*'TUSD BE'!$L$81</f>
        <v>0</v>
      </c>
      <c r="M10" s="33">
        <f>'TUSD BE'!$M$10*'TUSD BE'!$M$81</f>
        <v>1.5072669314690678E-3</v>
      </c>
      <c r="N10" s="33">
        <f ca="1">'TUSD BE'!$N$10*'TUSD BE'!$N$81</f>
        <v>-1.0239019438476562E-7</v>
      </c>
      <c r="O10" s="33">
        <f>'TUSD BE'!$O$10*'TUSD BE'!$O$81</f>
        <v>0</v>
      </c>
      <c r="P10" s="33">
        <f>'TUSD BE'!$P$10*'TUSD BE'!$P$81</f>
        <v>0</v>
      </c>
      <c r="Q10" s="33">
        <f>'TUSD BE'!$Q$10*'TUSD BE'!$Q$81</f>
        <v>0</v>
      </c>
      <c r="R10" s="33">
        <f>'TUSD BE'!$R$10*'TUSD BE'!$R$81</f>
        <v>0</v>
      </c>
      <c r="S10" s="33">
        <f>'TUSD BE'!$R$10*'TUSD BE'!$S$81</f>
        <v>0</v>
      </c>
      <c r="T10" s="33">
        <f ca="1">SUM($L$10:$S$10)</f>
        <v>1.5071645412746831E-3</v>
      </c>
      <c r="U10" s="33">
        <f>'TUSD BE'!$U$10*'TUSD BE'!$U$81</f>
        <v>0</v>
      </c>
      <c r="V10" s="33">
        <f>'TUSD BE'!$V$10*'TUSD BE'!$V$81</f>
        <v>-1.1739813955003241E-2</v>
      </c>
      <c r="W10" s="33">
        <f>'TUSD BE'!$W$10*'TUSD BE'!$W$81</f>
        <v>0</v>
      </c>
      <c r="X10" s="33">
        <f>'TUSD BE'!$X$10*'TUSD BE'!$X$81</f>
        <v>0</v>
      </c>
      <c r="Y10" s="33">
        <f>'TUSD BE'!$Y$10*'TUSD BE'!$Y$81</f>
        <v>0</v>
      </c>
      <c r="Z10" s="33">
        <f>'TUSD BE'!$Z$10*'TUSD BE'!$Z$81</f>
        <v>0</v>
      </c>
      <c r="AA10" s="33">
        <f>'TUSD BE'!$AA$10*'TUSD BE'!$AA$81</f>
        <v>-2.3949519956543747E-3</v>
      </c>
      <c r="AB10" s="33">
        <f>SUM($U$10:$AA$10)</f>
        <v>-1.4134765950657616E-2</v>
      </c>
      <c r="AC10" s="33">
        <f>'TUSD BE'!$AC$10*'TUSD BE'!$AC$81</f>
        <v>-9.1967679939518563E-7</v>
      </c>
      <c r="AD10" s="33">
        <f>SUM($AC$10:$AC$10)</f>
        <v>-9.1967679939518563E-7</v>
      </c>
      <c r="AE10" s="33">
        <f ca="1">$AO$10*$AO$78</f>
        <v>0</v>
      </c>
      <c r="AF10" s="33">
        <f ca="1">$AP$10*$AP$78</f>
        <v>0</v>
      </c>
      <c r="AG10" s="33">
        <f ca="1">SUM($AE$10:$AF$10)</f>
        <v>0</v>
      </c>
      <c r="AH10" s="33">
        <f>'TUSD BE'!$AH$10*'TUSD BE'!$AH$81</f>
        <v>0</v>
      </c>
      <c r="AI10" s="33">
        <f>'TUSD BE'!$AI$10*'TUSD BE'!$AI$81</f>
        <v>0</v>
      </c>
      <c r="AJ10" s="33">
        <f ca="1">'TUSD BE'!$AJ$10*'TUSD BE'!$AJ$81</f>
        <v>0</v>
      </c>
      <c r="AK10" s="33">
        <f ca="1">'TUSD BE'!$AK$10*'TUSD BE'!$AK$81</f>
        <v>0</v>
      </c>
      <c r="AL10" s="33">
        <f ca="1">SUM($AH$10:$AK$10)</f>
        <v>0</v>
      </c>
      <c r="AM10" s="33">
        <f ca="1">SUMIF($L$4:$AL$4,"SUBTOTAL",$L$10:$AL$10)</f>
        <v>-1.2628521086182327E-2</v>
      </c>
      <c r="AO10" s="43">
        <f>+'TUSD BE'!$T$10+'TUSD BE'!$AB$10+'TUSD BE'!$AD$10+'TUSD BE'!$AL$10</f>
        <v>4.0529999999999999</v>
      </c>
      <c r="AP10" s="43">
        <f>+'TUSD BE'!$T$10+'TUSD BE'!$AB$10+'TUSD BE'!$AD$10+'TUSD BE'!$AL$10</f>
        <v>4.0529999999999999</v>
      </c>
    </row>
    <row r="11" spans="1:42" ht="11.25" customHeight="1" x14ac:dyDescent="0.25">
      <c r="A11" s="116"/>
      <c r="B11" s="116"/>
      <c r="C11" s="116"/>
      <c r="D11" s="116"/>
      <c r="E11" s="116"/>
      <c r="F11" s="41" t="s">
        <v>69</v>
      </c>
      <c r="G11" s="36" t="s">
        <v>9</v>
      </c>
      <c r="H11" s="36" t="s">
        <v>120</v>
      </c>
      <c r="I11" s="36">
        <f>'MERCADO TUSD'!$U$8</f>
        <v>264004</v>
      </c>
      <c r="J11" s="16"/>
      <c r="L11" s="33">
        <f>'TUSD BE'!$L$11*'TUSD BE'!$L$81</f>
        <v>0</v>
      </c>
      <c r="M11" s="33">
        <f>'TUSD BE'!$M$11*'TUSD BE'!$M$81</f>
        <v>2.225013089311481E-3</v>
      </c>
      <c r="N11" s="33">
        <f ca="1">'TUSD BE'!$N$11*'TUSD BE'!$N$81</f>
        <v>-1.5122855665370542E-7</v>
      </c>
      <c r="O11" s="33">
        <f>'TUSD BE'!$O$11*'TUSD BE'!$O$81</f>
        <v>0</v>
      </c>
      <c r="P11" s="33">
        <f>'TUSD BE'!$P$11*'TUSD BE'!$P$81</f>
        <v>0</v>
      </c>
      <c r="Q11" s="33">
        <f>'TUSD BE'!$Q$11*'TUSD BE'!$Q$81</f>
        <v>0</v>
      </c>
      <c r="R11" s="33">
        <f>'TUSD BE'!$R$11*'TUSD BE'!$R$81</f>
        <v>0</v>
      </c>
      <c r="S11" s="33">
        <f>'TUSD BE'!$R$11*'TUSD BE'!$S$81</f>
        <v>0</v>
      </c>
      <c r="T11" s="33">
        <f ca="1">SUM($L$11:$S$11)</f>
        <v>2.2248618607548275E-3</v>
      </c>
      <c r="U11" s="33">
        <f>'TUSD BE'!$U$11*'TUSD BE'!$U$81</f>
        <v>0</v>
      </c>
      <c r="V11" s="33">
        <f>'TUSD BE'!$V$11*'TUSD BE'!$V$81</f>
        <v>-1.7339964178024088E-2</v>
      </c>
      <c r="W11" s="33">
        <f>'TUSD BE'!$W$11*'TUSD BE'!$W$81</f>
        <v>0</v>
      </c>
      <c r="X11" s="33">
        <f>'TUSD BE'!$X$11*'TUSD BE'!$X$81</f>
        <v>0</v>
      </c>
      <c r="Y11" s="33">
        <f>'TUSD BE'!$Y$11*'TUSD BE'!$Y$81</f>
        <v>0</v>
      </c>
      <c r="Z11" s="33">
        <f>'TUSD BE'!$Z$11*'TUSD BE'!$Z$81</f>
        <v>0</v>
      </c>
      <c r="AA11" s="33">
        <f>'TUSD BE'!$AA$11*'TUSD BE'!$AA$81</f>
        <v>-2.3949519956543747E-3</v>
      </c>
      <c r="AB11" s="33">
        <f>SUM($U$11:$AA$11)</f>
        <v>-1.9734916173678462E-2</v>
      </c>
      <c r="AC11" s="33">
        <f>'TUSD BE'!$AC$11*'TUSD BE'!$AC$81</f>
        <v>-1.358361692550843E-6</v>
      </c>
      <c r="AD11" s="33">
        <f>SUM($AC$11:$AC$11)</f>
        <v>-1.358361692550843E-6</v>
      </c>
      <c r="AE11" s="33">
        <f ca="1">$AO$11*$AO$78</f>
        <v>0</v>
      </c>
      <c r="AF11" s="33">
        <f ca="1">$AP$11*$AP$78</f>
        <v>0</v>
      </c>
      <c r="AG11" s="33">
        <f ca="1">SUM($AE$11:$AF$11)</f>
        <v>0</v>
      </c>
      <c r="AH11" s="33">
        <f>'TUSD BE'!$AH$11*'TUSD BE'!$AH$81</f>
        <v>0</v>
      </c>
      <c r="AI11" s="33">
        <f>'TUSD BE'!$AI$11*'TUSD BE'!$AI$81</f>
        <v>0</v>
      </c>
      <c r="AJ11" s="33">
        <f ca="1">'TUSD BE'!$AJ$11*'TUSD BE'!$AJ$81</f>
        <v>0</v>
      </c>
      <c r="AK11" s="33">
        <f ca="1">'TUSD BE'!$AK$11*'TUSD BE'!$AK$81</f>
        <v>0</v>
      </c>
      <c r="AL11" s="33">
        <f ca="1">SUM($AH$11:$AK$11)</f>
        <v>0</v>
      </c>
      <c r="AM11" s="33">
        <f ca="1">SUMIF($L$4:$AL$4,"SUBTOTAL",$L$11:$AL$11)</f>
        <v>-1.7511412674616186E-2</v>
      </c>
      <c r="AO11" s="43">
        <f>+'TUSD BE'!$T$11+'TUSD BE'!$AB$11+'TUSD BE'!$AD$11+'TUSD BE'!$AL$11</f>
        <v>5.8689999999999998</v>
      </c>
      <c r="AP11" s="43">
        <f>+'TUSD BE'!$T$11+'TUSD BE'!$AB$11+'TUSD BE'!$AD$11+'TUSD BE'!$AL$11</f>
        <v>5.8689999999999998</v>
      </c>
    </row>
    <row r="12" spans="1:42" ht="11.25" customHeight="1" x14ac:dyDescent="0.25">
      <c r="A12" s="116"/>
      <c r="B12" s="116"/>
      <c r="C12" s="116"/>
      <c r="D12" s="116"/>
      <c r="E12" s="116"/>
      <c r="F12" s="41" t="s">
        <v>72</v>
      </c>
      <c r="G12" s="36" t="s">
        <v>9</v>
      </c>
      <c r="H12" s="36" t="s">
        <v>120</v>
      </c>
      <c r="I12" s="36">
        <f>'MERCADO TUSD'!$U$9</f>
        <v>198000</v>
      </c>
      <c r="J12" s="16"/>
      <c r="L12" s="33">
        <f>'TUSD BE'!$L$12*'TUSD BE'!$L$81</f>
        <v>0</v>
      </c>
      <c r="M12" s="33">
        <f>'TUSD BE'!$M$12*'TUSD BE'!$M$81</f>
        <v>2.1110181113012153E-3</v>
      </c>
      <c r="N12" s="33">
        <f ca="1">'TUSD BE'!$N$12*'TUSD BE'!$N$81</f>
        <v>-1.4339170317334066E-7</v>
      </c>
      <c r="O12" s="33">
        <f>'TUSD BE'!$O$12*'TUSD BE'!$O$81</f>
        <v>0</v>
      </c>
      <c r="P12" s="33">
        <f>'TUSD BE'!$P$12*'TUSD BE'!$P$81</f>
        <v>0</v>
      </c>
      <c r="Q12" s="33">
        <f>'TUSD BE'!$Q$12*'TUSD BE'!$Q$81</f>
        <v>0</v>
      </c>
      <c r="R12" s="33">
        <f>'TUSD BE'!$R$12*'TUSD BE'!$R$81</f>
        <v>0</v>
      </c>
      <c r="S12" s="33">
        <f>'TUSD BE'!$R$12*'TUSD BE'!$S$81</f>
        <v>0</v>
      </c>
      <c r="T12" s="33">
        <f ca="1">SUM($L$12:$S$12)</f>
        <v>2.1108747195980422E-3</v>
      </c>
      <c r="U12" s="33">
        <f>'TUSD BE'!$U$12*'TUSD BE'!$U$81</f>
        <v>0</v>
      </c>
      <c r="V12" s="33">
        <f>'TUSD BE'!$V$12*'TUSD BE'!$V$81</f>
        <v>-1.6443472563966319E-2</v>
      </c>
      <c r="W12" s="33">
        <f>'TUSD BE'!$W$12*'TUSD BE'!$W$81</f>
        <v>0</v>
      </c>
      <c r="X12" s="33">
        <f>'TUSD BE'!$X$12*'TUSD BE'!$X$81</f>
        <v>0</v>
      </c>
      <c r="Y12" s="33">
        <f>'TUSD BE'!$Y$12*'TUSD BE'!$Y$81</f>
        <v>0</v>
      </c>
      <c r="Z12" s="33">
        <f>'TUSD BE'!$Z$12*'TUSD BE'!$Z$81</f>
        <v>0</v>
      </c>
      <c r="AA12" s="33">
        <f>'TUSD BE'!$AA$12*'TUSD BE'!$AA$81</f>
        <v>-2.3949519956543747E-3</v>
      </c>
      <c r="AB12" s="33">
        <f>SUM($U$12:$AA$12)</f>
        <v>-1.8838424559620693E-2</v>
      </c>
      <c r="AC12" s="33">
        <f>'TUSD BE'!$AC$12*'TUSD BE'!$AC$81</f>
        <v>-1.2881361384657311E-6</v>
      </c>
      <c r="AD12" s="33">
        <f>SUM($AC$12:$AC$12)</f>
        <v>-1.2881361384657311E-6</v>
      </c>
      <c r="AE12" s="33">
        <f ca="1">$AO$12*$AO$78</f>
        <v>0</v>
      </c>
      <c r="AF12" s="33">
        <f ca="1">$AP$12*$AP$78</f>
        <v>0</v>
      </c>
      <c r="AG12" s="33">
        <f ca="1">SUM($AE$12:$AF$12)</f>
        <v>0</v>
      </c>
      <c r="AH12" s="33">
        <f>'TUSD BE'!$AH$12*'TUSD BE'!$AH$81</f>
        <v>0</v>
      </c>
      <c r="AI12" s="33">
        <f>'TUSD BE'!$AI$12*'TUSD BE'!$AI$81</f>
        <v>0</v>
      </c>
      <c r="AJ12" s="33">
        <f ca="1">'TUSD BE'!$AJ$12*'TUSD BE'!$AJ$81</f>
        <v>0</v>
      </c>
      <c r="AK12" s="33">
        <f ca="1">'TUSD BE'!$AK$12*'TUSD BE'!$AK$81</f>
        <v>0</v>
      </c>
      <c r="AL12" s="33">
        <f ca="1">SUM($AH$12:$AK$12)</f>
        <v>0</v>
      </c>
      <c r="AM12" s="33">
        <f ca="1">SUMIF($L$4:$AL$4,"SUBTOTAL",$L$12:$AL$12)</f>
        <v>-1.6728837976161117E-2</v>
      </c>
      <c r="AO12" s="43">
        <f>+'TUSD BE'!$T$12+'TUSD BE'!$AB$12+'TUSD BE'!$AD$12+'TUSD BE'!$AL$12</f>
        <v>5.5783000000000005</v>
      </c>
      <c r="AP12" s="43">
        <f>+'TUSD BE'!$T$12+'TUSD BE'!$AB$12+'TUSD BE'!$AD$12+'TUSD BE'!$AL$12</f>
        <v>5.5783000000000005</v>
      </c>
    </row>
    <row r="13" spans="1:42" ht="11.25" customHeight="1" x14ac:dyDescent="0.25">
      <c r="A13" s="116"/>
      <c r="B13" s="116"/>
      <c r="C13" s="116"/>
      <c r="D13" s="116"/>
      <c r="E13" s="116"/>
      <c r="F13" s="41" t="s">
        <v>73</v>
      </c>
      <c r="G13" s="36" t="s">
        <v>9</v>
      </c>
      <c r="H13" s="36" t="s">
        <v>120</v>
      </c>
      <c r="I13" s="36">
        <f>'MERCADO TUSD'!$U$10</f>
        <v>63840</v>
      </c>
      <c r="J13" s="16"/>
      <c r="L13" s="33">
        <f>'TUSD BE'!$L$13*'TUSD BE'!$L$81</f>
        <v>0</v>
      </c>
      <c r="M13" s="33">
        <f>'TUSD BE'!$M$13*'TUSD BE'!$M$81</f>
        <v>1.9843570246231425E-3</v>
      </c>
      <c r="N13" s="33">
        <f ca="1">'TUSD BE'!$N$13*'TUSD BE'!$N$81</f>
        <v>-1.3481659537960821E-7</v>
      </c>
      <c r="O13" s="33">
        <f>'TUSD BE'!$O$13*'TUSD BE'!$O$81</f>
        <v>0</v>
      </c>
      <c r="P13" s="33">
        <f>'TUSD BE'!$P$13*'TUSD BE'!$P$81</f>
        <v>0</v>
      </c>
      <c r="Q13" s="33">
        <f>'TUSD BE'!$Q$13*'TUSD BE'!$Q$81</f>
        <v>0</v>
      </c>
      <c r="R13" s="33">
        <f>'TUSD BE'!$R$13*'TUSD BE'!$R$81</f>
        <v>0</v>
      </c>
      <c r="S13" s="33">
        <f>'TUSD BE'!$R$13*'TUSD BE'!$S$81</f>
        <v>0</v>
      </c>
      <c r="T13" s="33">
        <f ca="1">SUM($L$13:$S$13)</f>
        <v>1.9842222080277629E-3</v>
      </c>
      <c r="U13" s="33">
        <f>'TUSD BE'!$U$13*'TUSD BE'!$U$81</f>
        <v>0</v>
      </c>
      <c r="V13" s="33">
        <f>'TUSD BE'!$V$13*'TUSD BE'!$V$81</f>
        <v>-1.5457062031748292E-2</v>
      </c>
      <c r="W13" s="33">
        <f>'TUSD BE'!$W$13*'TUSD BE'!$W$81</f>
        <v>0</v>
      </c>
      <c r="X13" s="33">
        <f>'TUSD BE'!$X$13*'TUSD BE'!$X$81</f>
        <v>0</v>
      </c>
      <c r="Y13" s="33">
        <f>'TUSD BE'!$Y$13*'TUSD BE'!$Y$81</f>
        <v>0</v>
      </c>
      <c r="Z13" s="33">
        <f>'TUSD BE'!$Z$13*'TUSD BE'!$Z$81</f>
        <v>0</v>
      </c>
      <c r="AA13" s="33">
        <f>'TUSD BE'!$AA$13*'TUSD BE'!$AA$81</f>
        <v>-2.3949519956543747E-3</v>
      </c>
      <c r="AB13" s="33">
        <f>SUM($U$13:$AA$13)</f>
        <v>-1.7852014027402666E-2</v>
      </c>
      <c r="AC13" s="33">
        <f>'TUSD BE'!$AC$13*'TUSD BE'!$AC$81</f>
        <v>-1.2108389773627357E-6</v>
      </c>
      <c r="AD13" s="33">
        <f>SUM($AC$13:$AC$13)</f>
        <v>-1.2108389773627357E-6</v>
      </c>
      <c r="AE13" s="33">
        <f ca="1">$AO$13*$AO$78</f>
        <v>0</v>
      </c>
      <c r="AF13" s="33">
        <f ca="1">$AP$13*$AP$78</f>
        <v>0</v>
      </c>
      <c r="AG13" s="33">
        <f ca="1">SUM($AE$13:$AF$13)</f>
        <v>0</v>
      </c>
      <c r="AH13" s="33">
        <f>'TUSD BE'!$AH$13*'TUSD BE'!$AH$81</f>
        <v>0</v>
      </c>
      <c r="AI13" s="33">
        <f>'TUSD BE'!$AI$13*'TUSD BE'!$AI$81</f>
        <v>0</v>
      </c>
      <c r="AJ13" s="33">
        <f ca="1">'TUSD BE'!$AJ$13*'TUSD BE'!$AJ$81</f>
        <v>0</v>
      </c>
      <c r="AK13" s="33">
        <f ca="1">'TUSD BE'!$AK$13*'TUSD BE'!$AK$81</f>
        <v>0</v>
      </c>
      <c r="AL13" s="33">
        <f ca="1">SUM($AH$13:$AK$13)</f>
        <v>0</v>
      </c>
      <c r="AM13" s="33">
        <f ca="1">SUMIF($L$4:$AL$4,"SUBTOTAL",$L$13:$AL$13)</f>
        <v>-1.5869002658352265E-2</v>
      </c>
      <c r="AO13" s="43">
        <f>+'TUSD BE'!$T$13+'TUSD BE'!$AB$13+'TUSD BE'!$AD$13+'TUSD BE'!$AL$13</f>
        <v>5.2584</v>
      </c>
      <c r="AP13" s="43">
        <f>+'TUSD BE'!$T$13+'TUSD BE'!$AB$13+'TUSD BE'!$AD$13+'TUSD BE'!$AL$13</f>
        <v>5.2584</v>
      </c>
    </row>
    <row r="14" spans="1:42" ht="11.25" customHeight="1" x14ac:dyDescent="0.25">
      <c r="A14" s="116"/>
      <c r="B14" s="116"/>
      <c r="C14" s="116"/>
      <c r="D14" s="116"/>
      <c r="E14" s="116"/>
      <c r="F14" s="41" t="s">
        <v>75</v>
      </c>
      <c r="G14" s="36" t="s">
        <v>9</v>
      </c>
      <c r="H14" s="36" t="s">
        <v>120</v>
      </c>
      <c r="I14" s="36">
        <f>'MERCADO TUSD'!$U$11</f>
        <v>513773</v>
      </c>
      <c r="J14" s="16"/>
      <c r="L14" s="33">
        <f>'TUSD BE'!$L$14*'TUSD BE'!$L$81</f>
        <v>0</v>
      </c>
      <c r="M14" s="33">
        <f>'TUSD BE'!$M$14*'TUSD BE'!$M$81</f>
        <v>1.9843570246231425E-3</v>
      </c>
      <c r="N14" s="33">
        <f ca="1">'TUSD BE'!$N$14*'TUSD BE'!$N$81</f>
        <v>-1.3481659537960821E-7</v>
      </c>
      <c r="O14" s="33">
        <f>'TUSD BE'!$O$14*'TUSD BE'!$O$81</f>
        <v>0</v>
      </c>
      <c r="P14" s="33">
        <f>'TUSD BE'!$P$14*'TUSD BE'!$P$81</f>
        <v>0</v>
      </c>
      <c r="Q14" s="33">
        <f>'TUSD BE'!$Q$14*'TUSD BE'!$Q$81</f>
        <v>0</v>
      </c>
      <c r="R14" s="33">
        <f>'TUSD BE'!$R$14*'TUSD BE'!$R$81</f>
        <v>0</v>
      </c>
      <c r="S14" s="33">
        <f>'TUSD BE'!$R$14*'TUSD BE'!$S$81</f>
        <v>0</v>
      </c>
      <c r="T14" s="33">
        <f ca="1">SUM($L$14:$S$14)</f>
        <v>1.9842222080277629E-3</v>
      </c>
      <c r="U14" s="33">
        <f>'TUSD BE'!$U$14*'TUSD BE'!$U$81</f>
        <v>0</v>
      </c>
      <c r="V14" s="33">
        <f>'TUSD BE'!$V$14*'TUSD BE'!$V$81</f>
        <v>-1.5457062031748292E-2</v>
      </c>
      <c r="W14" s="33">
        <f>'TUSD BE'!$W$14*'TUSD BE'!$W$81</f>
        <v>0</v>
      </c>
      <c r="X14" s="33">
        <f>'TUSD BE'!$X$14*'TUSD BE'!$X$81</f>
        <v>0</v>
      </c>
      <c r="Y14" s="33">
        <f>'TUSD BE'!$Y$14*'TUSD BE'!$Y$81</f>
        <v>0</v>
      </c>
      <c r="Z14" s="33">
        <f>'TUSD BE'!$Z$14*'TUSD BE'!$Z$81</f>
        <v>0</v>
      </c>
      <c r="AA14" s="33">
        <f>'TUSD BE'!$AA$14*'TUSD BE'!$AA$81</f>
        <v>-2.3949519956543747E-3</v>
      </c>
      <c r="AB14" s="33">
        <f>SUM($U$14:$AA$14)</f>
        <v>-1.7852014027402666E-2</v>
      </c>
      <c r="AC14" s="33">
        <f>'TUSD BE'!$AC$14*'TUSD BE'!$AC$81</f>
        <v>-1.2108389773627357E-6</v>
      </c>
      <c r="AD14" s="33">
        <f>SUM($AC$14:$AC$14)</f>
        <v>-1.2108389773627357E-6</v>
      </c>
      <c r="AE14" s="33">
        <f ca="1">$AO$14*$AO$78</f>
        <v>0</v>
      </c>
      <c r="AF14" s="33">
        <f ca="1">$AP$14*$AP$78</f>
        <v>0</v>
      </c>
      <c r="AG14" s="33">
        <f ca="1">SUM($AE$14:$AF$14)</f>
        <v>0</v>
      </c>
      <c r="AH14" s="33">
        <f>'TUSD BE'!$AH$14*'TUSD BE'!$AH$81</f>
        <v>0</v>
      </c>
      <c r="AI14" s="33">
        <f>'TUSD BE'!$AI$14*'TUSD BE'!$AI$81</f>
        <v>0</v>
      </c>
      <c r="AJ14" s="33">
        <f ca="1">'TUSD BE'!$AJ$14*'TUSD BE'!$AJ$81</f>
        <v>0</v>
      </c>
      <c r="AK14" s="33">
        <f ca="1">'TUSD BE'!$AK$14*'TUSD BE'!$AK$81</f>
        <v>0</v>
      </c>
      <c r="AL14" s="33">
        <f ca="1">SUM($AH$14:$AK$14)</f>
        <v>0</v>
      </c>
      <c r="AM14" s="33">
        <f ca="1">SUMIF($L$4:$AL$4,"SUBTOTAL",$L$14:$AL$14)</f>
        <v>-1.5869002658352265E-2</v>
      </c>
      <c r="AO14" s="43">
        <f>+'TUSD BE'!$T$14+'TUSD BE'!$AB$14+'TUSD BE'!$AD$14+'TUSD BE'!$AL$14</f>
        <v>5.2584</v>
      </c>
      <c r="AP14" s="43">
        <f>+'TUSD BE'!$T$14+'TUSD BE'!$AB$14+'TUSD BE'!$AD$14+'TUSD BE'!$AL$14</f>
        <v>5.2584</v>
      </c>
    </row>
    <row r="15" spans="1:42" ht="11.25" customHeight="1" x14ac:dyDescent="0.25">
      <c r="A15" s="116"/>
      <c r="B15" s="116"/>
      <c r="C15" s="116"/>
      <c r="D15" s="116"/>
      <c r="E15" s="116"/>
      <c r="F15" s="41" t="s">
        <v>86</v>
      </c>
      <c r="G15" s="36" t="s">
        <v>9</v>
      </c>
      <c r="H15" s="36" t="s">
        <v>120</v>
      </c>
      <c r="I15" s="36">
        <f>'MERCADO TUSD'!$U$12</f>
        <v>292800</v>
      </c>
      <c r="J15" s="16"/>
      <c r="L15" s="33">
        <f>'TUSD BE'!$L$15*'TUSD BE'!$L$81</f>
        <v>0</v>
      </c>
      <c r="M15" s="33">
        <f>'TUSD BE'!$M$15*'TUSD BE'!$M$81</f>
        <v>1.7901433583834307E-3</v>
      </c>
      <c r="N15" s="33">
        <f ca="1">'TUSD BE'!$N$15*'TUSD BE'!$N$81</f>
        <v>-1.2158480653232569E-7</v>
      </c>
      <c r="O15" s="33">
        <f>'TUSD BE'!$O$15*'TUSD BE'!$O$81</f>
        <v>0</v>
      </c>
      <c r="P15" s="33">
        <f>'TUSD BE'!$P$15*'TUSD BE'!$P$81</f>
        <v>0</v>
      </c>
      <c r="Q15" s="33">
        <f>'TUSD BE'!$Q$15*'TUSD BE'!$Q$81</f>
        <v>0</v>
      </c>
      <c r="R15" s="33">
        <f>'TUSD BE'!$R$15*'TUSD BE'!$R$81</f>
        <v>0</v>
      </c>
      <c r="S15" s="33">
        <f>'TUSD BE'!$R$15*'TUSD BE'!$S$81</f>
        <v>0</v>
      </c>
      <c r="T15" s="33">
        <f ca="1">SUM($L$15:$S$15)</f>
        <v>1.7900217735768984E-3</v>
      </c>
      <c r="U15" s="33">
        <f>'TUSD BE'!$U$15*'TUSD BE'!$U$81</f>
        <v>0</v>
      </c>
      <c r="V15" s="33">
        <f>'TUSD BE'!$V$15*'TUSD BE'!$V$81</f>
        <v>-1.3941029071566347E-2</v>
      </c>
      <c r="W15" s="33">
        <f>'TUSD BE'!$W$15*'TUSD BE'!$W$81</f>
        <v>0</v>
      </c>
      <c r="X15" s="33">
        <f>'TUSD BE'!$X$15*'TUSD BE'!$X$81</f>
        <v>0</v>
      </c>
      <c r="Y15" s="33">
        <f>'TUSD BE'!$Y$15*'TUSD BE'!$Y$81</f>
        <v>0</v>
      </c>
      <c r="Z15" s="33">
        <f>'TUSD BE'!$Z$15*'TUSD BE'!$Z$81</f>
        <v>0</v>
      </c>
      <c r="AA15" s="33">
        <f>'TUSD BE'!$AA$15*'TUSD BE'!$AA$81</f>
        <v>-2.3949519956543747E-3</v>
      </c>
      <c r="AB15" s="33">
        <f>SUM($U$15:$AA$15)</f>
        <v>-1.6335981067220721E-2</v>
      </c>
      <c r="AC15" s="33">
        <f>'TUSD BE'!$AC$15*'TUSD BE'!$AC$81</f>
        <v>-1.0920932063398896E-6</v>
      </c>
      <c r="AD15" s="33">
        <f>SUM($AC$15:$AC$15)</f>
        <v>-1.0920932063398896E-6</v>
      </c>
      <c r="AE15" s="33">
        <f ca="1">$AO$15*$AO$78</f>
        <v>0</v>
      </c>
      <c r="AF15" s="33">
        <f ca="1">$AP$15*$AP$78</f>
        <v>0</v>
      </c>
      <c r="AG15" s="33">
        <f ca="1">SUM($AE$15:$AF$15)</f>
        <v>0</v>
      </c>
      <c r="AH15" s="33">
        <f>'TUSD BE'!$AH$15*'TUSD BE'!$AH$81</f>
        <v>0</v>
      </c>
      <c r="AI15" s="33">
        <f>'TUSD BE'!$AI$15*'TUSD BE'!$AI$81</f>
        <v>0</v>
      </c>
      <c r="AJ15" s="33">
        <f ca="1">'TUSD BE'!$AJ$15*'TUSD BE'!$AJ$81</f>
        <v>0</v>
      </c>
      <c r="AK15" s="33">
        <f ca="1">'TUSD BE'!$AK$15*'TUSD BE'!$AK$81</f>
        <v>0</v>
      </c>
      <c r="AL15" s="33">
        <f ca="1">SUM($AH$15:$AK$15)</f>
        <v>0</v>
      </c>
      <c r="AM15" s="33">
        <f ca="1">SUMIF($L$4:$AL$4,"SUBTOTAL",$L$15:$AL$15)</f>
        <v>-1.4547051386850163E-2</v>
      </c>
      <c r="AO15" s="43">
        <f>+'TUSD BE'!$T$15+'TUSD BE'!$AB$15+'TUSD BE'!$AD$15+'TUSD BE'!$AL$15</f>
        <v>4.7667999999999999</v>
      </c>
      <c r="AP15" s="43">
        <f>+'TUSD BE'!$T$15+'TUSD BE'!$AB$15+'TUSD BE'!$AD$15+'TUSD BE'!$AL$15</f>
        <v>4.7667999999999999</v>
      </c>
    </row>
    <row r="16" spans="1:42" ht="11.25" customHeight="1" x14ac:dyDescent="0.25">
      <c r="A16" s="116"/>
      <c r="B16" s="116"/>
      <c r="C16" s="116"/>
      <c r="D16" s="116"/>
      <c r="E16" s="116"/>
      <c r="F16" s="41" t="s">
        <v>87</v>
      </c>
      <c r="G16" s="36" t="s">
        <v>9</v>
      </c>
      <c r="H16" s="36" t="s">
        <v>120</v>
      </c>
      <c r="I16" s="36">
        <f>'MERCADO TUSD'!$U$13</f>
        <v>300000</v>
      </c>
      <c r="J16" s="16"/>
      <c r="L16" s="33">
        <f>'TUSD BE'!$L$16*'TUSD BE'!$L$81</f>
        <v>0</v>
      </c>
      <c r="M16" s="33">
        <f>'TUSD BE'!$M$16*'TUSD BE'!$M$81</f>
        <v>2.1827927270854568E-3</v>
      </c>
      <c r="N16" s="33">
        <f ca="1">'TUSD BE'!$N$16*'TUSD BE'!$N$81</f>
        <v>-1.4833232819357062E-7</v>
      </c>
      <c r="O16" s="33">
        <f>'TUSD BE'!$O$16*'TUSD BE'!$O$81</f>
        <v>0</v>
      </c>
      <c r="P16" s="33">
        <f>'TUSD BE'!$P$16*'TUSD BE'!$P$81</f>
        <v>0</v>
      </c>
      <c r="Q16" s="33">
        <f>'TUSD BE'!$Q$16*'TUSD BE'!$Q$81</f>
        <v>0</v>
      </c>
      <c r="R16" s="33">
        <f>'TUSD BE'!$R$16*'TUSD BE'!$R$81</f>
        <v>0</v>
      </c>
      <c r="S16" s="33">
        <f>'TUSD BE'!$R$16*'TUSD BE'!$S$81</f>
        <v>0</v>
      </c>
      <c r="T16" s="33">
        <f ca="1">SUM($L$16:$S$16)</f>
        <v>2.182644394757263E-3</v>
      </c>
      <c r="U16" s="33">
        <f>'TUSD BE'!$U$16*'TUSD BE'!$U$81</f>
        <v>0</v>
      </c>
      <c r="V16" s="33">
        <f>'TUSD BE'!$V$16*'TUSD BE'!$V$81</f>
        <v>-1.7007264180831132E-2</v>
      </c>
      <c r="W16" s="33">
        <f>'TUSD BE'!$W$16*'TUSD BE'!$W$81</f>
        <v>0</v>
      </c>
      <c r="X16" s="33">
        <f>'TUSD BE'!$X$16*'TUSD BE'!$X$81</f>
        <v>0</v>
      </c>
      <c r="Y16" s="33">
        <f>'TUSD BE'!$Y$16*'TUSD BE'!$Y$81</f>
        <v>0</v>
      </c>
      <c r="Z16" s="33">
        <f>'TUSD BE'!$Z$16*'TUSD BE'!$Z$81</f>
        <v>0</v>
      </c>
      <c r="AA16" s="33">
        <f>'TUSD BE'!$AA$16*'TUSD BE'!$AA$81</f>
        <v>-2.3949519956543747E-3</v>
      </c>
      <c r="AB16" s="33">
        <f>SUM($U$16:$AA$16)</f>
        <v>-1.9402216176485507E-2</v>
      </c>
      <c r="AC16" s="33">
        <f>'TUSD BE'!$AC$16*'TUSD BE'!$AC$81</f>
        <v>-1.3323234632422188E-6</v>
      </c>
      <c r="AD16" s="33">
        <f>SUM($AC$16:$AC$16)</f>
        <v>-1.3323234632422188E-6</v>
      </c>
      <c r="AE16" s="33">
        <f ca="1">$AO$16*$AO$78</f>
        <v>0</v>
      </c>
      <c r="AF16" s="33">
        <f ca="1">$AP$16*$AP$78</f>
        <v>0</v>
      </c>
      <c r="AG16" s="33">
        <f ca="1">SUM($AE$16:$AF$16)</f>
        <v>0</v>
      </c>
      <c r="AH16" s="33">
        <f>'TUSD BE'!$AH$16*'TUSD BE'!$AH$81</f>
        <v>0</v>
      </c>
      <c r="AI16" s="33">
        <f>'TUSD BE'!$AI$16*'TUSD BE'!$AI$81</f>
        <v>0</v>
      </c>
      <c r="AJ16" s="33">
        <f ca="1">'TUSD BE'!$AJ$16*'TUSD BE'!$AJ$81</f>
        <v>0</v>
      </c>
      <c r="AK16" s="33">
        <f ca="1">'TUSD BE'!$AK$16*'TUSD BE'!$AK$81</f>
        <v>0</v>
      </c>
      <c r="AL16" s="33">
        <f ca="1">SUM($AH$16:$AK$16)</f>
        <v>0</v>
      </c>
      <c r="AM16" s="33">
        <f ca="1">SUMIF($L$4:$AL$4,"SUBTOTAL",$L$16:$AL$16)</f>
        <v>-1.7220904105191486E-2</v>
      </c>
      <c r="AO16" s="43">
        <f>+'TUSD BE'!$T$16+'TUSD BE'!$AB$16+'TUSD BE'!$AD$16+'TUSD BE'!$AL$16</f>
        <v>5.7611999999999997</v>
      </c>
      <c r="AP16" s="43">
        <f>+'TUSD BE'!$T$16+'TUSD BE'!$AB$16+'TUSD BE'!$AD$16+'TUSD BE'!$AL$16</f>
        <v>5.7611999999999997</v>
      </c>
    </row>
    <row r="17" spans="1:42" ht="11.25" customHeight="1" x14ac:dyDescent="0.25">
      <c r="A17" s="116"/>
      <c r="B17" s="116"/>
      <c r="C17" s="116"/>
      <c r="D17" s="116"/>
      <c r="E17" s="116"/>
      <c r="F17" s="41" t="s">
        <v>89</v>
      </c>
      <c r="G17" s="36" t="s">
        <v>9</v>
      </c>
      <c r="H17" s="36" t="s">
        <v>120</v>
      </c>
      <c r="I17" s="36">
        <f>'MERCADO TUSD'!$U$14</f>
        <v>151200</v>
      </c>
      <c r="J17" s="16"/>
      <c r="L17" s="33">
        <f>'TUSD BE'!$L$17*'TUSD BE'!$L$81</f>
        <v>0</v>
      </c>
      <c r="M17" s="33">
        <f>'TUSD BE'!$M$17*'TUSD BE'!$M$81</f>
        <v>2.0941299664108057E-3</v>
      </c>
      <c r="N17" s="33">
        <f ca="1">'TUSD BE'!$N$17*'TUSD BE'!$N$81</f>
        <v>-1.4225592730662114E-7</v>
      </c>
      <c r="O17" s="33">
        <f>'TUSD BE'!$O$17*'TUSD BE'!$O$81</f>
        <v>0</v>
      </c>
      <c r="P17" s="33">
        <f>'TUSD BE'!$P$17*'TUSD BE'!$P$81</f>
        <v>0</v>
      </c>
      <c r="Q17" s="33">
        <f>'TUSD BE'!$Q$17*'TUSD BE'!$Q$81</f>
        <v>0</v>
      </c>
      <c r="R17" s="33">
        <f>'TUSD BE'!$R$17*'TUSD BE'!$R$81</f>
        <v>0</v>
      </c>
      <c r="S17" s="33">
        <f>'TUSD BE'!$R$17*'TUSD BE'!$S$81</f>
        <v>0</v>
      </c>
      <c r="T17" s="33">
        <f ca="1">SUM($L$17:$S$17)</f>
        <v>2.0939877104834991E-3</v>
      </c>
      <c r="U17" s="33">
        <f>'TUSD BE'!$U$17*'TUSD BE'!$U$81</f>
        <v>0</v>
      </c>
      <c r="V17" s="33">
        <f>'TUSD BE'!$V$17*'TUSD BE'!$V$81</f>
        <v>-1.6315787700178754E-2</v>
      </c>
      <c r="W17" s="33">
        <f>'TUSD BE'!$W$17*'TUSD BE'!$W$81</f>
        <v>0</v>
      </c>
      <c r="X17" s="33">
        <f>'TUSD BE'!$X$17*'TUSD BE'!$X$81</f>
        <v>0</v>
      </c>
      <c r="Y17" s="33">
        <f>'TUSD BE'!$Y$17*'TUSD BE'!$Y$81</f>
        <v>0</v>
      </c>
      <c r="Z17" s="33">
        <f>'TUSD BE'!$Z$17*'TUSD BE'!$Z$81</f>
        <v>0</v>
      </c>
      <c r="AA17" s="33">
        <f>'TUSD BE'!$AA$17*'TUSD BE'!$AA$81</f>
        <v>-2.3949519956543747E-3</v>
      </c>
      <c r="AB17" s="33">
        <f>SUM($U$17:$AA$17)</f>
        <v>-1.8710739695833128E-2</v>
      </c>
      <c r="AC17" s="33">
        <f>'TUSD BE'!$AC$17*'TUSD BE'!$AC$81</f>
        <v>-1.2780805585443473E-6</v>
      </c>
      <c r="AD17" s="33">
        <f>SUM($AC$17:$AC$17)</f>
        <v>-1.2780805585443473E-6</v>
      </c>
      <c r="AE17" s="33">
        <f ca="1">$AO$17*$AO$78</f>
        <v>0</v>
      </c>
      <c r="AF17" s="33">
        <f ca="1">$AP$17*$AP$78</f>
        <v>0</v>
      </c>
      <c r="AG17" s="33">
        <f ca="1">SUM($AE$17:$AF$17)</f>
        <v>0</v>
      </c>
      <c r="AH17" s="33">
        <f>'TUSD BE'!$AH$17*'TUSD BE'!$AH$81</f>
        <v>0</v>
      </c>
      <c r="AI17" s="33">
        <f>'TUSD BE'!$AI$17*'TUSD BE'!$AI$81</f>
        <v>0</v>
      </c>
      <c r="AJ17" s="33">
        <f ca="1">'TUSD BE'!$AJ$17*'TUSD BE'!$AJ$81</f>
        <v>0</v>
      </c>
      <c r="AK17" s="33">
        <f ca="1">'TUSD BE'!$AK$17*'TUSD BE'!$AK$81</f>
        <v>0</v>
      </c>
      <c r="AL17" s="33">
        <f ca="1">SUM($AH$17:$AK$17)</f>
        <v>0</v>
      </c>
      <c r="AM17" s="33">
        <f ca="1">SUMIF($L$4:$AL$4,"SUBTOTAL",$L$17:$AL$17)</f>
        <v>-1.661803006590817E-2</v>
      </c>
      <c r="AO17" s="43">
        <f>+'TUSD BE'!$T$17+'TUSD BE'!$AB$17+'TUSD BE'!$AD$17+'TUSD BE'!$AL$17</f>
        <v>5.5366999999999997</v>
      </c>
      <c r="AP17" s="43">
        <f>+'TUSD BE'!$T$17+'TUSD BE'!$AB$17+'TUSD BE'!$AD$17+'TUSD BE'!$AL$17</f>
        <v>5.5366999999999997</v>
      </c>
    </row>
    <row r="18" spans="1:42" ht="11.25" customHeight="1" x14ac:dyDescent="0.25">
      <c r="A18" s="116"/>
      <c r="B18" s="116"/>
      <c r="C18" s="116"/>
      <c r="D18" s="116"/>
      <c r="E18" s="116"/>
      <c r="F18" s="41" t="s">
        <v>92</v>
      </c>
      <c r="G18" s="36" t="s">
        <v>9</v>
      </c>
      <c r="H18" s="36" t="s">
        <v>120</v>
      </c>
      <c r="I18" s="36">
        <f>'MERCADO TUSD'!$U$15</f>
        <v>97200</v>
      </c>
      <c r="J18" s="16"/>
      <c r="L18" s="33">
        <f>'TUSD BE'!$L$18*'TUSD BE'!$L$81</f>
        <v>0</v>
      </c>
      <c r="M18" s="33">
        <f>'TUSD BE'!$M$18*'TUSD BE'!$M$81</f>
        <v>1.9569137891762268E-3</v>
      </c>
      <c r="N18" s="33">
        <f ca="1">'TUSD BE'!$N$18*'TUSD BE'!$N$81</f>
        <v>-1.3299935399285697E-7</v>
      </c>
      <c r="O18" s="33">
        <f>'TUSD BE'!$O$18*'TUSD BE'!$O$81</f>
        <v>0</v>
      </c>
      <c r="P18" s="33">
        <f>'TUSD BE'!$P$18*'TUSD BE'!$P$81</f>
        <v>0</v>
      </c>
      <c r="Q18" s="33">
        <f>'TUSD BE'!$Q$18*'TUSD BE'!$Q$81</f>
        <v>0</v>
      </c>
      <c r="R18" s="33">
        <f>'TUSD BE'!$R$18*'TUSD BE'!$R$81</f>
        <v>0</v>
      </c>
      <c r="S18" s="33">
        <f>'TUSD BE'!$R$18*'TUSD BE'!$S$81</f>
        <v>0</v>
      </c>
      <c r="T18" s="33">
        <f ca="1">SUM($L$18:$S$18)</f>
        <v>1.9567807898222341E-3</v>
      </c>
      <c r="U18" s="33">
        <f>'TUSD BE'!$U$18*'TUSD BE'!$U$81</f>
        <v>0</v>
      </c>
      <c r="V18" s="33">
        <f>'TUSD BE'!$V$18*'TUSD BE'!$V$81</f>
        <v>-1.5249349330798096E-2</v>
      </c>
      <c r="W18" s="33">
        <f>'TUSD BE'!$W$18*'TUSD BE'!$W$81</f>
        <v>0</v>
      </c>
      <c r="X18" s="33">
        <f>'TUSD BE'!$X$18*'TUSD BE'!$X$81</f>
        <v>0</v>
      </c>
      <c r="Y18" s="33">
        <f>'TUSD BE'!$Y$18*'TUSD BE'!$Y$81</f>
        <v>0</v>
      </c>
      <c r="Z18" s="33">
        <f>'TUSD BE'!$Z$18*'TUSD BE'!$Z$81</f>
        <v>0</v>
      </c>
      <c r="AA18" s="33">
        <f>'TUSD BE'!$AA$18*'TUSD BE'!$AA$81</f>
        <v>-2.3949519956543747E-3</v>
      </c>
      <c r="AB18" s="33">
        <f>SUM($U$18:$AA$18)</f>
        <v>-1.764430132645247E-2</v>
      </c>
      <c r="AC18" s="33">
        <f>'TUSD BE'!$AC$18*'TUSD BE'!$AC$81</f>
        <v>-1.1945701935874887E-6</v>
      </c>
      <c r="AD18" s="33">
        <f>SUM($AC$18:$AC$18)</f>
        <v>-1.1945701935874887E-6</v>
      </c>
      <c r="AE18" s="33">
        <f ca="1">$AO$18*$AO$78</f>
        <v>0</v>
      </c>
      <c r="AF18" s="33">
        <f ca="1">$AP$18*$AP$78</f>
        <v>0</v>
      </c>
      <c r="AG18" s="33">
        <f ca="1">SUM($AE$18:$AF$18)</f>
        <v>0</v>
      </c>
      <c r="AH18" s="33">
        <f>'TUSD BE'!$AH$18*'TUSD BE'!$AH$81</f>
        <v>0</v>
      </c>
      <c r="AI18" s="33">
        <f>'TUSD BE'!$AI$18*'TUSD BE'!$AI$81</f>
        <v>0</v>
      </c>
      <c r="AJ18" s="33">
        <f ca="1">'TUSD BE'!$AJ$18*'TUSD BE'!$AJ$81</f>
        <v>0</v>
      </c>
      <c r="AK18" s="33">
        <f ca="1">'TUSD BE'!$AK$18*'TUSD BE'!$AK$81</f>
        <v>0</v>
      </c>
      <c r="AL18" s="33">
        <f ca="1">SUM($AH$18:$AK$18)</f>
        <v>0</v>
      </c>
      <c r="AM18" s="33">
        <f ca="1">SUMIF($L$4:$AL$4,"SUBTOTAL",$L$18:$AL$18)</f>
        <v>-1.5688715106823823E-2</v>
      </c>
      <c r="AO18" s="43">
        <f>+'TUSD BE'!$T$18+'TUSD BE'!$AB$18+'TUSD BE'!$AD$18+'TUSD BE'!$AL$18</f>
        <v>5.1910000000000007</v>
      </c>
      <c r="AP18" s="43">
        <f>+'TUSD BE'!$T$18+'TUSD BE'!$AB$18+'TUSD BE'!$AD$18+'TUSD BE'!$AL$18</f>
        <v>5.1910000000000007</v>
      </c>
    </row>
    <row r="19" spans="1:42" ht="11.25" customHeight="1" x14ac:dyDescent="0.25">
      <c r="A19" s="116"/>
      <c r="B19" s="116"/>
      <c r="C19" s="116"/>
      <c r="D19" s="116"/>
      <c r="E19" s="116"/>
      <c r="F19" s="41" t="s">
        <v>124</v>
      </c>
      <c r="G19" s="36" t="s">
        <v>9</v>
      </c>
      <c r="H19" s="36" t="s">
        <v>120</v>
      </c>
      <c r="I19" s="36">
        <f>'MERCADO TUSD'!$U$16</f>
        <v>0</v>
      </c>
      <c r="J19" s="16"/>
      <c r="L19" s="33">
        <f>'TUSD BE'!$L$19*'TUSD BE'!$L$81</f>
        <v>0</v>
      </c>
      <c r="M19" s="33">
        <f>'TUSD BE'!$M$19*'TUSD BE'!$M$81</f>
        <v>2.7485455809141825E-3</v>
      </c>
      <c r="N19" s="33">
        <f ca="1">'TUSD BE'!$N$19*'TUSD BE'!$N$81</f>
        <v>-1.8666476369535476E-7</v>
      </c>
      <c r="O19" s="33">
        <f>'TUSD BE'!$O$19*'TUSD BE'!$O$81</f>
        <v>0</v>
      </c>
      <c r="P19" s="33">
        <f>'TUSD BE'!$P$19*'TUSD BE'!$P$81</f>
        <v>0</v>
      </c>
      <c r="Q19" s="33">
        <f>'TUSD BE'!$Q$19*'TUSD BE'!$Q$81</f>
        <v>0</v>
      </c>
      <c r="R19" s="33">
        <f>'TUSD BE'!$R$19*'TUSD BE'!$R$81</f>
        <v>0</v>
      </c>
      <c r="S19" s="33">
        <f>'TUSD BE'!$R$19*'TUSD BE'!$S$81</f>
        <v>0</v>
      </c>
      <c r="T19" s="33">
        <f ca="1">SUM($L$19:$S$19)</f>
        <v>2.7483589161504873E-3</v>
      </c>
      <c r="U19" s="33">
        <f>'TUSD BE'!$U$19*'TUSD BE'!$U$81</f>
        <v>0</v>
      </c>
      <c r="V19" s="33">
        <f>'TUSD BE'!$V$19*'TUSD BE'!$V$81</f>
        <v>-8.1115856072368434E-3</v>
      </c>
      <c r="W19" s="33">
        <f>'TUSD BE'!$W$19*'TUSD BE'!$W$81</f>
        <v>0</v>
      </c>
      <c r="X19" s="33">
        <f>'TUSD BE'!$X$19*'TUSD BE'!$X$81</f>
        <v>0</v>
      </c>
      <c r="Y19" s="33">
        <f>'TUSD BE'!$Y$19*'TUSD BE'!$Y$81</f>
        <v>0</v>
      </c>
      <c r="Z19" s="33">
        <f>'TUSD BE'!$Z$19*'TUSD BE'!$Z$81</f>
        <v>0</v>
      </c>
      <c r="AA19" s="33">
        <f>'TUSD BE'!$AA$19*'TUSD BE'!$AA$81</f>
        <v>0</v>
      </c>
      <c r="AB19" s="33">
        <f>SUM($U$19:$AA$19)</f>
        <v>-8.1115856072368434E-3</v>
      </c>
      <c r="AC19" s="33">
        <f>'TUSD BE'!$AC$19*'TUSD BE'!$AC$81</f>
        <v>-1.4543393415565719E-6</v>
      </c>
      <c r="AD19" s="33">
        <f>SUM($AC$19:$AC$19)</f>
        <v>-1.4543393415565719E-6</v>
      </c>
      <c r="AE19" s="33">
        <f ca="1">$AO$19*$AO$78</f>
        <v>0</v>
      </c>
      <c r="AF19" s="33">
        <f ca="1">$AP$19*$AP$78</f>
        <v>0</v>
      </c>
      <c r="AG19" s="33">
        <f ca="1">SUM($AE$19:$AF$19)</f>
        <v>0</v>
      </c>
      <c r="AH19" s="33">
        <f>'TUSD BE'!$AH$19*'TUSD BE'!$AH$81</f>
        <v>0</v>
      </c>
      <c r="AI19" s="33">
        <f>'TUSD BE'!$AI$19*'TUSD BE'!$AI$81</f>
        <v>0</v>
      </c>
      <c r="AJ19" s="33">
        <f ca="1">'TUSD BE'!$AJ$19*'TUSD BE'!$AJ$81</f>
        <v>0</v>
      </c>
      <c r="AK19" s="33">
        <f ca="1">'TUSD BE'!$AK$19*'TUSD BE'!$AK$81</f>
        <v>0</v>
      </c>
      <c r="AL19" s="33">
        <f ca="1">SUM($AH$19:$AK$19)</f>
        <v>0</v>
      </c>
      <c r="AM19" s="33">
        <f ca="1">SUMIF($L$4:$AL$4,"SUBTOTAL",$L$19:$AL$19)</f>
        <v>-5.3646810304279124E-3</v>
      </c>
      <c r="AO19" s="43">
        <f>+'TUSD BE'!$T$19+'TUSD BE'!$AB$19+'TUSD BE'!$AD$19+'TUSD BE'!$AL$19</f>
        <v>5.2130000000000001</v>
      </c>
      <c r="AP19" s="43">
        <f>+'TUSD BE'!$T$19+'TUSD BE'!$AB$19+'TUSD BE'!$AD$19+'TUSD BE'!$AL$19</f>
        <v>5.2130000000000001</v>
      </c>
    </row>
    <row r="20" spans="1:42" ht="11.25" customHeight="1" x14ac:dyDescent="0.25">
      <c r="A20" s="116" t="s">
        <v>39</v>
      </c>
      <c r="B20" s="116" t="s">
        <v>40</v>
      </c>
      <c r="C20" s="116" t="s">
        <v>25</v>
      </c>
      <c r="D20" s="116" t="s">
        <v>25</v>
      </c>
      <c r="E20" s="116" t="s">
        <v>25</v>
      </c>
      <c r="F20" s="116" t="s">
        <v>25</v>
      </c>
      <c r="G20" s="36" t="s">
        <v>121</v>
      </c>
      <c r="H20" s="36" t="s">
        <v>120</v>
      </c>
      <c r="I20" s="36">
        <f>'MERCADO TUSD'!$U$17</f>
        <v>180459</v>
      </c>
      <c r="J20" s="16"/>
      <c r="L20" s="33">
        <f>'TUSD BE'!$L$20*'TUSD BE'!$L$81</f>
        <v>0</v>
      </c>
      <c r="M20" s="33">
        <f>'TUSD BE'!$M$20*'TUSD BE'!$M$81</f>
        <v>0</v>
      </c>
      <c r="N20" s="33">
        <f ca="1">'TUSD BE'!$N$20*'TUSD BE'!$N$81</f>
        <v>0</v>
      </c>
      <c r="O20" s="33">
        <f>'TUSD BE'!$O$20*'TUSD BE'!$O$81</f>
        <v>0</v>
      </c>
      <c r="P20" s="33">
        <f>'TUSD BE'!$P$20*'TUSD BE'!$P$81</f>
        <v>0</v>
      </c>
      <c r="Q20" s="33">
        <f>'TUSD BE'!$Q$20*'TUSD BE'!$Q$81</f>
        <v>0</v>
      </c>
      <c r="R20" s="33">
        <f>'TUSD BE'!$R$20*'TUSD BE'!$R$81</f>
        <v>0</v>
      </c>
      <c r="S20" s="33">
        <f>'TUSD BE'!$R$20*'TUSD BE'!$S$81</f>
        <v>0</v>
      </c>
      <c r="T20" s="33">
        <f ca="1">SUM($L$20:$S$20)</f>
        <v>0</v>
      </c>
      <c r="U20" s="33">
        <f>'TUSD BE'!$U$20*'TUSD BE'!$U$81</f>
        <v>0.68071683844525932</v>
      </c>
      <c r="V20" s="33">
        <f>'TUSD BE'!$V$20*'TUSD BE'!$V$81</f>
        <v>-3.3286468937092096E-4</v>
      </c>
      <c r="W20" s="33">
        <f>'TUSD BE'!$W$20*'TUSD BE'!$W$81</f>
        <v>0</v>
      </c>
      <c r="X20" s="33">
        <f>'TUSD BE'!$X$20*'TUSD BE'!$X$81</f>
        <v>0</v>
      </c>
      <c r="Y20" s="33">
        <f>'TUSD BE'!$Y$20*'TUSD BE'!$Y$81</f>
        <v>0.27540768496859691</v>
      </c>
      <c r="Z20" s="33">
        <f>'TUSD BE'!$Z$20*'TUSD BE'!$Z$81</f>
        <v>0</v>
      </c>
      <c r="AA20" s="33">
        <f>'TUSD BE'!$AA$20*'TUSD BE'!$AA$81</f>
        <v>0</v>
      </c>
      <c r="AB20" s="33">
        <f>SUM($U$20:$AA$20)</f>
        <v>0.95579165872448535</v>
      </c>
      <c r="AC20" s="33">
        <f>'TUSD BE'!$AC$20*'TUSD BE'!$AC$81</f>
        <v>-5.5194497014347479E-6</v>
      </c>
      <c r="AD20" s="33">
        <f>SUM($AC$20:$AC$20)</f>
        <v>-5.5194497014347479E-6</v>
      </c>
      <c r="AE20" s="33">
        <f ca="1">$AO$20*$AO$78</f>
        <v>0</v>
      </c>
      <c r="AF20" s="33">
        <f ca="1">$AP$20*$AP$78</f>
        <v>0</v>
      </c>
      <c r="AG20" s="33">
        <f ca="1">SUM($AE$20:$AF$20)</f>
        <v>0</v>
      </c>
      <c r="AH20" s="33">
        <f>'TUSD BE'!$AH$20*'TUSD BE'!$AH$81</f>
        <v>0</v>
      </c>
      <c r="AI20" s="33">
        <f>'TUSD BE'!$AI$20*'TUSD BE'!$AI$81</f>
        <v>0</v>
      </c>
      <c r="AJ20" s="33">
        <f ca="1">'TUSD BE'!$AJ$20*'TUSD BE'!$AJ$81</f>
        <v>0</v>
      </c>
      <c r="AK20" s="33">
        <f ca="1">'TUSD BE'!$AK$20*'TUSD BE'!$AK$81</f>
        <v>0</v>
      </c>
      <c r="AL20" s="33">
        <f ca="1">SUM($AH$20:$AK$20)</f>
        <v>0</v>
      </c>
      <c r="AM20" s="33">
        <f ca="1">SUMIF($L$4:$AL$4,"SUBTOTAL",$L$20:$AL$20)</f>
        <v>0.95578613927478395</v>
      </c>
      <c r="AO20" s="43">
        <f ca="1">+'TUSD BE'!$T$20+'TUSD BE'!$AB$20+'TUSD BE'!$AD$20+'TUSD BE'!$AL$20</f>
        <v>27.438454085569195</v>
      </c>
      <c r="AP20" s="43">
        <f ca="1">+'TUSD BE'!$T$20+'TUSD BE'!$AB$20+'TUSD BE'!$AD$20+'TUSD BE'!$AL$20</f>
        <v>27.438454085569195</v>
      </c>
    </row>
    <row r="21" spans="1:42" ht="11.25" customHeight="1" x14ac:dyDescent="0.25">
      <c r="A21" s="116"/>
      <c r="B21" s="116"/>
      <c r="C21" s="116"/>
      <c r="D21" s="116"/>
      <c r="E21" s="116"/>
      <c r="F21" s="116"/>
      <c r="G21" s="36" t="s">
        <v>122</v>
      </c>
      <c r="H21" s="36" t="s">
        <v>120</v>
      </c>
      <c r="I21" s="36">
        <f>'MERCADO TUSD'!$U$18</f>
        <v>183466</v>
      </c>
      <c r="J21" s="16"/>
      <c r="L21" s="33">
        <f>'TUSD BE'!$L$21*'TUSD BE'!$L$81</f>
        <v>0</v>
      </c>
      <c r="M21" s="33">
        <f>'TUSD BE'!$M$21*'TUSD BE'!$M$81</f>
        <v>0</v>
      </c>
      <c r="N21" s="33">
        <f ca="1">'TUSD BE'!$N$21*'TUSD BE'!$N$81</f>
        <v>0</v>
      </c>
      <c r="O21" s="33">
        <f>'TUSD BE'!$O$21*'TUSD BE'!$O$81</f>
        <v>0</v>
      </c>
      <c r="P21" s="33">
        <f>'TUSD BE'!$P$21*'TUSD BE'!$P$81</f>
        <v>0</v>
      </c>
      <c r="Q21" s="33">
        <f>'TUSD BE'!$Q$21*'TUSD BE'!$Q$81</f>
        <v>0</v>
      </c>
      <c r="R21" s="33">
        <f>'TUSD BE'!$R$21*'TUSD BE'!$R$81</f>
        <v>0</v>
      </c>
      <c r="S21" s="33">
        <f>'TUSD BE'!$R$21*'TUSD BE'!$S$81</f>
        <v>0</v>
      </c>
      <c r="T21" s="33">
        <f ca="1">SUM($L$21:$S$21)</f>
        <v>0</v>
      </c>
      <c r="U21" s="33">
        <f>'TUSD BE'!$U$21*'TUSD BE'!$U$81</f>
        <v>0.61043531929363815</v>
      </c>
      <c r="V21" s="33">
        <f>'TUSD BE'!$V$21*'TUSD BE'!$V$81</f>
        <v>-3.0336593084775065E-4</v>
      </c>
      <c r="W21" s="33">
        <f>'TUSD BE'!$W$21*'TUSD BE'!$W$81</f>
        <v>0</v>
      </c>
      <c r="X21" s="33">
        <f>'TUSD BE'!$X$21*'TUSD BE'!$X$81</f>
        <v>0</v>
      </c>
      <c r="Y21" s="33">
        <f>'TUSD BE'!$Y$21*'TUSD BE'!$Y$81</f>
        <v>0.171723381157697</v>
      </c>
      <c r="Z21" s="33">
        <f>'TUSD BE'!$Z$21*'TUSD BE'!$Z$81</f>
        <v>0</v>
      </c>
      <c r="AA21" s="33">
        <f>'TUSD BE'!$AA$21*'TUSD BE'!$AA$81</f>
        <v>0</v>
      </c>
      <c r="AB21" s="33">
        <f>SUM($U$21:$AA$21)</f>
        <v>0.78185533452048739</v>
      </c>
      <c r="AC21" s="33">
        <f>'TUSD BE'!$AC$21*'TUSD BE'!$AC$81</f>
        <v>-5.5194042517949926E-7</v>
      </c>
      <c r="AD21" s="33">
        <f>SUM($AC$21:$AC$21)</f>
        <v>-5.5194042517949926E-7</v>
      </c>
      <c r="AE21" s="33">
        <f ca="1">$AO$21*$AO$78</f>
        <v>0</v>
      </c>
      <c r="AF21" s="33">
        <f ca="1">$AP$21*$AP$78</f>
        <v>0</v>
      </c>
      <c r="AG21" s="33">
        <f ca="1">SUM($AE$21:$AF$21)</f>
        <v>0</v>
      </c>
      <c r="AH21" s="33">
        <f>'TUSD BE'!$AH$21*'TUSD BE'!$AH$81</f>
        <v>0</v>
      </c>
      <c r="AI21" s="33">
        <f>'TUSD BE'!$AI$21*'TUSD BE'!$AI$81</f>
        <v>0</v>
      </c>
      <c r="AJ21" s="33">
        <f ca="1">'TUSD BE'!$AJ$21*'TUSD BE'!$AJ$81</f>
        <v>0</v>
      </c>
      <c r="AK21" s="33">
        <f ca="1">'TUSD BE'!$AK$21*'TUSD BE'!$AK$81</f>
        <v>0</v>
      </c>
      <c r="AL21" s="33">
        <f ca="1">SUM($AH$21:$AK$21)</f>
        <v>0</v>
      </c>
      <c r="AM21" s="33">
        <f ca="1">SUMIF($L$4:$AL$4,"SUBTOTAL",$L$21:$AL$21)</f>
        <v>0.78185478258006225</v>
      </c>
      <c r="AO21" s="43">
        <f ca="1">+'TUSD BE'!$T$21+'TUSD BE'!$AB$21+'TUSD BE'!$AD$21+'TUSD BE'!$AL$21</f>
        <v>10.763304454166171</v>
      </c>
      <c r="AP21" s="43">
        <f ca="1">+'TUSD BE'!$T$21+'TUSD BE'!$AB$21+'TUSD BE'!$AD$21+'TUSD BE'!$AL$21</f>
        <v>10.763304454166171</v>
      </c>
    </row>
    <row r="22" spans="1:42" ht="11.25" customHeight="1" x14ac:dyDescent="0.25">
      <c r="A22" s="116"/>
      <c r="B22" s="116"/>
      <c r="C22" s="116"/>
      <c r="D22" s="116"/>
      <c r="E22" s="116"/>
      <c r="F22" s="116"/>
      <c r="G22" s="36" t="s">
        <v>123</v>
      </c>
      <c r="H22" s="36" t="s">
        <v>117</v>
      </c>
      <c r="I22" s="36">
        <f>'MERCADO TUSD'!$U$19</f>
        <v>99874.462</v>
      </c>
      <c r="J22" s="16"/>
      <c r="L22" s="33">
        <f>'TUSD BE'!$L$22*'TUSD BE'!$L$81</f>
        <v>-2.6588239769396171</v>
      </c>
      <c r="M22" s="33">
        <f>'TUSD BE'!$M$22*'TUSD BE'!$M$81</f>
        <v>2.3401243815811537E-3</v>
      </c>
      <c r="N22" s="33">
        <f ca="1">'TUSD BE'!$N$22*'TUSD BE'!$N$81</f>
        <v>-1.8020182359448188E-7</v>
      </c>
      <c r="O22" s="33">
        <f>'TUSD BE'!$O$22*'TUSD BE'!$O$81</f>
        <v>0</v>
      </c>
      <c r="P22" s="33">
        <f>'TUSD BE'!$P$22*'TUSD BE'!$P$81</f>
        <v>0</v>
      </c>
      <c r="Q22" s="33">
        <f>'TUSD BE'!$Q$22*'TUSD BE'!$Q$81</f>
        <v>1.3912303438390108</v>
      </c>
      <c r="R22" s="33">
        <f>'TUSD BE'!$R$22*'TUSD BE'!$R$81</f>
        <v>0.32331020778137509</v>
      </c>
      <c r="S22" s="33">
        <f>'TUSD BE'!$R$22*'TUSD BE'!$S$81</f>
        <v>0</v>
      </c>
      <c r="T22" s="33">
        <f ca="1">SUM($L$22:$S$22)</f>
        <v>-0.94194348113947368</v>
      </c>
      <c r="U22" s="33">
        <f>'TUSD BE'!$U$22*'TUSD BE'!$U$81</f>
        <v>0</v>
      </c>
      <c r="V22" s="33">
        <f>'TUSD BE'!$V$22*'TUSD BE'!$V$81</f>
        <v>0</v>
      </c>
      <c r="W22" s="33">
        <f>'TUSD BE'!$W$22*'TUSD BE'!$W$81</f>
        <v>0</v>
      </c>
      <c r="X22" s="33">
        <f>'TUSD BE'!$X$22*'TUSD BE'!$X$81</f>
        <v>0</v>
      </c>
      <c r="Y22" s="33">
        <f>'TUSD BE'!$Y$22*'TUSD BE'!$Y$81</f>
        <v>0</v>
      </c>
      <c r="Z22" s="33">
        <f>'TUSD BE'!$Z$22*'TUSD BE'!$Z$81</f>
        <v>0</v>
      </c>
      <c r="AA22" s="33">
        <f>'TUSD BE'!$AA$22*'TUSD BE'!$AA$81</f>
        <v>0</v>
      </c>
      <c r="AB22" s="33">
        <f>SUM($U$22:$AA$22)</f>
        <v>0</v>
      </c>
      <c r="AC22" s="33">
        <f>'TUSD BE'!$AC$22*'TUSD BE'!$AC$81</f>
        <v>0</v>
      </c>
      <c r="AD22" s="33">
        <f>SUM($AC$22:$AC$22)</f>
        <v>0</v>
      </c>
      <c r="AE22" s="33">
        <f ca="1">$AO$22*$AO$78</f>
        <v>0</v>
      </c>
      <c r="AF22" s="33">
        <f ca="1">$AP$22*$AP$78</f>
        <v>0</v>
      </c>
      <c r="AG22" s="33">
        <f ca="1">SUM($AE$22:$AF$22)</f>
        <v>0</v>
      </c>
      <c r="AH22" s="33">
        <f>'TUSD BE'!$AH$22*'TUSD BE'!$AH$81</f>
        <v>-1.1960901903990586</v>
      </c>
      <c r="AI22" s="33">
        <f>'TUSD BE'!$AI$22*'TUSD BE'!$AI$81</f>
        <v>-2.6558030915434508E-3</v>
      </c>
      <c r="AJ22" s="33">
        <f ca="1">'TUSD BE'!$AJ$22*'TUSD BE'!$AJ$81</f>
        <v>-3.0315016600582265E-2</v>
      </c>
      <c r="AK22" s="33">
        <f ca="1">'TUSD BE'!$AK$22*'TUSD BE'!$AK$81</f>
        <v>9.1905079760062972E-2</v>
      </c>
      <c r="AL22" s="33">
        <f ca="1">SUM($AH$22:$AK$22)</f>
        <v>-1.1371559303311214</v>
      </c>
      <c r="AM22" s="33">
        <f ca="1">SUMIF($L$4:$AL$4,"SUBTOTAL",$L$22:$AL$22)</f>
        <v>-2.0790994114705952</v>
      </c>
      <c r="AO22" s="43">
        <f ca="1">+'TUSD BE'!$T$22+'TUSD BE'!$AB$22+'TUSD BE'!$AD$22+'TUSD BE'!$AL$22</f>
        <v>92.323252852955449</v>
      </c>
      <c r="AP22" s="43">
        <f ca="1">+'TUSD BE'!$T$22+'TUSD BE'!$AB$22+'TUSD BE'!$AD$22+'TUSD BE'!$AL$22</f>
        <v>92.323252852955449</v>
      </c>
    </row>
    <row r="23" spans="1:42" ht="11.25" customHeight="1" x14ac:dyDescent="0.25">
      <c r="A23" s="116"/>
      <c r="B23" s="116"/>
      <c r="C23" s="116"/>
      <c r="D23" s="116"/>
      <c r="E23" s="41" t="s">
        <v>61</v>
      </c>
      <c r="F23" s="41" t="s">
        <v>25</v>
      </c>
      <c r="G23" s="36" t="s">
        <v>123</v>
      </c>
      <c r="H23" s="36" t="s">
        <v>117</v>
      </c>
      <c r="I23" s="36">
        <f>'MERCADO TUSD'!$U$20</f>
        <v>0</v>
      </c>
      <c r="J23" s="16"/>
      <c r="L23" s="33">
        <f>'TUSD BE'!$L$23*'TUSD BE'!$L$81</f>
        <v>0</v>
      </c>
      <c r="M23" s="33">
        <f>'TUSD BE'!$M$23*'TUSD BE'!$M$81</f>
        <v>2.3401243815811537E-3</v>
      </c>
      <c r="N23" s="33">
        <f ca="1">'TUSD BE'!$N$23*'TUSD BE'!$N$81</f>
        <v>-1.7358106860957942E-7</v>
      </c>
      <c r="O23" s="33">
        <f>'TUSD BE'!$O$23*'TUSD BE'!$O$81</f>
        <v>0</v>
      </c>
      <c r="P23" s="33">
        <f>'TUSD BE'!$P$23*'TUSD BE'!$P$81</f>
        <v>0</v>
      </c>
      <c r="Q23" s="33">
        <f>'TUSD BE'!$Q$23*'TUSD BE'!$Q$81</f>
        <v>0</v>
      </c>
      <c r="R23" s="33">
        <f>'TUSD BE'!$R$23*'TUSD BE'!$R$81</f>
        <v>0</v>
      </c>
      <c r="S23" s="33">
        <f>'TUSD BE'!$R$23*'TUSD BE'!$S$81</f>
        <v>0</v>
      </c>
      <c r="T23" s="33">
        <f ca="1">SUM($L$23:$S$23)</f>
        <v>2.3399508005125442E-3</v>
      </c>
      <c r="U23" s="33">
        <f>'TUSD BE'!$U$23*'TUSD BE'!$U$81</f>
        <v>0</v>
      </c>
      <c r="V23" s="33">
        <f>'TUSD BE'!$V$23*'TUSD BE'!$V$81</f>
        <v>0</v>
      </c>
      <c r="W23" s="33">
        <f>'TUSD BE'!$W$23*'TUSD BE'!$W$81</f>
        <v>0</v>
      </c>
      <c r="X23" s="33">
        <f>'TUSD BE'!$X$23*'TUSD BE'!$X$81</f>
        <v>0</v>
      </c>
      <c r="Y23" s="33">
        <f>'TUSD BE'!$Y$23*'TUSD BE'!$Y$81</f>
        <v>0</v>
      </c>
      <c r="Z23" s="33">
        <f>'TUSD BE'!$Z$23*'TUSD BE'!$Z$81</f>
        <v>0</v>
      </c>
      <c r="AA23" s="33">
        <f>'TUSD BE'!$AA$23*'TUSD BE'!$AA$81</f>
        <v>0</v>
      </c>
      <c r="AB23" s="33">
        <f>SUM($U$23:$AA$23)</f>
        <v>0</v>
      </c>
      <c r="AC23" s="33">
        <f>'TUSD BE'!$AC$23*'TUSD BE'!$AC$81</f>
        <v>0</v>
      </c>
      <c r="AD23" s="33">
        <f>SUM($AC$23:$AC$23)</f>
        <v>0</v>
      </c>
      <c r="AE23" s="33">
        <f ca="1">$AO$23*$AO$78</f>
        <v>0</v>
      </c>
      <c r="AF23" s="33">
        <f ca="1">$AP$23*$AP$78</f>
        <v>0</v>
      </c>
      <c r="AG23" s="33">
        <f ca="1">SUM($AE$23:$AF$23)</f>
        <v>0</v>
      </c>
      <c r="AH23" s="33">
        <f>'TUSD BE'!$AH$23*'TUSD BE'!$AH$81</f>
        <v>-1.1960901903990586</v>
      </c>
      <c r="AI23" s="33">
        <f>'TUSD BE'!$AI$23*'TUSD BE'!$AI$81</f>
        <v>-2.6558030915434508E-3</v>
      </c>
      <c r="AJ23" s="33">
        <f ca="1">'TUSD BE'!$AJ$23*'TUSD BE'!$AJ$81</f>
        <v>-3.0315016600582265E-2</v>
      </c>
      <c r="AK23" s="33">
        <f ca="1">'TUSD BE'!$AK$23*'TUSD BE'!$AK$81</f>
        <v>9.1905079760062972E-2</v>
      </c>
      <c r="AL23" s="33">
        <f ca="1">SUM($AH$23:$AK$23)</f>
        <v>-1.1371559303311214</v>
      </c>
      <c r="AM23" s="33">
        <f ca="1">SUMIF($L$4:$AL$4,"SUBTOTAL",$L$23:$AL$23)</f>
        <v>-1.1348159795306088</v>
      </c>
      <c r="AO23" s="43">
        <f ca="1">+'TUSD BE'!$T$23+'TUSD BE'!$AB$23+'TUSD BE'!$AD$23+'TUSD BE'!$AL$23</f>
        <v>15.637962427397417</v>
      </c>
      <c r="AP23" s="43">
        <f ca="1">+'TUSD BE'!$T$23+'TUSD BE'!$AB$23+'TUSD BE'!$AD$23+'TUSD BE'!$AL$23</f>
        <v>15.637962427397417</v>
      </c>
    </row>
    <row r="24" spans="1:42" ht="11.25" customHeight="1" x14ac:dyDescent="0.25">
      <c r="A24" s="116"/>
      <c r="B24" s="41" t="s">
        <v>64</v>
      </c>
      <c r="C24" s="41" t="s">
        <v>25</v>
      </c>
      <c r="D24" s="41" t="s">
        <v>25</v>
      </c>
      <c r="E24" s="41" t="s">
        <v>25</v>
      </c>
      <c r="F24" s="41" t="s">
        <v>25</v>
      </c>
      <c r="G24" s="36" t="s">
        <v>9</v>
      </c>
      <c r="H24" s="36" t="s">
        <v>120</v>
      </c>
      <c r="I24" s="36">
        <f>'MERCADO TUSD'!$U$21</f>
        <v>866358</v>
      </c>
      <c r="J24" s="16"/>
      <c r="L24" s="33">
        <f>'TUSD BE'!$L$24*'TUSD BE'!$L$81</f>
        <v>0</v>
      </c>
      <c r="M24" s="33">
        <f>'TUSD BE'!$M$24*'TUSD BE'!$M$81</f>
        <v>8.0086763967771024E-4</v>
      </c>
      <c r="N24" s="33">
        <f ca="1">'TUSD BE'!$N$24*'TUSD BE'!$N$81</f>
        <v>-6.4748353269490337E-8</v>
      </c>
      <c r="O24" s="33">
        <f>'TUSD BE'!$O$24*'TUSD BE'!$O$81</f>
        <v>0</v>
      </c>
      <c r="P24" s="33">
        <f>'TUSD BE'!$P$24*'TUSD BE'!$P$81</f>
        <v>0</v>
      </c>
      <c r="Q24" s="33">
        <f>'TUSD BE'!$Q$24*'TUSD BE'!$Q$81</f>
        <v>0</v>
      </c>
      <c r="R24" s="33">
        <f>'TUSD BE'!$R$24*'TUSD BE'!$R$81</f>
        <v>0</v>
      </c>
      <c r="S24" s="33">
        <f>'TUSD BE'!$R$24*'TUSD BE'!$S$81</f>
        <v>0</v>
      </c>
      <c r="T24" s="33">
        <f ca="1">SUM($L$24:$S$24)</f>
        <v>8.0080289132444078E-4</v>
      </c>
      <c r="U24" s="33">
        <f>'TUSD BE'!$U$24*'TUSD BE'!$U$81</f>
        <v>0</v>
      </c>
      <c r="V24" s="33">
        <f>'TUSD BE'!$V$24*'TUSD BE'!$V$81</f>
        <v>0</v>
      </c>
      <c r="W24" s="33">
        <f>'TUSD BE'!$W$24*'TUSD BE'!$W$81</f>
        <v>0</v>
      </c>
      <c r="X24" s="33">
        <f>'TUSD BE'!$X$24*'TUSD BE'!$X$81</f>
        <v>0</v>
      </c>
      <c r="Y24" s="33">
        <f>'TUSD BE'!$Y$24*'TUSD BE'!$Y$81</f>
        <v>0.31931488556720394</v>
      </c>
      <c r="Z24" s="33">
        <f>'TUSD BE'!$Z$24*'TUSD BE'!$Z$81</f>
        <v>0</v>
      </c>
      <c r="AA24" s="33">
        <f>'TUSD BE'!$AA$24*'TUSD BE'!$AA$81</f>
        <v>0</v>
      </c>
      <c r="AB24" s="33">
        <f>SUM($U$24:$AA$24)</f>
        <v>0.31931488556720394</v>
      </c>
      <c r="AC24" s="33">
        <f>'TUSD BE'!$AC$24*'TUSD BE'!$AC$81</f>
        <v>-2.7028023676971594E-6</v>
      </c>
      <c r="AD24" s="33">
        <f>SUM($AC$24:$AC$24)</f>
        <v>-2.7028023676971594E-6</v>
      </c>
      <c r="AE24" s="33">
        <f ca="1">$AO$24*$AO$78</f>
        <v>0</v>
      </c>
      <c r="AF24" s="33">
        <f ca="1">$AP$24*$AP$78</f>
        <v>0</v>
      </c>
      <c r="AG24" s="33">
        <f ca="1">SUM($AE$24:$AF$24)</f>
        <v>0</v>
      </c>
      <c r="AH24" s="33">
        <f>'TUSD BE'!$AH$24*'TUSD BE'!$AH$81</f>
        <v>-6.5838784471976261E-2</v>
      </c>
      <c r="AI24" s="33">
        <f>'TUSD BE'!$AI$24*'TUSD BE'!$AI$81</f>
        <v>-1.5337480807637598E-2</v>
      </c>
      <c r="AJ24" s="33">
        <f ca="1">'TUSD BE'!$AJ$24*'TUSD BE'!$AJ$81</f>
        <v>0</v>
      </c>
      <c r="AK24" s="33">
        <f ca="1">'TUSD BE'!$AK$24*'TUSD BE'!$AK$81</f>
        <v>0</v>
      </c>
      <c r="AL24" s="33">
        <f ca="1">SUM($AH$24:$AK$24)</f>
        <v>-8.1176265279613857E-2</v>
      </c>
      <c r="AM24" s="33">
        <f ca="1">SUMIF($L$4:$AL$4,"SUBTOTAL",$L$24:$AL$24)</f>
        <v>0.23893672037654684</v>
      </c>
      <c r="AO24" s="43">
        <f>+'TUSD BE'!$T$24+'TUSD BE'!$AB$24+'TUSD BE'!$AD$24+'TUSD BE'!$AL$24</f>
        <v>20.737271489093867</v>
      </c>
      <c r="AP24" s="43">
        <f>+'TUSD BE'!$T$24+'TUSD BE'!$AB$24+'TUSD BE'!$AD$24+'TUSD BE'!$AL$24</f>
        <v>20.737271489093867</v>
      </c>
    </row>
    <row r="25" spans="1:42" ht="11.25" customHeight="1" x14ac:dyDescent="0.25">
      <c r="A25" s="116" t="s">
        <v>41</v>
      </c>
      <c r="B25" s="116" t="s">
        <v>40</v>
      </c>
      <c r="C25" s="116" t="s">
        <v>25</v>
      </c>
      <c r="D25" s="116" t="s">
        <v>25</v>
      </c>
      <c r="E25" s="116" t="s">
        <v>25</v>
      </c>
      <c r="F25" s="116" t="s">
        <v>25</v>
      </c>
      <c r="G25" s="36" t="s">
        <v>121</v>
      </c>
      <c r="H25" s="36" t="s">
        <v>120</v>
      </c>
      <c r="I25" s="36">
        <f>'MERCADO TUSD'!$U$22</f>
        <v>269137</v>
      </c>
      <c r="J25" s="16"/>
      <c r="L25" s="33">
        <f>'TUSD BE'!$L$25*'TUSD BE'!$L$81</f>
        <v>0</v>
      </c>
      <c r="M25" s="33">
        <f>'TUSD BE'!$M$25*'TUSD BE'!$M$81</f>
        <v>0</v>
      </c>
      <c r="N25" s="33">
        <f ca="1">'TUSD BE'!$N$25*'TUSD BE'!$N$81</f>
        <v>0</v>
      </c>
      <c r="O25" s="33">
        <f>'TUSD BE'!$O$25*'TUSD BE'!$O$81</f>
        <v>0</v>
      </c>
      <c r="P25" s="33">
        <f>'TUSD BE'!$P$25*'TUSD BE'!$P$81</f>
        <v>0</v>
      </c>
      <c r="Q25" s="33">
        <f>'TUSD BE'!$Q$25*'TUSD BE'!$Q$81</f>
        <v>0</v>
      </c>
      <c r="R25" s="33">
        <f>'TUSD BE'!$R$25*'TUSD BE'!$R$81</f>
        <v>0</v>
      </c>
      <c r="S25" s="33">
        <f>'TUSD BE'!$R$25*'TUSD BE'!$S$81</f>
        <v>0</v>
      </c>
      <c r="T25" s="33">
        <f ca="1">SUM($L$25:$S$25)</f>
        <v>0</v>
      </c>
      <c r="U25" s="33">
        <f>'TUSD BE'!$U$25*'TUSD BE'!$U$81</f>
        <v>0.68327462487995771</v>
      </c>
      <c r="V25" s="33">
        <f>'TUSD BE'!$V$25*'TUSD BE'!$V$81</f>
        <v>-3.3408653143992797E-4</v>
      </c>
      <c r="W25" s="33">
        <f>'TUSD BE'!$W$25*'TUSD BE'!$W$81</f>
        <v>0</v>
      </c>
      <c r="X25" s="33">
        <f>'TUSD BE'!$X$25*'TUSD BE'!$X$81</f>
        <v>0</v>
      </c>
      <c r="Y25" s="33">
        <f>'TUSD BE'!$Y$25*'TUSD BE'!$Y$81</f>
        <v>0.27971032006474889</v>
      </c>
      <c r="Z25" s="33">
        <f>'TUSD BE'!$Z$25*'TUSD BE'!$Z$81</f>
        <v>0</v>
      </c>
      <c r="AA25" s="33">
        <f>'TUSD BE'!$AA$25*'TUSD BE'!$AA$81</f>
        <v>0</v>
      </c>
      <c r="AB25" s="33">
        <f>SUM($U$25:$AA$25)</f>
        <v>0.9626508584132667</v>
      </c>
      <c r="AC25" s="33">
        <f>'TUSD BE'!$AC$25*'TUSD BE'!$AC$81</f>
        <v>-2.4597481384092603E-5</v>
      </c>
      <c r="AD25" s="33">
        <f>SUM($AC$25:$AC$25)</f>
        <v>-2.4597481384092603E-5</v>
      </c>
      <c r="AE25" s="33">
        <f ca="1">$AO$25*$AO$78</f>
        <v>0</v>
      </c>
      <c r="AF25" s="33">
        <f ca="1">$AP$25*$AP$78</f>
        <v>0</v>
      </c>
      <c r="AG25" s="33">
        <f ca="1">SUM($AE$25:$AF$25)</f>
        <v>0</v>
      </c>
      <c r="AH25" s="33">
        <f>'TUSD BE'!$AH$25*'TUSD BE'!$AH$81</f>
        <v>0</v>
      </c>
      <c r="AI25" s="33">
        <f>'TUSD BE'!$AI$25*'TUSD BE'!$AI$81</f>
        <v>0</v>
      </c>
      <c r="AJ25" s="33">
        <f ca="1">'TUSD BE'!$AJ$25*'TUSD BE'!$AJ$81</f>
        <v>0</v>
      </c>
      <c r="AK25" s="33">
        <f ca="1">'TUSD BE'!$AK$25*'TUSD BE'!$AK$81</f>
        <v>0</v>
      </c>
      <c r="AL25" s="33">
        <f ca="1">SUM($AH$25:$AK$25)</f>
        <v>0</v>
      </c>
      <c r="AM25" s="33">
        <f ca="1">SUMIF($L$4:$AL$4,"SUBTOTAL",$L$25:$AL$25)</f>
        <v>0.96262626093188264</v>
      </c>
      <c r="AO25" s="43">
        <f ca="1">+'TUSD BE'!$T$25+'TUSD BE'!$AB$25+'TUSD BE'!$AD$25+'TUSD BE'!$AL$25</f>
        <v>74.297307894089315</v>
      </c>
      <c r="AP25" s="43">
        <f ca="1">+'TUSD BE'!$T$25+'TUSD BE'!$AB$25+'TUSD BE'!$AD$25+'TUSD BE'!$AL$25</f>
        <v>74.297307894089315</v>
      </c>
    </row>
    <row r="26" spans="1:42" ht="11.25" customHeight="1" x14ac:dyDescent="0.25">
      <c r="A26" s="116"/>
      <c r="B26" s="116"/>
      <c r="C26" s="116"/>
      <c r="D26" s="116"/>
      <c r="E26" s="116"/>
      <c r="F26" s="116"/>
      <c r="G26" s="36" t="s">
        <v>122</v>
      </c>
      <c r="H26" s="36" t="s">
        <v>120</v>
      </c>
      <c r="I26" s="36">
        <f>'MERCADO TUSD'!$U$23</f>
        <v>306985</v>
      </c>
      <c r="J26" s="16"/>
      <c r="L26" s="33">
        <f>'TUSD BE'!$L$26*'TUSD BE'!$L$81</f>
        <v>0</v>
      </c>
      <c r="M26" s="33">
        <f>'TUSD BE'!$M$26*'TUSD BE'!$M$81</f>
        <v>0</v>
      </c>
      <c r="N26" s="33">
        <f ca="1">'TUSD BE'!$N$26*'TUSD BE'!$N$81</f>
        <v>0</v>
      </c>
      <c r="O26" s="33">
        <f>'TUSD BE'!$O$26*'TUSD BE'!$O$81</f>
        <v>0</v>
      </c>
      <c r="P26" s="33">
        <f>'TUSD BE'!$P$26*'TUSD BE'!$P$81</f>
        <v>0</v>
      </c>
      <c r="Q26" s="33">
        <f>'TUSD BE'!$Q$26*'TUSD BE'!$Q$81</f>
        <v>0</v>
      </c>
      <c r="R26" s="33">
        <f>'TUSD BE'!$R$26*'TUSD BE'!$R$81</f>
        <v>0</v>
      </c>
      <c r="S26" s="33">
        <f>'TUSD BE'!$R$26*'TUSD BE'!$S$81</f>
        <v>0</v>
      </c>
      <c r="T26" s="33">
        <f ca="1">SUM($L$26:$S$26)</f>
        <v>0</v>
      </c>
      <c r="U26" s="33">
        <f>'TUSD BE'!$U$26*'TUSD BE'!$U$81</f>
        <v>0.57723018188462627</v>
      </c>
      <c r="V26" s="33">
        <f>'TUSD BE'!$V$26*'TUSD BE'!$V$81</f>
        <v>-2.8687106291615553E-4</v>
      </c>
      <c r="W26" s="33">
        <f>'TUSD BE'!$W$26*'TUSD BE'!$W$81</f>
        <v>0</v>
      </c>
      <c r="X26" s="33">
        <f>'TUSD BE'!$X$26*'TUSD BE'!$X$81</f>
        <v>0</v>
      </c>
      <c r="Y26" s="33">
        <f>'TUSD BE'!$Y$26*'TUSD BE'!$Y$81</f>
        <v>0.16401321522065218</v>
      </c>
      <c r="Z26" s="33">
        <f>'TUSD BE'!$Z$26*'TUSD BE'!$Z$81</f>
        <v>0</v>
      </c>
      <c r="AA26" s="33">
        <f>'TUSD BE'!$AA$26*'TUSD BE'!$AA$81</f>
        <v>0</v>
      </c>
      <c r="AB26" s="33">
        <f>SUM($U$26:$AA$26)</f>
        <v>0.74095652604236228</v>
      </c>
      <c r="AC26" s="33">
        <f>'TUSD BE'!$AC$26*'TUSD BE'!$AC$81</f>
        <v>-8.1628007495605453E-6</v>
      </c>
      <c r="AD26" s="33">
        <f>SUM($AC$26:$AC$26)</f>
        <v>-8.1628007495605453E-6</v>
      </c>
      <c r="AE26" s="33">
        <f ca="1">$AO$26*$AO$78</f>
        <v>0</v>
      </c>
      <c r="AF26" s="33">
        <f ca="1">$AP$26*$AP$78</f>
        <v>0</v>
      </c>
      <c r="AG26" s="33">
        <f ca="1">SUM($AE$26:$AF$26)</f>
        <v>0</v>
      </c>
      <c r="AH26" s="33">
        <f>'TUSD BE'!$AH$26*'TUSD BE'!$AH$81</f>
        <v>0</v>
      </c>
      <c r="AI26" s="33">
        <f>'TUSD BE'!$AI$26*'TUSD BE'!$AI$81</f>
        <v>0</v>
      </c>
      <c r="AJ26" s="33">
        <f ca="1">'TUSD BE'!$AJ$26*'TUSD BE'!$AJ$81</f>
        <v>0</v>
      </c>
      <c r="AK26" s="33">
        <f ca="1">'TUSD BE'!$AK$26*'TUSD BE'!$AK$81</f>
        <v>0</v>
      </c>
      <c r="AL26" s="33">
        <f ca="1">SUM($AH$26:$AK$26)</f>
        <v>0</v>
      </c>
      <c r="AM26" s="33">
        <f ca="1">SUMIF($L$4:$AL$4,"SUBTOTAL",$L$26:$AL$26)</f>
        <v>0.74094836324161273</v>
      </c>
      <c r="AO26" s="43">
        <f ca="1">+'TUSD BE'!$T$26+'TUSD BE'!$AB$26+'TUSD BE'!$AD$26+'TUSD BE'!$AL$26</f>
        <v>28.937352960072964</v>
      </c>
      <c r="AP26" s="43">
        <f ca="1">+'TUSD BE'!$T$26+'TUSD BE'!$AB$26+'TUSD BE'!$AD$26+'TUSD BE'!$AL$26</f>
        <v>28.937352960072964</v>
      </c>
    </row>
    <row r="27" spans="1:42" ht="11.25" customHeight="1" x14ac:dyDescent="0.25">
      <c r="A27" s="116"/>
      <c r="B27" s="116"/>
      <c r="C27" s="116"/>
      <c r="D27" s="116"/>
      <c r="E27" s="116"/>
      <c r="F27" s="116"/>
      <c r="G27" s="36" t="s">
        <v>123</v>
      </c>
      <c r="H27" s="36" t="s">
        <v>117</v>
      </c>
      <c r="I27" s="36">
        <f>'MERCADO TUSD'!$U$24</f>
        <v>121039.205</v>
      </c>
      <c r="J27" s="16"/>
      <c r="L27" s="33">
        <f>'TUSD BE'!$L$27*'TUSD BE'!$L$81</f>
        <v>-3.6022776461762556</v>
      </c>
      <c r="M27" s="33">
        <f>'TUSD BE'!$M$27*'TUSD BE'!$M$81</f>
        <v>1.6052289407105562E-2</v>
      </c>
      <c r="N27" s="33">
        <f ca="1">'TUSD BE'!$N$27*'TUSD BE'!$N$81</f>
        <v>-2.9660874152680467E-7</v>
      </c>
      <c r="O27" s="33">
        <f>'TUSD BE'!$O$27*'TUSD BE'!$O$81</f>
        <v>0</v>
      </c>
      <c r="P27" s="33">
        <f>'TUSD BE'!$P$27*'TUSD BE'!$P$81</f>
        <v>0</v>
      </c>
      <c r="Q27" s="33">
        <f>'TUSD BE'!$Q$27*'TUSD BE'!$Q$81</f>
        <v>1.8848927239109179</v>
      </c>
      <c r="R27" s="33">
        <f>'TUSD BE'!$R$27*'TUSD BE'!$R$81</f>
        <v>0.32331020778137509</v>
      </c>
      <c r="S27" s="33">
        <f>'TUSD BE'!$R$27*'TUSD BE'!$S$81</f>
        <v>0</v>
      </c>
      <c r="T27" s="33">
        <f ca="1">SUM($L$27:$S$27)</f>
        <v>-1.3780227216855985</v>
      </c>
      <c r="U27" s="33">
        <f>'TUSD BE'!$U$27*'TUSD BE'!$U$81</f>
        <v>0</v>
      </c>
      <c r="V27" s="33">
        <f>'TUSD BE'!$V$27*'TUSD BE'!$V$81</f>
        <v>0</v>
      </c>
      <c r="W27" s="33">
        <f>'TUSD BE'!$W$27*'TUSD BE'!$W$81</f>
        <v>0</v>
      </c>
      <c r="X27" s="33">
        <f>'TUSD BE'!$X$27*'TUSD BE'!$X$81</f>
        <v>0</v>
      </c>
      <c r="Y27" s="33">
        <f>'TUSD BE'!$Y$27*'TUSD BE'!$Y$81</f>
        <v>0</v>
      </c>
      <c r="Z27" s="33">
        <f>'TUSD BE'!$Z$27*'TUSD BE'!$Z$81</f>
        <v>0</v>
      </c>
      <c r="AA27" s="33">
        <f>'TUSD BE'!$AA$27*'TUSD BE'!$AA$81</f>
        <v>0</v>
      </c>
      <c r="AB27" s="33">
        <f>SUM($U$27:$AA$27)</f>
        <v>0</v>
      </c>
      <c r="AC27" s="33">
        <f>'TUSD BE'!$AC$27*'TUSD BE'!$AC$81</f>
        <v>0</v>
      </c>
      <c r="AD27" s="33">
        <f>SUM($AC$27:$AC$27)</f>
        <v>0</v>
      </c>
      <c r="AE27" s="33">
        <f ca="1">$AO$27*$AO$78</f>
        <v>0</v>
      </c>
      <c r="AF27" s="33">
        <f ca="1">$AP$27*$AP$78</f>
        <v>0</v>
      </c>
      <c r="AG27" s="33">
        <f ca="1">SUM($AE$27:$AF$27)</f>
        <v>0</v>
      </c>
      <c r="AH27" s="33">
        <f>'TUSD BE'!$AH$27*'TUSD BE'!$AH$81</f>
        <v>-1.9776470778274842</v>
      </c>
      <c r="AI27" s="33">
        <f>'TUSD BE'!$AI$27*'TUSD BE'!$AI$81</f>
        <v>-4.3911749008858332E-3</v>
      </c>
      <c r="AJ27" s="33">
        <f ca="1">'TUSD BE'!$AJ$27*'TUSD BE'!$AJ$81</f>
        <v>-6.9333939020309668E-2</v>
      </c>
      <c r="AK27" s="33">
        <f ca="1">'TUSD BE'!$AK$27*'TUSD BE'!$AK$81</f>
        <v>0.21019751629027683</v>
      </c>
      <c r="AL27" s="33">
        <f ca="1">SUM($AH$27:$AK$27)</f>
        <v>-1.8411746754584031</v>
      </c>
      <c r="AM27" s="33">
        <f ca="1">SUMIF($L$4:$AL$4,"SUBTOTAL",$L$27:$AL$27)</f>
        <v>-3.2191973971440015</v>
      </c>
      <c r="AO27" s="43">
        <f ca="1">+'TUSD BE'!$T$27+'TUSD BE'!$AB$27+'TUSD BE'!$AD$27+'TUSD BE'!$AL$27</f>
        <v>126.49581253636693</v>
      </c>
      <c r="AP27" s="43">
        <f ca="1">+'TUSD BE'!$T$27+'TUSD BE'!$AB$27+'TUSD BE'!$AD$27+'TUSD BE'!$AL$27</f>
        <v>126.49581253636693</v>
      </c>
    </row>
    <row r="28" spans="1:42" ht="11.25" customHeight="1" x14ac:dyDescent="0.25">
      <c r="A28" s="116"/>
      <c r="B28" s="116"/>
      <c r="C28" s="116"/>
      <c r="D28" s="116"/>
      <c r="E28" s="41" t="s">
        <v>61</v>
      </c>
      <c r="F28" s="41" t="s">
        <v>25</v>
      </c>
      <c r="G28" s="36" t="s">
        <v>123</v>
      </c>
      <c r="H28" s="36" t="s">
        <v>117</v>
      </c>
      <c r="I28" s="36">
        <f>'MERCADO TUSD'!$U$25</f>
        <v>0</v>
      </c>
      <c r="J28" s="16"/>
      <c r="L28" s="33">
        <f>'TUSD BE'!$L$28*'TUSD BE'!$L$81</f>
        <v>0</v>
      </c>
      <c r="M28" s="33">
        <f>'TUSD BE'!$M$28*'TUSD BE'!$M$81</f>
        <v>1.6052289407105562E-2</v>
      </c>
      <c r="N28" s="33">
        <f ca="1">'TUSD BE'!$N$28*'TUSD BE'!$N$81</f>
        <v>-2.8998798654190221E-7</v>
      </c>
      <c r="O28" s="33">
        <f>'TUSD BE'!$O$28*'TUSD BE'!$O$81</f>
        <v>0</v>
      </c>
      <c r="P28" s="33">
        <f>'TUSD BE'!$P$28*'TUSD BE'!$P$81</f>
        <v>0</v>
      </c>
      <c r="Q28" s="33">
        <f>'TUSD BE'!$Q$28*'TUSD BE'!$Q$81</f>
        <v>0</v>
      </c>
      <c r="R28" s="33">
        <f>'TUSD BE'!$R$28*'TUSD BE'!$R$81</f>
        <v>0</v>
      </c>
      <c r="S28" s="33">
        <f>'TUSD BE'!$R$28*'TUSD BE'!$S$81</f>
        <v>0</v>
      </c>
      <c r="T28" s="33">
        <f ca="1">SUM($L$28:$S$28)</f>
        <v>1.6051999419119022E-2</v>
      </c>
      <c r="U28" s="33">
        <f>'TUSD BE'!$U$28*'TUSD BE'!$U$81</f>
        <v>0</v>
      </c>
      <c r="V28" s="33">
        <f>'TUSD BE'!$V$28*'TUSD BE'!$V$81</f>
        <v>0</v>
      </c>
      <c r="W28" s="33">
        <f>'TUSD BE'!$W$28*'TUSD BE'!$W$81</f>
        <v>0</v>
      </c>
      <c r="X28" s="33">
        <f>'TUSD BE'!$X$28*'TUSD BE'!$X$81</f>
        <v>0</v>
      </c>
      <c r="Y28" s="33">
        <f>'TUSD BE'!$Y$28*'TUSD BE'!$Y$81</f>
        <v>0</v>
      </c>
      <c r="Z28" s="33">
        <f>'TUSD BE'!$Z$28*'TUSD BE'!$Z$81</f>
        <v>0</v>
      </c>
      <c r="AA28" s="33">
        <f>'TUSD BE'!$AA$28*'TUSD BE'!$AA$81</f>
        <v>0</v>
      </c>
      <c r="AB28" s="33">
        <f>SUM($U$28:$AA$28)</f>
        <v>0</v>
      </c>
      <c r="AC28" s="33">
        <f>'TUSD BE'!$AC$28*'TUSD BE'!$AC$81</f>
        <v>0</v>
      </c>
      <c r="AD28" s="33">
        <f>SUM($AC$28:$AC$28)</f>
        <v>0</v>
      </c>
      <c r="AE28" s="33">
        <f ca="1">$AO$28*$AO$78</f>
        <v>0</v>
      </c>
      <c r="AF28" s="33">
        <f ca="1">$AP$28*$AP$78</f>
        <v>0</v>
      </c>
      <c r="AG28" s="33">
        <f ca="1">SUM($AE$28:$AF$28)</f>
        <v>0</v>
      </c>
      <c r="AH28" s="33">
        <f>'TUSD BE'!$AH$28*'TUSD BE'!$AH$81</f>
        <v>-1.9776470778274842</v>
      </c>
      <c r="AI28" s="33">
        <f>'TUSD BE'!$AI$28*'TUSD BE'!$AI$81</f>
        <v>-4.3911749008858332E-3</v>
      </c>
      <c r="AJ28" s="33">
        <f ca="1">'TUSD BE'!$AJ$28*'TUSD BE'!$AJ$81</f>
        <v>-6.9333939020309668E-2</v>
      </c>
      <c r="AK28" s="33">
        <f ca="1">'TUSD BE'!$AK$28*'TUSD BE'!$AK$81</f>
        <v>0.21019751629027683</v>
      </c>
      <c r="AL28" s="33">
        <f ca="1">SUM($AH$28:$AK$28)</f>
        <v>-1.8411746754584031</v>
      </c>
      <c r="AM28" s="33">
        <f ca="1">SUMIF($L$4:$AL$4,"SUBTOTAL",$L$28:$AL$28)</f>
        <v>-1.825122676039284</v>
      </c>
      <c r="AO28" s="43">
        <f ca="1">+'TUSD BE'!$T$28+'TUSD BE'!$AB$28+'TUSD BE'!$AD$28+'TUSD BE'!$AL$28</f>
        <v>27.89160926141221</v>
      </c>
      <c r="AP28" s="43">
        <f ca="1">+'TUSD BE'!$T$28+'TUSD BE'!$AB$28+'TUSD BE'!$AD$28+'TUSD BE'!$AL$28</f>
        <v>27.89160926141221</v>
      </c>
    </row>
    <row r="29" spans="1:42" ht="11.25" customHeight="1" x14ac:dyDescent="0.25">
      <c r="A29" s="116"/>
      <c r="B29" s="116" t="s">
        <v>81</v>
      </c>
      <c r="C29" s="116" t="s">
        <v>25</v>
      </c>
      <c r="D29" s="116" t="s">
        <v>25</v>
      </c>
      <c r="E29" s="116" t="s">
        <v>25</v>
      </c>
      <c r="F29" s="116" t="s">
        <v>82</v>
      </c>
      <c r="G29" s="36" t="s">
        <v>121</v>
      </c>
      <c r="H29" s="36" t="s">
        <v>120</v>
      </c>
      <c r="I29" s="36">
        <f>'MERCADO TUSD'!$U$26</f>
        <v>42000</v>
      </c>
      <c r="J29" s="16"/>
      <c r="L29" s="33">
        <f>'TUSD BE'!$L$29*'TUSD BE'!$L$81</f>
        <v>0</v>
      </c>
      <c r="M29" s="33">
        <f>'TUSD BE'!$M$29*'TUSD BE'!$M$81</f>
        <v>0</v>
      </c>
      <c r="N29" s="33">
        <f ca="1">'TUSD BE'!$N$29*'TUSD BE'!$N$81</f>
        <v>0</v>
      </c>
      <c r="O29" s="33">
        <f>'TUSD BE'!$O$29*'TUSD BE'!$O$81</f>
        <v>0</v>
      </c>
      <c r="P29" s="33">
        <f>'TUSD BE'!$P$29*'TUSD BE'!$P$81</f>
        <v>0</v>
      </c>
      <c r="Q29" s="33">
        <f>'TUSD BE'!$Q$29*'TUSD BE'!$Q$81</f>
        <v>0</v>
      </c>
      <c r="R29" s="33">
        <f>'TUSD BE'!$R$29*'TUSD BE'!$R$81</f>
        <v>0</v>
      </c>
      <c r="S29" s="33">
        <f>'TUSD BE'!$R$29*'TUSD BE'!$S$81</f>
        <v>0</v>
      </c>
      <c r="T29" s="33">
        <f ca="1">SUM($L$29:$S$29)</f>
        <v>0</v>
      </c>
      <c r="U29" s="33">
        <f>'TUSD BE'!$U$29*'TUSD BE'!$U$81</f>
        <v>0.68327462487995771</v>
      </c>
      <c r="V29" s="33">
        <f>'TUSD BE'!$V$29*'TUSD BE'!$V$81</f>
        <v>-3.3408653143992797E-4</v>
      </c>
      <c r="W29" s="33">
        <f>'TUSD BE'!$W$29*'TUSD BE'!$W$81</f>
        <v>0</v>
      </c>
      <c r="X29" s="33">
        <f>'TUSD BE'!$X$29*'TUSD BE'!$X$81</f>
        <v>0</v>
      </c>
      <c r="Y29" s="33">
        <f>'TUSD BE'!$Y$29*'TUSD BE'!$Y$81</f>
        <v>0.27971032006474889</v>
      </c>
      <c r="Z29" s="33">
        <f>'TUSD BE'!$Z$29*'TUSD BE'!$Z$81</f>
        <v>0</v>
      </c>
      <c r="AA29" s="33">
        <f>'TUSD BE'!$AA$29*'TUSD BE'!$AA$81</f>
        <v>0</v>
      </c>
      <c r="AB29" s="33">
        <f>SUM($U$29:$AA$29)</f>
        <v>0.9626508584132667</v>
      </c>
      <c r="AC29" s="33">
        <f>'TUSD BE'!$AC$29*'TUSD BE'!$AC$81</f>
        <v>-7.2644431701717122E-6</v>
      </c>
      <c r="AD29" s="33">
        <f>SUM($AC$29:$AC$29)</f>
        <v>-7.2644431701717122E-6</v>
      </c>
      <c r="AE29" s="33">
        <v>0</v>
      </c>
      <c r="AF29" s="33">
        <f ca="1">$AP$29*$AP$78</f>
        <v>0</v>
      </c>
      <c r="AG29" s="33">
        <f ca="1">SUM($AE$29:$AF$29)</f>
        <v>0</v>
      </c>
      <c r="AH29" s="33">
        <f>'TUSD BE'!$AH$29*'TUSD BE'!$AH$81</f>
        <v>0</v>
      </c>
      <c r="AI29" s="33">
        <f>'TUSD BE'!$AI$29*'TUSD BE'!$AI$81</f>
        <v>0</v>
      </c>
      <c r="AJ29" s="33">
        <f ca="1">'TUSD BE'!$AJ$29*'TUSD BE'!$AJ$81</f>
        <v>0</v>
      </c>
      <c r="AK29" s="33">
        <f ca="1">'TUSD BE'!$AK$29*'TUSD BE'!$AK$81</f>
        <v>0</v>
      </c>
      <c r="AL29" s="33">
        <f ca="1">SUM($AH$29:$AK$29)</f>
        <v>0</v>
      </c>
      <c r="AM29" s="33">
        <f ca="1">SUMIF($L$4:$AL$4,"SUBTOTAL",$L$29:$AL$29)</f>
        <v>0.96264359397009658</v>
      </c>
      <c r="AO29" s="43"/>
      <c r="AP29" s="43">
        <f ca="1">+'TUSD BE'!$T$29+'TUSD BE'!$AB$29+'TUSD BE'!$AD$29+'TUSD BE'!$AL$29</f>
        <v>31.893712736369871</v>
      </c>
    </row>
    <row r="30" spans="1:42" ht="11.25" customHeight="1" x14ac:dyDescent="0.25">
      <c r="A30" s="116"/>
      <c r="B30" s="116"/>
      <c r="C30" s="116"/>
      <c r="D30" s="116"/>
      <c r="E30" s="116"/>
      <c r="F30" s="116"/>
      <c r="G30" s="36" t="s">
        <v>122</v>
      </c>
      <c r="H30" s="36" t="s">
        <v>120</v>
      </c>
      <c r="I30" s="36">
        <f>'MERCADO TUSD'!$U$27</f>
        <v>42000</v>
      </c>
      <c r="J30" s="16"/>
      <c r="L30" s="33">
        <f>'TUSD BE'!$L$30*'TUSD BE'!$L$81</f>
        <v>0</v>
      </c>
      <c r="M30" s="33">
        <f>'TUSD BE'!$M$30*'TUSD BE'!$M$81</f>
        <v>0</v>
      </c>
      <c r="N30" s="33">
        <f ca="1">'TUSD BE'!$N$30*'TUSD BE'!$N$81</f>
        <v>0</v>
      </c>
      <c r="O30" s="33">
        <f>'TUSD BE'!$O$30*'TUSD BE'!$O$81</f>
        <v>0</v>
      </c>
      <c r="P30" s="33">
        <f>'TUSD BE'!$P$30*'TUSD BE'!$P$81</f>
        <v>0</v>
      </c>
      <c r="Q30" s="33">
        <f>'TUSD BE'!$Q$30*'TUSD BE'!$Q$81</f>
        <v>0</v>
      </c>
      <c r="R30" s="33">
        <f>'TUSD BE'!$R$30*'TUSD BE'!$R$81</f>
        <v>0</v>
      </c>
      <c r="S30" s="33">
        <f>'TUSD BE'!$R$30*'TUSD BE'!$S$81</f>
        <v>0</v>
      </c>
      <c r="T30" s="33">
        <f ca="1">SUM($L$30:$S$30)</f>
        <v>0</v>
      </c>
      <c r="U30" s="33">
        <f>'TUSD BE'!$U$30*'TUSD BE'!$U$81</f>
        <v>0.57723018188462627</v>
      </c>
      <c r="V30" s="33">
        <f>'TUSD BE'!$V$30*'TUSD BE'!$V$81</f>
        <v>-2.8687106291615553E-4</v>
      </c>
      <c r="W30" s="33">
        <f>'TUSD BE'!$W$30*'TUSD BE'!$W$81</f>
        <v>0</v>
      </c>
      <c r="X30" s="33">
        <f>'TUSD BE'!$X$30*'TUSD BE'!$X$81</f>
        <v>0</v>
      </c>
      <c r="Y30" s="33">
        <f>'TUSD BE'!$Y$30*'TUSD BE'!$Y$81</f>
        <v>0.16401321522065218</v>
      </c>
      <c r="Z30" s="33">
        <f>'TUSD BE'!$Z$30*'TUSD BE'!$Z$81</f>
        <v>0</v>
      </c>
      <c r="AA30" s="33">
        <f>'TUSD BE'!$AA$30*'TUSD BE'!$AA$81</f>
        <v>0</v>
      </c>
      <c r="AB30" s="33">
        <f>SUM($U$30:$AA$30)</f>
        <v>0.74095652604236228</v>
      </c>
      <c r="AC30" s="33">
        <f>'TUSD BE'!$AC$30*'TUSD BE'!$AC$81</f>
        <v>-2.4107397918619074E-6</v>
      </c>
      <c r="AD30" s="33">
        <f>SUM($AC$30:$AC$30)</f>
        <v>-2.4107397918619074E-6</v>
      </c>
      <c r="AE30" s="33">
        <v>0</v>
      </c>
      <c r="AF30" s="33">
        <f ca="1">$AP$30*$AP$78</f>
        <v>0</v>
      </c>
      <c r="AG30" s="33">
        <f ca="1">SUM($AE$30:$AF$30)</f>
        <v>0</v>
      </c>
      <c r="AH30" s="33">
        <f>'TUSD BE'!$AH$30*'TUSD BE'!$AH$81</f>
        <v>0</v>
      </c>
      <c r="AI30" s="33">
        <f>'TUSD BE'!$AI$30*'TUSD BE'!$AI$81</f>
        <v>0</v>
      </c>
      <c r="AJ30" s="33">
        <f ca="1">'TUSD BE'!$AJ$30*'TUSD BE'!$AJ$81</f>
        <v>0</v>
      </c>
      <c r="AK30" s="33">
        <f ca="1">'TUSD BE'!$AK$30*'TUSD BE'!$AK$81</f>
        <v>0</v>
      </c>
      <c r="AL30" s="33">
        <f ca="1">SUM($AH$30:$AK$30)</f>
        <v>0</v>
      </c>
      <c r="AM30" s="33">
        <f ca="1">SUMIF($L$4:$AL$4,"SUBTOTAL",$L$30:$AL$30)</f>
        <v>0.74095411530257038</v>
      </c>
      <c r="AO30" s="43"/>
      <c r="AP30" s="43">
        <f ca="1">+'TUSD BE'!$T$30+'TUSD BE'!$AB$30+'TUSD BE'!$AD$30+'TUSD BE'!$AL$30</f>
        <v>14.865494284028262</v>
      </c>
    </row>
    <row r="31" spans="1:42" ht="11.25" customHeight="1" x14ac:dyDescent="0.25">
      <c r="A31" s="116"/>
      <c r="B31" s="116"/>
      <c r="C31" s="116"/>
      <c r="D31" s="116"/>
      <c r="E31" s="116"/>
      <c r="F31" s="116"/>
      <c r="G31" s="36" t="s">
        <v>123</v>
      </c>
      <c r="H31" s="36" t="s">
        <v>117</v>
      </c>
      <c r="I31" s="36">
        <f>'MERCADO TUSD'!$U$28</f>
        <v>10288.219999999999</v>
      </c>
      <c r="J31" s="16"/>
      <c r="L31" s="33">
        <f>'TUSD BE'!$L$31*'TUSD BE'!$L$81</f>
        <v>0</v>
      </c>
      <c r="M31" s="33">
        <f>'TUSD BE'!$M$31*'TUSD BE'!$M$81</f>
        <v>0</v>
      </c>
      <c r="N31" s="33">
        <f ca="1">'TUSD BE'!$N$31*'TUSD BE'!$N$81</f>
        <v>0</v>
      </c>
      <c r="O31" s="33">
        <f>'TUSD BE'!$O$31*'TUSD BE'!$O$81</f>
        <v>0</v>
      </c>
      <c r="P31" s="33">
        <f>'TUSD BE'!$P$31*'TUSD BE'!$P$81</f>
        <v>0</v>
      </c>
      <c r="Q31" s="33">
        <f>'TUSD BE'!$Q$31*'TUSD BE'!$Q$81</f>
        <v>0</v>
      </c>
      <c r="R31" s="33">
        <f>'TUSD BE'!$R$31*'TUSD BE'!$R$81</f>
        <v>0</v>
      </c>
      <c r="S31" s="33">
        <f>'TUSD BE'!$R$31*'TUSD BE'!$S$81</f>
        <v>0</v>
      </c>
      <c r="T31" s="33">
        <f ca="1">SUM($L$31:$S$31)</f>
        <v>0</v>
      </c>
      <c r="U31" s="33">
        <f>'TUSD BE'!$U$31*'TUSD BE'!$U$81</f>
        <v>0</v>
      </c>
      <c r="V31" s="33">
        <f>'TUSD BE'!$V$31*'TUSD BE'!$V$81</f>
        <v>0</v>
      </c>
      <c r="W31" s="33">
        <f>'TUSD BE'!$W$31*'TUSD BE'!$W$81</f>
        <v>0</v>
      </c>
      <c r="X31" s="33">
        <f>'TUSD BE'!$X$31*'TUSD BE'!$X$81</f>
        <v>0</v>
      </c>
      <c r="Y31" s="33">
        <f>'TUSD BE'!$Y$31*'TUSD BE'!$Y$81</f>
        <v>0</v>
      </c>
      <c r="Z31" s="33">
        <f>'TUSD BE'!$Z$31*'TUSD BE'!$Z$81</f>
        <v>0</v>
      </c>
      <c r="AA31" s="33">
        <f>'TUSD BE'!$AA$31*'TUSD BE'!$AA$81</f>
        <v>0</v>
      </c>
      <c r="AB31" s="33">
        <f>SUM($U$31:$AA$31)</f>
        <v>0</v>
      </c>
      <c r="AC31" s="33">
        <f>'TUSD BE'!$AC$31*'TUSD BE'!$AC$81</f>
        <v>0</v>
      </c>
      <c r="AD31" s="33">
        <f>SUM($AC$31:$AC$31)</f>
        <v>0</v>
      </c>
      <c r="AE31" s="33">
        <v>0</v>
      </c>
      <c r="AF31" s="33">
        <f ca="1">$AP$31*$AP$78</f>
        <v>0</v>
      </c>
      <c r="AG31" s="33">
        <f ca="1">SUM($AE$31:$AF$31)</f>
        <v>0</v>
      </c>
      <c r="AH31" s="33">
        <f>'TUSD BE'!$AH$31*'TUSD BE'!$AH$81</f>
        <v>-1.9776470778274842</v>
      </c>
      <c r="AI31" s="33">
        <f>'TUSD BE'!$AI$31*'TUSD BE'!$AI$81</f>
        <v>-4.3911749008858332E-3</v>
      </c>
      <c r="AJ31" s="33">
        <f ca="1">'TUSD BE'!$AJ$31*'TUSD BE'!$AJ$81</f>
        <v>0</v>
      </c>
      <c r="AK31" s="33">
        <f ca="1">'TUSD BE'!$AK$31*'TUSD BE'!$AK$81</f>
        <v>0</v>
      </c>
      <c r="AL31" s="33">
        <f ca="1">SUM($AH$31:$AK$31)</f>
        <v>-1.98203825272837</v>
      </c>
      <c r="AM31" s="33">
        <f ca="1">SUMIF($L$4:$AL$4,"SUBTOTAL",$L$31:$AL$31)</f>
        <v>-1.98203825272837</v>
      </c>
      <c r="AO31" s="43"/>
      <c r="AP31" s="43">
        <f ca="1">+'TUSD BE'!$T$31+'TUSD BE'!$AB$31+'TUSD BE'!$AD$31+'TUSD BE'!$AL$31</f>
        <v>21.393225156684629</v>
      </c>
    </row>
    <row r="32" spans="1:42" ht="11.25" customHeight="1" x14ac:dyDescent="0.25">
      <c r="A32" s="116"/>
      <c r="B32" s="41" t="s">
        <v>64</v>
      </c>
      <c r="C32" s="41" t="s">
        <v>25</v>
      </c>
      <c r="D32" s="41" t="s">
        <v>25</v>
      </c>
      <c r="E32" s="41" t="s">
        <v>25</v>
      </c>
      <c r="F32" s="41" t="s">
        <v>25</v>
      </c>
      <c r="G32" s="36" t="s">
        <v>9</v>
      </c>
      <c r="H32" s="36" t="s">
        <v>120</v>
      </c>
      <c r="I32" s="36">
        <f>'MERCADO TUSD'!$U$29</f>
        <v>481675</v>
      </c>
      <c r="J32" s="16"/>
      <c r="L32" s="33">
        <f>'TUSD BE'!$L$32*'TUSD BE'!$L$81</f>
        <v>0</v>
      </c>
      <c r="M32" s="33">
        <f>'TUSD BE'!$M$32*'TUSD BE'!$M$81</f>
        <v>1.057973924748371E-3</v>
      </c>
      <c r="N32" s="33">
        <f ca="1">'TUSD BE'!$N$32*'TUSD BE'!$N$81</f>
        <v>-1.0109892861946029E-7</v>
      </c>
      <c r="O32" s="33">
        <f>'TUSD BE'!$O$32*'TUSD BE'!$O$81</f>
        <v>0</v>
      </c>
      <c r="P32" s="33">
        <f>'TUSD BE'!$P$32*'TUSD BE'!$P$81</f>
        <v>0</v>
      </c>
      <c r="Q32" s="33">
        <f>'TUSD BE'!$Q$32*'TUSD BE'!$Q$81</f>
        <v>0</v>
      </c>
      <c r="R32" s="33">
        <f>'TUSD BE'!$R$32*'TUSD BE'!$R$81</f>
        <v>0</v>
      </c>
      <c r="S32" s="33">
        <f>'TUSD BE'!$R$32*'TUSD BE'!$S$81</f>
        <v>0</v>
      </c>
      <c r="T32" s="33">
        <f ca="1">SUM($L$32:$S$32)</f>
        <v>1.0578728258197516E-3</v>
      </c>
      <c r="U32" s="33">
        <f>'TUSD BE'!$U$32*'TUSD BE'!$U$81</f>
        <v>0</v>
      </c>
      <c r="V32" s="33">
        <f>'TUSD BE'!$V$32*'TUSD BE'!$V$81</f>
        <v>0</v>
      </c>
      <c r="W32" s="33">
        <f>'TUSD BE'!$W$32*'TUSD BE'!$W$81</f>
        <v>0</v>
      </c>
      <c r="X32" s="33">
        <f>'TUSD BE'!$X$32*'TUSD BE'!$X$81</f>
        <v>0</v>
      </c>
      <c r="Y32" s="33">
        <f>'TUSD BE'!$Y$32*'TUSD BE'!$Y$81</f>
        <v>0</v>
      </c>
      <c r="Z32" s="33">
        <f>'TUSD BE'!$Z$32*'TUSD BE'!$Z$81</f>
        <v>0</v>
      </c>
      <c r="AA32" s="33">
        <f>'TUSD BE'!$AA$32*'TUSD BE'!$AA$81</f>
        <v>0</v>
      </c>
      <c r="AB32" s="33">
        <f>SUM($U$32:$AA$32)</f>
        <v>0</v>
      </c>
      <c r="AC32" s="33">
        <f>'TUSD BE'!$AC$32*'TUSD BE'!$AC$81</f>
        <v>-6.9102086779245936E-6</v>
      </c>
      <c r="AD32" s="33">
        <f>SUM($AC$32:$AC$32)</f>
        <v>-6.9102086779245936E-6</v>
      </c>
      <c r="AE32" s="33">
        <f ca="1">$AO$32*$AO$78</f>
        <v>0</v>
      </c>
      <c r="AF32" s="33">
        <f ca="1">$AP$32*$AP$78</f>
        <v>0</v>
      </c>
      <c r="AG32" s="33">
        <f ca="1">SUM($AE$32:$AF$32)</f>
        <v>0</v>
      </c>
      <c r="AH32" s="33">
        <f>'TUSD BE'!$AH$32*'TUSD BE'!$AH$81</f>
        <v>-4.3057211422553408E-4</v>
      </c>
      <c r="AI32" s="33">
        <f>'TUSD BE'!$AI$32*'TUSD BE'!$AI$81</f>
        <v>0</v>
      </c>
      <c r="AJ32" s="33">
        <f ca="1">'TUSD BE'!$AJ$32*'TUSD BE'!$AJ$81</f>
        <v>0</v>
      </c>
      <c r="AK32" s="33">
        <f ca="1">'TUSD BE'!$AK$32*'TUSD BE'!$AK$81</f>
        <v>0</v>
      </c>
      <c r="AL32" s="33">
        <f ca="1">SUM($AH$32:$AK$32)</f>
        <v>-4.3057211422553408E-4</v>
      </c>
      <c r="AM32" s="33">
        <f ca="1">SUMIF($L$4:$AL$4,"SUBTOTAL",$L$32:$AL$32)</f>
        <v>6.2039050291629299E-4</v>
      </c>
      <c r="AO32" s="43">
        <f ca="1">+'TUSD BE'!$T$32+'TUSD BE'!$AB$32+'TUSD BE'!$AD$32+'TUSD BE'!$AL$32</f>
        <v>17.137944990226519</v>
      </c>
      <c r="AP32" s="43">
        <f ca="1">+'TUSD BE'!$T$32+'TUSD BE'!$AB$32+'TUSD BE'!$AD$32+'TUSD BE'!$AL$32</f>
        <v>17.137944990226519</v>
      </c>
    </row>
    <row r="33" spans="1:42" ht="11.25" customHeight="1" x14ac:dyDescent="0.25">
      <c r="A33" s="116"/>
      <c r="B33" s="116" t="s">
        <v>42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36" t="s">
        <v>9</v>
      </c>
      <c r="H33" s="36" t="s">
        <v>120</v>
      </c>
      <c r="I33" s="36">
        <f>'MERCADO TUSD'!$U$30</f>
        <v>1292343</v>
      </c>
      <c r="J33" s="16"/>
      <c r="L33" s="33">
        <f>'TUSD BE'!$L$33*'TUSD BE'!$L$81</f>
        <v>0</v>
      </c>
      <c r="M33" s="33">
        <f>'TUSD BE'!$M$33*'TUSD BE'!$M$81</f>
        <v>0</v>
      </c>
      <c r="N33" s="33">
        <f ca="1">'TUSD BE'!$N$33*'TUSD BE'!$N$81</f>
        <v>0</v>
      </c>
      <c r="O33" s="33">
        <f>'TUSD BE'!$O$33*'TUSD BE'!$O$81</f>
        <v>0</v>
      </c>
      <c r="P33" s="33">
        <f>'TUSD BE'!$P$33*'TUSD BE'!$P$81</f>
        <v>0</v>
      </c>
      <c r="Q33" s="33">
        <f>'TUSD BE'!$Q$33*'TUSD BE'!$Q$81</f>
        <v>0</v>
      </c>
      <c r="R33" s="33">
        <f>'TUSD BE'!$R$33*'TUSD BE'!$R$81</f>
        <v>0</v>
      </c>
      <c r="S33" s="33">
        <f>'TUSD BE'!$R$33*'TUSD BE'!$S$81</f>
        <v>0</v>
      </c>
      <c r="T33" s="33">
        <f ca="1">SUM($L$33:$S$33)</f>
        <v>0</v>
      </c>
      <c r="U33" s="33">
        <f>'TUSD BE'!$U$33*'TUSD BE'!$U$81</f>
        <v>0.57723018188462627</v>
      </c>
      <c r="V33" s="33">
        <f>'TUSD BE'!$V$33*'TUSD BE'!$V$81</f>
        <v>-2.8687106291615553E-4</v>
      </c>
      <c r="W33" s="33">
        <f>'TUSD BE'!$W$33*'TUSD BE'!$W$81</f>
        <v>0</v>
      </c>
      <c r="X33" s="33">
        <f>'TUSD BE'!$X$33*'TUSD BE'!$X$81</f>
        <v>0</v>
      </c>
      <c r="Y33" s="33">
        <f>'TUSD BE'!$Y$33*'TUSD BE'!$Y$81</f>
        <v>0.16401321522065218</v>
      </c>
      <c r="Z33" s="33">
        <f>'TUSD BE'!$Z$33*'TUSD BE'!$Z$81</f>
        <v>0</v>
      </c>
      <c r="AA33" s="33">
        <f>'TUSD BE'!$AA$33*'TUSD BE'!$AA$81</f>
        <v>0</v>
      </c>
      <c r="AB33" s="33">
        <f>SUM($U$33:$AA$33)</f>
        <v>0.74095652604236228</v>
      </c>
      <c r="AC33" s="33">
        <f>'TUSD BE'!$AC$33*'TUSD BE'!$AC$81</f>
        <v>-8.1628007495605453E-6</v>
      </c>
      <c r="AD33" s="33">
        <f>SUM($AC$33:$AC$33)</f>
        <v>-8.1628007495605453E-6</v>
      </c>
      <c r="AE33" s="33">
        <f ca="1">$AO$33*$AO$78</f>
        <v>0</v>
      </c>
      <c r="AF33" s="33">
        <f ca="1">$AP$33*$AP$78</f>
        <v>0</v>
      </c>
      <c r="AG33" s="33">
        <f ca="1">SUM($AE$33:$AF$33)</f>
        <v>0</v>
      </c>
      <c r="AH33" s="33">
        <f>'TUSD BE'!$AH$33*'TUSD BE'!$AH$81</f>
        <v>0</v>
      </c>
      <c r="AI33" s="33">
        <f>'TUSD BE'!$AI$33*'TUSD BE'!$AI$81</f>
        <v>0</v>
      </c>
      <c r="AJ33" s="33">
        <f ca="1">'TUSD BE'!$AJ$33*'TUSD BE'!$AJ$81</f>
        <v>0</v>
      </c>
      <c r="AK33" s="33">
        <f ca="1">'TUSD BE'!$AK$33*'TUSD BE'!$AK$81</f>
        <v>0</v>
      </c>
      <c r="AL33" s="33">
        <f ca="1">SUM($AH$33:$AK$33)</f>
        <v>0</v>
      </c>
      <c r="AM33" s="33">
        <f ca="1">SUMIF($L$4:$AL$4,"SUBTOTAL",$L$33:$AL$33)</f>
        <v>0.74094836324161273</v>
      </c>
      <c r="AO33" s="43">
        <f ca="1">+'TUSD BE'!$T$33+'TUSD BE'!$AB$33+'TUSD BE'!$AD$33+'TUSD BE'!$AL$33</f>
        <v>28.937352960072964</v>
      </c>
      <c r="AP33" s="43">
        <f ca="1">+'TUSD BE'!$T$33+'TUSD BE'!$AB$33+'TUSD BE'!$AD$33+'TUSD BE'!$AL$33</f>
        <v>28.937352960072964</v>
      </c>
    </row>
    <row r="34" spans="1:42" ht="11.25" customHeight="1" x14ac:dyDescent="0.25">
      <c r="A34" s="116"/>
      <c r="B34" s="116"/>
      <c r="C34" s="116"/>
      <c r="D34" s="116"/>
      <c r="E34" s="116"/>
      <c r="F34" s="116"/>
      <c r="G34" s="36" t="s">
        <v>118</v>
      </c>
      <c r="H34" s="36" t="s">
        <v>117</v>
      </c>
      <c r="I34" s="36">
        <f>'MERCADO TUSD'!$U$31</f>
        <v>14035.833999999999</v>
      </c>
      <c r="J34" s="16"/>
      <c r="L34" s="33">
        <f>'TUSD BE'!$L$34*'TUSD BE'!$L$81</f>
        <v>-3.6022776461762556</v>
      </c>
      <c r="M34" s="33">
        <f>'TUSD BE'!$M$34*'TUSD BE'!$M$81</f>
        <v>1.6052289407105562E-2</v>
      </c>
      <c r="N34" s="33">
        <f ca="1">'TUSD BE'!$N$34*'TUSD BE'!$N$81</f>
        <v>-1.1044450408722593E-5</v>
      </c>
      <c r="O34" s="33">
        <f>'TUSD BE'!$O$34*'TUSD BE'!$O$81</f>
        <v>0</v>
      </c>
      <c r="P34" s="33">
        <f>'TUSD BE'!$P$34*'TUSD BE'!$P$81</f>
        <v>0</v>
      </c>
      <c r="Q34" s="33">
        <f>'TUSD BE'!$Q$34*'TUSD BE'!$Q$81</f>
        <v>1.8848927239109179</v>
      </c>
      <c r="R34" s="33">
        <f>'TUSD BE'!$R$34*'TUSD BE'!$R$81</f>
        <v>0.32331020778137509</v>
      </c>
      <c r="S34" s="33">
        <f>'TUSD BE'!$R$34*'TUSD BE'!$S$81</f>
        <v>0</v>
      </c>
      <c r="T34" s="33">
        <f ca="1">SUM($L$34:$S$34)</f>
        <v>-1.3780334695272658</v>
      </c>
      <c r="U34" s="33">
        <f>'TUSD BE'!$U$34*'TUSD BE'!$U$81</f>
        <v>16.432671773127264</v>
      </c>
      <c r="V34" s="33">
        <f>'TUSD BE'!$V$34*'TUSD BE'!$V$81</f>
        <v>-8.0349207202238693E-3</v>
      </c>
      <c r="W34" s="33">
        <f>'TUSD BE'!$W$34*'TUSD BE'!$W$81</f>
        <v>0</v>
      </c>
      <c r="X34" s="33">
        <f>'TUSD BE'!$X$34*'TUSD BE'!$X$81</f>
        <v>0</v>
      </c>
      <c r="Y34" s="33">
        <f>'TUSD BE'!$Y$34*'TUSD BE'!$Y$81</f>
        <v>6.7270347312249372</v>
      </c>
      <c r="Z34" s="33">
        <f>'TUSD BE'!$Z$34*'TUSD BE'!$Z$81</f>
        <v>0</v>
      </c>
      <c r="AA34" s="33">
        <f>'TUSD BE'!$AA$34*'TUSD BE'!$AA$81</f>
        <v>0</v>
      </c>
      <c r="AB34" s="33">
        <f>SUM($U$34:$AA$34)</f>
        <v>23.151671583631977</v>
      </c>
      <c r="AC34" s="33">
        <f>'TUSD BE'!$AC$34*'TUSD BE'!$AC$81</f>
        <v>-5.9156955681890036E-4</v>
      </c>
      <c r="AD34" s="33">
        <f>SUM($AC$34:$AC$34)</f>
        <v>-5.9156955681890036E-4</v>
      </c>
      <c r="AE34" s="33">
        <f ca="1">$AO$34*$AO$78</f>
        <v>0</v>
      </c>
      <c r="AF34" s="33">
        <f ca="1">$AP$34*$AP$78</f>
        <v>0</v>
      </c>
      <c r="AG34" s="33">
        <f ca="1">SUM($AE$34:$AF$34)</f>
        <v>0</v>
      </c>
      <c r="AH34" s="33">
        <f>'TUSD BE'!$AH$34*'TUSD BE'!$AH$81</f>
        <v>-1.9776470778274842</v>
      </c>
      <c r="AI34" s="33">
        <f>'TUSD BE'!$AI$34*'TUSD BE'!$AI$81</f>
        <v>-4.3911749008858332E-3</v>
      </c>
      <c r="AJ34" s="33">
        <f ca="1">'TUSD BE'!$AJ$34*'TUSD BE'!$AJ$81</f>
        <v>-6.9333939020309668E-2</v>
      </c>
      <c r="AK34" s="33">
        <f ca="1">'TUSD BE'!$AK$34*'TUSD BE'!$AK$81</f>
        <v>0.21019751629027683</v>
      </c>
      <c r="AL34" s="33">
        <f ca="1">SUM($AH$34:$AK$34)</f>
        <v>-1.8411746754584031</v>
      </c>
      <c r="AM34" s="33">
        <f ca="1">SUMIF($L$4:$AL$4,"SUBTOTAL",$L$34:$AL$34)</f>
        <v>19.931871869089488</v>
      </c>
      <c r="AO34" s="43">
        <f ca="1">+'TUSD BE'!$T$34+'TUSD BE'!$AB$34+'TUSD BE'!$AD$34+'TUSD BE'!$AL$34</f>
        <v>1932.2721351494515</v>
      </c>
      <c r="AP34" s="43">
        <f ca="1">+'TUSD BE'!$T$34+'TUSD BE'!$AB$34+'TUSD BE'!$AD$34+'TUSD BE'!$AL$34</f>
        <v>1932.2721351494515</v>
      </c>
    </row>
    <row r="35" spans="1:42" ht="11.25" customHeight="1" x14ac:dyDescent="0.25">
      <c r="A35" s="116"/>
      <c r="B35" s="116"/>
      <c r="C35" s="116"/>
      <c r="D35" s="116"/>
      <c r="E35" s="116"/>
      <c r="F35" s="116"/>
      <c r="G35" s="36" t="s">
        <v>119</v>
      </c>
      <c r="H35" s="36" t="s">
        <v>117</v>
      </c>
      <c r="I35" s="36">
        <f>'MERCADO TUSD'!$U$32</f>
        <v>241555.38800000004</v>
      </c>
      <c r="J35" s="16"/>
      <c r="L35" s="33">
        <f>'TUSD BE'!$L$35*'TUSD BE'!$L$81</f>
        <v>-3.6022776461762556</v>
      </c>
      <c r="M35" s="33">
        <f>'TUSD BE'!$M$35*'TUSD BE'!$M$81</f>
        <v>1.6052289407105562E-2</v>
      </c>
      <c r="N35" s="33">
        <f ca="1">'TUSD BE'!$N$35*'TUSD BE'!$N$81</f>
        <v>-2.9660874152680467E-7</v>
      </c>
      <c r="O35" s="33">
        <f>'TUSD BE'!$O$35*'TUSD BE'!$O$81</f>
        <v>0</v>
      </c>
      <c r="P35" s="33">
        <f>'TUSD BE'!$P$35*'TUSD BE'!$P$81</f>
        <v>0</v>
      </c>
      <c r="Q35" s="33">
        <f>'TUSD BE'!$Q$35*'TUSD BE'!$Q$81</f>
        <v>1.8848927239109179</v>
      </c>
      <c r="R35" s="33">
        <f>'TUSD BE'!$R$35*'TUSD BE'!$R$81</f>
        <v>0.32331020778137509</v>
      </c>
      <c r="S35" s="33">
        <f>'TUSD BE'!$R$35*'TUSD BE'!$S$81</f>
        <v>0</v>
      </c>
      <c r="T35" s="33">
        <f ca="1">SUM($L$35:$S$35)</f>
        <v>-1.3780227216855985</v>
      </c>
      <c r="U35" s="33">
        <f>'TUSD BE'!$U$35*'TUSD BE'!$U$81</f>
        <v>0</v>
      </c>
      <c r="V35" s="33">
        <f>'TUSD BE'!$V$35*'TUSD BE'!$V$81</f>
        <v>0</v>
      </c>
      <c r="W35" s="33">
        <f>'TUSD BE'!$W$35*'TUSD BE'!$W$81</f>
        <v>0</v>
      </c>
      <c r="X35" s="33">
        <f>'TUSD BE'!$X$35*'TUSD BE'!$X$81</f>
        <v>0</v>
      </c>
      <c r="Y35" s="33">
        <f>'TUSD BE'!$Y$35*'TUSD BE'!$Y$81</f>
        <v>0</v>
      </c>
      <c r="Z35" s="33">
        <f>'TUSD BE'!$Z$35*'TUSD BE'!$Z$81</f>
        <v>0</v>
      </c>
      <c r="AA35" s="33">
        <f>'TUSD BE'!$AA$35*'TUSD BE'!$AA$81</f>
        <v>0</v>
      </c>
      <c r="AB35" s="33">
        <f>SUM($U$35:$AA$35)</f>
        <v>0</v>
      </c>
      <c r="AC35" s="33">
        <f>'TUSD BE'!$AC$35*'TUSD BE'!$AC$81</f>
        <v>0</v>
      </c>
      <c r="AD35" s="33">
        <f>SUM($AC$35:$AC$35)</f>
        <v>0</v>
      </c>
      <c r="AE35" s="33">
        <f ca="1">$AO$35*$AO$78</f>
        <v>0</v>
      </c>
      <c r="AF35" s="33">
        <f ca="1">$AP$35*$AP$78</f>
        <v>0</v>
      </c>
      <c r="AG35" s="33">
        <f ca="1">SUM($AE$35:$AF$35)</f>
        <v>0</v>
      </c>
      <c r="AH35" s="33">
        <f>'TUSD BE'!$AH$35*'TUSD BE'!$AH$81</f>
        <v>-1.9776470778274842</v>
      </c>
      <c r="AI35" s="33">
        <f>'TUSD BE'!$AI$35*'TUSD BE'!$AI$81</f>
        <v>-4.3911749008858332E-3</v>
      </c>
      <c r="AJ35" s="33">
        <f ca="1">'TUSD BE'!$AJ$35*'TUSD BE'!$AJ$81</f>
        <v>-6.9333939020309668E-2</v>
      </c>
      <c r="AK35" s="33">
        <f ca="1">'TUSD BE'!$AK$35*'TUSD BE'!$AK$81</f>
        <v>0.21019751629027683</v>
      </c>
      <c r="AL35" s="33">
        <f ca="1">SUM($AH$35:$AK$35)</f>
        <v>-1.8411746754584031</v>
      </c>
      <c r="AM35" s="33">
        <f ca="1">SUMIF($L$4:$AL$4,"SUBTOTAL",$L$35:$AL$35)</f>
        <v>-3.2191973971440015</v>
      </c>
      <c r="AO35" s="43">
        <f ca="1">+'TUSD BE'!$T$35+'TUSD BE'!$AB$35+'TUSD BE'!$AD$35+'TUSD BE'!$AL$35</f>
        <v>126.49581253636693</v>
      </c>
      <c r="AP35" s="43">
        <f ca="1">+'TUSD BE'!$T$35+'TUSD BE'!$AB$35+'TUSD BE'!$AD$35+'TUSD BE'!$AL$35</f>
        <v>126.49581253636693</v>
      </c>
    </row>
    <row r="36" spans="1:42" ht="11.25" customHeight="1" x14ac:dyDescent="0.25">
      <c r="A36" s="116"/>
      <c r="B36" s="116"/>
      <c r="C36" s="116"/>
      <c r="D36" s="116"/>
      <c r="E36" s="116" t="s">
        <v>61</v>
      </c>
      <c r="F36" s="116" t="s">
        <v>25</v>
      </c>
      <c r="G36" s="36" t="s">
        <v>118</v>
      </c>
      <c r="H36" s="36" t="s">
        <v>117</v>
      </c>
      <c r="I36" s="36">
        <f>'MERCADO TUSD'!$U$33</f>
        <v>0</v>
      </c>
      <c r="J36" s="16"/>
      <c r="L36" s="33">
        <f>'TUSD BE'!$L$36*'TUSD BE'!$L$81</f>
        <v>0</v>
      </c>
      <c r="M36" s="33">
        <f>'TUSD BE'!$M$36*'TUSD BE'!$M$81</f>
        <v>1.6052289407105562E-2</v>
      </c>
      <c r="N36" s="33">
        <f ca="1">'TUSD BE'!$N$36*'TUSD BE'!$N$81</f>
        <v>-1.1037829653737693E-5</v>
      </c>
      <c r="O36" s="33">
        <f>'TUSD BE'!$O$36*'TUSD BE'!$O$81</f>
        <v>0</v>
      </c>
      <c r="P36" s="33">
        <f>'TUSD BE'!$P$36*'TUSD BE'!$P$81</f>
        <v>0</v>
      </c>
      <c r="Q36" s="33">
        <f>'TUSD BE'!$Q$36*'TUSD BE'!$Q$81</f>
        <v>0</v>
      </c>
      <c r="R36" s="33">
        <f>'TUSD BE'!$R$36*'TUSD BE'!$R$81</f>
        <v>0</v>
      </c>
      <c r="S36" s="33">
        <f>'TUSD BE'!$R$36*'TUSD BE'!$S$81</f>
        <v>0</v>
      </c>
      <c r="T36" s="33">
        <f ca="1">SUM($L$36:$S$36)</f>
        <v>1.6041251577451825E-2</v>
      </c>
      <c r="U36" s="33">
        <f>'TUSD BE'!$U$36*'TUSD BE'!$U$81</f>
        <v>16.432671773127264</v>
      </c>
      <c r="V36" s="33">
        <f>'TUSD BE'!$V$36*'TUSD BE'!$V$81</f>
        <v>-8.0349207202238693E-3</v>
      </c>
      <c r="W36" s="33">
        <f>'TUSD BE'!$W$36*'TUSD BE'!$W$81</f>
        <v>0</v>
      </c>
      <c r="X36" s="33">
        <f>'TUSD BE'!$X$36*'TUSD BE'!$X$81</f>
        <v>0</v>
      </c>
      <c r="Y36" s="33">
        <f>'TUSD BE'!$Y$36*'TUSD BE'!$Y$81</f>
        <v>6.7270347312249372</v>
      </c>
      <c r="Z36" s="33">
        <f>'TUSD BE'!$Z$36*'TUSD BE'!$Z$81</f>
        <v>0</v>
      </c>
      <c r="AA36" s="33">
        <f>'TUSD BE'!$AA$36*'TUSD BE'!$AA$81</f>
        <v>0</v>
      </c>
      <c r="AB36" s="33">
        <f>SUM($U$36:$AA$36)</f>
        <v>23.151671583631977</v>
      </c>
      <c r="AC36" s="33">
        <f>'TUSD BE'!$AC$36*'TUSD BE'!$AC$81</f>
        <v>-5.9156955681890036E-4</v>
      </c>
      <c r="AD36" s="33">
        <f>SUM($AC$36:$AC$36)</f>
        <v>-5.9156955681890036E-4</v>
      </c>
      <c r="AE36" s="33">
        <f ca="1">$AO$36*$AO$78</f>
        <v>0</v>
      </c>
      <c r="AF36" s="33">
        <f ca="1">$AP$36*$AP$78</f>
        <v>0</v>
      </c>
      <c r="AG36" s="33">
        <f ca="1">SUM($AE$36:$AF$36)</f>
        <v>0</v>
      </c>
      <c r="AH36" s="33">
        <f>'TUSD BE'!$AH$36*'TUSD BE'!$AH$81</f>
        <v>-1.9776470778274842</v>
      </c>
      <c r="AI36" s="33">
        <f>'TUSD BE'!$AI$36*'TUSD BE'!$AI$81</f>
        <v>-4.3911749008858332E-3</v>
      </c>
      <c r="AJ36" s="33">
        <f ca="1">'TUSD BE'!$AJ$36*'TUSD BE'!$AJ$81</f>
        <v>-6.9333939020309668E-2</v>
      </c>
      <c r="AK36" s="33">
        <f ca="1">'TUSD BE'!$AK$36*'TUSD BE'!$AK$81</f>
        <v>0.21019751629027683</v>
      </c>
      <c r="AL36" s="33">
        <f ca="1">SUM($AH$36:$AK$36)</f>
        <v>-1.8411746754584031</v>
      </c>
      <c r="AM36" s="33">
        <f ca="1">SUMIF($L$4:$AL$4,"SUBTOTAL",$L$36:$AL$36)</f>
        <v>21.325946590194206</v>
      </c>
      <c r="AO36" s="43">
        <f ca="1">+'TUSD BE'!$T$36+'TUSD BE'!$AB$36+'TUSD BE'!$AD$36+'TUSD BE'!$AL$36</f>
        <v>1833.6679318744968</v>
      </c>
      <c r="AP36" s="43">
        <f ca="1">+'TUSD BE'!$T$36+'TUSD BE'!$AB$36+'TUSD BE'!$AD$36+'TUSD BE'!$AL$36</f>
        <v>1833.6679318744968</v>
      </c>
    </row>
    <row r="37" spans="1:42" ht="11.25" customHeight="1" x14ac:dyDescent="0.25">
      <c r="A37" s="116"/>
      <c r="B37" s="116"/>
      <c r="C37" s="116"/>
      <c r="D37" s="116"/>
      <c r="E37" s="116"/>
      <c r="F37" s="116"/>
      <c r="G37" s="36" t="s">
        <v>119</v>
      </c>
      <c r="H37" s="36" t="s">
        <v>117</v>
      </c>
      <c r="I37" s="36">
        <f>'MERCADO TUSD'!$U$34</f>
        <v>0</v>
      </c>
      <c r="J37" s="16"/>
      <c r="L37" s="33">
        <f>'TUSD BE'!$L$37*'TUSD BE'!$L$81</f>
        <v>0</v>
      </c>
      <c r="M37" s="33">
        <f>'TUSD BE'!$M$37*'TUSD BE'!$M$81</f>
        <v>1.6052289407105562E-2</v>
      </c>
      <c r="N37" s="33">
        <f ca="1">'TUSD BE'!$N$37*'TUSD BE'!$N$81</f>
        <v>-2.8998798654190221E-7</v>
      </c>
      <c r="O37" s="33">
        <f>'TUSD BE'!$O$37*'TUSD BE'!$O$81</f>
        <v>0</v>
      </c>
      <c r="P37" s="33">
        <f>'TUSD BE'!$P$37*'TUSD BE'!$P$81</f>
        <v>0</v>
      </c>
      <c r="Q37" s="33">
        <f>'TUSD BE'!$Q$37*'TUSD BE'!$Q$81</f>
        <v>0</v>
      </c>
      <c r="R37" s="33">
        <f>'TUSD BE'!$R$37*'TUSD BE'!$R$81</f>
        <v>0</v>
      </c>
      <c r="S37" s="33">
        <f>'TUSD BE'!$R$37*'TUSD BE'!$S$81</f>
        <v>0</v>
      </c>
      <c r="T37" s="33">
        <f ca="1">SUM($L$37:$S$37)</f>
        <v>1.6051999419119022E-2</v>
      </c>
      <c r="U37" s="33">
        <f>'TUSD BE'!$U$37*'TUSD BE'!$U$81</f>
        <v>0</v>
      </c>
      <c r="V37" s="33">
        <f>'TUSD BE'!$V$37*'TUSD BE'!$V$81</f>
        <v>0</v>
      </c>
      <c r="W37" s="33">
        <f>'TUSD BE'!$W$37*'TUSD BE'!$W$81</f>
        <v>0</v>
      </c>
      <c r="X37" s="33">
        <f>'TUSD BE'!$X$37*'TUSD BE'!$X$81</f>
        <v>0</v>
      </c>
      <c r="Y37" s="33">
        <f>'TUSD BE'!$Y$37*'TUSD BE'!$Y$81</f>
        <v>0</v>
      </c>
      <c r="Z37" s="33">
        <f>'TUSD BE'!$Z$37*'TUSD BE'!$Z$81</f>
        <v>0</v>
      </c>
      <c r="AA37" s="33">
        <f>'TUSD BE'!$AA$37*'TUSD BE'!$AA$81</f>
        <v>0</v>
      </c>
      <c r="AB37" s="33">
        <f>SUM($U$37:$AA$37)</f>
        <v>0</v>
      </c>
      <c r="AC37" s="33">
        <f>'TUSD BE'!$AC$37*'TUSD BE'!$AC$81</f>
        <v>0</v>
      </c>
      <c r="AD37" s="33">
        <f>SUM($AC$37:$AC$37)</f>
        <v>0</v>
      </c>
      <c r="AE37" s="33">
        <f ca="1">$AO$37*$AO$78</f>
        <v>0</v>
      </c>
      <c r="AF37" s="33">
        <f ca="1">$AP$37*$AP$78</f>
        <v>0</v>
      </c>
      <c r="AG37" s="33">
        <f ca="1">SUM($AE$37:$AF$37)</f>
        <v>0</v>
      </c>
      <c r="AH37" s="33">
        <f>'TUSD BE'!$AH$37*'TUSD BE'!$AH$81</f>
        <v>-1.9776470778274842</v>
      </c>
      <c r="AI37" s="33">
        <f>'TUSD BE'!$AI$37*'TUSD BE'!$AI$81</f>
        <v>-4.3911749008858332E-3</v>
      </c>
      <c r="AJ37" s="33">
        <f ca="1">'TUSD BE'!$AJ$37*'TUSD BE'!$AJ$81</f>
        <v>-6.9333939020309668E-2</v>
      </c>
      <c r="AK37" s="33">
        <f ca="1">'TUSD BE'!$AK$37*'TUSD BE'!$AK$81</f>
        <v>0.21019751629027683</v>
      </c>
      <c r="AL37" s="33">
        <f ca="1">SUM($AH$37:$AK$37)</f>
        <v>-1.8411746754584031</v>
      </c>
      <c r="AM37" s="33">
        <f ca="1">SUMIF($L$4:$AL$4,"SUBTOTAL",$L$37:$AL$37)</f>
        <v>-1.825122676039284</v>
      </c>
      <c r="AO37" s="43">
        <f ca="1">+'TUSD BE'!$T$37+'TUSD BE'!$AB$37+'TUSD BE'!$AD$37+'TUSD BE'!$AL$37</f>
        <v>27.89160926141221</v>
      </c>
      <c r="AP37" s="43">
        <f ca="1">+'TUSD BE'!$T$37+'TUSD BE'!$AB$37+'TUSD BE'!$AD$37+'TUSD BE'!$AL$37</f>
        <v>27.89160926141221</v>
      </c>
    </row>
    <row r="38" spans="1:42" ht="11.25" customHeight="1" x14ac:dyDescent="0.25">
      <c r="A38" s="116" t="s">
        <v>125</v>
      </c>
      <c r="B38" s="116" t="s">
        <v>64</v>
      </c>
      <c r="C38" s="116" t="s">
        <v>25</v>
      </c>
      <c r="D38" s="116" t="s">
        <v>25</v>
      </c>
      <c r="E38" s="41" t="s">
        <v>126</v>
      </c>
      <c r="F38" s="41" t="s">
        <v>25</v>
      </c>
      <c r="G38" s="36" t="s">
        <v>9</v>
      </c>
      <c r="H38" s="36" t="s">
        <v>120</v>
      </c>
      <c r="I38" s="36">
        <f>'MERCADO TUSD'!$U$35+0.00000001</f>
        <v>1E-8</v>
      </c>
      <c r="J38" s="16"/>
      <c r="L38" s="33">
        <f>'TUSD BE'!$L$38*'TUSD BE'!$L$81</f>
        <v>0</v>
      </c>
      <c r="M38" s="33">
        <f>'TUSD BE'!$M$38*'TUSD BE'!$M$81</f>
        <v>7.308372506485457E-5</v>
      </c>
      <c r="N38" s="33">
        <f ca="1">'TUSD BE'!$N$38*'TUSD BE'!$N$81</f>
        <v>-6.9517927341475651E-9</v>
      </c>
      <c r="O38" s="33">
        <f>'TUSD BE'!$O$38*'TUSD BE'!$O$81</f>
        <v>0</v>
      </c>
      <c r="P38" s="33">
        <f>'TUSD BE'!$P$38*'TUSD BE'!$P$81</f>
        <v>0</v>
      </c>
      <c r="Q38" s="33">
        <f>'TUSD BE'!$Q$38*'TUSD BE'!$Q$81</f>
        <v>0</v>
      </c>
      <c r="R38" s="33">
        <f>'TUSD BE'!$R$38*'TUSD BE'!$R$81</f>
        <v>0</v>
      </c>
      <c r="S38" s="33">
        <f>'TUSD BE'!$R$38*'TUSD BE'!$S$81</f>
        <v>0</v>
      </c>
      <c r="T38" s="33">
        <f ca="1">SUM($L$38:$S$38)</f>
        <v>7.3076773272120425E-5</v>
      </c>
      <c r="U38" s="33">
        <f>'TUSD BE'!$U$38*'TUSD BE'!$U$81</f>
        <v>0</v>
      </c>
      <c r="V38" s="33">
        <f>'TUSD BE'!$V$38*'TUSD BE'!$V$81</f>
        <v>0</v>
      </c>
      <c r="W38" s="33">
        <f>'TUSD BE'!$W$38*'TUSD BE'!$W$81</f>
        <v>0</v>
      </c>
      <c r="X38" s="33">
        <f>'TUSD BE'!$X$38*'TUSD BE'!$X$81</f>
        <v>0</v>
      </c>
      <c r="Y38" s="33">
        <f>'TUSD BE'!$Y$38*'TUSD BE'!$Y$81</f>
        <v>0</v>
      </c>
      <c r="Z38" s="33">
        <f>'TUSD BE'!$Z$38*'TUSD BE'!$Z$81</f>
        <v>0</v>
      </c>
      <c r="AA38" s="33">
        <f>'TUSD BE'!$AA$38*'TUSD BE'!$AA$81</f>
        <v>0</v>
      </c>
      <c r="AB38" s="33">
        <f>SUM($U$38:$AA$38)</f>
        <v>0</v>
      </c>
      <c r="AC38" s="33">
        <f>'TUSD BE'!$AC$38*'TUSD BE'!$AC$81</f>
        <v>-4.7335799804384771E-7</v>
      </c>
      <c r="AD38" s="33">
        <f>SUM($AC$38:$AC$38)</f>
        <v>-4.7335799804384771E-7</v>
      </c>
      <c r="AE38" s="33">
        <f ca="1">$AO$38*$AO$78</f>
        <v>0</v>
      </c>
      <c r="AF38" s="33">
        <f ca="1">$AP$38*$AP$78</f>
        <v>0</v>
      </c>
      <c r="AG38" s="33">
        <f ca="1">SUM($AE$38:$AF$38)</f>
        <v>0</v>
      </c>
      <c r="AH38" s="33">
        <f>'TUSD BE'!$AH$38*'TUSD BE'!$AH$81</f>
        <v>0</v>
      </c>
      <c r="AI38" s="33">
        <f>'TUSD BE'!$AI$38*'TUSD BE'!$AI$81</f>
        <v>0</v>
      </c>
      <c r="AJ38" s="33">
        <f ca="1">'TUSD BE'!$AJ$38*'TUSD BE'!$AJ$81</f>
        <v>0</v>
      </c>
      <c r="AK38" s="33">
        <f ca="1">'TUSD BE'!$AK$38*'TUSD BE'!$AK$81</f>
        <v>0</v>
      </c>
      <c r="AL38" s="33">
        <f ca="1">SUM($AH$38:$AK$38)</f>
        <v>0</v>
      </c>
      <c r="AM38" s="33">
        <f ca="1">SUMIF($L$4:$AL$4,"SUBTOTAL",$L$38:$AL$38)</f>
        <v>7.2603415274076583E-5</v>
      </c>
      <c r="AO38" s="43">
        <f ca="1">+'TUSD BE'!$T$38+'TUSD BE'!$AB$38+'TUSD BE'!$AD$38+'TUSD BE'!$AL$38</f>
        <v>1.1737278848983519</v>
      </c>
      <c r="AP38" s="43">
        <f ca="1">+'TUSD BE'!$T$38+'TUSD BE'!$AB$38+'TUSD BE'!$AD$38+'TUSD BE'!$AL$38</f>
        <v>1.1737278848983519</v>
      </c>
    </row>
    <row r="39" spans="1:42" ht="11.25" customHeight="1" x14ac:dyDescent="0.25">
      <c r="A39" s="116"/>
      <c r="B39" s="116"/>
      <c r="C39" s="116"/>
      <c r="D39" s="116"/>
      <c r="E39" s="41" t="s">
        <v>127</v>
      </c>
      <c r="F39" s="41" t="s">
        <v>25</v>
      </c>
      <c r="G39" s="36" t="s">
        <v>9</v>
      </c>
      <c r="H39" s="36" t="s">
        <v>120</v>
      </c>
      <c r="I39" s="36">
        <f>'MERCADO TUSD'!$U$36+0.00000001</f>
        <v>1E-8</v>
      </c>
      <c r="J39" s="16"/>
      <c r="L39" s="33">
        <f>'TUSD BE'!$L$39*'TUSD BE'!$L$81</f>
        <v>0</v>
      </c>
      <c r="M39" s="33">
        <f>'TUSD BE'!$M$39*'TUSD BE'!$M$81</f>
        <v>7.308372506485457E-5</v>
      </c>
      <c r="N39" s="33">
        <f ca="1">'TUSD BE'!$N$39*'TUSD BE'!$N$81</f>
        <v>-6.9517927341475651E-9</v>
      </c>
      <c r="O39" s="33">
        <f>'TUSD BE'!$O$39*'TUSD BE'!$O$81</f>
        <v>0</v>
      </c>
      <c r="P39" s="33">
        <f>'TUSD BE'!$P$39*'TUSD BE'!$P$81</f>
        <v>0</v>
      </c>
      <c r="Q39" s="33">
        <f>'TUSD BE'!$Q$39*'TUSD BE'!$Q$81</f>
        <v>0</v>
      </c>
      <c r="R39" s="33">
        <f>'TUSD BE'!$R$39*'TUSD BE'!$R$81</f>
        <v>0</v>
      </c>
      <c r="S39" s="33">
        <f>'TUSD BE'!$R$39*'TUSD BE'!$S$81</f>
        <v>0</v>
      </c>
      <c r="T39" s="33">
        <f ca="1">SUM($L$39:$S$39)</f>
        <v>7.3076773272120425E-5</v>
      </c>
      <c r="U39" s="33">
        <f>'TUSD BE'!$U$39*'TUSD BE'!$U$81</f>
        <v>0</v>
      </c>
      <c r="V39" s="33">
        <f>'TUSD BE'!$V$39*'TUSD BE'!$V$81</f>
        <v>0</v>
      </c>
      <c r="W39" s="33">
        <f>'TUSD BE'!$W$39*'TUSD BE'!$W$81</f>
        <v>0</v>
      </c>
      <c r="X39" s="33">
        <f>'TUSD BE'!$X$39*'TUSD BE'!$X$81</f>
        <v>0</v>
      </c>
      <c r="Y39" s="33">
        <f>'TUSD BE'!$Y$39*'TUSD BE'!$Y$81</f>
        <v>0</v>
      </c>
      <c r="Z39" s="33">
        <f>'TUSD BE'!$Z$39*'TUSD BE'!$Z$81</f>
        <v>0</v>
      </c>
      <c r="AA39" s="33">
        <f>'TUSD BE'!$AA$39*'TUSD BE'!$AA$81</f>
        <v>0</v>
      </c>
      <c r="AB39" s="33">
        <f>SUM($U$39:$AA$39)</f>
        <v>0</v>
      </c>
      <c r="AC39" s="33">
        <f>'TUSD BE'!$AC$39*'TUSD BE'!$AC$81</f>
        <v>-4.519194029716169E-6</v>
      </c>
      <c r="AD39" s="33">
        <f>SUM($AC$39:$AC$39)</f>
        <v>-4.519194029716169E-6</v>
      </c>
      <c r="AE39" s="33">
        <f ca="1">$AO$39*$AO$78</f>
        <v>0</v>
      </c>
      <c r="AF39" s="33">
        <f ca="1">$AP$39*$AP$78</f>
        <v>0</v>
      </c>
      <c r="AG39" s="33">
        <f ca="1">SUM($AE$39:$AF$39)</f>
        <v>0</v>
      </c>
      <c r="AH39" s="33">
        <f>'TUSD BE'!$AH$39*'TUSD BE'!$AH$81</f>
        <v>0</v>
      </c>
      <c r="AI39" s="33">
        <f>'TUSD BE'!$AI$39*'TUSD BE'!$AI$81</f>
        <v>0</v>
      </c>
      <c r="AJ39" s="33">
        <f ca="1">'TUSD BE'!$AJ$39*'TUSD BE'!$AJ$81</f>
        <v>0</v>
      </c>
      <c r="AK39" s="33">
        <f ca="1">'TUSD BE'!$AK$39*'TUSD BE'!$AK$81</f>
        <v>0</v>
      </c>
      <c r="AL39" s="33">
        <f ca="1">SUM($AH$39:$AK$39)</f>
        <v>0</v>
      </c>
      <c r="AM39" s="33">
        <f ca="1">SUMIF($L$4:$AL$4,"SUBTOTAL",$L$39:$AL$39)</f>
        <v>6.855757924240426E-5</v>
      </c>
      <c r="AO39" s="43">
        <f ca="1">+'TUSD BE'!$T$39+'TUSD BE'!$AB$39+'TUSD BE'!$AD$39+'TUSD BE'!$AL$39</f>
        <v>11.071472933643578</v>
      </c>
      <c r="AP39" s="43">
        <f ca="1">+'TUSD BE'!$T$39+'TUSD BE'!$AB$39+'TUSD BE'!$AD$39+'TUSD BE'!$AL$39</f>
        <v>11.071472933643578</v>
      </c>
    </row>
    <row r="40" spans="1:42" ht="11.25" customHeight="1" x14ac:dyDescent="0.25">
      <c r="A40" s="116" t="s">
        <v>22</v>
      </c>
      <c r="B40" s="116" t="s">
        <v>33</v>
      </c>
      <c r="C40" s="116" t="s">
        <v>24</v>
      </c>
      <c r="D40" s="116" t="s">
        <v>24</v>
      </c>
      <c r="E40" s="116" t="s">
        <v>25</v>
      </c>
      <c r="F40" s="116" t="s">
        <v>25</v>
      </c>
      <c r="G40" s="36" t="s">
        <v>118</v>
      </c>
      <c r="H40" s="36" t="s">
        <v>117</v>
      </c>
      <c r="I40" s="36">
        <f>'MERCADO TUSD'!$U$37</f>
        <v>17.429000000000002</v>
      </c>
      <c r="J40" s="16"/>
      <c r="L40" s="33">
        <f>'TUSD BE'!$L$40*'TUSD BE'!$L$81</f>
        <v>-4.2884257692574472</v>
      </c>
      <c r="M40" s="33">
        <f>'TUSD BE'!$M$40*'TUSD BE'!$M$81</f>
        <v>1.7153865217016336E-2</v>
      </c>
      <c r="N40" s="33">
        <f ca="1">'TUSD BE'!$N$40*'TUSD BE'!$N$81</f>
        <v>-4.606449523285344E-6</v>
      </c>
      <c r="O40" s="33">
        <f>'TUSD BE'!$O$40*'TUSD BE'!$O$81</f>
        <v>0</v>
      </c>
      <c r="P40" s="33">
        <f>'TUSD BE'!$P$40*'TUSD BE'!$P$81</f>
        <v>0</v>
      </c>
      <c r="Q40" s="33">
        <f>'TUSD BE'!$Q$40*'TUSD BE'!$Q$81</f>
        <v>2.2439199094177593</v>
      </c>
      <c r="R40" s="33">
        <f>'TUSD BE'!$R$40*'TUSD BE'!$R$81</f>
        <v>0.32331020778137509</v>
      </c>
      <c r="S40" s="33">
        <f>'TUSD BE'!$R$40*'TUSD BE'!$S$81</f>
        <v>0</v>
      </c>
      <c r="T40" s="33">
        <f ca="1">SUM($L$40:$S$40)</f>
        <v>-1.7040463932908194</v>
      </c>
      <c r="U40" s="33">
        <f>'TUSD BE'!$U$40*'TUSD BE'!$U$81</f>
        <v>7.8614603010900126</v>
      </c>
      <c r="V40" s="33">
        <f>'TUSD BE'!$V$40*'TUSD BE'!$V$81</f>
        <v>-3.8711447723483402E-3</v>
      </c>
      <c r="W40" s="33">
        <f>'TUSD BE'!$W$40*'TUSD BE'!$W$81</f>
        <v>0</v>
      </c>
      <c r="X40" s="33">
        <f>'TUSD BE'!$X$40*'TUSD BE'!$X$81</f>
        <v>0</v>
      </c>
      <c r="Y40" s="33">
        <f>'TUSD BE'!$Y$40*'TUSD BE'!$Y$81</f>
        <v>2.7913366099936696</v>
      </c>
      <c r="Z40" s="33">
        <f>'TUSD BE'!$Z$40*'TUSD BE'!$Z$81</f>
        <v>0</v>
      </c>
      <c r="AA40" s="33">
        <f>'TUSD BE'!$AA$40*'TUSD BE'!$AA$81</f>
        <v>0</v>
      </c>
      <c r="AB40" s="33">
        <f>SUM($U$40:$AA$40)</f>
        <v>10.648925766311335</v>
      </c>
      <c r="AC40" s="33">
        <f>'TUSD BE'!$AC$40*'TUSD BE'!$AC$81</f>
        <v>-2.1342905400691448E-4</v>
      </c>
      <c r="AD40" s="33">
        <f>SUM($AC$40:$AC$40)</f>
        <v>-2.1342905400691448E-4</v>
      </c>
      <c r="AE40" s="33">
        <f ca="1">$AO$40*$AO$78</f>
        <v>0</v>
      </c>
      <c r="AF40" s="33">
        <f ca="1">$AP$40*$AP$78</f>
        <v>0</v>
      </c>
      <c r="AG40" s="33">
        <f ca="1">SUM($AE$40:$AF$40)</f>
        <v>0</v>
      </c>
      <c r="AH40" s="33">
        <f>'TUSD BE'!$AH$40*'TUSD BE'!$AH$81</f>
        <v>-4.060441823094818</v>
      </c>
      <c r="AI40" s="33">
        <f>'TUSD BE'!$AI$40*'TUSD BE'!$AI$81</f>
        <v>-9.0158200722386186E-3</v>
      </c>
      <c r="AJ40" s="33">
        <f ca="1">'TUSD BE'!$AJ$40*'TUSD BE'!$AJ$81</f>
        <v>-7.3094868770780488E-2</v>
      </c>
      <c r="AK40" s="33">
        <f ca="1">'TUSD BE'!$AK$40*'TUSD BE'!$AK$81</f>
        <v>0.22159940840345399</v>
      </c>
      <c r="AL40" s="33">
        <f ca="1">SUM($AH$40:$AK$40)</f>
        <v>-3.9209531035343832</v>
      </c>
      <c r="AM40" s="33">
        <f ca="1">SUMIF($L$4:$AL$4,"SUBTOTAL",$L$40:$AL$40)</f>
        <v>5.0237128404321254</v>
      </c>
      <c r="AO40" s="43">
        <f ca="1">+'TUSD BE'!$T$40+'TUSD BE'!$AB$40+'TUSD BE'!$AD$40+'TUSD BE'!$AL$40</f>
        <v>840.01285940516061</v>
      </c>
      <c r="AP40" s="43">
        <f ca="1">+'TUSD BE'!$T$40+'TUSD BE'!$AB$40+'TUSD BE'!$AD$40+'TUSD BE'!$AL$40</f>
        <v>840.01285940516061</v>
      </c>
    </row>
    <row r="41" spans="1:42" ht="11.25" customHeight="1" x14ac:dyDescent="0.25">
      <c r="A41" s="116"/>
      <c r="B41" s="116"/>
      <c r="C41" s="116"/>
      <c r="D41" s="116"/>
      <c r="E41" s="116"/>
      <c r="F41" s="116"/>
      <c r="G41" s="36" t="s">
        <v>128</v>
      </c>
      <c r="H41" s="36" t="s">
        <v>117</v>
      </c>
      <c r="I41" s="36">
        <f>'MERCADO TUSD'!$U$38</f>
        <v>10.807000000000002</v>
      </c>
      <c r="J41" s="16"/>
      <c r="L41" s="33">
        <f>'TUSD BE'!$L$41*'TUSD BE'!$L$81</f>
        <v>-4.2884257692574472</v>
      </c>
      <c r="M41" s="33">
        <f>'TUSD BE'!$M$41*'TUSD BE'!$M$81</f>
        <v>1.7153865217016336E-2</v>
      </c>
      <c r="N41" s="33">
        <f ca="1">'TUSD BE'!$N$41*'TUSD BE'!$N$81</f>
        <v>-2.9956231458360712E-6</v>
      </c>
      <c r="O41" s="33">
        <f>'TUSD BE'!$O$41*'TUSD BE'!$O$81</f>
        <v>0</v>
      </c>
      <c r="P41" s="33">
        <f>'TUSD BE'!$P$41*'TUSD BE'!$P$81</f>
        <v>0</v>
      </c>
      <c r="Q41" s="33">
        <f>'TUSD BE'!$Q$41*'TUSD BE'!$Q$81</f>
        <v>2.2439199094177593</v>
      </c>
      <c r="R41" s="33">
        <f>'TUSD BE'!$R$41*'TUSD BE'!$R$81</f>
        <v>0.32331020778137509</v>
      </c>
      <c r="S41" s="33">
        <f>'TUSD BE'!$R$41*'TUSD BE'!$S$81</f>
        <v>0</v>
      </c>
      <c r="T41" s="33">
        <f ca="1">SUM($L$41:$S$41)</f>
        <v>-1.7040447824644422</v>
      </c>
      <c r="U41" s="33">
        <f>'TUSD BE'!$U$41*'TUSD BE'!$U$81</f>
        <v>4.7168807892782132</v>
      </c>
      <c r="V41" s="33">
        <f>'TUSD BE'!$V$41*'TUSD BE'!$V$81</f>
        <v>-2.3227217731824042E-3</v>
      </c>
      <c r="W41" s="33">
        <f>'TUSD BE'!$W$41*'TUSD BE'!$W$81</f>
        <v>0</v>
      </c>
      <c r="X41" s="33">
        <f>'TUSD BE'!$X$41*'TUSD BE'!$X$81</f>
        <v>0</v>
      </c>
      <c r="Y41" s="33">
        <f>'TUSD BE'!$Y$41*'TUSD BE'!$Y$81</f>
        <v>1.6748014082988467</v>
      </c>
      <c r="Z41" s="33">
        <f>'TUSD BE'!$Z$41*'TUSD BE'!$Z$81</f>
        <v>0</v>
      </c>
      <c r="AA41" s="33">
        <f>'TUSD BE'!$AA$41*'TUSD BE'!$AA$81</f>
        <v>0</v>
      </c>
      <c r="AB41" s="33">
        <f>SUM($U$41:$AA$41)</f>
        <v>6.3893594758038779</v>
      </c>
      <c r="AC41" s="33">
        <f>'TUSD BE'!$AC$41*'TUSD BE'!$AC$81</f>
        <v>-1.2805740513436483E-4</v>
      </c>
      <c r="AD41" s="33">
        <f>SUM($AC$41:$AC$41)</f>
        <v>-1.2805740513436483E-4</v>
      </c>
      <c r="AE41" s="33">
        <f ca="1">$AO$41*$AO$78</f>
        <v>0</v>
      </c>
      <c r="AF41" s="33">
        <f ca="1">$AP$41*$AP$78</f>
        <v>0</v>
      </c>
      <c r="AG41" s="33">
        <f ca="1">SUM($AE$41:$AF$41)</f>
        <v>0</v>
      </c>
      <c r="AH41" s="33">
        <f>'TUSD BE'!$AH$41*'TUSD BE'!$AH$81</f>
        <v>-4.060441823094818</v>
      </c>
      <c r="AI41" s="33">
        <f>'TUSD BE'!$AI$41*'TUSD BE'!$AI$81</f>
        <v>-9.0158200722386186E-3</v>
      </c>
      <c r="AJ41" s="33">
        <f ca="1">'TUSD BE'!$AJ$41*'TUSD BE'!$AJ$81</f>
        <v>-7.3094868770780488E-2</v>
      </c>
      <c r="AK41" s="33">
        <f ca="1">'TUSD BE'!$AK$41*'TUSD BE'!$AK$81</f>
        <v>0.22159940840345399</v>
      </c>
      <c r="AL41" s="33">
        <f ca="1">SUM($AH$41:$AK$41)</f>
        <v>-3.9209531035343832</v>
      </c>
      <c r="AM41" s="33">
        <f ca="1">SUMIF($L$4:$AL$4,"SUBTOTAL",$L$41:$AL$41)</f>
        <v>0.76423353239991831</v>
      </c>
      <c r="AO41" s="43">
        <f ca="1">+'TUSD BE'!$T$41+'TUSD BE'!$AB$41+'TUSD BE'!$AD$41+'TUSD BE'!$AL$41</f>
        <v>570.32822688156341</v>
      </c>
      <c r="AP41" s="43">
        <f ca="1">+'TUSD BE'!$T$41+'TUSD BE'!$AB$41+'TUSD BE'!$AD$41+'TUSD BE'!$AL$41</f>
        <v>570.32822688156341</v>
      </c>
    </row>
    <row r="42" spans="1:42" ht="11.25" customHeight="1" x14ac:dyDescent="0.25">
      <c r="A42" s="116"/>
      <c r="B42" s="116"/>
      <c r="C42" s="116"/>
      <c r="D42" s="116"/>
      <c r="E42" s="116"/>
      <c r="F42" s="116"/>
      <c r="G42" s="36" t="s">
        <v>119</v>
      </c>
      <c r="H42" s="36" t="s">
        <v>117</v>
      </c>
      <c r="I42" s="36">
        <f>'MERCADO TUSD'!$U$39</f>
        <v>120.55500000000001</v>
      </c>
      <c r="J42" s="16"/>
      <c r="L42" s="33">
        <f>'TUSD BE'!$L$42*'TUSD BE'!$L$81</f>
        <v>-4.2884257692574472</v>
      </c>
      <c r="M42" s="33">
        <f>'TUSD BE'!$M$42*'TUSD BE'!$M$81</f>
        <v>1.7153865217016336E-2</v>
      </c>
      <c r="N42" s="33">
        <f ca="1">'TUSD BE'!$N$42*'TUSD BE'!$N$81</f>
        <v>-1.3847967683867993E-6</v>
      </c>
      <c r="O42" s="33">
        <f>'TUSD BE'!$O$42*'TUSD BE'!$O$81</f>
        <v>0</v>
      </c>
      <c r="P42" s="33">
        <f>'TUSD BE'!$P$42*'TUSD BE'!$P$81</f>
        <v>0</v>
      </c>
      <c r="Q42" s="33">
        <f>'TUSD BE'!$Q$42*'TUSD BE'!$Q$81</f>
        <v>2.2439199094177593</v>
      </c>
      <c r="R42" s="33">
        <f>'TUSD BE'!$R$42*'TUSD BE'!$R$81</f>
        <v>0.32331020778137509</v>
      </c>
      <c r="S42" s="33">
        <f>'TUSD BE'!$R$42*'TUSD BE'!$S$81</f>
        <v>0</v>
      </c>
      <c r="T42" s="33">
        <f ca="1">SUM($L$42:$S$42)</f>
        <v>-1.7040431716380651</v>
      </c>
      <c r="U42" s="33">
        <f>'TUSD BE'!$U$42*'TUSD BE'!$U$81</f>
        <v>1.5723012774664156</v>
      </c>
      <c r="V42" s="33">
        <f>'TUSD BE'!$V$42*'TUSD BE'!$V$81</f>
        <v>-7.7421149958296789E-4</v>
      </c>
      <c r="W42" s="33">
        <f>'TUSD BE'!$W$42*'TUSD BE'!$W$81</f>
        <v>0</v>
      </c>
      <c r="X42" s="33">
        <f>'TUSD BE'!$X$42*'TUSD BE'!$X$81</f>
        <v>0</v>
      </c>
      <c r="Y42" s="33">
        <f>'TUSD BE'!$Y$42*'TUSD BE'!$Y$81</f>
        <v>0.55826620660402337</v>
      </c>
      <c r="Z42" s="33">
        <f>'TUSD BE'!$Z$42*'TUSD BE'!$Z$81</f>
        <v>0</v>
      </c>
      <c r="AA42" s="33">
        <f>'TUSD BE'!$AA$42*'TUSD BE'!$AA$81</f>
        <v>0</v>
      </c>
      <c r="AB42" s="33">
        <f>SUM($U$42:$AA$42)</f>
        <v>2.1297932725708559</v>
      </c>
      <c r="AC42" s="33">
        <f>'TUSD BE'!$AC$42*'TUSD BE'!$AC$81</f>
        <v>-4.2685801711454936E-5</v>
      </c>
      <c r="AD42" s="33">
        <f>SUM($AC$42:$AC$42)</f>
        <v>-4.2685801711454936E-5</v>
      </c>
      <c r="AE42" s="33">
        <f ca="1">$AO$42*$AO$78</f>
        <v>0</v>
      </c>
      <c r="AF42" s="33">
        <f ca="1">$AP$42*$AP$78</f>
        <v>0</v>
      </c>
      <c r="AG42" s="33">
        <f ca="1">SUM($AE$42:$AF$42)</f>
        <v>0</v>
      </c>
      <c r="AH42" s="33">
        <f>'TUSD BE'!$AH$42*'TUSD BE'!$AH$81</f>
        <v>-4.060441823094818</v>
      </c>
      <c r="AI42" s="33">
        <f>'TUSD BE'!$AI$42*'TUSD BE'!$AI$81</f>
        <v>-9.0158200722386186E-3</v>
      </c>
      <c r="AJ42" s="33">
        <f ca="1">'TUSD BE'!$AJ$42*'TUSD BE'!$AJ$81</f>
        <v>-7.3094868770780488E-2</v>
      </c>
      <c r="AK42" s="33">
        <f ca="1">'TUSD BE'!$AK$42*'TUSD BE'!$AK$81</f>
        <v>0.22159940840345399</v>
      </c>
      <c r="AL42" s="33">
        <f ca="1">SUM($AH$42:$AK$42)</f>
        <v>-3.9209531035343832</v>
      </c>
      <c r="AM42" s="33">
        <f ca="1">SUMIF($L$4:$AL$4,"SUBTOTAL",$L$42:$AL$42)</f>
        <v>-3.4952456884033039</v>
      </c>
      <c r="AO42" s="43">
        <f ca="1">+'TUSD BE'!$T$42+'TUSD BE'!$AB$42+'TUSD BE'!$AD$42+'TUSD BE'!$AL$42</f>
        <v>300.6436958401938</v>
      </c>
      <c r="AP42" s="43">
        <f ca="1">+'TUSD BE'!$T$42+'TUSD BE'!$AB$42+'TUSD BE'!$AD$42+'TUSD BE'!$AL$42</f>
        <v>300.6436958401938</v>
      </c>
    </row>
    <row r="43" spans="1:42" ht="11.25" customHeight="1" x14ac:dyDescent="0.25">
      <c r="A43" s="116"/>
      <c r="B43" s="116" t="s">
        <v>23</v>
      </c>
      <c r="C43" s="116" t="s">
        <v>24</v>
      </c>
      <c r="D43" s="41" t="s">
        <v>24</v>
      </c>
      <c r="E43" s="41" t="s">
        <v>25</v>
      </c>
      <c r="F43" s="41" t="s">
        <v>25</v>
      </c>
      <c r="G43" s="36" t="s">
        <v>123</v>
      </c>
      <c r="H43" s="36" t="s">
        <v>117</v>
      </c>
      <c r="I43" s="36">
        <f>'MERCADO TUSD'!$U$40</f>
        <v>426447.22100000002</v>
      </c>
      <c r="J43" s="16"/>
      <c r="L43" s="33">
        <f>'TUSD BE'!$L$43*'TUSD BE'!$L$81</f>
        <v>-4.2884257692574472</v>
      </c>
      <c r="M43" s="33">
        <f>'TUSD BE'!$M$43*'TUSD BE'!$M$81</f>
        <v>1.7153865217016336E-2</v>
      </c>
      <c r="N43" s="33">
        <f ca="1">'TUSD BE'!$N$43*'TUSD BE'!$N$81</f>
        <v>-2.0990312367236033E-6</v>
      </c>
      <c r="O43" s="33">
        <f>'TUSD BE'!$O$43*'TUSD BE'!$O$81</f>
        <v>0</v>
      </c>
      <c r="P43" s="33">
        <f>'TUSD BE'!$P$43*'TUSD BE'!$P$81</f>
        <v>0</v>
      </c>
      <c r="Q43" s="33">
        <f>'TUSD BE'!$Q$43*'TUSD BE'!$Q$81</f>
        <v>2.2439199094177593</v>
      </c>
      <c r="R43" s="33">
        <f>'TUSD BE'!$R$43*'TUSD BE'!$R$81</f>
        <v>0.32331020778137509</v>
      </c>
      <c r="S43" s="33">
        <f>'TUSD BE'!$R$43*'TUSD BE'!$S$81</f>
        <v>0</v>
      </c>
      <c r="T43" s="33">
        <f ca="1">SUM($L$43:$S$43)</f>
        <v>-1.7040438858725331</v>
      </c>
      <c r="U43" s="33">
        <f>'TUSD BE'!$U$43*'TUSD BE'!$U$81</f>
        <v>2.9665944449504464</v>
      </c>
      <c r="V43" s="33">
        <f>'TUSD BE'!$V$43*'TUSD BE'!$V$81</f>
        <v>-1.46079946793143E-3</v>
      </c>
      <c r="W43" s="33">
        <f>'TUSD BE'!$W$43*'TUSD BE'!$W$81</f>
        <v>0</v>
      </c>
      <c r="X43" s="33">
        <f>'TUSD BE'!$X$43*'TUSD BE'!$X$81</f>
        <v>0</v>
      </c>
      <c r="Y43" s="33">
        <f>'TUSD BE'!$Y$43*'TUSD BE'!$Y$81</f>
        <v>1.0533341489052677</v>
      </c>
      <c r="Z43" s="33">
        <f>'TUSD BE'!$Z$43*'TUSD BE'!$Z$81</f>
        <v>0</v>
      </c>
      <c r="AA43" s="33">
        <f>'TUSD BE'!$AA$43*'TUSD BE'!$AA$81</f>
        <v>0</v>
      </c>
      <c r="AB43" s="33">
        <f>SUM($U$43:$AA$43)</f>
        <v>4.0184677943877825</v>
      </c>
      <c r="AC43" s="33">
        <f>'TUSD BE'!$AC$43*'TUSD BE'!$AC$81</f>
        <v>-8.053926137528472E-5</v>
      </c>
      <c r="AD43" s="33">
        <f>SUM($AC$43:$AC$43)</f>
        <v>-8.053926137528472E-5</v>
      </c>
      <c r="AE43" s="33">
        <f ca="1">$AO$43*$AO$78</f>
        <v>0</v>
      </c>
      <c r="AF43" s="33">
        <f ca="1">$AP$43*$AP$78</f>
        <v>0</v>
      </c>
      <c r="AG43" s="33">
        <f ca="1">SUM($AE$43:$AF$43)</f>
        <v>0</v>
      </c>
      <c r="AH43" s="33">
        <f>'TUSD BE'!$AH$43*'TUSD BE'!$AH$81</f>
        <v>-4.060441823094818</v>
      </c>
      <c r="AI43" s="33">
        <f>'TUSD BE'!$AI$43*'TUSD BE'!$AI$81</f>
        <v>-9.0158200722386186E-3</v>
      </c>
      <c r="AJ43" s="33">
        <f ca="1">'TUSD BE'!$AJ$43*'TUSD BE'!$AJ$81</f>
        <v>-7.3094868770780488E-2</v>
      </c>
      <c r="AK43" s="33">
        <f ca="1">'TUSD BE'!$AK$43*'TUSD BE'!$AK$81</f>
        <v>0.22159940840345399</v>
      </c>
      <c r="AL43" s="33">
        <f ca="1">SUM($AH$43:$AK$43)</f>
        <v>-3.9209531035343832</v>
      </c>
      <c r="AM43" s="33">
        <f ca="1">SUMIF($L$4:$AL$4,"SUBTOTAL",$L$43:$AL$43)</f>
        <v>-1.606609734280509</v>
      </c>
      <c r="AO43" s="43">
        <f ca="1">+'TUSD BE'!$T$43+'TUSD BE'!$AB$43+'TUSD BE'!$AD$43+'TUSD BE'!$AL$43</f>
        <v>420.22084168166344</v>
      </c>
      <c r="AP43" s="43">
        <f ca="1">+'TUSD BE'!$T$43+'TUSD BE'!$AB$43+'TUSD BE'!$AD$43+'TUSD BE'!$AL$43</f>
        <v>420.22084168166344</v>
      </c>
    </row>
    <row r="44" spans="1:42" ht="11.25" customHeight="1" x14ac:dyDescent="0.25">
      <c r="A44" s="116"/>
      <c r="B44" s="116"/>
      <c r="C44" s="116"/>
      <c r="D44" s="41" t="s">
        <v>29</v>
      </c>
      <c r="E44" s="41" t="s">
        <v>25</v>
      </c>
      <c r="F44" s="41" t="s">
        <v>25</v>
      </c>
      <c r="G44" s="36" t="s">
        <v>123</v>
      </c>
      <c r="H44" s="36" t="s">
        <v>117</v>
      </c>
      <c r="I44" s="36">
        <f>'MERCADO TUSD'!$U$41</f>
        <v>31822.650999999998</v>
      </c>
      <c r="J44" s="16"/>
      <c r="L44" s="33">
        <f>'TUSD BE'!$L$44*'TUSD BE'!$L$81</f>
        <v>0</v>
      </c>
      <c r="M44" s="33">
        <f>'TUSD BE'!$M$44*'TUSD BE'!$M$81</f>
        <v>1.7153865217016336E-2</v>
      </c>
      <c r="N44" s="33">
        <f ca="1">'TUSD BE'!$N$44*'TUSD BE'!$N$81</f>
        <v>-2.0924104817387011E-6</v>
      </c>
      <c r="O44" s="33">
        <f>'TUSD BE'!$O$44*'TUSD BE'!$O$81</f>
        <v>0</v>
      </c>
      <c r="P44" s="33">
        <f>'TUSD BE'!$P$44*'TUSD BE'!$P$81</f>
        <v>0</v>
      </c>
      <c r="Q44" s="33">
        <f>'TUSD BE'!$Q$44*'TUSD BE'!$Q$81</f>
        <v>0</v>
      </c>
      <c r="R44" s="33">
        <f>'TUSD BE'!$R$44*'TUSD BE'!$R$81</f>
        <v>0</v>
      </c>
      <c r="S44" s="33">
        <f>'TUSD BE'!$R$44*'TUSD BE'!$S$81</f>
        <v>0</v>
      </c>
      <c r="T44" s="33">
        <f ca="1">SUM($L$44:$S$44)</f>
        <v>1.7151772806534599E-2</v>
      </c>
      <c r="U44" s="33">
        <f>'TUSD BE'!$U$44*'TUSD BE'!$U$81</f>
        <v>2.9665944449504464</v>
      </c>
      <c r="V44" s="33">
        <f>'TUSD BE'!$V$44*'TUSD BE'!$V$81</f>
        <v>-1.46079946793143E-3</v>
      </c>
      <c r="W44" s="33">
        <f>'TUSD BE'!$W$44*'TUSD BE'!$W$81</f>
        <v>0</v>
      </c>
      <c r="X44" s="33">
        <f>'TUSD BE'!$X$44*'TUSD BE'!$X$81</f>
        <v>0</v>
      </c>
      <c r="Y44" s="33">
        <f>'TUSD BE'!$Y$44*'TUSD BE'!$Y$81</f>
        <v>1.0533341489052677</v>
      </c>
      <c r="Z44" s="33">
        <f>'TUSD BE'!$Z$44*'TUSD BE'!$Z$81</f>
        <v>0</v>
      </c>
      <c r="AA44" s="33">
        <f>'TUSD BE'!$AA$44*'TUSD BE'!$AA$81</f>
        <v>0</v>
      </c>
      <c r="AB44" s="33">
        <f>SUM($U$44:$AA$44)</f>
        <v>4.0184677943877825</v>
      </c>
      <c r="AC44" s="33">
        <f>'TUSD BE'!$AC$44*'TUSD BE'!$AC$81</f>
        <v>-8.053926137528472E-5</v>
      </c>
      <c r="AD44" s="33">
        <f>SUM($AC$44:$AC$44)</f>
        <v>-8.053926137528472E-5</v>
      </c>
      <c r="AE44" s="33">
        <f ca="1">$AO$44*$AO$78</f>
        <v>0</v>
      </c>
      <c r="AF44" s="33">
        <f ca="1">$AP$44*$AP$78</f>
        <v>0</v>
      </c>
      <c r="AG44" s="33">
        <f ca="1">SUM($AE$44:$AF$44)</f>
        <v>0</v>
      </c>
      <c r="AH44" s="33">
        <f>'TUSD BE'!$AH$44*'TUSD BE'!$AH$81</f>
        <v>-4.060441823094818</v>
      </c>
      <c r="AI44" s="33">
        <f>'TUSD BE'!$AI$44*'TUSD BE'!$AI$81</f>
        <v>-9.0158200722386186E-3</v>
      </c>
      <c r="AJ44" s="33">
        <f ca="1">'TUSD BE'!$AJ$44*'TUSD BE'!$AJ$81</f>
        <v>-7.3094868770780488E-2</v>
      </c>
      <c r="AK44" s="33">
        <f ca="1">'TUSD BE'!$AK$44*'TUSD BE'!$AK$81</f>
        <v>0.22159940840345399</v>
      </c>
      <c r="AL44" s="33">
        <f ca="1">SUM($AH$44:$AK$44)</f>
        <v>-3.9209531035343832</v>
      </c>
      <c r="AM44" s="33">
        <f ca="1">SUMIF($L$4:$AL$4,"SUBTOTAL",$L$44:$AL$44)</f>
        <v>0.11458592439855808</v>
      </c>
      <c r="AO44" s="43">
        <f ca="1">+'TUSD BE'!$T$44+'TUSD BE'!$AB$44+'TUSD BE'!$AD$44+'TUSD BE'!$AL$44</f>
        <v>305.6756108798748</v>
      </c>
      <c r="AP44" s="43">
        <f ca="1">+'TUSD BE'!$T$44+'TUSD BE'!$AB$44+'TUSD BE'!$AD$44+'TUSD BE'!$AL$44</f>
        <v>305.6756108798748</v>
      </c>
    </row>
    <row r="45" spans="1:42" ht="11.25" customHeight="1" x14ac:dyDescent="0.25">
      <c r="A45" s="116"/>
      <c r="B45" s="116"/>
      <c r="C45" s="116"/>
      <c r="D45" s="41" t="s">
        <v>30</v>
      </c>
      <c r="E45" s="41" t="s">
        <v>25</v>
      </c>
      <c r="F45" s="41" t="s">
        <v>25</v>
      </c>
      <c r="G45" s="36" t="s">
        <v>123</v>
      </c>
      <c r="H45" s="36" t="s">
        <v>117</v>
      </c>
      <c r="I45" s="36">
        <f>'MERCADO TUSD'!$U$42</f>
        <v>61209.610999999997</v>
      </c>
      <c r="J45" s="16"/>
      <c r="L45" s="33">
        <f>'TUSD BE'!$L$45*'TUSD BE'!$L$81</f>
        <v>0</v>
      </c>
      <c r="M45" s="33">
        <f>'TUSD BE'!$M$45*'TUSD BE'!$M$81</f>
        <v>1.7153865217016336E-2</v>
      </c>
      <c r="N45" s="33">
        <f ca="1">'TUSD BE'!$N$45*'TUSD BE'!$N$81</f>
        <v>-2.0924104817387011E-6</v>
      </c>
      <c r="O45" s="33">
        <f>'TUSD BE'!$O$45*'TUSD BE'!$O$81</f>
        <v>0</v>
      </c>
      <c r="P45" s="33">
        <f>'TUSD BE'!$P$45*'TUSD BE'!$P$81</f>
        <v>0</v>
      </c>
      <c r="Q45" s="33">
        <f>'TUSD BE'!$Q$45*'TUSD BE'!$Q$81</f>
        <v>0</v>
      </c>
      <c r="R45" s="33">
        <f>'TUSD BE'!$R$45*'TUSD BE'!$R$81</f>
        <v>0</v>
      </c>
      <c r="S45" s="33">
        <f>'TUSD BE'!$R$45*'TUSD BE'!$S$81</f>
        <v>0</v>
      </c>
      <c r="T45" s="33">
        <f ca="1">SUM($L$45:$S$45)</f>
        <v>1.7151772806534599E-2</v>
      </c>
      <c r="U45" s="33">
        <f>'TUSD BE'!$U$45*'TUSD BE'!$U$81</f>
        <v>2.9665944449504464</v>
      </c>
      <c r="V45" s="33">
        <f>'TUSD BE'!$V$45*'TUSD BE'!$V$81</f>
        <v>-1.46079946793143E-3</v>
      </c>
      <c r="W45" s="33">
        <f>'TUSD BE'!$W$45*'TUSD BE'!$W$81</f>
        <v>0</v>
      </c>
      <c r="X45" s="33">
        <f>'TUSD BE'!$X$45*'TUSD BE'!$X$81</f>
        <v>0</v>
      </c>
      <c r="Y45" s="33">
        <f>'TUSD BE'!$Y$45*'TUSD BE'!$Y$81</f>
        <v>1.0533341489052677</v>
      </c>
      <c r="Z45" s="33">
        <f>'TUSD BE'!$Z$45*'TUSD BE'!$Z$81</f>
        <v>0</v>
      </c>
      <c r="AA45" s="33">
        <f>'TUSD BE'!$AA$45*'TUSD BE'!$AA$81</f>
        <v>0</v>
      </c>
      <c r="AB45" s="33">
        <f>SUM($U$45:$AA$45)</f>
        <v>4.0184677943877825</v>
      </c>
      <c r="AC45" s="33">
        <f>'TUSD BE'!$AC$45*'TUSD BE'!$AC$81</f>
        <v>-8.053926137528472E-5</v>
      </c>
      <c r="AD45" s="33">
        <f>SUM($AC$45:$AC$45)</f>
        <v>-8.053926137528472E-5</v>
      </c>
      <c r="AE45" s="33">
        <f ca="1">$AO$45*$AO$78</f>
        <v>0</v>
      </c>
      <c r="AF45" s="33">
        <f ca="1">$AP$45*$AP$78</f>
        <v>0</v>
      </c>
      <c r="AG45" s="33">
        <f ca="1">SUM($AE$45:$AF$45)</f>
        <v>0</v>
      </c>
      <c r="AH45" s="33">
        <f>'TUSD BE'!$AH$45*'TUSD BE'!$AH$81</f>
        <v>-4.060441823094818</v>
      </c>
      <c r="AI45" s="33">
        <f>'TUSD BE'!$AI$45*'TUSD BE'!$AI$81</f>
        <v>-9.0158200722386186E-3</v>
      </c>
      <c r="AJ45" s="33">
        <f ca="1">'TUSD BE'!$AJ$45*'TUSD BE'!$AJ$81</f>
        <v>-7.3094868770780488E-2</v>
      </c>
      <c r="AK45" s="33">
        <f ca="1">'TUSD BE'!$AK$45*'TUSD BE'!$AK$81</f>
        <v>0.22159940840345399</v>
      </c>
      <c r="AL45" s="33">
        <f ca="1">SUM($AH$45:$AK$45)</f>
        <v>-3.9209531035343832</v>
      </c>
      <c r="AM45" s="33">
        <f ca="1">SUMIF($L$4:$AL$4,"SUBTOTAL",$L$45:$AL$45)</f>
        <v>0.11458592439855808</v>
      </c>
      <c r="AO45" s="43">
        <f ca="1">+'TUSD BE'!$T$45+'TUSD BE'!$AB$45+'TUSD BE'!$AD$45+'TUSD BE'!$AL$45</f>
        <v>305.6756108798748</v>
      </c>
      <c r="AP45" s="43">
        <f ca="1">+'TUSD BE'!$T$45+'TUSD BE'!$AB$45+'TUSD BE'!$AD$45+'TUSD BE'!$AL$45</f>
        <v>305.6756108798748</v>
      </c>
    </row>
    <row r="46" spans="1:42" ht="11.25" customHeight="1" x14ac:dyDescent="0.25">
      <c r="A46" s="116"/>
      <c r="B46" s="116"/>
      <c r="C46" s="116"/>
      <c r="D46" s="41" t="s">
        <v>31</v>
      </c>
      <c r="E46" s="41" t="s">
        <v>25</v>
      </c>
      <c r="F46" s="41" t="s">
        <v>25</v>
      </c>
      <c r="G46" s="36" t="s">
        <v>123</v>
      </c>
      <c r="H46" s="36" t="s">
        <v>117</v>
      </c>
      <c r="I46" s="36">
        <f>'MERCADO TUSD'!$U$43</f>
        <v>39801.019999999997</v>
      </c>
      <c r="J46" s="16"/>
      <c r="L46" s="33">
        <f>'TUSD BE'!$L$46*'TUSD BE'!$L$81</f>
        <v>0</v>
      </c>
      <c r="M46" s="33">
        <f>'TUSD BE'!$M$46*'TUSD BE'!$M$81</f>
        <v>1.7153865217016336E-2</v>
      </c>
      <c r="N46" s="33">
        <f ca="1">'TUSD BE'!$N$46*'TUSD BE'!$N$81</f>
        <v>-2.0924104817387011E-6</v>
      </c>
      <c r="O46" s="33">
        <f>'TUSD BE'!$O$46*'TUSD BE'!$O$81</f>
        <v>0</v>
      </c>
      <c r="P46" s="33">
        <f>'TUSD BE'!$P$46*'TUSD BE'!$P$81</f>
        <v>0</v>
      </c>
      <c r="Q46" s="33">
        <f>'TUSD BE'!$Q$46*'TUSD BE'!$Q$81</f>
        <v>0</v>
      </c>
      <c r="R46" s="33">
        <f>'TUSD BE'!$R$46*'TUSD BE'!$R$81</f>
        <v>0</v>
      </c>
      <c r="S46" s="33">
        <f>'TUSD BE'!$R$46*'TUSD BE'!$S$81</f>
        <v>0</v>
      </c>
      <c r="T46" s="33">
        <f ca="1">SUM($L$46:$S$46)</f>
        <v>1.7151772806534599E-2</v>
      </c>
      <c r="U46" s="33">
        <f>'TUSD BE'!$U$46*'TUSD BE'!$U$81</f>
        <v>2.9665944449504464</v>
      </c>
      <c r="V46" s="33">
        <f>'TUSD BE'!$V$46*'TUSD BE'!$V$81</f>
        <v>-1.46079946793143E-3</v>
      </c>
      <c r="W46" s="33">
        <f>'TUSD BE'!$W$46*'TUSD BE'!$W$81</f>
        <v>0</v>
      </c>
      <c r="X46" s="33">
        <f>'TUSD BE'!$X$46*'TUSD BE'!$X$81</f>
        <v>0</v>
      </c>
      <c r="Y46" s="33">
        <f>'TUSD BE'!$Y$46*'TUSD BE'!$Y$81</f>
        <v>1.0533341489052677</v>
      </c>
      <c r="Z46" s="33">
        <f>'TUSD BE'!$Z$46*'TUSD BE'!$Z$81</f>
        <v>0</v>
      </c>
      <c r="AA46" s="33">
        <f>'TUSD BE'!$AA$46*'TUSD BE'!$AA$81</f>
        <v>0</v>
      </c>
      <c r="AB46" s="33">
        <f>SUM($U$46:$AA$46)</f>
        <v>4.0184677943877825</v>
      </c>
      <c r="AC46" s="33">
        <f>'TUSD BE'!$AC$46*'TUSD BE'!$AC$81</f>
        <v>-8.053926137528472E-5</v>
      </c>
      <c r="AD46" s="33">
        <f>SUM($AC$46:$AC$46)</f>
        <v>-8.053926137528472E-5</v>
      </c>
      <c r="AE46" s="33">
        <f ca="1">$AO$46*$AO$78</f>
        <v>0</v>
      </c>
      <c r="AF46" s="33">
        <f ca="1">$AP$46*$AP$78</f>
        <v>0</v>
      </c>
      <c r="AG46" s="33">
        <f ca="1">SUM($AE$46:$AF$46)</f>
        <v>0</v>
      </c>
      <c r="AH46" s="33">
        <f>'TUSD BE'!$AH$46*'TUSD BE'!$AH$81</f>
        <v>-4.060441823094818</v>
      </c>
      <c r="AI46" s="33">
        <f>'TUSD BE'!$AI$46*'TUSD BE'!$AI$81</f>
        <v>-9.0158200722386186E-3</v>
      </c>
      <c r="AJ46" s="33">
        <f ca="1">'TUSD BE'!$AJ$46*'TUSD BE'!$AJ$81</f>
        <v>-7.3094868770780488E-2</v>
      </c>
      <c r="AK46" s="33">
        <f ca="1">'TUSD BE'!$AK$46*'TUSD BE'!$AK$81</f>
        <v>0.22159940840345399</v>
      </c>
      <c r="AL46" s="33">
        <f ca="1">SUM($AH$46:$AK$46)</f>
        <v>-3.9209531035343832</v>
      </c>
      <c r="AM46" s="33">
        <f ca="1">SUMIF($L$4:$AL$4,"SUBTOTAL",$L$46:$AL$46)</f>
        <v>0.11458592439855808</v>
      </c>
      <c r="AO46" s="43">
        <f ca="1">+'TUSD BE'!$T$46+'TUSD BE'!$AB$46+'TUSD BE'!$AD$46+'TUSD BE'!$AL$46</f>
        <v>305.6756108798748</v>
      </c>
      <c r="AP46" s="43">
        <f ca="1">+'TUSD BE'!$T$46+'TUSD BE'!$AB$46+'TUSD BE'!$AD$46+'TUSD BE'!$AL$46</f>
        <v>305.6756108798748</v>
      </c>
    </row>
    <row r="47" spans="1:42" ht="11.25" customHeight="1" x14ac:dyDescent="0.25">
      <c r="A47" s="116"/>
      <c r="B47" s="116"/>
      <c r="C47" s="116"/>
      <c r="D47" s="41" t="s">
        <v>32</v>
      </c>
      <c r="E47" s="41" t="s">
        <v>25</v>
      </c>
      <c r="F47" s="41" t="s">
        <v>25</v>
      </c>
      <c r="G47" s="36" t="s">
        <v>123</v>
      </c>
      <c r="H47" s="36" t="s">
        <v>117</v>
      </c>
      <c r="I47" s="36">
        <f>'MERCADO TUSD'!$U$44</f>
        <v>7781.4139999999989</v>
      </c>
      <c r="J47" s="16"/>
      <c r="L47" s="33">
        <f>'TUSD BE'!$L$47*'TUSD BE'!$L$81</f>
        <v>0</v>
      </c>
      <c r="M47" s="33">
        <f>'TUSD BE'!$M$47*'TUSD BE'!$M$81</f>
        <v>1.7153865217016336E-2</v>
      </c>
      <c r="N47" s="33">
        <f ca="1">'TUSD BE'!$N$47*'TUSD BE'!$N$81</f>
        <v>-2.0924104817387011E-6</v>
      </c>
      <c r="O47" s="33">
        <f>'TUSD BE'!$O$47*'TUSD BE'!$O$81</f>
        <v>0</v>
      </c>
      <c r="P47" s="33">
        <f>'TUSD BE'!$P$47*'TUSD BE'!$P$81</f>
        <v>0</v>
      </c>
      <c r="Q47" s="33">
        <f>'TUSD BE'!$Q$47*'TUSD BE'!$Q$81</f>
        <v>0</v>
      </c>
      <c r="R47" s="33">
        <f>'TUSD BE'!$R$47*'TUSD BE'!$R$81</f>
        <v>0</v>
      </c>
      <c r="S47" s="33">
        <f>'TUSD BE'!$R$47*'TUSD BE'!$S$81</f>
        <v>0</v>
      </c>
      <c r="T47" s="33">
        <f ca="1">SUM($L$47:$S$47)</f>
        <v>1.7151772806534599E-2</v>
      </c>
      <c r="U47" s="33">
        <f>'TUSD BE'!$U$47*'TUSD BE'!$U$81</f>
        <v>2.9665944449504464</v>
      </c>
      <c r="V47" s="33">
        <f>'TUSD BE'!$V$47*'TUSD BE'!$V$81</f>
        <v>-1.46079946793143E-3</v>
      </c>
      <c r="W47" s="33">
        <f>'TUSD BE'!$W$47*'TUSD BE'!$W$81</f>
        <v>0</v>
      </c>
      <c r="X47" s="33">
        <f>'TUSD BE'!$X$47*'TUSD BE'!$X$81</f>
        <v>0</v>
      </c>
      <c r="Y47" s="33">
        <f>'TUSD BE'!$Y$47*'TUSD BE'!$Y$81</f>
        <v>1.0533341489052677</v>
      </c>
      <c r="Z47" s="33">
        <f>'TUSD BE'!$Z$47*'TUSD BE'!$Z$81</f>
        <v>0</v>
      </c>
      <c r="AA47" s="33">
        <f>'TUSD BE'!$AA$47*'TUSD BE'!$AA$81</f>
        <v>0</v>
      </c>
      <c r="AB47" s="33">
        <f>SUM($U$47:$AA$47)</f>
        <v>4.0184677943877825</v>
      </c>
      <c r="AC47" s="33">
        <f>'TUSD BE'!$AC$47*'TUSD BE'!$AC$81</f>
        <v>-8.053926137528472E-5</v>
      </c>
      <c r="AD47" s="33">
        <f>SUM($AC$47:$AC$47)</f>
        <v>-8.053926137528472E-5</v>
      </c>
      <c r="AE47" s="33">
        <f ca="1">$AO$47*$AO$78</f>
        <v>0</v>
      </c>
      <c r="AF47" s="33">
        <f ca="1">$AP$47*$AP$78</f>
        <v>0</v>
      </c>
      <c r="AG47" s="33">
        <f ca="1">SUM($AE$47:$AF$47)</f>
        <v>0</v>
      </c>
      <c r="AH47" s="33">
        <f>'TUSD BE'!$AH$47*'TUSD BE'!$AH$81</f>
        <v>-4.060441823094818</v>
      </c>
      <c r="AI47" s="33">
        <f>'TUSD BE'!$AI$47*'TUSD BE'!$AI$81</f>
        <v>-9.0158200722386186E-3</v>
      </c>
      <c r="AJ47" s="33">
        <f ca="1">'TUSD BE'!$AJ$47*'TUSD BE'!$AJ$81</f>
        <v>-7.3094868770780488E-2</v>
      </c>
      <c r="AK47" s="33">
        <f ca="1">'TUSD BE'!$AK$47*'TUSD BE'!$AK$81</f>
        <v>0.22159940840345399</v>
      </c>
      <c r="AL47" s="33">
        <f ca="1">SUM($AH$47:$AK$47)</f>
        <v>-3.9209531035343832</v>
      </c>
      <c r="AM47" s="33">
        <f ca="1">SUMIF($L$4:$AL$4,"SUBTOTAL",$L$47:$AL$47)</f>
        <v>0.11458592439855808</v>
      </c>
      <c r="AO47" s="43">
        <f ca="1">+'TUSD BE'!$T$47+'TUSD BE'!$AB$47+'TUSD BE'!$AD$47+'TUSD BE'!$AL$47</f>
        <v>305.6756108798748</v>
      </c>
      <c r="AP47" s="43">
        <f ca="1">+'TUSD BE'!$T$47+'TUSD BE'!$AB$47+'TUSD BE'!$AD$47+'TUSD BE'!$AL$47</f>
        <v>305.6756108798748</v>
      </c>
    </row>
    <row r="48" spans="1:42" ht="11.25" customHeight="1" x14ac:dyDescent="0.25">
      <c r="A48" s="116"/>
      <c r="B48" s="116" t="s">
        <v>131</v>
      </c>
      <c r="C48" s="116" t="s">
        <v>24</v>
      </c>
      <c r="D48" s="41" t="s">
        <v>24</v>
      </c>
      <c r="E48" s="41" t="s">
        <v>25</v>
      </c>
      <c r="F48" s="41" t="s">
        <v>25</v>
      </c>
      <c r="G48" s="36" t="s">
        <v>123</v>
      </c>
      <c r="H48" s="36" t="s">
        <v>117</v>
      </c>
      <c r="I48" s="36">
        <f>'MERCADO TUSD'!$U$45</f>
        <v>0</v>
      </c>
      <c r="J48" s="16"/>
      <c r="L48" s="33">
        <f>'TUSD BE'!$L$48*'TUSD BE'!$L$81</f>
        <v>-4.2884257692574472</v>
      </c>
      <c r="M48" s="33">
        <f>'TUSD BE'!$M$48*'TUSD BE'!$M$81</f>
        <v>1.7153865217016336E-2</v>
      </c>
      <c r="N48" s="33">
        <f ca="1">'TUSD BE'!$N$48*'TUSD BE'!$N$81</f>
        <v>-2.0990312367236033E-6</v>
      </c>
      <c r="O48" s="33">
        <f>'TUSD BE'!$O$48*'TUSD BE'!$O$81</f>
        <v>0</v>
      </c>
      <c r="P48" s="33">
        <f>'TUSD BE'!$P$48*'TUSD BE'!$P$81</f>
        <v>0</v>
      </c>
      <c r="Q48" s="33">
        <f>'TUSD BE'!$Q$48*'TUSD BE'!$Q$81</f>
        <v>2.2439199094177593</v>
      </c>
      <c r="R48" s="33">
        <f>'TUSD BE'!$R$48*'TUSD BE'!$R$81</f>
        <v>0.32331020778137509</v>
      </c>
      <c r="S48" s="33">
        <f>'TUSD BE'!$R$48*'TUSD BE'!$S$81</f>
        <v>0</v>
      </c>
      <c r="T48" s="33">
        <f ca="1">SUM($L$48:$S$48)</f>
        <v>-1.7040438858725331</v>
      </c>
      <c r="U48" s="33">
        <f>'TUSD BE'!$U$48*'TUSD BE'!$U$81</f>
        <v>2.9665944449504464</v>
      </c>
      <c r="V48" s="33">
        <f>'TUSD BE'!$V$48*'TUSD BE'!$V$81</f>
        <v>-1.46079946793143E-3</v>
      </c>
      <c r="W48" s="33">
        <f>'TUSD BE'!$W$48*'TUSD BE'!$W$81</f>
        <v>0</v>
      </c>
      <c r="X48" s="33">
        <f>'TUSD BE'!$X$48*'TUSD BE'!$X$81</f>
        <v>0</v>
      </c>
      <c r="Y48" s="33">
        <f>'TUSD BE'!$Y$48*'TUSD BE'!$Y$81</f>
        <v>1.0533341489052677</v>
      </c>
      <c r="Z48" s="33">
        <f>'TUSD BE'!$Z$48*'TUSD BE'!$Z$81</f>
        <v>0</v>
      </c>
      <c r="AA48" s="33">
        <f>'TUSD BE'!$AA$48*'TUSD BE'!$AA$81</f>
        <v>0</v>
      </c>
      <c r="AB48" s="33">
        <f>SUM($U$48:$AA$48)</f>
        <v>4.0184677943877825</v>
      </c>
      <c r="AC48" s="33">
        <f>'TUSD BE'!$AC$48*'TUSD BE'!$AC$81</f>
        <v>-8.053926137528472E-5</v>
      </c>
      <c r="AD48" s="33">
        <f>SUM($AC$48:$AC$48)</f>
        <v>-8.053926137528472E-5</v>
      </c>
      <c r="AE48" s="33">
        <f ca="1">$AO$48*$AO$78</f>
        <v>0</v>
      </c>
      <c r="AF48" s="33">
        <f ca="1">$AP$48*$AP$78</f>
        <v>0</v>
      </c>
      <c r="AG48" s="33">
        <f ca="1">SUM($AE$48:$AF$48)</f>
        <v>0</v>
      </c>
      <c r="AH48" s="33">
        <f>'TUSD BE'!$AH$48*'TUSD BE'!$AH$81</f>
        <v>-4.060441823094818</v>
      </c>
      <c r="AI48" s="33">
        <f>'TUSD BE'!$AI$48*'TUSD BE'!$AI$81</f>
        <v>-9.0158200722386186E-3</v>
      </c>
      <c r="AJ48" s="33">
        <f ca="1">'TUSD BE'!$AJ$48*'TUSD BE'!$AJ$81</f>
        <v>-7.3094868770780488E-2</v>
      </c>
      <c r="AK48" s="33">
        <f ca="1">'TUSD BE'!$AK$48*'TUSD BE'!$AK$81</f>
        <v>0.22159940840345399</v>
      </c>
      <c r="AL48" s="33">
        <f ca="1">SUM($AH$48:$AK$48)</f>
        <v>-3.9209531035343832</v>
      </c>
      <c r="AM48" s="33">
        <f ca="1">SUMIF($L$4:$AL$4,"SUBTOTAL",$L$48:$AL$48)</f>
        <v>-1.606609734280509</v>
      </c>
      <c r="AO48" s="43">
        <f ca="1">+'TUSD BE'!$T$48+'TUSD BE'!$AB$48+'TUSD BE'!$AD$48+'TUSD BE'!$AL$48</f>
        <v>420.22084168166344</v>
      </c>
      <c r="AP48" s="43">
        <f ca="1">+'TUSD BE'!$T$48+'TUSD BE'!$AB$48+'TUSD BE'!$AD$48+'TUSD BE'!$AL$48</f>
        <v>420.22084168166344</v>
      </c>
    </row>
    <row r="49" spans="1:42" ht="11.25" customHeight="1" x14ac:dyDescent="0.25">
      <c r="A49" s="116"/>
      <c r="B49" s="116"/>
      <c r="C49" s="116"/>
      <c r="D49" s="41" t="s">
        <v>29</v>
      </c>
      <c r="E49" s="41" t="s">
        <v>25</v>
      </c>
      <c r="F49" s="41" t="s">
        <v>25</v>
      </c>
      <c r="G49" s="36" t="s">
        <v>123</v>
      </c>
      <c r="H49" s="36" t="s">
        <v>117</v>
      </c>
      <c r="I49" s="36">
        <f>'MERCADO TUSD'!$U$46</f>
        <v>0</v>
      </c>
      <c r="J49" s="16"/>
      <c r="L49" s="33">
        <f>'TUSD BE'!$L$49*'TUSD BE'!$L$81</f>
        <v>0</v>
      </c>
      <c r="M49" s="33">
        <f>'TUSD BE'!$M$49*'TUSD BE'!$M$81</f>
        <v>1.7153865217016336E-2</v>
      </c>
      <c r="N49" s="33">
        <f ca="1">'TUSD BE'!$N$49*'TUSD BE'!$N$81</f>
        <v>-2.0924104817387011E-6</v>
      </c>
      <c r="O49" s="33">
        <f>'TUSD BE'!$O$49*'TUSD BE'!$O$81</f>
        <v>0</v>
      </c>
      <c r="P49" s="33">
        <f>'TUSD BE'!$P$49*'TUSD BE'!$P$81</f>
        <v>0</v>
      </c>
      <c r="Q49" s="33">
        <f>'TUSD BE'!$Q$49*'TUSD BE'!$Q$81</f>
        <v>0</v>
      </c>
      <c r="R49" s="33">
        <f>'TUSD BE'!$R$49*'TUSD BE'!$R$81</f>
        <v>0</v>
      </c>
      <c r="S49" s="33">
        <f>'TUSD BE'!$R$49*'TUSD BE'!$S$81</f>
        <v>0</v>
      </c>
      <c r="T49" s="33">
        <f ca="1">SUM($L$49:$S$49)</f>
        <v>1.7151772806534599E-2</v>
      </c>
      <c r="U49" s="33">
        <f>'TUSD BE'!$U$49*'TUSD BE'!$U$81</f>
        <v>2.9665944449504464</v>
      </c>
      <c r="V49" s="33">
        <f>'TUSD BE'!$V$49*'TUSD BE'!$V$81</f>
        <v>-1.46079946793143E-3</v>
      </c>
      <c r="W49" s="33">
        <f>'TUSD BE'!$W$49*'TUSD BE'!$W$81</f>
        <v>0</v>
      </c>
      <c r="X49" s="33">
        <f>'TUSD BE'!$X$49*'TUSD BE'!$X$81</f>
        <v>0</v>
      </c>
      <c r="Y49" s="33">
        <f>'TUSD BE'!$Y$49*'TUSD BE'!$Y$81</f>
        <v>1.0533341489052677</v>
      </c>
      <c r="Z49" s="33">
        <f>'TUSD BE'!$Z$49*'TUSD BE'!$Z$81</f>
        <v>0</v>
      </c>
      <c r="AA49" s="33">
        <f>'TUSD BE'!$AA$49*'TUSD BE'!$AA$81</f>
        <v>0</v>
      </c>
      <c r="AB49" s="33">
        <f>SUM($U$49:$AA$49)</f>
        <v>4.0184677943877825</v>
      </c>
      <c r="AC49" s="33">
        <f>'TUSD BE'!$AC$49*'TUSD BE'!$AC$81</f>
        <v>-8.053926137528472E-5</v>
      </c>
      <c r="AD49" s="33">
        <f>SUM($AC$49:$AC$49)</f>
        <v>-8.053926137528472E-5</v>
      </c>
      <c r="AE49" s="33">
        <f ca="1">$AO$49*$AO$78</f>
        <v>0</v>
      </c>
      <c r="AF49" s="33">
        <f ca="1">$AP$49*$AP$78</f>
        <v>0</v>
      </c>
      <c r="AG49" s="33">
        <f ca="1">SUM($AE$49:$AF$49)</f>
        <v>0</v>
      </c>
      <c r="AH49" s="33">
        <f>'TUSD BE'!$AH$49*'TUSD BE'!$AH$81</f>
        <v>-4.060441823094818</v>
      </c>
      <c r="AI49" s="33">
        <f>'TUSD BE'!$AI$49*'TUSD BE'!$AI$81</f>
        <v>-9.0158200722386186E-3</v>
      </c>
      <c r="AJ49" s="33">
        <f ca="1">'TUSD BE'!$AJ$49*'TUSD BE'!$AJ$81</f>
        <v>-7.3094868770780488E-2</v>
      </c>
      <c r="AK49" s="33">
        <f ca="1">'TUSD BE'!$AK$49*'TUSD BE'!$AK$81</f>
        <v>0.22159940840345399</v>
      </c>
      <c r="AL49" s="33">
        <f ca="1">SUM($AH$49:$AK$49)</f>
        <v>-3.9209531035343832</v>
      </c>
      <c r="AM49" s="33">
        <f ca="1">SUMIF($L$4:$AL$4,"SUBTOTAL",$L$49:$AL$49)</f>
        <v>0.11458592439855808</v>
      </c>
      <c r="AO49" s="43">
        <f ca="1">+'TUSD BE'!$T$49+'TUSD BE'!$AB$49+'TUSD BE'!$AD$49+'TUSD BE'!$AL$49</f>
        <v>305.6756108798748</v>
      </c>
      <c r="AP49" s="43">
        <f ca="1">+'TUSD BE'!$T$49+'TUSD BE'!$AB$49+'TUSD BE'!$AD$49+'TUSD BE'!$AL$49</f>
        <v>305.6756108798748</v>
      </c>
    </row>
    <row r="50" spans="1:42" ht="11.25" customHeight="1" x14ac:dyDescent="0.25">
      <c r="A50" s="116"/>
      <c r="B50" s="116"/>
      <c r="C50" s="116"/>
      <c r="D50" s="41" t="s">
        <v>30</v>
      </c>
      <c r="E50" s="41" t="s">
        <v>25</v>
      </c>
      <c r="F50" s="41" t="s">
        <v>25</v>
      </c>
      <c r="G50" s="36" t="s">
        <v>123</v>
      </c>
      <c r="H50" s="36" t="s">
        <v>117</v>
      </c>
      <c r="I50" s="36">
        <f>'MERCADO TUSD'!$U$47</f>
        <v>0</v>
      </c>
      <c r="J50" s="16"/>
      <c r="L50" s="33">
        <f>'TUSD BE'!$L$50*'TUSD BE'!$L$81</f>
        <v>0</v>
      </c>
      <c r="M50" s="33">
        <f>'TUSD BE'!$M$50*'TUSD BE'!$M$81</f>
        <v>1.7153865217016336E-2</v>
      </c>
      <c r="N50" s="33">
        <f ca="1">'TUSD BE'!$N$50*'TUSD BE'!$N$81</f>
        <v>-2.0924104817387011E-6</v>
      </c>
      <c r="O50" s="33">
        <f>'TUSD BE'!$O$50*'TUSD BE'!$O$81</f>
        <v>0</v>
      </c>
      <c r="P50" s="33">
        <f>'TUSD BE'!$P$50*'TUSD BE'!$P$81</f>
        <v>0</v>
      </c>
      <c r="Q50" s="33">
        <f>'TUSD BE'!$Q$50*'TUSD BE'!$Q$81</f>
        <v>0</v>
      </c>
      <c r="R50" s="33">
        <f>'TUSD BE'!$R$50*'TUSD BE'!$R$81</f>
        <v>0</v>
      </c>
      <c r="S50" s="33">
        <f>'TUSD BE'!$R$50*'TUSD BE'!$S$81</f>
        <v>0</v>
      </c>
      <c r="T50" s="33">
        <f ca="1">SUM($L$50:$S$50)</f>
        <v>1.7151772806534599E-2</v>
      </c>
      <c r="U50" s="33">
        <f>'TUSD BE'!$U$50*'TUSD BE'!$U$81</f>
        <v>2.9665944449504464</v>
      </c>
      <c r="V50" s="33">
        <f>'TUSD BE'!$V$50*'TUSD BE'!$V$81</f>
        <v>-1.46079946793143E-3</v>
      </c>
      <c r="W50" s="33">
        <f>'TUSD BE'!$W$50*'TUSD BE'!$W$81</f>
        <v>0</v>
      </c>
      <c r="X50" s="33">
        <f>'TUSD BE'!$X$50*'TUSD BE'!$X$81</f>
        <v>0</v>
      </c>
      <c r="Y50" s="33">
        <f>'TUSD BE'!$Y$50*'TUSD BE'!$Y$81</f>
        <v>1.0533341489052677</v>
      </c>
      <c r="Z50" s="33">
        <f>'TUSD BE'!$Z$50*'TUSD BE'!$Z$81</f>
        <v>0</v>
      </c>
      <c r="AA50" s="33">
        <f>'TUSD BE'!$AA$50*'TUSD BE'!$AA$81</f>
        <v>0</v>
      </c>
      <c r="AB50" s="33">
        <f>SUM($U$50:$AA$50)</f>
        <v>4.0184677943877825</v>
      </c>
      <c r="AC50" s="33">
        <f>'TUSD BE'!$AC$50*'TUSD BE'!$AC$81</f>
        <v>-8.053926137528472E-5</v>
      </c>
      <c r="AD50" s="33">
        <f>SUM($AC$50:$AC$50)</f>
        <v>-8.053926137528472E-5</v>
      </c>
      <c r="AE50" s="33">
        <f ca="1">$AO$50*$AO$78</f>
        <v>0</v>
      </c>
      <c r="AF50" s="33">
        <f ca="1">$AP$50*$AP$78</f>
        <v>0</v>
      </c>
      <c r="AG50" s="33">
        <f ca="1">SUM($AE$50:$AF$50)</f>
        <v>0</v>
      </c>
      <c r="AH50" s="33">
        <f>'TUSD BE'!$AH$50*'TUSD BE'!$AH$81</f>
        <v>-4.060441823094818</v>
      </c>
      <c r="AI50" s="33">
        <f>'TUSD BE'!$AI$50*'TUSD BE'!$AI$81</f>
        <v>-9.0158200722386186E-3</v>
      </c>
      <c r="AJ50" s="33">
        <f ca="1">'TUSD BE'!$AJ$50*'TUSD BE'!$AJ$81</f>
        <v>-7.3094868770780488E-2</v>
      </c>
      <c r="AK50" s="33">
        <f ca="1">'TUSD BE'!$AK$50*'TUSD BE'!$AK$81</f>
        <v>0.22159940840345399</v>
      </c>
      <c r="AL50" s="33">
        <f ca="1">SUM($AH$50:$AK$50)</f>
        <v>-3.9209531035343832</v>
      </c>
      <c r="AM50" s="33">
        <f ca="1">SUMIF($L$4:$AL$4,"SUBTOTAL",$L$50:$AL$50)</f>
        <v>0.11458592439855808</v>
      </c>
      <c r="AO50" s="43">
        <f ca="1">+'TUSD BE'!$T$50+'TUSD BE'!$AB$50+'TUSD BE'!$AD$50+'TUSD BE'!$AL$50</f>
        <v>305.6756108798748</v>
      </c>
      <c r="AP50" s="43">
        <f ca="1">+'TUSD BE'!$T$50+'TUSD BE'!$AB$50+'TUSD BE'!$AD$50+'TUSD BE'!$AL$50</f>
        <v>305.6756108798748</v>
      </c>
    </row>
    <row r="51" spans="1:42" ht="11.25" customHeight="1" x14ac:dyDescent="0.25">
      <c r="A51" s="116"/>
      <c r="B51" s="116"/>
      <c r="C51" s="116"/>
      <c r="D51" s="41" t="s">
        <v>31</v>
      </c>
      <c r="E51" s="41" t="s">
        <v>25</v>
      </c>
      <c r="F51" s="41" t="s">
        <v>25</v>
      </c>
      <c r="G51" s="36" t="s">
        <v>123</v>
      </c>
      <c r="H51" s="36" t="s">
        <v>117</v>
      </c>
      <c r="I51" s="36">
        <f>'MERCADO TUSD'!$U$48</f>
        <v>0</v>
      </c>
      <c r="J51" s="16"/>
      <c r="L51" s="33">
        <f>'TUSD BE'!$L$51*'TUSD BE'!$L$81</f>
        <v>0</v>
      </c>
      <c r="M51" s="33">
        <f>'TUSD BE'!$M$51*'TUSD BE'!$M$81</f>
        <v>1.7153865217016336E-2</v>
      </c>
      <c r="N51" s="33">
        <f ca="1">'TUSD BE'!$N$51*'TUSD BE'!$N$81</f>
        <v>-2.0924104817387011E-6</v>
      </c>
      <c r="O51" s="33">
        <f>'TUSD BE'!$O$51*'TUSD BE'!$O$81</f>
        <v>0</v>
      </c>
      <c r="P51" s="33">
        <f>'TUSD BE'!$P$51*'TUSD BE'!$P$81</f>
        <v>0</v>
      </c>
      <c r="Q51" s="33">
        <f>'TUSD BE'!$Q$51*'TUSD BE'!$Q$81</f>
        <v>0</v>
      </c>
      <c r="R51" s="33">
        <f>'TUSD BE'!$R$51*'TUSD BE'!$R$81</f>
        <v>0</v>
      </c>
      <c r="S51" s="33">
        <f>'TUSD BE'!$R$51*'TUSD BE'!$S$81</f>
        <v>0</v>
      </c>
      <c r="T51" s="33">
        <f ca="1">SUM($L$51:$S$51)</f>
        <v>1.7151772806534599E-2</v>
      </c>
      <c r="U51" s="33">
        <f>'TUSD BE'!$U$51*'TUSD BE'!$U$81</f>
        <v>2.9665944449504464</v>
      </c>
      <c r="V51" s="33">
        <f>'TUSD BE'!$V$51*'TUSD BE'!$V$81</f>
        <v>-1.46079946793143E-3</v>
      </c>
      <c r="W51" s="33">
        <f>'TUSD BE'!$W$51*'TUSD BE'!$W$81</f>
        <v>0</v>
      </c>
      <c r="X51" s="33">
        <f>'TUSD BE'!$X$51*'TUSD BE'!$X$81</f>
        <v>0</v>
      </c>
      <c r="Y51" s="33">
        <f>'TUSD BE'!$Y$51*'TUSD BE'!$Y$81</f>
        <v>1.0533341489052677</v>
      </c>
      <c r="Z51" s="33">
        <f>'TUSD BE'!$Z$51*'TUSD BE'!$Z$81</f>
        <v>0</v>
      </c>
      <c r="AA51" s="33">
        <f>'TUSD BE'!$AA$51*'TUSD BE'!$AA$81</f>
        <v>0</v>
      </c>
      <c r="AB51" s="33">
        <f>SUM($U$51:$AA$51)</f>
        <v>4.0184677943877825</v>
      </c>
      <c r="AC51" s="33">
        <f>'TUSD BE'!$AC$51*'TUSD BE'!$AC$81</f>
        <v>-8.053926137528472E-5</v>
      </c>
      <c r="AD51" s="33">
        <f>SUM($AC$51:$AC$51)</f>
        <v>-8.053926137528472E-5</v>
      </c>
      <c r="AE51" s="33">
        <f ca="1">$AO$51*$AO$78</f>
        <v>0</v>
      </c>
      <c r="AF51" s="33">
        <f ca="1">$AP$51*$AP$78</f>
        <v>0</v>
      </c>
      <c r="AG51" s="33">
        <f ca="1">SUM($AE$51:$AF$51)</f>
        <v>0</v>
      </c>
      <c r="AH51" s="33">
        <f>'TUSD BE'!$AH$51*'TUSD BE'!$AH$81</f>
        <v>-4.060441823094818</v>
      </c>
      <c r="AI51" s="33">
        <f>'TUSD BE'!$AI$51*'TUSD BE'!$AI$81</f>
        <v>-9.0158200722386186E-3</v>
      </c>
      <c r="AJ51" s="33">
        <f ca="1">'TUSD BE'!$AJ$51*'TUSD BE'!$AJ$81</f>
        <v>-7.3094868770780488E-2</v>
      </c>
      <c r="AK51" s="33">
        <f ca="1">'TUSD BE'!$AK$51*'TUSD BE'!$AK$81</f>
        <v>0.22159940840345399</v>
      </c>
      <c r="AL51" s="33">
        <f ca="1">SUM($AH$51:$AK$51)</f>
        <v>-3.9209531035343832</v>
      </c>
      <c r="AM51" s="33">
        <f ca="1">SUMIF($L$4:$AL$4,"SUBTOTAL",$L$51:$AL$51)</f>
        <v>0.11458592439855808</v>
      </c>
      <c r="AO51" s="43">
        <f ca="1">+'TUSD BE'!$T$51+'TUSD BE'!$AB$51+'TUSD BE'!$AD$51+'TUSD BE'!$AL$51</f>
        <v>305.6756108798748</v>
      </c>
      <c r="AP51" s="43">
        <f ca="1">+'TUSD BE'!$T$51+'TUSD BE'!$AB$51+'TUSD BE'!$AD$51+'TUSD BE'!$AL$51</f>
        <v>305.6756108798748</v>
      </c>
    </row>
    <row r="52" spans="1:42" ht="11.25" customHeight="1" x14ac:dyDescent="0.25">
      <c r="A52" s="116"/>
      <c r="B52" s="116"/>
      <c r="C52" s="116"/>
      <c r="D52" s="41" t="s">
        <v>32</v>
      </c>
      <c r="E52" s="41" t="s">
        <v>25</v>
      </c>
      <c r="F52" s="41" t="s">
        <v>25</v>
      </c>
      <c r="G52" s="36" t="s">
        <v>123</v>
      </c>
      <c r="H52" s="36" t="s">
        <v>117</v>
      </c>
      <c r="I52" s="36">
        <f>'MERCADO TUSD'!$U$49</f>
        <v>0</v>
      </c>
      <c r="J52" s="16"/>
      <c r="L52" s="33">
        <f>'TUSD BE'!$L$52*'TUSD BE'!$L$81</f>
        <v>0</v>
      </c>
      <c r="M52" s="33">
        <f>'TUSD BE'!$M$52*'TUSD BE'!$M$81</f>
        <v>1.7153865217016336E-2</v>
      </c>
      <c r="N52" s="33">
        <f ca="1">'TUSD BE'!$N$52*'TUSD BE'!$N$81</f>
        <v>-2.0924104817387011E-6</v>
      </c>
      <c r="O52" s="33">
        <f>'TUSD BE'!$O$52*'TUSD BE'!$O$81</f>
        <v>0</v>
      </c>
      <c r="P52" s="33">
        <f>'TUSD BE'!$P$52*'TUSD BE'!$P$81</f>
        <v>0</v>
      </c>
      <c r="Q52" s="33">
        <f>'TUSD BE'!$Q$52*'TUSD BE'!$Q$81</f>
        <v>0</v>
      </c>
      <c r="R52" s="33">
        <f>'TUSD BE'!$R$52*'TUSD BE'!$R$81</f>
        <v>0</v>
      </c>
      <c r="S52" s="33">
        <f>'TUSD BE'!$R$52*'TUSD BE'!$S$81</f>
        <v>0</v>
      </c>
      <c r="T52" s="33">
        <f ca="1">SUM($L$52:$S$52)</f>
        <v>1.7151772806534599E-2</v>
      </c>
      <c r="U52" s="33">
        <f>'TUSD BE'!$U$52*'TUSD BE'!$U$81</f>
        <v>2.9665944449504464</v>
      </c>
      <c r="V52" s="33">
        <f>'TUSD BE'!$V$52*'TUSD BE'!$V$81</f>
        <v>-1.46079946793143E-3</v>
      </c>
      <c r="W52" s="33">
        <f>'TUSD BE'!$W$52*'TUSD BE'!$W$81</f>
        <v>0</v>
      </c>
      <c r="X52" s="33">
        <f>'TUSD BE'!$X$52*'TUSD BE'!$X$81</f>
        <v>0</v>
      </c>
      <c r="Y52" s="33">
        <f>'TUSD BE'!$Y$52*'TUSD BE'!$Y$81</f>
        <v>1.0533341489052677</v>
      </c>
      <c r="Z52" s="33">
        <f>'TUSD BE'!$Z$52*'TUSD BE'!$Z$81</f>
        <v>0</v>
      </c>
      <c r="AA52" s="33">
        <f>'TUSD BE'!$AA$52*'TUSD BE'!$AA$81</f>
        <v>0</v>
      </c>
      <c r="AB52" s="33">
        <f>SUM($U$52:$AA$52)</f>
        <v>4.0184677943877825</v>
      </c>
      <c r="AC52" s="33">
        <f>'TUSD BE'!$AC$52*'TUSD BE'!$AC$81</f>
        <v>-8.053926137528472E-5</v>
      </c>
      <c r="AD52" s="33">
        <f>SUM($AC$52:$AC$52)</f>
        <v>-8.053926137528472E-5</v>
      </c>
      <c r="AE52" s="33">
        <f ca="1">$AO$52*$AO$78</f>
        <v>0</v>
      </c>
      <c r="AF52" s="33">
        <f ca="1">$AP$52*$AP$78</f>
        <v>0</v>
      </c>
      <c r="AG52" s="33">
        <f ca="1">SUM($AE$52:$AF$52)</f>
        <v>0</v>
      </c>
      <c r="AH52" s="33">
        <f>'TUSD BE'!$AH$52*'TUSD BE'!$AH$81</f>
        <v>-4.060441823094818</v>
      </c>
      <c r="AI52" s="33">
        <f>'TUSD BE'!$AI$52*'TUSD BE'!$AI$81</f>
        <v>-9.0158200722386186E-3</v>
      </c>
      <c r="AJ52" s="33">
        <f ca="1">'TUSD BE'!$AJ$52*'TUSD BE'!$AJ$81</f>
        <v>-7.3094868770780488E-2</v>
      </c>
      <c r="AK52" s="33">
        <f ca="1">'TUSD BE'!$AK$52*'TUSD BE'!$AK$81</f>
        <v>0.22159940840345399</v>
      </c>
      <c r="AL52" s="33">
        <f ca="1">SUM($AH$52:$AK$52)</f>
        <v>-3.9209531035343832</v>
      </c>
      <c r="AM52" s="33">
        <f ca="1">SUMIF($L$4:$AL$4,"SUBTOTAL",$L$52:$AL$52)</f>
        <v>0.11458592439855808</v>
      </c>
      <c r="AO52" s="43">
        <f ca="1">+'TUSD BE'!$T$52+'TUSD BE'!$AB$52+'TUSD BE'!$AD$52+'TUSD BE'!$AL$52</f>
        <v>305.6756108798748</v>
      </c>
      <c r="AP52" s="43">
        <f ca="1">+'TUSD BE'!$T$52+'TUSD BE'!$AB$52+'TUSD BE'!$AD$52+'TUSD BE'!$AL$52</f>
        <v>305.6756108798748</v>
      </c>
    </row>
    <row r="53" spans="1:42" ht="11.25" customHeight="1" x14ac:dyDescent="0.25">
      <c r="A53" s="116" t="s">
        <v>44</v>
      </c>
      <c r="B53" s="116" t="s">
        <v>33</v>
      </c>
      <c r="C53" s="116" t="s">
        <v>45</v>
      </c>
      <c r="D53" s="116" t="s">
        <v>25</v>
      </c>
      <c r="E53" s="116" t="s">
        <v>25</v>
      </c>
      <c r="F53" s="116" t="s">
        <v>25</v>
      </c>
      <c r="G53" s="36" t="s">
        <v>118</v>
      </c>
      <c r="H53" s="36" t="s">
        <v>117</v>
      </c>
      <c r="I53" s="36">
        <f>'MERCADO TUSD'!$U$50</f>
        <v>0.49600000000000005</v>
      </c>
      <c r="J53" s="16"/>
      <c r="L53" s="33">
        <f>'TUSD BE'!$L$53*'TUSD BE'!$L$81</f>
        <v>-4.2884257692574472</v>
      </c>
      <c r="M53" s="33">
        <f>'TUSD BE'!$M$53*'TUSD BE'!$M$81</f>
        <v>1.7153865217016336E-2</v>
      </c>
      <c r="N53" s="33">
        <f ca="1">'TUSD BE'!$N$53*'TUSD BE'!$N$81</f>
        <v>-4.9103792533202806E-6</v>
      </c>
      <c r="O53" s="33">
        <f>'TUSD BE'!$O$53*'TUSD BE'!$O$81</f>
        <v>0</v>
      </c>
      <c r="P53" s="33">
        <f>'TUSD BE'!$P$53*'TUSD BE'!$P$81</f>
        <v>0</v>
      </c>
      <c r="Q53" s="33">
        <f>'TUSD BE'!$Q$53*'TUSD BE'!$Q$81</f>
        <v>2.2439199094177593</v>
      </c>
      <c r="R53" s="33">
        <f>'TUSD BE'!$R$53*'TUSD BE'!$R$81</f>
        <v>0.32331020778137509</v>
      </c>
      <c r="S53" s="33">
        <f>'TUSD BE'!$R$53*'TUSD BE'!$S$81</f>
        <v>0</v>
      </c>
      <c r="T53" s="33">
        <f ca="1">SUM($L$53:$S$53)</f>
        <v>-1.7040466972205497</v>
      </c>
      <c r="U53" s="33">
        <f>'TUSD BE'!$U$53*'TUSD BE'!$U$81</f>
        <v>8.4547745814558937</v>
      </c>
      <c r="V53" s="33">
        <f>'TUSD BE'!$V$53*'TUSD BE'!$V$81</f>
        <v>-4.1633395757080267E-3</v>
      </c>
      <c r="W53" s="33">
        <f>'TUSD BE'!$W$53*'TUSD BE'!$W$81</f>
        <v>0</v>
      </c>
      <c r="X53" s="33">
        <f>'TUSD BE'!$X$53*'TUSD BE'!$X$81</f>
        <v>0</v>
      </c>
      <c r="Y53" s="33">
        <f>'TUSD BE'!$Y$53*'TUSD BE'!$Y$81</f>
        <v>3.0020039974720789</v>
      </c>
      <c r="Z53" s="33">
        <f>'TUSD BE'!$Z$53*'TUSD BE'!$Z$81</f>
        <v>0</v>
      </c>
      <c r="AA53" s="33">
        <f>'TUSD BE'!$AA$53*'TUSD BE'!$AA$81</f>
        <v>0</v>
      </c>
      <c r="AB53" s="33">
        <f>SUM($U$53:$AA$53)</f>
        <v>11.452615239352264</v>
      </c>
      <c r="AC53" s="33">
        <f>'TUSD BE'!$AC$53*'TUSD BE'!$AC$81</f>
        <v>-2.2953690628197139E-4</v>
      </c>
      <c r="AD53" s="33">
        <f>SUM($AC$53:$AC$53)</f>
        <v>-2.2953690628197139E-4</v>
      </c>
      <c r="AE53" s="33">
        <f ca="1">$AO$53*$AO$78</f>
        <v>0</v>
      </c>
      <c r="AF53" s="33">
        <f ca="1">$AP$53*$AP$78</f>
        <v>0</v>
      </c>
      <c r="AG53" s="33">
        <f ca="1">SUM($AE$53:$AF$53)</f>
        <v>0</v>
      </c>
      <c r="AH53" s="33">
        <f>'TUSD BE'!$AH$53*'TUSD BE'!$AH$81</f>
        <v>-4.060441823094818</v>
      </c>
      <c r="AI53" s="33">
        <f>'TUSD BE'!$AI$53*'TUSD BE'!$AI$81</f>
        <v>-9.0158200722386186E-3</v>
      </c>
      <c r="AJ53" s="33">
        <f ca="1">'TUSD BE'!$AJ$53*'TUSD BE'!$AJ$81</f>
        <v>-7.3094868770780488E-2</v>
      </c>
      <c r="AK53" s="33">
        <f ca="1">'TUSD BE'!$AK$53*'TUSD BE'!$AK$81</f>
        <v>0.22159940840345399</v>
      </c>
      <c r="AL53" s="33">
        <f ca="1">SUM($AH$53:$AK$53)</f>
        <v>-3.9209531035343832</v>
      </c>
      <c r="AM53" s="33">
        <f ca="1">SUMIF($L$4:$AL$4,"SUBTOTAL",$L$53:$AL$53)</f>
        <v>5.8273859016910485</v>
      </c>
      <c r="AO53" s="43">
        <f ca="1">+'TUSD BE'!$T$53+'TUSD BE'!$AB$53+'TUSD BE'!$AD$53+'TUSD BE'!$AL$53</f>
        <v>890.89674753312147</v>
      </c>
      <c r="AP53" s="43">
        <f ca="1">+'TUSD BE'!$T$53+'TUSD BE'!$AB$53+'TUSD BE'!$AD$53+'TUSD BE'!$AL$53</f>
        <v>890.89674753312147</v>
      </c>
    </row>
    <row r="54" spans="1:42" ht="11.25" customHeight="1" x14ac:dyDescent="0.25">
      <c r="A54" s="116"/>
      <c r="B54" s="116"/>
      <c r="C54" s="116"/>
      <c r="D54" s="116"/>
      <c r="E54" s="116"/>
      <c r="F54" s="116"/>
      <c r="G54" s="36" t="s">
        <v>128</v>
      </c>
      <c r="H54" s="36" t="s">
        <v>117</v>
      </c>
      <c r="I54" s="36">
        <f>'MERCADO TUSD'!$U$51</f>
        <v>0.27600000000000002</v>
      </c>
      <c r="J54" s="16"/>
      <c r="L54" s="33">
        <f>'TUSD BE'!$L$54*'TUSD BE'!$L$81</f>
        <v>-4.2884257692574472</v>
      </c>
      <c r="M54" s="33">
        <f>'TUSD BE'!$M$54*'TUSD BE'!$M$81</f>
        <v>1.7153865217016336E-2</v>
      </c>
      <c r="N54" s="33">
        <f ca="1">'TUSD BE'!$N$54*'TUSD BE'!$N$81</f>
        <v>-3.1779805866117352E-6</v>
      </c>
      <c r="O54" s="33">
        <f>'TUSD BE'!$O$54*'TUSD BE'!$O$81</f>
        <v>0</v>
      </c>
      <c r="P54" s="33">
        <f>'TUSD BE'!$P$54*'TUSD BE'!$P$81</f>
        <v>0</v>
      </c>
      <c r="Q54" s="33">
        <f>'TUSD BE'!$Q$54*'TUSD BE'!$Q$81</f>
        <v>2.2439199094177593</v>
      </c>
      <c r="R54" s="33">
        <f>'TUSD BE'!$R$54*'TUSD BE'!$R$81</f>
        <v>0.32331020778137509</v>
      </c>
      <c r="S54" s="33">
        <f>'TUSD BE'!$R$54*'TUSD BE'!$S$81</f>
        <v>0</v>
      </c>
      <c r="T54" s="33">
        <f ca="1">SUM($L$54:$S$54)</f>
        <v>-1.7040449648218825</v>
      </c>
      <c r="U54" s="33">
        <f>'TUSD BE'!$U$54*'TUSD BE'!$U$81</f>
        <v>5.07287396612195</v>
      </c>
      <c r="V54" s="33">
        <f>'TUSD BE'!$V$54*'TUSD BE'!$V$81</f>
        <v>-2.4979688356514154E-3</v>
      </c>
      <c r="W54" s="33">
        <f>'TUSD BE'!$W$54*'TUSD BE'!$W$81</f>
        <v>0</v>
      </c>
      <c r="X54" s="33">
        <f>'TUSD BE'!$X$54*'TUSD BE'!$X$81</f>
        <v>0</v>
      </c>
      <c r="Y54" s="33">
        <f>'TUSD BE'!$Y$54*'TUSD BE'!$Y$81</f>
        <v>1.8012007253911815</v>
      </c>
      <c r="Z54" s="33">
        <f>'TUSD BE'!$Z$54*'TUSD BE'!$Z$81</f>
        <v>0</v>
      </c>
      <c r="AA54" s="33">
        <f>'TUSD BE'!$AA$54*'TUSD BE'!$AA$81</f>
        <v>0</v>
      </c>
      <c r="AB54" s="33">
        <f>SUM($U$54:$AA$54)</f>
        <v>6.8715767226774798</v>
      </c>
      <c r="AC54" s="33">
        <f>'TUSD BE'!$AC$54*'TUSD BE'!$AC$81</f>
        <v>-1.3772213467925492E-4</v>
      </c>
      <c r="AD54" s="33">
        <f>SUM($AC$54:$AC$54)</f>
        <v>-1.3772213467925492E-4</v>
      </c>
      <c r="AE54" s="33">
        <f ca="1">$AO$54*$AO$78</f>
        <v>0</v>
      </c>
      <c r="AF54" s="33">
        <f ca="1">$AP$54*$AP$78</f>
        <v>0</v>
      </c>
      <c r="AG54" s="33">
        <f ca="1">SUM($AE$54:$AF$54)</f>
        <v>0</v>
      </c>
      <c r="AH54" s="33">
        <f>'TUSD BE'!$AH$54*'TUSD BE'!$AH$81</f>
        <v>-4.060441823094818</v>
      </c>
      <c r="AI54" s="33">
        <f>'TUSD BE'!$AI$54*'TUSD BE'!$AI$81</f>
        <v>-9.0158200722386186E-3</v>
      </c>
      <c r="AJ54" s="33">
        <f ca="1">'TUSD BE'!$AJ$54*'TUSD BE'!$AJ$81</f>
        <v>-7.3094868770780488E-2</v>
      </c>
      <c r="AK54" s="33">
        <f ca="1">'TUSD BE'!$AK$54*'TUSD BE'!$AK$81</f>
        <v>0.22159940840345399</v>
      </c>
      <c r="AL54" s="33">
        <f ca="1">SUM($AH$54:$AK$54)</f>
        <v>-3.9209531035343832</v>
      </c>
      <c r="AM54" s="33">
        <f ca="1">SUMIF($L$4:$AL$4,"SUBTOTAL",$L$54:$AL$54)</f>
        <v>1.2464409321865344</v>
      </c>
      <c r="AO54" s="43">
        <f ca="1">+'TUSD BE'!$T$54+'TUSD BE'!$AB$54+'TUSD BE'!$AD$54+'TUSD BE'!$AL$54</f>
        <v>600.85856772222132</v>
      </c>
      <c r="AP54" s="43">
        <f ca="1">+'TUSD BE'!$T$54+'TUSD BE'!$AB$54+'TUSD BE'!$AD$54+'TUSD BE'!$AL$54</f>
        <v>600.85856772222132</v>
      </c>
    </row>
    <row r="55" spans="1:42" ht="11.25" customHeight="1" x14ac:dyDescent="0.25">
      <c r="A55" s="116"/>
      <c r="B55" s="116"/>
      <c r="C55" s="116"/>
      <c r="D55" s="116"/>
      <c r="E55" s="116"/>
      <c r="F55" s="116"/>
      <c r="G55" s="36" t="s">
        <v>119</v>
      </c>
      <c r="H55" s="36" t="s">
        <v>117</v>
      </c>
      <c r="I55" s="36">
        <f>'MERCADO TUSD'!$U$52</f>
        <v>5.1340000000000003</v>
      </c>
      <c r="J55" s="16"/>
      <c r="L55" s="33">
        <f>'TUSD BE'!$L$55*'TUSD BE'!$L$81</f>
        <v>-4.2884257692574472</v>
      </c>
      <c r="M55" s="33">
        <f>'TUSD BE'!$M$55*'TUSD BE'!$M$81</f>
        <v>1.7153865217016336E-2</v>
      </c>
      <c r="N55" s="33">
        <f ca="1">'TUSD BE'!$N$55*'TUSD BE'!$N$81</f>
        <v>-1.4455825819786873E-6</v>
      </c>
      <c r="O55" s="33">
        <f>'TUSD BE'!$O$55*'TUSD BE'!$O$81</f>
        <v>0</v>
      </c>
      <c r="P55" s="33">
        <f>'TUSD BE'!$P$55*'TUSD BE'!$P$81</f>
        <v>0</v>
      </c>
      <c r="Q55" s="33">
        <f>'TUSD BE'!$Q$55*'TUSD BE'!$Q$81</f>
        <v>2.2439199094177593</v>
      </c>
      <c r="R55" s="33">
        <f>'TUSD BE'!$R$55*'TUSD BE'!$R$81</f>
        <v>0.32331020778137509</v>
      </c>
      <c r="S55" s="33">
        <f>'TUSD BE'!$R$55*'TUSD BE'!$S$81</f>
        <v>0</v>
      </c>
      <c r="T55" s="33">
        <f ca="1">SUM($L$55:$S$55)</f>
        <v>-1.7040432324238779</v>
      </c>
      <c r="U55" s="33">
        <f>'TUSD BE'!$U$55*'TUSD BE'!$U$81</f>
        <v>1.6909503076669721</v>
      </c>
      <c r="V55" s="33">
        <f>'TUSD BE'!$V$55*'TUSD BE'!$V$81</f>
        <v>-8.3268537002830531E-4</v>
      </c>
      <c r="W55" s="33">
        <f>'TUSD BE'!$W$55*'TUSD BE'!$W$81</f>
        <v>0</v>
      </c>
      <c r="X55" s="33">
        <f>'TUSD BE'!$X$55*'TUSD BE'!$X$81</f>
        <v>0</v>
      </c>
      <c r="Y55" s="33">
        <f>'TUSD BE'!$Y$55*'TUSD BE'!$Y$81</f>
        <v>0.60040024179706053</v>
      </c>
      <c r="Z55" s="33">
        <f>'TUSD BE'!$Z$55*'TUSD BE'!$Z$81</f>
        <v>0</v>
      </c>
      <c r="AA55" s="33">
        <f>'TUSD BE'!$AA$55*'TUSD BE'!$AA$81</f>
        <v>0</v>
      </c>
      <c r="AB55" s="33">
        <f>SUM($U$55:$AA$55)</f>
        <v>2.2905178640940043</v>
      </c>
      <c r="AC55" s="33">
        <f>'TUSD BE'!$AC$55*'TUSD BE'!$AC$81</f>
        <v>-4.5907363076538377E-5</v>
      </c>
      <c r="AD55" s="33">
        <f>SUM($AC$55:$AC$55)</f>
        <v>-4.5907363076538377E-5</v>
      </c>
      <c r="AE55" s="33">
        <f ca="1">$AO$55*$AO$78</f>
        <v>0</v>
      </c>
      <c r="AF55" s="33">
        <f ca="1">$AP$55*$AP$78</f>
        <v>0</v>
      </c>
      <c r="AG55" s="33">
        <f ca="1">SUM($AE$55:$AF$55)</f>
        <v>0</v>
      </c>
      <c r="AH55" s="33">
        <f>'TUSD BE'!$AH$55*'TUSD BE'!$AH$81</f>
        <v>-4.060441823094818</v>
      </c>
      <c r="AI55" s="33">
        <f>'TUSD BE'!$AI$55*'TUSD BE'!$AI$81</f>
        <v>-9.0158200722386186E-3</v>
      </c>
      <c r="AJ55" s="33">
        <f ca="1">'TUSD BE'!$AJ$55*'TUSD BE'!$AJ$81</f>
        <v>-7.3094868770780488E-2</v>
      </c>
      <c r="AK55" s="33">
        <f ca="1">'TUSD BE'!$AK$55*'TUSD BE'!$AK$81</f>
        <v>0.22159940840345399</v>
      </c>
      <c r="AL55" s="33">
        <f ca="1">SUM($AH$55:$AK$55)</f>
        <v>-3.9209531035343832</v>
      </c>
      <c r="AM55" s="33">
        <f ca="1">SUMIF($L$4:$AL$4,"SUBTOTAL",$L$55:$AL$55)</f>
        <v>-3.3345243792273331</v>
      </c>
      <c r="AO55" s="43">
        <f ca="1">+'TUSD BE'!$T$55+'TUSD BE'!$AB$55+'TUSD BE'!$AD$55+'TUSD BE'!$AL$55</f>
        <v>310.82042472310297</v>
      </c>
      <c r="AP55" s="43">
        <f ca="1">+'TUSD BE'!$T$55+'TUSD BE'!$AB$55+'TUSD BE'!$AD$55+'TUSD BE'!$AL$55</f>
        <v>310.82042472310297</v>
      </c>
    </row>
    <row r="56" spans="1:42" ht="11.25" customHeight="1" x14ac:dyDescent="0.25">
      <c r="A56" s="116"/>
      <c r="B56" s="41" t="s">
        <v>23</v>
      </c>
      <c r="C56" s="41" t="s">
        <v>45</v>
      </c>
      <c r="D56" s="41" t="s">
        <v>25</v>
      </c>
      <c r="E56" s="41" t="s">
        <v>25</v>
      </c>
      <c r="F56" s="41" t="s">
        <v>25</v>
      </c>
      <c r="G56" s="36" t="s">
        <v>123</v>
      </c>
      <c r="H56" s="36" t="s">
        <v>117</v>
      </c>
      <c r="I56" s="36">
        <f>'MERCADO TUSD'!$U$53</f>
        <v>160826.64799999999</v>
      </c>
      <c r="J56" s="16"/>
      <c r="L56" s="33">
        <f>'TUSD BE'!$L$56*'TUSD BE'!$L$81</f>
        <v>-4.2884257692574472</v>
      </c>
      <c r="M56" s="33">
        <f>'TUSD BE'!$M$56*'TUSD BE'!$M$81</f>
        <v>1.7153865217016336E-2</v>
      </c>
      <c r="N56" s="33">
        <f ca="1">'TUSD BE'!$N$56*'TUSD BE'!$N$81</f>
        <v>-2.0990312367236033E-6</v>
      </c>
      <c r="O56" s="33">
        <f>'TUSD BE'!$O$56*'TUSD BE'!$O$81</f>
        <v>0</v>
      </c>
      <c r="P56" s="33">
        <f>'TUSD BE'!$P$56*'TUSD BE'!$P$81</f>
        <v>0</v>
      </c>
      <c r="Q56" s="33">
        <f>'TUSD BE'!$Q$56*'TUSD BE'!$Q$81</f>
        <v>2.2439199094177593</v>
      </c>
      <c r="R56" s="33">
        <f>'TUSD BE'!$R$56*'TUSD BE'!$R$81</f>
        <v>0.32331020778137509</v>
      </c>
      <c r="S56" s="33">
        <f>'TUSD BE'!$R$56*'TUSD BE'!$S$81</f>
        <v>0</v>
      </c>
      <c r="T56" s="33">
        <f ca="1">SUM($L$56:$S$56)</f>
        <v>-1.7040438858725331</v>
      </c>
      <c r="U56" s="33">
        <f>'TUSD BE'!$U$56*'TUSD BE'!$U$81</f>
        <v>2.9665944449504464</v>
      </c>
      <c r="V56" s="33">
        <f>'TUSD BE'!$V$56*'TUSD BE'!$V$81</f>
        <v>-1.46079946793143E-3</v>
      </c>
      <c r="W56" s="33">
        <f>'TUSD BE'!$W$56*'TUSD BE'!$W$81</f>
        <v>0</v>
      </c>
      <c r="X56" s="33">
        <f>'TUSD BE'!$X$56*'TUSD BE'!$X$81</f>
        <v>0</v>
      </c>
      <c r="Y56" s="33">
        <f>'TUSD BE'!$Y$56*'TUSD BE'!$Y$81</f>
        <v>1.0533341489052677</v>
      </c>
      <c r="Z56" s="33">
        <f>'TUSD BE'!$Z$56*'TUSD BE'!$Z$81</f>
        <v>0</v>
      </c>
      <c r="AA56" s="33">
        <f>'TUSD BE'!$AA$56*'TUSD BE'!$AA$81</f>
        <v>0</v>
      </c>
      <c r="AB56" s="33">
        <f>SUM($U$56:$AA$56)</f>
        <v>4.0184677943877825</v>
      </c>
      <c r="AC56" s="33">
        <f>'TUSD BE'!$AC$56*'TUSD BE'!$AC$81</f>
        <v>-8.053926137528472E-5</v>
      </c>
      <c r="AD56" s="33">
        <f>SUM($AC$56:$AC$56)</f>
        <v>-8.053926137528472E-5</v>
      </c>
      <c r="AE56" s="33">
        <f ca="1">$AO$56*$AO$78</f>
        <v>0</v>
      </c>
      <c r="AF56" s="33">
        <f ca="1">$AP$56*$AP$78</f>
        <v>0</v>
      </c>
      <c r="AG56" s="33">
        <f ca="1">SUM($AE$56:$AF$56)</f>
        <v>0</v>
      </c>
      <c r="AH56" s="33">
        <f>'TUSD BE'!$AH$56*'TUSD BE'!$AH$81</f>
        <v>-4.060441823094818</v>
      </c>
      <c r="AI56" s="33">
        <f>'TUSD BE'!$AI$56*'TUSD BE'!$AI$81</f>
        <v>-9.0158200722386186E-3</v>
      </c>
      <c r="AJ56" s="33">
        <f ca="1">'TUSD BE'!$AJ$56*'TUSD BE'!$AJ$81</f>
        <v>-7.3094868770780488E-2</v>
      </c>
      <c r="AK56" s="33">
        <f ca="1">'TUSD BE'!$AK$56*'TUSD BE'!$AK$81</f>
        <v>0.22159940840345399</v>
      </c>
      <c r="AL56" s="33">
        <f ca="1">SUM($AH$56:$AK$56)</f>
        <v>-3.9209531035343832</v>
      </c>
      <c r="AM56" s="33">
        <f ca="1">SUMIF($L$4:$AL$4,"SUBTOTAL",$L$56:$AL$56)</f>
        <v>-1.606609734280509</v>
      </c>
      <c r="AO56" s="43">
        <f ca="1">+'TUSD BE'!$T$56+'TUSD BE'!$AB$56+'TUSD BE'!$AD$56+'TUSD BE'!$AL$56</f>
        <v>420.22084168166344</v>
      </c>
      <c r="AP56" s="43">
        <f ca="1">+'TUSD BE'!$T$56+'TUSD BE'!$AB$56+'TUSD BE'!$AD$56+'TUSD BE'!$AL$56</f>
        <v>420.22084168166344</v>
      </c>
    </row>
    <row r="57" spans="1:42" ht="11.25" customHeight="1" x14ac:dyDescent="0.25">
      <c r="A57" s="116"/>
      <c r="B57" s="116" t="s">
        <v>33</v>
      </c>
      <c r="C57" s="116" t="s">
        <v>45</v>
      </c>
      <c r="D57" s="116" t="s">
        <v>132</v>
      </c>
      <c r="E57" s="116" t="s">
        <v>25</v>
      </c>
      <c r="F57" s="116" t="s">
        <v>25</v>
      </c>
      <c r="G57" s="36" t="s">
        <v>118</v>
      </c>
      <c r="H57" s="36" t="s">
        <v>117</v>
      </c>
      <c r="I57" s="36">
        <f>'MERCADO TUSD'!$U$54</f>
        <v>0</v>
      </c>
      <c r="J57" s="16"/>
      <c r="L57" s="33">
        <f>'TUSD BE'!$L$57*'TUSD BE'!$L$81</f>
        <v>-4.2884257692574472</v>
      </c>
      <c r="M57" s="33">
        <f>'TUSD BE'!$M$57*'TUSD BE'!$M$81</f>
        <v>1.7153865217016336E-2</v>
      </c>
      <c r="N57" s="33">
        <f ca="1">'TUSD BE'!$N$57*'TUSD BE'!$N$81</f>
        <v>-4.9103792533202806E-6</v>
      </c>
      <c r="O57" s="33">
        <f>'TUSD BE'!$O$57*'TUSD BE'!$O$81</f>
        <v>0</v>
      </c>
      <c r="P57" s="33">
        <f>'TUSD BE'!$P$57*'TUSD BE'!$P$81</f>
        <v>0</v>
      </c>
      <c r="Q57" s="33">
        <f>'TUSD BE'!$Q$57*'TUSD BE'!$Q$81</f>
        <v>2.2439199094177593</v>
      </c>
      <c r="R57" s="33">
        <f>'TUSD BE'!$R$57*'TUSD BE'!$R$81</f>
        <v>0.32331020778137509</v>
      </c>
      <c r="S57" s="33">
        <f>'TUSD BE'!$R$57*'TUSD BE'!$S$81</f>
        <v>0</v>
      </c>
      <c r="T57" s="33">
        <f ca="1">SUM($L$57:$S$57)</f>
        <v>-1.7040466972205497</v>
      </c>
      <c r="U57" s="33">
        <f>'TUSD BE'!$U$57*'TUSD BE'!$U$81</f>
        <v>8.4547745814558937</v>
      </c>
      <c r="V57" s="33">
        <f>'TUSD BE'!$V$57*'TUSD BE'!$V$81</f>
        <v>-4.1633395757080267E-3</v>
      </c>
      <c r="W57" s="33">
        <f>'TUSD BE'!$W$57*'TUSD BE'!$W$81</f>
        <v>0</v>
      </c>
      <c r="X57" s="33">
        <f>'TUSD BE'!$X$57*'TUSD BE'!$X$81</f>
        <v>0</v>
      </c>
      <c r="Y57" s="33">
        <f>'TUSD BE'!$Y$57*'TUSD BE'!$Y$81</f>
        <v>3.0020039974720789</v>
      </c>
      <c r="Z57" s="33">
        <f>'TUSD BE'!$Z$57*'TUSD BE'!$Z$81</f>
        <v>0</v>
      </c>
      <c r="AA57" s="33">
        <f>'TUSD BE'!$AA$57*'TUSD BE'!$AA$81</f>
        <v>0</v>
      </c>
      <c r="AB57" s="33">
        <f>SUM($U$57:$AA$57)</f>
        <v>11.452615239352264</v>
      </c>
      <c r="AC57" s="33">
        <f>'TUSD BE'!$AC$57*'TUSD BE'!$AC$81</f>
        <v>-2.2953690628197139E-4</v>
      </c>
      <c r="AD57" s="33">
        <f>SUM($AC$57:$AC$57)</f>
        <v>-2.2953690628197139E-4</v>
      </c>
      <c r="AE57" s="33">
        <f ca="1">$AO$57*$AO$78</f>
        <v>0</v>
      </c>
      <c r="AF57" s="33">
        <f ca="1">$AP$57*$AP$78</f>
        <v>0</v>
      </c>
      <c r="AG57" s="33">
        <f ca="1">SUM($AE$57:$AF$57)</f>
        <v>0</v>
      </c>
      <c r="AH57" s="33">
        <f>'TUSD BE'!$AH$57*'TUSD BE'!$AH$81</f>
        <v>-4.060441823094818</v>
      </c>
      <c r="AI57" s="33">
        <f>'TUSD BE'!$AI$57*'TUSD BE'!$AI$81</f>
        <v>-9.0158200722386186E-3</v>
      </c>
      <c r="AJ57" s="33">
        <f ca="1">'TUSD BE'!$AJ$57*'TUSD BE'!$AJ$81</f>
        <v>-7.3094868770780488E-2</v>
      </c>
      <c r="AK57" s="33">
        <f ca="1">'TUSD BE'!$AK$57*'TUSD BE'!$AK$81</f>
        <v>0.22159940840345399</v>
      </c>
      <c r="AL57" s="33">
        <f ca="1">SUM($AH$57:$AK$57)</f>
        <v>-3.9209531035343832</v>
      </c>
      <c r="AM57" s="33">
        <f ca="1">SUMIF($L$4:$AL$4,"SUBTOTAL",$L$57:$AL$57)</f>
        <v>5.8273859016910485</v>
      </c>
      <c r="AO57" s="43">
        <f ca="1">+'TUSD BE'!$T$57+'TUSD BE'!$AB$57+'TUSD BE'!$AD$57+'TUSD BE'!$AL$57</f>
        <v>890.89674753312147</v>
      </c>
      <c r="AP57" s="43">
        <f ca="1">+'TUSD BE'!$T$57+'TUSD BE'!$AB$57+'TUSD BE'!$AD$57+'TUSD BE'!$AL$57</f>
        <v>890.89674753312147</v>
      </c>
    </row>
    <row r="58" spans="1:42" ht="11.25" customHeight="1" x14ac:dyDescent="0.25">
      <c r="A58" s="116"/>
      <c r="B58" s="116"/>
      <c r="C58" s="116"/>
      <c r="D58" s="116"/>
      <c r="E58" s="116"/>
      <c r="F58" s="116"/>
      <c r="G58" s="36" t="s">
        <v>128</v>
      </c>
      <c r="H58" s="36" t="s">
        <v>117</v>
      </c>
      <c r="I58" s="36">
        <f>'MERCADO TUSD'!$U$55</f>
        <v>0</v>
      </c>
      <c r="J58" s="16"/>
      <c r="L58" s="33">
        <f>'TUSD BE'!$L$58*'TUSD BE'!$L$81</f>
        <v>-4.2884257692574472</v>
      </c>
      <c r="M58" s="33">
        <f>'TUSD BE'!$M$58*'TUSD BE'!$M$81</f>
        <v>1.7153865217016336E-2</v>
      </c>
      <c r="N58" s="33">
        <f ca="1">'TUSD BE'!$N$58*'TUSD BE'!$N$81</f>
        <v>-3.1779805866117352E-6</v>
      </c>
      <c r="O58" s="33">
        <f>'TUSD BE'!$O$58*'TUSD BE'!$O$81</f>
        <v>0</v>
      </c>
      <c r="P58" s="33">
        <f>'TUSD BE'!$P$58*'TUSD BE'!$P$81</f>
        <v>0</v>
      </c>
      <c r="Q58" s="33">
        <f>'TUSD BE'!$Q$58*'TUSD BE'!$Q$81</f>
        <v>2.2439199094177593</v>
      </c>
      <c r="R58" s="33">
        <f>'TUSD BE'!$R$58*'TUSD BE'!$R$81</f>
        <v>0.32331020778137509</v>
      </c>
      <c r="S58" s="33">
        <f>'TUSD BE'!$R$58*'TUSD BE'!$S$81</f>
        <v>0</v>
      </c>
      <c r="T58" s="33">
        <f ca="1">SUM($L$58:$S$58)</f>
        <v>-1.7040449648218825</v>
      </c>
      <c r="U58" s="33">
        <f>'TUSD BE'!$U$58*'TUSD BE'!$U$81</f>
        <v>5.07287396612195</v>
      </c>
      <c r="V58" s="33">
        <f>'TUSD BE'!$V$58*'TUSD BE'!$V$81</f>
        <v>-2.4979688356514154E-3</v>
      </c>
      <c r="W58" s="33">
        <f>'TUSD BE'!$W$58*'TUSD BE'!$W$81</f>
        <v>0</v>
      </c>
      <c r="X58" s="33">
        <f>'TUSD BE'!$X$58*'TUSD BE'!$X$81</f>
        <v>0</v>
      </c>
      <c r="Y58" s="33">
        <f>'TUSD BE'!$Y$58*'TUSD BE'!$Y$81</f>
        <v>1.8012007253911815</v>
      </c>
      <c r="Z58" s="33">
        <f>'TUSD BE'!$Z$58*'TUSD BE'!$Z$81</f>
        <v>0</v>
      </c>
      <c r="AA58" s="33">
        <f>'TUSD BE'!$AA$58*'TUSD BE'!$AA$81</f>
        <v>0</v>
      </c>
      <c r="AB58" s="33">
        <f>SUM($U$58:$AA$58)</f>
        <v>6.8715767226774798</v>
      </c>
      <c r="AC58" s="33">
        <f>'TUSD BE'!$AC$58*'TUSD BE'!$AC$81</f>
        <v>-1.3772213467925492E-4</v>
      </c>
      <c r="AD58" s="33">
        <f>SUM($AC$58:$AC$58)</f>
        <v>-1.3772213467925492E-4</v>
      </c>
      <c r="AE58" s="33">
        <f ca="1">$AO$58*$AO$78</f>
        <v>0</v>
      </c>
      <c r="AF58" s="33">
        <f ca="1">$AP$58*$AP$78</f>
        <v>0</v>
      </c>
      <c r="AG58" s="33">
        <f ca="1">SUM($AE$58:$AF$58)</f>
        <v>0</v>
      </c>
      <c r="AH58" s="33">
        <f>'TUSD BE'!$AH$58*'TUSD BE'!$AH$81</f>
        <v>-4.060441823094818</v>
      </c>
      <c r="AI58" s="33">
        <f>'TUSD BE'!$AI$58*'TUSD BE'!$AI$81</f>
        <v>-9.0158200722386186E-3</v>
      </c>
      <c r="AJ58" s="33">
        <f ca="1">'TUSD BE'!$AJ$58*'TUSD BE'!$AJ$81</f>
        <v>-7.3094868770780488E-2</v>
      </c>
      <c r="AK58" s="33">
        <f ca="1">'TUSD BE'!$AK$58*'TUSD BE'!$AK$81</f>
        <v>0.22159940840345399</v>
      </c>
      <c r="AL58" s="33">
        <f ca="1">SUM($AH$58:$AK$58)</f>
        <v>-3.9209531035343832</v>
      </c>
      <c r="AM58" s="33">
        <f ca="1">SUMIF($L$4:$AL$4,"SUBTOTAL",$L$58:$AL$58)</f>
        <v>1.2464409321865344</v>
      </c>
      <c r="AO58" s="43">
        <f ca="1">+'TUSD BE'!$T$58+'TUSD BE'!$AB$58+'TUSD BE'!$AD$58+'TUSD BE'!$AL$58</f>
        <v>600.85856772222132</v>
      </c>
      <c r="AP58" s="43">
        <f ca="1">+'TUSD BE'!$T$58+'TUSD BE'!$AB$58+'TUSD BE'!$AD$58+'TUSD BE'!$AL$58</f>
        <v>600.85856772222132</v>
      </c>
    </row>
    <row r="59" spans="1:42" ht="11.25" customHeight="1" x14ac:dyDescent="0.25">
      <c r="A59" s="116"/>
      <c r="B59" s="116"/>
      <c r="C59" s="116"/>
      <c r="D59" s="116"/>
      <c r="E59" s="116"/>
      <c r="F59" s="116"/>
      <c r="G59" s="36" t="s">
        <v>119</v>
      </c>
      <c r="H59" s="36" t="s">
        <v>117</v>
      </c>
      <c r="I59" s="36">
        <f>'MERCADO TUSD'!$U$56</f>
        <v>0</v>
      </c>
      <c r="J59" s="16"/>
      <c r="L59" s="33">
        <f>'TUSD BE'!$L$59*'TUSD BE'!$L$81</f>
        <v>-4.2884257692574472</v>
      </c>
      <c r="M59" s="33">
        <f>'TUSD BE'!$M$59*'TUSD BE'!$M$81</f>
        <v>1.7153865217016336E-2</v>
      </c>
      <c r="N59" s="33">
        <f ca="1">'TUSD BE'!$N$59*'TUSD BE'!$N$81</f>
        <v>-1.4455825819786873E-6</v>
      </c>
      <c r="O59" s="33">
        <f>'TUSD BE'!$O$59*'TUSD BE'!$O$81</f>
        <v>0</v>
      </c>
      <c r="P59" s="33">
        <f>'TUSD BE'!$P$59*'TUSD BE'!$P$81</f>
        <v>0</v>
      </c>
      <c r="Q59" s="33">
        <f>'TUSD BE'!$Q$59*'TUSD BE'!$Q$81</f>
        <v>2.2439199094177593</v>
      </c>
      <c r="R59" s="33">
        <f>'TUSD BE'!$R$59*'TUSD BE'!$R$81</f>
        <v>0.32331020778137509</v>
      </c>
      <c r="S59" s="33">
        <f>'TUSD BE'!$R$59*'TUSD BE'!$S$81</f>
        <v>0</v>
      </c>
      <c r="T59" s="33">
        <f ca="1">SUM($L$59:$S$59)</f>
        <v>-1.7040432324238779</v>
      </c>
      <c r="U59" s="33">
        <f>'TUSD BE'!$U$59*'TUSD BE'!$U$81</f>
        <v>1.6909503076669721</v>
      </c>
      <c r="V59" s="33">
        <f>'TUSD BE'!$V$59*'TUSD BE'!$V$81</f>
        <v>-8.3268537002830531E-4</v>
      </c>
      <c r="W59" s="33">
        <f>'TUSD BE'!$W$59*'TUSD BE'!$W$81</f>
        <v>0</v>
      </c>
      <c r="X59" s="33">
        <f>'TUSD BE'!$X$59*'TUSD BE'!$X$81</f>
        <v>0</v>
      </c>
      <c r="Y59" s="33">
        <f>'TUSD BE'!$Y$59*'TUSD BE'!$Y$81</f>
        <v>0.60040024179706053</v>
      </c>
      <c r="Z59" s="33">
        <f>'TUSD BE'!$Z$59*'TUSD BE'!$Z$81</f>
        <v>0</v>
      </c>
      <c r="AA59" s="33">
        <f>'TUSD BE'!$AA$59*'TUSD BE'!$AA$81</f>
        <v>0</v>
      </c>
      <c r="AB59" s="33">
        <f>SUM($U$59:$AA$59)</f>
        <v>2.2905178640940043</v>
      </c>
      <c r="AC59" s="33">
        <f>'TUSD BE'!$AC$59*'TUSD BE'!$AC$81</f>
        <v>-4.5907363076538377E-5</v>
      </c>
      <c r="AD59" s="33">
        <f>SUM($AC$59:$AC$59)</f>
        <v>-4.5907363076538377E-5</v>
      </c>
      <c r="AE59" s="33">
        <f ca="1">$AO$59*$AO$78</f>
        <v>0</v>
      </c>
      <c r="AF59" s="33">
        <f ca="1">$AP$59*$AP$78</f>
        <v>0</v>
      </c>
      <c r="AG59" s="33">
        <f ca="1">SUM($AE$59:$AF$59)</f>
        <v>0</v>
      </c>
      <c r="AH59" s="33">
        <f>'TUSD BE'!$AH$59*'TUSD BE'!$AH$81</f>
        <v>-4.060441823094818</v>
      </c>
      <c r="AI59" s="33">
        <f>'TUSD BE'!$AI$59*'TUSD BE'!$AI$81</f>
        <v>-9.0158200722386186E-3</v>
      </c>
      <c r="AJ59" s="33">
        <f ca="1">'TUSD BE'!$AJ$59*'TUSD BE'!$AJ$81</f>
        <v>-7.3094868770780488E-2</v>
      </c>
      <c r="AK59" s="33">
        <f ca="1">'TUSD BE'!$AK$59*'TUSD BE'!$AK$81</f>
        <v>0.22159940840345399</v>
      </c>
      <c r="AL59" s="33">
        <f ca="1">SUM($AH$59:$AK$59)</f>
        <v>-3.9209531035343832</v>
      </c>
      <c r="AM59" s="33">
        <f ca="1">SUMIF($L$4:$AL$4,"SUBTOTAL",$L$59:$AL$59)</f>
        <v>-3.3345243792273331</v>
      </c>
      <c r="AO59" s="43">
        <f ca="1">+'TUSD BE'!$T$59+'TUSD BE'!$AB$59+'TUSD BE'!$AD$59+'TUSD BE'!$AL$59</f>
        <v>310.82042472310297</v>
      </c>
      <c r="AP59" s="43">
        <f ca="1">+'TUSD BE'!$T$59+'TUSD BE'!$AB$59+'TUSD BE'!$AD$59+'TUSD BE'!$AL$59</f>
        <v>310.82042472310297</v>
      </c>
    </row>
    <row r="60" spans="1:42" ht="11.25" customHeight="1" x14ac:dyDescent="0.25">
      <c r="A60" s="116"/>
      <c r="B60" s="41" t="s">
        <v>23</v>
      </c>
      <c r="C60" s="41" t="s">
        <v>45</v>
      </c>
      <c r="D60" s="41" t="s">
        <v>132</v>
      </c>
      <c r="E60" s="41" t="s">
        <v>25</v>
      </c>
      <c r="F60" s="41" t="s">
        <v>25</v>
      </c>
      <c r="G60" s="36" t="s">
        <v>123</v>
      </c>
      <c r="H60" s="36" t="s">
        <v>117</v>
      </c>
      <c r="I60" s="36">
        <f>'MERCADO TUSD'!$U$57</f>
        <v>0</v>
      </c>
      <c r="J60" s="16"/>
      <c r="L60" s="33">
        <f>'TUSD BE'!$L$60*'TUSD BE'!$L$81</f>
        <v>-4.2884257692574472</v>
      </c>
      <c r="M60" s="33">
        <f>'TUSD BE'!$M$60*'TUSD BE'!$M$81</f>
        <v>1.7153865217016336E-2</v>
      </c>
      <c r="N60" s="33">
        <f ca="1">'TUSD BE'!$N$60*'TUSD BE'!$N$81</f>
        <v>-2.0990312367236033E-6</v>
      </c>
      <c r="O60" s="33">
        <f>'TUSD BE'!$O$60*'TUSD BE'!$O$81</f>
        <v>0</v>
      </c>
      <c r="P60" s="33">
        <f>'TUSD BE'!$P$60*'TUSD BE'!$P$81</f>
        <v>0</v>
      </c>
      <c r="Q60" s="33">
        <f>'TUSD BE'!$Q$60*'TUSD BE'!$Q$81</f>
        <v>2.2439199094177593</v>
      </c>
      <c r="R60" s="33">
        <f>'TUSD BE'!$R$60*'TUSD BE'!$R$81</f>
        <v>0.32331020778137509</v>
      </c>
      <c r="S60" s="33">
        <f>'TUSD BE'!$R$60*'TUSD BE'!$S$81</f>
        <v>0</v>
      </c>
      <c r="T60" s="33">
        <f ca="1">SUM($L$60:$S$60)</f>
        <v>-1.7040438858725331</v>
      </c>
      <c r="U60" s="33">
        <f>'TUSD BE'!$U$60*'TUSD BE'!$U$81</f>
        <v>2.9665944449504464</v>
      </c>
      <c r="V60" s="33">
        <f>'TUSD BE'!$V$60*'TUSD BE'!$V$81</f>
        <v>-1.46079946793143E-3</v>
      </c>
      <c r="W60" s="33">
        <f>'TUSD BE'!$W$60*'TUSD BE'!$W$81</f>
        <v>0</v>
      </c>
      <c r="X60" s="33">
        <f>'TUSD BE'!$X$60*'TUSD BE'!$X$81</f>
        <v>0</v>
      </c>
      <c r="Y60" s="33">
        <f>'TUSD BE'!$Y$60*'TUSD BE'!$Y$81</f>
        <v>1.0533341489052677</v>
      </c>
      <c r="Z60" s="33">
        <f>'TUSD BE'!$Z$60*'TUSD BE'!$Z$81</f>
        <v>0</v>
      </c>
      <c r="AA60" s="33">
        <f>'TUSD BE'!$AA$60*'TUSD BE'!$AA$81</f>
        <v>0</v>
      </c>
      <c r="AB60" s="33">
        <f>SUM($U$60:$AA$60)</f>
        <v>4.0184677943877825</v>
      </c>
      <c r="AC60" s="33">
        <f>'TUSD BE'!$AC$60*'TUSD BE'!$AC$81</f>
        <v>-8.053926137528472E-5</v>
      </c>
      <c r="AD60" s="33">
        <f>SUM($AC$60:$AC$60)</f>
        <v>-8.053926137528472E-5</v>
      </c>
      <c r="AE60" s="33">
        <f ca="1">$AO$60*$AO$78</f>
        <v>0</v>
      </c>
      <c r="AF60" s="33">
        <f ca="1">$AP$60*$AP$78</f>
        <v>0</v>
      </c>
      <c r="AG60" s="33">
        <f ca="1">SUM($AE$60:$AF$60)</f>
        <v>0</v>
      </c>
      <c r="AH60" s="33">
        <f>'TUSD BE'!$AH$60*'TUSD BE'!$AH$81</f>
        <v>-4.060441823094818</v>
      </c>
      <c r="AI60" s="33">
        <f>'TUSD BE'!$AI$60*'TUSD BE'!$AI$81</f>
        <v>-9.0158200722386186E-3</v>
      </c>
      <c r="AJ60" s="33">
        <f ca="1">'TUSD BE'!$AJ$60*'TUSD BE'!$AJ$81</f>
        <v>-7.3094868770780488E-2</v>
      </c>
      <c r="AK60" s="33">
        <f ca="1">'TUSD BE'!$AK$60*'TUSD BE'!$AK$81</f>
        <v>0.22159940840345399</v>
      </c>
      <c r="AL60" s="33">
        <f ca="1">SUM($AH$60:$AK$60)</f>
        <v>-3.9209531035343832</v>
      </c>
      <c r="AM60" s="33">
        <f ca="1">SUMIF($L$4:$AL$4,"SUBTOTAL",$L$60:$AL$60)</f>
        <v>-1.606609734280509</v>
      </c>
      <c r="AO60" s="43">
        <f ca="1">+'TUSD BE'!$T$60+'TUSD BE'!$AB$60+'TUSD BE'!$AD$60+'TUSD BE'!$AL$60</f>
        <v>420.22084168166344</v>
      </c>
      <c r="AP60" s="43">
        <f ca="1">+'TUSD BE'!$T$60+'TUSD BE'!$AB$60+'TUSD BE'!$AD$60+'TUSD BE'!$AL$60</f>
        <v>420.22084168166344</v>
      </c>
    </row>
    <row r="61" spans="1:42" ht="11.25" customHeight="1" x14ac:dyDescent="0.25">
      <c r="A61" s="116"/>
      <c r="B61" s="116" t="s">
        <v>33</v>
      </c>
      <c r="C61" s="116" t="s">
        <v>45</v>
      </c>
      <c r="D61" s="116" t="s">
        <v>133</v>
      </c>
      <c r="E61" s="116" t="s">
        <v>25</v>
      </c>
      <c r="F61" s="116" t="s">
        <v>25</v>
      </c>
      <c r="G61" s="36" t="s">
        <v>118</v>
      </c>
      <c r="H61" s="36" t="s">
        <v>117</v>
      </c>
      <c r="I61" s="36">
        <f>'MERCADO TUSD'!$U$58</f>
        <v>0</v>
      </c>
      <c r="J61" s="16"/>
      <c r="L61" s="33">
        <f>'TUSD BE'!$L$61*'TUSD BE'!$L$81</f>
        <v>-4.2884257692574472</v>
      </c>
      <c r="M61" s="33">
        <f>'TUSD BE'!$M$61*'TUSD BE'!$M$81</f>
        <v>1.7153865217016336E-2</v>
      </c>
      <c r="N61" s="33">
        <f ca="1">'TUSD BE'!$N$61*'TUSD BE'!$N$81</f>
        <v>-4.9103792533202806E-6</v>
      </c>
      <c r="O61" s="33">
        <f>'TUSD BE'!$O$61*'TUSD BE'!$O$81</f>
        <v>0</v>
      </c>
      <c r="P61" s="33">
        <f>'TUSD BE'!$P$61*'TUSD BE'!$P$81</f>
        <v>0</v>
      </c>
      <c r="Q61" s="33">
        <f>'TUSD BE'!$Q$61*'TUSD BE'!$Q$81</f>
        <v>2.2439199094177593</v>
      </c>
      <c r="R61" s="33">
        <f>'TUSD BE'!$R$61*'TUSD BE'!$R$81</f>
        <v>0.32331020778137509</v>
      </c>
      <c r="S61" s="33">
        <f>'TUSD BE'!$R$61*'TUSD BE'!$S$81</f>
        <v>0</v>
      </c>
      <c r="T61" s="33">
        <f ca="1">SUM($L$61:$S$61)</f>
        <v>-1.7040466972205497</v>
      </c>
      <c r="U61" s="33">
        <f>'TUSD BE'!$U$61*'TUSD BE'!$U$81</f>
        <v>8.4547745814558937</v>
      </c>
      <c r="V61" s="33">
        <f>'TUSD BE'!$V$61*'TUSD BE'!$V$81</f>
        <v>-4.1633395757080267E-3</v>
      </c>
      <c r="W61" s="33">
        <f>'TUSD BE'!$W$61*'TUSD BE'!$W$81</f>
        <v>0</v>
      </c>
      <c r="X61" s="33">
        <f>'TUSD BE'!$X$61*'TUSD BE'!$X$81</f>
        <v>0</v>
      </c>
      <c r="Y61" s="33">
        <f>'TUSD BE'!$Y$61*'TUSD BE'!$Y$81</f>
        <v>3.0020039974720789</v>
      </c>
      <c r="Z61" s="33">
        <f>'TUSD BE'!$Z$61*'TUSD BE'!$Z$81</f>
        <v>0</v>
      </c>
      <c r="AA61" s="33">
        <f>'TUSD BE'!$AA$61*'TUSD BE'!$AA$81</f>
        <v>0</v>
      </c>
      <c r="AB61" s="33">
        <f>SUM($U$61:$AA$61)</f>
        <v>11.452615239352264</v>
      </c>
      <c r="AC61" s="33">
        <f>'TUSD BE'!$AC$61*'TUSD BE'!$AC$81</f>
        <v>-2.2953690628197139E-4</v>
      </c>
      <c r="AD61" s="33">
        <f>SUM($AC$61:$AC$61)</f>
        <v>-2.2953690628197139E-4</v>
      </c>
      <c r="AE61" s="33">
        <f ca="1">$AO$61*$AO$78</f>
        <v>0</v>
      </c>
      <c r="AF61" s="33">
        <f ca="1">$AP$61*$AP$78</f>
        <v>0</v>
      </c>
      <c r="AG61" s="33">
        <f ca="1">SUM($AE$61:$AF$61)</f>
        <v>0</v>
      </c>
      <c r="AH61" s="33">
        <f>'TUSD BE'!$AH$61*'TUSD BE'!$AH$81</f>
        <v>-4.060441823094818</v>
      </c>
      <c r="AI61" s="33">
        <f>'TUSD BE'!$AI$61*'TUSD BE'!$AI$81</f>
        <v>-9.0158200722386186E-3</v>
      </c>
      <c r="AJ61" s="33">
        <f ca="1">'TUSD BE'!$AJ$61*'TUSD BE'!$AJ$81</f>
        <v>-7.3094868770780488E-2</v>
      </c>
      <c r="AK61" s="33">
        <f ca="1">'TUSD BE'!$AK$61*'TUSD BE'!$AK$81</f>
        <v>0.22159940840345399</v>
      </c>
      <c r="AL61" s="33">
        <f ca="1">SUM($AH$61:$AK$61)</f>
        <v>-3.9209531035343832</v>
      </c>
      <c r="AM61" s="33">
        <f ca="1">SUMIF($L$4:$AL$4,"SUBTOTAL",$L$61:$AL$61)</f>
        <v>5.8273859016910485</v>
      </c>
      <c r="AO61" s="43">
        <f ca="1">+'TUSD BE'!$T$61+'TUSD BE'!$AB$61+'TUSD BE'!$AD$61+'TUSD BE'!$AL$61</f>
        <v>890.89674753312147</v>
      </c>
      <c r="AP61" s="43">
        <f ca="1">+'TUSD BE'!$T$61+'TUSD BE'!$AB$61+'TUSD BE'!$AD$61+'TUSD BE'!$AL$61</f>
        <v>890.89674753312147</v>
      </c>
    </row>
    <row r="62" spans="1:42" ht="11.25" customHeight="1" x14ac:dyDescent="0.25">
      <c r="A62" s="116"/>
      <c r="B62" s="116"/>
      <c r="C62" s="116"/>
      <c r="D62" s="116"/>
      <c r="E62" s="116"/>
      <c r="F62" s="116"/>
      <c r="G62" s="36" t="s">
        <v>128</v>
      </c>
      <c r="H62" s="36" t="s">
        <v>117</v>
      </c>
      <c r="I62" s="36">
        <f>'MERCADO TUSD'!$U$59</f>
        <v>0</v>
      </c>
      <c r="J62" s="16"/>
      <c r="L62" s="33">
        <f>'TUSD BE'!$L$62*'TUSD BE'!$L$81</f>
        <v>-4.2884257692574472</v>
      </c>
      <c r="M62" s="33">
        <f>'TUSD BE'!$M$62*'TUSD BE'!$M$81</f>
        <v>1.7153865217016336E-2</v>
      </c>
      <c r="N62" s="33">
        <f ca="1">'TUSD BE'!$N$62*'TUSD BE'!$N$81</f>
        <v>-3.1779805866117352E-6</v>
      </c>
      <c r="O62" s="33">
        <f>'TUSD BE'!$O$62*'TUSD BE'!$O$81</f>
        <v>0</v>
      </c>
      <c r="P62" s="33">
        <f>'TUSD BE'!$P$62*'TUSD BE'!$P$81</f>
        <v>0</v>
      </c>
      <c r="Q62" s="33">
        <f>'TUSD BE'!$Q$62*'TUSD BE'!$Q$81</f>
        <v>2.2439199094177593</v>
      </c>
      <c r="R62" s="33">
        <f>'TUSD BE'!$R$62*'TUSD BE'!$R$81</f>
        <v>0.32331020778137509</v>
      </c>
      <c r="S62" s="33">
        <f>'TUSD BE'!$R$62*'TUSD BE'!$S$81</f>
        <v>0</v>
      </c>
      <c r="T62" s="33">
        <f ca="1">SUM($L$62:$S$62)</f>
        <v>-1.7040449648218825</v>
      </c>
      <c r="U62" s="33">
        <f>'TUSD BE'!$U$62*'TUSD BE'!$U$81</f>
        <v>5.07287396612195</v>
      </c>
      <c r="V62" s="33">
        <f>'TUSD BE'!$V$62*'TUSD BE'!$V$81</f>
        <v>-2.4979688356514154E-3</v>
      </c>
      <c r="W62" s="33">
        <f>'TUSD BE'!$W$62*'TUSD BE'!$W$81</f>
        <v>0</v>
      </c>
      <c r="X62" s="33">
        <f>'TUSD BE'!$X$62*'TUSD BE'!$X$81</f>
        <v>0</v>
      </c>
      <c r="Y62" s="33">
        <f>'TUSD BE'!$Y$62*'TUSD BE'!$Y$81</f>
        <v>1.8012007253911815</v>
      </c>
      <c r="Z62" s="33">
        <f>'TUSD BE'!$Z$62*'TUSD BE'!$Z$81</f>
        <v>0</v>
      </c>
      <c r="AA62" s="33">
        <f>'TUSD BE'!$AA$62*'TUSD BE'!$AA$81</f>
        <v>0</v>
      </c>
      <c r="AB62" s="33">
        <f>SUM($U$62:$AA$62)</f>
        <v>6.8715767226774798</v>
      </c>
      <c r="AC62" s="33">
        <f>'TUSD BE'!$AC$62*'TUSD BE'!$AC$81</f>
        <v>-1.3772213467925492E-4</v>
      </c>
      <c r="AD62" s="33">
        <f>SUM($AC$62:$AC$62)</f>
        <v>-1.3772213467925492E-4</v>
      </c>
      <c r="AE62" s="33">
        <f ca="1">$AO$62*$AO$78</f>
        <v>0</v>
      </c>
      <c r="AF62" s="33">
        <f ca="1">$AP$62*$AP$78</f>
        <v>0</v>
      </c>
      <c r="AG62" s="33">
        <f ca="1">SUM($AE$62:$AF$62)</f>
        <v>0</v>
      </c>
      <c r="AH62" s="33">
        <f>'TUSD BE'!$AH$62*'TUSD BE'!$AH$81</f>
        <v>-4.060441823094818</v>
      </c>
      <c r="AI62" s="33">
        <f>'TUSD BE'!$AI$62*'TUSD BE'!$AI$81</f>
        <v>-9.0158200722386186E-3</v>
      </c>
      <c r="AJ62" s="33">
        <f ca="1">'TUSD BE'!$AJ$62*'TUSD BE'!$AJ$81</f>
        <v>-7.3094868770780488E-2</v>
      </c>
      <c r="AK62" s="33">
        <f ca="1">'TUSD BE'!$AK$62*'TUSD BE'!$AK$81</f>
        <v>0.22159940840345399</v>
      </c>
      <c r="AL62" s="33">
        <f ca="1">SUM($AH$62:$AK$62)</f>
        <v>-3.9209531035343832</v>
      </c>
      <c r="AM62" s="33">
        <f ca="1">SUMIF($L$4:$AL$4,"SUBTOTAL",$L$62:$AL$62)</f>
        <v>1.2464409321865344</v>
      </c>
      <c r="AO62" s="43">
        <f ca="1">+'TUSD BE'!$T$62+'TUSD BE'!$AB$62+'TUSD BE'!$AD$62+'TUSD BE'!$AL$62</f>
        <v>600.85856772222132</v>
      </c>
      <c r="AP62" s="43">
        <f ca="1">+'TUSD BE'!$T$62+'TUSD BE'!$AB$62+'TUSD BE'!$AD$62+'TUSD BE'!$AL$62</f>
        <v>600.85856772222132</v>
      </c>
    </row>
    <row r="63" spans="1:42" ht="11.25" customHeight="1" x14ac:dyDescent="0.25">
      <c r="A63" s="116"/>
      <c r="B63" s="116"/>
      <c r="C63" s="116"/>
      <c r="D63" s="116"/>
      <c r="E63" s="116"/>
      <c r="F63" s="116"/>
      <c r="G63" s="36" t="s">
        <v>119</v>
      </c>
      <c r="H63" s="36" t="s">
        <v>117</v>
      </c>
      <c r="I63" s="36">
        <f>'MERCADO TUSD'!$U$60</f>
        <v>0</v>
      </c>
      <c r="J63" s="16"/>
      <c r="L63" s="33">
        <f>'TUSD BE'!$L$63*'TUSD BE'!$L$81</f>
        <v>-4.2884257692574472</v>
      </c>
      <c r="M63" s="33">
        <f>'TUSD BE'!$M$63*'TUSD BE'!$M$81</f>
        <v>1.7153865217016336E-2</v>
      </c>
      <c r="N63" s="33">
        <f ca="1">'TUSD BE'!$N$63*'TUSD BE'!$N$81</f>
        <v>-1.4455825819786873E-6</v>
      </c>
      <c r="O63" s="33">
        <f>'TUSD BE'!$O$63*'TUSD BE'!$O$81</f>
        <v>0</v>
      </c>
      <c r="P63" s="33">
        <f>'TUSD BE'!$P$63*'TUSD BE'!$P$81</f>
        <v>0</v>
      </c>
      <c r="Q63" s="33">
        <f>'TUSD BE'!$Q$63*'TUSD BE'!$Q$81</f>
        <v>2.2439199094177593</v>
      </c>
      <c r="R63" s="33">
        <f>'TUSD BE'!$R$63*'TUSD BE'!$R$81</f>
        <v>0.32331020778137509</v>
      </c>
      <c r="S63" s="33">
        <f>'TUSD BE'!$R$63*'TUSD BE'!$S$81</f>
        <v>0</v>
      </c>
      <c r="T63" s="33">
        <f ca="1">SUM($L$63:$S$63)</f>
        <v>-1.7040432324238779</v>
      </c>
      <c r="U63" s="33">
        <f>'TUSD BE'!$U$63*'TUSD BE'!$U$81</f>
        <v>1.6909503076669721</v>
      </c>
      <c r="V63" s="33">
        <f>'TUSD BE'!$V$63*'TUSD BE'!$V$81</f>
        <v>-8.3268537002830531E-4</v>
      </c>
      <c r="W63" s="33">
        <f>'TUSD BE'!$W$63*'TUSD BE'!$W$81</f>
        <v>0</v>
      </c>
      <c r="X63" s="33">
        <f>'TUSD BE'!$X$63*'TUSD BE'!$X$81</f>
        <v>0</v>
      </c>
      <c r="Y63" s="33">
        <f>'TUSD BE'!$Y$63*'TUSD BE'!$Y$81</f>
        <v>0.60040024179706053</v>
      </c>
      <c r="Z63" s="33">
        <f>'TUSD BE'!$Z$63*'TUSD BE'!$Z$81</f>
        <v>0</v>
      </c>
      <c r="AA63" s="33">
        <f>'TUSD BE'!$AA$63*'TUSD BE'!$AA$81</f>
        <v>0</v>
      </c>
      <c r="AB63" s="33">
        <f>SUM($U$63:$AA$63)</f>
        <v>2.2905178640940043</v>
      </c>
      <c r="AC63" s="33">
        <f>'TUSD BE'!$AC$63*'TUSD BE'!$AC$81</f>
        <v>-4.5907363076538377E-5</v>
      </c>
      <c r="AD63" s="33">
        <f>SUM($AC$63:$AC$63)</f>
        <v>-4.5907363076538377E-5</v>
      </c>
      <c r="AE63" s="33">
        <f ca="1">$AO$63*$AO$78</f>
        <v>0</v>
      </c>
      <c r="AF63" s="33">
        <f ca="1">$AP$63*$AP$78</f>
        <v>0</v>
      </c>
      <c r="AG63" s="33">
        <f ca="1">SUM($AE$63:$AF$63)</f>
        <v>0</v>
      </c>
      <c r="AH63" s="33">
        <f>'TUSD BE'!$AH$63*'TUSD BE'!$AH$81</f>
        <v>-4.060441823094818</v>
      </c>
      <c r="AI63" s="33">
        <f>'TUSD BE'!$AI$63*'TUSD BE'!$AI$81</f>
        <v>-9.0158200722386186E-3</v>
      </c>
      <c r="AJ63" s="33">
        <f ca="1">'TUSD BE'!$AJ$63*'TUSD BE'!$AJ$81</f>
        <v>-7.3094868770780488E-2</v>
      </c>
      <c r="AK63" s="33">
        <f ca="1">'TUSD BE'!$AK$63*'TUSD BE'!$AK$81</f>
        <v>0.22159940840345399</v>
      </c>
      <c r="AL63" s="33">
        <f ca="1">SUM($AH$63:$AK$63)</f>
        <v>-3.9209531035343832</v>
      </c>
      <c r="AM63" s="33">
        <f ca="1">SUMIF($L$4:$AL$4,"SUBTOTAL",$L$63:$AL$63)</f>
        <v>-3.3345243792273331</v>
      </c>
      <c r="AO63" s="43">
        <f ca="1">+'TUSD BE'!$T$63+'TUSD BE'!$AB$63+'TUSD BE'!$AD$63+'TUSD BE'!$AL$63</f>
        <v>310.82042472310297</v>
      </c>
      <c r="AP63" s="43">
        <f ca="1">+'TUSD BE'!$T$63+'TUSD BE'!$AB$63+'TUSD BE'!$AD$63+'TUSD BE'!$AL$63</f>
        <v>310.82042472310297</v>
      </c>
    </row>
    <row r="64" spans="1:42" ht="11.25" customHeight="1" x14ac:dyDescent="0.25">
      <c r="A64" s="116"/>
      <c r="B64" s="41" t="s">
        <v>23</v>
      </c>
      <c r="C64" s="41" t="s">
        <v>45</v>
      </c>
      <c r="D64" s="41" t="s">
        <v>133</v>
      </c>
      <c r="E64" s="41" t="s">
        <v>25</v>
      </c>
      <c r="F64" s="41" t="s">
        <v>25</v>
      </c>
      <c r="G64" s="36" t="s">
        <v>123</v>
      </c>
      <c r="H64" s="36" t="s">
        <v>117</v>
      </c>
      <c r="I64" s="36">
        <f>'MERCADO TUSD'!$U$61</f>
        <v>0</v>
      </c>
      <c r="J64" s="16"/>
      <c r="L64" s="33">
        <f>'TUSD BE'!$L$64*'TUSD BE'!$L$81</f>
        <v>-4.2884257692574472</v>
      </c>
      <c r="M64" s="33">
        <f>'TUSD BE'!$M$64*'TUSD BE'!$M$81</f>
        <v>1.7153865217016336E-2</v>
      </c>
      <c r="N64" s="33">
        <f ca="1">'TUSD BE'!$N$64*'TUSD BE'!$N$81</f>
        <v>-2.0990312367236033E-6</v>
      </c>
      <c r="O64" s="33">
        <f>'TUSD BE'!$O$64*'TUSD BE'!$O$81</f>
        <v>0</v>
      </c>
      <c r="P64" s="33">
        <f>'TUSD BE'!$P$64*'TUSD BE'!$P$81</f>
        <v>0</v>
      </c>
      <c r="Q64" s="33">
        <f>'TUSD BE'!$Q$64*'TUSD BE'!$Q$81</f>
        <v>2.2439199094177593</v>
      </c>
      <c r="R64" s="33">
        <f>'TUSD BE'!$R$64*'TUSD BE'!$R$81</f>
        <v>0.32331020778137509</v>
      </c>
      <c r="S64" s="33">
        <f>'TUSD BE'!$R$64*'TUSD BE'!$S$81</f>
        <v>0</v>
      </c>
      <c r="T64" s="33">
        <f ca="1">SUM($L$64:$S$64)</f>
        <v>-1.7040438858725331</v>
      </c>
      <c r="U64" s="33">
        <f>'TUSD BE'!$U$64*'TUSD BE'!$U$81</f>
        <v>2.9665944449504464</v>
      </c>
      <c r="V64" s="33">
        <f>'TUSD BE'!$V$64*'TUSD BE'!$V$81</f>
        <v>-1.46079946793143E-3</v>
      </c>
      <c r="W64" s="33">
        <f>'TUSD BE'!$W$64*'TUSD BE'!$W$81</f>
        <v>0</v>
      </c>
      <c r="X64" s="33">
        <f>'TUSD BE'!$X$64*'TUSD BE'!$X$81</f>
        <v>0</v>
      </c>
      <c r="Y64" s="33">
        <f>'TUSD BE'!$Y$64*'TUSD BE'!$Y$81</f>
        <v>1.0533341489052677</v>
      </c>
      <c r="Z64" s="33">
        <f>'TUSD BE'!$Z$64*'TUSD BE'!$Z$81</f>
        <v>0</v>
      </c>
      <c r="AA64" s="33">
        <f>'TUSD BE'!$AA$64*'TUSD BE'!$AA$81</f>
        <v>0</v>
      </c>
      <c r="AB64" s="33">
        <f>SUM($U$64:$AA$64)</f>
        <v>4.0184677943877825</v>
      </c>
      <c r="AC64" s="33">
        <f>'TUSD BE'!$AC$64*'TUSD BE'!$AC$81</f>
        <v>-8.053926137528472E-5</v>
      </c>
      <c r="AD64" s="33">
        <f>SUM($AC$64:$AC$64)</f>
        <v>-8.053926137528472E-5</v>
      </c>
      <c r="AE64" s="33">
        <f ca="1">$AO$64*$AO$78</f>
        <v>0</v>
      </c>
      <c r="AF64" s="33">
        <f ca="1">$AP$64*$AP$78</f>
        <v>0</v>
      </c>
      <c r="AG64" s="33">
        <f ca="1">SUM($AE$64:$AF$64)</f>
        <v>0</v>
      </c>
      <c r="AH64" s="33">
        <f>'TUSD BE'!$AH$64*'TUSD BE'!$AH$81</f>
        <v>-4.060441823094818</v>
      </c>
      <c r="AI64" s="33">
        <f>'TUSD BE'!$AI$64*'TUSD BE'!$AI$81</f>
        <v>-9.0158200722386186E-3</v>
      </c>
      <c r="AJ64" s="33">
        <f ca="1">'TUSD BE'!$AJ$64*'TUSD BE'!$AJ$81</f>
        <v>-7.3094868770780488E-2</v>
      </c>
      <c r="AK64" s="33">
        <f ca="1">'TUSD BE'!$AK$64*'TUSD BE'!$AK$81</f>
        <v>0.22159940840345399</v>
      </c>
      <c r="AL64" s="33">
        <f ca="1">SUM($AH$64:$AK$64)</f>
        <v>-3.9209531035343832</v>
      </c>
      <c r="AM64" s="33">
        <f ca="1">SUMIF($L$4:$AL$4,"SUBTOTAL",$L$64:$AL$64)</f>
        <v>-1.606609734280509</v>
      </c>
      <c r="AO64" s="43">
        <f ca="1">+'TUSD BE'!$T$64+'TUSD BE'!$AB$64+'TUSD BE'!$AD$64+'TUSD BE'!$AL$64</f>
        <v>420.22084168166344</v>
      </c>
      <c r="AP64" s="43">
        <f ca="1">+'TUSD BE'!$T$64+'TUSD BE'!$AB$64+'TUSD BE'!$AD$64+'TUSD BE'!$AL$64</f>
        <v>420.22084168166344</v>
      </c>
    </row>
    <row r="65" spans="1:42" ht="11.25" customHeight="1" x14ac:dyDescent="0.25">
      <c r="A65" s="116"/>
      <c r="B65" s="116" t="s">
        <v>131</v>
      </c>
      <c r="C65" s="116" t="s">
        <v>45</v>
      </c>
      <c r="D65" s="41" t="s">
        <v>25</v>
      </c>
      <c r="E65" s="41" t="s">
        <v>25</v>
      </c>
      <c r="F65" s="41" t="s">
        <v>25</v>
      </c>
      <c r="G65" s="36" t="s">
        <v>123</v>
      </c>
      <c r="H65" s="36" t="s">
        <v>117</v>
      </c>
      <c r="I65" s="36">
        <f>'MERCADO TUSD'!$U$62</f>
        <v>0</v>
      </c>
      <c r="J65" s="16"/>
      <c r="L65" s="33">
        <f>'TUSD BE'!$L$65*'TUSD BE'!$L$81</f>
        <v>-4.2884257692574472</v>
      </c>
      <c r="M65" s="33">
        <f>'TUSD BE'!$M$65*'TUSD BE'!$M$81</f>
        <v>1.7153865217016336E-2</v>
      </c>
      <c r="N65" s="33">
        <f ca="1">'TUSD BE'!$N$65*'TUSD BE'!$N$81</f>
        <v>-2.0990312367236033E-6</v>
      </c>
      <c r="O65" s="33">
        <f>'TUSD BE'!$O$65*'TUSD BE'!$O$81</f>
        <v>0</v>
      </c>
      <c r="P65" s="33">
        <f>'TUSD BE'!$P$65*'TUSD BE'!$P$81</f>
        <v>0</v>
      </c>
      <c r="Q65" s="33">
        <f>'TUSD BE'!$Q$65*'TUSD BE'!$Q$81</f>
        <v>2.2439199094177593</v>
      </c>
      <c r="R65" s="33">
        <f>'TUSD BE'!$R$65*'TUSD BE'!$R$81</f>
        <v>0.32331020778137509</v>
      </c>
      <c r="S65" s="33">
        <f>'TUSD BE'!$R$65*'TUSD BE'!$S$81</f>
        <v>0</v>
      </c>
      <c r="T65" s="33">
        <f ca="1">SUM($L$65:$S$65)</f>
        <v>-1.7040438858725331</v>
      </c>
      <c r="U65" s="33">
        <f>'TUSD BE'!$U$65*'TUSD BE'!$U$81</f>
        <v>2.9665944449504464</v>
      </c>
      <c r="V65" s="33">
        <f>'TUSD BE'!$V$65*'TUSD BE'!$V$81</f>
        <v>-1.46079946793143E-3</v>
      </c>
      <c r="W65" s="33">
        <f>'TUSD BE'!$W$65*'TUSD BE'!$W$81</f>
        <v>0</v>
      </c>
      <c r="X65" s="33">
        <f>'TUSD BE'!$X$65*'TUSD BE'!$X$81</f>
        <v>0</v>
      </c>
      <c r="Y65" s="33">
        <f>'TUSD BE'!$Y$65*'TUSD BE'!$Y$81</f>
        <v>1.0533341489052677</v>
      </c>
      <c r="Z65" s="33">
        <f>'TUSD BE'!$Z$65*'TUSD BE'!$Z$81</f>
        <v>0</v>
      </c>
      <c r="AA65" s="33">
        <f>'TUSD BE'!$AA$65*'TUSD BE'!$AA$81</f>
        <v>0</v>
      </c>
      <c r="AB65" s="33">
        <f>SUM($U$65:$AA$65)</f>
        <v>4.0184677943877825</v>
      </c>
      <c r="AC65" s="33">
        <f>'TUSD BE'!$AC$65*'TUSD BE'!$AC$81</f>
        <v>-8.053926137528472E-5</v>
      </c>
      <c r="AD65" s="33">
        <f>SUM($AC$65:$AC$65)</f>
        <v>-8.053926137528472E-5</v>
      </c>
      <c r="AE65" s="33">
        <f ca="1">$AO$65*$AO$78</f>
        <v>0</v>
      </c>
      <c r="AF65" s="33">
        <f ca="1">$AP$65*$AP$78</f>
        <v>0</v>
      </c>
      <c r="AG65" s="33">
        <f ca="1">SUM($AE$65:$AF$65)</f>
        <v>0</v>
      </c>
      <c r="AH65" s="33">
        <f>'TUSD BE'!$AH$65*'TUSD BE'!$AH$81</f>
        <v>-4.060441823094818</v>
      </c>
      <c r="AI65" s="33">
        <f>'TUSD BE'!$AI$65*'TUSD BE'!$AI$81</f>
        <v>-9.0158200722386186E-3</v>
      </c>
      <c r="AJ65" s="33">
        <f ca="1">'TUSD BE'!$AJ$65*'TUSD BE'!$AJ$81</f>
        <v>-7.3094868770780488E-2</v>
      </c>
      <c r="AK65" s="33">
        <f ca="1">'TUSD BE'!$AK$65*'TUSD BE'!$AK$81</f>
        <v>0.22159940840345399</v>
      </c>
      <c r="AL65" s="33">
        <f ca="1">SUM($AH$65:$AK$65)</f>
        <v>-3.9209531035343832</v>
      </c>
      <c r="AM65" s="33">
        <f ca="1">SUMIF($L$4:$AL$4,"SUBTOTAL",$L$65:$AL$65)</f>
        <v>-1.606609734280509</v>
      </c>
      <c r="AO65" s="43">
        <f ca="1">+'TUSD BE'!$T$65+'TUSD BE'!$AB$65+'TUSD BE'!$AD$65+'TUSD BE'!$AL$65</f>
        <v>420.22084168166344</v>
      </c>
      <c r="AP65" s="43">
        <f ca="1">+'TUSD BE'!$T$65+'TUSD BE'!$AB$65+'TUSD BE'!$AD$65+'TUSD BE'!$AL$65</f>
        <v>420.22084168166344</v>
      </c>
    </row>
    <row r="66" spans="1:42" ht="11.25" customHeight="1" x14ac:dyDescent="0.25">
      <c r="A66" s="116"/>
      <c r="B66" s="116"/>
      <c r="C66" s="116"/>
      <c r="D66" s="41" t="s">
        <v>132</v>
      </c>
      <c r="E66" s="41" t="s">
        <v>25</v>
      </c>
      <c r="F66" s="41" t="s">
        <v>25</v>
      </c>
      <c r="G66" s="36" t="s">
        <v>123</v>
      </c>
      <c r="H66" s="36" t="s">
        <v>117</v>
      </c>
      <c r="I66" s="36">
        <f>'MERCADO TUSD'!$U$63</f>
        <v>0</v>
      </c>
      <c r="J66" s="16"/>
      <c r="L66" s="33">
        <f>'TUSD BE'!$L$66*'TUSD BE'!$L$81</f>
        <v>-4.2884257692574472</v>
      </c>
      <c r="M66" s="33">
        <f>'TUSD BE'!$M$66*'TUSD BE'!$M$81</f>
        <v>1.7153865217016336E-2</v>
      </c>
      <c r="N66" s="33">
        <f ca="1">'TUSD BE'!$N$66*'TUSD BE'!$N$81</f>
        <v>-2.0990312367236033E-6</v>
      </c>
      <c r="O66" s="33">
        <f>'TUSD BE'!$O$66*'TUSD BE'!$O$81</f>
        <v>0</v>
      </c>
      <c r="P66" s="33">
        <f>'TUSD BE'!$P$66*'TUSD BE'!$P$81</f>
        <v>0</v>
      </c>
      <c r="Q66" s="33">
        <f>'TUSD BE'!$Q$66*'TUSD BE'!$Q$81</f>
        <v>2.2439199094177593</v>
      </c>
      <c r="R66" s="33">
        <f>'TUSD BE'!$R$66*'TUSD BE'!$R$81</f>
        <v>0.32331020778137509</v>
      </c>
      <c r="S66" s="33">
        <f>'TUSD BE'!$R$66*'TUSD BE'!$S$81</f>
        <v>0</v>
      </c>
      <c r="T66" s="33">
        <f ca="1">SUM($L$66:$S$66)</f>
        <v>-1.7040438858725331</v>
      </c>
      <c r="U66" s="33">
        <f>'TUSD BE'!$U$66*'TUSD BE'!$U$81</f>
        <v>2.9665944449504464</v>
      </c>
      <c r="V66" s="33">
        <f>'TUSD BE'!$V$66*'TUSD BE'!$V$81</f>
        <v>-1.46079946793143E-3</v>
      </c>
      <c r="W66" s="33">
        <f>'TUSD BE'!$W$66*'TUSD BE'!$W$81</f>
        <v>0</v>
      </c>
      <c r="X66" s="33">
        <f>'TUSD BE'!$X$66*'TUSD BE'!$X$81</f>
        <v>0</v>
      </c>
      <c r="Y66" s="33">
        <f>'TUSD BE'!$Y$66*'TUSD BE'!$Y$81</f>
        <v>1.0533341489052677</v>
      </c>
      <c r="Z66" s="33">
        <f>'TUSD BE'!$Z$66*'TUSD BE'!$Z$81</f>
        <v>0</v>
      </c>
      <c r="AA66" s="33">
        <f>'TUSD BE'!$AA$66*'TUSD BE'!$AA$81</f>
        <v>0</v>
      </c>
      <c r="AB66" s="33">
        <f>SUM($U$66:$AA$66)</f>
        <v>4.0184677943877825</v>
      </c>
      <c r="AC66" s="33">
        <f>'TUSD BE'!$AC$66*'TUSD BE'!$AC$81</f>
        <v>-8.053926137528472E-5</v>
      </c>
      <c r="AD66" s="33">
        <f>SUM($AC$66:$AC$66)</f>
        <v>-8.053926137528472E-5</v>
      </c>
      <c r="AE66" s="33">
        <f ca="1">$AO$66*$AO$78</f>
        <v>0</v>
      </c>
      <c r="AF66" s="33">
        <f ca="1">$AP$66*$AP$78</f>
        <v>0</v>
      </c>
      <c r="AG66" s="33">
        <f ca="1">SUM($AE$66:$AF$66)</f>
        <v>0</v>
      </c>
      <c r="AH66" s="33">
        <f>'TUSD BE'!$AH$66*'TUSD BE'!$AH$81</f>
        <v>-4.060441823094818</v>
      </c>
      <c r="AI66" s="33">
        <f>'TUSD BE'!$AI$66*'TUSD BE'!$AI$81</f>
        <v>-9.0158200722386186E-3</v>
      </c>
      <c r="AJ66" s="33">
        <f ca="1">'TUSD BE'!$AJ$66*'TUSD BE'!$AJ$81</f>
        <v>-7.3094868770780488E-2</v>
      </c>
      <c r="AK66" s="33">
        <f ca="1">'TUSD BE'!$AK$66*'TUSD BE'!$AK$81</f>
        <v>0.22159940840345399</v>
      </c>
      <c r="AL66" s="33">
        <f ca="1">SUM($AH$66:$AK$66)</f>
        <v>-3.9209531035343832</v>
      </c>
      <c r="AM66" s="33">
        <f ca="1">SUMIF($L$4:$AL$4,"SUBTOTAL",$L$66:$AL$66)</f>
        <v>-1.606609734280509</v>
      </c>
      <c r="AO66" s="43">
        <f ca="1">+'TUSD BE'!$T$66+'TUSD BE'!$AB$66+'TUSD BE'!$AD$66+'TUSD BE'!$AL$66</f>
        <v>420.22084168166344</v>
      </c>
      <c r="AP66" s="43">
        <f ca="1">+'TUSD BE'!$T$66+'TUSD BE'!$AB$66+'TUSD BE'!$AD$66+'TUSD BE'!$AL$66</f>
        <v>420.22084168166344</v>
      </c>
    </row>
    <row r="67" spans="1:42" ht="11.25" customHeight="1" x14ac:dyDescent="0.25">
      <c r="A67" s="116"/>
      <c r="B67" s="116"/>
      <c r="C67" s="116"/>
      <c r="D67" s="41" t="s">
        <v>133</v>
      </c>
      <c r="E67" s="41" t="s">
        <v>25</v>
      </c>
      <c r="F67" s="41" t="s">
        <v>25</v>
      </c>
      <c r="G67" s="36" t="s">
        <v>123</v>
      </c>
      <c r="H67" s="36" t="s">
        <v>117</v>
      </c>
      <c r="I67" s="36">
        <f>'MERCADO TUSD'!$U$64</f>
        <v>0</v>
      </c>
      <c r="J67" s="16"/>
      <c r="L67" s="33">
        <f>'TUSD BE'!$L$67*'TUSD BE'!$L$81</f>
        <v>-4.2884257692574472</v>
      </c>
      <c r="M67" s="33">
        <f>'TUSD BE'!$M$67*'TUSD BE'!$M$81</f>
        <v>1.7153865217016336E-2</v>
      </c>
      <c r="N67" s="33">
        <f ca="1">'TUSD BE'!$N$67*'TUSD BE'!$N$81</f>
        <v>-2.0990312367236033E-6</v>
      </c>
      <c r="O67" s="33">
        <f>'TUSD BE'!$O$67*'TUSD BE'!$O$81</f>
        <v>0</v>
      </c>
      <c r="P67" s="33">
        <f>'TUSD BE'!$P$67*'TUSD BE'!$P$81</f>
        <v>0</v>
      </c>
      <c r="Q67" s="33">
        <f>'TUSD BE'!$Q$67*'TUSD BE'!$Q$81</f>
        <v>2.2439199094177593</v>
      </c>
      <c r="R67" s="33">
        <f>'TUSD BE'!$R$67*'TUSD BE'!$R$81</f>
        <v>0.32331020778137509</v>
      </c>
      <c r="S67" s="33">
        <f>'TUSD BE'!$R$67*'TUSD BE'!$S$81</f>
        <v>0</v>
      </c>
      <c r="T67" s="33">
        <f ca="1">SUM($L$67:$S$67)</f>
        <v>-1.7040438858725331</v>
      </c>
      <c r="U67" s="33">
        <f>'TUSD BE'!$U$67*'TUSD BE'!$U$81</f>
        <v>2.9665944449504464</v>
      </c>
      <c r="V67" s="33">
        <f>'TUSD BE'!$V$67*'TUSD BE'!$V$81</f>
        <v>-1.46079946793143E-3</v>
      </c>
      <c r="W67" s="33">
        <f>'TUSD BE'!$W$67*'TUSD BE'!$W$81</f>
        <v>0</v>
      </c>
      <c r="X67" s="33">
        <f>'TUSD BE'!$X$67*'TUSD BE'!$X$81</f>
        <v>0</v>
      </c>
      <c r="Y67" s="33">
        <f>'TUSD BE'!$Y$67*'TUSD BE'!$Y$81</f>
        <v>1.0533341489052677</v>
      </c>
      <c r="Z67" s="33">
        <f>'TUSD BE'!$Z$67*'TUSD BE'!$Z$81</f>
        <v>0</v>
      </c>
      <c r="AA67" s="33">
        <f>'TUSD BE'!$AA$67*'TUSD BE'!$AA$81</f>
        <v>0</v>
      </c>
      <c r="AB67" s="33">
        <f>SUM($U$67:$AA$67)</f>
        <v>4.0184677943877825</v>
      </c>
      <c r="AC67" s="33">
        <f>'TUSD BE'!$AC$67*'TUSD BE'!$AC$81</f>
        <v>-8.053926137528472E-5</v>
      </c>
      <c r="AD67" s="33">
        <f>SUM($AC$67:$AC$67)</f>
        <v>-8.053926137528472E-5</v>
      </c>
      <c r="AE67" s="33">
        <f ca="1">$AO$67*$AO$78</f>
        <v>0</v>
      </c>
      <c r="AF67" s="33">
        <f ca="1">$AP$67*$AP$78</f>
        <v>0</v>
      </c>
      <c r="AG67" s="33">
        <f ca="1">SUM($AE$67:$AF$67)</f>
        <v>0</v>
      </c>
      <c r="AH67" s="33">
        <f>'TUSD BE'!$AH$67*'TUSD BE'!$AH$81</f>
        <v>-4.060441823094818</v>
      </c>
      <c r="AI67" s="33">
        <f>'TUSD BE'!$AI$67*'TUSD BE'!$AI$81</f>
        <v>-9.0158200722386186E-3</v>
      </c>
      <c r="AJ67" s="33">
        <f ca="1">'TUSD BE'!$AJ$67*'TUSD BE'!$AJ$81</f>
        <v>-7.3094868770780488E-2</v>
      </c>
      <c r="AK67" s="33">
        <f ca="1">'TUSD BE'!$AK$67*'TUSD BE'!$AK$81</f>
        <v>0.22159940840345399</v>
      </c>
      <c r="AL67" s="33">
        <f ca="1">SUM($AH$67:$AK$67)</f>
        <v>-3.9209531035343832</v>
      </c>
      <c r="AM67" s="33">
        <f ca="1">SUMIF($L$4:$AL$4,"SUBTOTAL",$L$67:$AL$67)</f>
        <v>-1.606609734280509</v>
      </c>
      <c r="AO67" s="43">
        <f ca="1">+'TUSD BE'!$T$67+'TUSD BE'!$AB$67+'TUSD BE'!$AD$67+'TUSD BE'!$AL$67</f>
        <v>420.22084168166344</v>
      </c>
      <c r="AP67" s="43">
        <f ca="1">+'TUSD BE'!$T$67+'TUSD BE'!$AB$67+'TUSD BE'!$AD$67+'TUSD BE'!$AL$67</f>
        <v>420.22084168166344</v>
      </c>
    </row>
    <row r="68" spans="1:42" ht="11.25" customHeight="1" x14ac:dyDescent="0.25">
      <c r="A68" s="116" t="s">
        <v>37</v>
      </c>
      <c r="B68" s="116" t="s">
        <v>33</v>
      </c>
      <c r="C68" s="116" t="s">
        <v>25</v>
      </c>
      <c r="D68" s="116" t="s">
        <v>25</v>
      </c>
      <c r="E68" s="116" t="s">
        <v>25</v>
      </c>
      <c r="F68" s="116" t="s">
        <v>25</v>
      </c>
      <c r="G68" s="36" t="s">
        <v>118</v>
      </c>
      <c r="H68" s="36" t="s">
        <v>117</v>
      </c>
      <c r="I68" s="36">
        <f>'MERCADO TUSD'!$U$65</f>
        <v>31.868999999999996</v>
      </c>
      <c r="J68" s="16"/>
      <c r="L68" s="33">
        <f>'TUSD BE'!$L$68*'TUSD BE'!$L$81</f>
        <v>-4.2884257692574472</v>
      </c>
      <c r="M68" s="33">
        <f>'TUSD BE'!$M$68*'TUSD BE'!$M$81</f>
        <v>1.7153865217016336E-2</v>
      </c>
      <c r="N68" s="33">
        <f ca="1">'TUSD BE'!$N$68*'TUSD BE'!$N$81</f>
        <v>-5.7461846867653619E-6</v>
      </c>
      <c r="O68" s="33">
        <f>'TUSD BE'!$O$68*'TUSD BE'!$O$81</f>
        <v>0</v>
      </c>
      <c r="P68" s="33">
        <f>'TUSD BE'!$P$68*'TUSD BE'!$P$81</f>
        <v>0</v>
      </c>
      <c r="Q68" s="33">
        <f>'TUSD BE'!$Q$68*'TUSD BE'!$Q$81</f>
        <v>2.2439199094177593</v>
      </c>
      <c r="R68" s="33">
        <f>'TUSD BE'!$R$68*'TUSD BE'!$R$81</f>
        <v>0.32331020778137509</v>
      </c>
      <c r="S68" s="33">
        <f>'TUSD BE'!$R$68*'TUSD BE'!$S$81</f>
        <v>0</v>
      </c>
      <c r="T68" s="33">
        <f ca="1">SUM($L$68:$S$68)</f>
        <v>-1.7040475330259834</v>
      </c>
      <c r="U68" s="33">
        <f>'TUSD BE'!$U$68*'TUSD BE'!$U$81</f>
        <v>10.086388852462072</v>
      </c>
      <c r="V68" s="33">
        <f>'TUSD BE'!$V$68*'TUSD BE'!$V$81</f>
        <v>-4.9667880105136626E-3</v>
      </c>
      <c r="W68" s="33">
        <f>'TUSD BE'!$W$68*'TUSD BE'!$W$81</f>
        <v>0</v>
      </c>
      <c r="X68" s="33">
        <f>'TUSD BE'!$X$68*'TUSD BE'!$X$81</f>
        <v>0</v>
      </c>
      <c r="Y68" s="33">
        <f>'TUSD BE'!$Y$68*'TUSD BE'!$Y$81</f>
        <v>3.5813372216726207</v>
      </c>
      <c r="Z68" s="33">
        <f>'TUSD BE'!$Z$68*'TUSD BE'!$Z$81</f>
        <v>0</v>
      </c>
      <c r="AA68" s="33">
        <f>'TUSD BE'!$AA$68*'TUSD BE'!$AA$81</f>
        <v>0</v>
      </c>
      <c r="AB68" s="33">
        <f>SUM($U$68:$AA$68)</f>
        <v>13.66275928612418</v>
      </c>
      <c r="AC68" s="33">
        <f>'TUSD BE'!$AC$68*'TUSD BE'!$AC$81</f>
        <v>-2.7383348867596809E-4</v>
      </c>
      <c r="AD68" s="33">
        <f>SUM($AC$68:$AC$68)</f>
        <v>-2.7383348867596809E-4</v>
      </c>
      <c r="AE68" s="33">
        <f ca="1">$AO$68*$AO$78</f>
        <v>0</v>
      </c>
      <c r="AF68" s="33">
        <f ca="1">$AP$68*$AP$78</f>
        <v>0</v>
      </c>
      <c r="AG68" s="33">
        <f ca="1">SUM($AE$68:$AF$68)</f>
        <v>0</v>
      </c>
      <c r="AH68" s="33">
        <f>'TUSD BE'!$AH$68*'TUSD BE'!$AH$81</f>
        <v>-4.060441823094818</v>
      </c>
      <c r="AI68" s="33">
        <f>'TUSD BE'!$AI$68*'TUSD BE'!$AI$81</f>
        <v>-9.0158200722386186E-3</v>
      </c>
      <c r="AJ68" s="33">
        <f ca="1">'TUSD BE'!$AJ$68*'TUSD BE'!$AJ$81</f>
        <v>-7.3094868770780488E-2</v>
      </c>
      <c r="AK68" s="33">
        <f ca="1">'TUSD BE'!$AK$68*'TUSD BE'!$AK$81</f>
        <v>0.22159940840345399</v>
      </c>
      <c r="AL68" s="33">
        <f ca="1">SUM($AH$68:$AK$68)</f>
        <v>-3.9209531035343832</v>
      </c>
      <c r="AM68" s="33">
        <f ca="1">SUMIF($L$4:$AL$4,"SUBTOTAL",$L$68:$AL$68)</f>
        <v>8.0374848160751373</v>
      </c>
      <c r="AO68" s="43">
        <f ca="1">+'TUSD BE'!$T$68+'TUSD BE'!$AB$68+'TUSD BE'!$AD$68+'TUSD BE'!$AL$68</f>
        <v>1030.8273143286274</v>
      </c>
      <c r="AP68" s="43">
        <f ca="1">+'TUSD BE'!$T$68+'TUSD BE'!$AB$68+'TUSD BE'!$AD$68+'TUSD BE'!$AL$68</f>
        <v>1030.8273143286274</v>
      </c>
    </row>
    <row r="69" spans="1:42" ht="11.25" customHeight="1" x14ac:dyDescent="0.25">
      <c r="A69" s="116"/>
      <c r="B69" s="116"/>
      <c r="C69" s="116"/>
      <c r="D69" s="116"/>
      <c r="E69" s="116"/>
      <c r="F69" s="116"/>
      <c r="G69" s="36" t="s">
        <v>128</v>
      </c>
      <c r="H69" s="36" t="s">
        <v>117</v>
      </c>
      <c r="I69" s="36">
        <f>'MERCADO TUSD'!$U$66</f>
        <v>31.273999999999997</v>
      </c>
      <c r="J69" s="16"/>
      <c r="L69" s="33">
        <f>'TUSD BE'!$L$69*'TUSD BE'!$L$81</f>
        <v>-4.2884257692574472</v>
      </c>
      <c r="M69" s="33">
        <f>'TUSD BE'!$M$69*'TUSD BE'!$M$81</f>
        <v>1.7153865217016336E-2</v>
      </c>
      <c r="N69" s="33">
        <f ca="1">'TUSD BE'!$N$69*'TUSD BE'!$N$81</f>
        <v>-3.6794643763391813E-6</v>
      </c>
      <c r="O69" s="33">
        <f>'TUSD BE'!$O$69*'TUSD BE'!$O$81</f>
        <v>0</v>
      </c>
      <c r="P69" s="33">
        <f>'TUSD BE'!$P$69*'TUSD BE'!$P$81</f>
        <v>0</v>
      </c>
      <c r="Q69" s="33">
        <f>'TUSD BE'!$Q$69*'TUSD BE'!$Q$81</f>
        <v>2.2439199094177593</v>
      </c>
      <c r="R69" s="33">
        <f>'TUSD BE'!$R$69*'TUSD BE'!$R$81</f>
        <v>0.32331020778137509</v>
      </c>
      <c r="S69" s="33">
        <f>'TUSD BE'!$R$69*'TUSD BE'!$S$81</f>
        <v>0</v>
      </c>
      <c r="T69" s="33">
        <f ca="1">SUM($L$69:$S$69)</f>
        <v>-1.704045466305673</v>
      </c>
      <c r="U69" s="33">
        <f>'TUSD BE'!$U$69*'TUSD BE'!$U$81</f>
        <v>6.0518379201014501</v>
      </c>
      <c r="V69" s="33">
        <f>'TUSD BE'!$V$69*'TUSD BE'!$V$81</f>
        <v>-2.9800728063081976E-3</v>
      </c>
      <c r="W69" s="33">
        <f>'TUSD BE'!$W$69*'TUSD BE'!$W$81</f>
        <v>0</v>
      </c>
      <c r="X69" s="33">
        <f>'TUSD BE'!$X$69*'TUSD BE'!$X$81</f>
        <v>0</v>
      </c>
      <c r="Y69" s="33">
        <f>'TUSD BE'!$Y$69*'TUSD BE'!$Y$81</f>
        <v>2.1488023330035722</v>
      </c>
      <c r="Z69" s="33">
        <f>'TUSD BE'!$Z$69*'TUSD BE'!$Z$81</f>
        <v>0</v>
      </c>
      <c r="AA69" s="33">
        <f>'TUSD BE'!$AA$69*'TUSD BE'!$AA$81</f>
        <v>0</v>
      </c>
      <c r="AB69" s="33">
        <f>SUM($U$69:$AA$69)</f>
        <v>8.1976601802987137</v>
      </c>
      <c r="AC69" s="33">
        <f>'TUSD BE'!$AC$69*'TUSD BE'!$AC$81</f>
        <v>-1.6430008411565287E-4</v>
      </c>
      <c r="AD69" s="33">
        <f>SUM($AC$69:$AC$69)</f>
        <v>-1.6430008411565287E-4</v>
      </c>
      <c r="AE69" s="33">
        <f ca="1">$AO$69*$AO$78</f>
        <v>0</v>
      </c>
      <c r="AF69" s="33">
        <f ca="1">$AP$69*$AP$78</f>
        <v>0</v>
      </c>
      <c r="AG69" s="33">
        <f ca="1">SUM($AE$69:$AF$69)</f>
        <v>0</v>
      </c>
      <c r="AH69" s="33">
        <f>'TUSD BE'!$AH$69*'TUSD BE'!$AH$81</f>
        <v>-4.060441823094818</v>
      </c>
      <c r="AI69" s="33">
        <f>'TUSD BE'!$AI$69*'TUSD BE'!$AI$81</f>
        <v>-9.0158200722386186E-3</v>
      </c>
      <c r="AJ69" s="33">
        <f ca="1">'TUSD BE'!$AJ$69*'TUSD BE'!$AJ$81</f>
        <v>-7.3094868770780488E-2</v>
      </c>
      <c r="AK69" s="33">
        <f ca="1">'TUSD BE'!$AK$69*'TUSD BE'!$AK$81</f>
        <v>0.22159940840345399</v>
      </c>
      <c r="AL69" s="33">
        <f ca="1">SUM($AH$69:$AK$69)</f>
        <v>-3.9209531035343832</v>
      </c>
      <c r="AM69" s="33">
        <f ca="1">SUMIF($L$4:$AL$4,"SUBTOTAL",$L$69:$AL$69)</f>
        <v>2.5724973103745419</v>
      </c>
      <c r="AO69" s="43">
        <f ca="1">+'TUSD BE'!$T$69+'TUSD BE'!$AB$69+'TUSD BE'!$AD$69+'TUSD BE'!$AL$69</f>
        <v>684.81696352083611</v>
      </c>
      <c r="AP69" s="43">
        <f ca="1">+'TUSD BE'!$T$69+'TUSD BE'!$AB$69+'TUSD BE'!$AD$69+'TUSD BE'!$AL$69</f>
        <v>684.81696352083611</v>
      </c>
    </row>
    <row r="70" spans="1:42" ht="11.25" customHeight="1" x14ac:dyDescent="0.25">
      <c r="A70" s="116"/>
      <c r="B70" s="116"/>
      <c r="C70" s="116"/>
      <c r="D70" s="116"/>
      <c r="E70" s="116"/>
      <c r="F70" s="116"/>
      <c r="G70" s="36" t="s">
        <v>119</v>
      </c>
      <c r="H70" s="36" t="s">
        <v>117</v>
      </c>
      <c r="I70" s="36">
        <f>'MERCADO TUSD'!$U$67</f>
        <v>381.83600000000001</v>
      </c>
      <c r="J70" s="16"/>
      <c r="L70" s="33">
        <f>'TUSD BE'!$L$70*'TUSD BE'!$L$81</f>
        <v>-4.2884257692574472</v>
      </c>
      <c r="M70" s="33">
        <f>'TUSD BE'!$M$70*'TUSD BE'!$M$81</f>
        <v>1.7153865217016336E-2</v>
      </c>
      <c r="N70" s="33">
        <f ca="1">'TUSD BE'!$N$70*'TUSD BE'!$N$81</f>
        <v>-1.6127440659130027E-6</v>
      </c>
      <c r="O70" s="33">
        <f>'TUSD BE'!$O$70*'TUSD BE'!$O$81</f>
        <v>0</v>
      </c>
      <c r="P70" s="33">
        <f>'TUSD BE'!$P$70*'TUSD BE'!$P$81</f>
        <v>0</v>
      </c>
      <c r="Q70" s="33">
        <f>'TUSD BE'!$Q$70*'TUSD BE'!$Q$81</f>
        <v>2.2439199094177593</v>
      </c>
      <c r="R70" s="33">
        <f>'TUSD BE'!$R$70*'TUSD BE'!$R$81</f>
        <v>0.32331020778137509</v>
      </c>
      <c r="S70" s="33">
        <f>'TUSD BE'!$R$70*'TUSD BE'!$S$81</f>
        <v>0</v>
      </c>
      <c r="T70" s="33">
        <f ca="1">SUM($L$70:$S$70)</f>
        <v>-1.7040433995853626</v>
      </c>
      <c r="U70" s="33">
        <f>'TUSD BE'!$U$70*'TUSD BE'!$U$81</f>
        <v>2.0172869877408277</v>
      </c>
      <c r="V70" s="33">
        <f>'TUSD BE'!$V$70*'TUSD BE'!$V$81</f>
        <v>-9.9335760210273252E-4</v>
      </c>
      <c r="W70" s="33">
        <f>'TUSD BE'!$W$70*'TUSD BE'!$W$81</f>
        <v>0</v>
      </c>
      <c r="X70" s="33">
        <f>'TUSD BE'!$X$70*'TUSD BE'!$X$81</f>
        <v>0</v>
      </c>
      <c r="Y70" s="33">
        <f>'TUSD BE'!$Y$70*'TUSD BE'!$Y$81</f>
        <v>0.71626744433452405</v>
      </c>
      <c r="Z70" s="33">
        <f>'TUSD BE'!$Z$70*'TUSD BE'!$Z$81</f>
        <v>0</v>
      </c>
      <c r="AA70" s="33">
        <f>'TUSD BE'!$AA$70*'TUSD BE'!$AA$81</f>
        <v>0</v>
      </c>
      <c r="AB70" s="33">
        <f>SUM($U$70:$AA$70)</f>
        <v>2.7325610744732489</v>
      </c>
      <c r="AC70" s="33">
        <f>'TUSD BE'!$AC$70*'TUSD BE'!$AC$81</f>
        <v>-5.4766679555337705E-5</v>
      </c>
      <c r="AD70" s="33">
        <f>SUM($AC$70:$AC$70)</f>
        <v>-5.4766679555337705E-5</v>
      </c>
      <c r="AE70" s="33">
        <f ca="1">$AO$70*$AO$78</f>
        <v>0</v>
      </c>
      <c r="AF70" s="33">
        <f ca="1">$AP$70*$AP$78</f>
        <v>0</v>
      </c>
      <c r="AG70" s="33">
        <f ca="1">SUM($AE$70:$AF$70)</f>
        <v>0</v>
      </c>
      <c r="AH70" s="33">
        <f>'TUSD BE'!$AH$70*'TUSD BE'!$AH$81</f>
        <v>-4.060441823094818</v>
      </c>
      <c r="AI70" s="33">
        <f>'TUSD BE'!$AI$70*'TUSD BE'!$AI$81</f>
        <v>-9.0158200722386186E-3</v>
      </c>
      <c r="AJ70" s="33">
        <f ca="1">'TUSD BE'!$AJ$70*'TUSD BE'!$AJ$81</f>
        <v>-7.3094868770780488E-2</v>
      </c>
      <c r="AK70" s="33">
        <f ca="1">'TUSD BE'!$AK$70*'TUSD BE'!$AK$81</f>
        <v>0.22159940840345399</v>
      </c>
      <c r="AL70" s="33">
        <f ca="1">SUM($AH$70:$AK$70)</f>
        <v>-3.9209531035343832</v>
      </c>
      <c r="AM70" s="33">
        <f ca="1">SUMIF($L$4:$AL$4,"SUBTOTAL",$L$70:$AL$70)</f>
        <v>-2.8924901953260522</v>
      </c>
      <c r="AO70" s="43">
        <f ca="1">+'TUSD BE'!$T$70+'TUSD BE'!$AB$70+'TUSD BE'!$AD$70+'TUSD BE'!$AL$70</f>
        <v>338.80661271304461</v>
      </c>
      <c r="AP70" s="43">
        <f ca="1">+'TUSD BE'!$T$70+'TUSD BE'!$AB$70+'TUSD BE'!$AD$70+'TUSD BE'!$AL$70</f>
        <v>338.80661271304461</v>
      </c>
    </row>
    <row r="71" spans="1:42" ht="11.25" customHeight="1" x14ac:dyDescent="0.25">
      <c r="A71" s="116"/>
      <c r="B71" s="41" t="s">
        <v>23</v>
      </c>
      <c r="C71" s="41" t="s">
        <v>25</v>
      </c>
      <c r="D71" s="41" t="s">
        <v>25</v>
      </c>
      <c r="E71" s="41" t="s">
        <v>25</v>
      </c>
      <c r="F71" s="41" t="s">
        <v>25</v>
      </c>
      <c r="G71" s="36" t="s">
        <v>123</v>
      </c>
      <c r="H71" s="36" t="s">
        <v>117</v>
      </c>
      <c r="I71" s="36">
        <f>'MERCADO TUSD'!$U$68</f>
        <v>226492.11000000002</v>
      </c>
      <c r="J71" s="16"/>
      <c r="L71" s="33">
        <f>'TUSD BE'!$L$71*'TUSD BE'!$L$81</f>
        <v>-4.2884257692574472</v>
      </c>
      <c r="M71" s="33">
        <f>'TUSD BE'!$M$71*'TUSD BE'!$M$81</f>
        <v>1.7153865217016336E-2</v>
      </c>
      <c r="N71" s="33">
        <f ca="1">'TUSD BE'!$N$71*'TUSD BE'!$N$81</f>
        <v>-2.0990312367236033E-6</v>
      </c>
      <c r="O71" s="33">
        <f>'TUSD BE'!$O$71*'TUSD BE'!$O$81</f>
        <v>0</v>
      </c>
      <c r="P71" s="33">
        <f>'TUSD BE'!$P$71*'TUSD BE'!$P$81</f>
        <v>0</v>
      </c>
      <c r="Q71" s="33">
        <f>'TUSD BE'!$Q$71*'TUSD BE'!$Q$81</f>
        <v>2.2439199094177593</v>
      </c>
      <c r="R71" s="33">
        <f>'TUSD BE'!$R$71*'TUSD BE'!$R$81</f>
        <v>0.32331020778137509</v>
      </c>
      <c r="S71" s="33">
        <f>'TUSD BE'!$R$71*'TUSD BE'!$S$81</f>
        <v>0</v>
      </c>
      <c r="T71" s="33">
        <f ca="1">SUM($L$71:$S$71)</f>
        <v>-1.7040438858725331</v>
      </c>
      <c r="U71" s="33">
        <f>'TUSD BE'!$U$71*'TUSD BE'!$U$81</f>
        <v>2.9665944449504464</v>
      </c>
      <c r="V71" s="33">
        <f>'TUSD BE'!$V$71*'TUSD BE'!$V$81</f>
        <v>-1.46079946793143E-3</v>
      </c>
      <c r="W71" s="33">
        <f>'TUSD BE'!$W$71*'TUSD BE'!$W$81</f>
        <v>0</v>
      </c>
      <c r="X71" s="33">
        <f>'TUSD BE'!$X$71*'TUSD BE'!$X$81</f>
        <v>0</v>
      </c>
      <c r="Y71" s="33">
        <f>'TUSD BE'!$Y$71*'TUSD BE'!$Y$81</f>
        <v>1.0533341489052677</v>
      </c>
      <c r="Z71" s="33">
        <f>'TUSD BE'!$Z$71*'TUSD BE'!$Z$81</f>
        <v>0</v>
      </c>
      <c r="AA71" s="33">
        <f>'TUSD BE'!$AA$71*'TUSD BE'!$AA$81</f>
        <v>0</v>
      </c>
      <c r="AB71" s="33">
        <f>SUM($U$71:$AA$71)</f>
        <v>4.0184677943877825</v>
      </c>
      <c r="AC71" s="33">
        <f>'TUSD BE'!$AC$71*'TUSD BE'!$AC$81</f>
        <v>-8.053926137528472E-5</v>
      </c>
      <c r="AD71" s="33">
        <f>SUM($AC$71:$AC$71)</f>
        <v>-8.053926137528472E-5</v>
      </c>
      <c r="AE71" s="33">
        <f ca="1">$AO$71*$AO$78</f>
        <v>0</v>
      </c>
      <c r="AF71" s="33">
        <f ca="1">$AP$71*$AP$78</f>
        <v>0</v>
      </c>
      <c r="AG71" s="33">
        <f ca="1">SUM($AE$71:$AF$71)</f>
        <v>0</v>
      </c>
      <c r="AH71" s="33">
        <f>'TUSD BE'!$AH$71*'TUSD BE'!$AH$81</f>
        <v>-4.060441823094818</v>
      </c>
      <c r="AI71" s="33">
        <f>'TUSD BE'!$AI$71*'TUSD BE'!$AI$81</f>
        <v>-9.0158200722386186E-3</v>
      </c>
      <c r="AJ71" s="33">
        <f ca="1">'TUSD BE'!$AJ$71*'TUSD BE'!$AJ$81</f>
        <v>-7.3094868770780488E-2</v>
      </c>
      <c r="AK71" s="33">
        <f ca="1">'TUSD BE'!$AK$71*'TUSD BE'!$AK$81</f>
        <v>0.22159940840345399</v>
      </c>
      <c r="AL71" s="33">
        <f ca="1">SUM($AH$71:$AK$71)</f>
        <v>-3.9209531035343832</v>
      </c>
      <c r="AM71" s="33">
        <f ca="1">SUMIF($L$4:$AL$4,"SUBTOTAL",$L$71:$AL$71)</f>
        <v>-1.606609734280509</v>
      </c>
      <c r="AO71" s="43">
        <f ca="1">+'TUSD BE'!$T$71+'TUSD BE'!$AB$71+'TUSD BE'!$AD$71+'TUSD BE'!$AL$71</f>
        <v>420.22084168166344</v>
      </c>
      <c r="AP71" s="43">
        <f ca="1">+'TUSD BE'!$T$71+'TUSD BE'!$AB$71+'TUSD BE'!$AD$71+'TUSD BE'!$AL$71</f>
        <v>420.22084168166344</v>
      </c>
    </row>
    <row r="72" spans="1:42" ht="11.25" customHeight="1" x14ac:dyDescent="0.25">
      <c r="A72" s="116"/>
      <c r="B72" s="41" t="s">
        <v>131</v>
      </c>
      <c r="C72" s="41" t="s">
        <v>25</v>
      </c>
      <c r="D72" s="41" t="s">
        <v>25</v>
      </c>
      <c r="E72" s="41" t="s">
        <v>25</v>
      </c>
      <c r="F72" s="41" t="s">
        <v>25</v>
      </c>
      <c r="G72" s="36" t="s">
        <v>123</v>
      </c>
      <c r="H72" s="36" t="s">
        <v>117</v>
      </c>
      <c r="I72" s="36">
        <f>'MERCADO TUSD'!$U$69</f>
        <v>0</v>
      </c>
      <c r="J72" s="16"/>
      <c r="L72" s="33">
        <f>'TUSD BE'!$L$72*'TUSD BE'!$L$81</f>
        <v>-4.2884257692574472</v>
      </c>
      <c r="M72" s="33">
        <f>'TUSD BE'!$M$72*'TUSD BE'!$M$81</f>
        <v>1.7153865217016336E-2</v>
      </c>
      <c r="N72" s="33">
        <f ca="1">'TUSD BE'!$N$72*'TUSD BE'!$N$81</f>
        <v>-2.0990312367236033E-6</v>
      </c>
      <c r="O72" s="33">
        <f>'TUSD BE'!$O$72*'TUSD BE'!$O$81</f>
        <v>0</v>
      </c>
      <c r="P72" s="33">
        <f>'TUSD BE'!$P$72*'TUSD BE'!$P$81</f>
        <v>0</v>
      </c>
      <c r="Q72" s="33">
        <f>'TUSD BE'!$Q$72*'TUSD BE'!$Q$81</f>
        <v>2.2439199094177593</v>
      </c>
      <c r="R72" s="33">
        <f>'TUSD BE'!$R$72*'TUSD BE'!$R$81</f>
        <v>0.32331020778137509</v>
      </c>
      <c r="S72" s="33">
        <f>'TUSD BE'!$R$72*'TUSD BE'!$S$81</f>
        <v>0</v>
      </c>
      <c r="T72" s="33">
        <f ca="1">SUM($L$72:$S$72)</f>
        <v>-1.7040438858725331</v>
      </c>
      <c r="U72" s="33">
        <f>'TUSD BE'!$U$72*'TUSD BE'!$U$81</f>
        <v>2.9665944449504464</v>
      </c>
      <c r="V72" s="33">
        <f>'TUSD BE'!$V$72*'TUSD BE'!$V$81</f>
        <v>-1.46079946793143E-3</v>
      </c>
      <c r="W72" s="33">
        <f>'TUSD BE'!$W$72*'TUSD BE'!$W$81</f>
        <v>0</v>
      </c>
      <c r="X72" s="33">
        <f>'TUSD BE'!$X$72*'TUSD BE'!$X$81</f>
        <v>0</v>
      </c>
      <c r="Y72" s="33">
        <f>'TUSD BE'!$Y$72*'TUSD BE'!$Y$81</f>
        <v>1.0533341489052677</v>
      </c>
      <c r="Z72" s="33">
        <f>'TUSD BE'!$Z$72*'TUSD BE'!$Z$81</f>
        <v>0</v>
      </c>
      <c r="AA72" s="33">
        <f>'TUSD BE'!$AA$72*'TUSD BE'!$AA$81</f>
        <v>0</v>
      </c>
      <c r="AB72" s="33">
        <f>SUM($U$72:$AA$72)</f>
        <v>4.0184677943877825</v>
      </c>
      <c r="AC72" s="33">
        <f>'TUSD BE'!$AC$72*'TUSD BE'!$AC$81</f>
        <v>-8.053926137528472E-5</v>
      </c>
      <c r="AD72" s="33">
        <f>SUM($AC$72:$AC$72)</f>
        <v>-8.053926137528472E-5</v>
      </c>
      <c r="AE72" s="33">
        <f ca="1">$AO$72*$AO$78</f>
        <v>0</v>
      </c>
      <c r="AF72" s="33">
        <f ca="1">$AP$72*$AP$78</f>
        <v>0</v>
      </c>
      <c r="AG72" s="33">
        <f ca="1">SUM($AE$72:$AF$72)</f>
        <v>0</v>
      </c>
      <c r="AH72" s="33">
        <f>'TUSD BE'!$AH$72*'TUSD BE'!$AH$81</f>
        <v>-4.060441823094818</v>
      </c>
      <c r="AI72" s="33">
        <f>'TUSD BE'!$AI$72*'TUSD BE'!$AI$81</f>
        <v>-9.0158200722386186E-3</v>
      </c>
      <c r="AJ72" s="33">
        <f ca="1">'TUSD BE'!$AJ$72*'TUSD BE'!$AJ$81</f>
        <v>-7.3094868770780488E-2</v>
      </c>
      <c r="AK72" s="33">
        <f ca="1">'TUSD BE'!$AK$72*'TUSD BE'!$AK$81</f>
        <v>0.22159940840345399</v>
      </c>
      <c r="AL72" s="33">
        <f ca="1">SUM($AH$72:$AK$72)</f>
        <v>-3.9209531035343832</v>
      </c>
      <c r="AM72" s="33">
        <f ca="1">SUMIF($L$4:$AL$4,"SUBTOTAL",$L$72:$AL$72)</f>
        <v>-1.606609734280509</v>
      </c>
      <c r="AO72" s="43">
        <f ca="1">+'TUSD BE'!$T$72+'TUSD BE'!$AB$72+'TUSD BE'!$AD$72+'TUSD BE'!$AL$72</f>
        <v>420.22084168166344</v>
      </c>
      <c r="AP72" s="43">
        <f ca="1">+'TUSD BE'!$T$72+'TUSD BE'!$AB$72+'TUSD BE'!$AD$72+'TUSD BE'!$AL$72</f>
        <v>420.22084168166344</v>
      </c>
    </row>
    <row r="73" spans="1:42" ht="11.25" customHeight="1" x14ac:dyDescent="0.25">
      <c r="A73" s="116" t="s">
        <v>47</v>
      </c>
      <c r="B73" s="116" t="s">
        <v>23</v>
      </c>
      <c r="C73" s="116" t="s">
        <v>48</v>
      </c>
      <c r="D73" s="41" t="s">
        <v>49</v>
      </c>
      <c r="E73" s="41" t="s">
        <v>25</v>
      </c>
      <c r="F73" s="41" t="s">
        <v>25</v>
      </c>
      <c r="G73" s="36" t="s">
        <v>123</v>
      </c>
      <c r="H73" s="36" t="s">
        <v>117</v>
      </c>
      <c r="I73" s="36">
        <f>'MERCADO TUSD'!$U$70</f>
        <v>81306.822999999989</v>
      </c>
      <c r="J73" s="16"/>
      <c r="L73" s="33">
        <f>'TUSD BE'!$L$73*'TUSD BE'!$L$81</f>
        <v>-2.3586341730915961</v>
      </c>
      <c r="M73" s="33">
        <f>'TUSD BE'!$M$73*'TUSD BE'!$M$81</f>
        <v>9.4346258693589861E-3</v>
      </c>
      <c r="N73" s="33">
        <f ca="1">'TUSD BE'!$N$73*'TUSD BE'!$N$81</f>
        <v>-1.154467180197982E-6</v>
      </c>
      <c r="O73" s="33">
        <f>'TUSD BE'!$O$73*'TUSD BE'!$O$81</f>
        <v>0</v>
      </c>
      <c r="P73" s="33">
        <f>'TUSD BE'!$P$73*'TUSD BE'!$P$81</f>
        <v>0</v>
      </c>
      <c r="Q73" s="33">
        <f>'TUSD BE'!$Q$73*'TUSD BE'!$Q$81</f>
        <v>1.2341559501797679</v>
      </c>
      <c r="R73" s="33">
        <f>'TUSD BE'!$R$73*'TUSD BE'!$R$81</f>
        <v>0.17782061427975632</v>
      </c>
      <c r="S73" s="33">
        <f>'TUSD BE'!$R$73*'TUSD BE'!$S$81</f>
        <v>0</v>
      </c>
      <c r="T73" s="33">
        <f ca="1">SUM($L$73:$S$73)</f>
        <v>-0.93722413722989284</v>
      </c>
      <c r="U73" s="33">
        <f>'TUSD BE'!$U$73*'TUSD BE'!$U$81</f>
        <v>1.6316269447227456</v>
      </c>
      <c r="V73" s="33">
        <f>'TUSD BE'!$V$73*'TUSD BE'!$V$81</f>
        <v>-8.0343970736228656E-4</v>
      </c>
      <c r="W73" s="33">
        <f>'TUSD BE'!$W$73*'TUSD BE'!$W$81</f>
        <v>0</v>
      </c>
      <c r="X73" s="33">
        <f>'TUSD BE'!$X$73*'TUSD BE'!$X$81</f>
        <v>0</v>
      </c>
      <c r="Y73" s="33">
        <f>'TUSD BE'!$Y$73*'TUSD BE'!$Y$81</f>
        <v>0.5793337818978973</v>
      </c>
      <c r="Z73" s="33">
        <f>'TUSD BE'!$Z$73*'TUSD BE'!$Z$81</f>
        <v>0</v>
      </c>
      <c r="AA73" s="33">
        <f>'TUSD BE'!$AA$73*'TUSD BE'!$AA$81</f>
        <v>0</v>
      </c>
      <c r="AB73" s="33">
        <f>SUM($U$73:$AA$73)</f>
        <v>2.2101572869132808</v>
      </c>
      <c r="AC73" s="33">
        <f>'TUSD BE'!$AC$73*'TUSD BE'!$AC$81</f>
        <v>-4.4296593756406595E-5</v>
      </c>
      <c r="AD73" s="33">
        <f>SUM($AC$73:$AC$73)</f>
        <v>-4.4296593756406595E-5</v>
      </c>
      <c r="AE73" s="33">
        <f ca="1">$AO$73*$AO$78</f>
        <v>0</v>
      </c>
      <c r="AF73" s="33">
        <f ca="1">$AP$73*$AP$78</f>
        <v>0</v>
      </c>
      <c r="AG73" s="33">
        <f ca="1">SUM($AE$73:$AF$73)</f>
        <v>0</v>
      </c>
      <c r="AH73" s="33">
        <f>'TUSD BE'!$AH$73*'TUSD BE'!$AH$81</f>
        <v>-2.2332430027021499</v>
      </c>
      <c r="AI73" s="33">
        <f>'TUSD BE'!$AI$73*'TUSD BE'!$AI$81</f>
        <v>-4.9587010397312403E-3</v>
      </c>
      <c r="AJ73" s="33">
        <f ca="1">'TUSD BE'!$AJ$73*'TUSD BE'!$AJ$81</f>
        <v>-4.0202177823929271E-2</v>
      </c>
      <c r="AK73" s="33">
        <f ca="1">'TUSD BE'!$AK$73*'TUSD BE'!$AK$81</f>
        <v>0.12187967462189972</v>
      </c>
      <c r="AL73" s="33">
        <f ca="1">SUM($AH$73:$AK$73)</f>
        <v>-2.156524206943911</v>
      </c>
      <c r="AM73" s="33">
        <f ca="1">SUMIF($L$4:$AL$4,"SUBTOTAL",$L$73:$AL$73)</f>
        <v>-0.88363535385427938</v>
      </c>
      <c r="AO73" s="43">
        <f ca="1">+'TUSD BE'!$T$73+'TUSD BE'!$AB$73+'TUSD BE'!$AD$73+'TUSD BE'!$AL$73</f>
        <v>231.12146292491488</v>
      </c>
      <c r="AP73" s="43">
        <f ca="1">+'TUSD BE'!$T$73+'TUSD BE'!$AB$73+'TUSD BE'!$AD$73+'TUSD BE'!$AL$73</f>
        <v>231.12146292491488</v>
      </c>
    </row>
    <row r="74" spans="1:42" ht="11.25" customHeight="1" x14ac:dyDescent="0.25">
      <c r="A74" s="116"/>
      <c r="B74" s="116"/>
      <c r="C74" s="116"/>
      <c r="D74" s="36" t="s">
        <v>50</v>
      </c>
      <c r="E74" s="36" t="s">
        <v>25</v>
      </c>
      <c r="F74" s="36" t="s">
        <v>25</v>
      </c>
      <c r="G74" s="36" t="s">
        <v>123</v>
      </c>
      <c r="H74" s="36" t="s">
        <v>117</v>
      </c>
      <c r="I74" s="36">
        <f>'MERCADO TUSD'!$U$71</f>
        <v>1579.0179999999998</v>
      </c>
      <c r="J74" s="16"/>
      <c r="L74" s="33">
        <f>'TUSD BE'!$L$74*'TUSD BE'!$L$81</f>
        <v>-2.5730554615544681</v>
      </c>
      <c r="M74" s="33">
        <f>'TUSD BE'!$M$74*'TUSD BE'!$M$81</f>
        <v>1.0292319130209802E-2</v>
      </c>
      <c r="N74" s="33">
        <f ca="1">'TUSD BE'!$N$74*'TUSD BE'!$N$81</f>
        <v>-1.2594187420341619E-6</v>
      </c>
      <c r="O74" s="33">
        <f>'TUSD BE'!$O$74*'TUSD BE'!$O$81</f>
        <v>0</v>
      </c>
      <c r="P74" s="33">
        <f>'TUSD BE'!$P$74*'TUSD BE'!$P$81</f>
        <v>0</v>
      </c>
      <c r="Q74" s="33">
        <f>'TUSD BE'!$Q$74*'TUSD BE'!$Q$81</f>
        <v>1.3463519456506556</v>
      </c>
      <c r="R74" s="33">
        <f>'TUSD BE'!$R$74*'TUSD BE'!$R$81</f>
        <v>0.19398612466882506</v>
      </c>
      <c r="S74" s="33">
        <f>'TUSD BE'!$R$74*'TUSD BE'!$S$81</f>
        <v>0</v>
      </c>
      <c r="T74" s="33">
        <f ca="1">SUM($L$74:$S$74)</f>
        <v>-1.0224263315235196</v>
      </c>
      <c r="U74" s="33">
        <f>'TUSD BE'!$U$74*'TUSD BE'!$U$81</f>
        <v>1.7799566669702678</v>
      </c>
      <c r="V74" s="33">
        <f>'TUSD BE'!$V$74*'TUSD BE'!$V$81</f>
        <v>-8.7647968075885792E-4</v>
      </c>
      <c r="W74" s="33">
        <f>'TUSD BE'!$W$74*'TUSD BE'!$W$81</f>
        <v>0</v>
      </c>
      <c r="X74" s="33">
        <f>'TUSD BE'!$X$74*'TUSD BE'!$X$81</f>
        <v>0</v>
      </c>
      <c r="Y74" s="33">
        <f>'TUSD BE'!$Y$74*'TUSD BE'!$Y$81</f>
        <v>0.63200048934316067</v>
      </c>
      <c r="Z74" s="33">
        <f>'TUSD BE'!$Z$74*'TUSD BE'!$Z$81</f>
        <v>0</v>
      </c>
      <c r="AA74" s="33">
        <f>'TUSD BE'!$AA$74*'TUSD BE'!$AA$81</f>
        <v>0</v>
      </c>
      <c r="AB74" s="33">
        <f>SUM($U$74:$AA$74)</f>
        <v>2.4110806766326696</v>
      </c>
      <c r="AC74" s="33">
        <f>'TUSD BE'!$AC$74*'TUSD BE'!$AC$81</f>
        <v>-4.8323556825170836E-5</v>
      </c>
      <c r="AD74" s="33">
        <f>SUM($AC$74:$AC$74)</f>
        <v>-4.8323556825170836E-5</v>
      </c>
      <c r="AE74" s="33">
        <f ca="1">$AO$74*$AO$78</f>
        <v>0</v>
      </c>
      <c r="AF74" s="33">
        <f ca="1">$AP$74*$AP$78</f>
        <v>0</v>
      </c>
      <c r="AG74" s="33">
        <f ca="1">SUM($AE$74:$AF$74)</f>
        <v>0</v>
      </c>
      <c r="AH74" s="33">
        <f>'TUSD BE'!$AH$74*'TUSD BE'!$AH$81</f>
        <v>-2.4362650938568904</v>
      </c>
      <c r="AI74" s="33">
        <f>'TUSD BE'!$AI$74*'TUSD BE'!$AI$81</f>
        <v>-5.4094920433431703E-3</v>
      </c>
      <c r="AJ74" s="33">
        <f ca="1">'TUSD BE'!$AJ$74*'TUSD BE'!$AJ$81</f>
        <v>-4.385692126246829E-2</v>
      </c>
      <c r="AK74" s="33">
        <f ca="1">'TUSD BE'!$AK$74*'TUSD BE'!$AK$81</f>
        <v>0.13295964504207242</v>
      </c>
      <c r="AL74" s="33">
        <f ca="1">SUM($AH$74:$AK$74)</f>
        <v>-2.3525718621206297</v>
      </c>
      <c r="AM74" s="33">
        <f ca="1">SUMIF($L$4:$AL$4,"SUBTOTAL",$L$74:$AL$74)</f>
        <v>-0.96396584056830492</v>
      </c>
      <c r="AO74" s="43">
        <f ca="1">+'TUSD BE'!$T$74+'TUSD BE'!$AB$74+'TUSD BE'!$AD$74+'TUSD BE'!$AL$74</f>
        <v>252.13250500899807</v>
      </c>
      <c r="AP74" s="43">
        <f ca="1">+'TUSD BE'!$T$74+'TUSD BE'!$AB$74+'TUSD BE'!$AD$74+'TUSD BE'!$AL$74</f>
        <v>252.13250500899807</v>
      </c>
    </row>
    <row r="76" spans="1:42" ht="11.25" customHeight="1" x14ac:dyDescent="0.25">
      <c r="K76" s="40" t="s">
        <v>1049</v>
      </c>
      <c r="L76" s="33">
        <f>SUMPRODUCT($I$5:$I74,$L$5:$L74)</f>
        <v>-5390757.8840866573</v>
      </c>
      <c r="M76" s="33">
        <f>SUMPRODUCT($I$5:$I74,$M$5:$M74)</f>
        <v>29343.007811108964</v>
      </c>
      <c r="N76" s="33">
        <f ca="1">SUMPRODUCT($I$5:$I74,$N$5:$N74)</f>
        <v>-2.8011271029698048</v>
      </c>
      <c r="O76" s="33">
        <f>SUMPRODUCT($I$5:$I74,$O$5:$O74)</f>
        <v>0</v>
      </c>
      <c r="P76" s="33">
        <f>SUMPRODUCT($I$5:$I74,$P$5:$P74)</f>
        <v>0</v>
      </c>
      <c r="Q76" s="33">
        <f>SUMPRODUCT($I$5:$I74,$Q$5:$Q74)</f>
        <v>2820715.4778494248</v>
      </c>
      <c r="R76" s="33">
        <f>SUMPRODUCT($I$5:$I74,$R$5:$R74)</f>
        <v>441880.26996036113</v>
      </c>
      <c r="S76" s="33">
        <f>SUMPRODUCT($I$5:$I74,$S$5:$S74)</f>
        <v>0</v>
      </c>
      <c r="T76" s="33">
        <f ca="1">SUMPRODUCT($I$5:$I74,$T$5:$T74)</f>
        <v>-2098821.9295928655</v>
      </c>
      <c r="U76" s="33">
        <f>SUMPRODUCT($I$5:$I74,$U$5:$U74)</f>
        <v>4697441.1676554838</v>
      </c>
      <c r="V76" s="33">
        <f>SUMPRODUCT($I$5:$I74,$V$5:$V74)</f>
        <v>-38079.856863334819</v>
      </c>
      <c r="W76" s="33">
        <f>SUMPRODUCT($I$5:$I74,$W$5:$W74)</f>
        <v>0</v>
      </c>
      <c r="X76" s="33">
        <f>SUMPRODUCT($I$5:$I74,$X$5:$X74)</f>
        <v>0</v>
      </c>
      <c r="Y76" s="33">
        <f>SUMPRODUCT($I$5:$I74,$Y$5:$Y74)</f>
        <v>1899093.1074773471</v>
      </c>
      <c r="Z76" s="33">
        <f>SUMPRODUCT($I$5:$I74,$Z$5:$Z74)</f>
        <v>0</v>
      </c>
      <c r="AA76" s="33">
        <f>SUMPRODUCT($I$5:$I74,$AA$5:$AA74)</f>
        <v>-5686.8063288253261</v>
      </c>
      <c r="AB76" s="33">
        <f>SUMPRODUCT($I$5:$I74,$AB$5:$AB74)</f>
        <v>6552767.6119406708</v>
      </c>
      <c r="AC76" s="33">
        <f>SUMPRODUCT($I$5:$I74,$AC$5:$AC74)</f>
        <v>-119.03127275816443</v>
      </c>
      <c r="AD76" s="33">
        <f>SUMPRODUCT($I$5:$I74,$AD$5:$AD74)</f>
        <v>-119.03127275816443</v>
      </c>
      <c r="AE76" s="33">
        <f ca="1">SUMPRODUCT($I$5:$I74,$AE$5:$AE74)</f>
        <v>0</v>
      </c>
      <c r="AF76" s="33">
        <f ca="1">SUMPRODUCT($I$5:$I74,$AF$5:$AF74)</f>
        <v>0</v>
      </c>
      <c r="AG76" s="33">
        <f ca="1">SUMPRODUCT($I$5:$I74,$AG$5:$AG74)</f>
        <v>0</v>
      </c>
      <c r="AH76" s="33">
        <f>SUMPRODUCT($I$5:$I74,$AH$5:$AH74)</f>
        <v>-5033299.8837107392</v>
      </c>
      <c r="AI76" s="33">
        <f>SUMPRODUCT($I$5:$I74,$AI$5:$AI74)</f>
        <v>-24336.594677257119</v>
      </c>
      <c r="AJ76" s="33">
        <f ca="1">SUMPRODUCT($I$5:$I74,$AJ$5:$AJ74)</f>
        <v>-103373.95140071875</v>
      </c>
      <c r="AK76" s="33">
        <f ca="1">SUMPRODUCT($I$5:$I74,$AK$5:$AK74)</f>
        <v>313395.54827799276</v>
      </c>
      <c r="AL76" s="33">
        <f ca="1">SUMPRODUCT($I$5:$I74,$AL$5:$AL74)</f>
        <v>-4847614.8815107215</v>
      </c>
      <c r="AM76" s="33">
        <f ca="1">SUMPRODUCT($I$5:$I74,$AM$5:$AM74)</f>
        <v>-393788.2304356746</v>
      </c>
      <c r="AO76" s="36">
        <f ca="1">SUMPRODUCT($I$5:$I74,$AO$5:$AO74)</f>
        <v>604007967.1936512</v>
      </c>
      <c r="AP76" s="36">
        <f ca="1">SUMPRODUCT($I$5:$I74,$AP$5:$AP74)</f>
        <v>606191952.09542942</v>
      </c>
    </row>
    <row r="77" spans="1:42" ht="11.25" customHeight="1" x14ac:dyDescent="0.25">
      <c r="K77" s="40" t="s">
        <v>992</v>
      </c>
      <c r="L77" s="33">
        <f>'TR TUSD'!$L$79</f>
        <v>7798736.2537669456</v>
      </c>
      <c r="M77" s="33">
        <f>'TR TUSD'!$M$79</f>
        <v>1389993.181679629</v>
      </c>
      <c r="N77" s="33">
        <f>'TR TUSD'!$N$79</f>
        <v>4932534.9922433579</v>
      </c>
      <c r="O77" s="33">
        <f>'TR TUSD'!$O$79</f>
        <v>0</v>
      </c>
      <c r="P77" s="33">
        <f>'TR TUSD'!$P$79</f>
        <v>0</v>
      </c>
      <c r="Q77" s="33">
        <f>'TR TUSD'!$Q$79</f>
        <v>117442763.25632352</v>
      </c>
      <c r="R77" s="33">
        <f>'TR TUSD'!$R$79</f>
        <v>20367331.420126051</v>
      </c>
      <c r="S77" s="33">
        <f>'TR TUSD'!$S$79</f>
        <v>0</v>
      </c>
      <c r="T77" s="33">
        <f>'TR TUSD'!$T$79</f>
        <v>151931359.10413951</v>
      </c>
      <c r="U77" s="33">
        <f>'TR TUSD'!$U$79</f>
        <v>18011682</v>
      </c>
      <c r="V77" s="33">
        <f>'TR TUSD'!$V$79</f>
        <v>4234910.4774000002</v>
      </c>
      <c r="W77" s="33">
        <f>'TR TUSD'!$W$79</f>
        <v>0</v>
      </c>
      <c r="X77" s="33">
        <f>'TR TUSD'!$X$79</f>
        <v>0</v>
      </c>
      <c r="Y77" s="33">
        <f>'TR TUSD'!$Y$79</f>
        <v>77840815.248234794</v>
      </c>
      <c r="Z77" s="33">
        <f>'TR TUSD'!$Z$79</f>
        <v>0</v>
      </c>
      <c r="AA77" s="33">
        <f>'TR TUSD'!$AA$79</f>
        <v>583651.36259999999</v>
      </c>
      <c r="AB77" s="33">
        <f>'TR TUSD'!$AB$79</f>
        <v>100671059.0882348</v>
      </c>
      <c r="AC77" s="33">
        <f>'TR TUSD'!$AC$79</f>
        <v>291198452.27662063</v>
      </c>
      <c r="AD77" s="33">
        <f>'TR TUSD'!$AD$79</f>
        <v>291198452.27662063</v>
      </c>
      <c r="AE77" s="33">
        <f>'TR TUSD'!$AE$79</f>
        <v>0</v>
      </c>
      <c r="AF77" s="33">
        <f>'TR TUSD'!$AF$79</f>
        <v>0</v>
      </c>
      <c r="AG77" s="33">
        <f>'TR TUSD'!$AG$79</f>
        <v>0</v>
      </c>
      <c r="AH77" s="33">
        <f>'TR TUSD'!$AH$79</f>
        <v>54327164.24373433</v>
      </c>
      <c r="AI77" s="33">
        <f>'TR TUSD'!$AI$79</f>
        <v>262678.2045002667</v>
      </c>
      <c r="AJ77" s="33">
        <f>'TR TUSD'!$AJ$79</f>
        <v>1115771.7135920627</v>
      </c>
      <c r="AK77" s="33">
        <f>'TR TUSD'!$AK$79</f>
        <v>6685467.4646079298</v>
      </c>
      <c r="AL77" s="33">
        <f>'TR TUSD'!$AL$79</f>
        <v>62391081.626434587</v>
      </c>
      <c r="AM77" s="33">
        <f>'TUSD BE'!$AM$77</f>
        <v>606191952.09542942</v>
      </c>
      <c r="AO77" s="36">
        <f>$AE$78</f>
        <v>0</v>
      </c>
      <c r="AP77" s="36">
        <f>$AF$78</f>
        <v>0</v>
      </c>
    </row>
    <row r="78" spans="1:42" ht="11.25" customHeight="1" x14ac:dyDescent="0.25">
      <c r="K78" s="40" t="s">
        <v>993</v>
      </c>
      <c r="L78" s="33">
        <f>CUSTOS!$E$2</f>
        <v>-5390757.8840866573</v>
      </c>
      <c r="M78" s="33">
        <f>CUSTOS!$E$3</f>
        <v>29343.007811108968</v>
      </c>
      <c r="N78" s="33">
        <f>CUSTOS!$E$4</f>
        <v>-2.8011271029698053</v>
      </c>
      <c r="O78" s="33">
        <f>CUSTOS!$E$5</f>
        <v>0</v>
      </c>
      <c r="P78" s="33">
        <f>CUSTOS!$E$6</f>
        <v>0</v>
      </c>
      <c r="Q78" s="33">
        <f>CUSTOS!$E$7</f>
        <v>2820715.4778494239</v>
      </c>
      <c r="R78" s="33">
        <f>CUSTOS!$E$8</f>
        <v>441880.26996036107</v>
      </c>
      <c r="S78" s="33">
        <f>CUSTOS!$E$9</f>
        <v>0</v>
      </c>
      <c r="T78" s="33">
        <f>CUSTOS!$E$10</f>
        <v>-2098821.9295928669</v>
      </c>
      <c r="U78" s="33">
        <f>CUSTOS!$E$11</f>
        <v>4697441.1676554838</v>
      </c>
      <c r="V78" s="33">
        <f>CUSTOS!$E$12</f>
        <v>-38079.856863334833</v>
      </c>
      <c r="W78" s="33">
        <f>CUSTOS!$E$13</f>
        <v>0</v>
      </c>
      <c r="X78" s="33">
        <f>CUSTOS!$E$14</f>
        <v>0</v>
      </c>
      <c r="Y78" s="33">
        <f>CUSTOS!$E$15</f>
        <v>1899093.1074773462</v>
      </c>
      <c r="Z78" s="33">
        <f>CUSTOS!$E$16</f>
        <v>0</v>
      </c>
      <c r="AA78" s="33">
        <f>CUSTOS!$E$17</f>
        <v>-5686.8063288253252</v>
      </c>
      <c r="AB78" s="33">
        <f>CUSTOS!$E$18</f>
        <v>6552767.6119406698</v>
      </c>
      <c r="AC78" s="33">
        <f>CUSTOS!$E$19</f>
        <v>-119.03127275816443</v>
      </c>
      <c r="AD78" s="33">
        <f>CUSTOS!$E$20</f>
        <v>-119.03127275816443</v>
      </c>
      <c r="AE78" s="33">
        <f>CUSTOS!$E$21</f>
        <v>0</v>
      </c>
      <c r="AF78" s="33">
        <f>CUSTOS!$E$22</f>
        <v>0</v>
      </c>
      <c r="AG78" s="33">
        <f>CUSTOS!$E$23</f>
        <v>0</v>
      </c>
      <c r="AH78" s="33">
        <f>CUSTOS!$E$24</f>
        <v>-5033299.8837107383</v>
      </c>
      <c r="AI78" s="33">
        <f>CUSTOS!$E$25</f>
        <v>-24336.594677257111</v>
      </c>
      <c r="AJ78" s="33">
        <f>CUSTOS!$E$26</f>
        <v>-103373.9514007188</v>
      </c>
      <c r="AK78" s="33">
        <f>CUSTOS!$E$27</f>
        <v>313395.54827799276</v>
      </c>
      <c r="AL78" s="33">
        <f>CUSTOS!$E$28</f>
        <v>-4847614.8815107215</v>
      </c>
      <c r="AM78" s="33">
        <f>CUSTOS!$E$29</f>
        <v>-393788.23043567687</v>
      </c>
      <c r="AO78" s="36">
        <f ca="1">IF(AO76&lt;&gt;0,AO77/AO76,0)</f>
        <v>0</v>
      </c>
      <c r="AP78" s="36">
        <f ca="1">IF(AP76&lt;&gt;0,AP77/AP76,0)</f>
        <v>0</v>
      </c>
    </row>
    <row r="79" spans="1:42" ht="11.25" customHeight="1" x14ac:dyDescent="0.25">
      <c r="K79" s="40" t="s">
        <v>994</v>
      </c>
      <c r="L79" s="33">
        <f>CUSTOS!$F$2</f>
        <v>523607.77271502389</v>
      </c>
      <c r="M79" s="33">
        <f>CUSTOS!$F$3</f>
        <v>0</v>
      </c>
      <c r="N79" s="33">
        <f>CUSTOS!$F$4</f>
        <v>0</v>
      </c>
      <c r="O79" s="33">
        <f>CUSTOS!$F$5</f>
        <v>0</v>
      </c>
      <c r="P79" s="33">
        <f>CUSTOS!$F$6</f>
        <v>0</v>
      </c>
      <c r="Q79" s="33">
        <f>CUSTOS!$F$7</f>
        <v>14168345.274700001</v>
      </c>
      <c r="R79" s="33">
        <f>CUSTOS!$F$8</f>
        <v>3923758.0709000002</v>
      </c>
      <c r="S79" s="33">
        <f>CUSTOS!$F$9</f>
        <v>0</v>
      </c>
      <c r="T79" s="33">
        <f>CUSTOS!$F$10</f>
        <v>18615711.118315026</v>
      </c>
      <c r="U79" s="33">
        <f>CUSTOS!$F$11</f>
        <v>1002313.1581036572</v>
      </c>
      <c r="V79" s="33">
        <f>CUSTOS!$F$12</f>
        <v>238855.57609935154</v>
      </c>
      <c r="W79" s="33">
        <f>CUSTOS!$F$13</f>
        <v>0</v>
      </c>
      <c r="X79" s="33">
        <f>CUSTOS!$F$14</f>
        <v>0</v>
      </c>
      <c r="Y79" s="33">
        <f>CUSTOS!$F$15</f>
        <v>0</v>
      </c>
      <c r="Z79" s="33">
        <f>CUSTOS!$F$16</f>
        <v>0</v>
      </c>
      <c r="AA79" s="33">
        <f>CUSTOS!$F$17</f>
        <v>29287.506560456131</v>
      </c>
      <c r="AB79" s="33">
        <f>CUSTOS!$F$18</f>
        <v>1270456.2407634649</v>
      </c>
      <c r="AC79" s="33">
        <f>CUSTOS!$F$19</f>
        <v>0</v>
      </c>
      <c r="AD79" s="33">
        <f>CUSTOS!$F$20</f>
        <v>0</v>
      </c>
      <c r="AE79" s="33">
        <f>CUSTOS!$F$21</f>
        <v>0</v>
      </c>
      <c r="AF79" s="33">
        <f>CUSTOS!$F$22</f>
        <v>0</v>
      </c>
      <c r="AG79" s="33">
        <f>CUSTOS!$F$23</f>
        <v>0</v>
      </c>
      <c r="AH79" s="33">
        <f>CUSTOS!$F$24</f>
        <v>3608574.2876171432</v>
      </c>
      <c r="AI79" s="33">
        <f>CUSTOS!$F$25</f>
        <v>17447.879488508785</v>
      </c>
      <c r="AJ79" s="33">
        <f>CUSTOS!$F$26</f>
        <v>74112.926241741094</v>
      </c>
      <c r="AK79" s="33">
        <f>CUSTOS!$F$27</f>
        <v>0</v>
      </c>
      <c r="AL79" s="33">
        <f>CUSTOS!$F$28</f>
        <v>3700135.093347393</v>
      </c>
      <c r="AM79" s="33">
        <f>CUSTOS!$F$29</f>
        <v>23586302.452425882</v>
      </c>
    </row>
    <row r="80" spans="1:42" ht="11.25" customHeight="1" x14ac:dyDescent="0.25">
      <c r="K80" s="40" t="s">
        <v>1046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f>SUM($L$80:$S$80)</f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f>SUM($U$80:$AA$80)</f>
        <v>0</v>
      </c>
      <c r="AC80" s="33">
        <v>0</v>
      </c>
      <c r="AD80" s="33">
        <f>SUM($AC$80:$AC$80)</f>
        <v>0</v>
      </c>
      <c r="AE80" s="33">
        <v>0</v>
      </c>
      <c r="AF80" s="33">
        <v>0</v>
      </c>
      <c r="AG80" s="33">
        <f>SUM($AE$80:$AF$80)</f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f>SUM($AH$80:$AK$80)</f>
        <v>0</v>
      </c>
      <c r="AM80" s="33"/>
    </row>
    <row r="81" spans="11:39" ht="11.25" customHeight="1" x14ac:dyDescent="0.25">
      <c r="K81" s="40" t="s">
        <v>1052</v>
      </c>
      <c r="L81" s="33">
        <f t="shared" ref="L81:R81" si="0">IF((L77-(0))&lt;&gt;0,(L79)/(L77-(0)),0)</f>
        <v>6.7140079581754136E-2</v>
      </c>
      <c r="M81" s="33">
        <f t="shared" si="0"/>
        <v>0</v>
      </c>
      <c r="N81" s="33">
        <f t="shared" si="0"/>
        <v>0</v>
      </c>
      <c r="O81" s="33">
        <f t="shared" si="0"/>
        <v>0</v>
      </c>
      <c r="P81" s="33">
        <f t="shared" si="0"/>
        <v>0</v>
      </c>
      <c r="Q81" s="33">
        <f t="shared" si="0"/>
        <v>0.12064042842535153</v>
      </c>
      <c r="R81" s="33">
        <f t="shared" si="0"/>
        <v>0.19264959114981184</v>
      </c>
      <c r="S81" s="33">
        <f>IF((R76-(0)&lt;&gt;0),(S78)/(R76-(0)),0)</f>
        <v>0</v>
      </c>
      <c r="T81" s="33"/>
      <c r="U81" s="33">
        <f t="shared" ref="U81:AA81" si="1">IF((U77-(0))&lt;&gt;0,(U79)/(U77-(0)),0)</f>
        <v>5.5647948820307686E-2</v>
      </c>
      <c r="V81" s="33">
        <f t="shared" si="1"/>
        <v>5.6401564418900207E-2</v>
      </c>
      <c r="W81" s="33">
        <f t="shared" si="1"/>
        <v>0</v>
      </c>
      <c r="X81" s="33">
        <f t="shared" si="1"/>
        <v>0</v>
      </c>
      <c r="Y81" s="33">
        <f t="shared" si="1"/>
        <v>0</v>
      </c>
      <c r="Z81" s="33">
        <f t="shared" si="1"/>
        <v>0</v>
      </c>
      <c r="AA81" s="33">
        <f t="shared" si="1"/>
        <v>5.0179796428451155E-2</v>
      </c>
      <c r="AB81" s="33"/>
      <c r="AC81" s="33">
        <f>IF((AC77-(0))&lt;&gt;0,(AC79)/(AC77-(0)),0)</f>
        <v>0</v>
      </c>
      <c r="AD81" s="33"/>
      <c r="AE81" s="33">
        <f ca="1">IF(($AM76-(0))&lt;&gt;0,(AE78)/($AM76-(0)),0)</f>
        <v>0</v>
      </c>
      <c r="AF81" s="33">
        <f ca="1">IF(($AM76-(0))&lt;&gt;0,(AF78)/($AM76-(0)),0)</f>
        <v>0</v>
      </c>
      <c r="AG81" s="33"/>
      <c r="AH81" s="33">
        <f>IF((AH77-(0))&lt;&gt;0,(AH79)/(AH77-(0)),0)</f>
        <v>6.6423019457219831E-2</v>
      </c>
      <c r="AI81" s="33">
        <f>IF((AI77-(0))&lt;&gt;0,(AI79)/(AI77-(0)),0)</f>
        <v>6.6423019457219831E-2</v>
      </c>
      <c r="AJ81" s="33">
        <f>IF((AJ77-(0))&lt;&gt;0,(AJ79)/(AJ77-(0)),0)</f>
        <v>6.6423019457219831E-2</v>
      </c>
      <c r="AK81" s="33">
        <f>IF((AK77-(0))&lt;&gt;0,(AK79)/(AK77-(0)),0)</f>
        <v>0</v>
      </c>
      <c r="AL81" s="33"/>
      <c r="AM81" s="33"/>
    </row>
  </sheetData>
  <mergeCells count="94">
    <mergeCell ref="E68:E70"/>
    <mergeCell ref="F68:F70"/>
    <mergeCell ref="A73:A74"/>
    <mergeCell ref="B73:B74"/>
    <mergeCell ref="C73:C74"/>
    <mergeCell ref="D68:D70"/>
    <mergeCell ref="B65:B67"/>
    <mergeCell ref="C65:C67"/>
    <mergeCell ref="A68:A72"/>
    <mergeCell ref="B68:B70"/>
    <mergeCell ref="C68:C70"/>
    <mergeCell ref="A53:A67"/>
    <mergeCell ref="B53:B55"/>
    <mergeCell ref="C53:C55"/>
    <mergeCell ref="B61:B63"/>
    <mergeCell ref="C61:C63"/>
    <mergeCell ref="B57:B59"/>
    <mergeCell ref="C57:C59"/>
    <mergeCell ref="D61:D63"/>
    <mergeCell ref="E61:E63"/>
    <mergeCell ref="F61:F63"/>
    <mergeCell ref="D53:D55"/>
    <mergeCell ref="E53:E55"/>
    <mergeCell ref="F53:F55"/>
    <mergeCell ref="D57:D59"/>
    <mergeCell ref="E57:E59"/>
    <mergeCell ref="F57:F59"/>
    <mergeCell ref="F40:F42"/>
    <mergeCell ref="B43:B47"/>
    <mergeCell ref="C43:C47"/>
    <mergeCell ref="B48:B52"/>
    <mergeCell ref="C48:C52"/>
    <mergeCell ref="A40:A52"/>
    <mergeCell ref="B40:B42"/>
    <mergeCell ref="C40:C42"/>
    <mergeCell ref="D40:D42"/>
    <mergeCell ref="E40:E42"/>
    <mergeCell ref="F33:F35"/>
    <mergeCell ref="E36:E37"/>
    <mergeCell ref="F36:F37"/>
    <mergeCell ref="A38:A39"/>
    <mergeCell ref="B38:B39"/>
    <mergeCell ref="C38:C39"/>
    <mergeCell ref="D38:D39"/>
    <mergeCell ref="F20:F22"/>
    <mergeCell ref="A25:A37"/>
    <mergeCell ref="B25:B28"/>
    <mergeCell ref="C25:C28"/>
    <mergeCell ref="D25:D28"/>
    <mergeCell ref="E25:E27"/>
    <mergeCell ref="F25:F27"/>
    <mergeCell ref="B29:B31"/>
    <mergeCell ref="C29:C31"/>
    <mergeCell ref="D29:D31"/>
    <mergeCell ref="E29:E31"/>
    <mergeCell ref="F29:F31"/>
    <mergeCell ref="B33:B37"/>
    <mergeCell ref="C33:C37"/>
    <mergeCell ref="D33:D37"/>
    <mergeCell ref="E33:E35"/>
    <mergeCell ref="A20:A24"/>
    <mergeCell ref="B20:B23"/>
    <mergeCell ref="C20:C23"/>
    <mergeCell ref="D20:D23"/>
    <mergeCell ref="E20:E22"/>
    <mergeCell ref="J1:J4"/>
    <mergeCell ref="L1:AM1"/>
    <mergeCell ref="A1:A4"/>
    <mergeCell ref="C9:C19"/>
    <mergeCell ref="D9:D19"/>
    <mergeCell ref="E9:E19"/>
    <mergeCell ref="F5:F7"/>
    <mergeCell ref="B9:B19"/>
    <mergeCell ref="G1:G4"/>
    <mergeCell ref="H1:H4"/>
    <mergeCell ref="I1:I4"/>
    <mergeCell ref="A5:A19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76">
    <cfRule type="cellIs" dxfId="1550" priority="55" operator="notEqual">
      <formula>$L$78</formula>
    </cfRule>
    <cfRule type="cellIs" dxfId="1549" priority="56" operator="equal">
      <formula>$L$78</formula>
    </cfRule>
  </conditionalFormatting>
  <conditionalFormatting sqref="M76">
    <cfRule type="cellIs" dxfId="1548" priority="53" operator="notEqual">
      <formula>$M$78</formula>
    </cfRule>
    <cfRule type="cellIs" dxfId="1547" priority="54" operator="equal">
      <formula>$M$78</formula>
    </cfRule>
  </conditionalFormatting>
  <conditionalFormatting sqref="N76">
    <cfRule type="cellIs" dxfId="1546" priority="51" operator="notEqual">
      <formula>$N$78</formula>
    </cfRule>
    <cfRule type="cellIs" dxfId="1545" priority="52" operator="equal">
      <formula>$N$78</formula>
    </cfRule>
  </conditionalFormatting>
  <conditionalFormatting sqref="O76">
    <cfRule type="cellIs" dxfId="1544" priority="49" operator="notEqual">
      <formula>$O$78</formula>
    </cfRule>
    <cfRule type="cellIs" dxfId="1543" priority="50" operator="equal">
      <formula>$O$78</formula>
    </cfRule>
  </conditionalFormatting>
  <conditionalFormatting sqref="P76">
    <cfRule type="cellIs" dxfId="1542" priority="47" operator="notEqual">
      <formula>$P$78</formula>
    </cfRule>
    <cfRule type="cellIs" dxfId="1541" priority="48" operator="equal">
      <formula>$P$78</formula>
    </cfRule>
  </conditionalFormatting>
  <conditionalFormatting sqref="Q76">
    <cfRule type="cellIs" dxfId="1540" priority="45" operator="notEqual">
      <formula>$Q$78</formula>
    </cfRule>
    <cfRule type="cellIs" dxfId="1539" priority="46" operator="equal">
      <formula>$Q$78</formula>
    </cfRule>
  </conditionalFormatting>
  <conditionalFormatting sqref="R76">
    <cfRule type="cellIs" dxfId="1538" priority="43" operator="notEqual">
      <formula>$R$78</formula>
    </cfRule>
    <cfRule type="cellIs" dxfId="1537" priority="44" operator="equal">
      <formula>$R$78</formula>
    </cfRule>
  </conditionalFormatting>
  <conditionalFormatting sqref="S76">
    <cfRule type="cellIs" dxfId="1536" priority="41" operator="notEqual">
      <formula>$S$78</formula>
    </cfRule>
    <cfRule type="cellIs" dxfId="1535" priority="42" operator="equal">
      <formula>$S$78</formula>
    </cfRule>
  </conditionalFormatting>
  <conditionalFormatting sqref="T76">
    <cfRule type="cellIs" dxfId="1534" priority="39" operator="notEqual">
      <formula>$T$78</formula>
    </cfRule>
    <cfRule type="cellIs" dxfId="1533" priority="40" operator="equal">
      <formula>$T$78</formula>
    </cfRule>
  </conditionalFormatting>
  <conditionalFormatting sqref="U76">
    <cfRule type="cellIs" dxfId="1532" priority="37" operator="notEqual">
      <formula>$U$78</formula>
    </cfRule>
    <cfRule type="cellIs" dxfId="1531" priority="38" operator="equal">
      <formula>$U$78</formula>
    </cfRule>
  </conditionalFormatting>
  <conditionalFormatting sqref="V76">
    <cfRule type="cellIs" dxfId="1530" priority="35" operator="notEqual">
      <formula>$V$78</formula>
    </cfRule>
    <cfRule type="cellIs" dxfId="1529" priority="36" operator="equal">
      <formula>$V$78</formula>
    </cfRule>
  </conditionalFormatting>
  <conditionalFormatting sqref="W76">
    <cfRule type="cellIs" dxfId="1528" priority="33" operator="notEqual">
      <formula>$W$78</formula>
    </cfRule>
    <cfRule type="cellIs" dxfId="1527" priority="34" operator="equal">
      <formula>$W$78</formula>
    </cfRule>
  </conditionalFormatting>
  <conditionalFormatting sqref="X76">
    <cfRule type="cellIs" dxfId="1526" priority="31" operator="notEqual">
      <formula>$X$78</formula>
    </cfRule>
    <cfRule type="cellIs" dxfId="1525" priority="32" operator="equal">
      <formula>$X$78</formula>
    </cfRule>
  </conditionalFormatting>
  <conditionalFormatting sqref="Y76">
    <cfRule type="cellIs" dxfId="1524" priority="29" operator="notEqual">
      <formula>$Y$78</formula>
    </cfRule>
    <cfRule type="cellIs" dxfId="1523" priority="30" operator="equal">
      <formula>$Y$78</formula>
    </cfRule>
  </conditionalFormatting>
  <conditionalFormatting sqref="Z76">
    <cfRule type="cellIs" dxfId="1522" priority="27" operator="notEqual">
      <formula>$Z$78</formula>
    </cfRule>
    <cfRule type="cellIs" dxfId="1521" priority="28" operator="equal">
      <formula>$Z$78</formula>
    </cfRule>
  </conditionalFormatting>
  <conditionalFormatting sqref="AA76">
    <cfRule type="cellIs" dxfId="1520" priority="25" operator="notEqual">
      <formula>$AA$78</formula>
    </cfRule>
    <cfRule type="cellIs" dxfId="1519" priority="26" operator="equal">
      <formula>$AA$78</formula>
    </cfRule>
  </conditionalFormatting>
  <conditionalFormatting sqref="AB76">
    <cfRule type="cellIs" dxfId="1518" priority="23" operator="notEqual">
      <formula>$AB$78</formula>
    </cfRule>
    <cfRule type="cellIs" dxfId="1517" priority="24" operator="equal">
      <formula>$AB$78</formula>
    </cfRule>
  </conditionalFormatting>
  <conditionalFormatting sqref="AC76">
    <cfRule type="cellIs" dxfId="1516" priority="21" operator="notEqual">
      <formula>$AC$78</formula>
    </cfRule>
    <cfRule type="cellIs" dxfId="1515" priority="22" operator="equal">
      <formula>$AC$78</formula>
    </cfRule>
  </conditionalFormatting>
  <conditionalFormatting sqref="AD76">
    <cfRule type="cellIs" dxfId="1514" priority="19" operator="notEqual">
      <formula>$AD$78</formula>
    </cfRule>
    <cfRule type="cellIs" dxfId="1513" priority="20" operator="equal">
      <formula>$AD$78</formula>
    </cfRule>
  </conditionalFormatting>
  <conditionalFormatting sqref="AE76">
    <cfRule type="cellIs" dxfId="1512" priority="17" operator="notEqual">
      <formula>$AE$78</formula>
    </cfRule>
    <cfRule type="cellIs" dxfId="1511" priority="18" operator="equal">
      <formula>$AE$78</formula>
    </cfRule>
  </conditionalFormatting>
  <conditionalFormatting sqref="AF76">
    <cfRule type="cellIs" dxfId="1510" priority="16" operator="equal">
      <formula>$AF$78</formula>
    </cfRule>
  </conditionalFormatting>
  <conditionalFormatting sqref="AF76">
    <cfRule type="cellIs" dxfId="1509" priority="15" operator="notEqual">
      <formula>$AF$78</formula>
    </cfRule>
  </conditionalFormatting>
  <conditionalFormatting sqref="AG76">
    <cfRule type="cellIs" dxfId="1508" priority="14" operator="equal">
      <formula>$AG$78</formula>
    </cfRule>
  </conditionalFormatting>
  <conditionalFormatting sqref="AG76">
    <cfRule type="cellIs" dxfId="1507" priority="13" operator="notEqual">
      <formula>$AG$78</formula>
    </cfRule>
  </conditionalFormatting>
  <conditionalFormatting sqref="AH76">
    <cfRule type="cellIs" dxfId="1506" priority="12" operator="equal">
      <formula>$AH$78</formula>
    </cfRule>
  </conditionalFormatting>
  <conditionalFormatting sqref="AH76">
    <cfRule type="cellIs" dxfId="1505" priority="11" operator="notEqual">
      <formula>$AH$78</formula>
    </cfRule>
  </conditionalFormatting>
  <conditionalFormatting sqref="AI76">
    <cfRule type="cellIs" dxfId="1504" priority="10" operator="equal">
      <formula>$AI$78</formula>
    </cfRule>
  </conditionalFormatting>
  <conditionalFormatting sqref="AI76">
    <cfRule type="cellIs" dxfId="1503" priority="9" operator="notEqual">
      <formula>$AI$78</formula>
    </cfRule>
  </conditionalFormatting>
  <conditionalFormatting sqref="AJ76">
    <cfRule type="cellIs" dxfId="1502" priority="8" operator="equal">
      <formula>$AJ$78</formula>
    </cfRule>
  </conditionalFormatting>
  <conditionalFormatting sqref="AJ76">
    <cfRule type="cellIs" dxfId="1501" priority="7" operator="notEqual">
      <formula>$AJ$78</formula>
    </cfRule>
  </conditionalFormatting>
  <conditionalFormatting sqref="AK76">
    <cfRule type="cellIs" dxfId="1500" priority="6" operator="equal">
      <formula>$AK$78</formula>
    </cfRule>
  </conditionalFormatting>
  <conditionalFormatting sqref="AK76">
    <cfRule type="cellIs" dxfId="1499" priority="5" operator="notEqual">
      <formula>$AK$78</formula>
    </cfRule>
  </conditionalFormatting>
  <conditionalFormatting sqref="AL76">
    <cfRule type="cellIs" dxfId="1498" priority="4" operator="equal">
      <formula>$AL$78</formula>
    </cfRule>
  </conditionalFormatting>
  <conditionalFormatting sqref="AL76">
    <cfRule type="cellIs" dxfId="1497" priority="3" operator="notEqual">
      <formula>$AL$78</formula>
    </cfRule>
  </conditionalFormatting>
  <conditionalFormatting sqref="AM76">
    <cfRule type="cellIs" dxfId="1496" priority="2" operator="equal">
      <formula>$AM$78</formula>
    </cfRule>
  </conditionalFormatting>
  <conditionalFormatting sqref="AM76">
    <cfRule type="cellIs" dxfId="1495" priority="1" operator="notEqual">
      <formula>$AM$78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B427-EC32-4A02-ADBB-6DEBE610ADC1}">
  <dimension ref="A1:AP80"/>
  <sheetViews>
    <sheetView showGridLines="0" topLeftCell="W63" workbookViewId="0">
      <selection activeCell="AO76" sqref="AO76:AP7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5" width="10.28515625" style="9" bestFit="1" customWidth="1"/>
    <col min="6" max="6" width="26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6" width="4.8554687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0" width="11.7109375" style="9" bestFit="1" customWidth="1"/>
    <col min="21" max="21" width="10.85546875" style="9" bestFit="1" customWidth="1"/>
    <col min="22" max="22" width="8.710937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8" t="s">
        <v>107</v>
      </c>
      <c r="B1" s="118" t="s">
        <v>108</v>
      </c>
      <c r="C1" s="118" t="s">
        <v>109</v>
      </c>
      <c r="D1" s="118" t="s">
        <v>110</v>
      </c>
      <c r="E1" s="118" t="s">
        <v>111</v>
      </c>
      <c r="F1" s="118" t="s">
        <v>15</v>
      </c>
      <c r="G1" s="118" t="s">
        <v>113</v>
      </c>
      <c r="H1" s="118" t="s">
        <v>114</v>
      </c>
      <c r="I1" s="118" t="s">
        <v>1040</v>
      </c>
      <c r="J1" s="114"/>
      <c r="L1" s="117" t="s">
        <v>1054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O1" s="43"/>
      <c r="AP1" s="121" t="s">
        <v>1042</v>
      </c>
    </row>
    <row r="2" spans="1:42" ht="11.25" customHeight="1" x14ac:dyDescent="0.25">
      <c r="A2" s="118"/>
      <c r="B2" s="118"/>
      <c r="C2" s="118"/>
      <c r="D2" s="118"/>
      <c r="E2" s="118"/>
      <c r="F2" s="118"/>
      <c r="G2" s="118"/>
      <c r="H2" s="118"/>
      <c r="I2" s="118"/>
      <c r="J2" s="114"/>
      <c r="L2" s="117" t="s">
        <v>951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O2" s="43"/>
      <c r="AP2" s="122"/>
    </row>
    <row r="3" spans="1:42" ht="11.25" customHeigh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4"/>
      <c r="L3" s="117" t="s">
        <v>952</v>
      </c>
      <c r="M3" s="117"/>
      <c r="N3" s="117"/>
      <c r="O3" s="117"/>
      <c r="P3" s="117"/>
      <c r="Q3" s="117"/>
      <c r="R3" s="117"/>
      <c r="S3" s="117"/>
      <c r="T3" s="117"/>
      <c r="U3" s="117" t="s">
        <v>961</v>
      </c>
      <c r="V3" s="117"/>
      <c r="W3" s="117"/>
      <c r="X3" s="117"/>
      <c r="Y3" s="117"/>
      <c r="Z3" s="117"/>
      <c r="AA3" s="117"/>
      <c r="AB3" s="117"/>
      <c r="AC3" s="117" t="s">
        <v>969</v>
      </c>
      <c r="AD3" s="117"/>
      <c r="AE3" s="117" t="s">
        <v>971</v>
      </c>
      <c r="AF3" s="117"/>
      <c r="AG3" s="117"/>
      <c r="AH3" s="117" t="s">
        <v>974</v>
      </c>
      <c r="AI3" s="117"/>
      <c r="AJ3" s="117"/>
      <c r="AK3" s="117"/>
      <c r="AL3" s="117"/>
      <c r="AM3" s="117" t="s">
        <v>960</v>
      </c>
      <c r="AO3" s="43"/>
      <c r="AP3" s="122"/>
    </row>
    <row r="4" spans="1:42" ht="11.25" customHeigh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4"/>
      <c r="L4" s="39" t="s">
        <v>1036</v>
      </c>
      <c r="M4" s="39" t="s">
        <v>953</v>
      </c>
      <c r="N4" s="39" t="s">
        <v>954</v>
      </c>
      <c r="O4" s="39" t="s">
        <v>955</v>
      </c>
      <c r="P4" s="39" t="s">
        <v>956</v>
      </c>
      <c r="Q4" s="39" t="s">
        <v>957</v>
      </c>
      <c r="R4" s="39" t="s">
        <v>958</v>
      </c>
      <c r="S4" s="39" t="s">
        <v>959</v>
      </c>
      <c r="T4" s="39" t="s">
        <v>960</v>
      </c>
      <c r="U4" s="39" t="s">
        <v>962</v>
      </c>
      <c r="V4" s="39" t="s">
        <v>963</v>
      </c>
      <c r="W4" s="39" t="s">
        <v>964</v>
      </c>
      <c r="X4" s="39" t="s">
        <v>965</v>
      </c>
      <c r="Y4" s="39" t="s">
        <v>966</v>
      </c>
      <c r="Z4" s="39" t="s">
        <v>967</v>
      </c>
      <c r="AA4" s="39" t="s">
        <v>968</v>
      </c>
      <c r="AB4" s="39" t="s">
        <v>960</v>
      </c>
      <c r="AC4" s="39" t="s">
        <v>970</v>
      </c>
      <c r="AD4" s="39" t="s">
        <v>960</v>
      </c>
      <c r="AE4" s="39" t="s">
        <v>972</v>
      </c>
      <c r="AF4" s="39" t="s">
        <v>973</v>
      </c>
      <c r="AG4" s="39" t="s">
        <v>960</v>
      </c>
      <c r="AH4" s="39" t="s">
        <v>975</v>
      </c>
      <c r="AI4" s="39" t="s">
        <v>976</v>
      </c>
      <c r="AJ4" s="39" t="s">
        <v>977</v>
      </c>
      <c r="AK4" s="39" t="s">
        <v>978</v>
      </c>
      <c r="AL4" s="39" t="s">
        <v>960</v>
      </c>
      <c r="AM4" s="120"/>
      <c r="AO4" s="44" t="s">
        <v>1053</v>
      </c>
      <c r="AP4" s="123"/>
    </row>
    <row r="5" spans="1:42" ht="11.25" customHeight="1" x14ac:dyDescent="0.25">
      <c r="A5" s="116" t="s">
        <v>59</v>
      </c>
      <c r="B5" s="116" t="s">
        <v>40</v>
      </c>
      <c r="C5" s="116" t="s">
        <v>25</v>
      </c>
      <c r="D5" s="116" t="s">
        <v>25</v>
      </c>
      <c r="E5" s="116" t="s">
        <v>25</v>
      </c>
      <c r="F5" s="116" t="s">
        <v>25</v>
      </c>
      <c r="G5" s="36" t="s">
        <v>121</v>
      </c>
      <c r="H5" s="36" t="s">
        <v>120</v>
      </c>
      <c r="I5" s="36">
        <f>'MERCADO TUSD'!$U$2</f>
        <v>103200</v>
      </c>
      <c r="J5" s="16"/>
      <c r="L5" s="33">
        <f>'TUSD BE'!$L$5*'TUSD BF'!$L$81</f>
        <v>0</v>
      </c>
      <c r="M5" s="33">
        <f>'TUSD BE'!$M$5*'TUSD BF'!$M$81</f>
        <v>0</v>
      </c>
      <c r="N5" s="33">
        <f ca="1">'TUSD BE'!$N$5*'TUSD BF'!$N$81</f>
        <v>0</v>
      </c>
      <c r="O5" s="33">
        <f>'TUSD BE'!$O$5*'TUSD BF'!$O$81</f>
        <v>0</v>
      </c>
      <c r="P5" s="33">
        <f>'TUSD BE'!$P$5*'TUSD BF'!$P$81</f>
        <v>0</v>
      </c>
      <c r="Q5" s="33">
        <f>'TUSD BE'!$Q$5*'TUSD BF'!$Q$81</f>
        <v>0</v>
      </c>
      <c r="R5" s="33">
        <f>'TUSD BE'!$R$5*'TUSD BF'!$R$81</f>
        <v>0</v>
      </c>
      <c r="S5" s="33">
        <f>'TUSD BE'!$R$5*'TUSD BF'!$S$81</f>
        <v>0</v>
      </c>
      <c r="T5" s="33">
        <f ca="1">SUM($L$5:$S$5)</f>
        <v>0</v>
      </c>
      <c r="U5" s="33">
        <f>'TUSD BE'!$U$5*'TUSD BF'!$U$81</f>
        <v>0.14977093454685625</v>
      </c>
      <c r="V5" s="33">
        <f>'TUSD BE'!$V$5*'TUSD BF'!$V$81</f>
        <v>2.1530348620551871E-3</v>
      </c>
      <c r="W5" s="33">
        <f>'TUSD BE'!$W$5*'TUSD BF'!$W$81</f>
        <v>0</v>
      </c>
      <c r="X5" s="33">
        <f>'TUSD BE'!$X$5*'TUSD BF'!$X$81</f>
        <v>0</v>
      </c>
      <c r="Y5" s="33">
        <f>'TUSD BE'!$Y$5*'TUSD BF'!$Y$81</f>
        <v>0</v>
      </c>
      <c r="Z5" s="33">
        <f>'TUSD BE'!$Z$5*'TUSD BF'!$Z$81</f>
        <v>0</v>
      </c>
      <c r="AA5" s="33">
        <f>'TUSD BE'!$AA$5*'TUSD BF'!$AA$81</f>
        <v>0</v>
      </c>
      <c r="AB5" s="33">
        <f>SUM($U$5:$AA$5)</f>
        <v>0.15192396940891142</v>
      </c>
      <c r="AC5" s="33">
        <f>'TUSD BE'!$AC$5*'TUSD BF'!$AC$81</f>
        <v>0</v>
      </c>
      <c r="AD5" s="33">
        <f>SUM($AC$5:$AC$5)</f>
        <v>0</v>
      </c>
      <c r="AE5" s="33">
        <f ca="1">$AO$5*$AO$78</f>
        <v>0</v>
      </c>
      <c r="AF5" s="33">
        <f ca="1">$AP$5*$AP$78</f>
        <v>0</v>
      </c>
      <c r="AG5" s="33">
        <f ca="1">SUM($AE$5:$AF$5)</f>
        <v>0</v>
      </c>
      <c r="AH5" s="33">
        <f>'TUSD BE'!$AH$5*'TUSD BF'!$AH$81</f>
        <v>0</v>
      </c>
      <c r="AI5" s="33">
        <f>'TUSD BE'!$AI$5*'TUSD BF'!$AI$81</f>
        <v>0</v>
      </c>
      <c r="AJ5" s="33">
        <f ca="1">'TUSD BE'!$AJ$5*'TUSD BF'!$AJ$81</f>
        <v>0</v>
      </c>
      <c r="AK5" s="33">
        <f ca="1">'TUSD BE'!$AK$5*'TUSD BF'!$AK$81</f>
        <v>0</v>
      </c>
      <c r="AL5" s="33">
        <f ca="1">SUM($AH$5:$AK$5)</f>
        <v>0</v>
      </c>
      <c r="AM5" s="33">
        <f ca="1">SUMIF($L$4:$AL$4,"SUBTOTAL",$L$5:$AL$5)</f>
        <v>0.15192396940891142</v>
      </c>
      <c r="AO5" s="43">
        <f ca="1">+'TUSD BE'!$T$5+'TUSD BE'!$AB$5+'TUSD BE'!$AD$5+'TUSD BE'!$AL$5</f>
        <v>18.618002043965198</v>
      </c>
      <c r="AP5" s="43">
        <f ca="1">+'TUSD BE'!$T$5+'TUSD BE'!$AB$5+'TUSD BE'!$AD$5+'TUSD BE'!$AL$5</f>
        <v>18.618002043965198</v>
      </c>
    </row>
    <row r="6" spans="1:42" ht="11.25" customHeight="1" x14ac:dyDescent="0.25">
      <c r="A6" s="116"/>
      <c r="B6" s="116"/>
      <c r="C6" s="116"/>
      <c r="D6" s="116"/>
      <c r="E6" s="116"/>
      <c r="F6" s="116"/>
      <c r="G6" s="36" t="s">
        <v>122</v>
      </c>
      <c r="H6" s="36" t="s">
        <v>120</v>
      </c>
      <c r="I6" s="36">
        <f>'MERCADO TUSD'!$U$3</f>
        <v>151200</v>
      </c>
      <c r="J6" s="16"/>
      <c r="L6" s="33">
        <f>'TUSD BE'!$L$6*'TUSD BF'!$L$81</f>
        <v>0</v>
      </c>
      <c r="M6" s="33">
        <f>'TUSD BE'!$M$6*'TUSD BF'!$M$81</f>
        <v>0</v>
      </c>
      <c r="N6" s="33">
        <f ca="1">'TUSD BE'!$N$6*'TUSD BF'!$N$81</f>
        <v>0</v>
      </c>
      <c r="O6" s="33">
        <f>'TUSD BE'!$O$6*'TUSD BF'!$O$81</f>
        <v>0</v>
      </c>
      <c r="P6" s="33">
        <f>'TUSD BE'!$P$6*'TUSD BF'!$P$81</f>
        <v>0</v>
      </c>
      <c r="Q6" s="33">
        <f>'TUSD BE'!$Q$6*'TUSD BF'!$Q$81</f>
        <v>0</v>
      </c>
      <c r="R6" s="33">
        <f>'TUSD BE'!$R$6*'TUSD BF'!$R$81</f>
        <v>0</v>
      </c>
      <c r="S6" s="33">
        <f>'TUSD BE'!$R$6*'TUSD BF'!$S$81</f>
        <v>0</v>
      </c>
      <c r="T6" s="33">
        <f ca="1">SUM($L$6:$S$6)</f>
        <v>0</v>
      </c>
      <c r="U6" s="33">
        <f>'TUSD BE'!$U$6*'TUSD BF'!$U$81</f>
        <v>4.3887441704646563E-2</v>
      </c>
      <c r="V6" s="33">
        <f>'TUSD BE'!$V$6*'TUSD BF'!$V$81</f>
        <v>6.4103834819898909E-4</v>
      </c>
      <c r="W6" s="33">
        <f>'TUSD BE'!$W$6*'TUSD BF'!$W$81</f>
        <v>0</v>
      </c>
      <c r="X6" s="33">
        <f>'TUSD BE'!$X$6*'TUSD BF'!$X$81</f>
        <v>0</v>
      </c>
      <c r="Y6" s="33">
        <f>'TUSD BE'!$Y$6*'TUSD BF'!$Y$81</f>
        <v>0</v>
      </c>
      <c r="Z6" s="33">
        <f>'TUSD BE'!$Z$6*'TUSD BF'!$Z$81</f>
        <v>0</v>
      </c>
      <c r="AA6" s="33">
        <f>'TUSD BE'!$AA$6*'TUSD BF'!$AA$81</f>
        <v>0</v>
      </c>
      <c r="AB6" s="33">
        <f>SUM($U$6:$AA$6)</f>
        <v>4.452848005284555E-2</v>
      </c>
      <c r="AC6" s="33">
        <f>'TUSD BE'!$AC$6*'TUSD BF'!$AC$81</f>
        <v>0</v>
      </c>
      <c r="AD6" s="33">
        <f>SUM($AC$6:$AC$6)</f>
        <v>0</v>
      </c>
      <c r="AE6" s="33">
        <f ca="1">$AO$6*$AO$78</f>
        <v>0</v>
      </c>
      <c r="AF6" s="33">
        <f ca="1">$AP$6*$AP$78</f>
        <v>0</v>
      </c>
      <c r="AG6" s="33">
        <f ca="1">SUM($AE$6:$AF$6)</f>
        <v>0</v>
      </c>
      <c r="AH6" s="33">
        <f>'TUSD BE'!$AH$6*'TUSD BF'!$AH$81</f>
        <v>0</v>
      </c>
      <c r="AI6" s="33">
        <f>'TUSD BE'!$AI$6*'TUSD BF'!$AI$81</f>
        <v>0</v>
      </c>
      <c r="AJ6" s="33">
        <f ca="1">'TUSD BE'!$AJ$6*'TUSD BF'!$AJ$81</f>
        <v>0</v>
      </c>
      <c r="AK6" s="33">
        <f ca="1">'TUSD BE'!$AK$6*'TUSD BF'!$AK$81</f>
        <v>0</v>
      </c>
      <c r="AL6" s="33">
        <f ca="1">SUM($AH$6:$AK$6)</f>
        <v>0</v>
      </c>
      <c r="AM6" s="33">
        <f ca="1">SUMIF($L$4:$AL$4,"SUBTOTAL",$L$6:$AL$6)</f>
        <v>4.452848005284555E-2</v>
      </c>
      <c r="AO6" s="43">
        <f ca="1">+'TUSD BE'!$T$6+'TUSD BE'!$AB$6+'TUSD BE'!$AD$6+'TUSD BE'!$AL$6</f>
        <v>7.7986543929164363</v>
      </c>
      <c r="AP6" s="43">
        <f ca="1">+'TUSD BE'!$T$6+'TUSD BE'!$AB$6+'TUSD BE'!$AD$6+'TUSD BE'!$AL$6</f>
        <v>7.7986543929164363</v>
      </c>
    </row>
    <row r="7" spans="1:42" ht="11.25" customHeight="1" x14ac:dyDescent="0.25">
      <c r="A7" s="116"/>
      <c r="B7" s="116"/>
      <c r="C7" s="116"/>
      <c r="D7" s="116"/>
      <c r="E7" s="116"/>
      <c r="F7" s="116"/>
      <c r="G7" s="36" t="s">
        <v>123</v>
      </c>
      <c r="H7" s="36" t="s">
        <v>117</v>
      </c>
      <c r="I7" s="36">
        <f>'MERCADO TUSD'!$U$4</f>
        <v>30201.055</v>
      </c>
      <c r="J7" s="16"/>
      <c r="L7" s="33">
        <f>'TUSD BE'!$L$7*'TUSD BF'!$L$81</f>
        <v>0.25825327913841722</v>
      </c>
      <c r="M7" s="33">
        <f>'TUSD BE'!$M$7*'TUSD BF'!$M$81</f>
        <v>0</v>
      </c>
      <c r="N7" s="33">
        <f ca="1">'TUSD BE'!$N$7*'TUSD BF'!$N$81</f>
        <v>0</v>
      </c>
      <c r="O7" s="33">
        <f>'TUSD BE'!$O$7*'TUSD BF'!$O$81</f>
        <v>0</v>
      </c>
      <c r="P7" s="33">
        <f>'TUSD BE'!$P$7*'TUSD BF'!$P$81</f>
        <v>0</v>
      </c>
      <c r="Q7" s="33">
        <f>'TUSD BE'!$Q$7*'TUSD BF'!$Q$81</f>
        <v>6.9880964680560895</v>
      </c>
      <c r="R7" s="33">
        <f>'TUSD BE'!$R$7*'TUSD BF'!$R$81</f>
        <v>2.8708931432949591</v>
      </c>
      <c r="S7" s="33">
        <f>'TUSD BE'!$R$7*'TUSD BF'!$S$81</f>
        <v>0</v>
      </c>
      <c r="T7" s="33">
        <f ca="1">SUM($L$7:$S$7)</f>
        <v>10.117242890489466</v>
      </c>
      <c r="U7" s="33">
        <f>'TUSD BE'!$U$7*'TUSD BF'!$U$81</f>
        <v>0</v>
      </c>
      <c r="V7" s="33">
        <f>'TUSD BE'!$V$7*'TUSD BF'!$V$81</f>
        <v>0</v>
      </c>
      <c r="W7" s="33">
        <f>'TUSD BE'!$W$7*'TUSD BF'!$W$81</f>
        <v>0</v>
      </c>
      <c r="X7" s="33">
        <f>'TUSD BE'!$X$7*'TUSD BF'!$X$81</f>
        <v>0</v>
      </c>
      <c r="Y7" s="33">
        <f>'TUSD BE'!$Y$7*'TUSD BF'!$Y$81</f>
        <v>0</v>
      </c>
      <c r="Z7" s="33">
        <f>'TUSD BE'!$Z$7*'TUSD BF'!$Z$81</f>
        <v>0</v>
      </c>
      <c r="AA7" s="33">
        <f>'TUSD BE'!$AA$7*'TUSD BF'!$AA$81</f>
        <v>0</v>
      </c>
      <c r="AB7" s="33">
        <f>SUM($U$7:$AA$7)</f>
        <v>0</v>
      </c>
      <c r="AC7" s="33">
        <f>'TUSD BE'!$AC$7*'TUSD BF'!$AC$81</f>
        <v>0</v>
      </c>
      <c r="AD7" s="33">
        <f>SUM($AC$7:$AC$7)</f>
        <v>0</v>
      </c>
      <c r="AE7" s="33">
        <f ca="1">$AO$7*$AO$78</f>
        <v>0</v>
      </c>
      <c r="AF7" s="33">
        <f ca="1">$AP$7*$AP$78</f>
        <v>0</v>
      </c>
      <c r="AG7" s="33">
        <f ca="1">SUM($AE$7:$AF$7)</f>
        <v>0</v>
      </c>
      <c r="AH7" s="33">
        <f>'TUSD BE'!$AH$7*'TUSD BF'!$AH$81</f>
        <v>0.58268873290310907</v>
      </c>
      <c r="AI7" s="33">
        <f>'TUSD BE'!$AI$7*'TUSD BF'!$AI$81</f>
        <v>1.293804222017162E-3</v>
      </c>
      <c r="AJ7" s="33">
        <f ca="1">'TUSD BE'!$AJ$7*'TUSD BF'!$AJ$81</f>
        <v>2.2430203583185031E-2</v>
      </c>
      <c r="AK7" s="33">
        <f ca="1">'TUSD BE'!$AK$7*'TUSD BF'!$AK$81</f>
        <v>0</v>
      </c>
      <c r="AL7" s="33">
        <f ca="1">SUM($AH$7:$AK$7)</f>
        <v>0.6064127407083113</v>
      </c>
      <c r="AM7" s="33">
        <f ca="1">SUMIF($L$4:$AL$4,"SUBTOTAL",$L$7:$AL$7)</f>
        <v>10.723655631197778</v>
      </c>
      <c r="AO7" s="43">
        <f ca="1">+'TUSD BE'!$T$7+'TUSD BE'!$AB$7+'TUSD BE'!$AD$7+'TUSD BE'!$AL$7</f>
        <v>88.189718476684803</v>
      </c>
      <c r="AP7" s="43">
        <f ca="1">+'TUSD BE'!$T$7+'TUSD BE'!$AB$7+'TUSD BE'!$AD$7+'TUSD BE'!$AL$7</f>
        <v>88.189718476684803</v>
      </c>
    </row>
    <row r="8" spans="1:42" ht="11.25" customHeight="1" x14ac:dyDescent="0.25">
      <c r="A8" s="116"/>
      <c r="B8" s="116"/>
      <c r="C8" s="116"/>
      <c r="D8" s="116"/>
      <c r="E8" s="41" t="s">
        <v>61</v>
      </c>
      <c r="F8" s="41" t="s">
        <v>25</v>
      </c>
      <c r="G8" s="36" t="s">
        <v>123</v>
      </c>
      <c r="H8" s="36" t="s">
        <v>117</v>
      </c>
      <c r="I8" s="36">
        <f>'MERCADO TUSD'!$U$5</f>
        <v>4666.2299999999996</v>
      </c>
      <c r="J8" s="16"/>
      <c r="L8" s="33">
        <f>'TUSD BE'!$L$8*'TUSD BF'!$L$81</f>
        <v>0</v>
      </c>
      <c r="M8" s="33">
        <f>'TUSD BE'!$M$8*'TUSD BF'!$M$81</f>
        <v>0</v>
      </c>
      <c r="N8" s="33">
        <f ca="1">'TUSD BE'!$N$8*'TUSD BF'!$N$81</f>
        <v>0</v>
      </c>
      <c r="O8" s="33">
        <f>'TUSD BE'!$O$8*'TUSD BF'!$O$81</f>
        <v>0</v>
      </c>
      <c r="P8" s="33">
        <f>'TUSD BE'!$P$8*'TUSD BF'!$P$81</f>
        <v>0</v>
      </c>
      <c r="Q8" s="33">
        <f>'TUSD BE'!$Q$8*'TUSD BF'!$Q$81</f>
        <v>0</v>
      </c>
      <c r="R8" s="33">
        <f>'TUSD BE'!$R$8*'TUSD BF'!$R$81</f>
        <v>0</v>
      </c>
      <c r="S8" s="33">
        <f>'TUSD BE'!$R$8*'TUSD BF'!$S$81</f>
        <v>0</v>
      </c>
      <c r="T8" s="33">
        <f ca="1">SUM($L$8:$S$8)</f>
        <v>0</v>
      </c>
      <c r="U8" s="33">
        <f>'TUSD BE'!$U$8*'TUSD BF'!$U$81</f>
        <v>0</v>
      </c>
      <c r="V8" s="33">
        <f>'TUSD BE'!$V$8*'TUSD BF'!$V$81</f>
        <v>0</v>
      </c>
      <c r="W8" s="33">
        <f>'TUSD BE'!$W$8*'TUSD BF'!$W$81</f>
        <v>0</v>
      </c>
      <c r="X8" s="33">
        <f>'TUSD BE'!$X$8*'TUSD BF'!$X$81</f>
        <v>0</v>
      </c>
      <c r="Y8" s="33">
        <f>'TUSD BE'!$Y$8*'TUSD BF'!$Y$81</f>
        <v>0</v>
      </c>
      <c r="Z8" s="33">
        <f>'TUSD BE'!$Z$8*'TUSD BF'!$Z$81</f>
        <v>0</v>
      </c>
      <c r="AA8" s="33">
        <f>'TUSD BE'!$AA$8*'TUSD BF'!$AA$81</f>
        <v>0</v>
      </c>
      <c r="AB8" s="33">
        <f>SUM($U$8:$AA$8)</f>
        <v>0</v>
      </c>
      <c r="AC8" s="33">
        <f>'TUSD BE'!$AC$8*'TUSD BF'!$AC$81</f>
        <v>0</v>
      </c>
      <c r="AD8" s="33">
        <f>SUM($AC$8:$AC$8)</f>
        <v>0</v>
      </c>
      <c r="AE8" s="33">
        <f ca="1">$AO$8*$AO$78</f>
        <v>0</v>
      </c>
      <c r="AF8" s="33">
        <f ca="1">$AP$8*$AP$78</f>
        <v>0</v>
      </c>
      <c r="AG8" s="33">
        <f ca="1">SUM($AE$8:$AF$8)</f>
        <v>0</v>
      </c>
      <c r="AH8" s="33">
        <f>'TUSD BE'!$AH$8*'TUSD BF'!$AH$81</f>
        <v>0.58268873290310907</v>
      </c>
      <c r="AI8" s="33">
        <f>'TUSD BE'!$AI$8*'TUSD BF'!$AI$81</f>
        <v>1.293804222017162E-3</v>
      </c>
      <c r="AJ8" s="33">
        <f ca="1">'TUSD BE'!$AJ$8*'TUSD BF'!$AJ$81</f>
        <v>2.2430203583185031E-2</v>
      </c>
      <c r="AK8" s="33">
        <f ca="1">'TUSD BE'!$AK$8*'TUSD BF'!$AK$81</f>
        <v>0</v>
      </c>
      <c r="AL8" s="33">
        <f ca="1">SUM($AH$8:$AK$8)</f>
        <v>0.6064127407083113</v>
      </c>
      <c r="AM8" s="33">
        <f ca="1">SUMIF($L$4:$AL$4,"SUBTOTAL",$L$8:$AL$8)</f>
        <v>0.6064127407083113</v>
      </c>
      <c r="AO8" s="43">
        <f ca="1">+'TUSD BE'!$T$8+'TUSD BE'!$AB$8+'TUSD BE'!$AD$8+'TUSD BE'!$AL$8</f>
        <v>11.504428051126775</v>
      </c>
      <c r="AP8" s="43">
        <f ca="1">+'TUSD BE'!$T$8+'TUSD BE'!$AB$8+'TUSD BE'!$AD$8+'TUSD BE'!$AL$8</f>
        <v>11.504428051126775</v>
      </c>
    </row>
    <row r="9" spans="1:42" ht="11.25" customHeight="1" x14ac:dyDescent="0.25">
      <c r="A9" s="116"/>
      <c r="B9" s="116" t="s">
        <v>64</v>
      </c>
      <c r="C9" s="116" t="s">
        <v>25</v>
      </c>
      <c r="D9" s="116" t="s">
        <v>25</v>
      </c>
      <c r="E9" s="116" t="s">
        <v>25</v>
      </c>
      <c r="F9" s="41" t="s">
        <v>65</v>
      </c>
      <c r="G9" s="36" t="s">
        <v>9</v>
      </c>
      <c r="H9" s="36" t="s">
        <v>120</v>
      </c>
      <c r="I9" s="36">
        <f>'MERCADO TUSD'!$U$6</f>
        <v>19680</v>
      </c>
      <c r="J9" s="16"/>
      <c r="L9" s="33">
        <f>'TUSD BE'!$L$9*'TUSD BF'!$L$81</f>
        <v>0</v>
      </c>
      <c r="M9" s="33">
        <f>'TUSD BE'!$M$9*'TUSD BF'!$M$81</f>
        <v>0</v>
      </c>
      <c r="N9" s="33">
        <f>'TUSD BE'!$N$9*'TUSD BF'!$N$81</f>
        <v>0</v>
      </c>
      <c r="O9" s="33">
        <f>'TUSD BE'!$O$9*'TUSD BF'!$O$81</f>
        <v>0</v>
      </c>
      <c r="P9" s="33">
        <f>'TUSD BE'!$P$9*'TUSD BF'!$P$81</f>
        <v>0</v>
      </c>
      <c r="Q9" s="33">
        <f>'TUSD BE'!$Q$9*'TUSD BF'!$Q$81</f>
        <v>0</v>
      </c>
      <c r="R9" s="33">
        <f>'TUSD BE'!$R$9*'TUSD BF'!$R$81</f>
        <v>0</v>
      </c>
      <c r="S9" s="33">
        <f>'TUSD BE'!$R$9*'TUSD BF'!$S$81</f>
        <v>0</v>
      </c>
      <c r="T9" s="33">
        <f>SUM($L$9:$S$9)</f>
        <v>0</v>
      </c>
      <c r="U9" s="33">
        <f>'TUSD BE'!$U$9*'TUSD BF'!$U$81</f>
        <v>0</v>
      </c>
      <c r="V9" s="33">
        <f>'TUSD BE'!$V$9*'TUSD BF'!$V$81</f>
        <v>9.6954289236089466E-2</v>
      </c>
      <c r="W9" s="33">
        <f>'TUSD BE'!$W$9*'TUSD BF'!$W$81</f>
        <v>0</v>
      </c>
      <c r="X9" s="33">
        <f>'TUSD BE'!$X$9*'TUSD BF'!$X$81</f>
        <v>0</v>
      </c>
      <c r="Y9" s="33">
        <f>'TUSD BE'!$Y$9*'TUSD BF'!$Y$81</f>
        <v>0</v>
      </c>
      <c r="Z9" s="33">
        <f>'TUSD BE'!$Z$9*'TUSD BF'!$Z$81</f>
        <v>0</v>
      </c>
      <c r="AA9" s="33">
        <f>'TUSD BE'!$AA$9*'TUSD BF'!$AA$81</f>
        <v>1.2334193962113294E-2</v>
      </c>
      <c r="AB9" s="33">
        <f>SUM($U$9:$AA$9)</f>
        <v>0.10928848319820277</v>
      </c>
      <c r="AC9" s="33">
        <f>'TUSD BE'!$AC$9*'TUSD BF'!$AC$81</f>
        <v>0</v>
      </c>
      <c r="AD9" s="33">
        <f>SUM($AC$9:$AC$9)</f>
        <v>0</v>
      </c>
      <c r="AE9" s="33">
        <f ca="1">$AO$9*$AO$78</f>
        <v>0</v>
      </c>
      <c r="AF9" s="33">
        <f ca="1">$AP$9*$AP$78</f>
        <v>0</v>
      </c>
      <c r="AG9" s="33">
        <f ca="1">SUM($AE$9:$AF$9)</f>
        <v>0</v>
      </c>
      <c r="AH9" s="33">
        <f>'TUSD BE'!$AH$9*'TUSD BF'!$AH$81</f>
        <v>0</v>
      </c>
      <c r="AI9" s="33">
        <f>'TUSD BE'!$AI$9*'TUSD BF'!$AI$81</f>
        <v>0</v>
      </c>
      <c r="AJ9" s="33">
        <f>'TUSD BE'!$AJ$9*'TUSD BF'!$AJ$81</f>
        <v>0</v>
      </c>
      <c r="AK9" s="33">
        <f>'TUSD BE'!$AK$9*'TUSD BF'!$AK$81</f>
        <v>0</v>
      </c>
      <c r="AL9" s="33">
        <f>SUM($AH$9:$AK$9)</f>
        <v>0</v>
      </c>
      <c r="AM9" s="33">
        <f ca="1">SUMIF($L$4:$AL$4,"SUBTOTAL",$L$9:$AL$9)</f>
        <v>0.10928848319820277</v>
      </c>
      <c r="AO9" s="43">
        <f>+'TUSD BE'!$T$9+'TUSD BE'!$AB$9+'TUSD BE'!$AD$9+'TUSD BE'!$AL$9</f>
        <v>5.2584</v>
      </c>
      <c r="AP9" s="43">
        <f>+'TUSD BE'!$T$9+'TUSD BE'!$AB$9+'TUSD BE'!$AD$9+'TUSD BE'!$AL$9</f>
        <v>5.2584</v>
      </c>
    </row>
    <row r="10" spans="1:42" ht="11.25" customHeight="1" x14ac:dyDescent="0.25">
      <c r="A10" s="116"/>
      <c r="B10" s="116"/>
      <c r="C10" s="116"/>
      <c r="D10" s="116"/>
      <c r="E10" s="116"/>
      <c r="F10" s="41" t="s">
        <v>67</v>
      </c>
      <c r="G10" s="36" t="s">
        <v>9</v>
      </c>
      <c r="H10" s="36" t="s">
        <v>120</v>
      </c>
      <c r="I10" s="36">
        <f>'MERCADO TUSD'!$U$7</f>
        <v>474000</v>
      </c>
      <c r="J10" s="16"/>
      <c r="L10" s="33">
        <f>'TUSD BE'!$L$10*'TUSD BF'!$L$81</f>
        <v>0</v>
      </c>
      <c r="M10" s="33">
        <f>'TUSD BE'!$M$10*'TUSD BF'!$M$81</f>
        <v>0</v>
      </c>
      <c r="N10" s="33">
        <f>'TUSD BE'!$N$10*'TUSD BF'!$N$81</f>
        <v>0</v>
      </c>
      <c r="O10" s="33">
        <f>'TUSD BE'!$O$10*'TUSD BF'!$O$81</f>
        <v>0</v>
      </c>
      <c r="P10" s="33">
        <f>'TUSD BE'!$P$10*'TUSD BF'!$P$81</f>
        <v>0</v>
      </c>
      <c r="Q10" s="33">
        <f>'TUSD BE'!$Q$10*'TUSD BF'!$Q$81</f>
        <v>0</v>
      </c>
      <c r="R10" s="33">
        <f>'TUSD BE'!$R$10*'TUSD BF'!$R$81</f>
        <v>0</v>
      </c>
      <c r="S10" s="33">
        <f>'TUSD BE'!$R$10*'TUSD BF'!$S$81</f>
        <v>0</v>
      </c>
      <c r="T10" s="33">
        <f>SUM($L$10:$S$10)</f>
        <v>0</v>
      </c>
      <c r="U10" s="33">
        <f>'TUSD BE'!$U$10*'TUSD BF'!$U$81</f>
        <v>0</v>
      </c>
      <c r="V10" s="33">
        <f>'TUSD BE'!$V$10*'TUSD BF'!$V$81</f>
        <v>7.363788250531611E-2</v>
      </c>
      <c r="W10" s="33">
        <f>'TUSD BE'!$W$10*'TUSD BF'!$W$81</f>
        <v>0</v>
      </c>
      <c r="X10" s="33">
        <f>'TUSD BE'!$X$10*'TUSD BF'!$X$81</f>
        <v>0</v>
      </c>
      <c r="Y10" s="33">
        <f>'TUSD BE'!$Y$10*'TUSD BF'!$Y$81</f>
        <v>0</v>
      </c>
      <c r="Z10" s="33">
        <f>'TUSD BE'!$Z$10*'TUSD BF'!$Z$81</f>
        <v>0</v>
      </c>
      <c r="AA10" s="33">
        <f>'TUSD BE'!$AA$10*'TUSD BF'!$AA$81</f>
        <v>1.2334193962113294E-2</v>
      </c>
      <c r="AB10" s="33">
        <f>SUM($U$10:$AA$10)</f>
        <v>8.5972076467429409E-2</v>
      </c>
      <c r="AC10" s="33">
        <f>'TUSD BE'!$AC$10*'TUSD BF'!$AC$81</f>
        <v>0</v>
      </c>
      <c r="AD10" s="33">
        <f>SUM($AC$10:$AC$10)</f>
        <v>0</v>
      </c>
      <c r="AE10" s="33">
        <f ca="1">$AO$10*$AO$78</f>
        <v>0</v>
      </c>
      <c r="AF10" s="33">
        <f ca="1">$AP$10*$AP$78</f>
        <v>0</v>
      </c>
      <c r="AG10" s="33">
        <f ca="1">SUM($AE$10:$AF$10)</f>
        <v>0</v>
      </c>
      <c r="AH10" s="33">
        <f>'TUSD BE'!$AH$10*'TUSD BF'!$AH$81</f>
        <v>0</v>
      </c>
      <c r="AI10" s="33">
        <f>'TUSD BE'!$AI$10*'TUSD BF'!$AI$81</f>
        <v>0</v>
      </c>
      <c r="AJ10" s="33">
        <f>'TUSD BE'!$AJ$10*'TUSD BF'!$AJ$81</f>
        <v>0</v>
      </c>
      <c r="AK10" s="33">
        <f>'TUSD BE'!$AK$10*'TUSD BF'!$AK$81</f>
        <v>0</v>
      </c>
      <c r="AL10" s="33">
        <f>SUM($AH$10:$AK$10)</f>
        <v>0</v>
      </c>
      <c r="AM10" s="33">
        <f ca="1">SUMIF($L$4:$AL$4,"SUBTOTAL",$L$10:$AL$10)</f>
        <v>8.5972076467429409E-2</v>
      </c>
      <c r="AO10" s="43">
        <f>+'TUSD BE'!$T$10+'TUSD BE'!$AB$10+'TUSD BE'!$AD$10+'TUSD BE'!$AL$10</f>
        <v>4.0529999999999999</v>
      </c>
      <c r="AP10" s="43">
        <f>+'TUSD BE'!$T$10+'TUSD BE'!$AB$10+'TUSD BE'!$AD$10+'TUSD BE'!$AL$10</f>
        <v>4.0529999999999999</v>
      </c>
    </row>
    <row r="11" spans="1:42" ht="11.25" customHeight="1" x14ac:dyDescent="0.25">
      <c r="A11" s="116"/>
      <c r="B11" s="116"/>
      <c r="C11" s="116"/>
      <c r="D11" s="116"/>
      <c r="E11" s="116"/>
      <c r="F11" s="41" t="s">
        <v>69</v>
      </c>
      <c r="G11" s="36" t="s">
        <v>9</v>
      </c>
      <c r="H11" s="36" t="s">
        <v>120</v>
      </c>
      <c r="I11" s="36">
        <f>'MERCADO TUSD'!$U$8</f>
        <v>264004</v>
      </c>
      <c r="J11" s="16"/>
      <c r="L11" s="33">
        <f>'TUSD BE'!$L$11*'TUSD BF'!$L$81</f>
        <v>0</v>
      </c>
      <c r="M11" s="33">
        <f>'TUSD BE'!$M$11*'TUSD BF'!$M$81</f>
        <v>0</v>
      </c>
      <c r="N11" s="33">
        <f>'TUSD BE'!$N$11*'TUSD BF'!$N$81</f>
        <v>0</v>
      </c>
      <c r="O11" s="33">
        <f>'TUSD BE'!$O$11*'TUSD BF'!$O$81</f>
        <v>0</v>
      </c>
      <c r="P11" s="33">
        <f>'TUSD BE'!$P$11*'TUSD BF'!$P$81</f>
        <v>0</v>
      </c>
      <c r="Q11" s="33">
        <f>'TUSD BE'!$Q$11*'TUSD BF'!$Q$81</f>
        <v>0</v>
      </c>
      <c r="R11" s="33">
        <f>'TUSD BE'!$R$11*'TUSD BF'!$R$81</f>
        <v>0</v>
      </c>
      <c r="S11" s="33">
        <f>'TUSD BE'!$R$11*'TUSD BF'!$S$81</f>
        <v>0</v>
      </c>
      <c r="T11" s="33">
        <f>SUM($L$11:$S$11)</f>
        <v>0</v>
      </c>
      <c r="U11" s="33">
        <f>'TUSD BE'!$U$11*'TUSD BF'!$U$81</f>
        <v>0</v>
      </c>
      <c r="V11" s="33">
        <f>'TUSD BE'!$V$11*'TUSD BF'!$V$81</f>
        <v>0.10876477682540715</v>
      </c>
      <c r="W11" s="33">
        <f>'TUSD BE'!$W$11*'TUSD BF'!$W$81</f>
        <v>0</v>
      </c>
      <c r="X11" s="33">
        <f>'TUSD BE'!$X$11*'TUSD BF'!$X$81</f>
        <v>0</v>
      </c>
      <c r="Y11" s="33">
        <f>'TUSD BE'!$Y$11*'TUSD BF'!$Y$81</f>
        <v>0</v>
      </c>
      <c r="Z11" s="33">
        <f>'TUSD BE'!$Z$11*'TUSD BF'!$Z$81</f>
        <v>0</v>
      </c>
      <c r="AA11" s="33">
        <f>'TUSD BE'!$AA$11*'TUSD BF'!$AA$81</f>
        <v>1.2334193962113294E-2</v>
      </c>
      <c r="AB11" s="33">
        <f>SUM($U$11:$AA$11)</f>
        <v>0.12109897078752045</v>
      </c>
      <c r="AC11" s="33">
        <f>'TUSD BE'!$AC$11*'TUSD BF'!$AC$81</f>
        <v>0</v>
      </c>
      <c r="AD11" s="33">
        <f>SUM($AC$11:$AC$11)</f>
        <v>0</v>
      </c>
      <c r="AE11" s="33">
        <f ca="1">$AO$11*$AO$78</f>
        <v>0</v>
      </c>
      <c r="AF11" s="33">
        <f ca="1">$AP$11*$AP$78</f>
        <v>0</v>
      </c>
      <c r="AG11" s="33">
        <f ca="1">SUM($AE$11:$AF$11)</f>
        <v>0</v>
      </c>
      <c r="AH11" s="33">
        <f>'TUSD BE'!$AH$11*'TUSD BF'!$AH$81</f>
        <v>0</v>
      </c>
      <c r="AI11" s="33">
        <f>'TUSD BE'!$AI$11*'TUSD BF'!$AI$81</f>
        <v>0</v>
      </c>
      <c r="AJ11" s="33">
        <f>'TUSD BE'!$AJ$11*'TUSD BF'!$AJ$81</f>
        <v>0</v>
      </c>
      <c r="AK11" s="33">
        <f>'TUSD BE'!$AK$11*'TUSD BF'!$AK$81</f>
        <v>0</v>
      </c>
      <c r="AL11" s="33">
        <f>SUM($AH$11:$AK$11)</f>
        <v>0</v>
      </c>
      <c r="AM11" s="33">
        <f ca="1">SUMIF($L$4:$AL$4,"SUBTOTAL",$L$11:$AL$11)</f>
        <v>0.12109897078752045</v>
      </c>
      <c r="AO11" s="43">
        <f>+'TUSD BE'!$T$11+'TUSD BE'!$AB$11+'TUSD BE'!$AD$11+'TUSD BE'!$AL$11</f>
        <v>5.8689999999999998</v>
      </c>
      <c r="AP11" s="43">
        <f>+'TUSD BE'!$T$11+'TUSD BE'!$AB$11+'TUSD BE'!$AD$11+'TUSD BE'!$AL$11</f>
        <v>5.8689999999999998</v>
      </c>
    </row>
    <row r="12" spans="1:42" ht="11.25" customHeight="1" x14ac:dyDescent="0.25">
      <c r="A12" s="116"/>
      <c r="B12" s="116"/>
      <c r="C12" s="116"/>
      <c r="D12" s="116"/>
      <c r="E12" s="116"/>
      <c r="F12" s="41" t="s">
        <v>72</v>
      </c>
      <c r="G12" s="36" t="s">
        <v>9</v>
      </c>
      <c r="H12" s="36" t="s">
        <v>120</v>
      </c>
      <c r="I12" s="36">
        <f>'MERCADO TUSD'!$U$9</f>
        <v>198000</v>
      </c>
      <c r="J12" s="16"/>
      <c r="L12" s="33">
        <f>'TUSD BE'!$L$12*'TUSD BF'!$L$81</f>
        <v>0</v>
      </c>
      <c r="M12" s="33">
        <f>'TUSD BE'!$M$12*'TUSD BF'!$M$81</f>
        <v>0</v>
      </c>
      <c r="N12" s="33">
        <f>'TUSD BE'!$N$12*'TUSD BF'!$N$81</f>
        <v>0</v>
      </c>
      <c r="O12" s="33">
        <f>'TUSD BE'!$O$12*'TUSD BF'!$O$81</f>
        <v>0</v>
      </c>
      <c r="P12" s="33">
        <f>'TUSD BE'!$P$12*'TUSD BF'!$P$81</f>
        <v>0</v>
      </c>
      <c r="Q12" s="33">
        <f>'TUSD BE'!$Q$12*'TUSD BF'!$Q$81</f>
        <v>0</v>
      </c>
      <c r="R12" s="33">
        <f>'TUSD BE'!$R$12*'TUSD BF'!$R$81</f>
        <v>0</v>
      </c>
      <c r="S12" s="33">
        <f>'TUSD BE'!$R$12*'TUSD BF'!$S$81</f>
        <v>0</v>
      </c>
      <c r="T12" s="33">
        <f>SUM($L$12:$S$12)</f>
        <v>0</v>
      </c>
      <c r="U12" s="33">
        <f>'TUSD BE'!$U$12*'TUSD BF'!$U$81</f>
        <v>0</v>
      </c>
      <c r="V12" s="33">
        <f>'TUSD BE'!$V$12*'TUSD BF'!$V$81</f>
        <v>0.10314154085284281</v>
      </c>
      <c r="W12" s="33">
        <f>'TUSD BE'!$W$12*'TUSD BF'!$W$81</f>
        <v>0</v>
      </c>
      <c r="X12" s="33">
        <f>'TUSD BE'!$X$12*'TUSD BF'!$X$81</f>
        <v>0</v>
      </c>
      <c r="Y12" s="33">
        <f>'TUSD BE'!$Y$12*'TUSD BF'!$Y$81</f>
        <v>0</v>
      </c>
      <c r="Z12" s="33">
        <f>'TUSD BE'!$Z$12*'TUSD BF'!$Z$81</f>
        <v>0</v>
      </c>
      <c r="AA12" s="33">
        <f>'TUSD BE'!$AA$12*'TUSD BF'!$AA$81</f>
        <v>1.2334193962113294E-2</v>
      </c>
      <c r="AB12" s="33">
        <f>SUM($U$12:$AA$12)</f>
        <v>0.11547573481495611</v>
      </c>
      <c r="AC12" s="33">
        <f>'TUSD BE'!$AC$12*'TUSD BF'!$AC$81</f>
        <v>0</v>
      </c>
      <c r="AD12" s="33">
        <f>SUM($AC$12:$AC$12)</f>
        <v>0</v>
      </c>
      <c r="AE12" s="33">
        <f ca="1">$AO$12*$AO$78</f>
        <v>0</v>
      </c>
      <c r="AF12" s="33">
        <f ca="1">$AP$12*$AP$78</f>
        <v>0</v>
      </c>
      <c r="AG12" s="33">
        <f ca="1">SUM($AE$12:$AF$12)</f>
        <v>0</v>
      </c>
      <c r="AH12" s="33">
        <f>'TUSD BE'!$AH$12*'TUSD BF'!$AH$81</f>
        <v>0</v>
      </c>
      <c r="AI12" s="33">
        <f>'TUSD BE'!$AI$12*'TUSD BF'!$AI$81</f>
        <v>0</v>
      </c>
      <c r="AJ12" s="33">
        <f>'TUSD BE'!$AJ$12*'TUSD BF'!$AJ$81</f>
        <v>0</v>
      </c>
      <c r="AK12" s="33">
        <f>'TUSD BE'!$AK$12*'TUSD BF'!$AK$81</f>
        <v>0</v>
      </c>
      <c r="AL12" s="33">
        <f>SUM($AH$12:$AK$12)</f>
        <v>0</v>
      </c>
      <c r="AM12" s="33">
        <f ca="1">SUMIF($L$4:$AL$4,"SUBTOTAL",$L$12:$AL$12)</f>
        <v>0.11547573481495611</v>
      </c>
      <c r="AO12" s="43">
        <f>+'TUSD BE'!$T$12+'TUSD BE'!$AB$12+'TUSD BE'!$AD$12+'TUSD BE'!$AL$12</f>
        <v>5.5783000000000005</v>
      </c>
      <c r="AP12" s="43">
        <f>+'TUSD BE'!$T$12+'TUSD BE'!$AB$12+'TUSD BE'!$AD$12+'TUSD BE'!$AL$12</f>
        <v>5.5783000000000005</v>
      </c>
    </row>
    <row r="13" spans="1:42" ht="11.25" customHeight="1" x14ac:dyDescent="0.25">
      <c r="A13" s="116"/>
      <c r="B13" s="116"/>
      <c r="C13" s="116"/>
      <c r="D13" s="116"/>
      <c r="E13" s="116"/>
      <c r="F13" s="41" t="s">
        <v>73</v>
      </c>
      <c r="G13" s="36" t="s">
        <v>9</v>
      </c>
      <c r="H13" s="36" t="s">
        <v>120</v>
      </c>
      <c r="I13" s="36">
        <f>'MERCADO TUSD'!$U$10</f>
        <v>63840</v>
      </c>
      <c r="J13" s="16"/>
      <c r="L13" s="33">
        <f>'TUSD BE'!$L$13*'TUSD BF'!$L$81</f>
        <v>0</v>
      </c>
      <c r="M13" s="33">
        <f>'TUSD BE'!$M$13*'TUSD BF'!$M$81</f>
        <v>0</v>
      </c>
      <c r="N13" s="33">
        <f>'TUSD BE'!$N$13*'TUSD BF'!$N$81</f>
        <v>0</v>
      </c>
      <c r="O13" s="33">
        <f>'TUSD BE'!$O$13*'TUSD BF'!$O$81</f>
        <v>0</v>
      </c>
      <c r="P13" s="33">
        <f>'TUSD BE'!$P$13*'TUSD BF'!$P$81</f>
        <v>0</v>
      </c>
      <c r="Q13" s="33">
        <f>'TUSD BE'!$Q$13*'TUSD BF'!$Q$81</f>
        <v>0</v>
      </c>
      <c r="R13" s="33">
        <f>'TUSD BE'!$R$13*'TUSD BF'!$R$81</f>
        <v>0</v>
      </c>
      <c r="S13" s="33">
        <f>'TUSD BE'!$R$13*'TUSD BF'!$S$81</f>
        <v>0</v>
      </c>
      <c r="T13" s="33">
        <f>SUM($L$13:$S$13)</f>
        <v>0</v>
      </c>
      <c r="U13" s="33">
        <f>'TUSD BE'!$U$13*'TUSD BF'!$U$81</f>
        <v>0</v>
      </c>
      <c r="V13" s="33">
        <f>'TUSD BE'!$V$13*'TUSD BF'!$V$81</f>
        <v>9.6954289236089466E-2</v>
      </c>
      <c r="W13" s="33">
        <f>'TUSD BE'!$W$13*'TUSD BF'!$W$81</f>
        <v>0</v>
      </c>
      <c r="X13" s="33">
        <f>'TUSD BE'!$X$13*'TUSD BF'!$X$81</f>
        <v>0</v>
      </c>
      <c r="Y13" s="33">
        <f>'TUSD BE'!$Y$13*'TUSD BF'!$Y$81</f>
        <v>0</v>
      </c>
      <c r="Z13" s="33">
        <f>'TUSD BE'!$Z$13*'TUSD BF'!$Z$81</f>
        <v>0</v>
      </c>
      <c r="AA13" s="33">
        <f>'TUSD BE'!$AA$13*'TUSD BF'!$AA$81</f>
        <v>1.2334193962113294E-2</v>
      </c>
      <c r="AB13" s="33">
        <f>SUM($U$13:$AA$13)</f>
        <v>0.10928848319820277</v>
      </c>
      <c r="AC13" s="33">
        <f>'TUSD BE'!$AC$13*'TUSD BF'!$AC$81</f>
        <v>0</v>
      </c>
      <c r="AD13" s="33">
        <f>SUM($AC$13:$AC$13)</f>
        <v>0</v>
      </c>
      <c r="AE13" s="33">
        <f ca="1">$AO$13*$AO$78</f>
        <v>0</v>
      </c>
      <c r="AF13" s="33">
        <f ca="1">$AP$13*$AP$78</f>
        <v>0</v>
      </c>
      <c r="AG13" s="33">
        <f ca="1">SUM($AE$13:$AF$13)</f>
        <v>0</v>
      </c>
      <c r="AH13" s="33">
        <f>'TUSD BE'!$AH$13*'TUSD BF'!$AH$81</f>
        <v>0</v>
      </c>
      <c r="AI13" s="33">
        <f>'TUSD BE'!$AI$13*'TUSD BF'!$AI$81</f>
        <v>0</v>
      </c>
      <c r="AJ13" s="33">
        <f>'TUSD BE'!$AJ$13*'TUSD BF'!$AJ$81</f>
        <v>0</v>
      </c>
      <c r="AK13" s="33">
        <f>'TUSD BE'!$AK$13*'TUSD BF'!$AK$81</f>
        <v>0</v>
      </c>
      <c r="AL13" s="33">
        <f>SUM($AH$13:$AK$13)</f>
        <v>0</v>
      </c>
      <c r="AM13" s="33">
        <f ca="1">SUMIF($L$4:$AL$4,"SUBTOTAL",$L$13:$AL$13)</f>
        <v>0.10928848319820277</v>
      </c>
      <c r="AO13" s="43">
        <f>+'TUSD BE'!$T$13+'TUSD BE'!$AB$13+'TUSD BE'!$AD$13+'TUSD BE'!$AL$13</f>
        <v>5.2584</v>
      </c>
      <c r="AP13" s="43">
        <f>+'TUSD BE'!$T$13+'TUSD BE'!$AB$13+'TUSD BE'!$AD$13+'TUSD BE'!$AL$13</f>
        <v>5.2584</v>
      </c>
    </row>
    <row r="14" spans="1:42" ht="11.25" customHeight="1" x14ac:dyDescent="0.25">
      <c r="A14" s="116"/>
      <c r="B14" s="116"/>
      <c r="C14" s="116"/>
      <c r="D14" s="116"/>
      <c r="E14" s="116"/>
      <c r="F14" s="41" t="s">
        <v>75</v>
      </c>
      <c r="G14" s="36" t="s">
        <v>9</v>
      </c>
      <c r="H14" s="36" t="s">
        <v>120</v>
      </c>
      <c r="I14" s="36">
        <f>'MERCADO TUSD'!$U$11</f>
        <v>513773</v>
      </c>
      <c r="J14" s="16"/>
      <c r="L14" s="33">
        <f>'TUSD BE'!$L$14*'TUSD BF'!$L$81</f>
        <v>0</v>
      </c>
      <c r="M14" s="33">
        <f>'TUSD BE'!$M$14*'TUSD BF'!$M$81</f>
        <v>0</v>
      </c>
      <c r="N14" s="33">
        <f>'TUSD BE'!$N$14*'TUSD BF'!$N$81</f>
        <v>0</v>
      </c>
      <c r="O14" s="33">
        <f>'TUSD BE'!$O$14*'TUSD BF'!$O$81</f>
        <v>0</v>
      </c>
      <c r="P14" s="33">
        <f>'TUSD BE'!$P$14*'TUSD BF'!$P$81</f>
        <v>0</v>
      </c>
      <c r="Q14" s="33">
        <f>'TUSD BE'!$Q$14*'TUSD BF'!$Q$81</f>
        <v>0</v>
      </c>
      <c r="R14" s="33">
        <f>'TUSD BE'!$R$14*'TUSD BF'!$R$81</f>
        <v>0</v>
      </c>
      <c r="S14" s="33">
        <f>'TUSD BE'!$R$14*'TUSD BF'!$S$81</f>
        <v>0</v>
      </c>
      <c r="T14" s="33">
        <f>SUM($L$14:$S$14)</f>
        <v>0</v>
      </c>
      <c r="U14" s="33">
        <f>'TUSD BE'!$U$14*'TUSD BF'!$U$81</f>
        <v>0</v>
      </c>
      <c r="V14" s="33">
        <f>'TUSD BE'!$V$14*'TUSD BF'!$V$81</f>
        <v>9.6954289236089466E-2</v>
      </c>
      <c r="W14" s="33">
        <f>'TUSD BE'!$W$14*'TUSD BF'!$W$81</f>
        <v>0</v>
      </c>
      <c r="X14" s="33">
        <f>'TUSD BE'!$X$14*'TUSD BF'!$X$81</f>
        <v>0</v>
      </c>
      <c r="Y14" s="33">
        <f>'TUSD BE'!$Y$14*'TUSD BF'!$Y$81</f>
        <v>0</v>
      </c>
      <c r="Z14" s="33">
        <f>'TUSD BE'!$Z$14*'TUSD BF'!$Z$81</f>
        <v>0</v>
      </c>
      <c r="AA14" s="33">
        <f>'TUSD BE'!$AA$14*'TUSD BF'!$AA$81</f>
        <v>1.2334193962113294E-2</v>
      </c>
      <c r="AB14" s="33">
        <f>SUM($U$14:$AA$14)</f>
        <v>0.10928848319820277</v>
      </c>
      <c r="AC14" s="33">
        <f>'TUSD BE'!$AC$14*'TUSD BF'!$AC$81</f>
        <v>0</v>
      </c>
      <c r="AD14" s="33">
        <f>SUM($AC$14:$AC$14)</f>
        <v>0</v>
      </c>
      <c r="AE14" s="33">
        <f ca="1">$AO$14*$AO$78</f>
        <v>0</v>
      </c>
      <c r="AF14" s="33">
        <f ca="1">$AP$14*$AP$78</f>
        <v>0</v>
      </c>
      <c r="AG14" s="33">
        <f ca="1">SUM($AE$14:$AF$14)</f>
        <v>0</v>
      </c>
      <c r="AH14" s="33">
        <f>'TUSD BE'!$AH$14*'TUSD BF'!$AH$81</f>
        <v>0</v>
      </c>
      <c r="AI14" s="33">
        <f>'TUSD BE'!$AI$14*'TUSD BF'!$AI$81</f>
        <v>0</v>
      </c>
      <c r="AJ14" s="33">
        <f>'TUSD BE'!$AJ$14*'TUSD BF'!$AJ$81</f>
        <v>0</v>
      </c>
      <c r="AK14" s="33">
        <f>'TUSD BE'!$AK$14*'TUSD BF'!$AK$81</f>
        <v>0</v>
      </c>
      <c r="AL14" s="33">
        <f>SUM($AH$14:$AK$14)</f>
        <v>0</v>
      </c>
      <c r="AM14" s="33">
        <f ca="1">SUMIF($L$4:$AL$4,"SUBTOTAL",$L$14:$AL$14)</f>
        <v>0.10928848319820277</v>
      </c>
      <c r="AO14" s="43">
        <f>+'TUSD BE'!$T$14+'TUSD BE'!$AB$14+'TUSD BE'!$AD$14+'TUSD BE'!$AL$14</f>
        <v>5.2584</v>
      </c>
      <c r="AP14" s="43">
        <f>+'TUSD BE'!$T$14+'TUSD BE'!$AB$14+'TUSD BE'!$AD$14+'TUSD BE'!$AL$14</f>
        <v>5.2584</v>
      </c>
    </row>
    <row r="15" spans="1:42" ht="11.25" customHeight="1" x14ac:dyDescent="0.25">
      <c r="A15" s="116"/>
      <c r="B15" s="116"/>
      <c r="C15" s="116"/>
      <c r="D15" s="116"/>
      <c r="E15" s="116"/>
      <c r="F15" s="41" t="s">
        <v>86</v>
      </c>
      <c r="G15" s="36" t="s">
        <v>9</v>
      </c>
      <c r="H15" s="36" t="s">
        <v>120</v>
      </c>
      <c r="I15" s="36">
        <f>'MERCADO TUSD'!$U$12</f>
        <v>292800</v>
      </c>
      <c r="J15" s="16"/>
      <c r="L15" s="33">
        <f>'TUSD BE'!$L$15*'TUSD BF'!$L$81</f>
        <v>0</v>
      </c>
      <c r="M15" s="33">
        <f>'TUSD BE'!$M$15*'TUSD BF'!$M$81</f>
        <v>0</v>
      </c>
      <c r="N15" s="33">
        <f>'TUSD BE'!$N$15*'TUSD BF'!$N$81</f>
        <v>0</v>
      </c>
      <c r="O15" s="33">
        <f>'TUSD BE'!$O$15*'TUSD BF'!$O$81</f>
        <v>0</v>
      </c>
      <c r="P15" s="33">
        <f>'TUSD BE'!$P$15*'TUSD BF'!$P$81</f>
        <v>0</v>
      </c>
      <c r="Q15" s="33">
        <f>'TUSD BE'!$Q$15*'TUSD BF'!$Q$81</f>
        <v>0</v>
      </c>
      <c r="R15" s="33">
        <f>'TUSD BE'!$R$15*'TUSD BF'!$R$81</f>
        <v>0</v>
      </c>
      <c r="S15" s="33">
        <f>'TUSD BE'!$R$15*'TUSD BF'!$S$81</f>
        <v>0</v>
      </c>
      <c r="T15" s="33">
        <f>SUM($L$15:$S$15)</f>
        <v>0</v>
      </c>
      <c r="U15" s="33">
        <f>'TUSD BE'!$U$15*'TUSD BF'!$U$81</f>
        <v>0</v>
      </c>
      <c r="V15" s="33">
        <f>'TUSD BE'!$V$15*'TUSD BF'!$V$81</f>
        <v>8.7444985475062881E-2</v>
      </c>
      <c r="W15" s="33">
        <f>'TUSD BE'!$W$15*'TUSD BF'!$W$81</f>
        <v>0</v>
      </c>
      <c r="X15" s="33">
        <f>'TUSD BE'!$X$15*'TUSD BF'!$X$81</f>
        <v>0</v>
      </c>
      <c r="Y15" s="33">
        <f>'TUSD BE'!$Y$15*'TUSD BF'!$Y$81</f>
        <v>0</v>
      </c>
      <c r="Z15" s="33">
        <f>'TUSD BE'!$Z$15*'TUSD BF'!$Z$81</f>
        <v>0</v>
      </c>
      <c r="AA15" s="33">
        <f>'TUSD BE'!$AA$15*'TUSD BF'!$AA$81</f>
        <v>1.2334193962113294E-2</v>
      </c>
      <c r="AB15" s="33">
        <f>SUM($U$15:$AA$15)</f>
        <v>9.977917943717618E-2</v>
      </c>
      <c r="AC15" s="33">
        <f>'TUSD BE'!$AC$15*'TUSD BF'!$AC$81</f>
        <v>0</v>
      </c>
      <c r="AD15" s="33">
        <f>SUM($AC$15:$AC$15)</f>
        <v>0</v>
      </c>
      <c r="AE15" s="33">
        <f ca="1">$AO$15*$AO$78</f>
        <v>0</v>
      </c>
      <c r="AF15" s="33">
        <f ca="1">$AP$15*$AP$78</f>
        <v>0</v>
      </c>
      <c r="AG15" s="33">
        <f ca="1">SUM($AE$15:$AF$15)</f>
        <v>0</v>
      </c>
      <c r="AH15" s="33">
        <f>'TUSD BE'!$AH$15*'TUSD BF'!$AH$81</f>
        <v>0</v>
      </c>
      <c r="AI15" s="33">
        <f>'TUSD BE'!$AI$15*'TUSD BF'!$AI$81</f>
        <v>0</v>
      </c>
      <c r="AJ15" s="33">
        <f>'TUSD BE'!$AJ$15*'TUSD BF'!$AJ$81</f>
        <v>0</v>
      </c>
      <c r="AK15" s="33">
        <f>'TUSD BE'!$AK$15*'TUSD BF'!$AK$81</f>
        <v>0</v>
      </c>
      <c r="AL15" s="33">
        <f>SUM($AH$15:$AK$15)</f>
        <v>0</v>
      </c>
      <c r="AM15" s="33">
        <f ca="1">SUMIF($L$4:$AL$4,"SUBTOTAL",$L$15:$AL$15)</f>
        <v>9.977917943717618E-2</v>
      </c>
      <c r="AO15" s="43">
        <f>+'TUSD BE'!$T$15+'TUSD BE'!$AB$15+'TUSD BE'!$AD$15+'TUSD BE'!$AL$15</f>
        <v>4.7667999999999999</v>
      </c>
      <c r="AP15" s="43">
        <f>+'TUSD BE'!$T$15+'TUSD BE'!$AB$15+'TUSD BE'!$AD$15+'TUSD BE'!$AL$15</f>
        <v>4.7667999999999999</v>
      </c>
    </row>
    <row r="16" spans="1:42" ht="11.25" customHeight="1" x14ac:dyDescent="0.25">
      <c r="A16" s="116"/>
      <c r="B16" s="116"/>
      <c r="C16" s="116"/>
      <c r="D16" s="116"/>
      <c r="E16" s="116"/>
      <c r="F16" s="41" t="s">
        <v>87</v>
      </c>
      <c r="G16" s="36" t="s">
        <v>9</v>
      </c>
      <c r="H16" s="36" t="s">
        <v>120</v>
      </c>
      <c r="I16" s="36">
        <f>'MERCADO TUSD'!$U$13</f>
        <v>300000</v>
      </c>
      <c r="J16" s="16"/>
      <c r="L16" s="33">
        <f>'TUSD BE'!$L$16*'TUSD BF'!$L$81</f>
        <v>0</v>
      </c>
      <c r="M16" s="33">
        <f>'TUSD BE'!$M$16*'TUSD BF'!$M$81</f>
        <v>0</v>
      </c>
      <c r="N16" s="33">
        <f>'TUSD BE'!$N$16*'TUSD BF'!$N$81</f>
        <v>0</v>
      </c>
      <c r="O16" s="33">
        <f>'TUSD BE'!$O$16*'TUSD BF'!$O$81</f>
        <v>0</v>
      </c>
      <c r="P16" s="33">
        <f>'TUSD BE'!$P$16*'TUSD BF'!$P$81</f>
        <v>0</v>
      </c>
      <c r="Q16" s="33">
        <f>'TUSD BE'!$Q$16*'TUSD BF'!$Q$81</f>
        <v>0</v>
      </c>
      <c r="R16" s="33">
        <f>'TUSD BE'!$R$16*'TUSD BF'!$R$81</f>
        <v>0</v>
      </c>
      <c r="S16" s="33">
        <f>'TUSD BE'!$R$16*'TUSD BF'!$S$81</f>
        <v>0</v>
      </c>
      <c r="T16" s="33">
        <f>SUM($L$16:$S$16)</f>
        <v>0</v>
      </c>
      <c r="U16" s="33">
        <f>'TUSD BE'!$U$16*'TUSD BF'!$U$81</f>
        <v>0</v>
      </c>
      <c r="V16" s="33">
        <f>'TUSD BE'!$V$16*'TUSD BF'!$V$81</f>
        <v>0.10667791894190785</v>
      </c>
      <c r="W16" s="33">
        <f>'TUSD BE'!$W$16*'TUSD BF'!$W$81</f>
        <v>0</v>
      </c>
      <c r="X16" s="33">
        <f>'TUSD BE'!$X$16*'TUSD BF'!$X$81</f>
        <v>0</v>
      </c>
      <c r="Y16" s="33">
        <f>'TUSD BE'!$Y$16*'TUSD BF'!$Y$81</f>
        <v>0</v>
      </c>
      <c r="Z16" s="33">
        <f>'TUSD BE'!$Z$16*'TUSD BF'!$Z$81</f>
        <v>0</v>
      </c>
      <c r="AA16" s="33">
        <f>'TUSD BE'!$AA$16*'TUSD BF'!$AA$81</f>
        <v>1.2334193962113294E-2</v>
      </c>
      <c r="AB16" s="33">
        <f>SUM($U$16:$AA$16)</f>
        <v>0.11901211290402115</v>
      </c>
      <c r="AC16" s="33">
        <f>'TUSD BE'!$AC$16*'TUSD BF'!$AC$81</f>
        <v>0</v>
      </c>
      <c r="AD16" s="33">
        <f>SUM($AC$16:$AC$16)</f>
        <v>0</v>
      </c>
      <c r="AE16" s="33">
        <f ca="1">$AO$16*$AO$78</f>
        <v>0</v>
      </c>
      <c r="AF16" s="33">
        <f ca="1">$AP$16*$AP$78</f>
        <v>0</v>
      </c>
      <c r="AG16" s="33">
        <f ca="1">SUM($AE$16:$AF$16)</f>
        <v>0</v>
      </c>
      <c r="AH16" s="33">
        <f>'TUSD BE'!$AH$16*'TUSD BF'!$AH$81</f>
        <v>0</v>
      </c>
      <c r="AI16" s="33">
        <f>'TUSD BE'!$AI$16*'TUSD BF'!$AI$81</f>
        <v>0</v>
      </c>
      <c r="AJ16" s="33">
        <f>'TUSD BE'!$AJ$16*'TUSD BF'!$AJ$81</f>
        <v>0</v>
      </c>
      <c r="AK16" s="33">
        <f>'TUSD BE'!$AK$16*'TUSD BF'!$AK$81</f>
        <v>0</v>
      </c>
      <c r="AL16" s="33">
        <f>SUM($AH$16:$AK$16)</f>
        <v>0</v>
      </c>
      <c r="AM16" s="33">
        <f ca="1">SUMIF($L$4:$AL$4,"SUBTOTAL",$L$16:$AL$16)</f>
        <v>0.11901211290402115</v>
      </c>
      <c r="AO16" s="43">
        <f>+'TUSD BE'!$T$16+'TUSD BE'!$AB$16+'TUSD BE'!$AD$16+'TUSD BE'!$AL$16</f>
        <v>5.7611999999999997</v>
      </c>
      <c r="AP16" s="43">
        <f>+'TUSD BE'!$T$16+'TUSD BE'!$AB$16+'TUSD BE'!$AD$16+'TUSD BE'!$AL$16</f>
        <v>5.7611999999999997</v>
      </c>
    </row>
    <row r="17" spans="1:42" ht="11.25" customHeight="1" x14ac:dyDescent="0.25">
      <c r="A17" s="116"/>
      <c r="B17" s="116"/>
      <c r="C17" s="116"/>
      <c r="D17" s="116"/>
      <c r="E17" s="116"/>
      <c r="F17" s="41" t="s">
        <v>89</v>
      </c>
      <c r="G17" s="36" t="s">
        <v>9</v>
      </c>
      <c r="H17" s="36" t="s">
        <v>120</v>
      </c>
      <c r="I17" s="36">
        <f>'MERCADO TUSD'!$U$14</f>
        <v>151200</v>
      </c>
      <c r="J17" s="16"/>
      <c r="L17" s="33">
        <f>'TUSD BE'!$L$17*'TUSD BF'!$L$81</f>
        <v>0</v>
      </c>
      <c r="M17" s="33">
        <f>'TUSD BE'!$M$17*'TUSD BF'!$M$81</f>
        <v>0</v>
      </c>
      <c r="N17" s="33">
        <f>'TUSD BE'!$N$17*'TUSD BF'!$N$81</f>
        <v>0</v>
      </c>
      <c r="O17" s="33">
        <f>'TUSD BE'!$O$17*'TUSD BF'!$O$81</f>
        <v>0</v>
      </c>
      <c r="P17" s="33">
        <f>'TUSD BE'!$P$17*'TUSD BF'!$P$81</f>
        <v>0</v>
      </c>
      <c r="Q17" s="33">
        <f>'TUSD BE'!$Q$17*'TUSD BF'!$Q$81</f>
        <v>0</v>
      </c>
      <c r="R17" s="33">
        <f>'TUSD BE'!$R$17*'TUSD BF'!$R$81</f>
        <v>0</v>
      </c>
      <c r="S17" s="33">
        <f>'TUSD BE'!$R$17*'TUSD BF'!$S$81</f>
        <v>0</v>
      </c>
      <c r="T17" s="33">
        <f>SUM($L$17:$S$17)</f>
        <v>0</v>
      </c>
      <c r="U17" s="33">
        <f>'TUSD BE'!$U$17*'TUSD BF'!$U$81</f>
        <v>0</v>
      </c>
      <c r="V17" s="33">
        <f>'TUSD BE'!$V$17*'TUSD BF'!$V$81</f>
        <v>0.10234063863809442</v>
      </c>
      <c r="W17" s="33">
        <f>'TUSD BE'!$W$17*'TUSD BF'!$W$81</f>
        <v>0</v>
      </c>
      <c r="X17" s="33">
        <f>'TUSD BE'!$X$17*'TUSD BF'!$X$81</f>
        <v>0</v>
      </c>
      <c r="Y17" s="33">
        <f>'TUSD BE'!$Y$17*'TUSD BF'!$Y$81</f>
        <v>0</v>
      </c>
      <c r="Z17" s="33">
        <f>'TUSD BE'!$Z$17*'TUSD BF'!$Z$81</f>
        <v>0</v>
      </c>
      <c r="AA17" s="33">
        <f>'TUSD BE'!$AA$17*'TUSD BF'!$AA$81</f>
        <v>1.2334193962113294E-2</v>
      </c>
      <c r="AB17" s="33">
        <f>SUM($U$17:$AA$17)</f>
        <v>0.11467483260020772</v>
      </c>
      <c r="AC17" s="33">
        <f>'TUSD BE'!$AC$17*'TUSD BF'!$AC$81</f>
        <v>0</v>
      </c>
      <c r="AD17" s="33">
        <f>SUM($AC$17:$AC$17)</f>
        <v>0</v>
      </c>
      <c r="AE17" s="33">
        <f ca="1">$AO$17*$AO$78</f>
        <v>0</v>
      </c>
      <c r="AF17" s="33">
        <f ca="1">$AP$17*$AP$78</f>
        <v>0</v>
      </c>
      <c r="AG17" s="33">
        <f ca="1">SUM($AE$17:$AF$17)</f>
        <v>0</v>
      </c>
      <c r="AH17" s="33">
        <f>'TUSD BE'!$AH$17*'TUSD BF'!$AH$81</f>
        <v>0</v>
      </c>
      <c r="AI17" s="33">
        <f>'TUSD BE'!$AI$17*'TUSD BF'!$AI$81</f>
        <v>0</v>
      </c>
      <c r="AJ17" s="33">
        <f>'TUSD BE'!$AJ$17*'TUSD BF'!$AJ$81</f>
        <v>0</v>
      </c>
      <c r="AK17" s="33">
        <f>'TUSD BE'!$AK$17*'TUSD BF'!$AK$81</f>
        <v>0</v>
      </c>
      <c r="AL17" s="33">
        <f>SUM($AH$17:$AK$17)</f>
        <v>0</v>
      </c>
      <c r="AM17" s="33">
        <f ca="1">SUMIF($L$4:$AL$4,"SUBTOTAL",$L$17:$AL$17)</f>
        <v>0.11467483260020772</v>
      </c>
      <c r="AO17" s="43">
        <f>+'TUSD BE'!$T$17+'TUSD BE'!$AB$17+'TUSD BE'!$AD$17+'TUSD BE'!$AL$17</f>
        <v>5.5366999999999997</v>
      </c>
      <c r="AP17" s="43">
        <f>+'TUSD BE'!$T$17+'TUSD BE'!$AB$17+'TUSD BE'!$AD$17+'TUSD BE'!$AL$17</f>
        <v>5.5366999999999997</v>
      </c>
    </row>
    <row r="18" spans="1:42" ht="11.25" customHeight="1" x14ac:dyDescent="0.25">
      <c r="A18" s="116"/>
      <c r="B18" s="116"/>
      <c r="C18" s="116"/>
      <c r="D18" s="116"/>
      <c r="E18" s="116"/>
      <c r="F18" s="41" t="s">
        <v>92</v>
      </c>
      <c r="G18" s="36" t="s">
        <v>9</v>
      </c>
      <c r="H18" s="36" t="s">
        <v>120</v>
      </c>
      <c r="I18" s="36">
        <f>'MERCADO TUSD'!$U$15</f>
        <v>97200</v>
      </c>
      <c r="J18" s="16"/>
      <c r="L18" s="33">
        <f>'TUSD BE'!$L$18*'TUSD BF'!$L$81</f>
        <v>0</v>
      </c>
      <c r="M18" s="33">
        <f>'TUSD BE'!$M$18*'TUSD BF'!$M$81</f>
        <v>0</v>
      </c>
      <c r="N18" s="33">
        <f>'TUSD BE'!$N$18*'TUSD BF'!$N$81</f>
        <v>0</v>
      </c>
      <c r="O18" s="33">
        <f>'TUSD BE'!$O$18*'TUSD BF'!$O$81</f>
        <v>0</v>
      </c>
      <c r="P18" s="33">
        <f>'TUSD BE'!$P$18*'TUSD BF'!$P$81</f>
        <v>0</v>
      </c>
      <c r="Q18" s="33">
        <f>'TUSD BE'!$Q$18*'TUSD BF'!$Q$81</f>
        <v>0</v>
      </c>
      <c r="R18" s="33">
        <f>'TUSD BE'!$R$18*'TUSD BF'!$R$81</f>
        <v>0</v>
      </c>
      <c r="S18" s="33">
        <f>'TUSD BE'!$R$18*'TUSD BF'!$S$81</f>
        <v>0</v>
      </c>
      <c r="T18" s="33">
        <f>SUM($L$18:$S$18)</f>
        <v>0</v>
      </c>
      <c r="U18" s="33">
        <f>'TUSD BE'!$U$18*'TUSD BF'!$U$81</f>
        <v>0</v>
      </c>
      <c r="V18" s="33">
        <f>'TUSD BE'!$V$18*'TUSD BF'!$V$81</f>
        <v>9.5651413098012866E-2</v>
      </c>
      <c r="W18" s="33">
        <f>'TUSD BE'!$W$18*'TUSD BF'!$W$81</f>
        <v>0</v>
      </c>
      <c r="X18" s="33">
        <f>'TUSD BE'!$X$18*'TUSD BF'!$X$81</f>
        <v>0</v>
      </c>
      <c r="Y18" s="33">
        <f>'TUSD BE'!$Y$18*'TUSD BF'!$Y$81</f>
        <v>0</v>
      </c>
      <c r="Z18" s="33">
        <f>'TUSD BE'!$Z$18*'TUSD BF'!$Z$81</f>
        <v>0</v>
      </c>
      <c r="AA18" s="33">
        <f>'TUSD BE'!$AA$18*'TUSD BF'!$AA$81</f>
        <v>1.2334193962113294E-2</v>
      </c>
      <c r="AB18" s="33">
        <f>SUM($U$18:$AA$18)</f>
        <v>0.10798560706012617</v>
      </c>
      <c r="AC18" s="33">
        <f>'TUSD BE'!$AC$18*'TUSD BF'!$AC$81</f>
        <v>0</v>
      </c>
      <c r="AD18" s="33">
        <f>SUM($AC$18:$AC$18)</f>
        <v>0</v>
      </c>
      <c r="AE18" s="33">
        <f ca="1">$AO$18*$AO$78</f>
        <v>0</v>
      </c>
      <c r="AF18" s="33">
        <f ca="1">$AP$18*$AP$78</f>
        <v>0</v>
      </c>
      <c r="AG18" s="33">
        <f ca="1">SUM($AE$18:$AF$18)</f>
        <v>0</v>
      </c>
      <c r="AH18" s="33">
        <f>'TUSD BE'!$AH$18*'TUSD BF'!$AH$81</f>
        <v>0</v>
      </c>
      <c r="AI18" s="33">
        <f>'TUSD BE'!$AI$18*'TUSD BF'!$AI$81</f>
        <v>0</v>
      </c>
      <c r="AJ18" s="33">
        <f>'TUSD BE'!$AJ$18*'TUSD BF'!$AJ$81</f>
        <v>0</v>
      </c>
      <c r="AK18" s="33">
        <f>'TUSD BE'!$AK$18*'TUSD BF'!$AK$81</f>
        <v>0</v>
      </c>
      <c r="AL18" s="33">
        <f>SUM($AH$18:$AK$18)</f>
        <v>0</v>
      </c>
      <c r="AM18" s="33">
        <f ca="1">SUMIF($L$4:$AL$4,"SUBTOTAL",$L$18:$AL$18)</f>
        <v>0.10798560706012617</v>
      </c>
      <c r="AO18" s="43">
        <f>+'TUSD BE'!$T$18+'TUSD BE'!$AB$18+'TUSD BE'!$AD$18+'TUSD BE'!$AL$18</f>
        <v>5.1910000000000007</v>
      </c>
      <c r="AP18" s="43">
        <f>+'TUSD BE'!$T$18+'TUSD BE'!$AB$18+'TUSD BE'!$AD$18+'TUSD BE'!$AL$18</f>
        <v>5.1910000000000007</v>
      </c>
    </row>
    <row r="19" spans="1:42" ht="11.25" customHeight="1" x14ac:dyDescent="0.25">
      <c r="A19" s="116"/>
      <c r="B19" s="116"/>
      <c r="C19" s="116"/>
      <c r="D19" s="116"/>
      <c r="E19" s="116"/>
      <c r="F19" s="41" t="s">
        <v>124</v>
      </c>
      <c r="G19" s="36" t="s">
        <v>9</v>
      </c>
      <c r="H19" s="36" t="s">
        <v>120</v>
      </c>
      <c r="I19" s="36">
        <f>'MERCADO TUSD'!$U$16</f>
        <v>0</v>
      </c>
      <c r="J19" s="16"/>
      <c r="L19" s="33">
        <f>'TUSD BE'!$L$19*'TUSD BF'!$L$81</f>
        <v>0</v>
      </c>
      <c r="M19" s="33">
        <f>'TUSD BE'!$M$19*'TUSD BF'!$M$81</f>
        <v>0</v>
      </c>
      <c r="N19" s="33">
        <f>'TUSD BE'!$N$19*'TUSD BF'!$N$81</f>
        <v>0</v>
      </c>
      <c r="O19" s="33">
        <f>'TUSD BE'!$O$19*'TUSD BF'!$O$81</f>
        <v>0</v>
      </c>
      <c r="P19" s="33">
        <f>'TUSD BE'!$P$19*'TUSD BF'!$P$81</f>
        <v>0</v>
      </c>
      <c r="Q19" s="33">
        <f>'TUSD BE'!$Q$19*'TUSD BF'!$Q$81</f>
        <v>0</v>
      </c>
      <c r="R19" s="33">
        <f>'TUSD BE'!$R$19*'TUSD BF'!$R$81</f>
        <v>0</v>
      </c>
      <c r="S19" s="33">
        <f>'TUSD BE'!$R$19*'TUSD BF'!$S$81</f>
        <v>0</v>
      </c>
      <c r="T19" s="33">
        <f>SUM($L$19:$S$19)</f>
        <v>0</v>
      </c>
      <c r="U19" s="33">
        <f>'TUSD BE'!$U$19*'TUSD BF'!$U$81</f>
        <v>0</v>
      </c>
      <c r="V19" s="33">
        <f>'TUSD BE'!$V$19*'TUSD BF'!$V$81</f>
        <v>5.0879851262289881E-2</v>
      </c>
      <c r="W19" s="33">
        <f>'TUSD BE'!$W$19*'TUSD BF'!$W$81</f>
        <v>0</v>
      </c>
      <c r="X19" s="33">
        <f>'TUSD BE'!$X$19*'TUSD BF'!$X$81</f>
        <v>0</v>
      </c>
      <c r="Y19" s="33">
        <f>'TUSD BE'!$Y$19*'TUSD BF'!$Y$81</f>
        <v>0</v>
      </c>
      <c r="Z19" s="33">
        <f>'TUSD BE'!$Z$19*'TUSD BF'!$Z$81</f>
        <v>0</v>
      </c>
      <c r="AA19" s="33">
        <f>'TUSD BE'!$AA$19*'TUSD BF'!$AA$81</f>
        <v>0</v>
      </c>
      <c r="AB19" s="33">
        <f>SUM($U$19:$AA$19)</f>
        <v>5.0879851262289881E-2</v>
      </c>
      <c r="AC19" s="33">
        <f>'TUSD BE'!$AC$19*'TUSD BF'!$AC$81</f>
        <v>0</v>
      </c>
      <c r="AD19" s="33">
        <f>SUM($AC$19:$AC$19)</f>
        <v>0</v>
      </c>
      <c r="AE19" s="33">
        <f ca="1">$AO$19*$AO$78</f>
        <v>0</v>
      </c>
      <c r="AF19" s="33">
        <f ca="1">$AP$19*$AP$78</f>
        <v>0</v>
      </c>
      <c r="AG19" s="33">
        <f ca="1">SUM($AE$19:$AF$19)</f>
        <v>0</v>
      </c>
      <c r="AH19" s="33">
        <f>'TUSD BE'!$AH$19*'TUSD BF'!$AH$81</f>
        <v>0</v>
      </c>
      <c r="AI19" s="33">
        <f>'TUSD BE'!$AI$19*'TUSD BF'!$AI$81</f>
        <v>0</v>
      </c>
      <c r="AJ19" s="33">
        <f>'TUSD BE'!$AJ$19*'TUSD BF'!$AJ$81</f>
        <v>0</v>
      </c>
      <c r="AK19" s="33">
        <f>'TUSD BE'!$AK$19*'TUSD BF'!$AK$81</f>
        <v>0</v>
      </c>
      <c r="AL19" s="33">
        <f>SUM($AH$19:$AK$19)</f>
        <v>0</v>
      </c>
      <c r="AM19" s="33">
        <f ca="1">SUMIF($L$4:$AL$4,"SUBTOTAL",$L$19:$AL$19)</f>
        <v>5.0879851262289881E-2</v>
      </c>
      <c r="AO19" s="43">
        <f>+'TUSD BE'!$T$19+'TUSD BE'!$AB$19+'TUSD BE'!$AD$19+'TUSD BE'!$AL$19</f>
        <v>5.2130000000000001</v>
      </c>
      <c r="AP19" s="43">
        <f>+'TUSD BE'!$T$19+'TUSD BE'!$AB$19+'TUSD BE'!$AD$19+'TUSD BE'!$AL$19</f>
        <v>5.2130000000000001</v>
      </c>
    </row>
    <row r="20" spans="1:42" ht="11.25" customHeight="1" x14ac:dyDescent="0.25">
      <c r="A20" s="116" t="s">
        <v>39</v>
      </c>
      <c r="B20" s="116" t="s">
        <v>40</v>
      </c>
      <c r="C20" s="116" t="s">
        <v>25</v>
      </c>
      <c r="D20" s="116" t="s">
        <v>25</v>
      </c>
      <c r="E20" s="116" t="s">
        <v>25</v>
      </c>
      <c r="F20" s="116" t="s">
        <v>25</v>
      </c>
      <c r="G20" s="36" t="s">
        <v>121</v>
      </c>
      <c r="H20" s="36" t="s">
        <v>120</v>
      </c>
      <c r="I20" s="36">
        <f>'MERCADO TUSD'!$U$17</f>
        <v>180459</v>
      </c>
      <c r="J20" s="16"/>
      <c r="L20" s="33">
        <f>'TUSD BE'!$L$20*'TUSD BF'!$L$81</f>
        <v>0</v>
      </c>
      <c r="M20" s="33">
        <f>'TUSD BE'!$M$20*'TUSD BF'!$M$81</f>
        <v>0</v>
      </c>
      <c r="N20" s="33">
        <f ca="1">'TUSD BE'!$N$20*'TUSD BF'!$N$81</f>
        <v>0</v>
      </c>
      <c r="O20" s="33">
        <f>'TUSD BE'!$O$20*'TUSD BF'!$O$81</f>
        <v>0</v>
      </c>
      <c r="P20" s="33">
        <f>'TUSD BE'!$P$20*'TUSD BF'!$P$81</f>
        <v>0</v>
      </c>
      <c r="Q20" s="33">
        <f>'TUSD BE'!$Q$20*'TUSD BF'!$Q$81</f>
        <v>0</v>
      </c>
      <c r="R20" s="33">
        <f>'TUSD BE'!$R$20*'TUSD BF'!$R$81</f>
        <v>0</v>
      </c>
      <c r="S20" s="33">
        <f>'TUSD BE'!$R$20*'TUSD BF'!$S$81</f>
        <v>0</v>
      </c>
      <c r="T20" s="33">
        <f ca="1">SUM($L$20:$S$20)</f>
        <v>0</v>
      </c>
      <c r="U20" s="33">
        <f>'TUSD BE'!$U$20*'TUSD BF'!$U$81</f>
        <v>0.14524746979576114</v>
      </c>
      <c r="V20" s="33">
        <f>'TUSD BE'!$V$20*'TUSD BF'!$V$81</f>
        <v>2.0878909137753586E-3</v>
      </c>
      <c r="W20" s="33">
        <f>'TUSD BE'!$W$20*'TUSD BF'!$W$81</f>
        <v>0</v>
      </c>
      <c r="X20" s="33">
        <f>'TUSD BE'!$X$20*'TUSD BF'!$X$81</f>
        <v>0</v>
      </c>
      <c r="Y20" s="33">
        <f>'TUSD BE'!$Y$20*'TUSD BF'!$Y$81</f>
        <v>0</v>
      </c>
      <c r="Z20" s="33">
        <f>'TUSD BE'!$Z$20*'TUSD BF'!$Z$81</f>
        <v>0</v>
      </c>
      <c r="AA20" s="33">
        <f>'TUSD BE'!$AA$20*'TUSD BF'!$AA$81</f>
        <v>0</v>
      </c>
      <c r="AB20" s="33">
        <f>SUM($U$20:$AA$20)</f>
        <v>0.14733536070953651</v>
      </c>
      <c r="AC20" s="33">
        <f>'TUSD BE'!$AC$20*'TUSD BF'!$AC$81</f>
        <v>0</v>
      </c>
      <c r="AD20" s="33">
        <f>SUM($AC$20:$AC$20)</f>
        <v>0</v>
      </c>
      <c r="AE20" s="33">
        <f ca="1">$AO$20*$AO$78</f>
        <v>0</v>
      </c>
      <c r="AF20" s="33">
        <f ca="1">$AP$20*$AP$78</f>
        <v>0</v>
      </c>
      <c r="AG20" s="33">
        <f ca="1">SUM($AE$20:$AF$20)</f>
        <v>0</v>
      </c>
      <c r="AH20" s="33">
        <f>'TUSD BE'!$AH$20*'TUSD BF'!$AH$81</f>
        <v>0</v>
      </c>
      <c r="AI20" s="33">
        <f>'TUSD BE'!$AI$20*'TUSD BF'!$AI$81</f>
        <v>0</v>
      </c>
      <c r="AJ20" s="33">
        <f ca="1">'TUSD BE'!$AJ$20*'TUSD BF'!$AJ$81</f>
        <v>0</v>
      </c>
      <c r="AK20" s="33">
        <f ca="1">'TUSD BE'!$AK$20*'TUSD BF'!$AK$81</f>
        <v>0</v>
      </c>
      <c r="AL20" s="33">
        <f ca="1">SUM($AH$20:$AK$20)</f>
        <v>0</v>
      </c>
      <c r="AM20" s="33">
        <f ca="1">SUMIF($L$4:$AL$4,"SUBTOTAL",$L$20:$AL$20)</f>
        <v>0.14733536070953651</v>
      </c>
      <c r="AO20" s="43">
        <f ca="1">+'TUSD BE'!$T$20+'TUSD BE'!$AB$20+'TUSD BE'!$AD$20+'TUSD BE'!$AL$20</f>
        <v>27.438454085569195</v>
      </c>
      <c r="AP20" s="43">
        <f ca="1">+'TUSD BE'!$T$20+'TUSD BE'!$AB$20+'TUSD BE'!$AD$20+'TUSD BE'!$AL$20</f>
        <v>27.438454085569195</v>
      </c>
    </row>
    <row r="21" spans="1:42" ht="11.25" customHeight="1" x14ac:dyDescent="0.25">
      <c r="A21" s="116"/>
      <c r="B21" s="116"/>
      <c r="C21" s="116"/>
      <c r="D21" s="116"/>
      <c r="E21" s="116"/>
      <c r="F21" s="116"/>
      <c r="G21" s="36" t="s">
        <v>122</v>
      </c>
      <c r="H21" s="36" t="s">
        <v>120</v>
      </c>
      <c r="I21" s="36">
        <f>'MERCADO TUSD'!$U$18</f>
        <v>183466</v>
      </c>
      <c r="J21" s="16"/>
      <c r="L21" s="33">
        <f>'TUSD BE'!$L$21*'TUSD BF'!$L$81</f>
        <v>0</v>
      </c>
      <c r="M21" s="33">
        <f>'TUSD BE'!$M$21*'TUSD BF'!$M$81</f>
        <v>0</v>
      </c>
      <c r="N21" s="33">
        <f ca="1">'TUSD BE'!$N$21*'TUSD BF'!$N$81</f>
        <v>0</v>
      </c>
      <c r="O21" s="33">
        <f>'TUSD BE'!$O$21*'TUSD BF'!$O$81</f>
        <v>0</v>
      </c>
      <c r="P21" s="33">
        <f>'TUSD BE'!$P$21*'TUSD BF'!$P$81</f>
        <v>0</v>
      </c>
      <c r="Q21" s="33">
        <f>'TUSD BE'!$Q$21*'TUSD BF'!$Q$81</f>
        <v>0</v>
      </c>
      <c r="R21" s="33">
        <f>'TUSD BE'!$R$21*'TUSD BF'!$R$81</f>
        <v>0</v>
      </c>
      <c r="S21" s="33">
        <f>'TUSD BE'!$R$21*'TUSD BF'!$S$81</f>
        <v>0</v>
      </c>
      <c r="T21" s="33">
        <f ca="1">SUM($L$21:$S$21)</f>
        <v>0</v>
      </c>
      <c r="U21" s="33">
        <f>'TUSD BE'!$U$21*'TUSD BF'!$U$81</f>
        <v>0.1302512007839785</v>
      </c>
      <c r="V21" s="33">
        <f>'TUSD BE'!$V$21*'TUSD BF'!$V$81</f>
        <v>1.9028602035351719E-3</v>
      </c>
      <c r="W21" s="33">
        <f>'TUSD BE'!$W$21*'TUSD BF'!$W$81</f>
        <v>0</v>
      </c>
      <c r="X21" s="33">
        <f>'TUSD BE'!$X$21*'TUSD BF'!$X$81</f>
        <v>0</v>
      </c>
      <c r="Y21" s="33">
        <f>'TUSD BE'!$Y$21*'TUSD BF'!$Y$81</f>
        <v>0</v>
      </c>
      <c r="Z21" s="33">
        <f>'TUSD BE'!$Z$21*'TUSD BF'!$Z$81</f>
        <v>0</v>
      </c>
      <c r="AA21" s="33">
        <f>'TUSD BE'!$AA$21*'TUSD BF'!$AA$81</f>
        <v>0</v>
      </c>
      <c r="AB21" s="33">
        <f>SUM($U$21:$AA$21)</f>
        <v>0.13215406098751367</v>
      </c>
      <c r="AC21" s="33">
        <f>'TUSD BE'!$AC$21*'TUSD BF'!$AC$81</f>
        <v>0</v>
      </c>
      <c r="AD21" s="33">
        <f>SUM($AC$21:$AC$21)</f>
        <v>0</v>
      </c>
      <c r="AE21" s="33">
        <f ca="1">$AO$21*$AO$78</f>
        <v>0</v>
      </c>
      <c r="AF21" s="33">
        <f ca="1">$AP$21*$AP$78</f>
        <v>0</v>
      </c>
      <c r="AG21" s="33">
        <f ca="1">SUM($AE$21:$AF$21)</f>
        <v>0</v>
      </c>
      <c r="AH21" s="33">
        <f>'TUSD BE'!$AH$21*'TUSD BF'!$AH$81</f>
        <v>0</v>
      </c>
      <c r="AI21" s="33">
        <f>'TUSD BE'!$AI$21*'TUSD BF'!$AI$81</f>
        <v>0</v>
      </c>
      <c r="AJ21" s="33">
        <f ca="1">'TUSD BE'!$AJ$21*'TUSD BF'!$AJ$81</f>
        <v>0</v>
      </c>
      <c r="AK21" s="33">
        <f ca="1">'TUSD BE'!$AK$21*'TUSD BF'!$AK$81</f>
        <v>0</v>
      </c>
      <c r="AL21" s="33">
        <f ca="1">SUM($AH$21:$AK$21)</f>
        <v>0</v>
      </c>
      <c r="AM21" s="33">
        <f ca="1">SUMIF($L$4:$AL$4,"SUBTOTAL",$L$21:$AL$21)</f>
        <v>0.13215406098751367</v>
      </c>
      <c r="AO21" s="43">
        <f ca="1">+'TUSD BE'!$T$21+'TUSD BE'!$AB$21+'TUSD BE'!$AD$21+'TUSD BE'!$AL$21</f>
        <v>10.763304454166171</v>
      </c>
      <c r="AP21" s="43">
        <f ca="1">+'TUSD BE'!$T$21+'TUSD BE'!$AB$21+'TUSD BE'!$AD$21+'TUSD BE'!$AL$21</f>
        <v>10.763304454166171</v>
      </c>
    </row>
    <row r="22" spans="1:42" ht="11.25" customHeight="1" x14ac:dyDescent="0.25">
      <c r="A22" s="116"/>
      <c r="B22" s="116"/>
      <c r="C22" s="116"/>
      <c r="D22" s="116"/>
      <c r="E22" s="116"/>
      <c r="F22" s="116"/>
      <c r="G22" s="36" t="s">
        <v>123</v>
      </c>
      <c r="H22" s="36" t="s">
        <v>117</v>
      </c>
      <c r="I22" s="36">
        <f>'MERCADO TUSD'!$U$19</f>
        <v>99874.462</v>
      </c>
      <c r="J22" s="16"/>
      <c r="L22" s="33">
        <f>'TUSD BE'!$L$22*'TUSD BF'!$L$81</f>
        <v>0.25825327913841722</v>
      </c>
      <c r="M22" s="33">
        <f>'TUSD BE'!$M$22*'TUSD BF'!$M$81</f>
        <v>0</v>
      </c>
      <c r="N22" s="33">
        <f ca="1">'TUSD BE'!$N$22*'TUSD BF'!$N$81</f>
        <v>0</v>
      </c>
      <c r="O22" s="33">
        <f>'TUSD BE'!$O$22*'TUSD BF'!$O$81</f>
        <v>0</v>
      </c>
      <c r="P22" s="33">
        <f>'TUSD BE'!$P$22*'TUSD BF'!$P$81</f>
        <v>0</v>
      </c>
      <c r="Q22" s="33">
        <f>'TUSD BE'!$Q$22*'TUSD BF'!$Q$81</f>
        <v>6.9880964680560895</v>
      </c>
      <c r="R22" s="33">
        <f>'TUSD BE'!$R$22*'TUSD BF'!$R$81</f>
        <v>2.8708931432949591</v>
      </c>
      <c r="S22" s="33">
        <f>'TUSD BE'!$R$22*'TUSD BF'!$S$81</f>
        <v>0</v>
      </c>
      <c r="T22" s="33">
        <f ca="1">SUM($L$22:$S$22)</f>
        <v>10.117242890489466</v>
      </c>
      <c r="U22" s="33">
        <f>'TUSD BE'!$U$22*'TUSD BF'!$U$81</f>
        <v>0</v>
      </c>
      <c r="V22" s="33">
        <f>'TUSD BE'!$V$22*'TUSD BF'!$V$81</f>
        <v>0</v>
      </c>
      <c r="W22" s="33">
        <f>'TUSD BE'!$W$22*'TUSD BF'!$W$81</f>
        <v>0</v>
      </c>
      <c r="X22" s="33">
        <f>'TUSD BE'!$X$22*'TUSD BF'!$X$81</f>
        <v>0</v>
      </c>
      <c r="Y22" s="33">
        <f>'TUSD BE'!$Y$22*'TUSD BF'!$Y$81</f>
        <v>0</v>
      </c>
      <c r="Z22" s="33">
        <f>'TUSD BE'!$Z$22*'TUSD BF'!$Z$81</f>
        <v>0</v>
      </c>
      <c r="AA22" s="33">
        <f>'TUSD BE'!$AA$22*'TUSD BF'!$AA$81</f>
        <v>0</v>
      </c>
      <c r="AB22" s="33">
        <f>SUM($U$22:$AA$22)</f>
        <v>0</v>
      </c>
      <c r="AC22" s="33">
        <f>'TUSD BE'!$AC$22*'TUSD BF'!$AC$81</f>
        <v>0</v>
      </c>
      <c r="AD22" s="33">
        <f>SUM($AC$22:$AC$22)</f>
        <v>0</v>
      </c>
      <c r="AE22" s="33">
        <f ca="1">$AO$22*$AO$78</f>
        <v>0</v>
      </c>
      <c r="AF22" s="33">
        <f ca="1">$AP$22*$AP$78</f>
        <v>0</v>
      </c>
      <c r="AG22" s="33">
        <f ca="1">SUM($AE$22:$AF$22)</f>
        <v>0</v>
      </c>
      <c r="AH22" s="33">
        <f>'TUSD BE'!$AH$22*'TUSD BF'!$AH$81</f>
        <v>0.85752496502614228</v>
      </c>
      <c r="AI22" s="33">
        <f>'TUSD BE'!$AI$22*'TUSD BF'!$AI$81</f>
        <v>1.9040516103825662E-3</v>
      </c>
      <c r="AJ22" s="33">
        <f ca="1">'TUSD BE'!$AJ$22*'TUSD BF'!$AJ$81</f>
        <v>2.1734049621716295E-2</v>
      </c>
      <c r="AK22" s="33">
        <f ca="1">'TUSD BE'!$AK$22*'TUSD BF'!$AK$81</f>
        <v>0</v>
      </c>
      <c r="AL22" s="33">
        <f ca="1">SUM($AH$22:$AK$22)</f>
        <v>0.88116306625824115</v>
      </c>
      <c r="AM22" s="33">
        <f ca="1">SUMIF($L$4:$AL$4,"SUBTOTAL",$L$22:$AL$22)</f>
        <v>10.998405956747707</v>
      </c>
      <c r="AO22" s="43">
        <f ca="1">+'TUSD BE'!$T$22+'TUSD BE'!$AB$22+'TUSD BE'!$AD$22+'TUSD BE'!$AL$22</f>
        <v>92.323252852955449</v>
      </c>
      <c r="AP22" s="43">
        <f ca="1">+'TUSD BE'!$T$22+'TUSD BE'!$AB$22+'TUSD BE'!$AD$22+'TUSD BE'!$AL$22</f>
        <v>92.323252852955449</v>
      </c>
    </row>
    <row r="23" spans="1:42" ht="11.25" customHeight="1" x14ac:dyDescent="0.25">
      <c r="A23" s="116"/>
      <c r="B23" s="116"/>
      <c r="C23" s="116"/>
      <c r="D23" s="116"/>
      <c r="E23" s="41" t="s">
        <v>61</v>
      </c>
      <c r="F23" s="41" t="s">
        <v>25</v>
      </c>
      <c r="G23" s="36" t="s">
        <v>123</v>
      </c>
      <c r="H23" s="36" t="s">
        <v>117</v>
      </c>
      <c r="I23" s="36">
        <f>'MERCADO TUSD'!$U$20</f>
        <v>0</v>
      </c>
      <c r="J23" s="16"/>
      <c r="L23" s="33">
        <f>'TUSD BE'!$L$23*'TUSD BF'!$L$81</f>
        <v>0</v>
      </c>
      <c r="M23" s="33">
        <f>'TUSD BE'!$M$23*'TUSD BF'!$M$81</f>
        <v>0</v>
      </c>
      <c r="N23" s="33">
        <f ca="1">'TUSD BE'!$N$23*'TUSD BF'!$N$81</f>
        <v>0</v>
      </c>
      <c r="O23" s="33">
        <f>'TUSD BE'!$O$23*'TUSD BF'!$O$81</f>
        <v>0</v>
      </c>
      <c r="P23" s="33">
        <f>'TUSD BE'!$P$23*'TUSD BF'!$P$81</f>
        <v>0</v>
      </c>
      <c r="Q23" s="33">
        <f>'TUSD BE'!$Q$23*'TUSD BF'!$Q$81</f>
        <v>0</v>
      </c>
      <c r="R23" s="33">
        <f>'TUSD BE'!$R$23*'TUSD BF'!$R$81</f>
        <v>0</v>
      </c>
      <c r="S23" s="33">
        <f>'TUSD BE'!$R$23*'TUSD BF'!$S$81</f>
        <v>0</v>
      </c>
      <c r="T23" s="33">
        <f ca="1">SUM($L$23:$S$23)</f>
        <v>0</v>
      </c>
      <c r="U23" s="33">
        <f>'TUSD BE'!$U$23*'TUSD BF'!$U$81</f>
        <v>0</v>
      </c>
      <c r="V23" s="33">
        <f>'TUSD BE'!$V$23*'TUSD BF'!$V$81</f>
        <v>0</v>
      </c>
      <c r="W23" s="33">
        <f>'TUSD BE'!$W$23*'TUSD BF'!$W$81</f>
        <v>0</v>
      </c>
      <c r="X23" s="33">
        <f>'TUSD BE'!$X$23*'TUSD BF'!$X$81</f>
        <v>0</v>
      </c>
      <c r="Y23" s="33">
        <f>'TUSD BE'!$Y$23*'TUSD BF'!$Y$81</f>
        <v>0</v>
      </c>
      <c r="Z23" s="33">
        <f>'TUSD BE'!$Z$23*'TUSD BF'!$Z$81</f>
        <v>0</v>
      </c>
      <c r="AA23" s="33">
        <f>'TUSD BE'!$AA$23*'TUSD BF'!$AA$81</f>
        <v>0</v>
      </c>
      <c r="AB23" s="33">
        <f>SUM($U$23:$AA$23)</f>
        <v>0</v>
      </c>
      <c r="AC23" s="33">
        <f>'TUSD BE'!$AC$23*'TUSD BF'!$AC$81</f>
        <v>0</v>
      </c>
      <c r="AD23" s="33">
        <f>SUM($AC$23:$AC$23)</f>
        <v>0</v>
      </c>
      <c r="AE23" s="33">
        <f ca="1">$AO$23*$AO$78</f>
        <v>0</v>
      </c>
      <c r="AF23" s="33">
        <f ca="1">$AP$23*$AP$78</f>
        <v>0</v>
      </c>
      <c r="AG23" s="33">
        <f ca="1">SUM($AE$23:$AF$23)</f>
        <v>0</v>
      </c>
      <c r="AH23" s="33">
        <f>'TUSD BE'!$AH$23*'TUSD BF'!$AH$81</f>
        <v>0.85752496502614228</v>
      </c>
      <c r="AI23" s="33">
        <f>'TUSD BE'!$AI$23*'TUSD BF'!$AI$81</f>
        <v>1.9040516103825662E-3</v>
      </c>
      <c r="AJ23" s="33">
        <f ca="1">'TUSD BE'!$AJ$23*'TUSD BF'!$AJ$81</f>
        <v>2.1734049621716295E-2</v>
      </c>
      <c r="AK23" s="33">
        <f ca="1">'TUSD BE'!$AK$23*'TUSD BF'!$AK$81</f>
        <v>0</v>
      </c>
      <c r="AL23" s="33">
        <f ca="1">SUM($AH$23:$AK$23)</f>
        <v>0.88116306625824115</v>
      </c>
      <c r="AM23" s="33">
        <f ca="1">SUMIF($L$4:$AL$4,"SUBTOTAL",$L$23:$AL$23)</f>
        <v>0.88116306625824115</v>
      </c>
      <c r="AO23" s="43">
        <f ca="1">+'TUSD BE'!$T$23+'TUSD BE'!$AB$23+'TUSD BE'!$AD$23+'TUSD BE'!$AL$23</f>
        <v>15.637962427397417</v>
      </c>
      <c r="AP23" s="43">
        <f ca="1">+'TUSD BE'!$T$23+'TUSD BE'!$AB$23+'TUSD BE'!$AD$23+'TUSD BE'!$AL$23</f>
        <v>15.637962427397417</v>
      </c>
    </row>
    <row r="24" spans="1:42" ht="11.25" customHeight="1" x14ac:dyDescent="0.25">
      <c r="A24" s="116"/>
      <c r="B24" s="41" t="s">
        <v>64</v>
      </c>
      <c r="C24" s="41" t="s">
        <v>25</v>
      </c>
      <c r="D24" s="41" t="s">
        <v>25</v>
      </c>
      <c r="E24" s="41" t="s">
        <v>25</v>
      </c>
      <c r="F24" s="41" t="s">
        <v>25</v>
      </c>
      <c r="G24" s="36" t="s">
        <v>9</v>
      </c>
      <c r="H24" s="36" t="s">
        <v>120</v>
      </c>
      <c r="I24" s="36">
        <f>'MERCADO TUSD'!$U$21</f>
        <v>866358</v>
      </c>
      <c r="J24" s="16"/>
      <c r="L24" s="33">
        <f>'TUSD BE'!$L$24*'TUSD BF'!$L$81</f>
        <v>0</v>
      </c>
      <c r="M24" s="33">
        <f>'TUSD BE'!$M$24*'TUSD BF'!$M$81</f>
        <v>0</v>
      </c>
      <c r="N24" s="33">
        <f>'TUSD BE'!$N$24*'TUSD BF'!$N$81</f>
        <v>0</v>
      </c>
      <c r="O24" s="33">
        <f>'TUSD BE'!$O$24*'TUSD BF'!$O$81</f>
        <v>0</v>
      </c>
      <c r="P24" s="33">
        <f>'TUSD BE'!$P$24*'TUSD BF'!$P$81</f>
        <v>0</v>
      </c>
      <c r="Q24" s="33">
        <f>'TUSD BE'!$Q$24*'TUSD BF'!$Q$81</f>
        <v>0</v>
      </c>
      <c r="R24" s="33">
        <f>'TUSD BE'!$R$24*'TUSD BF'!$R$81</f>
        <v>0</v>
      </c>
      <c r="S24" s="33">
        <f>'TUSD BE'!$R$24*'TUSD BF'!$S$81</f>
        <v>0</v>
      </c>
      <c r="T24" s="33">
        <f>SUM($L$24:$S$24)</f>
        <v>0</v>
      </c>
      <c r="U24" s="33">
        <f>'TUSD BE'!$U$24*'TUSD BF'!$U$81</f>
        <v>0</v>
      </c>
      <c r="V24" s="33">
        <f>'TUSD BE'!$V$24*'TUSD BF'!$V$81</f>
        <v>0</v>
      </c>
      <c r="W24" s="33">
        <f>'TUSD BE'!$W$24*'TUSD BF'!$W$81</f>
        <v>0</v>
      </c>
      <c r="X24" s="33">
        <f>'TUSD BE'!$X$24*'TUSD BF'!$X$81</f>
        <v>0</v>
      </c>
      <c r="Y24" s="33">
        <f>'TUSD BE'!$Y$24*'TUSD BF'!$Y$81</f>
        <v>0</v>
      </c>
      <c r="Z24" s="33">
        <f>'TUSD BE'!$Z$24*'TUSD BF'!$Z$81</f>
        <v>0</v>
      </c>
      <c r="AA24" s="33">
        <f>'TUSD BE'!$AA$24*'TUSD BF'!$AA$81</f>
        <v>0</v>
      </c>
      <c r="AB24" s="33">
        <f>SUM($U$24:$AA$24)</f>
        <v>0</v>
      </c>
      <c r="AC24" s="33">
        <f>'TUSD BE'!$AC$24*'TUSD BF'!$AC$81</f>
        <v>0</v>
      </c>
      <c r="AD24" s="33">
        <f>SUM($AC$24:$AC$24)</f>
        <v>0</v>
      </c>
      <c r="AE24" s="33">
        <f ca="1">$AO$24*$AO$78</f>
        <v>0</v>
      </c>
      <c r="AF24" s="33">
        <f ca="1">$AP$24*$AP$78</f>
        <v>0</v>
      </c>
      <c r="AG24" s="33">
        <f ca="1">SUM($AE$24:$AF$24)</f>
        <v>0</v>
      </c>
      <c r="AH24" s="33">
        <f>'TUSD BE'!$AH$24*'TUSD BF'!$AH$81</f>
        <v>4.7202461657894386E-2</v>
      </c>
      <c r="AI24" s="33">
        <f>'TUSD BE'!$AI$24*'TUSD BF'!$AI$81</f>
        <v>1.0996054309893208E-2</v>
      </c>
      <c r="AJ24" s="33">
        <f>'TUSD BE'!$AJ$24*'TUSD BF'!$AJ$81</f>
        <v>0</v>
      </c>
      <c r="AK24" s="33">
        <f>'TUSD BE'!$AK$24*'TUSD BF'!$AK$81</f>
        <v>0</v>
      </c>
      <c r="AL24" s="33">
        <f>SUM($AH$24:$AK$24)</f>
        <v>5.8198515967787592E-2</v>
      </c>
      <c r="AM24" s="33">
        <f ca="1">SUMIF($L$4:$AL$4,"SUBTOTAL",$L$24:$AL$24)</f>
        <v>5.8198515967787592E-2</v>
      </c>
      <c r="AO24" s="43">
        <f>+'TUSD BE'!$T$24+'TUSD BE'!$AB$24+'TUSD BE'!$AD$24+'TUSD BE'!$AL$24</f>
        <v>20.737271489093867</v>
      </c>
      <c r="AP24" s="43">
        <f>+'TUSD BE'!$T$24+'TUSD BE'!$AB$24+'TUSD BE'!$AD$24+'TUSD BE'!$AL$24</f>
        <v>20.737271489093867</v>
      </c>
    </row>
    <row r="25" spans="1:42" ht="11.25" customHeight="1" x14ac:dyDescent="0.25">
      <c r="A25" s="116" t="s">
        <v>41</v>
      </c>
      <c r="B25" s="116" t="s">
        <v>40</v>
      </c>
      <c r="C25" s="116" t="s">
        <v>25</v>
      </c>
      <c r="D25" s="116" t="s">
        <v>25</v>
      </c>
      <c r="E25" s="116" t="s">
        <v>25</v>
      </c>
      <c r="F25" s="116" t="s">
        <v>25</v>
      </c>
      <c r="G25" s="36" t="s">
        <v>121</v>
      </c>
      <c r="H25" s="36" t="s">
        <v>120</v>
      </c>
      <c r="I25" s="36">
        <f>'MERCADO TUSD'!$U$22</f>
        <v>269137</v>
      </c>
      <c r="J25" s="16"/>
      <c r="L25" s="33">
        <f>'TUSD BE'!$L$25*'TUSD BF'!$L$81</f>
        <v>0</v>
      </c>
      <c r="M25" s="33">
        <f>'TUSD BE'!$M$25*'TUSD BF'!$M$81</f>
        <v>0</v>
      </c>
      <c r="N25" s="33">
        <f ca="1">'TUSD BE'!$N$25*'TUSD BF'!$N$81</f>
        <v>0</v>
      </c>
      <c r="O25" s="33">
        <f>'TUSD BE'!$O$25*'TUSD BF'!$O$81</f>
        <v>0</v>
      </c>
      <c r="P25" s="33">
        <f>'TUSD BE'!$P$25*'TUSD BF'!$P$81</f>
        <v>0</v>
      </c>
      <c r="Q25" s="33">
        <f>'TUSD BE'!$Q$25*'TUSD BF'!$Q$81</f>
        <v>0</v>
      </c>
      <c r="R25" s="33">
        <f>'TUSD BE'!$R$25*'TUSD BF'!$R$81</f>
        <v>0</v>
      </c>
      <c r="S25" s="33">
        <f>'TUSD BE'!$R$25*'TUSD BF'!$S$81</f>
        <v>0</v>
      </c>
      <c r="T25" s="33">
        <f ca="1">SUM($L$25:$S$25)</f>
        <v>0</v>
      </c>
      <c r="U25" s="33">
        <f>'TUSD BE'!$U$25*'TUSD BF'!$U$81</f>
        <v>0.14579323565159982</v>
      </c>
      <c r="V25" s="33">
        <f>'TUSD BE'!$V$25*'TUSD BF'!$V$81</f>
        <v>2.0955549076906322E-3</v>
      </c>
      <c r="W25" s="33">
        <f>'TUSD BE'!$W$25*'TUSD BF'!$W$81</f>
        <v>0</v>
      </c>
      <c r="X25" s="33">
        <f>'TUSD BE'!$X$25*'TUSD BF'!$X$81</f>
        <v>0</v>
      </c>
      <c r="Y25" s="33">
        <f>'TUSD BE'!$Y$25*'TUSD BF'!$Y$81</f>
        <v>0</v>
      </c>
      <c r="Z25" s="33">
        <f>'TUSD BE'!$Z$25*'TUSD BF'!$Z$81</f>
        <v>0</v>
      </c>
      <c r="AA25" s="33">
        <f>'TUSD BE'!$AA$25*'TUSD BF'!$AA$81</f>
        <v>0</v>
      </c>
      <c r="AB25" s="33">
        <f>SUM($U$25:$AA$25)</f>
        <v>0.14788879055929047</v>
      </c>
      <c r="AC25" s="33">
        <f>'TUSD BE'!$AC$25*'TUSD BF'!$AC$81</f>
        <v>0</v>
      </c>
      <c r="AD25" s="33">
        <f>SUM($AC$25:$AC$25)</f>
        <v>0</v>
      </c>
      <c r="AE25" s="33">
        <f ca="1">$AO$25*$AO$78</f>
        <v>0</v>
      </c>
      <c r="AF25" s="33">
        <f ca="1">$AP$25*$AP$78</f>
        <v>0</v>
      </c>
      <c r="AG25" s="33">
        <f ca="1">SUM($AE$25:$AF$25)</f>
        <v>0</v>
      </c>
      <c r="AH25" s="33">
        <f>'TUSD BE'!$AH$25*'TUSD BF'!$AH$81</f>
        <v>0</v>
      </c>
      <c r="AI25" s="33">
        <f>'TUSD BE'!$AI$25*'TUSD BF'!$AI$81</f>
        <v>0</v>
      </c>
      <c r="AJ25" s="33">
        <f ca="1">'TUSD BE'!$AJ$25*'TUSD BF'!$AJ$81</f>
        <v>0</v>
      </c>
      <c r="AK25" s="33">
        <f ca="1">'TUSD BE'!$AK$25*'TUSD BF'!$AK$81</f>
        <v>0</v>
      </c>
      <c r="AL25" s="33">
        <f ca="1">SUM($AH$25:$AK$25)</f>
        <v>0</v>
      </c>
      <c r="AM25" s="33">
        <f ca="1">SUMIF($L$4:$AL$4,"SUBTOTAL",$L$25:$AL$25)</f>
        <v>0.14788879055929047</v>
      </c>
      <c r="AO25" s="43">
        <f ca="1">+'TUSD BE'!$T$25+'TUSD BE'!$AB$25+'TUSD BE'!$AD$25+'TUSD BE'!$AL$25</f>
        <v>74.297307894089315</v>
      </c>
      <c r="AP25" s="43">
        <f ca="1">+'TUSD BE'!$T$25+'TUSD BE'!$AB$25+'TUSD BE'!$AD$25+'TUSD BE'!$AL$25</f>
        <v>74.297307894089315</v>
      </c>
    </row>
    <row r="26" spans="1:42" ht="11.25" customHeight="1" x14ac:dyDescent="0.25">
      <c r="A26" s="116"/>
      <c r="B26" s="116"/>
      <c r="C26" s="116"/>
      <c r="D26" s="116"/>
      <c r="E26" s="116"/>
      <c r="F26" s="116"/>
      <c r="G26" s="36" t="s">
        <v>122</v>
      </c>
      <c r="H26" s="36" t="s">
        <v>120</v>
      </c>
      <c r="I26" s="36">
        <f>'MERCADO TUSD'!$U$23</f>
        <v>306985</v>
      </c>
      <c r="J26" s="16"/>
      <c r="L26" s="33">
        <f>'TUSD BE'!$L$26*'TUSD BF'!$L$81</f>
        <v>0</v>
      </c>
      <c r="M26" s="33">
        <f>'TUSD BE'!$M$26*'TUSD BF'!$M$81</f>
        <v>0</v>
      </c>
      <c r="N26" s="33">
        <f ca="1">'TUSD BE'!$N$26*'TUSD BF'!$N$81</f>
        <v>0</v>
      </c>
      <c r="O26" s="33">
        <f>'TUSD BE'!$O$26*'TUSD BF'!$O$81</f>
        <v>0</v>
      </c>
      <c r="P26" s="33">
        <f>'TUSD BE'!$P$26*'TUSD BF'!$P$81</f>
        <v>0</v>
      </c>
      <c r="Q26" s="33">
        <f>'TUSD BE'!$Q$26*'TUSD BF'!$Q$81</f>
        <v>0</v>
      </c>
      <c r="R26" s="33">
        <f>'TUSD BE'!$R$26*'TUSD BF'!$R$81</f>
        <v>0</v>
      </c>
      <c r="S26" s="33">
        <f>'TUSD BE'!$R$26*'TUSD BF'!$S$81</f>
        <v>0</v>
      </c>
      <c r="T26" s="33">
        <f ca="1">SUM($L$26:$S$26)</f>
        <v>0</v>
      </c>
      <c r="U26" s="33">
        <f>'TUSD BE'!$U$26*'TUSD BF'!$U$81</f>
        <v>0.12316607827710019</v>
      </c>
      <c r="V26" s="33">
        <f>'TUSD BE'!$V$26*'TUSD BF'!$V$81</f>
        <v>1.7993962856789731E-3</v>
      </c>
      <c r="W26" s="33">
        <f>'TUSD BE'!$W$26*'TUSD BF'!$W$81</f>
        <v>0</v>
      </c>
      <c r="X26" s="33">
        <f>'TUSD BE'!$X$26*'TUSD BF'!$X$81</f>
        <v>0</v>
      </c>
      <c r="Y26" s="33">
        <f>'TUSD BE'!$Y$26*'TUSD BF'!$Y$81</f>
        <v>0</v>
      </c>
      <c r="Z26" s="33">
        <f>'TUSD BE'!$Z$26*'TUSD BF'!$Z$81</f>
        <v>0</v>
      </c>
      <c r="AA26" s="33">
        <f>'TUSD BE'!$AA$26*'TUSD BF'!$AA$81</f>
        <v>0</v>
      </c>
      <c r="AB26" s="33">
        <f>SUM($U$26:$AA$26)</f>
        <v>0.12496547456277916</v>
      </c>
      <c r="AC26" s="33">
        <f>'TUSD BE'!$AC$26*'TUSD BF'!$AC$81</f>
        <v>0</v>
      </c>
      <c r="AD26" s="33">
        <f>SUM($AC$26:$AC$26)</f>
        <v>0</v>
      </c>
      <c r="AE26" s="33">
        <f ca="1">$AO$26*$AO$78</f>
        <v>0</v>
      </c>
      <c r="AF26" s="33">
        <f ca="1">$AP$26*$AP$78</f>
        <v>0</v>
      </c>
      <c r="AG26" s="33">
        <f ca="1">SUM($AE$26:$AF$26)</f>
        <v>0</v>
      </c>
      <c r="AH26" s="33">
        <f>'TUSD BE'!$AH$26*'TUSD BF'!$AH$81</f>
        <v>0</v>
      </c>
      <c r="AI26" s="33">
        <f>'TUSD BE'!$AI$26*'TUSD BF'!$AI$81</f>
        <v>0</v>
      </c>
      <c r="AJ26" s="33">
        <f ca="1">'TUSD BE'!$AJ$26*'TUSD BF'!$AJ$81</f>
        <v>0</v>
      </c>
      <c r="AK26" s="33">
        <f ca="1">'TUSD BE'!$AK$26*'TUSD BF'!$AK$81</f>
        <v>0</v>
      </c>
      <c r="AL26" s="33">
        <f ca="1">SUM($AH$26:$AK$26)</f>
        <v>0</v>
      </c>
      <c r="AM26" s="33">
        <f ca="1">SUMIF($L$4:$AL$4,"SUBTOTAL",$L$26:$AL$26)</f>
        <v>0.12496547456277916</v>
      </c>
      <c r="AO26" s="43">
        <f ca="1">+'TUSD BE'!$T$26+'TUSD BE'!$AB$26+'TUSD BE'!$AD$26+'TUSD BE'!$AL$26</f>
        <v>28.937352960072964</v>
      </c>
      <c r="AP26" s="43">
        <f ca="1">+'TUSD BE'!$T$26+'TUSD BE'!$AB$26+'TUSD BE'!$AD$26+'TUSD BE'!$AL$26</f>
        <v>28.937352960072964</v>
      </c>
    </row>
    <row r="27" spans="1:42" ht="11.25" customHeight="1" x14ac:dyDescent="0.25">
      <c r="A27" s="116"/>
      <c r="B27" s="116"/>
      <c r="C27" s="116"/>
      <c r="D27" s="116"/>
      <c r="E27" s="116"/>
      <c r="F27" s="116"/>
      <c r="G27" s="36" t="s">
        <v>123</v>
      </c>
      <c r="H27" s="36" t="s">
        <v>117</v>
      </c>
      <c r="I27" s="36">
        <f>'MERCADO TUSD'!$U$24</f>
        <v>121039.205</v>
      </c>
      <c r="J27" s="16"/>
      <c r="L27" s="33">
        <f>'TUSD BE'!$L$27*'TUSD BF'!$L$81</f>
        <v>0.34989153947785556</v>
      </c>
      <c r="M27" s="33">
        <f>'TUSD BE'!$M$27*'TUSD BF'!$M$81</f>
        <v>0</v>
      </c>
      <c r="N27" s="33">
        <f ca="1">'TUSD BE'!$N$27*'TUSD BF'!$N$81</f>
        <v>0</v>
      </c>
      <c r="O27" s="33">
        <f>'TUSD BE'!$O$27*'TUSD BF'!$O$81</f>
        <v>0</v>
      </c>
      <c r="P27" s="33">
        <f>'TUSD BE'!$P$27*'TUSD BF'!$P$81</f>
        <v>0</v>
      </c>
      <c r="Q27" s="33">
        <f>'TUSD BE'!$Q$27*'TUSD BF'!$Q$81</f>
        <v>9.467743601882443</v>
      </c>
      <c r="R27" s="33">
        <f>'TUSD BE'!$R$27*'TUSD BF'!$R$81</f>
        <v>2.8708931432949591</v>
      </c>
      <c r="S27" s="33">
        <f>'TUSD BE'!$R$27*'TUSD BF'!$S$81</f>
        <v>0</v>
      </c>
      <c r="T27" s="33">
        <f ca="1">SUM($L$27:$S$27)</f>
        <v>12.688528284655257</v>
      </c>
      <c r="U27" s="33">
        <f>'TUSD BE'!$U$27*'TUSD BF'!$U$81</f>
        <v>0</v>
      </c>
      <c r="V27" s="33">
        <f>'TUSD BE'!$V$27*'TUSD BF'!$V$81</f>
        <v>0</v>
      </c>
      <c r="W27" s="33">
        <f>'TUSD BE'!$W$27*'TUSD BF'!$W$81</f>
        <v>0</v>
      </c>
      <c r="X27" s="33">
        <f>'TUSD BE'!$X$27*'TUSD BF'!$X$81</f>
        <v>0</v>
      </c>
      <c r="Y27" s="33">
        <f>'TUSD BE'!$Y$27*'TUSD BF'!$Y$81</f>
        <v>0</v>
      </c>
      <c r="Z27" s="33">
        <f>'TUSD BE'!$Z$27*'TUSD BF'!$Z$81</f>
        <v>0</v>
      </c>
      <c r="AA27" s="33">
        <f>'TUSD BE'!$AA$27*'TUSD BF'!$AA$81</f>
        <v>0</v>
      </c>
      <c r="AB27" s="33">
        <f>SUM($U$27:$AA$27)</f>
        <v>0</v>
      </c>
      <c r="AC27" s="33">
        <f>'TUSD BE'!$AC$27*'TUSD BF'!$AC$81</f>
        <v>0</v>
      </c>
      <c r="AD27" s="33">
        <f>SUM($AC$27:$AC$27)</f>
        <v>0</v>
      </c>
      <c r="AE27" s="33">
        <f ca="1">$AO$27*$AO$78</f>
        <v>0</v>
      </c>
      <c r="AF27" s="33">
        <f ca="1">$AP$27*$AP$78</f>
        <v>0</v>
      </c>
      <c r="AG27" s="33">
        <f ca="1">SUM($AE$27:$AF$27)</f>
        <v>0</v>
      </c>
      <c r="AH27" s="33">
        <f>'TUSD BE'!$AH$27*'TUSD BF'!$AH$81</f>
        <v>1.4178544016670338</v>
      </c>
      <c r="AI27" s="33">
        <f>'TUSD BE'!$AI$27*'TUSD BF'!$AI$81</f>
        <v>3.1482091681142186E-3</v>
      </c>
      <c r="AJ27" s="33">
        <f ca="1">'TUSD BE'!$AJ$27*'TUSD BF'!$AJ$81</f>
        <v>4.9708277946564565E-2</v>
      </c>
      <c r="AK27" s="33">
        <f ca="1">'TUSD BE'!$AK$27*'TUSD BF'!$AK$81</f>
        <v>0</v>
      </c>
      <c r="AL27" s="33">
        <f ca="1">SUM($AH$27:$AK$27)</f>
        <v>1.4707108887817126</v>
      </c>
      <c r="AM27" s="33">
        <f ca="1">SUMIF($L$4:$AL$4,"SUBTOTAL",$L$27:$AL$27)</f>
        <v>14.159239173436969</v>
      </c>
      <c r="AO27" s="43">
        <f ca="1">+'TUSD BE'!$T$27+'TUSD BE'!$AB$27+'TUSD BE'!$AD$27+'TUSD BE'!$AL$27</f>
        <v>126.49581253636693</v>
      </c>
      <c r="AP27" s="43">
        <f ca="1">+'TUSD BE'!$T$27+'TUSD BE'!$AB$27+'TUSD BE'!$AD$27+'TUSD BE'!$AL$27</f>
        <v>126.49581253636693</v>
      </c>
    </row>
    <row r="28" spans="1:42" ht="11.25" customHeight="1" x14ac:dyDescent="0.25">
      <c r="A28" s="116"/>
      <c r="B28" s="116"/>
      <c r="C28" s="116"/>
      <c r="D28" s="116"/>
      <c r="E28" s="41" t="s">
        <v>61</v>
      </c>
      <c r="F28" s="41" t="s">
        <v>25</v>
      </c>
      <c r="G28" s="36" t="s">
        <v>123</v>
      </c>
      <c r="H28" s="36" t="s">
        <v>117</v>
      </c>
      <c r="I28" s="36">
        <f>'MERCADO TUSD'!$U$25</f>
        <v>0</v>
      </c>
      <c r="J28" s="16"/>
      <c r="L28" s="33">
        <f>'TUSD BE'!$L$28*'TUSD BF'!$L$81</f>
        <v>0</v>
      </c>
      <c r="M28" s="33">
        <f>'TUSD BE'!$M$28*'TUSD BF'!$M$81</f>
        <v>0</v>
      </c>
      <c r="N28" s="33">
        <f ca="1">'TUSD BE'!$N$28*'TUSD BF'!$N$81</f>
        <v>0</v>
      </c>
      <c r="O28" s="33">
        <f>'TUSD BE'!$O$28*'TUSD BF'!$O$81</f>
        <v>0</v>
      </c>
      <c r="P28" s="33">
        <f>'TUSD BE'!$P$28*'TUSD BF'!$P$81</f>
        <v>0</v>
      </c>
      <c r="Q28" s="33">
        <f>'TUSD BE'!$Q$28*'TUSD BF'!$Q$81</f>
        <v>0</v>
      </c>
      <c r="R28" s="33">
        <f>'TUSD BE'!$R$28*'TUSD BF'!$R$81</f>
        <v>0</v>
      </c>
      <c r="S28" s="33">
        <f>'TUSD BE'!$R$28*'TUSD BF'!$S$81</f>
        <v>0</v>
      </c>
      <c r="T28" s="33">
        <f ca="1">SUM($L$28:$S$28)</f>
        <v>0</v>
      </c>
      <c r="U28" s="33">
        <f>'TUSD BE'!$U$28*'TUSD BF'!$U$81</f>
        <v>0</v>
      </c>
      <c r="V28" s="33">
        <f>'TUSD BE'!$V$28*'TUSD BF'!$V$81</f>
        <v>0</v>
      </c>
      <c r="W28" s="33">
        <f>'TUSD BE'!$W$28*'TUSD BF'!$W$81</f>
        <v>0</v>
      </c>
      <c r="X28" s="33">
        <f>'TUSD BE'!$X$28*'TUSD BF'!$X$81</f>
        <v>0</v>
      </c>
      <c r="Y28" s="33">
        <f>'TUSD BE'!$Y$28*'TUSD BF'!$Y$81</f>
        <v>0</v>
      </c>
      <c r="Z28" s="33">
        <f>'TUSD BE'!$Z$28*'TUSD BF'!$Z$81</f>
        <v>0</v>
      </c>
      <c r="AA28" s="33">
        <f>'TUSD BE'!$AA$28*'TUSD BF'!$AA$81</f>
        <v>0</v>
      </c>
      <c r="AB28" s="33">
        <f>SUM($U$28:$AA$28)</f>
        <v>0</v>
      </c>
      <c r="AC28" s="33">
        <f>'TUSD BE'!$AC$28*'TUSD BF'!$AC$81</f>
        <v>0</v>
      </c>
      <c r="AD28" s="33">
        <f>SUM($AC$28:$AC$28)</f>
        <v>0</v>
      </c>
      <c r="AE28" s="33">
        <f ca="1">$AO$28*$AO$78</f>
        <v>0</v>
      </c>
      <c r="AF28" s="33">
        <f ca="1">$AP$28*$AP$78</f>
        <v>0</v>
      </c>
      <c r="AG28" s="33">
        <f ca="1">SUM($AE$28:$AF$28)</f>
        <v>0</v>
      </c>
      <c r="AH28" s="33">
        <f>'TUSD BE'!$AH$28*'TUSD BF'!$AH$81</f>
        <v>1.4178544016670338</v>
      </c>
      <c r="AI28" s="33">
        <f>'TUSD BE'!$AI$28*'TUSD BF'!$AI$81</f>
        <v>3.1482091681142186E-3</v>
      </c>
      <c r="AJ28" s="33">
        <f ca="1">'TUSD BE'!$AJ$28*'TUSD BF'!$AJ$81</f>
        <v>4.9708277946564565E-2</v>
      </c>
      <c r="AK28" s="33">
        <f ca="1">'TUSD BE'!$AK$28*'TUSD BF'!$AK$81</f>
        <v>0</v>
      </c>
      <c r="AL28" s="33">
        <f ca="1">SUM($AH$28:$AK$28)</f>
        <v>1.4707108887817126</v>
      </c>
      <c r="AM28" s="33">
        <f ca="1">SUMIF($L$4:$AL$4,"SUBTOTAL",$L$28:$AL$28)</f>
        <v>1.4707108887817126</v>
      </c>
      <c r="AO28" s="43">
        <f ca="1">+'TUSD BE'!$T$28+'TUSD BE'!$AB$28+'TUSD BE'!$AD$28+'TUSD BE'!$AL$28</f>
        <v>27.89160926141221</v>
      </c>
      <c r="AP28" s="43">
        <f ca="1">+'TUSD BE'!$T$28+'TUSD BE'!$AB$28+'TUSD BE'!$AD$28+'TUSD BE'!$AL$28</f>
        <v>27.89160926141221</v>
      </c>
    </row>
    <row r="29" spans="1:42" ht="11.25" customHeight="1" x14ac:dyDescent="0.25">
      <c r="A29" s="116"/>
      <c r="B29" s="116" t="s">
        <v>81</v>
      </c>
      <c r="C29" s="116" t="s">
        <v>25</v>
      </c>
      <c r="D29" s="116" t="s">
        <v>25</v>
      </c>
      <c r="E29" s="116" t="s">
        <v>25</v>
      </c>
      <c r="F29" s="116" t="s">
        <v>82</v>
      </c>
      <c r="G29" s="36" t="s">
        <v>121</v>
      </c>
      <c r="H29" s="36" t="s">
        <v>120</v>
      </c>
      <c r="I29" s="36">
        <f>'MERCADO TUSD'!$U$26</f>
        <v>42000</v>
      </c>
      <c r="J29" s="16"/>
      <c r="L29" s="33">
        <f>'TUSD BE'!$L$29*'TUSD BF'!$L$81</f>
        <v>0</v>
      </c>
      <c r="M29" s="33">
        <f>'TUSD BE'!$M$29*'TUSD BF'!$M$81</f>
        <v>0</v>
      </c>
      <c r="N29" s="33">
        <f ca="1">'TUSD BE'!$N$29*'TUSD BF'!$N$81</f>
        <v>0</v>
      </c>
      <c r="O29" s="33">
        <f>'TUSD BE'!$O$29*'TUSD BF'!$O$81</f>
        <v>0</v>
      </c>
      <c r="P29" s="33">
        <f>'TUSD BE'!$P$29*'TUSD BF'!$P$81</f>
        <v>0</v>
      </c>
      <c r="Q29" s="33">
        <f>'TUSD BE'!$Q$29*'TUSD BF'!$Q$81</f>
        <v>0</v>
      </c>
      <c r="R29" s="33">
        <f>'TUSD BE'!$R$29*'TUSD BF'!$R$81</f>
        <v>0</v>
      </c>
      <c r="S29" s="33">
        <f>'TUSD BE'!$R$29*'TUSD BF'!$S$81</f>
        <v>0</v>
      </c>
      <c r="T29" s="33">
        <f ca="1">SUM($L$29:$S$29)</f>
        <v>0</v>
      </c>
      <c r="U29" s="33">
        <f>'TUSD BE'!$U$29*'TUSD BF'!$U$81</f>
        <v>0.14579323565159982</v>
      </c>
      <c r="V29" s="33">
        <f>'TUSD BE'!$V$29*'TUSD BF'!$V$81</f>
        <v>2.0955549076906322E-3</v>
      </c>
      <c r="W29" s="33">
        <f>'TUSD BE'!$W$29*'TUSD BF'!$W$81</f>
        <v>0</v>
      </c>
      <c r="X29" s="33">
        <f>'TUSD BE'!$X$29*'TUSD BF'!$X$81</f>
        <v>0</v>
      </c>
      <c r="Y29" s="33">
        <f>'TUSD BE'!$Y$29*'TUSD BF'!$Y$81</f>
        <v>0</v>
      </c>
      <c r="Z29" s="33">
        <f>'TUSD BE'!$Z$29*'TUSD BF'!$Z$81</f>
        <v>0</v>
      </c>
      <c r="AA29" s="33">
        <f>'TUSD BE'!$AA$29*'TUSD BF'!$AA$81</f>
        <v>0</v>
      </c>
      <c r="AB29" s="33">
        <f>SUM($U$29:$AA$29)</f>
        <v>0.14788879055929047</v>
      </c>
      <c r="AC29" s="33">
        <f>'TUSD BE'!$AC$29*'TUSD BF'!$AC$81</f>
        <v>0</v>
      </c>
      <c r="AD29" s="33">
        <f>SUM($AC$29:$AC$29)</f>
        <v>0</v>
      </c>
      <c r="AE29" s="33">
        <v>0</v>
      </c>
      <c r="AF29" s="33">
        <f ca="1">$AP$29*$AP$78</f>
        <v>0</v>
      </c>
      <c r="AG29" s="33">
        <f ca="1">SUM($AE$29:$AF$29)</f>
        <v>0</v>
      </c>
      <c r="AH29" s="33">
        <f>'TUSD BE'!$AH$29*'TUSD BF'!$AH$81</f>
        <v>0</v>
      </c>
      <c r="AI29" s="33">
        <f>'TUSD BE'!$AI$29*'TUSD BF'!$AI$81</f>
        <v>0</v>
      </c>
      <c r="AJ29" s="33">
        <f ca="1">'TUSD BE'!$AJ$29*'TUSD BF'!$AJ$81</f>
        <v>0</v>
      </c>
      <c r="AK29" s="33">
        <f ca="1">'TUSD BE'!$AK$29*'TUSD BF'!$AK$81</f>
        <v>0</v>
      </c>
      <c r="AL29" s="33">
        <f ca="1">SUM($AH$29:$AK$29)</f>
        <v>0</v>
      </c>
      <c r="AM29" s="33">
        <f ca="1">SUMIF($L$4:$AL$4,"SUBTOTAL",$L$29:$AL$29)</f>
        <v>0.14788879055929047</v>
      </c>
      <c r="AO29" s="43"/>
      <c r="AP29" s="43">
        <f ca="1">+'TUSD BE'!$T$29+'TUSD BE'!$AB$29+'TUSD BE'!$AD$29+'TUSD BE'!$AL$29</f>
        <v>31.893712736369871</v>
      </c>
    </row>
    <row r="30" spans="1:42" ht="11.25" customHeight="1" x14ac:dyDescent="0.25">
      <c r="A30" s="116"/>
      <c r="B30" s="116"/>
      <c r="C30" s="116"/>
      <c r="D30" s="116"/>
      <c r="E30" s="116"/>
      <c r="F30" s="116"/>
      <c r="G30" s="36" t="s">
        <v>122</v>
      </c>
      <c r="H30" s="36" t="s">
        <v>120</v>
      </c>
      <c r="I30" s="36">
        <f>'MERCADO TUSD'!$U$27</f>
        <v>42000</v>
      </c>
      <c r="J30" s="16"/>
      <c r="L30" s="33">
        <f>'TUSD BE'!$L$30*'TUSD BF'!$L$81</f>
        <v>0</v>
      </c>
      <c r="M30" s="33">
        <f>'TUSD BE'!$M$30*'TUSD BF'!$M$81</f>
        <v>0</v>
      </c>
      <c r="N30" s="33">
        <f ca="1">'TUSD BE'!$N$30*'TUSD BF'!$N$81</f>
        <v>0</v>
      </c>
      <c r="O30" s="33">
        <f>'TUSD BE'!$O$30*'TUSD BF'!$O$81</f>
        <v>0</v>
      </c>
      <c r="P30" s="33">
        <f>'TUSD BE'!$P$30*'TUSD BF'!$P$81</f>
        <v>0</v>
      </c>
      <c r="Q30" s="33">
        <f>'TUSD BE'!$Q$30*'TUSD BF'!$Q$81</f>
        <v>0</v>
      </c>
      <c r="R30" s="33">
        <f>'TUSD BE'!$R$30*'TUSD BF'!$R$81</f>
        <v>0</v>
      </c>
      <c r="S30" s="33">
        <f>'TUSD BE'!$R$30*'TUSD BF'!$S$81</f>
        <v>0</v>
      </c>
      <c r="T30" s="33">
        <f ca="1">SUM($L$30:$S$30)</f>
        <v>0</v>
      </c>
      <c r="U30" s="33">
        <f>'TUSD BE'!$U$30*'TUSD BF'!$U$81</f>
        <v>0.12316607827710019</v>
      </c>
      <c r="V30" s="33">
        <f>'TUSD BE'!$V$30*'TUSD BF'!$V$81</f>
        <v>1.7993962856789731E-3</v>
      </c>
      <c r="W30" s="33">
        <f>'TUSD BE'!$W$30*'TUSD BF'!$W$81</f>
        <v>0</v>
      </c>
      <c r="X30" s="33">
        <f>'TUSD BE'!$X$30*'TUSD BF'!$X$81</f>
        <v>0</v>
      </c>
      <c r="Y30" s="33">
        <f>'TUSD BE'!$Y$30*'TUSD BF'!$Y$81</f>
        <v>0</v>
      </c>
      <c r="Z30" s="33">
        <f>'TUSD BE'!$Z$30*'TUSD BF'!$Z$81</f>
        <v>0</v>
      </c>
      <c r="AA30" s="33">
        <f>'TUSD BE'!$AA$30*'TUSD BF'!$AA$81</f>
        <v>0</v>
      </c>
      <c r="AB30" s="33">
        <f>SUM($U$30:$AA$30)</f>
        <v>0.12496547456277916</v>
      </c>
      <c r="AC30" s="33">
        <f>'TUSD BE'!$AC$30*'TUSD BF'!$AC$81</f>
        <v>0</v>
      </c>
      <c r="AD30" s="33">
        <f>SUM($AC$30:$AC$30)</f>
        <v>0</v>
      </c>
      <c r="AE30" s="33">
        <v>0</v>
      </c>
      <c r="AF30" s="33">
        <f ca="1">$AP$30*$AP$78</f>
        <v>0</v>
      </c>
      <c r="AG30" s="33">
        <f ca="1">SUM($AE$30:$AF$30)</f>
        <v>0</v>
      </c>
      <c r="AH30" s="33">
        <f>'TUSD BE'!$AH$30*'TUSD BF'!$AH$81</f>
        <v>0</v>
      </c>
      <c r="AI30" s="33">
        <f>'TUSD BE'!$AI$30*'TUSD BF'!$AI$81</f>
        <v>0</v>
      </c>
      <c r="AJ30" s="33">
        <f ca="1">'TUSD BE'!$AJ$30*'TUSD BF'!$AJ$81</f>
        <v>0</v>
      </c>
      <c r="AK30" s="33">
        <f ca="1">'TUSD BE'!$AK$30*'TUSD BF'!$AK$81</f>
        <v>0</v>
      </c>
      <c r="AL30" s="33">
        <f ca="1">SUM($AH$30:$AK$30)</f>
        <v>0</v>
      </c>
      <c r="AM30" s="33">
        <f ca="1">SUMIF($L$4:$AL$4,"SUBTOTAL",$L$30:$AL$30)</f>
        <v>0.12496547456277916</v>
      </c>
      <c r="AO30" s="43"/>
      <c r="AP30" s="43">
        <f ca="1">+'TUSD BE'!$T$30+'TUSD BE'!$AB$30+'TUSD BE'!$AD$30+'TUSD BE'!$AL$30</f>
        <v>14.865494284028262</v>
      </c>
    </row>
    <row r="31" spans="1:42" ht="11.25" customHeight="1" x14ac:dyDescent="0.25">
      <c r="A31" s="116"/>
      <c r="B31" s="116"/>
      <c r="C31" s="116"/>
      <c r="D31" s="116"/>
      <c r="E31" s="116"/>
      <c r="F31" s="116"/>
      <c r="G31" s="36" t="s">
        <v>123</v>
      </c>
      <c r="H31" s="36" t="s">
        <v>117</v>
      </c>
      <c r="I31" s="36">
        <f>'MERCADO TUSD'!$U$28</f>
        <v>10288.219999999999</v>
      </c>
      <c r="J31" s="16"/>
      <c r="L31" s="33">
        <f>'TUSD BE'!$L$31*'TUSD BF'!$L$81</f>
        <v>0</v>
      </c>
      <c r="M31" s="33">
        <f>'TUSD BE'!$M$31*'TUSD BF'!$M$81</f>
        <v>0</v>
      </c>
      <c r="N31" s="33">
        <f ca="1">'TUSD BE'!$N$31*'TUSD BF'!$N$81</f>
        <v>0</v>
      </c>
      <c r="O31" s="33">
        <f>'TUSD BE'!$O$31*'TUSD BF'!$O$81</f>
        <v>0</v>
      </c>
      <c r="P31" s="33">
        <f>'TUSD BE'!$P$31*'TUSD BF'!$P$81</f>
        <v>0</v>
      </c>
      <c r="Q31" s="33">
        <f>'TUSD BE'!$Q$31*'TUSD BF'!$Q$81</f>
        <v>0</v>
      </c>
      <c r="R31" s="33">
        <f>'TUSD BE'!$R$31*'TUSD BF'!$R$81</f>
        <v>0</v>
      </c>
      <c r="S31" s="33">
        <f>'TUSD BE'!$R$31*'TUSD BF'!$S$81</f>
        <v>0</v>
      </c>
      <c r="T31" s="33">
        <f ca="1">SUM($L$31:$S$31)</f>
        <v>0</v>
      </c>
      <c r="U31" s="33">
        <f>'TUSD BE'!$U$31*'TUSD BF'!$U$81</f>
        <v>0</v>
      </c>
      <c r="V31" s="33">
        <f>'TUSD BE'!$V$31*'TUSD BF'!$V$81</f>
        <v>0</v>
      </c>
      <c r="W31" s="33">
        <f>'TUSD BE'!$W$31*'TUSD BF'!$W$81</f>
        <v>0</v>
      </c>
      <c r="X31" s="33">
        <f>'TUSD BE'!$X$31*'TUSD BF'!$X$81</f>
        <v>0</v>
      </c>
      <c r="Y31" s="33">
        <f>'TUSD BE'!$Y$31*'TUSD BF'!$Y$81</f>
        <v>0</v>
      </c>
      <c r="Z31" s="33">
        <f>'TUSD BE'!$Z$31*'TUSD BF'!$Z$81</f>
        <v>0</v>
      </c>
      <c r="AA31" s="33">
        <f>'TUSD BE'!$AA$31*'TUSD BF'!$AA$81</f>
        <v>0</v>
      </c>
      <c r="AB31" s="33">
        <f>SUM($U$31:$AA$31)</f>
        <v>0</v>
      </c>
      <c r="AC31" s="33">
        <f>'TUSD BE'!$AC$31*'TUSD BF'!$AC$81</f>
        <v>0</v>
      </c>
      <c r="AD31" s="33">
        <f>SUM($AC$31:$AC$31)</f>
        <v>0</v>
      </c>
      <c r="AE31" s="33">
        <v>0</v>
      </c>
      <c r="AF31" s="33">
        <f ca="1">$AP$31*$AP$78</f>
        <v>0</v>
      </c>
      <c r="AG31" s="33">
        <f ca="1">SUM($AE$31:$AF$31)</f>
        <v>0</v>
      </c>
      <c r="AH31" s="33">
        <f>'TUSD BE'!$AH$31*'TUSD BF'!$AH$81</f>
        <v>1.4178544016670338</v>
      </c>
      <c r="AI31" s="33">
        <f>'TUSD BE'!$AI$31*'TUSD BF'!$AI$81</f>
        <v>3.1482091681142186E-3</v>
      </c>
      <c r="AJ31" s="33">
        <f ca="1">'TUSD BE'!$AJ$31*'TUSD BF'!$AJ$81</f>
        <v>0</v>
      </c>
      <c r="AK31" s="33">
        <f ca="1">'TUSD BE'!$AK$31*'TUSD BF'!$AK$81</f>
        <v>0</v>
      </c>
      <c r="AL31" s="33">
        <f ca="1">SUM($AH$31:$AK$31)</f>
        <v>1.4210026108351481</v>
      </c>
      <c r="AM31" s="33">
        <f ca="1">SUMIF($L$4:$AL$4,"SUBTOTAL",$L$31:$AL$31)</f>
        <v>1.4210026108351481</v>
      </c>
      <c r="AO31" s="43"/>
      <c r="AP31" s="43">
        <f ca="1">+'TUSD BE'!$T$31+'TUSD BE'!$AB$31+'TUSD BE'!$AD$31+'TUSD BE'!$AL$31</f>
        <v>21.393225156684629</v>
      </c>
    </row>
    <row r="32" spans="1:42" ht="11.25" customHeight="1" x14ac:dyDescent="0.25">
      <c r="A32" s="116"/>
      <c r="B32" s="41" t="s">
        <v>64</v>
      </c>
      <c r="C32" s="41" t="s">
        <v>25</v>
      </c>
      <c r="D32" s="41" t="s">
        <v>25</v>
      </c>
      <c r="E32" s="41" t="s">
        <v>25</v>
      </c>
      <c r="F32" s="41" t="s">
        <v>25</v>
      </c>
      <c r="G32" s="36" t="s">
        <v>9</v>
      </c>
      <c r="H32" s="36" t="s">
        <v>120</v>
      </c>
      <c r="I32" s="36">
        <f>'MERCADO TUSD'!$U$29</f>
        <v>481675</v>
      </c>
      <c r="J32" s="16"/>
      <c r="L32" s="33">
        <f>'TUSD BE'!$L$32*'TUSD BF'!$L$81</f>
        <v>0</v>
      </c>
      <c r="M32" s="33">
        <f>'TUSD BE'!$M$32*'TUSD BF'!$M$81</f>
        <v>0</v>
      </c>
      <c r="N32" s="33">
        <f ca="1">'TUSD BE'!$N$32*'TUSD BF'!$N$81</f>
        <v>0</v>
      </c>
      <c r="O32" s="33">
        <f>'TUSD BE'!$O$32*'TUSD BF'!$O$81</f>
        <v>0</v>
      </c>
      <c r="P32" s="33">
        <f>'TUSD BE'!$P$32*'TUSD BF'!$P$81</f>
        <v>0</v>
      </c>
      <c r="Q32" s="33">
        <f>'TUSD BE'!$Q$32*'TUSD BF'!$Q$81</f>
        <v>0</v>
      </c>
      <c r="R32" s="33">
        <f>'TUSD BE'!$R$32*'TUSD BF'!$R$81</f>
        <v>0</v>
      </c>
      <c r="S32" s="33">
        <f>'TUSD BE'!$R$32*'TUSD BF'!$S$81</f>
        <v>0</v>
      </c>
      <c r="T32" s="33">
        <f ca="1">SUM($L$32:$S$32)</f>
        <v>0</v>
      </c>
      <c r="U32" s="33">
        <f>'TUSD BE'!$U$32*'TUSD BF'!$U$81</f>
        <v>0</v>
      </c>
      <c r="V32" s="33">
        <f>'TUSD BE'!$V$32*'TUSD BF'!$V$81</f>
        <v>0</v>
      </c>
      <c r="W32" s="33">
        <f>'TUSD BE'!$W$32*'TUSD BF'!$W$81</f>
        <v>0</v>
      </c>
      <c r="X32" s="33">
        <f>'TUSD BE'!$X$32*'TUSD BF'!$X$81</f>
        <v>0</v>
      </c>
      <c r="Y32" s="33">
        <f>'TUSD BE'!$Y$32*'TUSD BF'!$Y$81</f>
        <v>0</v>
      </c>
      <c r="Z32" s="33">
        <f>'TUSD BE'!$Z$32*'TUSD BF'!$Z$81</f>
        <v>0</v>
      </c>
      <c r="AA32" s="33">
        <f>'TUSD BE'!$AA$32*'TUSD BF'!$AA$81</f>
        <v>0</v>
      </c>
      <c r="AB32" s="33">
        <f>SUM($U$32:$AA$32)</f>
        <v>0</v>
      </c>
      <c r="AC32" s="33">
        <f>'TUSD BE'!$AC$32*'TUSD BF'!$AC$81</f>
        <v>0</v>
      </c>
      <c r="AD32" s="33">
        <f>SUM($AC$32:$AC$32)</f>
        <v>0</v>
      </c>
      <c r="AE32" s="33">
        <f ca="1">$AO$32*$AO$78</f>
        <v>0</v>
      </c>
      <c r="AF32" s="33">
        <f ca="1">$AP$32*$AP$78</f>
        <v>0</v>
      </c>
      <c r="AG32" s="33">
        <f ca="1">SUM($AE$32:$AF$32)</f>
        <v>0</v>
      </c>
      <c r="AH32" s="33">
        <f>'TUSD BE'!$AH$32*'TUSD BF'!$AH$81</f>
        <v>3.0869439458348544E-4</v>
      </c>
      <c r="AI32" s="33">
        <f>'TUSD BE'!$AI$32*'TUSD BF'!$AI$81</f>
        <v>0</v>
      </c>
      <c r="AJ32" s="33">
        <f ca="1">'TUSD BE'!$AJ$32*'TUSD BF'!$AJ$81</f>
        <v>0</v>
      </c>
      <c r="AK32" s="33">
        <f ca="1">'TUSD BE'!$AK$32*'TUSD BF'!$AK$81</f>
        <v>0</v>
      </c>
      <c r="AL32" s="33">
        <f ca="1">SUM($AH$32:$AK$32)</f>
        <v>3.0869439458348544E-4</v>
      </c>
      <c r="AM32" s="33">
        <f ca="1">SUMIF($L$4:$AL$4,"SUBTOTAL",$L$32:$AL$32)</f>
        <v>3.0869439458348544E-4</v>
      </c>
      <c r="AO32" s="43">
        <f ca="1">+'TUSD BE'!$T$32+'TUSD BE'!$AB$32+'TUSD BE'!$AD$32+'TUSD BE'!$AL$32</f>
        <v>17.137944990226519</v>
      </c>
      <c r="AP32" s="43">
        <f ca="1">+'TUSD BE'!$T$32+'TUSD BE'!$AB$32+'TUSD BE'!$AD$32+'TUSD BE'!$AL$32</f>
        <v>17.137944990226519</v>
      </c>
    </row>
    <row r="33" spans="1:42" ht="11.25" customHeight="1" x14ac:dyDescent="0.25">
      <c r="A33" s="116"/>
      <c r="B33" s="116" t="s">
        <v>42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36" t="s">
        <v>9</v>
      </c>
      <c r="H33" s="36" t="s">
        <v>120</v>
      </c>
      <c r="I33" s="36">
        <f>'MERCADO TUSD'!$U$30</f>
        <v>1292343</v>
      </c>
      <c r="J33" s="16"/>
      <c r="L33" s="33">
        <f>'TUSD BE'!$L$33*'TUSD BF'!$L$81</f>
        <v>0</v>
      </c>
      <c r="M33" s="33">
        <f>'TUSD BE'!$M$33*'TUSD BF'!$M$81</f>
        <v>0</v>
      </c>
      <c r="N33" s="33">
        <f ca="1">'TUSD BE'!$N$33*'TUSD BF'!$N$81</f>
        <v>0</v>
      </c>
      <c r="O33" s="33">
        <f>'TUSD BE'!$O$33*'TUSD BF'!$O$81</f>
        <v>0</v>
      </c>
      <c r="P33" s="33">
        <f>'TUSD BE'!$P$33*'TUSD BF'!$P$81</f>
        <v>0</v>
      </c>
      <c r="Q33" s="33">
        <f>'TUSD BE'!$Q$33*'TUSD BF'!$Q$81</f>
        <v>0</v>
      </c>
      <c r="R33" s="33">
        <f>'TUSD BE'!$R$33*'TUSD BF'!$R$81</f>
        <v>0</v>
      </c>
      <c r="S33" s="33">
        <f>'TUSD BE'!$R$33*'TUSD BF'!$S$81</f>
        <v>0</v>
      </c>
      <c r="T33" s="33">
        <f ca="1">SUM($L$33:$S$33)</f>
        <v>0</v>
      </c>
      <c r="U33" s="33">
        <f>'TUSD BE'!$U$33*'TUSD BF'!$U$81</f>
        <v>0.12316607827710019</v>
      </c>
      <c r="V33" s="33">
        <f>'TUSD BE'!$V$33*'TUSD BF'!$V$81</f>
        <v>1.7993962856789731E-3</v>
      </c>
      <c r="W33" s="33">
        <f>'TUSD BE'!$W$33*'TUSD BF'!$W$81</f>
        <v>0</v>
      </c>
      <c r="X33" s="33">
        <f>'TUSD BE'!$X$33*'TUSD BF'!$X$81</f>
        <v>0</v>
      </c>
      <c r="Y33" s="33">
        <f>'TUSD BE'!$Y$33*'TUSD BF'!$Y$81</f>
        <v>0</v>
      </c>
      <c r="Z33" s="33">
        <f>'TUSD BE'!$Z$33*'TUSD BF'!$Z$81</f>
        <v>0</v>
      </c>
      <c r="AA33" s="33">
        <f>'TUSD BE'!$AA$33*'TUSD BF'!$AA$81</f>
        <v>0</v>
      </c>
      <c r="AB33" s="33">
        <f>SUM($U$33:$AA$33)</f>
        <v>0.12496547456277916</v>
      </c>
      <c r="AC33" s="33">
        <f>'TUSD BE'!$AC$33*'TUSD BF'!$AC$81</f>
        <v>0</v>
      </c>
      <c r="AD33" s="33">
        <f>SUM($AC$33:$AC$33)</f>
        <v>0</v>
      </c>
      <c r="AE33" s="33">
        <f ca="1">$AO$33*$AO$78</f>
        <v>0</v>
      </c>
      <c r="AF33" s="33">
        <f ca="1">$AP$33*$AP$78</f>
        <v>0</v>
      </c>
      <c r="AG33" s="33">
        <f ca="1">SUM($AE$33:$AF$33)</f>
        <v>0</v>
      </c>
      <c r="AH33" s="33">
        <f>'TUSD BE'!$AH$33*'TUSD BF'!$AH$81</f>
        <v>0</v>
      </c>
      <c r="AI33" s="33">
        <f>'TUSD BE'!$AI$33*'TUSD BF'!$AI$81</f>
        <v>0</v>
      </c>
      <c r="AJ33" s="33">
        <f ca="1">'TUSD BE'!$AJ$33*'TUSD BF'!$AJ$81</f>
        <v>0</v>
      </c>
      <c r="AK33" s="33">
        <f ca="1">'TUSD BE'!$AK$33*'TUSD BF'!$AK$81</f>
        <v>0</v>
      </c>
      <c r="AL33" s="33">
        <f ca="1">SUM($AH$33:$AK$33)</f>
        <v>0</v>
      </c>
      <c r="AM33" s="33">
        <f ca="1">SUMIF($L$4:$AL$4,"SUBTOTAL",$L$33:$AL$33)</f>
        <v>0.12496547456277916</v>
      </c>
      <c r="AO33" s="43">
        <f ca="1">+'TUSD BE'!$T$33+'TUSD BE'!$AB$33+'TUSD BE'!$AD$33+'TUSD BE'!$AL$33</f>
        <v>28.937352960072964</v>
      </c>
      <c r="AP33" s="43">
        <f ca="1">+'TUSD BE'!$T$33+'TUSD BE'!$AB$33+'TUSD BE'!$AD$33+'TUSD BE'!$AL$33</f>
        <v>28.937352960072964</v>
      </c>
    </row>
    <row r="34" spans="1:42" ht="11.25" customHeight="1" x14ac:dyDescent="0.25">
      <c r="A34" s="116"/>
      <c r="B34" s="116"/>
      <c r="C34" s="116"/>
      <c r="D34" s="116"/>
      <c r="E34" s="116"/>
      <c r="F34" s="116"/>
      <c r="G34" s="36" t="s">
        <v>118</v>
      </c>
      <c r="H34" s="36" t="s">
        <v>117</v>
      </c>
      <c r="I34" s="36">
        <f>'MERCADO TUSD'!$U$31</f>
        <v>14035.833999999999</v>
      </c>
      <c r="J34" s="16"/>
      <c r="L34" s="33">
        <f>'TUSD BE'!$L$34*'TUSD BF'!$L$81</f>
        <v>0.34989153947785556</v>
      </c>
      <c r="M34" s="33">
        <f>'TUSD BE'!$M$34*'TUSD BF'!$M$81</f>
        <v>0</v>
      </c>
      <c r="N34" s="33">
        <f ca="1">'TUSD BE'!$N$34*'TUSD BF'!$N$81</f>
        <v>0</v>
      </c>
      <c r="O34" s="33">
        <f>'TUSD BE'!$O$34*'TUSD BF'!$O$81</f>
        <v>0</v>
      </c>
      <c r="P34" s="33">
        <f>'TUSD BE'!$P$34*'TUSD BF'!$P$81</f>
        <v>0</v>
      </c>
      <c r="Q34" s="33">
        <f>'TUSD BE'!$Q$34*'TUSD BF'!$Q$81</f>
        <v>9.467743601882443</v>
      </c>
      <c r="R34" s="33">
        <f>'TUSD BE'!$R$34*'TUSD BF'!$R$81</f>
        <v>2.8708931432949591</v>
      </c>
      <c r="S34" s="33">
        <f>'TUSD BE'!$R$34*'TUSD BF'!$S$81</f>
        <v>0</v>
      </c>
      <c r="T34" s="33">
        <f ca="1">SUM($L$34:$S$34)</f>
        <v>12.688528284655257</v>
      </c>
      <c r="U34" s="33">
        <f>'TUSD BE'!$U$34*'TUSD BF'!$U$81</f>
        <v>3.5063096169067323</v>
      </c>
      <c r="V34" s="33">
        <f>'TUSD BE'!$V$34*'TUSD BF'!$V$81</f>
        <v>5.0398971414978601E-2</v>
      </c>
      <c r="W34" s="33">
        <f>'TUSD BE'!$W$34*'TUSD BF'!$W$81</f>
        <v>0</v>
      </c>
      <c r="X34" s="33">
        <f>'TUSD BE'!$X$34*'TUSD BF'!$X$81</f>
        <v>0</v>
      </c>
      <c r="Y34" s="33">
        <f>'TUSD BE'!$Y$34*'TUSD BF'!$Y$81</f>
        <v>0</v>
      </c>
      <c r="Z34" s="33">
        <f>'TUSD BE'!$Z$34*'TUSD BF'!$Z$81</f>
        <v>0</v>
      </c>
      <c r="AA34" s="33">
        <f>'TUSD BE'!$AA$34*'TUSD BF'!$AA$81</f>
        <v>0</v>
      </c>
      <c r="AB34" s="33">
        <f>SUM($U$34:$AA$34)</f>
        <v>3.5567085883217109</v>
      </c>
      <c r="AC34" s="33">
        <f>'TUSD BE'!$AC$34*'TUSD BF'!$AC$81</f>
        <v>0</v>
      </c>
      <c r="AD34" s="33">
        <f>SUM($AC$34:$AC$34)</f>
        <v>0</v>
      </c>
      <c r="AE34" s="33">
        <f ca="1">$AO$34*$AO$78</f>
        <v>0</v>
      </c>
      <c r="AF34" s="33">
        <f ca="1">$AP$34*$AP$78</f>
        <v>0</v>
      </c>
      <c r="AG34" s="33">
        <f ca="1">SUM($AE$34:$AF$34)</f>
        <v>0</v>
      </c>
      <c r="AH34" s="33">
        <f>'TUSD BE'!$AH$34*'TUSD BF'!$AH$81</f>
        <v>1.4178544016670338</v>
      </c>
      <c r="AI34" s="33">
        <f>'TUSD BE'!$AI$34*'TUSD BF'!$AI$81</f>
        <v>3.1482091681142186E-3</v>
      </c>
      <c r="AJ34" s="33">
        <f ca="1">'TUSD BE'!$AJ$34*'TUSD BF'!$AJ$81</f>
        <v>4.9708277946564565E-2</v>
      </c>
      <c r="AK34" s="33">
        <f ca="1">'TUSD BE'!$AK$34*'TUSD BF'!$AK$81</f>
        <v>0</v>
      </c>
      <c r="AL34" s="33">
        <f ca="1">SUM($AH$34:$AK$34)</f>
        <v>1.4707108887817126</v>
      </c>
      <c r="AM34" s="33">
        <f ca="1">SUMIF($L$4:$AL$4,"SUBTOTAL",$L$34:$AL$34)</f>
        <v>17.715947761758681</v>
      </c>
      <c r="AO34" s="43">
        <f ca="1">+'TUSD BE'!$T$34+'TUSD BE'!$AB$34+'TUSD BE'!$AD$34+'TUSD BE'!$AL$34</f>
        <v>1932.2721351494515</v>
      </c>
      <c r="AP34" s="43">
        <f ca="1">+'TUSD BE'!$T$34+'TUSD BE'!$AB$34+'TUSD BE'!$AD$34+'TUSD BE'!$AL$34</f>
        <v>1932.2721351494515</v>
      </c>
    </row>
    <row r="35" spans="1:42" ht="11.25" customHeight="1" x14ac:dyDescent="0.25">
      <c r="A35" s="116"/>
      <c r="B35" s="116"/>
      <c r="C35" s="116"/>
      <c r="D35" s="116"/>
      <c r="E35" s="116"/>
      <c r="F35" s="116"/>
      <c r="G35" s="36" t="s">
        <v>119</v>
      </c>
      <c r="H35" s="36" t="s">
        <v>117</v>
      </c>
      <c r="I35" s="36">
        <f>'MERCADO TUSD'!$U$32</f>
        <v>241555.38800000004</v>
      </c>
      <c r="J35" s="16"/>
      <c r="L35" s="33">
        <f>'TUSD BE'!$L$35*'TUSD BF'!$L$81</f>
        <v>0.34989153947785556</v>
      </c>
      <c r="M35" s="33">
        <f>'TUSD BE'!$M$35*'TUSD BF'!$M$81</f>
        <v>0</v>
      </c>
      <c r="N35" s="33">
        <f ca="1">'TUSD BE'!$N$35*'TUSD BF'!$N$81</f>
        <v>0</v>
      </c>
      <c r="O35" s="33">
        <f>'TUSD BE'!$O$35*'TUSD BF'!$O$81</f>
        <v>0</v>
      </c>
      <c r="P35" s="33">
        <f>'TUSD BE'!$P$35*'TUSD BF'!$P$81</f>
        <v>0</v>
      </c>
      <c r="Q35" s="33">
        <f>'TUSD BE'!$Q$35*'TUSD BF'!$Q$81</f>
        <v>9.467743601882443</v>
      </c>
      <c r="R35" s="33">
        <f>'TUSD BE'!$R$35*'TUSD BF'!$R$81</f>
        <v>2.8708931432949591</v>
      </c>
      <c r="S35" s="33">
        <f>'TUSD BE'!$R$35*'TUSD BF'!$S$81</f>
        <v>0</v>
      </c>
      <c r="T35" s="33">
        <f ca="1">SUM($L$35:$S$35)</f>
        <v>12.688528284655257</v>
      </c>
      <c r="U35" s="33">
        <f>'TUSD BE'!$U$35*'TUSD BF'!$U$81</f>
        <v>0</v>
      </c>
      <c r="V35" s="33">
        <f>'TUSD BE'!$V$35*'TUSD BF'!$V$81</f>
        <v>0</v>
      </c>
      <c r="W35" s="33">
        <f>'TUSD BE'!$W$35*'TUSD BF'!$W$81</f>
        <v>0</v>
      </c>
      <c r="X35" s="33">
        <f>'TUSD BE'!$X$35*'TUSD BF'!$X$81</f>
        <v>0</v>
      </c>
      <c r="Y35" s="33">
        <f>'TUSD BE'!$Y$35*'TUSD BF'!$Y$81</f>
        <v>0</v>
      </c>
      <c r="Z35" s="33">
        <f>'TUSD BE'!$Z$35*'TUSD BF'!$Z$81</f>
        <v>0</v>
      </c>
      <c r="AA35" s="33">
        <f>'TUSD BE'!$AA$35*'TUSD BF'!$AA$81</f>
        <v>0</v>
      </c>
      <c r="AB35" s="33">
        <f>SUM($U$35:$AA$35)</f>
        <v>0</v>
      </c>
      <c r="AC35" s="33">
        <f>'TUSD BE'!$AC$35*'TUSD BF'!$AC$81</f>
        <v>0</v>
      </c>
      <c r="AD35" s="33">
        <f>SUM($AC$35:$AC$35)</f>
        <v>0</v>
      </c>
      <c r="AE35" s="33">
        <f ca="1">$AO$35*$AO$78</f>
        <v>0</v>
      </c>
      <c r="AF35" s="33">
        <f ca="1">$AP$35*$AP$78</f>
        <v>0</v>
      </c>
      <c r="AG35" s="33">
        <f ca="1">SUM($AE$35:$AF$35)</f>
        <v>0</v>
      </c>
      <c r="AH35" s="33">
        <f>'TUSD BE'!$AH$35*'TUSD BF'!$AH$81</f>
        <v>1.4178544016670338</v>
      </c>
      <c r="AI35" s="33">
        <f>'TUSD BE'!$AI$35*'TUSD BF'!$AI$81</f>
        <v>3.1482091681142186E-3</v>
      </c>
      <c r="AJ35" s="33">
        <f ca="1">'TUSD BE'!$AJ$35*'TUSD BF'!$AJ$81</f>
        <v>4.9708277946564565E-2</v>
      </c>
      <c r="AK35" s="33">
        <f ca="1">'TUSD BE'!$AK$35*'TUSD BF'!$AK$81</f>
        <v>0</v>
      </c>
      <c r="AL35" s="33">
        <f ca="1">SUM($AH$35:$AK$35)</f>
        <v>1.4707108887817126</v>
      </c>
      <c r="AM35" s="33">
        <f ca="1">SUMIF($L$4:$AL$4,"SUBTOTAL",$L$35:$AL$35)</f>
        <v>14.159239173436969</v>
      </c>
      <c r="AO35" s="43">
        <f ca="1">+'TUSD BE'!$T$35+'TUSD BE'!$AB$35+'TUSD BE'!$AD$35+'TUSD BE'!$AL$35</f>
        <v>126.49581253636693</v>
      </c>
      <c r="AP35" s="43">
        <f ca="1">+'TUSD BE'!$T$35+'TUSD BE'!$AB$35+'TUSD BE'!$AD$35+'TUSD BE'!$AL$35</f>
        <v>126.49581253636693</v>
      </c>
    </row>
    <row r="36" spans="1:42" ht="11.25" customHeight="1" x14ac:dyDescent="0.25">
      <c r="A36" s="116"/>
      <c r="B36" s="116"/>
      <c r="C36" s="116"/>
      <c r="D36" s="116"/>
      <c r="E36" s="116" t="s">
        <v>61</v>
      </c>
      <c r="F36" s="116" t="s">
        <v>25</v>
      </c>
      <c r="G36" s="36" t="s">
        <v>118</v>
      </c>
      <c r="H36" s="36" t="s">
        <v>117</v>
      </c>
      <c r="I36" s="36">
        <f>'MERCADO TUSD'!$U$33</f>
        <v>0</v>
      </c>
      <c r="J36" s="16"/>
      <c r="L36" s="33">
        <f>'TUSD BE'!$L$36*'TUSD BF'!$L$81</f>
        <v>0</v>
      </c>
      <c r="M36" s="33">
        <f>'TUSD BE'!$M$36*'TUSD BF'!$M$81</f>
        <v>0</v>
      </c>
      <c r="N36" s="33">
        <f ca="1">'TUSD BE'!$N$36*'TUSD BF'!$N$81</f>
        <v>0</v>
      </c>
      <c r="O36" s="33">
        <f>'TUSD BE'!$O$36*'TUSD BF'!$O$81</f>
        <v>0</v>
      </c>
      <c r="P36" s="33">
        <f>'TUSD BE'!$P$36*'TUSD BF'!$P$81</f>
        <v>0</v>
      </c>
      <c r="Q36" s="33">
        <f>'TUSD BE'!$Q$36*'TUSD BF'!$Q$81</f>
        <v>0</v>
      </c>
      <c r="R36" s="33">
        <f>'TUSD BE'!$R$36*'TUSD BF'!$R$81</f>
        <v>0</v>
      </c>
      <c r="S36" s="33">
        <f>'TUSD BE'!$R$36*'TUSD BF'!$S$81</f>
        <v>0</v>
      </c>
      <c r="T36" s="33">
        <f ca="1">SUM($L$36:$S$36)</f>
        <v>0</v>
      </c>
      <c r="U36" s="33">
        <f>'TUSD BE'!$U$36*'TUSD BF'!$U$81</f>
        <v>3.5063096169067323</v>
      </c>
      <c r="V36" s="33">
        <f>'TUSD BE'!$V$36*'TUSD BF'!$V$81</f>
        <v>5.0398971414978601E-2</v>
      </c>
      <c r="W36" s="33">
        <f>'TUSD BE'!$W$36*'TUSD BF'!$W$81</f>
        <v>0</v>
      </c>
      <c r="X36" s="33">
        <f>'TUSD BE'!$X$36*'TUSD BF'!$X$81</f>
        <v>0</v>
      </c>
      <c r="Y36" s="33">
        <f>'TUSD BE'!$Y$36*'TUSD BF'!$Y$81</f>
        <v>0</v>
      </c>
      <c r="Z36" s="33">
        <f>'TUSD BE'!$Z$36*'TUSD BF'!$Z$81</f>
        <v>0</v>
      </c>
      <c r="AA36" s="33">
        <f>'TUSD BE'!$AA$36*'TUSD BF'!$AA$81</f>
        <v>0</v>
      </c>
      <c r="AB36" s="33">
        <f>SUM($U$36:$AA$36)</f>
        <v>3.5567085883217109</v>
      </c>
      <c r="AC36" s="33">
        <f>'TUSD BE'!$AC$36*'TUSD BF'!$AC$81</f>
        <v>0</v>
      </c>
      <c r="AD36" s="33">
        <f>SUM($AC$36:$AC$36)</f>
        <v>0</v>
      </c>
      <c r="AE36" s="33">
        <f ca="1">$AO$36*$AO$78</f>
        <v>0</v>
      </c>
      <c r="AF36" s="33">
        <f ca="1">$AP$36*$AP$78</f>
        <v>0</v>
      </c>
      <c r="AG36" s="33">
        <f ca="1">SUM($AE$36:$AF$36)</f>
        <v>0</v>
      </c>
      <c r="AH36" s="33">
        <f>'TUSD BE'!$AH$36*'TUSD BF'!$AH$81</f>
        <v>1.4178544016670338</v>
      </c>
      <c r="AI36" s="33">
        <f>'TUSD BE'!$AI$36*'TUSD BF'!$AI$81</f>
        <v>3.1482091681142186E-3</v>
      </c>
      <c r="AJ36" s="33">
        <f ca="1">'TUSD BE'!$AJ$36*'TUSD BF'!$AJ$81</f>
        <v>4.9708277946564565E-2</v>
      </c>
      <c r="AK36" s="33">
        <f ca="1">'TUSD BE'!$AK$36*'TUSD BF'!$AK$81</f>
        <v>0</v>
      </c>
      <c r="AL36" s="33">
        <f ca="1">SUM($AH$36:$AK$36)</f>
        <v>1.4707108887817126</v>
      </c>
      <c r="AM36" s="33">
        <f ca="1">SUMIF($L$4:$AL$4,"SUBTOTAL",$L$36:$AL$36)</f>
        <v>5.0274194771034235</v>
      </c>
      <c r="AO36" s="43">
        <f ca="1">+'TUSD BE'!$T$36+'TUSD BE'!$AB$36+'TUSD BE'!$AD$36+'TUSD BE'!$AL$36</f>
        <v>1833.6679318744968</v>
      </c>
      <c r="AP36" s="43">
        <f ca="1">+'TUSD BE'!$T$36+'TUSD BE'!$AB$36+'TUSD BE'!$AD$36+'TUSD BE'!$AL$36</f>
        <v>1833.6679318744968</v>
      </c>
    </row>
    <row r="37" spans="1:42" ht="11.25" customHeight="1" x14ac:dyDescent="0.25">
      <c r="A37" s="116"/>
      <c r="B37" s="116"/>
      <c r="C37" s="116"/>
      <c r="D37" s="116"/>
      <c r="E37" s="116"/>
      <c r="F37" s="116"/>
      <c r="G37" s="36" t="s">
        <v>119</v>
      </c>
      <c r="H37" s="36" t="s">
        <v>117</v>
      </c>
      <c r="I37" s="36">
        <f>'MERCADO TUSD'!$U$34</f>
        <v>0</v>
      </c>
      <c r="J37" s="16"/>
      <c r="L37" s="33">
        <f>'TUSD BE'!$L$37*'TUSD BF'!$L$81</f>
        <v>0</v>
      </c>
      <c r="M37" s="33">
        <f>'TUSD BE'!$M$37*'TUSD BF'!$M$81</f>
        <v>0</v>
      </c>
      <c r="N37" s="33">
        <f ca="1">'TUSD BE'!$N$37*'TUSD BF'!$N$81</f>
        <v>0</v>
      </c>
      <c r="O37" s="33">
        <f>'TUSD BE'!$O$37*'TUSD BF'!$O$81</f>
        <v>0</v>
      </c>
      <c r="P37" s="33">
        <f>'TUSD BE'!$P$37*'TUSD BF'!$P$81</f>
        <v>0</v>
      </c>
      <c r="Q37" s="33">
        <f>'TUSD BE'!$Q$37*'TUSD BF'!$Q$81</f>
        <v>0</v>
      </c>
      <c r="R37" s="33">
        <f>'TUSD BE'!$R$37*'TUSD BF'!$R$81</f>
        <v>0</v>
      </c>
      <c r="S37" s="33">
        <f>'TUSD BE'!$R$37*'TUSD BF'!$S$81</f>
        <v>0</v>
      </c>
      <c r="T37" s="33">
        <f ca="1">SUM($L$37:$S$37)</f>
        <v>0</v>
      </c>
      <c r="U37" s="33">
        <f>'TUSD BE'!$U$37*'TUSD BF'!$U$81</f>
        <v>0</v>
      </c>
      <c r="V37" s="33">
        <f>'TUSD BE'!$V$37*'TUSD BF'!$V$81</f>
        <v>0</v>
      </c>
      <c r="W37" s="33">
        <f>'TUSD BE'!$W$37*'TUSD BF'!$W$81</f>
        <v>0</v>
      </c>
      <c r="X37" s="33">
        <f>'TUSD BE'!$X$37*'TUSD BF'!$X$81</f>
        <v>0</v>
      </c>
      <c r="Y37" s="33">
        <f>'TUSD BE'!$Y$37*'TUSD BF'!$Y$81</f>
        <v>0</v>
      </c>
      <c r="Z37" s="33">
        <f>'TUSD BE'!$Z$37*'TUSD BF'!$Z$81</f>
        <v>0</v>
      </c>
      <c r="AA37" s="33">
        <f>'TUSD BE'!$AA$37*'TUSD BF'!$AA$81</f>
        <v>0</v>
      </c>
      <c r="AB37" s="33">
        <f>SUM($U$37:$AA$37)</f>
        <v>0</v>
      </c>
      <c r="AC37" s="33">
        <f>'TUSD BE'!$AC$37*'TUSD BF'!$AC$81</f>
        <v>0</v>
      </c>
      <c r="AD37" s="33">
        <f>SUM($AC$37:$AC$37)</f>
        <v>0</v>
      </c>
      <c r="AE37" s="33">
        <f ca="1">$AO$37*$AO$78</f>
        <v>0</v>
      </c>
      <c r="AF37" s="33">
        <f ca="1">$AP$37*$AP$78</f>
        <v>0</v>
      </c>
      <c r="AG37" s="33">
        <f ca="1">SUM($AE$37:$AF$37)</f>
        <v>0</v>
      </c>
      <c r="AH37" s="33">
        <f>'TUSD BE'!$AH$37*'TUSD BF'!$AH$81</f>
        <v>1.4178544016670338</v>
      </c>
      <c r="AI37" s="33">
        <f>'TUSD BE'!$AI$37*'TUSD BF'!$AI$81</f>
        <v>3.1482091681142186E-3</v>
      </c>
      <c r="AJ37" s="33">
        <f ca="1">'TUSD BE'!$AJ$37*'TUSD BF'!$AJ$81</f>
        <v>4.9708277946564565E-2</v>
      </c>
      <c r="AK37" s="33">
        <f ca="1">'TUSD BE'!$AK$37*'TUSD BF'!$AK$81</f>
        <v>0</v>
      </c>
      <c r="AL37" s="33">
        <f ca="1">SUM($AH$37:$AK$37)</f>
        <v>1.4707108887817126</v>
      </c>
      <c r="AM37" s="33">
        <f ca="1">SUMIF($L$4:$AL$4,"SUBTOTAL",$L$37:$AL$37)</f>
        <v>1.4707108887817126</v>
      </c>
      <c r="AO37" s="43">
        <f ca="1">+'TUSD BE'!$T$37+'TUSD BE'!$AB$37+'TUSD BE'!$AD$37+'TUSD BE'!$AL$37</f>
        <v>27.89160926141221</v>
      </c>
      <c r="AP37" s="43">
        <f ca="1">+'TUSD BE'!$T$37+'TUSD BE'!$AB$37+'TUSD BE'!$AD$37+'TUSD BE'!$AL$37</f>
        <v>27.89160926141221</v>
      </c>
    </row>
    <row r="38" spans="1:42" ht="11.25" customHeight="1" x14ac:dyDescent="0.25">
      <c r="A38" s="116" t="s">
        <v>125</v>
      </c>
      <c r="B38" s="116" t="s">
        <v>64</v>
      </c>
      <c r="C38" s="116" t="s">
        <v>25</v>
      </c>
      <c r="D38" s="116" t="s">
        <v>25</v>
      </c>
      <c r="E38" s="41" t="s">
        <v>126</v>
      </c>
      <c r="F38" s="41" t="s">
        <v>25</v>
      </c>
      <c r="G38" s="36" t="s">
        <v>9</v>
      </c>
      <c r="H38" s="36" t="s">
        <v>120</v>
      </c>
      <c r="I38" s="36">
        <f>'MERCADO TUSD'!$U$35+0.00000001</f>
        <v>1E-8</v>
      </c>
      <c r="J38" s="16"/>
      <c r="L38" s="33">
        <f>'TUSD BE'!$L$38*'TUSD BF'!$L$81</f>
        <v>0</v>
      </c>
      <c r="M38" s="33">
        <f>'TUSD BE'!$M$38*'TUSD BF'!$M$81</f>
        <v>0</v>
      </c>
      <c r="N38" s="33">
        <f ca="1">'TUSD BE'!$N$38*'TUSD BF'!$N$81</f>
        <v>0</v>
      </c>
      <c r="O38" s="33">
        <f>'TUSD BE'!$O$38*'TUSD BF'!$O$81</f>
        <v>0</v>
      </c>
      <c r="P38" s="33">
        <f>'TUSD BE'!$P$38*'TUSD BF'!$P$81</f>
        <v>0</v>
      </c>
      <c r="Q38" s="33">
        <f>'TUSD BE'!$Q$38*'TUSD BF'!$Q$81</f>
        <v>0</v>
      </c>
      <c r="R38" s="33">
        <f>'TUSD BE'!$R$38*'TUSD BF'!$R$81</f>
        <v>0</v>
      </c>
      <c r="S38" s="33">
        <f>'TUSD BE'!$R$38*'TUSD BF'!$S$81</f>
        <v>0</v>
      </c>
      <c r="T38" s="33">
        <f ca="1">SUM($L$38:$S$38)</f>
        <v>0</v>
      </c>
      <c r="U38" s="33">
        <f>'TUSD BE'!$U$38*'TUSD BF'!$U$81</f>
        <v>0</v>
      </c>
      <c r="V38" s="33">
        <f>'TUSD BE'!$V$38*'TUSD BF'!$V$81</f>
        <v>0</v>
      </c>
      <c r="W38" s="33">
        <f>'TUSD BE'!$W$38*'TUSD BF'!$W$81</f>
        <v>0</v>
      </c>
      <c r="X38" s="33">
        <f>'TUSD BE'!$X$38*'TUSD BF'!$X$81</f>
        <v>0</v>
      </c>
      <c r="Y38" s="33">
        <f>'TUSD BE'!$Y$38*'TUSD BF'!$Y$81</f>
        <v>0</v>
      </c>
      <c r="Z38" s="33">
        <f>'TUSD BE'!$Z$38*'TUSD BF'!$Z$81</f>
        <v>0</v>
      </c>
      <c r="AA38" s="33">
        <f>'TUSD BE'!$AA$38*'TUSD BF'!$AA$81</f>
        <v>0</v>
      </c>
      <c r="AB38" s="33">
        <f>SUM($U$38:$AA$38)</f>
        <v>0</v>
      </c>
      <c r="AC38" s="33">
        <f>'TUSD BE'!$AC$38*'TUSD BF'!$AC$81</f>
        <v>0</v>
      </c>
      <c r="AD38" s="33">
        <f>SUM($AC$38:$AC$38)</f>
        <v>0</v>
      </c>
      <c r="AE38" s="33">
        <f ca="1">$AO$38*$AO$78</f>
        <v>0</v>
      </c>
      <c r="AF38" s="33">
        <f ca="1">$AP$38*$AP$78</f>
        <v>0</v>
      </c>
      <c r="AG38" s="33">
        <f ca="1">SUM($AE$38:$AF$38)</f>
        <v>0</v>
      </c>
      <c r="AH38" s="33">
        <f>'TUSD BE'!$AH$38*'TUSD BF'!$AH$81</f>
        <v>0</v>
      </c>
      <c r="AI38" s="33">
        <f>'TUSD BE'!$AI$38*'TUSD BF'!$AI$81</f>
        <v>0</v>
      </c>
      <c r="AJ38" s="33">
        <f ca="1">'TUSD BE'!$AJ$38*'TUSD BF'!$AJ$81</f>
        <v>0</v>
      </c>
      <c r="AK38" s="33">
        <f ca="1">'TUSD BE'!$AK$38*'TUSD BF'!$AK$81</f>
        <v>0</v>
      </c>
      <c r="AL38" s="33">
        <f ca="1">SUM($AH$38:$AK$38)</f>
        <v>0</v>
      </c>
      <c r="AM38" s="33">
        <f ca="1">SUMIF($L$4:$AL$4,"SUBTOTAL",$L$38:$AL$38)</f>
        <v>0</v>
      </c>
      <c r="AO38" s="43">
        <f ca="1">+'TUSD BE'!$T$38+'TUSD BE'!$AB$38+'TUSD BE'!$AD$38+'TUSD BE'!$AL$38</f>
        <v>1.1737278848983519</v>
      </c>
      <c r="AP38" s="43">
        <f ca="1">+'TUSD BE'!$T$38+'TUSD BE'!$AB$38+'TUSD BE'!$AD$38+'TUSD BE'!$AL$38</f>
        <v>1.1737278848983519</v>
      </c>
    </row>
    <row r="39" spans="1:42" ht="11.25" customHeight="1" x14ac:dyDescent="0.25">
      <c r="A39" s="116"/>
      <c r="B39" s="116"/>
      <c r="C39" s="116"/>
      <c r="D39" s="116"/>
      <c r="E39" s="41" t="s">
        <v>127</v>
      </c>
      <c r="F39" s="41" t="s">
        <v>25</v>
      </c>
      <c r="G39" s="36" t="s">
        <v>9</v>
      </c>
      <c r="H39" s="36" t="s">
        <v>120</v>
      </c>
      <c r="I39" s="36">
        <f>'MERCADO TUSD'!$U$36+0.00000001</f>
        <v>1E-8</v>
      </c>
      <c r="J39" s="16"/>
      <c r="L39" s="33">
        <f>'TUSD BE'!$L$39*'TUSD BF'!$L$81</f>
        <v>0</v>
      </c>
      <c r="M39" s="33">
        <f>'TUSD BE'!$M$39*'TUSD BF'!$M$81</f>
        <v>0</v>
      </c>
      <c r="N39" s="33">
        <f ca="1">'TUSD BE'!$N$39*'TUSD BF'!$N$81</f>
        <v>0</v>
      </c>
      <c r="O39" s="33">
        <f>'TUSD BE'!$O$39*'TUSD BF'!$O$81</f>
        <v>0</v>
      </c>
      <c r="P39" s="33">
        <f>'TUSD BE'!$P$39*'TUSD BF'!$P$81</f>
        <v>0</v>
      </c>
      <c r="Q39" s="33">
        <f>'TUSD BE'!$Q$39*'TUSD BF'!$Q$81</f>
        <v>0</v>
      </c>
      <c r="R39" s="33">
        <f>'TUSD BE'!$R$39*'TUSD BF'!$R$81</f>
        <v>0</v>
      </c>
      <c r="S39" s="33">
        <f>'TUSD BE'!$R$39*'TUSD BF'!$S$81</f>
        <v>0</v>
      </c>
      <c r="T39" s="33">
        <f ca="1">SUM($L$39:$S$39)</f>
        <v>0</v>
      </c>
      <c r="U39" s="33">
        <f>'TUSD BE'!$U$39*'TUSD BF'!$U$81</f>
        <v>0</v>
      </c>
      <c r="V39" s="33">
        <f>'TUSD BE'!$V$39*'TUSD BF'!$V$81</f>
        <v>0</v>
      </c>
      <c r="W39" s="33">
        <f>'TUSD BE'!$W$39*'TUSD BF'!$W$81</f>
        <v>0</v>
      </c>
      <c r="X39" s="33">
        <f>'TUSD BE'!$X$39*'TUSD BF'!$X$81</f>
        <v>0</v>
      </c>
      <c r="Y39" s="33">
        <f>'TUSD BE'!$Y$39*'TUSD BF'!$Y$81</f>
        <v>0</v>
      </c>
      <c r="Z39" s="33">
        <f>'TUSD BE'!$Z$39*'TUSD BF'!$Z$81</f>
        <v>0</v>
      </c>
      <c r="AA39" s="33">
        <f>'TUSD BE'!$AA$39*'TUSD BF'!$AA$81</f>
        <v>0</v>
      </c>
      <c r="AB39" s="33">
        <f>SUM($U$39:$AA$39)</f>
        <v>0</v>
      </c>
      <c r="AC39" s="33">
        <f>'TUSD BE'!$AC$39*'TUSD BF'!$AC$81</f>
        <v>0</v>
      </c>
      <c r="AD39" s="33">
        <f>SUM($AC$39:$AC$39)</f>
        <v>0</v>
      </c>
      <c r="AE39" s="33">
        <f ca="1">$AO$39*$AO$78</f>
        <v>0</v>
      </c>
      <c r="AF39" s="33">
        <f ca="1">$AP$39*$AP$78</f>
        <v>0</v>
      </c>
      <c r="AG39" s="33">
        <f ca="1">SUM($AE$39:$AF$39)</f>
        <v>0</v>
      </c>
      <c r="AH39" s="33">
        <f>'TUSD BE'!$AH$39*'TUSD BF'!$AH$81</f>
        <v>0</v>
      </c>
      <c r="AI39" s="33">
        <f>'TUSD BE'!$AI$39*'TUSD BF'!$AI$81</f>
        <v>0</v>
      </c>
      <c r="AJ39" s="33">
        <f ca="1">'TUSD BE'!$AJ$39*'TUSD BF'!$AJ$81</f>
        <v>0</v>
      </c>
      <c r="AK39" s="33">
        <f ca="1">'TUSD BE'!$AK$39*'TUSD BF'!$AK$81</f>
        <v>0</v>
      </c>
      <c r="AL39" s="33">
        <f ca="1">SUM($AH$39:$AK$39)</f>
        <v>0</v>
      </c>
      <c r="AM39" s="33">
        <f ca="1">SUMIF($L$4:$AL$4,"SUBTOTAL",$L$39:$AL$39)</f>
        <v>0</v>
      </c>
      <c r="AO39" s="43">
        <f ca="1">+'TUSD BE'!$T$39+'TUSD BE'!$AB$39+'TUSD BE'!$AD$39+'TUSD BE'!$AL$39</f>
        <v>11.071472933643578</v>
      </c>
      <c r="AP39" s="43">
        <f ca="1">+'TUSD BE'!$T$39+'TUSD BE'!$AB$39+'TUSD BE'!$AD$39+'TUSD BE'!$AL$39</f>
        <v>11.071472933643578</v>
      </c>
    </row>
    <row r="40" spans="1:42" ht="11.25" customHeight="1" x14ac:dyDescent="0.25">
      <c r="A40" s="116" t="s">
        <v>22</v>
      </c>
      <c r="B40" s="116" t="s">
        <v>33</v>
      </c>
      <c r="C40" s="116" t="s">
        <v>24</v>
      </c>
      <c r="D40" s="116" t="s">
        <v>24</v>
      </c>
      <c r="E40" s="116" t="s">
        <v>25</v>
      </c>
      <c r="F40" s="116" t="s">
        <v>25</v>
      </c>
      <c r="G40" s="36" t="s">
        <v>118</v>
      </c>
      <c r="H40" s="36" t="s">
        <v>117</v>
      </c>
      <c r="I40" s="36">
        <f>'MERCADO TUSD'!$U$37</f>
        <v>17.429000000000002</v>
      </c>
      <c r="J40" s="16"/>
      <c r="L40" s="33">
        <f>'TUSD BE'!$L$40*'TUSD BF'!$L$81</f>
        <v>0.41653754699744711</v>
      </c>
      <c r="M40" s="33">
        <f>'TUSD BE'!$M$40*'TUSD BF'!$M$81</f>
        <v>0</v>
      </c>
      <c r="N40" s="33">
        <f ca="1">'TUSD BE'!$N$40*'TUSD BF'!$N$81</f>
        <v>0</v>
      </c>
      <c r="O40" s="33">
        <f>'TUSD BE'!$O$40*'TUSD BF'!$O$81</f>
        <v>0</v>
      </c>
      <c r="P40" s="33">
        <f>'TUSD BE'!$P$40*'TUSD BF'!$P$81</f>
        <v>0</v>
      </c>
      <c r="Q40" s="33">
        <f>'TUSD BE'!$Q$40*'TUSD BF'!$Q$81</f>
        <v>11.271123335574337</v>
      </c>
      <c r="R40" s="33">
        <f>'TUSD BE'!$R$40*'TUSD BF'!$R$81</f>
        <v>2.8708931432949591</v>
      </c>
      <c r="S40" s="33">
        <f>'TUSD BE'!$R$40*'TUSD BF'!$S$81</f>
        <v>0</v>
      </c>
      <c r="T40" s="33">
        <f ca="1">SUM($L$40:$S$40)</f>
        <v>14.558554025866743</v>
      </c>
      <c r="U40" s="33">
        <f>'TUSD BE'!$U$40*'TUSD BF'!$U$81</f>
        <v>1.6774334835628879</v>
      </c>
      <c r="V40" s="33">
        <f>'TUSD BE'!$V$40*'TUSD BF'!$V$81</f>
        <v>2.4281722436135238E-2</v>
      </c>
      <c r="W40" s="33">
        <f>'TUSD BE'!$W$40*'TUSD BF'!$W$81</f>
        <v>0</v>
      </c>
      <c r="X40" s="33">
        <f>'TUSD BE'!$X$40*'TUSD BF'!$X$81</f>
        <v>0</v>
      </c>
      <c r="Y40" s="33">
        <f>'TUSD BE'!$Y$40*'TUSD BF'!$Y$81</f>
        <v>0</v>
      </c>
      <c r="Z40" s="33">
        <f>'TUSD BE'!$Z$40*'TUSD BF'!$Z$81</f>
        <v>0</v>
      </c>
      <c r="AA40" s="33">
        <f>'TUSD BE'!$AA$40*'TUSD BF'!$AA$81</f>
        <v>0</v>
      </c>
      <c r="AB40" s="33">
        <f>SUM($U$40:$AA$40)</f>
        <v>1.701715205999023</v>
      </c>
      <c r="AC40" s="33">
        <f>'TUSD BE'!$AC$40*'TUSD BF'!$AC$81</f>
        <v>0</v>
      </c>
      <c r="AD40" s="33">
        <f>SUM($AC$40:$AC$40)</f>
        <v>0</v>
      </c>
      <c r="AE40" s="33">
        <f ca="1">$AO$40*$AO$78</f>
        <v>0</v>
      </c>
      <c r="AF40" s="33">
        <f ca="1">$AP$40*$AP$78</f>
        <v>0</v>
      </c>
      <c r="AG40" s="33">
        <f ca="1">SUM($AE$40:$AF$40)</f>
        <v>0</v>
      </c>
      <c r="AH40" s="33">
        <f>'TUSD BE'!$AH$40*'TUSD BF'!$AH$81</f>
        <v>2.9110933776476937</v>
      </c>
      <c r="AI40" s="33">
        <f>'TUSD BE'!$AI$40*'TUSD BF'!$AI$81</f>
        <v>6.4638025244141287E-3</v>
      </c>
      <c r="AJ40" s="33">
        <f ca="1">'TUSD BE'!$AJ$40*'TUSD BF'!$AJ$81</f>
        <v>5.2404639122858691E-2</v>
      </c>
      <c r="AK40" s="33">
        <f ca="1">'TUSD BE'!$AK$40*'TUSD BF'!$AK$81</f>
        <v>0</v>
      </c>
      <c r="AL40" s="33">
        <f ca="1">SUM($AH$40:$AK$40)</f>
        <v>2.9699618192949666</v>
      </c>
      <c r="AM40" s="33">
        <f ca="1">SUMIF($L$4:$AL$4,"SUBTOTAL",$L$40:$AL$40)</f>
        <v>19.230231051160732</v>
      </c>
      <c r="AO40" s="43">
        <f ca="1">+'TUSD BE'!$T$40+'TUSD BE'!$AB$40+'TUSD BE'!$AD$40+'TUSD BE'!$AL$40</f>
        <v>840.01285940516061</v>
      </c>
      <c r="AP40" s="43">
        <f ca="1">+'TUSD BE'!$T$40+'TUSD BE'!$AB$40+'TUSD BE'!$AD$40+'TUSD BE'!$AL$40</f>
        <v>840.01285940516061</v>
      </c>
    </row>
    <row r="41" spans="1:42" ht="11.25" customHeight="1" x14ac:dyDescent="0.25">
      <c r="A41" s="116"/>
      <c r="B41" s="116"/>
      <c r="C41" s="116"/>
      <c r="D41" s="116"/>
      <c r="E41" s="116"/>
      <c r="F41" s="116"/>
      <c r="G41" s="36" t="s">
        <v>128</v>
      </c>
      <c r="H41" s="36" t="s">
        <v>117</v>
      </c>
      <c r="I41" s="36">
        <f>'MERCADO TUSD'!$U$38</f>
        <v>10.807000000000002</v>
      </c>
      <c r="J41" s="16"/>
      <c r="L41" s="33">
        <f>'TUSD BE'!$L$41*'TUSD BF'!$L$81</f>
        <v>0.41653754699744711</v>
      </c>
      <c r="M41" s="33">
        <f>'TUSD BE'!$M$41*'TUSD BF'!$M$81</f>
        <v>0</v>
      </c>
      <c r="N41" s="33">
        <f ca="1">'TUSD BE'!$N$41*'TUSD BF'!$N$81</f>
        <v>0</v>
      </c>
      <c r="O41" s="33">
        <f>'TUSD BE'!$O$41*'TUSD BF'!$O$81</f>
        <v>0</v>
      </c>
      <c r="P41" s="33">
        <f>'TUSD BE'!$P$41*'TUSD BF'!$P$81</f>
        <v>0</v>
      </c>
      <c r="Q41" s="33">
        <f>'TUSD BE'!$Q$41*'TUSD BF'!$Q$81</f>
        <v>11.271123335574337</v>
      </c>
      <c r="R41" s="33">
        <f>'TUSD BE'!$R$41*'TUSD BF'!$R$81</f>
        <v>2.8708931432949591</v>
      </c>
      <c r="S41" s="33">
        <f>'TUSD BE'!$R$41*'TUSD BF'!$S$81</f>
        <v>0</v>
      </c>
      <c r="T41" s="33">
        <f ca="1">SUM($L$41:$S$41)</f>
        <v>14.558554025866743</v>
      </c>
      <c r="U41" s="33">
        <f>'TUSD BE'!$U$41*'TUSD BF'!$U$81</f>
        <v>1.0064610734996351</v>
      </c>
      <c r="V41" s="33">
        <f>'TUSD BE'!$V$41*'TUSD BF'!$V$81</f>
        <v>1.4569252432935864E-2</v>
      </c>
      <c r="W41" s="33">
        <f>'TUSD BE'!$W$41*'TUSD BF'!$W$81</f>
        <v>0</v>
      </c>
      <c r="X41" s="33">
        <f>'TUSD BE'!$X$41*'TUSD BF'!$X$81</f>
        <v>0</v>
      </c>
      <c r="Y41" s="33">
        <f>'TUSD BE'!$Y$41*'TUSD BF'!$Y$81</f>
        <v>0</v>
      </c>
      <c r="Z41" s="33">
        <f>'TUSD BE'!$Z$41*'TUSD BF'!$Z$81</f>
        <v>0</v>
      </c>
      <c r="AA41" s="33">
        <f>'TUSD BE'!$AA$41*'TUSD BF'!$AA$81</f>
        <v>0</v>
      </c>
      <c r="AB41" s="33">
        <f>SUM($U$41:$AA$41)</f>
        <v>1.021030325932571</v>
      </c>
      <c r="AC41" s="33">
        <f>'TUSD BE'!$AC$41*'TUSD BF'!$AC$81</f>
        <v>0</v>
      </c>
      <c r="AD41" s="33">
        <f>SUM($AC$41:$AC$41)</f>
        <v>0</v>
      </c>
      <c r="AE41" s="33">
        <f ca="1">$AO$41*$AO$78</f>
        <v>0</v>
      </c>
      <c r="AF41" s="33">
        <f ca="1">$AP$41*$AP$78</f>
        <v>0</v>
      </c>
      <c r="AG41" s="33">
        <f ca="1">SUM($AE$41:$AF$41)</f>
        <v>0</v>
      </c>
      <c r="AH41" s="33">
        <f>'TUSD BE'!$AH$41*'TUSD BF'!$AH$81</f>
        <v>2.9110933776476937</v>
      </c>
      <c r="AI41" s="33">
        <f>'TUSD BE'!$AI$41*'TUSD BF'!$AI$81</f>
        <v>6.4638025244141287E-3</v>
      </c>
      <c r="AJ41" s="33">
        <f ca="1">'TUSD BE'!$AJ$41*'TUSD BF'!$AJ$81</f>
        <v>5.2404639122858691E-2</v>
      </c>
      <c r="AK41" s="33">
        <f ca="1">'TUSD BE'!$AK$41*'TUSD BF'!$AK$81</f>
        <v>0</v>
      </c>
      <c r="AL41" s="33">
        <f ca="1">SUM($AH$41:$AK$41)</f>
        <v>2.9699618192949666</v>
      </c>
      <c r="AM41" s="33">
        <f ca="1">SUMIF($L$4:$AL$4,"SUBTOTAL",$L$41:$AL$41)</f>
        <v>18.549546171094281</v>
      </c>
      <c r="AO41" s="43">
        <f ca="1">+'TUSD BE'!$T$41+'TUSD BE'!$AB$41+'TUSD BE'!$AD$41+'TUSD BE'!$AL$41</f>
        <v>570.32822688156341</v>
      </c>
      <c r="AP41" s="43">
        <f ca="1">+'TUSD BE'!$T$41+'TUSD BE'!$AB$41+'TUSD BE'!$AD$41+'TUSD BE'!$AL$41</f>
        <v>570.32822688156341</v>
      </c>
    </row>
    <row r="42" spans="1:42" ht="11.25" customHeight="1" x14ac:dyDescent="0.25">
      <c r="A42" s="116"/>
      <c r="B42" s="116"/>
      <c r="C42" s="116"/>
      <c r="D42" s="116"/>
      <c r="E42" s="116"/>
      <c r="F42" s="116"/>
      <c r="G42" s="36" t="s">
        <v>119</v>
      </c>
      <c r="H42" s="36" t="s">
        <v>117</v>
      </c>
      <c r="I42" s="36">
        <f>'MERCADO TUSD'!$U$39</f>
        <v>120.55500000000001</v>
      </c>
      <c r="J42" s="16"/>
      <c r="L42" s="33">
        <f>'TUSD BE'!$L$42*'TUSD BF'!$L$81</f>
        <v>0.41653754699744711</v>
      </c>
      <c r="M42" s="33">
        <f>'TUSD BE'!$M$42*'TUSD BF'!$M$81</f>
        <v>0</v>
      </c>
      <c r="N42" s="33">
        <f ca="1">'TUSD BE'!$N$42*'TUSD BF'!$N$81</f>
        <v>0</v>
      </c>
      <c r="O42" s="33">
        <f>'TUSD BE'!$O$42*'TUSD BF'!$O$81</f>
        <v>0</v>
      </c>
      <c r="P42" s="33">
        <f>'TUSD BE'!$P$42*'TUSD BF'!$P$81</f>
        <v>0</v>
      </c>
      <c r="Q42" s="33">
        <f>'TUSD BE'!$Q$42*'TUSD BF'!$Q$81</f>
        <v>11.271123335574337</v>
      </c>
      <c r="R42" s="33">
        <f>'TUSD BE'!$R$42*'TUSD BF'!$R$81</f>
        <v>2.8708931432949591</v>
      </c>
      <c r="S42" s="33">
        <f>'TUSD BE'!$R$42*'TUSD BF'!$S$81</f>
        <v>0</v>
      </c>
      <c r="T42" s="33">
        <f ca="1">SUM($L$42:$S$42)</f>
        <v>14.558554025866743</v>
      </c>
      <c r="U42" s="33">
        <f>'TUSD BE'!$U$42*'TUSD BF'!$U$81</f>
        <v>0.33548866343638234</v>
      </c>
      <c r="V42" s="33">
        <f>'TUSD BE'!$V$42*'TUSD BF'!$V$81</f>
        <v>4.8562350015996861E-3</v>
      </c>
      <c r="W42" s="33">
        <f>'TUSD BE'!$W$42*'TUSD BF'!$W$81</f>
        <v>0</v>
      </c>
      <c r="X42" s="33">
        <f>'TUSD BE'!$X$42*'TUSD BF'!$X$81</f>
        <v>0</v>
      </c>
      <c r="Y42" s="33">
        <f>'TUSD BE'!$Y$42*'TUSD BF'!$Y$81</f>
        <v>0</v>
      </c>
      <c r="Z42" s="33">
        <f>'TUSD BE'!$Z$42*'TUSD BF'!$Z$81</f>
        <v>0</v>
      </c>
      <c r="AA42" s="33">
        <f>'TUSD BE'!$AA$42*'TUSD BF'!$AA$81</f>
        <v>0</v>
      </c>
      <c r="AB42" s="33">
        <f>SUM($U$42:$AA$42)</f>
        <v>0.34034489843798205</v>
      </c>
      <c r="AC42" s="33">
        <f>'TUSD BE'!$AC$42*'TUSD BF'!$AC$81</f>
        <v>0</v>
      </c>
      <c r="AD42" s="33">
        <f>SUM($AC$42:$AC$42)</f>
        <v>0</v>
      </c>
      <c r="AE42" s="33">
        <f ca="1">$AO$42*$AO$78</f>
        <v>0</v>
      </c>
      <c r="AF42" s="33">
        <f ca="1">$AP$42*$AP$78</f>
        <v>0</v>
      </c>
      <c r="AG42" s="33">
        <f ca="1">SUM($AE$42:$AF$42)</f>
        <v>0</v>
      </c>
      <c r="AH42" s="33">
        <f>'TUSD BE'!$AH$42*'TUSD BF'!$AH$81</f>
        <v>2.9110933776476937</v>
      </c>
      <c r="AI42" s="33">
        <f>'TUSD BE'!$AI$42*'TUSD BF'!$AI$81</f>
        <v>6.4638025244141287E-3</v>
      </c>
      <c r="AJ42" s="33">
        <f ca="1">'TUSD BE'!$AJ$42*'TUSD BF'!$AJ$81</f>
        <v>5.2404639122858691E-2</v>
      </c>
      <c r="AK42" s="33">
        <f ca="1">'TUSD BE'!$AK$42*'TUSD BF'!$AK$81</f>
        <v>0</v>
      </c>
      <c r="AL42" s="33">
        <f ca="1">SUM($AH$42:$AK$42)</f>
        <v>2.9699618192949666</v>
      </c>
      <c r="AM42" s="33">
        <f ca="1">SUMIF($L$4:$AL$4,"SUBTOTAL",$L$42:$AL$42)</f>
        <v>17.86886074359969</v>
      </c>
      <c r="AO42" s="43">
        <f ca="1">+'TUSD BE'!$T$42+'TUSD BE'!$AB$42+'TUSD BE'!$AD$42+'TUSD BE'!$AL$42</f>
        <v>300.6436958401938</v>
      </c>
      <c r="AP42" s="43">
        <f ca="1">+'TUSD BE'!$T$42+'TUSD BE'!$AB$42+'TUSD BE'!$AD$42+'TUSD BE'!$AL$42</f>
        <v>300.6436958401938</v>
      </c>
    </row>
    <row r="43" spans="1:42" ht="11.25" customHeight="1" x14ac:dyDescent="0.25">
      <c r="A43" s="116"/>
      <c r="B43" s="116" t="s">
        <v>23</v>
      </c>
      <c r="C43" s="116" t="s">
        <v>24</v>
      </c>
      <c r="D43" s="41" t="s">
        <v>24</v>
      </c>
      <c r="E43" s="41" t="s">
        <v>25</v>
      </c>
      <c r="F43" s="41" t="s">
        <v>25</v>
      </c>
      <c r="G43" s="36" t="s">
        <v>123</v>
      </c>
      <c r="H43" s="36" t="s">
        <v>117</v>
      </c>
      <c r="I43" s="36">
        <f>'MERCADO TUSD'!$U$40</f>
        <v>426447.22100000002</v>
      </c>
      <c r="J43" s="16"/>
      <c r="L43" s="33">
        <f>'TUSD BE'!$L$43*'TUSD BF'!$L$81</f>
        <v>0.41653754699744711</v>
      </c>
      <c r="M43" s="33">
        <f>'TUSD BE'!$M$43*'TUSD BF'!$M$81</f>
        <v>0</v>
      </c>
      <c r="N43" s="33">
        <f ca="1">'TUSD BE'!$N$43*'TUSD BF'!$N$81</f>
        <v>0</v>
      </c>
      <c r="O43" s="33">
        <f>'TUSD BE'!$O$43*'TUSD BF'!$O$81</f>
        <v>0</v>
      </c>
      <c r="P43" s="33">
        <f>'TUSD BE'!$P$43*'TUSD BF'!$P$81</f>
        <v>0</v>
      </c>
      <c r="Q43" s="33">
        <f>'TUSD BE'!$Q$43*'TUSD BF'!$Q$81</f>
        <v>11.271123335574337</v>
      </c>
      <c r="R43" s="33">
        <f>'TUSD BE'!$R$43*'TUSD BF'!$R$81</f>
        <v>2.8708931432949591</v>
      </c>
      <c r="S43" s="33">
        <f>'TUSD BE'!$R$43*'TUSD BF'!$S$81</f>
        <v>0</v>
      </c>
      <c r="T43" s="33">
        <f ca="1">SUM($L$43:$S$43)</f>
        <v>14.558554025866743</v>
      </c>
      <c r="U43" s="33">
        <f>'TUSD BE'!$U$43*'TUSD BF'!$U$81</f>
        <v>0.63299497339210209</v>
      </c>
      <c r="V43" s="33">
        <f>'TUSD BE'!$V$43*'TUSD BF'!$V$81</f>
        <v>9.1628521538468649E-3</v>
      </c>
      <c r="W43" s="33">
        <f>'TUSD BE'!$W$43*'TUSD BF'!$W$81</f>
        <v>0</v>
      </c>
      <c r="X43" s="33">
        <f>'TUSD BE'!$X$43*'TUSD BF'!$X$81</f>
        <v>0</v>
      </c>
      <c r="Y43" s="33">
        <f>'TUSD BE'!$Y$43*'TUSD BF'!$Y$81</f>
        <v>0</v>
      </c>
      <c r="Z43" s="33">
        <f>'TUSD BE'!$Z$43*'TUSD BF'!$Z$81</f>
        <v>0</v>
      </c>
      <c r="AA43" s="33">
        <f>'TUSD BE'!$AA$43*'TUSD BF'!$AA$81</f>
        <v>0</v>
      </c>
      <c r="AB43" s="33">
        <f>SUM($U$43:$AA$43)</f>
        <v>0.64215782554594891</v>
      </c>
      <c r="AC43" s="33">
        <f>'TUSD BE'!$AC$43*'TUSD BF'!$AC$81</f>
        <v>0</v>
      </c>
      <c r="AD43" s="33">
        <f>SUM($AC$43:$AC$43)</f>
        <v>0</v>
      </c>
      <c r="AE43" s="33">
        <f ca="1">$AO$43*$AO$78</f>
        <v>0</v>
      </c>
      <c r="AF43" s="33">
        <f ca="1">$AP$43*$AP$78</f>
        <v>0</v>
      </c>
      <c r="AG43" s="33">
        <f ca="1">SUM($AE$43:$AF$43)</f>
        <v>0</v>
      </c>
      <c r="AH43" s="33">
        <f>'TUSD BE'!$AH$43*'TUSD BF'!$AH$81</f>
        <v>2.9110933776476937</v>
      </c>
      <c r="AI43" s="33">
        <f>'TUSD BE'!$AI$43*'TUSD BF'!$AI$81</f>
        <v>6.4638025244141287E-3</v>
      </c>
      <c r="AJ43" s="33">
        <f ca="1">'TUSD BE'!$AJ$43*'TUSD BF'!$AJ$81</f>
        <v>5.2404639122858691E-2</v>
      </c>
      <c r="AK43" s="33">
        <f ca="1">'TUSD BE'!$AK$43*'TUSD BF'!$AK$81</f>
        <v>0</v>
      </c>
      <c r="AL43" s="33">
        <f ca="1">SUM($AH$43:$AK$43)</f>
        <v>2.9699618192949666</v>
      </c>
      <c r="AM43" s="33">
        <f ca="1">SUMIF($L$4:$AL$4,"SUBTOTAL",$L$43:$AL$43)</f>
        <v>18.170673670707657</v>
      </c>
      <c r="AO43" s="43">
        <f ca="1">+'TUSD BE'!$T$43+'TUSD BE'!$AB$43+'TUSD BE'!$AD$43+'TUSD BE'!$AL$43</f>
        <v>420.22084168166344</v>
      </c>
      <c r="AP43" s="43">
        <f ca="1">+'TUSD BE'!$T$43+'TUSD BE'!$AB$43+'TUSD BE'!$AD$43+'TUSD BE'!$AL$43</f>
        <v>420.22084168166344</v>
      </c>
    </row>
    <row r="44" spans="1:42" ht="11.25" customHeight="1" x14ac:dyDescent="0.25">
      <c r="A44" s="116"/>
      <c r="B44" s="116"/>
      <c r="C44" s="116"/>
      <c r="D44" s="41" t="s">
        <v>29</v>
      </c>
      <c r="E44" s="41" t="s">
        <v>25</v>
      </c>
      <c r="F44" s="41" t="s">
        <v>25</v>
      </c>
      <c r="G44" s="36" t="s">
        <v>123</v>
      </c>
      <c r="H44" s="36" t="s">
        <v>117</v>
      </c>
      <c r="I44" s="36">
        <f>'MERCADO TUSD'!$U$41</f>
        <v>31822.650999999998</v>
      </c>
      <c r="J44" s="16"/>
      <c r="L44" s="33">
        <f>'TUSD BE'!$L$44*'TUSD BF'!$L$81</f>
        <v>0</v>
      </c>
      <c r="M44" s="33">
        <f>'TUSD BE'!$M$44*'TUSD BF'!$M$81</f>
        <v>0</v>
      </c>
      <c r="N44" s="33">
        <f ca="1">'TUSD BE'!$N$44*'TUSD BF'!$N$81</f>
        <v>0</v>
      </c>
      <c r="O44" s="33">
        <f>'TUSD BE'!$O$44*'TUSD BF'!$O$81</f>
        <v>0</v>
      </c>
      <c r="P44" s="33">
        <f>'TUSD BE'!$P$44*'TUSD BF'!$P$81</f>
        <v>0</v>
      </c>
      <c r="Q44" s="33">
        <f>'TUSD BE'!$Q$44*'TUSD BF'!$Q$81</f>
        <v>0</v>
      </c>
      <c r="R44" s="33">
        <f>'TUSD BE'!$R$44*'TUSD BF'!$R$81</f>
        <v>0</v>
      </c>
      <c r="S44" s="33">
        <f>'TUSD BE'!$R$44*'TUSD BF'!$S$81</f>
        <v>0</v>
      </c>
      <c r="T44" s="33">
        <f ca="1">SUM($L$44:$S$44)</f>
        <v>0</v>
      </c>
      <c r="U44" s="33">
        <f>'TUSD BE'!$U$44*'TUSD BF'!$U$81</f>
        <v>0.63299497339210209</v>
      </c>
      <c r="V44" s="33">
        <f>'TUSD BE'!$V$44*'TUSD BF'!$V$81</f>
        <v>9.1628521538468649E-3</v>
      </c>
      <c r="W44" s="33">
        <f>'TUSD BE'!$W$44*'TUSD BF'!$W$81</f>
        <v>0</v>
      </c>
      <c r="X44" s="33">
        <f>'TUSD BE'!$X$44*'TUSD BF'!$X$81</f>
        <v>0</v>
      </c>
      <c r="Y44" s="33">
        <f>'TUSD BE'!$Y$44*'TUSD BF'!$Y$81</f>
        <v>0</v>
      </c>
      <c r="Z44" s="33">
        <f>'TUSD BE'!$Z$44*'TUSD BF'!$Z$81</f>
        <v>0</v>
      </c>
      <c r="AA44" s="33">
        <f>'TUSD BE'!$AA$44*'TUSD BF'!$AA$81</f>
        <v>0</v>
      </c>
      <c r="AB44" s="33">
        <f>SUM($U$44:$AA$44)</f>
        <v>0.64215782554594891</v>
      </c>
      <c r="AC44" s="33">
        <f>'TUSD BE'!$AC$44*'TUSD BF'!$AC$81</f>
        <v>0</v>
      </c>
      <c r="AD44" s="33">
        <f>SUM($AC$44:$AC$44)</f>
        <v>0</v>
      </c>
      <c r="AE44" s="33">
        <f ca="1">$AO$44*$AO$78</f>
        <v>0</v>
      </c>
      <c r="AF44" s="33">
        <f ca="1">$AP$44*$AP$78</f>
        <v>0</v>
      </c>
      <c r="AG44" s="33">
        <f ca="1">SUM($AE$44:$AF$44)</f>
        <v>0</v>
      </c>
      <c r="AH44" s="33">
        <f>'TUSD BE'!$AH$44*'TUSD BF'!$AH$81</f>
        <v>2.9110933776476937</v>
      </c>
      <c r="AI44" s="33">
        <f>'TUSD BE'!$AI$44*'TUSD BF'!$AI$81</f>
        <v>6.4638025244141287E-3</v>
      </c>
      <c r="AJ44" s="33">
        <f ca="1">'TUSD BE'!$AJ$44*'TUSD BF'!$AJ$81</f>
        <v>5.2404639122858691E-2</v>
      </c>
      <c r="AK44" s="33">
        <f ca="1">'TUSD BE'!$AK$44*'TUSD BF'!$AK$81</f>
        <v>0</v>
      </c>
      <c r="AL44" s="33">
        <f ca="1">SUM($AH$44:$AK$44)</f>
        <v>2.9699618192949666</v>
      </c>
      <c r="AM44" s="33">
        <f ca="1">SUMIF($L$4:$AL$4,"SUBTOTAL",$L$44:$AL$44)</f>
        <v>3.6121196448409156</v>
      </c>
      <c r="AO44" s="43">
        <f ca="1">+'TUSD BE'!$T$44+'TUSD BE'!$AB$44+'TUSD BE'!$AD$44+'TUSD BE'!$AL$44</f>
        <v>305.6756108798748</v>
      </c>
      <c r="AP44" s="43">
        <f ca="1">+'TUSD BE'!$T$44+'TUSD BE'!$AB$44+'TUSD BE'!$AD$44+'TUSD BE'!$AL$44</f>
        <v>305.6756108798748</v>
      </c>
    </row>
    <row r="45" spans="1:42" ht="11.25" customHeight="1" x14ac:dyDescent="0.25">
      <c r="A45" s="116"/>
      <c r="B45" s="116"/>
      <c r="C45" s="116"/>
      <c r="D45" s="41" t="s">
        <v>30</v>
      </c>
      <c r="E45" s="41" t="s">
        <v>25</v>
      </c>
      <c r="F45" s="41" t="s">
        <v>25</v>
      </c>
      <c r="G45" s="36" t="s">
        <v>123</v>
      </c>
      <c r="H45" s="36" t="s">
        <v>117</v>
      </c>
      <c r="I45" s="36">
        <f>'MERCADO TUSD'!$U$42</f>
        <v>61209.610999999997</v>
      </c>
      <c r="J45" s="16"/>
      <c r="L45" s="33">
        <f>'TUSD BE'!$L$45*'TUSD BF'!$L$81</f>
        <v>0</v>
      </c>
      <c r="M45" s="33">
        <f>'TUSD BE'!$M$45*'TUSD BF'!$M$81</f>
        <v>0</v>
      </c>
      <c r="N45" s="33">
        <f ca="1">'TUSD BE'!$N$45*'TUSD BF'!$N$81</f>
        <v>0</v>
      </c>
      <c r="O45" s="33">
        <f>'TUSD BE'!$O$45*'TUSD BF'!$O$81</f>
        <v>0</v>
      </c>
      <c r="P45" s="33">
        <f>'TUSD BE'!$P$45*'TUSD BF'!$P$81</f>
        <v>0</v>
      </c>
      <c r="Q45" s="33">
        <f>'TUSD BE'!$Q$45*'TUSD BF'!$Q$81</f>
        <v>0</v>
      </c>
      <c r="R45" s="33">
        <f>'TUSD BE'!$R$45*'TUSD BF'!$R$81</f>
        <v>0</v>
      </c>
      <c r="S45" s="33">
        <f>'TUSD BE'!$R$45*'TUSD BF'!$S$81</f>
        <v>0</v>
      </c>
      <c r="T45" s="33">
        <f ca="1">SUM($L$45:$S$45)</f>
        <v>0</v>
      </c>
      <c r="U45" s="33">
        <f>'TUSD BE'!$U$45*'TUSD BF'!$U$81</f>
        <v>0.63299497339210209</v>
      </c>
      <c r="V45" s="33">
        <f>'TUSD BE'!$V$45*'TUSD BF'!$V$81</f>
        <v>9.1628521538468649E-3</v>
      </c>
      <c r="W45" s="33">
        <f>'TUSD BE'!$W$45*'TUSD BF'!$W$81</f>
        <v>0</v>
      </c>
      <c r="X45" s="33">
        <f>'TUSD BE'!$X$45*'TUSD BF'!$X$81</f>
        <v>0</v>
      </c>
      <c r="Y45" s="33">
        <f>'TUSD BE'!$Y$45*'TUSD BF'!$Y$81</f>
        <v>0</v>
      </c>
      <c r="Z45" s="33">
        <f>'TUSD BE'!$Z$45*'TUSD BF'!$Z$81</f>
        <v>0</v>
      </c>
      <c r="AA45" s="33">
        <f>'TUSD BE'!$AA$45*'TUSD BF'!$AA$81</f>
        <v>0</v>
      </c>
      <c r="AB45" s="33">
        <f>SUM($U$45:$AA$45)</f>
        <v>0.64215782554594891</v>
      </c>
      <c r="AC45" s="33">
        <f>'TUSD BE'!$AC$45*'TUSD BF'!$AC$81</f>
        <v>0</v>
      </c>
      <c r="AD45" s="33">
        <f>SUM($AC$45:$AC$45)</f>
        <v>0</v>
      </c>
      <c r="AE45" s="33">
        <f ca="1">$AO$45*$AO$78</f>
        <v>0</v>
      </c>
      <c r="AF45" s="33">
        <f ca="1">$AP$45*$AP$78</f>
        <v>0</v>
      </c>
      <c r="AG45" s="33">
        <f ca="1">SUM($AE$45:$AF$45)</f>
        <v>0</v>
      </c>
      <c r="AH45" s="33">
        <f>'TUSD BE'!$AH$45*'TUSD BF'!$AH$81</f>
        <v>2.9110933776476937</v>
      </c>
      <c r="AI45" s="33">
        <f>'TUSD BE'!$AI$45*'TUSD BF'!$AI$81</f>
        <v>6.4638025244141287E-3</v>
      </c>
      <c r="AJ45" s="33">
        <f ca="1">'TUSD BE'!$AJ$45*'TUSD BF'!$AJ$81</f>
        <v>5.2404639122858691E-2</v>
      </c>
      <c r="AK45" s="33">
        <f ca="1">'TUSD BE'!$AK$45*'TUSD BF'!$AK$81</f>
        <v>0</v>
      </c>
      <c r="AL45" s="33">
        <f ca="1">SUM($AH$45:$AK$45)</f>
        <v>2.9699618192949666</v>
      </c>
      <c r="AM45" s="33">
        <f ca="1">SUMIF($L$4:$AL$4,"SUBTOTAL",$L$45:$AL$45)</f>
        <v>3.6121196448409156</v>
      </c>
      <c r="AO45" s="43">
        <f ca="1">+'TUSD BE'!$T$45+'TUSD BE'!$AB$45+'TUSD BE'!$AD$45+'TUSD BE'!$AL$45</f>
        <v>305.6756108798748</v>
      </c>
      <c r="AP45" s="43">
        <f ca="1">+'TUSD BE'!$T$45+'TUSD BE'!$AB$45+'TUSD BE'!$AD$45+'TUSD BE'!$AL$45</f>
        <v>305.6756108798748</v>
      </c>
    </row>
    <row r="46" spans="1:42" ht="11.25" customHeight="1" x14ac:dyDescent="0.25">
      <c r="A46" s="116"/>
      <c r="B46" s="116"/>
      <c r="C46" s="116"/>
      <c r="D46" s="41" t="s">
        <v>31</v>
      </c>
      <c r="E46" s="41" t="s">
        <v>25</v>
      </c>
      <c r="F46" s="41" t="s">
        <v>25</v>
      </c>
      <c r="G46" s="36" t="s">
        <v>123</v>
      </c>
      <c r="H46" s="36" t="s">
        <v>117</v>
      </c>
      <c r="I46" s="36">
        <f>'MERCADO TUSD'!$U$43</f>
        <v>39801.019999999997</v>
      </c>
      <c r="J46" s="16"/>
      <c r="L46" s="33">
        <f>'TUSD BE'!$L$46*'TUSD BF'!$L$81</f>
        <v>0</v>
      </c>
      <c r="M46" s="33">
        <f>'TUSD BE'!$M$46*'TUSD BF'!$M$81</f>
        <v>0</v>
      </c>
      <c r="N46" s="33">
        <f ca="1">'TUSD BE'!$N$46*'TUSD BF'!$N$81</f>
        <v>0</v>
      </c>
      <c r="O46" s="33">
        <f>'TUSD BE'!$O$46*'TUSD BF'!$O$81</f>
        <v>0</v>
      </c>
      <c r="P46" s="33">
        <f>'TUSD BE'!$P$46*'TUSD BF'!$P$81</f>
        <v>0</v>
      </c>
      <c r="Q46" s="33">
        <f>'TUSD BE'!$Q$46*'TUSD BF'!$Q$81</f>
        <v>0</v>
      </c>
      <c r="R46" s="33">
        <f>'TUSD BE'!$R$46*'TUSD BF'!$R$81</f>
        <v>0</v>
      </c>
      <c r="S46" s="33">
        <f>'TUSD BE'!$R$46*'TUSD BF'!$S$81</f>
        <v>0</v>
      </c>
      <c r="T46" s="33">
        <f ca="1">SUM($L$46:$S$46)</f>
        <v>0</v>
      </c>
      <c r="U46" s="33">
        <f>'TUSD BE'!$U$46*'TUSD BF'!$U$81</f>
        <v>0.63299497339210209</v>
      </c>
      <c r="V46" s="33">
        <f>'TUSD BE'!$V$46*'TUSD BF'!$V$81</f>
        <v>9.1628521538468649E-3</v>
      </c>
      <c r="W46" s="33">
        <f>'TUSD BE'!$W$46*'TUSD BF'!$W$81</f>
        <v>0</v>
      </c>
      <c r="X46" s="33">
        <f>'TUSD BE'!$X$46*'TUSD BF'!$X$81</f>
        <v>0</v>
      </c>
      <c r="Y46" s="33">
        <f>'TUSD BE'!$Y$46*'TUSD BF'!$Y$81</f>
        <v>0</v>
      </c>
      <c r="Z46" s="33">
        <f>'TUSD BE'!$Z$46*'TUSD BF'!$Z$81</f>
        <v>0</v>
      </c>
      <c r="AA46" s="33">
        <f>'TUSD BE'!$AA$46*'TUSD BF'!$AA$81</f>
        <v>0</v>
      </c>
      <c r="AB46" s="33">
        <f>SUM($U$46:$AA$46)</f>
        <v>0.64215782554594891</v>
      </c>
      <c r="AC46" s="33">
        <f>'TUSD BE'!$AC$46*'TUSD BF'!$AC$81</f>
        <v>0</v>
      </c>
      <c r="AD46" s="33">
        <f>SUM($AC$46:$AC$46)</f>
        <v>0</v>
      </c>
      <c r="AE46" s="33">
        <f ca="1">$AO$46*$AO$78</f>
        <v>0</v>
      </c>
      <c r="AF46" s="33">
        <f ca="1">$AP$46*$AP$78</f>
        <v>0</v>
      </c>
      <c r="AG46" s="33">
        <f ca="1">SUM($AE$46:$AF$46)</f>
        <v>0</v>
      </c>
      <c r="AH46" s="33">
        <f>'TUSD BE'!$AH$46*'TUSD BF'!$AH$81</f>
        <v>2.9110933776476937</v>
      </c>
      <c r="AI46" s="33">
        <f>'TUSD BE'!$AI$46*'TUSD BF'!$AI$81</f>
        <v>6.4638025244141287E-3</v>
      </c>
      <c r="AJ46" s="33">
        <f ca="1">'TUSD BE'!$AJ$46*'TUSD BF'!$AJ$81</f>
        <v>5.2404639122858691E-2</v>
      </c>
      <c r="AK46" s="33">
        <f ca="1">'TUSD BE'!$AK$46*'TUSD BF'!$AK$81</f>
        <v>0</v>
      </c>
      <c r="AL46" s="33">
        <f ca="1">SUM($AH$46:$AK$46)</f>
        <v>2.9699618192949666</v>
      </c>
      <c r="AM46" s="33">
        <f ca="1">SUMIF($L$4:$AL$4,"SUBTOTAL",$L$46:$AL$46)</f>
        <v>3.6121196448409156</v>
      </c>
      <c r="AO46" s="43">
        <f ca="1">+'TUSD BE'!$T$46+'TUSD BE'!$AB$46+'TUSD BE'!$AD$46+'TUSD BE'!$AL$46</f>
        <v>305.6756108798748</v>
      </c>
      <c r="AP46" s="43">
        <f ca="1">+'TUSD BE'!$T$46+'TUSD BE'!$AB$46+'TUSD BE'!$AD$46+'TUSD BE'!$AL$46</f>
        <v>305.6756108798748</v>
      </c>
    </row>
    <row r="47" spans="1:42" ht="11.25" customHeight="1" x14ac:dyDescent="0.25">
      <c r="A47" s="116"/>
      <c r="B47" s="116"/>
      <c r="C47" s="116"/>
      <c r="D47" s="41" t="s">
        <v>32</v>
      </c>
      <c r="E47" s="41" t="s">
        <v>25</v>
      </c>
      <c r="F47" s="41" t="s">
        <v>25</v>
      </c>
      <c r="G47" s="36" t="s">
        <v>123</v>
      </c>
      <c r="H47" s="36" t="s">
        <v>117</v>
      </c>
      <c r="I47" s="36">
        <f>'MERCADO TUSD'!$U$44</f>
        <v>7781.4139999999989</v>
      </c>
      <c r="J47" s="16"/>
      <c r="L47" s="33">
        <f>'TUSD BE'!$L$47*'TUSD BF'!$L$81</f>
        <v>0</v>
      </c>
      <c r="M47" s="33">
        <f>'TUSD BE'!$M$47*'TUSD BF'!$M$81</f>
        <v>0</v>
      </c>
      <c r="N47" s="33">
        <f ca="1">'TUSD BE'!$N$47*'TUSD BF'!$N$81</f>
        <v>0</v>
      </c>
      <c r="O47" s="33">
        <f>'TUSD BE'!$O$47*'TUSD BF'!$O$81</f>
        <v>0</v>
      </c>
      <c r="P47" s="33">
        <f>'TUSD BE'!$P$47*'TUSD BF'!$P$81</f>
        <v>0</v>
      </c>
      <c r="Q47" s="33">
        <f>'TUSD BE'!$Q$47*'TUSD BF'!$Q$81</f>
        <v>0</v>
      </c>
      <c r="R47" s="33">
        <f>'TUSD BE'!$R$47*'TUSD BF'!$R$81</f>
        <v>0</v>
      </c>
      <c r="S47" s="33">
        <f>'TUSD BE'!$R$47*'TUSD BF'!$S$81</f>
        <v>0</v>
      </c>
      <c r="T47" s="33">
        <f ca="1">SUM($L$47:$S$47)</f>
        <v>0</v>
      </c>
      <c r="U47" s="33">
        <f>'TUSD BE'!$U$47*'TUSD BF'!$U$81</f>
        <v>0.63299497339210209</v>
      </c>
      <c r="V47" s="33">
        <f>'TUSD BE'!$V$47*'TUSD BF'!$V$81</f>
        <v>9.1628521538468649E-3</v>
      </c>
      <c r="W47" s="33">
        <f>'TUSD BE'!$W$47*'TUSD BF'!$W$81</f>
        <v>0</v>
      </c>
      <c r="X47" s="33">
        <f>'TUSD BE'!$X$47*'TUSD BF'!$X$81</f>
        <v>0</v>
      </c>
      <c r="Y47" s="33">
        <f>'TUSD BE'!$Y$47*'TUSD BF'!$Y$81</f>
        <v>0</v>
      </c>
      <c r="Z47" s="33">
        <f>'TUSD BE'!$Z$47*'TUSD BF'!$Z$81</f>
        <v>0</v>
      </c>
      <c r="AA47" s="33">
        <f>'TUSD BE'!$AA$47*'TUSD BF'!$AA$81</f>
        <v>0</v>
      </c>
      <c r="AB47" s="33">
        <f>SUM($U$47:$AA$47)</f>
        <v>0.64215782554594891</v>
      </c>
      <c r="AC47" s="33">
        <f>'TUSD BE'!$AC$47*'TUSD BF'!$AC$81</f>
        <v>0</v>
      </c>
      <c r="AD47" s="33">
        <f>SUM($AC$47:$AC$47)</f>
        <v>0</v>
      </c>
      <c r="AE47" s="33">
        <f ca="1">$AO$47*$AO$78</f>
        <v>0</v>
      </c>
      <c r="AF47" s="33">
        <f ca="1">$AP$47*$AP$78</f>
        <v>0</v>
      </c>
      <c r="AG47" s="33">
        <f ca="1">SUM($AE$47:$AF$47)</f>
        <v>0</v>
      </c>
      <c r="AH47" s="33">
        <f>'TUSD BE'!$AH$47*'TUSD BF'!$AH$81</f>
        <v>2.9110933776476937</v>
      </c>
      <c r="AI47" s="33">
        <f>'TUSD BE'!$AI$47*'TUSD BF'!$AI$81</f>
        <v>6.4638025244141287E-3</v>
      </c>
      <c r="AJ47" s="33">
        <f ca="1">'TUSD BE'!$AJ$47*'TUSD BF'!$AJ$81</f>
        <v>5.2404639122858691E-2</v>
      </c>
      <c r="AK47" s="33">
        <f ca="1">'TUSD BE'!$AK$47*'TUSD BF'!$AK$81</f>
        <v>0</v>
      </c>
      <c r="AL47" s="33">
        <f ca="1">SUM($AH$47:$AK$47)</f>
        <v>2.9699618192949666</v>
      </c>
      <c r="AM47" s="33">
        <f ca="1">SUMIF($L$4:$AL$4,"SUBTOTAL",$L$47:$AL$47)</f>
        <v>3.6121196448409156</v>
      </c>
      <c r="AO47" s="43">
        <f ca="1">+'TUSD BE'!$T$47+'TUSD BE'!$AB$47+'TUSD BE'!$AD$47+'TUSD BE'!$AL$47</f>
        <v>305.6756108798748</v>
      </c>
      <c r="AP47" s="43">
        <f ca="1">+'TUSD BE'!$T$47+'TUSD BE'!$AB$47+'TUSD BE'!$AD$47+'TUSD BE'!$AL$47</f>
        <v>305.6756108798748</v>
      </c>
    </row>
    <row r="48" spans="1:42" ht="11.25" customHeight="1" x14ac:dyDescent="0.25">
      <c r="A48" s="116"/>
      <c r="B48" s="116" t="s">
        <v>131</v>
      </c>
      <c r="C48" s="116" t="s">
        <v>24</v>
      </c>
      <c r="D48" s="41" t="s">
        <v>24</v>
      </c>
      <c r="E48" s="41" t="s">
        <v>25</v>
      </c>
      <c r="F48" s="41" t="s">
        <v>25</v>
      </c>
      <c r="G48" s="36" t="s">
        <v>123</v>
      </c>
      <c r="H48" s="36" t="s">
        <v>117</v>
      </c>
      <c r="I48" s="36">
        <f>'MERCADO TUSD'!$U$45</f>
        <v>0</v>
      </c>
      <c r="J48" s="16"/>
      <c r="L48" s="33">
        <f>'TUSD BE'!$L$48*'TUSD BF'!$L$81</f>
        <v>0.41653754699744711</v>
      </c>
      <c r="M48" s="33">
        <f>'TUSD BE'!$M$48*'TUSD BF'!$M$81</f>
        <v>0</v>
      </c>
      <c r="N48" s="33">
        <f ca="1">'TUSD BE'!$N$48*'TUSD BF'!$N$81</f>
        <v>0</v>
      </c>
      <c r="O48" s="33">
        <f>'TUSD BE'!$O$48*'TUSD BF'!$O$81</f>
        <v>0</v>
      </c>
      <c r="P48" s="33">
        <f>'TUSD BE'!$P$48*'TUSD BF'!$P$81</f>
        <v>0</v>
      </c>
      <c r="Q48" s="33">
        <f>'TUSD BE'!$Q$48*'TUSD BF'!$Q$81</f>
        <v>11.271123335574337</v>
      </c>
      <c r="R48" s="33">
        <f>'TUSD BE'!$R$48*'TUSD BF'!$R$81</f>
        <v>2.8708931432949591</v>
      </c>
      <c r="S48" s="33">
        <f>'TUSD BE'!$R$48*'TUSD BF'!$S$81</f>
        <v>0</v>
      </c>
      <c r="T48" s="33">
        <f ca="1">SUM($L$48:$S$48)</f>
        <v>14.558554025866743</v>
      </c>
      <c r="U48" s="33">
        <f>'TUSD BE'!$U$48*'TUSD BF'!$U$81</f>
        <v>0.63299497339210209</v>
      </c>
      <c r="V48" s="33">
        <f>'TUSD BE'!$V$48*'TUSD BF'!$V$81</f>
        <v>9.1628521538468649E-3</v>
      </c>
      <c r="W48" s="33">
        <f>'TUSD BE'!$W$48*'TUSD BF'!$W$81</f>
        <v>0</v>
      </c>
      <c r="X48" s="33">
        <f>'TUSD BE'!$X$48*'TUSD BF'!$X$81</f>
        <v>0</v>
      </c>
      <c r="Y48" s="33">
        <f>'TUSD BE'!$Y$48*'TUSD BF'!$Y$81</f>
        <v>0</v>
      </c>
      <c r="Z48" s="33">
        <f>'TUSD BE'!$Z$48*'TUSD BF'!$Z$81</f>
        <v>0</v>
      </c>
      <c r="AA48" s="33">
        <f>'TUSD BE'!$AA$48*'TUSD BF'!$AA$81</f>
        <v>0</v>
      </c>
      <c r="AB48" s="33">
        <f>SUM($U$48:$AA$48)</f>
        <v>0.64215782554594891</v>
      </c>
      <c r="AC48" s="33">
        <f>'TUSD BE'!$AC$48*'TUSD BF'!$AC$81</f>
        <v>0</v>
      </c>
      <c r="AD48" s="33">
        <f>SUM($AC$48:$AC$48)</f>
        <v>0</v>
      </c>
      <c r="AE48" s="33">
        <f ca="1">$AO$48*$AO$78</f>
        <v>0</v>
      </c>
      <c r="AF48" s="33">
        <f ca="1">$AP$48*$AP$78</f>
        <v>0</v>
      </c>
      <c r="AG48" s="33">
        <f ca="1">SUM($AE$48:$AF$48)</f>
        <v>0</v>
      </c>
      <c r="AH48" s="33">
        <f>'TUSD BE'!$AH$48*'TUSD BF'!$AH$81</f>
        <v>2.9110933776476937</v>
      </c>
      <c r="AI48" s="33">
        <f>'TUSD BE'!$AI$48*'TUSD BF'!$AI$81</f>
        <v>6.4638025244141287E-3</v>
      </c>
      <c r="AJ48" s="33">
        <f ca="1">'TUSD BE'!$AJ$48*'TUSD BF'!$AJ$81</f>
        <v>5.2404639122858691E-2</v>
      </c>
      <c r="AK48" s="33">
        <f ca="1">'TUSD BE'!$AK$48*'TUSD BF'!$AK$81</f>
        <v>0</v>
      </c>
      <c r="AL48" s="33">
        <f ca="1">SUM($AH$48:$AK$48)</f>
        <v>2.9699618192949666</v>
      </c>
      <c r="AM48" s="33">
        <f ca="1">SUMIF($L$4:$AL$4,"SUBTOTAL",$L$48:$AL$48)</f>
        <v>18.170673670707657</v>
      </c>
      <c r="AO48" s="43">
        <f ca="1">+'TUSD BE'!$T$48+'TUSD BE'!$AB$48+'TUSD BE'!$AD$48+'TUSD BE'!$AL$48</f>
        <v>420.22084168166344</v>
      </c>
      <c r="AP48" s="43">
        <f ca="1">+'TUSD BE'!$T$48+'TUSD BE'!$AB$48+'TUSD BE'!$AD$48+'TUSD BE'!$AL$48</f>
        <v>420.22084168166344</v>
      </c>
    </row>
    <row r="49" spans="1:42" ht="11.25" customHeight="1" x14ac:dyDescent="0.25">
      <c r="A49" s="116"/>
      <c r="B49" s="116"/>
      <c r="C49" s="116"/>
      <c r="D49" s="41" t="s">
        <v>29</v>
      </c>
      <c r="E49" s="41" t="s">
        <v>25</v>
      </c>
      <c r="F49" s="41" t="s">
        <v>25</v>
      </c>
      <c r="G49" s="36" t="s">
        <v>123</v>
      </c>
      <c r="H49" s="36" t="s">
        <v>117</v>
      </c>
      <c r="I49" s="36">
        <f>'MERCADO TUSD'!$U$46</f>
        <v>0</v>
      </c>
      <c r="J49" s="16"/>
      <c r="L49" s="33">
        <f>'TUSD BE'!$L$49*'TUSD BF'!$L$81</f>
        <v>0</v>
      </c>
      <c r="M49" s="33">
        <f>'TUSD BE'!$M$49*'TUSD BF'!$M$81</f>
        <v>0</v>
      </c>
      <c r="N49" s="33">
        <f ca="1">'TUSD BE'!$N$49*'TUSD BF'!$N$81</f>
        <v>0</v>
      </c>
      <c r="O49" s="33">
        <f>'TUSD BE'!$O$49*'TUSD BF'!$O$81</f>
        <v>0</v>
      </c>
      <c r="P49" s="33">
        <f>'TUSD BE'!$P$49*'TUSD BF'!$P$81</f>
        <v>0</v>
      </c>
      <c r="Q49" s="33">
        <f>'TUSD BE'!$Q$49*'TUSD BF'!$Q$81</f>
        <v>0</v>
      </c>
      <c r="R49" s="33">
        <f>'TUSD BE'!$R$49*'TUSD BF'!$R$81</f>
        <v>0</v>
      </c>
      <c r="S49" s="33">
        <f>'TUSD BE'!$R$49*'TUSD BF'!$S$81</f>
        <v>0</v>
      </c>
      <c r="T49" s="33">
        <f ca="1">SUM($L$49:$S$49)</f>
        <v>0</v>
      </c>
      <c r="U49" s="33">
        <f>'TUSD BE'!$U$49*'TUSD BF'!$U$81</f>
        <v>0.63299497339210209</v>
      </c>
      <c r="V49" s="33">
        <f>'TUSD BE'!$V$49*'TUSD BF'!$V$81</f>
        <v>9.1628521538468649E-3</v>
      </c>
      <c r="W49" s="33">
        <f>'TUSD BE'!$W$49*'TUSD BF'!$W$81</f>
        <v>0</v>
      </c>
      <c r="X49" s="33">
        <f>'TUSD BE'!$X$49*'TUSD BF'!$X$81</f>
        <v>0</v>
      </c>
      <c r="Y49" s="33">
        <f>'TUSD BE'!$Y$49*'TUSD BF'!$Y$81</f>
        <v>0</v>
      </c>
      <c r="Z49" s="33">
        <f>'TUSD BE'!$Z$49*'TUSD BF'!$Z$81</f>
        <v>0</v>
      </c>
      <c r="AA49" s="33">
        <f>'TUSD BE'!$AA$49*'TUSD BF'!$AA$81</f>
        <v>0</v>
      </c>
      <c r="AB49" s="33">
        <f>SUM($U$49:$AA$49)</f>
        <v>0.64215782554594891</v>
      </c>
      <c r="AC49" s="33">
        <f>'TUSD BE'!$AC$49*'TUSD BF'!$AC$81</f>
        <v>0</v>
      </c>
      <c r="AD49" s="33">
        <f>SUM($AC$49:$AC$49)</f>
        <v>0</v>
      </c>
      <c r="AE49" s="33">
        <f ca="1">$AO$49*$AO$78</f>
        <v>0</v>
      </c>
      <c r="AF49" s="33">
        <f ca="1">$AP$49*$AP$78</f>
        <v>0</v>
      </c>
      <c r="AG49" s="33">
        <f ca="1">SUM($AE$49:$AF$49)</f>
        <v>0</v>
      </c>
      <c r="AH49" s="33">
        <f>'TUSD BE'!$AH$49*'TUSD BF'!$AH$81</f>
        <v>2.9110933776476937</v>
      </c>
      <c r="AI49" s="33">
        <f>'TUSD BE'!$AI$49*'TUSD BF'!$AI$81</f>
        <v>6.4638025244141287E-3</v>
      </c>
      <c r="AJ49" s="33">
        <f ca="1">'TUSD BE'!$AJ$49*'TUSD BF'!$AJ$81</f>
        <v>5.2404639122858691E-2</v>
      </c>
      <c r="AK49" s="33">
        <f ca="1">'TUSD BE'!$AK$49*'TUSD BF'!$AK$81</f>
        <v>0</v>
      </c>
      <c r="AL49" s="33">
        <f ca="1">SUM($AH$49:$AK$49)</f>
        <v>2.9699618192949666</v>
      </c>
      <c r="AM49" s="33">
        <f ca="1">SUMIF($L$4:$AL$4,"SUBTOTAL",$L$49:$AL$49)</f>
        <v>3.6121196448409156</v>
      </c>
      <c r="AO49" s="43">
        <f ca="1">+'TUSD BE'!$T$49+'TUSD BE'!$AB$49+'TUSD BE'!$AD$49+'TUSD BE'!$AL$49</f>
        <v>305.6756108798748</v>
      </c>
      <c r="AP49" s="43">
        <f ca="1">+'TUSD BE'!$T$49+'TUSD BE'!$AB$49+'TUSD BE'!$AD$49+'TUSD BE'!$AL$49</f>
        <v>305.6756108798748</v>
      </c>
    </row>
    <row r="50" spans="1:42" ht="11.25" customHeight="1" x14ac:dyDescent="0.25">
      <c r="A50" s="116"/>
      <c r="B50" s="116"/>
      <c r="C50" s="116"/>
      <c r="D50" s="41" t="s">
        <v>30</v>
      </c>
      <c r="E50" s="41" t="s">
        <v>25</v>
      </c>
      <c r="F50" s="41" t="s">
        <v>25</v>
      </c>
      <c r="G50" s="36" t="s">
        <v>123</v>
      </c>
      <c r="H50" s="36" t="s">
        <v>117</v>
      </c>
      <c r="I50" s="36">
        <f>'MERCADO TUSD'!$U$47</f>
        <v>0</v>
      </c>
      <c r="J50" s="16"/>
      <c r="L50" s="33">
        <f>'TUSD BE'!$L$50*'TUSD BF'!$L$81</f>
        <v>0</v>
      </c>
      <c r="M50" s="33">
        <f>'TUSD BE'!$M$50*'TUSD BF'!$M$81</f>
        <v>0</v>
      </c>
      <c r="N50" s="33">
        <f ca="1">'TUSD BE'!$N$50*'TUSD BF'!$N$81</f>
        <v>0</v>
      </c>
      <c r="O50" s="33">
        <f>'TUSD BE'!$O$50*'TUSD BF'!$O$81</f>
        <v>0</v>
      </c>
      <c r="P50" s="33">
        <f>'TUSD BE'!$P$50*'TUSD BF'!$P$81</f>
        <v>0</v>
      </c>
      <c r="Q50" s="33">
        <f>'TUSD BE'!$Q$50*'TUSD BF'!$Q$81</f>
        <v>0</v>
      </c>
      <c r="R50" s="33">
        <f>'TUSD BE'!$R$50*'TUSD BF'!$R$81</f>
        <v>0</v>
      </c>
      <c r="S50" s="33">
        <f>'TUSD BE'!$R$50*'TUSD BF'!$S$81</f>
        <v>0</v>
      </c>
      <c r="T50" s="33">
        <f ca="1">SUM($L$50:$S$50)</f>
        <v>0</v>
      </c>
      <c r="U50" s="33">
        <f>'TUSD BE'!$U$50*'TUSD BF'!$U$81</f>
        <v>0.63299497339210209</v>
      </c>
      <c r="V50" s="33">
        <f>'TUSD BE'!$V$50*'TUSD BF'!$V$81</f>
        <v>9.1628521538468649E-3</v>
      </c>
      <c r="W50" s="33">
        <f>'TUSD BE'!$W$50*'TUSD BF'!$W$81</f>
        <v>0</v>
      </c>
      <c r="X50" s="33">
        <f>'TUSD BE'!$X$50*'TUSD BF'!$X$81</f>
        <v>0</v>
      </c>
      <c r="Y50" s="33">
        <f>'TUSD BE'!$Y$50*'TUSD BF'!$Y$81</f>
        <v>0</v>
      </c>
      <c r="Z50" s="33">
        <f>'TUSD BE'!$Z$50*'TUSD BF'!$Z$81</f>
        <v>0</v>
      </c>
      <c r="AA50" s="33">
        <f>'TUSD BE'!$AA$50*'TUSD BF'!$AA$81</f>
        <v>0</v>
      </c>
      <c r="AB50" s="33">
        <f>SUM($U$50:$AA$50)</f>
        <v>0.64215782554594891</v>
      </c>
      <c r="AC50" s="33">
        <f>'TUSD BE'!$AC$50*'TUSD BF'!$AC$81</f>
        <v>0</v>
      </c>
      <c r="AD50" s="33">
        <f>SUM($AC$50:$AC$50)</f>
        <v>0</v>
      </c>
      <c r="AE50" s="33">
        <f ca="1">$AO$50*$AO$78</f>
        <v>0</v>
      </c>
      <c r="AF50" s="33">
        <f ca="1">$AP$50*$AP$78</f>
        <v>0</v>
      </c>
      <c r="AG50" s="33">
        <f ca="1">SUM($AE$50:$AF$50)</f>
        <v>0</v>
      </c>
      <c r="AH50" s="33">
        <f>'TUSD BE'!$AH$50*'TUSD BF'!$AH$81</f>
        <v>2.9110933776476937</v>
      </c>
      <c r="AI50" s="33">
        <f>'TUSD BE'!$AI$50*'TUSD BF'!$AI$81</f>
        <v>6.4638025244141287E-3</v>
      </c>
      <c r="AJ50" s="33">
        <f ca="1">'TUSD BE'!$AJ$50*'TUSD BF'!$AJ$81</f>
        <v>5.2404639122858691E-2</v>
      </c>
      <c r="AK50" s="33">
        <f ca="1">'TUSD BE'!$AK$50*'TUSD BF'!$AK$81</f>
        <v>0</v>
      </c>
      <c r="AL50" s="33">
        <f ca="1">SUM($AH$50:$AK$50)</f>
        <v>2.9699618192949666</v>
      </c>
      <c r="AM50" s="33">
        <f ca="1">SUMIF($L$4:$AL$4,"SUBTOTAL",$L$50:$AL$50)</f>
        <v>3.6121196448409156</v>
      </c>
      <c r="AO50" s="43">
        <f ca="1">+'TUSD BE'!$T$50+'TUSD BE'!$AB$50+'TUSD BE'!$AD$50+'TUSD BE'!$AL$50</f>
        <v>305.6756108798748</v>
      </c>
      <c r="AP50" s="43">
        <f ca="1">+'TUSD BE'!$T$50+'TUSD BE'!$AB$50+'TUSD BE'!$AD$50+'TUSD BE'!$AL$50</f>
        <v>305.6756108798748</v>
      </c>
    </row>
    <row r="51" spans="1:42" ht="11.25" customHeight="1" x14ac:dyDescent="0.25">
      <c r="A51" s="116"/>
      <c r="B51" s="116"/>
      <c r="C51" s="116"/>
      <c r="D51" s="41" t="s">
        <v>31</v>
      </c>
      <c r="E51" s="41" t="s">
        <v>25</v>
      </c>
      <c r="F51" s="41" t="s">
        <v>25</v>
      </c>
      <c r="G51" s="36" t="s">
        <v>123</v>
      </c>
      <c r="H51" s="36" t="s">
        <v>117</v>
      </c>
      <c r="I51" s="36">
        <f>'MERCADO TUSD'!$U$48</f>
        <v>0</v>
      </c>
      <c r="J51" s="16"/>
      <c r="L51" s="33">
        <f>'TUSD BE'!$L$51*'TUSD BF'!$L$81</f>
        <v>0</v>
      </c>
      <c r="M51" s="33">
        <f>'TUSD BE'!$M$51*'TUSD BF'!$M$81</f>
        <v>0</v>
      </c>
      <c r="N51" s="33">
        <f ca="1">'TUSD BE'!$N$51*'TUSD BF'!$N$81</f>
        <v>0</v>
      </c>
      <c r="O51" s="33">
        <f>'TUSD BE'!$O$51*'TUSD BF'!$O$81</f>
        <v>0</v>
      </c>
      <c r="P51" s="33">
        <f>'TUSD BE'!$P$51*'TUSD BF'!$P$81</f>
        <v>0</v>
      </c>
      <c r="Q51" s="33">
        <f>'TUSD BE'!$Q$51*'TUSD BF'!$Q$81</f>
        <v>0</v>
      </c>
      <c r="R51" s="33">
        <f>'TUSD BE'!$R$51*'TUSD BF'!$R$81</f>
        <v>0</v>
      </c>
      <c r="S51" s="33">
        <f>'TUSD BE'!$R$51*'TUSD BF'!$S$81</f>
        <v>0</v>
      </c>
      <c r="T51" s="33">
        <f ca="1">SUM($L$51:$S$51)</f>
        <v>0</v>
      </c>
      <c r="U51" s="33">
        <f>'TUSD BE'!$U$51*'TUSD BF'!$U$81</f>
        <v>0.63299497339210209</v>
      </c>
      <c r="V51" s="33">
        <f>'TUSD BE'!$V$51*'TUSD BF'!$V$81</f>
        <v>9.1628521538468649E-3</v>
      </c>
      <c r="W51" s="33">
        <f>'TUSD BE'!$W$51*'TUSD BF'!$W$81</f>
        <v>0</v>
      </c>
      <c r="X51" s="33">
        <f>'TUSD BE'!$X$51*'TUSD BF'!$X$81</f>
        <v>0</v>
      </c>
      <c r="Y51" s="33">
        <f>'TUSD BE'!$Y$51*'TUSD BF'!$Y$81</f>
        <v>0</v>
      </c>
      <c r="Z51" s="33">
        <f>'TUSD BE'!$Z$51*'TUSD BF'!$Z$81</f>
        <v>0</v>
      </c>
      <c r="AA51" s="33">
        <f>'TUSD BE'!$AA$51*'TUSD BF'!$AA$81</f>
        <v>0</v>
      </c>
      <c r="AB51" s="33">
        <f>SUM($U$51:$AA$51)</f>
        <v>0.64215782554594891</v>
      </c>
      <c r="AC51" s="33">
        <f>'TUSD BE'!$AC$51*'TUSD BF'!$AC$81</f>
        <v>0</v>
      </c>
      <c r="AD51" s="33">
        <f>SUM($AC$51:$AC$51)</f>
        <v>0</v>
      </c>
      <c r="AE51" s="33">
        <f ca="1">$AO$51*$AO$78</f>
        <v>0</v>
      </c>
      <c r="AF51" s="33">
        <f ca="1">$AP$51*$AP$78</f>
        <v>0</v>
      </c>
      <c r="AG51" s="33">
        <f ca="1">SUM($AE$51:$AF$51)</f>
        <v>0</v>
      </c>
      <c r="AH51" s="33">
        <f>'TUSD BE'!$AH$51*'TUSD BF'!$AH$81</f>
        <v>2.9110933776476937</v>
      </c>
      <c r="AI51" s="33">
        <f>'TUSD BE'!$AI$51*'TUSD BF'!$AI$81</f>
        <v>6.4638025244141287E-3</v>
      </c>
      <c r="AJ51" s="33">
        <f ca="1">'TUSD BE'!$AJ$51*'TUSD BF'!$AJ$81</f>
        <v>5.2404639122858691E-2</v>
      </c>
      <c r="AK51" s="33">
        <f ca="1">'TUSD BE'!$AK$51*'TUSD BF'!$AK$81</f>
        <v>0</v>
      </c>
      <c r="AL51" s="33">
        <f ca="1">SUM($AH$51:$AK$51)</f>
        <v>2.9699618192949666</v>
      </c>
      <c r="AM51" s="33">
        <f ca="1">SUMIF($L$4:$AL$4,"SUBTOTAL",$L$51:$AL$51)</f>
        <v>3.6121196448409156</v>
      </c>
      <c r="AO51" s="43">
        <f ca="1">+'TUSD BE'!$T$51+'TUSD BE'!$AB$51+'TUSD BE'!$AD$51+'TUSD BE'!$AL$51</f>
        <v>305.6756108798748</v>
      </c>
      <c r="AP51" s="43">
        <f ca="1">+'TUSD BE'!$T$51+'TUSD BE'!$AB$51+'TUSD BE'!$AD$51+'TUSD BE'!$AL$51</f>
        <v>305.6756108798748</v>
      </c>
    </row>
    <row r="52" spans="1:42" ht="11.25" customHeight="1" x14ac:dyDescent="0.25">
      <c r="A52" s="116"/>
      <c r="B52" s="116"/>
      <c r="C52" s="116"/>
      <c r="D52" s="41" t="s">
        <v>32</v>
      </c>
      <c r="E52" s="41" t="s">
        <v>25</v>
      </c>
      <c r="F52" s="41" t="s">
        <v>25</v>
      </c>
      <c r="G52" s="36" t="s">
        <v>123</v>
      </c>
      <c r="H52" s="36" t="s">
        <v>117</v>
      </c>
      <c r="I52" s="36">
        <f>'MERCADO TUSD'!$U$49</f>
        <v>0</v>
      </c>
      <c r="J52" s="16"/>
      <c r="L52" s="33">
        <f>'TUSD BE'!$L$52*'TUSD BF'!$L$81</f>
        <v>0</v>
      </c>
      <c r="M52" s="33">
        <f>'TUSD BE'!$M$52*'TUSD BF'!$M$81</f>
        <v>0</v>
      </c>
      <c r="N52" s="33">
        <f ca="1">'TUSD BE'!$N$52*'TUSD BF'!$N$81</f>
        <v>0</v>
      </c>
      <c r="O52" s="33">
        <f>'TUSD BE'!$O$52*'TUSD BF'!$O$81</f>
        <v>0</v>
      </c>
      <c r="P52" s="33">
        <f>'TUSD BE'!$P$52*'TUSD BF'!$P$81</f>
        <v>0</v>
      </c>
      <c r="Q52" s="33">
        <f>'TUSD BE'!$Q$52*'TUSD BF'!$Q$81</f>
        <v>0</v>
      </c>
      <c r="R52" s="33">
        <f>'TUSD BE'!$R$52*'TUSD BF'!$R$81</f>
        <v>0</v>
      </c>
      <c r="S52" s="33">
        <f>'TUSD BE'!$R$52*'TUSD BF'!$S$81</f>
        <v>0</v>
      </c>
      <c r="T52" s="33">
        <f ca="1">SUM($L$52:$S$52)</f>
        <v>0</v>
      </c>
      <c r="U52" s="33">
        <f>'TUSD BE'!$U$52*'TUSD BF'!$U$81</f>
        <v>0.63299497339210209</v>
      </c>
      <c r="V52" s="33">
        <f>'TUSD BE'!$V$52*'TUSD BF'!$V$81</f>
        <v>9.1628521538468649E-3</v>
      </c>
      <c r="W52" s="33">
        <f>'TUSD BE'!$W$52*'TUSD BF'!$W$81</f>
        <v>0</v>
      </c>
      <c r="X52" s="33">
        <f>'TUSD BE'!$X$52*'TUSD BF'!$X$81</f>
        <v>0</v>
      </c>
      <c r="Y52" s="33">
        <f>'TUSD BE'!$Y$52*'TUSD BF'!$Y$81</f>
        <v>0</v>
      </c>
      <c r="Z52" s="33">
        <f>'TUSD BE'!$Z$52*'TUSD BF'!$Z$81</f>
        <v>0</v>
      </c>
      <c r="AA52" s="33">
        <f>'TUSD BE'!$AA$52*'TUSD BF'!$AA$81</f>
        <v>0</v>
      </c>
      <c r="AB52" s="33">
        <f>SUM($U$52:$AA$52)</f>
        <v>0.64215782554594891</v>
      </c>
      <c r="AC52" s="33">
        <f>'TUSD BE'!$AC$52*'TUSD BF'!$AC$81</f>
        <v>0</v>
      </c>
      <c r="AD52" s="33">
        <f>SUM($AC$52:$AC$52)</f>
        <v>0</v>
      </c>
      <c r="AE52" s="33">
        <f ca="1">$AO$52*$AO$78</f>
        <v>0</v>
      </c>
      <c r="AF52" s="33">
        <f ca="1">$AP$52*$AP$78</f>
        <v>0</v>
      </c>
      <c r="AG52" s="33">
        <f ca="1">SUM($AE$52:$AF$52)</f>
        <v>0</v>
      </c>
      <c r="AH52" s="33">
        <f>'TUSD BE'!$AH$52*'TUSD BF'!$AH$81</f>
        <v>2.9110933776476937</v>
      </c>
      <c r="AI52" s="33">
        <f>'TUSD BE'!$AI$52*'TUSD BF'!$AI$81</f>
        <v>6.4638025244141287E-3</v>
      </c>
      <c r="AJ52" s="33">
        <f ca="1">'TUSD BE'!$AJ$52*'TUSD BF'!$AJ$81</f>
        <v>5.2404639122858691E-2</v>
      </c>
      <c r="AK52" s="33">
        <f ca="1">'TUSD BE'!$AK$52*'TUSD BF'!$AK$81</f>
        <v>0</v>
      </c>
      <c r="AL52" s="33">
        <f ca="1">SUM($AH$52:$AK$52)</f>
        <v>2.9699618192949666</v>
      </c>
      <c r="AM52" s="33">
        <f ca="1">SUMIF($L$4:$AL$4,"SUBTOTAL",$L$52:$AL$52)</f>
        <v>3.6121196448409156</v>
      </c>
      <c r="AO52" s="43">
        <f ca="1">+'TUSD BE'!$T$52+'TUSD BE'!$AB$52+'TUSD BE'!$AD$52+'TUSD BE'!$AL$52</f>
        <v>305.6756108798748</v>
      </c>
      <c r="AP52" s="43">
        <f ca="1">+'TUSD BE'!$T$52+'TUSD BE'!$AB$52+'TUSD BE'!$AD$52+'TUSD BE'!$AL$52</f>
        <v>305.6756108798748</v>
      </c>
    </row>
    <row r="53" spans="1:42" ht="11.25" customHeight="1" x14ac:dyDescent="0.25">
      <c r="A53" s="116" t="s">
        <v>44</v>
      </c>
      <c r="B53" s="116" t="s">
        <v>33</v>
      </c>
      <c r="C53" s="116" t="s">
        <v>45</v>
      </c>
      <c r="D53" s="116" t="s">
        <v>25</v>
      </c>
      <c r="E53" s="116" t="s">
        <v>25</v>
      </c>
      <c r="F53" s="116" t="s">
        <v>25</v>
      </c>
      <c r="G53" s="36" t="s">
        <v>118</v>
      </c>
      <c r="H53" s="36" t="s">
        <v>117</v>
      </c>
      <c r="I53" s="36">
        <f>'MERCADO TUSD'!$U$50</f>
        <v>0.49600000000000005</v>
      </c>
      <c r="J53" s="16"/>
      <c r="L53" s="33">
        <f>'TUSD BE'!$L$53*'TUSD BF'!$L$81</f>
        <v>0.41653754699744711</v>
      </c>
      <c r="M53" s="33">
        <f>'TUSD BE'!$M$53*'TUSD BF'!$M$81</f>
        <v>0</v>
      </c>
      <c r="N53" s="33">
        <f ca="1">'TUSD BE'!$N$53*'TUSD BF'!$N$81</f>
        <v>0</v>
      </c>
      <c r="O53" s="33">
        <f>'TUSD BE'!$O$53*'TUSD BF'!$O$81</f>
        <v>0</v>
      </c>
      <c r="P53" s="33">
        <f>'TUSD BE'!$P$53*'TUSD BF'!$P$81</f>
        <v>0</v>
      </c>
      <c r="Q53" s="33">
        <f>'TUSD BE'!$Q$53*'TUSD BF'!$Q$81</f>
        <v>11.271123335574337</v>
      </c>
      <c r="R53" s="33">
        <f>'TUSD BE'!$R$53*'TUSD BF'!$R$81</f>
        <v>2.8708931432949591</v>
      </c>
      <c r="S53" s="33">
        <f>'TUSD BE'!$R$53*'TUSD BF'!$S$81</f>
        <v>0</v>
      </c>
      <c r="T53" s="33">
        <f ca="1">SUM($L$53:$S$53)</f>
        <v>14.558554025866743</v>
      </c>
      <c r="U53" s="33">
        <f>'TUSD BE'!$U$53*'TUSD BF'!$U$81</f>
        <v>1.8040314948794056</v>
      </c>
      <c r="V53" s="33">
        <f>'TUSD BE'!$V$53*'TUSD BF'!$V$81</f>
        <v>2.6114511838159337E-2</v>
      </c>
      <c r="W53" s="33">
        <f>'TUSD BE'!$W$53*'TUSD BF'!$W$81</f>
        <v>0</v>
      </c>
      <c r="X53" s="33">
        <f>'TUSD BE'!$X$53*'TUSD BF'!$X$81</f>
        <v>0</v>
      </c>
      <c r="Y53" s="33">
        <f>'TUSD BE'!$Y$53*'TUSD BF'!$Y$81</f>
        <v>0</v>
      </c>
      <c r="Z53" s="33">
        <f>'TUSD BE'!$Z$53*'TUSD BF'!$Z$81</f>
        <v>0</v>
      </c>
      <c r="AA53" s="33">
        <f>'TUSD BE'!$AA$53*'TUSD BF'!$AA$81</f>
        <v>0</v>
      </c>
      <c r="AB53" s="33">
        <f>SUM($U$53:$AA$53)</f>
        <v>1.830146006717565</v>
      </c>
      <c r="AC53" s="33">
        <f>'TUSD BE'!$AC$53*'TUSD BF'!$AC$81</f>
        <v>0</v>
      </c>
      <c r="AD53" s="33">
        <f>SUM($AC$53:$AC$53)</f>
        <v>0</v>
      </c>
      <c r="AE53" s="33">
        <f ca="1">$AO$53*$AO$78</f>
        <v>0</v>
      </c>
      <c r="AF53" s="33">
        <f ca="1">$AP$53*$AP$78</f>
        <v>0</v>
      </c>
      <c r="AG53" s="33">
        <f ca="1">SUM($AE$53:$AF$53)</f>
        <v>0</v>
      </c>
      <c r="AH53" s="33">
        <f>'TUSD BE'!$AH$53*'TUSD BF'!$AH$81</f>
        <v>2.9110933776476937</v>
      </c>
      <c r="AI53" s="33">
        <f>'TUSD BE'!$AI$53*'TUSD BF'!$AI$81</f>
        <v>6.4638025244141287E-3</v>
      </c>
      <c r="AJ53" s="33">
        <f ca="1">'TUSD BE'!$AJ$53*'TUSD BF'!$AJ$81</f>
        <v>5.2404639122858691E-2</v>
      </c>
      <c r="AK53" s="33">
        <f ca="1">'TUSD BE'!$AK$53*'TUSD BF'!$AK$81</f>
        <v>0</v>
      </c>
      <c r="AL53" s="33">
        <f ca="1">SUM($AH$53:$AK$53)</f>
        <v>2.9699618192949666</v>
      </c>
      <c r="AM53" s="33">
        <f ca="1">SUMIF($L$4:$AL$4,"SUBTOTAL",$L$53:$AL$53)</f>
        <v>19.358661851879273</v>
      </c>
      <c r="AO53" s="43">
        <f ca="1">+'TUSD BE'!$T$53+'TUSD BE'!$AB$53+'TUSD BE'!$AD$53+'TUSD BE'!$AL$53</f>
        <v>890.89674753312147</v>
      </c>
      <c r="AP53" s="43">
        <f ca="1">+'TUSD BE'!$T$53+'TUSD BE'!$AB$53+'TUSD BE'!$AD$53+'TUSD BE'!$AL$53</f>
        <v>890.89674753312147</v>
      </c>
    </row>
    <row r="54" spans="1:42" ht="11.25" customHeight="1" x14ac:dyDescent="0.25">
      <c r="A54" s="116"/>
      <c r="B54" s="116"/>
      <c r="C54" s="116"/>
      <c r="D54" s="116"/>
      <c r="E54" s="116"/>
      <c r="F54" s="116"/>
      <c r="G54" s="36" t="s">
        <v>128</v>
      </c>
      <c r="H54" s="36" t="s">
        <v>117</v>
      </c>
      <c r="I54" s="36">
        <f>'MERCADO TUSD'!$U$51</f>
        <v>0.27600000000000002</v>
      </c>
      <c r="J54" s="16"/>
      <c r="L54" s="33">
        <f>'TUSD BE'!$L$54*'TUSD BF'!$L$81</f>
        <v>0.41653754699744711</v>
      </c>
      <c r="M54" s="33">
        <f>'TUSD BE'!$M$54*'TUSD BF'!$M$81</f>
        <v>0</v>
      </c>
      <c r="N54" s="33">
        <f ca="1">'TUSD BE'!$N$54*'TUSD BF'!$N$81</f>
        <v>0</v>
      </c>
      <c r="O54" s="33">
        <f>'TUSD BE'!$O$54*'TUSD BF'!$O$81</f>
        <v>0</v>
      </c>
      <c r="P54" s="33">
        <f>'TUSD BE'!$P$54*'TUSD BF'!$P$81</f>
        <v>0</v>
      </c>
      <c r="Q54" s="33">
        <f>'TUSD BE'!$Q$54*'TUSD BF'!$Q$81</f>
        <v>11.271123335574337</v>
      </c>
      <c r="R54" s="33">
        <f>'TUSD BE'!$R$54*'TUSD BF'!$R$81</f>
        <v>2.8708931432949591</v>
      </c>
      <c r="S54" s="33">
        <f>'TUSD BE'!$R$54*'TUSD BF'!$S$81</f>
        <v>0</v>
      </c>
      <c r="T54" s="33">
        <f ca="1">SUM($L$54:$S$54)</f>
        <v>14.558554025866743</v>
      </c>
      <c r="U54" s="33">
        <f>'TUSD BE'!$U$54*'TUSD BF'!$U$81</f>
        <v>1.0824208636514483</v>
      </c>
      <c r="V54" s="33">
        <f>'TUSD BE'!$V$54*'TUSD BF'!$V$81</f>
        <v>1.566848813164088E-2</v>
      </c>
      <c r="W54" s="33">
        <f>'TUSD BE'!$W$54*'TUSD BF'!$W$81</f>
        <v>0</v>
      </c>
      <c r="X54" s="33">
        <f>'TUSD BE'!$X$54*'TUSD BF'!$X$81</f>
        <v>0</v>
      </c>
      <c r="Y54" s="33">
        <f>'TUSD BE'!$Y$54*'TUSD BF'!$Y$81</f>
        <v>0</v>
      </c>
      <c r="Z54" s="33">
        <f>'TUSD BE'!$Z$54*'TUSD BF'!$Z$81</f>
        <v>0</v>
      </c>
      <c r="AA54" s="33">
        <f>'TUSD BE'!$AA$54*'TUSD BF'!$AA$81</f>
        <v>0</v>
      </c>
      <c r="AB54" s="33">
        <f>SUM($U$54:$AA$54)</f>
        <v>1.0980893517830892</v>
      </c>
      <c r="AC54" s="33">
        <f>'TUSD BE'!$AC$54*'TUSD BF'!$AC$81</f>
        <v>0</v>
      </c>
      <c r="AD54" s="33">
        <f>SUM($AC$54:$AC$54)</f>
        <v>0</v>
      </c>
      <c r="AE54" s="33">
        <f ca="1">$AO$54*$AO$78</f>
        <v>0</v>
      </c>
      <c r="AF54" s="33">
        <f ca="1">$AP$54*$AP$78</f>
        <v>0</v>
      </c>
      <c r="AG54" s="33">
        <f ca="1">SUM($AE$54:$AF$54)</f>
        <v>0</v>
      </c>
      <c r="AH54" s="33">
        <f>'TUSD BE'!$AH$54*'TUSD BF'!$AH$81</f>
        <v>2.9110933776476937</v>
      </c>
      <c r="AI54" s="33">
        <f>'TUSD BE'!$AI$54*'TUSD BF'!$AI$81</f>
        <v>6.4638025244141287E-3</v>
      </c>
      <c r="AJ54" s="33">
        <f ca="1">'TUSD BE'!$AJ$54*'TUSD BF'!$AJ$81</f>
        <v>5.2404639122858691E-2</v>
      </c>
      <c r="AK54" s="33">
        <f ca="1">'TUSD BE'!$AK$54*'TUSD BF'!$AK$81</f>
        <v>0</v>
      </c>
      <c r="AL54" s="33">
        <f ca="1">SUM($AH$54:$AK$54)</f>
        <v>2.9699618192949666</v>
      </c>
      <c r="AM54" s="33">
        <f ca="1">SUMIF($L$4:$AL$4,"SUBTOTAL",$L$54:$AL$54)</f>
        <v>18.626605196944798</v>
      </c>
      <c r="AO54" s="43">
        <f ca="1">+'TUSD BE'!$T$54+'TUSD BE'!$AB$54+'TUSD BE'!$AD$54+'TUSD BE'!$AL$54</f>
        <v>600.85856772222132</v>
      </c>
      <c r="AP54" s="43">
        <f ca="1">+'TUSD BE'!$T$54+'TUSD BE'!$AB$54+'TUSD BE'!$AD$54+'TUSD BE'!$AL$54</f>
        <v>600.85856772222132</v>
      </c>
    </row>
    <row r="55" spans="1:42" ht="11.25" customHeight="1" x14ac:dyDescent="0.25">
      <c r="A55" s="116"/>
      <c r="B55" s="116"/>
      <c r="C55" s="116"/>
      <c r="D55" s="116"/>
      <c r="E55" s="116"/>
      <c r="F55" s="116"/>
      <c r="G55" s="36" t="s">
        <v>119</v>
      </c>
      <c r="H55" s="36" t="s">
        <v>117</v>
      </c>
      <c r="I55" s="36">
        <f>'MERCADO TUSD'!$U$52</f>
        <v>5.1340000000000003</v>
      </c>
      <c r="J55" s="16"/>
      <c r="L55" s="33">
        <f>'TUSD BE'!$L$55*'TUSD BF'!$L$81</f>
        <v>0.41653754699744711</v>
      </c>
      <c r="M55" s="33">
        <f>'TUSD BE'!$M$55*'TUSD BF'!$M$81</f>
        <v>0</v>
      </c>
      <c r="N55" s="33">
        <f ca="1">'TUSD BE'!$N$55*'TUSD BF'!$N$81</f>
        <v>0</v>
      </c>
      <c r="O55" s="33">
        <f>'TUSD BE'!$O$55*'TUSD BF'!$O$81</f>
        <v>0</v>
      </c>
      <c r="P55" s="33">
        <f>'TUSD BE'!$P$55*'TUSD BF'!$P$81</f>
        <v>0</v>
      </c>
      <c r="Q55" s="33">
        <f>'TUSD BE'!$Q$55*'TUSD BF'!$Q$81</f>
        <v>11.271123335574337</v>
      </c>
      <c r="R55" s="33">
        <f>'TUSD BE'!$R$55*'TUSD BF'!$R$81</f>
        <v>2.8708931432949591</v>
      </c>
      <c r="S55" s="33">
        <f>'TUSD BE'!$R$55*'TUSD BF'!$S$81</f>
        <v>0</v>
      </c>
      <c r="T55" s="33">
        <f ca="1">SUM($L$55:$S$55)</f>
        <v>14.558554025866743</v>
      </c>
      <c r="U55" s="33">
        <f>'TUSD BE'!$U$55*'TUSD BF'!$U$81</f>
        <v>0.36080531561397872</v>
      </c>
      <c r="V55" s="33">
        <f>'TUSD BE'!$V$55*'TUSD BF'!$V$81</f>
        <v>5.2230118532592277E-3</v>
      </c>
      <c r="W55" s="33">
        <f>'TUSD BE'!$W$55*'TUSD BF'!$W$81</f>
        <v>0</v>
      </c>
      <c r="X55" s="33">
        <f>'TUSD BE'!$X$55*'TUSD BF'!$X$81</f>
        <v>0</v>
      </c>
      <c r="Y55" s="33">
        <f>'TUSD BE'!$Y$55*'TUSD BF'!$Y$81</f>
        <v>0</v>
      </c>
      <c r="Z55" s="33">
        <f>'TUSD BE'!$Z$55*'TUSD BF'!$Z$81</f>
        <v>0</v>
      </c>
      <c r="AA55" s="33">
        <f>'TUSD BE'!$AA$55*'TUSD BF'!$AA$81</f>
        <v>0</v>
      </c>
      <c r="AB55" s="33">
        <f>SUM($U$55:$AA$55)</f>
        <v>0.36602832746723796</v>
      </c>
      <c r="AC55" s="33">
        <f>'TUSD BE'!$AC$55*'TUSD BF'!$AC$81</f>
        <v>0</v>
      </c>
      <c r="AD55" s="33">
        <f>SUM($AC$55:$AC$55)</f>
        <v>0</v>
      </c>
      <c r="AE55" s="33">
        <f ca="1">$AO$55*$AO$78</f>
        <v>0</v>
      </c>
      <c r="AF55" s="33">
        <f ca="1">$AP$55*$AP$78</f>
        <v>0</v>
      </c>
      <c r="AG55" s="33">
        <f ca="1">SUM($AE$55:$AF$55)</f>
        <v>0</v>
      </c>
      <c r="AH55" s="33">
        <f>'TUSD BE'!$AH$55*'TUSD BF'!$AH$81</f>
        <v>2.9110933776476937</v>
      </c>
      <c r="AI55" s="33">
        <f>'TUSD BE'!$AI$55*'TUSD BF'!$AI$81</f>
        <v>6.4638025244141287E-3</v>
      </c>
      <c r="AJ55" s="33">
        <f ca="1">'TUSD BE'!$AJ$55*'TUSD BF'!$AJ$81</f>
        <v>5.2404639122858691E-2</v>
      </c>
      <c r="AK55" s="33">
        <f ca="1">'TUSD BE'!$AK$55*'TUSD BF'!$AK$81</f>
        <v>0</v>
      </c>
      <c r="AL55" s="33">
        <f ca="1">SUM($AH$55:$AK$55)</f>
        <v>2.9699618192949666</v>
      </c>
      <c r="AM55" s="33">
        <f ca="1">SUMIF($L$4:$AL$4,"SUBTOTAL",$L$55:$AL$55)</f>
        <v>17.894544172628947</v>
      </c>
      <c r="AO55" s="43">
        <f ca="1">+'TUSD BE'!$T$55+'TUSD BE'!$AB$55+'TUSD BE'!$AD$55+'TUSD BE'!$AL$55</f>
        <v>310.82042472310297</v>
      </c>
      <c r="AP55" s="43">
        <f ca="1">+'TUSD BE'!$T$55+'TUSD BE'!$AB$55+'TUSD BE'!$AD$55+'TUSD BE'!$AL$55</f>
        <v>310.82042472310297</v>
      </c>
    </row>
    <row r="56" spans="1:42" ht="11.25" customHeight="1" x14ac:dyDescent="0.25">
      <c r="A56" s="116"/>
      <c r="B56" s="41" t="s">
        <v>23</v>
      </c>
      <c r="C56" s="41" t="s">
        <v>45</v>
      </c>
      <c r="D56" s="41" t="s">
        <v>25</v>
      </c>
      <c r="E56" s="41" t="s">
        <v>25</v>
      </c>
      <c r="F56" s="41" t="s">
        <v>25</v>
      </c>
      <c r="G56" s="36" t="s">
        <v>123</v>
      </c>
      <c r="H56" s="36" t="s">
        <v>117</v>
      </c>
      <c r="I56" s="36">
        <f>'MERCADO TUSD'!$U$53</f>
        <v>160826.64799999999</v>
      </c>
      <c r="J56" s="16"/>
      <c r="L56" s="33">
        <f>'TUSD BE'!$L$56*'TUSD BF'!$L$81</f>
        <v>0.41653754699744711</v>
      </c>
      <c r="M56" s="33">
        <f>'TUSD BE'!$M$56*'TUSD BF'!$M$81</f>
        <v>0</v>
      </c>
      <c r="N56" s="33">
        <f ca="1">'TUSD BE'!$N$56*'TUSD BF'!$N$81</f>
        <v>0</v>
      </c>
      <c r="O56" s="33">
        <f>'TUSD BE'!$O$56*'TUSD BF'!$O$81</f>
        <v>0</v>
      </c>
      <c r="P56" s="33">
        <f>'TUSD BE'!$P$56*'TUSD BF'!$P$81</f>
        <v>0</v>
      </c>
      <c r="Q56" s="33">
        <f>'TUSD BE'!$Q$56*'TUSD BF'!$Q$81</f>
        <v>11.271123335574337</v>
      </c>
      <c r="R56" s="33">
        <f>'TUSD BE'!$R$56*'TUSD BF'!$R$81</f>
        <v>2.8708931432949591</v>
      </c>
      <c r="S56" s="33">
        <f>'TUSD BE'!$R$56*'TUSD BF'!$S$81</f>
        <v>0</v>
      </c>
      <c r="T56" s="33">
        <f ca="1">SUM($L$56:$S$56)</f>
        <v>14.558554025866743</v>
      </c>
      <c r="U56" s="33">
        <f>'TUSD BE'!$U$56*'TUSD BF'!$U$81</f>
        <v>0.63299497339210209</v>
      </c>
      <c r="V56" s="33">
        <f>'TUSD BE'!$V$56*'TUSD BF'!$V$81</f>
        <v>9.1628521538468649E-3</v>
      </c>
      <c r="W56" s="33">
        <f>'TUSD BE'!$W$56*'TUSD BF'!$W$81</f>
        <v>0</v>
      </c>
      <c r="X56" s="33">
        <f>'TUSD BE'!$X$56*'TUSD BF'!$X$81</f>
        <v>0</v>
      </c>
      <c r="Y56" s="33">
        <f>'TUSD BE'!$Y$56*'TUSD BF'!$Y$81</f>
        <v>0</v>
      </c>
      <c r="Z56" s="33">
        <f>'TUSD BE'!$Z$56*'TUSD BF'!$Z$81</f>
        <v>0</v>
      </c>
      <c r="AA56" s="33">
        <f>'TUSD BE'!$AA$56*'TUSD BF'!$AA$81</f>
        <v>0</v>
      </c>
      <c r="AB56" s="33">
        <f>SUM($U$56:$AA$56)</f>
        <v>0.64215782554594891</v>
      </c>
      <c r="AC56" s="33">
        <f>'TUSD BE'!$AC$56*'TUSD BF'!$AC$81</f>
        <v>0</v>
      </c>
      <c r="AD56" s="33">
        <f>SUM($AC$56:$AC$56)</f>
        <v>0</v>
      </c>
      <c r="AE56" s="33">
        <f ca="1">$AO$56*$AO$78</f>
        <v>0</v>
      </c>
      <c r="AF56" s="33">
        <f ca="1">$AP$56*$AP$78</f>
        <v>0</v>
      </c>
      <c r="AG56" s="33">
        <f ca="1">SUM($AE$56:$AF$56)</f>
        <v>0</v>
      </c>
      <c r="AH56" s="33">
        <f>'TUSD BE'!$AH$56*'TUSD BF'!$AH$81</f>
        <v>2.9110933776476937</v>
      </c>
      <c r="AI56" s="33">
        <f>'TUSD BE'!$AI$56*'TUSD BF'!$AI$81</f>
        <v>6.4638025244141287E-3</v>
      </c>
      <c r="AJ56" s="33">
        <f ca="1">'TUSD BE'!$AJ$56*'TUSD BF'!$AJ$81</f>
        <v>5.2404639122858691E-2</v>
      </c>
      <c r="AK56" s="33">
        <f ca="1">'TUSD BE'!$AK$56*'TUSD BF'!$AK$81</f>
        <v>0</v>
      </c>
      <c r="AL56" s="33">
        <f ca="1">SUM($AH$56:$AK$56)</f>
        <v>2.9699618192949666</v>
      </c>
      <c r="AM56" s="33">
        <f ca="1">SUMIF($L$4:$AL$4,"SUBTOTAL",$L$56:$AL$56)</f>
        <v>18.170673670707657</v>
      </c>
      <c r="AO56" s="43">
        <f ca="1">+'TUSD BE'!$T$56+'TUSD BE'!$AB$56+'TUSD BE'!$AD$56+'TUSD BE'!$AL$56</f>
        <v>420.22084168166344</v>
      </c>
      <c r="AP56" s="43">
        <f ca="1">+'TUSD BE'!$T$56+'TUSD BE'!$AB$56+'TUSD BE'!$AD$56+'TUSD BE'!$AL$56</f>
        <v>420.22084168166344</v>
      </c>
    </row>
    <row r="57" spans="1:42" ht="11.25" customHeight="1" x14ac:dyDescent="0.25">
      <c r="A57" s="116"/>
      <c r="B57" s="116" t="s">
        <v>33</v>
      </c>
      <c r="C57" s="116" t="s">
        <v>45</v>
      </c>
      <c r="D57" s="116" t="s">
        <v>132</v>
      </c>
      <c r="E57" s="116" t="s">
        <v>25</v>
      </c>
      <c r="F57" s="116" t="s">
        <v>25</v>
      </c>
      <c r="G57" s="36" t="s">
        <v>118</v>
      </c>
      <c r="H57" s="36" t="s">
        <v>117</v>
      </c>
      <c r="I57" s="36">
        <f>'MERCADO TUSD'!$U$54</f>
        <v>0</v>
      </c>
      <c r="J57" s="16"/>
      <c r="L57" s="33">
        <f>'TUSD BE'!$L$57*'TUSD BF'!$L$81</f>
        <v>0.41653754699744711</v>
      </c>
      <c r="M57" s="33">
        <f>'TUSD BE'!$M$57*'TUSD BF'!$M$81</f>
        <v>0</v>
      </c>
      <c r="N57" s="33">
        <f ca="1">'TUSD BE'!$N$57*'TUSD BF'!$N$81</f>
        <v>0</v>
      </c>
      <c r="O57" s="33">
        <f>'TUSD BE'!$O$57*'TUSD BF'!$O$81</f>
        <v>0</v>
      </c>
      <c r="P57" s="33">
        <f>'TUSD BE'!$P$57*'TUSD BF'!$P$81</f>
        <v>0</v>
      </c>
      <c r="Q57" s="33">
        <f>'TUSD BE'!$Q$57*'TUSD BF'!$Q$81</f>
        <v>11.271123335574337</v>
      </c>
      <c r="R57" s="33">
        <f>'TUSD BE'!$R$57*'TUSD BF'!$R$81</f>
        <v>2.8708931432949591</v>
      </c>
      <c r="S57" s="33">
        <f>'TUSD BE'!$R$57*'TUSD BF'!$S$81</f>
        <v>0</v>
      </c>
      <c r="T57" s="33">
        <f ca="1">SUM($L$57:$S$57)</f>
        <v>14.558554025866743</v>
      </c>
      <c r="U57" s="33">
        <f>'TUSD BE'!$U$57*'TUSD BF'!$U$81</f>
        <v>1.8040314948794056</v>
      </c>
      <c r="V57" s="33">
        <f>'TUSD BE'!$V$57*'TUSD BF'!$V$81</f>
        <v>2.6114511838159337E-2</v>
      </c>
      <c r="W57" s="33">
        <f>'TUSD BE'!$W$57*'TUSD BF'!$W$81</f>
        <v>0</v>
      </c>
      <c r="X57" s="33">
        <f>'TUSD BE'!$X$57*'TUSD BF'!$X$81</f>
        <v>0</v>
      </c>
      <c r="Y57" s="33">
        <f>'TUSD BE'!$Y$57*'TUSD BF'!$Y$81</f>
        <v>0</v>
      </c>
      <c r="Z57" s="33">
        <f>'TUSD BE'!$Z$57*'TUSD BF'!$Z$81</f>
        <v>0</v>
      </c>
      <c r="AA57" s="33">
        <f>'TUSD BE'!$AA$57*'TUSD BF'!$AA$81</f>
        <v>0</v>
      </c>
      <c r="AB57" s="33">
        <f>SUM($U$57:$AA$57)</f>
        <v>1.830146006717565</v>
      </c>
      <c r="AC57" s="33">
        <f>'TUSD BE'!$AC$57*'TUSD BF'!$AC$81</f>
        <v>0</v>
      </c>
      <c r="AD57" s="33">
        <f>SUM($AC$57:$AC$57)</f>
        <v>0</v>
      </c>
      <c r="AE57" s="33">
        <f ca="1">$AO$57*$AO$78</f>
        <v>0</v>
      </c>
      <c r="AF57" s="33">
        <f ca="1">$AP$57*$AP$78</f>
        <v>0</v>
      </c>
      <c r="AG57" s="33">
        <f ca="1">SUM($AE$57:$AF$57)</f>
        <v>0</v>
      </c>
      <c r="AH57" s="33">
        <f>'TUSD BE'!$AH$57*'TUSD BF'!$AH$81</f>
        <v>2.9110933776476937</v>
      </c>
      <c r="AI57" s="33">
        <f>'TUSD BE'!$AI$57*'TUSD BF'!$AI$81</f>
        <v>6.4638025244141287E-3</v>
      </c>
      <c r="AJ57" s="33">
        <f ca="1">'TUSD BE'!$AJ$57*'TUSD BF'!$AJ$81</f>
        <v>5.2404639122858691E-2</v>
      </c>
      <c r="AK57" s="33">
        <f ca="1">'TUSD BE'!$AK$57*'TUSD BF'!$AK$81</f>
        <v>0</v>
      </c>
      <c r="AL57" s="33">
        <f ca="1">SUM($AH$57:$AK$57)</f>
        <v>2.9699618192949666</v>
      </c>
      <c r="AM57" s="33">
        <f ca="1">SUMIF($L$4:$AL$4,"SUBTOTAL",$L$57:$AL$57)</f>
        <v>19.358661851879273</v>
      </c>
      <c r="AO57" s="43">
        <f ca="1">+'TUSD BE'!$T$57+'TUSD BE'!$AB$57+'TUSD BE'!$AD$57+'TUSD BE'!$AL$57</f>
        <v>890.89674753312147</v>
      </c>
      <c r="AP57" s="43">
        <f ca="1">+'TUSD BE'!$T$57+'TUSD BE'!$AB$57+'TUSD BE'!$AD$57+'TUSD BE'!$AL$57</f>
        <v>890.89674753312147</v>
      </c>
    </row>
    <row r="58" spans="1:42" ht="11.25" customHeight="1" x14ac:dyDescent="0.25">
      <c r="A58" s="116"/>
      <c r="B58" s="116"/>
      <c r="C58" s="116"/>
      <c r="D58" s="116"/>
      <c r="E58" s="116"/>
      <c r="F58" s="116"/>
      <c r="G58" s="36" t="s">
        <v>128</v>
      </c>
      <c r="H58" s="36" t="s">
        <v>117</v>
      </c>
      <c r="I58" s="36">
        <f>'MERCADO TUSD'!$U$55</f>
        <v>0</v>
      </c>
      <c r="J58" s="16"/>
      <c r="L58" s="33">
        <f>'TUSD BE'!$L$58*'TUSD BF'!$L$81</f>
        <v>0.41653754699744711</v>
      </c>
      <c r="M58" s="33">
        <f>'TUSD BE'!$M$58*'TUSD BF'!$M$81</f>
        <v>0</v>
      </c>
      <c r="N58" s="33">
        <f ca="1">'TUSD BE'!$N$58*'TUSD BF'!$N$81</f>
        <v>0</v>
      </c>
      <c r="O58" s="33">
        <f>'TUSD BE'!$O$58*'TUSD BF'!$O$81</f>
        <v>0</v>
      </c>
      <c r="P58" s="33">
        <f>'TUSD BE'!$P$58*'TUSD BF'!$P$81</f>
        <v>0</v>
      </c>
      <c r="Q58" s="33">
        <f>'TUSD BE'!$Q$58*'TUSD BF'!$Q$81</f>
        <v>11.271123335574337</v>
      </c>
      <c r="R58" s="33">
        <f>'TUSD BE'!$R$58*'TUSD BF'!$R$81</f>
        <v>2.8708931432949591</v>
      </c>
      <c r="S58" s="33">
        <f>'TUSD BE'!$R$58*'TUSD BF'!$S$81</f>
        <v>0</v>
      </c>
      <c r="T58" s="33">
        <f ca="1">SUM($L$58:$S$58)</f>
        <v>14.558554025866743</v>
      </c>
      <c r="U58" s="33">
        <f>'TUSD BE'!$U$58*'TUSD BF'!$U$81</f>
        <v>1.0824208636514483</v>
      </c>
      <c r="V58" s="33">
        <f>'TUSD BE'!$V$58*'TUSD BF'!$V$81</f>
        <v>1.566848813164088E-2</v>
      </c>
      <c r="W58" s="33">
        <f>'TUSD BE'!$W$58*'TUSD BF'!$W$81</f>
        <v>0</v>
      </c>
      <c r="X58" s="33">
        <f>'TUSD BE'!$X$58*'TUSD BF'!$X$81</f>
        <v>0</v>
      </c>
      <c r="Y58" s="33">
        <f>'TUSD BE'!$Y$58*'TUSD BF'!$Y$81</f>
        <v>0</v>
      </c>
      <c r="Z58" s="33">
        <f>'TUSD BE'!$Z$58*'TUSD BF'!$Z$81</f>
        <v>0</v>
      </c>
      <c r="AA58" s="33">
        <f>'TUSD BE'!$AA$58*'TUSD BF'!$AA$81</f>
        <v>0</v>
      </c>
      <c r="AB58" s="33">
        <f>SUM($U$58:$AA$58)</f>
        <v>1.0980893517830892</v>
      </c>
      <c r="AC58" s="33">
        <f>'TUSD BE'!$AC$58*'TUSD BF'!$AC$81</f>
        <v>0</v>
      </c>
      <c r="AD58" s="33">
        <f>SUM($AC$58:$AC$58)</f>
        <v>0</v>
      </c>
      <c r="AE58" s="33">
        <f ca="1">$AO$58*$AO$78</f>
        <v>0</v>
      </c>
      <c r="AF58" s="33">
        <f ca="1">$AP$58*$AP$78</f>
        <v>0</v>
      </c>
      <c r="AG58" s="33">
        <f ca="1">SUM($AE$58:$AF$58)</f>
        <v>0</v>
      </c>
      <c r="AH58" s="33">
        <f>'TUSD BE'!$AH$58*'TUSD BF'!$AH$81</f>
        <v>2.9110933776476937</v>
      </c>
      <c r="AI58" s="33">
        <f>'TUSD BE'!$AI$58*'TUSD BF'!$AI$81</f>
        <v>6.4638025244141287E-3</v>
      </c>
      <c r="AJ58" s="33">
        <f ca="1">'TUSD BE'!$AJ$58*'TUSD BF'!$AJ$81</f>
        <v>5.2404639122858691E-2</v>
      </c>
      <c r="AK58" s="33">
        <f ca="1">'TUSD BE'!$AK$58*'TUSD BF'!$AK$81</f>
        <v>0</v>
      </c>
      <c r="AL58" s="33">
        <f ca="1">SUM($AH$58:$AK$58)</f>
        <v>2.9699618192949666</v>
      </c>
      <c r="AM58" s="33">
        <f ca="1">SUMIF($L$4:$AL$4,"SUBTOTAL",$L$58:$AL$58)</f>
        <v>18.626605196944798</v>
      </c>
      <c r="AO58" s="43">
        <f ca="1">+'TUSD BE'!$T$58+'TUSD BE'!$AB$58+'TUSD BE'!$AD$58+'TUSD BE'!$AL$58</f>
        <v>600.85856772222132</v>
      </c>
      <c r="AP58" s="43">
        <f ca="1">+'TUSD BE'!$T$58+'TUSD BE'!$AB$58+'TUSD BE'!$AD$58+'TUSD BE'!$AL$58</f>
        <v>600.85856772222132</v>
      </c>
    </row>
    <row r="59" spans="1:42" ht="11.25" customHeight="1" x14ac:dyDescent="0.25">
      <c r="A59" s="116"/>
      <c r="B59" s="116"/>
      <c r="C59" s="116"/>
      <c r="D59" s="116"/>
      <c r="E59" s="116"/>
      <c r="F59" s="116"/>
      <c r="G59" s="36" t="s">
        <v>119</v>
      </c>
      <c r="H59" s="36" t="s">
        <v>117</v>
      </c>
      <c r="I59" s="36">
        <f>'MERCADO TUSD'!$U$56</f>
        <v>0</v>
      </c>
      <c r="J59" s="16"/>
      <c r="L59" s="33">
        <f>'TUSD BE'!$L$59*'TUSD BF'!$L$81</f>
        <v>0.41653754699744711</v>
      </c>
      <c r="M59" s="33">
        <f>'TUSD BE'!$M$59*'TUSD BF'!$M$81</f>
        <v>0</v>
      </c>
      <c r="N59" s="33">
        <f ca="1">'TUSD BE'!$N$59*'TUSD BF'!$N$81</f>
        <v>0</v>
      </c>
      <c r="O59" s="33">
        <f>'TUSD BE'!$O$59*'TUSD BF'!$O$81</f>
        <v>0</v>
      </c>
      <c r="P59" s="33">
        <f>'TUSD BE'!$P$59*'TUSD BF'!$P$81</f>
        <v>0</v>
      </c>
      <c r="Q59" s="33">
        <f>'TUSD BE'!$Q$59*'TUSD BF'!$Q$81</f>
        <v>11.271123335574337</v>
      </c>
      <c r="R59" s="33">
        <f>'TUSD BE'!$R$59*'TUSD BF'!$R$81</f>
        <v>2.8708931432949591</v>
      </c>
      <c r="S59" s="33">
        <f>'TUSD BE'!$R$59*'TUSD BF'!$S$81</f>
        <v>0</v>
      </c>
      <c r="T59" s="33">
        <f ca="1">SUM($L$59:$S$59)</f>
        <v>14.558554025866743</v>
      </c>
      <c r="U59" s="33">
        <f>'TUSD BE'!$U$59*'TUSD BF'!$U$81</f>
        <v>0.36080531561397872</v>
      </c>
      <c r="V59" s="33">
        <f>'TUSD BE'!$V$59*'TUSD BF'!$V$81</f>
        <v>5.2230118532592277E-3</v>
      </c>
      <c r="W59" s="33">
        <f>'TUSD BE'!$W$59*'TUSD BF'!$W$81</f>
        <v>0</v>
      </c>
      <c r="X59" s="33">
        <f>'TUSD BE'!$X$59*'TUSD BF'!$X$81</f>
        <v>0</v>
      </c>
      <c r="Y59" s="33">
        <f>'TUSD BE'!$Y$59*'TUSD BF'!$Y$81</f>
        <v>0</v>
      </c>
      <c r="Z59" s="33">
        <f>'TUSD BE'!$Z$59*'TUSD BF'!$Z$81</f>
        <v>0</v>
      </c>
      <c r="AA59" s="33">
        <f>'TUSD BE'!$AA$59*'TUSD BF'!$AA$81</f>
        <v>0</v>
      </c>
      <c r="AB59" s="33">
        <f>SUM($U$59:$AA$59)</f>
        <v>0.36602832746723796</v>
      </c>
      <c r="AC59" s="33">
        <f>'TUSD BE'!$AC$59*'TUSD BF'!$AC$81</f>
        <v>0</v>
      </c>
      <c r="AD59" s="33">
        <f>SUM($AC$59:$AC$59)</f>
        <v>0</v>
      </c>
      <c r="AE59" s="33">
        <f ca="1">$AO$59*$AO$78</f>
        <v>0</v>
      </c>
      <c r="AF59" s="33">
        <f ca="1">$AP$59*$AP$78</f>
        <v>0</v>
      </c>
      <c r="AG59" s="33">
        <f ca="1">SUM($AE$59:$AF$59)</f>
        <v>0</v>
      </c>
      <c r="AH59" s="33">
        <f>'TUSD BE'!$AH$59*'TUSD BF'!$AH$81</f>
        <v>2.9110933776476937</v>
      </c>
      <c r="AI59" s="33">
        <f>'TUSD BE'!$AI$59*'TUSD BF'!$AI$81</f>
        <v>6.4638025244141287E-3</v>
      </c>
      <c r="AJ59" s="33">
        <f ca="1">'TUSD BE'!$AJ$59*'TUSD BF'!$AJ$81</f>
        <v>5.2404639122858691E-2</v>
      </c>
      <c r="AK59" s="33">
        <f ca="1">'TUSD BE'!$AK$59*'TUSD BF'!$AK$81</f>
        <v>0</v>
      </c>
      <c r="AL59" s="33">
        <f ca="1">SUM($AH$59:$AK$59)</f>
        <v>2.9699618192949666</v>
      </c>
      <c r="AM59" s="33">
        <f ca="1">SUMIF($L$4:$AL$4,"SUBTOTAL",$L$59:$AL$59)</f>
        <v>17.894544172628947</v>
      </c>
      <c r="AO59" s="43">
        <f ca="1">+'TUSD BE'!$T$59+'TUSD BE'!$AB$59+'TUSD BE'!$AD$59+'TUSD BE'!$AL$59</f>
        <v>310.82042472310297</v>
      </c>
      <c r="AP59" s="43">
        <f ca="1">+'TUSD BE'!$T$59+'TUSD BE'!$AB$59+'TUSD BE'!$AD$59+'TUSD BE'!$AL$59</f>
        <v>310.82042472310297</v>
      </c>
    </row>
    <row r="60" spans="1:42" ht="11.25" customHeight="1" x14ac:dyDescent="0.25">
      <c r="A60" s="116"/>
      <c r="B60" s="41" t="s">
        <v>23</v>
      </c>
      <c r="C60" s="41" t="s">
        <v>45</v>
      </c>
      <c r="D60" s="41" t="s">
        <v>132</v>
      </c>
      <c r="E60" s="41" t="s">
        <v>25</v>
      </c>
      <c r="F60" s="41" t="s">
        <v>25</v>
      </c>
      <c r="G60" s="36" t="s">
        <v>123</v>
      </c>
      <c r="H60" s="36" t="s">
        <v>117</v>
      </c>
      <c r="I60" s="36">
        <f>'MERCADO TUSD'!$U$57</f>
        <v>0</v>
      </c>
      <c r="J60" s="16"/>
      <c r="L60" s="33">
        <f>'TUSD BE'!$L$60*'TUSD BF'!$L$81</f>
        <v>0.41653754699744711</v>
      </c>
      <c r="M60" s="33">
        <f>'TUSD BE'!$M$60*'TUSD BF'!$M$81</f>
        <v>0</v>
      </c>
      <c r="N60" s="33">
        <f ca="1">'TUSD BE'!$N$60*'TUSD BF'!$N$81</f>
        <v>0</v>
      </c>
      <c r="O60" s="33">
        <f>'TUSD BE'!$O$60*'TUSD BF'!$O$81</f>
        <v>0</v>
      </c>
      <c r="P60" s="33">
        <f>'TUSD BE'!$P$60*'TUSD BF'!$P$81</f>
        <v>0</v>
      </c>
      <c r="Q60" s="33">
        <f>'TUSD BE'!$Q$60*'TUSD BF'!$Q$81</f>
        <v>11.271123335574337</v>
      </c>
      <c r="R60" s="33">
        <f>'TUSD BE'!$R$60*'TUSD BF'!$R$81</f>
        <v>2.8708931432949591</v>
      </c>
      <c r="S60" s="33">
        <f>'TUSD BE'!$R$60*'TUSD BF'!$S$81</f>
        <v>0</v>
      </c>
      <c r="T60" s="33">
        <f ca="1">SUM($L$60:$S$60)</f>
        <v>14.558554025866743</v>
      </c>
      <c r="U60" s="33">
        <f>'TUSD BE'!$U$60*'TUSD BF'!$U$81</f>
        <v>0.63299497339210209</v>
      </c>
      <c r="V60" s="33">
        <f>'TUSD BE'!$V$60*'TUSD BF'!$V$81</f>
        <v>9.1628521538468649E-3</v>
      </c>
      <c r="W60" s="33">
        <f>'TUSD BE'!$W$60*'TUSD BF'!$W$81</f>
        <v>0</v>
      </c>
      <c r="X60" s="33">
        <f>'TUSD BE'!$X$60*'TUSD BF'!$X$81</f>
        <v>0</v>
      </c>
      <c r="Y60" s="33">
        <f>'TUSD BE'!$Y$60*'TUSD BF'!$Y$81</f>
        <v>0</v>
      </c>
      <c r="Z60" s="33">
        <f>'TUSD BE'!$Z$60*'TUSD BF'!$Z$81</f>
        <v>0</v>
      </c>
      <c r="AA60" s="33">
        <f>'TUSD BE'!$AA$60*'TUSD BF'!$AA$81</f>
        <v>0</v>
      </c>
      <c r="AB60" s="33">
        <f>SUM($U$60:$AA$60)</f>
        <v>0.64215782554594891</v>
      </c>
      <c r="AC60" s="33">
        <f>'TUSD BE'!$AC$60*'TUSD BF'!$AC$81</f>
        <v>0</v>
      </c>
      <c r="AD60" s="33">
        <f>SUM($AC$60:$AC$60)</f>
        <v>0</v>
      </c>
      <c r="AE60" s="33">
        <f ca="1">$AO$60*$AO$78</f>
        <v>0</v>
      </c>
      <c r="AF60" s="33">
        <f ca="1">$AP$60*$AP$78</f>
        <v>0</v>
      </c>
      <c r="AG60" s="33">
        <f ca="1">SUM($AE$60:$AF$60)</f>
        <v>0</v>
      </c>
      <c r="AH60" s="33">
        <f>'TUSD BE'!$AH$60*'TUSD BF'!$AH$81</f>
        <v>2.9110933776476937</v>
      </c>
      <c r="AI60" s="33">
        <f>'TUSD BE'!$AI$60*'TUSD BF'!$AI$81</f>
        <v>6.4638025244141287E-3</v>
      </c>
      <c r="AJ60" s="33">
        <f ca="1">'TUSD BE'!$AJ$60*'TUSD BF'!$AJ$81</f>
        <v>5.2404639122858691E-2</v>
      </c>
      <c r="AK60" s="33">
        <f ca="1">'TUSD BE'!$AK$60*'TUSD BF'!$AK$81</f>
        <v>0</v>
      </c>
      <c r="AL60" s="33">
        <f ca="1">SUM($AH$60:$AK$60)</f>
        <v>2.9699618192949666</v>
      </c>
      <c r="AM60" s="33">
        <f ca="1">SUMIF($L$4:$AL$4,"SUBTOTAL",$L$60:$AL$60)</f>
        <v>18.170673670707657</v>
      </c>
      <c r="AO60" s="43">
        <f ca="1">+'TUSD BE'!$T$60+'TUSD BE'!$AB$60+'TUSD BE'!$AD$60+'TUSD BE'!$AL$60</f>
        <v>420.22084168166344</v>
      </c>
      <c r="AP60" s="43">
        <f ca="1">+'TUSD BE'!$T$60+'TUSD BE'!$AB$60+'TUSD BE'!$AD$60+'TUSD BE'!$AL$60</f>
        <v>420.22084168166344</v>
      </c>
    </row>
    <row r="61" spans="1:42" ht="11.25" customHeight="1" x14ac:dyDescent="0.25">
      <c r="A61" s="116"/>
      <c r="B61" s="116" t="s">
        <v>33</v>
      </c>
      <c r="C61" s="116" t="s">
        <v>45</v>
      </c>
      <c r="D61" s="116" t="s">
        <v>133</v>
      </c>
      <c r="E61" s="116" t="s">
        <v>25</v>
      </c>
      <c r="F61" s="116" t="s">
        <v>25</v>
      </c>
      <c r="G61" s="36" t="s">
        <v>118</v>
      </c>
      <c r="H61" s="36" t="s">
        <v>117</v>
      </c>
      <c r="I61" s="36">
        <f>'MERCADO TUSD'!$U$58</f>
        <v>0</v>
      </c>
      <c r="J61" s="16"/>
      <c r="L61" s="33">
        <f>'TUSD BE'!$L$61*'TUSD BF'!$L$81</f>
        <v>0.41653754699744711</v>
      </c>
      <c r="M61" s="33">
        <f>'TUSD BE'!$M$61*'TUSD BF'!$M$81</f>
        <v>0</v>
      </c>
      <c r="N61" s="33">
        <f ca="1">'TUSD BE'!$N$61*'TUSD BF'!$N$81</f>
        <v>0</v>
      </c>
      <c r="O61" s="33">
        <f>'TUSD BE'!$O$61*'TUSD BF'!$O$81</f>
        <v>0</v>
      </c>
      <c r="P61" s="33">
        <f>'TUSD BE'!$P$61*'TUSD BF'!$P$81</f>
        <v>0</v>
      </c>
      <c r="Q61" s="33">
        <f>'TUSD BE'!$Q$61*'TUSD BF'!$Q$81</f>
        <v>11.271123335574337</v>
      </c>
      <c r="R61" s="33">
        <f>'TUSD BE'!$R$61*'TUSD BF'!$R$81</f>
        <v>2.8708931432949591</v>
      </c>
      <c r="S61" s="33">
        <f>'TUSD BE'!$R$61*'TUSD BF'!$S$81</f>
        <v>0</v>
      </c>
      <c r="T61" s="33">
        <f ca="1">SUM($L$61:$S$61)</f>
        <v>14.558554025866743</v>
      </c>
      <c r="U61" s="33">
        <f>'TUSD BE'!$U$61*'TUSD BF'!$U$81</f>
        <v>1.8040314948794056</v>
      </c>
      <c r="V61" s="33">
        <f>'TUSD BE'!$V$61*'TUSD BF'!$V$81</f>
        <v>2.6114511838159337E-2</v>
      </c>
      <c r="W61" s="33">
        <f>'TUSD BE'!$W$61*'TUSD BF'!$W$81</f>
        <v>0</v>
      </c>
      <c r="X61" s="33">
        <f>'TUSD BE'!$X$61*'TUSD BF'!$X$81</f>
        <v>0</v>
      </c>
      <c r="Y61" s="33">
        <f>'TUSD BE'!$Y$61*'TUSD BF'!$Y$81</f>
        <v>0</v>
      </c>
      <c r="Z61" s="33">
        <f>'TUSD BE'!$Z$61*'TUSD BF'!$Z$81</f>
        <v>0</v>
      </c>
      <c r="AA61" s="33">
        <f>'TUSD BE'!$AA$61*'TUSD BF'!$AA$81</f>
        <v>0</v>
      </c>
      <c r="AB61" s="33">
        <f>SUM($U$61:$AA$61)</f>
        <v>1.830146006717565</v>
      </c>
      <c r="AC61" s="33">
        <f>'TUSD BE'!$AC$61*'TUSD BF'!$AC$81</f>
        <v>0</v>
      </c>
      <c r="AD61" s="33">
        <f>SUM($AC$61:$AC$61)</f>
        <v>0</v>
      </c>
      <c r="AE61" s="33">
        <f ca="1">$AO$61*$AO$78</f>
        <v>0</v>
      </c>
      <c r="AF61" s="33">
        <f ca="1">$AP$61*$AP$78</f>
        <v>0</v>
      </c>
      <c r="AG61" s="33">
        <f ca="1">SUM($AE$61:$AF$61)</f>
        <v>0</v>
      </c>
      <c r="AH61" s="33">
        <f>'TUSD BE'!$AH$61*'TUSD BF'!$AH$81</f>
        <v>2.9110933776476937</v>
      </c>
      <c r="AI61" s="33">
        <f>'TUSD BE'!$AI$61*'TUSD BF'!$AI$81</f>
        <v>6.4638025244141287E-3</v>
      </c>
      <c r="AJ61" s="33">
        <f ca="1">'TUSD BE'!$AJ$61*'TUSD BF'!$AJ$81</f>
        <v>5.2404639122858691E-2</v>
      </c>
      <c r="AK61" s="33">
        <f ca="1">'TUSD BE'!$AK$61*'TUSD BF'!$AK$81</f>
        <v>0</v>
      </c>
      <c r="AL61" s="33">
        <f ca="1">SUM($AH$61:$AK$61)</f>
        <v>2.9699618192949666</v>
      </c>
      <c r="AM61" s="33">
        <f ca="1">SUMIF($L$4:$AL$4,"SUBTOTAL",$L$61:$AL$61)</f>
        <v>19.358661851879273</v>
      </c>
      <c r="AO61" s="43">
        <f ca="1">+'TUSD BE'!$T$61+'TUSD BE'!$AB$61+'TUSD BE'!$AD$61+'TUSD BE'!$AL$61</f>
        <v>890.89674753312147</v>
      </c>
      <c r="AP61" s="43">
        <f ca="1">+'TUSD BE'!$T$61+'TUSD BE'!$AB$61+'TUSD BE'!$AD$61+'TUSD BE'!$AL$61</f>
        <v>890.89674753312147</v>
      </c>
    </row>
    <row r="62" spans="1:42" ht="11.25" customHeight="1" x14ac:dyDescent="0.25">
      <c r="A62" s="116"/>
      <c r="B62" s="116"/>
      <c r="C62" s="116"/>
      <c r="D62" s="116"/>
      <c r="E62" s="116"/>
      <c r="F62" s="116"/>
      <c r="G62" s="36" t="s">
        <v>128</v>
      </c>
      <c r="H62" s="36" t="s">
        <v>117</v>
      </c>
      <c r="I62" s="36">
        <f>'MERCADO TUSD'!$U$59</f>
        <v>0</v>
      </c>
      <c r="J62" s="16"/>
      <c r="L62" s="33">
        <f>'TUSD BE'!$L$62*'TUSD BF'!$L$81</f>
        <v>0.41653754699744711</v>
      </c>
      <c r="M62" s="33">
        <f>'TUSD BE'!$M$62*'TUSD BF'!$M$81</f>
        <v>0</v>
      </c>
      <c r="N62" s="33">
        <f ca="1">'TUSD BE'!$N$62*'TUSD BF'!$N$81</f>
        <v>0</v>
      </c>
      <c r="O62" s="33">
        <f>'TUSD BE'!$O$62*'TUSD BF'!$O$81</f>
        <v>0</v>
      </c>
      <c r="P62" s="33">
        <f>'TUSD BE'!$P$62*'TUSD BF'!$P$81</f>
        <v>0</v>
      </c>
      <c r="Q62" s="33">
        <f>'TUSD BE'!$Q$62*'TUSD BF'!$Q$81</f>
        <v>11.271123335574337</v>
      </c>
      <c r="R62" s="33">
        <f>'TUSD BE'!$R$62*'TUSD BF'!$R$81</f>
        <v>2.8708931432949591</v>
      </c>
      <c r="S62" s="33">
        <f>'TUSD BE'!$R$62*'TUSD BF'!$S$81</f>
        <v>0</v>
      </c>
      <c r="T62" s="33">
        <f ca="1">SUM($L$62:$S$62)</f>
        <v>14.558554025866743</v>
      </c>
      <c r="U62" s="33">
        <f>'TUSD BE'!$U$62*'TUSD BF'!$U$81</f>
        <v>1.0824208636514483</v>
      </c>
      <c r="V62" s="33">
        <f>'TUSD BE'!$V$62*'TUSD BF'!$V$81</f>
        <v>1.566848813164088E-2</v>
      </c>
      <c r="W62" s="33">
        <f>'TUSD BE'!$W$62*'TUSD BF'!$W$81</f>
        <v>0</v>
      </c>
      <c r="X62" s="33">
        <f>'TUSD BE'!$X$62*'TUSD BF'!$X$81</f>
        <v>0</v>
      </c>
      <c r="Y62" s="33">
        <f>'TUSD BE'!$Y$62*'TUSD BF'!$Y$81</f>
        <v>0</v>
      </c>
      <c r="Z62" s="33">
        <f>'TUSD BE'!$Z$62*'TUSD BF'!$Z$81</f>
        <v>0</v>
      </c>
      <c r="AA62" s="33">
        <f>'TUSD BE'!$AA$62*'TUSD BF'!$AA$81</f>
        <v>0</v>
      </c>
      <c r="AB62" s="33">
        <f>SUM($U$62:$AA$62)</f>
        <v>1.0980893517830892</v>
      </c>
      <c r="AC62" s="33">
        <f>'TUSD BE'!$AC$62*'TUSD BF'!$AC$81</f>
        <v>0</v>
      </c>
      <c r="AD62" s="33">
        <f>SUM($AC$62:$AC$62)</f>
        <v>0</v>
      </c>
      <c r="AE62" s="33">
        <f ca="1">$AO$62*$AO$78</f>
        <v>0</v>
      </c>
      <c r="AF62" s="33">
        <f ca="1">$AP$62*$AP$78</f>
        <v>0</v>
      </c>
      <c r="AG62" s="33">
        <f ca="1">SUM($AE$62:$AF$62)</f>
        <v>0</v>
      </c>
      <c r="AH62" s="33">
        <f>'TUSD BE'!$AH$62*'TUSD BF'!$AH$81</f>
        <v>2.9110933776476937</v>
      </c>
      <c r="AI62" s="33">
        <f>'TUSD BE'!$AI$62*'TUSD BF'!$AI$81</f>
        <v>6.4638025244141287E-3</v>
      </c>
      <c r="AJ62" s="33">
        <f ca="1">'TUSD BE'!$AJ$62*'TUSD BF'!$AJ$81</f>
        <v>5.2404639122858691E-2</v>
      </c>
      <c r="AK62" s="33">
        <f ca="1">'TUSD BE'!$AK$62*'TUSD BF'!$AK$81</f>
        <v>0</v>
      </c>
      <c r="AL62" s="33">
        <f ca="1">SUM($AH$62:$AK$62)</f>
        <v>2.9699618192949666</v>
      </c>
      <c r="AM62" s="33">
        <f ca="1">SUMIF($L$4:$AL$4,"SUBTOTAL",$L$62:$AL$62)</f>
        <v>18.626605196944798</v>
      </c>
      <c r="AO62" s="43">
        <f ca="1">+'TUSD BE'!$T$62+'TUSD BE'!$AB$62+'TUSD BE'!$AD$62+'TUSD BE'!$AL$62</f>
        <v>600.85856772222132</v>
      </c>
      <c r="AP62" s="43">
        <f ca="1">+'TUSD BE'!$T$62+'TUSD BE'!$AB$62+'TUSD BE'!$AD$62+'TUSD BE'!$AL$62</f>
        <v>600.85856772222132</v>
      </c>
    </row>
    <row r="63" spans="1:42" ht="11.25" customHeight="1" x14ac:dyDescent="0.25">
      <c r="A63" s="116"/>
      <c r="B63" s="116"/>
      <c r="C63" s="116"/>
      <c r="D63" s="116"/>
      <c r="E63" s="116"/>
      <c r="F63" s="116"/>
      <c r="G63" s="36" t="s">
        <v>119</v>
      </c>
      <c r="H63" s="36" t="s">
        <v>117</v>
      </c>
      <c r="I63" s="36">
        <f>'MERCADO TUSD'!$U$60</f>
        <v>0</v>
      </c>
      <c r="J63" s="16"/>
      <c r="L63" s="33">
        <f>'TUSD BE'!$L$63*'TUSD BF'!$L$81</f>
        <v>0.41653754699744711</v>
      </c>
      <c r="M63" s="33">
        <f>'TUSD BE'!$M$63*'TUSD BF'!$M$81</f>
        <v>0</v>
      </c>
      <c r="N63" s="33">
        <f ca="1">'TUSD BE'!$N$63*'TUSD BF'!$N$81</f>
        <v>0</v>
      </c>
      <c r="O63" s="33">
        <f>'TUSD BE'!$O$63*'TUSD BF'!$O$81</f>
        <v>0</v>
      </c>
      <c r="P63" s="33">
        <f>'TUSD BE'!$P$63*'TUSD BF'!$P$81</f>
        <v>0</v>
      </c>
      <c r="Q63" s="33">
        <f>'TUSD BE'!$Q$63*'TUSD BF'!$Q$81</f>
        <v>11.271123335574337</v>
      </c>
      <c r="R63" s="33">
        <f>'TUSD BE'!$R$63*'TUSD BF'!$R$81</f>
        <v>2.8708931432949591</v>
      </c>
      <c r="S63" s="33">
        <f>'TUSD BE'!$R$63*'TUSD BF'!$S$81</f>
        <v>0</v>
      </c>
      <c r="T63" s="33">
        <f ca="1">SUM($L$63:$S$63)</f>
        <v>14.558554025866743</v>
      </c>
      <c r="U63" s="33">
        <f>'TUSD BE'!$U$63*'TUSD BF'!$U$81</f>
        <v>0.36080531561397872</v>
      </c>
      <c r="V63" s="33">
        <f>'TUSD BE'!$V$63*'TUSD BF'!$V$81</f>
        <v>5.2230118532592277E-3</v>
      </c>
      <c r="W63" s="33">
        <f>'TUSD BE'!$W$63*'TUSD BF'!$W$81</f>
        <v>0</v>
      </c>
      <c r="X63" s="33">
        <f>'TUSD BE'!$X$63*'TUSD BF'!$X$81</f>
        <v>0</v>
      </c>
      <c r="Y63" s="33">
        <f>'TUSD BE'!$Y$63*'TUSD BF'!$Y$81</f>
        <v>0</v>
      </c>
      <c r="Z63" s="33">
        <f>'TUSD BE'!$Z$63*'TUSD BF'!$Z$81</f>
        <v>0</v>
      </c>
      <c r="AA63" s="33">
        <f>'TUSD BE'!$AA$63*'TUSD BF'!$AA$81</f>
        <v>0</v>
      </c>
      <c r="AB63" s="33">
        <f>SUM($U$63:$AA$63)</f>
        <v>0.36602832746723796</v>
      </c>
      <c r="AC63" s="33">
        <f>'TUSD BE'!$AC$63*'TUSD BF'!$AC$81</f>
        <v>0</v>
      </c>
      <c r="AD63" s="33">
        <f>SUM($AC$63:$AC$63)</f>
        <v>0</v>
      </c>
      <c r="AE63" s="33">
        <f ca="1">$AO$63*$AO$78</f>
        <v>0</v>
      </c>
      <c r="AF63" s="33">
        <f ca="1">$AP$63*$AP$78</f>
        <v>0</v>
      </c>
      <c r="AG63" s="33">
        <f ca="1">SUM($AE$63:$AF$63)</f>
        <v>0</v>
      </c>
      <c r="AH63" s="33">
        <f>'TUSD BE'!$AH$63*'TUSD BF'!$AH$81</f>
        <v>2.9110933776476937</v>
      </c>
      <c r="AI63" s="33">
        <f>'TUSD BE'!$AI$63*'TUSD BF'!$AI$81</f>
        <v>6.4638025244141287E-3</v>
      </c>
      <c r="AJ63" s="33">
        <f ca="1">'TUSD BE'!$AJ$63*'TUSD BF'!$AJ$81</f>
        <v>5.2404639122858691E-2</v>
      </c>
      <c r="AK63" s="33">
        <f ca="1">'TUSD BE'!$AK$63*'TUSD BF'!$AK$81</f>
        <v>0</v>
      </c>
      <c r="AL63" s="33">
        <f ca="1">SUM($AH$63:$AK$63)</f>
        <v>2.9699618192949666</v>
      </c>
      <c r="AM63" s="33">
        <f ca="1">SUMIF($L$4:$AL$4,"SUBTOTAL",$L$63:$AL$63)</f>
        <v>17.894544172628947</v>
      </c>
      <c r="AO63" s="43">
        <f ca="1">+'TUSD BE'!$T$63+'TUSD BE'!$AB$63+'TUSD BE'!$AD$63+'TUSD BE'!$AL$63</f>
        <v>310.82042472310297</v>
      </c>
      <c r="AP63" s="43">
        <f ca="1">+'TUSD BE'!$T$63+'TUSD BE'!$AB$63+'TUSD BE'!$AD$63+'TUSD BE'!$AL$63</f>
        <v>310.82042472310297</v>
      </c>
    </row>
    <row r="64" spans="1:42" ht="11.25" customHeight="1" x14ac:dyDescent="0.25">
      <c r="A64" s="116"/>
      <c r="B64" s="41" t="s">
        <v>23</v>
      </c>
      <c r="C64" s="41" t="s">
        <v>45</v>
      </c>
      <c r="D64" s="41" t="s">
        <v>133</v>
      </c>
      <c r="E64" s="41" t="s">
        <v>25</v>
      </c>
      <c r="F64" s="41" t="s">
        <v>25</v>
      </c>
      <c r="G64" s="36" t="s">
        <v>123</v>
      </c>
      <c r="H64" s="36" t="s">
        <v>117</v>
      </c>
      <c r="I64" s="36">
        <f>'MERCADO TUSD'!$U$61</f>
        <v>0</v>
      </c>
      <c r="J64" s="16"/>
      <c r="L64" s="33">
        <f>'TUSD BE'!$L$64*'TUSD BF'!$L$81</f>
        <v>0.41653754699744711</v>
      </c>
      <c r="M64" s="33">
        <f>'TUSD BE'!$M$64*'TUSD BF'!$M$81</f>
        <v>0</v>
      </c>
      <c r="N64" s="33">
        <f ca="1">'TUSD BE'!$N$64*'TUSD BF'!$N$81</f>
        <v>0</v>
      </c>
      <c r="O64" s="33">
        <f>'TUSD BE'!$O$64*'TUSD BF'!$O$81</f>
        <v>0</v>
      </c>
      <c r="P64" s="33">
        <f>'TUSD BE'!$P$64*'TUSD BF'!$P$81</f>
        <v>0</v>
      </c>
      <c r="Q64" s="33">
        <f>'TUSD BE'!$Q$64*'TUSD BF'!$Q$81</f>
        <v>11.271123335574337</v>
      </c>
      <c r="R64" s="33">
        <f>'TUSD BE'!$R$64*'TUSD BF'!$R$81</f>
        <v>2.8708931432949591</v>
      </c>
      <c r="S64" s="33">
        <f>'TUSD BE'!$R$64*'TUSD BF'!$S$81</f>
        <v>0</v>
      </c>
      <c r="T64" s="33">
        <f ca="1">SUM($L$64:$S$64)</f>
        <v>14.558554025866743</v>
      </c>
      <c r="U64" s="33">
        <f>'TUSD BE'!$U$64*'TUSD BF'!$U$81</f>
        <v>0.63299497339210209</v>
      </c>
      <c r="V64" s="33">
        <f>'TUSD BE'!$V$64*'TUSD BF'!$V$81</f>
        <v>9.1628521538468649E-3</v>
      </c>
      <c r="W64" s="33">
        <f>'TUSD BE'!$W$64*'TUSD BF'!$W$81</f>
        <v>0</v>
      </c>
      <c r="X64" s="33">
        <f>'TUSD BE'!$X$64*'TUSD BF'!$X$81</f>
        <v>0</v>
      </c>
      <c r="Y64" s="33">
        <f>'TUSD BE'!$Y$64*'TUSD BF'!$Y$81</f>
        <v>0</v>
      </c>
      <c r="Z64" s="33">
        <f>'TUSD BE'!$Z$64*'TUSD BF'!$Z$81</f>
        <v>0</v>
      </c>
      <c r="AA64" s="33">
        <f>'TUSD BE'!$AA$64*'TUSD BF'!$AA$81</f>
        <v>0</v>
      </c>
      <c r="AB64" s="33">
        <f>SUM($U$64:$AA$64)</f>
        <v>0.64215782554594891</v>
      </c>
      <c r="AC64" s="33">
        <f>'TUSD BE'!$AC$64*'TUSD BF'!$AC$81</f>
        <v>0</v>
      </c>
      <c r="AD64" s="33">
        <f>SUM($AC$64:$AC$64)</f>
        <v>0</v>
      </c>
      <c r="AE64" s="33">
        <f ca="1">$AO$64*$AO$78</f>
        <v>0</v>
      </c>
      <c r="AF64" s="33">
        <f ca="1">$AP$64*$AP$78</f>
        <v>0</v>
      </c>
      <c r="AG64" s="33">
        <f ca="1">SUM($AE$64:$AF$64)</f>
        <v>0</v>
      </c>
      <c r="AH64" s="33">
        <f>'TUSD BE'!$AH$64*'TUSD BF'!$AH$81</f>
        <v>2.9110933776476937</v>
      </c>
      <c r="AI64" s="33">
        <f>'TUSD BE'!$AI$64*'TUSD BF'!$AI$81</f>
        <v>6.4638025244141287E-3</v>
      </c>
      <c r="AJ64" s="33">
        <f ca="1">'TUSD BE'!$AJ$64*'TUSD BF'!$AJ$81</f>
        <v>5.2404639122858691E-2</v>
      </c>
      <c r="AK64" s="33">
        <f ca="1">'TUSD BE'!$AK$64*'TUSD BF'!$AK$81</f>
        <v>0</v>
      </c>
      <c r="AL64" s="33">
        <f ca="1">SUM($AH$64:$AK$64)</f>
        <v>2.9699618192949666</v>
      </c>
      <c r="AM64" s="33">
        <f ca="1">SUMIF($L$4:$AL$4,"SUBTOTAL",$L$64:$AL$64)</f>
        <v>18.170673670707657</v>
      </c>
      <c r="AO64" s="43">
        <f ca="1">+'TUSD BE'!$T$64+'TUSD BE'!$AB$64+'TUSD BE'!$AD$64+'TUSD BE'!$AL$64</f>
        <v>420.22084168166344</v>
      </c>
      <c r="AP64" s="43">
        <f ca="1">+'TUSD BE'!$T$64+'TUSD BE'!$AB$64+'TUSD BE'!$AD$64+'TUSD BE'!$AL$64</f>
        <v>420.22084168166344</v>
      </c>
    </row>
    <row r="65" spans="1:42" ht="11.25" customHeight="1" x14ac:dyDescent="0.25">
      <c r="A65" s="116"/>
      <c r="B65" s="116" t="s">
        <v>131</v>
      </c>
      <c r="C65" s="116" t="s">
        <v>45</v>
      </c>
      <c r="D65" s="41" t="s">
        <v>25</v>
      </c>
      <c r="E65" s="41" t="s">
        <v>25</v>
      </c>
      <c r="F65" s="41" t="s">
        <v>25</v>
      </c>
      <c r="G65" s="36" t="s">
        <v>123</v>
      </c>
      <c r="H65" s="36" t="s">
        <v>117</v>
      </c>
      <c r="I65" s="36">
        <f>'MERCADO TUSD'!$U$62</f>
        <v>0</v>
      </c>
      <c r="J65" s="16"/>
      <c r="L65" s="33">
        <f>'TUSD BE'!$L$65*'TUSD BF'!$L$81</f>
        <v>0.41653754699744711</v>
      </c>
      <c r="M65" s="33">
        <f>'TUSD BE'!$M$65*'TUSD BF'!$M$81</f>
        <v>0</v>
      </c>
      <c r="N65" s="33">
        <f ca="1">'TUSD BE'!$N$65*'TUSD BF'!$N$81</f>
        <v>0</v>
      </c>
      <c r="O65" s="33">
        <f>'TUSD BE'!$O$65*'TUSD BF'!$O$81</f>
        <v>0</v>
      </c>
      <c r="P65" s="33">
        <f>'TUSD BE'!$P$65*'TUSD BF'!$P$81</f>
        <v>0</v>
      </c>
      <c r="Q65" s="33">
        <f>'TUSD BE'!$Q$65*'TUSD BF'!$Q$81</f>
        <v>11.271123335574337</v>
      </c>
      <c r="R65" s="33">
        <f>'TUSD BE'!$R$65*'TUSD BF'!$R$81</f>
        <v>2.8708931432949591</v>
      </c>
      <c r="S65" s="33">
        <f>'TUSD BE'!$R$65*'TUSD BF'!$S$81</f>
        <v>0</v>
      </c>
      <c r="T65" s="33">
        <f ca="1">SUM($L$65:$S$65)</f>
        <v>14.558554025866743</v>
      </c>
      <c r="U65" s="33">
        <f>'TUSD BE'!$U$65*'TUSD BF'!$U$81</f>
        <v>0.63299497339210209</v>
      </c>
      <c r="V65" s="33">
        <f>'TUSD BE'!$V$65*'TUSD BF'!$V$81</f>
        <v>9.1628521538468649E-3</v>
      </c>
      <c r="W65" s="33">
        <f>'TUSD BE'!$W$65*'TUSD BF'!$W$81</f>
        <v>0</v>
      </c>
      <c r="X65" s="33">
        <f>'TUSD BE'!$X$65*'TUSD BF'!$X$81</f>
        <v>0</v>
      </c>
      <c r="Y65" s="33">
        <f>'TUSD BE'!$Y$65*'TUSD BF'!$Y$81</f>
        <v>0</v>
      </c>
      <c r="Z65" s="33">
        <f>'TUSD BE'!$Z$65*'TUSD BF'!$Z$81</f>
        <v>0</v>
      </c>
      <c r="AA65" s="33">
        <f>'TUSD BE'!$AA$65*'TUSD BF'!$AA$81</f>
        <v>0</v>
      </c>
      <c r="AB65" s="33">
        <f>SUM($U$65:$AA$65)</f>
        <v>0.64215782554594891</v>
      </c>
      <c r="AC65" s="33">
        <f>'TUSD BE'!$AC$65*'TUSD BF'!$AC$81</f>
        <v>0</v>
      </c>
      <c r="AD65" s="33">
        <f>SUM($AC$65:$AC$65)</f>
        <v>0</v>
      </c>
      <c r="AE65" s="33">
        <f ca="1">$AO$65*$AO$78</f>
        <v>0</v>
      </c>
      <c r="AF65" s="33">
        <f ca="1">$AP$65*$AP$78</f>
        <v>0</v>
      </c>
      <c r="AG65" s="33">
        <f ca="1">SUM($AE$65:$AF$65)</f>
        <v>0</v>
      </c>
      <c r="AH65" s="33">
        <f>'TUSD BE'!$AH$65*'TUSD BF'!$AH$81</f>
        <v>2.9110933776476937</v>
      </c>
      <c r="AI65" s="33">
        <f>'TUSD BE'!$AI$65*'TUSD BF'!$AI$81</f>
        <v>6.4638025244141287E-3</v>
      </c>
      <c r="AJ65" s="33">
        <f ca="1">'TUSD BE'!$AJ$65*'TUSD BF'!$AJ$81</f>
        <v>5.2404639122858691E-2</v>
      </c>
      <c r="AK65" s="33">
        <f ca="1">'TUSD BE'!$AK$65*'TUSD BF'!$AK$81</f>
        <v>0</v>
      </c>
      <c r="AL65" s="33">
        <f ca="1">SUM($AH$65:$AK$65)</f>
        <v>2.9699618192949666</v>
      </c>
      <c r="AM65" s="33">
        <f ca="1">SUMIF($L$4:$AL$4,"SUBTOTAL",$L$65:$AL$65)</f>
        <v>18.170673670707657</v>
      </c>
      <c r="AO65" s="43">
        <f ca="1">+'TUSD BE'!$T$65+'TUSD BE'!$AB$65+'TUSD BE'!$AD$65+'TUSD BE'!$AL$65</f>
        <v>420.22084168166344</v>
      </c>
      <c r="AP65" s="43">
        <f ca="1">+'TUSD BE'!$T$65+'TUSD BE'!$AB$65+'TUSD BE'!$AD$65+'TUSD BE'!$AL$65</f>
        <v>420.22084168166344</v>
      </c>
    </row>
    <row r="66" spans="1:42" ht="11.25" customHeight="1" x14ac:dyDescent="0.25">
      <c r="A66" s="116"/>
      <c r="B66" s="116"/>
      <c r="C66" s="116"/>
      <c r="D66" s="41" t="s">
        <v>132</v>
      </c>
      <c r="E66" s="41" t="s">
        <v>25</v>
      </c>
      <c r="F66" s="41" t="s">
        <v>25</v>
      </c>
      <c r="G66" s="36" t="s">
        <v>123</v>
      </c>
      <c r="H66" s="36" t="s">
        <v>117</v>
      </c>
      <c r="I66" s="36">
        <f>'MERCADO TUSD'!$U$63</f>
        <v>0</v>
      </c>
      <c r="J66" s="16"/>
      <c r="L66" s="33">
        <f>'TUSD BE'!$L$66*'TUSD BF'!$L$81</f>
        <v>0.41653754699744711</v>
      </c>
      <c r="M66" s="33">
        <f>'TUSD BE'!$M$66*'TUSD BF'!$M$81</f>
        <v>0</v>
      </c>
      <c r="N66" s="33">
        <f ca="1">'TUSD BE'!$N$66*'TUSD BF'!$N$81</f>
        <v>0</v>
      </c>
      <c r="O66" s="33">
        <f>'TUSD BE'!$O$66*'TUSD BF'!$O$81</f>
        <v>0</v>
      </c>
      <c r="P66" s="33">
        <f>'TUSD BE'!$P$66*'TUSD BF'!$P$81</f>
        <v>0</v>
      </c>
      <c r="Q66" s="33">
        <f>'TUSD BE'!$Q$66*'TUSD BF'!$Q$81</f>
        <v>11.271123335574337</v>
      </c>
      <c r="R66" s="33">
        <f>'TUSD BE'!$R$66*'TUSD BF'!$R$81</f>
        <v>2.8708931432949591</v>
      </c>
      <c r="S66" s="33">
        <f>'TUSD BE'!$R$66*'TUSD BF'!$S$81</f>
        <v>0</v>
      </c>
      <c r="T66" s="33">
        <f ca="1">SUM($L$66:$S$66)</f>
        <v>14.558554025866743</v>
      </c>
      <c r="U66" s="33">
        <f>'TUSD BE'!$U$66*'TUSD BF'!$U$81</f>
        <v>0.63299497339210209</v>
      </c>
      <c r="V66" s="33">
        <f>'TUSD BE'!$V$66*'TUSD BF'!$V$81</f>
        <v>9.1628521538468649E-3</v>
      </c>
      <c r="W66" s="33">
        <f>'TUSD BE'!$W$66*'TUSD BF'!$W$81</f>
        <v>0</v>
      </c>
      <c r="X66" s="33">
        <f>'TUSD BE'!$X$66*'TUSD BF'!$X$81</f>
        <v>0</v>
      </c>
      <c r="Y66" s="33">
        <f>'TUSD BE'!$Y$66*'TUSD BF'!$Y$81</f>
        <v>0</v>
      </c>
      <c r="Z66" s="33">
        <f>'TUSD BE'!$Z$66*'TUSD BF'!$Z$81</f>
        <v>0</v>
      </c>
      <c r="AA66" s="33">
        <f>'TUSD BE'!$AA$66*'TUSD BF'!$AA$81</f>
        <v>0</v>
      </c>
      <c r="AB66" s="33">
        <f>SUM($U$66:$AA$66)</f>
        <v>0.64215782554594891</v>
      </c>
      <c r="AC66" s="33">
        <f>'TUSD BE'!$AC$66*'TUSD BF'!$AC$81</f>
        <v>0</v>
      </c>
      <c r="AD66" s="33">
        <f>SUM($AC$66:$AC$66)</f>
        <v>0</v>
      </c>
      <c r="AE66" s="33">
        <f ca="1">$AO$66*$AO$78</f>
        <v>0</v>
      </c>
      <c r="AF66" s="33">
        <f ca="1">$AP$66*$AP$78</f>
        <v>0</v>
      </c>
      <c r="AG66" s="33">
        <f ca="1">SUM($AE$66:$AF$66)</f>
        <v>0</v>
      </c>
      <c r="AH66" s="33">
        <f>'TUSD BE'!$AH$66*'TUSD BF'!$AH$81</f>
        <v>2.9110933776476937</v>
      </c>
      <c r="AI66" s="33">
        <f>'TUSD BE'!$AI$66*'TUSD BF'!$AI$81</f>
        <v>6.4638025244141287E-3</v>
      </c>
      <c r="AJ66" s="33">
        <f ca="1">'TUSD BE'!$AJ$66*'TUSD BF'!$AJ$81</f>
        <v>5.2404639122858691E-2</v>
      </c>
      <c r="AK66" s="33">
        <f ca="1">'TUSD BE'!$AK$66*'TUSD BF'!$AK$81</f>
        <v>0</v>
      </c>
      <c r="AL66" s="33">
        <f ca="1">SUM($AH$66:$AK$66)</f>
        <v>2.9699618192949666</v>
      </c>
      <c r="AM66" s="33">
        <f ca="1">SUMIF($L$4:$AL$4,"SUBTOTAL",$L$66:$AL$66)</f>
        <v>18.170673670707657</v>
      </c>
      <c r="AO66" s="43">
        <f ca="1">+'TUSD BE'!$T$66+'TUSD BE'!$AB$66+'TUSD BE'!$AD$66+'TUSD BE'!$AL$66</f>
        <v>420.22084168166344</v>
      </c>
      <c r="AP66" s="43">
        <f ca="1">+'TUSD BE'!$T$66+'TUSD BE'!$AB$66+'TUSD BE'!$AD$66+'TUSD BE'!$AL$66</f>
        <v>420.22084168166344</v>
      </c>
    </row>
    <row r="67" spans="1:42" ht="11.25" customHeight="1" x14ac:dyDescent="0.25">
      <c r="A67" s="116"/>
      <c r="B67" s="116"/>
      <c r="C67" s="116"/>
      <c r="D67" s="41" t="s">
        <v>133</v>
      </c>
      <c r="E67" s="41" t="s">
        <v>25</v>
      </c>
      <c r="F67" s="41" t="s">
        <v>25</v>
      </c>
      <c r="G67" s="36" t="s">
        <v>123</v>
      </c>
      <c r="H67" s="36" t="s">
        <v>117</v>
      </c>
      <c r="I67" s="36">
        <f>'MERCADO TUSD'!$U$64</f>
        <v>0</v>
      </c>
      <c r="J67" s="16"/>
      <c r="L67" s="33">
        <f>'TUSD BE'!$L$67*'TUSD BF'!$L$81</f>
        <v>0.41653754699744711</v>
      </c>
      <c r="M67" s="33">
        <f>'TUSD BE'!$M$67*'TUSD BF'!$M$81</f>
        <v>0</v>
      </c>
      <c r="N67" s="33">
        <f ca="1">'TUSD BE'!$N$67*'TUSD BF'!$N$81</f>
        <v>0</v>
      </c>
      <c r="O67" s="33">
        <f>'TUSD BE'!$O$67*'TUSD BF'!$O$81</f>
        <v>0</v>
      </c>
      <c r="P67" s="33">
        <f>'TUSD BE'!$P$67*'TUSD BF'!$P$81</f>
        <v>0</v>
      </c>
      <c r="Q67" s="33">
        <f>'TUSD BE'!$Q$67*'TUSD BF'!$Q$81</f>
        <v>11.271123335574337</v>
      </c>
      <c r="R67" s="33">
        <f>'TUSD BE'!$R$67*'TUSD BF'!$R$81</f>
        <v>2.8708931432949591</v>
      </c>
      <c r="S67" s="33">
        <f>'TUSD BE'!$R$67*'TUSD BF'!$S$81</f>
        <v>0</v>
      </c>
      <c r="T67" s="33">
        <f ca="1">SUM($L$67:$S$67)</f>
        <v>14.558554025866743</v>
      </c>
      <c r="U67" s="33">
        <f>'TUSD BE'!$U$67*'TUSD BF'!$U$81</f>
        <v>0.63299497339210209</v>
      </c>
      <c r="V67" s="33">
        <f>'TUSD BE'!$V$67*'TUSD BF'!$V$81</f>
        <v>9.1628521538468649E-3</v>
      </c>
      <c r="W67" s="33">
        <f>'TUSD BE'!$W$67*'TUSD BF'!$W$81</f>
        <v>0</v>
      </c>
      <c r="X67" s="33">
        <f>'TUSD BE'!$X$67*'TUSD BF'!$X$81</f>
        <v>0</v>
      </c>
      <c r="Y67" s="33">
        <f>'TUSD BE'!$Y$67*'TUSD BF'!$Y$81</f>
        <v>0</v>
      </c>
      <c r="Z67" s="33">
        <f>'TUSD BE'!$Z$67*'TUSD BF'!$Z$81</f>
        <v>0</v>
      </c>
      <c r="AA67" s="33">
        <f>'TUSD BE'!$AA$67*'TUSD BF'!$AA$81</f>
        <v>0</v>
      </c>
      <c r="AB67" s="33">
        <f>SUM($U$67:$AA$67)</f>
        <v>0.64215782554594891</v>
      </c>
      <c r="AC67" s="33">
        <f>'TUSD BE'!$AC$67*'TUSD BF'!$AC$81</f>
        <v>0</v>
      </c>
      <c r="AD67" s="33">
        <f>SUM($AC$67:$AC$67)</f>
        <v>0</v>
      </c>
      <c r="AE67" s="33">
        <f ca="1">$AO$67*$AO$78</f>
        <v>0</v>
      </c>
      <c r="AF67" s="33">
        <f ca="1">$AP$67*$AP$78</f>
        <v>0</v>
      </c>
      <c r="AG67" s="33">
        <f ca="1">SUM($AE$67:$AF$67)</f>
        <v>0</v>
      </c>
      <c r="AH67" s="33">
        <f>'TUSD BE'!$AH$67*'TUSD BF'!$AH$81</f>
        <v>2.9110933776476937</v>
      </c>
      <c r="AI67" s="33">
        <f>'TUSD BE'!$AI$67*'TUSD BF'!$AI$81</f>
        <v>6.4638025244141287E-3</v>
      </c>
      <c r="AJ67" s="33">
        <f ca="1">'TUSD BE'!$AJ$67*'TUSD BF'!$AJ$81</f>
        <v>5.2404639122858691E-2</v>
      </c>
      <c r="AK67" s="33">
        <f ca="1">'TUSD BE'!$AK$67*'TUSD BF'!$AK$81</f>
        <v>0</v>
      </c>
      <c r="AL67" s="33">
        <f ca="1">SUM($AH$67:$AK$67)</f>
        <v>2.9699618192949666</v>
      </c>
      <c r="AM67" s="33">
        <f ca="1">SUMIF($L$4:$AL$4,"SUBTOTAL",$L$67:$AL$67)</f>
        <v>18.170673670707657</v>
      </c>
      <c r="AO67" s="43">
        <f ca="1">+'TUSD BE'!$T$67+'TUSD BE'!$AB$67+'TUSD BE'!$AD$67+'TUSD BE'!$AL$67</f>
        <v>420.22084168166344</v>
      </c>
      <c r="AP67" s="43">
        <f ca="1">+'TUSD BE'!$T$67+'TUSD BE'!$AB$67+'TUSD BE'!$AD$67+'TUSD BE'!$AL$67</f>
        <v>420.22084168166344</v>
      </c>
    </row>
    <row r="68" spans="1:42" ht="11.25" customHeight="1" x14ac:dyDescent="0.25">
      <c r="A68" s="116" t="s">
        <v>37</v>
      </c>
      <c r="B68" s="116" t="s">
        <v>33</v>
      </c>
      <c r="C68" s="116" t="s">
        <v>25</v>
      </c>
      <c r="D68" s="116" t="s">
        <v>25</v>
      </c>
      <c r="E68" s="116" t="s">
        <v>25</v>
      </c>
      <c r="F68" s="116" t="s">
        <v>25</v>
      </c>
      <c r="G68" s="36" t="s">
        <v>118</v>
      </c>
      <c r="H68" s="36" t="s">
        <v>117</v>
      </c>
      <c r="I68" s="36">
        <f>'MERCADO TUSD'!$U$65</f>
        <v>31.868999999999996</v>
      </c>
      <c r="J68" s="16"/>
      <c r="L68" s="33">
        <f>'TUSD BE'!$L$68*'TUSD BF'!$L$81</f>
        <v>0.41653754699744711</v>
      </c>
      <c r="M68" s="33">
        <f>'TUSD BE'!$M$68*'TUSD BF'!$M$81</f>
        <v>0</v>
      </c>
      <c r="N68" s="33">
        <f ca="1">'TUSD BE'!$N$68*'TUSD BF'!$N$81</f>
        <v>0</v>
      </c>
      <c r="O68" s="33">
        <f>'TUSD BE'!$O$68*'TUSD BF'!$O$81</f>
        <v>0</v>
      </c>
      <c r="P68" s="33">
        <f>'TUSD BE'!$P$68*'TUSD BF'!$P$81</f>
        <v>0</v>
      </c>
      <c r="Q68" s="33">
        <f>'TUSD BE'!$Q$68*'TUSD BF'!$Q$81</f>
        <v>11.271123335574337</v>
      </c>
      <c r="R68" s="33">
        <f>'TUSD BE'!$R$68*'TUSD BF'!$R$81</f>
        <v>2.8708931432949591</v>
      </c>
      <c r="S68" s="33">
        <f>'TUSD BE'!$R$68*'TUSD BF'!$S$81</f>
        <v>0</v>
      </c>
      <c r="T68" s="33">
        <f ca="1">SUM($L$68:$S$68)</f>
        <v>14.558554025866743</v>
      </c>
      <c r="U68" s="33">
        <f>'TUSD BE'!$U$68*'TUSD BF'!$U$81</f>
        <v>2.1521760259998302</v>
      </c>
      <c r="V68" s="33">
        <f>'TUSD BE'!$V$68*'TUSD BF'!$V$81</f>
        <v>3.1154135265588787E-2</v>
      </c>
      <c r="W68" s="33">
        <f>'TUSD BE'!$W$68*'TUSD BF'!$W$81</f>
        <v>0</v>
      </c>
      <c r="X68" s="33">
        <f>'TUSD BE'!$X$68*'TUSD BF'!$X$81</f>
        <v>0</v>
      </c>
      <c r="Y68" s="33">
        <f>'TUSD BE'!$Y$68*'TUSD BF'!$Y$81</f>
        <v>0</v>
      </c>
      <c r="Z68" s="33">
        <f>'TUSD BE'!$Z$68*'TUSD BF'!$Z$81</f>
        <v>0</v>
      </c>
      <c r="AA68" s="33">
        <f>'TUSD BE'!$AA$68*'TUSD BF'!$AA$81</f>
        <v>0</v>
      </c>
      <c r="AB68" s="33">
        <f>SUM($U$68:$AA$68)</f>
        <v>2.183330161265419</v>
      </c>
      <c r="AC68" s="33">
        <f>'TUSD BE'!$AC$68*'TUSD BF'!$AC$81</f>
        <v>0</v>
      </c>
      <c r="AD68" s="33">
        <f>SUM($AC$68:$AC$68)</f>
        <v>0</v>
      </c>
      <c r="AE68" s="33">
        <f ca="1">$AO$68*$AO$78</f>
        <v>0</v>
      </c>
      <c r="AF68" s="33">
        <f ca="1">$AP$68*$AP$78</f>
        <v>0</v>
      </c>
      <c r="AG68" s="33">
        <f ca="1">SUM($AE$68:$AF$68)</f>
        <v>0</v>
      </c>
      <c r="AH68" s="33">
        <f>'TUSD BE'!$AH$68*'TUSD BF'!$AH$81</f>
        <v>2.9110933776476937</v>
      </c>
      <c r="AI68" s="33">
        <f>'TUSD BE'!$AI$68*'TUSD BF'!$AI$81</f>
        <v>6.4638025244141287E-3</v>
      </c>
      <c r="AJ68" s="33">
        <f ca="1">'TUSD BE'!$AJ$68*'TUSD BF'!$AJ$81</f>
        <v>5.2404639122858691E-2</v>
      </c>
      <c r="AK68" s="33">
        <f ca="1">'TUSD BE'!$AK$68*'TUSD BF'!$AK$81</f>
        <v>0</v>
      </c>
      <c r="AL68" s="33">
        <f ca="1">SUM($AH$68:$AK$68)</f>
        <v>2.9699618192949666</v>
      </c>
      <c r="AM68" s="33">
        <f ca="1">SUMIF($L$4:$AL$4,"SUBTOTAL",$L$68:$AL$68)</f>
        <v>19.711846006427127</v>
      </c>
      <c r="AO68" s="43">
        <f ca="1">+'TUSD BE'!$T$68+'TUSD BE'!$AB$68+'TUSD BE'!$AD$68+'TUSD BE'!$AL$68</f>
        <v>1030.8273143286274</v>
      </c>
      <c r="AP68" s="43">
        <f ca="1">+'TUSD BE'!$T$68+'TUSD BE'!$AB$68+'TUSD BE'!$AD$68+'TUSD BE'!$AL$68</f>
        <v>1030.8273143286274</v>
      </c>
    </row>
    <row r="69" spans="1:42" ht="11.25" customHeight="1" x14ac:dyDescent="0.25">
      <c r="A69" s="116"/>
      <c r="B69" s="116"/>
      <c r="C69" s="116"/>
      <c r="D69" s="116"/>
      <c r="E69" s="116"/>
      <c r="F69" s="116"/>
      <c r="G69" s="36" t="s">
        <v>128</v>
      </c>
      <c r="H69" s="36" t="s">
        <v>117</v>
      </c>
      <c r="I69" s="36">
        <f>'MERCADO TUSD'!$U$66</f>
        <v>31.273999999999997</v>
      </c>
      <c r="J69" s="16"/>
      <c r="L69" s="33">
        <f>'TUSD BE'!$L$69*'TUSD BF'!$L$81</f>
        <v>0.41653754699744711</v>
      </c>
      <c r="M69" s="33">
        <f>'TUSD BE'!$M$69*'TUSD BF'!$M$81</f>
        <v>0</v>
      </c>
      <c r="N69" s="33">
        <f ca="1">'TUSD BE'!$N$69*'TUSD BF'!$N$81</f>
        <v>0</v>
      </c>
      <c r="O69" s="33">
        <f>'TUSD BE'!$O$69*'TUSD BF'!$O$81</f>
        <v>0</v>
      </c>
      <c r="P69" s="33">
        <f>'TUSD BE'!$P$69*'TUSD BF'!$P$81</f>
        <v>0</v>
      </c>
      <c r="Q69" s="33">
        <f>'TUSD BE'!$Q$69*'TUSD BF'!$Q$81</f>
        <v>11.271123335574337</v>
      </c>
      <c r="R69" s="33">
        <f>'TUSD BE'!$R$69*'TUSD BF'!$R$81</f>
        <v>2.8708931432949591</v>
      </c>
      <c r="S69" s="33">
        <f>'TUSD BE'!$R$69*'TUSD BF'!$S$81</f>
        <v>0</v>
      </c>
      <c r="T69" s="33">
        <f ca="1">SUM($L$69:$S$69)</f>
        <v>14.558554025866743</v>
      </c>
      <c r="U69" s="33">
        <f>'TUSD BE'!$U$69*'TUSD BF'!$U$81</f>
        <v>1.2913065989618007</v>
      </c>
      <c r="V69" s="33">
        <f>'TUSD BE'!$V$69*'TUSD BF'!$V$81</f>
        <v>1.8692481159353274E-2</v>
      </c>
      <c r="W69" s="33">
        <f>'TUSD BE'!$W$69*'TUSD BF'!$W$81</f>
        <v>0</v>
      </c>
      <c r="X69" s="33">
        <f>'TUSD BE'!$X$69*'TUSD BF'!$X$81</f>
        <v>0</v>
      </c>
      <c r="Y69" s="33">
        <f>'TUSD BE'!$Y$69*'TUSD BF'!$Y$81</f>
        <v>0</v>
      </c>
      <c r="Z69" s="33">
        <f>'TUSD BE'!$Z$69*'TUSD BF'!$Z$81</f>
        <v>0</v>
      </c>
      <c r="AA69" s="33">
        <f>'TUSD BE'!$AA$69*'TUSD BF'!$AA$81</f>
        <v>0</v>
      </c>
      <c r="AB69" s="33">
        <f>SUM($U$69:$AA$69)</f>
        <v>1.3099990801211538</v>
      </c>
      <c r="AC69" s="33">
        <f>'TUSD BE'!$AC$69*'TUSD BF'!$AC$81</f>
        <v>0</v>
      </c>
      <c r="AD69" s="33">
        <f>SUM($AC$69:$AC$69)</f>
        <v>0</v>
      </c>
      <c r="AE69" s="33">
        <f ca="1">$AO$69*$AO$78</f>
        <v>0</v>
      </c>
      <c r="AF69" s="33">
        <f ca="1">$AP$69*$AP$78</f>
        <v>0</v>
      </c>
      <c r="AG69" s="33">
        <f ca="1">SUM($AE$69:$AF$69)</f>
        <v>0</v>
      </c>
      <c r="AH69" s="33">
        <f>'TUSD BE'!$AH$69*'TUSD BF'!$AH$81</f>
        <v>2.9110933776476937</v>
      </c>
      <c r="AI69" s="33">
        <f>'TUSD BE'!$AI$69*'TUSD BF'!$AI$81</f>
        <v>6.4638025244141287E-3</v>
      </c>
      <c r="AJ69" s="33">
        <f ca="1">'TUSD BE'!$AJ$69*'TUSD BF'!$AJ$81</f>
        <v>5.2404639122858691E-2</v>
      </c>
      <c r="AK69" s="33">
        <f ca="1">'TUSD BE'!$AK$69*'TUSD BF'!$AK$81</f>
        <v>0</v>
      </c>
      <c r="AL69" s="33">
        <f ca="1">SUM($AH$69:$AK$69)</f>
        <v>2.9699618192949666</v>
      </c>
      <c r="AM69" s="33">
        <f ca="1">SUMIF($L$4:$AL$4,"SUBTOTAL",$L$69:$AL$69)</f>
        <v>18.838514925282862</v>
      </c>
      <c r="AO69" s="43">
        <f ca="1">+'TUSD BE'!$T$69+'TUSD BE'!$AB$69+'TUSD BE'!$AD$69+'TUSD BE'!$AL$69</f>
        <v>684.81696352083611</v>
      </c>
      <c r="AP69" s="43">
        <f ca="1">+'TUSD BE'!$T$69+'TUSD BE'!$AB$69+'TUSD BE'!$AD$69+'TUSD BE'!$AL$69</f>
        <v>684.81696352083611</v>
      </c>
    </row>
    <row r="70" spans="1:42" ht="11.25" customHeight="1" x14ac:dyDescent="0.25">
      <c r="A70" s="116"/>
      <c r="B70" s="116"/>
      <c r="C70" s="116"/>
      <c r="D70" s="116"/>
      <c r="E70" s="116"/>
      <c r="F70" s="116"/>
      <c r="G70" s="36" t="s">
        <v>119</v>
      </c>
      <c r="H70" s="36" t="s">
        <v>117</v>
      </c>
      <c r="I70" s="36">
        <f>'MERCADO TUSD'!$U$67</f>
        <v>381.83600000000001</v>
      </c>
      <c r="J70" s="16"/>
      <c r="L70" s="33">
        <f>'TUSD BE'!$L$70*'TUSD BF'!$L$81</f>
        <v>0.41653754699744711</v>
      </c>
      <c r="M70" s="33">
        <f>'TUSD BE'!$M$70*'TUSD BF'!$M$81</f>
        <v>0</v>
      </c>
      <c r="N70" s="33">
        <f ca="1">'TUSD BE'!$N$70*'TUSD BF'!$N$81</f>
        <v>0</v>
      </c>
      <c r="O70" s="33">
        <f>'TUSD BE'!$O$70*'TUSD BF'!$O$81</f>
        <v>0</v>
      </c>
      <c r="P70" s="33">
        <f>'TUSD BE'!$P$70*'TUSD BF'!$P$81</f>
        <v>0</v>
      </c>
      <c r="Q70" s="33">
        <f>'TUSD BE'!$Q$70*'TUSD BF'!$Q$81</f>
        <v>11.271123335574337</v>
      </c>
      <c r="R70" s="33">
        <f>'TUSD BE'!$R$70*'TUSD BF'!$R$81</f>
        <v>2.8708931432949591</v>
      </c>
      <c r="S70" s="33">
        <f>'TUSD BE'!$R$70*'TUSD BF'!$S$81</f>
        <v>0</v>
      </c>
      <c r="T70" s="33">
        <f ca="1">SUM($L$70:$S$70)</f>
        <v>14.558554025866743</v>
      </c>
      <c r="U70" s="33">
        <f>'TUSD BE'!$U$70*'TUSD BF'!$U$81</f>
        <v>0.4304371719237709</v>
      </c>
      <c r="V70" s="33">
        <f>'TUSD BE'!$V$70*'TUSD BF'!$V$81</f>
        <v>6.230827053117758E-3</v>
      </c>
      <c r="W70" s="33">
        <f>'TUSD BE'!$W$70*'TUSD BF'!$W$81</f>
        <v>0</v>
      </c>
      <c r="X70" s="33">
        <f>'TUSD BE'!$X$70*'TUSD BF'!$X$81</f>
        <v>0</v>
      </c>
      <c r="Y70" s="33">
        <f>'TUSD BE'!$Y$70*'TUSD BF'!$Y$81</f>
        <v>0</v>
      </c>
      <c r="Z70" s="33">
        <f>'TUSD BE'!$Z$70*'TUSD BF'!$Z$81</f>
        <v>0</v>
      </c>
      <c r="AA70" s="33">
        <f>'TUSD BE'!$AA$70*'TUSD BF'!$AA$81</f>
        <v>0</v>
      </c>
      <c r="AB70" s="33">
        <f>SUM($U$70:$AA$70)</f>
        <v>0.43666799897688868</v>
      </c>
      <c r="AC70" s="33">
        <f>'TUSD BE'!$AC$70*'TUSD BF'!$AC$81</f>
        <v>0</v>
      </c>
      <c r="AD70" s="33">
        <f>SUM($AC$70:$AC$70)</f>
        <v>0</v>
      </c>
      <c r="AE70" s="33">
        <f ca="1">$AO$70*$AO$78</f>
        <v>0</v>
      </c>
      <c r="AF70" s="33">
        <f ca="1">$AP$70*$AP$78</f>
        <v>0</v>
      </c>
      <c r="AG70" s="33">
        <f ca="1">SUM($AE$70:$AF$70)</f>
        <v>0</v>
      </c>
      <c r="AH70" s="33">
        <f>'TUSD BE'!$AH$70*'TUSD BF'!$AH$81</f>
        <v>2.9110933776476937</v>
      </c>
      <c r="AI70" s="33">
        <f>'TUSD BE'!$AI$70*'TUSD BF'!$AI$81</f>
        <v>6.4638025244141287E-3</v>
      </c>
      <c r="AJ70" s="33">
        <f ca="1">'TUSD BE'!$AJ$70*'TUSD BF'!$AJ$81</f>
        <v>5.2404639122858691E-2</v>
      </c>
      <c r="AK70" s="33">
        <f ca="1">'TUSD BE'!$AK$70*'TUSD BF'!$AK$81</f>
        <v>0</v>
      </c>
      <c r="AL70" s="33">
        <f ca="1">SUM($AH$70:$AK$70)</f>
        <v>2.9699618192949666</v>
      </c>
      <c r="AM70" s="33">
        <f ca="1">SUMIF($L$4:$AL$4,"SUBTOTAL",$L$70:$AL$70)</f>
        <v>17.965183844138597</v>
      </c>
      <c r="AO70" s="43">
        <f ca="1">+'TUSD BE'!$T$70+'TUSD BE'!$AB$70+'TUSD BE'!$AD$70+'TUSD BE'!$AL$70</f>
        <v>338.80661271304461</v>
      </c>
      <c r="AP70" s="43">
        <f ca="1">+'TUSD BE'!$T$70+'TUSD BE'!$AB$70+'TUSD BE'!$AD$70+'TUSD BE'!$AL$70</f>
        <v>338.80661271304461</v>
      </c>
    </row>
    <row r="71" spans="1:42" ht="11.25" customHeight="1" x14ac:dyDescent="0.25">
      <c r="A71" s="116"/>
      <c r="B71" s="41" t="s">
        <v>23</v>
      </c>
      <c r="C71" s="41" t="s">
        <v>25</v>
      </c>
      <c r="D71" s="41" t="s">
        <v>25</v>
      </c>
      <c r="E71" s="41" t="s">
        <v>25</v>
      </c>
      <c r="F71" s="41" t="s">
        <v>25</v>
      </c>
      <c r="G71" s="36" t="s">
        <v>123</v>
      </c>
      <c r="H71" s="36" t="s">
        <v>117</v>
      </c>
      <c r="I71" s="36">
        <f>'MERCADO TUSD'!$U$68</f>
        <v>226492.11000000002</v>
      </c>
      <c r="J71" s="16"/>
      <c r="L71" s="33">
        <f>'TUSD BE'!$L$71*'TUSD BF'!$L$81</f>
        <v>0.41653754699744711</v>
      </c>
      <c r="M71" s="33">
        <f>'TUSD BE'!$M$71*'TUSD BF'!$M$81</f>
        <v>0</v>
      </c>
      <c r="N71" s="33">
        <f ca="1">'TUSD BE'!$N$71*'TUSD BF'!$N$81</f>
        <v>0</v>
      </c>
      <c r="O71" s="33">
        <f>'TUSD BE'!$O$71*'TUSD BF'!$O$81</f>
        <v>0</v>
      </c>
      <c r="P71" s="33">
        <f>'TUSD BE'!$P$71*'TUSD BF'!$P$81</f>
        <v>0</v>
      </c>
      <c r="Q71" s="33">
        <f>'TUSD BE'!$Q$71*'TUSD BF'!$Q$81</f>
        <v>11.271123335574337</v>
      </c>
      <c r="R71" s="33">
        <f>'TUSD BE'!$R$71*'TUSD BF'!$R$81</f>
        <v>2.8708931432949591</v>
      </c>
      <c r="S71" s="33">
        <f>'TUSD BE'!$R$71*'TUSD BF'!$S$81</f>
        <v>0</v>
      </c>
      <c r="T71" s="33">
        <f ca="1">SUM($L$71:$S$71)</f>
        <v>14.558554025866743</v>
      </c>
      <c r="U71" s="33">
        <f>'TUSD BE'!$U$71*'TUSD BF'!$U$81</f>
        <v>0.63299497339210209</v>
      </c>
      <c r="V71" s="33">
        <f>'TUSD BE'!$V$71*'TUSD BF'!$V$81</f>
        <v>9.1628521538468649E-3</v>
      </c>
      <c r="W71" s="33">
        <f>'TUSD BE'!$W$71*'TUSD BF'!$W$81</f>
        <v>0</v>
      </c>
      <c r="X71" s="33">
        <f>'TUSD BE'!$X$71*'TUSD BF'!$X$81</f>
        <v>0</v>
      </c>
      <c r="Y71" s="33">
        <f>'TUSD BE'!$Y$71*'TUSD BF'!$Y$81</f>
        <v>0</v>
      </c>
      <c r="Z71" s="33">
        <f>'TUSD BE'!$Z$71*'TUSD BF'!$Z$81</f>
        <v>0</v>
      </c>
      <c r="AA71" s="33">
        <f>'TUSD BE'!$AA$71*'TUSD BF'!$AA$81</f>
        <v>0</v>
      </c>
      <c r="AB71" s="33">
        <f>SUM($U$71:$AA$71)</f>
        <v>0.64215782554594891</v>
      </c>
      <c r="AC71" s="33">
        <f>'TUSD BE'!$AC$71*'TUSD BF'!$AC$81</f>
        <v>0</v>
      </c>
      <c r="AD71" s="33">
        <f>SUM($AC$71:$AC$71)</f>
        <v>0</v>
      </c>
      <c r="AE71" s="33">
        <f ca="1">$AO$71*$AO$78</f>
        <v>0</v>
      </c>
      <c r="AF71" s="33">
        <f ca="1">$AP$71*$AP$78</f>
        <v>0</v>
      </c>
      <c r="AG71" s="33">
        <f ca="1">SUM($AE$71:$AF$71)</f>
        <v>0</v>
      </c>
      <c r="AH71" s="33">
        <f>'TUSD BE'!$AH$71*'TUSD BF'!$AH$81</f>
        <v>2.9110933776476937</v>
      </c>
      <c r="AI71" s="33">
        <f>'TUSD BE'!$AI$71*'TUSD BF'!$AI$81</f>
        <v>6.4638025244141287E-3</v>
      </c>
      <c r="AJ71" s="33">
        <f ca="1">'TUSD BE'!$AJ$71*'TUSD BF'!$AJ$81</f>
        <v>5.2404639122858691E-2</v>
      </c>
      <c r="AK71" s="33">
        <f ca="1">'TUSD BE'!$AK$71*'TUSD BF'!$AK$81</f>
        <v>0</v>
      </c>
      <c r="AL71" s="33">
        <f ca="1">SUM($AH$71:$AK$71)</f>
        <v>2.9699618192949666</v>
      </c>
      <c r="AM71" s="33">
        <f ca="1">SUMIF($L$4:$AL$4,"SUBTOTAL",$L$71:$AL$71)</f>
        <v>18.170673670707657</v>
      </c>
      <c r="AO71" s="43">
        <f ca="1">+'TUSD BE'!$T$71+'TUSD BE'!$AB$71+'TUSD BE'!$AD$71+'TUSD BE'!$AL$71</f>
        <v>420.22084168166344</v>
      </c>
      <c r="AP71" s="43">
        <f ca="1">+'TUSD BE'!$T$71+'TUSD BE'!$AB$71+'TUSD BE'!$AD$71+'TUSD BE'!$AL$71</f>
        <v>420.22084168166344</v>
      </c>
    </row>
    <row r="72" spans="1:42" ht="11.25" customHeight="1" x14ac:dyDescent="0.25">
      <c r="A72" s="116"/>
      <c r="B72" s="41" t="s">
        <v>131</v>
      </c>
      <c r="C72" s="41" t="s">
        <v>25</v>
      </c>
      <c r="D72" s="41" t="s">
        <v>25</v>
      </c>
      <c r="E72" s="41" t="s">
        <v>25</v>
      </c>
      <c r="F72" s="41" t="s">
        <v>25</v>
      </c>
      <c r="G72" s="36" t="s">
        <v>123</v>
      </c>
      <c r="H72" s="36" t="s">
        <v>117</v>
      </c>
      <c r="I72" s="36">
        <f>'MERCADO TUSD'!$U$69</f>
        <v>0</v>
      </c>
      <c r="J72" s="16"/>
      <c r="L72" s="33">
        <f>'TUSD BE'!$L$72*'TUSD BF'!$L$81</f>
        <v>0.41653754699744711</v>
      </c>
      <c r="M72" s="33">
        <f>'TUSD BE'!$M$72*'TUSD BF'!$M$81</f>
        <v>0</v>
      </c>
      <c r="N72" s="33">
        <f ca="1">'TUSD BE'!$N$72*'TUSD BF'!$N$81</f>
        <v>0</v>
      </c>
      <c r="O72" s="33">
        <f>'TUSD BE'!$O$72*'TUSD BF'!$O$81</f>
        <v>0</v>
      </c>
      <c r="P72" s="33">
        <f>'TUSD BE'!$P$72*'TUSD BF'!$P$81</f>
        <v>0</v>
      </c>
      <c r="Q72" s="33">
        <f>'TUSD BE'!$Q$72*'TUSD BF'!$Q$81</f>
        <v>11.271123335574337</v>
      </c>
      <c r="R72" s="33">
        <f>'TUSD BE'!$R$72*'TUSD BF'!$R$81</f>
        <v>2.8708931432949591</v>
      </c>
      <c r="S72" s="33">
        <f>'TUSD BE'!$R$72*'TUSD BF'!$S$81</f>
        <v>0</v>
      </c>
      <c r="T72" s="33">
        <f ca="1">SUM($L$72:$S$72)</f>
        <v>14.558554025866743</v>
      </c>
      <c r="U72" s="33">
        <f>'TUSD BE'!$U$72*'TUSD BF'!$U$81</f>
        <v>0.63299497339210209</v>
      </c>
      <c r="V72" s="33">
        <f>'TUSD BE'!$V$72*'TUSD BF'!$V$81</f>
        <v>9.1628521538468649E-3</v>
      </c>
      <c r="W72" s="33">
        <f>'TUSD BE'!$W$72*'TUSD BF'!$W$81</f>
        <v>0</v>
      </c>
      <c r="X72" s="33">
        <f>'TUSD BE'!$X$72*'TUSD BF'!$X$81</f>
        <v>0</v>
      </c>
      <c r="Y72" s="33">
        <f>'TUSD BE'!$Y$72*'TUSD BF'!$Y$81</f>
        <v>0</v>
      </c>
      <c r="Z72" s="33">
        <f>'TUSD BE'!$Z$72*'TUSD BF'!$Z$81</f>
        <v>0</v>
      </c>
      <c r="AA72" s="33">
        <f>'TUSD BE'!$AA$72*'TUSD BF'!$AA$81</f>
        <v>0</v>
      </c>
      <c r="AB72" s="33">
        <f>SUM($U$72:$AA$72)</f>
        <v>0.64215782554594891</v>
      </c>
      <c r="AC72" s="33">
        <f>'TUSD BE'!$AC$72*'TUSD BF'!$AC$81</f>
        <v>0</v>
      </c>
      <c r="AD72" s="33">
        <f>SUM($AC$72:$AC$72)</f>
        <v>0</v>
      </c>
      <c r="AE72" s="33">
        <f ca="1">$AO$72*$AO$78</f>
        <v>0</v>
      </c>
      <c r="AF72" s="33">
        <f ca="1">$AP$72*$AP$78</f>
        <v>0</v>
      </c>
      <c r="AG72" s="33">
        <f ca="1">SUM($AE$72:$AF$72)</f>
        <v>0</v>
      </c>
      <c r="AH72" s="33">
        <f>'TUSD BE'!$AH$72*'TUSD BF'!$AH$81</f>
        <v>2.9110933776476937</v>
      </c>
      <c r="AI72" s="33">
        <f>'TUSD BE'!$AI$72*'TUSD BF'!$AI$81</f>
        <v>6.4638025244141287E-3</v>
      </c>
      <c r="AJ72" s="33">
        <f ca="1">'TUSD BE'!$AJ$72*'TUSD BF'!$AJ$81</f>
        <v>5.2404639122858691E-2</v>
      </c>
      <c r="AK72" s="33">
        <f ca="1">'TUSD BE'!$AK$72*'TUSD BF'!$AK$81</f>
        <v>0</v>
      </c>
      <c r="AL72" s="33">
        <f ca="1">SUM($AH$72:$AK$72)</f>
        <v>2.9699618192949666</v>
      </c>
      <c r="AM72" s="33">
        <f ca="1">SUMIF($L$4:$AL$4,"SUBTOTAL",$L$72:$AL$72)</f>
        <v>18.170673670707657</v>
      </c>
      <c r="AO72" s="43">
        <f ca="1">+'TUSD BE'!$T$72+'TUSD BE'!$AB$72+'TUSD BE'!$AD$72+'TUSD BE'!$AL$72</f>
        <v>420.22084168166344</v>
      </c>
      <c r="AP72" s="43">
        <f ca="1">+'TUSD BE'!$T$72+'TUSD BE'!$AB$72+'TUSD BE'!$AD$72+'TUSD BE'!$AL$72</f>
        <v>420.22084168166344</v>
      </c>
    </row>
    <row r="73" spans="1:42" ht="11.25" customHeight="1" x14ac:dyDescent="0.25">
      <c r="A73" s="116" t="s">
        <v>47</v>
      </c>
      <c r="B73" s="116" t="s">
        <v>23</v>
      </c>
      <c r="C73" s="116" t="s">
        <v>48</v>
      </c>
      <c r="D73" s="41" t="s">
        <v>49</v>
      </c>
      <c r="E73" s="41" t="s">
        <v>25</v>
      </c>
      <c r="F73" s="41" t="s">
        <v>25</v>
      </c>
      <c r="G73" s="36" t="s">
        <v>123</v>
      </c>
      <c r="H73" s="36" t="s">
        <v>117</v>
      </c>
      <c r="I73" s="36">
        <f>'MERCADO TUSD'!$U$70</f>
        <v>81306.822999999989</v>
      </c>
      <c r="J73" s="16"/>
      <c r="L73" s="33">
        <f>'TUSD BE'!$L$73*'TUSD BF'!$L$81</f>
        <v>0.22909565084859593</v>
      </c>
      <c r="M73" s="33">
        <f>'TUSD BE'!$M$73*'TUSD BF'!$M$81</f>
        <v>0</v>
      </c>
      <c r="N73" s="33">
        <f ca="1">'TUSD BE'!$N$73*'TUSD BF'!$N$81</f>
        <v>0</v>
      </c>
      <c r="O73" s="33">
        <f>'TUSD BE'!$O$73*'TUSD BF'!$O$81</f>
        <v>0</v>
      </c>
      <c r="P73" s="33">
        <f>'TUSD BE'!$P$73*'TUSD BF'!$P$81</f>
        <v>0</v>
      </c>
      <c r="Q73" s="33">
        <f>'TUSD BE'!$Q$73*'TUSD BF'!$Q$81</f>
        <v>6.1991178345658868</v>
      </c>
      <c r="R73" s="33">
        <f>'TUSD BE'!$R$73*'TUSD BF'!$R$81</f>
        <v>1.5789912288122276</v>
      </c>
      <c r="S73" s="33">
        <f>'TUSD BE'!$R$73*'TUSD BF'!$S$81</f>
        <v>0</v>
      </c>
      <c r="T73" s="33">
        <f ca="1">SUM($L$73:$S$73)</f>
        <v>8.0072047142267095</v>
      </c>
      <c r="U73" s="33">
        <f>'TUSD BE'!$U$73*'TUSD BF'!$U$81</f>
        <v>0.34814723536565617</v>
      </c>
      <c r="V73" s="33">
        <f>'TUSD BE'!$V$73*'TUSD BF'!$V$81</f>
        <v>5.0395686846157767E-3</v>
      </c>
      <c r="W73" s="33">
        <f>'TUSD BE'!$W$73*'TUSD BF'!$W$81</f>
        <v>0</v>
      </c>
      <c r="X73" s="33">
        <f>'TUSD BE'!$X$73*'TUSD BF'!$X$81</f>
        <v>0</v>
      </c>
      <c r="Y73" s="33">
        <f>'TUSD BE'!$Y$73*'TUSD BF'!$Y$81</f>
        <v>0</v>
      </c>
      <c r="Z73" s="33">
        <f>'TUSD BE'!$Z$73*'TUSD BF'!$Z$81</f>
        <v>0</v>
      </c>
      <c r="AA73" s="33">
        <f>'TUSD BE'!$AA$73*'TUSD BF'!$AA$81</f>
        <v>0</v>
      </c>
      <c r="AB73" s="33">
        <f>SUM($U$73:$AA$73)</f>
        <v>0.35318680405027197</v>
      </c>
      <c r="AC73" s="33">
        <f>'TUSD BE'!$AC$73*'TUSD BF'!$AC$81</f>
        <v>0</v>
      </c>
      <c r="AD73" s="33">
        <f>SUM($AC$73:$AC$73)</f>
        <v>0</v>
      </c>
      <c r="AE73" s="33">
        <f ca="1">$AO$73*$AO$78</f>
        <v>0</v>
      </c>
      <c r="AF73" s="33">
        <f ca="1">$AP$73*$AP$78</f>
        <v>0</v>
      </c>
      <c r="AG73" s="33">
        <f ca="1">SUM($AE$73:$AF$73)</f>
        <v>0</v>
      </c>
      <c r="AH73" s="33">
        <f>'TUSD BE'!$AH$73*'TUSD BF'!$AH$81</f>
        <v>1.6011013577062319</v>
      </c>
      <c r="AI73" s="33">
        <f>'TUSD BE'!$AI$73*'TUSD BF'!$AI$81</f>
        <v>3.5550913884277711E-3</v>
      </c>
      <c r="AJ73" s="33">
        <f ca="1">'TUSD BE'!$AJ$73*'TUSD BF'!$AJ$81</f>
        <v>2.8822551517572282E-2</v>
      </c>
      <c r="AK73" s="33">
        <f ca="1">'TUSD BE'!$AK$73*'TUSD BF'!$AK$81</f>
        <v>0</v>
      </c>
      <c r="AL73" s="33">
        <f ca="1">SUM($AH$73:$AK$73)</f>
        <v>1.6334790006122317</v>
      </c>
      <c r="AM73" s="33">
        <f ca="1">SUMIF($L$4:$AL$4,"SUBTOTAL",$L$73:$AL$73)</f>
        <v>9.9938705188892136</v>
      </c>
      <c r="AO73" s="43">
        <f ca="1">+'TUSD BE'!$T$73+'TUSD BE'!$AB$73+'TUSD BE'!$AD$73+'TUSD BE'!$AL$73</f>
        <v>231.12146292491488</v>
      </c>
      <c r="AP73" s="43">
        <f ca="1">+'TUSD BE'!$T$73+'TUSD BE'!$AB$73+'TUSD BE'!$AD$73+'TUSD BE'!$AL$73</f>
        <v>231.12146292491488</v>
      </c>
    </row>
    <row r="74" spans="1:42" ht="11.25" customHeight="1" x14ac:dyDescent="0.25">
      <c r="A74" s="116"/>
      <c r="B74" s="116"/>
      <c r="C74" s="116"/>
      <c r="D74" s="36" t="s">
        <v>50</v>
      </c>
      <c r="E74" s="36" t="s">
        <v>25</v>
      </c>
      <c r="F74" s="36" t="s">
        <v>25</v>
      </c>
      <c r="G74" s="36" t="s">
        <v>123</v>
      </c>
      <c r="H74" s="36" t="s">
        <v>117</v>
      </c>
      <c r="I74" s="36">
        <f>'MERCADO TUSD'!$U$71</f>
        <v>1579.0179999999998</v>
      </c>
      <c r="J74" s="16"/>
      <c r="L74" s="33">
        <f>'TUSD BE'!$L$74*'TUSD BF'!$L$81</f>
        <v>0.24992252819846827</v>
      </c>
      <c r="M74" s="33">
        <f>'TUSD BE'!$M$74*'TUSD BF'!$M$81</f>
        <v>0</v>
      </c>
      <c r="N74" s="33">
        <f ca="1">'TUSD BE'!$N$74*'TUSD BF'!$N$81</f>
        <v>0</v>
      </c>
      <c r="O74" s="33">
        <f>'TUSD BE'!$O$74*'TUSD BF'!$O$81</f>
        <v>0</v>
      </c>
      <c r="P74" s="33">
        <f>'TUSD BE'!$P$74*'TUSD BF'!$P$81</f>
        <v>0</v>
      </c>
      <c r="Q74" s="33">
        <f>'TUSD BE'!$Q$74*'TUSD BF'!$Q$81</f>
        <v>6.7626740013446023</v>
      </c>
      <c r="R74" s="33">
        <f>'TUSD BE'!$R$74*'TUSD BF'!$R$81</f>
        <v>1.7225358859769755</v>
      </c>
      <c r="S74" s="33">
        <f>'TUSD BE'!$R$74*'TUSD BF'!$S$81</f>
        <v>0</v>
      </c>
      <c r="T74" s="33">
        <f ca="1">SUM($L$74:$S$74)</f>
        <v>8.7351324155200469</v>
      </c>
      <c r="U74" s="33">
        <f>'TUSD BE'!$U$74*'TUSD BF'!$U$81</f>
        <v>0.37979698403526124</v>
      </c>
      <c r="V74" s="33">
        <f>'TUSD BE'!$V$74*'TUSD BF'!$V$81</f>
        <v>5.4977112923081193E-3</v>
      </c>
      <c r="W74" s="33">
        <f>'TUSD BE'!$W$74*'TUSD BF'!$W$81</f>
        <v>0</v>
      </c>
      <c r="X74" s="33">
        <f>'TUSD BE'!$X$74*'TUSD BF'!$X$81</f>
        <v>0</v>
      </c>
      <c r="Y74" s="33">
        <f>'TUSD BE'!$Y$74*'TUSD BF'!$Y$81</f>
        <v>0</v>
      </c>
      <c r="Z74" s="33">
        <f>'TUSD BE'!$Z$74*'TUSD BF'!$Z$81</f>
        <v>0</v>
      </c>
      <c r="AA74" s="33">
        <f>'TUSD BE'!$AA$74*'TUSD BF'!$AA$81</f>
        <v>0</v>
      </c>
      <c r="AB74" s="33">
        <f>SUM($U$74:$AA$74)</f>
        <v>0.38529469532756938</v>
      </c>
      <c r="AC74" s="33">
        <f>'TUSD BE'!$AC$74*'TUSD BF'!$AC$81</f>
        <v>0</v>
      </c>
      <c r="AD74" s="33">
        <f>SUM($AC$74:$AC$74)</f>
        <v>0</v>
      </c>
      <c r="AE74" s="33">
        <f ca="1">$AO$74*$AO$78</f>
        <v>0</v>
      </c>
      <c r="AF74" s="33">
        <f ca="1">$AP$74*$AP$78</f>
        <v>0</v>
      </c>
      <c r="AG74" s="33">
        <f ca="1">SUM($AE$74:$AF$74)</f>
        <v>0</v>
      </c>
      <c r="AH74" s="33">
        <f>'TUSD BE'!$AH$74*'TUSD BF'!$AH$81</f>
        <v>1.746656026588616</v>
      </c>
      <c r="AI74" s="33">
        <f>'TUSD BE'!$AI$74*'TUSD BF'!$AI$81</f>
        <v>3.878281514648477E-3</v>
      </c>
      <c r="AJ74" s="33">
        <f ca="1">'TUSD BE'!$AJ$74*'TUSD BF'!$AJ$81</f>
        <v>3.1442783473715215E-2</v>
      </c>
      <c r="AK74" s="33">
        <f ca="1">'TUSD BE'!$AK$74*'TUSD BF'!$AK$81</f>
        <v>0</v>
      </c>
      <c r="AL74" s="33">
        <f ca="1">SUM($AH$74:$AK$74)</f>
        <v>1.7819770915769797</v>
      </c>
      <c r="AM74" s="33">
        <f ca="1">SUMIF($L$4:$AL$4,"SUBTOTAL",$L$74:$AL$74)</f>
        <v>10.902404202424597</v>
      </c>
      <c r="AO74" s="43">
        <f ca="1">+'TUSD BE'!$T$74+'TUSD BE'!$AB$74+'TUSD BE'!$AD$74+'TUSD BE'!$AL$74</f>
        <v>252.13250500899807</v>
      </c>
      <c r="AP74" s="43">
        <f ca="1">+'TUSD BE'!$T$74+'TUSD BE'!$AB$74+'TUSD BE'!$AD$74+'TUSD BE'!$AL$74</f>
        <v>252.13250500899807</v>
      </c>
    </row>
    <row r="76" spans="1:42" ht="11.25" customHeight="1" x14ac:dyDescent="0.25">
      <c r="K76" s="40" t="s">
        <v>1049</v>
      </c>
      <c r="L76" s="33">
        <f>SUMPRODUCT($I$5:$I74,$L$5:$L74)</f>
        <v>523607.77271502384</v>
      </c>
      <c r="M76" s="33">
        <f>SUMPRODUCT($I$5:$I74,$M$5:$M74)</f>
        <v>0</v>
      </c>
      <c r="N76" s="33">
        <f ca="1">SUMPRODUCT($I$5:$I74,$N$5:$N74)</f>
        <v>0</v>
      </c>
      <c r="O76" s="33">
        <f>SUMPRODUCT($I$5:$I74,$O$5:$O74)</f>
        <v>0</v>
      </c>
      <c r="P76" s="33">
        <f>SUMPRODUCT($I$5:$I74,$P$5:$P74)</f>
        <v>0</v>
      </c>
      <c r="Q76" s="33">
        <f>SUMPRODUCT($I$5:$I74,$Q$5:$Q74)</f>
        <v>14168345.274700001</v>
      </c>
      <c r="R76" s="33">
        <f>SUMPRODUCT($I$5:$I74,$R$5:$R74)</f>
        <v>3923758.0708999997</v>
      </c>
      <c r="S76" s="33">
        <f>SUMPRODUCT($I$5:$I74,$S$5:$S74)</f>
        <v>0</v>
      </c>
      <c r="T76" s="33">
        <f ca="1">SUMPRODUCT($I$5:$I74,$T$5:$T74)</f>
        <v>18615711.118315022</v>
      </c>
      <c r="U76" s="33">
        <f>SUMPRODUCT($I$5:$I74,$U$5:$U74)</f>
        <v>1002313.1581036572</v>
      </c>
      <c r="V76" s="33">
        <f>SUMPRODUCT($I$5:$I74,$V$5:$V74)</f>
        <v>238855.57609935154</v>
      </c>
      <c r="W76" s="33">
        <f>SUMPRODUCT($I$5:$I74,$W$5:$W74)</f>
        <v>0</v>
      </c>
      <c r="X76" s="33">
        <f>SUMPRODUCT($I$5:$I74,$X$5:$X74)</f>
        <v>0</v>
      </c>
      <c r="Y76" s="33">
        <f>SUMPRODUCT($I$5:$I74,$Y$5:$Y74)</f>
        <v>0</v>
      </c>
      <c r="Z76" s="33">
        <f>SUMPRODUCT($I$5:$I74,$Z$5:$Z74)</f>
        <v>0</v>
      </c>
      <c r="AA76" s="33">
        <f>SUMPRODUCT($I$5:$I74,$AA$5:$AA74)</f>
        <v>29287.506560456131</v>
      </c>
      <c r="AB76" s="33">
        <f>SUMPRODUCT($I$5:$I74,$AB$5:$AB74)</f>
        <v>1270456.2407634647</v>
      </c>
      <c r="AC76" s="33">
        <f>SUMPRODUCT($I$5:$I74,$AC$5:$AC74)</f>
        <v>0</v>
      </c>
      <c r="AD76" s="33">
        <f>SUMPRODUCT($I$5:$I74,$AD$5:$AD74)</f>
        <v>0</v>
      </c>
      <c r="AE76" s="33">
        <f ca="1">SUMPRODUCT($I$5:$I74,$AE$5:$AE74)</f>
        <v>0</v>
      </c>
      <c r="AF76" s="33">
        <f ca="1">SUMPRODUCT($I$5:$I74,$AF$5:$AF74)</f>
        <v>0</v>
      </c>
      <c r="AG76" s="33">
        <f ca="1">SUMPRODUCT($I$5:$I74,$AG$5:$AG74)</f>
        <v>0</v>
      </c>
      <c r="AH76" s="33">
        <f>SUMPRODUCT($I$5:$I74,$AH$5:$AH74)</f>
        <v>3608574.2876171437</v>
      </c>
      <c r="AI76" s="33">
        <f>SUMPRODUCT($I$5:$I74,$AI$5:$AI74)</f>
        <v>17447.879488508785</v>
      </c>
      <c r="AJ76" s="33">
        <f ca="1">SUMPRODUCT($I$5:$I74,$AJ$5:$AJ74)</f>
        <v>74112.926241741108</v>
      </c>
      <c r="AK76" s="33">
        <f ca="1">SUMPRODUCT($I$5:$I74,$AK$5:$AK74)</f>
        <v>0</v>
      </c>
      <c r="AL76" s="33">
        <f ca="1">SUMPRODUCT($I$5:$I74,$AL$5:$AL74)</f>
        <v>3700135.093347393</v>
      </c>
      <c r="AM76" s="33">
        <f ca="1">SUMPRODUCT($I$5:$I74,$AM$5:$AM74)</f>
        <v>23586302.452425871</v>
      </c>
      <c r="AO76" s="36">
        <f ca="1">SUMPRODUCT($I$5:$I74,$AO$5:$AO74)</f>
        <v>604007967.1936512</v>
      </c>
      <c r="AP76" s="36">
        <f ca="1">SUMPRODUCT($I$5:$I74,$AP$5:$AP74)</f>
        <v>606191952.09542942</v>
      </c>
    </row>
    <row r="77" spans="1:42" ht="11.25" customHeight="1" x14ac:dyDescent="0.25">
      <c r="K77" s="40" t="s">
        <v>992</v>
      </c>
      <c r="L77" s="33">
        <f>'TR TUSD'!$L$79</f>
        <v>7798736.2537669456</v>
      </c>
      <c r="M77" s="33">
        <f>'TR TUSD'!$M$79</f>
        <v>1389993.181679629</v>
      </c>
      <c r="N77" s="33">
        <f>'TR TUSD'!$N$79</f>
        <v>4932534.9922433579</v>
      </c>
      <c r="O77" s="33">
        <f>'TR TUSD'!$O$79</f>
        <v>0</v>
      </c>
      <c r="P77" s="33">
        <f>'TR TUSD'!$P$79</f>
        <v>0</v>
      </c>
      <c r="Q77" s="33">
        <f>'TR TUSD'!$Q$79</f>
        <v>117442763.25632352</v>
      </c>
      <c r="R77" s="33">
        <f>'TR TUSD'!$R$79</f>
        <v>20367331.420126051</v>
      </c>
      <c r="S77" s="33">
        <f>'TR TUSD'!$S$79</f>
        <v>0</v>
      </c>
      <c r="T77" s="33">
        <f>'TR TUSD'!$T$79</f>
        <v>151931359.10413951</v>
      </c>
      <c r="U77" s="33">
        <f>'TR TUSD'!$U$79</f>
        <v>18011682</v>
      </c>
      <c r="V77" s="33">
        <f>'TR TUSD'!$V$79</f>
        <v>4234910.4774000002</v>
      </c>
      <c r="W77" s="33">
        <f>'TR TUSD'!$W$79</f>
        <v>0</v>
      </c>
      <c r="X77" s="33">
        <f>'TR TUSD'!$X$79</f>
        <v>0</v>
      </c>
      <c r="Y77" s="33">
        <f>'TR TUSD'!$Y$79</f>
        <v>77840815.248234794</v>
      </c>
      <c r="Z77" s="33">
        <f>'TR TUSD'!$Z$79</f>
        <v>0</v>
      </c>
      <c r="AA77" s="33">
        <f>'TR TUSD'!$AA$79</f>
        <v>583651.36259999999</v>
      </c>
      <c r="AB77" s="33">
        <f>'TR TUSD'!$AB$79</f>
        <v>100671059.0882348</v>
      </c>
      <c r="AC77" s="33">
        <f>'TR TUSD'!$AC$79</f>
        <v>291198452.27662063</v>
      </c>
      <c r="AD77" s="33">
        <f>'TR TUSD'!$AD$79</f>
        <v>291198452.27662063</v>
      </c>
      <c r="AE77" s="33">
        <f>'TR TUSD'!$AE$79</f>
        <v>0</v>
      </c>
      <c r="AF77" s="33">
        <f>'TR TUSD'!$AF$79</f>
        <v>0</v>
      </c>
      <c r="AG77" s="33">
        <f>'TR TUSD'!$AG$79</f>
        <v>0</v>
      </c>
      <c r="AH77" s="33">
        <f>'TR TUSD'!$AH$79</f>
        <v>54327164.24373433</v>
      </c>
      <c r="AI77" s="33">
        <f>'TR TUSD'!$AI$79</f>
        <v>262678.2045002667</v>
      </c>
      <c r="AJ77" s="33">
        <f>'TR TUSD'!$AJ$79</f>
        <v>1115771.7135920627</v>
      </c>
      <c r="AK77" s="33">
        <f>'TR TUSD'!$AK$79</f>
        <v>6685467.4646079298</v>
      </c>
      <c r="AL77" s="33">
        <f>'TR TUSD'!$AL$79</f>
        <v>62391081.626434587</v>
      </c>
      <c r="AM77" s="33">
        <f>CUSTOS!$D$29</f>
        <v>606191952.09542942</v>
      </c>
      <c r="AO77" s="36">
        <f>$AE$79</f>
        <v>0</v>
      </c>
      <c r="AP77" s="36">
        <f>$AF$79</f>
        <v>0</v>
      </c>
    </row>
    <row r="78" spans="1:42" ht="11.25" customHeight="1" x14ac:dyDescent="0.25">
      <c r="K78" s="40" t="s">
        <v>993</v>
      </c>
      <c r="L78" s="33">
        <f>CUSTOS!$E$2</f>
        <v>-5390757.8840866573</v>
      </c>
      <c r="M78" s="33">
        <f>CUSTOS!$E$3</f>
        <v>29343.007811108968</v>
      </c>
      <c r="N78" s="33">
        <f>CUSTOS!$E$4</f>
        <v>-2.8011271029698053</v>
      </c>
      <c r="O78" s="33">
        <f>CUSTOS!$E$5</f>
        <v>0</v>
      </c>
      <c r="P78" s="33">
        <f>CUSTOS!$E$6</f>
        <v>0</v>
      </c>
      <c r="Q78" s="33">
        <f>CUSTOS!$E$7</f>
        <v>2820715.4778494239</v>
      </c>
      <c r="R78" s="33">
        <f>CUSTOS!$E$8</f>
        <v>441880.26996036107</v>
      </c>
      <c r="S78" s="33">
        <f>CUSTOS!$E$9</f>
        <v>0</v>
      </c>
      <c r="T78" s="33">
        <f>CUSTOS!$E$10</f>
        <v>-2098821.9295928669</v>
      </c>
      <c r="U78" s="33">
        <f>CUSTOS!$E$11</f>
        <v>4697441.1676554838</v>
      </c>
      <c r="V78" s="33">
        <f>CUSTOS!$E$12</f>
        <v>-38079.856863334833</v>
      </c>
      <c r="W78" s="33">
        <f>CUSTOS!$E$13</f>
        <v>0</v>
      </c>
      <c r="X78" s="33">
        <f>CUSTOS!$E$14</f>
        <v>0</v>
      </c>
      <c r="Y78" s="33">
        <f>CUSTOS!$E$15</f>
        <v>1899093.1074773462</v>
      </c>
      <c r="Z78" s="33">
        <f>CUSTOS!$E$16</f>
        <v>0</v>
      </c>
      <c r="AA78" s="33">
        <f>CUSTOS!$E$17</f>
        <v>-5686.8063288253252</v>
      </c>
      <c r="AB78" s="33">
        <f>CUSTOS!$E$18</f>
        <v>6552767.6119406698</v>
      </c>
      <c r="AC78" s="33">
        <f>CUSTOS!$E$19</f>
        <v>-119.03127275816443</v>
      </c>
      <c r="AD78" s="33">
        <f>CUSTOS!$E$20</f>
        <v>-119.03127275816443</v>
      </c>
      <c r="AE78" s="33">
        <f>CUSTOS!$E$21</f>
        <v>0</v>
      </c>
      <c r="AF78" s="33">
        <f>CUSTOS!$E$22</f>
        <v>0</v>
      </c>
      <c r="AG78" s="33">
        <f>CUSTOS!$E$23</f>
        <v>0</v>
      </c>
      <c r="AH78" s="33">
        <f>CUSTOS!$E$24</f>
        <v>-5033299.8837107383</v>
      </c>
      <c r="AI78" s="33">
        <f>CUSTOS!$E$25</f>
        <v>-24336.594677257111</v>
      </c>
      <c r="AJ78" s="33">
        <f>CUSTOS!$E$26</f>
        <v>-103373.9514007188</v>
      </c>
      <c r="AK78" s="33">
        <f>CUSTOS!$E$27</f>
        <v>313395.54827799276</v>
      </c>
      <c r="AL78" s="33">
        <f>CUSTOS!$E$28</f>
        <v>-4847614.8815107215</v>
      </c>
      <c r="AM78" s="33">
        <f>CUSTOS!$E$29</f>
        <v>-393788.23043567687</v>
      </c>
      <c r="AO78" s="36">
        <f ca="1">IF(AO76&lt;&gt;0,AO77/AO76,0)</f>
        <v>0</v>
      </c>
      <c r="AP78" s="36">
        <f ca="1">IF(AP76&lt;&gt;0,AP77/AP76,0)</f>
        <v>0</v>
      </c>
    </row>
    <row r="79" spans="1:42" ht="11.25" customHeight="1" x14ac:dyDescent="0.25">
      <c r="K79" s="40" t="s">
        <v>994</v>
      </c>
      <c r="L79" s="33">
        <f>CUSTOS!$F$2</f>
        <v>523607.77271502389</v>
      </c>
      <c r="M79" s="33">
        <f>CUSTOS!$F$3</f>
        <v>0</v>
      </c>
      <c r="N79" s="33">
        <f>CUSTOS!$F$4</f>
        <v>0</v>
      </c>
      <c r="O79" s="33">
        <f>CUSTOS!$F$5</f>
        <v>0</v>
      </c>
      <c r="P79" s="33">
        <f>CUSTOS!$F$6</f>
        <v>0</v>
      </c>
      <c r="Q79" s="33">
        <f>CUSTOS!$F$7</f>
        <v>14168345.274700001</v>
      </c>
      <c r="R79" s="33">
        <f>CUSTOS!$F$8</f>
        <v>3923758.0709000002</v>
      </c>
      <c r="S79" s="33">
        <f>CUSTOS!$F$9</f>
        <v>0</v>
      </c>
      <c r="T79" s="33">
        <f>CUSTOS!$F$10</f>
        <v>18615711.118315026</v>
      </c>
      <c r="U79" s="33">
        <f>CUSTOS!$F$11</f>
        <v>1002313.1581036572</v>
      </c>
      <c r="V79" s="33">
        <f>CUSTOS!$F$12</f>
        <v>238855.57609935154</v>
      </c>
      <c r="W79" s="33">
        <f>CUSTOS!$F$13</f>
        <v>0</v>
      </c>
      <c r="X79" s="33">
        <f>CUSTOS!$F$14</f>
        <v>0</v>
      </c>
      <c r="Y79" s="33">
        <f>CUSTOS!$F$15</f>
        <v>0</v>
      </c>
      <c r="Z79" s="33">
        <f>CUSTOS!$F$16</f>
        <v>0</v>
      </c>
      <c r="AA79" s="33">
        <f>CUSTOS!$F$17</f>
        <v>29287.506560456131</v>
      </c>
      <c r="AB79" s="33">
        <f>CUSTOS!$F$18</f>
        <v>1270456.2407634649</v>
      </c>
      <c r="AC79" s="33">
        <f>CUSTOS!$F$19</f>
        <v>0</v>
      </c>
      <c r="AD79" s="33">
        <f>CUSTOS!$F$20</f>
        <v>0</v>
      </c>
      <c r="AE79" s="33">
        <f>CUSTOS!$F$21</f>
        <v>0</v>
      </c>
      <c r="AF79" s="33">
        <f>CUSTOS!$F$22</f>
        <v>0</v>
      </c>
      <c r="AG79" s="33">
        <f>CUSTOS!$F$23</f>
        <v>0</v>
      </c>
      <c r="AH79" s="33">
        <f>CUSTOS!$F$24</f>
        <v>3608574.2876171432</v>
      </c>
      <c r="AI79" s="33">
        <f>CUSTOS!$F$25</f>
        <v>17447.879488508785</v>
      </c>
      <c r="AJ79" s="33">
        <f>CUSTOS!$F$26</f>
        <v>74112.926241741094</v>
      </c>
      <c r="AK79" s="33">
        <f>CUSTOS!$F$27</f>
        <v>0</v>
      </c>
      <c r="AL79" s="33">
        <f>CUSTOS!$F$28</f>
        <v>3700135.093347393</v>
      </c>
      <c r="AM79" s="33">
        <f>CUSTOS!$F$29</f>
        <v>23586302.452425882</v>
      </c>
    </row>
    <row r="80" spans="1:42" ht="11.25" customHeight="1" x14ac:dyDescent="0.25">
      <c r="K80" s="40" t="s">
        <v>1046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/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/>
      <c r="AC80" s="33">
        <v>0</v>
      </c>
      <c r="AD80" s="33"/>
      <c r="AE80" s="33">
        <v>0</v>
      </c>
      <c r="AF80" s="33">
        <v>0</v>
      </c>
      <c r="AG80" s="33"/>
      <c r="AH80" s="33">
        <v>0</v>
      </c>
      <c r="AI80" s="33">
        <v>0</v>
      </c>
      <c r="AJ80" s="33">
        <v>0</v>
      </c>
      <c r="AK80" s="33">
        <v>0</v>
      </c>
      <c r="AL80" s="33"/>
      <c r="AM80" s="33"/>
    </row>
  </sheetData>
  <mergeCells count="94">
    <mergeCell ref="E68:E70"/>
    <mergeCell ref="F68:F70"/>
    <mergeCell ref="A73:A74"/>
    <mergeCell ref="B73:B74"/>
    <mergeCell ref="C73:C74"/>
    <mergeCell ref="D68:D70"/>
    <mergeCell ref="B65:B67"/>
    <mergeCell ref="C65:C67"/>
    <mergeCell ref="A68:A72"/>
    <mergeCell ref="B68:B70"/>
    <mergeCell ref="C68:C70"/>
    <mergeCell ref="A53:A67"/>
    <mergeCell ref="B53:B55"/>
    <mergeCell ref="C53:C55"/>
    <mergeCell ref="B61:B63"/>
    <mergeCell ref="C61:C63"/>
    <mergeCell ref="B57:B59"/>
    <mergeCell ref="C57:C59"/>
    <mergeCell ref="D61:D63"/>
    <mergeCell ref="E61:E63"/>
    <mergeCell ref="F61:F63"/>
    <mergeCell ref="D53:D55"/>
    <mergeCell ref="E53:E55"/>
    <mergeCell ref="F53:F55"/>
    <mergeCell ref="D57:D59"/>
    <mergeCell ref="E57:E59"/>
    <mergeCell ref="F57:F59"/>
    <mergeCell ref="F40:F42"/>
    <mergeCell ref="B43:B47"/>
    <mergeCell ref="C43:C47"/>
    <mergeCell ref="B48:B52"/>
    <mergeCell ref="C48:C52"/>
    <mergeCell ref="A40:A52"/>
    <mergeCell ref="B40:B42"/>
    <mergeCell ref="C40:C42"/>
    <mergeCell ref="D40:D42"/>
    <mergeCell ref="E40:E42"/>
    <mergeCell ref="F33:F35"/>
    <mergeCell ref="E36:E37"/>
    <mergeCell ref="F36:F37"/>
    <mergeCell ref="A38:A39"/>
    <mergeCell ref="B38:B39"/>
    <mergeCell ref="C38:C39"/>
    <mergeCell ref="D38:D39"/>
    <mergeCell ref="F20:F22"/>
    <mergeCell ref="A25:A37"/>
    <mergeCell ref="B25:B28"/>
    <mergeCell ref="C25:C28"/>
    <mergeCell ref="D25:D28"/>
    <mergeCell ref="E25:E27"/>
    <mergeCell ref="F25:F27"/>
    <mergeCell ref="B29:B31"/>
    <mergeCell ref="C29:C31"/>
    <mergeCell ref="D29:D31"/>
    <mergeCell ref="E29:E31"/>
    <mergeCell ref="F29:F31"/>
    <mergeCell ref="B33:B37"/>
    <mergeCell ref="C33:C37"/>
    <mergeCell ref="D33:D37"/>
    <mergeCell ref="E33:E35"/>
    <mergeCell ref="A20:A24"/>
    <mergeCell ref="B20:B23"/>
    <mergeCell ref="C20:C23"/>
    <mergeCell ref="D20:D23"/>
    <mergeCell ref="E20:E22"/>
    <mergeCell ref="J1:J4"/>
    <mergeCell ref="L1:AM1"/>
    <mergeCell ref="A1:A4"/>
    <mergeCell ref="C9:C19"/>
    <mergeCell ref="D9:D19"/>
    <mergeCell ref="E9:E19"/>
    <mergeCell ref="F5:F7"/>
    <mergeCell ref="B9:B19"/>
    <mergeCell ref="G1:G4"/>
    <mergeCell ref="H1:H4"/>
    <mergeCell ref="I1:I4"/>
    <mergeCell ref="A5:A19"/>
    <mergeCell ref="B5:B8"/>
    <mergeCell ref="C5:C8"/>
    <mergeCell ref="D5:D8"/>
    <mergeCell ref="E5:E7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76">
    <cfRule type="cellIs" dxfId="1494" priority="55" operator="notEqual">
      <formula>$L$79</formula>
    </cfRule>
    <cfRule type="cellIs" dxfId="1493" priority="56" operator="equal">
      <formula>$L$79</formula>
    </cfRule>
  </conditionalFormatting>
  <conditionalFormatting sqref="M76">
    <cfRule type="cellIs" dxfId="1492" priority="53" operator="notEqual">
      <formula>$M$79</formula>
    </cfRule>
    <cfRule type="cellIs" dxfId="1491" priority="54" operator="equal">
      <formula>$M$79</formula>
    </cfRule>
  </conditionalFormatting>
  <conditionalFormatting sqref="N76">
    <cfRule type="cellIs" dxfId="1490" priority="51" operator="notEqual">
      <formula>$N$79</formula>
    </cfRule>
    <cfRule type="cellIs" dxfId="1489" priority="52" operator="equal">
      <formula>$N$79</formula>
    </cfRule>
  </conditionalFormatting>
  <conditionalFormatting sqref="O76">
    <cfRule type="cellIs" dxfId="1488" priority="49" operator="notEqual">
      <formula>$O$79</formula>
    </cfRule>
    <cfRule type="cellIs" dxfId="1487" priority="50" operator="equal">
      <formula>$O$79</formula>
    </cfRule>
  </conditionalFormatting>
  <conditionalFormatting sqref="P76">
    <cfRule type="cellIs" dxfId="1486" priority="47" operator="notEqual">
      <formula>$P$79</formula>
    </cfRule>
    <cfRule type="cellIs" dxfId="1485" priority="48" operator="equal">
      <formula>$P$79</formula>
    </cfRule>
  </conditionalFormatting>
  <conditionalFormatting sqref="Q76">
    <cfRule type="cellIs" dxfId="1484" priority="45" operator="notEqual">
      <formula>$Q$79</formula>
    </cfRule>
    <cfRule type="cellIs" dxfId="1483" priority="46" operator="equal">
      <formula>$Q$79</formula>
    </cfRule>
  </conditionalFormatting>
  <conditionalFormatting sqref="R76">
    <cfRule type="cellIs" dxfId="1482" priority="43" operator="notEqual">
      <formula>$R$79</formula>
    </cfRule>
    <cfRule type="cellIs" dxfId="1481" priority="44" operator="equal">
      <formula>$R$79</formula>
    </cfRule>
  </conditionalFormatting>
  <conditionalFormatting sqref="S76">
    <cfRule type="cellIs" dxfId="1480" priority="41" operator="notEqual">
      <formula>$S$79</formula>
    </cfRule>
    <cfRule type="cellIs" dxfId="1479" priority="42" operator="equal">
      <formula>$S$79</formula>
    </cfRule>
  </conditionalFormatting>
  <conditionalFormatting sqref="T76">
    <cfRule type="cellIs" dxfId="1478" priority="39" operator="notEqual">
      <formula>$T$79</formula>
    </cfRule>
    <cfRule type="cellIs" dxfId="1477" priority="40" operator="equal">
      <formula>$T$79</formula>
    </cfRule>
  </conditionalFormatting>
  <conditionalFormatting sqref="U76">
    <cfRule type="cellIs" dxfId="1476" priority="37" operator="notEqual">
      <formula>$U$79</formula>
    </cfRule>
    <cfRule type="cellIs" dxfId="1475" priority="38" operator="equal">
      <formula>$U$79</formula>
    </cfRule>
  </conditionalFormatting>
  <conditionalFormatting sqref="V76">
    <cfRule type="cellIs" dxfId="1474" priority="35" operator="notEqual">
      <formula>$V$79</formula>
    </cfRule>
    <cfRule type="cellIs" dxfId="1473" priority="36" operator="equal">
      <formula>$V$79</formula>
    </cfRule>
  </conditionalFormatting>
  <conditionalFormatting sqref="W76">
    <cfRule type="cellIs" dxfId="1472" priority="33" operator="notEqual">
      <formula>$W$79</formula>
    </cfRule>
    <cfRule type="cellIs" dxfId="1471" priority="34" operator="equal">
      <formula>$W$79</formula>
    </cfRule>
  </conditionalFormatting>
  <conditionalFormatting sqref="X76">
    <cfRule type="cellIs" dxfId="1470" priority="31" operator="notEqual">
      <formula>$X$79</formula>
    </cfRule>
    <cfRule type="cellIs" dxfId="1469" priority="32" operator="equal">
      <formula>$X$79</formula>
    </cfRule>
  </conditionalFormatting>
  <conditionalFormatting sqref="Y76">
    <cfRule type="cellIs" dxfId="1468" priority="29" operator="notEqual">
      <formula>$Y$79</formula>
    </cfRule>
    <cfRule type="cellIs" dxfId="1467" priority="30" operator="equal">
      <formula>$Y$79</formula>
    </cfRule>
  </conditionalFormatting>
  <conditionalFormatting sqref="Z76">
    <cfRule type="cellIs" dxfId="1466" priority="27" operator="notEqual">
      <formula>$Z$79</formula>
    </cfRule>
    <cfRule type="cellIs" dxfId="1465" priority="28" operator="equal">
      <formula>$Z$79</formula>
    </cfRule>
  </conditionalFormatting>
  <conditionalFormatting sqref="AA76">
    <cfRule type="cellIs" dxfId="1464" priority="25" operator="notEqual">
      <formula>$AA$79</formula>
    </cfRule>
    <cfRule type="cellIs" dxfId="1463" priority="26" operator="equal">
      <formula>$AA$79</formula>
    </cfRule>
  </conditionalFormatting>
  <conditionalFormatting sqref="AB76">
    <cfRule type="cellIs" dxfId="1462" priority="23" operator="notEqual">
      <formula>$AB$79</formula>
    </cfRule>
    <cfRule type="cellIs" dxfId="1461" priority="24" operator="equal">
      <formula>$AB$79</formula>
    </cfRule>
  </conditionalFormatting>
  <conditionalFormatting sqref="AC76">
    <cfRule type="cellIs" dxfId="1460" priority="21" operator="notEqual">
      <formula>$AC$79</formula>
    </cfRule>
    <cfRule type="cellIs" dxfId="1459" priority="22" operator="equal">
      <formula>$AC$79</formula>
    </cfRule>
  </conditionalFormatting>
  <conditionalFormatting sqref="AD76">
    <cfRule type="cellIs" dxfId="1458" priority="19" operator="notEqual">
      <formula>$AD$79</formula>
    </cfRule>
    <cfRule type="cellIs" dxfId="1457" priority="20" operator="equal">
      <formula>$AD$79</formula>
    </cfRule>
  </conditionalFormatting>
  <conditionalFormatting sqref="AE76">
    <cfRule type="cellIs" dxfId="1456" priority="17" operator="notEqual">
      <formula>$AE$79</formula>
    </cfRule>
    <cfRule type="cellIs" dxfId="1455" priority="18" operator="equal">
      <formula>$AE$79</formula>
    </cfRule>
  </conditionalFormatting>
  <conditionalFormatting sqref="AF76">
    <cfRule type="cellIs" dxfId="1454" priority="16" operator="equal">
      <formula>$AF$79</formula>
    </cfRule>
  </conditionalFormatting>
  <conditionalFormatting sqref="AF76">
    <cfRule type="cellIs" dxfId="1453" priority="15" operator="notEqual">
      <formula>$AF$79</formula>
    </cfRule>
  </conditionalFormatting>
  <conditionalFormatting sqref="AG76">
    <cfRule type="cellIs" dxfId="1452" priority="14" operator="equal">
      <formula>$AG$79</formula>
    </cfRule>
  </conditionalFormatting>
  <conditionalFormatting sqref="AG76">
    <cfRule type="cellIs" dxfId="1451" priority="13" operator="notEqual">
      <formula>$AG$79</formula>
    </cfRule>
  </conditionalFormatting>
  <conditionalFormatting sqref="AH76">
    <cfRule type="cellIs" dxfId="1450" priority="12" operator="equal">
      <formula>$AH$79</formula>
    </cfRule>
  </conditionalFormatting>
  <conditionalFormatting sqref="AH76">
    <cfRule type="cellIs" dxfId="1449" priority="11" operator="notEqual">
      <formula>$AH$79</formula>
    </cfRule>
  </conditionalFormatting>
  <conditionalFormatting sqref="AI76">
    <cfRule type="cellIs" dxfId="1448" priority="10" operator="equal">
      <formula>$AI$79</formula>
    </cfRule>
  </conditionalFormatting>
  <conditionalFormatting sqref="AI76">
    <cfRule type="cellIs" dxfId="1447" priority="9" operator="notEqual">
      <formula>$AI$79</formula>
    </cfRule>
  </conditionalFormatting>
  <conditionalFormatting sqref="AJ76">
    <cfRule type="cellIs" dxfId="1446" priority="8" operator="equal">
      <formula>$AJ$79</formula>
    </cfRule>
  </conditionalFormatting>
  <conditionalFormatting sqref="AJ76">
    <cfRule type="cellIs" dxfId="1445" priority="7" operator="notEqual">
      <formula>$AJ$79</formula>
    </cfRule>
  </conditionalFormatting>
  <conditionalFormatting sqref="AK76">
    <cfRule type="cellIs" dxfId="1444" priority="6" operator="equal">
      <formula>$AK$79</formula>
    </cfRule>
  </conditionalFormatting>
  <conditionalFormatting sqref="AK76">
    <cfRule type="cellIs" dxfId="1443" priority="5" operator="notEqual">
      <formula>$AK$79</formula>
    </cfRule>
  </conditionalFormatting>
  <conditionalFormatting sqref="AL76">
    <cfRule type="cellIs" dxfId="1442" priority="4" operator="equal">
      <formula>$AL$79</formula>
    </cfRule>
  </conditionalFormatting>
  <conditionalFormatting sqref="AL76">
    <cfRule type="cellIs" dxfId="1441" priority="3" operator="notEqual">
      <formula>$AL$79</formula>
    </cfRule>
  </conditionalFormatting>
  <conditionalFormatting sqref="AM76">
    <cfRule type="cellIs" dxfId="1440" priority="2" operator="equal">
      <formula>$AM$79</formula>
    </cfRule>
  </conditionalFormatting>
  <conditionalFormatting sqref="AM76">
    <cfRule type="cellIs" dxfId="1439" priority="1" operator="notEqual">
      <formula>$AM$79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3F0A8-A141-470B-90B5-3CD0DB83BE41}">
  <dimension ref="A1:AB53"/>
  <sheetViews>
    <sheetView showGridLines="0" topLeftCell="A34" workbookViewId="0">
      <selection activeCell="K47" sqref="K47:AB5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10.8554687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6" t="s">
        <v>107</v>
      </c>
      <c r="B1" s="126" t="s">
        <v>108</v>
      </c>
      <c r="C1" s="126" t="s">
        <v>109</v>
      </c>
      <c r="D1" s="126" t="s">
        <v>110</v>
      </c>
      <c r="E1" s="126" t="s">
        <v>111</v>
      </c>
      <c r="F1" s="126" t="s">
        <v>15</v>
      </c>
      <c r="G1" s="126" t="s">
        <v>113</v>
      </c>
      <c r="H1" s="126" t="s">
        <v>114</v>
      </c>
      <c r="I1" s="126" t="s">
        <v>1040</v>
      </c>
      <c r="J1" s="114"/>
      <c r="L1" s="124" t="s">
        <v>1055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</row>
    <row r="2" spans="1:28" ht="11.25" customHeight="1" x14ac:dyDescent="0.25">
      <c r="A2" s="126"/>
      <c r="B2" s="126"/>
      <c r="C2" s="126"/>
      <c r="D2" s="126"/>
      <c r="E2" s="126"/>
      <c r="F2" s="126"/>
      <c r="G2" s="126"/>
      <c r="H2" s="126"/>
      <c r="I2" s="126"/>
      <c r="J2" s="114"/>
      <c r="L2" s="124" t="s">
        <v>979</v>
      </c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</row>
    <row r="3" spans="1:28" ht="11.25" customHeight="1" x14ac:dyDescent="0.25">
      <c r="A3" s="126"/>
      <c r="B3" s="126"/>
      <c r="C3" s="126"/>
      <c r="D3" s="126"/>
      <c r="E3" s="126"/>
      <c r="F3" s="126"/>
      <c r="G3" s="126"/>
      <c r="H3" s="126"/>
      <c r="I3" s="126"/>
      <c r="J3" s="114"/>
      <c r="L3" s="124" t="s">
        <v>952</v>
      </c>
      <c r="M3" s="124"/>
      <c r="N3" s="124"/>
      <c r="O3" s="124"/>
      <c r="P3" s="124"/>
      <c r="Q3" s="124"/>
      <c r="R3" s="124" t="s">
        <v>982</v>
      </c>
      <c r="S3" s="124"/>
      <c r="T3" s="124" t="s">
        <v>961</v>
      </c>
      <c r="U3" s="124"/>
      <c r="V3" s="124"/>
      <c r="W3" s="124"/>
      <c r="X3" s="124" t="s">
        <v>971</v>
      </c>
      <c r="Y3" s="124"/>
      <c r="Z3" s="124" t="s">
        <v>974</v>
      </c>
      <c r="AA3" s="124"/>
      <c r="AB3" s="124" t="s">
        <v>960</v>
      </c>
    </row>
    <row r="4" spans="1:28" ht="11.25" customHeight="1" x14ac:dyDescent="0.25">
      <c r="A4" s="126"/>
      <c r="B4" s="126"/>
      <c r="C4" s="126"/>
      <c r="D4" s="126"/>
      <c r="E4" s="126"/>
      <c r="F4" s="126"/>
      <c r="G4" s="126"/>
      <c r="H4" s="126"/>
      <c r="I4" s="126"/>
      <c r="J4" s="114"/>
      <c r="L4" s="47" t="s">
        <v>954</v>
      </c>
      <c r="M4" s="47" t="s">
        <v>980</v>
      </c>
      <c r="N4" s="47" t="s">
        <v>981</v>
      </c>
      <c r="O4" s="47" t="s">
        <v>1039</v>
      </c>
      <c r="P4" s="47" t="s">
        <v>1613</v>
      </c>
      <c r="Q4" s="47" t="s">
        <v>960</v>
      </c>
      <c r="R4" s="47" t="s">
        <v>983</v>
      </c>
      <c r="S4" s="47" t="s">
        <v>960</v>
      </c>
      <c r="T4" s="47" t="s">
        <v>984</v>
      </c>
      <c r="U4" s="47" t="s">
        <v>985</v>
      </c>
      <c r="V4" s="47" t="s">
        <v>986</v>
      </c>
      <c r="W4" s="47" t="s">
        <v>960</v>
      </c>
      <c r="X4" s="47" t="s">
        <v>972</v>
      </c>
      <c r="Y4" s="47" t="s">
        <v>960</v>
      </c>
      <c r="Z4" s="47" t="s">
        <v>987</v>
      </c>
      <c r="AA4" s="47" t="s">
        <v>960</v>
      </c>
      <c r="AB4" s="125"/>
    </row>
    <row r="5" spans="1:28" ht="11.25" customHeight="1" x14ac:dyDescent="0.25">
      <c r="A5" s="127" t="s">
        <v>59</v>
      </c>
      <c r="B5" s="127" t="s">
        <v>116</v>
      </c>
      <c r="C5" s="127" t="s">
        <v>25</v>
      </c>
      <c r="D5" s="127" t="s">
        <v>25</v>
      </c>
      <c r="E5" s="127" t="s">
        <v>25</v>
      </c>
      <c r="F5" s="127" t="s">
        <v>25</v>
      </c>
      <c r="G5" s="45" t="s">
        <v>118</v>
      </c>
      <c r="H5" s="45" t="s">
        <v>117</v>
      </c>
      <c r="I5" s="45">
        <f>'MERCADO TE'!$U$2</f>
        <v>0</v>
      </c>
      <c r="J5" s="16"/>
      <c r="L5" s="43">
        <v>1</v>
      </c>
      <c r="M5" s="43">
        <v>1</v>
      </c>
      <c r="N5" s="43">
        <v>1</v>
      </c>
      <c r="O5" s="43">
        <v>1</v>
      </c>
      <c r="P5" s="43">
        <v>1</v>
      </c>
      <c r="Q5" s="43"/>
      <c r="R5" s="43">
        <v>1.72</v>
      </c>
      <c r="S5" s="43"/>
      <c r="T5" s="43">
        <v>1</v>
      </c>
      <c r="U5" s="43">
        <v>1</v>
      </c>
      <c r="V5" s="43">
        <v>1</v>
      </c>
      <c r="W5" s="43"/>
      <c r="X5" s="43"/>
      <c r="Y5" s="43"/>
      <c r="Z5" s="43">
        <v>1</v>
      </c>
      <c r="AA5" s="43"/>
      <c r="AB5" s="43"/>
    </row>
    <row r="6" spans="1:28" ht="11.25" customHeight="1" x14ac:dyDescent="0.25">
      <c r="A6" s="127"/>
      <c r="B6" s="127"/>
      <c r="C6" s="127"/>
      <c r="D6" s="127"/>
      <c r="E6" s="127"/>
      <c r="F6" s="127"/>
      <c r="G6" s="45" t="s">
        <v>119</v>
      </c>
      <c r="H6" s="45" t="s">
        <v>117</v>
      </c>
      <c r="I6" s="45">
        <f>'MERCADO TE'!$U$3</f>
        <v>0</v>
      </c>
      <c r="J6" s="16"/>
      <c r="L6" s="43">
        <v>1</v>
      </c>
      <c r="M6" s="43">
        <v>1</v>
      </c>
      <c r="N6" s="43">
        <v>1</v>
      </c>
      <c r="O6" s="43">
        <v>1</v>
      </c>
      <c r="P6" s="43">
        <v>1</v>
      </c>
      <c r="Q6" s="43"/>
      <c r="R6" s="43">
        <v>1</v>
      </c>
      <c r="S6" s="43"/>
      <c r="T6" s="43">
        <v>1</v>
      </c>
      <c r="U6" s="43">
        <v>1</v>
      </c>
      <c r="V6" s="43">
        <v>1</v>
      </c>
      <c r="W6" s="43"/>
      <c r="X6" s="43"/>
      <c r="Y6" s="43"/>
      <c r="Z6" s="43">
        <v>1</v>
      </c>
      <c r="AA6" s="43"/>
      <c r="AB6" s="43"/>
    </row>
    <row r="7" spans="1:28" ht="11.25" customHeight="1" x14ac:dyDescent="0.25">
      <c r="A7" s="127" t="s">
        <v>39</v>
      </c>
      <c r="B7" s="127" t="s">
        <v>116</v>
      </c>
      <c r="C7" s="127" t="s">
        <v>25</v>
      </c>
      <c r="D7" s="127" t="s">
        <v>25</v>
      </c>
      <c r="E7" s="127" t="s">
        <v>25</v>
      </c>
      <c r="F7" s="127" t="s">
        <v>25</v>
      </c>
      <c r="G7" s="45" t="s">
        <v>118</v>
      </c>
      <c r="H7" s="45" t="s">
        <v>117</v>
      </c>
      <c r="I7" s="45">
        <f>'MERCADO TE'!$U$4</f>
        <v>174.774</v>
      </c>
      <c r="J7" s="16"/>
      <c r="L7" s="43">
        <v>1</v>
      </c>
      <c r="M7" s="43">
        <v>1</v>
      </c>
      <c r="N7" s="43">
        <v>1</v>
      </c>
      <c r="O7" s="43">
        <v>1</v>
      </c>
      <c r="P7" s="43">
        <v>1</v>
      </c>
      <c r="Q7" s="43"/>
      <c r="R7" s="43">
        <v>1.72</v>
      </c>
      <c r="S7" s="43"/>
      <c r="T7" s="43">
        <v>1</v>
      </c>
      <c r="U7" s="43">
        <v>1</v>
      </c>
      <c r="V7" s="43">
        <v>1</v>
      </c>
      <c r="W7" s="43"/>
      <c r="X7" s="43"/>
      <c r="Y7" s="43"/>
      <c r="Z7" s="43">
        <v>1</v>
      </c>
      <c r="AA7" s="43"/>
      <c r="AB7" s="43"/>
    </row>
    <row r="8" spans="1:28" ht="11.25" customHeight="1" x14ac:dyDescent="0.25">
      <c r="A8" s="127"/>
      <c r="B8" s="127"/>
      <c r="C8" s="127"/>
      <c r="D8" s="127"/>
      <c r="E8" s="127"/>
      <c r="F8" s="127"/>
      <c r="G8" s="45" t="s">
        <v>119</v>
      </c>
      <c r="H8" s="45" t="s">
        <v>117</v>
      </c>
      <c r="I8" s="45">
        <f>'MERCADO TE'!$U$5</f>
        <v>1762.346</v>
      </c>
      <c r="J8" s="16"/>
      <c r="L8" s="43">
        <v>1</v>
      </c>
      <c r="M8" s="43">
        <v>1</v>
      </c>
      <c r="N8" s="43">
        <v>1</v>
      </c>
      <c r="O8" s="43">
        <v>1</v>
      </c>
      <c r="P8" s="43">
        <v>1</v>
      </c>
      <c r="Q8" s="43"/>
      <c r="R8" s="43">
        <v>1</v>
      </c>
      <c r="S8" s="43"/>
      <c r="T8" s="43">
        <v>1</v>
      </c>
      <c r="U8" s="43">
        <v>1</v>
      </c>
      <c r="V8" s="43">
        <v>1</v>
      </c>
      <c r="W8" s="43"/>
      <c r="X8" s="43"/>
      <c r="Y8" s="43"/>
      <c r="Z8" s="43">
        <v>1</v>
      </c>
      <c r="AA8" s="43"/>
      <c r="AB8" s="43"/>
    </row>
    <row r="9" spans="1:28" ht="11.25" customHeight="1" x14ac:dyDescent="0.25">
      <c r="A9" s="127" t="s">
        <v>41</v>
      </c>
      <c r="B9" s="127" t="s">
        <v>116</v>
      </c>
      <c r="C9" s="127" t="s">
        <v>25</v>
      </c>
      <c r="D9" s="127" t="s">
        <v>25</v>
      </c>
      <c r="E9" s="127" t="s">
        <v>25</v>
      </c>
      <c r="F9" s="127" t="s">
        <v>25</v>
      </c>
      <c r="G9" s="45" t="s">
        <v>118</v>
      </c>
      <c r="H9" s="45" t="s">
        <v>117</v>
      </c>
      <c r="I9" s="45">
        <f>'MERCADO TE'!$U$6</f>
        <v>7308.0869999999995</v>
      </c>
      <c r="J9" s="16"/>
      <c r="L9" s="43">
        <v>1</v>
      </c>
      <c r="M9" s="43">
        <v>1</v>
      </c>
      <c r="N9" s="43">
        <v>1</v>
      </c>
      <c r="O9" s="43">
        <v>1</v>
      </c>
      <c r="P9" s="43">
        <v>1</v>
      </c>
      <c r="Q9" s="43"/>
      <c r="R9" s="43">
        <v>1.72</v>
      </c>
      <c r="S9" s="43"/>
      <c r="T9" s="43">
        <v>1</v>
      </c>
      <c r="U9" s="43">
        <v>1</v>
      </c>
      <c r="V9" s="43">
        <v>1</v>
      </c>
      <c r="W9" s="43"/>
      <c r="X9" s="43"/>
      <c r="Y9" s="43"/>
      <c r="Z9" s="43">
        <v>1</v>
      </c>
      <c r="AA9" s="43"/>
      <c r="AB9" s="43"/>
    </row>
    <row r="10" spans="1:28" ht="11.25" customHeight="1" x14ac:dyDescent="0.25">
      <c r="A10" s="127"/>
      <c r="B10" s="127"/>
      <c r="C10" s="127"/>
      <c r="D10" s="127"/>
      <c r="E10" s="127"/>
      <c r="F10" s="127"/>
      <c r="G10" s="45" t="s">
        <v>119</v>
      </c>
      <c r="H10" s="45" t="s">
        <v>117</v>
      </c>
      <c r="I10" s="45">
        <f>'MERCADO TE'!$U$7</f>
        <v>130195.47900000001</v>
      </c>
      <c r="J10" s="16"/>
      <c r="L10" s="43">
        <v>1</v>
      </c>
      <c r="M10" s="43">
        <v>1</v>
      </c>
      <c r="N10" s="43">
        <v>1</v>
      </c>
      <c r="O10" s="43">
        <v>1</v>
      </c>
      <c r="P10" s="43">
        <v>1</v>
      </c>
      <c r="Q10" s="43"/>
      <c r="R10" s="43">
        <v>1</v>
      </c>
      <c r="S10" s="43"/>
      <c r="T10" s="43">
        <v>1</v>
      </c>
      <c r="U10" s="43">
        <v>1</v>
      </c>
      <c r="V10" s="43">
        <v>1</v>
      </c>
      <c r="W10" s="43"/>
      <c r="X10" s="43"/>
      <c r="Y10" s="43"/>
      <c r="Z10" s="43">
        <v>1</v>
      </c>
      <c r="AA10" s="43"/>
      <c r="AB10" s="43"/>
    </row>
    <row r="11" spans="1:28" ht="11.25" customHeight="1" x14ac:dyDescent="0.25">
      <c r="A11" s="127" t="s">
        <v>22</v>
      </c>
      <c r="B11" s="127" t="s">
        <v>116</v>
      </c>
      <c r="C11" s="127" t="s">
        <v>24</v>
      </c>
      <c r="D11" s="127" t="s">
        <v>24</v>
      </c>
      <c r="E11" s="127" t="s">
        <v>25</v>
      </c>
      <c r="F11" s="127" t="s">
        <v>25</v>
      </c>
      <c r="G11" s="45" t="s">
        <v>118</v>
      </c>
      <c r="H11" s="45" t="s">
        <v>117</v>
      </c>
      <c r="I11" s="45">
        <f>'MERCADO TE'!$U$8</f>
        <v>17.429000000000002</v>
      </c>
      <c r="J11" s="16"/>
      <c r="L11" s="43">
        <v>1</v>
      </c>
      <c r="M11" s="43">
        <v>1</v>
      </c>
      <c r="N11" s="43">
        <v>1</v>
      </c>
      <c r="O11" s="43">
        <v>1</v>
      </c>
      <c r="P11" s="43">
        <v>1</v>
      </c>
      <c r="Q11" s="43"/>
      <c r="R11" s="43">
        <v>1.72</v>
      </c>
      <c r="S11" s="43"/>
      <c r="T11" s="43">
        <v>1</v>
      </c>
      <c r="U11" s="43">
        <v>1</v>
      </c>
      <c r="V11" s="43">
        <v>1</v>
      </c>
      <c r="W11" s="43"/>
      <c r="X11" s="43"/>
      <c r="Y11" s="43"/>
      <c r="Z11" s="43">
        <v>1</v>
      </c>
      <c r="AA11" s="43"/>
      <c r="AB11" s="43"/>
    </row>
    <row r="12" spans="1:28" ht="11.25" customHeight="1" x14ac:dyDescent="0.25">
      <c r="A12" s="127"/>
      <c r="B12" s="127"/>
      <c r="C12" s="127"/>
      <c r="D12" s="127"/>
      <c r="E12" s="127"/>
      <c r="F12" s="127"/>
      <c r="G12" s="45" t="s">
        <v>128</v>
      </c>
      <c r="H12" s="45" t="s">
        <v>117</v>
      </c>
      <c r="I12" s="45">
        <f>'MERCADO TE'!$U$9</f>
        <v>10.807000000000002</v>
      </c>
      <c r="J12" s="16"/>
      <c r="L12" s="43">
        <v>1</v>
      </c>
      <c r="M12" s="43">
        <v>1</v>
      </c>
      <c r="N12" s="43">
        <v>1</v>
      </c>
      <c r="O12" s="43">
        <v>1</v>
      </c>
      <c r="P12" s="43">
        <v>1</v>
      </c>
      <c r="Q12" s="43"/>
      <c r="R12" s="43">
        <v>1</v>
      </c>
      <c r="S12" s="43"/>
      <c r="T12" s="43">
        <v>1</v>
      </c>
      <c r="U12" s="43">
        <v>1</v>
      </c>
      <c r="V12" s="43">
        <v>1</v>
      </c>
      <c r="W12" s="43"/>
      <c r="X12" s="43"/>
      <c r="Y12" s="43"/>
      <c r="Z12" s="43">
        <v>1</v>
      </c>
      <c r="AA12" s="43"/>
      <c r="AB12" s="43"/>
    </row>
    <row r="13" spans="1:28" ht="11.25" customHeight="1" x14ac:dyDescent="0.25">
      <c r="A13" s="127"/>
      <c r="B13" s="127"/>
      <c r="C13" s="127"/>
      <c r="D13" s="127"/>
      <c r="E13" s="127"/>
      <c r="F13" s="127"/>
      <c r="G13" s="45" t="s">
        <v>119</v>
      </c>
      <c r="H13" s="45" t="s">
        <v>117</v>
      </c>
      <c r="I13" s="45">
        <f>'MERCADO TE'!$U$10</f>
        <v>120.55500000000001</v>
      </c>
      <c r="J13" s="16"/>
      <c r="L13" s="43">
        <v>1</v>
      </c>
      <c r="M13" s="43">
        <v>1</v>
      </c>
      <c r="N13" s="43">
        <v>1</v>
      </c>
      <c r="O13" s="43">
        <v>1</v>
      </c>
      <c r="P13" s="43">
        <v>1</v>
      </c>
      <c r="Q13" s="43"/>
      <c r="R13" s="43">
        <v>1</v>
      </c>
      <c r="S13" s="43"/>
      <c r="T13" s="43">
        <v>1</v>
      </c>
      <c r="U13" s="43">
        <v>1</v>
      </c>
      <c r="V13" s="43">
        <v>1</v>
      </c>
      <c r="W13" s="43"/>
      <c r="X13" s="43"/>
      <c r="Y13" s="43"/>
      <c r="Z13" s="43">
        <v>1</v>
      </c>
      <c r="AA13" s="43"/>
      <c r="AB13" s="43"/>
    </row>
    <row r="14" spans="1:28" ht="11.25" customHeight="1" x14ac:dyDescent="0.25">
      <c r="A14" s="127"/>
      <c r="B14" s="127" t="s">
        <v>129</v>
      </c>
      <c r="C14" s="127" t="s">
        <v>24</v>
      </c>
      <c r="D14" s="46" t="s">
        <v>24</v>
      </c>
      <c r="E14" s="46" t="s">
        <v>25</v>
      </c>
      <c r="F14" s="46" t="s">
        <v>25</v>
      </c>
      <c r="G14" s="45" t="s">
        <v>123</v>
      </c>
      <c r="H14" s="45" t="s">
        <v>117</v>
      </c>
      <c r="I14" s="45">
        <f>'MERCADO TE'!$U$11</f>
        <v>426447.22100000002</v>
      </c>
      <c r="J14" s="16"/>
      <c r="L14" s="43">
        <v>1</v>
      </c>
      <c r="M14" s="43">
        <v>1</v>
      </c>
      <c r="N14" s="43">
        <v>1</v>
      </c>
      <c r="O14" s="43">
        <v>1</v>
      </c>
      <c r="P14" s="43">
        <v>1</v>
      </c>
      <c r="Q14" s="43"/>
      <c r="R14" s="43">
        <v>1.06</v>
      </c>
      <c r="S14" s="43"/>
      <c r="T14" s="43">
        <v>1</v>
      </c>
      <c r="U14" s="43">
        <v>1</v>
      </c>
      <c r="V14" s="43">
        <v>1</v>
      </c>
      <c r="W14" s="43"/>
      <c r="X14" s="43"/>
      <c r="Y14" s="43"/>
      <c r="Z14" s="43">
        <v>1</v>
      </c>
      <c r="AA14" s="43"/>
      <c r="AB14" s="43"/>
    </row>
    <row r="15" spans="1:28" ht="11.25" customHeight="1" x14ac:dyDescent="0.25">
      <c r="A15" s="127"/>
      <c r="B15" s="127"/>
      <c r="C15" s="127"/>
      <c r="D15" s="46" t="s">
        <v>29</v>
      </c>
      <c r="E15" s="46" t="s">
        <v>25</v>
      </c>
      <c r="F15" s="46" t="s">
        <v>25</v>
      </c>
      <c r="G15" s="45" t="s">
        <v>123</v>
      </c>
      <c r="H15" s="45" t="s">
        <v>117</v>
      </c>
      <c r="I15" s="45">
        <f>'MERCADO TE'!$U$12</f>
        <v>31822.650999999998</v>
      </c>
      <c r="J15" s="16"/>
      <c r="L15" s="43">
        <f>1 - CUSTOS!$M$24</f>
        <v>1</v>
      </c>
      <c r="M15" s="43">
        <f>1 - CUSTOS!$M$24</f>
        <v>1</v>
      </c>
      <c r="N15" s="43">
        <f>1 - CUSTOS!$M$24</f>
        <v>1</v>
      </c>
      <c r="O15" s="43">
        <f>1 - CUSTOS!$M$24</f>
        <v>1</v>
      </c>
      <c r="P15" s="43">
        <f>1 - CUSTOS!$M$24</f>
        <v>1</v>
      </c>
      <c r="Q15" s="43"/>
      <c r="R15" s="43">
        <f>(1 - CUSTOS!$M$24)*1.06</f>
        <v>1.06</v>
      </c>
      <c r="S15" s="43"/>
      <c r="T15" s="43">
        <f>1 - CUSTOS!$M$24</f>
        <v>1</v>
      </c>
      <c r="U15" s="43">
        <f>1 - CUSTOS!$M$24</f>
        <v>1</v>
      </c>
      <c r="V15" s="43">
        <f>1 - CUSTOS!$M$24</f>
        <v>1</v>
      </c>
      <c r="W15" s="43"/>
      <c r="X15" s="43"/>
      <c r="Y15" s="43"/>
      <c r="Z15" s="43">
        <f>1 - CUSTOS!$M$24</f>
        <v>1</v>
      </c>
      <c r="AA15" s="43"/>
      <c r="AB15" s="43"/>
    </row>
    <row r="16" spans="1:28" ht="11.25" customHeight="1" x14ac:dyDescent="0.25">
      <c r="A16" s="127"/>
      <c r="B16" s="127"/>
      <c r="C16" s="127"/>
      <c r="D16" s="46" t="s">
        <v>30</v>
      </c>
      <c r="E16" s="46" t="s">
        <v>25</v>
      </c>
      <c r="F16" s="46" t="s">
        <v>25</v>
      </c>
      <c r="G16" s="45" t="s">
        <v>123</v>
      </c>
      <c r="H16" s="45" t="s">
        <v>117</v>
      </c>
      <c r="I16" s="45">
        <f>'MERCADO TE'!$U$13</f>
        <v>61209.610999999997</v>
      </c>
      <c r="J16" s="16"/>
      <c r="L16" s="43">
        <f>1 - CUSTOS!$M$25</f>
        <v>1</v>
      </c>
      <c r="M16" s="43">
        <f>1 - CUSTOS!$M$25</f>
        <v>1</v>
      </c>
      <c r="N16" s="43">
        <f>1 - CUSTOS!$M$25</f>
        <v>1</v>
      </c>
      <c r="O16" s="43">
        <f>1 - CUSTOS!$M$25</f>
        <v>1</v>
      </c>
      <c r="P16" s="43">
        <f>1 - CUSTOS!$M$25</f>
        <v>1</v>
      </c>
      <c r="Q16" s="43"/>
      <c r="R16" s="43">
        <f>(1 - CUSTOS!$M$25)*1.06</f>
        <v>1.06</v>
      </c>
      <c r="S16" s="43"/>
      <c r="T16" s="43">
        <f>1 - CUSTOS!$M$25</f>
        <v>1</v>
      </c>
      <c r="U16" s="43">
        <f>1 - CUSTOS!$M$25</f>
        <v>1</v>
      </c>
      <c r="V16" s="43">
        <f>1 - CUSTOS!$M$25</f>
        <v>1</v>
      </c>
      <c r="W16" s="43"/>
      <c r="X16" s="43"/>
      <c r="Y16" s="43"/>
      <c r="Z16" s="43">
        <f>1 - CUSTOS!$M$25</f>
        <v>1</v>
      </c>
      <c r="AA16" s="43"/>
      <c r="AB16" s="43"/>
    </row>
    <row r="17" spans="1:28" ht="11.25" customHeight="1" x14ac:dyDescent="0.25">
      <c r="A17" s="127"/>
      <c r="B17" s="127"/>
      <c r="C17" s="127"/>
      <c r="D17" s="46" t="s">
        <v>31</v>
      </c>
      <c r="E17" s="46" t="s">
        <v>25</v>
      </c>
      <c r="F17" s="46" t="s">
        <v>25</v>
      </c>
      <c r="G17" s="45" t="s">
        <v>123</v>
      </c>
      <c r="H17" s="45" t="s">
        <v>117</v>
      </c>
      <c r="I17" s="45">
        <f>'MERCADO TE'!$U$14</f>
        <v>39801.019999999997</v>
      </c>
      <c r="J17" s="16"/>
      <c r="L17" s="43">
        <f>1 - CUSTOS!$M$26</f>
        <v>1</v>
      </c>
      <c r="M17" s="43">
        <f>1 - CUSTOS!$M$26</f>
        <v>1</v>
      </c>
      <c r="N17" s="43">
        <f>1 - CUSTOS!$M$26</f>
        <v>1</v>
      </c>
      <c r="O17" s="43">
        <f>1 - CUSTOS!$M$26</f>
        <v>1</v>
      </c>
      <c r="P17" s="43">
        <f>1 - CUSTOS!$M$26</f>
        <v>1</v>
      </c>
      <c r="Q17" s="43"/>
      <c r="R17" s="43">
        <f>(1 - CUSTOS!$M$26)*1.06</f>
        <v>1.06</v>
      </c>
      <c r="S17" s="43"/>
      <c r="T17" s="43">
        <f>1 - CUSTOS!$M$26</f>
        <v>1</v>
      </c>
      <c r="U17" s="43">
        <f>1 - CUSTOS!$M$26</f>
        <v>1</v>
      </c>
      <c r="V17" s="43">
        <f>1 - CUSTOS!$M$26</f>
        <v>1</v>
      </c>
      <c r="W17" s="43"/>
      <c r="X17" s="43"/>
      <c r="Y17" s="43"/>
      <c r="Z17" s="43">
        <f>1 - CUSTOS!$M$26</f>
        <v>1</v>
      </c>
      <c r="AA17" s="43"/>
      <c r="AB17" s="43"/>
    </row>
    <row r="18" spans="1:28" ht="11.25" customHeight="1" x14ac:dyDescent="0.25">
      <c r="A18" s="127"/>
      <c r="B18" s="127"/>
      <c r="C18" s="127"/>
      <c r="D18" s="46" t="s">
        <v>32</v>
      </c>
      <c r="E18" s="46" t="s">
        <v>25</v>
      </c>
      <c r="F18" s="46" t="s">
        <v>25</v>
      </c>
      <c r="G18" s="45" t="s">
        <v>123</v>
      </c>
      <c r="H18" s="45" t="s">
        <v>117</v>
      </c>
      <c r="I18" s="45">
        <f>'MERCADO TE'!$U$15</f>
        <v>7781.4139999999989</v>
      </c>
      <c r="J18" s="16"/>
      <c r="L18" s="43">
        <f>1 - CUSTOS!$M$27</f>
        <v>1</v>
      </c>
      <c r="M18" s="43">
        <f>1 - CUSTOS!$M$27</f>
        <v>1</v>
      </c>
      <c r="N18" s="43">
        <f>1 - CUSTOS!$M$27</f>
        <v>1</v>
      </c>
      <c r="O18" s="43">
        <f>1 - CUSTOS!$M$27</f>
        <v>1</v>
      </c>
      <c r="P18" s="43">
        <f>1 - CUSTOS!$M$27</f>
        <v>1</v>
      </c>
      <c r="Q18" s="43"/>
      <c r="R18" s="43">
        <f>(1 - CUSTOS!$M$27)*1.06</f>
        <v>1.06</v>
      </c>
      <c r="S18" s="43"/>
      <c r="T18" s="43">
        <f>1 - CUSTOS!$M$27</f>
        <v>1</v>
      </c>
      <c r="U18" s="43">
        <f>1 - CUSTOS!$M$27</f>
        <v>1</v>
      </c>
      <c r="V18" s="43">
        <f>1 - CUSTOS!$M$27</f>
        <v>1</v>
      </c>
      <c r="W18" s="43"/>
      <c r="X18" s="43"/>
      <c r="Y18" s="43"/>
      <c r="Z18" s="43">
        <f>1 - CUSTOS!$M$27</f>
        <v>1</v>
      </c>
      <c r="AA18" s="43"/>
      <c r="AB18" s="43"/>
    </row>
    <row r="19" spans="1:28" ht="11.25" customHeight="1" x14ac:dyDescent="0.25">
      <c r="A19" s="127"/>
      <c r="B19" s="127" t="s">
        <v>130</v>
      </c>
      <c r="C19" s="127" t="s">
        <v>24</v>
      </c>
      <c r="D19" s="46" t="s">
        <v>24</v>
      </c>
      <c r="E19" s="46" t="s">
        <v>25</v>
      </c>
      <c r="F19" s="46" t="s">
        <v>25</v>
      </c>
      <c r="G19" s="45" t="s">
        <v>123</v>
      </c>
      <c r="H19" s="45" t="s">
        <v>117</v>
      </c>
      <c r="I19" s="45">
        <f>'MERCADO TE'!$U$16</f>
        <v>0</v>
      </c>
      <c r="J19" s="16"/>
      <c r="L19" s="43">
        <v>1</v>
      </c>
      <c r="M19" s="43">
        <v>1</v>
      </c>
      <c r="N19" s="43">
        <v>1</v>
      </c>
      <c r="O19" s="43">
        <v>1</v>
      </c>
      <c r="P19" s="43">
        <v>1</v>
      </c>
      <c r="Q19" s="43"/>
      <c r="R19" s="43">
        <v>1.06</v>
      </c>
      <c r="S19" s="43"/>
      <c r="T19" s="43">
        <v>1</v>
      </c>
      <c r="U19" s="43">
        <v>1</v>
      </c>
      <c r="V19" s="43">
        <v>1</v>
      </c>
      <c r="W19" s="43"/>
      <c r="X19" s="43"/>
      <c r="Y19" s="43"/>
      <c r="Z19" s="43">
        <v>1</v>
      </c>
      <c r="AA19" s="43"/>
      <c r="AB19" s="43"/>
    </row>
    <row r="20" spans="1:28" ht="11.25" customHeight="1" x14ac:dyDescent="0.25">
      <c r="A20" s="127"/>
      <c r="B20" s="127"/>
      <c r="C20" s="127"/>
      <c r="D20" s="46" t="s">
        <v>29</v>
      </c>
      <c r="E20" s="46" t="s">
        <v>25</v>
      </c>
      <c r="F20" s="46" t="s">
        <v>25</v>
      </c>
      <c r="G20" s="45" t="s">
        <v>123</v>
      </c>
      <c r="H20" s="45" t="s">
        <v>117</v>
      </c>
      <c r="I20" s="45">
        <f>'MERCADO TE'!$U$17</f>
        <v>0</v>
      </c>
      <c r="J20" s="16"/>
      <c r="L20" s="43">
        <f>1 - CUSTOS!$M$24</f>
        <v>1</v>
      </c>
      <c r="M20" s="43">
        <f>1 - CUSTOS!$M$24</f>
        <v>1</v>
      </c>
      <c r="N20" s="43">
        <f>1 - CUSTOS!$M$24</f>
        <v>1</v>
      </c>
      <c r="O20" s="43">
        <f>1 - CUSTOS!$M$24</f>
        <v>1</v>
      </c>
      <c r="P20" s="43">
        <f>1 - CUSTOS!$M$24</f>
        <v>1</v>
      </c>
      <c r="Q20" s="43"/>
      <c r="R20" s="43">
        <f>(1 - CUSTOS!$M$24)*1.06</f>
        <v>1.06</v>
      </c>
      <c r="S20" s="43"/>
      <c r="T20" s="43">
        <f>1 - CUSTOS!$M$24</f>
        <v>1</v>
      </c>
      <c r="U20" s="43">
        <f>1 - CUSTOS!$M$24</f>
        <v>1</v>
      </c>
      <c r="V20" s="43">
        <f>1 - CUSTOS!$M$24</f>
        <v>1</v>
      </c>
      <c r="W20" s="43"/>
      <c r="X20" s="43"/>
      <c r="Y20" s="43"/>
      <c r="Z20" s="43">
        <f>1 - CUSTOS!$M$24</f>
        <v>1</v>
      </c>
      <c r="AA20" s="43"/>
      <c r="AB20" s="43"/>
    </row>
    <row r="21" spans="1:28" ht="11.25" customHeight="1" x14ac:dyDescent="0.25">
      <c r="A21" s="127"/>
      <c r="B21" s="127"/>
      <c r="C21" s="127"/>
      <c r="D21" s="46" t="s">
        <v>30</v>
      </c>
      <c r="E21" s="46" t="s">
        <v>25</v>
      </c>
      <c r="F21" s="46" t="s">
        <v>25</v>
      </c>
      <c r="G21" s="45" t="s">
        <v>123</v>
      </c>
      <c r="H21" s="45" t="s">
        <v>117</v>
      </c>
      <c r="I21" s="45">
        <f>'MERCADO TE'!$U$18</f>
        <v>0</v>
      </c>
      <c r="J21" s="16"/>
      <c r="L21" s="43">
        <f>1 - CUSTOS!$M$25</f>
        <v>1</v>
      </c>
      <c r="M21" s="43">
        <f>1 - CUSTOS!$M$25</f>
        <v>1</v>
      </c>
      <c r="N21" s="43">
        <f>1 - CUSTOS!$M$25</f>
        <v>1</v>
      </c>
      <c r="O21" s="43">
        <f>1 - CUSTOS!$M$25</f>
        <v>1</v>
      </c>
      <c r="P21" s="43">
        <f>1 - CUSTOS!$M$25</f>
        <v>1</v>
      </c>
      <c r="Q21" s="43"/>
      <c r="R21" s="43">
        <f>(1 - CUSTOS!$M$25)*1.06</f>
        <v>1.06</v>
      </c>
      <c r="S21" s="43"/>
      <c r="T21" s="43">
        <f>1 - CUSTOS!$M$25</f>
        <v>1</v>
      </c>
      <c r="U21" s="43">
        <f>1 - CUSTOS!$M$25</f>
        <v>1</v>
      </c>
      <c r="V21" s="43">
        <f>1 - CUSTOS!$M$25</f>
        <v>1</v>
      </c>
      <c r="W21" s="43"/>
      <c r="X21" s="43"/>
      <c r="Y21" s="43"/>
      <c r="Z21" s="43">
        <f>1 - CUSTOS!$M$25</f>
        <v>1</v>
      </c>
      <c r="AA21" s="43"/>
      <c r="AB21" s="43"/>
    </row>
    <row r="22" spans="1:28" ht="11.25" customHeight="1" x14ac:dyDescent="0.25">
      <c r="A22" s="127"/>
      <c r="B22" s="127"/>
      <c r="C22" s="127"/>
      <c r="D22" s="46" t="s">
        <v>31</v>
      </c>
      <c r="E22" s="46" t="s">
        <v>25</v>
      </c>
      <c r="F22" s="46" t="s">
        <v>25</v>
      </c>
      <c r="G22" s="45" t="s">
        <v>123</v>
      </c>
      <c r="H22" s="45" t="s">
        <v>117</v>
      </c>
      <c r="I22" s="45">
        <f>'MERCADO TE'!$U$19</f>
        <v>0</v>
      </c>
      <c r="J22" s="16"/>
      <c r="L22" s="43">
        <f>1 - CUSTOS!$M$26</f>
        <v>1</v>
      </c>
      <c r="M22" s="43">
        <f>1 - CUSTOS!$M$26</f>
        <v>1</v>
      </c>
      <c r="N22" s="43">
        <f>1 - CUSTOS!$M$26</f>
        <v>1</v>
      </c>
      <c r="O22" s="43">
        <f>1 - CUSTOS!$M$26</f>
        <v>1</v>
      </c>
      <c r="P22" s="43">
        <f>1 - CUSTOS!$M$26</f>
        <v>1</v>
      </c>
      <c r="Q22" s="43"/>
      <c r="R22" s="43">
        <f>(1 - CUSTOS!$M$26)*1.06</f>
        <v>1.06</v>
      </c>
      <c r="S22" s="43"/>
      <c r="T22" s="43">
        <f>1 - CUSTOS!$M$26</f>
        <v>1</v>
      </c>
      <c r="U22" s="43">
        <f>1 - CUSTOS!$M$26</f>
        <v>1</v>
      </c>
      <c r="V22" s="43">
        <f>1 - CUSTOS!$M$26</f>
        <v>1</v>
      </c>
      <c r="W22" s="43"/>
      <c r="X22" s="43"/>
      <c r="Y22" s="43"/>
      <c r="Z22" s="43">
        <f>1 - CUSTOS!$M$26</f>
        <v>1</v>
      </c>
      <c r="AA22" s="43"/>
      <c r="AB22" s="43"/>
    </row>
    <row r="23" spans="1:28" ht="11.25" customHeight="1" x14ac:dyDescent="0.25">
      <c r="A23" s="127"/>
      <c r="B23" s="127"/>
      <c r="C23" s="127"/>
      <c r="D23" s="46" t="s">
        <v>32</v>
      </c>
      <c r="E23" s="46" t="s">
        <v>25</v>
      </c>
      <c r="F23" s="46" t="s">
        <v>25</v>
      </c>
      <c r="G23" s="45" t="s">
        <v>123</v>
      </c>
      <c r="H23" s="45" t="s">
        <v>117</v>
      </c>
      <c r="I23" s="45">
        <f>'MERCADO TE'!$U$20</f>
        <v>0</v>
      </c>
      <c r="J23" s="16"/>
      <c r="L23" s="43">
        <f>1 - CUSTOS!$M$27</f>
        <v>1</v>
      </c>
      <c r="M23" s="43">
        <f>1 - CUSTOS!$M$27</f>
        <v>1</v>
      </c>
      <c r="N23" s="43">
        <f>1 - CUSTOS!$M$27</f>
        <v>1</v>
      </c>
      <c r="O23" s="43">
        <f>1 - CUSTOS!$M$27</f>
        <v>1</v>
      </c>
      <c r="P23" s="43">
        <f>1 - CUSTOS!$M$27</f>
        <v>1</v>
      </c>
      <c r="Q23" s="43"/>
      <c r="R23" s="43">
        <f>(1 - CUSTOS!$M$27)*1.06</f>
        <v>1.06</v>
      </c>
      <c r="S23" s="43"/>
      <c r="T23" s="43">
        <f>1 - CUSTOS!$M$27</f>
        <v>1</v>
      </c>
      <c r="U23" s="43">
        <f>1 - CUSTOS!$M$27</f>
        <v>1</v>
      </c>
      <c r="V23" s="43">
        <f>1 - CUSTOS!$M$27</f>
        <v>1</v>
      </c>
      <c r="W23" s="43"/>
      <c r="X23" s="43"/>
      <c r="Y23" s="43"/>
      <c r="Z23" s="43">
        <f>1 - CUSTOS!$M$27</f>
        <v>1</v>
      </c>
      <c r="AA23" s="43"/>
      <c r="AB23" s="43"/>
    </row>
    <row r="24" spans="1:28" ht="11.25" customHeight="1" x14ac:dyDescent="0.25">
      <c r="A24" s="127" t="s">
        <v>44</v>
      </c>
      <c r="B24" s="127" t="s">
        <v>116</v>
      </c>
      <c r="C24" s="127" t="s">
        <v>45</v>
      </c>
      <c r="D24" s="127" t="s">
        <v>25</v>
      </c>
      <c r="E24" s="127" t="s">
        <v>25</v>
      </c>
      <c r="F24" s="127" t="s">
        <v>25</v>
      </c>
      <c r="G24" s="45" t="s">
        <v>118</v>
      </c>
      <c r="H24" s="45" t="s">
        <v>117</v>
      </c>
      <c r="I24" s="45">
        <f>'MERCADO TE'!$U$21</f>
        <v>0.49600000000000005</v>
      </c>
      <c r="J24" s="16"/>
      <c r="L24" s="43">
        <f>1 - CUSTOS!$M$28</f>
        <v>1</v>
      </c>
      <c r="M24" s="43">
        <f>1 - CUSTOS!$M$28</f>
        <v>1</v>
      </c>
      <c r="N24" s="43">
        <f>1 - CUSTOS!$M$28</f>
        <v>1</v>
      </c>
      <c r="O24" s="43">
        <f>1 - CUSTOS!$M$28</f>
        <v>1</v>
      </c>
      <c r="P24" s="43">
        <f>1 - CUSTOS!$M$28</f>
        <v>1</v>
      </c>
      <c r="Q24" s="43"/>
      <c r="R24" s="43">
        <f>(1 - CUSTOS!$M$28)*1.72</f>
        <v>1.72</v>
      </c>
      <c r="S24" s="43"/>
      <c r="T24" s="43">
        <f>1 - CUSTOS!$M$28</f>
        <v>1</v>
      </c>
      <c r="U24" s="43">
        <f>1 - CUSTOS!$M$28</f>
        <v>1</v>
      </c>
      <c r="V24" s="43">
        <f>1 - CUSTOS!$M$28</f>
        <v>1</v>
      </c>
      <c r="W24" s="43"/>
      <c r="X24" s="43"/>
      <c r="Y24" s="43"/>
      <c r="Z24" s="43">
        <f>1 - CUSTOS!$M$28</f>
        <v>1</v>
      </c>
      <c r="AA24" s="43"/>
      <c r="AB24" s="43"/>
    </row>
    <row r="25" spans="1:28" ht="11.25" customHeight="1" x14ac:dyDescent="0.25">
      <c r="A25" s="127"/>
      <c r="B25" s="127"/>
      <c r="C25" s="127"/>
      <c r="D25" s="127"/>
      <c r="E25" s="127"/>
      <c r="F25" s="127"/>
      <c r="G25" s="45" t="s">
        <v>128</v>
      </c>
      <c r="H25" s="45" t="s">
        <v>117</v>
      </c>
      <c r="I25" s="45">
        <f>'MERCADO TE'!$U$22</f>
        <v>0.27600000000000002</v>
      </c>
      <c r="J25" s="16"/>
      <c r="L25" s="43">
        <f>1 - CUSTOS!$M$28</f>
        <v>1</v>
      </c>
      <c r="M25" s="43">
        <f>1 - CUSTOS!$M$28</f>
        <v>1</v>
      </c>
      <c r="N25" s="43">
        <f>1 - CUSTOS!$M$28</f>
        <v>1</v>
      </c>
      <c r="O25" s="43">
        <f>1 - CUSTOS!$M$28</f>
        <v>1</v>
      </c>
      <c r="P25" s="43">
        <f>1 - CUSTOS!$M$28</f>
        <v>1</v>
      </c>
      <c r="Q25" s="43"/>
      <c r="R25" s="43">
        <f>(1 - CUSTOS!$M$28)*1</f>
        <v>1</v>
      </c>
      <c r="S25" s="43"/>
      <c r="T25" s="43">
        <f>1 - CUSTOS!$M$28</f>
        <v>1</v>
      </c>
      <c r="U25" s="43">
        <f>1 - CUSTOS!$M$28</f>
        <v>1</v>
      </c>
      <c r="V25" s="43">
        <f>1 - CUSTOS!$M$28</f>
        <v>1</v>
      </c>
      <c r="W25" s="43"/>
      <c r="X25" s="43"/>
      <c r="Y25" s="43"/>
      <c r="Z25" s="43">
        <f>1 - CUSTOS!$M$28</f>
        <v>1</v>
      </c>
      <c r="AA25" s="43"/>
      <c r="AB25" s="43"/>
    </row>
    <row r="26" spans="1:28" ht="11.25" customHeight="1" x14ac:dyDescent="0.25">
      <c r="A26" s="127"/>
      <c r="B26" s="127"/>
      <c r="C26" s="127"/>
      <c r="D26" s="127"/>
      <c r="E26" s="127"/>
      <c r="F26" s="127"/>
      <c r="G26" s="45" t="s">
        <v>119</v>
      </c>
      <c r="H26" s="45" t="s">
        <v>117</v>
      </c>
      <c r="I26" s="45">
        <f>'MERCADO TE'!$U$23</f>
        <v>5.1340000000000003</v>
      </c>
      <c r="J26" s="16"/>
      <c r="L26" s="43">
        <f>1 - CUSTOS!$M$28</f>
        <v>1</v>
      </c>
      <c r="M26" s="43">
        <f>1 - CUSTOS!$M$28</f>
        <v>1</v>
      </c>
      <c r="N26" s="43">
        <f>1 - CUSTOS!$M$28</f>
        <v>1</v>
      </c>
      <c r="O26" s="43">
        <f>1 - CUSTOS!$M$28</f>
        <v>1</v>
      </c>
      <c r="P26" s="43">
        <f>1 - CUSTOS!$M$28</f>
        <v>1</v>
      </c>
      <c r="Q26" s="43"/>
      <c r="R26" s="43">
        <f>(1 - CUSTOS!$M$28)*1</f>
        <v>1</v>
      </c>
      <c r="S26" s="43"/>
      <c r="T26" s="43">
        <f>1 - CUSTOS!$M$28</f>
        <v>1</v>
      </c>
      <c r="U26" s="43">
        <f>1 - CUSTOS!$M$28</f>
        <v>1</v>
      </c>
      <c r="V26" s="43">
        <f>1 - CUSTOS!$M$28</f>
        <v>1</v>
      </c>
      <c r="W26" s="43"/>
      <c r="X26" s="43"/>
      <c r="Y26" s="43"/>
      <c r="Z26" s="43">
        <f>1 - CUSTOS!$M$28</f>
        <v>1</v>
      </c>
      <c r="AA26" s="43"/>
      <c r="AB26" s="43"/>
    </row>
    <row r="27" spans="1:28" ht="11.25" customHeight="1" x14ac:dyDescent="0.25">
      <c r="A27" s="127"/>
      <c r="B27" s="46" t="s">
        <v>129</v>
      </c>
      <c r="C27" s="46" t="s">
        <v>45</v>
      </c>
      <c r="D27" s="46" t="s">
        <v>25</v>
      </c>
      <c r="E27" s="46" t="s">
        <v>25</v>
      </c>
      <c r="F27" s="46" t="s">
        <v>25</v>
      </c>
      <c r="G27" s="45" t="s">
        <v>123</v>
      </c>
      <c r="H27" s="45" t="s">
        <v>117</v>
      </c>
      <c r="I27" s="45">
        <f>'MERCADO TE'!$U$24</f>
        <v>160826.64799999999</v>
      </c>
      <c r="J27" s="16"/>
      <c r="L27" s="43">
        <f>1 - CUSTOS!$M$28</f>
        <v>1</v>
      </c>
      <c r="M27" s="43">
        <f>1 - CUSTOS!$M$28</f>
        <v>1</v>
      </c>
      <c r="N27" s="43">
        <f>1 - CUSTOS!$M$28</f>
        <v>1</v>
      </c>
      <c r="O27" s="43">
        <f>1 - CUSTOS!$M$28</f>
        <v>1</v>
      </c>
      <c r="P27" s="43">
        <f>1 - CUSTOS!$M$28</f>
        <v>1</v>
      </c>
      <c r="Q27" s="43"/>
      <c r="R27" s="43">
        <f>(1 - CUSTOS!$M$28)*1.06</f>
        <v>1.06</v>
      </c>
      <c r="S27" s="43"/>
      <c r="T27" s="43">
        <f>1 - CUSTOS!$M$28</f>
        <v>1</v>
      </c>
      <c r="U27" s="43">
        <f>1 - CUSTOS!$M$28</f>
        <v>1</v>
      </c>
      <c r="V27" s="43">
        <f>1 - CUSTOS!$M$28</f>
        <v>1</v>
      </c>
      <c r="W27" s="43"/>
      <c r="X27" s="43"/>
      <c r="Y27" s="43"/>
      <c r="Z27" s="43">
        <f>1 - CUSTOS!$M$28</f>
        <v>1</v>
      </c>
      <c r="AA27" s="43"/>
      <c r="AB27" s="43"/>
    </row>
    <row r="28" spans="1:28" ht="11.25" customHeight="1" x14ac:dyDescent="0.25">
      <c r="A28" s="127"/>
      <c r="B28" s="127" t="s">
        <v>116</v>
      </c>
      <c r="C28" s="127" t="s">
        <v>45</v>
      </c>
      <c r="D28" s="127" t="s">
        <v>132</v>
      </c>
      <c r="E28" s="127" t="s">
        <v>25</v>
      </c>
      <c r="F28" s="127" t="s">
        <v>25</v>
      </c>
      <c r="G28" s="45" t="s">
        <v>118</v>
      </c>
      <c r="H28" s="45" t="s">
        <v>117</v>
      </c>
      <c r="I28" s="45">
        <f>'MERCADO TE'!$U$25</f>
        <v>0</v>
      </c>
      <c r="J28" s="16"/>
      <c r="L28" s="43">
        <f>1 - CUSTOS!$M$29</f>
        <v>1</v>
      </c>
      <c r="M28" s="43">
        <f>1 - CUSTOS!$M$29</f>
        <v>1</v>
      </c>
      <c r="N28" s="43">
        <f>1 - CUSTOS!$M$29</f>
        <v>1</v>
      </c>
      <c r="O28" s="43">
        <f>1 - CUSTOS!$M$29</f>
        <v>1</v>
      </c>
      <c r="P28" s="43">
        <f>1 - CUSTOS!$M$29</f>
        <v>1</v>
      </c>
      <c r="Q28" s="43"/>
      <c r="R28" s="43">
        <f>(1 - CUSTOS!$M$29)*1.72</f>
        <v>1.72</v>
      </c>
      <c r="S28" s="43"/>
      <c r="T28" s="43">
        <f>1 - CUSTOS!$M$29</f>
        <v>1</v>
      </c>
      <c r="U28" s="43">
        <f>1 - CUSTOS!$M$29</f>
        <v>1</v>
      </c>
      <c r="V28" s="43">
        <f>1 - CUSTOS!$M$29</f>
        <v>1</v>
      </c>
      <c r="W28" s="43"/>
      <c r="X28" s="43"/>
      <c r="Y28" s="43"/>
      <c r="Z28" s="43">
        <f>1 - CUSTOS!$M$29</f>
        <v>1</v>
      </c>
      <c r="AA28" s="43"/>
      <c r="AB28" s="43"/>
    </row>
    <row r="29" spans="1:28" ht="11.25" customHeight="1" x14ac:dyDescent="0.25">
      <c r="A29" s="127"/>
      <c r="B29" s="127"/>
      <c r="C29" s="127"/>
      <c r="D29" s="127"/>
      <c r="E29" s="127"/>
      <c r="F29" s="127"/>
      <c r="G29" s="45" t="s">
        <v>128</v>
      </c>
      <c r="H29" s="45" t="s">
        <v>117</v>
      </c>
      <c r="I29" s="45">
        <f>'MERCADO TE'!$U$26</f>
        <v>0</v>
      </c>
      <c r="J29" s="16"/>
      <c r="L29" s="43">
        <f>1 - CUSTOS!$M$29</f>
        <v>1</v>
      </c>
      <c r="M29" s="43">
        <f>1 - CUSTOS!$M$29</f>
        <v>1</v>
      </c>
      <c r="N29" s="43">
        <f>1 - CUSTOS!$M$29</f>
        <v>1</v>
      </c>
      <c r="O29" s="43">
        <f>1 - CUSTOS!$M$29</f>
        <v>1</v>
      </c>
      <c r="P29" s="43">
        <f>1 - CUSTOS!$M$29</f>
        <v>1</v>
      </c>
      <c r="Q29" s="43"/>
      <c r="R29" s="43">
        <f>(1 - CUSTOS!$M$29)*1</f>
        <v>1</v>
      </c>
      <c r="S29" s="43"/>
      <c r="T29" s="43">
        <f>1 - CUSTOS!$M$29</f>
        <v>1</v>
      </c>
      <c r="U29" s="43">
        <f>1 - CUSTOS!$M$29</f>
        <v>1</v>
      </c>
      <c r="V29" s="43">
        <f>1 - CUSTOS!$M$29</f>
        <v>1</v>
      </c>
      <c r="W29" s="43"/>
      <c r="X29" s="43"/>
      <c r="Y29" s="43"/>
      <c r="Z29" s="43">
        <f>1 - CUSTOS!$M$29</f>
        <v>1</v>
      </c>
      <c r="AA29" s="43"/>
      <c r="AB29" s="43"/>
    </row>
    <row r="30" spans="1:28" ht="11.25" customHeight="1" x14ac:dyDescent="0.25">
      <c r="A30" s="127"/>
      <c r="B30" s="127"/>
      <c r="C30" s="127"/>
      <c r="D30" s="127"/>
      <c r="E30" s="127"/>
      <c r="F30" s="127"/>
      <c r="G30" s="45" t="s">
        <v>119</v>
      </c>
      <c r="H30" s="45" t="s">
        <v>117</v>
      </c>
      <c r="I30" s="45">
        <f>'MERCADO TE'!$U$27</f>
        <v>0</v>
      </c>
      <c r="J30" s="16"/>
      <c r="L30" s="43">
        <f>1 - CUSTOS!$M$29</f>
        <v>1</v>
      </c>
      <c r="M30" s="43">
        <f>1 - CUSTOS!$M$29</f>
        <v>1</v>
      </c>
      <c r="N30" s="43">
        <f>1 - CUSTOS!$M$29</f>
        <v>1</v>
      </c>
      <c r="O30" s="43">
        <f>1 - CUSTOS!$M$29</f>
        <v>1</v>
      </c>
      <c r="P30" s="43">
        <f>1 - CUSTOS!$M$29</f>
        <v>1</v>
      </c>
      <c r="Q30" s="43"/>
      <c r="R30" s="43">
        <f>(1 - CUSTOS!$M$29)*1</f>
        <v>1</v>
      </c>
      <c r="S30" s="43"/>
      <c r="T30" s="43">
        <f>1 - CUSTOS!$M$29</f>
        <v>1</v>
      </c>
      <c r="U30" s="43">
        <f>1 - CUSTOS!$M$29</f>
        <v>1</v>
      </c>
      <c r="V30" s="43">
        <f>1 - CUSTOS!$M$29</f>
        <v>1</v>
      </c>
      <c r="W30" s="43"/>
      <c r="X30" s="43"/>
      <c r="Y30" s="43"/>
      <c r="Z30" s="43">
        <f>1 - CUSTOS!$M$29</f>
        <v>1</v>
      </c>
      <c r="AA30" s="43"/>
      <c r="AB30" s="43"/>
    </row>
    <row r="31" spans="1:28" ht="11.25" customHeight="1" x14ac:dyDescent="0.25">
      <c r="A31" s="127"/>
      <c r="B31" s="46" t="s">
        <v>129</v>
      </c>
      <c r="C31" s="46" t="s">
        <v>45</v>
      </c>
      <c r="D31" s="46" t="s">
        <v>132</v>
      </c>
      <c r="E31" s="46" t="s">
        <v>25</v>
      </c>
      <c r="F31" s="46" t="s">
        <v>25</v>
      </c>
      <c r="G31" s="45" t="s">
        <v>123</v>
      </c>
      <c r="H31" s="45" t="s">
        <v>117</v>
      </c>
      <c r="I31" s="45">
        <f>'MERCADO TE'!$U$28</f>
        <v>0</v>
      </c>
      <c r="J31" s="16"/>
      <c r="L31" s="43">
        <f>1 - CUSTOS!$M$29</f>
        <v>1</v>
      </c>
      <c r="M31" s="43">
        <f>1 - CUSTOS!$M$29</f>
        <v>1</v>
      </c>
      <c r="N31" s="43">
        <f>1 - CUSTOS!$M$29</f>
        <v>1</v>
      </c>
      <c r="O31" s="43">
        <f>1 - CUSTOS!$M$29</f>
        <v>1</v>
      </c>
      <c r="P31" s="43">
        <f>1 - CUSTOS!$M$29</f>
        <v>1</v>
      </c>
      <c r="Q31" s="43"/>
      <c r="R31" s="43">
        <f>(1 - CUSTOS!$M$29)*1.06</f>
        <v>1.06</v>
      </c>
      <c r="S31" s="43"/>
      <c r="T31" s="43">
        <f>1 - CUSTOS!$M$29</f>
        <v>1</v>
      </c>
      <c r="U31" s="43">
        <f>1 - CUSTOS!$M$29</f>
        <v>1</v>
      </c>
      <c r="V31" s="43">
        <f>1 - CUSTOS!$M$29</f>
        <v>1</v>
      </c>
      <c r="W31" s="43"/>
      <c r="X31" s="43"/>
      <c r="Y31" s="43"/>
      <c r="Z31" s="43">
        <f>1 - CUSTOS!$M$29</f>
        <v>1</v>
      </c>
      <c r="AA31" s="43"/>
      <c r="AB31" s="43"/>
    </row>
    <row r="32" spans="1:28" ht="11.25" customHeight="1" x14ac:dyDescent="0.25">
      <c r="A32" s="127"/>
      <c r="B32" s="127" t="s">
        <v>116</v>
      </c>
      <c r="C32" s="127" t="s">
        <v>45</v>
      </c>
      <c r="D32" s="127" t="s">
        <v>133</v>
      </c>
      <c r="E32" s="127" t="s">
        <v>25</v>
      </c>
      <c r="F32" s="127" t="s">
        <v>25</v>
      </c>
      <c r="G32" s="45" t="s">
        <v>118</v>
      </c>
      <c r="H32" s="45" t="s">
        <v>117</v>
      </c>
      <c r="I32" s="45">
        <f>'MERCADO TE'!$U$29</f>
        <v>0</v>
      </c>
      <c r="J32" s="16"/>
      <c r="L32" s="43">
        <f>1 - CUSTOS!$M$30</f>
        <v>1</v>
      </c>
      <c r="M32" s="43">
        <f>1 - CUSTOS!$M$30</f>
        <v>1</v>
      </c>
      <c r="N32" s="43">
        <f>1 - CUSTOS!$M$30</f>
        <v>1</v>
      </c>
      <c r="O32" s="43">
        <f>1 - CUSTOS!$M$30</f>
        <v>1</v>
      </c>
      <c r="P32" s="43">
        <f>1 - CUSTOS!$M$30</f>
        <v>1</v>
      </c>
      <c r="Q32" s="43"/>
      <c r="R32" s="43">
        <f>(1 - CUSTOS!$M$30)*1.72</f>
        <v>1.72</v>
      </c>
      <c r="S32" s="43"/>
      <c r="T32" s="43">
        <f>1 - CUSTOS!$M$30</f>
        <v>1</v>
      </c>
      <c r="U32" s="43">
        <f>1 - CUSTOS!$M$30</f>
        <v>1</v>
      </c>
      <c r="V32" s="43">
        <f>1 - CUSTOS!$M$30</f>
        <v>1</v>
      </c>
      <c r="W32" s="43"/>
      <c r="X32" s="43"/>
      <c r="Y32" s="43"/>
      <c r="Z32" s="43">
        <f>1 - CUSTOS!$M$30</f>
        <v>1</v>
      </c>
      <c r="AA32" s="43"/>
      <c r="AB32" s="43"/>
    </row>
    <row r="33" spans="1:28" ht="11.25" customHeight="1" x14ac:dyDescent="0.25">
      <c r="A33" s="127"/>
      <c r="B33" s="127"/>
      <c r="C33" s="127"/>
      <c r="D33" s="127"/>
      <c r="E33" s="127"/>
      <c r="F33" s="127"/>
      <c r="G33" s="45" t="s">
        <v>128</v>
      </c>
      <c r="H33" s="45" t="s">
        <v>117</v>
      </c>
      <c r="I33" s="45">
        <f>'MERCADO TE'!$U$30</f>
        <v>0</v>
      </c>
      <c r="J33" s="16"/>
      <c r="L33" s="43">
        <f>1 - CUSTOS!$M$30</f>
        <v>1</v>
      </c>
      <c r="M33" s="43">
        <f>1 - CUSTOS!$M$30</f>
        <v>1</v>
      </c>
      <c r="N33" s="43">
        <f>1 - CUSTOS!$M$30</f>
        <v>1</v>
      </c>
      <c r="O33" s="43">
        <f>1 - CUSTOS!$M$30</f>
        <v>1</v>
      </c>
      <c r="P33" s="43">
        <f>1 - CUSTOS!$M$30</f>
        <v>1</v>
      </c>
      <c r="Q33" s="43"/>
      <c r="R33" s="43">
        <f>(1 - CUSTOS!$M$30)*1</f>
        <v>1</v>
      </c>
      <c r="S33" s="43"/>
      <c r="T33" s="43">
        <f>1 - CUSTOS!$M$30</f>
        <v>1</v>
      </c>
      <c r="U33" s="43">
        <f>1 - CUSTOS!$M$30</f>
        <v>1</v>
      </c>
      <c r="V33" s="43">
        <f>1 - CUSTOS!$M$30</f>
        <v>1</v>
      </c>
      <c r="W33" s="43"/>
      <c r="X33" s="43"/>
      <c r="Y33" s="43"/>
      <c r="Z33" s="43">
        <f>1 - CUSTOS!$M$30</f>
        <v>1</v>
      </c>
      <c r="AA33" s="43"/>
      <c r="AB33" s="43"/>
    </row>
    <row r="34" spans="1:28" ht="11.25" customHeight="1" x14ac:dyDescent="0.25">
      <c r="A34" s="127"/>
      <c r="B34" s="127"/>
      <c r="C34" s="127"/>
      <c r="D34" s="127"/>
      <c r="E34" s="127"/>
      <c r="F34" s="127"/>
      <c r="G34" s="45" t="s">
        <v>119</v>
      </c>
      <c r="H34" s="45" t="s">
        <v>117</v>
      </c>
      <c r="I34" s="45">
        <f>'MERCADO TE'!$U$31</f>
        <v>0</v>
      </c>
      <c r="J34" s="16"/>
      <c r="L34" s="43">
        <f>1 - CUSTOS!$M$30</f>
        <v>1</v>
      </c>
      <c r="M34" s="43">
        <f>1 - CUSTOS!$M$30</f>
        <v>1</v>
      </c>
      <c r="N34" s="43">
        <f>1 - CUSTOS!$M$30</f>
        <v>1</v>
      </c>
      <c r="O34" s="43">
        <f>1 - CUSTOS!$M$30</f>
        <v>1</v>
      </c>
      <c r="P34" s="43">
        <f>1 - CUSTOS!$M$30</f>
        <v>1</v>
      </c>
      <c r="Q34" s="43"/>
      <c r="R34" s="43">
        <f>(1 - CUSTOS!$M$30)*1</f>
        <v>1</v>
      </c>
      <c r="S34" s="43"/>
      <c r="T34" s="43">
        <f>1 - CUSTOS!$M$30</f>
        <v>1</v>
      </c>
      <c r="U34" s="43">
        <f>1 - CUSTOS!$M$30</f>
        <v>1</v>
      </c>
      <c r="V34" s="43">
        <f>1 - CUSTOS!$M$30</f>
        <v>1</v>
      </c>
      <c r="W34" s="43"/>
      <c r="X34" s="43"/>
      <c r="Y34" s="43"/>
      <c r="Z34" s="43">
        <f>1 - CUSTOS!$M$30</f>
        <v>1</v>
      </c>
      <c r="AA34" s="43"/>
      <c r="AB34" s="43"/>
    </row>
    <row r="35" spans="1:28" ht="11.25" customHeight="1" x14ac:dyDescent="0.25">
      <c r="A35" s="127"/>
      <c r="B35" s="46" t="s">
        <v>129</v>
      </c>
      <c r="C35" s="46" t="s">
        <v>45</v>
      </c>
      <c r="D35" s="46" t="s">
        <v>133</v>
      </c>
      <c r="E35" s="46" t="s">
        <v>25</v>
      </c>
      <c r="F35" s="46" t="s">
        <v>25</v>
      </c>
      <c r="G35" s="45" t="s">
        <v>123</v>
      </c>
      <c r="H35" s="45" t="s">
        <v>117</v>
      </c>
      <c r="I35" s="45">
        <f>'MERCADO TE'!$U$32</f>
        <v>0</v>
      </c>
      <c r="J35" s="16"/>
      <c r="L35" s="43">
        <f>1 - CUSTOS!$M$30</f>
        <v>1</v>
      </c>
      <c r="M35" s="43">
        <f>1 - CUSTOS!$M$30</f>
        <v>1</v>
      </c>
      <c r="N35" s="43">
        <f>1 - CUSTOS!$M$30</f>
        <v>1</v>
      </c>
      <c r="O35" s="43">
        <f>1 - CUSTOS!$M$30</f>
        <v>1</v>
      </c>
      <c r="P35" s="43">
        <f>1 - CUSTOS!$M$30</f>
        <v>1</v>
      </c>
      <c r="Q35" s="43"/>
      <c r="R35" s="43">
        <f>(1 - CUSTOS!$M$30)*1.06</f>
        <v>1.06</v>
      </c>
      <c r="S35" s="43"/>
      <c r="T35" s="43">
        <f>1 - CUSTOS!$M$30</f>
        <v>1</v>
      </c>
      <c r="U35" s="43">
        <f>1 - CUSTOS!$M$30</f>
        <v>1</v>
      </c>
      <c r="V35" s="43">
        <f>1 - CUSTOS!$M$30</f>
        <v>1</v>
      </c>
      <c r="W35" s="43"/>
      <c r="X35" s="43"/>
      <c r="Y35" s="43"/>
      <c r="Z35" s="43">
        <f>1 - CUSTOS!$M$30</f>
        <v>1</v>
      </c>
      <c r="AA35" s="43"/>
      <c r="AB35" s="43"/>
    </row>
    <row r="36" spans="1:28" ht="11.25" customHeight="1" x14ac:dyDescent="0.25">
      <c r="A36" s="127"/>
      <c r="B36" s="127" t="s">
        <v>130</v>
      </c>
      <c r="C36" s="127" t="s">
        <v>45</v>
      </c>
      <c r="D36" s="46" t="s">
        <v>25</v>
      </c>
      <c r="E36" s="46" t="s">
        <v>25</v>
      </c>
      <c r="F36" s="46" t="s">
        <v>25</v>
      </c>
      <c r="G36" s="45" t="s">
        <v>123</v>
      </c>
      <c r="H36" s="45" t="s">
        <v>117</v>
      </c>
      <c r="I36" s="45">
        <f>'MERCADO TE'!$U$33</f>
        <v>0</v>
      </c>
      <c r="J36" s="16"/>
      <c r="L36" s="43">
        <f>1 - CUSTOS!$M$28</f>
        <v>1</v>
      </c>
      <c r="M36" s="43">
        <f>1 - CUSTOS!$M$28</f>
        <v>1</v>
      </c>
      <c r="N36" s="43">
        <f>1 - CUSTOS!$M$28</f>
        <v>1</v>
      </c>
      <c r="O36" s="43">
        <f>1 - CUSTOS!$M$28</f>
        <v>1</v>
      </c>
      <c r="P36" s="43">
        <f>1 - CUSTOS!$M$28</f>
        <v>1</v>
      </c>
      <c r="Q36" s="43"/>
      <c r="R36" s="43">
        <f>(1 - CUSTOS!$M$28)*1.06</f>
        <v>1.06</v>
      </c>
      <c r="S36" s="43"/>
      <c r="T36" s="43">
        <f>1 - CUSTOS!$M$28</f>
        <v>1</v>
      </c>
      <c r="U36" s="43">
        <f>1 - CUSTOS!$M$28</f>
        <v>1</v>
      </c>
      <c r="V36" s="43">
        <f>1 - CUSTOS!$M$28</f>
        <v>1</v>
      </c>
      <c r="W36" s="43"/>
      <c r="X36" s="43"/>
      <c r="Y36" s="43"/>
      <c r="Z36" s="43">
        <f>1 - CUSTOS!$M$28</f>
        <v>1</v>
      </c>
      <c r="AA36" s="43"/>
      <c r="AB36" s="43"/>
    </row>
    <row r="37" spans="1:28" ht="11.25" customHeight="1" x14ac:dyDescent="0.25">
      <c r="A37" s="127"/>
      <c r="B37" s="127"/>
      <c r="C37" s="127"/>
      <c r="D37" s="46" t="s">
        <v>132</v>
      </c>
      <c r="E37" s="46" t="s">
        <v>25</v>
      </c>
      <c r="F37" s="46" t="s">
        <v>25</v>
      </c>
      <c r="G37" s="45" t="s">
        <v>123</v>
      </c>
      <c r="H37" s="45" t="s">
        <v>117</v>
      </c>
      <c r="I37" s="45">
        <f>'MERCADO TE'!$U$34</f>
        <v>0</v>
      </c>
      <c r="J37" s="16"/>
      <c r="L37" s="43">
        <f>1 - CUSTOS!$M$29</f>
        <v>1</v>
      </c>
      <c r="M37" s="43">
        <f>1 - CUSTOS!$M$29</f>
        <v>1</v>
      </c>
      <c r="N37" s="43">
        <f>1 - CUSTOS!$M$29</f>
        <v>1</v>
      </c>
      <c r="O37" s="43">
        <f>1 - CUSTOS!$M$29</f>
        <v>1</v>
      </c>
      <c r="P37" s="43">
        <f>1 - CUSTOS!$M$29</f>
        <v>1</v>
      </c>
      <c r="Q37" s="43"/>
      <c r="R37" s="43">
        <f>(1 - CUSTOS!$M$29)*1.06</f>
        <v>1.06</v>
      </c>
      <c r="S37" s="43"/>
      <c r="T37" s="43">
        <f>1 - CUSTOS!$M$29</f>
        <v>1</v>
      </c>
      <c r="U37" s="43">
        <f>1 - CUSTOS!$M$29</f>
        <v>1</v>
      </c>
      <c r="V37" s="43">
        <f>1 - CUSTOS!$M$29</f>
        <v>1</v>
      </c>
      <c r="W37" s="43"/>
      <c r="X37" s="43"/>
      <c r="Y37" s="43"/>
      <c r="Z37" s="43">
        <f>1 - CUSTOS!$M$29</f>
        <v>1</v>
      </c>
      <c r="AA37" s="43"/>
      <c r="AB37" s="43"/>
    </row>
    <row r="38" spans="1:28" ht="11.25" customHeight="1" x14ac:dyDescent="0.25">
      <c r="A38" s="127"/>
      <c r="B38" s="127"/>
      <c r="C38" s="127"/>
      <c r="D38" s="46" t="s">
        <v>133</v>
      </c>
      <c r="E38" s="46" t="s">
        <v>25</v>
      </c>
      <c r="F38" s="46" t="s">
        <v>25</v>
      </c>
      <c r="G38" s="45" t="s">
        <v>123</v>
      </c>
      <c r="H38" s="45" t="s">
        <v>117</v>
      </c>
      <c r="I38" s="45">
        <f>'MERCADO TE'!$U$35</f>
        <v>0</v>
      </c>
      <c r="J38" s="16"/>
      <c r="L38" s="43">
        <f>1 - CUSTOS!$M$30</f>
        <v>1</v>
      </c>
      <c r="M38" s="43">
        <f>1 - CUSTOS!$M$30</f>
        <v>1</v>
      </c>
      <c r="N38" s="43">
        <f>1 - CUSTOS!$M$30</f>
        <v>1</v>
      </c>
      <c r="O38" s="43">
        <f>1 - CUSTOS!$M$30</f>
        <v>1</v>
      </c>
      <c r="P38" s="43">
        <f>1 - CUSTOS!$M$30</f>
        <v>1</v>
      </c>
      <c r="Q38" s="43"/>
      <c r="R38" s="43">
        <f>(1 - CUSTOS!$M$30)*1.06</f>
        <v>1.06</v>
      </c>
      <c r="S38" s="43"/>
      <c r="T38" s="43">
        <f>1 - CUSTOS!$M$30</f>
        <v>1</v>
      </c>
      <c r="U38" s="43">
        <f>1 - CUSTOS!$M$30</f>
        <v>1</v>
      </c>
      <c r="V38" s="43">
        <f>1 - CUSTOS!$M$30</f>
        <v>1</v>
      </c>
      <c r="W38" s="43"/>
      <c r="X38" s="43"/>
      <c r="Y38" s="43"/>
      <c r="Z38" s="43">
        <f>1 - CUSTOS!$M$30</f>
        <v>1</v>
      </c>
      <c r="AA38" s="43"/>
      <c r="AB38" s="43"/>
    </row>
    <row r="39" spans="1:28" ht="11.25" customHeight="1" x14ac:dyDescent="0.25">
      <c r="A39" s="127" t="s">
        <v>37</v>
      </c>
      <c r="B39" s="127" t="s">
        <v>116</v>
      </c>
      <c r="C39" s="127" t="s">
        <v>25</v>
      </c>
      <c r="D39" s="127" t="s">
        <v>25</v>
      </c>
      <c r="E39" s="127" t="s">
        <v>25</v>
      </c>
      <c r="F39" s="127" t="s">
        <v>25</v>
      </c>
      <c r="G39" s="45" t="s">
        <v>118</v>
      </c>
      <c r="H39" s="45" t="s">
        <v>117</v>
      </c>
      <c r="I39" s="45">
        <f>'MERCADO TE'!$U$36</f>
        <v>31.868999999999996</v>
      </c>
      <c r="J39" s="16"/>
      <c r="L39" s="43">
        <f>1 - CUSTOS!$M$31</f>
        <v>1</v>
      </c>
      <c r="M39" s="43">
        <f>1 - CUSTOS!$M$31</f>
        <v>1</v>
      </c>
      <c r="N39" s="43">
        <f>1 - CUSTOS!$M$31</f>
        <v>1</v>
      </c>
      <c r="O39" s="43">
        <f>1 - CUSTOS!$M$31</f>
        <v>1</v>
      </c>
      <c r="P39" s="43">
        <f>1 - CUSTOS!$M$31</f>
        <v>1</v>
      </c>
      <c r="Q39" s="43"/>
      <c r="R39" s="43">
        <f>(1 - CUSTOS!$M$31)*1.72</f>
        <v>1.72</v>
      </c>
      <c r="S39" s="43"/>
      <c r="T39" s="43">
        <f>1 - CUSTOS!$M$31</f>
        <v>1</v>
      </c>
      <c r="U39" s="43">
        <f>1 - CUSTOS!$M$31</f>
        <v>1</v>
      </c>
      <c r="V39" s="43">
        <f>1 - CUSTOS!$M$31</f>
        <v>1</v>
      </c>
      <c r="W39" s="43"/>
      <c r="X39" s="43"/>
      <c r="Y39" s="43"/>
      <c r="Z39" s="43">
        <f>1 - CUSTOS!$M$31</f>
        <v>1</v>
      </c>
      <c r="AA39" s="43"/>
      <c r="AB39" s="43"/>
    </row>
    <row r="40" spans="1:28" ht="11.25" customHeight="1" x14ac:dyDescent="0.25">
      <c r="A40" s="127"/>
      <c r="B40" s="127"/>
      <c r="C40" s="127"/>
      <c r="D40" s="127"/>
      <c r="E40" s="127"/>
      <c r="F40" s="127"/>
      <c r="G40" s="45" t="s">
        <v>128</v>
      </c>
      <c r="H40" s="45" t="s">
        <v>117</v>
      </c>
      <c r="I40" s="45">
        <f>'MERCADO TE'!$U$37</f>
        <v>31.273999999999997</v>
      </c>
      <c r="J40" s="16"/>
      <c r="L40" s="43">
        <f>1 - CUSTOS!$M$31</f>
        <v>1</v>
      </c>
      <c r="M40" s="43">
        <f>1 - CUSTOS!$M$31</f>
        <v>1</v>
      </c>
      <c r="N40" s="43">
        <f>1 - CUSTOS!$M$31</f>
        <v>1</v>
      </c>
      <c r="O40" s="43">
        <f>1 - CUSTOS!$M$31</f>
        <v>1</v>
      </c>
      <c r="P40" s="43">
        <f>1 - CUSTOS!$M$31</f>
        <v>1</v>
      </c>
      <c r="Q40" s="43"/>
      <c r="R40" s="43">
        <f>(1 - CUSTOS!$M$31)*1</f>
        <v>1</v>
      </c>
      <c r="S40" s="43"/>
      <c r="T40" s="43">
        <f>1 - CUSTOS!$M$31</f>
        <v>1</v>
      </c>
      <c r="U40" s="43">
        <f>1 - CUSTOS!$M$31</f>
        <v>1</v>
      </c>
      <c r="V40" s="43">
        <f>1 - CUSTOS!$M$31</f>
        <v>1</v>
      </c>
      <c r="W40" s="43"/>
      <c r="X40" s="43"/>
      <c r="Y40" s="43"/>
      <c r="Z40" s="43">
        <f>1 - CUSTOS!$M$31</f>
        <v>1</v>
      </c>
      <c r="AA40" s="43"/>
      <c r="AB40" s="43"/>
    </row>
    <row r="41" spans="1:28" ht="11.25" customHeight="1" x14ac:dyDescent="0.25">
      <c r="A41" s="127"/>
      <c r="B41" s="127"/>
      <c r="C41" s="127"/>
      <c r="D41" s="127"/>
      <c r="E41" s="127"/>
      <c r="F41" s="127"/>
      <c r="G41" s="45" t="s">
        <v>119</v>
      </c>
      <c r="H41" s="45" t="s">
        <v>117</v>
      </c>
      <c r="I41" s="45">
        <f>'MERCADO TE'!$U$38</f>
        <v>381.83600000000001</v>
      </c>
      <c r="J41" s="16"/>
      <c r="L41" s="43">
        <f>1 - CUSTOS!$M$31</f>
        <v>1</v>
      </c>
      <c r="M41" s="43">
        <f>1 - CUSTOS!$M$31</f>
        <v>1</v>
      </c>
      <c r="N41" s="43">
        <f>1 - CUSTOS!$M$31</f>
        <v>1</v>
      </c>
      <c r="O41" s="43">
        <f>1 - CUSTOS!$M$31</f>
        <v>1</v>
      </c>
      <c r="P41" s="43">
        <f>1 - CUSTOS!$M$31</f>
        <v>1</v>
      </c>
      <c r="Q41" s="43"/>
      <c r="R41" s="43">
        <f>(1 - CUSTOS!$M$31)*1</f>
        <v>1</v>
      </c>
      <c r="S41" s="43"/>
      <c r="T41" s="43">
        <f>1 - CUSTOS!$M$31</f>
        <v>1</v>
      </c>
      <c r="U41" s="43">
        <f>1 - CUSTOS!$M$31</f>
        <v>1</v>
      </c>
      <c r="V41" s="43">
        <f>1 - CUSTOS!$M$31</f>
        <v>1</v>
      </c>
      <c r="W41" s="43"/>
      <c r="X41" s="43"/>
      <c r="Y41" s="43"/>
      <c r="Z41" s="43">
        <f>1 - CUSTOS!$M$31</f>
        <v>1</v>
      </c>
      <c r="AA41" s="43"/>
      <c r="AB41" s="43"/>
    </row>
    <row r="42" spans="1:28" ht="11.25" customHeight="1" x14ac:dyDescent="0.25">
      <c r="A42" s="127"/>
      <c r="B42" s="46" t="s">
        <v>129</v>
      </c>
      <c r="C42" s="46" t="s">
        <v>25</v>
      </c>
      <c r="D42" s="46" t="s">
        <v>25</v>
      </c>
      <c r="E42" s="46" t="s">
        <v>25</v>
      </c>
      <c r="F42" s="46" t="s">
        <v>25</v>
      </c>
      <c r="G42" s="45" t="s">
        <v>123</v>
      </c>
      <c r="H42" s="45" t="s">
        <v>117</v>
      </c>
      <c r="I42" s="45">
        <f>'MERCADO TE'!$U$39</f>
        <v>226492.11000000002</v>
      </c>
      <c r="J42" s="16"/>
      <c r="L42" s="43">
        <f>1 - CUSTOS!$M$31</f>
        <v>1</v>
      </c>
      <c r="M42" s="43">
        <f>1 - CUSTOS!$M$31</f>
        <v>1</v>
      </c>
      <c r="N42" s="43">
        <f>1 - CUSTOS!$M$31</f>
        <v>1</v>
      </c>
      <c r="O42" s="43">
        <f>1 - CUSTOS!$M$31</f>
        <v>1</v>
      </c>
      <c r="P42" s="43">
        <f>1 - CUSTOS!$M$31</f>
        <v>1</v>
      </c>
      <c r="Q42" s="43"/>
      <c r="R42" s="43">
        <f>(1 - CUSTOS!$M$31)*1.06</f>
        <v>1.06</v>
      </c>
      <c r="S42" s="43"/>
      <c r="T42" s="43">
        <f>1 - CUSTOS!$M$31</f>
        <v>1</v>
      </c>
      <c r="U42" s="43">
        <f>1 - CUSTOS!$M$31</f>
        <v>1</v>
      </c>
      <c r="V42" s="43">
        <f>1 - CUSTOS!$M$31</f>
        <v>1</v>
      </c>
      <c r="W42" s="43"/>
      <c r="X42" s="43"/>
      <c r="Y42" s="43"/>
      <c r="Z42" s="43">
        <f>1 - CUSTOS!$M$31</f>
        <v>1</v>
      </c>
      <c r="AA42" s="43"/>
      <c r="AB42" s="43"/>
    </row>
    <row r="43" spans="1:28" ht="11.25" customHeight="1" x14ac:dyDescent="0.25">
      <c r="A43" s="127"/>
      <c r="B43" s="46" t="s">
        <v>130</v>
      </c>
      <c r="C43" s="46" t="s">
        <v>25</v>
      </c>
      <c r="D43" s="46" t="s">
        <v>25</v>
      </c>
      <c r="E43" s="46" t="s">
        <v>25</v>
      </c>
      <c r="F43" s="46" t="s">
        <v>25</v>
      </c>
      <c r="G43" s="45" t="s">
        <v>123</v>
      </c>
      <c r="H43" s="45" t="s">
        <v>117</v>
      </c>
      <c r="I43" s="45">
        <f>'MERCADO TE'!$U$40</f>
        <v>0</v>
      </c>
      <c r="J43" s="16"/>
      <c r="L43" s="43">
        <f>1 - CUSTOS!$M$31</f>
        <v>1</v>
      </c>
      <c r="M43" s="43">
        <f>1 - CUSTOS!$M$31</f>
        <v>1</v>
      </c>
      <c r="N43" s="43">
        <f>1 - CUSTOS!$M$31</f>
        <v>1</v>
      </c>
      <c r="O43" s="43">
        <f>1 - CUSTOS!$M$31</f>
        <v>1</v>
      </c>
      <c r="P43" s="43">
        <f>1 - CUSTOS!$M$31</f>
        <v>1</v>
      </c>
      <c r="Q43" s="43"/>
      <c r="R43" s="43">
        <f>(1 - CUSTOS!$M$31)*1.06</f>
        <v>1.06</v>
      </c>
      <c r="S43" s="43"/>
      <c r="T43" s="43">
        <f>1 - CUSTOS!$M$31</f>
        <v>1</v>
      </c>
      <c r="U43" s="43">
        <f>1 - CUSTOS!$M$31</f>
        <v>1</v>
      </c>
      <c r="V43" s="43">
        <f>1 - CUSTOS!$M$31</f>
        <v>1</v>
      </c>
      <c r="W43" s="43"/>
      <c r="X43" s="43"/>
      <c r="Y43" s="43"/>
      <c r="Z43" s="43">
        <f>1 - CUSTOS!$M$31</f>
        <v>1</v>
      </c>
      <c r="AA43" s="43"/>
      <c r="AB43" s="43"/>
    </row>
    <row r="44" spans="1:28" ht="11.25" customHeight="1" x14ac:dyDescent="0.25">
      <c r="A44" s="127" t="s">
        <v>47</v>
      </c>
      <c r="B44" s="127" t="s">
        <v>129</v>
      </c>
      <c r="C44" s="127" t="s">
        <v>48</v>
      </c>
      <c r="D44" s="46" t="s">
        <v>49</v>
      </c>
      <c r="E44" s="46" t="s">
        <v>25</v>
      </c>
      <c r="F44" s="46" t="s">
        <v>25</v>
      </c>
      <c r="G44" s="45" t="s">
        <v>123</v>
      </c>
      <c r="H44" s="45" t="s">
        <v>117</v>
      </c>
      <c r="I44" s="45">
        <f>'MERCADO TE'!$U$41</f>
        <v>81306.822999999989</v>
      </c>
      <c r="J44" s="16"/>
      <c r="L44" s="43">
        <f>1 - CUSTOS!$M$32</f>
        <v>0.55000000000000004</v>
      </c>
      <c r="M44" s="43">
        <f>1 - CUSTOS!$M$32</f>
        <v>0.55000000000000004</v>
      </c>
      <c r="N44" s="43">
        <f>1 - CUSTOS!$M$32</f>
        <v>0.55000000000000004</v>
      </c>
      <c r="O44" s="43">
        <f>1 - CUSTOS!$M$32</f>
        <v>0.55000000000000004</v>
      </c>
      <c r="P44" s="43">
        <f>1 - CUSTOS!$M$32</f>
        <v>0.55000000000000004</v>
      </c>
      <c r="Q44" s="43"/>
      <c r="R44" s="43">
        <f>(1 - CUSTOS!$M$32)*1.06</f>
        <v>0.58300000000000007</v>
      </c>
      <c r="S44" s="43"/>
      <c r="T44" s="43">
        <f>1 - CUSTOS!$M$32</f>
        <v>0.55000000000000004</v>
      </c>
      <c r="U44" s="43">
        <f>1 - CUSTOS!$M$32</f>
        <v>0.55000000000000004</v>
      </c>
      <c r="V44" s="43">
        <f>1 - CUSTOS!$M$32</f>
        <v>0.55000000000000004</v>
      </c>
      <c r="W44" s="43"/>
      <c r="X44" s="43"/>
      <c r="Y44" s="43"/>
      <c r="Z44" s="43">
        <f>1 - CUSTOS!$M$32</f>
        <v>0.55000000000000004</v>
      </c>
      <c r="AA44" s="43"/>
      <c r="AB44" s="43"/>
    </row>
    <row r="45" spans="1:28" ht="11.25" customHeight="1" x14ac:dyDescent="0.25">
      <c r="A45" s="127"/>
      <c r="B45" s="127"/>
      <c r="C45" s="127"/>
      <c r="D45" s="45" t="s">
        <v>50</v>
      </c>
      <c r="E45" s="45" t="s">
        <v>25</v>
      </c>
      <c r="F45" s="45" t="s">
        <v>25</v>
      </c>
      <c r="G45" s="45" t="s">
        <v>123</v>
      </c>
      <c r="H45" s="45" t="s">
        <v>117</v>
      </c>
      <c r="I45" s="45">
        <f>'MERCADO TE'!$U$42</f>
        <v>1579.0179999999998</v>
      </c>
      <c r="J45" s="16"/>
      <c r="L45" s="43">
        <f>1 - CUSTOS!$M$33</f>
        <v>0.6</v>
      </c>
      <c r="M45" s="43">
        <f>1 - CUSTOS!$M$33</f>
        <v>0.6</v>
      </c>
      <c r="N45" s="43">
        <f>1 - CUSTOS!$M$33</f>
        <v>0.6</v>
      </c>
      <c r="O45" s="43">
        <f>1 - CUSTOS!$M$33</f>
        <v>0.6</v>
      </c>
      <c r="P45" s="43">
        <f>1 - CUSTOS!$M$33</f>
        <v>0.6</v>
      </c>
      <c r="Q45" s="43"/>
      <c r="R45" s="43">
        <f>(1 - CUSTOS!$M$33)*1.06</f>
        <v>0.63600000000000001</v>
      </c>
      <c r="S45" s="43"/>
      <c r="T45" s="43">
        <f>1 - CUSTOS!$M$33</f>
        <v>0.6</v>
      </c>
      <c r="U45" s="43">
        <f>1 - CUSTOS!$M$33</f>
        <v>0.6</v>
      </c>
      <c r="V45" s="43">
        <f>1 - CUSTOS!$M$33</f>
        <v>0.6</v>
      </c>
      <c r="W45" s="43"/>
      <c r="X45" s="43"/>
      <c r="Y45" s="43"/>
      <c r="Z45" s="43">
        <f>1 - CUSTOS!$M$33</f>
        <v>0.6</v>
      </c>
      <c r="AA45" s="43"/>
      <c r="AB45" s="43"/>
    </row>
    <row r="47" spans="1:28" ht="11.25" customHeight="1" x14ac:dyDescent="0.25">
      <c r="K47" s="48" t="s">
        <v>1056</v>
      </c>
      <c r="L47" s="43">
        <f t="shared" ref="L47:AB47" si="0">SUMPRODUCT($I$5:$I$45,L$5:L$45)</f>
        <v>1140087.2004499999</v>
      </c>
      <c r="M47" s="43">
        <f t="shared" si="0"/>
        <v>1140087.2004499999</v>
      </c>
      <c r="N47" s="43">
        <f t="shared" si="0"/>
        <v>1140087.2004499999</v>
      </c>
      <c r="O47" s="43">
        <f t="shared" si="0"/>
        <v>1140087.2004499999</v>
      </c>
      <c r="P47" s="43">
        <f t="shared" si="0"/>
        <v>1140087.2004499999</v>
      </c>
      <c r="Q47" s="43">
        <f t="shared" si="0"/>
        <v>0</v>
      </c>
      <c r="R47" s="43">
        <f t="shared" si="0"/>
        <v>1205513.5223569998</v>
      </c>
      <c r="S47" s="43">
        <f t="shared" si="0"/>
        <v>0</v>
      </c>
      <c r="T47" s="43">
        <f t="shared" si="0"/>
        <v>1140087.2004499999</v>
      </c>
      <c r="U47" s="43">
        <f t="shared" si="0"/>
        <v>1140087.2004499999</v>
      </c>
      <c r="V47" s="43">
        <f t="shared" si="0"/>
        <v>1140087.2004499999</v>
      </c>
      <c r="W47" s="43">
        <f t="shared" si="0"/>
        <v>0</v>
      </c>
      <c r="X47" s="43">
        <f t="shared" si="0"/>
        <v>0</v>
      </c>
      <c r="Y47" s="43">
        <f t="shared" si="0"/>
        <v>0</v>
      </c>
      <c r="Z47" s="43">
        <f t="shared" si="0"/>
        <v>1140087.2004499999</v>
      </c>
      <c r="AA47" s="43">
        <f t="shared" si="0"/>
        <v>0</v>
      </c>
      <c r="AB47" s="43">
        <f t="shared" si="0"/>
        <v>0</v>
      </c>
    </row>
    <row r="48" spans="1:28" ht="11.25" customHeight="1" x14ac:dyDescent="0.25">
      <c r="K48" s="48" t="s">
        <v>992</v>
      </c>
      <c r="L48" s="43">
        <f>CUSTOS!$D$30</f>
        <v>3660581.106714922</v>
      </c>
      <c r="M48" s="43">
        <f>CUSTOS!$D$31</f>
        <v>14736731.351028152</v>
      </c>
      <c r="N48" s="43">
        <f>CUSTOS!$D$32</f>
        <v>0</v>
      </c>
      <c r="O48" s="43">
        <f>CUSTOS!$D$33</f>
        <v>12214113.286631148</v>
      </c>
      <c r="P48" s="43">
        <f>CUSTOS!$D$34</f>
        <v>-19890000</v>
      </c>
      <c r="Q48" s="43">
        <f>CUSTOS!$D$35</f>
        <v>10721425.744374223</v>
      </c>
      <c r="R48" s="43">
        <f>CUSTOS!$D$36</f>
        <v>338416914.13455844</v>
      </c>
      <c r="S48" s="43">
        <f>CUSTOS!$D$37</f>
        <v>338416914.13455844</v>
      </c>
      <c r="T48" s="43">
        <f>CUSTOS!$D$38</f>
        <v>5890129.4745977521</v>
      </c>
      <c r="U48" s="43">
        <f>CUSTOS!$D$39</f>
        <v>4895139.6684207348</v>
      </c>
      <c r="V48" s="43">
        <f>CUSTOS!$D$40</f>
        <v>0</v>
      </c>
      <c r="W48" s="43">
        <f>CUSTOS!$D$41</f>
        <v>10785269.143018488</v>
      </c>
      <c r="X48" s="43">
        <f>CUSTOS!$D$42</f>
        <v>0</v>
      </c>
      <c r="Y48" s="43">
        <f>CUSTOS!$D$43</f>
        <v>0</v>
      </c>
      <c r="Z48" s="43">
        <f>CUSTOS!$D$44</f>
        <v>1603355.699737974</v>
      </c>
      <c r="AA48" s="43">
        <f>CUSTOS!$D$45</f>
        <v>1603355.699737974</v>
      </c>
      <c r="AB48" s="43">
        <f>CUSTOS!$D$46</f>
        <v>361526964.72168911</v>
      </c>
    </row>
    <row r="49" spans="11:28" ht="11.25" customHeight="1" x14ac:dyDescent="0.25">
      <c r="K49" s="48" t="s">
        <v>993</v>
      </c>
      <c r="L49" s="43">
        <f>CUSTOS!$E$30</f>
        <v>-2.0787998395881386</v>
      </c>
      <c r="M49" s="43">
        <f>CUSTOS!$E$31</f>
        <v>-3085583.4352911115</v>
      </c>
      <c r="N49" s="43">
        <f>CUSTOS!$E$32</f>
        <v>0</v>
      </c>
      <c r="O49" s="43">
        <f>CUSTOS!$E$33</f>
        <v>5965711.8347441349</v>
      </c>
      <c r="P49" s="43">
        <f>CUSTOS!$E$34</f>
        <v>0</v>
      </c>
      <c r="Q49" s="43">
        <f>CUSTOS!$E$35</f>
        <v>2880126.3206531839</v>
      </c>
      <c r="R49" s="43">
        <f>CUSTOS!$E$36</f>
        <v>-31353630.145635135</v>
      </c>
      <c r="S49" s="43">
        <f>CUSTOS!$E$37</f>
        <v>-31353630.145635135</v>
      </c>
      <c r="T49" s="43">
        <f>CUSTOS!$E$38</f>
        <v>2577326.8666546531</v>
      </c>
      <c r="U49" s="43">
        <f>CUSTOS!$E$39</f>
        <v>352547.98520048341</v>
      </c>
      <c r="V49" s="43">
        <f>CUSTOS!$E$40</f>
        <v>0</v>
      </c>
      <c r="W49" s="43">
        <f>CUSTOS!$E$41</f>
        <v>2929874.8518551365</v>
      </c>
      <c r="X49" s="43">
        <f>CUSTOS!$E$42</f>
        <v>0</v>
      </c>
      <c r="Y49" s="43">
        <f>CUSTOS!$E$43</f>
        <v>0</v>
      </c>
      <c r="Z49" s="43">
        <f>CUSTOS!$E$44</f>
        <v>-148547.60356774638</v>
      </c>
      <c r="AA49" s="43">
        <f>CUSTOS!$E$45</f>
        <v>-148547.60356774638</v>
      </c>
      <c r="AB49" s="43">
        <f>CUSTOS!$E$46</f>
        <v>-25692176.576694559</v>
      </c>
    </row>
    <row r="50" spans="11:28" ht="11.25" customHeight="1" x14ac:dyDescent="0.25">
      <c r="K50" s="48" t="s">
        <v>994</v>
      </c>
      <c r="L50" s="43">
        <f>CUSTOS!$F$30</f>
        <v>0</v>
      </c>
      <c r="M50" s="43">
        <f>CUSTOS!$F$31</f>
        <v>15865968.807700001</v>
      </c>
      <c r="N50" s="43">
        <f>CUSTOS!$F$32</f>
        <v>0</v>
      </c>
      <c r="O50" s="43">
        <f>CUSTOS!$F$33</f>
        <v>820056.53808497591</v>
      </c>
      <c r="P50" s="43">
        <f>CUSTOS!$F$34</f>
        <v>0</v>
      </c>
      <c r="Q50" s="43">
        <f>CUSTOS!$F$35</f>
        <v>16686025.345784977</v>
      </c>
      <c r="R50" s="43">
        <f>CUSTOS!$F$36</f>
        <v>22478673.272212066</v>
      </c>
      <c r="S50" s="43">
        <f>CUSTOS!$F$37</f>
        <v>22478673.272212066</v>
      </c>
      <c r="T50" s="43">
        <f>CUSTOS!$F$38</f>
        <v>-384844.36339999997</v>
      </c>
      <c r="U50" s="43">
        <f>CUSTOS!$F$39</f>
        <v>272404.48173653503</v>
      </c>
      <c r="V50" s="43">
        <f>CUSTOS!$F$40</f>
        <v>0</v>
      </c>
      <c r="W50" s="43">
        <f>CUSTOS!$F$41</f>
        <v>-112439.88166346494</v>
      </c>
      <c r="X50" s="43">
        <f>CUSTOS!$F$42</f>
        <v>0</v>
      </c>
      <c r="Y50" s="43">
        <f>CUSTOS!$F$43</f>
        <v>0</v>
      </c>
      <c r="Z50" s="43">
        <f>CUSTOS!$F$44</f>
        <v>106499.72684053976</v>
      </c>
      <c r="AA50" s="43">
        <f>CUSTOS!$F$45</f>
        <v>106499.72684053976</v>
      </c>
      <c r="AB50" s="43">
        <f>CUSTOS!$F$46</f>
        <v>39158758.46317412</v>
      </c>
    </row>
    <row r="51" spans="11:28" ht="11.25" customHeight="1" x14ac:dyDescent="0.25">
      <c r="K51" s="48" t="s">
        <v>1057</v>
      </c>
      <c r="L51" s="43">
        <f>IF(SUMPRODUCT($I$5:$I$45,$L$5:$L$45)&lt;&gt;0,L48/SUMPRODUCT($I$5:$I$45,$L$5:$L$45),0)</f>
        <v>3.2107904599490871</v>
      </c>
      <c r="M51" s="43">
        <f>IF(SUMPRODUCT($I$5:$I$45,$M$5:$M$45)&lt;&gt;0,M48/SUMPRODUCT($I$5:$I$45,$M$5:$M$45),0)</f>
        <v>12.925968597148945</v>
      </c>
      <c r="N51" s="43">
        <f>IF(SUMPRODUCT($I$5:$I$45,$N$5:$N$45)&lt;&gt;0,N48/SUMPRODUCT($I$5:$I$45,$N$5:$N$45),0)</f>
        <v>0</v>
      </c>
      <c r="O51" s="43">
        <f>IF(SUMPRODUCT($I$5:$I$45,$O$5:$O$45)&lt;&gt;0,O48/SUMPRODUCT($I$5:$I$45,$O$5:$O$45),0)</f>
        <v>10.713314983108448</v>
      </c>
      <c r="P51" s="43">
        <f>IF(SUMPRODUCT($I$5:$I$45,$P$5:$P$45)&lt;&gt;0,P48/SUMPRODUCT($I$5:$I$45,$P$5:$P$45),0)</f>
        <v>-17.446033945604587</v>
      </c>
      <c r="Q51" s="43"/>
      <c r="R51" s="43">
        <f>IF((CUSTOS!$M$12-CUSTOS!$M$13)&lt;&gt;0,(CUSTOS!$M$12*CUSTOS!$M$14)/(CUSTOS!$M$12-CUSTOS!$M$13),0)</f>
        <v>293.64489547885739</v>
      </c>
      <c r="S51" s="43"/>
      <c r="T51" s="43">
        <f>IF(SUMPRODUCT($I$5:$I$45,$T$5:$T$45)&lt;&gt;0,T48/SUMPRODUCT($I$5:$I$45,$T$5:$T$45),0)</f>
        <v>5.1663850556982656</v>
      </c>
      <c r="U51" s="43">
        <f>IF(SUMPRODUCT($I$5:$I$45,$U$5:$U$45)&lt;&gt;0,U48/SUMPRODUCT($I$5:$I$45,$U$5:$U$45),0)</f>
        <v>4.2936537367392518</v>
      </c>
      <c r="V51" s="43">
        <f>IF(SUMPRODUCT($I$5:$I$45,$V$5:$V$45)&lt;&gt;0,V48/SUMPRODUCT($I$5:$I$45,$V$5:$V$45),0)</f>
        <v>0</v>
      </c>
      <c r="W51" s="43"/>
      <c r="X51" s="43">
        <f>IF(SUMPRODUCT($I$5:$I$45,$X$5:$X$45)&lt;&gt;0,X48/SUMPRODUCT($I$5:$I$45,$X$5:$X$45),0)</f>
        <v>0</v>
      </c>
      <c r="Y51" s="43"/>
      <c r="Z51" s="43">
        <f>IF(SUMPRODUCT($I$5:$I$45,$Z$5:$Z$45)&lt;&gt;0,Z48/SUMPRODUCT($I$5:$I$45,$Z$5:$Z$45),0)</f>
        <v>1.4063447945956407</v>
      </c>
      <c r="AA51" s="43"/>
      <c r="AB51" s="43"/>
    </row>
    <row r="52" spans="11:28" ht="11.25" customHeight="1" x14ac:dyDescent="0.25">
      <c r="K52" s="48" t="s">
        <v>1058</v>
      </c>
      <c r="L52" s="43">
        <f>IF(L47&lt;&gt;0,(L48-L51*0)/(L47-0),0)</f>
        <v>3.2107904599490871</v>
      </c>
      <c r="M52" s="43">
        <f>IF(M47&lt;&gt;0,(M48-M51*0)/(M47-0),0)</f>
        <v>12.925968597148945</v>
      </c>
      <c r="N52" s="43">
        <f>IF(N47&lt;&gt;0,(N48-N51*0)/(N47-0),0)</f>
        <v>0</v>
      </c>
      <c r="O52" s="43">
        <f>IF(O47&lt;&gt;0,(O48-O51*0)/(O47-0),0)</f>
        <v>10.713314983108448</v>
      </c>
      <c r="P52" s="43">
        <f>IF(P47&lt;&gt;0,(P48-P51*0)/(P47-0),0)</f>
        <v>-17.446033945604587</v>
      </c>
      <c r="Q52" s="43"/>
      <c r="R52" s="43">
        <f>IF(R47&lt;&gt;0,(R48-R51*0)/(R47-0),0)</f>
        <v>280.72427878941693</v>
      </c>
      <c r="S52" s="43"/>
      <c r="T52" s="43">
        <f>IF(T47&lt;&gt;0,(T48-T51*0)/(T47-0),0)</f>
        <v>5.1663850556982656</v>
      </c>
      <c r="U52" s="43">
        <f>IF(U47&lt;&gt;0,(U48-U51*0)/(U47-0),0)</f>
        <v>4.2936537367392518</v>
      </c>
      <c r="V52" s="43">
        <f>IF(V47&lt;&gt;0,(V48-V51*0)/(V47-0),0)</f>
        <v>0</v>
      </c>
      <c r="W52" s="43"/>
      <c r="X52" s="43">
        <f>IF(X47&lt;&gt;0,(X48-X51*0)/(X47-0),0)</f>
        <v>0</v>
      </c>
      <c r="Y52" s="43"/>
      <c r="Z52" s="43">
        <f>IF(Z47&lt;&gt;0,(Z48-Z51*0)/(Z47-0),0)</f>
        <v>1.4063447945956407</v>
      </c>
      <c r="AA52" s="43"/>
      <c r="AB52" s="43"/>
    </row>
    <row r="53" spans="11:28" ht="11.25" customHeight="1" x14ac:dyDescent="0.25">
      <c r="K53" s="48" t="s">
        <v>1059</v>
      </c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</row>
  </sheetData>
  <mergeCells count="73">
    <mergeCell ref="F5:F6"/>
    <mergeCell ref="A5:A6"/>
    <mergeCell ref="B5:B6"/>
    <mergeCell ref="C5:C6"/>
    <mergeCell ref="D5:D6"/>
    <mergeCell ref="E5:E6"/>
    <mergeCell ref="F9:F10"/>
    <mergeCell ref="A7:A8"/>
    <mergeCell ref="B7:B8"/>
    <mergeCell ref="C7:C8"/>
    <mergeCell ref="D7:D8"/>
    <mergeCell ref="E7:E8"/>
    <mergeCell ref="F7:F8"/>
    <mergeCell ref="A9:A10"/>
    <mergeCell ref="B9:B10"/>
    <mergeCell ref="C9:C10"/>
    <mergeCell ref="D9:D10"/>
    <mergeCell ref="E9:E10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E32:E34"/>
    <mergeCell ref="F32:F34"/>
    <mergeCell ref="A24:A38"/>
    <mergeCell ref="B24:B26"/>
    <mergeCell ref="C24:C26"/>
    <mergeCell ref="D24:D26"/>
    <mergeCell ref="E24:E26"/>
    <mergeCell ref="F24:F26"/>
    <mergeCell ref="B28:B30"/>
    <mergeCell ref="C28:C30"/>
    <mergeCell ref="D28:D30"/>
    <mergeCell ref="E28:E30"/>
    <mergeCell ref="F1:F4"/>
    <mergeCell ref="E39:E41"/>
    <mergeCell ref="F39:F41"/>
    <mergeCell ref="A44:A45"/>
    <mergeCell ref="B44:B45"/>
    <mergeCell ref="C44:C45"/>
    <mergeCell ref="B36:B38"/>
    <mergeCell ref="C36:C38"/>
    <mergeCell ref="A39:A43"/>
    <mergeCell ref="B39:B41"/>
    <mergeCell ref="C39:C41"/>
    <mergeCell ref="D39:D41"/>
    <mergeCell ref="F28:F30"/>
    <mergeCell ref="B32:B34"/>
    <mergeCell ref="C32:C34"/>
    <mergeCell ref="D32:D34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3ADDB-D669-4428-A901-A43C21C5E21D}">
  <dimension ref="A1:AB53"/>
  <sheetViews>
    <sheetView showGridLines="0" topLeftCell="S34" workbookViewId="0">
      <selection activeCell="AB47" sqref="AB4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10.8554687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6" t="s">
        <v>107</v>
      </c>
      <c r="B1" s="126" t="s">
        <v>108</v>
      </c>
      <c r="C1" s="126" t="s">
        <v>109</v>
      </c>
      <c r="D1" s="126" t="s">
        <v>110</v>
      </c>
      <c r="E1" s="126" t="s">
        <v>111</v>
      </c>
      <c r="F1" s="126" t="s">
        <v>15</v>
      </c>
      <c r="G1" s="126" t="s">
        <v>113</v>
      </c>
      <c r="H1" s="126" t="s">
        <v>114</v>
      </c>
      <c r="I1" s="126" t="s">
        <v>1040</v>
      </c>
      <c r="J1" s="114"/>
      <c r="L1" s="124" t="s">
        <v>1060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</row>
    <row r="2" spans="1:28" ht="11.25" customHeight="1" x14ac:dyDescent="0.25">
      <c r="A2" s="126"/>
      <c r="B2" s="126"/>
      <c r="C2" s="126"/>
      <c r="D2" s="126"/>
      <c r="E2" s="126"/>
      <c r="F2" s="126"/>
      <c r="G2" s="126"/>
      <c r="H2" s="126"/>
      <c r="I2" s="126"/>
      <c r="J2" s="114"/>
      <c r="L2" s="124" t="s">
        <v>979</v>
      </c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</row>
    <row r="3" spans="1:28" ht="11.25" customHeight="1" x14ac:dyDescent="0.25">
      <c r="A3" s="126"/>
      <c r="B3" s="126"/>
      <c r="C3" s="126"/>
      <c r="D3" s="126"/>
      <c r="E3" s="126"/>
      <c r="F3" s="126"/>
      <c r="G3" s="126"/>
      <c r="H3" s="126"/>
      <c r="I3" s="126"/>
      <c r="J3" s="114"/>
      <c r="L3" s="124" t="s">
        <v>952</v>
      </c>
      <c r="M3" s="124"/>
      <c r="N3" s="124"/>
      <c r="O3" s="124"/>
      <c r="P3" s="124"/>
      <c r="Q3" s="124"/>
      <c r="R3" s="124" t="s">
        <v>982</v>
      </c>
      <c r="S3" s="124"/>
      <c r="T3" s="124" t="s">
        <v>961</v>
      </c>
      <c r="U3" s="124"/>
      <c r="V3" s="124"/>
      <c r="W3" s="124"/>
      <c r="X3" s="124" t="s">
        <v>971</v>
      </c>
      <c r="Y3" s="124"/>
      <c r="Z3" s="124" t="s">
        <v>974</v>
      </c>
      <c r="AA3" s="124"/>
      <c r="AB3" s="124" t="s">
        <v>960</v>
      </c>
    </row>
    <row r="4" spans="1:28" ht="11.25" customHeight="1" x14ac:dyDescent="0.25">
      <c r="A4" s="126"/>
      <c r="B4" s="126"/>
      <c r="C4" s="126"/>
      <c r="D4" s="126"/>
      <c r="E4" s="126"/>
      <c r="F4" s="126"/>
      <c r="G4" s="126"/>
      <c r="H4" s="126"/>
      <c r="I4" s="126"/>
      <c r="J4" s="114"/>
      <c r="L4" s="47" t="s">
        <v>954</v>
      </c>
      <c r="M4" s="47" t="s">
        <v>980</v>
      </c>
      <c r="N4" s="47" t="s">
        <v>981</v>
      </c>
      <c r="O4" s="47" t="s">
        <v>1039</v>
      </c>
      <c r="P4" s="47" t="s">
        <v>1613</v>
      </c>
      <c r="Q4" s="47" t="s">
        <v>960</v>
      </c>
      <c r="R4" s="47" t="s">
        <v>983</v>
      </c>
      <c r="S4" s="47" t="s">
        <v>960</v>
      </c>
      <c r="T4" s="47" t="s">
        <v>984</v>
      </c>
      <c r="U4" s="47" t="s">
        <v>985</v>
      </c>
      <c r="V4" s="47" t="s">
        <v>986</v>
      </c>
      <c r="W4" s="47" t="s">
        <v>960</v>
      </c>
      <c r="X4" s="47" t="s">
        <v>972</v>
      </c>
      <c r="Y4" s="47" t="s">
        <v>960</v>
      </c>
      <c r="Z4" s="47" t="s">
        <v>987</v>
      </c>
      <c r="AA4" s="47" t="s">
        <v>960</v>
      </c>
      <c r="AB4" s="125"/>
    </row>
    <row r="5" spans="1:28" ht="11.25" customHeight="1" x14ac:dyDescent="0.25">
      <c r="A5" s="127" t="s">
        <v>59</v>
      </c>
      <c r="B5" s="127" t="s">
        <v>116</v>
      </c>
      <c r="C5" s="127" t="s">
        <v>25</v>
      </c>
      <c r="D5" s="127" t="s">
        <v>25</v>
      </c>
      <c r="E5" s="127" t="s">
        <v>25</v>
      </c>
      <c r="F5" s="127" t="s">
        <v>25</v>
      </c>
      <c r="G5" s="45" t="s">
        <v>118</v>
      </c>
      <c r="H5" s="45" t="s">
        <v>117</v>
      </c>
      <c r="I5" s="45">
        <f>'MERCADO TE'!$U$2</f>
        <v>0</v>
      </c>
      <c r="J5" s="16"/>
      <c r="L5" s="43">
        <f>'TR TE'!$L$5*'TR TE'!$L$52</f>
        <v>3.2107904599490871</v>
      </c>
      <c r="M5" s="43">
        <f>'TR TE'!$M$5*'TR TE'!$M$52</f>
        <v>12.925968597148945</v>
      </c>
      <c r="N5" s="43">
        <f>'TR TE'!$N$5*'TR TE'!$N$52</f>
        <v>0</v>
      </c>
      <c r="O5" s="43">
        <f>'TR TE'!$O$5*'TR TE'!$O$52</f>
        <v>10.713314983108448</v>
      </c>
      <c r="P5" s="43">
        <f>'TR TE'!$P$5*'TR TE'!$P$52</f>
        <v>-17.446033945604587</v>
      </c>
      <c r="Q5" s="43">
        <f>SUM($L$5:$P$5)</f>
        <v>9.4040400946018927</v>
      </c>
      <c r="R5" s="43">
        <f>'TR TE'!$R$5*'TR TE'!$R$52</f>
        <v>482.84575951779709</v>
      </c>
      <c r="S5" s="43">
        <f>SUM($R$5:$R$5)</f>
        <v>482.84575951779709</v>
      </c>
      <c r="T5" s="43">
        <f>'TR TE'!$T$5*'TR TE'!$T$52</f>
        <v>5.1663850556982656</v>
      </c>
      <c r="U5" s="43">
        <f>'TR TE'!$U$5*'TR TE'!$U$52</f>
        <v>4.2936537367392518</v>
      </c>
      <c r="V5" s="43">
        <f>'TR TE'!$V$5*'TR TE'!$V$52</f>
        <v>0</v>
      </c>
      <c r="W5" s="43">
        <f>SUM($T$5:$V$5)</f>
        <v>9.4600387924375173</v>
      </c>
      <c r="X5" s="43"/>
      <c r="Y5" s="43">
        <f>SUM($X$5:$X$5)</f>
        <v>0</v>
      </c>
      <c r="Z5" s="43">
        <f>'TR TE'!$Z$5*'TR TE'!$Z$52</f>
        <v>1.4063447945956407</v>
      </c>
      <c r="AA5" s="43">
        <f>SUM($Z$5:$Z$5)</f>
        <v>1.4063447945956407</v>
      </c>
      <c r="AB5" s="43">
        <f>SUMIF($L$4:$AA$4,"SUBTOTAL",$L$5:$AA$5)</f>
        <v>503.11618319943216</v>
      </c>
    </row>
    <row r="6" spans="1:28" ht="11.25" customHeight="1" x14ac:dyDescent="0.25">
      <c r="A6" s="127"/>
      <c r="B6" s="127"/>
      <c r="C6" s="127"/>
      <c r="D6" s="127"/>
      <c r="E6" s="127"/>
      <c r="F6" s="127"/>
      <c r="G6" s="45" t="s">
        <v>119</v>
      </c>
      <c r="H6" s="45" t="s">
        <v>117</v>
      </c>
      <c r="I6" s="45">
        <f>'MERCADO TE'!$U$3</f>
        <v>0</v>
      </c>
      <c r="J6" s="16"/>
      <c r="L6" s="43">
        <f>'TR TE'!$L$6*'TR TE'!$L$52</f>
        <v>3.2107904599490871</v>
      </c>
      <c r="M6" s="43">
        <f>'TR TE'!$M$6*'TR TE'!$M$52</f>
        <v>12.925968597148945</v>
      </c>
      <c r="N6" s="43">
        <f>'TR TE'!$N$6*'TR TE'!$N$52</f>
        <v>0</v>
      </c>
      <c r="O6" s="43">
        <f>'TR TE'!$O$6*'TR TE'!$O$52</f>
        <v>10.713314983108448</v>
      </c>
      <c r="P6" s="43">
        <f>'TR TE'!$P$6*'TR TE'!$P$52</f>
        <v>-17.446033945604587</v>
      </c>
      <c r="Q6" s="43">
        <f>SUM($L$6:$P$6)</f>
        <v>9.4040400946018927</v>
      </c>
      <c r="R6" s="43">
        <f>'TR TE'!$R$6*'TR TE'!$R$52</f>
        <v>280.72427878941693</v>
      </c>
      <c r="S6" s="43">
        <f>SUM($R$6:$R$6)</f>
        <v>280.72427878941693</v>
      </c>
      <c r="T6" s="43">
        <f>'TR TE'!$T$6*'TR TE'!$T$52</f>
        <v>5.1663850556982656</v>
      </c>
      <c r="U6" s="43">
        <f>'TR TE'!$U$6*'TR TE'!$U$52</f>
        <v>4.2936537367392518</v>
      </c>
      <c r="V6" s="43">
        <f>'TR TE'!$V$6*'TR TE'!$V$52</f>
        <v>0</v>
      </c>
      <c r="W6" s="43">
        <f>SUM($T$6:$V$6)</f>
        <v>9.4600387924375173</v>
      </c>
      <c r="X6" s="43"/>
      <c r="Y6" s="43">
        <f>SUM($X$6:$X$6)</f>
        <v>0</v>
      </c>
      <c r="Z6" s="43">
        <f>'TR TE'!$Z$6*'TR TE'!$Z$52</f>
        <v>1.4063447945956407</v>
      </c>
      <c r="AA6" s="43">
        <f>SUM($Z$6:$Z$6)</f>
        <v>1.4063447945956407</v>
      </c>
      <c r="AB6" s="43">
        <f>SUMIF($L$4:$AA$4,"SUBTOTAL",$L$6:$AA$6)</f>
        <v>300.99470247105199</v>
      </c>
    </row>
    <row r="7" spans="1:28" ht="11.25" customHeight="1" x14ac:dyDescent="0.25">
      <c r="A7" s="127" t="s">
        <v>39</v>
      </c>
      <c r="B7" s="127" t="s">
        <v>116</v>
      </c>
      <c r="C7" s="127" t="s">
        <v>25</v>
      </c>
      <c r="D7" s="127" t="s">
        <v>25</v>
      </c>
      <c r="E7" s="127" t="s">
        <v>25</v>
      </c>
      <c r="F7" s="127" t="s">
        <v>25</v>
      </c>
      <c r="G7" s="45" t="s">
        <v>118</v>
      </c>
      <c r="H7" s="45" t="s">
        <v>117</v>
      </c>
      <c r="I7" s="45">
        <f>'MERCADO TE'!$U$4</f>
        <v>174.774</v>
      </c>
      <c r="J7" s="16"/>
      <c r="L7" s="43">
        <f>'TR TE'!$L$7*'TR TE'!$L$52</f>
        <v>3.2107904599490871</v>
      </c>
      <c r="M7" s="43">
        <f>'TR TE'!$M$7*'TR TE'!$M$52</f>
        <v>12.925968597148945</v>
      </c>
      <c r="N7" s="43">
        <f>'TR TE'!$N$7*'TR TE'!$N$52</f>
        <v>0</v>
      </c>
      <c r="O7" s="43">
        <f>'TR TE'!$O$7*'TR TE'!$O$52</f>
        <v>10.713314983108448</v>
      </c>
      <c r="P7" s="43">
        <f>'TR TE'!$P$7*'TR TE'!$P$52</f>
        <v>-17.446033945604587</v>
      </c>
      <c r="Q7" s="43">
        <f>SUM($L$7:$P$7)</f>
        <v>9.4040400946018927</v>
      </c>
      <c r="R7" s="43">
        <f>'TR TE'!$R$7*'TR TE'!$R$52</f>
        <v>482.84575951779709</v>
      </c>
      <c r="S7" s="43">
        <f>SUM($R$7:$R$7)</f>
        <v>482.84575951779709</v>
      </c>
      <c r="T7" s="43">
        <f>'TR TE'!$T$7*'TR TE'!$T$52</f>
        <v>5.1663850556982656</v>
      </c>
      <c r="U7" s="43">
        <f>'TR TE'!$U$7*'TR TE'!$U$52</f>
        <v>4.2936537367392518</v>
      </c>
      <c r="V7" s="43">
        <f>'TR TE'!$V$7*'TR TE'!$V$52</f>
        <v>0</v>
      </c>
      <c r="W7" s="43">
        <f>SUM($T$7:$V$7)</f>
        <v>9.4600387924375173</v>
      </c>
      <c r="X7" s="43"/>
      <c r="Y7" s="43">
        <f>SUM($X$7:$X$7)</f>
        <v>0</v>
      </c>
      <c r="Z7" s="43">
        <f>'TR TE'!$Z$7*'TR TE'!$Z$52</f>
        <v>1.4063447945956407</v>
      </c>
      <c r="AA7" s="43">
        <f>SUM($Z$7:$Z$7)</f>
        <v>1.4063447945956407</v>
      </c>
      <c r="AB7" s="43">
        <f>SUMIF($L$4:$AA$4,"SUBTOTAL",$L$7:$AA$7)</f>
        <v>503.11618319943216</v>
      </c>
    </row>
    <row r="8" spans="1:28" ht="11.25" customHeight="1" x14ac:dyDescent="0.25">
      <c r="A8" s="127"/>
      <c r="B8" s="127"/>
      <c r="C8" s="127"/>
      <c r="D8" s="127"/>
      <c r="E8" s="127"/>
      <c r="F8" s="127"/>
      <c r="G8" s="45" t="s">
        <v>119</v>
      </c>
      <c r="H8" s="45" t="s">
        <v>117</v>
      </c>
      <c r="I8" s="45">
        <f>'MERCADO TE'!$U$5</f>
        <v>1762.346</v>
      </c>
      <c r="J8" s="16"/>
      <c r="L8" s="43">
        <f>'TR TE'!$L$8*'TR TE'!$L$52</f>
        <v>3.2107904599490871</v>
      </c>
      <c r="M8" s="43">
        <f>'TR TE'!$M$8*'TR TE'!$M$52</f>
        <v>12.925968597148945</v>
      </c>
      <c r="N8" s="43">
        <f>'TR TE'!$N$8*'TR TE'!$N$52</f>
        <v>0</v>
      </c>
      <c r="O8" s="43">
        <f>'TR TE'!$O$8*'TR TE'!$O$52</f>
        <v>10.713314983108448</v>
      </c>
      <c r="P8" s="43">
        <f>'TR TE'!$P$8*'TR TE'!$P$52</f>
        <v>-17.446033945604587</v>
      </c>
      <c r="Q8" s="43">
        <f>SUM($L$8:$P$8)</f>
        <v>9.4040400946018927</v>
      </c>
      <c r="R8" s="43">
        <f>'TR TE'!$R$8*'TR TE'!$R$52</f>
        <v>280.72427878941693</v>
      </c>
      <c r="S8" s="43">
        <f>SUM($R$8:$R$8)</f>
        <v>280.72427878941693</v>
      </c>
      <c r="T8" s="43">
        <f>'TR TE'!$T$8*'TR TE'!$T$52</f>
        <v>5.1663850556982656</v>
      </c>
      <c r="U8" s="43">
        <f>'TR TE'!$U$8*'TR TE'!$U$52</f>
        <v>4.2936537367392518</v>
      </c>
      <c r="V8" s="43">
        <f>'TR TE'!$V$8*'TR TE'!$V$52</f>
        <v>0</v>
      </c>
      <c r="W8" s="43">
        <f>SUM($T$8:$V$8)</f>
        <v>9.4600387924375173</v>
      </c>
      <c r="X8" s="43"/>
      <c r="Y8" s="43">
        <f>SUM($X$8:$X$8)</f>
        <v>0</v>
      </c>
      <c r="Z8" s="43">
        <f>'TR TE'!$Z$8*'TR TE'!$Z$52</f>
        <v>1.4063447945956407</v>
      </c>
      <c r="AA8" s="43">
        <f>SUM($Z$8:$Z$8)</f>
        <v>1.4063447945956407</v>
      </c>
      <c r="AB8" s="43">
        <f>SUMIF($L$4:$AA$4,"SUBTOTAL",$L$8:$AA$8)</f>
        <v>300.99470247105199</v>
      </c>
    </row>
    <row r="9" spans="1:28" ht="11.25" customHeight="1" x14ac:dyDescent="0.25">
      <c r="A9" s="127" t="s">
        <v>41</v>
      </c>
      <c r="B9" s="127" t="s">
        <v>116</v>
      </c>
      <c r="C9" s="127" t="s">
        <v>25</v>
      </c>
      <c r="D9" s="127" t="s">
        <v>25</v>
      </c>
      <c r="E9" s="127" t="s">
        <v>25</v>
      </c>
      <c r="F9" s="127" t="s">
        <v>25</v>
      </c>
      <c r="G9" s="45" t="s">
        <v>118</v>
      </c>
      <c r="H9" s="45" t="s">
        <v>117</v>
      </c>
      <c r="I9" s="45">
        <f>'MERCADO TE'!$U$6</f>
        <v>7308.0869999999995</v>
      </c>
      <c r="J9" s="16"/>
      <c r="L9" s="43">
        <f>'TR TE'!$L$9*'TR TE'!$L$52</f>
        <v>3.2107904599490871</v>
      </c>
      <c r="M9" s="43">
        <f>'TR TE'!$M$9*'TR TE'!$M$52</f>
        <v>12.925968597148945</v>
      </c>
      <c r="N9" s="43">
        <f>'TR TE'!$N$9*'TR TE'!$N$52</f>
        <v>0</v>
      </c>
      <c r="O9" s="43">
        <f>'TR TE'!$O$9*'TR TE'!$O$52</f>
        <v>10.713314983108448</v>
      </c>
      <c r="P9" s="43">
        <f>'TR TE'!$P$9*'TR TE'!$P$52</f>
        <v>-17.446033945604587</v>
      </c>
      <c r="Q9" s="43">
        <f>SUM($L$9:$P$9)</f>
        <v>9.4040400946018927</v>
      </c>
      <c r="R9" s="43">
        <f>'TR TE'!$R$9*'TR TE'!$R$52</f>
        <v>482.84575951779709</v>
      </c>
      <c r="S9" s="43">
        <f>SUM($R$9:$R$9)</f>
        <v>482.84575951779709</v>
      </c>
      <c r="T9" s="43">
        <f>'TR TE'!$T$9*'TR TE'!$T$52</f>
        <v>5.1663850556982656</v>
      </c>
      <c r="U9" s="43">
        <f>'TR TE'!$U$9*'TR TE'!$U$52</f>
        <v>4.2936537367392518</v>
      </c>
      <c r="V9" s="43">
        <f>'TR TE'!$V$9*'TR TE'!$V$52</f>
        <v>0</v>
      </c>
      <c r="W9" s="43">
        <f>SUM($T$9:$V$9)</f>
        <v>9.4600387924375173</v>
      </c>
      <c r="X9" s="43"/>
      <c r="Y9" s="43">
        <f>SUM($X$9:$X$9)</f>
        <v>0</v>
      </c>
      <c r="Z9" s="43">
        <f>'TR TE'!$Z$9*'TR TE'!$Z$52</f>
        <v>1.4063447945956407</v>
      </c>
      <c r="AA9" s="43">
        <f>SUM($Z$9:$Z$9)</f>
        <v>1.4063447945956407</v>
      </c>
      <c r="AB9" s="43">
        <f>SUMIF($L$4:$AA$4,"SUBTOTAL",$L$9:$AA$9)</f>
        <v>503.11618319943216</v>
      </c>
    </row>
    <row r="10" spans="1:28" ht="11.25" customHeight="1" x14ac:dyDescent="0.25">
      <c r="A10" s="127"/>
      <c r="B10" s="127"/>
      <c r="C10" s="127"/>
      <c r="D10" s="127"/>
      <c r="E10" s="127"/>
      <c r="F10" s="127"/>
      <c r="G10" s="45" t="s">
        <v>119</v>
      </c>
      <c r="H10" s="45" t="s">
        <v>117</v>
      </c>
      <c r="I10" s="45">
        <f>'MERCADO TE'!$U$7</f>
        <v>130195.47900000001</v>
      </c>
      <c r="J10" s="16"/>
      <c r="L10" s="43">
        <f>'TR TE'!$L$10*'TR TE'!$L$52</f>
        <v>3.2107904599490871</v>
      </c>
      <c r="M10" s="43">
        <f>'TR TE'!$M$10*'TR TE'!$M$52</f>
        <v>12.925968597148945</v>
      </c>
      <c r="N10" s="43">
        <f>'TR TE'!$N$10*'TR TE'!$N$52</f>
        <v>0</v>
      </c>
      <c r="O10" s="43">
        <f>'TR TE'!$O$10*'TR TE'!$O$52</f>
        <v>10.713314983108448</v>
      </c>
      <c r="P10" s="43">
        <f>'TR TE'!$P$10*'TR TE'!$P$52</f>
        <v>-17.446033945604587</v>
      </c>
      <c r="Q10" s="43">
        <f>SUM($L$10:$P$10)</f>
        <v>9.4040400946018927</v>
      </c>
      <c r="R10" s="43">
        <f>'TR TE'!$R$10*'TR TE'!$R$52</f>
        <v>280.72427878941693</v>
      </c>
      <c r="S10" s="43">
        <f>SUM($R$10:$R$10)</f>
        <v>280.72427878941693</v>
      </c>
      <c r="T10" s="43">
        <f>'TR TE'!$T$10*'TR TE'!$T$52</f>
        <v>5.1663850556982656</v>
      </c>
      <c r="U10" s="43">
        <f>'TR TE'!$U$10*'TR TE'!$U$52</f>
        <v>4.2936537367392518</v>
      </c>
      <c r="V10" s="43">
        <f>'TR TE'!$V$10*'TR TE'!$V$52</f>
        <v>0</v>
      </c>
      <c r="W10" s="43">
        <f>SUM($T$10:$V$10)</f>
        <v>9.4600387924375173</v>
      </c>
      <c r="X10" s="43"/>
      <c r="Y10" s="43">
        <f>SUM($X$10:$X$10)</f>
        <v>0</v>
      </c>
      <c r="Z10" s="43">
        <f>'TR TE'!$Z$10*'TR TE'!$Z$52</f>
        <v>1.4063447945956407</v>
      </c>
      <c r="AA10" s="43">
        <f>SUM($Z$10:$Z$10)</f>
        <v>1.4063447945956407</v>
      </c>
      <c r="AB10" s="43">
        <f>SUMIF($L$4:$AA$4,"SUBTOTAL",$L$10:$AA$10)</f>
        <v>300.99470247105199</v>
      </c>
    </row>
    <row r="11" spans="1:28" ht="11.25" customHeight="1" x14ac:dyDescent="0.25">
      <c r="A11" s="127" t="s">
        <v>22</v>
      </c>
      <c r="B11" s="127" t="s">
        <v>116</v>
      </c>
      <c r="C11" s="127" t="s">
        <v>24</v>
      </c>
      <c r="D11" s="127" t="s">
        <v>24</v>
      </c>
      <c r="E11" s="127" t="s">
        <v>25</v>
      </c>
      <c r="F11" s="127" t="s">
        <v>25</v>
      </c>
      <c r="G11" s="45" t="s">
        <v>118</v>
      </c>
      <c r="H11" s="45" t="s">
        <v>117</v>
      </c>
      <c r="I11" s="45">
        <f>'MERCADO TE'!$U$8</f>
        <v>17.429000000000002</v>
      </c>
      <c r="J11" s="16"/>
      <c r="L11" s="43">
        <f>'TR TE'!$L$11*'TR TE'!$L$52</f>
        <v>3.2107904599490871</v>
      </c>
      <c r="M11" s="43">
        <f>'TR TE'!$M$11*'TR TE'!$M$52</f>
        <v>12.925968597148945</v>
      </c>
      <c r="N11" s="43">
        <f>'TR TE'!$N$11*'TR TE'!$N$52</f>
        <v>0</v>
      </c>
      <c r="O11" s="43">
        <f>'TR TE'!$O$11*'TR TE'!$O$52</f>
        <v>10.713314983108448</v>
      </c>
      <c r="P11" s="43">
        <f>'TR TE'!$P$11*'TR TE'!$P$52</f>
        <v>-17.446033945604587</v>
      </c>
      <c r="Q11" s="43">
        <f>SUM($L$11:$P$11)</f>
        <v>9.4040400946018927</v>
      </c>
      <c r="R11" s="43">
        <f>'TR TE'!$R$11*'TR TE'!$R$52</f>
        <v>482.84575951779709</v>
      </c>
      <c r="S11" s="43">
        <f>SUM($R$11:$R$11)</f>
        <v>482.84575951779709</v>
      </c>
      <c r="T11" s="43">
        <f>'TR TE'!$T$11*'TR TE'!$T$52</f>
        <v>5.1663850556982656</v>
      </c>
      <c r="U11" s="43">
        <f>'TR TE'!$U$11*'TR TE'!$U$52</f>
        <v>4.2936537367392518</v>
      </c>
      <c r="V11" s="43">
        <f>'TR TE'!$V$11*'TR TE'!$V$52</f>
        <v>0</v>
      </c>
      <c r="W11" s="43">
        <f>SUM($T$11:$V$11)</f>
        <v>9.4600387924375173</v>
      </c>
      <c r="X11" s="43"/>
      <c r="Y11" s="43">
        <f>SUM($X$11:$X$11)</f>
        <v>0</v>
      </c>
      <c r="Z11" s="43">
        <f>'TR TE'!$Z$11*'TR TE'!$Z$52</f>
        <v>1.4063447945956407</v>
      </c>
      <c r="AA11" s="43">
        <f>SUM($Z$11:$Z$11)</f>
        <v>1.4063447945956407</v>
      </c>
      <c r="AB11" s="43">
        <f>SUMIF($L$4:$AA$4,"SUBTOTAL",$L$11:$AA$11)</f>
        <v>503.11618319943216</v>
      </c>
    </row>
    <row r="12" spans="1:28" ht="11.25" customHeight="1" x14ac:dyDescent="0.25">
      <c r="A12" s="127"/>
      <c r="B12" s="127"/>
      <c r="C12" s="127"/>
      <c r="D12" s="127"/>
      <c r="E12" s="127"/>
      <c r="F12" s="127"/>
      <c r="G12" s="45" t="s">
        <v>128</v>
      </c>
      <c r="H12" s="45" t="s">
        <v>117</v>
      </c>
      <c r="I12" s="45">
        <f>'MERCADO TE'!$U$9</f>
        <v>10.807000000000002</v>
      </c>
      <c r="J12" s="16"/>
      <c r="L12" s="43">
        <f>'TR TE'!$L$12*'TR TE'!$L$52</f>
        <v>3.2107904599490871</v>
      </c>
      <c r="M12" s="43">
        <f>'TR TE'!$M$12*'TR TE'!$M$52</f>
        <v>12.925968597148945</v>
      </c>
      <c r="N12" s="43">
        <f>'TR TE'!$N$12*'TR TE'!$N$52</f>
        <v>0</v>
      </c>
      <c r="O12" s="43">
        <f>'TR TE'!$O$12*'TR TE'!$O$52</f>
        <v>10.713314983108448</v>
      </c>
      <c r="P12" s="43">
        <f>'TR TE'!$P$12*'TR TE'!$P$52</f>
        <v>-17.446033945604587</v>
      </c>
      <c r="Q12" s="43">
        <f>SUM($L$12:$P$12)</f>
        <v>9.4040400946018927</v>
      </c>
      <c r="R12" s="43">
        <f>'TR TE'!$R$12*'TR TE'!$R$52</f>
        <v>280.72427878941693</v>
      </c>
      <c r="S12" s="43">
        <f>SUM($R$12:$R$12)</f>
        <v>280.72427878941693</v>
      </c>
      <c r="T12" s="43">
        <f>'TR TE'!$T$12*'TR TE'!$T$52</f>
        <v>5.1663850556982656</v>
      </c>
      <c r="U12" s="43">
        <f>'TR TE'!$U$12*'TR TE'!$U$52</f>
        <v>4.2936537367392518</v>
      </c>
      <c r="V12" s="43">
        <f>'TR TE'!$V$12*'TR TE'!$V$52</f>
        <v>0</v>
      </c>
      <c r="W12" s="43">
        <f>SUM($T$12:$V$12)</f>
        <v>9.4600387924375173</v>
      </c>
      <c r="X12" s="43"/>
      <c r="Y12" s="43">
        <f>SUM($X$12:$X$12)</f>
        <v>0</v>
      </c>
      <c r="Z12" s="43">
        <f>'TR TE'!$Z$12*'TR TE'!$Z$52</f>
        <v>1.4063447945956407</v>
      </c>
      <c r="AA12" s="43">
        <f>SUM($Z$12:$Z$12)</f>
        <v>1.4063447945956407</v>
      </c>
      <c r="AB12" s="43">
        <f>SUMIF($L$4:$AA$4,"SUBTOTAL",$L$12:$AA$12)</f>
        <v>300.99470247105199</v>
      </c>
    </row>
    <row r="13" spans="1:28" ht="11.25" customHeight="1" x14ac:dyDescent="0.25">
      <c r="A13" s="127"/>
      <c r="B13" s="127"/>
      <c r="C13" s="127"/>
      <c r="D13" s="127"/>
      <c r="E13" s="127"/>
      <c r="F13" s="127"/>
      <c r="G13" s="45" t="s">
        <v>119</v>
      </c>
      <c r="H13" s="45" t="s">
        <v>117</v>
      </c>
      <c r="I13" s="45">
        <f>'MERCADO TE'!$U$10</f>
        <v>120.55500000000001</v>
      </c>
      <c r="J13" s="16"/>
      <c r="L13" s="43">
        <f>'TR TE'!$L$13*'TR TE'!$L$52</f>
        <v>3.2107904599490871</v>
      </c>
      <c r="M13" s="43">
        <f>'TR TE'!$M$13*'TR TE'!$M$52</f>
        <v>12.925968597148945</v>
      </c>
      <c r="N13" s="43">
        <f>'TR TE'!$N$13*'TR TE'!$N$52</f>
        <v>0</v>
      </c>
      <c r="O13" s="43">
        <f>'TR TE'!$O$13*'TR TE'!$O$52</f>
        <v>10.713314983108448</v>
      </c>
      <c r="P13" s="43">
        <f>'TR TE'!$P$13*'TR TE'!$P$52</f>
        <v>-17.446033945604587</v>
      </c>
      <c r="Q13" s="43">
        <f>SUM($L$13:$P$13)</f>
        <v>9.4040400946018927</v>
      </c>
      <c r="R13" s="43">
        <f>'TR TE'!$R$13*'TR TE'!$R$52</f>
        <v>280.72427878941693</v>
      </c>
      <c r="S13" s="43">
        <f>SUM($R$13:$R$13)</f>
        <v>280.72427878941693</v>
      </c>
      <c r="T13" s="43">
        <f>'TR TE'!$T$13*'TR TE'!$T$52</f>
        <v>5.1663850556982656</v>
      </c>
      <c r="U13" s="43">
        <f>'TR TE'!$U$13*'TR TE'!$U$52</f>
        <v>4.2936537367392518</v>
      </c>
      <c r="V13" s="43">
        <f>'TR TE'!$V$13*'TR TE'!$V$52</f>
        <v>0</v>
      </c>
      <c r="W13" s="43">
        <f>SUM($T$13:$V$13)</f>
        <v>9.4600387924375173</v>
      </c>
      <c r="X13" s="43"/>
      <c r="Y13" s="43">
        <f>SUM($X$13:$X$13)</f>
        <v>0</v>
      </c>
      <c r="Z13" s="43">
        <f>'TR TE'!$Z$13*'TR TE'!$Z$52</f>
        <v>1.4063447945956407</v>
      </c>
      <c r="AA13" s="43">
        <f>SUM($Z$13:$Z$13)</f>
        <v>1.4063447945956407</v>
      </c>
      <c r="AB13" s="43">
        <f>SUMIF($L$4:$AA$4,"SUBTOTAL",$L$13:$AA$13)</f>
        <v>300.99470247105199</v>
      </c>
    </row>
    <row r="14" spans="1:28" ht="11.25" customHeight="1" x14ac:dyDescent="0.25">
      <c r="A14" s="127"/>
      <c r="B14" s="127" t="s">
        <v>129</v>
      </c>
      <c r="C14" s="127" t="s">
        <v>24</v>
      </c>
      <c r="D14" s="46" t="s">
        <v>24</v>
      </c>
      <c r="E14" s="46" t="s">
        <v>25</v>
      </c>
      <c r="F14" s="46" t="s">
        <v>25</v>
      </c>
      <c r="G14" s="45" t="s">
        <v>123</v>
      </c>
      <c r="H14" s="45" t="s">
        <v>117</v>
      </c>
      <c r="I14" s="45">
        <f>'MERCADO TE'!$U$11</f>
        <v>426447.22100000002</v>
      </c>
      <c r="J14" s="16"/>
      <c r="L14" s="43">
        <f>'TR TE'!$L$14*'TR TE'!$L$52</f>
        <v>3.2107904599490871</v>
      </c>
      <c r="M14" s="43">
        <f>'TR TE'!$M$14*'TR TE'!$M$52</f>
        <v>12.925968597148945</v>
      </c>
      <c r="N14" s="43">
        <f>'TR TE'!$N$14*'TR TE'!$N$52</f>
        <v>0</v>
      </c>
      <c r="O14" s="43">
        <f>'TR TE'!$O$14*'TR TE'!$O$52</f>
        <v>10.713314983108448</v>
      </c>
      <c r="P14" s="43">
        <f>'TR TE'!$P$14*'TR TE'!$P$52</f>
        <v>-17.446033945604587</v>
      </c>
      <c r="Q14" s="43">
        <f>SUM($L$14:$P$14)</f>
        <v>9.4040400946018927</v>
      </c>
      <c r="R14" s="43">
        <f>'TR TE'!$R$14*'TR TE'!$R$52</f>
        <v>297.56773551678197</v>
      </c>
      <c r="S14" s="43">
        <f>SUM($R$14:$R$14)</f>
        <v>297.56773551678197</v>
      </c>
      <c r="T14" s="43">
        <f>'TR TE'!$T$14*'TR TE'!$T$52</f>
        <v>5.1663850556982656</v>
      </c>
      <c r="U14" s="43">
        <f>'TR TE'!$U$14*'TR TE'!$U$52</f>
        <v>4.2936537367392518</v>
      </c>
      <c r="V14" s="43">
        <f>'TR TE'!$V$14*'TR TE'!$V$52</f>
        <v>0</v>
      </c>
      <c r="W14" s="43">
        <f>SUM($T$14:$V$14)</f>
        <v>9.4600387924375173</v>
      </c>
      <c r="X14" s="43"/>
      <c r="Y14" s="43">
        <f>SUM($X$14:$X$14)</f>
        <v>0</v>
      </c>
      <c r="Z14" s="43">
        <f>'TR TE'!$Z$14*'TR TE'!$Z$52</f>
        <v>1.4063447945956407</v>
      </c>
      <c r="AA14" s="43">
        <f>SUM($Z$14:$Z$14)</f>
        <v>1.4063447945956407</v>
      </c>
      <c r="AB14" s="43">
        <f>SUMIF($L$4:$AA$4,"SUBTOTAL",$L$14:$AA$14)</f>
        <v>317.83815919841703</v>
      </c>
    </row>
    <row r="15" spans="1:28" ht="11.25" customHeight="1" x14ac:dyDescent="0.25">
      <c r="A15" s="127"/>
      <c r="B15" s="127"/>
      <c r="C15" s="127"/>
      <c r="D15" s="46" t="s">
        <v>29</v>
      </c>
      <c r="E15" s="46" t="s">
        <v>25</v>
      </c>
      <c r="F15" s="46" t="s">
        <v>25</v>
      </c>
      <c r="G15" s="45" t="s">
        <v>123</v>
      </c>
      <c r="H15" s="45" t="s">
        <v>117</v>
      </c>
      <c r="I15" s="45">
        <f>'MERCADO TE'!$U$12</f>
        <v>31822.650999999998</v>
      </c>
      <c r="J15" s="16"/>
      <c r="L15" s="43">
        <f>'TR TE'!$L$15*'TR TE'!$L$52</f>
        <v>3.2107904599490871</v>
      </c>
      <c r="M15" s="43">
        <f>'TR TE'!$M$15*'TR TE'!$M$52</f>
        <v>12.925968597148945</v>
      </c>
      <c r="N15" s="43">
        <f>'TR TE'!$N$15*'TR TE'!$N$52</f>
        <v>0</v>
      </c>
      <c r="O15" s="43">
        <f>'TR TE'!$O$15*'TR TE'!$O$52</f>
        <v>10.713314983108448</v>
      </c>
      <c r="P15" s="43">
        <f>'TR TE'!$P$15*'TR TE'!$P$52</f>
        <v>-17.446033945604587</v>
      </c>
      <c r="Q15" s="43">
        <f>SUM($L$15:$P$15)</f>
        <v>9.4040400946018927</v>
      </c>
      <c r="R15" s="43">
        <f>'TR TE'!$R$15*'TR TE'!$R$52</f>
        <v>297.56773551678197</v>
      </c>
      <c r="S15" s="43">
        <f>SUM($R$15:$R$15)</f>
        <v>297.56773551678197</v>
      </c>
      <c r="T15" s="43">
        <f>'TR TE'!$T$15*'TR TE'!$T$52</f>
        <v>5.1663850556982656</v>
      </c>
      <c r="U15" s="43">
        <f>'TR TE'!$U$15*'TR TE'!$U$52</f>
        <v>4.2936537367392518</v>
      </c>
      <c r="V15" s="43">
        <f>'TR TE'!$V$15*'TR TE'!$V$52</f>
        <v>0</v>
      </c>
      <c r="W15" s="43">
        <f>SUM($T$15:$V$15)</f>
        <v>9.4600387924375173</v>
      </c>
      <c r="X15" s="43"/>
      <c r="Y15" s="43">
        <f>SUM($X$15:$X$15)</f>
        <v>0</v>
      </c>
      <c r="Z15" s="43">
        <f>'TR TE'!$Z$15*'TR TE'!$Z$52</f>
        <v>1.4063447945956407</v>
      </c>
      <c r="AA15" s="43">
        <f>SUM($Z$15:$Z$15)</f>
        <v>1.4063447945956407</v>
      </c>
      <c r="AB15" s="43">
        <f>SUMIF($L$4:$AA$4,"SUBTOTAL",$L$15:$AA$15)</f>
        <v>317.83815919841703</v>
      </c>
    </row>
    <row r="16" spans="1:28" ht="11.25" customHeight="1" x14ac:dyDescent="0.25">
      <c r="A16" s="127"/>
      <c r="B16" s="127"/>
      <c r="C16" s="127"/>
      <c r="D16" s="46" t="s">
        <v>30</v>
      </c>
      <c r="E16" s="46" t="s">
        <v>25</v>
      </c>
      <c r="F16" s="46" t="s">
        <v>25</v>
      </c>
      <c r="G16" s="45" t="s">
        <v>123</v>
      </c>
      <c r="H16" s="45" t="s">
        <v>117</v>
      </c>
      <c r="I16" s="45">
        <f>'MERCADO TE'!$U$13</f>
        <v>61209.610999999997</v>
      </c>
      <c r="J16" s="16"/>
      <c r="L16" s="43">
        <f>'TR TE'!$L$16*'TR TE'!$L$52</f>
        <v>3.2107904599490871</v>
      </c>
      <c r="M16" s="43">
        <f>'TR TE'!$M$16*'TR TE'!$M$52</f>
        <v>12.925968597148945</v>
      </c>
      <c r="N16" s="43">
        <f>'TR TE'!$N$16*'TR TE'!$N$52</f>
        <v>0</v>
      </c>
      <c r="O16" s="43">
        <f>'TR TE'!$O$16*'TR TE'!$O$52</f>
        <v>10.713314983108448</v>
      </c>
      <c r="P16" s="43">
        <f>'TR TE'!$P$16*'TR TE'!$P$52</f>
        <v>-17.446033945604587</v>
      </c>
      <c r="Q16" s="43">
        <f>SUM($L$16:$P$16)</f>
        <v>9.4040400946018927</v>
      </c>
      <c r="R16" s="43">
        <f>'TR TE'!$R$16*'TR TE'!$R$52</f>
        <v>297.56773551678197</v>
      </c>
      <c r="S16" s="43">
        <f>SUM($R$16:$R$16)</f>
        <v>297.56773551678197</v>
      </c>
      <c r="T16" s="43">
        <f>'TR TE'!$T$16*'TR TE'!$T$52</f>
        <v>5.1663850556982656</v>
      </c>
      <c r="U16" s="43">
        <f>'TR TE'!$U$16*'TR TE'!$U$52</f>
        <v>4.2936537367392518</v>
      </c>
      <c r="V16" s="43">
        <f>'TR TE'!$V$16*'TR TE'!$V$52</f>
        <v>0</v>
      </c>
      <c r="W16" s="43">
        <f>SUM($T$16:$V$16)</f>
        <v>9.4600387924375173</v>
      </c>
      <c r="X16" s="43"/>
      <c r="Y16" s="43">
        <f>SUM($X$16:$X$16)</f>
        <v>0</v>
      </c>
      <c r="Z16" s="43">
        <f>'TR TE'!$Z$16*'TR TE'!$Z$52</f>
        <v>1.4063447945956407</v>
      </c>
      <c r="AA16" s="43">
        <f>SUM($Z$16:$Z$16)</f>
        <v>1.4063447945956407</v>
      </c>
      <c r="AB16" s="43">
        <f>SUMIF($L$4:$AA$4,"SUBTOTAL",$L$16:$AA$16)</f>
        <v>317.83815919841703</v>
      </c>
    </row>
    <row r="17" spans="1:28" ht="11.25" customHeight="1" x14ac:dyDescent="0.25">
      <c r="A17" s="127"/>
      <c r="B17" s="127"/>
      <c r="C17" s="127"/>
      <c r="D17" s="46" t="s">
        <v>31</v>
      </c>
      <c r="E17" s="46" t="s">
        <v>25</v>
      </c>
      <c r="F17" s="46" t="s">
        <v>25</v>
      </c>
      <c r="G17" s="45" t="s">
        <v>123</v>
      </c>
      <c r="H17" s="45" t="s">
        <v>117</v>
      </c>
      <c r="I17" s="45">
        <f>'MERCADO TE'!$U$14</f>
        <v>39801.019999999997</v>
      </c>
      <c r="J17" s="16"/>
      <c r="L17" s="43">
        <f>'TR TE'!$L$17*'TR TE'!$L$52</f>
        <v>3.2107904599490871</v>
      </c>
      <c r="M17" s="43">
        <f>'TR TE'!$M$17*'TR TE'!$M$52</f>
        <v>12.925968597148945</v>
      </c>
      <c r="N17" s="43">
        <f>'TR TE'!$N$17*'TR TE'!$N$52</f>
        <v>0</v>
      </c>
      <c r="O17" s="43">
        <f>'TR TE'!$O$17*'TR TE'!$O$52</f>
        <v>10.713314983108448</v>
      </c>
      <c r="P17" s="43">
        <f>'TR TE'!$P$17*'TR TE'!$P$52</f>
        <v>-17.446033945604587</v>
      </c>
      <c r="Q17" s="43">
        <f>SUM($L$17:$P$17)</f>
        <v>9.4040400946018927</v>
      </c>
      <c r="R17" s="43">
        <f>'TR TE'!$R$17*'TR TE'!$R$52</f>
        <v>297.56773551678197</v>
      </c>
      <c r="S17" s="43">
        <f>SUM($R$17:$R$17)</f>
        <v>297.56773551678197</v>
      </c>
      <c r="T17" s="43">
        <f>'TR TE'!$T$17*'TR TE'!$T$52</f>
        <v>5.1663850556982656</v>
      </c>
      <c r="U17" s="43">
        <f>'TR TE'!$U$17*'TR TE'!$U$52</f>
        <v>4.2936537367392518</v>
      </c>
      <c r="V17" s="43">
        <f>'TR TE'!$V$17*'TR TE'!$V$52</f>
        <v>0</v>
      </c>
      <c r="W17" s="43">
        <f>SUM($T$17:$V$17)</f>
        <v>9.4600387924375173</v>
      </c>
      <c r="X17" s="43"/>
      <c r="Y17" s="43">
        <f>SUM($X$17:$X$17)</f>
        <v>0</v>
      </c>
      <c r="Z17" s="43">
        <f>'TR TE'!$Z$17*'TR TE'!$Z$52</f>
        <v>1.4063447945956407</v>
      </c>
      <c r="AA17" s="43">
        <f>SUM($Z$17:$Z$17)</f>
        <v>1.4063447945956407</v>
      </c>
      <c r="AB17" s="43">
        <f>SUMIF($L$4:$AA$4,"SUBTOTAL",$L$17:$AA$17)</f>
        <v>317.83815919841703</v>
      </c>
    </row>
    <row r="18" spans="1:28" ht="11.25" customHeight="1" x14ac:dyDescent="0.25">
      <c r="A18" s="127"/>
      <c r="B18" s="127"/>
      <c r="C18" s="127"/>
      <c r="D18" s="46" t="s">
        <v>32</v>
      </c>
      <c r="E18" s="46" t="s">
        <v>25</v>
      </c>
      <c r="F18" s="46" t="s">
        <v>25</v>
      </c>
      <c r="G18" s="45" t="s">
        <v>123</v>
      </c>
      <c r="H18" s="45" t="s">
        <v>117</v>
      </c>
      <c r="I18" s="45">
        <f>'MERCADO TE'!$U$15</f>
        <v>7781.4139999999989</v>
      </c>
      <c r="J18" s="16"/>
      <c r="L18" s="43">
        <f>'TR TE'!$L$18*'TR TE'!$L$52</f>
        <v>3.2107904599490871</v>
      </c>
      <c r="M18" s="43">
        <f>'TR TE'!$M$18*'TR TE'!$M$52</f>
        <v>12.925968597148945</v>
      </c>
      <c r="N18" s="43">
        <f>'TR TE'!$N$18*'TR TE'!$N$52</f>
        <v>0</v>
      </c>
      <c r="O18" s="43">
        <f>'TR TE'!$O$18*'TR TE'!$O$52</f>
        <v>10.713314983108448</v>
      </c>
      <c r="P18" s="43">
        <f>'TR TE'!$P$18*'TR TE'!$P$52</f>
        <v>-17.446033945604587</v>
      </c>
      <c r="Q18" s="43">
        <f>SUM($L$18:$P$18)</f>
        <v>9.4040400946018927</v>
      </c>
      <c r="R18" s="43">
        <f>'TR TE'!$R$18*'TR TE'!$R$52</f>
        <v>297.56773551678197</v>
      </c>
      <c r="S18" s="43">
        <f>SUM($R$18:$R$18)</f>
        <v>297.56773551678197</v>
      </c>
      <c r="T18" s="43">
        <f>'TR TE'!$T$18*'TR TE'!$T$52</f>
        <v>5.1663850556982656</v>
      </c>
      <c r="U18" s="43">
        <f>'TR TE'!$U$18*'TR TE'!$U$52</f>
        <v>4.2936537367392518</v>
      </c>
      <c r="V18" s="43">
        <f>'TR TE'!$V$18*'TR TE'!$V$52</f>
        <v>0</v>
      </c>
      <c r="W18" s="43">
        <f>SUM($T$18:$V$18)</f>
        <v>9.4600387924375173</v>
      </c>
      <c r="X18" s="43"/>
      <c r="Y18" s="43">
        <f>SUM($X$18:$X$18)</f>
        <v>0</v>
      </c>
      <c r="Z18" s="43">
        <f>'TR TE'!$Z$18*'TR TE'!$Z$52</f>
        <v>1.4063447945956407</v>
      </c>
      <c r="AA18" s="43">
        <f>SUM($Z$18:$Z$18)</f>
        <v>1.4063447945956407</v>
      </c>
      <c r="AB18" s="43">
        <f>SUMIF($L$4:$AA$4,"SUBTOTAL",$L$18:$AA$18)</f>
        <v>317.83815919841703</v>
      </c>
    </row>
    <row r="19" spans="1:28" ht="11.25" customHeight="1" x14ac:dyDescent="0.25">
      <c r="A19" s="127"/>
      <c r="B19" s="127" t="s">
        <v>130</v>
      </c>
      <c r="C19" s="127" t="s">
        <v>24</v>
      </c>
      <c r="D19" s="46" t="s">
        <v>24</v>
      </c>
      <c r="E19" s="46" t="s">
        <v>25</v>
      </c>
      <c r="F19" s="46" t="s">
        <v>25</v>
      </c>
      <c r="G19" s="45" t="s">
        <v>123</v>
      </c>
      <c r="H19" s="45" t="s">
        <v>117</v>
      </c>
      <c r="I19" s="45">
        <f>'MERCADO TE'!$U$16</f>
        <v>0</v>
      </c>
      <c r="J19" s="16"/>
      <c r="L19" s="43">
        <f>'TR TE'!$L$19*'TR TE'!$L$52</f>
        <v>3.2107904599490871</v>
      </c>
      <c r="M19" s="43">
        <f>'TR TE'!$M$19*'TR TE'!$M$52</f>
        <v>12.925968597148945</v>
      </c>
      <c r="N19" s="43">
        <f>'TR TE'!$N$19*'TR TE'!$N$52</f>
        <v>0</v>
      </c>
      <c r="O19" s="43">
        <f>'TR TE'!$O$19*'TR TE'!$O$52</f>
        <v>10.713314983108448</v>
      </c>
      <c r="P19" s="43">
        <f>'TR TE'!$P$19*'TR TE'!$P$52</f>
        <v>-17.446033945604587</v>
      </c>
      <c r="Q19" s="43">
        <f>SUM($L$19:$P$19)</f>
        <v>9.4040400946018927</v>
      </c>
      <c r="R19" s="43">
        <f>'TR TE'!$R$19*'TR TE'!$R$52</f>
        <v>297.56773551678197</v>
      </c>
      <c r="S19" s="43">
        <f>SUM($R$19:$R$19)</f>
        <v>297.56773551678197</v>
      </c>
      <c r="T19" s="43">
        <f>'TR TE'!$T$19*'TR TE'!$T$52</f>
        <v>5.1663850556982656</v>
      </c>
      <c r="U19" s="43">
        <f>'TR TE'!$U$19*'TR TE'!$U$52</f>
        <v>4.2936537367392518</v>
      </c>
      <c r="V19" s="43">
        <f>'TR TE'!$V$19*'TR TE'!$V$52</f>
        <v>0</v>
      </c>
      <c r="W19" s="43">
        <f>SUM($T$19:$V$19)</f>
        <v>9.4600387924375173</v>
      </c>
      <c r="X19" s="43"/>
      <c r="Y19" s="43">
        <f>SUM($X$19:$X$19)</f>
        <v>0</v>
      </c>
      <c r="Z19" s="43">
        <f>'TR TE'!$Z$19*'TR TE'!$Z$52</f>
        <v>1.4063447945956407</v>
      </c>
      <c r="AA19" s="43">
        <f>SUM($Z$19:$Z$19)</f>
        <v>1.4063447945956407</v>
      </c>
      <c r="AB19" s="43">
        <f>SUMIF($L$4:$AA$4,"SUBTOTAL",$L$19:$AA$19)</f>
        <v>317.83815919841703</v>
      </c>
    </row>
    <row r="20" spans="1:28" ht="11.25" customHeight="1" x14ac:dyDescent="0.25">
      <c r="A20" s="127"/>
      <c r="B20" s="127"/>
      <c r="C20" s="127"/>
      <c r="D20" s="46" t="s">
        <v>29</v>
      </c>
      <c r="E20" s="46" t="s">
        <v>25</v>
      </c>
      <c r="F20" s="46" t="s">
        <v>25</v>
      </c>
      <c r="G20" s="45" t="s">
        <v>123</v>
      </c>
      <c r="H20" s="45" t="s">
        <v>117</v>
      </c>
      <c r="I20" s="45">
        <f>'MERCADO TE'!$U$17</f>
        <v>0</v>
      </c>
      <c r="J20" s="16"/>
      <c r="L20" s="43">
        <f>'TR TE'!$L$20*'TR TE'!$L$52</f>
        <v>3.2107904599490871</v>
      </c>
      <c r="M20" s="43">
        <f>'TR TE'!$M$20*'TR TE'!$M$52</f>
        <v>12.925968597148945</v>
      </c>
      <c r="N20" s="43">
        <f>'TR TE'!$N$20*'TR TE'!$N$52</f>
        <v>0</v>
      </c>
      <c r="O20" s="43">
        <f>'TR TE'!$O$20*'TR TE'!$O$52</f>
        <v>10.713314983108448</v>
      </c>
      <c r="P20" s="43">
        <f>'TR TE'!$P$20*'TR TE'!$P$52</f>
        <v>-17.446033945604587</v>
      </c>
      <c r="Q20" s="43">
        <f>SUM($L$20:$P$20)</f>
        <v>9.4040400946018927</v>
      </c>
      <c r="R20" s="43">
        <f>'TR TE'!$R$20*'TR TE'!$R$52</f>
        <v>297.56773551678197</v>
      </c>
      <c r="S20" s="43">
        <f>SUM($R$20:$R$20)</f>
        <v>297.56773551678197</v>
      </c>
      <c r="T20" s="43">
        <f>'TR TE'!$T$20*'TR TE'!$T$52</f>
        <v>5.1663850556982656</v>
      </c>
      <c r="U20" s="43">
        <f>'TR TE'!$U$20*'TR TE'!$U$52</f>
        <v>4.2936537367392518</v>
      </c>
      <c r="V20" s="43">
        <f>'TR TE'!$V$20*'TR TE'!$V$52</f>
        <v>0</v>
      </c>
      <c r="W20" s="43">
        <f>SUM($T$20:$V$20)</f>
        <v>9.4600387924375173</v>
      </c>
      <c r="X20" s="43"/>
      <c r="Y20" s="43">
        <f>SUM($X$20:$X$20)</f>
        <v>0</v>
      </c>
      <c r="Z20" s="43">
        <f>'TR TE'!$Z$20*'TR TE'!$Z$52</f>
        <v>1.4063447945956407</v>
      </c>
      <c r="AA20" s="43">
        <f>SUM($Z$20:$Z$20)</f>
        <v>1.4063447945956407</v>
      </c>
      <c r="AB20" s="43">
        <f>SUMIF($L$4:$AA$4,"SUBTOTAL",$L$20:$AA$20)</f>
        <v>317.83815919841703</v>
      </c>
    </row>
    <row r="21" spans="1:28" ht="11.25" customHeight="1" x14ac:dyDescent="0.25">
      <c r="A21" s="127"/>
      <c r="B21" s="127"/>
      <c r="C21" s="127"/>
      <c r="D21" s="46" t="s">
        <v>30</v>
      </c>
      <c r="E21" s="46" t="s">
        <v>25</v>
      </c>
      <c r="F21" s="46" t="s">
        <v>25</v>
      </c>
      <c r="G21" s="45" t="s">
        <v>123</v>
      </c>
      <c r="H21" s="45" t="s">
        <v>117</v>
      </c>
      <c r="I21" s="45">
        <f>'MERCADO TE'!$U$18</f>
        <v>0</v>
      </c>
      <c r="J21" s="16"/>
      <c r="L21" s="43">
        <f>'TR TE'!$L$21*'TR TE'!$L$52</f>
        <v>3.2107904599490871</v>
      </c>
      <c r="M21" s="43">
        <f>'TR TE'!$M$21*'TR TE'!$M$52</f>
        <v>12.925968597148945</v>
      </c>
      <c r="N21" s="43">
        <f>'TR TE'!$N$21*'TR TE'!$N$52</f>
        <v>0</v>
      </c>
      <c r="O21" s="43">
        <f>'TR TE'!$O$21*'TR TE'!$O$52</f>
        <v>10.713314983108448</v>
      </c>
      <c r="P21" s="43">
        <f>'TR TE'!$P$21*'TR TE'!$P$52</f>
        <v>-17.446033945604587</v>
      </c>
      <c r="Q21" s="43">
        <f>SUM($L$21:$P$21)</f>
        <v>9.4040400946018927</v>
      </c>
      <c r="R21" s="43">
        <f>'TR TE'!$R$21*'TR TE'!$R$52</f>
        <v>297.56773551678197</v>
      </c>
      <c r="S21" s="43">
        <f>SUM($R$21:$R$21)</f>
        <v>297.56773551678197</v>
      </c>
      <c r="T21" s="43">
        <f>'TR TE'!$T$21*'TR TE'!$T$52</f>
        <v>5.1663850556982656</v>
      </c>
      <c r="U21" s="43">
        <f>'TR TE'!$U$21*'TR TE'!$U$52</f>
        <v>4.2936537367392518</v>
      </c>
      <c r="V21" s="43">
        <f>'TR TE'!$V$21*'TR TE'!$V$52</f>
        <v>0</v>
      </c>
      <c r="W21" s="43">
        <f>SUM($T$21:$V$21)</f>
        <v>9.4600387924375173</v>
      </c>
      <c r="X21" s="43"/>
      <c r="Y21" s="43">
        <f>SUM($X$21:$X$21)</f>
        <v>0</v>
      </c>
      <c r="Z21" s="43">
        <f>'TR TE'!$Z$21*'TR TE'!$Z$52</f>
        <v>1.4063447945956407</v>
      </c>
      <c r="AA21" s="43">
        <f>SUM($Z$21:$Z$21)</f>
        <v>1.4063447945956407</v>
      </c>
      <c r="AB21" s="43">
        <f>SUMIF($L$4:$AA$4,"SUBTOTAL",$L$21:$AA$21)</f>
        <v>317.83815919841703</v>
      </c>
    </row>
    <row r="22" spans="1:28" ht="11.25" customHeight="1" x14ac:dyDescent="0.25">
      <c r="A22" s="127"/>
      <c r="B22" s="127"/>
      <c r="C22" s="127"/>
      <c r="D22" s="46" t="s">
        <v>31</v>
      </c>
      <c r="E22" s="46" t="s">
        <v>25</v>
      </c>
      <c r="F22" s="46" t="s">
        <v>25</v>
      </c>
      <c r="G22" s="45" t="s">
        <v>123</v>
      </c>
      <c r="H22" s="45" t="s">
        <v>117</v>
      </c>
      <c r="I22" s="45">
        <f>'MERCADO TE'!$U$19</f>
        <v>0</v>
      </c>
      <c r="J22" s="16"/>
      <c r="L22" s="43">
        <f>'TR TE'!$L$22*'TR TE'!$L$52</f>
        <v>3.2107904599490871</v>
      </c>
      <c r="M22" s="43">
        <f>'TR TE'!$M$22*'TR TE'!$M$52</f>
        <v>12.925968597148945</v>
      </c>
      <c r="N22" s="43">
        <f>'TR TE'!$N$22*'TR TE'!$N$52</f>
        <v>0</v>
      </c>
      <c r="O22" s="43">
        <f>'TR TE'!$O$22*'TR TE'!$O$52</f>
        <v>10.713314983108448</v>
      </c>
      <c r="P22" s="43">
        <f>'TR TE'!$P$22*'TR TE'!$P$52</f>
        <v>-17.446033945604587</v>
      </c>
      <c r="Q22" s="43">
        <f>SUM($L$22:$P$22)</f>
        <v>9.4040400946018927</v>
      </c>
      <c r="R22" s="43">
        <f>'TR TE'!$R$22*'TR TE'!$R$52</f>
        <v>297.56773551678197</v>
      </c>
      <c r="S22" s="43">
        <f>SUM($R$22:$R$22)</f>
        <v>297.56773551678197</v>
      </c>
      <c r="T22" s="43">
        <f>'TR TE'!$T$22*'TR TE'!$T$52</f>
        <v>5.1663850556982656</v>
      </c>
      <c r="U22" s="43">
        <f>'TR TE'!$U$22*'TR TE'!$U$52</f>
        <v>4.2936537367392518</v>
      </c>
      <c r="V22" s="43">
        <f>'TR TE'!$V$22*'TR TE'!$V$52</f>
        <v>0</v>
      </c>
      <c r="W22" s="43">
        <f>SUM($T$22:$V$22)</f>
        <v>9.4600387924375173</v>
      </c>
      <c r="X22" s="43"/>
      <c r="Y22" s="43">
        <f>SUM($X$22:$X$22)</f>
        <v>0</v>
      </c>
      <c r="Z22" s="43">
        <f>'TR TE'!$Z$22*'TR TE'!$Z$52</f>
        <v>1.4063447945956407</v>
      </c>
      <c r="AA22" s="43">
        <f>SUM($Z$22:$Z$22)</f>
        <v>1.4063447945956407</v>
      </c>
      <c r="AB22" s="43">
        <f>SUMIF($L$4:$AA$4,"SUBTOTAL",$L$22:$AA$22)</f>
        <v>317.83815919841703</v>
      </c>
    </row>
    <row r="23" spans="1:28" ht="11.25" customHeight="1" x14ac:dyDescent="0.25">
      <c r="A23" s="127"/>
      <c r="B23" s="127"/>
      <c r="C23" s="127"/>
      <c r="D23" s="46" t="s">
        <v>32</v>
      </c>
      <c r="E23" s="46" t="s">
        <v>25</v>
      </c>
      <c r="F23" s="46" t="s">
        <v>25</v>
      </c>
      <c r="G23" s="45" t="s">
        <v>123</v>
      </c>
      <c r="H23" s="45" t="s">
        <v>117</v>
      </c>
      <c r="I23" s="45">
        <f>'MERCADO TE'!$U$20</f>
        <v>0</v>
      </c>
      <c r="J23" s="16"/>
      <c r="L23" s="43">
        <f>'TR TE'!$L$23*'TR TE'!$L$52</f>
        <v>3.2107904599490871</v>
      </c>
      <c r="M23" s="43">
        <f>'TR TE'!$M$23*'TR TE'!$M$52</f>
        <v>12.925968597148945</v>
      </c>
      <c r="N23" s="43">
        <f>'TR TE'!$N$23*'TR TE'!$N$52</f>
        <v>0</v>
      </c>
      <c r="O23" s="43">
        <f>'TR TE'!$O$23*'TR TE'!$O$52</f>
        <v>10.713314983108448</v>
      </c>
      <c r="P23" s="43">
        <f>'TR TE'!$P$23*'TR TE'!$P$52</f>
        <v>-17.446033945604587</v>
      </c>
      <c r="Q23" s="43">
        <f>SUM($L$23:$P$23)</f>
        <v>9.4040400946018927</v>
      </c>
      <c r="R23" s="43">
        <f>'TR TE'!$R$23*'TR TE'!$R$52</f>
        <v>297.56773551678197</v>
      </c>
      <c r="S23" s="43">
        <f>SUM($R$23:$R$23)</f>
        <v>297.56773551678197</v>
      </c>
      <c r="T23" s="43">
        <f>'TR TE'!$T$23*'TR TE'!$T$52</f>
        <v>5.1663850556982656</v>
      </c>
      <c r="U23" s="43">
        <f>'TR TE'!$U$23*'TR TE'!$U$52</f>
        <v>4.2936537367392518</v>
      </c>
      <c r="V23" s="43">
        <f>'TR TE'!$V$23*'TR TE'!$V$52</f>
        <v>0</v>
      </c>
      <c r="W23" s="43">
        <f>SUM($T$23:$V$23)</f>
        <v>9.4600387924375173</v>
      </c>
      <c r="X23" s="43"/>
      <c r="Y23" s="43">
        <f>SUM($X$23:$X$23)</f>
        <v>0</v>
      </c>
      <c r="Z23" s="43">
        <f>'TR TE'!$Z$23*'TR TE'!$Z$52</f>
        <v>1.4063447945956407</v>
      </c>
      <c r="AA23" s="43">
        <f>SUM($Z$23:$Z$23)</f>
        <v>1.4063447945956407</v>
      </c>
      <c r="AB23" s="43">
        <f>SUMIF($L$4:$AA$4,"SUBTOTAL",$L$23:$AA$23)</f>
        <v>317.83815919841703</v>
      </c>
    </row>
    <row r="24" spans="1:28" ht="11.25" customHeight="1" x14ac:dyDescent="0.25">
      <c r="A24" s="127" t="s">
        <v>44</v>
      </c>
      <c r="B24" s="127" t="s">
        <v>116</v>
      </c>
      <c r="C24" s="127" t="s">
        <v>45</v>
      </c>
      <c r="D24" s="127" t="s">
        <v>25</v>
      </c>
      <c r="E24" s="127" t="s">
        <v>25</v>
      </c>
      <c r="F24" s="127" t="s">
        <v>25</v>
      </c>
      <c r="G24" s="45" t="s">
        <v>118</v>
      </c>
      <c r="H24" s="45" t="s">
        <v>117</v>
      </c>
      <c r="I24" s="45">
        <f>'MERCADO TE'!$U$21</f>
        <v>0.49600000000000005</v>
      </c>
      <c r="J24" s="16"/>
      <c r="L24" s="43">
        <f>'TR TE'!$L$24*'TR TE'!$L$52</f>
        <v>3.2107904599490871</v>
      </c>
      <c r="M24" s="43">
        <f>'TR TE'!$M$24*'TR TE'!$M$52</f>
        <v>12.925968597148945</v>
      </c>
      <c r="N24" s="43">
        <f>'TR TE'!$N$24*'TR TE'!$N$52</f>
        <v>0</v>
      </c>
      <c r="O24" s="43">
        <f>'TR TE'!$O$24*'TR TE'!$O$52</f>
        <v>10.713314983108448</v>
      </c>
      <c r="P24" s="43">
        <f>'TR TE'!$P$24*'TR TE'!$P$52</f>
        <v>-17.446033945604587</v>
      </c>
      <c r="Q24" s="43">
        <f>SUM($L$24:$P$24)</f>
        <v>9.4040400946018927</v>
      </c>
      <c r="R24" s="43">
        <f>'TR TE'!$R$24*'TR TE'!$R$52</f>
        <v>482.84575951779709</v>
      </c>
      <c r="S24" s="43">
        <f>SUM($R$24:$R$24)</f>
        <v>482.84575951779709</v>
      </c>
      <c r="T24" s="43">
        <f>'TR TE'!$T$24*'TR TE'!$T$52</f>
        <v>5.1663850556982656</v>
      </c>
      <c r="U24" s="43">
        <f>'TR TE'!$U$24*'TR TE'!$U$52</f>
        <v>4.2936537367392518</v>
      </c>
      <c r="V24" s="43">
        <f>'TR TE'!$V$24*'TR TE'!$V$52</f>
        <v>0</v>
      </c>
      <c r="W24" s="43">
        <f>SUM($T$24:$V$24)</f>
        <v>9.4600387924375173</v>
      </c>
      <c r="X24" s="43"/>
      <c r="Y24" s="43">
        <f>SUM($X$24:$X$24)</f>
        <v>0</v>
      </c>
      <c r="Z24" s="43">
        <f>'TR TE'!$Z$24*'TR TE'!$Z$52</f>
        <v>1.4063447945956407</v>
      </c>
      <c r="AA24" s="43">
        <f>SUM($Z$24:$Z$24)</f>
        <v>1.4063447945956407</v>
      </c>
      <c r="AB24" s="43">
        <f>SUMIF($L$4:$AA$4,"SUBTOTAL",$L$24:$AA$24)</f>
        <v>503.11618319943216</v>
      </c>
    </row>
    <row r="25" spans="1:28" ht="11.25" customHeight="1" x14ac:dyDescent="0.25">
      <c r="A25" s="127"/>
      <c r="B25" s="127"/>
      <c r="C25" s="127"/>
      <c r="D25" s="127"/>
      <c r="E25" s="127"/>
      <c r="F25" s="127"/>
      <c r="G25" s="45" t="s">
        <v>128</v>
      </c>
      <c r="H25" s="45" t="s">
        <v>117</v>
      </c>
      <c r="I25" s="45">
        <f>'MERCADO TE'!$U$22</f>
        <v>0.27600000000000002</v>
      </c>
      <c r="J25" s="16"/>
      <c r="L25" s="43">
        <f>'TR TE'!$L$25*'TR TE'!$L$52</f>
        <v>3.2107904599490871</v>
      </c>
      <c r="M25" s="43">
        <f>'TR TE'!$M$25*'TR TE'!$M$52</f>
        <v>12.925968597148945</v>
      </c>
      <c r="N25" s="43">
        <f>'TR TE'!$N$25*'TR TE'!$N$52</f>
        <v>0</v>
      </c>
      <c r="O25" s="43">
        <f>'TR TE'!$O$25*'TR TE'!$O$52</f>
        <v>10.713314983108448</v>
      </c>
      <c r="P25" s="43">
        <f>'TR TE'!$P$25*'TR TE'!$P$52</f>
        <v>-17.446033945604587</v>
      </c>
      <c r="Q25" s="43">
        <f>SUM($L$25:$P$25)</f>
        <v>9.4040400946018927</v>
      </c>
      <c r="R25" s="43">
        <f>'TR TE'!$R$25*'TR TE'!$R$52</f>
        <v>280.72427878941693</v>
      </c>
      <c r="S25" s="43">
        <f>SUM($R$25:$R$25)</f>
        <v>280.72427878941693</v>
      </c>
      <c r="T25" s="43">
        <f>'TR TE'!$T$25*'TR TE'!$T$52</f>
        <v>5.1663850556982656</v>
      </c>
      <c r="U25" s="43">
        <f>'TR TE'!$U$25*'TR TE'!$U$52</f>
        <v>4.2936537367392518</v>
      </c>
      <c r="V25" s="43">
        <f>'TR TE'!$V$25*'TR TE'!$V$52</f>
        <v>0</v>
      </c>
      <c r="W25" s="43">
        <f>SUM($T$25:$V$25)</f>
        <v>9.4600387924375173</v>
      </c>
      <c r="X25" s="43"/>
      <c r="Y25" s="43">
        <f>SUM($X$25:$X$25)</f>
        <v>0</v>
      </c>
      <c r="Z25" s="43">
        <f>'TR TE'!$Z$25*'TR TE'!$Z$52</f>
        <v>1.4063447945956407</v>
      </c>
      <c r="AA25" s="43">
        <f>SUM($Z$25:$Z$25)</f>
        <v>1.4063447945956407</v>
      </c>
      <c r="AB25" s="43">
        <f>SUMIF($L$4:$AA$4,"SUBTOTAL",$L$25:$AA$25)</f>
        <v>300.99470247105199</v>
      </c>
    </row>
    <row r="26" spans="1:28" ht="11.25" customHeight="1" x14ac:dyDescent="0.25">
      <c r="A26" s="127"/>
      <c r="B26" s="127"/>
      <c r="C26" s="127"/>
      <c r="D26" s="127"/>
      <c r="E26" s="127"/>
      <c r="F26" s="127"/>
      <c r="G26" s="45" t="s">
        <v>119</v>
      </c>
      <c r="H26" s="45" t="s">
        <v>117</v>
      </c>
      <c r="I26" s="45">
        <f>'MERCADO TE'!$U$23</f>
        <v>5.1340000000000003</v>
      </c>
      <c r="J26" s="16"/>
      <c r="L26" s="43">
        <f>'TR TE'!$L$26*'TR TE'!$L$52</f>
        <v>3.2107904599490871</v>
      </c>
      <c r="M26" s="43">
        <f>'TR TE'!$M$26*'TR TE'!$M$52</f>
        <v>12.925968597148945</v>
      </c>
      <c r="N26" s="43">
        <f>'TR TE'!$N$26*'TR TE'!$N$52</f>
        <v>0</v>
      </c>
      <c r="O26" s="43">
        <f>'TR TE'!$O$26*'TR TE'!$O$52</f>
        <v>10.713314983108448</v>
      </c>
      <c r="P26" s="43">
        <f>'TR TE'!$P$26*'TR TE'!$P$52</f>
        <v>-17.446033945604587</v>
      </c>
      <c r="Q26" s="43">
        <f>SUM($L$26:$P$26)</f>
        <v>9.4040400946018927</v>
      </c>
      <c r="R26" s="43">
        <f>'TR TE'!$R$26*'TR TE'!$R$52</f>
        <v>280.72427878941693</v>
      </c>
      <c r="S26" s="43">
        <f>SUM($R$26:$R$26)</f>
        <v>280.72427878941693</v>
      </c>
      <c r="T26" s="43">
        <f>'TR TE'!$T$26*'TR TE'!$T$52</f>
        <v>5.1663850556982656</v>
      </c>
      <c r="U26" s="43">
        <f>'TR TE'!$U$26*'TR TE'!$U$52</f>
        <v>4.2936537367392518</v>
      </c>
      <c r="V26" s="43">
        <f>'TR TE'!$V$26*'TR TE'!$V$52</f>
        <v>0</v>
      </c>
      <c r="W26" s="43">
        <f>SUM($T$26:$V$26)</f>
        <v>9.4600387924375173</v>
      </c>
      <c r="X26" s="43"/>
      <c r="Y26" s="43">
        <f>SUM($X$26:$X$26)</f>
        <v>0</v>
      </c>
      <c r="Z26" s="43">
        <f>'TR TE'!$Z$26*'TR TE'!$Z$52</f>
        <v>1.4063447945956407</v>
      </c>
      <c r="AA26" s="43">
        <f>SUM($Z$26:$Z$26)</f>
        <v>1.4063447945956407</v>
      </c>
      <c r="AB26" s="43">
        <f>SUMIF($L$4:$AA$4,"SUBTOTAL",$L$26:$AA$26)</f>
        <v>300.99470247105199</v>
      </c>
    </row>
    <row r="27" spans="1:28" ht="11.25" customHeight="1" x14ac:dyDescent="0.25">
      <c r="A27" s="127"/>
      <c r="B27" s="46" t="s">
        <v>129</v>
      </c>
      <c r="C27" s="46" t="s">
        <v>45</v>
      </c>
      <c r="D27" s="46" t="s">
        <v>25</v>
      </c>
      <c r="E27" s="46" t="s">
        <v>25</v>
      </c>
      <c r="F27" s="46" t="s">
        <v>25</v>
      </c>
      <c r="G27" s="45" t="s">
        <v>123</v>
      </c>
      <c r="H27" s="45" t="s">
        <v>117</v>
      </c>
      <c r="I27" s="45">
        <f>'MERCADO TE'!$U$24</f>
        <v>160826.64799999999</v>
      </c>
      <c r="J27" s="16"/>
      <c r="L27" s="43">
        <f>'TR TE'!$L$27*'TR TE'!$L$52</f>
        <v>3.2107904599490871</v>
      </c>
      <c r="M27" s="43">
        <f>'TR TE'!$M$27*'TR TE'!$M$52</f>
        <v>12.925968597148945</v>
      </c>
      <c r="N27" s="43">
        <f>'TR TE'!$N$27*'TR TE'!$N$52</f>
        <v>0</v>
      </c>
      <c r="O27" s="43">
        <f>'TR TE'!$O$27*'TR TE'!$O$52</f>
        <v>10.713314983108448</v>
      </c>
      <c r="P27" s="43">
        <f>'TR TE'!$P$27*'TR TE'!$P$52</f>
        <v>-17.446033945604587</v>
      </c>
      <c r="Q27" s="43">
        <f>SUM($L$27:$P$27)</f>
        <v>9.4040400946018927</v>
      </c>
      <c r="R27" s="43">
        <f>'TR TE'!$R$27*'TR TE'!$R$52</f>
        <v>297.56773551678197</v>
      </c>
      <c r="S27" s="43">
        <f>SUM($R$27:$R$27)</f>
        <v>297.56773551678197</v>
      </c>
      <c r="T27" s="43">
        <f>'TR TE'!$T$27*'TR TE'!$T$52</f>
        <v>5.1663850556982656</v>
      </c>
      <c r="U27" s="43">
        <f>'TR TE'!$U$27*'TR TE'!$U$52</f>
        <v>4.2936537367392518</v>
      </c>
      <c r="V27" s="43">
        <f>'TR TE'!$V$27*'TR TE'!$V$52</f>
        <v>0</v>
      </c>
      <c r="W27" s="43">
        <f>SUM($T$27:$V$27)</f>
        <v>9.4600387924375173</v>
      </c>
      <c r="X27" s="43"/>
      <c r="Y27" s="43">
        <f>SUM($X$27:$X$27)</f>
        <v>0</v>
      </c>
      <c r="Z27" s="43">
        <f>'TR TE'!$Z$27*'TR TE'!$Z$52</f>
        <v>1.4063447945956407</v>
      </c>
      <c r="AA27" s="43">
        <f>SUM($Z$27:$Z$27)</f>
        <v>1.4063447945956407</v>
      </c>
      <c r="AB27" s="43">
        <f>SUMIF($L$4:$AA$4,"SUBTOTAL",$L$27:$AA$27)</f>
        <v>317.83815919841703</v>
      </c>
    </row>
    <row r="28" spans="1:28" ht="11.25" customHeight="1" x14ac:dyDescent="0.25">
      <c r="A28" s="127"/>
      <c r="B28" s="127" t="s">
        <v>116</v>
      </c>
      <c r="C28" s="127" t="s">
        <v>45</v>
      </c>
      <c r="D28" s="127" t="s">
        <v>132</v>
      </c>
      <c r="E28" s="127" t="s">
        <v>25</v>
      </c>
      <c r="F28" s="127" t="s">
        <v>25</v>
      </c>
      <c r="G28" s="45" t="s">
        <v>118</v>
      </c>
      <c r="H28" s="45" t="s">
        <v>117</v>
      </c>
      <c r="I28" s="45">
        <f>'MERCADO TE'!$U$25</f>
        <v>0</v>
      </c>
      <c r="J28" s="16"/>
      <c r="L28" s="43">
        <f>'TR TE'!$L$28*'TR TE'!$L$52</f>
        <v>3.2107904599490871</v>
      </c>
      <c r="M28" s="43">
        <f>'TR TE'!$M$28*'TR TE'!$M$52</f>
        <v>12.925968597148945</v>
      </c>
      <c r="N28" s="43">
        <f>'TR TE'!$N$28*'TR TE'!$N$52</f>
        <v>0</v>
      </c>
      <c r="O28" s="43">
        <f>'TR TE'!$O$28*'TR TE'!$O$52</f>
        <v>10.713314983108448</v>
      </c>
      <c r="P28" s="43">
        <f>'TR TE'!$P$28*'TR TE'!$P$52</f>
        <v>-17.446033945604587</v>
      </c>
      <c r="Q28" s="43">
        <f>SUM($L$28:$P$28)</f>
        <v>9.4040400946018927</v>
      </c>
      <c r="R28" s="43">
        <f>'TR TE'!$R$28*'TR TE'!$R$52</f>
        <v>482.84575951779709</v>
      </c>
      <c r="S28" s="43">
        <f>SUM($R$28:$R$28)</f>
        <v>482.84575951779709</v>
      </c>
      <c r="T28" s="43">
        <f>'TR TE'!$T$28*'TR TE'!$T$52</f>
        <v>5.1663850556982656</v>
      </c>
      <c r="U28" s="43">
        <f>'TR TE'!$U$28*'TR TE'!$U$52</f>
        <v>4.2936537367392518</v>
      </c>
      <c r="V28" s="43">
        <f>'TR TE'!$V$28*'TR TE'!$V$52</f>
        <v>0</v>
      </c>
      <c r="W28" s="43">
        <f>SUM($T$28:$V$28)</f>
        <v>9.4600387924375173</v>
      </c>
      <c r="X28" s="43"/>
      <c r="Y28" s="43">
        <f>SUM($X$28:$X$28)</f>
        <v>0</v>
      </c>
      <c r="Z28" s="43">
        <f>'TR TE'!$Z$28*'TR TE'!$Z$52</f>
        <v>1.4063447945956407</v>
      </c>
      <c r="AA28" s="43">
        <f>SUM($Z$28:$Z$28)</f>
        <v>1.4063447945956407</v>
      </c>
      <c r="AB28" s="43">
        <f>SUMIF($L$4:$AA$4,"SUBTOTAL",$L$28:$AA$28)</f>
        <v>503.11618319943216</v>
      </c>
    </row>
    <row r="29" spans="1:28" ht="11.25" customHeight="1" x14ac:dyDescent="0.25">
      <c r="A29" s="127"/>
      <c r="B29" s="127"/>
      <c r="C29" s="127"/>
      <c r="D29" s="127"/>
      <c r="E29" s="127"/>
      <c r="F29" s="127"/>
      <c r="G29" s="45" t="s">
        <v>128</v>
      </c>
      <c r="H29" s="45" t="s">
        <v>117</v>
      </c>
      <c r="I29" s="45">
        <f>'MERCADO TE'!$U$26</f>
        <v>0</v>
      </c>
      <c r="J29" s="16"/>
      <c r="L29" s="43">
        <f>'TR TE'!$L$29*'TR TE'!$L$52</f>
        <v>3.2107904599490871</v>
      </c>
      <c r="M29" s="43">
        <f>'TR TE'!$M$29*'TR TE'!$M$52</f>
        <v>12.925968597148945</v>
      </c>
      <c r="N29" s="43">
        <f>'TR TE'!$N$29*'TR TE'!$N$52</f>
        <v>0</v>
      </c>
      <c r="O29" s="43">
        <f>'TR TE'!$O$29*'TR TE'!$O$52</f>
        <v>10.713314983108448</v>
      </c>
      <c r="P29" s="43">
        <f>'TR TE'!$P$29*'TR TE'!$P$52</f>
        <v>-17.446033945604587</v>
      </c>
      <c r="Q29" s="43">
        <f>SUM($L$29:$P$29)</f>
        <v>9.4040400946018927</v>
      </c>
      <c r="R29" s="43">
        <f>'TR TE'!$R$29*'TR TE'!$R$52</f>
        <v>280.72427878941693</v>
      </c>
      <c r="S29" s="43">
        <f>SUM($R$29:$R$29)</f>
        <v>280.72427878941693</v>
      </c>
      <c r="T29" s="43">
        <f>'TR TE'!$T$29*'TR TE'!$T$52</f>
        <v>5.1663850556982656</v>
      </c>
      <c r="U29" s="43">
        <f>'TR TE'!$U$29*'TR TE'!$U$52</f>
        <v>4.2936537367392518</v>
      </c>
      <c r="V29" s="43">
        <f>'TR TE'!$V$29*'TR TE'!$V$52</f>
        <v>0</v>
      </c>
      <c r="W29" s="43">
        <f>SUM($T$29:$V$29)</f>
        <v>9.4600387924375173</v>
      </c>
      <c r="X29" s="43"/>
      <c r="Y29" s="43">
        <f>SUM($X$29:$X$29)</f>
        <v>0</v>
      </c>
      <c r="Z29" s="43">
        <f>'TR TE'!$Z$29*'TR TE'!$Z$52</f>
        <v>1.4063447945956407</v>
      </c>
      <c r="AA29" s="43">
        <f>SUM($Z$29:$Z$29)</f>
        <v>1.4063447945956407</v>
      </c>
      <c r="AB29" s="43">
        <f>SUMIF($L$4:$AA$4,"SUBTOTAL",$L$29:$AA$29)</f>
        <v>300.99470247105199</v>
      </c>
    </row>
    <row r="30" spans="1:28" ht="11.25" customHeight="1" x14ac:dyDescent="0.25">
      <c r="A30" s="127"/>
      <c r="B30" s="127"/>
      <c r="C30" s="127"/>
      <c r="D30" s="127"/>
      <c r="E30" s="127"/>
      <c r="F30" s="127"/>
      <c r="G30" s="45" t="s">
        <v>119</v>
      </c>
      <c r="H30" s="45" t="s">
        <v>117</v>
      </c>
      <c r="I30" s="45">
        <f>'MERCADO TE'!$U$27</f>
        <v>0</v>
      </c>
      <c r="J30" s="16"/>
      <c r="L30" s="43">
        <f>'TR TE'!$L$30*'TR TE'!$L$52</f>
        <v>3.2107904599490871</v>
      </c>
      <c r="M30" s="43">
        <f>'TR TE'!$M$30*'TR TE'!$M$52</f>
        <v>12.925968597148945</v>
      </c>
      <c r="N30" s="43">
        <f>'TR TE'!$N$30*'TR TE'!$N$52</f>
        <v>0</v>
      </c>
      <c r="O30" s="43">
        <f>'TR TE'!$O$30*'TR TE'!$O$52</f>
        <v>10.713314983108448</v>
      </c>
      <c r="P30" s="43">
        <f>'TR TE'!$P$30*'TR TE'!$P$52</f>
        <v>-17.446033945604587</v>
      </c>
      <c r="Q30" s="43">
        <f>SUM($L$30:$P$30)</f>
        <v>9.4040400946018927</v>
      </c>
      <c r="R30" s="43">
        <f>'TR TE'!$R$30*'TR TE'!$R$52</f>
        <v>280.72427878941693</v>
      </c>
      <c r="S30" s="43">
        <f>SUM($R$30:$R$30)</f>
        <v>280.72427878941693</v>
      </c>
      <c r="T30" s="43">
        <f>'TR TE'!$T$30*'TR TE'!$T$52</f>
        <v>5.1663850556982656</v>
      </c>
      <c r="U30" s="43">
        <f>'TR TE'!$U$30*'TR TE'!$U$52</f>
        <v>4.2936537367392518</v>
      </c>
      <c r="V30" s="43">
        <f>'TR TE'!$V$30*'TR TE'!$V$52</f>
        <v>0</v>
      </c>
      <c r="W30" s="43">
        <f>SUM($T$30:$V$30)</f>
        <v>9.4600387924375173</v>
      </c>
      <c r="X30" s="43"/>
      <c r="Y30" s="43">
        <f>SUM($X$30:$X$30)</f>
        <v>0</v>
      </c>
      <c r="Z30" s="43">
        <f>'TR TE'!$Z$30*'TR TE'!$Z$52</f>
        <v>1.4063447945956407</v>
      </c>
      <c r="AA30" s="43">
        <f>SUM($Z$30:$Z$30)</f>
        <v>1.4063447945956407</v>
      </c>
      <c r="AB30" s="43">
        <f>SUMIF($L$4:$AA$4,"SUBTOTAL",$L$30:$AA$30)</f>
        <v>300.99470247105199</v>
      </c>
    </row>
    <row r="31" spans="1:28" ht="11.25" customHeight="1" x14ac:dyDescent="0.25">
      <c r="A31" s="127"/>
      <c r="B31" s="46" t="s">
        <v>129</v>
      </c>
      <c r="C31" s="46" t="s">
        <v>45</v>
      </c>
      <c r="D31" s="46" t="s">
        <v>132</v>
      </c>
      <c r="E31" s="46" t="s">
        <v>25</v>
      </c>
      <c r="F31" s="46" t="s">
        <v>25</v>
      </c>
      <c r="G31" s="45" t="s">
        <v>123</v>
      </c>
      <c r="H31" s="45" t="s">
        <v>117</v>
      </c>
      <c r="I31" s="45">
        <f>'MERCADO TE'!$U$28</f>
        <v>0</v>
      </c>
      <c r="J31" s="16"/>
      <c r="L31" s="43">
        <f>'TR TE'!$L$31*'TR TE'!$L$52</f>
        <v>3.2107904599490871</v>
      </c>
      <c r="M31" s="43">
        <f>'TR TE'!$M$31*'TR TE'!$M$52</f>
        <v>12.925968597148945</v>
      </c>
      <c r="N31" s="43">
        <f>'TR TE'!$N$31*'TR TE'!$N$52</f>
        <v>0</v>
      </c>
      <c r="O31" s="43">
        <f>'TR TE'!$O$31*'TR TE'!$O$52</f>
        <v>10.713314983108448</v>
      </c>
      <c r="P31" s="43">
        <f>'TR TE'!$P$31*'TR TE'!$P$52</f>
        <v>-17.446033945604587</v>
      </c>
      <c r="Q31" s="43">
        <f>SUM($L$31:$P$31)</f>
        <v>9.4040400946018927</v>
      </c>
      <c r="R31" s="43">
        <f>'TR TE'!$R$31*'TR TE'!$R$52</f>
        <v>297.56773551678197</v>
      </c>
      <c r="S31" s="43">
        <f>SUM($R$31:$R$31)</f>
        <v>297.56773551678197</v>
      </c>
      <c r="T31" s="43">
        <f>'TR TE'!$T$31*'TR TE'!$T$52</f>
        <v>5.1663850556982656</v>
      </c>
      <c r="U31" s="43">
        <f>'TR TE'!$U$31*'TR TE'!$U$52</f>
        <v>4.2936537367392518</v>
      </c>
      <c r="V31" s="43">
        <f>'TR TE'!$V$31*'TR TE'!$V$52</f>
        <v>0</v>
      </c>
      <c r="W31" s="43">
        <f>SUM($T$31:$V$31)</f>
        <v>9.4600387924375173</v>
      </c>
      <c r="X31" s="43"/>
      <c r="Y31" s="43">
        <f>SUM($X$31:$X$31)</f>
        <v>0</v>
      </c>
      <c r="Z31" s="43">
        <f>'TR TE'!$Z$31*'TR TE'!$Z$52</f>
        <v>1.4063447945956407</v>
      </c>
      <c r="AA31" s="43">
        <f>SUM($Z$31:$Z$31)</f>
        <v>1.4063447945956407</v>
      </c>
      <c r="AB31" s="43">
        <f>SUMIF($L$4:$AA$4,"SUBTOTAL",$L$31:$AA$31)</f>
        <v>317.83815919841703</v>
      </c>
    </row>
    <row r="32" spans="1:28" ht="11.25" customHeight="1" x14ac:dyDescent="0.25">
      <c r="A32" s="127"/>
      <c r="B32" s="127" t="s">
        <v>116</v>
      </c>
      <c r="C32" s="127" t="s">
        <v>45</v>
      </c>
      <c r="D32" s="127" t="s">
        <v>133</v>
      </c>
      <c r="E32" s="127" t="s">
        <v>25</v>
      </c>
      <c r="F32" s="127" t="s">
        <v>25</v>
      </c>
      <c r="G32" s="45" t="s">
        <v>118</v>
      </c>
      <c r="H32" s="45" t="s">
        <v>117</v>
      </c>
      <c r="I32" s="45">
        <f>'MERCADO TE'!$U$29</f>
        <v>0</v>
      </c>
      <c r="J32" s="16"/>
      <c r="L32" s="43">
        <f>'TR TE'!$L$32*'TR TE'!$L$52</f>
        <v>3.2107904599490871</v>
      </c>
      <c r="M32" s="43">
        <f>'TR TE'!$M$32*'TR TE'!$M$52</f>
        <v>12.925968597148945</v>
      </c>
      <c r="N32" s="43">
        <f>'TR TE'!$N$32*'TR TE'!$N$52</f>
        <v>0</v>
      </c>
      <c r="O32" s="43">
        <f>'TR TE'!$O$32*'TR TE'!$O$52</f>
        <v>10.713314983108448</v>
      </c>
      <c r="P32" s="43">
        <f>'TR TE'!$P$32*'TR TE'!$P$52</f>
        <v>-17.446033945604587</v>
      </c>
      <c r="Q32" s="43">
        <f>SUM($L$32:$P$32)</f>
        <v>9.4040400946018927</v>
      </c>
      <c r="R32" s="43">
        <f>'TR TE'!$R$32*'TR TE'!$R$52</f>
        <v>482.84575951779709</v>
      </c>
      <c r="S32" s="43">
        <f>SUM($R$32:$R$32)</f>
        <v>482.84575951779709</v>
      </c>
      <c r="T32" s="43">
        <f>'TR TE'!$T$32*'TR TE'!$T$52</f>
        <v>5.1663850556982656</v>
      </c>
      <c r="U32" s="43">
        <f>'TR TE'!$U$32*'TR TE'!$U$52</f>
        <v>4.2936537367392518</v>
      </c>
      <c r="V32" s="43">
        <f>'TR TE'!$V$32*'TR TE'!$V$52</f>
        <v>0</v>
      </c>
      <c r="W32" s="43">
        <f>SUM($T$32:$V$32)</f>
        <v>9.4600387924375173</v>
      </c>
      <c r="X32" s="43"/>
      <c r="Y32" s="43">
        <f>SUM($X$32:$X$32)</f>
        <v>0</v>
      </c>
      <c r="Z32" s="43">
        <f>'TR TE'!$Z$32*'TR TE'!$Z$52</f>
        <v>1.4063447945956407</v>
      </c>
      <c r="AA32" s="43">
        <f>SUM($Z$32:$Z$32)</f>
        <v>1.4063447945956407</v>
      </c>
      <c r="AB32" s="43">
        <f>SUMIF($L$4:$AA$4,"SUBTOTAL",$L$32:$AA$32)</f>
        <v>503.11618319943216</v>
      </c>
    </row>
    <row r="33" spans="1:28" ht="11.25" customHeight="1" x14ac:dyDescent="0.25">
      <c r="A33" s="127"/>
      <c r="B33" s="127"/>
      <c r="C33" s="127"/>
      <c r="D33" s="127"/>
      <c r="E33" s="127"/>
      <c r="F33" s="127"/>
      <c r="G33" s="45" t="s">
        <v>128</v>
      </c>
      <c r="H33" s="45" t="s">
        <v>117</v>
      </c>
      <c r="I33" s="45">
        <f>'MERCADO TE'!$U$30</f>
        <v>0</v>
      </c>
      <c r="J33" s="16"/>
      <c r="L33" s="43">
        <f>'TR TE'!$L$33*'TR TE'!$L$52</f>
        <v>3.2107904599490871</v>
      </c>
      <c r="M33" s="43">
        <f>'TR TE'!$M$33*'TR TE'!$M$52</f>
        <v>12.925968597148945</v>
      </c>
      <c r="N33" s="43">
        <f>'TR TE'!$N$33*'TR TE'!$N$52</f>
        <v>0</v>
      </c>
      <c r="O33" s="43">
        <f>'TR TE'!$O$33*'TR TE'!$O$52</f>
        <v>10.713314983108448</v>
      </c>
      <c r="P33" s="43">
        <f>'TR TE'!$P$33*'TR TE'!$P$52</f>
        <v>-17.446033945604587</v>
      </c>
      <c r="Q33" s="43">
        <f>SUM($L$33:$P$33)</f>
        <v>9.4040400946018927</v>
      </c>
      <c r="R33" s="43">
        <f>'TR TE'!$R$33*'TR TE'!$R$52</f>
        <v>280.72427878941693</v>
      </c>
      <c r="S33" s="43">
        <f>SUM($R$33:$R$33)</f>
        <v>280.72427878941693</v>
      </c>
      <c r="T33" s="43">
        <f>'TR TE'!$T$33*'TR TE'!$T$52</f>
        <v>5.1663850556982656</v>
      </c>
      <c r="U33" s="43">
        <f>'TR TE'!$U$33*'TR TE'!$U$52</f>
        <v>4.2936537367392518</v>
      </c>
      <c r="V33" s="43">
        <f>'TR TE'!$V$33*'TR TE'!$V$52</f>
        <v>0</v>
      </c>
      <c r="W33" s="43">
        <f>SUM($T$33:$V$33)</f>
        <v>9.4600387924375173</v>
      </c>
      <c r="X33" s="43"/>
      <c r="Y33" s="43">
        <f>SUM($X$33:$X$33)</f>
        <v>0</v>
      </c>
      <c r="Z33" s="43">
        <f>'TR TE'!$Z$33*'TR TE'!$Z$52</f>
        <v>1.4063447945956407</v>
      </c>
      <c r="AA33" s="43">
        <f>SUM($Z$33:$Z$33)</f>
        <v>1.4063447945956407</v>
      </c>
      <c r="AB33" s="43">
        <f>SUMIF($L$4:$AA$4,"SUBTOTAL",$L$33:$AA$33)</f>
        <v>300.99470247105199</v>
      </c>
    </row>
    <row r="34" spans="1:28" ht="11.25" customHeight="1" x14ac:dyDescent="0.25">
      <c r="A34" s="127"/>
      <c r="B34" s="127"/>
      <c r="C34" s="127"/>
      <c r="D34" s="127"/>
      <c r="E34" s="127"/>
      <c r="F34" s="127"/>
      <c r="G34" s="45" t="s">
        <v>119</v>
      </c>
      <c r="H34" s="45" t="s">
        <v>117</v>
      </c>
      <c r="I34" s="45">
        <f>'MERCADO TE'!$U$31</f>
        <v>0</v>
      </c>
      <c r="J34" s="16"/>
      <c r="L34" s="43">
        <f>'TR TE'!$L$34*'TR TE'!$L$52</f>
        <v>3.2107904599490871</v>
      </c>
      <c r="M34" s="43">
        <f>'TR TE'!$M$34*'TR TE'!$M$52</f>
        <v>12.925968597148945</v>
      </c>
      <c r="N34" s="43">
        <f>'TR TE'!$N$34*'TR TE'!$N$52</f>
        <v>0</v>
      </c>
      <c r="O34" s="43">
        <f>'TR TE'!$O$34*'TR TE'!$O$52</f>
        <v>10.713314983108448</v>
      </c>
      <c r="P34" s="43">
        <f>'TR TE'!$P$34*'TR TE'!$P$52</f>
        <v>-17.446033945604587</v>
      </c>
      <c r="Q34" s="43">
        <f>SUM($L$34:$P$34)</f>
        <v>9.4040400946018927</v>
      </c>
      <c r="R34" s="43">
        <f>'TR TE'!$R$34*'TR TE'!$R$52</f>
        <v>280.72427878941693</v>
      </c>
      <c r="S34" s="43">
        <f>SUM($R$34:$R$34)</f>
        <v>280.72427878941693</v>
      </c>
      <c r="T34" s="43">
        <f>'TR TE'!$T$34*'TR TE'!$T$52</f>
        <v>5.1663850556982656</v>
      </c>
      <c r="U34" s="43">
        <f>'TR TE'!$U$34*'TR TE'!$U$52</f>
        <v>4.2936537367392518</v>
      </c>
      <c r="V34" s="43">
        <f>'TR TE'!$V$34*'TR TE'!$V$52</f>
        <v>0</v>
      </c>
      <c r="W34" s="43">
        <f>SUM($T$34:$V$34)</f>
        <v>9.4600387924375173</v>
      </c>
      <c r="X34" s="43"/>
      <c r="Y34" s="43">
        <f>SUM($X$34:$X$34)</f>
        <v>0</v>
      </c>
      <c r="Z34" s="43">
        <f>'TR TE'!$Z$34*'TR TE'!$Z$52</f>
        <v>1.4063447945956407</v>
      </c>
      <c r="AA34" s="43">
        <f>SUM($Z$34:$Z$34)</f>
        <v>1.4063447945956407</v>
      </c>
      <c r="AB34" s="43">
        <f>SUMIF($L$4:$AA$4,"SUBTOTAL",$L$34:$AA$34)</f>
        <v>300.99470247105199</v>
      </c>
    </row>
    <row r="35" spans="1:28" ht="11.25" customHeight="1" x14ac:dyDescent="0.25">
      <c r="A35" s="127"/>
      <c r="B35" s="46" t="s">
        <v>129</v>
      </c>
      <c r="C35" s="46" t="s">
        <v>45</v>
      </c>
      <c r="D35" s="46" t="s">
        <v>133</v>
      </c>
      <c r="E35" s="46" t="s">
        <v>25</v>
      </c>
      <c r="F35" s="46" t="s">
        <v>25</v>
      </c>
      <c r="G35" s="45" t="s">
        <v>123</v>
      </c>
      <c r="H35" s="45" t="s">
        <v>117</v>
      </c>
      <c r="I35" s="45">
        <f>'MERCADO TE'!$U$32</f>
        <v>0</v>
      </c>
      <c r="J35" s="16"/>
      <c r="L35" s="43">
        <f>'TR TE'!$L$35*'TR TE'!$L$52</f>
        <v>3.2107904599490871</v>
      </c>
      <c r="M35" s="43">
        <f>'TR TE'!$M$35*'TR TE'!$M$52</f>
        <v>12.925968597148945</v>
      </c>
      <c r="N35" s="43">
        <f>'TR TE'!$N$35*'TR TE'!$N$52</f>
        <v>0</v>
      </c>
      <c r="O35" s="43">
        <f>'TR TE'!$O$35*'TR TE'!$O$52</f>
        <v>10.713314983108448</v>
      </c>
      <c r="P35" s="43">
        <f>'TR TE'!$P$35*'TR TE'!$P$52</f>
        <v>-17.446033945604587</v>
      </c>
      <c r="Q35" s="43">
        <f>SUM($L$35:$P$35)</f>
        <v>9.4040400946018927</v>
      </c>
      <c r="R35" s="43">
        <f>'TR TE'!$R$35*'TR TE'!$R$52</f>
        <v>297.56773551678197</v>
      </c>
      <c r="S35" s="43">
        <f>SUM($R$35:$R$35)</f>
        <v>297.56773551678197</v>
      </c>
      <c r="T35" s="43">
        <f>'TR TE'!$T$35*'TR TE'!$T$52</f>
        <v>5.1663850556982656</v>
      </c>
      <c r="U35" s="43">
        <f>'TR TE'!$U$35*'TR TE'!$U$52</f>
        <v>4.2936537367392518</v>
      </c>
      <c r="V35" s="43">
        <f>'TR TE'!$V$35*'TR TE'!$V$52</f>
        <v>0</v>
      </c>
      <c r="W35" s="43">
        <f>SUM($T$35:$V$35)</f>
        <v>9.4600387924375173</v>
      </c>
      <c r="X35" s="43"/>
      <c r="Y35" s="43">
        <f>SUM($X$35:$X$35)</f>
        <v>0</v>
      </c>
      <c r="Z35" s="43">
        <f>'TR TE'!$Z$35*'TR TE'!$Z$52</f>
        <v>1.4063447945956407</v>
      </c>
      <c r="AA35" s="43">
        <f>SUM($Z$35:$Z$35)</f>
        <v>1.4063447945956407</v>
      </c>
      <c r="AB35" s="43">
        <f>SUMIF($L$4:$AA$4,"SUBTOTAL",$L$35:$AA$35)</f>
        <v>317.83815919841703</v>
      </c>
    </row>
    <row r="36" spans="1:28" ht="11.25" customHeight="1" x14ac:dyDescent="0.25">
      <c r="A36" s="127"/>
      <c r="B36" s="127" t="s">
        <v>130</v>
      </c>
      <c r="C36" s="127" t="s">
        <v>45</v>
      </c>
      <c r="D36" s="46" t="s">
        <v>25</v>
      </c>
      <c r="E36" s="46" t="s">
        <v>25</v>
      </c>
      <c r="F36" s="46" t="s">
        <v>25</v>
      </c>
      <c r="G36" s="45" t="s">
        <v>123</v>
      </c>
      <c r="H36" s="45" t="s">
        <v>117</v>
      </c>
      <c r="I36" s="45">
        <f>'MERCADO TE'!$U$33</f>
        <v>0</v>
      </c>
      <c r="J36" s="16"/>
      <c r="L36" s="43">
        <f>'TR TE'!$L$36*'TR TE'!$L$52</f>
        <v>3.2107904599490871</v>
      </c>
      <c r="M36" s="43">
        <f>'TR TE'!$M$36*'TR TE'!$M$52</f>
        <v>12.925968597148945</v>
      </c>
      <c r="N36" s="43">
        <f>'TR TE'!$N$36*'TR TE'!$N$52</f>
        <v>0</v>
      </c>
      <c r="O36" s="43">
        <f>'TR TE'!$O$36*'TR TE'!$O$52</f>
        <v>10.713314983108448</v>
      </c>
      <c r="P36" s="43">
        <f>'TR TE'!$P$36*'TR TE'!$P$52</f>
        <v>-17.446033945604587</v>
      </c>
      <c r="Q36" s="43">
        <f>SUM($L$36:$P$36)</f>
        <v>9.4040400946018927</v>
      </c>
      <c r="R36" s="43">
        <f>'TR TE'!$R$36*'TR TE'!$R$52</f>
        <v>297.56773551678197</v>
      </c>
      <c r="S36" s="43">
        <f>SUM($R$36:$R$36)</f>
        <v>297.56773551678197</v>
      </c>
      <c r="T36" s="43">
        <f>'TR TE'!$T$36*'TR TE'!$T$52</f>
        <v>5.1663850556982656</v>
      </c>
      <c r="U36" s="43">
        <f>'TR TE'!$U$36*'TR TE'!$U$52</f>
        <v>4.2936537367392518</v>
      </c>
      <c r="V36" s="43">
        <f>'TR TE'!$V$36*'TR TE'!$V$52</f>
        <v>0</v>
      </c>
      <c r="W36" s="43">
        <f>SUM($T$36:$V$36)</f>
        <v>9.4600387924375173</v>
      </c>
      <c r="X36" s="43"/>
      <c r="Y36" s="43">
        <f>SUM($X$36:$X$36)</f>
        <v>0</v>
      </c>
      <c r="Z36" s="43">
        <f>'TR TE'!$Z$36*'TR TE'!$Z$52</f>
        <v>1.4063447945956407</v>
      </c>
      <c r="AA36" s="43">
        <f>SUM($Z$36:$Z$36)</f>
        <v>1.4063447945956407</v>
      </c>
      <c r="AB36" s="43">
        <f>SUMIF($L$4:$AA$4,"SUBTOTAL",$L$36:$AA$36)</f>
        <v>317.83815919841703</v>
      </c>
    </row>
    <row r="37" spans="1:28" ht="11.25" customHeight="1" x14ac:dyDescent="0.25">
      <c r="A37" s="127"/>
      <c r="B37" s="127"/>
      <c r="C37" s="127"/>
      <c r="D37" s="46" t="s">
        <v>132</v>
      </c>
      <c r="E37" s="46" t="s">
        <v>25</v>
      </c>
      <c r="F37" s="46" t="s">
        <v>25</v>
      </c>
      <c r="G37" s="45" t="s">
        <v>123</v>
      </c>
      <c r="H37" s="45" t="s">
        <v>117</v>
      </c>
      <c r="I37" s="45">
        <f>'MERCADO TE'!$U$34</f>
        <v>0</v>
      </c>
      <c r="J37" s="16"/>
      <c r="L37" s="43">
        <f>'TR TE'!$L$37*'TR TE'!$L$52</f>
        <v>3.2107904599490871</v>
      </c>
      <c r="M37" s="43">
        <f>'TR TE'!$M$37*'TR TE'!$M$52</f>
        <v>12.925968597148945</v>
      </c>
      <c r="N37" s="43">
        <f>'TR TE'!$N$37*'TR TE'!$N$52</f>
        <v>0</v>
      </c>
      <c r="O37" s="43">
        <f>'TR TE'!$O$37*'TR TE'!$O$52</f>
        <v>10.713314983108448</v>
      </c>
      <c r="P37" s="43">
        <f>'TR TE'!$P$37*'TR TE'!$P$52</f>
        <v>-17.446033945604587</v>
      </c>
      <c r="Q37" s="43">
        <f>SUM($L$37:$P$37)</f>
        <v>9.4040400946018927</v>
      </c>
      <c r="R37" s="43">
        <f>'TR TE'!$R$37*'TR TE'!$R$52</f>
        <v>297.56773551678197</v>
      </c>
      <c r="S37" s="43">
        <f>SUM($R$37:$R$37)</f>
        <v>297.56773551678197</v>
      </c>
      <c r="T37" s="43">
        <f>'TR TE'!$T$37*'TR TE'!$T$52</f>
        <v>5.1663850556982656</v>
      </c>
      <c r="U37" s="43">
        <f>'TR TE'!$U$37*'TR TE'!$U$52</f>
        <v>4.2936537367392518</v>
      </c>
      <c r="V37" s="43">
        <f>'TR TE'!$V$37*'TR TE'!$V$52</f>
        <v>0</v>
      </c>
      <c r="W37" s="43">
        <f>SUM($T$37:$V$37)</f>
        <v>9.4600387924375173</v>
      </c>
      <c r="X37" s="43"/>
      <c r="Y37" s="43">
        <f>SUM($X$37:$X$37)</f>
        <v>0</v>
      </c>
      <c r="Z37" s="43">
        <f>'TR TE'!$Z$37*'TR TE'!$Z$52</f>
        <v>1.4063447945956407</v>
      </c>
      <c r="AA37" s="43">
        <f>SUM($Z$37:$Z$37)</f>
        <v>1.4063447945956407</v>
      </c>
      <c r="AB37" s="43">
        <f>SUMIF($L$4:$AA$4,"SUBTOTAL",$L$37:$AA$37)</f>
        <v>317.83815919841703</v>
      </c>
    </row>
    <row r="38" spans="1:28" ht="11.25" customHeight="1" x14ac:dyDescent="0.25">
      <c r="A38" s="127"/>
      <c r="B38" s="127"/>
      <c r="C38" s="127"/>
      <c r="D38" s="46" t="s">
        <v>133</v>
      </c>
      <c r="E38" s="46" t="s">
        <v>25</v>
      </c>
      <c r="F38" s="46" t="s">
        <v>25</v>
      </c>
      <c r="G38" s="45" t="s">
        <v>123</v>
      </c>
      <c r="H38" s="45" t="s">
        <v>117</v>
      </c>
      <c r="I38" s="45">
        <f>'MERCADO TE'!$U$35</f>
        <v>0</v>
      </c>
      <c r="J38" s="16"/>
      <c r="L38" s="43">
        <f>'TR TE'!$L$38*'TR TE'!$L$52</f>
        <v>3.2107904599490871</v>
      </c>
      <c r="M38" s="43">
        <f>'TR TE'!$M$38*'TR TE'!$M$52</f>
        <v>12.925968597148945</v>
      </c>
      <c r="N38" s="43">
        <f>'TR TE'!$N$38*'TR TE'!$N$52</f>
        <v>0</v>
      </c>
      <c r="O38" s="43">
        <f>'TR TE'!$O$38*'TR TE'!$O$52</f>
        <v>10.713314983108448</v>
      </c>
      <c r="P38" s="43">
        <f>'TR TE'!$P$38*'TR TE'!$P$52</f>
        <v>-17.446033945604587</v>
      </c>
      <c r="Q38" s="43">
        <f>SUM($L$38:$P$38)</f>
        <v>9.4040400946018927</v>
      </c>
      <c r="R38" s="43">
        <f>'TR TE'!$R$38*'TR TE'!$R$52</f>
        <v>297.56773551678197</v>
      </c>
      <c r="S38" s="43">
        <f>SUM($R$38:$R$38)</f>
        <v>297.56773551678197</v>
      </c>
      <c r="T38" s="43">
        <f>'TR TE'!$T$38*'TR TE'!$T$52</f>
        <v>5.1663850556982656</v>
      </c>
      <c r="U38" s="43">
        <f>'TR TE'!$U$38*'TR TE'!$U$52</f>
        <v>4.2936537367392518</v>
      </c>
      <c r="V38" s="43">
        <f>'TR TE'!$V$38*'TR TE'!$V$52</f>
        <v>0</v>
      </c>
      <c r="W38" s="43">
        <f>SUM($T$38:$V$38)</f>
        <v>9.4600387924375173</v>
      </c>
      <c r="X38" s="43"/>
      <c r="Y38" s="43">
        <f>SUM($X$38:$X$38)</f>
        <v>0</v>
      </c>
      <c r="Z38" s="43">
        <f>'TR TE'!$Z$38*'TR TE'!$Z$52</f>
        <v>1.4063447945956407</v>
      </c>
      <c r="AA38" s="43">
        <f>SUM($Z$38:$Z$38)</f>
        <v>1.4063447945956407</v>
      </c>
      <c r="AB38" s="43">
        <f>SUMIF($L$4:$AA$4,"SUBTOTAL",$L$38:$AA$38)</f>
        <v>317.83815919841703</v>
      </c>
    </row>
    <row r="39" spans="1:28" ht="11.25" customHeight="1" x14ac:dyDescent="0.25">
      <c r="A39" s="127" t="s">
        <v>37</v>
      </c>
      <c r="B39" s="127" t="s">
        <v>116</v>
      </c>
      <c r="C39" s="127" t="s">
        <v>25</v>
      </c>
      <c r="D39" s="127" t="s">
        <v>25</v>
      </c>
      <c r="E39" s="127" t="s">
        <v>25</v>
      </c>
      <c r="F39" s="127" t="s">
        <v>25</v>
      </c>
      <c r="G39" s="45" t="s">
        <v>118</v>
      </c>
      <c r="H39" s="45" t="s">
        <v>117</v>
      </c>
      <c r="I39" s="45">
        <f>'MERCADO TE'!$U$36</f>
        <v>31.868999999999996</v>
      </c>
      <c r="J39" s="16"/>
      <c r="L39" s="43">
        <f>'TR TE'!$L$39*'TR TE'!$L$52</f>
        <v>3.2107904599490871</v>
      </c>
      <c r="M39" s="43">
        <f>'TR TE'!$M$39*'TR TE'!$M$52</f>
        <v>12.925968597148945</v>
      </c>
      <c r="N39" s="43">
        <f>'TR TE'!$N$39*'TR TE'!$N$52</f>
        <v>0</v>
      </c>
      <c r="O39" s="43">
        <f>'TR TE'!$O$39*'TR TE'!$O$52</f>
        <v>10.713314983108448</v>
      </c>
      <c r="P39" s="43">
        <f>'TR TE'!$P$39*'TR TE'!$P$52</f>
        <v>-17.446033945604587</v>
      </c>
      <c r="Q39" s="43">
        <f>SUM($L$39:$P$39)</f>
        <v>9.4040400946018927</v>
      </c>
      <c r="R39" s="43">
        <f>'TR TE'!$R$39*'TR TE'!$R$52</f>
        <v>482.84575951779709</v>
      </c>
      <c r="S39" s="43">
        <f>SUM($R$39:$R$39)</f>
        <v>482.84575951779709</v>
      </c>
      <c r="T39" s="43">
        <f>'TR TE'!$T$39*'TR TE'!$T$52</f>
        <v>5.1663850556982656</v>
      </c>
      <c r="U39" s="43">
        <f>'TR TE'!$U$39*'TR TE'!$U$52</f>
        <v>4.2936537367392518</v>
      </c>
      <c r="V39" s="43">
        <f>'TR TE'!$V$39*'TR TE'!$V$52</f>
        <v>0</v>
      </c>
      <c r="W39" s="43">
        <f>SUM($T$39:$V$39)</f>
        <v>9.4600387924375173</v>
      </c>
      <c r="X39" s="43"/>
      <c r="Y39" s="43">
        <f>SUM($X$39:$X$39)</f>
        <v>0</v>
      </c>
      <c r="Z39" s="43">
        <f>'TR TE'!$Z$39*'TR TE'!$Z$52</f>
        <v>1.4063447945956407</v>
      </c>
      <c r="AA39" s="43">
        <f>SUM($Z$39:$Z$39)</f>
        <v>1.4063447945956407</v>
      </c>
      <c r="AB39" s="43">
        <f>SUMIF($L$4:$AA$4,"SUBTOTAL",$L$39:$AA$39)</f>
        <v>503.11618319943216</v>
      </c>
    </row>
    <row r="40" spans="1:28" ht="11.25" customHeight="1" x14ac:dyDescent="0.25">
      <c r="A40" s="127"/>
      <c r="B40" s="127"/>
      <c r="C40" s="127"/>
      <c r="D40" s="127"/>
      <c r="E40" s="127"/>
      <c r="F40" s="127"/>
      <c r="G40" s="45" t="s">
        <v>128</v>
      </c>
      <c r="H40" s="45" t="s">
        <v>117</v>
      </c>
      <c r="I40" s="45">
        <f>'MERCADO TE'!$U$37</f>
        <v>31.273999999999997</v>
      </c>
      <c r="J40" s="16"/>
      <c r="L40" s="43">
        <f>'TR TE'!$L$40*'TR TE'!$L$52</f>
        <v>3.2107904599490871</v>
      </c>
      <c r="M40" s="43">
        <f>'TR TE'!$M$40*'TR TE'!$M$52</f>
        <v>12.925968597148945</v>
      </c>
      <c r="N40" s="43">
        <f>'TR TE'!$N$40*'TR TE'!$N$52</f>
        <v>0</v>
      </c>
      <c r="O40" s="43">
        <f>'TR TE'!$O$40*'TR TE'!$O$52</f>
        <v>10.713314983108448</v>
      </c>
      <c r="P40" s="43">
        <f>'TR TE'!$P$40*'TR TE'!$P$52</f>
        <v>-17.446033945604587</v>
      </c>
      <c r="Q40" s="43">
        <f>SUM($L$40:$P$40)</f>
        <v>9.4040400946018927</v>
      </c>
      <c r="R40" s="43">
        <f>'TR TE'!$R$40*'TR TE'!$R$52</f>
        <v>280.72427878941693</v>
      </c>
      <c r="S40" s="43">
        <f>SUM($R$40:$R$40)</f>
        <v>280.72427878941693</v>
      </c>
      <c r="T40" s="43">
        <f>'TR TE'!$T$40*'TR TE'!$T$52</f>
        <v>5.1663850556982656</v>
      </c>
      <c r="U40" s="43">
        <f>'TR TE'!$U$40*'TR TE'!$U$52</f>
        <v>4.2936537367392518</v>
      </c>
      <c r="V40" s="43">
        <f>'TR TE'!$V$40*'TR TE'!$V$52</f>
        <v>0</v>
      </c>
      <c r="W40" s="43">
        <f>SUM($T$40:$V$40)</f>
        <v>9.4600387924375173</v>
      </c>
      <c r="X40" s="43"/>
      <c r="Y40" s="43">
        <f>SUM($X$40:$X$40)</f>
        <v>0</v>
      </c>
      <c r="Z40" s="43">
        <f>'TR TE'!$Z$40*'TR TE'!$Z$52</f>
        <v>1.4063447945956407</v>
      </c>
      <c r="AA40" s="43">
        <f>SUM($Z$40:$Z$40)</f>
        <v>1.4063447945956407</v>
      </c>
      <c r="AB40" s="43">
        <f>SUMIF($L$4:$AA$4,"SUBTOTAL",$L$40:$AA$40)</f>
        <v>300.99470247105199</v>
      </c>
    </row>
    <row r="41" spans="1:28" ht="11.25" customHeight="1" x14ac:dyDescent="0.25">
      <c r="A41" s="127"/>
      <c r="B41" s="127"/>
      <c r="C41" s="127"/>
      <c r="D41" s="127"/>
      <c r="E41" s="127"/>
      <c r="F41" s="127"/>
      <c r="G41" s="45" t="s">
        <v>119</v>
      </c>
      <c r="H41" s="45" t="s">
        <v>117</v>
      </c>
      <c r="I41" s="45">
        <f>'MERCADO TE'!$U$38</f>
        <v>381.83600000000001</v>
      </c>
      <c r="J41" s="16"/>
      <c r="L41" s="43">
        <f>'TR TE'!$L$41*'TR TE'!$L$52</f>
        <v>3.2107904599490871</v>
      </c>
      <c r="M41" s="43">
        <f>'TR TE'!$M$41*'TR TE'!$M$52</f>
        <v>12.925968597148945</v>
      </c>
      <c r="N41" s="43">
        <f>'TR TE'!$N$41*'TR TE'!$N$52</f>
        <v>0</v>
      </c>
      <c r="O41" s="43">
        <f>'TR TE'!$O$41*'TR TE'!$O$52</f>
        <v>10.713314983108448</v>
      </c>
      <c r="P41" s="43">
        <f>'TR TE'!$P$41*'TR TE'!$P$52</f>
        <v>-17.446033945604587</v>
      </c>
      <c r="Q41" s="43">
        <f>SUM($L$41:$P$41)</f>
        <v>9.4040400946018927</v>
      </c>
      <c r="R41" s="43">
        <f>'TR TE'!$R$41*'TR TE'!$R$52</f>
        <v>280.72427878941693</v>
      </c>
      <c r="S41" s="43">
        <f>SUM($R$41:$R$41)</f>
        <v>280.72427878941693</v>
      </c>
      <c r="T41" s="43">
        <f>'TR TE'!$T$41*'TR TE'!$T$52</f>
        <v>5.1663850556982656</v>
      </c>
      <c r="U41" s="43">
        <f>'TR TE'!$U$41*'TR TE'!$U$52</f>
        <v>4.2936537367392518</v>
      </c>
      <c r="V41" s="43">
        <f>'TR TE'!$V$41*'TR TE'!$V$52</f>
        <v>0</v>
      </c>
      <c r="W41" s="43">
        <f>SUM($T$41:$V$41)</f>
        <v>9.4600387924375173</v>
      </c>
      <c r="X41" s="43"/>
      <c r="Y41" s="43">
        <f>SUM($X$41:$X$41)</f>
        <v>0</v>
      </c>
      <c r="Z41" s="43">
        <f>'TR TE'!$Z$41*'TR TE'!$Z$52</f>
        <v>1.4063447945956407</v>
      </c>
      <c r="AA41" s="43">
        <f>SUM($Z$41:$Z$41)</f>
        <v>1.4063447945956407</v>
      </c>
      <c r="AB41" s="43">
        <f>SUMIF($L$4:$AA$4,"SUBTOTAL",$L$41:$AA$41)</f>
        <v>300.99470247105199</v>
      </c>
    </row>
    <row r="42" spans="1:28" ht="11.25" customHeight="1" x14ac:dyDescent="0.25">
      <c r="A42" s="127"/>
      <c r="B42" s="46" t="s">
        <v>129</v>
      </c>
      <c r="C42" s="46" t="s">
        <v>25</v>
      </c>
      <c r="D42" s="46" t="s">
        <v>25</v>
      </c>
      <c r="E42" s="46" t="s">
        <v>25</v>
      </c>
      <c r="F42" s="46" t="s">
        <v>25</v>
      </c>
      <c r="G42" s="45" t="s">
        <v>123</v>
      </c>
      <c r="H42" s="45" t="s">
        <v>117</v>
      </c>
      <c r="I42" s="45">
        <f>'MERCADO TE'!$U$39</f>
        <v>226492.11000000002</v>
      </c>
      <c r="J42" s="16"/>
      <c r="L42" s="43">
        <f>'TR TE'!$L$42*'TR TE'!$L$52</f>
        <v>3.2107904599490871</v>
      </c>
      <c r="M42" s="43">
        <f>'TR TE'!$M$42*'TR TE'!$M$52</f>
        <v>12.925968597148945</v>
      </c>
      <c r="N42" s="43">
        <f>'TR TE'!$N$42*'TR TE'!$N$52</f>
        <v>0</v>
      </c>
      <c r="O42" s="43">
        <f>'TR TE'!$O$42*'TR TE'!$O$52</f>
        <v>10.713314983108448</v>
      </c>
      <c r="P42" s="43">
        <f>'TR TE'!$P$42*'TR TE'!$P$52</f>
        <v>-17.446033945604587</v>
      </c>
      <c r="Q42" s="43">
        <f>SUM($L$42:$P$42)</f>
        <v>9.4040400946018927</v>
      </c>
      <c r="R42" s="43">
        <f>'TR TE'!$R$42*'TR TE'!$R$52</f>
        <v>297.56773551678197</v>
      </c>
      <c r="S42" s="43">
        <f>SUM($R$42:$R$42)</f>
        <v>297.56773551678197</v>
      </c>
      <c r="T42" s="43">
        <f>'TR TE'!$T$42*'TR TE'!$T$52</f>
        <v>5.1663850556982656</v>
      </c>
      <c r="U42" s="43">
        <f>'TR TE'!$U$42*'TR TE'!$U$52</f>
        <v>4.2936537367392518</v>
      </c>
      <c r="V42" s="43">
        <f>'TR TE'!$V$42*'TR TE'!$V$52</f>
        <v>0</v>
      </c>
      <c r="W42" s="43">
        <f>SUM($T$42:$V$42)</f>
        <v>9.4600387924375173</v>
      </c>
      <c r="X42" s="43"/>
      <c r="Y42" s="43">
        <f>SUM($X$42:$X$42)</f>
        <v>0</v>
      </c>
      <c r="Z42" s="43">
        <f>'TR TE'!$Z$42*'TR TE'!$Z$52</f>
        <v>1.4063447945956407</v>
      </c>
      <c r="AA42" s="43">
        <f>SUM($Z$42:$Z$42)</f>
        <v>1.4063447945956407</v>
      </c>
      <c r="AB42" s="43">
        <f>SUMIF($L$4:$AA$4,"SUBTOTAL",$L$42:$AA$42)</f>
        <v>317.83815919841703</v>
      </c>
    </row>
    <row r="43" spans="1:28" ht="11.25" customHeight="1" x14ac:dyDescent="0.25">
      <c r="A43" s="127"/>
      <c r="B43" s="46" t="s">
        <v>130</v>
      </c>
      <c r="C43" s="46" t="s">
        <v>25</v>
      </c>
      <c r="D43" s="46" t="s">
        <v>25</v>
      </c>
      <c r="E43" s="46" t="s">
        <v>25</v>
      </c>
      <c r="F43" s="46" t="s">
        <v>25</v>
      </c>
      <c r="G43" s="45" t="s">
        <v>123</v>
      </c>
      <c r="H43" s="45" t="s">
        <v>117</v>
      </c>
      <c r="I43" s="45">
        <f>'MERCADO TE'!$U$40</f>
        <v>0</v>
      </c>
      <c r="J43" s="16"/>
      <c r="L43" s="43">
        <f>'TR TE'!$L$43*'TR TE'!$L$52</f>
        <v>3.2107904599490871</v>
      </c>
      <c r="M43" s="43">
        <f>'TR TE'!$M$43*'TR TE'!$M$52</f>
        <v>12.925968597148945</v>
      </c>
      <c r="N43" s="43">
        <f>'TR TE'!$N$43*'TR TE'!$N$52</f>
        <v>0</v>
      </c>
      <c r="O43" s="43">
        <f>'TR TE'!$O$43*'TR TE'!$O$52</f>
        <v>10.713314983108448</v>
      </c>
      <c r="P43" s="43">
        <f>'TR TE'!$P$43*'TR TE'!$P$52</f>
        <v>-17.446033945604587</v>
      </c>
      <c r="Q43" s="43">
        <f>SUM($L$43:$P$43)</f>
        <v>9.4040400946018927</v>
      </c>
      <c r="R43" s="43">
        <f>'TR TE'!$R$43*'TR TE'!$R$52</f>
        <v>297.56773551678197</v>
      </c>
      <c r="S43" s="43">
        <f>SUM($R$43:$R$43)</f>
        <v>297.56773551678197</v>
      </c>
      <c r="T43" s="43">
        <f>'TR TE'!$T$43*'TR TE'!$T$52</f>
        <v>5.1663850556982656</v>
      </c>
      <c r="U43" s="43">
        <f>'TR TE'!$U$43*'TR TE'!$U$52</f>
        <v>4.2936537367392518</v>
      </c>
      <c r="V43" s="43">
        <f>'TR TE'!$V$43*'TR TE'!$V$52</f>
        <v>0</v>
      </c>
      <c r="W43" s="43">
        <f>SUM($T$43:$V$43)</f>
        <v>9.4600387924375173</v>
      </c>
      <c r="X43" s="43"/>
      <c r="Y43" s="43">
        <f>SUM($X$43:$X$43)</f>
        <v>0</v>
      </c>
      <c r="Z43" s="43">
        <f>'TR TE'!$Z$43*'TR TE'!$Z$52</f>
        <v>1.4063447945956407</v>
      </c>
      <c r="AA43" s="43">
        <f>SUM($Z$43:$Z$43)</f>
        <v>1.4063447945956407</v>
      </c>
      <c r="AB43" s="43">
        <f>SUMIF($L$4:$AA$4,"SUBTOTAL",$L$43:$AA$43)</f>
        <v>317.83815919841703</v>
      </c>
    </row>
    <row r="44" spans="1:28" ht="11.25" customHeight="1" x14ac:dyDescent="0.25">
      <c r="A44" s="127" t="s">
        <v>47</v>
      </c>
      <c r="B44" s="127" t="s">
        <v>129</v>
      </c>
      <c r="C44" s="127" t="s">
        <v>48</v>
      </c>
      <c r="D44" s="46" t="s">
        <v>49</v>
      </c>
      <c r="E44" s="46" t="s">
        <v>25</v>
      </c>
      <c r="F44" s="46" t="s">
        <v>25</v>
      </c>
      <c r="G44" s="45" t="s">
        <v>123</v>
      </c>
      <c r="H44" s="45" t="s">
        <v>117</v>
      </c>
      <c r="I44" s="45">
        <f>'MERCADO TE'!$U$41</f>
        <v>81306.822999999989</v>
      </c>
      <c r="J44" s="16"/>
      <c r="L44" s="43">
        <f>'TR TE'!$L$44*'TR TE'!$L$52</f>
        <v>1.765934752971998</v>
      </c>
      <c r="M44" s="43">
        <f>'TR TE'!$M$44*'TR TE'!$M$52</f>
        <v>7.1092827284319204</v>
      </c>
      <c r="N44" s="43">
        <f>'TR TE'!$N$44*'TR TE'!$N$52</f>
        <v>0</v>
      </c>
      <c r="O44" s="43">
        <f>'TR TE'!$O$44*'TR TE'!$O$52</f>
        <v>5.8923232407096471</v>
      </c>
      <c r="P44" s="43">
        <f>'TR TE'!$P$44*'TR TE'!$P$52</f>
        <v>-9.5953186700825235</v>
      </c>
      <c r="Q44" s="43">
        <f>SUM($L$44:$P$44)</f>
        <v>5.1722220520310422</v>
      </c>
      <c r="R44" s="43">
        <f>'TR TE'!$R$44*'TR TE'!$R$52</f>
        <v>163.6622545342301</v>
      </c>
      <c r="S44" s="43">
        <f>SUM($R$44:$R$44)</f>
        <v>163.6622545342301</v>
      </c>
      <c r="T44" s="43">
        <f>'TR TE'!$T$44*'TR TE'!$T$52</f>
        <v>2.8415117806340464</v>
      </c>
      <c r="U44" s="43">
        <f>'TR TE'!$U$44*'TR TE'!$U$52</f>
        <v>2.3615095552065886</v>
      </c>
      <c r="V44" s="43">
        <f>'TR TE'!$V$44*'TR TE'!$V$52</f>
        <v>0</v>
      </c>
      <c r="W44" s="43">
        <f>SUM($T$44:$V$44)</f>
        <v>5.203021335840635</v>
      </c>
      <c r="X44" s="43"/>
      <c r="Y44" s="43">
        <f>SUM($X$44:$X$44)</f>
        <v>0</v>
      </c>
      <c r="Z44" s="43">
        <f>'TR TE'!$Z$44*'TR TE'!$Z$52</f>
        <v>0.77348963702760243</v>
      </c>
      <c r="AA44" s="43">
        <f>SUM($Z$44:$Z$44)</f>
        <v>0.77348963702760243</v>
      </c>
      <c r="AB44" s="43">
        <f>SUMIF($L$4:$AA$4,"SUBTOTAL",$L$44:$AA$44)</f>
        <v>174.81098755912939</v>
      </c>
    </row>
    <row r="45" spans="1:28" ht="11.25" customHeight="1" x14ac:dyDescent="0.25">
      <c r="A45" s="127"/>
      <c r="B45" s="127"/>
      <c r="C45" s="127"/>
      <c r="D45" s="45" t="s">
        <v>50</v>
      </c>
      <c r="E45" s="45" t="s">
        <v>25</v>
      </c>
      <c r="F45" s="45" t="s">
        <v>25</v>
      </c>
      <c r="G45" s="45" t="s">
        <v>123</v>
      </c>
      <c r="H45" s="45" t="s">
        <v>117</v>
      </c>
      <c r="I45" s="45">
        <f>'MERCADO TE'!$U$42</f>
        <v>1579.0179999999998</v>
      </c>
      <c r="J45" s="16"/>
      <c r="L45" s="43">
        <f>'TR TE'!$L$45*'TR TE'!$L$52</f>
        <v>1.9264742759694522</v>
      </c>
      <c r="M45" s="43">
        <f>'TR TE'!$M$45*'TR TE'!$M$52</f>
        <v>7.7555811582893668</v>
      </c>
      <c r="N45" s="43">
        <f>'TR TE'!$N$45*'TR TE'!$N$52</f>
        <v>0</v>
      </c>
      <c r="O45" s="43">
        <f>'TR TE'!$O$45*'TR TE'!$O$52</f>
        <v>6.4279889898650691</v>
      </c>
      <c r="P45" s="43">
        <f>'TR TE'!$P$45*'TR TE'!$P$52</f>
        <v>-10.467620367362752</v>
      </c>
      <c r="Q45" s="43">
        <f>SUM($L$45:$P$45)</f>
        <v>5.6424240567611363</v>
      </c>
      <c r="R45" s="43">
        <f>'TR TE'!$R$45*'TR TE'!$R$52</f>
        <v>178.54064131006916</v>
      </c>
      <c r="S45" s="43">
        <f>SUM($R$45:$R$45)</f>
        <v>178.54064131006916</v>
      </c>
      <c r="T45" s="43">
        <f>'TR TE'!$T$45*'TR TE'!$T$52</f>
        <v>3.0998310334189592</v>
      </c>
      <c r="U45" s="43">
        <f>'TR TE'!$U$45*'TR TE'!$U$52</f>
        <v>2.5761922420435508</v>
      </c>
      <c r="V45" s="43">
        <f>'TR TE'!$V$45*'TR TE'!$V$52</f>
        <v>0</v>
      </c>
      <c r="W45" s="43">
        <f>SUM($T$45:$V$45)</f>
        <v>5.6760232754625104</v>
      </c>
      <c r="X45" s="43"/>
      <c r="Y45" s="43">
        <f>SUM($X$45:$X$45)</f>
        <v>0</v>
      </c>
      <c r="Z45" s="43">
        <f>'TR TE'!$Z$45*'TR TE'!$Z$52</f>
        <v>0.84380687675738442</v>
      </c>
      <c r="AA45" s="43">
        <f>SUM($Z$45:$Z$45)</f>
        <v>0.84380687675738442</v>
      </c>
      <c r="AB45" s="43">
        <f>SUMIF($L$4:$AA$4,"SUBTOTAL",$L$45:$AA$45)</f>
        <v>190.7028955190502</v>
      </c>
    </row>
    <row r="47" spans="1:28" ht="11.25" customHeight="1" x14ac:dyDescent="0.25">
      <c r="K47" s="48" t="s">
        <v>1056</v>
      </c>
      <c r="L47" s="43">
        <f t="shared" ref="L47:AB47" si="0">SUMPRODUCT($I$5:$I$45,L$5:L$45)</f>
        <v>3660581.1067149229</v>
      </c>
      <c r="M47" s="43">
        <f t="shared" si="0"/>
        <v>14736731.351028159</v>
      </c>
      <c r="N47" s="43">
        <f t="shared" si="0"/>
        <v>0</v>
      </c>
      <c r="O47" s="43">
        <f t="shared" si="0"/>
        <v>12214113.286631148</v>
      </c>
      <c r="P47" s="43">
        <f t="shared" si="0"/>
        <v>-19890000</v>
      </c>
      <c r="Q47" s="43">
        <f t="shared" si="0"/>
        <v>10721425.744374227</v>
      </c>
      <c r="R47" s="43">
        <f t="shared" si="0"/>
        <v>338416914.13455856</v>
      </c>
      <c r="S47" s="43">
        <f t="shared" si="0"/>
        <v>338416914.13455856</v>
      </c>
      <c r="T47" s="43">
        <f t="shared" si="0"/>
        <v>5890129.474597753</v>
      </c>
      <c r="U47" s="43">
        <f t="shared" si="0"/>
        <v>4895139.6684207357</v>
      </c>
      <c r="V47" s="43">
        <f t="shared" si="0"/>
        <v>0</v>
      </c>
      <c r="W47" s="43">
        <f t="shared" si="0"/>
        <v>10785269.143018486</v>
      </c>
      <c r="X47" s="43">
        <f t="shared" si="0"/>
        <v>0</v>
      </c>
      <c r="Y47" s="43">
        <f t="shared" si="0"/>
        <v>0</v>
      </c>
      <c r="Z47" s="43">
        <f t="shared" si="0"/>
        <v>1603355.699737974</v>
      </c>
      <c r="AA47" s="43">
        <f t="shared" si="0"/>
        <v>1603355.699737974</v>
      </c>
      <c r="AB47" s="43">
        <f t="shared" si="0"/>
        <v>361526964.72168916</v>
      </c>
    </row>
    <row r="48" spans="1:28" ht="11.25" customHeight="1" x14ac:dyDescent="0.25">
      <c r="K48" s="48" t="s">
        <v>992</v>
      </c>
      <c r="L48" s="43">
        <f>CUSTOS!$D$30</f>
        <v>3660581.106714922</v>
      </c>
      <c r="M48" s="43">
        <f>CUSTOS!$D$31</f>
        <v>14736731.351028152</v>
      </c>
      <c r="N48" s="43">
        <f>CUSTOS!$D$32</f>
        <v>0</v>
      </c>
      <c r="O48" s="43">
        <f>CUSTOS!$D$33</f>
        <v>12214113.286631148</v>
      </c>
      <c r="P48" s="43">
        <f>CUSTOS!$D$34</f>
        <v>-19890000</v>
      </c>
      <c r="Q48" s="43">
        <f>CUSTOS!$D$35</f>
        <v>10721425.744374223</v>
      </c>
      <c r="R48" s="43">
        <f>CUSTOS!$D$36</f>
        <v>338416914.13455844</v>
      </c>
      <c r="S48" s="43">
        <f>CUSTOS!$D$37</f>
        <v>338416914.13455844</v>
      </c>
      <c r="T48" s="43">
        <f>CUSTOS!$D$38</f>
        <v>5890129.4745977521</v>
      </c>
      <c r="U48" s="43">
        <f>CUSTOS!$D$39</f>
        <v>4895139.6684207348</v>
      </c>
      <c r="V48" s="43">
        <f>CUSTOS!$D$40</f>
        <v>0</v>
      </c>
      <c r="W48" s="43">
        <f>CUSTOS!$D$41</f>
        <v>10785269.143018488</v>
      </c>
      <c r="X48" s="43">
        <f>CUSTOS!$D$42</f>
        <v>0</v>
      </c>
      <c r="Y48" s="43">
        <f>CUSTOS!$D$43</f>
        <v>0</v>
      </c>
      <c r="Z48" s="43">
        <f>CUSTOS!$D$44</f>
        <v>1603355.699737974</v>
      </c>
      <c r="AA48" s="43">
        <f>CUSTOS!$D$45</f>
        <v>1603355.699737974</v>
      </c>
      <c r="AB48" s="43">
        <f>CUSTOS!$D$46</f>
        <v>361526964.72168911</v>
      </c>
    </row>
    <row r="49" spans="11:28" ht="11.25" customHeight="1" x14ac:dyDescent="0.25">
      <c r="K49" s="48" t="s">
        <v>993</v>
      </c>
      <c r="L49" s="43">
        <f>CUSTOS!$E$30</f>
        <v>-2.0787998395881386</v>
      </c>
      <c r="M49" s="43">
        <f>CUSTOS!$E$31</f>
        <v>-3085583.4352911115</v>
      </c>
      <c r="N49" s="43">
        <f>CUSTOS!$E$32</f>
        <v>0</v>
      </c>
      <c r="O49" s="43">
        <f>CUSTOS!$E$33</f>
        <v>5965711.8347441349</v>
      </c>
      <c r="P49" s="43">
        <f>CUSTOS!$E$34</f>
        <v>0</v>
      </c>
      <c r="Q49" s="43">
        <f>CUSTOS!$E$35</f>
        <v>2880126.3206531839</v>
      </c>
      <c r="R49" s="43">
        <f>CUSTOS!$E$36</f>
        <v>-31353630.145635135</v>
      </c>
      <c r="S49" s="43">
        <f>CUSTOS!$E$37</f>
        <v>-31353630.145635135</v>
      </c>
      <c r="T49" s="43">
        <f>CUSTOS!$E$38</f>
        <v>2577326.8666546531</v>
      </c>
      <c r="U49" s="43">
        <f>CUSTOS!$E$39</f>
        <v>352547.98520048341</v>
      </c>
      <c r="V49" s="43">
        <f>CUSTOS!$E$40</f>
        <v>0</v>
      </c>
      <c r="W49" s="43">
        <f>CUSTOS!$E$41</f>
        <v>2929874.8518551365</v>
      </c>
      <c r="X49" s="43">
        <f>CUSTOS!$E$42</f>
        <v>0</v>
      </c>
      <c r="Y49" s="43">
        <f>CUSTOS!$E$43</f>
        <v>0</v>
      </c>
      <c r="Z49" s="43">
        <f>CUSTOS!$E$44</f>
        <v>-148547.60356774638</v>
      </c>
      <c r="AA49" s="43">
        <f>CUSTOS!$E$45</f>
        <v>-148547.60356774638</v>
      </c>
      <c r="AB49" s="43">
        <f>CUSTOS!$E$46</f>
        <v>-25692176.576694559</v>
      </c>
    </row>
    <row r="50" spans="11:28" ht="11.25" customHeight="1" x14ac:dyDescent="0.25">
      <c r="K50" s="48" t="s">
        <v>994</v>
      </c>
      <c r="L50" s="43">
        <f>CUSTOS!$F$30</f>
        <v>0</v>
      </c>
      <c r="M50" s="43">
        <f>CUSTOS!$F$31</f>
        <v>15865968.807700001</v>
      </c>
      <c r="N50" s="43">
        <f>CUSTOS!$F$32</f>
        <v>0</v>
      </c>
      <c r="O50" s="43">
        <f>CUSTOS!$F$33</f>
        <v>820056.53808497591</v>
      </c>
      <c r="P50" s="43">
        <f>CUSTOS!$F$34</f>
        <v>0</v>
      </c>
      <c r="Q50" s="43">
        <f>CUSTOS!$F$35</f>
        <v>16686025.345784977</v>
      </c>
      <c r="R50" s="43">
        <f>CUSTOS!$F$36</f>
        <v>22478673.272212066</v>
      </c>
      <c r="S50" s="43">
        <f>CUSTOS!$F$37</f>
        <v>22478673.272212066</v>
      </c>
      <c r="T50" s="43">
        <f>CUSTOS!$F$38</f>
        <v>-384844.36339999997</v>
      </c>
      <c r="U50" s="43">
        <f>CUSTOS!$F$39</f>
        <v>272404.48173653503</v>
      </c>
      <c r="V50" s="43">
        <f>CUSTOS!$F$40</f>
        <v>0</v>
      </c>
      <c r="W50" s="43">
        <f>CUSTOS!$F$41</f>
        <v>-112439.88166346494</v>
      </c>
      <c r="X50" s="43">
        <f>CUSTOS!$F$42</f>
        <v>0</v>
      </c>
      <c r="Y50" s="43">
        <f>CUSTOS!$F$43</f>
        <v>0</v>
      </c>
      <c r="Z50" s="43">
        <f>CUSTOS!$F$44</f>
        <v>106499.72684053976</v>
      </c>
      <c r="AA50" s="43">
        <f>CUSTOS!$F$45</f>
        <v>106499.72684053976</v>
      </c>
      <c r="AB50" s="43">
        <f>CUSTOS!$F$46</f>
        <v>39158758.46317412</v>
      </c>
    </row>
    <row r="51" spans="11:28" ht="11.25" customHeight="1" x14ac:dyDescent="0.25">
      <c r="K51" s="48" t="s">
        <v>1057</v>
      </c>
      <c r="L51" s="43">
        <f>'TR TE'!$L$51*L52</f>
        <v>-1.8233691587517364E-6</v>
      </c>
      <c r="M51" s="43">
        <f>'TR TE'!$M$51*M52</f>
        <v>-2.706445115841325</v>
      </c>
      <c r="N51" s="43">
        <f>'TR TE'!$N$51*N52</f>
        <v>0</v>
      </c>
      <c r="O51" s="43">
        <f>'TR TE'!$O$51*O52</f>
        <v>5.2326803005852796</v>
      </c>
      <c r="P51" s="43">
        <f>'TR TE'!$P$51*P52</f>
        <v>0</v>
      </c>
      <c r="Q51" s="43"/>
      <c r="R51" s="43">
        <f>'TR TE'!$R$51*R52</f>
        <v>-27.20559482241789</v>
      </c>
      <c r="S51" s="43"/>
      <c r="T51" s="43">
        <f>'TR TE'!$T$51*T52</f>
        <v>2.2606401208937048</v>
      </c>
      <c r="U51" s="43">
        <f>'TR TE'!$U$51*U52</f>
        <v>0.30922896517155035</v>
      </c>
      <c r="V51" s="43">
        <f>'TR TE'!$V$51*V52</f>
        <v>0</v>
      </c>
      <c r="W51" s="43"/>
      <c r="X51" s="43"/>
      <c r="Y51" s="43"/>
      <c r="Z51" s="43">
        <f>'TR TE'!$Z$51*Z52</f>
        <v>-0.13029494893821603</v>
      </c>
      <c r="AA51" s="43"/>
      <c r="AB51" s="43"/>
    </row>
    <row r="52" spans="11:28" ht="11.25" customHeight="1" x14ac:dyDescent="0.25">
      <c r="K52" s="48" t="s">
        <v>1050</v>
      </c>
      <c r="L52" s="43">
        <f>IF(L48&lt;&gt;0,L49/L48,0)</f>
        <v>-5.6788793335976502E-7</v>
      </c>
      <c r="M52" s="43">
        <f>IF(M48&lt;&gt;0,M49/M48,0)</f>
        <v>-0.20938044955782115</v>
      </c>
      <c r="N52" s="43">
        <f>IF(N48&lt;&gt;0,N49/N48,0)</f>
        <v>0</v>
      </c>
      <c r="O52" s="43">
        <f>IF(O48&lt;&gt;0,O49/O48,0)</f>
        <v>0.48842774704520325</v>
      </c>
      <c r="P52" s="43">
        <f>IF(P48&lt;&gt;0,P49/P48,0)</f>
        <v>0</v>
      </c>
      <c r="Q52" s="43"/>
      <c r="R52" s="43">
        <f>IF(R48&lt;&gt;0,R49/R48,0)</f>
        <v>-9.2647940561175895E-2</v>
      </c>
      <c r="S52" s="43"/>
      <c r="T52" s="43">
        <f>IF(T48&lt;&gt;0,T49/T48,0)</f>
        <v>0.43756709895255119</v>
      </c>
      <c r="U52" s="43">
        <f>IF(U48&lt;&gt;0,U49/U48,0)</f>
        <v>7.2020005368758369E-2</v>
      </c>
      <c r="V52" s="43">
        <f>IF(V48&lt;&gt;0,V49/V48,0)</f>
        <v>0</v>
      </c>
      <c r="W52" s="43"/>
      <c r="X52" s="43">
        <f>IF(($AB48-0)&lt;&gt;0,X49/($AB48-0),0)</f>
        <v>0</v>
      </c>
      <c r="Y52" s="43"/>
      <c r="Z52" s="43">
        <f>IF(Z48&lt;&gt;0,Z49/Z48,0)</f>
        <v>-9.2647940561175882E-2</v>
      </c>
      <c r="AA52" s="43"/>
      <c r="AB52" s="43"/>
    </row>
    <row r="53" spans="11:28" ht="11.25" customHeight="1" x14ac:dyDescent="0.25">
      <c r="K53" s="48" t="s">
        <v>1059</v>
      </c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</row>
  </sheetData>
  <mergeCells count="73">
    <mergeCell ref="E39:E41"/>
    <mergeCell ref="F39:F41"/>
    <mergeCell ref="A44:A45"/>
    <mergeCell ref="B44:B45"/>
    <mergeCell ref="C44:C45"/>
    <mergeCell ref="D39:D41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F9:F10"/>
    <mergeCell ref="A7:A8"/>
    <mergeCell ref="B7:B8"/>
    <mergeCell ref="C7:C8"/>
    <mergeCell ref="D7:D8"/>
    <mergeCell ref="E7:E8"/>
    <mergeCell ref="F7:F8"/>
    <mergeCell ref="A9:A10"/>
    <mergeCell ref="B9:B10"/>
    <mergeCell ref="C9:C10"/>
    <mergeCell ref="D9:D10"/>
    <mergeCell ref="E9:E10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7">
    <cfRule type="cellIs" dxfId="1438" priority="33" operator="notEqual">
      <formula>$L$48</formula>
    </cfRule>
    <cfRule type="cellIs" dxfId="1437" priority="34" operator="equal">
      <formula>$L$48</formula>
    </cfRule>
  </conditionalFormatting>
  <conditionalFormatting sqref="M47">
    <cfRule type="cellIs" dxfId="1436" priority="31" operator="notEqual">
      <formula>$M$48</formula>
    </cfRule>
    <cfRule type="cellIs" dxfId="1435" priority="32" operator="equal">
      <formula>$M$48</formula>
    </cfRule>
  </conditionalFormatting>
  <conditionalFormatting sqref="N47">
    <cfRule type="cellIs" dxfId="1434" priority="29" operator="notEqual">
      <formula>$N$48</formula>
    </cfRule>
    <cfRule type="cellIs" dxfId="1433" priority="30" operator="equal">
      <formula>$N$48</formula>
    </cfRule>
  </conditionalFormatting>
  <conditionalFormatting sqref="O47">
    <cfRule type="cellIs" dxfId="1432" priority="27" operator="notEqual">
      <formula>$O$48</formula>
    </cfRule>
    <cfRule type="cellIs" dxfId="1431" priority="28" operator="equal">
      <formula>$O$48</formula>
    </cfRule>
  </conditionalFormatting>
  <conditionalFormatting sqref="P47">
    <cfRule type="cellIs" dxfId="1430" priority="25" operator="notEqual">
      <formula>$P$48</formula>
    </cfRule>
    <cfRule type="cellIs" dxfId="1429" priority="26" operator="equal">
      <formula>$P$48</formula>
    </cfRule>
  </conditionalFormatting>
  <conditionalFormatting sqref="Q47">
    <cfRule type="cellIs" dxfId="1428" priority="23" operator="notEqual">
      <formula>$Q$48</formula>
    </cfRule>
    <cfRule type="cellIs" dxfId="1427" priority="24" operator="equal">
      <formula>$Q$48</formula>
    </cfRule>
  </conditionalFormatting>
  <conditionalFormatting sqref="R47">
    <cfRule type="cellIs" dxfId="1426" priority="21" operator="notEqual">
      <formula>$R$48</formula>
    </cfRule>
    <cfRule type="cellIs" dxfId="1425" priority="22" operator="equal">
      <formula>$R$48</formula>
    </cfRule>
  </conditionalFormatting>
  <conditionalFormatting sqref="S47">
    <cfRule type="cellIs" dxfId="1424" priority="19" operator="notEqual">
      <formula>$S$48</formula>
    </cfRule>
    <cfRule type="cellIs" dxfId="1423" priority="20" operator="equal">
      <formula>$S$48</formula>
    </cfRule>
  </conditionalFormatting>
  <conditionalFormatting sqref="T47">
    <cfRule type="cellIs" dxfId="1422" priority="17" operator="notEqual">
      <formula>$T$48</formula>
    </cfRule>
    <cfRule type="cellIs" dxfId="1421" priority="18" operator="equal">
      <formula>$T$48</formula>
    </cfRule>
  </conditionalFormatting>
  <conditionalFormatting sqref="U47">
    <cfRule type="cellIs" dxfId="1420" priority="15" operator="notEqual">
      <formula>$U$48</formula>
    </cfRule>
    <cfRule type="cellIs" dxfId="1419" priority="16" operator="equal">
      <formula>$U$48</formula>
    </cfRule>
  </conditionalFormatting>
  <conditionalFormatting sqref="V47">
    <cfRule type="cellIs" dxfId="1418" priority="13" operator="notEqual">
      <formula>$V$48</formula>
    </cfRule>
    <cfRule type="cellIs" dxfId="1417" priority="14" operator="equal">
      <formula>$V$48</formula>
    </cfRule>
  </conditionalFormatting>
  <conditionalFormatting sqref="W47">
    <cfRule type="cellIs" dxfId="1416" priority="11" operator="notEqual">
      <formula>$W$48</formula>
    </cfRule>
    <cfRule type="cellIs" dxfId="1415" priority="12" operator="equal">
      <formula>$W$48</formula>
    </cfRule>
  </conditionalFormatting>
  <conditionalFormatting sqref="X47">
    <cfRule type="cellIs" dxfId="1414" priority="9" operator="notEqual">
      <formula>$X$48</formula>
    </cfRule>
    <cfRule type="cellIs" dxfId="1413" priority="10" operator="equal">
      <formula>$X$48</formula>
    </cfRule>
  </conditionalFormatting>
  <conditionalFormatting sqref="Y47">
    <cfRule type="cellIs" dxfId="1412" priority="7" operator="notEqual">
      <formula>$Y$48</formula>
    </cfRule>
    <cfRule type="cellIs" dxfId="1411" priority="8" operator="equal">
      <formula>$Y$48</formula>
    </cfRule>
  </conditionalFormatting>
  <conditionalFormatting sqref="Z47">
    <cfRule type="cellIs" dxfId="1410" priority="5" operator="notEqual">
      <formula>$Z$48</formula>
    </cfRule>
    <cfRule type="cellIs" dxfId="1409" priority="6" operator="equal">
      <formula>$Z$48</formula>
    </cfRule>
  </conditionalFormatting>
  <conditionalFormatting sqref="AA47">
    <cfRule type="cellIs" dxfId="1408" priority="3" operator="notEqual">
      <formula>$AA$48</formula>
    </cfRule>
    <cfRule type="cellIs" dxfId="1407" priority="4" operator="equal">
      <formula>$AA$48</formula>
    </cfRule>
  </conditionalFormatting>
  <conditionalFormatting sqref="AB47">
    <cfRule type="cellIs" dxfId="1406" priority="1" operator="notEqual">
      <formula>$AB$48</formula>
    </cfRule>
    <cfRule type="cellIs" dxfId="1405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FBCFF-8DCF-4678-9BF8-D2E32C61B08B}">
  <dimension ref="A1:AB53"/>
  <sheetViews>
    <sheetView showGridLines="0" topLeftCell="S34" workbookViewId="0">
      <selection activeCell="AB47" sqref="AB4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10.8554687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6" t="s">
        <v>107</v>
      </c>
      <c r="B1" s="126" t="s">
        <v>108</v>
      </c>
      <c r="C1" s="126" t="s">
        <v>109</v>
      </c>
      <c r="D1" s="126" t="s">
        <v>110</v>
      </c>
      <c r="E1" s="126" t="s">
        <v>111</v>
      </c>
      <c r="F1" s="126" t="s">
        <v>15</v>
      </c>
      <c r="G1" s="126" t="s">
        <v>113</v>
      </c>
      <c r="H1" s="126" t="s">
        <v>114</v>
      </c>
      <c r="I1" s="126" t="s">
        <v>1040</v>
      </c>
      <c r="J1" s="114"/>
      <c r="L1" s="124" t="s">
        <v>1061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</row>
    <row r="2" spans="1:28" ht="11.25" customHeight="1" x14ac:dyDescent="0.25">
      <c r="A2" s="126"/>
      <c r="B2" s="126"/>
      <c r="C2" s="126"/>
      <c r="D2" s="126"/>
      <c r="E2" s="126"/>
      <c r="F2" s="126"/>
      <c r="G2" s="126"/>
      <c r="H2" s="126"/>
      <c r="I2" s="126"/>
      <c r="J2" s="114"/>
      <c r="L2" s="124" t="s">
        <v>979</v>
      </c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</row>
    <row r="3" spans="1:28" ht="11.25" customHeight="1" x14ac:dyDescent="0.25">
      <c r="A3" s="126"/>
      <c r="B3" s="126"/>
      <c r="C3" s="126"/>
      <c r="D3" s="126"/>
      <c r="E3" s="126"/>
      <c r="F3" s="126"/>
      <c r="G3" s="126"/>
      <c r="H3" s="126"/>
      <c r="I3" s="126"/>
      <c r="J3" s="114"/>
      <c r="L3" s="124" t="s">
        <v>952</v>
      </c>
      <c r="M3" s="124"/>
      <c r="N3" s="124"/>
      <c r="O3" s="124"/>
      <c r="P3" s="124"/>
      <c r="Q3" s="124"/>
      <c r="R3" s="124" t="s">
        <v>982</v>
      </c>
      <c r="S3" s="124"/>
      <c r="T3" s="124" t="s">
        <v>961</v>
      </c>
      <c r="U3" s="124"/>
      <c r="V3" s="124"/>
      <c r="W3" s="124"/>
      <c r="X3" s="124" t="s">
        <v>971</v>
      </c>
      <c r="Y3" s="124"/>
      <c r="Z3" s="124" t="s">
        <v>974</v>
      </c>
      <c r="AA3" s="124"/>
      <c r="AB3" s="124" t="s">
        <v>960</v>
      </c>
    </row>
    <row r="4" spans="1:28" ht="11.25" customHeight="1" x14ac:dyDescent="0.25">
      <c r="A4" s="126"/>
      <c r="B4" s="126"/>
      <c r="C4" s="126"/>
      <c r="D4" s="126"/>
      <c r="E4" s="126"/>
      <c r="F4" s="126"/>
      <c r="G4" s="126"/>
      <c r="H4" s="126"/>
      <c r="I4" s="126"/>
      <c r="J4" s="114"/>
      <c r="L4" s="49" t="s">
        <v>954</v>
      </c>
      <c r="M4" s="49" t="s">
        <v>980</v>
      </c>
      <c r="N4" s="49" t="s">
        <v>981</v>
      </c>
      <c r="O4" s="49" t="s">
        <v>1039</v>
      </c>
      <c r="P4" s="49" t="s">
        <v>1613</v>
      </c>
      <c r="Q4" s="49" t="s">
        <v>960</v>
      </c>
      <c r="R4" s="49" t="s">
        <v>983</v>
      </c>
      <c r="S4" s="49" t="s">
        <v>960</v>
      </c>
      <c r="T4" s="49" t="s">
        <v>984</v>
      </c>
      <c r="U4" s="49" t="s">
        <v>985</v>
      </c>
      <c r="V4" s="49" t="s">
        <v>986</v>
      </c>
      <c r="W4" s="49" t="s">
        <v>960</v>
      </c>
      <c r="X4" s="49" t="s">
        <v>972</v>
      </c>
      <c r="Y4" s="49" t="s">
        <v>960</v>
      </c>
      <c r="Z4" s="49" t="s">
        <v>987</v>
      </c>
      <c r="AA4" s="49" t="s">
        <v>960</v>
      </c>
      <c r="AB4" s="125"/>
    </row>
    <row r="5" spans="1:28" ht="11.25" customHeight="1" x14ac:dyDescent="0.25">
      <c r="A5" s="127" t="s">
        <v>59</v>
      </c>
      <c r="B5" s="127" t="s">
        <v>116</v>
      </c>
      <c r="C5" s="127" t="s">
        <v>25</v>
      </c>
      <c r="D5" s="127" t="s">
        <v>25</v>
      </c>
      <c r="E5" s="127" t="s">
        <v>25</v>
      </c>
      <c r="F5" s="127" t="s">
        <v>25</v>
      </c>
      <c r="G5" s="45" t="s">
        <v>118</v>
      </c>
      <c r="H5" s="45" t="s">
        <v>117</v>
      </c>
      <c r="I5" s="45">
        <f>'MERCADO TE'!$U$2</f>
        <v>0</v>
      </c>
      <c r="J5" s="16"/>
      <c r="L5" s="43">
        <f>'TE BE'!$L$5*'TE BE'!$L$52</f>
        <v>-1.8233691587517364E-6</v>
      </c>
      <c r="M5" s="43">
        <f>'TE BE'!$M$5*'TE BE'!$M$52</f>
        <v>-2.706445115841325</v>
      </c>
      <c r="N5" s="43">
        <f>'TE BE'!$N$5*'TE BE'!$N$52</f>
        <v>0</v>
      </c>
      <c r="O5" s="43">
        <f>'TE BE'!$O$5*'TE BE'!$O$52</f>
        <v>5.2326803005852796</v>
      </c>
      <c r="P5" s="43">
        <f>'TE BE'!$P$5*'TE BE'!$P$52</f>
        <v>0</v>
      </c>
      <c r="Q5" s="43">
        <f>SUM($L$5:$P$5)</f>
        <v>2.5262333613747958</v>
      </c>
      <c r="R5" s="43">
        <f>'TE BE'!$R$5*'TE BE'!$R$52</f>
        <v>-44.734665228020695</v>
      </c>
      <c r="S5" s="43">
        <f>SUM($R$5:$R$5)</f>
        <v>-44.734665228020695</v>
      </c>
      <c r="T5" s="43">
        <f>'TE BE'!$T$5*'TE BE'!$T$52</f>
        <v>2.2606401208937048</v>
      </c>
      <c r="U5" s="43">
        <f>'TE BE'!$U$5*'TE BE'!$U$52</f>
        <v>0.30922896517155035</v>
      </c>
      <c r="V5" s="43">
        <f>'TE BE'!$V$5*'TE BE'!$V$52</f>
        <v>0</v>
      </c>
      <c r="W5" s="43">
        <f>SUM($T$5:$V$5)</f>
        <v>2.5698690860652551</v>
      </c>
      <c r="X5" s="43">
        <f>'TE BE'!$AB$5*'TE BE'!$X$52</f>
        <v>0</v>
      </c>
      <c r="Y5" s="43">
        <f>SUM($X$5:$X$5)</f>
        <v>0</v>
      </c>
      <c r="Z5" s="43">
        <f>'TE BE'!$Z$5*'TE BE'!$Z$52</f>
        <v>-0.13029494893821603</v>
      </c>
      <c r="AA5" s="43">
        <f>SUM($Z$5:$Z$5)</f>
        <v>-0.13029494893821603</v>
      </c>
      <c r="AB5" s="43">
        <f>SUMIF($L$4:$AA$4,"SUBTOTAL",$L$5:$AA$5)</f>
        <v>-39.768857729518864</v>
      </c>
    </row>
    <row r="6" spans="1:28" ht="11.25" customHeight="1" x14ac:dyDescent="0.25">
      <c r="A6" s="127"/>
      <c r="B6" s="127"/>
      <c r="C6" s="127"/>
      <c r="D6" s="127"/>
      <c r="E6" s="127"/>
      <c r="F6" s="127"/>
      <c r="G6" s="45" t="s">
        <v>119</v>
      </c>
      <c r="H6" s="45" t="s">
        <v>117</v>
      </c>
      <c r="I6" s="45">
        <f>'MERCADO TE'!$U$3</f>
        <v>0</v>
      </c>
      <c r="J6" s="16"/>
      <c r="L6" s="43">
        <f>'TE BE'!$L$6*'TE BE'!$L$52</f>
        <v>-1.8233691587517364E-6</v>
      </c>
      <c r="M6" s="43">
        <f>'TE BE'!$M$6*'TE BE'!$M$52</f>
        <v>-2.706445115841325</v>
      </c>
      <c r="N6" s="43">
        <f>'TE BE'!$N$6*'TE BE'!$N$52</f>
        <v>0</v>
      </c>
      <c r="O6" s="43">
        <f>'TE BE'!$O$6*'TE BE'!$O$52</f>
        <v>5.2326803005852796</v>
      </c>
      <c r="P6" s="43">
        <f>'TE BE'!$P$6*'TE BE'!$P$52</f>
        <v>0</v>
      </c>
      <c r="Q6" s="43">
        <f>SUM($L$6:$P$6)</f>
        <v>2.5262333613747958</v>
      </c>
      <c r="R6" s="43">
        <f>'TE BE'!$R$6*'TE BE'!$R$52</f>
        <v>-26.00852629536087</v>
      </c>
      <c r="S6" s="43">
        <f>SUM($R$6:$R$6)</f>
        <v>-26.00852629536087</v>
      </c>
      <c r="T6" s="43">
        <f>'TE BE'!$T$6*'TE BE'!$T$52</f>
        <v>2.2606401208937048</v>
      </c>
      <c r="U6" s="43">
        <f>'TE BE'!$U$6*'TE BE'!$U$52</f>
        <v>0.30922896517155035</v>
      </c>
      <c r="V6" s="43">
        <f>'TE BE'!$V$6*'TE BE'!$V$52</f>
        <v>0</v>
      </c>
      <c r="W6" s="43">
        <f>SUM($T$6:$V$6)</f>
        <v>2.5698690860652551</v>
      </c>
      <c r="X6" s="43">
        <f>'TE BE'!$AB$6*'TE BE'!$X$52</f>
        <v>0</v>
      </c>
      <c r="Y6" s="43">
        <f>SUM($X$6:$X$6)</f>
        <v>0</v>
      </c>
      <c r="Z6" s="43">
        <f>'TE BE'!$Z$6*'TE BE'!$Z$52</f>
        <v>-0.13029494893821603</v>
      </c>
      <c r="AA6" s="43">
        <f>SUM($Z$6:$Z$6)</f>
        <v>-0.13029494893821603</v>
      </c>
      <c r="AB6" s="43">
        <f>SUMIF($L$4:$AA$4,"SUBTOTAL",$L$6:$AA$6)</f>
        <v>-21.042718796859035</v>
      </c>
    </row>
    <row r="7" spans="1:28" ht="11.25" customHeight="1" x14ac:dyDescent="0.25">
      <c r="A7" s="127" t="s">
        <v>39</v>
      </c>
      <c r="B7" s="127" t="s">
        <v>116</v>
      </c>
      <c r="C7" s="127" t="s">
        <v>25</v>
      </c>
      <c r="D7" s="127" t="s">
        <v>25</v>
      </c>
      <c r="E7" s="127" t="s">
        <v>25</v>
      </c>
      <c r="F7" s="127" t="s">
        <v>25</v>
      </c>
      <c r="G7" s="45" t="s">
        <v>118</v>
      </c>
      <c r="H7" s="45" t="s">
        <v>117</v>
      </c>
      <c r="I7" s="45">
        <f>'MERCADO TE'!$U$4</f>
        <v>174.774</v>
      </c>
      <c r="J7" s="16"/>
      <c r="L7" s="43">
        <f>'TE BE'!$L$7*'TE BE'!$L$52</f>
        <v>-1.8233691587517364E-6</v>
      </c>
      <c r="M7" s="43">
        <f>'TE BE'!$M$7*'TE BE'!$M$52</f>
        <v>-2.706445115841325</v>
      </c>
      <c r="N7" s="43">
        <f>'TE BE'!$N$7*'TE BE'!$N$52</f>
        <v>0</v>
      </c>
      <c r="O7" s="43">
        <f>'TE BE'!$O$7*'TE BE'!$O$52</f>
        <v>5.2326803005852796</v>
      </c>
      <c r="P7" s="43">
        <f>'TE BE'!$P$7*'TE BE'!$P$52</f>
        <v>0</v>
      </c>
      <c r="Q7" s="43">
        <f>SUM($L$7:$P$7)</f>
        <v>2.5262333613747958</v>
      </c>
      <c r="R7" s="43">
        <f>'TE BE'!$R$7*'TE BE'!$R$52</f>
        <v>-44.734665228020695</v>
      </c>
      <c r="S7" s="43">
        <f>SUM($R$7:$R$7)</f>
        <v>-44.734665228020695</v>
      </c>
      <c r="T7" s="43">
        <f>'TE BE'!$T$7*'TE BE'!$T$52</f>
        <v>2.2606401208937048</v>
      </c>
      <c r="U7" s="43">
        <f>'TE BE'!$U$7*'TE BE'!$U$52</f>
        <v>0.30922896517155035</v>
      </c>
      <c r="V7" s="43">
        <f>'TE BE'!$V$7*'TE BE'!$V$52</f>
        <v>0</v>
      </c>
      <c r="W7" s="43">
        <f>SUM($T$7:$V$7)</f>
        <v>2.5698690860652551</v>
      </c>
      <c r="X7" s="43">
        <f>'TE BE'!$AB$7*'TE BE'!$X$52</f>
        <v>0</v>
      </c>
      <c r="Y7" s="43">
        <f>SUM($X$7:$X$7)</f>
        <v>0</v>
      </c>
      <c r="Z7" s="43">
        <f>'TE BE'!$Z$7*'TE BE'!$Z$52</f>
        <v>-0.13029494893821603</v>
      </c>
      <c r="AA7" s="43">
        <f>SUM($Z$7:$Z$7)</f>
        <v>-0.13029494893821603</v>
      </c>
      <c r="AB7" s="43">
        <f>SUMIF($L$4:$AA$4,"SUBTOTAL",$L$7:$AA$7)</f>
        <v>-39.768857729518864</v>
      </c>
    </row>
    <row r="8" spans="1:28" ht="11.25" customHeight="1" x14ac:dyDescent="0.25">
      <c r="A8" s="127"/>
      <c r="B8" s="127"/>
      <c r="C8" s="127"/>
      <c r="D8" s="127"/>
      <c r="E8" s="127"/>
      <c r="F8" s="127"/>
      <c r="G8" s="45" t="s">
        <v>119</v>
      </c>
      <c r="H8" s="45" t="s">
        <v>117</v>
      </c>
      <c r="I8" s="45">
        <f>'MERCADO TE'!$U$5</f>
        <v>1762.346</v>
      </c>
      <c r="J8" s="16"/>
      <c r="L8" s="43">
        <f>'TE BE'!$L$8*'TE BE'!$L$52</f>
        <v>-1.8233691587517364E-6</v>
      </c>
      <c r="M8" s="43">
        <f>'TE BE'!$M$8*'TE BE'!$M$52</f>
        <v>-2.706445115841325</v>
      </c>
      <c r="N8" s="43">
        <f>'TE BE'!$N$8*'TE BE'!$N$52</f>
        <v>0</v>
      </c>
      <c r="O8" s="43">
        <f>'TE BE'!$O$8*'TE BE'!$O$52</f>
        <v>5.2326803005852796</v>
      </c>
      <c r="P8" s="43">
        <f>'TE BE'!$P$8*'TE BE'!$P$52</f>
        <v>0</v>
      </c>
      <c r="Q8" s="43">
        <f>SUM($L$8:$P$8)</f>
        <v>2.5262333613747958</v>
      </c>
      <c r="R8" s="43">
        <f>'TE BE'!$R$8*'TE BE'!$R$52</f>
        <v>-26.00852629536087</v>
      </c>
      <c r="S8" s="43">
        <f>SUM($R$8:$R$8)</f>
        <v>-26.00852629536087</v>
      </c>
      <c r="T8" s="43">
        <f>'TE BE'!$T$8*'TE BE'!$T$52</f>
        <v>2.2606401208937048</v>
      </c>
      <c r="U8" s="43">
        <f>'TE BE'!$U$8*'TE BE'!$U$52</f>
        <v>0.30922896517155035</v>
      </c>
      <c r="V8" s="43">
        <f>'TE BE'!$V$8*'TE BE'!$V$52</f>
        <v>0</v>
      </c>
      <c r="W8" s="43">
        <f>SUM($T$8:$V$8)</f>
        <v>2.5698690860652551</v>
      </c>
      <c r="X8" s="43">
        <f>'TE BE'!$AB$8*'TE BE'!$X$52</f>
        <v>0</v>
      </c>
      <c r="Y8" s="43">
        <f>SUM($X$8:$X$8)</f>
        <v>0</v>
      </c>
      <c r="Z8" s="43">
        <f>'TE BE'!$Z$8*'TE BE'!$Z$52</f>
        <v>-0.13029494893821603</v>
      </c>
      <c r="AA8" s="43">
        <f>SUM($Z$8:$Z$8)</f>
        <v>-0.13029494893821603</v>
      </c>
      <c r="AB8" s="43">
        <f>SUMIF($L$4:$AA$4,"SUBTOTAL",$L$8:$AA$8)</f>
        <v>-21.042718796859035</v>
      </c>
    </row>
    <row r="9" spans="1:28" ht="11.25" customHeight="1" x14ac:dyDescent="0.25">
      <c r="A9" s="127" t="s">
        <v>41</v>
      </c>
      <c r="B9" s="127" t="s">
        <v>116</v>
      </c>
      <c r="C9" s="127" t="s">
        <v>25</v>
      </c>
      <c r="D9" s="127" t="s">
        <v>25</v>
      </c>
      <c r="E9" s="127" t="s">
        <v>25</v>
      </c>
      <c r="F9" s="127" t="s">
        <v>25</v>
      </c>
      <c r="G9" s="45" t="s">
        <v>118</v>
      </c>
      <c r="H9" s="45" t="s">
        <v>117</v>
      </c>
      <c r="I9" s="45">
        <f>'MERCADO TE'!$U$6</f>
        <v>7308.0869999999995</v>
      </c>
      <c r="J9" s="16"/>
      <c r="L9" s="43">
        <f>'TE BE'!$L$9*'TE BE'!$L$52</f>
        <v>-1.8233691587517364E-6</v>
      </c>
      <c r="M9" s="43">
        <f>'TE BE'!$M$9*'TE BE'!$M$52</f>
        <v>-2.706445115841325</v>
      </c>
      <c r="N9" s="43">
        <f>'TE BE'!$N$9*'TE BE'!$N$52</f>
        <v>0</v>
      </c>
      <c r="O9" s="43">
        <f>'TE BE'!$O$9*'TE BE'!$O$52</f>
        <v>5.2326803005852796</v>
      </c>
      <c r="P9" s="43">
        <f>'TE BE'!$P$9*'TE BE'!$P$52</f>
        <v>0</v>
      </c>
      <c r="Q9" s="43">
        <f>SUM($L$9:$P$9)</f>
        <v>2.5262333613747958</v>
      </c>
      <c r="R9" s="43">
        <f>'TE BE'!$R$9*'TE BE'!$R$52</f>
        <v>-44.734665228020695</v>
      </c>
      <c r="S9" s="43">
        <f>SUM($R$9:$R$9)</f>
        <v>-44.734665228020695</v>
      </c>
      <c r="T9" s="43">
        <f>'TE BE'!$T$9*'TE BE'!$T$52</f>
        <v>2.2606401208937048</v>
      </c>
      <c r="U9" s="43">
        <f>'TE BE'!$U$9*'TE BE'!$U$52</f>
        <v>0.30922896517155035</v>
      </c>
      <c r="V9" s="43">
        <f>'TE BE'!$V$9*'TE BE'!$V$52</f>
        <v>0</v>
      </c>
      <c r="W9" s="43">
        <f>SUM($T$9:$V$9)</f>
        <v>2.5698690860652551</v>
      </c>
      <c r="X9" s="43">
        <f>'TE BE'!$AB$9*'TE BE'!$X$52</f>
        <v>0</v>
      </c>
      <c r="Y9" s="43">
        <f>SUM($X$9:$X$9)</f>
        <v>0</v>
      </c>
      <c r="Z9" s="43">
        <f>'TE BE'!$Z$9*'TE BE'!$Z$52</f>
        <v>-0.13029494893821603</v>
      </c>
      <c r="AA9" s="43">
        <f>SUM($Z$9:$Z$9)</f>
        <v>-0.13029494893821603</v>
      </c>
      <c r="AB9" s="43">
        <f>SUMIF($L$4:$AA$4,"SUBTOTAL",$L$9:$AA$9)</f>
        <v>-39.768857729518864</v>
      </c>
    </row>
    <row r="10" spans="1:28" ht="11.25" customHeight="1" x14ac:dyDescent="0.25">
      <c r="A10" s="127"/>
      <c r="B10" s="127"/>
      <c r="C10" s="127"/>
      <c r="D10" s="127"/>
      <c r="E10" s="127"/>
      <c r="F10" s="127"/>
      <c r="G10" s="45" t="s">
        <v>119</v>
      </c>
      <c r="H10" s="45" t="s">
        <v>117</v>
      </c>
      <c r="I10" s="45">
        <f>'MERCADO TE'!$U$7</f>
        <v>130195.47900000001</v>
      </c>
      <c r="J10" s="16"/>
      <c r="L10" s="43">
        <f>'TE BE'!$L$10*'TE BE'!$L$52</f>
        <v>-1.8233691587517364E-6</v>
      </c>
      <c r="M10" s="43">
        <f>'TE BE'!$M$10*'TE BE'!$M$52</f>
        <v>-2.706445115841325</v>
      </c>
      <c r="N10" s="43">
        <f>'TE BE'!$N$10*'TE BE'!$N$52</f>
        <v>0</v>
      </c>
      <c r="O10" s="43">
        <f>'TE BE'!$O$10*'TE BE'!$O$52</f>
        <v>5.2326803005852796</v>
      </c>
      <c r="P10" s="43">
        <f>'TE BE'!$P$10*'TE BE'!$P$52</f>
        <v>0</v>
      </c>
      <c r="Q10" s="43">
        <f>SUM($L$10:$P$10)</f>
        <v>2.5262333613747958</v>
      </c>
      <c r="R10" s="43">
        <f>'TE BE'!$R$10*'TE BE'!$R$52</f>
        <v>-26.00852629536087</v>
      </c>
      <c r="S10" s="43">
        <f>SUM($R$10:$R$10)</f>
        <v>-26.00852629536087</v>
      </c>
      <c r="T10" s="43">
        <f>'TE BE'!$T$10*'TE BE'!$T$52</f>
        <v>2.2606401208937048</v>
      </c>
      <c r="U10" s="43">
        <f>'TE BE'!$U$10*'TE BE'!$U$52</f>
        <v>0.30922896517155035</v>
      </c>
      <c r="V10" s="43">
        <f>'TE BE'!$V$10*'TE BE'!$V$52</f>
        <v>0</v>
      </c>
      <c r="W10" s="43">
        <f>SUM($T$10:$V$10)</f>
        <v>2.5698690860652551</v>
      </c>
      <c r="X10" s="43">
        <f>'TE BE'!$AB$10*'TE BE'!$X$52</f>
        <v>0</v>
      </c>
      <c r="Y10" s="43">
        <f>SUM($X$10:$X$10)</f>
        <v>0</v>
      </c>
      <c r="Z10" s="43">
        <f>'TE BE'!$Z$10*'TE BE'!$Z$52</f>
        <v>-0.13029494893821603</v>
      </c>
      <c r="AA10" s="43">
        <f>SUM($Z$10:$Z$10)</f>
        <v>-0.13029494893821603</v>
      </c>
      <c r="AB10" s="43">
        <f>SUMIF($L$4:$AA$4,"SUBTOTAL",$L$10:$AA$10)</f>
        <v>-21.042718796859035</v>
      </c>
    </row>
    <row r="11" spans="1:28" ht="11.25" customHeight="1" x14ac:dyDescent="0.25">
      <c r="A11" s="127" t="s">
        <v>22</v>
      </c>
      <c r="B11" s="127" t="s">
        <v>116</v>
      </c>
      <c r="C11" s="127" t="s">
        <v>24</v>
      </c>
      <c r="D11" s="127" t="s">
        <v>24</v>
      </c>
      <c r="E11" s="127" t="s">
        <v>25</v>
      </c>
      <c r="F11" s="127" t="s">
        <v>25</v>
      </c>
      <c r="G11" s="45" t="s">
        <v>118</v>
      </c>
      <c r="H11" s="45" t="s">
        <v>117</v>
      </c>
      <c r="I11" s="45">
        <f>'MERCADO TE'!$U$8</f>
        <v>17.429000000000002</v>
      </c>
      <c r="J11" s="16"/>
      <c r="L11" s="43">
        <f>'TE BE'!$L$11*'TE BE'!$L$52</f>
        <v>-1.8233691587517364E-6</v>
      </c>
      <c r="M11" s="43">
        <f>'TE BE'!$M$11*'TE BE'!$M$52</f>
        <v>-2.706445115841325</v>
      </c>
      <c r="N11" s="43">
        <f>'TE BE'!$N$11*'TE BE'!$N$52</f>
        <v>0</v>
      </c>
      <c r="O11" s="43">
        <f>'TE BE'!$O$11*'TE BE'!$O$52</f>
        <v>5.2326803005852796</v>
      </c>
      <c r="P11" s="43">
        <f>'TE BE'!$P$11*'TE BE'!$P$52</f>
        <v>0</v>
      </c>
      <c r="Q11" s="43">
        <f>SUM($L$11:$P$11)</f>
        <v>2.5262333613747958</v>
      </c>
      <c r="R11" s="43">
        <f>'TE BE'!$R$11*'TE BE'!$R$52</f>
        <v>-44.734665228020695</v>
      </c>
      <c r="S11" s="43">
        <f>SUM($R$11:$R$11)</f>
        <v>-44.734665228020695</v>
      </c>
      <c r="T11" s="43">
        <f>'TE BE'!$T$11*'TE BE'!$T$52</f>
        <v>2.2606401208937048</v>
      </c>
      <c r="U11" s="43">
        <f>'TE BE'!$U$11*'TE BE'!$U$52</f>
        <v>0.30922896517155035</v>
      </c>
      <c r="V11" s="43">
        <f>'TE BE'!$V$11*'TE BE'!$V$52</f>
        <v>0</v>
      </c>
      <c r="W11" s="43">
        <f>SUM($T$11:$V$11)</f>
        <v>2.5698690860652551</v>
      </c>
      <c r="X11" s="43">
        <f>'TE BE'!$AB$11*'TE BE'!$X$52</f>
        <v>0</v>
      </c>
      <c r="Y11" s="43">
        <f>SUM($X$11:$X$11)</f>
        <v>0</v>
      </c>
      <c r="Z11" s="43">
        <f>'TE BE'!$Z$11*'TE BE'!$Z$52</f>
        <v>-0.13029494893821603</v>
      </c>
      <c r="AA11" s="43">
        <f>SUM($Z$11:$Z$11)</f>
        <v>-0.13029494893821603</v>
      </c>
      <c r="AB11" s="43">
        <f>SUMIF($L$4:$AA$4,"SUBTOTAL",$L$11:$AA$11)</f>
        <v>-39.768857729518864</v>
      </c>
    </row>
    <row r="12" spans="1:28" ht="11.25" customHeight="1" x14ac:dyDescent="0.25">
      <c r="A12" s="127"/>
      <c r="B12" s="127"/>
      <c r="C12" s="127"/>
      <c r="D12" s="127"/>
      <c r="E12" s="127"/>
      <c r="F12" s="127"/>
      <c r="G12" s="45" t="s">
        <v>128</v>
      </c>
      <c r="H12" s="45" t="s">
        <v>117</v>
      </c>
      <c r="I12" s="45">
        <f>'MERCADO TE'!$U$9</f>
        <v>10.807000000000002</v>
      </c>
      <c r="J12" s="16"/>
      <c r="L12" s="43">
        <f>'TE BE'!$L$12*'TE BE'!$L$52</f>
        <v>-1.8233691587517364E-6</v>
      </c>
      <c r="M12" s="43">
        <f>'TE BE'!$M$12*'TE BE'!$M$52</f>
        <v>-2.706445115841325</v>
      </c>
      <c r="N12" s="43">
        <f>'TE BE'!$N$12*'TE BE'!$N$52</f>
        <v>0</v>
      </c>
      <c r="O12" s="43">
        <f>'TE BE'!$O$12*'TE BE'!$O$52</f>
        <v>5.2326803005852796</v>
      </c>
      <c r="P12" s="43">
        <f>'TE BE'!$P$12*'TE BE'!$P$52</f>
        <v>0</v>
      </c>
      <c r="Q12" s="43">
        <f>SUM($L$12:$P$12)</f>
        <v>2.5262333613747958</v>
      </c>
      <c r="R12" s="43">
        <f>'TE BE'!$R$12*'TE BE'!$R$52</f>
        <v>-26.00852629536087</v>
      </c>
      <c r="S12" s="43">
        <f>SUM($R$12:$R$12)</f>
        <v>-26.00852629536087</v>
      </c>
      <c r="T12" s="43">
        <f>'TE BE'!$T$12*'TE BE'!$T$52</f>
        <v>2.2606401208937048</v>
      </c>
      <c r="U12" s="43">
        <f>'TE BE'!$U$12*'TE BE'!$U$52</f>
        <v>0.30922896517155035</v>
      </c>
      <c r="V12" s="43">
        <f>'TE BE'!$V$12*'TE BE'!$V$52</f>
        <v>0</v>
      </c>
      <c r="W12" s="43">
        <f>SUM($T$12:$V$12)</f>
        <v>2.5698690860652551</v>
      </c>
      <c r="X12" s="43">
        <f>'TE BE'!$AB$12*'TE BE'!$X$52</f>
        <v>0</v>
      </c>
      <c r="Y12" s="43">
        <f>SUM($X$12:$X$12)</f>
        <v>0</v>
      </c>
      <c r="Z12" s="43">
        <f>'TE BE'!$Z$12*'TE BE'!$Z$52</f>
        <v>-0.13029494893821603</v>
      </c>
      <c r="AA12" s="43">
        <f>SUM($Z$12:$Z$12)</f>
        <v>-0.13029494893821603</v>
      </c>
      <c r="AB12" s="43">
        <f>SUMIF($L$4:$AA$4,"SUBTOTAL",$L$12:$AA$12)</f>
        <v>-21.042718796859035</v>
      </c>
    </row>
    <row r="13" spans="1:28" ht="11.25" customHeight="1" x14ac:dyDescent="0.25">
      <c r="A13" s="127"/>
      <c r="B13" s="127"/>
      <c r="C13" s="127"/>
      <c r="D13" s="127"/>
      <c r="E13" s="127"/>
      <c r="F13" s="127"/>
      <c r="G13" s="45" t="s">
        <v>119</v>
      </c>
      <c r="H13" s="45" t="s">
        <v>117</v>
      </c>
      <c r="I13" s="45">
        <f>'MERCADO TE'!$U$10</f>
        <v>120.55500000000001</v>
      </c>
      <c r="J13" s="16"/>
      <c r="L13" s="43">
        <f>'TE BE'!$L$13*'TE BE'!$L$52</f>
        <v>-1.8233691587517364E-6</v>
      </c>
      <c r="M13" s="43">
        <f>'TE BE'!$M$13*'TE BE'!$M$52</f>
        <v>-2.706445115841325</v>
      </c>
      <c r="N13" s="43">
        <f>'TE BE'!$N$13*'TE BE'!$N$52</f>
        <v>0</v>
      </c>
      <c r="O13" s="43">
        <f>'TE BE'!$O$13*'TE BE'!$O$52</f>
        <v>5.2326803005852796</v>
      </c>
      <c r="P13" s="43">
        <f>'TE BE'!$P$13*'TE BE'!$P$52</f>
        <v>0</v>
      </c>
      <c r="Q13" s="43">
        <f>SUM($L$13:$P$13)</f>
        <v>2.5262333613747958</v>
      </c>
      <c r="R13" s="43">
        <f>'TE BE'!$R$13*'TE BE'!$R$52</f>
        <v>-26.00852629536087</v>
      </c>
      <c r="S13" s="43">
        <f>SUM($R$13:$R$13)</f>
        <v>-26.00852629536087</v>
      </c>
      <c r="T13" s="43">
        <f>'TE BE'!$T$13*'TE BE'!$T$52</f>
        <v>2.2606401208937048</v>
      </c>
      <c r="U13" s="43">
        <f>'TE BE'!$U$13*'TE BE'!$U$52</f>
        <v>0.30922896517155035</v>
      </c>
      <c r="V13" s="43">
        <f>'TE BE'!$V$13*'TE BE'!$V$52</f>
        <v>0</v>
      </c>
      <c r="W13" s="43">
        <f>SUM($T$13:$V$13)</f>
        <v>2.5698690860652551</v>
      </c>
      <c r="X13" s="43">
        <f>'TE BE'!$AB$13*'TE BE'!$X$52</f>
        <v>0</v>
      </c>
      <c r="Y13" s="43">
        <f>SUM($X$13:$X$13)</f>
        <v>0</v>
      </c>
      <c r="Z13" s="43">
        <f>'TE BE'!$Z$13*'TE BE'!$Z$52</f>
        <v>-0.13029494893821603</v>
      </c>
      <c r="AA13" s="43">
        <f>SUM($Z$13:$Z$13)</f>
        <v>-0.13029494893821603</v>
      </c>
      <c r="AB13" s="43">
        <f>SUMIF($L$4:$AA$4,"SUBTOTAL",$L$13:$AA$13)</f>
        <v>-21.042718796859035</v>
      </c>
    </row>
    <row r="14" spans="1:28" ht="11.25" customHeight="1" x14ac:dyDescent="0.25">
      <c r="A14" s="127"/>
      <c r="B14" s="127" t="s">
        <v>129</v>
      </c>
      <c r="C14" s="127" t="s">
        <v>24</v>
      </c>
      <c r="D14" s="51" t="s">
        <v>24</v>
      </c>
      <c r="E14" s="51" t="s">
        <v>25</v>
      </c>
      <c r="F14" s="51" t="s">
        <v>25</v>
      </c>
      <c r="G14" s="45" t="s">
        <v>123</v>
      </c>
      <c r="H14" s="45" t="s">
        <v>117</v>
      </c>
      <c r="I14" s="45">
        <f>'MERCADO TE'!$U$11</f>
        <v>426447.22100000002</v>
      </c>
      <c r="J14" s="16"/>
      <c r="L14" s="43">
        <f>'TE BE'!$L$14*'TE BE'!$L$52</f>
        <v>-1.8233691587517364E-6</v>
      </c>
      <c r="M14" s="43">
        <f>'TE BE'!$M$14*'TE BE'!$M$52</f>
        <v>-2.706445115841325</v>
      </c>
      <c r="N14" s="43">
        <f>'TE BE'!$N$14*'TE BE'!$N$52</f>
        <v>0</v>
      </c>
      <c r="O14" s="43">
        <f>'TE BE'!$O$14*'TE BE'!$O$52</f>
        <v>5.2326803005852796</v>
      </c>
      <c r="P14" s="43">
        <f>'TE BE'!$P$14*'TE BE'!$P$52</f>
        <v>0</v>
      </c>
      <c r="Q14" s="43">
        <f>SUM($L$14:$P$14)</f>
        <v>2.5262333613747958</v>
      </c>
      <c r="R14" s="43">
        <f>'TE BE'!$R$14*'TE BE'!$R$52</f>
        <v>-27.569037873082525</v>
      </c>
      <c r="S14" s="43">
        <f>SUM($R$14:$R$14)</f>
        <v>-27.569037873082525</v>
      </c>
      <c r="T14" s="43">
        <f>'TE BE'!$T$14*'TE BE'!$T$52</f>
        <v>2.2606401208937048</v>
      </c>
      <c r="U14" s="43">
        <f>'TE BE'!$U$14*'TE BE'!$U$52</f>
        <v>0.30922896517155035</v>
      </c>
      <c r="V14" s="43">
        <f>'TE BE'!$V$14*'TE BE'!$V$52</f>
        <v>0</v>
      </c>
      <c r="W14" s="43">
        <f>SUM($T$14:$V$14)</f>
        <v>2.5698690860652551</v>
      </c>
      <c r="X14" s="43">
        <f>'TE BE'!$AB$14*'TE BE'!$X$52</f>
        <v>0</v>
      </c>
      <c r="Y14" s="43">
        <f>SUM($X$14:$X$14)</f>
        <v>0</v>
      </c>
      <c r="Z14" s="43">
        <f>'TE BE'!$Z$14*'TE BE'!$Z$52</f>
        <v>-0.13029494893821603</v>
      </c>
      <c r="AA14" s="43">
        <f>SUM($Z$14:$Z$14)</f>
        <v>-0.13029494893821603</v>
      </c>
      <c r="AB14" s="43">
        <f>SUMIF($L$4:$AA$4,"SUBTOTAL",$L$14:$AA$14)</f>
        <v>-22.60323037458069</v>
      </c>
    </row>
    <row r="15" spans="1:28" ht="11.25" customHeight="1" x14ac:dyDescent="0.25">
      <c r="A15" s="127"/>
      <c r="B15" s="127"/>
      <c r="C15" s="127"/>
      <c r="D15" s="51" t="s">
        <v>29</v>
      </c>
      <c r="E15" s="51" t="s">
        <v>25</v>
      </c>
      <c r="F15" s="51" t="s">
        <v>25</v>
      </c>
      <c r="G15" s="45" t="s">
        <v>123</v>
      </c>
      <c r="H15" s="45" t="s">
        <v>117</v>
      </c>
      <c r="I15" s="45">
        <f>'MERCADO TE'!$U$12</f>
        <v>31822.650999999998</v>
      </c>
      <c r="J15" s="16"/>
      <c r="L15" s="43">
        <f>'TE BE'!$L$15*'TE BE'!$L$52</f>
        <v>-1.8233691587517364E-6</v>
      </c>
      <c r="M15" s="43">
        <f>'TE BE'!$M$15*'TE BE'!$M$52</f>
        <v>-2.706445115841325</v>
      </c>
      <c r="N15" s="43">
        <f>'TE BE'!$N$15*'TE BE'!$N$52</f>
        <v>0</v>
      </c>
      <c r="O15" s="43">
        <f>'TE BE'!$O$15*'TE BE'!$O$52</f>
        <v>5.2326803005852796</v>
      </c>
      <c r="P15" s="43">
        <f>'TE BE'!$P$15*'TE BE'!$P$52</f>
        <v>0</v>
      </c>
      <c r="Q15" s="43">
        <f>SUM($L$15:$P$15)</f>
        <v>2.5262333613747958</v>
      </c>
      <c r="R15" s="43">
        <f>'TE BE'!$R$15*'TE BE'!$R$52</f>
        <v>-27.569037873082525</v>
      </c>
      <c r="S15" s="43">
        <f>SUM($R$15:$R$15)</f>
        <v>-27.569037873082525</v>
      </c>
      <c r="T15" s="43">
        <f>'TE BE'!$T$15*'TE BE'!$T$52</f>
        <v>2.2606401208937048</v>
      </c>
      <c r="U15" s="43">
        <f>'TE BE'!$U$15*'TE BE'!$U$52</f>
        <v>0.30922896517155035</v>
      </c>
      <c r="V15" s="43">
        <f>'TE BE'!$V$15*'TE BE'!$V$52</f>
        <v>0</v>
      </c>
      <c r="W15" s="43">
        <f>SUM($T$15:$V$15)</f>
        <v>2.5698690860652551</v>
      </c>
      <c r="X15" s="43">
        <f>'TE BE'!$AB$15*'TE BE'!$X$52</f>
        <v>0</v>
      </c>
      <c r="Y15" s="43">
        <f>SUM($X$15:$X$15)</f>
        <v>0</v>
      </c>
      <c r="Z15" s="43">
        <f>'TE BE'!$Z$15*'TE BE'!$Z$52</f>
        <v>-0.13029494893821603</v>
      </c>
      <c r="AA15" s="43">
        <f>SUM($Z$15:$Z$15)</f>
        <v>-0.13029494893821603</v>
      </c>
      <c r="AB15" s="43">
        <f>SUMIF($L$4:$AA$4,"SUBTOTAL",$L$15:$AA$15)</f>
        <v>-22.60323037458069</v>
      </c>
    </row>
    <row r="16" spans="1:28" ht="11.25" customHeight="1" x14ac:dyDescent="0.25">
      <c r="A16" s="127"/>
      <c r="B16" s="127"/>
      <c r="C16" s="127"/>
      <c r="D16" s="51" t="s">
        <v>30</v>
      </c>
      <c r="E16" s="51" t="s">
        <v>25</v>
      </c>
      <c r="F16" s="51" t="s">
        <v>25</v>
      </c>
      <c r="G16" s="45" t="s">
        <v>123</v>
      </c>
      <c r="H16" s="45" t="s">
        <v>117</v>
      </c>
      <c r="I16" s="45">
        <f>'MERCADO TE'!$U$13</f>
        <v>61209.610999999997</v>
      </c>
      <c r="J16" s="16"/>
      <c r="L16" s="43">
        <f>'TE BE'!$L$16*'TE BE'!$L$52</f>
        <v>-1.8233691587517364E-6</v>
      </c>
      <c r="M16" s="43">
        <f>'TE BE'!$M$16*'TE BE'!$M$52</f>
        <v>-2.706445115841325</v>
      </c>
      <c r="N16" s="43">
        <f>'TE BE'!$N$16*'TE BE'!$N$52</f>
        <v>0</v>
      </c>
      <c r="O16" s="43">
        <f>'TE BE'!$O$16*'TE BE'!$O$52</f>
        <v>5.2326803005852796</v>
      </c>
      <c r="P16" s="43">
        <f>'TE BE'!$P$16*'TE BE'!$P$52</f>
        <v>0</v>
      </c>
      <c r="Q16" s="43">
        <f>SUM($L$16:$P$16)</f>
        <v>2.5262333613747958</v>
      </c>
      <c r="R16" s="43">
        <f>'TE BE'!$R$16*'TE BE'!$R$52</f>
        <v>-27.569037873082525</v>
      </c>
      <c r="S16" s="43">
        <f>SUM($R$16:$R$16)</f>
        <v>-27.569037873082525</v>
      </c>
      <c r="T16" s="43">
        <f>'TE BE'!$T$16*'TE BE'!$T$52</f>
        <v>2.2606401208937048</v>
      </c>
      <c r="U16" s="43">
        <f>'TE BE'!$U$16*'TE BE'!$U$52</f>
        <v>0.30922896517155035</v>
      </c>
      <c r="V16" s="43">
        <f>'TE BE'!$V$16*'TE BE'!$V$52</f>
        <v>0</v>
      </c>
      <c r="W16" s="43">
        <f>SUM($T$16:$V$16)</f>
        <v>2.5698690860652551</v>
      </c>
      <c r="X16" s="43">
        <f>'TE BE'!$AB$16*'TE BE'!$X$52</f>
        <v>0</v>
      </c>
      <c r="Y16" s="43">
        <f>SUM($X$16:$X$16)</f>
        <v>0</v>
      </c>
      <c r="Z16" s="43">
        <f>'TE BE'!$Z$16*'TE BE'!$Z$52</f>
        <v>-0.13029494893821603</v>
      </c>
      <c r="AA16" s="43">
        <f>SUM($Z$16:$Z$16)</f>
        <v>-0.13029494893821603</v>
      </c>
      <c r="AB16" s="43">
        <f>SUMIF($L$4:$AA$4,"SUBTOTAL",$L$16:$AA$16)</f>
        <v>-22.60323037458069</v>
      </c>
    </row>
    <row r="17" spans="1:28" ht="11.25" customHeight="1" x14ac:dyDescent="0.25">
      <c r="A17" s="127"/>
      <c r="B17" s="127"/>
      <c r="C17" s="127"/>
      <c r="D17" s="51" t="s">
        <v>31</v>
      </c>
      <c r="E17" s="51" t="s">
        <v>25</v>
      </c>
      <c r="F17" s="51" t="s">
        <v>25</v>
      </c>
      <c r="G17" s="45" t="s">
        <v>123</v>
      </c>
      <c r="H17" s="45" t="s">
        <v>117</v>
      </c>
      <c r="I17" s="45">
        <f>'MERCADO TE'!$U$14</f>
        <v>39801.019999999997</v>
      </c>
      <c r="J17" s="16"/>
      <c r="L17" s="43">
        <f>'TE BE'!$L$17*'TE BE'!$L$52</f>
        <v>-1.8233691587517364E-6</v>
      </c>
      <c r="M17" s="43">
        <f>'TE BE'!$M$17*'TE BE'!$M$52</f>
        <v>-2.706445115841325</v>
      </c>
      <c r="N17" s="43">
        <f>'TE BE'!$N$17*'TE BE'!$N$52</f>
        <v>0</v>
      </c>
      <c r="O17" s="43">
        <f>'TE BE'!$O$17*'TE BE'!$O$52</f>
        <v>5.2326803005852796</v>
      </c>
      <c r="P17" s="43">
        <f>'TE BE'!$P$17*'TE BE'!$P$52</f>
        <v>0</v>
      </c>
      <c r="Q17" s="43">
        <f>SUM($L$17:$P$17)</f>
        <v>2.5262333613747958</v>
      </c>
      <c r="R17" s="43">
        <f>'TE BE'!$R$17*'TE BE'!$R$52</f>
        <v>-27.569037873082525</v>
      </c>
      <c r="S17" s="43">
        <f>SUM($R$17:$R$17)</f>
        <v>-27.569037873082525</v>
      </c>
      <c r="T17" s="43">
        <f>'TE BE'!$T$17*'TE BE'!$T$52</f>
        <v>2.2606401208937048</v>
      </c>
      <c r="U17" s="43">
        <f>'TE BE'!$U$17*'TE BE'!$U$52</f>
        <v>0.30922896517155035</v>
      </c>
      <c r="V17" s="43">
        <f>'TE BE'!$V$17*'TE BE'!$V$52</f>
        <v>0</v>
      </c>
      <c r="W17" s="43">
        <f>SUM($T$17:$V$17)</f>
        <v>2.5698690860652551</v>
      </c>
      <c r="X17" s="43">
        <f>'TE BE'!$AB$17*'TE BE'!$X$52</f>
        <v>0</v>
      </c>
      <c r="Y17" s="43">
        <f>SUM($X$17:$X$17)</f>
        <v>0</v>
      </c>
      <c r="Z17" s="43">
        <f>'TE BE'!$Z$17*'TE BE'!$Z$52</f>
        <v>-0.13029494893821603</v>
      </c>
      <c r="AA17" s="43">
        <f>SUM($Z$17:$Z$17)</f>
        <v>-0.13029494893821603</v>
      </c>
      <c r="AB17" s="43">
        <f>SUMIF($L$4:$AA$4,"SUBTOTAL",$L$17:$AA$17)</f>
        <v>-22.60323037458069</v>
      </c>
    </row>
    <row r="18" spans="1:28" ht="11.25" customHeight="1" x14ac:dyDescent="0.25">
      <c r="A18" s="127"/>
      <c r="B18" s="127"/>
      <c r="C18" s="127"/>
      <c r="D18" s="51" t="s">
        <v>32</v>
      </c>
      <c r="E18" s="51" t="s">
        <v>25</v>
      </c>
      <c r="F18" s="51" t="s">
        <v>25</v>
      </c>
      <c r="G18" s="45" t="s">
        <v>123</v>
      </c>
      <c r="H18" s="45" t="s">
        <v>117</v>
      </c>
      <c r="I18" s="45">
        <f>'MERCADO TE'!$U$15</f>
        <v>7781.4139999999989</v>
      </c>
      <c r="J18" s="16"/>
      <c r="L18" s="43">
        <f>'TE BE'!$L$18*'TE BE'!$L$52</f>
        <v>-1.8233691587517364E-6</v>
      </c>
      <c r="M18" s="43">
        <f>'TE BE'!$M$18*'TE BE'!$M$52</f>
        <v>-2.706445115841325</v>
      </c>
      <c r="N18" s="43">
        <f>'TE BE'!$N$18*'TE BE'!$N$52</f>
        <v>0</v>
      </c>
      <c r="O18" s="43">
        <f>'TE BE'!$O$18*'TE BE'!$O$52</f>
        <v>5.2326803005852796</v>
      </c>
      <c r="P18" s="43">
        <f>'TE BE'!$P$18*'TE BE'!$P$52</f>
        <v>0</v>
      </c>
      <c r="Q18" s="43">
        <f>SUM($L$18:$P$18)</f>
        <v>2.5262333613747958</v>
      </c>
      <c r="R18" s="43">
        <f>'TE BE'!$R$18*'TE BE'!$R$52</f>
        <v>-27.569037873082525</v>
      </c>
      <c r="S18" s="43">
        <f>SUM($R$18:$R$18)</f>
        <v>-27.569037873082525</v>
      </c>
      <c r="T18" s="43">
        <f>'TE BE'!$T$18*'TE BE'!$T$52</f>
        <v>2.2606401208937048</v>
      </c>
      <c r="U18" s="43">
        <f>'TE BE'!$U$18*'TE BE'!$U$52</f>
        <v>0.30922896517155035</v>
      </c>
      <c r="V18" s="43">
        <f>'TE BE'!$V$18*'TE BE'!$V$52</f>
        <v>0</v>
      </c>
      <c r="W18" s="43">
        <f>SUM($T$18:$V$18)</f>
        <v>2.5698690860652551</v>
      </c>
      <c r="X18" s="43">
        <f>'TE BE'!$AB$18*'TE BE'!$X$52</f>
        <v>0</v>
      </c>
      <c r="Y18" s="43">
        <f>SUM($X$18:$X$18)</f>
        <v>0</v>
      </c>
      <c r="Z18" s="43">
        <f>'TE BE'!$Z$18*'TE BE'!$Z$52</f>
        <v>-0.13029494893821603</v>
      </c>
      <c r="AA18" s="43">
        <f>SUM($Z$18:$Z$18)</f>
        <v>-0.13029494893821603</v>
      </c>
      <c r="AB18" s="43">
        <f>SUMIF($L$4:$AA$4,"SUBTOTAL",$L$18:$AA$18)</f>
        <v>-22.60323037458069</v>
      </c>
    </row>
    <row r="19" spans="1:28" ht="11.25" customHeight="1" x14ac:dyDescent="0.25">
      <c r="A19" s="127"/>
      <c r="B19" s="127" t="s">
        <v>130</v>
      </c>
      <c r="C19" s="127" t="s">
        <v>24</v>
      </c>
      <c r="D19" s="51" t="s">
        <v>24</v>
      </c>
      <c r="E19" s="51" t="s">
        <v>25</v>
      </c>
      <c r="F19" s="51" t="s">
        <v>25</v>
      </c>
      <c r="G19" s="45" t="s">
        <v>123</v>
      </c>
      <c r="H19" s="45" t="s">
        <v>117</v>
      </c>
      <c r="I19" s="45">
        <f>'MERCADO TE'!$U$16</f>
        <v>0</v>
      </c>
      <c r="J19" s="16"/>
      <c r="L19" s="43">
        <f>'TE BE'!$L$19*'TE BE'!$L$52</f>
        <v>-1.8233691587517364E-6</v>
      </c>
      <c r="M19" s="43">
        <f>'TE BE'!$M$19*'TE BE'!$M$52</f>
        <v>-2.706445115841325</v>
      </c>
      <c r="N19" s="43">
        <f>'TE BE'!$N$19*'TE BE'!$N$52</f>
        <v>0</v>
      </c>
      <c r="O19" s="43">
        <f>'TE BE'!$O$19*'TE BE'!$O$52</f>
        <v>5.2326803005852796</v>
      </c>
      <c r="P19" s="43">
        <f>'TE BE'!$P$19*'TE BE'!$P$52</f>
        <v>0</v>
      </c>
      <c r="Q19" s="43">
        <f>SUM($L$19:$P$19)</f>
        <v>2.5262333613747958</v>
      </c>
      <c r="R19" s="43">
        <f>'TE BE'!$R$19*'TE BE'!$R$52</f>
        <v>-27.569037873082525</v>
      </c>
      <c r="S19" s="43">
        <f>SUM($R$19:$R$19)</f>
        <v>-27.569037873082525</v>
      </c>
      <c r="T19" s="43">
        <f>'TE BE'!$T$19*'TE BE'!$T$52</f>
        <v>2.2606401208937048</v>
      </c>
      <c r="U19" s="43">
        <f>'TE BE'!$U$19*'TE BE'!$U$52</f>
        <v>0.30922896517155035</v>
      </c>
      <c r="V19" s="43">
        <f>'TE BE'!$V$19*'TE BE'!$V$52</f>
        <v>0</v>
      </c>
      <c r="W19" s="43">
        <f>SUM($T$19:$V$19)</f>
        <v>2.5698690860652551</v>
      </c>
      <c r="X19" s="43">
        <f>'TE BE'!$AB$19*'TE BE'!$X$52</f>
        <v>0</v>
      </c>
      <c r="Y19" s="43">
        <f>SUM($X$19:$X$19)</f>
        <v>0</v>
      </c>
      <c r="Z19" s="43">
        <f>'TE BE'!$Z$19*'TE BE'!$Z$52</f>
        <v>-0.13029494893821603</v>
      </c>
      <c r="AA19" s="43">
        <f>SUM($Z$19:$Z$19)</f>
        <v>-0.13029494893821603</v>
      </c>
      <c r="AB19" s="43">
        <f>SUMIF($L$4:$AA$4,"SUBTOTAL",$L$19:$AA$19)</f>
        <v>-22.60323037458069</v>
      </c>
    </row>
    <row r="20" spans="1:28" ht="11.25" customHeight="1" x14ac:dyDescent="0.25">
      <c r="A20" s="127"/>
      <c r="B20" s="127"/>
      <c r="C20" s="127"/>
      <c r="D20" s="51" t="s">
        <v>29</v>
      </c>
      <c r="E20" s="51" t="s">
        <v>25</v>
      </c>
      <c r="F20" s="51" t="s">
        <v>25</v>
      </c>
      <c r="G20" s="45" t="s">
        <v>123</v>
      </c>
      <c r="H20" s="45" t="s">
        <v>117</v>
      </c>
      <c r="I20" s="45">
        <f>'MERCADO TE'!$U$17</f>
        <v>0</v>
      </c>
      <c r="J20" s="16"/>
      <c r="L20" s="43">
        <f>'TE BE'!$L$20*'TE BE'!$L$52</f>
        <v>-1.8233691587517364E-6</v>
      </c>
      <c r="M20" s="43">
        <f>'TE BE'!$M$20*'TE BE'!$M$52</f>
        <v>-2.706445115841325</v>
      </c>
      <c r="N20" s="43">
        <f>'TE BE'!$N$20*'TE BE'!$N$52</f>
        <v>0</v>
      </c>
      <c r="O20" s="43">
        <f>'TE BE'!$O$20*'TE BE'!$O$52</f>
        <v>5.2326803005852796</v>
      </c>
      <c r="P20" s="43">
        <f>'TE BE'!$P$20*'TE BE'!$P$52</f>
        <v>0</v>
      </c>
      <c r="Q20" s="43">
        <f>SUM($L$20:$P$20)</f>
        <v>2.5262333613747958</v>
      </c>
      <c r="R20" s="43">
        <f>'TE BE'!$R$20*'TE BE'!$R$52</f>
        <v>-27.569037873082525</v>
      </c>
      <c r="S20" s="43">
        <f>SUM($R$20:$R$20)</f>
        <v>-27.569037873082525</v>
      </c>
      <c r="T20" s="43">
        <f>'TE BE'!$T$20*'TE BE'!$T$52</f>
        <v>2.2606401208937048</v>
      </c>
      <c r="U20" s="43">
        <f>'TE BE'!$U$20*'TE BE'!$U$52</f>
        <v>0.30922896517155035</v>
      </c>
      <c r="V20" s="43">
        <f>'TE BE'!$V$20*'TE BE'!$V$52</f>
        <v>0</v>
      </c>
      <c r="W20" s="43">
        <f>SUM($T$20:$V$20)</f>
        <v>2.5698690860652551</v>
      </c>
      <c r="X20" s="43">
        <f>'TE BE'!$AB$20*'TE BE'!$X$52</f>
        <v>0</v>
      </c>
      <c r="Y20" s="43">
        <f>SUM($X$20:$X$20)</f>
        <v>0</v>
      </c>
      <c r="Z20" s="43">
        <f>'TE BE'!$Z$20*'TE BE'!$Z$52</f>
        <v>-0.13029494893821603</v>
      </c>
      <c r="AA20" s="43">
        <f>SUM($Z$20:$Z$20)</f>
        <v>-0.13029494893821603</v>
      </c>
      <c r="AB20" s="43">
        <f>SUMIF($L$4:$AA$4,"SUBTOTAL",$L$20:$AA$20)</f>
        <v>-22.60323037458069</v>
      </c>
    </row>
    <row r="21" spans="1:28" ht="11.25" customHeight="1" x14ac:dyDescent="0.25">
      <c r="A21" s="127"/>
      <c r="B21" s="127"/>
      <c r="C21" s="127"/>
      <c r="D21" s="51" t="s">
        <v>30</v>
      </c>
      <c r="E21" s="51" t="s">
        <v>25</v>
      </c>
      <c r="F21" s="51" t="s">
        <v>25</v>
      </c>
      <c r="G21" s="45" t="s">
        <v>123</v>
      </c>
      <c r="H21" s="45" t="s">
        <v>117</v>
      </c>
      <c r="I21" s="45">
        <f>'MERCADO TE'!$U$18</f>
        <v>0</v>
      </c>
      <c r="J21" s="16"/>
      <c r="L21" s="43">
        <f>'TE BE'!$L$21*'TE BE'!$L$52</f>
        <v>-1.8233691587517364E-6</v>
      </c>
      <c r="M21" s="43">
        <f>'TE BE'!$M$21*'TE BE'!$M$52</f>
        <v>-2.706445115841325</v>
      </c>
      <c r="N21" s="43">
        <f>'TE BE'!$N$21*'TE BE'!$N$52</f>
        <v>0</v>
      </c>
      <c r="O21" s="43">
        <f>'TE BE'!$O$21*'TE BE'!$O$52</f>
        <v>5.2326803005852796</v>
      </c>
      <c r="P21" s="43">
        <f>'TE BE'!$P$21*'TE BE'!$P$52</f>
        <v>0</v>
      </c>
      <c r="Q21" s="43">
        <f>SUM($L$21:$P$21)</f>
        <v>2.5262333613747958</v>
      </c>
      <c r="R21" s="43">
        <f>'TE BE'!$R$21*'TE BE'!$R$52</f>
        <v>-27.569037873082525</v>
      </c>
      <c r="S21" s="43">
        <f>SUM($R$21:$R$21)</f>
        <v>-27.569037873082525</v>
      </c>
      <c r="T21" s="43">
        <f>'TE BE'!$T$21*'TE BE'!$T$52</f>
        <v>2.2606401208937048</v>
      </c>
      <c r="U21" s="43">
        <f>'TE BE'!$U$21*'TE BE'!$U$52</f>
        <v>0.30922896517155035</v>
      </c>
      <c r="V21" s="43">
        <f>'TE BE'!$V$21*'TE BE'!$V$52</f>
        <v>0</v>
      </c>
      <c r="W21" s="43">
        <f>SUM($T$21:$V$21)</f>
        <v>2.5698690860652551</v>
      </c>
      <c r="X21" s="43">
        <f>'TE BE'!$AB$21*'TE BE'!$X$52</f>
        <v>0</v>
      </c>
      <c r="Y21" s="43">
        <f>SUM($X$21:$X$21)</f>
        <v>0</v>
      </c>
      <c r="Z21" s="43">
        <f>'TE BE'!$Z$21*'TE BE'!$Z$52</f>
        <v>-0.13029494893821603</v>
      </c>
      <c r="AA21" s="43">
        <f>SUM($Z$21:$Z$21)</f>
        <v>-0.13029494893821603</v>
      </c>
      <c r="AB21" s="43">
        <f>SUMIF($L$4:$AA$4,"SUBTOTAL",$L$21:$AA$21)</f>
        <v>-22.60323037458069</v>
      </c>
    </row>
    <row r="22" spans="1:28" ht="11.25" customHeight="1" x14ac:dyDescent="0.25">
      <c r="A22" s="127"/>
      <c r="B22" s="127"/>
      <c r="C22" s="127"/>
      <c r="D22" s="51" t="s">
        <v>31</v>
      </c>
      <c r="E22" s="51" t="s">
        <v>25</v>
      </c>
      <c r="F22" s="51" t="s">
        <v>25</v>
      </c>
      <c r="G22" s="45" t="s">
        <v>123</v>
      </c>
      <c r="H22" s="45" t="s">
        <v>117</v>
      </c>
      <c r="I22" s="45">
        <f>'MERCADO TE'!$U$19</f>
        <v>0</v>
      </c>
      <c r="J22" s="16"/>
      <c r="L22" s="43">
        <f>'TE BE'!$L$22*'TE BE'!$L$52</f>
        <v>-1.8233691587517364E-6</v>
      </c>
      <c r="M22" s="43">
        <f>'TE BE'!$M$22*'TE BE'!$M$52</f>
        <v>-2.706445115841325</v>
      </c>
      <c r="N22" s="43">
        <f>'TE BE'!$N$22*'TE BE'!$N$52</f>
        <v>0</v>
      </c>
      <c r="O22" s="43">
        <f>'TE BE'!$O$22*'TE BE'!$O$52</f>
        <v>5.2326803005852796</v>
      </c>
      <c r="P22" s="43">
        <f>'TE BE'!$P$22*'TE BE'!$P$52</f>
        <v>0</v>
      </c>
      <c r="Q22" s="43">
        <f>SUM($L$22:$P$22)</f>
        <v>2.5262333613747958</v>
      </c>
      <c r="R22" s="43">
        <f>'TE BE'!$R$22*'TE BE'!$R$52</f>
        <v>-27.569037873082525</v>
      </c>
      <c r="S22" s="43">
        <f>SUM($R$22:$R$22)</f>
        <v>-27.569037873082525</v>
      </c>
      <c r="T22" s="43">
        <f>'TE BE'!$T$22*'TE BE'!$T$52</f>
        <v>2.2606401208937048</v>
      </c>
      <c r="U22" s="43">
        <f>'TE BE'!$U$22*'TE BE'!$U$52</f>
        <v>0.30922896517155035</v>
      </c>
      <c r="V22" s="43">
        <f>'TE BE'!$V$22*'TE BE'!$V$52</f>
        <v>0</v>
      </c>
      <c r="W22" s="43">
        <f>SUM($T$22:$V$22)</f>
        <v>2.5698690860652551</v>
      </c>
      <c r="X22" s="43">
        <f>'TE BE'!$AB$22*'TE BE'!$X$52</f>
        <v>0</v>
      </c>
      <c r="Y22" s="43">
        <f>SUM($X$22:$X$22)</f>
        <v>0</v>
      </c>
      <c r="Z22" s="43">
        <f>'TE BE'!$Z$22*'TE BE'!$Z$52</f>
        <v>-0.13029494893821603</v>
      </c>
      <c r="AA22" s="43">
        <f>SUM($Z$22:$Z$22)</f>
        <v>-0.13029494893821603</v>
      </c>
      <c r="AB22" s="43">
        <f>SUMIF($L$4:$AA$4,"SUBTOTAL",$L$22:$AA$22)</f>
        <v>-22.60323037458069</v>
      </c>
    </row>
    <row r="23" spans="1:28" ht="11.25" customHeight="1" x14ac:dyDescent="0.25">
      <c r="A23" s="127"/>
      <c r="B23" s="127"/>
      <c r="C23" s="127"/>
      <c r="D23" s="51" t="s">
        <v>32</v>
      </c>
      <c r="E23" s="51" t="s">
        <v>25</v>
      </c>
      <c r="F23" s="51" t="s">
        <v>25</v>
      </c>
      <c r="G23" s="45" t="s">
        <v>123</v>
      </c>
      <c r="H23" s="45" t="s">
        <v>117</v>
      </c>
      <c r="I23" s="45">
        <f>'MERCADO TE'!$U$20</f>
        <v>0</v>
      </c>
      <c r="J23" s="16"/>
      <c r="L23" s="43">
        <f>'TE BE'!$L$23*'TE BE'!$L$52</f>
        <v>-1.8233691587517364E-6</v>
      </c>
      <c r="M23" s="43">
        <f>'TE BE'!$M$23*'TE BE'!$M$52</f>
        <v>-2.706445115841325</v>
      </c>
      <c r="N23" s="43">
        <f>'TE BE'!$N$23*'TE BE'!$N$52</f>
        <v>0</v>
      </c>
      <c r="O23" s="43">
        <f>'TE BE'!$O$23*'TE BE'!$O$52</f>
        <v>5.2326803005852796</v>
      </c>
      <c r="P23" s="43">
        <f>'TE BE'!$P$23*'TE BE'!$P$52</f>
        <v>0</v>
      </c>
      <c r="Q23" s="43">
        <f>SUM($L$23:$P$23)</f>
        <v>2.5262333613747958</v>
      </c>
      <c r="R23" s="43">
        <f>'TE BE'!$R$23*'TE BE'!$R$52</f>
        <v>-27.569037873082525</v>
      </c>
      <c r="S23" s="43">
        <f>SUM($R$23:$R$23)</f>
        <v>-27.569037873082525</v>
      </c>
      <c r="T23" s="43">
        <f>'TE BE'!$T$23*'TE BE'!$T$52</f>
        <v>2.2606401208937048</v>
      </c>
      <c r="U23" s="43">
        <f>'TE BE'!$U$23*'TE BE'!$U$52</f>
        <v>0.30922896517155035</v>
      </c>
      <c r="V23" s="43">
        <f>'TE BE'!$V$23*'TE BE'!$V$52</f>
        <v>0</v>
      </c>
      <c r="W23" s="43">
        <f>SUM($T$23:$V$23)</f>
        <v>2.5698690860652551</v>
      </c>
      <c r="X23" s="43">
        <f>'TE BE'!$AB$23*'TE BE'!$X$52</f>
        <v>0</v>
      </c>
      <c r="Y23" s="43">
        <f>SUM($X$23:$X$23)</f>
        <v>0</v>
      </c>
      <c r="Z23" s="43">
        <f>'TE BE'!$Z$23*'TE BE'!$Z$52</f>
        <v>-0.13029494893821603</v>
      </c>
      <c r="AA23" s="43">
        <f>SUM($Z$23:$Z$23)</f>
        <v>-0.13029494893821603</v>
      </c>
      <c r="AB23" s="43">
        <f>SUMIF($L$4:$AA$4,"SUBTOTAL",$L$23:$AA$23)</f>
        <v>-22.60323037458069</v>
      </c>
    </row>
    <row r="24" spans="1:28" ht="11.25" customHeight="1" x14ac:dyDescent="0.25">
      <c r="A24" s="127" t="s">
        <v>44</v>
      </c>
      <c r="B24" s="127" t="s">
        <v>116</v>
      </c>
      <c r="C24" s="127" t="s">
        <v>45</v>
      </c>
      <c r="D24" s="127" t="s">
        <v>25</v>
      </c>
      <c r="E24" s="127" t="s">
        <v>25</v>
      </c>
      <c r="F24" s="127" t="s">
        <v>25</v>
      </c>
      <c r="G24" s="45" t="s">
        <v>118</v>
      </c>
      <c r="H24" s="45" t="s">
        <v>117</v>
      </c>
      <c r="I24" s="45">
        <f>'MERCADO TE'!$U$21</f>
        <v>0.49600000000000005</v>
      </c>
      <c r="J24" s="16"/>
      <c r="L24" s="43">
        <f>'TE BE'!$L$24*'TE BE'!$L$52</f>
        <v>-1.8233691587517364E-6</v>
      </c>
      <c r="M24" s="43">
        <f>'TE BE'!$M$24*'TE BE'!$M$52</f>
        <v>-2.706445115841325</v>
      </c>
      <c r="N24" s="43">
        <f>'TE BE'!$N$24*'TE BE'!$N$52</f>
        <v>0</v>
      </c>
      <c r="O24" s="43">
        <f>'TE BE'!$O$24*'TE BE'!$O$52</f>
        <v>5.2326803005852796</v>
      </c>
      <c r="P24" s="43">
        <f>'TE BE'!$P$24*'TE BE'!$P$52</f>
        <v>0</v>
      </c>
      <c r="Q24" s="43">
        <f>SUM($L$24:$P$24)</f>
        <v>2.5262333613747958</v>
      </c>
      <c r="R24" s="43">
        <f>'TE BE'!$R$24*'TE BE'!$R$52</f>
        <v>-44.734665228020695</v>
      </c>
      <c r="S24" s="43">
        <f>SUM($R$24:$R$24)</f>
        <v>-44.734665228020695</v>
      </c>
      <c r="T24" s="43">
        <f>'TE BE'!$T$24*'TE BE'!$T$52</f>
        <v>2.2606401208937048</v>
      </c>
      <c r="U24" s="43">
        <f>'TE BE'!$U$24*'TE BE'!$U$52</f>
        <v>0.30922896517155035</v>
      </c>
      <c r="V24" s="43">
        <f>'TE BE'!$V$24*'TE BE'!$V$52</f>
        <v>0</v>
      </c>
      <c r="W24" s="43">
        <f>SUM($T$24:$V$24)</f>
        <v>2.5698690860652551</v>
      </c>
      <c r="X24" s="43">
        <f>'TE BE'!$AB$24*'TE BE'!$X$52</f>
        <v>0</v>
      </c>
      <c r="Y24" s="43">
        <f>SUM($X$24:$X$24)</f>
        <v>0</v>
      </c>
      <c r="Z24" s="43">
        <f>'TE BE'!$Z$24*'TE BE'!$Z$52</f>
        <v>-0.13029494893821603</v>
      </c>
      <c r="AA24" s="43">
        <f>SUM($Z$24:$Z$24)</f>
        <v>-0.13029494893821603</v>
      </c>
      <c r="AB24" s="43">
        <f>SUMIF($L$4:$AA$4,"SUBTOTAL",$L$24:$AA$24)</f>
        <v>-39.768857729518864</v>
      </c>
    </row>
    <row r="25" spans="1:28" ht="11.25" customHeight="1" x14ac:dyDescent="0.25">
      <c r="A25" s="127"/>
      <c r="B25" s="127"/>
      <c r="C25" s="127"/>
      <c r="D25" s="127"/>
      <c r="E25" s="127"/>
      <c r="F25" s="127"/>
      <c r="G25" s="45" t="s">
        <v>128</v>
      </c>
      <c r="H25" s="45" t="s">
        <v>117</v>
      </c>
      <c r="I25" s="45">
        <f>'MERCADO TE'!$U$22</f>
        <v>0.27600000000000002</v>
      </c>
      <c r="J25" s="16"/>
      <c r="L25" s="43">
        <f>'TE BE'!$L$25*'TE BE'!$L$52</f>
        <v>-1.8233691587517364E-6</v>
      </c>
      <c r="M25" s="43">
        <f>'TE BE'!$M$25*'TE BE'!$M$52</f>
        <v>-2.706445115841325</v>
      </c>
      <c r="N25" s="43">
        <f>'TE BE'!$N$25*'TE BE'!$N$52</f>
        <v>0</v>
      </c>
      <c r="O25" s="43">
        <f>'TE BE'!$O$25*'TE BE'!$O$52</f>
        <v>5.2326803005852796</v>
      </c>
      <c r="P25" s="43">
        <f>'TE BE'!$P$25*'TE BE'!$P$52</f>
        <v>0</v>
      </c>
      <c r="Q25" s="43">
        <f>SUM($L$25:$P$25)</f>
        <v>2.5262333613747958</v>
      </c>
      <c r="R25" s="43">
        <f>'TE BE'!$R$25*'TE BE'!$R$52</f>
        <v>-26.00852629536087</v>
      </c>
      <c r="S25" s="43">
        <f>SUM($R$25:$R$25)</f>
        <v>-26.00852629536087</v>
      </c>
      <c r="T25" s="43">
        <f>'TE BE'!$T$25*'TE BE'!$T$52</f>
        <v>2.2606401208937048</v>
      </c>
      <c r="U25" s="43">
        <f>'TE BE'!$U$25*'TE BE'!$U$52</f>
        <v>0.30922896517155035</v>
      </c>
      <c r="V25" s="43">
        <f>'TE BE'!$V$25*'TE BE'!$V$52</f>
        <v>0</v>
      </c>
      <c r="W25" s="43">
        <f>SUM($T$25:$V$25)</f>
        <v>2.5698690860652551</v>
      </c>
      <c r="X25" s="43">
        <f>'TE BE'!$AB$25*'TE BE'!$X$52</f>
        <v>0</v>
      </c>
      <c r="Y25" s="43">
        <f>SUM($X$25:$X$25)</f>
        <v>0</v>
      </c>
      <c r="Z25" s="43">
        <f>'TE BE'!$Z$25*'TE BE'!$Z$52</f>
        <v>-0.13029494893821603</v>
      </c>
      <c r="AA25" s="43">
        <f>SUM($Z$25:$Z$25)</f>
        <v>-0.13029494893821603</v>
      </c>
      <c r="AB25" s="43">
        <f>SUMIF($L$4:$AA$4,"SUBTOTAL",$L$25:$AA$25)</f>
        <v>-21.042718796859035</v>
      </c>
    </row>
    <row r="26" spans="1:28" ht="11.25" customHeight="1" x14ac:dyDescent="0.25">
      <c r="A26" s="127"/>
      <c r="B26" s="127"/>
      <c r="C26" s="127"/>
      <c r="D26" s="127"/>
      <c r="E26" s="127"/>
      <c r="F26" s="127"/>
      <c r="G26" s="45" t="s">
        <v>119</v>
      </c>
      <c r="H26" s="45" t="s">
        <v>117</v>
      </c>
      <c r="I26" s="45">
        <f>'MERCADO TE'!$U$23</f>
        <v>5.1340000000000003</v>
      </c>
      <c r="J26" s="16"/>
      <c r="L26" s="43">
        <f>'TE BE'!$L$26*'TE BE'!$L$52</f>
        <v>-1.8233691587517364E-6</v>
      </c>
      <c r="M26" s="43">
        <f>'TE BE'!$M$26*'TE BE'!$M$52</f>
        <v>-2.706445115841325</v>
      </c>
      <c r="N26" s="43">
        <f>'TE BE'!$N$26*'TE BE'!$N$52</f>
        <v>0</v>
      </c>
      <c r="O26" s="43">
        <f>'TE BE'!$O$26*'TE BE'!$O$52</f>
        <v>5.2326803005852796</v>
      </c>
      <c r="P26" s="43">
        <f>'TE BE'!$P$26*'TE BE'!$P$52</f>
        <v>0</v>
      </c>
      <c r="Q26" s="43">
        <f>SUM($L$26:$P$26)</f>
        <v>2.5262333613747958</v>
      </c>
      <c r="R26" s="43">
        <f>'TE BE'!$R$26*'TE BE'!$R$52</f>
        <v>-26.00852629536087</v>
      </c>
      <c r="S26" s="43">
        <f>SUM($R$26:$R$26)</f>
        <v>-26.00852629536087</v>
      </c>
      <c r="T26" s="43">
        <f>'TE BE'!$T$26*'TE BE'!$T$52</f>
        <v>2.2606401208937048</v>
      </c>
      <c r="U26" s="43">
        <f>'TE BE'!$U$26*'TE BE'!$U$52</f>
        <v>0.30922896517155035</v>
      </c>
      <c r="V26" s="43">
        <f>'TE BE'!$V$26*'TE BE'!$V$52</f>
        <v>0</v>
      </c>
      <c r="W26" s="43">
        <f>SUM($T$26:$V$26)</f>
        <v>2.5698690860652551</v>
      </c>
      <c r="X26" s="43">
        <f>'TE BE'!$AB$26*'TE BE'!$X$52</f>
        <v>0</v>
      </c>
      <c r="Y26" s="43">
        <f>SUM($X$26:$X$26)</f>
        <v>0</v>
      </c>
      <c r="Z26" s="43">
        <f>'TE BE'!$Z$26*'TE BE'!$Z$52</f>
        <v>-0.13029494893821603</v>
      </c>
      <c r="AA26" s="43">
        <f>SUM($Z$26:$Z$26)</f>
        <v>-0.13029494893821603</v>
      </c>
      <c r="AB26" s="43">
        <f>SUMIF($L$4:$AA$4,"SUBTOTAL",$L$26:$AA$26)</f>
        <v>-21.042718796859035</v>
      </c>
    </row>
    <row r="27" spans="1:28" ht="11.25" customHeight="1" x14ac:dyDescent="0.25">
      <c r="A27" s="127"/>
      <c r="B27" s="51" t="s">
        <v>129</v>
      </c>
      <c r="C27" s="51" t="s">
        <v>45</v>
      </c>
      <c r="D27" s="51" t="s">
        <v>25</v>
      </c>
      <c r="E27" s="51" t="s">
        <v>25</v>
      </c>
      <c r="F27" s="51" t="s">
        <v>25</v>
      </c>
      <c r="G27" s="45" t="s">
        <v>123</v>
      </c>
      <c r="H27" s="45" t="s">
        <v>117</v>
      </c>
      <c r="I27" s="45">
        <f>'MERCADO TE'!$U$24</f>
        <v>160826.64799999999</v>
      </c>
      <c r="J27" s="16"/>
      <c r="L27" s="43">
        <f>'TE BE'!$L$27*'TE BE'!$L$52</f>
        <v>-1.8233691587517364E-6</v>
      </c>
      <c r="M27" s="43">
        <f>'TE BE'!$M$27*'TE BE'!$M$52</f>
        <v>-2.706445115841325</v>
      </c>
      <c r="N27" s="43">
        <f>'TE BE'!$N$27*'TE BE'!$N$52</f>
        <v>0</v>
      </c>
      <c r="O27" s="43">
        <f>'TE BE'!$O$27*'TE BE'!$O$52</f>
        <v>5.2326803005852796</v>
      </c>
      <c r="P27" s="43">
        <f>'TE BE'!$P$27*'TE BE'!$P$52</f>
        <v>0</v>
      </c>
      <c r="Q27" s="43">
        <f>SUM($L$27:$P$27)</f>
        <v>2.5262333613747958</v>
      </c>
      <c r="R27" s="43">
        <f>'TE BE'!$R$27*'TE BE'!$R$52</f>
        <v>-27.569037873082525</v>
      </c>
      <c r="S27" s="43">
        <f>SUM($R$27:$R$27)</f>
        <v>-27.569037873082525</v>
      </c>
      <c r="T27" s="43">
        <f>'TE BE'!$T$27*'TE BE'!$T$52</f>
        <v>2.2606401208937048</v>
      </c>
      <c r="U27" s="43">
        <f>'TE BE'!$U$27*'TE BE'!$U$52</f>
        <v>0.30922896517155035</v>
      </c>
      <c r="V27" s="43">
        <f>'TE BE'!$V$27*'TE BE'!$V$52</f>
        <v>0</v>
      </c>
      <c r="W27" s="43">
        <f>SUM($T$27:$V$27)</f>
        <v>2.5698690860652551</v>
      </c>
      <c r="X27" s="43">
        <f>'TE BE'!$AB$27*'TE BE'!$X$52</f>
        <v>0</v>
      </c>
      <c r="Y27" s="43">
        <f>SUM($X$27:$X$27)</f>
        <v>0</v>
      </c>
      <c r="Z27" s="43">
        <f>'TE BE'!$Z$27*'TE BE'!$Z$52</f>
        <v>-0.13029494893821603</v>
      </c>
      <c r="AA27" s="43">
        <f>SUM($Z$27:$Z$27)</f>
        <v>-0.13029494893821603</v>
      </c>
      <c r="AB27" s="43">
        <f>SUMIF($L$4:$AA$4,"SUBTOTAL",$L$27:$AA$27)</f>
        <v>-22.60323037458069</v>
      </c>
    </row>
    <row r="28" spans="1:28" ht="11.25" customHeight="1" x14ac:dyDescent="0.25">
      <c r="A28" s="127"/>
      <c r="B28" s="127" t="s">
        <v>116</v>
      </c>
      <c r="C28" s="127" t="s">
        <v>45</v>
      </c>
      <c r="D28" s="127" t="s">
        <v>132</v>
      </c>
      <c r="E28" s="127" t="s">
        <v>25</v>
      </c>
      <c r="F28" s="127" t="s">
        <v>25</v>
      </c>
      <c r="G28" s="45" t="s">
        <v>118</v>
      </c>
      <c r="H28" s="45" t="s">
        <v>117</v>
      </c>
      <c r="I28" s="45">
        <f>'MERCADO TE'!$U$25</f>
        <v>0</v>
      </c>
      <c r="J28" s="16"/>
      <c r="L28" s="43">
        <f>'TE BE'!$L$28*'TE BE'!$L$52</f>
        <v>-1.8233691587517364E-6</v>
      </c>
      <c r="M28" s="43">
        <f>'TE BE'!$M$28*'TE BE'!$M$52</f>
        <v>-2.706445115841325</v>
      </c>
      <c r="N28" s="43">
        <f>'TE BE'!$N$28*'TE BE'!$N$52</f>
        <v>0</v>
      </c>
      <c r="O28" s="43">
        <f>'TE BE'!$O$28*'TE BE'!$O$52</f>
        <v>5.2326803005852796</v>
      </c>
      <c r="P28" s="43">
        <f>'TE BE'!$P$28*'TE BE'!$P$52</f>
        <v>0</v>
      </c>
      <c r="Q28" s="43">
        <f>SUM($L$28:$P$28)</f>
        <v>2.5262333613747958</v>
      </c>
      <c r="R28" s="43">
        <f>'TE BE'!$R$28*'TE BE'!$R$52</f>
        <v>-44.734665228020695</v>
      </c>
      <c r="S28" s="43">
        <f>SUM($R$28:$R$28)</f>
        <v>-44.734665228020695</v>
      </c>
      <c r="T28" s="43">
        <f>'TE BE'!$T$28*'TE BE'!$T$52</f>
        <v>2.2606401208937048</v>
      </c>
      <c r="U28" s="43">
        <f>'TE BE'!$U$28*'TE BE'!$U$52</f>
        <v>0.30922896517155035</v>
      </c>
      <c r="V28" s="43">
        <f>'TE BE'!$V$28*'TE BE'!$V$52</f>
        <v>0</v>
      </c>
      <c r="W28" s="43">
        <f>SUM($T$28:$V$28)</f>
        <v>2.5698690860652551</v>
      </c>
      <c r="X28" s="43">
        <f>'TE BE'!$AB$28*'TE BE'!$X$52</f>
        <v>0</v>
      </c>
      <c r="Y28" s="43">
        <f>SUM($X$28:$X$28)</f>
        <v>0</v>
      </c>
      <c r="Z28" s="43">
        <f>'TE BE'!$Z$28*'TE BE'!$Z$52</f>
        <v>-0.13029494893821603</v>
      </c>
      <c r="AA28" s="43">
        <f>SUM($Z$28:$Z$28)</f>
        <v>-0.13029494893821603</v>
      </c>
      <c r="AB28" s="43">
        <f>SUMIF($L$4:$AA$4,"SUBTOTAL",$L$28:$AA$28)</f>
        <v>-39.768857729518864</v>
      </c>
    </row>
    <row r="29" spans="1:28" ht="11.25" customHeight="1" x14ac:dyDescent="0.25">
      <c r="A29" s="127"/>
      <c r="B29" s="127"/>
      <c r="C29" s="127"/>
      <c r="D29" s="127"/>
      <c r="E29" s="127"/>
      <c r="F29" s="127"/>
      <c r="G29" s="45" t="s">
        <v>128</v>
      </c>
      <c r="H29" s="45" t="s">
        <v>117</v>
      </c>
      <c r="I29" s="45">
        <f>'MERCADO TE'!$U$26</f>
        <v>0</v>
      </c>
      <c r="J29" s="16"/>
      <c r="L29" s="43">
        <f>'TE BE'!$L$29*'TE BE'!$L$52</f>
        <v>-1.8233691587517364E-6</v>
      </c>
      <c r="M29" s="43">
        <f>'TE BE'!$M$29*'TE BE'!$M$52</f>
        <v>-2.706445115841325</v>
      </c>
      <c r="N29" s="43">
        <f>'TE BE'!$N$29*'TE BE'!$N$52</f>
        <v>0</v>
      </c>
      <c r="O29" s="43">
        <f>'TE BE'!$O$29*'TE BE'!$O$52</f>
        <v>5.2326803005852796</v>
      </c>
      <c r="P29" s="43">
        <f>'TE BE'!$P$29*'TE BE'!$P$52</f>
        <v>0</v>
      </c>
      <c r="Q29" s="43">
        <f>SUM($L$29:$P$29)</f>
        <v>2.5262333613747958</v>
      </c>
      <c r="R29" s="43">
        <f>'TE BE'!$R$29*'TE BE'!$R$52</f>
        <v>-26.00852629536087</v>
      </c>
      <c r="S29" s="43">
        <f>SUM($R$29:$R$29)</f>
        <v>-26.00852629536087</v>
      </c>
      <c r="T29" s="43">
        <f>'TE BE'!$T$29*'TE BE'!$T$52</f>
        <v>2.2606401208937048</v>
      </c>
      <c r="U29" s="43">
        <f>'TE BE'!$U$29*'TE BE'!$U$52</f>
        <v>0.30922896517155035</v>
      </c>
      <c r="V29" s="43">
        <f>'TE BE'!$V$29*'TE BE'!$V$52</f>
        <v>0</v>
      </c>
      <c r="W29" s="43">
        <f>SUM($T$29:$V$29)</f>
        <v>2.5698690860652551</v>
      </c>
      <c r="X29" s="43">
        <f>'TE BE'!$AB$29*'TE BE'!$X$52</f>
        <v>0</v>
      </c>
      <c r="Y29" s="43">
        <f>SUM($X$29:$X$29)</f>
        <v>0</v>
      </c>
      <c r="Z29" s="43">
        <f>'TE BE'!$Z$29*'TE BE'!$Z$52</f>
        <v>-0.13029494893821603</v>
      </c>
      <c r="AA29" s="43">
        <f>SUM($Z$29:$Z$29)</f>
        <v>-0.13029494893821603</v>
      </c>
      <c r="AB29" s="43">
        <f>SUMIF($L$4:$AA$4,"SUBTOTAL",$L$29:$AA$29)</f>
        <v>-21.042718796859035</v>
      </c>
    </row>
    <row r="30" spans="1:28" ht="11.25" customHeight="1" x14ac:dyDescent="0.25">
      <c r="A30" s="127"/>
      <c r="B30" s="127"/>
      <c r="C30" s="127"/>
      <c r="D30" s="127"/>
      <c r="E30" s="127"/>
      <c r="F30" s="127"/>
      <c r="G30" s="45" t="s">
        <v>119</v>
      </c>
      <c r="H30" s="45" t="s">
        <v>117</v>
      </c>
      <c r="I30" s="45">
        <f>'MERCADO TE'!$U$27</f>
        <v>0</v>
      </c>
      <c r="J30" s="16"/>
      <c r="L30" s="43">
        <f>'TE BE'!$L$30*'TE BE'!$L$52</f>
        <v>-1.8233691587517364E-6</v>
      </c>
      <c r="M30" s="43">
        <f>'TE BE'!$M$30*'TE BE'!$M$52</f>
        <v>-2.706445115841325</v>
      </c>
      <c r="N30" s="43">
        <f>'TE BE'!$N$30*'TE BE'!$N$52</f>
        <v>0</v>
      </c>
      <c r="O30" s="43">
        <f>'TE BE'!$O$30*'TE BE'!$O$52</f>
        <v>5.2326803005852796</v>
      </c>
      <c r="P30" s="43">
        <f>'TE BE'!$P$30*'TE BE'!$P$52</f>
        <v>0</v>
      </c>
      <c r="Q30" s="43">
        <f>SUM($L$30:$P$30)</f>
        <v>2.5262333613747958</v>
      </c>
      <c r="R30" s="43">
        <f>'TE BE'!$R$30*'TE BE'!$R$52</f>
        <v>-26.00852629536087</v>
      </c>
      <c r="S30" s="43">
        <f>SUM($R$30:$R$30)</f>
        <v>-26.00852629536087</v>
      </c>
      <c r="T30" s="43">
        <f>'TE BE'!$T$30*'TE BE'!$T$52</f>
        <v>2.2606401208937048</v>
      </c>
      <c r="U30" s="43">
        <f>'TE BE'!$U$30*'TE BE'!$U$52</f>
        <v>0.30922896517155035</v>
      </c>
      <c r="V30" s="43">
        <f>'TE BE'!$V$30*'TE BE'!$V$52</f>
        <v>0</v>
      </c>
      <c r="W30" s="43">
        <f>SUM($T$30:$V$30)</f>
        <v>2.5698690860652551</v>
      </c>
      <c r="X30" s="43">
        <f>'TE BE'!$AB$30*'TE BE'!$X$52</f>
        <v>0</v>
      </c>
      <c r="Y30" s="43">
        <f>SUM($X$30:$X$30)</f>
        <v>0</v>
      </c>
      <c r="Z30" s="43">
        <f>'TE BE'!$Z$30*'TE BE'!$Z$52</f>
        <v>-0.13029494893821603</v>
      </c>
      <c r="AA30" s="43">
        <f>SUM($Z$30:$Z$30)</f>
        <v>-0.13029494893821603</v>
      </c>
      <c r="AB30" s="43">
        <f>SUMIF($L$4:$AA$4,"SUBTOTAL",$L$30:$AA$30)</f>
        <v>-21.042718796859035</v>
      </c>
    </row>
    <row r="31" spans="1:28" ht="11.25" customHeight="1" x14ac:dyDescent="0.25">
      <c r="A31" s="127"/>
      <c r="B31" s="51" t="s">
        <v>129</v>
      </c>
      <c r="C31" s="51" t="s">
        <v>45</v>
      </c>
      <c r="D31" s="51" t="s">
        <v>132</v>
      </c>
      <c r="E31" s="51" t="s">
        <v>25</v>
      </c>
      <c r="F31" s="51" t="s">
        <v>25</v>
      </c>
      <c r="G31" s="45" t="s">
        <v>123</v>
      </c>
      <c r="H31" s="45" t="s">
        <v>117</v>
      </c>
      <c r="I31" s="45">
        <f>'MERCADO TE'!$U$28</f>
        <v>0</v>
      </c>
      <c r="J31" s="16"/>
      <c r="L31" s="43">
        <f>'TE BE'!$L$31*'TE BE'!$L$52</f>
        <v>-1.8233691587517364E-6</v>
      </c>
      <c r="M31" s="43">
        <f>'TE BE'!$M$31*'TE BE'!$M$52</f>
        <v>-2.706445115841325</v>
      </c>
      <c r="N31" s="43">
        <f>'TE BE'!$N$31*'TE BE'!$N$52</f>
        <v>0</v>
      </c>
      <c r="O31" s="43">
        <f>'TE BE'!$O$31*'TE BE'!$O$52</f>
        <v>5.2326803005852796</v>
      </c>
      <c r="P31" s="43">
        <f>'TE BE'!$P$31*'TE BE'!$P$52</f>
        <v>0</v>
      </c>
      <c r="Q31" s="43">
        <f>SUM($L$31:$P$31)</f>
        <v>2.5262333613747958</v>
      </c>
      <c r="R31" s="43">
        <f>'TE BE'!$R$31*'TE BE'!$R$52</f>
        <v>-27.569037873082525</v>
      </c>
      <c r="S31" s="43">
        <f>SUM($R$31:$R$31)</f>
        <v>-27.569037873082525</v>
      </c>
      <c r="T31" s="43">
        <f>'TE BE'!$T$31*'TE BE'!$T$52</f>
        <v>2.2606401208937048</v>
      </c>
      <c r="U31" s="43">
        <f>'TE BE'!$U$31*'TE BE'!$U$52</f>
        <v>0.30922896517155035</v>
      </c>
      <c r="V31" s="43">
        <f>'TE BE'!$V$31*'TE BE'!$V$52</f>
        <v>0</v>
      </c>
      <c r="W31" s="43">
        <f>SUM($T$31:$V$31)</f>
        <v>2.5698690860652551</v>
      </c>
      <c r="X31" s="43">
        <f>'TE BE'!$AB$31*'TE BE'!$X$52</f>
        <v>0</v>
      </c>
      <c r="Y31" s="43">
        <f>SUM($X$31:$X$31)</f>
        <v>0</v>
      </c>
      <c r="Z31" s="43">
        <f>'TE BE'!$Z$31*'TE BE'!$Z$52</f>
        <v>-0.13029494893821603</v>
      </c>
      <c r="AA31" s="43">
        <f>SUM($Z$31:$Z$31)</f>
        <v>-0.13029494893821603</v>
      </c>
      <c r="AB31" s="43">
        <f>SUMIF($L$4:$AA$4,"SUBTOTAL",$L$31:$AA$31)</f>
        <v>-22.60323037458069</v>
      </c>
    </row>
    <row r="32" spans="1:28" ht="11.25" customHeight="1" x14ac:dyDescent="0.25">
      <c r="A32" s="127"/>
      <c r="B32" s="127" t="s">
        <v>116</v>
      </c>
      <c r="C32" s="127" t="s">
        <v>45</v>
      </c>
      <c r="D32" s="127" t="s">
        <v>133</v>
      </c>
      <c r="E32" s="127" t="s">
        <v>25</v>
      </c>
      <c r="F32" s="127" t="s">
        <v>25</v>
      </c>
      <c r="G32" s="45" t="s">
        <v>118</v>
      </c>
      <c r="H32" s="45" t="s">
        <v>117</v>
      </c>
      <c r="I32" s="45">
        <f>'MERCADO TE'!$U$29</f>
        <v>0</v>
      </c>
      <c r="J32" s="16"/>
      <c r="L32" s="43">
        <f>'TE BE'!$L$32*'TE BE'!$L$52</f>
        <v>-1.8233691587517364E-6</v>
      </c>
      <c r="M32" s="43">
        <f>'TE BE'!$M$32*'TE BE'!$M$52</f>
        <v>-2.706445115841325</v>
      </c>
      <c r="N32" s="43">
        <f>'TE BE'!$N$32*'TE BE'!$N$52</f>
        <v>0</v>
      </c>
      <c r="O32" s="43">
        <f>'TE BE'!$O$32*'TE BE'!$O$52</f>
        <v>5.2326803005852796</v>
      </c>
      <c r="P32" s="43">
        <f>'TE BE'!$P$32*'TE BE'!$P$52</f>
        <v>0</v>
      </c>
      <c r="Q32" s="43">
        <f>SUM($L$32:$P$32)</f>
        <v>2.5262333613747958</v>
      </c>
      <c r="R32" s="43">
        <f>'TE BE'!$R$32*'TE BE'!$R$52</f>
        <v>-44.734665228020695</v>
      </c>
      <c r="S32" s="43">
        <f>SUM($R$32:$R$32)</f>
        <v>-44.734665228020695</v>
      </c>
      <c r="T32" s="43">
        <f>'TE BE'!$T$32*'TE BE'!$T$52</f>
        <v>2.2606401208937048</v>
      </c>
      <c r="U32" s="43">
        <f>'TE BE'!$U$32*'TE BE'!$U$52</f>
        <v>0.30922896517155035</v>
      </c>
      <c r="V32" s="43">
        <f>'TE BE'!$V$32*'TE BE'!$V$52</f>
        <v>0</v>
      </c>
      <c r="W32" s="43">
        <f>SUM($T$32:$V$32)</f>
        <v>2.5698690860652551</v>
      </c>
      <c r="X32" s="43">
        <f>'TE BE'!$AB$32*'TE BE'!$X$52</f>
        <v>0</v>
      </c>
      <c r="Y32" s="43">
        <f>SUM($X$32:$X$32)</f>
        <v>0</v>
      </c>
      <c r="Z32" s="43">
        <f>'TE BE'!$Z$32*'TE BE'!$Z$52</f>
        <v>-0.13029494893821603</v>
      </c>
      <c r="AA32" s="43">
        <f>SUM($Z$32:$Z$32)</f>
        <v>-0.13029494893821603</v>
      </c>
      <c r="AB32" s="43">
        <f>SUMIF($L$4:$AA$4,"SUBTOTAL",$L$32:$AA$32)</f>
        <v>-39.768857729518864</v>
      </c>
    </row>
    <row r="33" spans="1:28" ht="11.25" customHeight="1" x14ac:dyDescent="0.25">
      <c r="A33" s="127"/>
      <c r="B33" s="127"/>
      <c r="C33" s="127"/>
      <c r="D33" s="127"/>
      <c r="E33" s="127"/>
      <c r="F33" s="127"/>
      <c r="G33" s="45" t="s">
        <v>128</v>
      </c>
      <c r="H33" s="45" t="s">
        <v>117</v>
      </c>
      <c r="I33" s="45">
        <f>'MERCADO TE'!$U$30</f>
        <v>0</v>
      </c>
      <c r="J33" s="16"/>
      <c r="L33" s="43">
        <f>'TE BE'!$L$33*'TE BE'!$L$52</f>
        <v>-1.8233691587517364E-6</v>
      </c>
      <c r="M33" s="43">
        <f>'TE BE'!$M$33*'TE BE'!$M$52</f>
        <v>-2.706445115841325</v>
      </c>
      <c r="N33" s="43">
        <f>'TE BE'!$N$33*'TE BE'!$N$52</f>
        <v>0</v>
      </c>
      <c r="O33" s="43">
        <f>'TE BE'!$O$33*'TE BE'!$O$52</f>
        <v>5.2326803005852796</v>
      </c>
      <c r="P33" s="43">
        <f>'TE BE'!$P$33*'TE BE'!$P$52</f>
        <v>0</v>
      </c>
      <c r="Q33" s="43">
        <f>SUM($L$33:$P$33)</f>
        <v>2.5262333613747958</v>
      </c>
      <c r="R33" s="43">
        <f>'TE BE'!$R$33*'TE BE'!$R$52</f>
        <v>-26.00852629536087</v>
      </c>
      <c r="S33" s="43">
        <f>SUM($R$33:$R$33)</f>
        <v>-26.00852629536087</v>
      </c>
      <c r="T33" s="43">
        <f>'TE BE'!$T$33*'TE BE'!$T$52</f>
        <v>2.2606401208937048</v>
      </c>
      <c r="U33" s="43">
        <f>'TE BE'!$U$33*'TE BE'!$U$52</f>
        <v>0.30922896517155035</v>
      </c>
      <c r="V33" s="43">
        <f>'TE BE'!$V$33*'TE BE'!$V$52</f>
        <v>0</v>
      </c>
      <c r="W33" s="43">
        <f>SUM($T$33:$V$33)</f>
        <v>2.5698690860652551</v>
      </c>
      <c r="X33" s="43">
        <f>'TE BE'!$AB$33*'TE BE'!$X$52</f>
        <v>0</v>
      </c>
      <c r="Y33" s="43">
        <f>SUM($X$33:$X$33)</f>
        <v>0</v>
      </c>
      <c r="Z33" s="43">
        <f>'TE BE'!$Z$33*'TE BE'!$Z$52</f>
        <v>-0.13029494893821603</v>
      </c>
      <c r="AA33" s="43">
        <f>SUM($Z$33:$Z$33)</f>
        <v>-0.13029494893821603</v>
      </c>
      <c r="AB33" s="43">
        <f>SUMIF($L$4:$AA$4,"SUBTOTAL",$L$33:$AA$33)</f>
        <v>-21.042718796859035</v>
      </c>
    </row>
    <row r="34" spans="1:28" ht="11.25" customHeight="1" x14ac:dyDescent="0.25">
      <c r="A34" s="127"/>
      <c r="B34" s="127"/>
      <c r="C34" s="127"/>
      <c r="D34" s="127"/>
      <c r="E34" s="127"/>
      <c r="F34" s="127"/>
      <c r="G34" s="45" t="s">
        <v>119</v>
      </c>
      <c r="H34" s="45" t="s">
        <v>117</v>
      </c>
      <c r="I34" s="45">
        <f>'MERCADO TE'!$U$31</f>
        <v>0</v>
      </c>
      <c r="J34" s="16"/>
      <c r="L34" s="43">
        <f>'TE BE'!$L$34*'TE BE'!$L$52</f>
        <v>-1.8233691587517364E-6</v>
      </c>
      <c r="M34" s="43">
        <f>'TE BE'!$M$34*'TE BE'!$M$52</f>
        <v>-2.706445115841325</v>
      </c>
      <c r="N34" s="43">
        <f>'TE BE'!$N$34*'TE BE'!$N$52</f>
        <v>0</v>
      </c>
      <c r="O34" s="43">
        <f>'TE BE'!$O$34*'TE BE'!$O$52</f>
        <v>5.2326803005852796</v>
      </c>
      <c r="P34" s="43">
        <f>'TE BE'!$P$34*'TE BE'!$P$52</f>
        <v>0</v>
      </c>
      <c r="Q34" s="43">
        <f>SUM($L$34:$P$34)</f>
        <v>2.5262333613747958</v>
      </c>
      <c r="R34" s="43">
        <f>'TE BE'!$R$34*'TE BE'!$R$52</f>
        <v>-26.00852629536087</v>
      </c>
      <c r="S34" s="43">
        <f>SUM($R$34:$R$34)</f>
        <v>-26.00852629536087</v>
      </c>
      <c r="T34" s="43">
        <f>'TE BE'!$T$34*'TE BE'!$T$52</f>
        <v>2.2606401208937048</v>
      </c>
      <c r="U34" s="43">
        <f>'TE BE'!$U$34*'TE BE'!$U$52</f>
        <v>0.30922896517155035</v>
      </c>
      <c r="V34" s="43">
        <f>'TE BE'!$V$34*'TE BE'!$V$52</f>
        <v>0</v>
      </c>
      <c r="W34" s="43">
        <f>SUM($T$34:$V$34)</f>
        <v>2.5698690860652551</v>
      </c>
      <c r="X34" s="43">
        <f>'TE BE'!$AB$34*'TE BE'!$X$52</f>
        <v>0</v>
      </c>
      <c r="Y34" s="43">
        <f>SUM($X$34:$X$34)</f>
        <v>0</v>
      </c>
      <c r="Z34" s="43">
        <f>'TE BE'!$Z$34*'TE BE'!$Z$52</f>
        <v>-0.13029494893821603</v>
      </c>
      <c r="AA34" s="43">
        <f>SUM($Z$34:$Z$34)</f>
        <v>-0.13029494893821603</v>
      </c>
      <c r="AB34" s="43">
        <f>SUMIF($L$4:$AA$4,"SUBTOTAL",$L$34:$AA$34)</f>
        <v>-21.042718796859035</v>
      </c>
    </row>
    <row r="35" spans="1:28" ht="11.25" customHeight="1" x14ac:dyDescent="0.25">
      <c r="A35" s="127"/>
      <c r="B35" s="51" t="s">
        <v>129</v>
      </c>
      <c r="C35" s="51" t="s">
        <v>45</v>
      </c>
      <c r="D35" s="51" t="s">
        <v>133</v>
      </c>
      <c r="E35" s="51" t="s">
        <v>25</v>
      </c>
      <c r="F35" s="51" t="s">
        <v>25</v>
      </c>
      <c r="G35" s="45" t="s">
        <v>123</v>
      </c>
      <c r="H35" s="45" t="s">
        <v>117</v>
      </c>
      <c r="I35" s="45">
        <f>'MERCADO TE'!$U$32</f>
        <v>0</v>
      </c>
      <c r="J35" s="16"/>
      <c r="L35" s="43">
        <f>'TE BE'!$L$35*'TE BE'!$L$52</f>
        <v>-1.8233691587517364E-6</v>
      </c>
      <c r="M35" s="43">
        <f>'TE BE'!$M$35*'TE BE'!$M$52</f>
        <v>-2.706445115841325</v>
      </c>
      <c r="N35" s="43">
        <f>'TE BE'!$N$35*'TE BE'!$N$52</f>
        <v>0</v>
      </c>
      <c r="O35" s="43">
        <f>'TE BE'!$O$35*'TE BE'!$O$52</f>
        <v>5.2326803005852796</v>
      </c>
      <c r="P35" s="43">
        <f>'TE BE'!$P$35*'TE BE'!$P$52</f>
        <v>0</v>
      </c>
      <c r="Q35" s="43">
        <f>SUM($L$35:$P$35)</f>
        <v>2.5262333613747958</v>
      </c>
      <c r="R35" s="43">
        <f>'TE BE'!$R$35*'TE BE'!$R$52</f>
        <v>-27.569037873082525</v>
      </c>
      <c r="S35" s="43">
        <f>SUM($R$35:$R$35)</f>
        <v>-27.569037873082525</v>
      </c>
      <c r="T35" s="43">
        <f>'TE BE'!$T$35*'TE BE'!$T$52</f>
        <v>2.2606401208937048</v>
      </c>
      <c r="U35" s="43">
        <f>'TE BE'!$U$35*'TE BE'!$U$52</f>
        <v>0.30922896517155035</v>
      </c>
      <c r="V35" s="43">
        <f>'TE BE'!$V$35*'TE BE'!$V$52</f>
        <v>0</v>
      </c>
      <c r="W35" s="43">
        <f>SUM($T$35:$V$35)</f>
        <v>2.5698690860652551</v>
      </c>
      <c r="X35" s="43">
        <f>'TE BE'!$AB$35*'TE BE'!$X$52</f>
        <v>0</v>
      </c>
      <c r="Y35" s="43">
        <f>SUM($X$35:$X$35)</f>
        <v>0</v>
      </c>
      <c r="Z35" s="43">
        <f>'TE BE'!$Z$35*'TE BE'!$Z$52</f>
        <v>-0.13029494893821603</v>
      </c>
      <c r="AA35" s="43">
        <f>SUM($Z$35:$Z$35)</f>
        <v>-0.13029494893821603</v>
      </c>
      <c r="AB35" s="43">
        <f>SUMIF($L$4:$AA$4,"SUBTOTAL",$L$35:$AA$35)</f>
        <v>-22.60323037458069</v>
      </c>
    </row>
    <row r="36" spans="1:28" ht="11.25" customHeight="1" x14ac:dyDescent="0.25">
      <c r="A36" s="127"/>
      <c r="B36" s="127" t="s">
        <v>130</v>
      </c>
      <c r="C36" s="127" t="s">
        <v>45</v>
      </c>
      <c r="D36" s="51" t="s">
        <v>25</v>
      </c>
      <c r="E36" s="51" t="s">
        <v>25</v>
      </c>
      <c r="F36" s="51" t="s">
        <v>25</v>
      </c>
      <c r="G36" s="45" t="s">
        <v>123</v>
      </c>
      <c r="H36" s="45" t="s">
        <v>117</v>
      </c>
      <c r="I36" s="45">
        <f>'MERCADO TE'!$U$33</f>
        <v>0</v>
      </c>
      <c r="J36" s="16"/>
      <c r="L36" s="43">
        <f>'TE BE'!$L$36*'TE BE'!$L$52</f>
        <v>-1.8233691587517364E-6</v>
      </c>
      <c r="M36" s="43">
        <f>'TE BE'!$M$36*'TE BE'!$M$52</f>
        <v>-2.706445115841325</v>
      </c>
      <c r="N36" s="43">
        <f>'TE BE'!$N$36*'TE BE'!$N$52</f>
        <v>0</v>
      </c>
      <c r="O36" s="43">
        <f>'TE BE'!$O$36*'TE BE'!$O$52</f>
        <v>5.2326803005852796</v>
      </c>
      <c r="P36" s="43">
        <f>'TE BE'!$P$36*'TE BE'!$P$52</f>
        <v>0</v>
      </c>
      <c r="Q36" s="43">
        <f>SUM($L$36:$P$36)</f>
        <v>2.5262333613747958</v>
      </c>
      <c r="R36" s="43">
        <f>'TE BE'!$R$36*'TE BE'!$R$52</f>
        <v>-27.569037873082525</v>
      </c>
      <c r="S36" s="43">
        <f>SUM($R$36:$R$36)</f>
        <v>-27.569037873082525</v>
      </c>
      <c r="T36" s="43">
        <f>'TE BE'!$T$36*'TE BE'!$T$52</f>
        <v>2.2606401208937048</v>
      </c>
      <c r="U36" s="43">
        <f>'TE BE'!$U$36*'TE BE'!$U$52</f>
        <v>0.30922896517155035</v>
      </c>
      <c r="V36" s="43">
        <f>'TE BE'!$V$36*'TE BE'!$V$52</f>
        <v>0</v>
      </c>
      <c r="W36" s="43">
        <f>SUM($T$36:$V$36)</f>
        <v>2.5698690860652551</v>
      </c>
      <c r="X36" s="43">
        <f>'TE BE'!$AB$36*'TE BE'!$X$52</f>
        <v>0</v>
      </c>
      <c r="Y36" s="43">
        <f>SUM($X$36:$X$36)</f>
        <v>0</v>
      </c>
      <c r="Z36" s="43">
        <f>'TE BE'!$Z$36*'TE BE'!$Z$52</f>
        <v>-0.13029494893821603</v>
      </c>
      <c r="AA36" s="43">
        <f>SUM($Z$36:$Z$36)</f>
        <v>-0.13029494893821603</v>
      </c>
      <c r="AB36" s="43">
        <f>SUMIF($L$4:$AA$4,"SUBTOTAL",$L$36:$AA$36)</f>
        <v>-22.60323037458069</v>
      </c>
    </row>
    <row r="37" spans="1:28" ht="11.25" customHeight="1" x14ac:dyDescent="0.25">
      <c r="A37" s="127"/>
      <c r="B37" s="127"/>
      <c r="C37" s="127"/>
      <c r="D37" s="51" t="s">
        <v>132</v>
      </c>
      <c r="E37" s="51" t="s">
        <v>25</v>
      </c>
      <c r="F37" s="51" t="s">
        <v>25</v>
      </c>
      <c r="G37" s="45" t="s">
        <v>123</v>
      </c>
      <c r="H37" s="45" t="s">
        <v>117</v>
      </c>
      <c r="I37" s="45">
        <f>'MERCADO TE'!$U$34</f>
        <v>0</v>
      </c>
      <c r="J37" s="16"/>
      <c r="L37" s="43">
        <f>'TE BE'!$L$37*'TE BE'!$L$52</f>
        <v>-1.8233691587517364E-6</v>
      </c>
      <c r="M37" s="43">
        <f>'TE BE'!$M$37*'TE BE'!$M$52</f>
        <v>-2.706445115841325</v>
      </c>
      <c r="N37" s="43">
        <f>'TE BE'!$N$37*'TE BE'!$N$52</f>
        <v>0</v>
      </c>
      <c r="O37" s="43">
        <f>'TE BE'!$O$37*'TE BE'!$O$52</f>
        <v>5.2326803005852796</v>
      </c>
      <c r="P37" s="43">
        <f>'TE BE'!$P$37*'TE BE'!$P$52</f>
        <v>0</v>
      </c>
      <c r="Q37" s="43">
        <f>SUM($L$37:$P$37)</f>
        <v>2.5262333613747958</v>
      </c>
      <c r="R37" s="43">
        <f>'TE BE'!$R$37*'TE BE'!$R$52</f>
        <v>-27.569037873082525</v>
      </c>
      <c r="S37" s="43">
        <f>SUM($R$37:$R$37)</f>
        <v>-27.569037873082525</v>
      </c>
      <c r="T37" s="43">
        <f>'TE BE'!$T$37*'TE BE'!$T$52</f>
        <v>2.2606401208937048</v>
      </c>
      <c r="U37" s="43">
        <f>'TE BE'!$U$37*'TE BE'!$U$52</f>
        <v>0.30922896517155035</v>
      </c>
      <c r="V37" s="43">
        <f>'TE BE'!$V$37*'TE BE'!$V$52</f>
        <v>0</v>
      </c>
      <c r="W37" s="43">
        <f>SUM($T$37:$V$37)</f>
        <v>2.5698690860652551</v>
      </c>
      <c r="X37" s="43">
        <f>'TE BE'!$AB$37*'TE BE'!$X$52</f>
        <v>0</v>
      </c>
      <c r="Y37" s="43">
        <f>SUM($X$37:$X$37)</f>
        <v>0</v>
      </c>
      <c r="Z37" s="43">
        <f>'TE BE'!$Z$37*'TE BE'!$Z$52</f>
        <v>-0.13029494893821603</v>
      </c>
      <c r="AA37" s="43">
        <f>SUM($Z$37:$Z$37)</f>
        <v>-0.13029494893821603</v>
      </c>
      <c r="AB37" s="43">
        <f>SUMIF($L$4:$AA$4,"SUBTOTAL",$L$37:$AA$37)</f>
        <v>-22.60323037458069</v>
      </c>
    </row>
    <row r="38" spans="1:28" ht="11.25" customHeight="1" x14ac:dyDescent="0.25">
      <c r="A38" s="127"/>
      <c r="B38" s="127"/>
      <c r="C38" s="127"/>
      <c r="D38" s="51" t="s">
        <v>133</v>
      </c>
      <c r="E38" s="51" t="s">
        <v>25</v>
      </c>
      <c r="F38" s="51" t="s">
        <v>25</v>
      </c>
      <c r="G38" s="45" t="s">
        <v>123</v>
      </c>
      <c r="H38" s="45" t="s">
        <v>117</v>
      </c>
      <c r="I38" s="45">
        <f>'MERCADO TE'!$U$35</f>
        <v>0</v>
      </c>
      <c r="J38" s="16"/>
      <c r="L38" s="43">
        <f>'TE BE'!$L$38*'TE BE'!$L$52</f>
        <v>-1.8233691587517364E-6</v>
      </c>
      <c r="M38" s="43">
        <f>'TE BE'!$M$38*'TE BE'!$M$52</f>
        <v>-2.706445115841325</v>
      </c>
      <c r="N38" s="43">
        <f>'TE BE'!$N$38*'TE BE'!$N$52</f>
        <v>0</v>
      </c>
      <c r="O38" s="43">
        <f>'TE BE'!$O$38*'TE BE'!$O$52</f>
        <v>5.2326803005852796</v>
      </c>
      <c r="P38" s="43">
        <f>'TE BE'!$P$38*'TE BE'!$P$52</f>
        <v>0</v>
      </c>
      <c r="Q38" s="43">
        <f>SUM($L$38:$P$38)</f>
        <v>2.5262333613747958</v>
      </c>
      <c r="R38" s="43">
        <f>'TE BE'!$R$38*'TE BE'!$R$52</f>
        <v>-27.569037873082525</v>
      </c>
      <c r="S38" s="43">
        <f>SUM($R$38:$R$38)</f>
        <v>-27.569037873082525</v>
      </c>
      <c r="T38" s="43">
        <f>'TE BE'!$T$38*'TE BE'!$T$52</f>
        <v>2.2606401208937048</v>
      </c>
      <c r="U38" s="43">
        <f>'TE BE'!$U$38*'TE BE'!$U$52</f>
        <v>0.30922896517155035</v>
      </c>
      <c r="V38" s="43">
        <f>'TE BE'!$V$38*'TE BE'!$V$52</f>
        <v>0</v>
      </c>
      <c r="W38" s="43">
        <f>SUM($T$38:$V$38)</f>
        <v>2.5698690860652551</v>
      </c>
      <c r="X38" s="43">
        <f>'TE BE'!$AB$38*'TE BE'!$X$52</f>
        <v>0</v>
      </c>
      <c r="Y38" s="43">
        <f>SUM($X$38:$X$38)</f>
        <v>0</v>
      </c>
      <c r="Z38" s="43">
        <f>'TE BE'!$Z$38*'TE BE'!$Z$52</f>
        <v>-0.13029494893821603</v>
      </c>
      <c r="AA38" s="43">
        <f>SUM($Z$38:$Z$38)</f>
        <v>-0.13029494893821603</v>
      </c>
      <c r="AB38" s="43">
        <f>SUMIF($L$4:$AA$4,"SUBTOTAL",$L$38:$AA$38)</f>
        <v>-22.60323037458069</v>
      </c>
    </row>
    <row r="39" spans="1:28" ht="11.25" customHeight="1" x14ac:dyDescent="0.25">
      <c r="A39" s="127" t="s">
        <v>37</v>
      </c>
      <c r="B39" s="127" t="s">
        <v>116</v>
      </c>
      <c r="C39" s="127" t="s">
        <v>25</v>
      </c>
      <c r="D39" s="127" t="s">
        <v>25</v>
      </c>
      <c r="E39" s="127" t="s">
        <v>25</v>
      </c>
      <c r="F39" s="127" t="s">
        <v>25</v>
      </c>
      <c r="G39" s="45" t="s">
        <v>118</v>
      </c>
      <c r="H39" s="45" t="s">
        <v>117</v>
      </c>
      <c r="I39" s="45">
        <f>'MERCADO TE'!$U$36</f>
        <v>31.868999999999996</v>
      </c>
      <c r="J39" s="16"/>
      <c r="L39" s="43">
        <f>'TE BE'!$L$39*'TE BE'!$L$52</f>
        <v>-1.8233691587517364E-6</v>
      </c>
      <c r="M39" s="43">
        <f>'TE BE'!$M$39*'TE BE'!$M$52</f>
        <v>-2.706445115841325</v>
      </c>
      <c r="N39" s="43">
        <f>'TE BE'!$N$39*'TE BE'!$N$52</f>
        <v>0</v>
      </c>
      <c r="O39" s="43">
        <f>'TE BE'!$O$39*'TE BE'!$O$52</f>
        <v>5.2326803005852796</v>
      </c>
      <c r="P39" s="43">
        <f>'TE BE'!$P$39*'TE BE'!$P$52</f>
        <v>0</v>
      </c>
      <c r="Q39" s="43">
        <f>SUM($L$39:$P$39)</f>
        <v>2.5262333613747958</v>
      </c>
      <c r="R39" s="43">
        <f>'TE BE'!$R$39*'TE BE'!$R$52</f>
        <v>-44.734665228020695</v>
      </c>
      <c r="S39" s="43">
        <f>SUM($R$39:$R$39)</f>
        <v>-44.734665228020695</v>
      </c>
      <c r="T39" s="43">
        <f>'TE BE'!$T$39*'TE BE'!$T$52</f>
        <v>2.2606401208937048</v>
      </c>
      <c r="U39" s="43">
        <f>'TE BE'!$U$39*'TE BE'!$U$52</f>
        <v>0.30922896517155035</v>
      </c>
      <c r="V39" s="43">
        <f>'TE BE'!$V$39*'TE BE'!$V$52</f>
        <v>0</v>
      </c>
      <c r="W39" s="43">
        <f>SUM($T$39:$V$39)</f>
        <v>2.5698690860652551</v>
      </c>
      <c r="X39" s="43">
        <f>'TE BE'!$AB$39*'TE BE'!$X$52</f>
        <v>0</v>
      </c>
      <c r="Y39" s="43">
        <f>SUM($X$39:$X$39)</f>
        <v>0</v>
      </c>
      <c r="Z39" s="43">
        <f>'TE BE'!$Z$39*'TE BE'!$Z$52</f>
        <v>-0.13029494893821603</v>
      </c>
      <c r="AA39" s="43">
        <f>SUM($Z$39:$Z$39)</f>
        <v>-0.13029494893821603</v>
      </c>
      <c r="AB39" s="43">
        <f>SUMIF($L$4:$AA$4,"SUBTOTAL",$L$39:$AA$39)</f>
        <v>-39.768857729518864</v>
      </c>
    </row>
    <row r="40" spans="1:28" ht="11.25" customHeight="1" x14ac:dyDescent="0.25">
      <c r="A40" s="127"/>
      <c r="B40" s="127"/>
      <c r="C40" s="127"/>
      <c r="D40" s="127"/>
      <c r="E40" s="127"/>
      <c r="F40" s="127"/>
      <c r="G40" s="45" t="s">
        <v>128</v>
      </c>
      <c r="H40" s="45" t="s">
        <v>117</v>
      </c>
      <c r="I40" s="45">
        <f>'MERCADO TE'!$U$37</f>
        <v>31.273999999999997</v>
      </c>
      <c r="J40" s="16"/>
      <c r="L40" s="43">
        <f>'TE BE'!$L$40*'TE BE'!$L$52</f>
        <v>-1.8233691587517364E-6</v>
      </c>
      <c r="M40" s="43">
        <f>'TE BE'!$M$40*'TE BE'!$M$52</f>
        <v>-2.706445115841325</v>
      </c>
      <c r="N40" s="43">
        <f>'TE BE'!$N$40*'TE BE'!$N$52</f>
        <v>0</v>
      </c>
      <c r="O40" s="43">
        <f>'TE BE'!$O$40*'TE BE'!$O$52</f>
        <v>5.2326803005852796</v>
      </c>
      <c r="P40" s="43">
        <f>'TE BE'!$P$40*'TE BE'!$P$52</f>
        <v>0</v>
      </c>
      <c r="Q40" s="43">
        <f>SUM($L$40:$P$40)</f>
        <v>2.5262333613747958</v>
      </c>
      <c r="R40" s="43">
        <f>'TE BE'!$R$40*'TE BE'!$R$52</f>
        <v>-26.00852629536087</v>
      </c>
      <c r="S40" s="43">
        <f>SUM($R$40:$R$40)</f>
        <v>-26.00852629536087</v>
      </c>
      <c r="T40" s="43">
        <f>'TE BE'!$T$40*'TE BE'!$T$52</f>
        <v>2.2606401208937048</v>
      </c>
      <c r="U40" s="43">
        <f>'TE BE'!$U$40*'TE BE'!$U$52</f>
        <v>0.30922896517155035</v>
      </c>
      <c r="V40" s="43">
        <f>'TE BE'!$V$40*'TE BE'!$V$52</f>
        <v>0</v>
      </c>
      <c r="W40" s="43">
        <f>SUM($T$40:$V$40)</f>
        <v>2.5698690860652551</v>
      </c>
      <c r="X40" s="43">
        <f>'TE BE'!$AB$40*'TE BE'!$X$52</f>
        <v>0</v>
      </c>
      <c r="Y40" s="43">
        <f>SUM($X$40:$X$40)</f>
        <v>0</v>
      </c>
      <c r="Z40" s="43">
        <f>'TE BE'!$Z$40*'TE BE'!$Z$52</f>
        <v>-0.13029494893821603</v>
      </c>
      <c r="AA40" s="43">
        <f>SUM($Z$40:$Z$40)</f>
        <v>-0.13029494893821603</v>
      </c>
      <c r="AB40" s="43">
        <f>SUMIF($L$4:$AA$4,"SUBTOTAL",$L$40:$AA$40)</f>
        <v>-21.042718796859035</v>
      </c>
    </row>
    <row r="41" spans="1:28" ht="11.25" customHeight="1" x14ac:dyDescent="0.25">
      <c r="A41" s="127"/>
      <c r="B41" s="127"/>
      <c r="C41" s="127"/>
      <c r="D41" s="127"/>
      <c r="E41" s="127"/>
      <c r="F41" s="127"/>
      <c r="G41" s="45" t="s">
        <v>119</v>
      </c>
      <c r="H41" s="45" t="s">
        <v>117</v>
      </c>
      <c r="I41" s="45">
        <f>'MERCADO TE'!$U$38</f>
        <v>381.83600000000001</v>
      </c>
      <c r="J41" s="16"/>
      <c r="L41" s="43">
        <f>'TE BE'!$L$41*'TE BE'!$L$52</f>
        <v>-1.8233691587517364E-6</v>
      </c>
      <c r="M41" s="43">
        <f>'TE BE'!$M$41*'TE BE'!$M$52</f>
        <v>-2.706445115841325</v>
      </c>
      <c r="N41" s="43">
        <f>'TE BE'!$N$41*'TE BE'!$N$52</f>
        <v>0</v>
      </c>
      <c r="O41" s="43">
        <f>'TE BE'!$O$41*'TE BE'!$O$52</f>
        <v>5.2326803005852796</v>
      </c>
      <c r="P41" s="43">
        <f>'TE BE'!$P$41*'TE BE'!$P$52</f>
        <v>0</v>
      </c>
      <c r="Q41" s="43">
        <f>SUM($L$41:$P$41)</f>
        <v>2.5262333613747958</v>
      </c>
      <c r="R41" s="43">
        <f>'TE BE'!$R$41*'TE BE'!$R$52</f>
        <v>-26.00852629536087</v>
      </c>
      <c r="S41" s="43">
        <f>SUM($R$41:$R$41)</f>
        <v>-26.00852629536087</v>
      </c>
      <c r="T41" s="43">
        <f>'TE BE'!$T$41*'TE BE'!$T$52</f>
        <v>2.2606401208937048</v>
      </c>
      <c r="U41" s="43">
        <f>'TE BE'!$U$41*'TE BE'!$U$52</f>
        <v>0.30922896517155035</v>
      </c>
      <c r="V41" s="43">
        <f>'TE BE'!$V$41*'TE BE'!$V$52</f>
        <v>0</v>
      </c>
      <c r="W41" s="43">
        <f>SUM($T$41:$V$41)</f>
        <v>2.5698690860652551</v>
      </c>
      <c r="X41" s="43">
        <f>'TE BE'!$AB$41*'TE BE'!$X$52</f>
        <v>0</v>
      </c>
      <c r="Y41" s="43">
        <f>SUM($X$41:$X$41)</f>
        <v>0</v>
      </c>
      <c r="Z41" s="43">
        <f>'TE BE'!$Z$41*'TE BE'!$Z$52</f>
        <v>-0.13029494893821603</v>
      </c>
      <c r="AA41" s="43">
        <f>SUM($Z$41:$Z$41)</f>
        <v>-0.13029494893821603</v>
      </c>
      <c r="AB41" s="43">
        <f>SUMIF($L$4:$AA$4,"SUBTOTAL",$L$41:$AA$41)</f>
        <v>-21.042718796859035</v>
      </c>
    </row>
    <row r="42" spans="1:28" ht="11.25" customHeight="1" x14ac:dyDescent="0.25">
      <c r="A42" s="127"/>
      <c r="B42" s="51" t="s">
        <v>129</v>
      </c>
      <c r="C42" s="51" t="s">
        <v>25</v>
      </c>
      <c r="D42" s="51" t="s">
        <v>25</v>
      </c>
      <c r="E42" s="51" t="s">
        <v>25</v>
      </c>
      <c r="F42" s="51" t="s">
        <v>25</v>
      </c>
      <c r="G42" s="45" t="s">
        <v>123</v>
      </c>
      <c r="H42" s="45" t="s">
        <v>117</v>
      </c>
      <c r="I42" s="45">
        <f>'MERCADO TE'!$U$39</f>
        <v>226492.11000000002</v>
      </c>
      <c r="J42" s="16"/>
      <c r="L42" s="43">
        <f>'TE BE'!$L$42*'TE BE'!$L$52</f>
        <v>-1.8233691587517364E-6</v>
      </c>
      <c r="M42" s="43">
        <f>'TE BE'!$M$42*'TE BE'!$M$52</f>
        <v>-2.706445115841325</v>
      </c>
      <c r="N42" s="43">
        <f>'TE BE'!$N$42*'TE BE'!$N$52</f>
        <v>0</v>
      </c>
      <c r="O42" s="43">
        <f>'TE BE'!$O$42*'TE BE'!$O$52</f>
        <v>5.2326803005852796</v>
      </c>
      <c r="P42" s="43">
        <f>'TE BE'!$P$42*'TE BE'!$P$52</f>
        <v>0</v>
      </c>
      <c r="Q42" s="43">
        <f>SUM($L$42:$P$42)</f>
        <v>2.5262333613747958</v>
      </c>
      <c r="R42" s="43">
        <f>'TE BE'!$R$42*'TE BE'!$R$52</f>
        <v>-27.569037873082525</v>
      </c>
      <c r="S42" s="43">
        <f>SUM($R$42:$R$42)</f>
        <v>-27.569037873082525</v>
      </c>
      <c r="T42" s="43">
        <f>'TE BE'!$T$42*'TE BE'!$T$52</f>
        <v>2.2606401208937048</v>
      </c>
      <c r="U42" s="43">
        <f>'TE BE'!$U$42*'TE BE'!$U$52</f>
        <v>0.30922896517155035</v>
      </c>
      <c r="V42" s="43">
        <f>'TE BE'!$V$42*'TE BE'!$V$52</f>
        <v>0</v>
      </c>
      <c r="W42" s="43">
        <f>SUM($T$42:$V$42)</f>
        <v>2.5698690860652551</v>
      </c>
      <c r="X42" s="43">
        <f>'TE BE'!$AB$42*'TE BE'!$X$52</f>
        <v>0</v>
      </c>
      <c r="Y42" s="43">
        <f>SUM($X$42:$X$42)</f>
        <v>0</v>
      </c>
      <c r="Z42" s="43">
        <f>'TE BE'!$Z$42*'TE BE'!$Z$52</f>
        <v>-0.13029494893821603</v>
      </c>
      <c r="AA42" s="43">
        <f>SUM($Z$42:$Z$42)</f>
        <v>-0.13029494893821603</v>
      </c>
      <c r="AB42" s="43">
        <f>SUMIF($L$4:$AA$4,"SUBTOTAL",$L$42:$AA$42)</f>
        <v>-22.60323037458069</v>
      </c>
    </row>
    <row r="43" spans="1:28" ht="11.25" customHeight="1" x14ac:dyDescent="0.25">
      <c r="A43" s="127"/>
      <c r="B43" s="51" t="s">
        <v>130</v>
      </c>
      <c r="C43" s="51" t="s">
        <v>25</v>
      </c>
      <c r="D43" s="51" t="s">
        <v>25</v>
      </c>
      <c r="E43" s="51" t="s">
        <v>25</v>
      </c>
      <c r="F43" s="51" t="s">
        <v>25</v>
      </c>
      <c r="G43" s="45" t="s">
        <v>123</v>
      </c>
      <c r="H43" s="45" t="s">
        <v>117</v>
      </c>
      <c r="I43" s="45">
        <f>'MERCADO TE'!$U$40</f>
        <v>0</v>
      </c>
      <c r="J43" s="16"/>
      <c r="L43" s="43">
        <f>'TE BE'!$L$43*'TE BE'!$L$52</f>
        <v>-1.8233691587517364E-6</v>
      </c>
      <c r="M43" s="43">
        <f>'TE BE'!$M$43*'TE BE'!$M$52</f>
        <v>-2.706445115841325</v>
      </c>
      <c r="N43" s="43">
        <f>'TE BE'!$N$43*'TE BE'!$N$52</f>
        <v>0</v>
      </c>
      <c r="O43" s="43">
        <f>'TE BE'!$O$43*'TE BE'!$O$52</f>
        <v>5.2326803005852796</v>
      </c>
      <c r="P43" s="43">
        <f>'TE BE'!$P$43*'TE BE'!$P$52</f>
        <v>0</v>
      </c>
      <c r="Q43" s="43">
        <f>SUM($L$43:$P$43)</f>
        <v>2.5262333613747958</v>
      </c>
      <c r="R43" s="43">
        <f>'TE BE'!$R$43*'TE BE'!$R$52</f>
        <v>-27.569037873082525</v>
      </c>
      <c r="S43" s="43">
        <f>SUM($R$43:$R$43)</f>
        <v>-27.569037873082525</v>
      </c>
      <c r="T43" s="43">
        <f>'TE BE'!$T$43*'TE BE'!$T$52</f>
        <v>2.2606401208937048</v>
      </c>
      <c r="U43" s="43">
        <f>'TE BE'!$U$43*'TE BE'!$U$52</f>
        <v>0.30922896517155035</v>
      </c>
      <c r="V43" s="43">
        <f>'TE BE'!$V$43*'TE BE'!$V$52</f>
        <v>0</v>
      </c>
      <c r="W43" s="43">
        <f>SUM($T$43:$V$43)</f>
        <v>2.5698690860652551</v>
      </c>
      <c r="X43" s="43">
        <f>'TE BE'!$AB$43*'TE BE'!$X$52</f>
        <v>0</v>
      </c>
      <c r="Y43" s="43">
        <f>SUM($X$43:$X$43)</f>
        <v>0</v>
      </c>
      <c r="Z43" s="43">
        <f>'TE BE'!$Z$43*'TE BE'!$Z$52</f>
        <v>-0.13029494893821603</v>
      </c>
      <c r="AA43" s="43">
        <f>SUM($Z$43:$Z$43)</f>
        <v>-0.13029494893821603</v>
      </c>
      <c r="AB43" s="43">
        <f>SUMIF($L$4:$AA$4,"SUBTOTAL",$L$43:$AA$43)</f>
        <v>-22.60323037458069</v>
      </c>
    </row>
    <row r="44" spans="1:28" ht="11.25" customHeight="1" x14ac:dyDescent="0.25">
      <c r="A44" s="127" t="s">
        <v>47</v>
      </c>
      <c r="B44" s="127" t="s">
        <v>129</v>
      </c>
      <c r="C44" s="127" t="s">
        <v>48</v>
      </c>
      <c r="D44" s="51" t="s">
        <v>49</v>
      </c>
      <c r="E44" s="51" t="s">
        <v>25</v>
      </c>
      <c r="F44" s="51" t="s">
        <v>25</v>
      </c>
      <c r="G44" s="45" t="s">
        <v>123</v>
      </c>
      <c r="H44" s="45" t="s">
        <v>117</v>
      </c>
      <c r="I44" s="45">
        <f>'MERCADO TE'!$U$41</f>
        <v>81306.822999999989</v>
      </c>
      <c r="J44" s="16"/>
      <c r="L44" s="43">
        <f>'TE BE'!$L$44*'TE BE'!$L$52</f>
        <v>-1.0028530373134551E-6</v>
      </c>
      <c r="M44" s="43">
        <f>'TE BE'!$M$44*'TE BE'!$M$52</f>
        <v>-1.4885448137127288</v>
      </c>
      <c r="N44" s="43">
        <f>'TE BE'!$N$44*'TE BE'!$N$52</f>
        <v>0</v>
      </c>
      <c r="O44" s="43">
        <f>'TE BE'!$O$44*'TE BE'!$O$52</f>
        <v>2.8779741653219038</v>
      </c>
      <c r="P44" s="43">
        <f>'TE BE'!$P$44*'TE BE'!$P$52</f>
        <v>0</v>
      </c>
      <c r="Q44" s="43">
        <f>SUM($L$44:$P$44)</f>
        <v>1.3894283487561376</v>
      </c>
      <c r="R44" s="43">
        <f>'TE BE'!$R$44*'TE BE'!$R$52</f>
        <v>-15.162970830195391</v>
      </c>
      <c r="S44" s="43">
        <f>SUM($R$44:$R$44)</f>
        <v>-15.162970830195391</v>
      </c>
      <c r="T44" s="43">
        <f>'TE BE'!$T$44*'TE BE'!$T$52</f>
        <v>1.2433520664915376</v>
      </c>
      <c r="U44" s="43">
        <f>'TE BE'!$U$44*'TE BE'!$U$52</f>
        <v>0.17007593084435269</v>
      </c>
      <c r="V44" s="43">
        <f>'TE BE'!$V$44*'TE BE'!$V$52</f>
        <v>0</v>
      </c>
      <c r="W44" s="43">
        <f>SUM($T$44:$V$44)</f>
        <v>1.4134279973358903</v>
      </c>
      <c r="X44" s="43">
        <f>'TE BE'!$AB$44*'TE BE'!$X$52</f>
        <v>0</v>
      </c>
      <c r="Y44" s="43">
        <f>SUM($X$44:$X$44)</f>
        <v>0</v>
      </c>
      <c r="Z44" s="43">
        <f>'TE BE'!$Z$44*'TE BE'!$Z$52</f>
        <v>-7.1662221916018815E-2</v>
      </c>
      <c r="AA44" s="43">
        <f>SUM($Z$44:$Z$44)</f>
        <v>-7.1662221916018815E-2</v>
      </c>
      <c r="AB44" s="43">
        <f>SUMIF($L$4:$AA$4,"SUBTOTAL",$L$44:$AA$44)</f>
        <v>-12.431776706019383</v>
      </c>
    </row>
    <row r="45" spans="1:28" ht="11.25" customHeight="1" x14ac:dyDescent="0.25">
      <c r="A45" s="127"/>
      <c r="B45" s="127"/>
      <c r="C45" s="127"/>
      <c r="D45" s="45" t="s">
        <v>50</v>
      </c>
      <c r="E45" s="45" t="s">
        <v>25</v>
      </c>
      <c r="F45" s="45" t="s">
        <v>25</v>
      </c>
      <c r="G45" s="45" t="s">
        <v>123</v>
      </c>
      <c r="H45" s="45" t="s">
        <v>117</v>
      </c>
      <c r="I45" s="45">
        <f>'MERCADO TE'!$U$42</f>
        <v>1579.0179999999998</v>
      </c>
      <c r="J45" s="16"/>
      <c r="L45" s="43">
        <f>'TE BE'!$L$45*'TE BE'!$L$52</f>
        <v>-1.0940214952510419E-6</v>
      </c>
      <c r="M45" s="43">
        <f>'TE BE'!$M$45*'TE BE'!$M$52</f>
        <v>-1.6238670695047948</v>
      </c>
      <c r="N45" s="43">
        <f>'TE BE'!$N$45*'TE BE'!$N$52</f>
        <v>0</v>
      </c>
      <c r="O45" s="43">
        <f>'TE BE'!$O$45*'TE BE'!$O$52</f>
        <v>3.1396081803511677</v>
      </c>
      <c r="P45" s="43">
        <f>'TE BE'!$P$45*'TE BE'!$P$52</f>
        <v>0</v>
      </c>
      <c r="Q45" s="43">
        <f>SUM($L$45:$P$45)</f>
        <v>1.5157400168248778</v>
      </c>
      <c r="R45" s="43">
        <f>'TE BE'!$R$45*'TE BE'!$R$52</f>
        <v>-16.541422723849514</v>
      </c>
      <c r="S45" s="43">
        <f>SUM($R$45:$R$45)</f>
        <v>-16.541422723849514</v>
      </c>
      <c r="T45" s="43">
        <f>'TE BE'!$T$45*'TE BE'!$T$52</f>
        <v>1.3563840725362226</v>
      </c>
      <c r="U45" s="43">
        <f>'TE BE'!$U$45*'TE BE'!$U$52</f>
        <v>0.18553737910293019</v>
      </c>
      <c r="V45" s="43">
        <f>'TE BE'!$V$45*'TE BE'!$V$52</f>
        <v>0</v>
      </c>
      <c r="W45" s="43">
        <f>SUM($T$45:$V$45)</f>
        <v>1.5419214516391528</v>
      </c>
      <c r="X45" s="43">
        <f>'TE BE'!$AB$45*'TE BE'!$X$52</f>
        <v>0</v>
      </c>
      <c r="Y45" s="43">
        <f>SUM($X$45:$X$45)</f>
        <v>0</v>
      </c>
      <c r="Z45" s="43">
        <f>'TE BE'!$Z$45*'TE BE'!$Z$52</f>
        <v>-7.8176969362929616E-2</v>
      </c>
      <c r="AA45" s="43">
        <f>SUM($Z$45:$Z$45)</f>
        <v>-7.8176969362929616E-2</v>
      </c>
      <c r="AB45" s="43">
        <f>SUMIF($L$4:$AA$4,"SUBTOTAL",$L$45:$AA$45)</f>
        <v>-13.561938224748413</v>
      </c>
    </row>
    <row r="47" spans="1:28" ht="11.25" customHeight="1" x14ac:dyDescent="0.25">
      <c r="K47" s="50" t="s">
        <v>1056</v>
      </c>
      <c r="L47" s="43">
        <f t="shared" ref="L47:AB47" si="0">SUMPRODUCT($I$5:$I$45,L$5:L$45)</f>
        <v>-2.0787998395881382</v>
      </c>
      <c r="M47" s="43">
        <f t="shared" si="0"/>
        <v>-3085583.4352911124</v>
      </c>
      <c r="N47" s="43">
        <f t="shared" si="0"/>
        <v>0</v>
      </c>
      <c r="O47" s="43">
        <f t="shared" si="0"/>
        <v>5965711.8347441358</v>
      </c>
      <c r="P47" s="43">
        <f t="shared" si="0"/>
        <v>0</v>
      </c>
      <c r="Q47" s="43">
        <f t="shared" si="0"/>
        <v>2880126.3206531843</v>
      </c>
      <c r="R47" s="43">
        <f t="shared" si="0"/>
        <v>-31353630.145635147</v>
      </c>
      <c r="S47" s="43">
        <f t="shared" si="0"/>
        <v>-31353630.145635147</v>
      </c>
      <c r="T47" s="43">
        <f t="shared" si="0"/>
        <v>2577326.8666546531</v>
      </c>
      <c r="U47" s="43">
        <f t="shared" si="0"/>
        <v>352547.98520048347</v>
      </c>
      <c r="V47" s="43">
        <f t="shared" si="0"/>
        <v>0</v>
      </c>
      <c r="W47" s="43">
        <f t="shared" si="0"/>
        <v>2929874.8518551369</v>
      </c>
      <c r="X47" s="43">
        <f t="shared" si="0"/>
        <v>0</v>
      </c>
      <c r="Y47" s="43">
        <f t="shared" si="0"/>
        <v>0</v>
      </c>
      <c r="Z47" s="43">
        <f t="shared" si="0"/>
        <v>-148547.60356774641</v>
      </c>
      <c r="AA47" s="43">
        <f t="shared" si="0"/>
        <v>-148547.60356774641</v>
      </c>
      <c r="AB47" s="43">
        <f t="shared" si="0"/>
        <v>-25692176.576694567</v>
      </c>
    </row>
    <row r="48" spans="1:28" ht="11.25" customHeight="1" x14ac:dyDescent="0.25">
      <c r="K48" s="50" t="s">
        <v>992</v>
      </c>
      <c r="L48" s="43">
        <f>CUSTOS!$D$30</f>
        <v>3660581.106714922</v>
      </c>
      <c r="M48" s="43">
        <f>CUSTOS!$D$31</f>
        <v>14736731.351028152</v>
      </c>
      <c r="N48" s="43">
        <f>CUSTOS!$D$32</f>
        <v>0</v>
      </c>
      <c r="O48" s="43">
        <f>CUSTOS!$D$33</f>
        <v>12214113.286631148</v>
      </c>
      <c r="P48" s="43">
        <f>CUSTOS!$D$34</f>
        <v>-19890000</v>
      </c>
      <c r="Q48" s="43">
        <f>CUSTOS!$D$35</f>
        <v>10721425.744374223</v>
      </c>
      <c r="R48" s="43">
        <f>CUSTOS!$D$36</f>
        <v>338416914.13455844</v>
      </c>
      <c r="S48" s="43">
        <f>CUSTOS!$D$37</f>
        <v>338416914.13455844</v>
      </c>
      <c r="T48" s="43">
        <f>CUSTOS!$D$38</f>
        <v>5890129.4745977521</v>
      </c>
      <c r="U48" s="43">
        <f>CUSTOS!$D$39</f>
        <v>4895139.6684207348</v>
      </c>
      <c r="V48" s="43">
        <f>CUSTOS!$D$40</f>
        <v>0</v>
      </c>
      <c r="W48" s="43">
        <f>CUSTOS!$D$41</f>
        <v>10785269.143018488</v>
      </c>
      <c r="X48" s="43">
        <f>CUSTOS!$D$42</f>
        <v>0</v>
      </c>
      <c r="Y48" s="43">
        <f>CUSTOS!$D$43</f>
        <v>0</v>
      </c>
      <c r="Z48" s="43">
        <f>CUSTOS!$D$44</f>
        <v>1603355.699737974</v>
      </c>
      <c r="AA48" s="43">
        <f>CUSTOS!$D$45</f>
        <v>1603355.699737974</v>
      </c>
      <c r="AB48" s="43">
        <f>CUSTOS!$D$46</f>
        <v>361526964.72168911</v>
      </c>
    </row>
    <row r="49" spans="11:28" ht="11.25" customHeight="1" x14ac:dyDescent="0.25">
      <c r="K49" s="50" t="s">
        <v>993</v>
      </c>
      <c r="L49" s="43">
        <f>CUSTOS!$E$30</f>
        <v>-2.0787998395881386</v>
      </c>
      <c r="M49" s="43">
        <f>CUSTOS!$E$31</f>
        <v>-3085583.4352911115</v>
      </c>
      <c r="N49" s="43">
        <f>CUSTOS!$E$32</f>
        <v>0</v>
      </c>
      <c r="O49" s="43">
        <f>CUSTOS!$E$33</f>
        <v>5965711.8347441349</v>
      </c>
      <c r="P49" s="43">
        <f>CUSTOS!$E$34</f>
        <v>0</v>
      </c>
      <c r="Q49" s="43">
        <f>CUSTOS!$E$35</f>
        <v>2880126.3206531839</v>
      </c>
      <c r="R49" s="43">
        <f>CUSTOS!$E$36</f>
        <v>-31353630.145635135</v>
      </c>
      <c r="S49" s="43">
        <f>CUSTOS!$E$37</f>
        <v>-31353630.145635135</v>
      </c>
      <c r="T49" s="43">
        <f>CUSTOS!$E$38</f>
        <v>2577326.8666546531</v>
      </c>
      <c r="U49" s="43">
        <f>CUSTOS!$E$39</f>
        <v>352547.98520048341</v>
      </c>
      <c r="V49" s="43">
        <f>CUSTOS!$E$40</f>
        <v>0</v>
      </c>
      <c r="W49" s="43">
        <f>CUSTOS!$E$41</f>
        <v>2929874.8518551365</v>
      </c>
      <c r="X49" s="43">
        <f>CUSTOS!$E$42</f>
        <v>0</v>
      </c>
      <c r="Y49" s="43">
        <f>CUSTOS!$E$43</f>
        <v>0</v>
      </c>
      <c r="Z49" s="43">
        <f>CUSTOS!$E$44</f>
        <v>-148547.60356774638</v>
      </c>
      <c r="AA49" s="43">
        <f>CUSTOS!$E$45</f>
        <v>-148547.60356774638</v>
      </c>
      <c r="AB49" s="43">
        <f>CUSTOS!$E$46</f>
        <v>-25692176.576694559</v>
      </c>
    </row>
    <row r="50" spans="11:28" ht="11.25" customHeight="1" x14ac:dyDescent="0.25">
      <c r="K50" s="50" t="s">
        <v>994</v>
      </c>
      <c r="L50" s="43">
        <f>CUSTOS!$F$30</f>
        <v>0</v>
      </c>
      <c r="M50" s="43">
        <f>CUSTOS!$F$31</f>
        <v>15865968.807700001</v>
      </c>
      <c r="N50" s="43">
        <f>CUSTOS!$F$32</f>
        <v>0</v>
      </c>
      <c r="O50" s="43">
        <f>CUSTOS!$F$33</f>
        <v>820056.53808497591</v>
      </c>
      <c r="P50" s="43">
        <f>CUSTOS!$F$34</f>
        <v>0</v>
      </c>
      <c r="Q50" s="43">
        <f>CUSTOS!$F$35</f>
        <v>16686025.345784977</v>
      </c>
      <c r="R50" s="43">
        <f>CUSTOS!$F$36</f>
        <v>22478673.272212066</v>
      </c>
      <c r="S50" s="43">
        <f>CUSTOS!$F$37</f>
        <v>22478673.272212066</v>
      </c>
      <c r="T50" s="43">
        <f>CUSTOS!$F$38</f>
        <v>-384844.36339999997</v>
      </c>
      <c r="U50" s="43">
        <f>CUSTOS!$F$39</f>
        <v>272404.48173653503</v>
      </c>
      <c r="V50" s="43">
        <f>CUSTOS!$F$40</f>
        <v>0</v>
      </c>
      <c r="W50" s="43">
        <f>CUSTOS!$F$41</f>
        <v>-112439.88166346494</v>
      </c>
      <c r="X50" s="43">
        <f>CUSTOS!$F$42</f>
        <v>0</v>
      </c>
      <c r="Y50" s="43">
        <f>CUSTOS!$F$43</f>
        <v>0</v>
      </c>
      <c r="Z50" s="43">
        <f>CUSTOS!$F$44</f>
        <v>106499.72684053976</v>
      </c>
      <c r="AA50" s="43">
        <f>CUSTOS!$F$45</f>
        <v>106499.72684053976</v>
      </c>
      <c r="AB50" s="43">
        <f>CUSTOS!$F$46</f>
        <v>39158758.46317412</v>
      </c>
    </row>
    <row r="51" spans="11:28" ht="11.25" customHeight="1" x14ac:dyDescent="0.25">
      <c r="K51" s="50" t="s">
        <v>1057</v>
      </c>
      <c r="L51" s="43">
        <f>'TR TE'!$L$51*L52</f>
        <v>0</v>
      </c>
      <c r="M51" s="43">
        <f>'TR TE'!$M$51*M52</f>
        <v>13.916452005984803</v>
      </c>
      <c r="N51" s="43">
        <f>'TR TE'!$N$51*N52</f>
        <v>0</v>
      </c>
      <c r="O51" s="43">
        <f>'TR TE'!$O$51*O52</f>
        <v>0.71929282055030019</v>
      </c>
      <c r="P51" s="43">
        <f>'TR TE'!$P$51*P52</f>
        <v>0</v>
      </c>
      <c r="Q51" s="43"/>
      <c r="R51" s="43">
        <f>'TR TE'!$R$51*R52</f>
        <v>19.504780605905424</v>
      </c>
      <c r="S51" s="43"/>
      <c r="T51" s="43">
        <f>'TR TE'!$T$51*T52</f>
        <v>-0.33755695463303104</v>
      </c>
      <c r="U51" s="43">
        <f>'TR TE'!$U$51*U52</f>
        <v>0.23893302339418876</v>
      </c>
      <c r="V51" s="43">
        <f>'TR TE'!$V$51*V52</f>
        <v>0</v>
      </c>
      <c r="W51" s="43"/>
      <c r="X51" s="43"/>
      <c r="Y51" s="43"/>
      <c r="Z51" s="43">
        <f>'TR TE'!$Z$51*Z52</f>
        <v>9.3413667654986071E-2</v>
      </c>
      <c r="AA51" s="43"/>
      <c r="AB51" s="43"/>
    </row>
    <row r="52" spans="11:28" ht="11.25" customHeight="1" x14ac:dyDescent="0.25">
      <c r="K52" s="50" t="s">
        <v>1052</v>
      </c>
      <c r="L52" s="43">
        <f>IF(L48&lt;&gt;0,L50/L48,0)</f>
        <v>0</v>
      </c>
      <c r="M52" s="43">
        <f>IF(M48&lt;&gt;0,M50/M48,0)</f>
        <v>1.0766274033076584</v>
      </c>
      <c r="N52" s="43">
        <f>IF(N48&lt;&gt;0,N50/N48,0)</f>
        <v>0</v>
      </c>
      <c r="O52" s="43">
        <f>IF(O48&lt;&gt;0,O50/O48,0)</f>
        <v>6.7140079581754136E-2</v>
      </c>
      <c r="P52" s="43">
        <f>IF(P48&lt;&gt;0,P50/P48,0)</f>
        <v>0</v>
      </c>
      <c r="Q52" s="43"/>
      <c r="R52" s="43">
        <f>IF(R48&lt;&gt;0,R50/R48,0)</f>
        <v>6.6423019457219817E-2</v>
      </c>
      <c r="S52" s="43"/>
      <c r="T52" s="43">
        <f>IF(T48&lt;&gt;0,T50/T48,0)</f>
        <v>-6.5337165347503959E-2</v>
      </c>
      <c r="U52" s="43">
        <f>IF(U48&lt;&gt;0,U50/U48,0)</f>
        <v>5.5647948820307692E-2</v>
      </c>
      <c r="V52" s="43">
        <f>IF(V48&lt;&gt;0,V50/V48,0)</f>
        <v>0</v>
      </c>
      <c r="W52" s="43"/>
      <c r="X52" s="43">
        <f>IF($AB48&lt;&gt;0,X50/($AB48-SUM('TR TE'!$L51:'TR TE'!$AA51)*0),0)</f>
        <v>0</v>
      </c>
      <c r="Y52" s="43"/>
      <c r="Z52" s="43">
        <f>IF(Z48&lt;&gt;0,Z50/Z48,0)</f>
        <v>6.6423019457219831E-2</v>
      </c>
      <c r="AA52" s="43"/>
      <c r="AB52" s="43"/>
    </row>
    <row r="53" spans="11:28" ht="11.25" customHeight="1" x14ac:dyDescent="0.25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73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9:F10"/>
    <mergeCell ref="A7:A8"/>
    <mergeCell ref="B7:B8"/>
    <mergeCell ref="C7:C8"/>
    <mergeCell ref="D7:D8"/>
    <mergeCell ref="E7:E8"/>
    <mergeCell ref="F7:F8"/>
    <mergeCell ref="A9:A10"/>
    <mergeCell ref="B9:B10"/>
    <mergeCell ref="C9:C10"/>
    <mergeCell ref="D9:D10"/>
    <mergeCell ref="E9:E10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E39:E41"/>
    <mergeCell ref="F39:F41"/>
    <mergeCell ref="A44:A45"/>
    <mergeCell ref="B44:B45"/>
    <mergeCell ref="C44:C45"/>
    <mergeCell ref="D39:D41"/>
  </mergeCells>
  <conditionalFormatting sqref="L47">
    <cfRule type="cellIs" dxfId="1404" priority="33" operator="notEqual">
      <formula>$L$49</formula>
    </cfRule>
    <cfRule type="cellIs" dxfId="1403" priority="34" operator="equal">
      <formula>$L$49</formula>
    </cfRule>
  </conditionalFormatting>
  <conditionalFormatting sqref="M47">
    <cfRule type="cellIs" dxfId="1402" priority="31" operator="notEqual">
      <formula>$M$49</formula>
    </cfRule>
    <cfRule type="cellIs" dxfId="1401" priority="32" operator="equal">
      <formula>$M$49</formula>
    </cfRule>
  </conditionalFormatting>
  <conditionalFormatting sqref="N47">
    <cfRule type="cellIs" dxfId="1400" priority="29" operator="notEqual">
      <formula>$N$49</formula>
    </cfRule>
    <cfRule type="cellIs" dxfId="1399" priority="30" operator="equal">
      <formula>$N$49</formula>
    </cfRule>
  </conditionalFormatting>
  <conditionalFormatting sqref="O47">
    <cfRule type="cellIs" dxfId="1398" priority="27" operator="notEqual">
      <formula>$O$49</formula>
    </cfRule>
    <cfRule type="cellIs" dxfId="1397" priority="28" operator="equal">
      <formula>$O$49</formula>
    </cfRule>
  </conditionalFormatting>
  <conditionalFormatting sqref="P47">
    <cfRule type="cellIs" dxfId="1396" priority="25" operator="notEqual">
      <formula>$P$49</formula>
    </cfRule>
    <cfRule type="cellIs" dxfId="1395" priority="26" operator="equal">
      <formula>$P$49</formula>
    </cfRule>
  </conditionalFormatting>
  <conditionalFormatting sqref="Q47">
    <cfRule type="cellIs" dxfId="1394" priority="23" operator="notEqual">
      <formula>$Q$49</formula>
    </cfRule>
    <cfRule type="cellIs" dxfId="1393" priority="24" operator="equal">
      <formula>$Q$49</formula>
    </cfRule>
  </conditionalFormatting>
  <conditionalFormatting sqref="R47">
    <cfRule type="cellIs" dxfId="1392" priority="21" operator="notEqual">
      <formula>$R$49</formula>
    </cfRule>
    <cfRule type="cellIs" dxfId="1391" priority="22" operator="equal">
      <formula>$R$49</formula>
    </cfRule>
  </conditionalFormatting>
  <conditionalFormatting sqref="S47">
    <cfRule type="cellIs" dxfId="1390" priority="19" operator="notEqual">
      <formula>$S$49</formula>
    </cfRule>
    <cfRule type="cellIs" dxfId="1389" priority="20" operator="equal">
      <formula>$S$49</formula>
    </cfRule>
  </conditionalFormatting>
  <conditionalFormatting sqref="T47">
    <cfRule type="cellIs" dxfId="1388" priority="17" operator="notEqual">
      <formula>$T$49</formula>
    </cfRule>
    <cfRule type="cellIs" dxfId="1387" priority="18" operator="equal">
      <formula>$T$49</formula>
    </cfRule>
  </conditionalFormatting>
  <conditionalFormatting sqref="U47">
    <cfRule type="cellIs" dxfId="1386" priority="15" operator="notEqual">
      <formula>$U$49</formula>
    </cfRule>
    <cfRule type="cellIs" dxfId="1385" priority="16" operator="equal">
      <formula>$U$49</formula>
    </cfRule>
  </conditionalFormatting>
  <conditionalFormatting sqref="V47">
    <cfRule type="cellIs" dxfId="1384" priority="13" operator="notEqual">
      <formula>$V$49</formula>
    </cfRule>
    <cfRule type="cellIs" dxfId="1383" priority="14" operator="equal">
      <formula>$V$49</formula>
    </cfRule>
  </conditionalFormatting>
  <conditionalFormatting sqref="W47">
    <cfRule type="cellIs" dxfId="1382" priority="11" operator="notEqual">
      <formula>$W$49</formula>
    </cfRule>
    <cfRule type="cellIs" dxfId="1381" priority="12" operator="equal">
      <formula>$W$49</formula>
    </cfRule>
  </conditionalFormatting>
  <conditionalFormatting sqref="X47">
    <cfRule type="cellIs" dxfId="1380" priority="9" operator="notEqual">
      <formula>$X$49</formula>
    </cfRule>
    <cfRule type="cellIs" dxfId="1379" priority="10" operator="equal">
      <formula>$X$49</formula>
    </cfRule>
  </conditionalFormatting>
  <conditionalFormatting sqref="Y47">
    <cfRule type="cellIs" dxfId="1378" priority="7" operator="notEqual">
      <formula>$Y$49</formula>
    </cfRule>
    <cfRule type="cellIs" dxfId="1377" priority="8" operator="equal">
      <formula>$Y$49</formula>
    </cfRule>
  </conditionalFormatting>
  <conditionalFormatting sqref="Z47">
    <cfRule type="cellIs" dxfId="1376" priority="5" operator="notEqual">
      <formula>$Z$49</formula>
    </cfRule>
    <cfRule type="cellIs" dxfId="1375" priority="6" operator="equal">
      <formula>$Z$49</formula>
    </cfRule>
  </conditionalFormatting>
  <conditionalFormatting sqref="AA47">
    <cfRule type="cellIs" dxfId="1374" priority="3" operator="notEqual">
      <formula>$AA$49</formula>
    </cfRule>
    <cfRule type="cellIs" dxfId="1373" priority="4" operator="equal">
      <formula>$AA$49</formula>
    </cfRule>
  </conditionalFormatting>
  <conditionalFormatting sqref="AB47">
    <cfRule type="cellIs" dxfId="1372" priority="1" operator="notEqual">
      <formula>$AB$49</formula>
    </cfRule>
    <cfRule type="cellIs" dxfId="1371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6D931-75F2-4553-A1C9-94EA11FA3E90}">
  <dimension ref="A1:AB53"/>
  <sheetViews>
    <sheetView showGridLines="0" topLeftCell="S34" workbookViewId="0">
      <selection activeCell="AB47" sqref="AB47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0.85546875" style="9" bestFit="1" customWidth="1"/>
    <col min="14" max="14" width="10" style="9" bestFit="1" customWidth="1"/>
    <col min="15" max="15" width="11.140625" style="9" bestFit="1" customWidth="1"/>
    <col min="16" max="16" width="11.42578125" style="9" bestFit="1" customWidth="1"/>
    <col min="17" max="17" width="10.85546875" style="9" bestFit="1" customWidth="1"/>
    <col min="18" max="18" width="15" style="9" bestFit="1" customWidth="1"/>
    <col min="19" max="19" width="11.7109375" style="9" bestFit="1" customWidth="1"/>
    <col min="20" max="20" width="10" style="9" bestFit="1" customWidth="1"/>
    <col min="21" max="21" width="10.42578125" style="9" bestFit="1" customWidth="1"/>
    <col min="22" max="22" width="10" style="9" bestFit="1" customWidth="1"/>
    <col min="23" max="23" width="10.85546875" style="9" bestFit="1" customWidth="1"/>
    <col min="24" max="24" width="8" style="9" bestFit="1" customWidth="1"/>
    <col min="25" max="25" width="9.28515625" style="9" bestFit="1" customWidth="1"/>
    <col min="26" max="26" width="11" style="9" bestFit="1" customWidth="1"/>
    <col min="27" max="27" width="10" style="9" bestFit="1" customWidth="1"/>
    <col min="28" max="28" width="11.7109375" style="9" bestFit="1" customWidth="1"/>
    <col min="29" max="16384" width="9.140625" style="9"/>
  </cols>
  <sheetData>
    <row r="1" spans="1:28" ht="11.25" customHeight="1" x14ac:dyDescent="0.25">
      <c r="A1" s="126" t="s">
        <v>107</v>
      </c>
      <c r="B1" s="126" t="s">
        <v>108</v>
      </c>
      <c r="C1" s="126" t="s">
        <v>109</v>
      </c>
      <c r="D1" s="126" t="s">
        <v>110</v>
      </c>
      <c r="E1" s="126" t="s">
        <v>111</v>
      </c>
      <c r="F1" s="126" t="s">
        <v>15</v>
      </c>
      <c r="G1" s="126" t="s">
        <v>113</v>
      </c>
      <c r="H1" s="126" t="s">
        <v>114</v>
      </c>
      <c r="I1" s="126" t="s">
        <v>1040</v>
      </c>
      <c r="J1" s="114"/>
      <c r="L1" s="124" t="s">
        <v>1062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</row>
    <row r="2" spans="1:28" ht="11.25" customHeight="1" x14ac:dyDescent="0.25">
      <c r="A2" s="126"/>
      <c r="B2" s="126"/>
      <c r="C2" s="126"/>
      <c r="D2" s="126"/>
      <c r="E2" s="126"/>
      <c r="F2" s="126"/>
      <c r="G2" s="126"/>
      <c r="H2" s="126"/>
      <c r="I2" s="126"/>
      <c r="J2" s="114"/>
      <c r="L2" s="124" t="s">
        <v>979</v>
      </c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124"/>
    </row>
    <row r="3" spans="1:28" ht="11.25" customHeight="1" x14ac:dyDescent="0.25">
      <c r="A3" s="126"/>
      <c r="B3" s="126"/>
      <c r="C3" s="126"/>
      <c r="D3" s="126"/>
      <c r="E3" s="126"/>
      <c r="F3" s="126"/>
      <c r="G3" s="126"/>
      <c r="H3" s="126"/>
      <c r="I3" s="126"/>
      <c r="J3" s="114"/>
      <c r="L3" s="124" t="s">
        <v>952</v>
      </c>
      <c r="M3" s="124"/>
      <c r="N3" s="124"/>
      <c r="O3" s="124"/>
      <c r="P3" s="124"/>
      <c r="Q3" s="124"/>
      <c r="R3" s="124" t="s">
        <v>982</v>
      </c>
      <c r="S3" s="124"/>
      <c r="T3" s="124" t="s">
        <v>961</v>
      </c>
      <c r="U3" s="124"/>
      <c r="V3" s="124"/>
      <c r="W3" s="124"/>
      <c r="X3" s="124" t="s">
        <v>971</v>
      </c>
      <c r="Y3" s="124"/>
      <c r="Z3" s="124" t="s">
        <v>974</v>
      </c>
      <c r="AA3" s="124"/>
      <c r="AB3" s="124" t="s">
        <v>960</v>
      </c>
    </row>
    <row r="4" spans="1:28" ht="11.25" customHeight="1" x14ac:dyDescent="0.25">
      <c r="A4" s="126"/>
      <c r="B4" s="126"/>
      <c r="C4" s="126"/>
      <c r="D4" s="126"/>
      <c r="E4" s="126"/>
      <c r="F4" s="126"/>
      <c r="G4" s="126"/>
      <c r="H4" s="126"/>
      <c r="I4" s="126"/>
      <c r="J4" s="114"/>
      <c r="L4" s="49" t="s">
        <v>954</v>
      </c>
      <c r="M4" s="49" t="s">
        <v>980</v>
      </c>
      <c r="N4" s="49" t="s">
        <v>981</v>
      </c>
      <c r="O4" s="49" t="s">
        <v>1039</v>
      </c>
      <c r="P4" s="49" t="s">
        <v>1613</v>
      </c>
      <c r="Q4" s="49" t="s">
        <v>960</v>
      </c>
      <c r="R4" s="49" t="s">
        <v>983</v>
      </c>
      <c r="S4" s="49" t="s">
        <v>960</v>
      </c>
      <c r="T4" s="49" t="s">
        <v>984</v>
      </c>
      <c r="U4" s="49" t="s">
        <v>985</v>
      </c>
      <c r="V4" s="49" t="s">
        <v>986</v>
      </c>
      <c r="W4" s="49" t="s">
        <v>960</v>
      </c>
      <c r="X4" s="49" t="s">
        <v>972</v>
      </c>
      <c r="Y4" s="49" t="s">
        <v>960</v>
      </c>
      <c r="Z4" s="49" t="s">
        <v>987</v>
      </c>
      <c r="AA4" s="49" t="s">
        <v>960</v>
      </c>
      <c r="AB4" s="125"/>
    </row>
    <row r="5" spans="1:28" ht="11.25" customHeight="1" x14ac:dyDescent="0.25">
      <c r="A5" s="127" t="s">
        <v>59</v>
      </c>
      <c r="B5" s="127" t="s">
        <v>116</v>
      </c>
      <c r="C5" s="127" t="s">
        <v>25</v>
      </c>
      <c r="D5" s="127" t="s">
        <v>25</v>
      </c>
      <c r="E5" s="127" t="s">
        <v>25</v>
      </c>
      <c r="F5" s="127" t="s">
        <v>25</v>
      </c>
      <c r="G5" s="45" t="s">
        <v>118</v>
      </c>
      <c r="H5" s="45" t="s">
        <v>117</v>
      </c>
      <c r="I5" s="45">
        <f>'MERCADO TE'!$U$2</f>
        <v>0</v>
      </c>
      <c r="J5" s="16"/>
      <c r="L5" s="43">
        <f>'TE BE'!$L$5*'TE BF'!$L$52</f>
        <v>0</v>
      </c>
      <c r="M5" s="43">
        <f>'TE BE'!$M$5*'TE BF'!$M$52</f>
        <v>13.916452005984803</v>
      </c>
      <c r="N5" s="43">
        <f>'TE BE'!$N$5*'TE BF'!$N$52</f>
        <v>0</v>
      </c>
      <c r="O5" s="43">
        <f>'TE BE'!$O$5*'TE BF'!$O$52</f>
        <v>0.71929282055030019</v>
      </c>
      <c r="P5" s="43">
        <f>'TE BE'!$P$5*'TE BF'!$P$52</f>
        <v>0</v>
      </c>
      <c r="Q5" s="43">
        <f>SUM($L$5:$P$5)</f>
        <v>14.635744826535104</v>
      </c>
      <c r="R5" s="43">
        <f>'TE BE'!$R$5*'TE BF'!$R$52</f>
        <v>32.07207327928672</v>
      </c>
      <c r="S5" s="43">
        <f>SUM($R$5:$R$5)</f>
        <v>32.07207327928672</v>
      </c>
      <c r="T5" s="43">
        <f>'TE BE'!$T$5*'TE BF'!$T$52</f>
        <v>-0.33755695463303104</v>
      </c>
      <c r="U5" s="43">
        <f>'TE BE'!$U$5*'TE BF'!$U$52</f>
        <v>0.23893302339418876</v>
      </c>
      <c r="V5" s="43">
        <f>'TE BE'!$V$5*'TE BF'!$V$52</f>
        <v>0</v>
      </c>
      <c r="W5" s="43">
        <f>SUM($T$5:$V$5)</f>
        <v>-9.8623931238842277E-2</v>
      </c>
      <c r="X5" s="43">
        <f>'TE BE'!$AB$5*'TE BF'!$X$52</f>
        <v>0</v>
      </c>
      <c r="Y5" s="43">
        <f>SUM($X$5:$X$5)</f>
        <v>0</v>
      </c>
      <c r="Z5" s="43">
        <f>'TE BE'!$Z$5*'TE BF'!$Z$52</f>
        <v>9.3413667654986071E-2</v>
      </c>
      <c r="AA5" s="43">
        <f>SUM($Z$5:$Z$5)</f>
        <v>9.3413667654986071E-2</v>
      </c>
      <c r="AB5" s="43">
        <f>SUMIF($L$4:$AA$4,"SUBTOTAL",$L$5:$AA$5)</f>
        <v>46.702607842237967</v>
      </c>
    </row>
    <row r="6" spans="1:28" ht="11.25" customHeight="1" x14ac:dyDescent="0.25">
      <c r="A6" s="127"/>
      <c r="B6" s="127"/>
      <c r="C6" s="127"/>
      <c r="D6" s="127"/>
      <c r="E6" s="127"/>
      <c r="F6" s="127"/>
      <c r="G6" s="45" t="s">
        <v>119</v>
      </c>
      <c r="H6" s="45" t="s">
        <v>117</v>
      </c>
      <c r="I6" s="45">
        <f>'MERCADO TE'!$U$3</f>
        <v>0</v>
      </c>
      <c r="J6" s="16"/>
      <c r="L6" s="43">
        <f>'TE BE'!$L$6*'TE BF'!$L$52</f>
        <v>0</v>
      </c>
      <c r="M6" s="43">
        <f>'TE BE'!$M$6*'TE BF'!$M$52</f>
        <v>13.916452005984803</v>
      </c>
      <c r="N6" s="43">
        <f>'TE BE'!$N$6*'TE BF'!$N$52</f>
        <v>0</v>
      </c>
      <c r="O6" s="43">
        <f>'TE BE'!$O$6*'TE BF'!$O$52</f>
        <v>0.71929282055030019</v>
      </c>
      <c r="P6" s="43">
        <f>'TE BE'!$P$6*'TE BF'!$P$52</f>
        <v>0</v>
      </c>
      <c r="Q6" s="43">
        <f>SUM($L$6:$P$6)</f>
        <v>14.635744826535104</v>
      </c>
      <c r="R6" s="43">
        <f>'TE BE'!$R$6*'TE BF'!$R$52</f>
        <v>18.646554232143441</v>
      </c>
      <c r="S6" s="43">
        <f>SUM($R$6:$R$6)</f>
        <v>18.646554232143441</v>
      </c>
      <c r="T6" s="43">
        <f>'TE BE'!$T$6*'TE BF'!$T$52</f>
        <v>-0.33755695463303104</v>
      </c>
      <c r="U6" s="43">
        <f>'TE BE'!$U$6*'TE BF'!$U$52</f>
        <v>0.23893302339418876</v>
      </c>
      <c r="V6" s="43">
        <f>'TE BE'!$V$6*'TE BF'!$V$52</f>
        <v>0</v>
      </c>
      <c r="W6" s="43">
        <f>SUM($T$6:$V$6)</f>
        <v>-9.8623931238842277E-2</v>
      </c>
      <c r="X6" s="43">
        <f>'TE BE'!$AB$6*'TE BF'!$X$52</f>
        <v>0</v>
      </c>
      <c r="Y6" s="43">
        <f>SUM($X$6:$X$6)</f>
        <v>0</v>
      </c>
      <c r="Z6" s="43">
        <f>'TE BE'!$Z$6*'TE BF'!$Z$52</f>
        <v>9.3413667654986071E-2</v>
      </c>
      <c r="AA6" s="43">
        <f>SUM($Z$6:$Z$6)</f>
        <v>9.3413667654986071E-2</v>
      </c>
      <c r="AB6" s="43">
        <f>SUMIF($L$4:$AA$4,"SUBTOTAL",$L$6:$AA$6)</f>
        <v>33.277088795094691</v>
      </c>
    </row>
    <row r="7" spans="1:28" ht="11.25" customHeight="1" x14ac:dyDescent="0.25">
      <c r="A7" s="127" t="s">
        <v>39</v>
      </c>
      <c r="B7" s="127" t="s">
        <v>116</v>
      </c>
      <c r="C7" s="127" t="s">
        <v>25</v>
      </c>
      <c r="D7" s="127" t="s">
        <v>25</v>
      </c>
      <c r="E7" s="127" t="s">
        <v>25</v>
      </c>
      <c r="F7" s="127" t="s">
        <v>25</v>
      </c>
      <c r="G7" s="45" t="s">
        <v>118</v>
      </c>
      <c r="H7" s="45" t="s">
        <v>117</v>
      </c>
      <c r="I7" s="45">
        <f>'MERCADO TE'!$U$4</f>
        <v>174.774</v>
      </c>
      <c r="J7" s="16"/>
      <c r="L7" s="43">
        <f>'TE BE'!$L$7*'TE BF'!$L$52</f>
        <v>0</v>
      </c>
      <c r="M7" s="43">
        <f>'TE BE'!$M$7*'TE BF'!$M$52</f>
        <v>13.916452005984803</v>
      </c>
      <c r="N7" s="43">
        <f>'TE BE'!$N$7*'TE BF'!$N$52</f>
        <v>0</v>
      </c>
      <c r="O7" s="43">
        <f>'TE BE'!$O$7*'TE BF'!$O$52</f>
        <v>0.71929282055030019</v>
      </c>
      <c r="P7" s="43">
        <f>'TE BE'!$P$7*'TE BF'!$P$52</f>
        <v>0</v>
      </c>
      <c r="Q7" s="43">
        <f>SUM($L$7:$P$7)</f>
        <v>14.635744826535104</v>
      </c>
      <c r="R7" s="43">
        <f>'TE BE'!$R$7*'TE BF'!$R$52</f>
        <v>32.07207327928672</v>
      </c>
      <c r="S7" s="43">
        <f>SUM($R$7:$R$7)</f>
        <v>32.07207327928672</v>
      </c>
      <c r="T7" s="43">
        <f>'TE BE'!$T$7*'TE BF'!$T$52</f>
        <v>-0.33755695463303104</v>
      </c>
      <c r="U7" s="43">
        <f>'TE BE'!$U$7*'TE BF'!$U$52</f>
        <v>0.23893302339418876</v>
      </c>
      <c r="V7" s="43">
        <f>'TE BE'!$V$7*'TE BF'!$V$52</f>
        <v>0</v>
      </c>
      <c r="W7" s="43">
        <f>SUM($T$7:$V$7)</f>
        <v>-9.8623931238842277E-2</v>
      </c>
      <c r="X7" s="43">
        <f>'TE BE'!$AB$7*'TE BF'!$X$52</f>
        <v>0</v>
      </c>
      <c r="Y7" s="43">
        <f>SUM($X$7:$X$7)</f>
        <v>0</v>
      </c>
      <c r="Z7" s="43">
        <f>'TE BE'!$Z$7*'TE BF'!$Z$52</f>
        <v>9.3413667654986071E-2</v>
      </c>
      <c r="AA7" s="43">
        <f>SUM($Z$7:$Z$7)</f>
        <v>9.3413667654986071E-2</v>
      </c>
      <c r="AB7" s="43">
        <f>SUMIF($L$4:$AA$4,"SUBTOTAL",$L$7:$AA$7)</f>
        <v>46.702607842237967</v>
      </c>
    </row>
    <row r="8" spans="1:28" ht="11.25" customHeight="1" x14ac:dyDescent="0.25">
      <c r="A8" s="127"/>
      <c r="B8" s="127"/>
      <c r="C8" s="127"/>
      <c r="D8" s="127"/>
      <c r="E8" s="127"/>
      <c r="F8" s="127"/>
      <c r="G8" s="45" t="s">
        <v>119</v>
      </c>
      <c r="H8" s="45" t="s">
        <v>117</v>
      </c>
      <c r="I8" s="45">
        <f>'MERCADO TE'!$U$5</f>
        <v>1762.346</v>
      </c>
      <c r="J8" s="16"/>
      <c r="L8" s="43">
        <f>'TE BE'!$L$8*'TE BF'!$L$52</f>
        <v>0</v>
      </c>
      <c r="M8" s="43">
        <f>'TE BE'!$M$8*'TE BF'!$M$52</f>
        <v>13.916452005984803</v>
      </c>
      <c r="N8" s="43">
        <f>'TE BE'!$N$8*'TE BF'!$N$52</f>
        <v>0</v>
      </c>
      <c r="O8" s="43">
        <f>'TE BE'!$O$8*'TE BF'!$O$52</f>
        <v>0.71929282055030019</v>
      </c>
      <c r="P8" s="43">
        <f>'TE BE'!$P$8*'TE BF'!$P$52</f>
        <v>0</v>
      </c>
      <c r="Q8" s="43">
        <f>SUM($L$8:$P$8)</f>
        <v>14.635744826535104</v>
      </c>
      <c r="R8" s="43">
        <f>'TE BE'!$R$8*'TE BF'!$R$52</f>
        <v>18.646554232143441</v>
      </c>
      <c r="S8" s="43">
        <f>SUM($R$8:$R$8)</f>
        <v>18.646554232143441</v>
      </c>
      <c r="T8" s="43">
        <f>'TE BE'!$T$8*'TE BF'!$T$52</f>
        <v>-0.33755695463303104</v>
      </c>
      <c r="U8" s="43">
        <f>'TE BE'!$U$8*'TE BF'!$U$52</f>
        <v>0.23893302339418876</v>
      </c>
      <c r="V8" s="43">
        <f>'TE BE'!$V$8*'TE BF'!$V$52</f>
        <v>0</v>
      </c>
      <c r="W8" s="43">
        <f>SUM($T$8:$V$8)</f>
        <v>-9.8623931238842277E-2</v>
      </c>
      <c r="X8" s="43">
        <f>'TE BE'!$AB$8*'TE BF'!$X$52</f>
        <v>0</v>
      </c>
      <c r="Y8" s="43">
        <f>SUM($X$8:$X$8)</f>
        <v>0</v>
      </c>
      <c r="Z8" s="43">
        <f>'TE BE'!$Z$8*'TE BF'!$Z$52</f>
        <v>9.3413667654986071E-2</v>
      </c>
      <c r="AA8" s="43">
        <f>SUM($Z$8:$Z$8)</f>
        <v>9.3413667654986071E-2</v>
      </c>
      <c r="AB8" s="43">
        <f>SUMIF($L$4:$AA$4,"SUBTOTAL",$L$8:$AA$8)</f>
        <v>33.277088795094691</v>
      </c>
    </row>
    <row r="9" spans="1:28" ht="11.25" customHeight="1" x14ac:dyDescent="0.25">
      <c r="A9" s="127" t="s">
        <v>41</v>
      </c>
      <c r="B9" s="127" t="s">
        <v>116</v>
      </c>
      <c r="C9" s="127" t="s">
        <v>25</v>
      </c>
      <c r="D9" s="127" t="s">
        <v>25</v>
      </c>
      <c r="E9" s="127" t="s">
        <v>25</v>
      </c>
      <c r="F9" s="127" t="s">
        <v>25</v>
      </c>
      <c r="G9" s="45" t="s">
        <v>118</v>
      </c>
      <c r="H9" s="45" t="s">
        <v>117</v>
      </c>
      <c r="I9" s="45">
        <f>'MERCADO TE'!$U$6</f>
        <v>7308.0869999999995</v>
      </c>
      <c r="J9" s="16"/>
      <c r="L9" s="43">
        <f>'TE BE'!$L$9*'TE BF'!$L$52</f>
        <v>0</v>
      </c>
      <c r="M9" s="43">
        <f>'TE BE'!$M$9*'TE BF'!$M$52</f>
        <v>13.916452005984803</v>
      </c>
      <c r="N9" s="43">
        <f>'TE BE'!$N$9*'TE BF'!$N$52</f>
        <v>0</v>
      </c>
      <c r="O9" s="43">
        <f>'TE BE'!$O$9*'TE BF'!$O$52</f>
        <v>0.71929282055030019</v>
      </c>
      <c r="P9" s="43">
        <f>'TE BE'!$P$9*'TE BF'!$P$52</f>
        <v>0</v>
      </c>
      <c r="Q9" s="43">
        <f>SUM($L$9:$P$9)</f>
        <v>14.635744826535104</v>
      </c>
      <c r="R9" s="43">
        <f>'TE BE'!$R$9*'TE BF'!$R$52</f>
        <v>32.07207327928672</v>
      </c>
      <c r="S9" s="43">
        <f>SUM($R$9:$R$9)</f>
        <v>32.07207327928672</v>
      </c>
      <c r="T9" s="43">
        <f>'TE BE'!$T$9*'TE BF'!$T$52</f>
        <v>-0.33755695463303104</v>
      </c>
      <c r="U9" s="43">
        <f>'TE BE'!$U$9*'TE BF'!$U$52</f>
        <v>0.23893302339418876</v>
      </c>
      <c r="V9" s="43">
        <f>'TE BE'!$V$9*'TE BF'!$V$52</f>
        <v>0</v>
      </c>
      <c r="W9" s="43">
        <f>SUM($T$9:$V$9)</f>
        <v>-9.8623931238842277E-2</v>
      </c>
      <c r="X9" s="43">
        <f>'TE BE'!$AB$9*'TE BF'!$X$52</f>
        <v>0</v>
      </c>
      <c r="Y9" s="43">
        <f>SUM($X$9:$X$9)</f>
        <v>0</v>
      </c>
      <c r="Z9" s="43">
        <f>'TE BE'!$Z$9*'TE BF'!$Z$52</f>
        <v>9.3413667654986071E-2</v>
      </c>
      <c r="AA9" s="43">
        <f>SUM($Z$9:$Z$9)</f>
        <v>9.3413667654986071E-2</v>
      </c>
      <c r="AB9" s="43">
        <f>SUMIF($L$4:$AA$4,"SUBTOTAL",$L$9:$AA$9)</f>
        <v>46.702607842237967</v>
      </c>
    </row>
    <row r="10" spans="1:28" ht="11.25" customHeight="1" x14ac:dyDescent="0.25">
      <c r="A10" s="127"/>
      <c r="B10" s="127"/>
      <c r="C10" s="127"/>
      <c r="D10" s="127"/>
      <c r="E10" s="127"/>
      <c r="F10" s="127"/>
      <c r="G10" s="45" t="s">
        <v>119</v>
      </c>
      <c r="H10" s="45" t="s">
        <v>117</v>
      </c>
      <c r="I10" s="45">
        <f>'MERCADO TE'!$U$7</f>
        <v>130195.47900000001</v>
      </c>
      <c r="J10" s="16"/>
      <c r="L10" s="43">
        <f>'TE BE'!$L$10*'TE BF'!$L$52</f>
        <v>0</v>
      </c>
      <c r="M10" s="43">
        <f>'TE BE'!$M$10*'TE BF'!$M$52</f>
        <v>13.916452005984803</v>
      </c>
      <c r="N10" s="43">
        <f>'TE BE'!$N$10*'TE BF'!$N$52</f>
        <v>0</v>
      </c>
      <c r="O10" s="43">
        <f>'TE BE'!$O$10*'TE BF'!$O$52</f>
        <v>0.71929282055030019</v>
      </c>
      <c r="P10" s="43">
        <f>'TE BE'!$P$10*'TE BF'!$P$52</f>
        <v>0</v>
      </c>
      <c r="Q10" s="43">
        <f>SUM($L$10:$P$10)</f>
        <v>14.635744826535104</v>
      </c>
      <c r="R10" s="43">
        <f>'TE BE'!$R$10*'TE BF'!$R$52</f>
        <v>18.646554232143441</v>
      </c>
      <c r="S10" s="43">
        <f>SUM($R$10:$R$10)</f>
        <v>18.646554232143441</v>
      </c>
      <c r="T10" s="43">
        <f>'TE BE'!$T$10*'TE BF'!$T$52</f>
        <v>-0.33755695463303104</v>
      </c>
      <c r="U10" s="43">
        <f>'TE BE'!$U$10*'TE BF'!$U$52</f>
        <v>0.23893302339418876</v>
      </c>
      <c r="V10" s="43">
        <f>'TE BE'!$V$10*'TE BF'!$V$52</f>
        <v>0</v>
      </c>
      <c r="W10" s="43">
        <f>SUM($T$10:$V$10)</f>
        <v>-9.8623931238842277E-2</v>
      </c>
      <c r="X10" s="43">
        <f>'TE BE'!$AB$10*'TE BF'!$X$52</f>
        <v>0</v>
      </c>
      <c r="Y10" s="43">
        <f>SUM($X$10:$X$10)</f>
        <v>0</v>
      </c>
      <c r="Z10" s="43">
        <f>'TE BE'!$Z$10*'TE BF'!$Z$52</f>
        <v>9.3413667654986071E-2</v>
      </c>
      <c r="AA10" s="43">
        <f>SUM($Z$10:$Z$10)</f>
        <v>9.3413667654986071E-2</v>
      </c>
      <c r="AB10" s="43">
        <f>SUMIF($L$4:$AA$4,"SUBTOTAL",$L$10:$AA$10)</f>
        <v>33.277088795094691</v>
      </c>
    </row>
    <row r="11" spans="1:28" ht="11.25" customHeight="1" x14ac:dyDescent="0.25">
      <c r="A11" s="127" t="s">
        <v>22</v>
      </c>
      <c r="B11" s="127" t="s">
        <v>116</v>
      </c>
      <c r="C11" s="127" t="s">
        <v>24</v>
      </c>
      <c r="D11" s="127" t="s">
        <v>24</v>
      </c>
      <c r="E11" s="127" t="s">
        <v>25</v>
      </c>
      <c r="F11" s="127" t="s">
        <v>25</v>
      </c>
      <c r="G11" s="45" t="s">
        <v>118</v>
      </c>
      <c r="H11" s="45" t="s">
        <v>117</v>
      </c>
      <c r="I11" s="45">
        <f>'MERCADO TE'!$U$8</f>
        <v>17.429000000000002</v>
      </c>
      <c r="J11" s="16"/>
      <c r="L11" s="43">
        <f>'TE BE'!$L$11*'TE BF'!$L$52</f>
        <v>0</v>
      </c>
      <c r="M11" s="43">
        <f>'TE BE'!$M$11*'TE BF'!$M$52</f>
        <v>13.916452005984803</v>
      </c>
      <c r="N11" s="43">
        <f>'TE BE'!$N$11*'TE BF'!$N$52</f>
        <v>0</v>
      </c>
      <c r="O11" s="43">
        <f>'TE BE'!$O$11*'TE BF'!$O$52</f>
        <v>0.71929282055030019</v>
      </c>
      <c r="P11" s="43">
        <f>'TE BE'!$P$11*'TE BF'!$P$52</f>
        <v>0</v>
      </c>
      <c r="Q11" s="43">
        <f>SUM($L$11:$P$11)</f>
        <v>14.635744826535104</v>
      </c>
      <c r="R11" s="43">
        <f>'TE BE'!$R$11*'TE BF'!$R$52</f>
        <v>32.07207327928672</v>
      </c>
      <c r="S11" s="43">
        <f>SUM($R$11:$R$11)</f>
        <v>32.07207327928672</v>
      </c>
      <c r="T11" s="43">
        <f>'TE BE'!$T$11*'TE BF'!$T$52</f>
        <v>-0.33755695463303104</v>
      </c>
      <c r="U11" s="43">
        <f>'TE BE'!$U$11*'TE BF'!$U$52</f>
        <v>0.23893302339418876</v>
      </c>
      <c r="V11" s="43">
        <f>'TE BE'!$V$11*'TE BF'!$V$52</f>
        <v>0</v>
      </c>
      <c r="W11" s="43">
        <f>SUM($T$11:$V$11)</f>
        <v>-9.8623931238842277E-2</v>
      </c>
      <c r="X11" s="43">
        <f>'TE BE'!$AB$11*'TE BF'!$X$52</f>
        <v>0</v>
      </c>
      <c r="Y11" s="43">
        <f>SUM($X$11:$X$11)</f>
        <v>0</v>
      </c>
      <c r="Z11" s="43">
        <f>'TE BE'!$Z$11*'TE BF'!$Z$52</f>
        <v>9.3413667654986071E-2</v>
      </c>
      <c r="AA11" s="43">
        <f>SUM($Z$11:$Z$11)</f>
        <v>9.3413667654986071E-2</v>
      </c>
      <c r="AB11" s="43">
        <f>SUMIF($L$4:$AA$4,"SUBTOTAL",$L$11:$AA$11)</f>
        <v>46.702607842237967</v>
      </c>
    </row>
    <row r="12" spans="1:28" ht="11.25" customHeight="1" x14ac:dyDescent="0.25">
      <c r="A12" s="127"/>
      <c r="B12" s="127"/>
      <c r="C12" s="127"/>
      <c r="D12" s="127"/>
      <c r="E12" s="127"/>
      <c r="F12" s="127"/>
      <c r="G12" s="45" t="s">
        <v>128</v>
      </c>
      <c r="H12" s="45" t="s">
        <v>117</v>
      </c>
      <c r="I12" s="45">
        <f>'MERCADO TE'!$U$9</f>
        <v>10.807000000000002</v>
      </c>
      <c r="J12" s="16"/>
      <c r="L12" s="43">
        <f>'TE BE'!$L$12*'TE BF'!$L$52</f>
        <v>0</v>
      </c>
      <c r="M12" s="43">
        <f>'TE BE'!$M$12*'TE BF'!$M$52</f>
        <v>13.916452005984803</v>
      </c>
      <c r="N12" s="43">
        <f>'TE BE'!$N$12*'TE BF'!$N$52</f>
        <v>0</v>
      </c>
      <c r="O12" s="43">
        <f>'TE BE'!$O$12*'TE BF'!$O$52</f>
        <v>0.71929282055030019</v>
      </c>
      <c r="P12" s="43">
        <f>'TE BE'!$P$12*'TE BF'!$P$52</f>
        <v>0</v>
      </c>
      <c r="Q12" s="43">
        <f>SUM($L$12:$P$12)</f>
        <v>14.635744826535104</v>
      </c>
      <c r="R12" s="43">
        <f>'TE BE'!$R$12*'TE BF'!$R$52</f>
        <v>18.646554232143441</v>
      </c>
      <c r="S12" s="43">
        <f>SUM($R$12:$R$12)</f>
        <v>18.646554232143441</v>
      </c>
      <c r="T12" s="43">
        <f>'TE BE'!$T$12*'TE BF'!$T$52</f>
        <v>-0.33755695463303104</v>
      </c>
      <c r="U12" s="43">
        <f>'TE BE'!$U$12*'TE BF'!$U$52</f>
        <v>0.23893302339418876</v>
      </c>
      <c r="V12" s="43">
        <f>'TE BE'!$V$12*'TE BF'!$V$52</f>
        <v>0</v>
      </c>
      <c r="W12" s="43">
        <f>SUM($T$12:$V$12)</f>
        <v>-9.8623931238842277E-2</v>
      </c>
      <c r="X12" s="43">
        <f>'TE BE'!$AB$12*'TE BF'!$X$52</f>
        <v>0</v>
      </c>
      <c r="Y12" s="43">
        <f>SUM($X$12:$X$12)</f>
        <v>0</v>
      </c>
      <c r="Z12" s="43">
        <f>'TE BE'!$Z$12*'TE BF'!$Z$52</f>
        <v>9.3413667654986071E-2</v>
      </c>
      <c r="AA12" s="43">
        <f>SUM($Z$12:$Z$12)</f>
        <v>9.3413667654986071E-2</v>
      </c>
      <c r="AB12" s="43">
        <f>SUMIF($L$4:$AA$4,"SUBTOTAL",$L$12:$AA$12)</f>
        <v>33.277088795094691</v>
      </c>
    </row>
    <row r="13" spans="1:28" ht="11.25" customHeight="1" x14ac:dyDescent="0.25">
      <c r="A13" s="127"/>
      <c r="B13" s="127"/>
      <c r="C13" s="127"/>
      <c r="D13" s="127"/>
      <c r="E13" s="127"/>
      <c r="F13" s="127"/>
      <c r="G13" s="45" t="s">
        <v>119</v>
      </c>
      <c r="H13" s="45" t="s">
        <v>117</v>
      </c>
      <c r="I13" s="45">
        <f>'MERCADO TE'!$U$10</f>
        <v>120.55500000000001</v>
      </c>
      <c r="J13" s="16"/>
      <c r="L13" s="43">
        <f>'TE BE'!$L$13*'TE BF'!$L$52</f>
        <v>0</v>
      </c>
      <c r="M13" s="43">
        <f>'TE BE'!$M$13*'TE BF'!$M$52</f>
        <v>13.916452005984803</v>
      </c>
      <c r="N13" s="43">
        <f>'TE BE'!$N$13*'TE BF'!$N$52</f>
        <v>0</v>
      </c>
      <c r="O13" s="43">
        <f>'TE BE'!$O$13*'TE BF'!$O$52</f>
        <v>0.71929282055030019</v>
      </c>
      <c r="P13" s="43">
        <f>'TE BE'!$P$13*'TE BF'!$P$52</f>
        <v>0</v>
      </c>
      <c r="Q13" s="43">
        <f>SUM($L$13:$P$13)</f>
        <v>14.635744826535104</v>
      </c>
      <c r="R13" s="43">
        <f>'TE BE'!$R$13*'TE BF'!$R$52</f>
        <v>18.646554232143441</v>
      </c>
      <c r="S13" s="43">
        <f>SUM($R$13:$R$13)</f>
        <v>18.646554232143441</v>
      </c>
      <c r="T13" s="43">
        <f>'TE BE'!$T$13*'TE BF'!$T$52</f>
        <v>-0.33755695463303104</v>
      </c>
      <c r="U13" s="43">
        <f>'TE BE'!$U$13*'TE BF'!$U$52</f>
        <v>0.23893302339418876</v>
      </c>
      <c r="V13" s="43">
        <f>'TE BE'!$V$13*'TE BF'!$V$52</f>
        <v>0</v>
      </c>
      <c r="W13" s="43">
        <f>SUM($T$13:$V$13)</f>
        <v>-9.8623931238842277E-2</v>
      </c>
      <c r="X13" s="43">
        <f>'TE BE'!$AB$13*'TE BF'!$X$52</f>
        <v>0</v>
      </c>
      <c r="Y13" s="43">
        <f>SUM($X$13:$X$13)</f>
        <v>0</v>
      </c>
      <c r="Z13" s="43">
        <f>'TE BE'!$Z$13*'TE BF'!$Z$52</f>
        <v>9.3413667654986071E-2</v>
      </c>
      <c r="AA13" s="43">
        <f>SUM($Z$13:$Z$13)</f>
        <v>9.3413667654986071E-2</v>
      </c>
      <c r="AB13" s="43">
        <f>SUMIF($L$4:$AA$4,"SUBTOTAL",$L$13:$AA$13)</f>
        <v>33.277088795094691</v>
      </c>
    </row>
    <row r="14" spans="1:28" ht="11.25" customHeight="1" x14ac:dyDescent="0.25">
      <c r="A14" s="127"/>
      <c r="B14" s="127" t="s">
        <v>129</v>
      </c>
      <c r="C14" s="127" t="s">
        <v>24</v>
      </c>
      <c r="D14" s="51" t="s">
        <v>24</v>
      </c>
      <c r="E14" s="51" t="s">
        <v>25</v>
      </c>
      <c r="F14" s="51" t="s">
        <v>25</v>
      </c>
      <c r="G14" s="45" t="s">
        <v>123</v>
      </c>
      <c r="H14" s="45" t="s">
        <v>117</v>
      </c>
      <c r="I14" s="45">
        <f>'MERCADO TE'!$U$11</f>
        <v>426447.22100000002</v>
      </c>
      <c r="J14" s="16"/>
      <c r="L14" s="43">
        <f>'TE BE'!$L$14*'TE BF'!$L$52</f>
        <v>0</v>
      </c>
      <c r="M14" s="43">
        <f>'TE BE'!$M$14*'TE BF'!$M$52</f>
        <v>13.916452005984803</v>
      </c>
      <c r="N14" s="43">
        <f>'TE BE'!$N$14*'TE BF'!$N$52</f>
        <v>0</v>
      </c>
      <c r="O14" s="43">
        <f>'TE BE'!$O$14*'TE BF'!$O$52</f>
        <v>0.71929282055030019</v>
      </c>
      <c r="P14" s="43">
        <f>'TE BE'!$P$14*'TE BF'!$P$52</f>
        <v>0</v>
      </c>
      <c r="Q14" s="43">
        <f>SUM($L$14:$P$14)</f>
        <v>14.635744826535104</v>
      </c>
      <c r="R14" s="43">
        <f>'TE BE'!$R$14*'TE BF'!$R$52</f>
        <v>19.765347486072049</v>
      </c>
      <c r="S14" s="43">
        <f>SUM($R$14:$R$14)</f>
        <v>19.765347486072049</v>
      </c>
      <c r="T14" s="43">
        <f>'TE BE'!$T$14*'TE BF'!$T$52</f>
        <v>-0.33755695463303104</v>
      </c>
      <c r="U14" s="43">
        <f>'TE BE'!$U$14*'TE BF'!$U$52</f>
        <v>0.23893302339418876</v>
      </c>
      <c r="V14" s="43">
        <f>'TE BE'!$V$14*'TE BF'!$V$52</f>
        <v>0</v>
      </c>
      <c r="W14" s="43">
        <f>SUM($T$14:$V$14)</f>
        <v>-9.8623931238842277E-2</v>
      </c>
      <c r="X14" s="43">
        <f>'TE BE'!$AB$14*'TE BF'!$X$52</f>
        <v>0</v>
      </c>
      <c r="Y14" s="43">
        <f>SUM($X$14:$X$14)</f>
        <v>0</v>
      </c>
      <c r="Z14" s="43">
        <f>'TE BE'!$Z$14*'TE BF'!$Z$52</f>
        <v>9.3413667654986071E-2</v>
      </c>
      <c r="AA14" s="43">
        <f>SUM($Z$14:$Z$14)</f>
        <v>9.3413667654986071E-2</v>
      </c>
      <c r="AB14" s="43">
        <f>SUMIF($L$4:$AA$4,"SUBTOTAL",$L$14:$AA$14)</f>
        <v>34.395882049023299</v>
      </c>
    </row>
    <row r="15" spans="1:28" ht="11.25" customHeight="1" x14ac:dyDescent="0.25">
      <c r="A15" s="127"/>
      <c r="B15" s="127"/>
      <c r="C15" s="127"/>
      <c r="D15" s="51" t="s">
        <v>29</v>
      </c>
      <c r="E15" s="51" t="s">
        <v>25</v>
      </c>
      <c r="F15" s="51" t="s">
        <v>25</v>
      </c>
      <c r="G15" s="45" t="s">
        <v>123</v>
      </c>
      <c r="H15" s="45" t="s">
        <v>117</v>
      </c>
      <c r="I15" s="45">
        <f>'MERCADO TE'!$U$12</f>
        <v>31822.650999999998</v>
      </c>
      <c r="J15" s="16"/>
      <c r="L15" s="43">
        <f>'TE BE'!$L$15*'TE BF'!$L$52</f>
        <v>0</v>
      </c>
      <c r="M15" s="43">
        <f>'TE BE'!$M$15*'TE BF'!$M$52</f>
        <v>13.916452005984803</v>
      </c>
      <c r="N15" s="43">
        <f>'TE BE'!$N$15*'TE BF'!$N$52</f>
        <v>0</v>
      </c>
      <c r="O15" s="43">
        <f>'TE BE'!$O$15*'TE BF'!$O$52</f>
        <v>0.71929282055030019</v>
      </c>
      <c r="P15" s="43">
        <f>'TE BE'!$P$15*'TE BF'!$P$52</f>
        <v>0</v>
      </c>
      <c r="Q15" s="43">
        <f>SUM($L$15:$P$15)</f>
        <v>14.635744826535104</v>
      </c>
      <c r="R15" s="43">
        <f>'TE BE'!$R$15*'TE BF'!$R$52</f>
        <v>19.765347486072049</v>
      </c>
      <c r="S15" s="43">
        <f>SUM($R$15:$R$15)</f>
        <v>19.765347486072049</v>
      </c>
      <c r="T15" s="43">
        <f>'TE BE'!$T$15*'TE BF'!$T$52</f>
        <v>-0.33755695463303104</v>
      </c>
      <c r="U15" s="43">
        <f>'TE BE'!$U$15*'TE BF'!$U$52</f>
        <v>0.23893302339418876</v>
      </c>
      <c r="V15" s="43">
        <f>'TE BE'!$V$15*'TE BF'!$V$52</f>
        <v>0</v>
      </c>
      <c r="W15" s="43">
        <f>SUM($T$15:$V$15)</f>
        <v>-9.8623931238842277E-2</v>
      </c>
      <c r="X15" s="43">
        <f>'TE BE'!$AB$15*'TE BF'!$X$52</f>
        <v>0</v>
      </c>
      <c r="Y15" s="43">
        <f>SUM($X$15:$X$15)</f>
        <v>0</v>
      </c>
      <c r="Z15" s="43">
        <f>'TE BE'!$Z$15*'TE BF'!$Z$52</f>
        <v>9.3413667654986071E-2</v>
      </c>
      <c r="AA15" s="43">
        <f>SUM($Z$15:$Z$15)</f>
        <v>9.3413667654986071E-2</v>
      </c>
      <c r="AB15" s="43">
        <f>SUMIF($L$4:$AA$4,"SUBTOTAL",$L$15:$AA$15)</f>
        <v>34.395882049023299</v>
      </c>
    </row>
    <row r="16" spans="1:28" ht="11.25" customHeight="1" x14ac:dyDescent="0.25">
      <c r="A16" s="127"/>
      <c r="B16" s="127"/>
      <c r="C16" s="127"/>
      <c r="D16" s="51" t="s">
        <v>30</v>
      </c>
      <c r="E16" s="51" t="s">
        <v>25</v>
      </c>
      <c r="F16" s="51" t="s">
        <v>25</v>
      </c>
      <c r="G16" s="45" t="s">
        <v>123</v>
      </c>
      <c r="H16" s="45" t="s">
        <v>117</v>
      </c>
      <c r="I16" s="45">
        <f>'MERCADO TE'!$U$13</f>
        <v>61209.610999999997</v>
      </c>
      <c r="J16" s="16"/>
      <c r="L16" s="43">
        <f>'TE BE'!$L$16*'TE BF'!$L$52</f>
        <v>0</v>
      </c>
      <c r="M16" s="43">
        <f>'TE BE'!$M$16*'TE BF'!$M$52</f>
        <v>13.916452005984803</v>
      </c>
      <c r="N16" s="43">
        <f>'TE BE'!$N$16*'TE BF'!$N$52</f>
        <v>0</v>
      </c>
      <c r="O16" s="43">
        <f>'TE BE'!$O$16*'TE BF'!$O$52</f>
        <v>0.71929282055030019</v>
      </c>
      <c r="P16" s="43">
        <f>'TE BE'!$P$16*'TE BF'!$P$52</f>
        <v>0</v>
      </c>
      <c r="Q16" s="43">
        <f>SUM($L$16:$P$16)</f>
        <v>14.635744826535104</v>
      </c>
      <c r="R16" s="43">
        <f>'TE BE'!$R$16*'TE BF'!$R$52</f>
        <v>19.765347486072049</v>
      </c>
      <c r="S16" s="43">
        <f>SUM($R$16:$R$16)</f>
        <v>19.765347486072049</v>
      </c>
      <c r="T16" s="43">
        <f>'TE BE'!$T$16*'TE BF'!$T$52</f>
        <v>-0.33755695463303104</v>
      </c>
      <c r="U16" s="43">
        <f>'TE BE'!$U$16*'TE BF'!$U$52</f>
        <v>0.23893302339418876</v>
      </c>
      <c r="V16" s="43">
        <f>'TE BE'!$V$16*'TE BF'!$V$52</f>
        <v>0</v>
      </c>
      <c r="W16" s="43">
        <f>SUM($T$16:$V$16)</f>
        <v>-9.8623931238842277E-2</v>
      </c>
      <c r="X16" s="43">
        <f>'TE BE'!$AB$16*'TE BF'!$X$52</f>
        <v>0</v>
      </c>
      <c r="Y16" s="43">
        <f>SUM($X$16:$X$16)</f>
        <v>0</v>
      </c>
      <c r="Z16" s="43">
        <f>'TE BE'!$Z$16*'TE BF'!$Z$52</f>
        <v>9.3413667654986071E-2</v>
      </c>
      <c r="AA16" s="43">
        <f>SUM($Z$16:$Z$16)</f>
        <v>9.3413667654986071E-2</v>
      </c>
      <c r="AB16" s="43">
        <f>SUMIF($L$4:$AA$4,"SUBTOTAL",$L$16:$AA$16)</f>
        <v>34.395882049023299</v>
      </c>
    </row>
    <row r="17" spans="1:28" ht="11.25" customHeight="1" x14ac:dyDescent="0.25">
      <c r="A17" s="127"/>
      <c r="B17" s="127"/>
      <c r="C17" s="127"/>
      <c r="D17" s="51" t="s">
        <v>31</v>
      </c>
      <c r="E17" s="51" t="s">
        <v>25</v>
      </c>
      <c r="F17" s="51" t="s">
        <v>25</v>
      </c>
      <c r="G17" s="45" t="s">
        <v>123</v>
      </c>
      <c r="H17" s="45" t="s">
        <v>117</v>
      </c>
      <c r="I17" s="45">
        <f>'MERCADO TE'!$U$14</f>
        <v>39801.019999999997</v>
      </c>
      <c r="J17" s="16"/>
      <c r="L17" s="43">
        <f>'TE BE'!$L$17*'TE BF'!$L$52</f>
        <v>0</v>
      </c>
      <c r="M17" s="43">
        <f>'TE BE'!$M$17*'TE BF'!$M$52</f>
        <v>13.916452005984803</v>
      </c>
      <c r="N17" s="43">
        <f>'TE BE'!$N$17*'TE BF'!$N$52</f>
        <v>0</v>
      </c>
      <c r="O17" s="43">
        <f>'TE BE'!$O$17*'TE BF'!$O$52</f>
        <v>0.71929282055030019</v>
      </c>
      <c r="P17" s="43">
        <f>'TE BE'!$P$17*'TE BF'!$P$52</f>
        <v>0</v>
      </c>
      <c r="Q17" s="43">
        <f>SUM($L$17:$P$17)</f>
        <v>14.635744826535104</v>
      </c>
      <c r="R17" s="43">
        <f>'TE BE'!$R$17*'TE BF'!$R$52</f>
        <v>19.765347486072049</v>
      </c>
      <c r="S17" s="43">
        <f>SUM($R$17:$R$17)</f>
        <v>19.765347486072049</v>
      </c>
      <c r="T17" s="43">
        <f>'TE BE'!$T$17*'TE BF'!$T$52</f>
        <v>-0.33755695463303104</v>
      </c>
      <c r="U17" s="43">
        <f>'TE BE'!$U$17*'TE BF'!$U$52</f>
        <v>0.23893302339418876</v>
      </c>
      <c r="V17" s="43">
        <f>'TE BE'!$V$17*'TE BF'!$V$52</f>
        <v>0</v>
      </c>
      <c r="W17" s="43">
        <f>SUM($T$17:$V$17)</f>
        <v>-9.8623931238842277E-2</v>
      </c>
      <c r="X17" s="43">
        <f>'TE BE'!$AB$17*'TE BF'!$X$52</f>
        <v>0</v>
      </c>
      <c r="Y17" s="43">
        <f>SUM($X$17:$X$17)</f>
        <v>0</v>
      </c>
      <c r="Z17" s="43">
        <f>'TE BE'!$Z$17*'TE BF'!$Z$52</f>
        <v>9.3413667654986071E-2</v>
      </c>
      <c r="AA17" s="43">
        <f>SUM($Z$17:$Z$17)</f>
        <v>9.3413667654986071E-2</v>
      </c>
      <c r="AB17" s="43">
        <f>SUMIF($L$4:$AA$4,"SUBTOTAL",$L$17:$AA$17)</f>
        <v>34.395882049023299</v>
      </c>
    </row>
    <row r="18" spans="1:28" ht="11.25" customHeight="1" x14ac:dyDescent="0.25">
      <c r="A18" s="127"/>
      <c r="B18" s="127"/>
      <c r="C18" s="127"/>
      <c r="D18" s="51" t="s">
        <v>32</v>
      </c>
      <c r="E18" s="51" t="s">
        <v>25</v>
      </c>
      <c r="F18" s="51" t="s">
        <v>25</v>
      </c>
      <c r="G18" s="45" t="s">
        <v>123</v>
      </c>
      <c r="H18" s="45" t="s">
        <v>117</v>
      </c>
      <c r="I18" s="45">
        <f>'MERCADO TE'!$U$15</f>
        <v>7781.4139999999989</v>
      </c>
      <c r="J18" s="16"/>
      <c r="L18" s="43">
        <f>'TE BE'!$L$18*'TE BF'!$L$52</f>
        <v>0</v>
      </c>
      <c r="M18" s="43">
        <f>'TE BE'!$M$18*'TE BF'!$M$52</f>
        <v>13.916452005984803</v>
      </c>
      <c r="N18" s="43">
        <f>'TE BE'!$N$18*'TE BF'!$N$52</f>
        <v>0</v>
      </c>
      <c r="O18" s="43">
        <f>'TE BE'!$O$18*'TE BF'!$O$52</f>
        <v>0.71929282055030019</v>
      </c>
      <c r="P18" s="43">
        <f>'TE BE'!$P$18*'TE BF'!$P$52</f>
        <v>0</v>
      </c>
      <c r="Q18" s="43">
        <f>SUM($L$18:$P$18)</f>
        <v>14.635744826535104</v>
      </c>
      <c r="R18" s="43">
        <f>'TE BE'!$R$18*'TE BF'!$R$52</f>
        <v>19.765347486072049</v>
      </c>
      <c r="S18" s="43">
        <f>SUM($R$18:$R$18)</f>
        <v>19.765347486072049</v>
      </c>
      <c r="T18" s="43">
        <f>'TE BE'!$T$18*'TE BF'!$T$52</f>
        <v>-0.33755695463303104</v>
      </c>
      <c r="U18" s="43">
        <f>'TE BE'!$U$18*'TE BF'!$U$52</f>
        <v>0.23893302339418876</v>
      </c>
      <c r="V18" s="43">
        <f>'TE BE'!$V$18*'TE BF'!$V$52</f>
        <v>0</v>
      </c>
      <c r="W18" s="43">
        <f>SUM($T$18:$V$18)</f>
        <v>-9.8623931238842277E-2</v>
      </c>
      <c r="X18" s="43">
        <f>'TE BE'!$AB$18*'TE BF'!$X$52</f>
        <v>0</v>
      </c>
      <c r="Y18" s="43">
        <f>SUM($X$18:$X$18)</f>
        <v>0</v>
      </c>
      <c r="Z18" s="43">
        <f>'TE BE'!$Z$18*'TE BF'!$Z$52</f>
        <v>9.3413667654986071E-2</v>
      </c>
      <c r="AA18" s="43">
        <f>SUM($Z$18:$Z$18)</f>
        <v>9.3413667654986071E-2</v>
      </c>
      <c r="AB18" s="43">
        <f>SUMIF($L$4:$AA$4,"SUBTOTAL",$L$18:$AA$18)</f>
        <v>34.395882049023299</v>
      </c>
    </row>
    <row r="19" spans="1:28" ht="11.25" customHeight="1" x14ac:dyDescent="0.25">
      <c r="A19" s="127"/>
      <c r="B19" s="127" t="s">
        <v>130</v>
      </c>
      <c r="C19" s="127" t="s">
        <v>24</v>
      </c>
      <c r="D19" s="51" t="s">
        <v>24</v>
      </c>
      <c r="E19" s="51" t="s">
        <v>25</v>
      </c>
      <c r="F19" s="51" t="s">
        <v>25</v>
      </c>
      <c r="G19" s="45" t="s">
        <v>123</v>
      </c>
      <c r="H19" s="45" t="s">
        <v>117</v>
      </c>
      <c r="I19" s="45">
        <f>'MERCADO TE'!$U$16</f>
        <v>0</v>
      </c>
      <c r="J19" s="16"/>
      <c r="L19" s="43">
        <f>'TE BE'!$L$19*'TE BF'!$L$52</f>
        <v>0</v>
      </c>
      <c r="M19" s="43">
        <f>'TE BE'!$M$19*'TE BF'!$M$52</f>
        <v>13.916452005984803</v>
      </c>
      <c r="N19" s="43">
        <f>'TE BE'!$N$19*'TE BF'!$N$52</f>
        <v>0</v>
      </c>
      <c r="O19" s="43">
        <f>'TE BE'!$O$19*'TE BF'!$O$52</f>
        <v>0.71929282055030019</v>
      </c>
      <c r="P19" s="43">
        <f>'TE BE'!$P$19*'TE BF'!$P$52</f>
        <v>0</v>
      </c>
      <c r="Q19" s="43">
        <f>SUM($L$19:$P$19)</f>
        <v>14.635744826535104</v>
      </c>
      <c r="R19" s="43">
        <f>'TE BE'!$R$19*'TE BF'!$R$52</f>
        <v>19.765347486072049</v>
      </c>
      <c r="S19" s="43">
        <f>SUM($R$19:$R$19)</f>
        <v>19.765347486072049</v>
      </c>
      <c r="T19" s="43">
        <f>'TE BE'!$T$19*'TE BF'!$T$52</f>
        <v>-0.33755695463303104</v>
      </c>
      <c r="U19" s="43">
        <f>'TE BE'!$U$19*'TE BF'!$U$52</f>
        <v>0.23893302339418876</v>
      </c>
      <c r="V19" s="43">
        <f>'TE BE'!$V$19*'TE BF'!$V$52</f>
        <v>0</v>
      </c>
      <c r="W19" s="43">
        <f>SUM($T$19:$V$19)</f>
        <v>-9.8623931238842277E-2</v>
      </c>
      <c r="X19" s="43">
        <f>'TE BE'!$AB$19*'TE BF'!$X$52</f>
        <v>0</v>
      </c>
      <c r="Y19" s="43">
        <f>SUM($X$19:$X$19)</f>
        <v>0</v>
      </c>
      <c r="Z19" s="43">
        <f>'TE BE'!$Z$19*'TE BF'!$Z$52</f>
        <v>9.3413667654986071E-2</v>
      </c>
      <c r="AA19" s="43">
        <f>SUM($Z$19:$Z$19)</f>
        <v>9.3413667654986071E-2</v>
      </c>
      <c r="AB19" s="43">
        <f>SUMIF($L$4:$AA$4,"SUBTOTAL",$L$19:$AA$19)</f>
        <v>34.395882049023299</v>
      </c>
    </row>
    <row r="20" spans="1:28" ht="11.25" customHeight="1" x14ac:dyDescent="0.25">
      <c r="A20" s="127"/>
      <c r="B20" s="127"/>
      <c r="C20" s="127"/>
      <c r="D20" s="51" t="s">
        <v>29</v>
      </c>
      <c r="E20" s="51" t="s">
        <v>25</v>
      </c>
      <c r="F20" s="51" t="s">
        <v>25</v>
      </c>
      <c r="G20" s="45" t="s">
        <v>123</v>
      </c>
      <c r="H20" s="45" t="s">
        <v>117</v>
      </c>
      <c r="I20" s="45">
        <f>'MERCADO TE'!$U$17</f>
        <v>0</v>
      </c>
      <c r="J20" s="16"/>
      <c r="L20" s="43">
        <f>'TE BE'!$L$20*'TE BF'!$L$52</f>
        <v>0</v>
      </c>
      <c r="M20" s="43">
        <f>'TE BE'!$M$20*'TE BF'!$M$52</f>
        <v>13.916452005984803</v>
      </c>
      <c r="N20" s="43">
        <f>'TE BE'!$N$20*'TE BF'!$N$52</f>
        <v>0</v>
      </c>
      <c r="O20" s="43">
        <f>'TE BE'!$O$20*'TE BF'!$O$52</f>
        <v>0.71929282055030019</v>
      </c>
      <c r="P20" s="43">
        <f>'TE BE'!$P$20*'TE BF'!$P$52</f>
        <v>0</v>
      </c>
      <c r="Q20" s="43">
        <f>SUM($L$20:$P$20)</f>
        <v>14.635744826535104</v>
      </c>
      <c r="R20" s="43">
        <f>'TE BE'!$R$20*'TE BF'!$R$52</f>
        <v>19.765347486072049</v>
      </c>
      <c r="S20" s="43">
        <f>SUM($R$20:$R$20)</f>
        <v>19.765347486072049</v>
      </c>
      <c r="T20" s="43">
        <f>'TE BE'!$T$20*'TE BF'!$T$52</f>
        <v>-0.33755695463303104</v>
      </c>
      <c r="U20" s="43">
        <f>'TE BE'!$U$20*'TE BF'!$U$52</f>
        <v>0.23893302339418876</v>
      </c>
      <c r="V20" s="43">
        <f>'TE BE'!$V$20*'TE BF'!$V$52</f>
        <v>0</v>
      </c>
      <c r="W20" s="43">
        <f>SUM($T$20:$V$20)</f>
        <v>-9.8623931238842277E-2</v>
      </c>
      <c r="X20" s="43">
        <f>'TE BE'!$AB$20*'TE BF'!$X$52</f>
        <v>0</v>
      </c>
      <c r="Y20" s="43">
        <f>SUM($X$20:$X$20)</f>
        <v>0</v>
      </c>
      <c r="Z20" s="43">
        <f>'TE BE'!$Z$20*'TE BF'!$Z$52</f>
        <v>9.3413667654986071E-2</v>
      </c>
      <c r="AA20" s="43">
        <f>SUM($Z$20:$Z$20)</f>
        <v>9.3413667654986071E-2</v>
      </c>
      <c r="AB20" s="43">
        <f>SUMIF($L$4:$AA$4,"SUBTOTAL",$L$20:$AA$20)</f>
        <v>34.395882049023299</v>
      </c>
    </row>
    <row r="21" spans="1:28" ht="11.25" customHeight="1" x14ac:dyDescent="0.25">
      <c r="A21" s="127"/>
      <c r="B21" s="127"/>
      <c r="C21" s="127"/>
      <c r="D21" s="51" t="s">
        <v>30</v>
      </c>
      <c r="E21" s="51" t="s">
        <v>25</v>
      </c>
      <c r="F21" s="51" t="s">
        <v>25</v>
      </c>
      <c r="G21" s="45" t="s">
        <v>123</v>
      </c>
      <c r="H21" s="45" t="s">
        <v>117</v>
      </c>
      <c r="I21" s="45">
        <f>'MERCADO TE'!$U$18</f>
        <v>0</v>
      </c>
      <c r="J21" s="16"/>
      <c r="L21" s="43">
        <f>'TE BE'!$L$21*'TE BF'!$L$52</f>
        <v>0</v>
      </c>
      <c r="M21" s="43">
        <f>'TE BE'!$M$21*'TE BF'!$M$52</f>
        <v>13.916452005984803</v>
      </c>
      <c r="N21" s="43">
        <f>'TE BE'!$N$21*'TE BF'!$N$52</f>
        <v>0</v>
      </c>
      <c r="O21" s="43">
        <f>'TE BE'!$O$21*'TE BF'!$O$52</f>
        <v>0.71929282055030019</v>
      </c>
      <c r="P21" s="43">
        <f>'TE BE'!$P$21*'TE BF'!$P$52</f>
        <v>0</v>
      </c>
      <c r="Q21" s="43">
        <f>SUM($L$21:$P$21)</f>
        <v>14.635744826535104</v>
      </c>
      <c r="R21" s="43">
        <f>'TE BE'!$R$21*'TE BF'!$R$52</f>
        <v>19.765347486072049</v>
      </c>
      <c r="S21" s="43">
        <f>SUM($R$21:$R$21)</f>
        <v>19.765347486072049</v>
      </c>
      <c r="T21" s="43">
        <f>'TE BE'!$T$21*'TE BF'!$T$52</f>
        <v>-0.33755695463303104</v>
      </c>
      <c r="U21" s="43">
        <f>'TE BE'!$U$21*'TE BF'!$U$52</f>
        <v>0.23893302339418876</v>
      </c>
      <c r="V21" s="43">
        <f>'TE BE'!$V$21*'TE BF'!$V$52</f>
        <v>0</v>
      </c>
      <c r="W21" s="43">
        <f>SUM($T$21:$V$21)</f>
        <v>-9.8623931238842277E-2</v>
      </c>
      <c r="X21" s="43">
        <f>'TE BE'!$AB$21*'TE BF'!$X$52</f>
        <v>0</v>
      </c>
      <c r="Y21" s="43">
        <f>SUM($X$21:$X$21)</f>
        <v>0</v>
      </c>
      <c r="Z21" s="43">
        <f>'TE BE'!$Z$21*'TE BF'!$Z$52</f>
        <v>9.3413667654986071E-2</v>
      </c>
      <c r="AA21" s="43">
        <f>SUM($Z$21:$Z$21)</f>
        <v>9.3413667654986071E-2</v>
      </c>
      <c r="AB21" s="43">
        <f>SUMIF($L$4:$AA$4,"SUBTOTAL",$L$21:$AA$21)</f>
        <v>34.395882049023299</v>
      </c>
    </row>
    <row r="22" spans="1:28" ht="11.25" customHeight="1" x14ac:dyDescent="0.25">
      <c r="A22" s="127"/>
      <c r="B22" s="127"/>
      <c r="C22" s="127"/>
      <c r="D22" s="51" t="s">
        <v>31</v>
      </c>
      <c r="E22" s="51" t="s">
        <v>25</v>
      </c>
      <c r="F22" s="51" t="s">
        <v>25</v>
      </c>
      <c r="G22" s="45" t="s">
        <v>123</v>
      </c>
      <c r="H22" s="45" t="s">
        <v>117</v>
      </c>
      <c r="I22" s="45">
        <f>'MERCADO TE'!$U$19</f>
        <v>0</v>
      </c>
      <c r="J22" s="16"/>
      <c r="L22" s="43">
        <f>'TE BE'!$L$22*'TE BF'!$L$52</f>
        <v>0</v>
      </c>
      <c r="M22" s="43">
        <f>'TE BE'!$M$22*'TE BF'!$M$52</f>
        <v>13.916452005984803</v>
      </c>
      <c r="N22" s="43">
        <f>'TE BE'!$N$22*'TE BF'!$N$52</f>
        <v>0</v>
      </c>
      <c r="O22" s="43">
        <f>'TE BE'!$O$22*'TE BF'!$O$52</f>
        <v>0.71929282055030019</v>
      </c>
      <c r="P22" s="43">
        <f>'TE BE'!$P$22*'TE BF'!$P$52</f>
        <v>0</v>
      </c>
      <c r="Q22" s="43">
        <f>SUM($L$22:$P$22)</f>
        <v>14.635744826535104</v>
      </c>
      <c r="R22" s="43">
        <f>'TE BE'!$R$22*'TE BF'!$R$52</f>
        <v>19.765347486072049</v>
      </c>
      <c r="S22" s="43">
        <f>SUM($R$22:$R$22)</f>
        <v>19.765347486072049</v>
      </c>
      <c r="T22" s="43">
        <f>'TE BE'!$T$22*'TE BF'!$T$52</f>
        <v>-0.33755695463303104</v>
      </c>
      <c r="U22" s="43">
        <f>'TE BE'!$U$22*'TE BF'!$U$52</f>
        <v>0.23893302339418876</v>
      </c>
      <c r="V22" s="43">
        <f>'TE BE'!$V$22*'TE BF'!$V$52</f>
        <v>0</v>
      </c>
      <c r="W22" s="43">
        <f>SUM($T$22:$V$22)</f>
        <v>-9.8623931238842277E-2</v>
      </c>
      <c r="X22" s="43">
        <f>'TE BE'!$AB$22*'TE BF'!$X$52</f>
        <v>0</v>
      </c>
      <c r="Y22" s="43">
        <f>SUM($X$22:$X$22)</f>
        <v>0</v>
      </c>
      <c r="Z22" s="43">
        <f>'TE BE'!$Z$22*'TE BF'!$Z$52</f>
        <v>9.3413667654986071E-2</v>
      </c>
      <c r="AA22" s="43">
        <f>SUM($Z$22:$Z$22)</f>
        <v>9.3413667654986071E-2</v>
      </c>
      <c r="AB22" s="43">
        <f>SUMIF($L$4:$AA$4,"SUBTOTAL",$L$22:$AA$22)</f>
        <v>34.395882049023299</v>
      </c>
    </row>
    <row r="23" spans="1:28" ht="11.25" customHeight="1" x14ac:dyDescent="0.25">
      <c r="A23" s="127"/>
      <c r="B23" s="127"/>
      <c r="C23" s="127"/>
      <c r="D23" s="51" t="s">
        <v>32</v>
      </c>
      <c r="E23" s="51" t="s">
        <v>25</v>
      </c>
      <c r="F23" s="51" t="s">
        <v>25</v>
      </c>
      <c r="G23" s="45" t="s">
        <v>123</v>
      </c>
      <c r="H23" s="45" t="s">
        <v>117</v>
      </c>
      <c r="I23" s="45">
        <f>'MERCADO TE'!$U$20</f>
        <v>0</v>
      </c>
      <c r="J23" s="16"/>
      <c r="L23" s="43">
        <f>'TE BE'!$L$23*'TE BF'!$L$52</f>
        <v>0</v>
      </c>
      <c r="M23" s="43">
        <f>'TE BE'!$M$23*'TE BF'!$M$52</f>
        <v>13.916452005984803</v>
      </c>
      <c r="N23" s="43">
        <f>'TE BE'!$N$23*'TE BF'!$N$52</f>
        <v>0</v>
      </c>
      <c r="O23" s="43">
        <f>'TE BE'!$O$23*'TE BF'!$O$52</f>
        <v>0.71929282055030019</v>
      </c>
      <c r="P23" s="43">
        <f>'TE BE'!$P$23*'TE BF'!$P$52</f>
        <v>0</v>
      </c>
      <c r="Q23" s="43">
        <f>SUM($L$23:$P$23)</f>
        <v>14.635744826535104</v>
      </c>
      <c r="R23" s="43">
        <f>'TE BE'!$R$23*'TE BF'!$R$52</f>
        <v>19.765347486072049</v>
      </c>
      <c r="S23" s="43">
        <f>SUM($R$23:$R$23)</f>
        <v>19.765347486072049</v>
      </c>
      <c r="T23" s="43">
        <f>'TE BE'!$T$23*'TE BF'!$T$52</f>
        <v>-0.33755695463303104</v>
      </c>
      <c r="U23" s="43">
        <f>'TE BE'!$U$23*'TE BF'!$U$52</f>
        <v>0.23893302339418876</v>
      </c>
      <c r="V23" s="43">
        <f>'TE BE'!$V$23*'TE BF'!$V$52</f>
        <v>0</v>
      </c>
      <c r="W23" s="43">
        <f>SUM($T$23:$V$23)</f>
        <v>-9.8623931238842277E-2</v>
      </c>
      <c r="X23" s="43">
        <f>'TE BE'!$AB$23*'TE BF'!$X$52</f>
        <v>0</v>
      </c>
      <c r="Y23" s="43">
        <f>SUM($X$23:$X$23)</f>
        <v>0</v>
      </c>
      <c r="Z23" s="43">
        <f>'TE BE'!$Z$23*'TE BF'!$Z$52</f>
        <v>9.3413667654986071E-2</v>
      </c>
      <c r="AA23" s="43">
        <f>SUM($Z$23:$Z$23)</f>
        <v>9.3413667654986071E-2</v>
      </c>
      <c r="AB23" s="43">
        <f>SUMIF($L$4:$AA$4,"SUBTOTAL",$L$23:$AA$23)</f>
        <v>34.395882049023299</v>
      </c>
    </row>
    <row r="24" spans="1:28" ht="11.25" customHeight="1" x14ac:dyDescent="0.25">
      <c r="A24" s="127" t="s">
        <v>44</v>
      </c>
      <c r="B24" s="127" t="s">
        <v>116</v>
      </c>
      <c r="C24" s="127" t="s">
        <v>45</v>
      </c>
      <c r="D24" s="127" t="s">
        <v>25</v>
      </c>
      <c r="E24" s="127" t="s">
        <v>25</v>
      </c>
      <c r="F24" s="127" t="s">
        <v>25</v>
      </c>
      <c r="G24" s="45" t="s">
        <v>118</v>
      </c>
      <c r="H24" s="45" t="s">
        <v>117</v>
      </c>
      <c r="I24" s="45">
        <f>'MERCADO TE'!$U$21</f>
        <v>0.49600000000000005</v>
      </c>
      <c r="J24" s="16"/>
      <c r="L24" s="43">
        <f>'TE BE'!$L$24*'TE BF'!$L$52</f>
        <v>0</v>
      </c>
      <c r="M24" s="43">
        <f>'TE BE'!$M$24*'TE BF'!$M$52</f>
        <v>13.916452005984803</v>
      </c>
      <c r="N24" s="43">
        <f>'TE BE'!$N$24*'TE BF'!$N$52</f>
        <v>0</v>
      </c>
      <c r="O24" s="43">
        <f>'TE BE'!$O$24*'TE BF'!$O$52</f>
        <v>0.71929282055030019</v>
      </c>
      <c r="P24" s="43">
        <f>'TE BE'!$P$24*'TE BF'!$P$52</f>
        <v>0</v>
      </c>
      <c r="Q24" s="43">
        <f>SUM($L$24:$P$24)</f>
        <v>14.635744826535104</v>
      </c>
      <c r="R24" s="43">
        <f>'TE BE'!$R$24*'TE BF'!$R$52</f>
        <v>32.07207327928672</v>
      </c>
      <c r="S24" s="43">
        <f>SUM($R$24:$R$24)</f>
        <v>32.07207327928672</v>
      </c>
      <c r="T24" s="43">
        <f>'TE BE'!$T$24*'TE BF'!$T$52</f>
        <v>-0.33755695463303104</v>
      </c>
      <c r="U24" s="43">
        <f>'TE BE'!$U$24*'TE BF'!$U$52</f>
        <v>0.23893302339418876</v>
      </c>
      <c r="V24" s="43">
        <f>'TE BE'!$V$24*'TE BF'!$V$52</f>
        <v>0</v>
      </c>
      <c r="W24" s="43">
        <f>SUM($T$24:$V$24)</f>
        <v>-9.8623931238842277E-2</v>
      </c>
      <c r="X24" s="43">
        <f>'TE BE'!$AB$24*'TE BF'!$X$52</f>
        <v>0</v>
      </c>
      <c r="Y24" s="43">
        <f>SUM($X$24:$X$24)</f>
        <v>0</v>
      </c>
      <c r="Z24" s="43">
        <f>'TE BE'!$Z$24*'TE BF'!$Z$52</f>
        <v>9.3413667654986071E-2</v>
      </c>
      <c r="AA24" s="43">
        <f>SUM($Z$24:$Z$24)</f>
        <v>9.3413667654986071E-2</v>
      </c>
      <c r="AB24" s="43">
        <f>SUMIF($L$4:$AA$4,"SUBTOTAL",$L$24:$AA$24)</f>
        <v>46.702607842237967</v>
      </c>
    </row>
    <row r="25" spans="1:28" ht="11.25" customHeight="1" x14ac:dyDescent="0.25">
      <c r="A25" s="127"/>
      <c r="B25" s="127"/>
      <c r="C25" s="127"/>
      <c r="D25" s="127"/>
      <c r="E25" s="127"/>
      <c r="F25" s="127"/>
      <c r="G25" s="45" t="s">
        <v>128</v>
      </c>
      <c r="H25" s="45" t="s">
        <v>117</v>
      </c>
      <c r="I25" s="45">
        <f>'MERCADO TE'!$U$22</f>
        <v>0.27600000000000002</v>
      </c>
      <c r="J25" s="16"/>
      <c r="L25" s="43">
        <f>'TE BE'!$L$25*'TE BF'!$L$52</f>
        <v>0</v>
      </c>
      <c r="M25" s="43">
        <f>'TE BE'!$M$25*'TE BF'!$M$52</f>
        <v>13.916452005984803</v>
      </c>
      <c r="N25" s="43">
        <f>'TE BE'!$N$25*'TE BF'!$N$52</f>
        <v>0</v>
      </c>
      <c r="O25" s="43">
        <f>'TE BE'!$O$25*'TE BF'!$O$52</f>
        <v>0.71929282055030019</v>
      </c>
      <c r="P25" s="43">
        <f>'TE BE'!$P$25*'TE BF'!$P$52</f>
        <v>0</v>
      </c>
      <c r="Q25" s="43">
        <f>SUM($L$25:$P$25)</f>
        <v>14.635744826535104</v>
      </c>
      <c r="R25" s="43">
        <f>'TE BE'!$R$25*'TE BF'!$R$52</f>
        <v>18.646554232143441</v>
      </c>
      <c r="S25" s="43">
        <f>SUM($R$25:$R$25)</f>
        <v>18.646554232143441</v>
      </c>
      <c r="T25" s="43">
        <f>'TE BE'!$T$25*'TE BF'!$T$52</f>
        <v>-0.33755695463303104</v>
      </c>
      <c r="U25" s="43">
        <f>'TE BE'!$U$25*'TE BF'!$U$52</f>
        <v>0.23893302339418876</v>
      </c>
      <c r="V25" s="43">
        <f>'TE BE'!$V$25*'TE BF'!$V$52</f>
        <v>0</v>
      </c>
      <c r="W25" s="43">
        <f>SUM($T$25:$V$25)</f>
        <v>-9.8623931238842277E-2</v>
      </c>
      <c r="X25" s="43">
        <f>'TE BE'!$AB$25*'TE BF'!$X$52</f>
        <v>0</v>
      </c>
      <c r="Y25" s="43">
        <f>SUM($X$25:$X$25)</f>
        <v>0</v>
      </c>
      <c r="Z25" s="43">
        <f>'TE BE'!$Z$25*'TE BF'!$Z$52</f>
        <v>9.3413667654986071E-2</v>
      </c>
      <c r="AA25" s="43">
        <f>SUM($Z$25:$Z$25)</f>
        <v>9.3413667654986071E-2</v>
      </c>
      <c r="AB25" s="43">
        <f>SUMIF($L$4:$AA$4,"SUBTOTAL",$L$25:$AA$25)</f>
        <v>33.277088795094691</v>
      </c>
    </row>
    <row r="26" spans="1:28" ht="11.25" customHeight="1" x14ac:dyDescent="0.25">
      <c r="A26" s="127"/>
      <c r="B26" s="127"/>
      <c r="C26" s="127"/>
      <c r="D26" s="127"/>
      <c r="E26" s="127"/>
      <c r="F26" s="127"/>
      <c r="G26" s="45" t="s">
        <v>119</v>
      </c>
      <c r="H26" s="45" t="s">
        <v>117</v>
      </c>
      <c r="I26" s="45">
        <f>'MERCADO TE'!$U$23</f>
        <v>5.1340000000000003</v>
      </c>
      <c r="J26" s="16"/>
      <c r="L26" s="43">
        <f>'TE BE'!$L$26*'TE BF'!$L$52</f>
        <v>0</v>
      </c>
      <c r="M26" s="43">
        <f>'TE BE'!$M$26*'TE BF'!$M$52</f>
        <v>13.916452005984803</v>
      </c>
      <c r="N26" s="43">
        <f>'TE BE'!$N$26*'TE BF'!$N$52</f>
        <v>0</v>
      </c>
      <c r="O26" s="43">
        <f>'TE BE'!$O$26*'TE BF'!$O$52</f>
        <v>0.71929282055030019</v>
      </c>
      <c r="P26" s="43">
        <f>'TE BE'!$P$26*'TE BF'!$P$52</f>
        <v>0</v>
      </c>
      <c r="Q26" s="43">
        <f>SUM($L$26:$P$26)</f>
        <v>14.635744826535104</v>
      </c>
      <c r="R26" s="43">
        <f>'TE BE'!$R$26*'TE BF'!$R$52</f>
        <v>18.646554232143441</v>
      </c>
      <c r="S26" s="43">
        <f>SUM($R$26:$R$26)</f>
        <v>18.646554232143441</v>
      </c>
      <c r="T26" s="43">
        <f>'TE BE'!$T$26*'TE BF'!$T$52</f>
        <v>-0.33755695463303104</v>
      </c>
      <c r="U26" s="43">
        <f>'TE BE'!$U$26*'TE BF'!$U$52</f>
        <v>0.23893302339418876</v>
      </c>
      <c r="V26" s="43">
        <f>'TE BE'!$V$26*'TE BF'!$V$52</f>
        <v>0</v>
      </c>
      <c r="W26" s="43">
        <f>SUM($T$26:$V$26)</f>
        <v>-9.8623931238842277E-2</v>
      </c>
      <c r="X26" s="43">
        <f>'TE BE'!$AB$26*'TE BF'!$X$52</f>
        <v>0</v>
      </c>
      <c r="Y26" s="43">
        <f>SUM($X$26:$X$26)</f>
        <v>0</v>
      </c>
      <c r="Z26" s="43">
        <f>'TE BE'!$Z$26*'TE BF'!$Z$52</f>
        <v>9.3413667654986071E-2</v>
      </c>
      <c r="AA26" s="43">
        <f>SUM($Z$26:$Z$26)</f>
        <v>9.3413667654986071E-2</v>
      </c>
      <c r="AB26" s="43">
        <f>SUMIF($L$4:$AA$4,"SUBTOTAL",$L$26:$AA$26)</f>
        <v>33.277088795094691</v>
      </c>
    </row>
    <row r="27" spans="1:28" ht="11.25" customHeight="1" x14ac:dyDescent="0.25">
      <c r="A27" s="127"/>
      <c r="B27" s="51" t="s">
        <v>129</v>
      </c>
      <c r="C27" s="51" t="s">
        <v>45</v>
      </c>
      <c r="D27" s="51" t="s">
        <v>25</v>
      </c>
      <c r="E27" s="51" t="s">
        <v>25</v>
      </c>
      <c r="F27" s="51" t="s">
        <v>25</v>
      </c>
      <c r="G27" s="45" t="s">
        <v>123</v>
      </c>
      <c r="H27" s="45" t="s">
        <v>117</v>
      </c>
      <c r="I27" s="45">
        <f>'MERCADO TE'!$U$24</f>
        <v>160826.64799999999</v>
      </c>
      <c r="J27" s="16"/>
      <c r="L27" s="43">
        <f>'TE BE'!$L$27*'TE BF'!$L$52</f>
        <v>0</v>
      </c>
      <c r="M27" s="43">
        <f>'TE BE'!$M$27*'TE BF'!$M$52</f>
        <v>13.916452005984803</v>
      </c>
      <c r="N27" s="43">
        <f>'TE BE'!$N$27*'TE BF'!$N$52</f>
        <v>0</v>
      </c>
      <c r="O27" s="43">
        <f>'TE BE'!$O$27*'TE BF'!$O$52</f>
        <v>0.71929282055030019</v>
      </c>
      <c r="P27" s="43">
        <f>'TE BE'!$P$27*'TE BF'!$P$52</f>
        <v>0</v>
      </c>
      <c r="Q27" s="43">
        <f>SUM($L$27:$P$27)</f>
        <v>14.635744826535104</v>
      </c>
      <c r="R27" s="43">
        <f>'TE BE'!$R$27*'TE BF'!$R$52</f>
        <v>19.765347486072049</v>
      </c>
      <c r="S27" s="43">
        <f>SUM($R$27:$R$27)</f>
        <v>19.765347486072049</v>
      </c>
      <c r="T27" s="43">
        <f>'TE BE'!$T$27*'TE BF'!$T$52</f>
        <v>-0.33755695463303104</v>
      </c>
      <c r="U27" s="43">
        <f>'TE BE'!$U$27*'TE BF'!$U$52</f>
        <v>0.23893302339418876</v>
      </c>
      <c r="V27" s="43">
        <f>'TE BE'!$V$27*'TE BF'!$V$52</f>
        <v>0</v>
      </c>
      <c r="W27" s="43">
        <f>SUM($T$27:$V$27)</f>
        <v>-9.8623931238842277E-2</v>
      </c>
      <c r="X27" s="43">
        <f>'TE BE'!$AB$27*'TE BF'!$X$52</f>
        <v>0</v>
      </c>
      <c r="Y27" s="43">
        <f>SUM($X$27:$X$27)</f>
        <v>0</v>
      </c>
      <c r="Z27" s="43">
        <f>'TE BE'!$Z$27*'TE BF'!$Z$52</f>
        <v>9.3413667654986071E-2</v>
      </c>
      <c r="AA27" s="43">
        <f>SUM($Z$27:$Z$27)</f>
        <v>9.3413667654986071E-2</v>
      </c>
      <c r="AB27" s="43">
        <f>SUMIF($L$4:$AA$4,"SUBTOTAL",$L$27:$AA$27)</f>
        <v>34.395882049023299</v>
      </c>
    </row>
    <row r="28" spans="1:28" ht="11.25" customHeight="1" x14ac:dyDescent="0.25">
      <c r="A28" s="127"/>
      <c r="B28" s="127" t="s">
        <v>116</v>
      </c>
      <c r="C28" s="127" t="s">
        <v>45</v>
      </c>
      <c r="D28" s="127" t="s">
        <v>132</v>
      </c>
      <c r="E28" s="127" t="s">
        <v>25</v>
      </c>
      <c r="F28" s="127" t="s">
        <v>25</v>
      </c>
      <c r="G28" s="45" t="s">
        <v>118</v>
      </c>
      <c r="H28" s="45" t="s">
        <v>117</v>
      </c>
      <c r="I28" s="45">
        <f>'MERCADO TE'!$U$25</f>
        <v>0</v>
      </c>
      <c r="J28" s="16"/>
      <c r="L28" s="43">
        <f>'TE BE'!$L$28*'TE BF'!$L$52</f>
        <v>0</v>
      </c>
      <c r="M28" s="43">
        <f>'TE BE'!$M$28*'TE BF'!$M$52</f>
        <v>13.916452005984803</v>
      </c>
      <c r="N28" s="43">
        <f>'TE BE'!$N$28*'TE BF'!$N$52</f>
        <v>0</v>
      </c>
      <c r="O28" s="43">
        <f>'TE BE'!$O$28*'TE BF'!$O$52</f>
        <v>0.71929282055030019</v>
      </c>
      <c r="P28" s="43">
        <f>'TE BE'!$P$28*'TE BF'!$P$52</f>
        <v>0</v>
      </c>
      <c r="Q28" s="43">
        <f>SUM($L$28:$P$28)</f>
        <v>14.635744826535104</v>
      </c>
      <c r="R28" s="43">
        <f>'TE BE'!$R$28*'TE BF'!$R$52</f>
        <v>32.07207327928672</v>
      </c>
      <c r="S28" s="43">
        <f>SUM($R$28:$R$28)</f>
        <v>32.07207327928672</v>
      </c>
      <c r="T28" s="43">
        <f>'TE BE'!$T$28*'TE BF'!$T$52</f>
        <v>-0.33755695463303104</v>
      </c>
      <c r="U28" s="43">
        <f>'TE BE'!$U$28*'TE BF'!$U$52</f>
        <v>0.23893302339418876</v>
      </c>
      <c r="V28" s="43">
        <f>'TE BE'!$V$28*'TE BF'!$V$52</f>
        <v>0</v>
      </c>
      <c r="W28" s="43">
        <f>SUM($T$28:$V$28)</f>
        <v>-9.8623931238842277E-2</v>
      </c>
      <c r="X28" s="43">
        <f>'TE BE'!$AB$28*'TE BF'!$X$52</f>
        <v>0</v>
      </c>
      <c r="Y28" s="43">
        <f>SUM($X$28:$X$28)</f>
        <v>0</v>
      </c>
      <c r="Z28" s="43">
        <f>'TE BE'!$Z$28*'TE BF'!$Z$52</f>
        <v>9.3413667654986071E-2</v>
      </c>
      <c r="AA28" s="43">
        <f>SUM($Z$28:$Z$28)</f>
        <v>9.3413667654986071E-2</v>
      </c>
      <c r="AB28" s="43">
        <f>SUMIF($L$4:$AA$4,"SUBTOTAL",$L$28:$AA$28)</f>
        <v>46.702607842237967</v>
      </c>
    </row>
    <row r="29" spans="1:28" ht="11.25" customHeight="1" x14ac:dyDescent="0.25">
      <c r="A29" s="127"/>
      <c r="B29" s="127"/>
      <c r="C29" s="127"/>
      <c r="D29" s="127"/>
      <c r="E29" s="127"/>
      <c r="F29" s="127"/>
      <c r="G29" s="45" t="s">
        <v>128</v>
      </c>
      <c r="H29" s="45" t="s">
        <v>117</v>
      </c>
      <c r="I29" s="45">
        <f>'MERCADO TE'!$U$26</f>
        <v>0</v>
      </c>
      <c r="J29" s="16"/>
      <c r="L29" s="43">
        <f>'TE BE'!$L$29*'TE BF'!$L$52</f>
        <v>0</v>
      </c>
      <c r="M29" s="43">
        <f>'TE BE'!$M$29*'TE BF'!$M$52</f>
        <v>13.916452005984803</v>
      </c>
      <c r="N29" s="43">
        <f>'TE BE'!$N$29*'TE BF'!$N$52</f>
        <v>0</v>
      </c>
      <c r="O29" s="43">
        <f>'TE BE'!$O$29*'TE BF'!$O$52</f>
        <v>0.71929282055030019</v>
      </c>
      <c r="P29" s="43">
        <f>'TE BE'!$P$29*'TE BF'!$P$52</f>
        <v>0</v>
      </c>
      <c r="Q29" s="43">
        <f>SUM($L$29:$P$29)</f>
        <v>14.635744826535104</v>
      </c>
      <c r="R29" s="43">
        <f>'TE BE'!$R$29*'TE BF'!$R$52</f>
        <v>18.646554232143441</v>
      </c>
      <c r="S29" s="43">
        <f>SUM($R$29:$R$29)</f>
        <v>18.646554232143441</v>
      </c>
      <c r="T29" s="43">
        <f>'TE BE'!$T$29*'TE BF'!$T$52</f>
        <v>-0.33755695463303104</v>
      </c>
      <c r="U29" s="43">
        <f>'TE BE'!$U$29*'TE BF'!$U$52</f>
        <v>0.23893302339418876</v>
      </c>
      <c r="V29" s="43">
        <f>'TE BE'!$V$29*'TE BF'!$V$52</f>
        <v>0</v>
      </c>
      <c r="W29" s="43">
        <f>SUM($T$29:$V$29)</f>
        <v>-9.8623931238842277E-2</v>
      </c>
      <c r="X29" s="43">
        <f>'TE BE'!$AB$29*'TE BF'!$X$52</f>
        <v>0</v>
      </c>
      <c r="Y29" s="43">
        <f>SUM($X$29:$X$29)</f>
        <v>0</v>
      </c>
      <c r="Z29" s="43">
        <f>'TE BE'!$Z$29*'TE BF'!$Z$52</f>
        <v>9.3413667654986071E-2</v>
      </c>
      <c r="AA29" s="43">
        <f>SUM($Z$29:$Z$29)</f>
        <v>9.3413667654986071E-2</v>
      </c>
      <c r="AB29" s="43">
        <f>SUMIF($L$4:$AA$4,"SUBTOTAL",$L$29:$AA$29)</f>
        <v>33.277088795094691</v>
      </c>
    </row>
    <row r="30" spans="1:28" ht="11.25" customHeight="1" x14ac:dyDescent="0.25">
      <c r="A30" s="127"/>
      <c r="B30" s="127"/>
      <c r="C30" s="127"/>
      <c r="D30" s="127"/>
      <c r="E30" s="127"/>
      <c r="F30" s="127"/>
      <c r="G30" s="45" t="s">
        <v>119</v>
      </c>
      <c r="H30" s="45" t="s">
        <v>117</v>
      </c>
      <c r="I30" s="45">
        <f>'MERCADO TE'!$U$27</f>
        <v>0</v>
      </c>
      <c r="J30" s="16"/>
      <c r="L30" s="43">
        <f>'TE BE'!$L$30*'TE BF'!$L$52</f>
        <v>0</v>
      </c>
      <c r="M30" s="43">
        <f>'TE BE'!$M$30*'TE BF'!$M$52</f>
        <v>13.916452005984803</v>
      </c>
      <c r="N30" s="43">
        <f>'TE BE'!$N$30*'TE BF'!$N$52</f>
        <v>0</v>
      </c>
      <c r="O30" s="43">
        <f>'TE BE'!$O$30*'TE BF'!$O$52</f>
        <v>0.71929282055030019</v>
      </c>
      <c r="P30" s="43">
        <f>'TE BE'!$P$30*'TE BF'!$P$52</f>
        <v>0</v>
      </c>
      <c r="Q30" s="43">
        <f>SUM($L$30:$P$30)</f>
        <v>14.635744826535104</v>
      </c>
      <c r="R30" s="43">
        <f>'TE BE'!$R$30*'TE BF'!$R$52</f>
        <v>18.646554232143441</v>
      </c>
      <c r="S30" s="43">
        <f>SUM($R$30:$R$30)</f>
        <v>18.646554232143441</v>
      </c>
      <c r="T30" s="43">
        <f>'TE BE'!$T$30*'TE BF'!$T$52</f>
        <v>-0.33755695463303104</v>
      </c>
      <c r="U30" s="43">
        <f>'TE BE'!$U$30*'TE BF'!$U$52</f>
        <v>0.23893302339418876</v>
      </c>
      <c r="V30" s="43">
        <f>'TE BE'!$V$30*'TE BF'!$V$52</f>
        <v>0</v>
      </c>
      <c r="W30" s="43">
        <f>SUM($T$30:$V$30)</f>
        <v>-9.8623931238842277E-2</v>
      </c>
      <c r="X30" s="43">
        <f>'TE BE'!$AB$30*'TE BF'!$X$52</f>
        <v>0</v>
      </c>
      <c r="Y30" s="43">
        <f>SUM($X$30:$X$30)</f>
        <v>0</v>
      </c>
      <c r="Z30" s="43">
        <f>'TE BE'!$Z$30*'TE BF'!$Z$52</f>
        <v>9.3413667654986071E-2</v>
      </c>
      <c r="AA30" s="43">
        <f>SUM($Z$30:$Z$30)</f>
        <v>9.3413667654986071E-2</v>
      </c>
      <c r="AB30" s="43">
        <f>SUMIF($L$4:$AA$4,"SUBTOTAL",$L$30:$AA$30)</f>
        <v>33.277088795094691</v>
      </c>
    </row>
    <row r="31" spans="1:28" ht="11.25" customHeight="1" x14ac:dyDescent="0.25">
      <c r="A31" s="127"/>
      <c r="B31" s="51" t="s">
        <v>129</v>
      </c>
      <c r="C31" s="51" t="s">
        <v>45</v>
      </c>
      <c r="D31" s="51" t="s">
        <v>132</v>
      </c>
      <c r="E31" s="51" t="s">
        <v>25</v>
      </c>
      <c r="F31" s="51" t="s">
        <v>25</v>
      </c>
      <c r="G31" s="45" t="s">
        <v>123</v>
      </c>
      <c r="H31" s="45" t="s">
        <v>117</v>
      </c>
      <c r="I31" s="45">
        <f>'MERCADO TE'!$U$28</f>
        <v>0</v>
      </c>
      <c r="J31" s="16"/>
      <c r="L31" s="43">
        <f>'TE BE'!$L$31*'TE BF'!$L$52</f>
        <v>0</v>
      </c>
      <c r="M31" s="43">
        <f>'TE BE'!$M$31*'TE BF'!$M$52</f>
        <v>13.916452005984803</v>
      </c>
      <c r="N31" s="43">
        <f>'TE BE'!$N$31*'TE BF'!$N$52</f>
        <v>0</v>
      </c>
      <c r="O31" s="43">
        <f>'TE BE'!$O$31*'TE BF'!$O$52</f>
        <v>0.71929282055030019</v>
      </c>
      <c r="P31" s="43">
        <f>'TE BE'!$P$31*'TE BF'!$P$52</f>
        <v>0</v>
      </c>
      <c r="Q31" s="43">
        <f>SUM($L$31:$P$31)</f>
        <v>14.635744826535104</v>
      </c>
      <c r="R31" s="43">
        <f>'TE BE'!$R$31*'TE BF'!$R$52</f>
        <v>19.765347486072049</v>
      </c>
      <c r="S31" s="43">
        <f>SUM($R$31:$R$31)</f>
        <v>19.765347486072049</v>
      </c>
      <c r="T31" s="43">
        <f>'TE BE'!$T$31*'TE BF'!$T$52</f>
        <v>-0.33755695463303104</v>
      </c>
      <c r="U31" s="43">
        <f>'TE BE'!$U$31*'TE BF'!$U$52</f>
        <v>0.23893302339418876</v>
      </c>
      <c r="V31" s="43">
        <f>'TE BE'!$V$31*'TE BF'!$V$52</f>
        <v>0</v>
      </c>
      <c r="W31" s="43">
        <f>SUM($T$31:$V$31)</f>
        <v>-9.8623931238842277E-2</v>
      </c>
      <c r="X31" s="43">
        <f>'TE BE'!$AB$31*'TE BF'!$X$52</f>
        <v>0</v>
      </c>
      <c r="Y31" s="43">
        <f>SUM($X$31:$X$31)</f>
        <v>0</v>
      </c>
      <c r="Z31" s="43">
        <f>'TE BE'!$Z$31*'TE BF'!$Z$52</f>
        <v>9.3413667654986071E-2</v>
      </c>
      <c r="AA31" s="43">
        <f>SUM($Z$31:$Z$31)</f>
        <v>9.3413667654986071E-2</v>
      </c>
      <c r="AB31" s="43">
        <f>SUMIF($L$4:$AA$4,"SUBTOTAL",$L$31:$AA$31)</f>
        <v>34.395882049023299</v>
      </c>
    </row>
    <row r="32" spans="1:28" ht="11.25" customHeight="1" x14ac:dyDescent="0.25">
      <c r="A32" s="127"/>
      <c r="B32" s="127" t="s">
        <v>116</v>
      </c>
      <c r="C32" s="127" t="s">
        <v>45</v>
      </c>
      <c r="D32" s="127" t="s">
        <v>133</v>
      </c>
      <c r="E32" s="127" t="s">
        <v>25</v>
      </c>
      <c r="F32" s="127" t="s">
        <v>25</v>
      </c>
      <c r="G32" s="45" t="s">
        <v>118</v>
      </c>
      <c r="H32" s="45" t="s">
        <v>117</v>
      </c>
      <c r="I32" s="45">
        <f>'MERCADO TE'!$U$29</f>
        <v>0</v>
      </c>
      <c r="J32" s="16"/>
      <c r="L32" s="43">
        <f>'TE BE'!$L$32*'TE BF'!$L$52</f>
        <v>0</v>
      </c>
      <c r="M32" s="43">
        <f>'TE BE'!$M$32*'TE BF'!$M$52</f>
        <v>13.916452005984803</v>
      </c>
      <c r="N32" s="43">
        <f>'TE BE'!$N$32*'TE BF'!$N$52</f>
        <v>0</v>
      </c>
      <c r="O32" s="43">
        <f>'TE BE'!$O$32*'TE BF'!$O$52</f>
        <v>0.71929282055030019</v>
      </c>
      <c r="P32" s="43">
        <f>'TE BE'!$P$32*'TE BF'!$P$52</f>
        <v>0</v>
      </c>
      <c r="Q32" s="43">
        <f>SUM($L$32:$P$32)</f>
        <v>14.635744826535104</v>
      </c>
      <c r="R32" s="43">
        <f>'TE BE'!$R$32*'TE BF'!$R$52</f>
        <v>32.07207327928672</v>
      </c>
      <c r="S32" s="43">
        <f>SUM($R$32:$R$32)</f>
        <v>32.07207327928672</v>
      </c>
      <c r="T32" s="43">
        <f>'TE BE'!$T$32*'TE BF'!$T$52</f>
        <v>-0.33755695463303104</v>
      </c>
      <c r="U32" s="43">
        <f>'TE BE'!$U$32*'TE BF'!$U$52</f>
        <v>0.23893302339418876</v>
      </c>
      <c r="V32" s="43">
        <f>'TE BE'!$V$32*'TE BF'!$V$52</f>
        <v>0</v>
      </c>
      <c r="W32" s="43">
        <f>SUM($T$32:$V$32)</f>
        <v>-9.8623931238842277E-2</v>
      </c>
      <c r="X32" s="43">
        <f>'TE BE'!$AB$32*'TE BF'!$X$52</f>
        <v>0</v>
      </c>
      <c r="Y32" s="43">
        <f>SUM($X$32:$X$32)</f>
        <v>0</v>
      </c>
      <c r="Z32" s="43">
        <f>'TE BE'!$Z$32*'TE BF'!$Z$52</f>
        <v>9.3413667654986071E-2</v>
      </c>
      <c r="AA32" s="43">
        <f>SUM($Z$32:$Z$32)</f>
        <v>9.3413667654986071E-2</v>
      </c>
      <c r="AB32" s="43">
        <f>SUMIF($L$4:$AA$4,"SUBTOTAL",$L$32:$AA$32)</f>
        <v>46.702607842237967</v>
      </c>
    </row>
    <row r="33" spans="1:28" ht="11.25" customHeight="1" x14ac:dyDescent="0.25">
      <c r="A33" s="127"/>
      <c r="B33" s="127"/>
      <c r="C33" s="127"/>
      <c r="D33" s="127"/>
      <c r="E33" s="127"/>
      <c r="F33" s="127"/>
      <c r="G33" s="45" t="s">
        <v>128</v>
      </c>
      <c r="H33" s="45" t="s">
        <v>117</v>
      </c>
      <c r="I33" s="45">
        <f>'MERCADO TE'!$U$30</f>
        <v>0</v>
      </c>
      <c r="J33" s="16"/>
      <c r="L33" s="43">
        <f>'TE BE'!$L$33*'TE BF'!$L$52</f>
        <v>0</v>
      </c>
      <c r="M33" s="43">
        <f>'TE BE'!$M$33*'TE BF'!$M$52</f>
        <v>13.916452005984803</v>
      </c>
      <c r="N33" s="43">
        <f>'TE BE'!$N$33*'TE BF'!$N$52</f>
        <v>0</v>
      </c>
      <c r="O33" s="43">
        <f>'TE BE'!$O$33*'TE BF'!$O$52</f>
        <v>0.71929282055030019</v>
      </c>
      <c r="P33" s="43">
        <f>'TE BE'!$P$33*'TE BF'!$P$52</f>
        <v>0</v>
      </c>
      <c r="Q33" s="43">
        <f>SUM($L$33:$P$33)</f>
        <v>14.635744826535104</v>
      </c>
      <c r="R33" s="43">
        <f>'TE BE'!$R$33*'TE BF'!$R$52</f>
        <v>18.646554232143441</v>
      </c>
      <c r="S33" s="43">
        <f>SUM($R$33:$R$33)</f>
        <v>18.646554232143441</v>
      </c>
      <c r="T33" s="43">
        <f>'TE BE'!$T$33*'TE BF'!$T$52</f>
        <v>-0.33755695463303104</v>
      </c>
      <c r="U33" s="43">
        <f>'TE BE'!$U$33*'TE BF'!$U$52</f>
        <v>0.23893302339418876</v>
      </c>
      <c r="V33" s="43">
        <f>'TE BE'!$V$33*'TE BF'!$V$52</f>
        <v>0</v>
      </c>
      <c r="W33" s="43">
        <f>SUM($T$33:$V$33)</f>
        <v>-9.8623931238842277E-2</v>
      </c>
      <c r="X33" s="43">
        <f>'TE BE'!$AB$33*'TE BF'!$X$52</f>
        <v>0</v>
      </c>
      <c r="Y33" s="43">
        <f>SUM($X$33:$X$33)</f>
        <v>0</v>
      </c>
      <c r="Z33" s="43">
        <f>'TE BE'!$Z$33*'TE BF'!$Z$52</f>
        <v>9.3413667654986071E-2</v>
      </c>
      <c r="AA33" s="43">
        <f>SUM($Z$33:$Z$33)</f>
        <v>9.3413667654986071E-2</v>
      </c>
      <c r="AB33" s="43">
        <f>SUMIF($L$4:$AA$4,"SUBTOTAL",$L$33:$AA$33)</f>
        <v>33.277088795094691</v>
      </c>
    </row>
    <row r="34" spans="1:28" ht="11.25" customHeight="1" x14ac:dyDescent="0.25">
      <c r="A34" s="127"/>
      <c r="B34" s="127"/>
      <c r="C34" s="127"/>
      <c r="D34" s="127"/>
      <c r="E34" s="127"/>
      <c r="F34" s="127"/>
      <c r="G34" s="45" t="s">
        <v>119</v>
      </c>
      <c r="H34" s="45" t="s">
        <v>117</v>
      </c>
      <c r="I34" s="45">
        <f>'MERCADO TE'!$U$31</f>
        <v>0</v>
      </c>
      <c r="J34" s="16"/>
      <c r="L34" s="43">
        <f>'TE BE'!$L$34*'TE BF'!$L$52</f>
        <v>0</v>
      </c>
      <c r="M34" s="43">
        <f>'TE BE'!$M$34*'TE BF'!$M$52</f>
        <v>13.916452005984803</v>
      </c>
      <c r="N34" s="43">
        <f>'TE BE'!$N$34*'TE BF'!$N$52</f>
        <v>0</v>
      </c>
      <c r="O34" s="43">
        <f>'TE BE'!$O$34*'TE BF'!$O$52</f>
        <v>0.71929282055030019</v>
      </c>
      <c r="P34" s="43">
        <f>'TE BE'!$P$34*'TE BF'!$P$52</f>
        <v>0</v>
      </c>
      <c r="Q34" s="43">
        <f>SUM($L$34:$P$34)</f>
        <v>14.635744826535104</v>
      </c>
      <c r="R34" s="43">
        <f>'TE BE'!$R$34*'TE BF'!$R$52</f>
        <v>18.646554232143441</v>
      </c>
      <c r="S34" s="43">
        <f>SUM($R$34:$R$34)</f>
        <v>18.646554232143441</v>
      </c>
      <c r="T34" s="43">
        <f>'TE BE'!$T$34*'TE BF'!$T$52</f>
        <v>-0.33755695463303104</v>
      </c>
      <c r="U34" s="43">
        <f>'TE BE'!$U$34*'TE BF'!$U$52</f>
        <v>0.23893302339418876</v>
      </c>
      <c r="V34" s="43">
        <f>'TE BE'!$V$34*'TE BF'!$V$52</f>
        <v>0</v>
      </c>
      <c r="W34" s="43">
        <f>SUM($T$34:$V$34)</f>
        <v>-9.8623931238842277E-2</v>
      </c>
      <c r="X34" s="43">
        <f>'TE BE'!$AB$34*'TE BF'!$X$52</f>
        <v>0</v>
      </c>
      <c r="Y34" s="43">
        <f>SUM($X$34:$X$34)</f>
        <v>0</v>
      </c>
      <c r="Z34" s="43">
        <f>'TE BE'!$Z$34*'TE BF'!$Z$52</f>
        <v>9.3413667654986071E-2</v>
      </c>
      <c r="AA34" s="43">
        <f>SUM($Z$34:$Z$34)</f>
        <v>9.3413667654986071E-2</v>
      </c>
      <c r="AB34" s="43">
        <f>SUMIF($L$4:$AA$4,"SUBTOTAL",$L$34:$AA$34)</f>
        <v>33.277088795094691</v>
      </c>
    </row>
    <row r="35" spans="1:28" ht="11.25" customHeight="1" x14ac:dyDescent="0.25">
      <c r="A35" s="127"/>
      <c r="B35" s="51" t="s">
        <v>129</v>
      </c>
      <c r="C35" s="51" t="s">
        <v>45</v>
      </c>
      <c r="D35" s="51" t="s">
        <v>133</v>
      </c>
      <c r="E35" s="51" t="s">
        <v>25</v>
      </c>
      <c r="F35" s="51" t="s">
        <v>25</v>
      </c>
      <c r="G35" s="45" t="s">
        <v>123</v>
      </c>
      <c r="H35" s="45" t="s">
        <v>117</v>
      </c>
      <c r="I35" s="45">
        <f>'MERCADO TE'!$U$32</f>
        <v>0</v>
      </c>
      <c r="J35" s="16"/>
      <c r="L35" s="43">
        <f>'TE BE'!$L$35*'TE BF'!$L$52</f>
        <v>0</v>
      </c>
      <c r="M35" s="43">
        <f>'TE BE'!$M$35*'TE BF'!$M$52</f>
        <v>13.916452005984803</v>
      </c>
      <c r="N35" s="43">
        <f>'TE BE'!$N$35*'TE BF'!$N$52</f>
        <v>0</v>
      </c>
      <c r="O35" s="43">
        <f>'TE BE'!$O$35*'TE BF'!$O$52</f>
        <v>0.71929282055030019</v>
      </c>
      <c r="P35" s="43">
        <f>'TE BE'!$P$35*'TE BF'!$P$52</f>
        <v>0</v>
      </c>
      <c r="Q35" s="43">
        <f>SUM($L$35:$P$35)</f>
        <v>14.635744826535104</v>
      </c>
      <c r="R35" s="43">
        <f>'TE BE'!$R$35*'TE BF'!$R$52</f>
        <v>19.765347486072049</v>
      </c>
      <c r="S35" s="43">
        <f>SUM($R$35:$R$35)</f>
        <v>19.765347486072049</v>
      </c>
      <c r="T35" s="43">
        <f>'TE BE'!$T$35*'TE BF'!$T$52</f>
        <v>-0.33755695463303104</v>
      </c>
      <c r="U35" s="43">
        <f>'TE BE'!$U$35*'TE BF'!$U$52</f>
        <v>0.23893302339418876</v>
      </c>
      <c r="V35" s="43">
        <f>'TE BE'!$V$35*'TE BF'!$V$52</f>
        <v>0</v>
      </c>
      <c r="W35" s="43">
        <f>SUM($T$35:$V$35)</f>
        <v>-9.8623931238842277E-2</v>
      </c>
      <c r="X35" s="43">
        <f>'TE BE'!$AB$35*'TE BF'!$X$52</f>
        <v>0</v>
      </c>
      <c r="Y35" s="43">
        <f>SUM($X$35:$X$35)</f>
        <v>0</v>
      </c>
      <c r="Z35" s="43">
        <f>'TE BE'!$Z$35*'TE BF'!$Z$52</f>
        <v>9.3413667654986071E-2</v>
      </c>
      <c r="AA35" s="43">
        <f>SUM($Z$35:$Z$35)</f>
        <v>9.3413667654986071E-2</v>
      </c>
      <c r="AB35" s="43">
        <f>SUMIF($L$4:$AA$4,"SUBTOTAL",$L$35:$AA$35)</f>
        <v>34.395882049023299</v>
      </c>
    </row>
    <row r="36" spans="1:28" ht="11.25" customHeight="1" x14ac:dyDescent="0.25">
      <c r="A36" s="127"/>
      <c r="B36" s="127" t="s">
        <v>130</v>
      </c>
      <c r="C36" s="127" t="s">
        <v>45</v>
      </c>
      <c r="D36" s="51" t="s">
        <v>25</v>
      </c>
      <c r="E36" s="51" t="s">
        <v>25</v>
      </c>
      <c r="F36" s="51" t="s">
        <v>25</v>
      </c>
      <c r="G36" s="45" t="s">
        <v>123</v>
      </c>
      <c r="H36" s="45" t="s">
        <v>117</v>
      </c>
      <c r="I36" s="45">
        <f>'MERCADO TE'!$U$33</f>
        <v>0</v>
      </c>
      <c r="J36" s="16"/>
      <c r="L36" s="43">
        <f>'TE BE'!$L$36*'TE BF'!$L$52</f>
        <v>0</v>
      </c>
      <c r="M36" s="43">
        <f>'TE BE'!$M$36*'TE BF'!$M$52</f>
        <v>13.916452005984803</v>
      </c>
      <c r="N36" s="43">
        <f>'TE BE'!$N$36*'TE BF'!$N$52</f>
        <v>0</v>
      </c>
      <c r="O36" s="43">
        <f>'TE BE'!$O$36*'TE BF'!$O$52</f>
        <v>0.71929282055030019</v>
      </c>
      <c r="P36" s="43">
        <f>'TE BE'!$P$36*'TE BF'!$P$52</f>
        <v>0</v>
      </c>
      <c r="Q36" s="43">
        <f>SUM($L$36:$P$36)</f>
        <v>14.635744826535104</v>
      </c>
      <c r="R36" s="43">
        <f>'TE BE'!$R$36*'TE BF'!$R$52</f>
        <v>19.765347486072049</v>
      </c>
      <c r="S36" s="43">
        <f>SUM($R$36:$R$36)</f>
        <v>19.765347486072049</v>
      </c>
      <c r="T36" s="43">
        <f>'TE BE'!$T$36*'TE BF'!$T$52</f>
        <v>-0.33755695463303104</v>
      </c>
      <c r="U36" s="43">
        <f>'TE BE'!$U$36*'TE BF'!$U$52</f>
        <v>0.23893302339418876</v>
      </c>
      <c r="V36" s="43">
        <f>'TE BE'!$V$36*'TE BF'!$V$52</f>
        <v>0</v>
      </c>
      <c r="W36" s="43">
        <f>SUM($T$36:$V$36)</f>
        <v>-9.8623931238842277E-2</v>
      </c>
      <c r="X36" s="43">
        <f>'TE BE'!$AB$36*'TE BF'!$X$52</f>
        <v>0</v>
      </c>
      <c r="Y36" s="43">
        <f>SUM($X$36:$X$36)</f>
        <v>0</v>
      </c>
      <c r="Z36" s="43">
        <f>'TE BE'!$Z$36*'TE BF'!$Z$52</f>
        <v>9.3413667654986071E-2</v>
      </c>
      <c r="AA36" s="43">
        <f>SUM($Z$36:$Z$36)</f>
        <v>9.3413667654986071E-2</v>
      </c>
      <c r="AB36" s="43">
        <f>SUMIF($L$4:$AA$4,"SUBTOTAL",$L$36:$AA$36)</f>
        <v>34.395882049023299</v>
      </c>
    </row>
    <row r="37" spans="1:28" ht="11.25" customHeight="1" x14ac:dyDescent="0.25">
      <c r="A37" s="127"/>
      <c r="B37" s="127"/>
      <c r="C37" s="127"/>
      <c r="D37" s="51" t="s">
        <v>132</v>
      </c>
      <c r="E37" s="51" t="s">
        <v>25</v>
      </c>
      <c r="F37" s="51" t="s">
        <v>25</v>
      </c>
      <c r="G37" s="45" t="s">
        <v>123</v>
      </c>
      <c r="H37" s="45" t="s">
        <v>117</v>
      </c>
      <c r="I37" s="45">
        <f>'MERCADO TE'!$U$34</f>
        <v>0</v>
      </c>
      <c r="J37" s="16"/>
      <c r="L37" s="43">
        <f>'TE BE'!$L$37*'TE BF'!$L$52</f>
        <v>0</v>
      </c>
      <c r="M37" s="43">
        <f>'TE BE'!$M$37*'TE BF'!$M$52</f>
        <v>13.916452005984803</v>
      </c>
      <c r="N37" s="43">
        <f>'TE BE'!$N$37*'TE BF'!$N$52</f>
        <v>0</v>
      </c>
      <c r="O37" s="43">
        <f>'TE BE'!$O$37*'TE BF'!$O$52</f>
        <v>0.71929282055030019</v>
      </c>
      <c r="P37" s="43">
        <f>'TE BE'!$P$37*'TE BF'!$P$52</f>
        <v>0</v>
      </c>
      <c r="Q37" s="43">
        <f>SUM($L$37:$P$37)</f>
        <v>14.635744826535104</v>
      </c>
      <c r="R37" s="43">
        <f>'TE BE'!$R$37*'TE BF'!$R$52</f>
        <v>19.765347486072049</v>
      </c>
      <c r="S37" s="43">
        <f>SUM($R$37:$R$37)</f>
        <v>19.765347486072049</v>
      </c>
      <c r="T37" s="43">
        <f>'TE BE'!$T$37*'TE BF'!$T$52</f>
        <v>-0.33755695463303104</v>
      </c>
      <c r="U37" s="43">
        <f>'TE BE'!$U$37*'TE BF'!$U$52</f>
        <v>0.23893302339418876</v>
      </c>
      <c r="V37" s="43">
        <f>'TE BE'!$V$37*'TE BF'!$V$52</f>
        <v>0</v>
      </c>
      <c r="W37" s="43">
        <f>SUM($T$37:$V$37)</f>
        <v>-9.8623931238842277E-2</v>
      </c>
      <c r="X37" s="43">
        <f>'TE BE'!$AB$37*'TE BF'!$X$52</f>
        <v>0</v>
      </c>
      <c r="Y37" s="43">
        <f>SUM($X$37:$X$37)</f>
        <v>0</v>
      </c>
      <c r="Z37" s="43">
        <f>'TE BE'!$Z$37*'TE BF'!$Z$52</f>
        <v>9.3413667654986071E-2</v>
      </c>
      <c r="AA37" s="43">
        <f>SUM($Z$37:$Z$37)</f>
        <v>9.3413667654986071E-2</v>
      </c>
      <c r="AB37" s="43">
        <f>SUMIF($L$4:$AA$4,"SUBTOTAL",$L$37:$AA$37)</f>
        <v>34.395882049023299</v>
      </c>
    </row>
    <row r="38" spans="1:28" ht="11.25" customHeight="1" x14ac:dyDescent="0.25">
      <c r="A38" s="127"/>
      <c r="B38" s="127"/>
      <c r="C38" s="127"/>
      <c r="D38" s="51" t="s">
        <v>133</v>
      </c>
      <c r="E38" s="51" t="s">
        <v>25</v>
      </c>
      <c r="F38" s="51" t="s">
        <v>25</v>
      </c>
      <c r="G38" s="45" t="s">
        <v>123</v>
      </c>
      <c r="H38" s="45" t="s">
        <v>117</v>
      </c>
      <c r="I38" s="45">
        <f>'MERCADO TE'!$U$35</f>
        <v>0</v>
      </c>
      <c r="J38" s="16"/>
      <c r="L38" s="43">
        <f>'TE BE'!$L$38*'TE BF'!$L$52</f>
        <v>0</v>
      </c>
      <c r="M38" s="43">
        <f>'TE BE'!$M$38*'TE BF'!$M$52</f>
        <v>13.916452005984803</v>
      </c>
      <c r="N38" s="43">
        <f>'TE BE'!$N$38*'TE BF'!$N$52</f>
        <v>0</v>
      </c>
      <c r="O38" s="43">
        <f>'TE BE'!$O$38*'TE BF'!$O$52</f>
        <v>0.71929282055030019</v>
      </c>
      <c r="P38" s="43">
        <f>'TE BE'!$P$38*'TE BF'!$P$52</f>
        <v>0</v>
      </c>
      <c r="Q38" s="43">
        <f>SUM($L$38:$P$38)</f>
        <v>14.635744826535104</v>
      </c>
      <c r="R38" s="43">
        <f>'TE BE'!$R$38*'TE BF'!$R$52</f>
        <v>19.765347486072049</v>
      </c>
      <c r="S38" s="43">
        <f>SUM($R$38:$R$38)</f>
        <v>19.765347486072049</v>
      </c>
      <c r="T38" s="43">
        <f>'TE BE'!$T$38*'TE BF'!$T$52</f>
        <v>-0.33755695463303104</v>
      </c>
      <c r="U38" s="43">
        <f>'TE BE'!$U$38*'TE BF'!$U$52</f>
        <v>0.23893302339418876</v>
      </c>
      <c r="V38" s="43">
        <f>'TE BE'!$V$38*'TE BF'!$V$52</f>
        <v>0</v>
      </c>
      <c r="W38" s="43">
        <f>SUM($T$38:$V$38)</f>
        <v>-9.8623931238842277E-2</v>
      </c>
      <c r="X38" s="43">
        <f>'TE BE'!$AB$38*'TE BF'!$X$52</f>
        <v>0</v>
      </c>
      <c r="Y38" s="43">
        <f>SUM($X$38:$X$38)</f>
        <v>0</v>
      </c>
      <c r="Z38" s="43">
        <f>'TE BE'!$Z$38*'TE BF'!$Z$52</f>
        <v>9.3413667654986071E-2</v>
      </c>
      <c r="AA38" s="43">
        <f>SUM($Z$38:$Z$38)</f>
        <v>9.3413667654986071E-2</v>
      </c>
      <c r="AB38" s="43">
        <f>SUMIF($L$4:$AA$4,"SUBTOTAL",$L$38:$AA$38)</f>
        <v>34.395882049023299</v>
      </c>
    </row>
    <row r="39" spans="1:28" ht="11.25" customHeight="1" x14ac:dyDescent="0.25">
      <c r="A39" s="127" t="s">
        <v>37</v>
      </c>
      <c r="B39" s="127" t="s">
        <v>116</v>
      </c>
      <c r="C39" s="127" t="s">
        <v>25</v>
      </c>
      <c r="D39" s="127" t="s">
        <v>25</v>
      </c>
      <c r="E39" s="127" t="s">
        <v>25</v>
      </c>
      <c r="F39" s="127" t="s">
        <v>25</v>
      </c>
      <c r="G39" s="45" t="s">
        <v>118</v>
      </c>
      <c r="H39" s="45" t="s">
        <v>117</v>
      </c>
      <c r="I39" s="45">
        <f>'MERCADO TE'!$U$36</f>
        <v>31.868999999999996</v>
      </c>
      <c r="J39" s="16"/>
      <c r="L39" s="43">
        <f>'TE BE'!$L$39*'TE BF'!$L$52</f>
        <v>0</v>
      </c>
      <c r="M39" s="43">
        <f>'TE BE'!$M$39*'TE BF'!$M$52</f>
        <v>13.916452005984803</v>
      </c>
      <c r="N39" s="43">
        <f>'TE BE'!$N$39*'TE BF'!$N$52</f>
        <v>0</v>
      </c>
      <c r="O39" s="43">
        <f>'TE BE'!$O$39*'TE BF'!$O$52</f>
        <v>0.71929282055030019</v>
      </c>
      <c r="P39" s="43">
        <f>'TE BE'!$P$39*'TE BF'!$P$52</f>
        <v>0</v>
      </c>
      <c r="Q39" s="43">
        <f>SUM($L$39:$P$39)</f>
        <v>14.635744826535104</v>
      </c>
      <c r="R39" s="43">
        <f>'TE BE'!$R$39*'TE BF'!$R$52</f>
        <v>32.07207327928672</v>
      </c>
      <c r="S39" s="43">
        <f>SUM($R$39:$R$39)</f>
        <v>32.07207327928672</v>
      </c>
      <c r="T39" s="43">
        <f>'TE BE'!$T$39*'TE BF'!$T$52</f>
        <v>-0.33755695463303104</v>
      </c>
      <c r="U39" s="43">
        <f>'TE BE'!$U$39*'TE BF'!$U$52</f>
        <v>0.23893302339418876</v>
      </c>
      <c r="V39" s="43">
        <f>'TE BE'!$V$39*'TE BF'!$V$52</f>
        <v>0</v>
      </c>
      <c r="W39" s="43">
        <f>SUM($T$39:$V$39)</f>
        <v>-9.8623931238842277E-2</v>
      </c>
      <c r="X39" s="43">
        <f>'TE BE'!$AB$39*'TE BF'!$X$52</f>
        <v>0</v>
      </c>
      <c r="Y39" s="43">
        <f>SUM($X$39:$X$39)</f>
        <v>0</v>
      </c>
      <c r="Z39" s="43">
        <f>'TE BE'!$Z$39*'TE BF'!$Z$52</f>
        <v>9.3413667654986071E-2</v>
      </c>
      <c r="AA39" s="43">
        <f>SUM($Z$39:$Z$39)</f>
        <v>9.3413667654986071E-2</v>
      </c>
      <c r="AB39" s="43">
        <f>SUMIF($L$4:$AA$4,"SUBTOTAL",$L$39:$AA$39)</f>
        <v>46.702607842237967</v>
      </c>
    </row>
    <row r="40" spans="1:28" ht="11.25" customHeight="1" x14ac:dyDescent="0.25">
      <c r="A40" s="127"/>
      <c r="B40" s="127"/>
      <c r="C40" s="127"/>
      <c r="D40" s="127"/>
      <c r="E40" s="127"/>
      <c r="F40" s="127"/>
      <c r="G40" s="45" t="s">
        <v>128</v>
      </c>
      <c r="H40" s="45" t="s">
        <v>117</v>
      </c>
      <c r="I40" s="45">
        <f>'MERCADO TE'!$U$37</f>
        <v>31.273999999999997</v>
      </c>
      <c r="J40" s="16"/>
      <c r="L40" s="43">
        <f>'TE BE'!$L$40*'TE BF'!$L$52</f>
        <v>0</v>
      </c>
      <c r="M40" s="43">
        <f>'TE BE'!$M$40*'TE BF'!$M$52</f>
        <v>13.916452005984803</v>
      </c>
      <c r="N40" s="43">
        <f>'TE BE'!$N$40*'TE BF'!$N$52</f>
        <v>0</v>
      </c>
      <c r="O40" s="43">
        <f>'TE BE'!$O$40*'TE BF'!$O$52</f>
        <v>0.71929282055030019</v>
      </c>
      <c r="P40" s="43">
        <f>'TE BE'!$P$40*'TE BF'!$P$52</f>
        <v>0</v>
      </c>
      <c r="Q40" s="43">
        <f>SUM($L$40:$P$40)</f>
        <v>14.635744826535104</v>
      </c>
      <c r="R40" s="43">
        <f>'TE BE'!$R$40*'TE BF'!$R$52</f>
        <v>18.646554232143441</v>
      </c>
      <c r="S40" s="43">
        <f>SUM($R$40:$R$40)</f>
        <v>18.646554232143441</v>
      </c>
      <c r="T40" s="43">
        <f>'TE BE'!$T$40*'TE BF'!$T$52</f>
        <v>-0.33755695463303104</v>
      </c>
      <c r="U40" s="43">
        <f>'TE BE'!$U$40*'TE BF'!$U$52</f>
        <v>0.23893302339418876</v>
      </c>
      <c r="V40" s="43">
        <f>'TE BE'!$V$40*'TE BF'!$V$52</f>
        <v>0</v>
      </c>
      <c r="W40" s="43">
        <f>SUM($T$40:$V$40)</f>
        <v>-9.8623931238842277E-2</v>
      </c>
      <c r="X40" s="43">
        <f>'TE BE'!$AB$40*'TE BF'!$X$52</f>
        <v>0</v>
      </c>
      <c r="Y40" s="43">
        <f>SUM($X$40:$X$40)</f>
        <v>0</v>
      </c>
      <c r="Z40" s="43">
        <f>'TE BE'!$Z$40*'TE BF'!$Z$52</f>
        <v>9.3413667654986071E-2</v>
      </c>
      <c r="AA40" s="43">
        <f>SUM($Z$40:$Z$40)</f>
        <v>9.3413667654986071E-2</v>
      </c>
      <c r="AB40" s="43">
        <f>SUMIF($L$4:$AA$4,"SUBTOTAL",$L$40:$AA$40)</f>
        <v>33.277088795094691</v>
      </c>
    </row>
    <row r="41" spans="1:28" ht="11.25" customHeight="1" x14ac:dyDescent="0.25">
      <c r="A41" s="127"/>
      <c r="B41" s="127"/>
      <c r="C41" s="127"/>
      <c r="D41" s="127"/>
      <c r="E41" s="127"/>
      <c r="F41" s="127"/>
      <c r="G41" s="45" t="s">
        <v>119</v>
      </c>
      <c r="H41" s="45" t="s">
        <v>117</v>
      </c>
      <c r="I41" s="45">
        <f>'MERCADO TE'!$U$38</f>
        <v>381.83600000000001</v>
      </c>
      <c r="J41" s="16"/>
      <c r="L41" s="43">
        <f>'TE BE'!$L$41*'TE BF'!$L$52</f>
        <v>0</v>
      </c>
      <c r="M41" s="43">
        <f>'TE BE'!$M$41*'TE BF'!$M$52</f>
        <v>13.916452005984803</v>
      </c>
      <c r="N41" s="43">
        <f>'TE BE'!$N$41*'TE BF'!$N$52</f>
        <v>0</v>
      </c>
      <c r="O41" s="43">
        <f>'TE BE'!$O$41*'TE BF'!$O$52</f>
        <v>0.71929282055030019</v>
      </c>
      <c r="P41" s="43">
        <f>'TE BE'!$P$41*'TE BF'!$P$52</f>
        <v>0</v>
      </c>
      <c r="Q41" s="43">
        <f>SUM($L$41:$P$41)</f>
        <v>14.635744826535104</v>
      </c>
      <c r="R41" s="43">
        <f>'TE BE'!$R$41*'TE BF'!$R$52</f>
        <v>18.646554232143441</v>
      </c>
      <c r="S41" s="43">
        <f>SUM($R$41:$R$41)</f>
        <v>18.646554232143441</v>
      </c>
      <c r="T41" s="43">
        <f>'TE BE'!$T$41*'TE BF'!$T$52</f>
        <v>-0.33755695463303104</v>
      </c>
      <c r="U41" s="43">
        <f>'TE BE'!$U$41*'TE BF'!$U$52</f>
        <v>0.23893302339418876</v>
      </c>
      <c r="V41" s="43">
        <f>'TE BE'!$V$41*'TE BF'!$V$52</f>
        <v>0</v>
      </c>
      <c r="W41" s="43">
        <f>SUM($T$41:$V$41)</f>
        <v>-9.8623931238842277E-2</v>
      </c>
      <c r="X41" s="43">
        <f>'TE BE'!$AB$41*'TE BF'!$X$52</f>
        <v>0</v>
      </c>
      <c r="Y41" s="43">
        <f>SUM($X$41:$X$41)</f>
        <v>0</v>
      </c>
      <c r="Z41" s="43">
        <f>'TE BE'!$Z$41*'TE BF'!$Z$52</f>
        <v>9.3413667654986071E-2</v>
      </c>
      <c r="AA41" s="43">
        <f>SUM($Z$41:$Z$41)</f>
        <v>9.3413667654986071E-2</v>
      </c>
      <c r="AB41" s="43">
        <f>SUMIF($L$4:$AA$4,"SUBTOTAL",$L$41:$AA$41)</f>
        <v>33.277088795094691</v>
      </c>
    </row>
    <row r="42" spans="1:28" ht="11.25" customHeight="1" x14ac:dyDescent="0.25">
      <c r="A42" s="127"/>
      <c r="B42" s="51" t="s">
        <v>129</v>
      </c>
      <c r="C42" s="51" t="s">
        <v>25</v>
      </c>
      <c r="D42" s="51" t="s">
        <v>25</v>
      </c>
      <c r="E42" s="51" t="s">
        <v>25</v>
      </c>
      <c r="F42" s="51" t="s">
        <v>25</v>
      </c>
      <c r="G42" s="45" t="s">
        <v>123</v>
      </c>
      <c r="H42" s="45" t="s">
        <v>117</v>
      </c>
      <c r="I42" s="45">
        <f>'MERCADO TE'!$U$39</f>
        <v>226492.11000000002</v>
      </c>
      <c r="J42" s="16"/>
      <c r="L42" s="43">
        <f>'TE BE'!$L$42*'TE BF'!$L$52</f>
        <v>0</v>
      </c>
      <c r="M42" s="43">
        <f>'TE BE'!$M$42*'TE BF'!$M$52</f>
        <v>13.916452005984803</v>
      </c>
      <c r="N42" s="43">
        <f>'TE BE'!$N$42*'TE BF'!$N$52</f>
        <v>0</v>
      </c>
      <c r="O42" s="43">
        <f>'TE BE'!$O$42*'TE BF'!$O$52</f>
        <v>0.71929282055030019</v>
      </c>
      <c r="P42" s="43">
        <f>'TE BE'!$P$42*'TE BF'!$P$52</f>
        <v>0</v>
      </c>
      <c r="Q42" s="43">
        <f>SUM($L$42:$P$42)</f>
        <v>14.635744826535104</v>
      </c>
      <c r="R42" s="43">
        <f>'TE BE'!$R$42*'TE BF'!$R$52</f>
        <v>19.765347486072049</v>
      </c>
      <c r="S42" s="43">
        <f>SUM($R$42:$R$42)</f>
        <v>19.765347486072049</v>
      </c>
      <c r="T42" s="43">
        <f>'TE BE'!$T$42*'TE BF'!$T$52</f>
        <v>-0.33755695463303104</v>
      </c>
      <c r="U42" s="43">
        <f>'TE BE'!$U$42*'TE BF'!$U$52</f>
        <v>0.23893302339418876</v>
      </c>
      <c r="V42" s="43">
        <f>'TE BE'!$V$42*'TE BF'!$V$52</f>
        <v>0</v>
      </c>
      <c r="W42" s="43">
        <f>SUM($T$42:$V$42)</f>
        <v>-9.8623931238842277E-2</v>
      </c>
      <c r="X42" s="43">
        <f>'TE BE'!$AB$42*'TE BF'!$X$52</f>
        <v>0</v>
      </c>
      <c r="Y42" s="43">
        <f>SUM($X$42:$X$42)</f>
        <v>0</v>
      </c>
      <c r="Z42" s="43">
        <f>'TE BE'!$Z$42*'TE BF'!$Z$52</f>
        <v>9.3413667654986071E-2</v>
      </c>
      <c r="AA42" s="43">
        <f>SUM($Z$42:$Z$42)</f>
        <v>9.3413667654986071E-2</v>
      </c>
      <c r="AB42" s="43">
        <f>SUMIF($L$4:$AA$4,"SUBTOTAL",$L$42:$AA$42)</f>
        <v>34.395882049023299</v>
      </c>
    </row>
    <row r="43" spans="1:28" ht="11.25" customHeight="1" x14ac:dyDescent="0.25">
      <c r="A43" s="127"/>
      <c r="B43" s="51" t="s">
        <v>130</v>
      </c>
      <c r="C43" s="51" t="s">
        <v>25</v>
      </c>
      <c r="D43" s="51" t="s">
        <v>25</v>
      </c>
      <c r="E43" s="51" t="s">
        <v>25</v>
      </c>
      <c r="F43" s="51" t="s">
        <v>25</v>
      </c>
      <c r="G43" s="45" t="s">
        <v>123</v>
      </c>
      <c r="H43" s="45" t="s">
        <v>117</v>
      </c>
      <c r="I43" s="45">
        <f>'MERCADO TE'!$U$40</f>
        <v>0</v>
      </c>
      <c r="J43" s="16"/>
      <c r="L43" s="43">
        <f>'TE BE'!$L$43*'TE BF'!$L$52</f>
        <v>0</v>
      </c>
      <c r="M43" s="43">
        <f>'TE BE'!$M$43*'TE BF'!$M$52</f>
        <v>13.916452005984803</v>
      </c>
      <c r="N43" s="43">
        <f>'TE BE'!$N$43*'TE BF'!$N$52</f>
        <v>0</v>
      </c>
      <c r="O43" s="43">
        <f>'TE BE'!$O$43*'TE BF'!$O$52</f>
        <v>0.71929282055030019</v>
      </c>
      <c r="P43" s="43">
        <f>'TE BE'!$P$43*'TE BF'!$P$52</f>
        <v>0</v>
      </c>
      <c r="Q43" s="43">
        <f>SUM($L$43:$P$43)</f>
        <v>14.635744826535104</v>
      </c>
      <c r="R43" s="43">
        <f>'TE BE'!$R$43*'TE BF'!$R$52</f>
        <v>19.765347486072049</v>
      </c>
      <c r="S43" s="43">
        <f>SUM($R$43:$R$43)</f>
        <v>19.765347486072049</v>
      </c>
      <c r="T43" s="43">
        <f>'TE BE'!$T$43*'TE BF'!$T$52</f>
        <v>-0.33755695463303104</v>
      </c>
      <c r="U43" s="43">
        <f>'TE BE'!$U$43*'TE BF'!$U$52</f>
        <v>0.23893302339418876</v>
      </c>
      <c r="V43" s="43">
        <f>'TE BE'!$V$43*'TE BF'!$V$52</f>
        <v>0</v>
      </c>
      <c r="W43" s="43">
        <f>SUM($T$43:$V$43)</f>
        <v>-9.8623931238842277E-2</v>
      </c>
      <c r="X43" s="43">
        <f>'TE BE'!$AB$43*'TE BF'!$X$52</f>
        <v>0</v>
      </c>
      <c r="Y43" s="43">
        <f>SUM($X$43:$X$43)</f>
        <v>0</v>
      </c>
      <c r="Z43" s="43">
        <f>'TE BE'!$Z$43*'TE BF'!$Z$52</f>
        <v>9.3413667654986071E-2</v>
      </c>
      <c r="AA43" s="43">
        <f>SUM($Z$43:$Z$43)</f>
        <v>9.3413667654986071E-2</v>
      </c>
      <c r="AB43" s="43">
        <f>SUMIF($L$4:$AA$4,"SUBTOTAL",$L$43:$AA$43)</f>
        <v>34.395882049023299</v>
      </c>
    </row>
    <row r="44" spans="1:28" ht="11.25" customHeight="1" x14ac:dyDescent="0.25">
      <c r="A44" s="127" t="s">
        <v>47</v>
      </c>
      <c r="B44" s="127" t="s">
        <v>129</v>
      </c>
      <c r="C44" s="127" t="s">
        <v>48</v>
      </c>
      <c r="D44" s="51" t="s">
        <v>49</v>
      </c>
      <c r="E44" s="51" t="s">
        <v>25</v>
      </c>
      <c r="F44" s="51" t="s">
        <v>25</v>
      </c>
      <c r="G44" s="45" t="s">
        <v>123</v>
      </c>
      <c r="H44" s="45" t="s">
        <v>117</v>
      </c>
      <c r="I44" s="45">
        <f>'MERCADO TE'!$U$41</f>
        <v>81306.822999999989</v>
      </c>
      <c r="J44" s="16"/>
      <c r="L44" s="43">
        <f>'TE BE'!$L$44*'TE BF'!$L$52</f>
        <v>0</v>
      </c>
      <c r="M44" s="43">
        <f>'TE BE'!$M$44*'TE BF'!$M$52</f>
        <v>7.6540486032916428</v>
      </c>
      <c r="N44" s="43">
        <f>'TE BE'!$N$44*'TE BF'!$N$52</f>
        <v>0</v>
      </c>
      <c r="O44" s="43">
        <f>'TE BE'!$O$44*'TE BF'!$O$52</f>
        <v>0.39561105130266516</v>
      </c>
      <c r="P44" s="43">
        <f>'TE BE'!$P$44*'TE BF'!$P$52</f>
        <v>0</v>
      </c>
      <c r="Q44" s="43">
        <f>SUM($L$44:$P$44)</f>
        <v>8.0496596545943078</v>
      </c>
      <c r="R44" s="43">
        <f>'TE BE'!$R$44*'TE BF'!$R$52</f>
        <v>10.870941117339628</v>
      </c>
      <c r="S44" s="43">
        <f>SUM($R$44:$R$44)</f>
        <v>10.870941117339628</v>
      </c>
      <c r="T44" s="43">
        <f>'TE BE'!$T$44*'TE BF'!$T$52</f>
        <v>-0.18565632504816709</v>
      </c>
      <c r="U44" s="43">
        <f>'TE BE'!$U$44*'TE BF'!$U$52</f>
        <v>0.13141316286680382</v>
      </c>
      <c r="V44" s="43">
        <f>'TE BE'!$V$44*'TE BF'!$V$52</f>
        <v>0</v>
      </c>
      <c r="W44" s="43">
        <f>SUM($T$44:$V$44)</f>
        <v>-5.4243162181363269E-2</v>
      </c>
      <c r="X44" s="43">
        <f>'TE BE'!$AB$44*'TE BF'!$X$52</f>
        <v>0</v>
      </c>
      <c r="Y44" s="43">
        <f>SUM($X$44:$X$44)</f>
        <v>0</v>
      </c>
      <c r="Z44" s="43">
        <f>'TE BE'!$Z$44*'TE BF'!$Z$52</f>
        <v>5.1377517210242342E-2</v>
      </c>
      <c r="AA44" s="43">
        <f>SUM($Z$44:$Z$44)</f>
        <v>5.1377517210242342E-2</v>
      </c>
      <c r="AB44" s="43">
        <f>SUMIF($L$4:$AA$4,"SUBTOTAL",$L$44:$AA$44)</f>
        <v>18.91773512696281</v>
      </c>
    </row>
    <row r="45" spans="1:28" ht="11.25" customHeight="1" x14ac:dyDescent="0.25">
      <c r="A45" s="127"/>
      <c r="B45" s="127"/>
      <c r="C45" s="127"/>
      <c r="D45" s="45" t="s">
        <v>50</v>
      </c>
      <c r="E45" s="45" t="s">
        <v>25</v>
      </c>
      <c r="F45" s="45" t="s">
        <v>25</v>
      </c>
      <c r="G45" s="45" t="s">
        <v>123</v>
      </c>
      <c r="H45" s="45" t="s">
        <v>117</v>
      </c>
      <c r="I45" s="45">
        <f>'MERCADO TE'!$U$42</f>
        <v>1579.0179999999998</v>
      </c>
      <c r="J45" s="16"/>
      <c r="L45" s="43">
        <f>'TE BE'!$L$45*'TE BF'!$L$52</f>
        <v>0</v>
      </c>
      <c r="M45" s="43">
        <f>'TE BE'!$M$45*'TE BF'!$M$52</f>
        <v>8.3498712035908831</v>
      </c>
      <c r="N45" s="43">
        <f>'TE BE'!$N$45*'TE BF'!$N$52</f>
        <v>0</v>
      </c>
      <c r="O45" s="43">
        <f>'TE BE'!$O$45*'TE BF'!$O$52</f>
        <v>0.43157569233018012</v>
      </c>
      <c r="P45" s="43">
        <f>'TE BE'!$P$45*'TE BF'!$P$52</f>
        <v>0</v>
      </c>
      <c r="Q45" s="43">
        <f>SUM($L$45:$P$45)</f>
        <v>8.7814468959210625</v>
      </c>
      <c r="R45" s="43">
        <f>'TE BE'!$R$45*'TE BF'!$R$52</f>
        <v>11.859208491643228</v>
      </c>
      <c r="S45" s="43">
        <f>SUM($R$45:$R$45)</f>
        <v>11.859208491643228</v>
      </c>
      <c r="T45" s="43">
        <f>'TE BE'!$T$45*'TE BF'!$T$52</f>
        <v>-0.20253417277981861</v>
      </c>
      <c r="U45" s="43">
        <f>'TE BE'!$U$45*'TE BF'!$U$52</f>
        <v>0.14335981403651324</v>
      </c>
      <c r="V45" s="43">
        <f>'TE BE'!$V$45*'TE BF'!$V$52</f>
        <v>0</v>
      </c>
      <c r="W45" s="43">
        <f>SUM($T$45:$V$45)</f>
        <v>-5.9174358743305372E-2</v>
      </c>
      <c r="X45" s="43">
        <f>'TE BE'!$AB$45*'TE BF'!$X$52</f>
        <v>0</v>
      </c>
      <c r="Y45" s="43">
        <f>SUM($X$45:$X$45)</f>
        <v>0</v>
      </c>
      <c r="Z45" s="43">
        <f>'TE BE'!$Z$45*'TE BF'!$Z$52</f>
        <v>5.6048200592991641E-2</v>
      </c>
      <c r="AA45" s="43">
        <f>SUM($Z$45:$Z$45)</f>
        <v>5.6048200592991641E-2</v>
      </c>
      <c r="AB45" s="43">
        <f>SUMIF($L$4:$AA$4,"SUBTOTAL",$L$45:$AA$45)</f>
        <v>20.637529229413975</v>
      </c>
    </row>
    <row r="47" spans="1:28" ht="11.25" customHeight="1" x14ac:dyDescent="0.25">
      <c r="K47" s="50" t="s">
        <v>1056</v>
      </c>
      <c r="L47" s="43">
        <f t="shared" ref="L47:AB47" si="0">SUMPRODUCT($I$5:$I$45,L$5:L$45)</f>
        <v>0</v>
      </c>
      <c r="M47" s="43">
        <f t="shared" si="0"/>
        <v>15865968.807699999</v>
      </c>
      <c r="N47" s="43">
        <f t="shared" si="0"/>
        <v>0</v>
      </c>
      <c r="O47" s="43">
        <f t="shared" si="0"/>
        <v>820056.53808497591</v>
      </c>
      <c r="P47" s="43">
        <f t="shared" si="0"/>
        <v>0</v>
      </c>
      <c r="Q47" s="43">
        <f t="shared" si="0"/>
        <v>16686025.345784977</v>
      </c>
      <c r="R47" s="43">
        <f t="shared" si="0"/>
        <v>22478673.272212062</v>
      </c>
      <c r="S47" s="43">
        <f t="shared" si="0"/>
        <v>22478673.272212062</v>
      </c>
      <c r="T47" s="43">
        <f t="shared" si="0"/>
        <v>-384844.36340000003</v>
      </c>
      <c r="U47" s="43">
        <f t="shared" si="0"/>
        <v>272404.48173653503</v>
      </c>
      <c r="V47" s="43">
        <f t="shared" si="0"/>
        <v>0</v>
      </c>
      <c r="W47" s="43">
        <f t="shared" si="0"/>
        <v>-112439.88166346498</v>
      </c>
      <c r="X47" s="43">
        <f t="shared" si="0"/>
        <v>0</v>
      </c>
      <c r="Y47" s="43">
        <f t="shared" si="0"/>
        <v>0</v>
      </c>
      <c r="Z47" s="43">
        <f t="shared" si="0"/>
        <v>106499.72684053978</v>
      </c>
      <c r="AA47" s="43">
        <f t="shared" si="0"/>
        <v>106499.72684053978</v>
      </c>
      <c r="AB47" s="43">
        <f t="shared" si="0"/>
        <v>39158758.463174127</v>
      </c>
    </row>
    <row r="48" spans="1:28" ht="11.25" customHeight="1" x14ac:dyDescent="0.25">
      <c r="K48" s="50" t="s">
        <v>992</v>
      </c>
      <c r="L48" s="43">
        <f>CUSTOS!$D$30</f>
        <v>3660581.106714922</v>
      </c>
      <c r="M48" s="43">
        <f>CUSTOS!$D$31</f>
        <v>14736731.351028152</v>
      </c>
      <c r="N48" s="43">
        <f>CUSTOS!$D$32</f>
        <v>0</v>
      </c>
      <c r="O48" s="43">
        <f>CUSTOS!$D$33</f>
        <v>12214113.286631148</v>
      </c>
      <c r="P48" s="43">
        <f>CUSTOS!$D$34</f>
        <v>-19890000</v>
      </c>
      <c r="Q48" s="43">
        <f>CUSTOS!$D$35</f>
        <v>10721425.744374223</v>
      </c>
      <c r="R48" s="43">
        <f>CUSTOS!$D$36</f>
        <v>338416914.13455844</v>
      </c>
      <c r="S48" s="43">
        <f>CUSTOS!$D$37</f>
        <v>338416914.13455844</v>
      </c>
      <c r="T48" s="43">
        <f>CUSTOS!$D$38</f>
        <v>5890129.4745977521</v>
      </c>
      <c r="U48" s="43">
        <f>CUSTOS!$D$39</f>
        <v>4895139.6684207348</v>
      </c>
      <c r="V48" s="43">
        <f>CUSTOS!$D$40</f>
        <v>0</v>
      </c>
      <c r="W48" s="43">
        <f>CUSTOS!$D$41</f>
        <v>10785269.143018488</v>
      </c>
      <c r="X48" s="43">
        <f>CUSTOS!$D$42</f>
        <v>0</v>
      </c>
      <c r="Y48" s="43">
        <f>CUSTOS!$D$43</f>
        <v>0</v>
      </c>
      <c r="Z48" s="43">
        <f>CUSTOS!$D$44</f>
        <v>1603355.699737974</v>
      </c>
      <c r="AA48" s="43">
        <f>CUSTOS!$D$45</f>
        <v>1603355.699737974</v>
      </c>
      <c r="AB48" s="43">
        <f>CUSTOS!$D$46</f>
        <v>361526964.72168911</v>
      </c>
    </row>
    <row r="49" spans="11:28" ht="11.25" customHeight="1" x14ac:dyDescent="0.25">
      <c r="K49" s="50" t="s">
        <v>993</v>
      </c>
      <c r="L49" s="43">
        <f>CUSTOS!$E$30</f>
        <v>-2.0787998395881386</v>
      </c>
      <c r="M49" s="43">
        <f>CUSTOS!$E$31</f>
        <v>-3085583.4352911115</v>
      </c>
      <c r="N49" s="43">
        <f>CUSTOS!$E$32</f>
        <v>0</v>
      </c>
      <c r="O49" s="43">
        <f>CUSTOS!$E$33</f>
        <v>5965711.8347441349</v>
      </c>
      <c r="P49" s="43">
        <f>CUSTOS!$E$34</f>
        <v>0</v>
      </c>
      <c r="Q49" s="43">
        <f>CUSTOS!$E$35</f>
        <v>2880126.3206531839</v>
      </c>
      <c r="R49" s="43">
        <f>CUSTOS!$E$36</f>
        <v>-31353630.145635135</v>
      </c>
      <c r="S49" s="43">
        <f>CUSTOS!$E$37</f>
        <v>-31353630.145635135</v>
      </c>
      <c r="T49" s="43">
        <f>CUSTOS!$E$38</f>
        <v>2577326.8666546531</v>
      </c>
      <c r="U49" s="43">
        <f>CUSTOS!$E$39</f>
        <v>352547.98520048341</v>
      </c>
      <c r="V49" s="43">
        <f>CUSTOS!$E$40</f>
        <v>0</v>
      </c>
      <c r="W49" s="43">
        <f>CUSTOS!$E$41</f>
        <v>2929874.8518551365</v>
      </c>
      <c r="X49" s="43">
        <f>CUSTOS!$E$42</f>
        <v>0</v>
      </c>
      <c r="Y49" s="43">
        <f>CUSTOS!$E$43</f>
        <v>0</v>
      </c>
      <c r="Z49" s="43">
        <f>CUSTOS!$E$44</f>
        <v>-148547.60356774638</v>
      </c>
      <c r="AA49" s="43">
        <f>CUSTOS!$E$45</f>
        <v>-148547.60356774638</v>
      </c>
      <c r="AB49" s="43">
        <f>CUSTOS!$E$46</f>
        <v>-25692176.576694559</v>
      </c>
    </row>
    <row r="50" spans="11:28" ht="11.25" customHeight="1" x14ac:dyDescent="0.25">
      <c r="K50" s="50" t="s">
        <v>994</v>
      </c>
      <c r="L50" s="43">
        <f>CUSTOS!$F$30</f>
        <v>0</v>
      </c>
      <c r="M50" s="43">
        <f>CUSTOS!$F$31</f>
        <v>15865968.807700001</v>
      </c>
      <c r="N50" s="43">
        <f>CUSTOS!$F$32</f>
        <v>0</v>
      </c>
      <c r="O50" s="43">
        <f>CUSTOS!$F$33</f>
        <v>820056.53808497591</v>
      </c>
      <c r="P50" s="43">
        <f>CUSTOS!$F$34</f>
        <v>0</v>
      </c>
      <c r="Q50" s="43">
        <f>CUSTOS!$F$35</f>
        <v>16686025.345784977</v>
      </c>
      <c r="R50" s="43">
        <f>CUSTOS!$F$36</f>
        <v>22478673.272212066</v>
      </c>
      <c r="S50" s="43">
        <f>CUSTOS!$F$37</f>
        <v>22478673.272212066</v>
      </c>
      <c r="T50" s="43">
        <f>CUSTOS!$F$38</f>
        <v>-384844.36339999997</v>
      </c>
      <c r="U50" s="43">
        <f>CUSTOS!$F$39</f>
        <v>272404.48173653503</v>
      </c>
      <c r="V50" s="43">
        <f>CUSTOS!$F$40</f>
        <v>0</v>
      </c>
      <c r="W50" s="43">
        <f>CUSTOS!$F$41</f>
        <v>-112439.88166346494</v>
      </c>
      <c r="X50" s="43">
        <f>CUSTOS!$F$42</f>
        <v>0</v>
      </c>
      <c r="Y50" s="43">
        <f>CUSTOS!$F$43</f>
        <v>0</v>
      </c>
      <c r="Z50" s="43">
        <f>CUSTOS!$F$44</f>
        <v>106499.72684053976</v>
      </c>
      <c r="AA50" s="43">
        <f>CUSTOS!$F$45</f>
        <v>106499.72684053976</v>
      </c>
      <c r="AB50" s="43">
        <f>CUSTOS!$F$46</f>
        <v>39158758.46317412</v>
      </c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1:28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 spans="11:28" ht="11.25" customHeight="1" x14ac:dyDescent="0.25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73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9:F10"/>
    <mergeCell ref="A7:A8"/>
    <mergeCell ref="B7:B8"/>
    <mergeCell ref="C7:C8"/>
    <mergeCell ref="D7:D8"/>
    <mergeCell ref="E7:E8"/>
    <mergeCell ref="F7:F8"/>
    <mergeCell ref="A9:A10"/>
    <mergeCell ref="B9:B10"/>
    <mergeCell ref="C9:C10"/>
    <mergeCell ref="D9:D10"/>
    <mergeCell ref="E9:E10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E39:E41"/>
    <mergeCell ref="F39:F41"/>
    <mergeCell ref="A44:A45"/>
    <mergeCell ref="B44:B45"/>
    <mergeCell ref="C44:C45"/>
    <mergeCell ref="D39:D41"/>
  </mergeCells>
  <conditionalFormatting sqref="L47">
    <cfRule type="cellIs" dxfId="1370" priority="33" operator="notEqual">
      <formula>$L$50</formula>
    </cfRule>
    <cfRule type="cellIs" dxfId="1369" priority="34" operator="equal">
      <formula>$L$50</formula>
    </cfRule>
  </conditionalFormatting>
  <conditionalFormatting sqref="M47">
    <cfRule type="cellIs" dxfId="1368" priority="31" operator="notEqual">
      <formula>$M$50</formula>
    </cfRule>
    <cfRule type="cellIs" dxfId="1367" priority="32" operator="equal">
      <formula>$M$50</formula>
    </cfRule>
  </conditionalFormatting>
  <conditionalFormatting sqref="N47">
    <cfRule type="cellIs" dxfId="1366" priority="29" operator="notEqual">
      <formula>$N$50</formula>
    </cfRule>
    <cfRule type="cellIs" dxfId="1365" priority="30" operator="equal">
      <formula>$N$50</formula>
    </cfRule>
  </conditionalFormatting>
  <conditionalFormatting sqref="O47">
    <cfRule type="cellIs" dxfId="1364" priority="27" operator="notEqual">
      <formula>$O$50</formula>
    </cfRule>
    <cfRule type="cellIs" dxfId="1363" priority="28" operator="equal">
      <formula>$O$50</formula>
    </cfRule>
  </conditionalFormatting>
  <conditionalFormatting sqref="P47">
    <cfRule type="cellIs" dxfId="1362" priority="25" operator="notEqual">
      <formula>$P$50</formula>
    </cfRule>
    <cfRule type="cellIs" dxfId="1361" priority="26" operator="equal">
      <formula>$P$50</formula>
    </cfRule>
  </conditionalFormatting>
  <conditionalFormatting sqref="Q47">
    <cfRule type="cellIs" dxfId="1360" priority="23" operator="notEqual">
      <formula>$Q$50</formula>
    </cfRule>
    <cfRule type="cellIs" dxfId="1359" priority="24" operator="equal">
      <formula>$Q$50</formula>
    </cfRule>
  </conditionalFormatting>
  <conditionalFormatting sqref="R47">
    <cfRule type="cellIs" dxfId="1358" priority="21" operator="notEqual">
      <formula>$R$50</formula>
    </cfRule>
    <cfRule type="cellIs" dxfId="1357" priority="22" operator="equal">
      <formula>$R$50</formula>
    </cfRule>
  </conditionalFormatting>
  <conditionalFormatting sqref="S47">
    <cfRule type="cellIs" dxfId="1356" priority="19" operator="notEqual">
      <formula>$S$50</formula>
    </cfRule>
    <cfRule type="cellIs" dxfId="1355" priority="20" operator="equal">
      <formula>$S$50</formula>
    </cfRule>
  </conditionalFormatting>
  <conditionalFormatting sqref="T47">
    <cfRule type="cellIs" dxfId="1354" priority="17" operator="notEqual">
      <formula>$T$50</formula>
    </cfRule>
    <cfRule type="cellIs" dxfId="1353" priority="18" operator="equal">
      <formula>$T$50</formula>
    </cfRule>
  </conditionalFormatting>
  <conditionalFormatting sqref="U47">
    <cfRule type="cellIs" dxfId="1352" priority="15" operator="notEqual">
      <formula>$U$50</formula>
    </cfRule>
    <cfRule type="cellIs" dxfId="1351" priority="16" operator="equal">
      <formula>$U$50</formula>
    </cfRule>
  </conditionalFormatting>
  <conditionalFormatting sqref="V47">
    <cfRule type="cellIs" dxfId="1350" priority="13" operator="notEqual">
      <formula>$V$50</formula>
    </cfRule>
    <cfRule type="cellIs" dxfId="1349" priority="14" operator="equal">
      <formula>$V$50</formula>
    </cfRule>
  </conditionalFormatting>
  <conditionalFormatting sqref="W47">
    <cfRule type="cellIs" dxfId="1348" priority="11" operator="notEqual">
      <formula>$W$50</formula>
    </cfRule>
    <cfRule type="cellIs" dxfId="1347" priority="12" operator="equal">
      <formula>$W$50</formula>
    </cfRule>
  </conditionalFormatting>
  <conditionalFormatting sqref="X47">
    <cfRule type="cellIs" dxfId="1346" priority="9" operator="notEqual">
      <formula>$X$50</formula>
    </cfRule>
    <cfRule type="cellIs" dxfId="1345" priority="10" operator="equal">
      <formula>$X$50</formula>
    </cfRule>
  </conditionalFormatting>
  <conditionalFormatting sqref="Y47">
    <cfRule type="cellIs" dxfId="1344" priority="7" operator="notEqual">
      <formula>$Y$50</formula>
    </cfRule>
    <cfRule type="cellIs" dxfId="1343" priority="8" operator="equal">
      <formula>$Y$50</formula>
    </cfRule>
  </conditionalFormatting>
  <conditionalFormatting sqref="Z47">
    <cfRule type="cellIs" dxfId="1342" priority="5" operator="notEqual">
      <formula>$Z$50</formula>
    </cfRule>
    <cfRule type="cellIs" dxfId="1341" priority="6" operator="equal">
      <formula>$Z$50</formula>
    </cfRule>
  </conditionalFormatting>
  <conditionalFormatting sqref="AA47">
    <cfRule type="cellIs" dxfId="1340" priority="3" operator="notEqual">
      <formula>$AA$50</formula>
    </cfRule>
    <cfRule type="cellIs" dxfId="1339" priority="4" operator="equal">
      <formula>$AA$50</formula>
    </cfRule>
  </conditionalFormatting>
  <conditionalFormatting sqref="AB47">
    <cfRule type="cellIs" dxfId="1338" priority="1" operator="notEqual">
      <formula>$AB$50</formula>
    </cfRule>
    <cfRule type="cellIs" dxfId="1337" priority="2" operator="equal">
      <formula>$AB$50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71D66-7159-4AF3-98EA-081F1897DAC6}">
  <dimension ref="A1:AV2022"/>
  <sheetViews>
    <sheetView showGridLines="0" topLeftCell="AF1" workbookViewId="0">
      <selection sqref="A1:AG2022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6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1.71093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1076</v>
      </c>
      <c r="W1" s="1" t="s">
        <v>1077</v>
      </c>
      <c r="X1" s="1" t="s">
        <v>1078</v>
      </c>
      <c r="Y1" s="1" t="s">
        <v>1079</v>
      </c>
      <c r="Z1" s="1" t="s">
        <v>1080</v>
      </c>
      <c r="AA1" s="1" t="s">
        <v>1081</v>
      </c>
      <c r="AB1" s="1" t="s">
        <v>1082</v>
      </c>
      <c r="AC1" s="1" t="s">
        <v>1083</v>
      </c>
      <c r="AD1" s="1" t="s">
        <v>1084</v>
      </c>
      <c r="AE1" s="1" t="s">
        <v>1085</v>
      </c>
      <c r="AF1" s="1" t="s">
        <v>1086</v>
      </c>
      <c r="AG1" s="1" t="s">
        <v>1087</v>
      </c>
      <c r="AI1" s="61" t="s">
        <v>107</v>
      </c>
      <c r="AJ1" s="61" t="s">
        <v>1088</v>
      </c>
      <c r="AK1" s="61" t="s">
        <v>1089</v>
      </c>
      <c r="AL1" s="61" t="s">
        <v>1090</v>
      </c>
      <c r="AN1" s="61" t="s">
        <v>107</v>
      </c>
      <c r="AO1" s="61" t="s">
        <v>1091</v>
      </c>
      <c r="AP1" s="61" t="s">
        <v>1092</v>
      </c>
      <c r="AQ1" s="61" t="s">
        <v>1090</v>
      </c>
      <c r="AS1" s="61" t="s">
        <v>107</v>
      </c>
      <c r="AT1" s="61" t="s">
        <v>1093</v>
      </c>
      <c r="AU1" s="61" t="s">
        <v>1094</v>
      </c>
      <c r="AV1" s="61" t="s">
        <v>1090</v>
      </c>
    </row>
    <row r="2" spans="1:48" ht="11.25" customHeight="1" x14ac:dyDescent="0.25">
      <c r="A2" s="4" t="s">
        <v>27</v>
      </c>
      <c r="B2" s="4" t="s">
        <v>59</v>
      </c>
      <c r="C2" s="4" t="s">
        <v>40</v>
      </c>
      <c r="D2" s="4" t="s">
        <v>38</v>
      </c>
      <c r="E2" s="4" t="s">
        <v>25</v>
      </c>
      <c r="F2" s="4" t="s">
        <v>61</v>
      </c>
      <c r="G2" s="4" t="s">
        <v>25</v>
      </c>
      <c r="H2" s="4" t="s">
        <v>25</v>
      </c>
      <c r="I2" s="5">
        <v>44348</v>
      </c>
      <c r="J2" s="6">
        <v>0</v>
      </c>
      <c r="K2" s="6">
        <v>0</v>
      </c>
      <c r="L2" s="6">
        <v>368.01799999999997</v>
      </c>
      <c r="M2" s="6">
        <v>368.01799999999997</v>
      </c>
      <c r="N2" s="6">
        <v>0</v>
      </c>
      <c r="O2" s="6">
        <v>0</v>
      </c>
      <c r="P2" s="6">
        <v>0</v>
      </c>
      <c r="Q2" s="4" t="s">
        <v>62</v>
      </c>
      <c r="R2" s="4">
        <v>0</v>
      </c>
      <c r="S2" s="6">
        <v>0</v>
      </c>
      <c r="T2" s="6">
        <v>4</v>
      </c>
      <c r="U2" s="6">
        <v>0</v>
      </c>
      <c r="V2" s="6">
        <f>IF(ISERROR(VLOOKUP($S$2,'TAR FIN'!$A$1:$O$116,15,0)),0,VLOOKUP($S$2,'TAR FIN'!$A$1:$O$116,15,0))</f>
        <v>0</v>
      </c>
      <c r="W2" s="6">
        <f>IF(ISERROR(VLOOKUP($T$2,'TAR FIN'!$A$1:$O$116,15,0)),0,VLOOKUP($T$2,'TAR FIN'!$A$1:$O$116,15,0))</f>
        <v>10.68</v>
      </c>
      <c r="X2" s="6">
        <f>IF(ISERROR(VLOOKUP($U$2,'TAR FIN'!$A$1:$O$116,15,0)),0,VLOOKUP($U$2,'TAR FIN'!$A$1:$O$116,15,0))</f>
        <v>0</v>
      </c>
      <c r="Y2" s="6"/>
      <c r="Z2" s="6">
        <f ca="1">('TUSD BE'!$AM$8+'TUSD BF'!$AM$8+'TUSD CVA'!$AM$8)*1</f>
        <v>11.362843290282575</v>
      </c>
      <c r="AA2" s="6"/>
      <c r="AB2" s="6">
        <f>$K$2*$V$2</f>
        <v>0</v>
      </c>
      <c r="AC2" s="6">
        <f>$M$2*$W$2</f>
        <v>3930.4322399999996</v>
      </c>
      <c r="AD2" s="6">
        <f>$O$2*$X$2</f>
        <v>0</v>
      </c>
      <c r="AE2" s="6">
        <f>$K$2*$Y$2</f>
        <v>0</v>
      </c>
      <c r="AF2" s="6">
        <f ca="1">$M$2*$Z$2</f>
        <v>4181.7308620032127</v>
      </c>
      <c r="AG2" s="6">
        <f>$O$2*$AA$2</f>
        <v>0</v>
      </c>
      <c r="AI2" s="62" t="s">
        <v>59</v>
      </c>
      <c r="AJ2" s="63">
        <f t="shared" ref="AJ2:AJ8" si="0">SUMIF($B$2:$B$2022,AI2,$AB$2:$AB$2022)+SUMIF($B$2:$B$2022,AI2,$AC$2:$AC$2022)</f>
        <v>11053790.499027196</v>
      </c>
      <c r="AK2" s="63">
        <f t="shared" ref="AK2:AK8" ca="1" si="1">SUMIF($B$2:$B$2022,AI2,$AE$2:$AE$2022)+SUMIF($B$2:$B$2022,AI2,$AF$2:$AF$2022)</f>
        <v>12972882.474890143</v>
      </c>
      <c r="AL2" s="64">
        <f t="shared" ref="AL2:AL11" ca="1" si="2">IF(AJ2&lt;&gt;0,AK2/AJ2-1,0)</f>
        <v>0.17361392691781519</v>
      </c>
      <c r="AN2" s="62" t="s">
        <v>59</v>
      </c>
      <c r="AO2" s="63">
        <f t="shared" ref="AO2:AO8" si="3">SUMIF($B$2:$B$2022,AN2,$AD$2:$AD$2022)</f>
        <v>0</v>
      </c>
      <c r="AP2" s="63">
        <f t="shared" ref="AP2:AP8" si="4">SUMIF($B$2:$B$2022,AN2,$AG$2:$AG$2022)</f>
        <v>0</v>
      </c>
      <c r="AQ2" s="64">
        <f t="shared" ref="AQ2:AQ11" si="5">IF(AO2&lt;&gt;0,AP2/AO2-1,0)</f>
        <v>0</v>
      </c>
      <c r="AS2" s="62" t="s">
        <v>59</v>
      </c>
      <c r="AT2" s="63">
        <f t="shared" ref="AT2:AT8" si="6">SUMIF($B$2:$B$2022,AS2,$AB$2:$AB$2022)+SUMIF($B$2:$B$2022,AS2,$AC$2:$AC$2022)+SUMIF($B$2:$B$2022,AS2,$AD$2:$AD$2022)</f>
        <v>11053790.499027196</v>
      </c>
      <c r="AU2" s="63">
        <f t="shared" ref="AU2:AU8" ca="1" si="7">SUMIF($B$2:$B$2022,AS2,$AE$2:$AE$2022)+SUMIF($B$2:$B$2022,AS2,$AF$2:$AF$2022)+SUMIF($B$2:$B$2022,AS2,$AG$2:$AG$2022)</f>
        <v>12972882.474890143</v>
      </c>
      <c r="AV2" s="64">
        <f t="shared" ref="AV2:AV11" ca="1" si="8">IF(AT2&lt;&gt;0,AU2/AT2-1,0)</f>
        <v>0.17361392691781519</v>
      </c>
    </row>
    <row r="3" spans="1:48" ht="11.25" customHeight="1" x14ac:dyDescent="0.25">
      <c r="A3" s="4" t="s">
        <v>27</v>
      </c>
      <c r="B3" s="4" t="s">
        <v>59</v>
      </c>
      <c r="C3" s="4" t="s">
        <v>40</v>
      </c>
      <c r="D3" s="4" t="s">
        <v>38</v>
      </c>
      <c r="E3" s="4" t="s">
        <v>25</v>
      </c>
      <c r="F3" s="4" t="s">
        <v>61</v>
      </c>
      <c r="G3" s="4" t="s">
        <v>25</v>
      </c>
      <c r="H3" s="4" t="s">
        <v>25</v>
      </c>
      <c r="I3" s="5">
        <v>44378</v>
      </c>
      <c r="J3" s="6">
        <v>0</v>
      </c>
      <c r="K3" s="6">
        <v>0</v>
      </c>
      <c r="L3" s="6">
        <v>435.58100000000002</v>
      </c>
      <c r="M3" s="6">
        <v>435.58100000000002</v>
      </c>
      <c r="N3" s="6">
        <v>0</v>
      </c>
      <c r="O3" s="6">
        <v>0</v>
      </c>
      <c r="P3" s="6">
        <v>0</v>
      </c>
      <c r="Q3" s="4" t="s">
        <v>62</v>
      </c>
      <c r="R3" s="4">
        <v>0</v>
      </c>
      <c r="S3" s="6">
        <v>0</v>
      </c>
      <c r="T3" s="6">
        <v>4</v>
      </c>
      <c r="U3" s="6">
        <v>0</v>
      </c>
      <c r="V3" s="6">
        <f>IF(ISERROR(VLOOKUP($S$3,'TAR FIN'!$A$1:$O$116,15,0)),0,VLOOKUP($S$3,'TAR FIN'!$A$1:$O$116,15,0))</f>
        <v>0</v>
      </c>
      <c r="W3" s="6">
        <f>IF(ISERROR(VLOOKUP($T$3,'TAR FIN'!$A$1:$O$116,15,0)),0,VLOOKUP($T$3,'TAR FIN'!$A$1:$O$116,15,0))</f>
        <v>10.68</v>
      </c>
      <c r="X3" s="6">
        <f>IF(ISERROR(VLOOKUP($U$3,'TAR FIN'!$A$1:$O$116,15,0)),0,VLOOKUP($U$3,'TAR FIN'!$A$1:$O$116,15,0))</f>
        <v>0</v>
      </c>
      <c r="Y3" s="6"/>
      <c r="Z3" s="6">
        <f ca="1">('TUSD BE'!$AM$8+'TUSD BF'!$AM$8+'TUSD CVA'!$AM$8)*1</f>
        <v>11.362843290282575</v>
      </c>
      <c r="AA3" s="6"/>
      <c r="AB3" s="6">
        <f>$K$3*$V$3</f>
        <v>0</v>
      </c>
      <c r="AC3" s="6">
        <f>$M$3*$W$3</f>
        <v>4652.0050799999999</v>
      </c>
      <c r="AD3" s="6">
        <f>$O$3*$X$3</f>
        <v>0</v>
      </c>
      <c r="AE3" s="6">
        <f>$K$3*$Y$3</f>
        <v>0</v>
      </c>
      <c r="AF3" s="6">
        <f ca="1">$M$3*$Z$3</f>
        <v>4949.4386432245747</v>
      </c>
      <c r="AG3" s="6">
        <f>$O$3*$AA$3</f>
        <v>0</v>
      </c>
      <c r="AI3" s="62" t="s">
        <v>39</v>
      </c>
      <c r="AJ3" s="63">
        <f t="shared" si="0"/>
        <v>17667596.660360005</v>
      </c>
      <c r="AK3" s="63">
        <f t="shared" ca="1" si="1"/>
        <v>23357236.370369233</v>
      </c>
      <c r="AL3" s="64">
        <f t="shared" ca="1" si="2"/>
        <v>0.32203812546699218</v>
      </c>
      <c r="AN3" s="62" t="s">
        <v>39</v>
      </c>
      <c r="AO3" s="63">
        <f t="shared" si="3"/>
        <v>634874.21994000033</v>
      </c>
      <c r="AP3" s="63">
        <f t="shared" si="4"/>
        <v>641161.46999465697</v>
      </c>
      <c r="AQ3" s="64">
        <f t="shared" si="5"/>
        <v>9.9031427914191283E-3</v>
      </c>
      <c r="AS3" s="62" t="s">
        <v>39</v>
      </c>
      <c r="AT3" s="63">
        <f t="shared" si="6"/>
        <v>18302470.880300004</v>
      </c>
      <c r="AU3" s="63">
        <f t="shared" ca="1" si="7"/>
        <v>23998397.84036389</v>
      </c>
      <c r="AV3" s="64">
        <f t="shared" ca="1" si="8"/>
        <v>0.3112108194197285</v>
      </c>
    </row>
    <row r="4" spans="1:48" ht="11.25" customHeight="1" x14ac:dyDescent="0.25">
      <c r="A4" s="4" t="s">
        <v>27</v>
      </c>
      <c r="B4" s="4" t="s">
        <v>59</v>
      </c>
      <c r="C4" s="4" t="s">
        <v>40</v>
      </c>
      <c r="D4" s="4" t="s">
        <v>38</v>
      </c>
      <c r="E4" s="4" t="s">
        <v>25</v>
      </c>
      <c r="F4" s="4" t="s">
        <v>61</v>
      </c>
      <c r="G4" s="4" t="s">
        <v>25</v>
      </c>
      <c r="H4" s="4" t="s">
        <v>25</v>
      </c>
      <c r="I4" s="5">
        <v>44409</v>
      </c>
      <c r="J4" s="6">
        <v>0</v>
      </c>
      <c r="K4" s="6">
        <v>0</v>
      </c>
      <c r="L4" s="6">
        <v>362.59100000000001</v>
      </c>
      <c r="M4" s="6">
        <v>362.59100000000001</v>
      </c>
      <c r="N4" s="6">
        <v>0</v>
      </c>
      <c r="O4" s="6">
        <v>0</v>
      </c>
      <c r="P4" s="6">
        <v>0</v>
      </c>
      <c r="Q4" s="4" t="s">
        <v>62</v>
      </c>
      <c r="R4" s="4">
        <v>0</v>
      </c>
      <c r="S4" s="6">
        <v>0</v>
      </c>
      <c r="T4" s="6">
        <v>4</v>
      </c>
      <c r="U4" s="6">
        <v>0</v>
      </c>
      <c r="V4" s="6">
        <f>IF(ISERROR(VLOOKUP($S$4,'TAR FIN'!$A$1:$O$116,15,0)),0,VLOOKUP($S$4,'TAR FIN'!$A$1:$O$116,15,0))</f>
        <v>0</v>
      </c>
      <c r="W4" s="6">
        <f>IF(ISERROR(VLOOKUP($T$4,'TAR FIN'!$A$1:$O$116,15,0)),0,VLOOKUP($T$4,'TAR FIN'!$A$1:$O$116,15,0))</f>
        <v>10.68</v>
      </c>
      <c r="X4" s="6">
        <f>IF(ISERROR(VLOOKUP($U$4,'TAR FIN'!$A$1:$O$116,15,0)),0,VLOOKUP($U$4,'TAR FIN'!$A$1:$O$116,15,0))</f>
        <v>0</v>
      </c>
      <c r="Y4" s="6"/>
      <c r="Z4" s="6">
        <f ca="1">('TUSD BE'!$AM$8+'TUSD BF'!$AM$8+'TUSD CVA'!$AM$8)*1</f>
        <v>11.362843290282575</v>
      </c>
      <c r="AA4" s="6"/>
      <c r="AB4" s="6">
        <f>$K$4*$V$4</f>
        <v>0</v>
      </c>
      <c r="AC4" s="6">
        <f>$M$4*$W$4</f>
        <v>3872.4718800000001</v>
      </c>
      <c r="AD4" s="6">
        <f>$O$4*$X$4</f>
        <v>0</v>
      </c>
      <c r="AE4" s="6">
        <f>$K$4*$Y$4</f>
        <v>0</v>
      </c>
      <c r="AF4" s="6">
        <f ca="1">$M$4*$Z$4</f>
        <v>4120.0647114668491</v>
      </c>
      <c r="AG4" s="6">
        <f>$O$4*$AA$4</f>
        <v>0</v>
      </c>
      <c r="AI4" s="62" t="s">
        <v>41</v>
      </c>
      <c r="AJ4" s="63">
        <f t="shared" si="0"/>
        <v>99856025.459132731</v>
      </c>
      <c r="AK4" s="63">
        <f t="shared" ca="1" si="1"/>
        <v>128762019.77891842</v>
      </c>
      <c r="AL4" s="64">
        <f t="shared" ca="1" si="2"/>
        <v>0.2894767159705931</v>
      </c>
      <c r="AN4" s="62" t="s">
        <v>41</v>
      </c>
      <c r="AO4" s="63">
        <f t="shared" si="3"/>
        <v>43590536.510477379</v>
      </c>
      <c r="AP4" s="63">
        <f t="shared" si="4"/>
        <v>44240332.400348581</v>
      </c>
      <c r="AQ4" s="64">
        <f t="shared" si="5"/>
        <v>1.4906811016538457E-2</v>
      </c>
      <c r="AS4" s="62" t="s">
        <v>41</v>
      </c>
      <c r="AT4" s="63">
        <f t="shared" si="6"/>
        <v>143446561.9696101</v>
      </c>
      <c r="AU4" s="63">
        <f t="shared" ca="1" si="7"/>
        <v>173002352.17926699</v>
      </c>
      <c r="AV4" s="64">
        <f t="shared" ca="1" si="8"/>
        <v>0.20604042232757336</v>
      </c>
    </row>
    <row r="5" spans="1:48" ht="11.25" customHeight="1" x14ac:dyDescent="0.25">
      <c r="A5" s="4" t="s">
        <v>27</v>
      </c>
      <c r="B5" s="4" t="s">
        <v>59</v>
      </c>
      <c r="C5" s="4" t="s">
        <v>40</v>
      </c>
      <c r="D5" s="4" t="s">
        <v>38</v>
      </c>
      <c r="E5" s="4" t="s">
        <v>25</v>
      </c>
      <c r="F5" s="4" t="s">
        <v>61</v>
      </c>
      <c r="G5" s="4" t="s">
        <v>25</v>
      </c>
      <c r="H5" s="4" t="s">
        <v>25</v>
      </c>
      <c r="I5" s="5">
        <v>44440</v>
      </c>
      <c r="J5" s="6">
        <v>0</v>
      </c>
      <c r="K5" s="6">
        <v>0</v>
      </c>
      <c r="L5" s="6">
        <v>415.55700000000002</v>
      </c>
      <c r="M5" s="6">
        <v>415.55700000000002</v>
      </c>
      <c r="N5" s="6">
        <v>0</v>
      </c>
      <c r="O5" s="6">
        <v>0</v>
      </c>
      <c r="P5" s="6">
        <v>0</v>
      </c>
      <c r="Q5" s="4" t="s">
        <v>62</v>
      </c>
      <c r="R5" s="4">
        <v>0</v>
      </c>
      <c r="S5" s="6">
        <v>0</v>
      </c>
      <c r="T5" s="6">
        <v>4</v>
      </c>
      <c r="U5" s="6">
        <v>0</v>
      </c>
      <c r="V5" s="6">
        <f>IF(ISERROR(VLOOKUP($S$5,'TAR FIN'!$A$1:$O$116,15,0)),0,VLOOKUP($S$5,'TAR FIN'!$A$1:$O$116,15,0))</f>
        <v>0</v>
      </c>
      <c r="W5" s="6">
        <f>IF(ISERROR(VLOOKUP($T$5,'TAR FIN'!$A$1:$O$116,15,0)),0,VLOOKUP($T$5,'TAR FIN'!$A$1:$O$116,15,0))</f>
        <v>10.68</v>
      </c>
      <c r="X5" s="6">
        <f>IF(ISERROR(VLOOKUP($U$5,'TAR FIN'!$A$1:$O$116,15,0)),0,VLOOKUP($U$5,'TAR FIN'!$A$1:$O$116,15,0))</f>
        <v>0</v>
      </c>
      <c r="Y5" s="6"/>
      <c r="Z5" s="6">
        <f ca="1">('TUSD BE'!$AM$8+'TUSD BF'!$AM$8+'TUSD CVA'!$AM$8)*1</f>
        <v>11.362843290282575</v>
      </c>
      <c r="AA5" s="6"/>
      <c r="AB5" s="6">
        <f>$K$5*$V$5</f>
        <v>0</v>
      </c>
      <c r="AC5" s="6">
        <f>$M$5*$W$5</f>
        <v>4438.14876</v>
      </c>
      <c r="AD5" s="6">
        <f>$O$5*$X$5</f>
        <v>0</v>
      </c>
      <c r="AE5" s="6">
        <f>$K$5*$Y$5</f>
        <v>0</v>
      </c>
      <c r="AF5" s="6">
        <f ca="1">$M$5*$Z$5</f>
        <v>4721.9090691799556</v>
      </c>
      <c r="AG5" s="6">
        <f>$O$5*$AA$5</f>
        <v>0</v>
      </c>
      <c r="AI5" s="62" t="s">
        <v>22</v>
      </c>
      <c r="AJ5" s="63">
        <f t="shared" si="0"/>
        <v>170733748.6521399</v>
      </c>
      <c r="AK5" s="63">
        <f t="shared" ca="1" si="1"/>
        <v>214624922.11480296</v>
      </c>
      <c r="AL5" s="64">
        <f t="shared" ca="1" si="2"/>
        <v>0.25707379946356568</v>
      </c>
      <c r="AN5" s="62" t="s">
        <v>22</v>
      </c>
      <c r="AO5" s="63">
        <f t="shared" si="3"/>
        <v>169132259.10562015</v>
      </c>
      <c r="AP5" s="63">
        <f t="shared" si="4"/>
        <v>170770199.77644491</v>
      </c>
      <c r="AQ5" s="64">
        <f t="shared" si="5"/>
        <v>9.6843776550155081E-3</v>
      </c>
      <c r="AS5" s="62" t="s">
        <v>22</v>
      </c>
      <c r="AT5" s="63">
        <f t="shared" si="6"/>
        <v>339866007.75776005</v>
      </c>
      <c r="AU5" s="63">
        <f t="shared" ca="1" si="7"/>
        <v>385395121.89124787</v>
      </c>
      <c r="AV5" s="64">
        <f t="shared" ca="1" si="8"/>
        <v>0.13396195292922242</v>
      </c>
    </row>
    <row r="6" spans="1:48" ht="11.25" customHeight="1" x14ac:dyDescent="0.25">
      <c r="A6" s="4" t="s">
        <v>27</v>
      </c>
      <c r="B6" s="4" t="s">
        <v>59</v>
      </c>
      <c r="C6" s="4" t="s">
        <v>40</v>
      </c>
      <c r="D6" s="4" t="s">
        <v>38</v>
      </c>
      <c r="E6" s="4" t="s">
        <v>25</v>
      </c>
      <c r="F6" s="4" t="s">
        <v>61</v>
      </c>
      <c r="G6" s="4" t="s">
        <v>25</v>
      </c>
      <c r="H6" s="4" t="s">
        <v>25</v>
      </c>
      <c r="I6" s="5">
        <v>44470</v>
      </c>
      <c r="J6" s="6">
        <v>0</v>
      </c>
      <c r="K6" s="6">
        <v>0</v>
      </c>
      <c r="L6" s="6">
        <v>296.41399999999999</v>
      </c>
      <c r="M6" s="6">
        <v>296.41399999999999</v>
      </c>
      <c r="N6" s="6">
        <v>0</v>
      </c>
      <c r="O6" s="6">
        <v>0</v>
      </c>
      <c r="P6" s="6">
        <v>0</v>
      </c>
      <c r="Q6" s="4" t="s">
        <v>62</v>
      </c>
      <c r="R6" s="4">
        <v>0</v>
      </c>
      <c r="S6" s="6">
        <v>0</v>
      </c>
      <c r="T6" s="6">
        <v>4</v>
      </c>
      <c r="U6" s="6">
        <v>0</v>
      </c>
      <c r="V6" s="6">
        <f>IF(ISERROR(VLOOKUP($S$6,'TAR FIN'!$A$1:$O$116,15,0)),0,VLOOKUP($S$6,'TAR FIN'!$A$1:$O$116,15,0))</f>
        <v>0</v>
      </c>
      <c r="W6" s="6">
        <f>IF(ISERROR(VLOOKUP($T$6,'TAR FIN'!$A$1:$O$116,15,0)),0,VLOOKUP($T$6,'TAR FIN'!$A$1:$O$116,15,0))</f>
        <v>10.68</v>
      </c>
      <c r="X6" s="6">
        <f>IF(ISERROR(VLOOKUP($U$6,'TAR FIN'!$A$1:$O$116,15,0)),0,VLOOKUP($U$6,'TAR FIN'!$A$1:$O$116,15,0))</f>
        <v>0</v>
      </c>
      <c r="Y6" s="6"/>
      <c r="Z6" s="6">
        <f ca="1">('TUSD BE'!$AM$8+'TUSD BF'!$AM$8+'TUSD CVA'!$AM$8)*1</f>
        <v>11.362843290282575</v>
      </c>
      <c r="AA6" s="6"/>
      <c r="AB6" s="6">
        <f>$K$6*$V$6</f>
        <v>0</v>
      </c>
      <c r="AC6" s="6">
        <f>$M$6*$W$6</f>
        <v>3165.7015199999996</v>
      </c>
      <c r="AD6" s="6">
        <f>$O$6*$X$6</f>
        <v>0</v>
      </c>
      <c r="AE6" s="6">
        <f>$K$6*$Y$6</f>
        <v>0</v>
      </c>
      <c r="AF6" s="6">
        <f ca="1">$M$6*$Z$6</f>
        <v>3368.1058310458188</v>
      </c>
      <c r="AG6" s="6">
        <f>$O$6*$AA$6</f>
        <v>0</v>
      </c>
      <c r="AI6" s="62" t="s">
        <v>44</v>
      </c>
      <c r="AJ6" s="63">
        <f t="shared" si="0"/>
        <v>48323446.521027781</v>
      </c>
      <c r="AK6" s="63">
        <f t="shared" ca="1" si="1"/>
        <v>65832315.749628194</v>
      </c>
      <c r="AL6" s="64">
        <f t="shared" ca="1" si="2"/>
        <v>0.36232658241753279</v>
      </c>
      <c r="AN6" s="62" t="s">
        <v>44</v>
      </c>
      <c r="AO6" s="63">
        <f t="shared" si="3"/>
        <v>46064454.251529895</v>
      </c>
      <c r="AP6" s="63">
        <f t="shared" si="4"/>
        <v>49682229.125814326</v>
      </c>
      <c r="AQ6" s="64">
        <f t="shared" si="5"/>
        <v>7.8537235121249216E-2</v>
      </c>
      <c r="AS6" s="62" t="s">
        <v>44</v>
      </c>
      <c r="AT6" s="63">
        <f t="shared" si="6"/>
        <v>94387900.772557676</v>
      </c>
      <c r="AU6" s="63">
        <f t="shared" ca="1" si="7"/>
        <v>115514544.87544252</v>
      </c>
      <c r="AV6" s="64">
        <f t="shared" ca="1" si="8"/>
        <v>0.22382788397628195</v>
      </c>
    </row>
    <row r="7" spans="1:48" ht="11.25" customHeight="1" x14ac:dyDescent="0.25">
      <c r="A7" s="4" t="s">
        <v>27</v>
      </c>
      <c r="B7" s="4" t="s">
        <v>59</v>
      </c>
      <c r="C7" s="4" t="s">
        <v>40</v>
      </c>
      <c r="D7" s="4" t="s">
        <v>38</v>
      </c>
      <c r="E7" s="4" t="s">
        <v>25</v>
      </c>
      <c r="F7" s="4" t="s">
        <v>61</v>
      </c>
      <c r="G7" s="4" t="s">
        <v>25</v>
      </c>
      <c r="H7" s="4" t="s">
        <v>25</v>
      </c>
      <c r="I7" s="5">
        <v>44501</v>
      </c>
      <c r="J7" s="6">
        <v>0</v>
      </c>
      <c r="K7" s="6">
        <v>0</v>
      </c>
      <c r="L7" s="6">
        <v>345.83499999999998</v>
      </c>
      <c r="M7" s="6">
        <v>345.83499999999998</v>
      </c>
      <c r="N7" s="6">
        <v>0</v>
      </c>
      <c r="O7" s="6">
        <v>0</v>
      </c>
      <c r="P7" s="6">
        <v>0</v>
      </c>
      <c r="Q7" s="4" t="s">
        <v>62</v>
      </c>
      <c r="R7" s="4">
        <v>0</v>
      </c>
      <c r="S7" s="6">
        <v>0</v>
      </c>
      <c r="T7" s="6">
        <v>4</v>
      </c>
      <c r="U7" s="6">
        <v>0</v>
      </c>
      <c r="V7" s="6">
        <f>IF(ISERROR(VLOOKUP($S$7,'TAR FIN'!$A$1:$O$116,15,0)),0,VLOOKUP($S$7,'TAR FIN'!$A$1:$O$116,15,0))</f>
        <v>0</v>
      </c>
      <c r="W7" s="6">
        <f>IF(ISERROR(VLOOKUP($T$7,'TAR FIN'!$A$1:$O$116,15,0)),0,VLOOKUP($T$7,'TAR FIN'!$A$1:$O$116,15,0))</f>
        <v>10.68</v>
      </c>
      <c r="X7" s="6">
        <f>IF(ISERROR(VLOOKUP($U$7,'TAR FIN'!$A$1:$O$116,15,0)),0,VLOOKUP($U$7,'TAR FIN'!$A$1:$O$116,15,0))</f>
        <v>0</v>
      </c>
      <c r="Y7" s="6"/>
      <c r="Z7" s="6">
        <f ca="1">('TUSD BE'!$AM$8+'TUSD BF'!$AM$8+'TUSD CVA'!$AM$8)*1</f>
        <v>11.362843290282575</v>
      </c>
      <c r="AA7" s="6"/>
      <c r="AB7" s="6">
        <f>$K$7*$V$7</f>
        <v>0</v>
      </c>
      <c r="AC7" s="6">
        <f>$M$7*$W$7</f>
        <v>3693.5177999999996</v>
      </c>
      <c r="AD7" s="6">
        <f>$O$7*$X$7</f>
        <v>0</v>
      </c>
      <c r="AE7" s="6">
        <f>$K$7*$Y$7</f>
        <v>0</v>
      </c>
      <c r="AF7" s="6">
        <f ca="1">$M$7*$Z$7</f>
        <v>3929.6689092948741</v>
      </c>
      <c r="AG7" s="6">
        <f>$O$7*$AA$7</f>
        <v>0</v>
      </c>
      <c r="AI7" s="62" t="s">
        <v>37</v>
      </c>
      <c r="AJ7" s="63">
        <f t="shared" si="0"/>
        <v>77356164.90151763</v>
      </c>
      <c r="AK7" s="63">
        <f t="shared" ca="1" si="1"/>
        <v>98888253.470078886</v>
      </c>
      <c r="AL7" s="64">
        <f t="shared" ca="1" si="2"/>
        <v>0.27835000088194417</v>
      </c>
      <c r="AN7" s="62" t="s">
        <v>37</v>
      </c>
      <c r="AO7" s="63">
        <f t="shared" si="3"/>
        <v>73741826.644541398</v>
      </c>
      <c r="AP7" s="63">
        <f t="shared" si="4"/>
        <v>74630079.855709702</v>
      </c>
      <c r="AQ7" s="64">
        <f t="shared" si="5"/>
        <v>1.2045446276371274E-2</v>
      </c>
      <c r="AS7" s="62" t="s">
        <v>37</v>
      </c>
      <c r="AT7" s="63">
        <f t="shared" si="6"/>
        <v>151097991.54605901</v>
      </c>
      <c r="AU7" s="63">
        <f t="shared" ca="1" si="7"/>
        <v>173518333.32578859</v>
      </c>
      <c r="AV7" s="64">
        <f t="shared" ca="1" si="8"/>
        <v>0.14838279152701528</v>
      </c>
    </row>
    <row r="8" spans="1:48" ht="11.25" customHeight="1" x14ac:dyDescent="0.25">
      <c r="A8" s="4" t="s">
        <v>27</v>
      </c>
      <c r="B8" s="4" t="s">
        <v>59</v>
      </c>
      <c r="C8" s="4" t="s">
        <v>40</v>
      </c>
      <c r="D8" s="4" t="s">
        <v>38</v>
      </c>
      <c r="E8" s="4" t="s">
        <v>25</v>
      </c>
      <c r="F8" s="4" t="s">
        <v>61</v>
      </c>
      <c r="G8" s="4" t="s">
        <v>25</v>
      </c>
      <c r="H8" s="4" t="s">
        <v>25</v>
      </c>
      <c r="I8" s="5">
        <v>44531</v>
      </c>
      <c r="J8" s="6">
        <v>0</v>
      </c>
      <c r="K8" s="6">
        <v>0</v>
      </c>
      <c r="L8" s="6">
        <v>358.99900000000002</v>
      </c>
      <c r="M8" s="6">
        <v>358.99900000000002</v>
      </c>
      <c r="N8" s="6">
        <v>0</v>
      </c>
      <c r="O8" s="6">
        <v>0</v>
      </c>
      <c r="P8" s="6">
        <v>0</v>
      </c>
      <c r="Q8" s="4" t="s">
        <v>62</v>
      </c>
      <c r="R8" s="4">
        <v>0</v>
      </c>
      <c r="S8" s="6">
        <v>0</v>
      </c>
      <c r="T8" s="6">
        <v>4</v>
      </c>
      <c r="U8" s="6">
        <v>0</v>
      </c>
      <c r="V8" s="6">
        <f>IF(ISERROR(VLOOKUP($S$8,'TAR FIN'!$A$1:$O$116,15,0)),0,VLOOKUP($S$8,'TAR FIN'!$A$1:$O$116,15,0))</f>
        <v>0</v>
      </c>
      <c r="W8" s="6">
        <f>IF(ISERROR(VLOOKUP($T$8,'TAR FIN'!$A$1:$O$116,15,0)),0,VLOOKUP($T$8,'TAR FIN'!$A$1:$O$116,15,0))</f>
        <v>10.68</v>
      </c>
      <c r="X8" s="6">
        <f>IF(ISERROR(VLOOKUP($U$8,'TAR FIN'!$A$1:$O$116,15,0)),0,VLOOKUP($U$8,'TAR FIN'!$A$1:$O$116,15,0))</f>
        <v>0</v>
      </c>
      <c r="Y8" s="6"/>
      <c r="Z8" s="6">
        <f ca="1">('TUSD BE'!$AM$8+'TUSD BF'!$AM$8+'TUSD CVA'!$AM$8)*1</f>
        <v>11.362843290282575</v>
      </c>
      <c r="AA8" s="6"/>
      <c r="AB8" s="6">
        <f>$K$8*$V$8</f>
        <v>0</v>
      </c>
      <c r="AC8" s="6">
        <f>$M$8*$W$8</f>
        <v>3834.10932</v>
      </c>
      <c r="AD8" s="6">
        <f>$O$8*$X$8</f>
        <v>0</v>
      </c>
      <c r="AE8" s="6">
        <f>$K$8*$Y$8</f>
        <v>0</v>
      </c>
      <c r="AF8" s="6">
        <f ca="1">$M$8*$Z$8</f>
        <v>4079.2493783681543</v>
      </c>
      <c r="AG8" s="6">
        <f>$O$8*$AA$8</f>
        <v>0</v>
      </c>
      <c r="AI8" s="62" t="s">
        <v>47</v>
      </c>
      <c r="AJ8" s="63">
        <f t="shared" si="0"/>
        <v>15640238.657329997</v>
      </c>
      <c r="AK8" s="63">
        <f t="shared" ca="1" si="1"/>
        <v>19946290.892448548</v>
      </c>
      <c r="AL8" s="64">
        <f t="shared" ca="1" si="2"/>
        <v>0.27531883173026039</v>
      </c>
      <c r="AN8" s="62" t="s">
        <v>47</v>
      </c>
      <c r="AO8" s="63">
        <f t="shared" si="3"/>
        <v>14908751.183719996</v>
      </c>
      <c r="AP8" s="63">
        <f t="shared" si="4"/>
        <v>15052974.487476051</v>
      </c>
      <c r="AQ8" s="64">
        <f t="shared" si="5"/>
        <v>9.6737347064683732E-3</v>
      </c>
      <c r="AS8" s="62" t="s">
        <v>47</v>
      </c>
      <c r="AT8" s="63">
        <f t="shared" si="6"/>
        <v>30548989.841049992</v>
      </c>
      <c r="AU8" s="63">
        <f t="shared" ca="1" si="7"/>
        <v>34999265.379924595</v>
      </c>
      <c r="AV8" s="64">
        <f t="shared" ca="1" si="8"/>
        <v>0.14567668397645606</v>
      </c>
    </row>
    <row r="9" spans="1:48" ht="11.25" customHeight="1" x14ac:dyDescent="0.25">
      <c r="A9" s="4" t="s">
        <v>27</v>
      </c>
      <c r="B9" s="4" t="s">
        <v>59</v>
      </c>
      <c r="C9" s="4" t="s">
        <v>40</v>
      </c>
      <c r="D9" s="4" t="s">
        <v>38</v>
      </c>
      <c r="E9" s="4" t="s">
        <v>25</v>
      </c>
      <c r="F9" s="4" t="s">
        <v>61</v>
      </c>
      <c r="G9" s="4" t="s">
        <v>25</v>
      </c>
      <c r="H9" s="4" t="s">
        <v>25</v>
      </c>
      <c r="I9" s="5">
        <v>44562</v>
      </c>
      <c r="J9" s="6">
        <v>0</v>
      </c>
      <c r="K9" s="6">
        <v>0</v>
      </c>
      <c r="L9" s="6">
        <v>349.25900000000001</v>
      </c>
      <c r="M9" s="6">
        <v>349.25900000000001</v>
      </c>
      <c r="N9" s="6">
        <v>0</v>
      </c>
      <c r="O9" s="6">
        <v>0</v>
      </c>
      <c r="P9" s="6">
        <v>0</v>
      </c>
      <c r="Q9" s="4" t="s">
        <v>62</v>
      </c>
      <c r="R9" s="4">
        <v>0</v>
      </c>
      <c r="S9" s="6">
        <v>0</v>
      </c>
      <c r="T9" s="6">
        <v>4</v>
      </c>
      <c r="U9" s="6">
        <v>0</v>
      </c>
      <c r="V9" s="6">
        <f>IF(ISERROR(VLOOKUP($S$9,'TAR FIN'!$A$1:$O$116,15,0)),0,VLOOKUP($S$9,'TAR FIN'!$A$1:$O$116,15,0))</f>
        <v>0</v>
      </c>
      <c r="W9" s="6">
        <f>IF(ISERROR(VLOOKUP($T$9,'TAR FIN'!$A$1:$O$116,15,0)),0,VLOOKUP($T$9,'TAR FIN'!$A$1:$O$116,15,0))</f>
        <v>10.68</v>
      </c>
      <c r="X9" s="6">
        <f>IF(ISERROR(VLOOKUP($U$9,'TAR FIN'!$A$1:$O$116,15,0)),0,VLOOKUP($U$9,'TAR FIN'!$A$1:$O$116,15,0))</f>
        <v>0</v>
      </c>
      <c r="Y9" s="6"/>
      <c r="Z9" s="6">
        <f ca="1">('TUSD BE'!$AM$8+'TUSD BF'!$AM$8+'TUSD CVA'!$AM$8)*1</f>
        <v>11.362843290282575</v>
      </c>
      <c r="AA9" s="6"/>
      <c r="AB9" s="6">
        <f>$K$9*$V$9</f>
        <v>0</v>
      </c>
      <c r="AC9" s="6">
        <f>$M$9*$W$9</f>
        <v>3730.0861199999999</v>
      </c>
      <c r="AD9" s="6">
        <f>$O$9*$X$9</f>
        <v>0</v>
      </c>
      <c r="AE9" s="6">
        <f>$K$9*$Y$9</f>
        <v>0</v>
      </c>
      <c r="AF9" s="6">
        <f ca="1">$M$9*$Z$9</f>
        <v>3968.5752847208018</v>
      </c>
      <c r="AG9" s="6">
        <f>$O$9*$AA$9</f>
        <v>0</v>
      </c>
      <c r="AI9" s="62" t="s">
        <v>1095</v>
      </c>
      <c r="AJ9" s="63">
        <f>+$AJ$2+$AJ$3+$AJ$4</f>
        <v>128577412.61851993</v>
      </c>
      <c r="AK9" s="63">
        <f ca="1">+$AK$2+$AK$3+$AK$4</f>
        <v>165092138.62417778</v>
      </c>
      <c r="AL9" s="64">
        <f t="shared" ca="1" si="2"/>
        <v>0.2839902068491178</v>
      </c>
      <c r="AN9" s="62" t="s">
        <v>1095</v>
      </c>
      <c r="AO9" s="63">
        <f>+$AO$2+$AO$3+$AO$4</f>
        <v>44225410.730417378</v>
      </c>
      <c r="AP9" s="63">
        <f>+$AP$2+$AP$3+$AP$4</f>
        <v>44881493.870343238</v>
      </c>
      <c r="AQ9" s="64">
        <f t="shared" si="5"/>
        <v>1.4834981271855563E-2</v>
      </c>
      <c r="AS9" s="62" t="s">
        <v>1095</v>
      </c>
      <c r="AT9" s="63">
        <f>+$AT$2+$AT$3+$AT$4</f>
        <v>172802823.3489373</v>
      </c>
      <c r="AU9" s="63">
        <f ca="1">+$AU$2+$AU$3+$AU$4</f>
        <v>209973632.49452102</v>
      </c>
      <c r="AV9" s="64">
        <f t="shared" ca="1" si="8"/>
        <v>0.21510533465373682</v>
      </c>
    </row>
    <row r="10" spans="1:48" ht="11.25" customHeight="1" x14ac:dyDescent="0.25">
      <c r="A10" s="4" t="s">
        <v>27</v>
      </c>
      <c r="B10" s="4" t="s">
        <v>59</v>
      </c>
      <c r="C10" s="4" t="s">
        <v>40</v>
      </c>
      <c r="D10" s="4" t="s">
        <v>38</v>
      </c>
      <c r="E10" s="4" t="s">
        <v>25</v>
      </c>
      <c r="F10" s="4" t="s">
        <v>61</v>
      </c>
      <c r="G10" s="4" t="s">
        <v>25</v>
      </c>
      <c r="H10" s="4" t="s">
        <v>25</v>
      </c>
      <c r="I10" s="5">
        <v>44593</v>
      </c>
      <c r="J10" s="6">
        <v>0</v>
      </c>
      <c r="K10" s="6">
        <v>0</v>
      </c>
      <c r="L10" s="6">
        <v>435.19299999999998</v>
      </c>
      <c r="M10" s="6">
        <v>435.19299999999998</v>
      </c>
      <c r="N10" s="6">
        <v>0</v>
      </c>
      <c r="O10" s="6">
        <v>0</v>
      </c>
      <c r="P10" s="6">
        <v>0</v>
      </c>
      <c r="Q10" s="4" t="s">
        <v>62</v>
      </c>
      <c r="R10" s="4">
        <v>0</v>
      </c>
      <c r="S10" s="6">
        <v>0</v>
      </c>
      <c r="T10" s="6">
        <v>4</v>
      </c>
      <c r="U10" s="6">
        <v>0</v>
      </c>
      <c r="V10" s="6">
        <f>IF(ISERROR(VLOOKUP($S$10,'TAR FIN'!$A$1:$O$116,15,0)),0,VLOOKUP($S$10,'TAR FIN'!$A$1:$O$116,15,0))</f>
        <v>0</v>
      </c>
      <c r="W10" s="6">
        <f>IF(ISERROR(VLOOKUP($T$10,'TAR FIN'!$A$1:$O$116,15,0)),0,VLOOKUP($T$10,'TAR FIN'!$A$1:$O$116,15,0))</f>
        <v>10.68</v>
      </c>
      <c r="X10" s="6">
        <f>IF(ISERROR(VLOOKUP($U$10,'TAR FIN'!$A$1:$O$116,15,0)),0,VLOOKUP($U$10,'TAR FIN'!$A$1:$O$116,15,0))</f>
        <v>0</v>
      </c>
      <c r="Y10" s="6"/>
      <c r="Z10" s="6">
        <f ca="1">('TUSD BE'!$AM$8+'TUSD BF'!$AM$8+'TUSD CVA'!$AM$8)*1</f>
        <v>11.362843290282575</v>
      </c>
      <c r="AA10" s="6"/>
      <c r="AB10" s="6">
        <f>$K$10*$V$10</f>
        <v>0</v>
      </c>
      <c r="AC10" s="6">
        <f>$M$10*$W$10</f>
        <v>4647.8612399999993</v>
      </c>
      <c r="AD10" s="6">
        <f>$O$10*$X$10</f>
        <v>0</v>
      </c>
      <c r="AE10" s="6">
        <f>$K$10*$Y$10</f>
        <v>0</v>
      </c>
      <c r="AF10" s="6">
        <f ca="1">$M$10*$Z$10</f>
        <v>4945.0298600279448</v>
      </c>
      <c r="AG10" s="6">
        <f>$O$10*$AA$10</f>
        <v>0</v>
      </c>
      <c r="AI10" s="62" t="s">
        <v>125</v>
      </c>
      <c r="AJ10" s="63">
        <f>+$AJ$5+$AJ$6+$AJ$7+$AJ$8</f>
        <v>312053598.73201531</v>
      </c>
      <c r="AK10" s="63">
        <f ca="1">+$AK$5+$AK$6+$AK$7+$AK$8</f>
        <v>399291782.22695857</v>
      </c>
      <c r="AL10" s="64">
        <f t="shared" ca="1" si="2"/>
        <v>0.27956153638164416</v>
      </c>
      <c r="AN10" s="62" t="s">
        <v>125</v>
      </c>
      <c r="AO10" s="63">
        <f>+$AO$5+$AO$6+$AO$7+$AO$8</f>
        <v>303847291.18541145</v>
      </c>
      <c r="AP10" s="63">
        <f>+$AP$5+$AP$6+$AP$7+$AP$8</f>
        <v>310135483.24544495</v>
      </c>
      <c r="AQ10" s="64">
        <f t="shared" si="5"/>
        <v>2.0695238175404196E-2</v>
      </c>
      <c r="AS10" s="62" t="s">
        <v>125</v>
      </c>
      <c r="AT10" s="63">
        <f>+$AT$5+$AT$6+$AT$7+$AT$8</f>
        <v>615900889.91742671</v>
      </c>
      <c r="AU10" s="63">
        <f ca="1">+$AU$5+$AU$6+$AU$7+$AU$8</f>
        <v>709427265.47240353</v>
      </c>
      <c r="AV10" s="64">
        <f t="shared" ca="1" si="8"/>
        <v>0.15185296382266289</v>
      </c>
    </row>
    <row r="11" spans="1:48" ht="11.25" customHeight="1" x14ac:dyDescent="0.25">
      <c r="A11" s="4" t="s">
        <v>27</v>
      </c>
      <c r="B11" s="4" t="s">
        <v>59</v>
      </c>
      <c r="C11" s="4" t="s">
        <v>40</v>
      </c>
      <c r="D11" s="4" t="s">
        <v>38</v>
      </c>
      <c r="E11" s="4" t="s">
        <v>25</v>
      </c>
      <c r="F11" s="4" t="s">
        <v>61</v>
      </c>
      <c r="G11" s="4" t="s">
        <v>25</v>
      </c>
      <c r="H11" s="4" t="s">
        <v>25</v>
      </c>
      <c r="I11" s="5">
        <v>44621</v>
      </c>
      <c r="J11" s="6">
        <v>0</v>
      </c>
      <c r="K11" s="6">
        <v>0</v>
      </c>
      <c r="L11" s="6">
        <v>517.96299999999997</v>
      </c>
      <c r="M11" s="6">
        <v>517.96299999999997</v>
      </c>
      <c r="N11" s="6">
        <v>0</v>
      </c>
      <c r="O11" s="6">
        <v>0</v>
      </c>
      <c r="P11" s="6">
        <v>0</v>
      </c>
      <c r="Q11" s="4" t="s">
        <v>62</v>
      </c>
      <c r="R11" s="4">
        <v>0</v>
      </c>
      <c r="S11" s="6">
        <v>0</v>
      </c>
      <c r="T11" s="6">
        <v>4</v>
      </c>
      <c r="U11" s="6">
        <v>0</v>
      </c>
      <c r="V11" s="6">
        <f>IF(ISERROR(VLOOKUP($S$11,'TAR FIN'!$A$1:$O$116,15,0)),0,VLOOKUP($S$11,'TAR FIN'!$A$1:$O$116,15,0))</f>
        <v>0</v>
      </c>
      <c r="W11" s="6">
        <f>IF(ISERROR(VLOOKUP($T$11,'TAR FIN'!$A$1:$O$116,15,0)),0,VLOOKUP($T$11,'TAR FIN'!$A$1:$O$116,15,0))</f>
        <v>10.68</v>
      </c>
      <c r="X11" s="6">
        <f>IF(ISERROR(VLOOKUP($U$11,'TAR FIN'!$A$1:$O$116,15,0)),0,VLOOKUP($U$11,'TAR FIN'!$A$1:$O$116,15,0))</f>
        <v>0</v>
      </c>
      <c r="Y11" s="6"/>
      <c r="Z11" s="6">
        <f ca="1">('TUSD BE'!$AM$8+'TUSD BF'!$AM$8+'TUSD CVA'!$AM$8)*1</f>
        <v>11.362843290282575</v>
      </c>
      <c r="AA11" s="6"/>
      <c r="AB11" s="6">
        <f>$K$11*$V$11</f>
        <v>0</v>
      </c>
      <c r="AC11" s="6">
        <f>$M$11*$W$11</f>
        <v>5531.8448399999997</v>
      </c>
      <c r="AD11" s="6">
        <f>$O$11*$X$11</f>
        <v>0</v>
      </c>
      <c r="AE11" s="6">
        <f>$K$11*$Y$11</f>
        <v>0</v>
      </c>
      <c r="AF11" s="6">
        <f ca="1">$M$11*$Z$11</f>
        <v>5885.5323991646328</v>
      </c>
      <c r="AG11" s="6">
        <f>$O$11*$AA$11</f>
        <v>0</v>
      </c>
      <c r="AI11" s="62" t="s">
        <v>1096</v>
      </c>
      <c r="AJ11" s="63">
        <f>AJ10+AJ9</f>
        <v>440631011.35053527</v>
      </c>
      <c r="AK11" s="63">
        <f ca="1">AK10+AK9</f>
        <v>564383920.85113633</v>
      </c>
      <c r="AL11" s="64">
        <f t="shared" ca="1" si="2"/>
        <v>0.28085383532425023</v>
      </c>
      <c r="AN11" s="62" t="s">
        <v>1096</v>
      </c>
      <c r="AO11" s="63">
        <f>AO10+AO9</f>
        <v>348072701.91582882</v>
      </c>
      <c r="AP11" s="63">
        <f>AP10+AP9</f>
        <v>355016977.11578822</v>
      </c>
      <c r="AQ11" s="64">
        <f t="shared" si="5"/>
        <v>1.9950645832716551E-2</v>
      </c>
      <c r="AS11" s="62" t="s">
        <v>1096</v>
      </c>
      <c r="AT11" s="63">
        <f>AT10+AT9</f>
        <v>788703713.26636398</v>
      </c>
      <c r="AU11" s="63">
        <f ca="1">AU10+AU9</f>
        <v>919400897.96692455</v>
      </c>
      <c r="AV11" s="64">
        <f t="shared" ca="1" si="8"/>
        <v>0.16571138502605343</v>
      </c>
    </row>
    <row r="12" spans="1:48" ht="11.25" customHeight="1" x14ac:dyDescent="0.25">
      <c r="A12" s="4" t="s">
        <v>27</v>
      </c>
      <c r="B12" s="4" t="s">
        <v>59</v>
      </c>
      <c r="C12" s="4" t="s">
        <v>40</v>
      </c>
      <c r="D12" s="4" t="s">
        <v>38</v>
      </c>
      <c r="E12" s="4" t="s">
        <v>25</v>
      </c>
      <c r="F12" s="4" t="s">
        <v>61</v>
      </c>
      <c r="G12" s="4" t="s">
        <v>25</v>
      </c>
      <c r="H12" s="4" t="s">
        <v>25</v>
      </c>
      <c r="I12" s="5">
        <v>44652</v>
      </c>
      <c r="J12" s="6">
        <v>0</v>
      </c>
      <c r="K12" s="6">
        <v>0</v>
      </c>
      <c r="L12" s="6">
        <v>390.41</v>
      </c>
      <c r="M12" s="6">
        <v>390.41</v>
      </c>
      <c r="N12" s="6">
        <v>0</v>
      </c>
      <c r="O12" s="6">
        <v>0</v>
      </c>
      <c r="P12" s="6">
        <v>0</v>
      </c>
      <c r="Q12" s="4" t="s">
        <v>62</v>
      </c>
      <c r="R12" s="4">
        <v>0</v>
      </c>
      <c r="S12" s="6">
        <v>0</v>
      </c>
      <c r="T12" s="6">
        <v>4</v>
      </c>
      <c r="U12" s="6">
        <v>0</v>
      </c>
      <c r="V12" s="6">
        <f>IF(ISERROR(VLOOKUP($S$12,'TAR FIN'!$A$1:$O$116,15,0)),0,VLOOKUP($S$12,'TAR FIN'!$A$1:$O$116,15,0))</f>
        <v>0</v>
      </c>
      <c r="W12" s="6">
        <f>IF(ISERROR(VLOOKUP($T$12,'TAR FIN'!$A$1:$O$116,15,0)),0,VLOOKUP($T$12,'TAR FIN'!$A$1:$O$116,15,0))</f>
        <v>10.68</v>
      </c>
      <c r="X12" s="6">
        <f>IF(ISERROR(VLOOKUP($U$12,'TAR FIN'!$A$1:$O$116,15,0)),0,VLOOKUP($U$12,'TAR FIN'!$A$1:$O$116,15,0))</f>
        <v>0</v>
      </c>
      <c r="Y12" s="6"/>
      <c r="Z12" s="6">
        <f ca="1">('TUSD BE'!$AM$8+'TUSD BF'!$AM$8+'TUSD CVA'!$AM$8)*1</f>
        <v>11.362843290282575</v>
      </c>
      <c r="AA12" s="6"/>
      <c r="AB12" s="6">
        <f>$K$12*$V$12</f>
        <v>0</v>
      </c>
      <c r="AC12" s="6">
        <f>$M$12*$W$12</f>
        <v>4169.5788000000002</v>
      </c>
      <c r="AD12" s="6">
        <f>$O$12*$X$12</f>
        <v>0</v>
      </c>
      <c r="AE12" s="6">
        <f>$K$12*$Y$12</f>
        <v>0</v>
      </c>
      <c r="AF12" s="6">
        <f ca="1">$M$12*$Z$12</f>
        <v>4436.1676489592201</v>
      </c>
      <c r="AG12" s="6">
        <f>$O$12*$AA$12</f>
        <v>0</v>
      </c>
    </row>
    <row r="13" spans="1:48" ht="11.25" customHeight="1" x14ac:dyDescent="0.25">
      <c r="A13" s="4" t="s">
        <v>58</v>
      </c>
      <c r="B13" s="4" t="s">
        <v>59</v>
      </c>
      <c r="C13" s="4" t="s">
        <v>40</v>
      </c>
      <c r="D13" s="4" t="s">
        <v>38</v>
      </c>
      <c r="E13" s="4" t="s">
        <v>25</v>
      </c>
      <c r="F13" s="4" t="s">
        <v>61</v>
      </c>
      <c r="G13" s="4" t="s">
        <v>25</v>
      </c>
      <c r="H13" s="4" t="s">
        <v>25</v>
      </c>
      <c r="I13" s="5">
        <v>44682</v>
      </c>
      <c r="J13" s="6">
        <v>0</v>
      </c>
      <c r="K13" s="6">
        <v>0</v>
      </c>
      <c r="L13" s="6">
        <v>390.41</v>
      </c>
      <c r="M13" s="6">
        <v>390.41</v>
      </c>
      <c r="N13" s="6">
        <v>0</v>
      </c>
      <c r="O13" s="6">
        <v>0</v>
      </c>
      <c r="P13" s="6">
        <v>0</v>
      </c>
      <c r="Q13" s="4" t="s">
        <v>62</v>
      </c>
      <c r="R13" s="4">
        <v>0</v>
      </c>
      <c r="S13" s="6">
        <v>0</v>
      </c>
      <c r="T13" s="6">
        <v>4</v>
      </c>
      <c r="U13" s="6">
        <v>0</v>
      </c>
      <c r="V13" s="6">
        <f>IF(ISERROR(VLOOKUP($S$13,'TAR FIN'!$A$1:$O$116,15,0)),0,VLOOKUP($S$13,'TAR FIN'!$A$1:$O$116,15,0))</f>
        <v>0</v>
      </c>
      <c r="W13" s="6">
        <f>IF(ISERROR(VLOOKUP($T$13,'TAR FIN'!$A$1:$O$116,15,0)),0,VLOOKUP($T$13,'TAR FIN'!$A$1:$O$116,15,0))</f>
        <v>10.68</v>
      </c>
      <c r="X13" s="6">
        <f>IF(ISERROR(VLOOKUP($U$13,'TAR FIN'!$A$1:$O$116,15,0)),0,VLOOKUP($U$13,'TAR FIN'!$A$1:$O$116,15,0))</f>
        <v>0</v>
      </c>
      <c r="Y13" s="6"/>
      <c r="Z13" s="6">
        <f ca="1">('TUSD BE'!$AM$8+'TUSD BF'!$AM$8+'TUSD CVA'!$AM$8)*1</f>
        <v>11.362843290282575</v>
      </c>
      <c r="AA13" s="6"/>
      <c r="AB13" s="6">
        <f>$K$13*$V$13</f>
        <v>0</v>
      </c>
      <c r="AC13" s="6">
        <f>$M$13*$W$13</f>
        <v>4169.5788000000002</v>
      </c>
      <c r="AD13" s="6">
        <f>$O$13*$X$13</f>
        <v>0</v>
      </c>
      <c r="AE13" s="6">
        <f>$K$13*$Y$13</f>
        <v>0</v>
      </c>
      <c r="AF13" s="6">
        <f ca="1">$M$13*$Z$13</f>
        <v>4436.1676489592201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59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44348</v>
      </c>
      <c r="J14" s="6">
        <v>12600</v>
      </c>
      <c r="K14" s="6">
        <v>12600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60</v>
      </c>
      <c r="R14" s="4">
        <v>0</v>
      </c>
      <c r="S14" s="6">
        <v>2</v>
      </c>
      <c r="T14" s="6">
        <v>0</v>
      </c>
      <c r="U14" s="6">
        <v>0</v>
      </c>
      <c r="V14" s="6">
        <f>IF(ISERROR(VLOOKUP($S$14,'TAR FIN'!$A$1:$O$116,15,0)),0,VLOOKUP($S$14,'TAR FIN'!$A$1:$O$116,15,0))</f>
        <v>6.86</v>
      </c>
      <c r="W14" s="6">
        <f>IF(ISERROR(VLOOKUP($T$14,'TAR FIN'!$A$1:$O$116,15,0)),0,VLOOKUP($T$14,'TAR FIN'!$A$1:$O$116,15,0))</f>
        <v>0</v>
      </c>
      <c r="X14" s="6">
        <f>IF(ISERROR(VLOOKUP($U$14,'TAR FIN'!$A$1:$O$116,15,0)),0,VLOOKUP($U$14,'TAR FIN'!$A$1:$O$116,15,0))</f>
        <v>0</v>
      </c>
      <c r="Y14" s="6">
        <f ca="1">('TUSD BE'!$AM$6+'TUSD BF'!$AM$6+'TUSD CVA'!$AM$6)*1</f>
        <v>8.1047349450416419</v>
      </c>
      <c r="Z14" s="6">
        <f ca="1">('TUSD BE'!$AM$7+'TUSD BF'!$AM$7+'TUSD CVA'!$AM$7)*1</f>
        <v>97.221093174390077</v>
      </c>
      <c r="AA14" s="6"/>
      <c r="AB14" s="6">
        <f>$K$14*$V$14</f>
        <v>86436</v>
      </c>
      <c r="AC14" s="6">
        <f>$M$14*$W$14</f>
        <v>0</v>
      </c>
      <c r="AD14" s="6">
        <f>$O$14*$X$14</f>
        <v>0</v>
      </c>
      <c r="AE14" s="6">
        <f ca="1">$K$14*$Y$14</f>
        <v>102119.66030752468</v>
      </c>
      <c r="AF14" s="6">
        <f ca="1">$M$14*$Z$14</f>
        <v>0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59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44378</v>
      </c>
      <c r="J15" s="6">
        <v>12600</v>
      </c>
      <c r="K15" s="6">
        <v>12600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60</v>
      </c>
      <c r="R15" s="4">
        <v>0</v>
      </c>
      <c r="S15" s="6">
        <v>2</v>
      </c>
      <c r="T15" s="6">
        <v>0</v>
      </c>
      <c r="U15" s="6">
        <v>0</v>
      </c>
      <c r="V15" s="6">
        <f>IF(ISERROR(VLOOKUP($S$15,'TAR FIN'!$A$1:$O$116,15,0)),0,VLOOKUP($S$15,'TAR FIN'!$A$1:$O$116,15,0))</f>
        <v>6.86</v>
      </c>
      <c r="W15" s="6">
        <f>IF(ISERROR(VLOOKUP($T$15,'TAR FIN'!$A$1:$O$116,15,0)),0,VLOOKUP($T$15,'TAR FIN'!$A$1:$O$116,15,0))</f>
        <v>0</v>
      </c>
      <c r="X15" s="6">
        <f>IF(ISERROR(VLOOKUP($U$15,'TAR FIN'!$A$1:$O$116,15,0)),0,VLOOKUP($U$15,'TAR FIN'!$A$1:$O$116,15,0))</f>
        <v>0</v>
      </c>
      <c r="Y15" s="6">
        <f ca="1">('TUSD BE'!$AM$6+'TUSD BF'!$AM$6+'TUSD CVA'!$AM$6)*1</f>
        <v>8.1047349450416419</v>
      </c>
      <c r="Z15" s="6">
        <f ca="1">('TUSD BE'!$AM$7+'TUSD BF'!$AM$7+'TUSD CVA'!$AM$7)*1</f>
        <v>97.221093174390077</v>
      </c>
      <c r="AA15" s="6"/>
      <c r="AB15" s="6">
        <f>$K$15*$V$15</f>
        <v>86436</v>
      </c>
      <c r="AC15" s="6">
        <f>$M$15*$W$15</f>
        <v>0</v>
      </c>
      <c r="AD15" s="6">
        <f>$O$15*$X$15</f>
        <v>0</v>
      </c>
      <c r="AE15" s="6">
        <f ca="1">$K$15*$Y$15</f>
        <v>102119.66030752468</v>
      </c>
      <c r="AF15" s="6">
        <f ca="1">$M$15*$Z$15</f>
        <v>0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59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44409</v>
      </c>
      <c r="J16" s="6">
        <v>12600</v>
      </c>
      <c r="K16" s="6">
        <v>12600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60</v>
      </c>
      <c r="R16" s="4">
        <v>0</v>
      </c>
      <c r="S16" s="6">
        <v>2</v>
      </c>
      <c r="T16" s="6">
        <v>0</v>
      </c>
      <c r="U16" s="6">
        <v>0</v>
      </c>
      <c r="V16" s="6">
        <f>IF(ISERROR(VLOOKUP($S$16,'TAR FIN'!$A$1:$O$116,15,0)),0,VLOOKUP($S$16,'TAR FIN'!$A$1:$O$116,15,0))</f>
        <v>6.86</v>
      </c>
      <c r="W16" s="6">
        <f>IF(ISERROR(VLOOKUP($T$16,'TAR FIN'!$A$1:$O$116,15,0)),0,VLOOKUP($T$16,'TAR FIN'!$A$1:$O$116,15,0))</f>
        <v>0</v>
      </c>
      <c r="X16" s="6">
        <f>IF(ISERROR(VLOOKUP($U$16,'TAR FIN'!$A$1:$O$116,15,0)),0,VLOOKUP($U$16,'TAR FIN'!$A$1:$O$116,15,0))</f>
        <v>0</v>
      </c>
      <c r="Y16" s="6">
        <f ca="1">('TUSD BE'!$AM$6+'TUSD BF'!$AM$6+'TUSD CVA'!$AM$6)*1</f>
        <v>8.1047349450416419</v>
      </c>
      <c r="Z16" s="6">
        <f ca="1">('TUSD BE'!$AM$7+'TUSD BF'!$AM$7+'TUSD CVA'!$AM$7)*1</f>
        <v>97.221093174390077</v>
      </c>
      <c r="AA16" s="6"/>
      <c r="AB16" s="6">
        <f>$K$16*$V$16</f>
        <v>86436</v>
      </c>
      <c r="AC16" s="6">
        <f>$M$16*$W$16</f>
        <v>0</v>
      </c>
      <c r="AD16" s="6">
        <f>$O$16*$X$16</f>
        <v>0</v>
      </c>
      <c r="AE16" s="6">
        <f ca="1">$K$16*$Y$16</f>
        <v>102119.66030752468</v>
      </c>
      <c r="AF16" s="6">
        <f ca="1">$M$16*$Z$16</f>
        <v>0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59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44440</v>
      </c>
      <c r="J17" s="6">
        <v>12600</v>
      </c>
      <c r="K17" s="6">
        <v>12600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60</v>
      </c>
      <c r="R17" s="4">
        <v>0</v>
      </c>
      <c r="S17" s="6">
        <v>2</v>
      </c>
      <c r="T17" s="6">
        <v>0</v>
      </c>
      <c r="U17" s="6">
        <v>0</v>
      </c>
      <c r="V17" s="6">
        <f>IF(ISERROR(VLOOKUP($S$17,'TAR FIN'!$A$1:$O$116,15,0)),0,VLOOKUP($S$17,'TAR FIN'!$A$1:$O$116,15,0))</f>
        <v>6.86</v>
      </c>
      <c r="W17" s="6">
        <f>IF(ISERROR(VLOOKUP($T$17,'TAR FIN'!$A$1:$O$116,15,0)),0,VLOOKUP($T$17,'TAR FIN'!$A$1:$O$116,15,0))</f>
        <v>0</v>
      </c>
      <c r="X17" s="6">
        <f>IF(ISERROR(VLOOKUP($U$17,'TAR FIN'!$A$1:$O$116,15,0)),0,VLOOKUP($U$17,'TAR FIN'!$A$1:$O$116,15,0))</f>
        <v>0</v>
      </c>
      <c r="Y17" s="6">
        <f ca="1">('TUSD BE'!$AM$6+'TUSD BF'!$AM$6+'TUSD CVA'!$AM$6)*1</f>
        <v>8.1047349450416419</v>
      </c>
      <c r="Z17" s="6">
        <f ca="1">('TUSD BE'!$AM$7+'TUSD BF'!$AM$7+'TUSD CVA'!$AM$7)*1</f>
        <v>97.221093174390077</v>
      </c>
      <c r="AA17" s="6"/>
      <c r="AB17" s="6">
        <f>$K$17*$V$17</f>
        <v>86436</v>
      </c>
      <c r="AC17" s="6">
        <f>$M$17*$W$17</f>
        <v>0</v>
      </c>
      <c r="AD17" s="6">
        <f>$O$17*$X$17</f>
        <v>0</v>
      </c>
      <c r="AE17" s="6">
        <f ca="1">$K$17*$Y$17</f>
        <v>102119.66030752468</v>
      </c>
      <c r="AF17" s="6">
        <f ca="1">$M$17*$Z$17</f>
        <v>0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59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44470</v>
      </c>
      <c r="J18" s="6">
        <v>12600</v>
      </c>
      <c r="K18" s="6">
        <v>12600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60</v>
      </c>
      <c r="R18" s="4">
        <v>0</v>
      </c>
      <c r="S18" s="6">
        <v>2</v>
      </c>
      <c r="T18" s="6">
        <v>0</v>
      </c>
      <c r="U18" s="6">
        <v>0</v>
      </c>
      <c r="V18" s="6">
        <f>IF(ISERROR(VLOOKUP($S$18,'TAR FIN'!$A$1:$O$116,15,0)),0,VLOOKUP($S$18,'TAR FIN'!$A$1:$O$116,15,0))</f>
        <v>6.86</v>
      </c>
      <c r="W18" s="6">
        <f>IF(ISERROR(VLOOKUP($T$18,'TAR FIN'!$A$1:$O$116,15,0)),0,VLOOKUP($T$18,'TAR FIN'!$A$1:$O$116,15,0))</f>
        <v>0</v>
      </c>
      <c r="X18" s="6">
        <f>IF(ISERROR(VLOOKUP($U$18,'TAR FIN'!$A$1:$O$116,15,0)),0,VLOOKUP($U$18,'TAR FIN'!$A$1:$O$116,15,0))</f>
        <v>0</v>
      </c>
      <c r="Y18" s="6">
        <f ca="1">('TUSD BE'!$AM$6+'TUSD BF'!$AM$6+'TUSD CVA'!$AM$6)*1</f>
        <v>8.1047349450416419</v>
      </c>
      <c r="Z18" s="6">
        <f ca="1">('TUSD BE'!$AM$7+'TUSD BF'!$AM$7+'TUSD CVA'!$AM$7)*1</f>
        <v>97.221093174390077</v>
      </c>
      <c r="AA18" s="6"/>
      <c r="AB18" s="6">
        <f>$K$18*$V$18</f>
        <v>86436</v>
      </c>
      <c r="AC18" s="6">
        <f>$M$18*$W$18</f>
        <v>0</v>
      </c>
      <c r="AD18" s="6">
        <f>$O$18*$X$18</f>
        <v>0</v>
      </c>
      <c r="AE18" s="6">
        <f ca="1">$K$18*$Y$18</f>
        <v>102119.66030752468</v>
      </c>
      <c r="AF18" s="6">
        <f ca="1">$M$18*$Z$18</f>
        <v>0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59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44501</v>
      </c>
      <c r="J19" s="6">
        <v>12600</v>
      </c>
      <c r="K19" s="6">
        <v>12600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60</v>
      </c>
      <c r="R19" s="4">
        <v>0</v>
      </c>
      <c r="S19" s="6">
        <v>2</v>
      </c>
      <c r="T19" s="6">
        <v>0</v>
      </c>
      <c r="U19" s="6">
        <v>0</v>
      </c>
      <c r="V19" s="6">
        <f>IF(ISERROR(VLOOKUP($S$19,'TAR FIN'!$A$1:$O$116,15,0)),0,VLOOKUP($S$19,'TAR FIN'!$A$1:$O$116,15,0))</f>
        <v>6.86</v>
      </c>
      <c r="W19" s="6">
        <f>IF(ISERROR(VLOOKUP($T$19,'TAR FIN'!$A$1:$O$116,15,0)),0,VLOOKUP($T$19,'TAR FIN'!$A$1:$O$116,15,0))</f>
        <v>0</v>
      </c>
      <c r="X19" s="6">
        <f>IF(ISERROR(VLOOKUP($U$19,'TAR FIN'!$A$1:$O$116,15,0)),0,VLOOKUP($U$19,'TAR FIN'!$A$1:$O$116,15,0))</f>
        <v>0</v>
      </c>
      <c r="Y19" s="6">
        <f ca="1">('TUSD BE'!$AM$6+'TUSD BF'!$AM$6+'TUSD CVA'!$AM$6)*1</f>
        <v>8.1047349450416419</v>
      </c>
      <c r="Z19" s="6">
        <f ca="1">('TUSD BE'!$AM$7+'TUSD BF'!$AM$7+'TUSD CVA'!$AM$7)*1</f>
        <v>97.221093174390077</v>
      </c>
      <c r="AA19" s="6"/>
      <c r="AB19" s="6">
        <f>$K$19*$V$19</f>
        <v>86436</v>
      </c>
      <c r="AC19" s="6">
        <f>$M$19*$W$19</f>
        <v>0</v>
      </c>
      <c r="AD19" s="6">
        <f>$O$19*$X$19</f>
        <v>0</v>
      </c>
      <c r="AE19" s="6">
        <f ca="1">$K$19*$Y$19</f>
        <v>102119.66030752468</v>
      </c>
      <c r="AF19" s="6">
        <f ca="1">$M$19*$Z$19</f>
        <v>0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59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44531</v>
      </c>
      <c r="J20" s="6">
        <v>12600</v>
      </c>
      <c r="K20" s="6">
        <v>12600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60</v>
      </c>
      <c r="R20" s="4">
        <v>0</v>
      </c>
      <c r="S20" s="6">
        <v>2</v>
      </c>
      <c r="T20" s="6">
        <v>0</v>
      </c>
      <c r="U20" s="6">
        <v>0</v>
      </c>
      <c r="V20" s="6">
        <f>IF(ISERROR(VLOOKUP($S$20,'TAR FIN'!$A$1:$O$116,15,0)),0,VLOOKUP($S$20,'TAR FIN'!$A$1:$O$116,15,0))</f>
        <v>6.86</v>
      </c>
      <c r="W20" s="6">
        <f>IF(ISERROR(VLOOKUP($T$20,'TAR FIN'!$A$1:$O$116,15,0)),0,VLOOKUP($T$20,'TAR FIN'!$A$1:$O$116,15,0))</f>
        <v>0</v>
      </c>
      <c r="X20" s="6">
        <f>IF(ISERROR(VLOOKUP($U$20,'TAR FIN'!$A$1:$O$116,15,0)),0,VLOOKUP($U$20,'TAR FIN'!$A$1:$O$116,15,0))</f>
        <v>0</v>
      </c>
      <c r="Y20" s="6">
        <f ca="1">('TUSD BE'!$AM$6+'TUSD BF'!$AM$6+'TUSD CVA'!$AM$6)*1</f>
        <v>8.1047349450416419</v>
      </c>
      <c r="Z20" s="6">
        <f ca="1">('TUSD BE'!$AM$7+'TUSD BF'!$AM$7+'TUSD CVA'!$AM$7)*1</f>
        <v>97.221093174390077</v>
      </c>
      <c r="AA20" s="6"/>
      <c r="AB20" s="6">
        <f>$K$20*$V$20</f>
        <v>86436</v>
      </c>
      <c r="AC20" s="6">
        <f>$M$20*$W$20</f>
        <v>0</v>
      </c>
      <c r="AD20" s="6">
        <f>$O$20*$X$20</f>
        <v>0</v>
      </c>
      <c r="AE20" s="6">
        <f ca="1">$K$20*$Y$20</f>
        <v>102119.66030752468</v>
      </c>
      <c r="AF20" s="6">
        <f ca="1">$M$20*$Z$20</f>
        <v>0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59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44562</v>
      </c>
      <c r="J21" s="6">
        <v>12600</v>
      </c>
      <c r="K21" s="6">
        <v>12600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60</v>
      </c>
      <c r="R21" s="4">
        <v>0</v>
      </c>
      <c r="S21" s="6">
        <v>2</v>
      </c>
      <c r="T21" s="6">
        <v>0</v>
      </c>
      <c r="U21" s="6">
        <v>0</v>
      </c>
      <c r="V21" s="6">
        <f>IF(ISERROR(VLOOKUP($S$21,'TAR FIN'!$A$1:$O$116,15,0)),0,VLOOKUP($S$21,'TAR FIN'!$A$1:$O$116,15,0))</f>
        <v>6.86</v>
      </c>
      <c r="W21" s="6">
        <f>IF(ISERROR(VLOOKUP($T$21,'TAR FIN'!$A$1:$O$116,15,0)),0,VLOOKUP($T$21,'TAR FIN'!$A$1:$O$116,15,0))</f>
        <v>0</v>
      </c>
      <c r="X21" s="6">
        <f>IF(ISERROR(VLOOKUP($U$21,'TAR FIN'!$A$1:$O$116,15,0)),0,VLOOKUP($U$21,'TAR FIN'!$A$1:$O$116,15,0))</f>
        <v>0</v>
      </c>
      <c r="Y21" s="6">
        <f ca="1">('TUSD BE'!$AM$6+'TUSD BF'!$AM$6+'TUSD CVA'!$AM$6)*1</f>
        <v>8.1047349450416419</v>
      </c>
      <c r="Z21" s="6">
        <f ca="1">('TUSD BE'!$AM$7+'TUSD BF'!$AM$7+'TUSD CVA'!$AM$7)*1</f>
        <v>97.221093174390077</v>
      </c>
      <c r="AA21" s="6"/>
      <c r="AB21" s="6">
        <f>$K$21*$V$21</f>
        <v>86436</v>
      </c>
      <c r="AC21" s="6">
        <f>$M$21*$W$21</f>
        <v>0</v>
      </c>
      <c r="AD21" s="6">
        <f>$O$21*$X$21</f>
        <v>0</v>
      </c>
      <c r="AE21" s="6">
        <f ca="1">$K$21*$Y$21</f>
        <v>102119.66030752468</v>
      </c>
      <c r="AF21" s="6">
        <f ca="1">$M$21*$Z$21</f>
        <v>0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59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44593</v>
      </c>
      <c r="J22" s="6">
        <v>12600</v>
      </c>
      <c r="K22" s="6">
        <v>12600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60</v>
      </c>
      <c r="R22" s="4">
        <v>0</v>
      </c>
      <c r="S22" s="6">
        <v>2</v>
      </c>
      <c r="T22" s="6">
        <v>0</v>
      </c>
      <c r="U22" s="6">
        <v>0</v>
      </c>
      <c r="V22" s="6">
        <f>IF(ISERROR(VLOOKUP($S$22,'TAR FIN'!$A$1:$O$116,15,0)),0,VLOOKUP($S$22,'TAR FIN'!$A$1:$O$116,15,0))</f>
        <v>6.86</v>
      </c>
      <c r="W22" s="6">
        <f>IF(ISERROR(VLOOKUP($T$22,'TAR FIN'!$A$1:$O$116,15,0)),0,VLOOKUP($T$22,'TAR FIN'!$A$1:$O$116,15,0))</f>
        <v>0</v>
      </c>
      <c r="X22" s="6">
        <f>IF(ISERROR(VLOOKUP($U$22,'TAR FIN'!$A$1:$O$116,15,0)),0,VLOOKUP($U$22,'TAR FIN'!$A$1:$O$116,15,0))</f>
        <v>0</v>
      </c>
      <c r="Y22" s="6">
        <f ca="1">('TUSD BE'!$AM$6+'TUSD BF'!$AM$6+'TUSD CVA'!$AM$6)*1</f>
        <v>8.1047349450416419</v>
      </c>
      <c r="Z22" s="6">
        <f ca="1">('TUSD BE'!$AM$7+'TUSD BF'!$AM$7+'TUSD CVA'!$AM$7)*1</f>
        <v>97.221093174390077</v>
      </c>
      <c r="AA22" s="6"/>
      <c r="AB22" s="6">
        <f>$K$22*$V$22</f>
        <v>86436</v>
      </c>
      <c r="AC22" s="6">
        <f>$M$22*$W$22</f>
        <v>0</v>
      </c>
      <c r="AD22" s="6">
        <f>$O$22*$X$22</f>
        <v>0</v>
      </c>
      <c r="AE22" s="6">
        <f ca="1">$K$22*$Y$22</f>
        <v>102119.66030752468</v>
      </c>
      <c r="AF22" s="6">
        <f ca="1">$M$22*$Z$22</f>
        <v>0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59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44621</v>
      </c>
      <c r="J23" s="6">
        <v>12600</v>
      </c>
      <c r="K23" s="6">
        <v>12600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60</v>
      </c>
      <c r="R23" s="4">
        <v>0</v>
      </c>
      <c r="S23" s="6">
        <v>2</v>
      </c>
      <c r="T23" s="6">
        <v>0</v>
      </c>
      <c r="U23" s="6">
        <v>0</v>
      </c>
      <c r="V23" s="6">
        <f>IF(ISERROR(VLOOKUP($S$23,'TAR FIN'!$A$1:$O$116,15,0)),0,VLOOKUP($S$23,'TAR FIN'!$A$1:$O$116,15,0))</f>
        <v>6.86</v>
      </c>
      <c r="W23" s="6">
        <f>IF(ISERROR(VLOOKUP($T$23,'TAR FIN'!$A$1:$O$116,15,0)),0,VLOOKUP($T$23,'TAR FIN'!$A$1:$O$116,15,0))</f>
        <v>0</v>
      </c>
      <c r="X23" s="6">
        <f>IF(ISERROR(VLOOKUP($U$23,'TAR FIN'!$A$1:$O$116,15,0)),0,VLOOKUP($U$23,'TAR FIN'!$A$1:$O$116,15,0))</f>
        <v>0</v>
      </c>
      <c r="Y23" s="6">
        <f ca="1">('TUSD BE'!$AM$6+'TUSD BF'!$AM$6+'TUSD CVA'!$AM$6)*1</f>
        <v>8.1047349450416419</v>
      </c>
      <c r="Z23" s="6">
        <f ca="1">('TUSD BE'!$AM$7+'TUSD BF'!$AM$7+'TUSD CVA'!$AM$7)*1</f>
        <v>97.221093174390077</v>
      </c>
      <c r="AA23" s="6"/>
      <c r="AB23" s="6">
        <f>$K$23*$V$23</f>
        <v>86436</v>
      </c>
      <c r="AC23" s="6">
        <f>$M$23*$W$23</f>
        <v>0</v>
      </c>
      <c r="AD23" s="6">
        <f>$O$23*$X$23</f>
        <v>0</v>
      </c>
      <c r="AE23" s="6">
        <f ca="1">$K$23*$Y$23</f>
        <v>102119.66030752468</v>
      </c>
      <c r="AF23" s="6">
        <f ca="1">$M$23*$Z$23</f>
        <v>0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59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44652</v>
      </c>
      <c r="J24" s="6">
        <v>12600</v>
      </c>
      <c r="K24" s="6">
        <v>12600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60</v>
      </c>
      <c r="R24" s="4">
        <v>0</v>
      </c>
      <c r="S24" s="6">
        <v>2</v>
      </c>
      <c r="T24" s="6">
        <v>0</v>
      </c>
      <c r="U24" s="6">
        <v>0</v>
      </c>
      <c r="V24" s="6">
        <f>IF(ISERROR(VLOOKUP($S$24,'TAR FIN'!$A$1:$O$116,15,0)),0,VLOOKUP($S$24,'TAR FIN'!$A$1:$O$116,15,0))</f>
        <v>6.86</v>
      </c>
      <c r="W24" s="6">
        <f>IF(ISERROR(VLOOKUP($T$24,'TAR FIN'!$A$1:$O$116,15,0)),0,VLOOKUP($T$24,'TAR FIN'!$A$1:$O$116,15,0))</f>
        <v>0</v>
      </c>
      <c r="X24" s="6">
        <f>IF(ISERROR(VLOOKUP($U$24,'TAR FIN'!$A$1:$O$116,15,0)),0,VLOOKUP($U$24,'TAR FIN'!$A$1:$O$116,15,0))</f>
        <v>0</v>
      </c>
      <c r="Y24" s="6">
        <f ca="1">('TUSD BE'!$AM$6+'TUSD BF'!$AM$6+'TUSD CVA'!$AM$6)*1</f>
        <v>8.1047349450416419</v>
      </c>
      <c r="Z24" s="6">
        <f ca="1">('TUSD BE'!$AM$7+'TUSD BF'!$AM$7+'TUSD CVA'!$AM$7)*1</f>
        <v>97.221093174390077</v>
      </c>
      <c r="AA24" s="6"/>
      <c r="AB24" s="6">
        <f>$K$24*$V$24</f>
        <v>86436</v>
      </c>
      <c r="AC24" s="6">
        <f>$M$24*$W$24</f>
        <v>0</v>
      </c>
      <c r="AD24" s="6">
        <f>$O$24*$X$24</f>
        <v>0</v>
      </c>
      <c r="AE24" s="6">
        <f ca="1">$K$24*$Y$24</f>
        <v>102119.66030752468</v>
      </c>
      <c r="AF24" s="6">
        <f ca="1">$M$24*$Z$24</f>
        <v>0</v>
      </c>
      <c r="AG24" s="6">
        <f>$O$24*$AA$24</f>
        <v>0</v>
      </c>
    </row>
    <row r="25" spans="1:33" ht="11.25" customHeight="1" x14ac:dyDescent="0.25">
      <c r="A25" s="4" t="s">
        <v>58</v>
      </c>
      <c r="B25" s="4" t="s">
        <v>59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44682</v>
      </c>
      <c r="J25" s="6">
        <v>12600</v>
      </c>
      <c r="K25" s="6">
        <v>12600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60</v>
      </c>
      <c r="R25" s="4">
        <v>0</v>
      </c>
      <c r="S25" s="6">
        <v>2</v>
      </c>
      <c r="T25" s="6">
        <v>0</v>
      </c>
      <c r="U25" s="6">
        <v>0</v>
      </c>
      <c r="V25" s="6">
        <f>IF(ISERROR(VLOOKUP($S$25,'TAR FIN'!$A$1:$O$116,15,0)),0,VLOOKUP($S$25,'TAR FIN'!$A$1:$O$116,15,0))</f>
        <v>6.86</v>
      </c>
      <c r="W25" s="6">
        <f>IF(ISERROR(VLOOKUP($T$25,'TAR FIN'!$A$1:$O$116,15,0)),0,VLOOKUP($T$25,'TAR FIN'!$A$1:$O$116,15,0))</f>
        <v>0</v>
      </c>
      <c r="X25" s="6">
        <f>IF(ISERROR(VLOOKUP($U$25,'TAR FIN'!$A$1:$O$116,15,0)),0,VLOOKUP($U$25,'TAR FIN'!$A$1:$O$116,15,0))</f>
        <v>0</v>
      </c>
      <c r="Y25" s="6">
        <f ca="1">('TUSD BE'!$AM$6+'TUSD BF'!$AM$6+'TUSD CVA'!$AM$6)*1</f>
        <v>8.1047349450416419</v>
      </c>
      <c r="Z25" s="6">
        <f ca="1">('TUSD BE'!$AM$7+'TUSD BF'!$AM$7+'TUSD CVA'!$AM$7)*1</f>
        <v>97.221093174390077</v>
      </c>
      <c r="AA25" s="6"/>
      <c r="AB25" s="6">
        <f>$K$25*$V$25</f>
        <v>86436</v>
      </c>
      <c r="AC25" s="6">
        <f>$M$25*$W$25</f>
        <v>0</v>
      </c>
      <c r="AD25" s="6">
        <f>$O$25*$X$25</f>
        <v>0</v>
      </c>
      <c r="AE25" s="6">
        <f ca="1">$K$25*$Y$25</f>
        <v>102119.66030752468</v>
      </c>
      <c r="AF25" s="6">
        <f ca="1">$M$25*$Z$25</f>
        <v>0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59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25</v>
      </c>
      <c r="I26" s="5">
        <v>44348</v>
      </c>
      <c r="J26" s="6">
        <v>0</v>
      </c>
      <c r="K26" s="6">
        <v>0</v>
      </c>
      <c r="L26" s="6">
        <v>2945.0729999999999</v>
      </c>
      <c r="M26" s="6">
        <v>2945.0729999999999</v>
      </c>
      <c r="N26" s="6">
        <v>0</v>
      </c>
      <c r="O26" s="6">
        <v>0</v>
      </c>
      <c r="P26" s="6">
        <v>2</v>
      </c>
      <c r="Q26" s="4" t="s">
        <v>60</v>
      </c>
      <c r="R26" s="4">
        <v>0</v>
      </c>
      <c r="S26" s="6">
        <v>0</v>
      </c>
      <c r="T26" s="6">
        <v>3</v>
      </c>
      <c r="U26" s="6">
        <v>0</v>
      </c>
      <c r="V26" s="6">
        <f>IF(ISERROR(VLOOKUP($S$26,'TAR FIN'!$A$1:$O$116,15,0)),0,VLOOKUP($S$26,'TAR FIN'!$A$1:$O$116,15,0))</f>
        <v>0</v>
      </c>
      <c r="W26" s="6">
        <f>IF(ISERROR(VLOOKUP($T$26,'TAR FIN'!$A$1:$O$116,15,0)),0,VLOOKUP($T$26,'TAR FIN'!$A$1:$O$116,15,0))</f>
        <v>62.94</v>
      </c>
      <c r="X26" s="6">
        <f>IF(ISERROR(VLOOKUP($U$26,'TAR FIN'!$A$1:$O$116,15,0)),0,VLOOKUP($U$26,'TAR FIN'!$A$1:$O$116,15,0))</f>
        <v>0</v>
      </c>
      <c r="Y26" s="6"/>
      <c r="Z26" s="6">
        <f ca="1">('TUSD BE'!$AM$7+'TUSD BF'!$AM$7+'TUSD CVA'!$AM$7)*1</f>
        <v>97.221093174390077</v>
      </c>
      <c r="AA26" s="6"/>
      <c r="AB26" s="6">
        <f>$K$26*$V$26</f>
        <v>0</v>
      </c>
      <c r="AC26" s="6">
        <f>$M$26*$W$26</f>
        <v>185362.89461999998</v>
      </c>
      <c r="AD26" s="6">
        <f>$O$26*$X$26</f>
        <v>0</v>
      </c>
      <c r="AE26" s="6">
        <f>$K$26*$Y$26</f>
        <v>0</v>
      </c>
      <c r="AF26" s="6">
        <f ca="1">$M$26*$Z$26</f>
        <v>286323.21653838048</v>
      </c>
      <c r="AG26" s="6">
        <f>$O$26*$AA$26</f>
        <v>0</v>
      </c>
    </row>
    <row r="27" spans="1:33" ht="11.25" customHeight="1" x14ac:dyDescent="0.25">
      <c r="A27" s="4" t="s">
        <v>27</v>
      </c>
      <c r="B27" s="4" t="s">
        <v>59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25</v>
      </c>
      <c r="I27" s="5">
        <v>44348</v>
      </c>
      <c r="J27" s="6">
        <v>0</v>
      </c>
      <c r="K27" s="6">
        <v>0</v>
      </c>
      <c r="L27" s="6">
        <v>-368.01799999999997</v>
      </c>
      <c r="M27" s="6">
        <v>-368.01799999999997</v>
      </c>
      <c r="N27" s="6">
        <v>0</v>
      </c>
      <c r="O27" s="6">
        <v>0</v>
      </c>
      <c r="P27" s="6">
        <v>0</v>
      </c>
      <c r="Q27" s="4" t="s">
        <v>60</v>
      </c>
      <c r="R27" s="4">
        <v>0</v>
      </c>
      <c r="S27" s="6">
        <v>0</v>
      </c>
      <c r="T27" s="6">
        <v>3</v>
      </c>
      <c r="U27" s="6">
        <v>0</v>
      </c>
      <c r="V27" s="6">
        <f>IF(ISERROR(VLOOKUP($S$27,'TAR FIN'!$A$1:$O$116,15,0)),0,VLOOKUP($S$27,'TAR FIN'!$A$1:$O$116,15,0))</f>
        <v>0</v>
      </c>
      <c r="W27" s="6">
        <f>IF(ISERROR(VLOOKUP($T$27,'TAR FIN'!$A$1:$O$116,15,0)),0,VLOOKUP($T$27,'TAR FIN'!$A$1:$O$116,15,0))</f>
        <v>62.94</v>
      </c>
      <c r="X27" s="6">
        <f>IF(ISERROR(VLOOKUP($U$27,'TAR FIN'!$A$1:$O$116,15,0)),0,VLOOKUP($U$27,'TAR FIN'!$A$1:$O$116,15,0))</f>
        <v>0</v>
      </c>
      <c r="Y27" s="6"/>
      <c r="Z27" s="6">
        <f ca="1">('TUSD BE'!$AM$7+'TUSD BF'!$AM$7+'TUSD CVA'!$AM$7)*1</f>
        <v>97.221093174390077</v>
      </c>
      <c r="AA27" s="6"/>
      <c r="AB27" s="6">
        <f>$K$27*$V$27</f>
        <v>0</v>
      </c>
      <c r="AC27" s="6">
        <f>$M$27*$W$27</f>
        <v>-23163.052919999998</v>
      </c>
      <c r="AD27" s="6">
        <f>$O$27*$X$27</f>
        <v>0</v>
      </c>
      <c r="AE27" s="6">
        <f>$K$27*$Y$27</f>
        <v>0</v>
      </c>
      <c r="AF27" s="6">
        <f ca="1">$M$27*$Z$27</f>
        <v>-35779.112267852688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59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25</v>
      </c>
      <c r="I28" s="5">
        <v>44378</v>
      </c>
      <c r="J28" s="6">
        <v>0</v>
      </c>
      <c r="K28" s="6">
        <v>0</v>
      </c>
      <c r="L28" s="6">
        <v>2919.2620000000002</v>
      </c>
      <c r="M28" s="6">
        <v>2919.2620000000002</v>
      </c>
      <c r="N28" s="6">
        <v>0</v>
      </c>
      <c r="O28" s="6">
        <v>0</v>
      </c>
      <c r="P28" s="6">
        <v>2</v>
      </c>
      <c r="Q28" s="4" t="s">
        <v>60</v>
      </c>
      <c r="R28" s="4">
        <v>0</v>
      </c>
      <c r="S28" s="6">
        <v>0</v>
      </c>
      <c r="T28" s="6">
        <v>3</v>
      </c>
      <c r="U28" s="6">
        <v>0</v>
      </c>
      <c r="V28" s="6">
        <f>IF(ISERROR(VLOOKUP($S$28,'TAR FIN'!$A$1:$O$116,15,0)),0,VLOOKUP($S$28,'TAR FIN'!$A$1:$O$116,15,0))</f>
        <v>0</v>
      </c>
      <c r="W28" s="6">
        <f>IF(ISERROR(VLOOKUP($T$28,'TAR FIN'!$A$1:$O$116,15,0)),0,VLOOKUP($T$28,'TAR FIN'!$A$1:$O$116,15,0))</f>
        <v>62.94</v>
      </c>
      <c r="X28" s="6">
        <f>IF(ISERROR(VLOOKUP($U$28,'TAR FIN'!$A$1:$O$116,15,0)),0,VLOOKUP($U$28,'TAR FIN'!$A$1:$O$116,15,0))</f>
        <v>0</v>
      </c>
      <c r="Y28" s="6"/>
      <c r="Z28" s="6">
        <f ca="1">('TUSD BE'!$AM$7+'TUSD BF'!$AM$7+'TUSD CVA'!$AM$7)*1</f>
        <v>97.221093174390077</v>
      </c>
      <c r="AA28" s="6"/>
      <c r="AB28" s="6">
        <f>$K$28*$V$28</f>
        <v>0</v>
      </c>
      <c r="AC28" s="6">
        <f>$M$28*$W$28</f>
        <v>183738.35028000001</v>
      </c>
      <c r="AD28" s="6">
        <f>$O$28*$X$28</f>
        <v>0</v>
      </c>
      <c r="AE28" s="6">
        <f>$K$28*$Y$28</f>
        <v>0</v>
      </c>
      <c r="AF28" s="6">
        <f ca="1">$M$28*$Z$28</f>
        <v>283813.84290245635</v>
      </c>
      <c r="AG28" s="6">
        <f>$O$28*$AA$28</f>
        <v>0</v>
      </c>
    </row>
    <row r="29" spans="1:33" ht="11.25" customHeight="1" x14ac:dyDescent="0.25">
      <c r="A29" s="4" t="s">
        <v>27</v>
      </c>
      <c r="B29" s="4" t="s">
        <v>59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25</v>
      </c>
      <c r="I29" s="5">
        <v>44378</v>
      </c>
      <c r="J29" s="6">
        <v>0</v>
      </c>
      <c r="K29" s="6">
        <v>0</v>
      </c>
      <c r="L29" s="6">
        <v>-435.58100000000002</v>
      </c>
      <c r="M29" s="6">
        <v>-435.58100000000002</v>
      </c>
      <c r="N29" s="6">
        <v>0</v>
      </c>
      <c r="O29" s="6">
        <v>0</v>
      </c>
      <c r="P29" s="6">
        <v>0</v>
      </c>
      <c r="Q29" s="4" t="s">
        <v>60</v>
      </c>
      <c r="R29" s="4">
        <v>0</v>
      </c>
      <c r="S29" s="6">
        <v>0</v>
      </c>
      <c r="T29" s="6">
        <v>3</v>
      </c>
      <c r="U29" s="6">
        <v>0</v>
      </c>
      <c r="V29" s="6">
        <f>IF(ISERROR(VLOOKUP($S$29,'TAR FIN'!$A$1:$O$116,15,0)),0,VLOOKUP($S$29,'TAR FIN'!$A$1:$O$116,15,0))</f>
        <v>0</v>
      </c>
      <c r="W29" s="6">
        <f>IF(ISERROR(VLOOKUP($T$29,'TAR FIN'!$A$1:$O$116,15,0)),0,VLOOKUP($T$29,'TAR FIN'!$A$1:$O$116,15,0))</f>
        <v>62.94</v>
      </c>
      <c r="X29" s="6">
        <f>IF(ISERROR(VLOOKUP($U$29,'TAR FIN'!$A$1:$O$116,15,0)),0,VLOOKUP($U$29,'TAR FIN'!$A$1:$O$116,15,0))</f>
        <v>0</v>
      </c>
      <c r="Y29" s="6"/>
      <c r="Z29" s="6">
        <f ca="1">('TUSD BE'!$AM$7+'TUSD BF'!$AM$7+'TUSD CVA'!$AM$7)*1</f>
        <v>97.221093174390077</v>
      </c>
      <c r="AA29" s="6"/>
      <c r="AB29" s="6">
        <f>$K$29*$V$29</f>
        <v>0</v>
      </c>
      <c r="AC29" s="6">
        <f>$M$29*$W$29</f>
        <v>-27415.468140000001</v>
      </c>
      <c r="AD29" s="6">
        <f>$O$29*$X$29</f>
        <v>0</v>
      </c>
      <c r="AE29" s="6">
        <f>$K$29*$Y$29</f>
        <v>0</v>
      </c>
      <c r="AF29" s="6">
        <f ca="1">$M$29*$Z$29</f>
        <v>-42347.660985994007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59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25</v>
      </c>
      <c r="I30" s="5">
        <v>44409</v>
      </c>
      <c r="J30" s="6">
        <v>0</v>
      </c>
      <c r="K30" s="6">
        <v>0</v>
      </c>
      <c r="L30" s="6">
        <v>2976.7310000000002</v>
      </c>
      <c r="M30" s="6">
        <v>2976.7310000000002</v>
      </c>
      <c r="N30" s="6">
        <v>0</v>
      </c>
      <c r="O30" s="6">
        <v>0</v>
      </c>
      <c r="P30" s="6">
        <v>2</v>
      </c>
      <c r="Q30" s="4" t="s">
        <v>60</v>
      </c>
      <c r="R30" s="4">
        <v>0</v>
      </c>
      <c r="S30" s="6">
        <v>0</v>
      </c>
      <c r="T30" s="6">
        <v>3</v>
      </c>
      <c r="U30" s="6">
        <v>0</v>
      </c>
      <c r="V30" s="6">
        <f>IF(ISERROR(VLOOKUP($S$30,'TAR FIN'!$A$1:$O$116,15,0)),0,VLOOKUP($S$30,'TAR FIN'!$A$1:$O$116,15,0))</f>
        <v>0</v>
      </c>
      <c r="W30" s="6">
        <f>IF(ISERROR(VLOOKUP($T$30,'TAR FIN'!$A$1:$O$116,15,0)),0,VLOOKUP($T$30,'TAR FIN'!$A$1:$O$116,15,0))</f>
        <v>62.94</v>
      </c>
      <c r="X30" s="6">
        <f>IF(ISERROR(VLOOKUP($U$30,'TAR FIN'!$A$1:$O$116,15,0)),0,VLOOKUP($U$30,'TAR FIN'!$A$1:$O$116,15,0))</f>
        <v>0</v>
      </c>
      <c r="Y30" s="6"/>
      <c r="Z30" s="6">
        <f ca="1">('TUSD BE'!$AM$7+'TUSD BF'!$AM$7+'TUSD CVA'!$AM$7)*1</f>
        <v>97.221093174390077</v>
      </c>
      <c r="AA30" s="6"/>
      <c r="AB30" s="6">
        <f>$K$30*$V$30</f>
        <v>0</v>
      </c>
      <c r="AC30" s="6">
        <f>$M$30*$W$30</f>
        <v>187355.44914000001</v>
      </c>
      <c r="AD30" s="6">
        <f>$O$30*$X$30</f>
        <v>0</v>
      </c>
      <c r="AE30" s="6">
        <f>$K$30*$Y$30</f>
        <v>0</v>
      </c>
      <c r="AF30" s="6">
        <f ca="1">$M$30*$Z$30</f>
        <v>289401.04190609534</v>
      </c>
      <c r="AG30" s="6">
        <f>$O$30*$AA$30</f>
        <v>0</v>
      </c>
    </row>
    <row r="31" spans="1:33" ht="11.25" customHeight="1" x14ac:dyDescent="0.25">
      <c r="A31" s="4" t="s">
        <v>27</v>
      </c>
      <c r="B31" s="4" t="s">
        <v>59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25</v>
      </c>
      <c r="I31" s="5">
        <v>44409</v>
      </c>
      <c r="J31" s="6">
        <v>0</v>
      </c>
      <c r="K31" s="6">
        <v>0</v>
      </c>
      <c r="L31" s="6">
        <v>-362.59100000000001</v>
      </c>
      <c r="M31" s="6">
        <v>-362.59100000000001</v>
      </c>
      <c r="N31" s="6">
        <v>0</v>
      </c>
      <c r="O31" s="6">
        <v>0</v>
      </c>
      <c r="P31" s="6">
        <v>0</v>
      </c>
      <c r="Q31" s="4" t="s">
        <v>60</v>
      </c>
      <c r="R31" s="4">
        <v>0</v>
      </c>
      <c r="S31" s="6">
        <v>0</v>
      </c>
      <c r="T31" s="6">
        <v>3</v>
      </c>
      <c r="U31" s="6">
        <v>0</v>
      </c>
      <c r="V31" s="6">
        <f>IF(ISERROR(VLOOKUP($S$31,'TAR FIN'!$A$1:$O$116,15,0)),0,VLOOKUP($S$31,'TAR FIN'!$A$1:$O$116,15,0))</f>
        <v>0</v>
      </c>
      <c r="W31" s="6">
        <f>IF(ISERROR(VLOOKUP($T$31,'TAR FIN'!$A$1:$O$116,15,0)),0,VLOOKUP($T$31,'TAR FIN'!$A$1:$O$116,15,0))</f>
        <v>62.94</v>
      </c>
      <c r="X31" s="6">
        <f>IF(ISERROR(VLOOKUP($U$31,'TAR FIN'!$A$1:$O$116,15,0)),0,VLOOKUP($U$31,'TAR FIN'!$A$1:$O$116,15,0))</f>
        <v>0</v>
      </c>
      <c r="Y31" s="6"/>
      <c r="Z31" s="6">
        <f ca="1">('TUSD BE'!$AM$7+'TUSD BF'!$AM$7+'TUSD CVA'!$AM$7)*1</f>
        <v>97.221093174390077</v>
      </c>
      <c r="AA31" s="6"/>
      <c r="AB31" s="6">
        <f>$K$31*$V$31</f>
        <v>0</v>
      </c>
      <c r="AC31" s="6">
        <f>$M$31*$W$31</f>
        <v>-22821.47754</v>
      </c>
      <c r="AD31" s="6">
        <f>$O$31*$X$31</f>
        <v>0</v>
      </c>
      <c r="AE31" s="6">
        <f>$K$31*$Y$31</f>
        <v>0</v>
      </c>
      <c r="AF31" s="6">
        <f ca="1">$M$31*$Z$31</f>
        <v>-35251.49339519527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59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25</v>
      </c>
      <c r="I32" s="5">
        <v>44440</v>
      </c>
      <c r="J32" s="6">
        <v>0</v>
      </c>
      <c r="K32" s="6">
        <v>0</v>
      </c>
      <c r="L32" s="6">
        <v>2786.4090000000001</v>
      </c>
      <c r="M32" s="6">
        <v>2786.4090000000001</v>
      </c>
      <c r="N32" s="6">
        <v>0</v>
      </c>
      <c r="O32" s="6">
        <v>0</v>
      </c>
      <c r="P32" s="6">
        <v>2</v>
      </c>
      <c r="Q32" s="4" t="s">
        <v>60</v>
      </c>
      <c r="R32" s="4">
        <v>0</v>
      </c>
      <c r="S32" s="6">
        <v>0</v>
      </c>
      <c r="T32" s="6">
        <v>3</v>
      </c>
      <c r="U32" s="6">
        <v>0</v>
      </c>
      <c r="V32" s="6">
        <f>IF(ISERROR(VLOOKUP($S$32,'TAR FIN'!$A$1:$O$116,15,0)),0,VLOOKUP($S$32,'TAR FIN'!$A$1:$O$116,15,0))</f>
        <v>0</v>
      </c>
      <c r="W32" s="6">
        <f>IF(ISERROR(VLOOKUP($T$32,'TAR FIN'!$A$1:$O$116,15,0)),0,VLOOKUP($T$32,'TAR FIN'!$A$1:$O$116,15,0))</f>
        <v>62.94</v>
      </c>
      <c r="X32" s="6">
        <f>IF(ISERROR(VLOOKUP($U$32,'TAR FIN'!$A$1:$O$116,15,0)),0,VLOOKUP($U$32,'TAR FIN'!$A$1:$O$116,15,0))</f>
        <v>0</v>
      </c>
      <c r="Y32" s="6"/>
      <c r="Z32" s="6">
        <f ca="1">('TUSD BE'!$AM$7+'TUSD BF'!$AM$7+'TUSD CVA'!$AM$7)*1</f>
        <v>97.221093174390077</v>
      </c>
      <c r="AA32" s="6"/>
      <c r="AB32" s="6">
        <f>$K$32*$V$32</f>
        <v>0</v>
      </c>
      <c r="AC32" s="6">
        <f>$M$32*$W$32</f>
        <v>175376.58246000001</v>
      </c>
      <c r="AD32" s="6">
        <f>$O$32*$X$32</f>
        <v>0</v>
      </c>
      <c r="AE32" s="6">
        <f>$K$32*$Y$32</f>
        <v>0</v>
      </c>
      <c r="AF32" s="6">
        <f ca="1">$M$32*$Z$32</f>
        <v>270897.7290109591</v>
      </c>
      <c r="AG32" s="6">
        <f>$O$32*$AA$32</f>
        <v>0</v>
      </c>
    </row>
    <row r="33" spans="1:33" ht="11.25" customHeight="1" x14ac:dyDescent="0.25">
      <c r="A33" s="4" t="s">
        <v>27</v>
      </c>
      <c r="B33" s="4" t="s">
        <v>59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25</v>
      </c>
      <c r="I33" s="5">
        <v>44440</v>
      </c>
      <c r="J33" s="6">
        <v>0</v>
      </c>
      <c r="K33" s="6">
        <v>0</v>
      </c>
      <c r="L33" s="6">
        <v>-415.55700000000002</v>
      </c>
      <c r="M33" s="6">
        <v>-415.55700000000002</v>
      </c>
      <c r="N33" s="6">
        <v>0</v>
      </c>
      <c r="O33" s="6">
        <v>0</v>
      </c>
      <c r="P33" s="6">
        <v>0</v>
      </c>
      <c r="Q33" s="4" t="s">
        <v>60</v>
      </c>
      <c r="R33" s="4">
        <v>0</v>
      </c>
      <c r="S33" s="6">
        <v>0</v>
      </c>
      <c r="T33" s="6">
        <v>3</v>
      </c>
      <c r="U33" s="6">
        <v>0</v>
      </c>
      <c r="V33" s="6">
        <f>IF(ISERROR(VLOOKUP($S$33,'TAR FIN'!$A$1:$O$116,15,0)),0,VLOOKUP($S$33,'TAR FIN'!$A$1:$O$116,15,0))</f>
        <v>0</v>
      </c>
      <c r="W33" s="6">
        <f>IF(ISERROR(VLOOKUP($T$33,'TAR FIN'!$A$1:$O$116,15,0)),0,VLOOKUP($T$33,'TAR FIN'!$A$1:$O$116,15,0))</f>
        <v>62.94</v>
      </c>
      <c r="X33" s="6">
        <f>IF(ISERROR(VLOOKUP($U$33,'TAR FIN'!$A$1:$O$116,15,0)),0,VLOOKUP($U$33,'TAR FIN'!$A$1:$O$116,15,0))</f>
        <v>0</v>
      </c>
      <c r="Y33" s="6"/>
      <c r="Z33" s="6">
        <f ca="1">('TUSD BE'!$AM$7+'TUSD BF'!$AM$7+'TUSD CVA'!$AM$7)*1</f>
        <v>97.221093174390077</v>
      </c>
      <c r="AA33" s="6"/>
      <c r="AB33" s="6">
        <f>$K$33*$V$33</f>
        <v>0</v>
      </c>
      <c r="AC33" s="6">
        <f>$M$33*$W$33</f>
        <v>-26155.157579999999</v>
      </c>
      <c r="AD33" s="6">
        <f>$O$33*$X$33</f>
        <v>0</v>
      </c>
      <c r="AE33" s="6">
        <f>$K$33*$Y$33</f>
        <v>0</v>
      </c>
      <c r="AF33" s="6">
        <f ca="1">$M$33*$Z$33</f>
        <v>-40400.905816270017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59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25</v>
      </c>
      <c r="I34" s="5">
        <v>44470</v>
      </c>
      <c r="J34" s="6">
        <v>0</v>
      </c>
      <c r="K34" s="6">
        <v>0</v>
      </c>
      <c r="L34" s="6">
        <v>2562.3009999999999</v>
      </c>
      <c r="M34" s="6">
        <v>2562.3009999999999</v>
      </c>
      <c r="N34" s="6">
        <v>0</v>
      </c>
      <c r="O34" s="6">
        <v>0</v>
      </c>
      <c r="P34" s="6">
        <v>2</v>
      </c>
      <c r="Q34" s="4" t="s">
        <v>60</v>
      </c>
      <c r="R34" s="4">
        <v>0</v>
      </c>
      <c r="S34" s="6">
        <v>0</v>
      </c>
      <c r="T34" s="6">
        <v>3</v>
      </c>
      <c r="U34" s="6">
        <v>0</v>
      </c>
      <c r="V34" s="6">
        <f>IF(ISERROR(VLOOKUP($S$34,'TAR FIN'!$A$1:$O$116,15,0)),0,VLOOKUP($S$34,'TAR FIN'!$A$1:$O$116,15,0))</f>
        <v>0</v>
      </c>
      <c r="W34" s="6">
        <f>IF(ISERROR(VLOOKUP($T$34,'TAR FIN'!$A$1:$O$116,15,0)),0,VLOOKUP($T$34,'TAR FIN'!$A$1:$O$116,15,0))</f>
        <v>62.94</v>
      </c>
      <c r="X34" s="6">
        <f>IF(ISERROR(VLOOKUP($U$34,'TAR FIN'!$A$1:$O$116,15,0)),0,VLOOKUP($U$34,'TAR FIN'!$A$1:$O$116,15,0))</f>
        <v>0</v>
      </c>
      <c r="Y34" s="6"/>
      <c r="Z34" s="6">
        <f ca="1">('TUSD BE'!$AM$7+'TUSD BF'!$AM$7+'TUSD CVA'!$AM$7)*1</f>
        <v>97.221093174390077</v>
      </c>
      <c r="AA34" s="6"/>
      <c r="AB34" s="6">
        <f>$K$34*$V$34</f>
        <v>0</v>
      </c>
      <c r="AC34" s="6">
        <f>$M$34*$W$34</f>
        <v>161271.22493999999</v>
      </c>
      <c r="AD34" s="6">
        <f>$O$34*$X$34</f>
        <v>0</v>
      </c>
      <c r="AE34" s="6">
        <f>$K$34*$Y$34</f>
        <v>0</v>
      </c>
      <c r="AF34" s="6">
        <f ca="1">$M$34*$Z$34</f>
        <v>249109.70426183287</v>
      </c>
      <c r="AG34" s="6">
        <f>$O$34*$AA$34</f>
        <v>0</v>
      </c>
    </row>
    <row r="35" spans="1:33" ht="11.25" customHeight="1" x14ac:dyDescent="0.25">
      <c r="A35" s="4" t="s">
        <v>27</v>
      </c>
      <c r="B35" s="4" t="s">
        <v>59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25</v>
      </c>
      <c r="I35" s="5">
        <v>44470</v>
      </c>
      <c r="J35" s="6">
        <v>0</v>
      </c>
      <c r="K35" s="6">
        <v>0</v>
      </c>
      <c r="L35" s="6">
        <v>-296.41399999999999</v>
      </c>
      <c r="M35" s="6">
        <v>-296.41399999999999</v>
      </c>
      <c r="N35" s="6">
        <v>0</v>
      </c>
      <c r="O35" s="6">
        <v>0</v>
      </c>
      <c r="P35" s="6">
        <v>0</v>
      </c>
      <c r="Q35" s="4" t="s">
        <v>60</v>
      </c>
      <c r="R35" s="4">
        <v>0</v>
      </c>
      <c r="S35" s="6">
        <v>0</v>
      </c>
      <c r="T35" s="6">
        <v>3</v>
      </c>
      <c r="U35" s="6">
        <v>0</v>
      </c>
      <c r="V35" s="6">
        <f>IF(ISERROR(VLOOKUP($S$35,'TAR FIN'!$A$1:$O$116,15,0)),0,VLOOKUP($S$35,'TAR FIN'!$A$1:$O$116,15,0))</f>
        <v>0</v>
      </c>
      <c r="W35" s="6">
        <f>IF(ISERROR(VLOOKUP($T$35,'TAR FIN'!$A$1:$O$116,15,0)),0,VLOOKUP($T$35,'TAR FIN'!$A$1:$O$116,15,0))</f>
        <v>62.94</v>
      </c>
      <c r="X35" s="6">
        <f>IF(ISERROR(VLOOKUP($U$35,'TAR FIN'!$A$1:$O$116,15,0)),0,VLOOKUP($U$35,'TAR FIN'!$A$1:$O$116,15,0))</f>
        <v>0</v>
      </c>
      <c r="Y35" s="6"/>
      <c r="Z35" s="6">
        <f ca="1">('TUSD BE'!$AM$7+'TUSD BF'!$AM$7+'TUSD CVA'!$AM$7)*1</f>
        <v>97.221093174390077</v>
      </c>
      <c r="AA35" s="6"/>
      <c r="AB35" s="6">
        <f>$K$35*$V$35</f>
        <v>0</v>
      </c>
      <c r="AC35" s="6">
        <f>$M$35*$W$35</f>
        <v>-18656.297159999998</v>
      </c>
      <c r="AD35" s="6">
        <f>$O$35*$X$35</f>
        <v>0</v>
      </c>
      <c r="AE35" s="6">
        <f>$K$35*$Y$35</f>
        <v>0</v>
      </c>
      <c r="AF35" s="6">
        <f ca="1">$M$35*$Z$35</f>
        <v>-28817.693112193658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59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25</v>
      </c>
      <c r="I36" s="5">
        <v>44501</v>
      </c>
      <c r="J36" s="6">
        <v>0</v>
      </c>
      <c r="K36" s="6">
        <v>0</v>
      </c>
      <c r="L36" s="6">
        <v>2968.915</v>
      </c>
      <c r="M36" s="6">
        <v>2968.915</v>
      </c>
      <c r="N36" s="6">
        <v>0</v>
      </c>
      <c r="O36" s="6">
        <v>0</v>
      </c>
      <c r="P36" s="6">
        <v>2</v>
      </c>
      <c r="Q36" s="4" t="s">
        <v>60</v>
      </c>
      <c r="R36" s="4">
        <v>0</v>
      </c>
      <c r="S36" s="6">
        <v>0</v>
      </c>
      <c r="T36" s="6">
        <v>3</v>
      </c>
      <c r="U36" s="6">
        <v>0</v>
      </c>
      <c r="V36" s="6">
        <f>IF(ISERROR(VLOOKUP($S$36,'TAR FIN'!$A$1:$O$116,15,0)),0,VLOOKUP($S$36,'TAR FIN'!$A$1:$O$116,15,0))</f>
        <v>0</v>
      </c>
      <c r="W36" s="6">
        <f>IF(ISERROR(VLOOKUP($T$36,'TAR FIN'!$A$1:$O$116,15,0)),0,VLOOKUP($T$36,'TAR FIN'!$A$1:$O$116,15,0))</f>
        <v>62.94</v>
      </c>
      <c r="X36" s="6">
        <f>IF(ISERROR(VLOOKUP($U$36,'TAR FIN'!$A$1:$O$116,15,0)),0,VLOOKUP($U$36,'TAR FIN'!$A$1:$O$116,15,0))</f>
        <v>0</v>
      </c>
      <c r="Y36" s="6"/>
      <c r="Z36" s="6">
        <f ca="1">('TUSD BE'!$AM$7+'TUSD BF'!$AM$7+'TUSD CVA'!$AM$7)*1</f>
        <v>97.221093174390077</v>
      </c>
      <c r="AA36" s="6"/>
      <c r="AB36" s="6">
        <f>$K$36*$V$36</f>
        <v>0</v>
      </c>
      <c r="AC36" s="6">
        <f>$M$36*$W$36</f>
        <v>186863.51009999998</v>
      </c>
      <c r="AD36" s="6">
        <f>$O$36*$X$36</f>
        <v>0</v>
      </c>
      <c r="AE36" s="6">
        <f>$K$36*$Y$36</f>
        <v>0</v>
      </c>
      <c r="AF36" s="6">
        <f ca="1">$M$36*$Z$36</f>
        <v>288641.16184184432</v>
      </c>
      <c r="AG36" s="6">
        <f>$O$36*$AA$36</f>
        <v>0</v>
      </c>
    </row>
    <row r="37" spans="1:33" ht="11.25" customHeight="1" x14ac:dyDescent="0.25">
      <c r="A37" s="4" t="s">
        <v>27</v>
      </c>
      <c r="B37" s="4" t="s">
        <v>59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25</v>
      </c>
      <c r="I37" s="5">
        <v>44501</v>
      </c>
      <c r="J37" s="6">
        <v>0</v>
      </c>
      <c r="K37" s="6">
        <v>0</v>
      </c>
      <c r="L37" s="6">
        <v>-345.83499999999998</v>
      </c>
      <c r="M37" s="6">
        <v>-345.83499999999998</v>
      </c>
      <c r="N37" s="6">
        <v>0</v>
      </c>
      <c r="O37" s="6">
        <v>0</v>
      </c>
      <c r="P37" s="6">
        <v>0</v>
      </c>
      <c r="Q37" s="4" t="s">
        <v>60</v>
      </c>
      <c r="R37" s="4">
        <v>0</v>
      </c>
      <c r="S37" s="6">
        <v>0</v>
      </c>
      <c r="T37" s="6">
        <v>3</v>
      </c>
      <c r="U37" s="6">
        <v>0</v>
      </c>
      <c r="V37" s="6">
        <f>IF(ISERROR(VLOOKUP($S$37,'TAR FIN'!$A$1:$O$116,15,0)),0,VLOOKUP($S$37,'TAR FIN'!$A$1:$O$116,15,0))</f>
        <v>0</v>
      </c>
      <c r="W37" s="6">
        <f>IF(ISERROR(VLOOKUP($T$37,'TAR FIN'!$A$1:$O$116,15,0)),0,VLOOKUP($T$37,'TAR FIN'!$A$1:$O$116,15,0))</f>
        <v>62.94</v>
      </c>
      <c r="X37" s="6">
        <f>IF(ISERROR(VLOOKUP($U$37,'TAR FIN'!$A$1:$O$116,15,0)),0,VLOOKUP($U$37,'TAR FIN'!$A$1:$O$116,15,0))</f>
        <v>0</v>
      </c>
      <c r="Y37" s="6"/>
      <c r="Z37" s="6">
        <f ca="1">('TUSD BE'!$AM$7+'TUSD BF'!$AM$7+'TUSD CVA'!$AM$7)*1</f>
        <v>97.221093174390077</v>
      </c>
      <c r="AA37" s="6"/>
      <c r="AB37" s="6">
        <f>$K$37*$V$37</f>
        <v>0</v>
      </c>
      <c r="AC37" s="6">
        <f>$M$37*$W$37</f>
        <v>-21766.854899999998</v>
      </c>
      <c r="AD37" s="6">
        <f>$O$37*$X$37</f>
        <v>0</v>
      </c>
      <c r="AE37" s="6">
        <f>$K$37*$Y$37</f>
        <v>0</v>
      </c>
      <c r="AF37" s="6">
        <f ca="1">$M$37*$Z$37</f>
        <v>-33622.456757965192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59</v>
      </c>
      <c r="C38" s="4" t="s">
        <v>40</v>
      </c>
      <c r="D38" s="4" t="s">
        <v>38</v>
      </c>
      <c r="E38" s="4" t="s">
        <v>25</v>
      </c>
      <c r="F38" s="4" t="s">
        <v>25</v>
      </c>
      <c r="G38" s="4" t="s">
        <v>25</v>
      </c>
      <c r="H38" s="4" t="s">
        <v>25</v>
      </c>
      <c r="I38" s="5">
        <v>44531</v>
      </c>
      <c r="J38" s="6">
        <v>0</v>
      </c>
      <c r="K38" s="6">
        <v>0</v>
      </c>
      <c r="L38" s="6">
        <v>3127.1439999999998</v>
      </c>
      <c r="M38" s="6">
        <v>3127.1439999999998</v>
      </c>
      <c r="N38" s="6">
        <v>0</v>
      </c>
      <c r="O38" s="6">
        <v>0</v>
      </c>
      <c r="P38" s="6">
        <v>2</v>
      </c>
      <c r="Q38" s="4" t="s">
        <v>60</v>
      </c>
      <c r="R38" s="4">
        <v>0</v>
      </c>
      <c r="S38" s="6">
        <v>0</v>
      </c>
      <c r="T38" s="6">
        <v>3</v>
      </c>
      <c r="U38" s="6">
        <v>0</v>
      </c>
      <c r="V38" s="6">
        <f>IF(ISERROR(VLOOKUP($S$38,'TAR FIN'!$A$1:$O$116,15,0)),0,VLOOKUP($S$38,'TAR FIN'!$A$1:$O$116,15,0))</f>
        <v>0</v>
      </c>
      <c r="W38" s="6">
        <f>IF(ISERROR(VLOOKUP($T$38,'TAR FIN'!$A$1:$O$116,15,0)),0,VLOOKUP($T$38,'TAR FIN'!$A$1:$O$116,15,0))</f>
        <v>62.94</v>
      </c>
      <c r="X38" s="6">
        <f>IF(ISERROR(VLOOKUP($U$38,'TAR FIN'!$A$1:$O$116,15,0)),0,VLOOKUP($U$38,'TAR FIN'!$A$1:$O$116,15,0))</f>
        <v>0</v>
      </c>
      <c r="Y38" s="6"/>
      <c r="Z38" s="6">
        <f ca="1">('TUSD BE'!$AM$7+'TUSD BF'!$AM$7+'TUSD CVA'!$AM$7)*1</f>
        <v>97.221093174390077</v>
      </c>
      <c r="AA38" s="6"/>
      <c r="AB38" s="6">
        <f>$K$38*$V$38</f>
        <v>0</v>
      </c>
      <c r="AC38" s="6">
        <f>$M$38*$W$38</f>
        <v>196822.44335999998</v>
      </c>
      <c r="AD38" s="6">
        <f>$O$38*$X$38</f>
        <v>0</v>
      </c>
      <c r="AE38" s="6">
        <f>$K$38*$Y$38</f>
        <v>0</v>
      </c>
      <c r="AF38" s="6">
        <f ca="1">$M$38*$Z$38</f>
        <v>304024.35819373484</v>
      </c>
      <c r="AG38" s="6">
        <f>$O$38*$AA$38</f>
        <v>0</v>
      </c>
    </row>
    <row r="39" spans="1:33" ht="11.25" customHeight="1" x14ac:dyDescent="0.25">
      <c r="A39" s="4" t="s">
        <v>27</v>
      </c>
      <c r="B39" s="4" t="s">
        <v>59</v>
      </c>
      <c r="C39" s="4" t="s">
        <v>40</v>
      </c>
      <c r="D39" s="4" t="s">
        <v>38</v>
      </c>
      <c r="E39" s="4" t="s">
        <v>25</v>
      </c>
      <c r="F39" s="4" t="s">
        <v>25</v>
      </c>
      <c r="G39" s="4" t="s">
        <v>25</v>
      </c>
      <c r="H39" s="4" t="s">
        <v>25</v>
      </c>
      <c r="I39" s="5">
        <v>44531</v>
      </c>
      <c r="J39" s="6">
        <v>0</v>
      </c>
      <c r="K39" s="6">
        <v>0</v>
      </c>
      <c r="L39" s="6">
        <v>-358.99900000000002</v>
      </c>
      <c r="M39" s="6">
        <v>-358.99900000000002</v>
      </c>
      <c r="N39" s="6">
        <v>0</v>
      </c>
      <c r="O39" s="6">
        <v>0</v>
      </c>
      <c r="P39" s="6">
        <v>0</v>
      </c>
      <c r="Q39" s="4" t="s">
        <v>60</v>
      </c>
      <c r="R39" s="4">
        <v>0</v>
      </c>
      <c r="S39" s="6">
        <v>0</v>
      </c>
      <c r="T39" s="6">
        <v>3</v>
      </c>
      <c r="U39" s="6">
        <v>0</v>
      </c>
      <c r="V39" s="6">
        <f>IF(ISERROR(VLOOKUP($S$39,'TAR FIN'!$A$1:$O$116,15,0)),0,VLOOKUP($S$39,'TAR FIN'!$A$1:$O$116,15,0))</f>
        <v>0</v>
      </c>
      <c r="W39" s="6">
        <f>IF(ISERROR(VLOOKUP($T$39,'TAR FIN'!$A$1:$O$116,15,0)),0,VLOOKUP($T$39,'TAR FIN'!$A$1:$O$116,15,0))</f>
        <v>62.94</v>
      </c>
      <c r="X39" s="6">
        <f>IF(ISERROR(VLOOKUP($U$39,'TAR FIN'!$A$1:$O$116,15,0)),0,VLOOKUP($U$39,'TAR FIN'!$A$1:$O$116,15,0))</f>
        <v>0</v>
      </c>
      <c r="Y39" s="6"/>
      <c r="Z39" s="6">
        <f ca="1">('TUSD BE'!$AM$7+'TUSD BF'!$AM$7+'TUSD CVA'!$AM$7)*1</f>
        <v>97.221093174390077</v>
      </c>
      <c r="AA39" s="6"/>
      <c r="AB39" s="6">
        <f>$K$39*$V$39</f>
        <v>0</v>
      </c>
      <c r="AC39" s="6">
        <f>$M$39*$W$39</f>
        <v>-22595.397059999999</v>
      </c>
      <c r="AD39" s="6">
        <f>$O$39*$X$39</f>
        <v>0</v>
      </c>
      <c r="AE39" s="6">
        <f>$K$39*$Y$39</f>
        <v>0</v>
      </c>
      <c r="AF39" s="6">
        <f ca="1">$M$39*$Z$39</f>
        <v>-34902.275228512866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59</v>
      </c>
      <c r="C40" s="4" t="s">
        <v>40</v>
      </c>
      <c r="D40" s="4" t="s">
        <v>38</v>
      </c>
      <c r="E40" s="4" t="s">
        <v>25</v>
      </c>
      <c r="F40" s="4" t="s">
        <v>25</v>
      </c>
      <c r="G40" s="4" t="s">
        <v>25</v>
      </c>
      <c r="H40" s="4" t="s">
        <v>25</v>
      </c>
      <c r="I40" s="5">
        <v>44562</v>
      </c>
      <c r="J40" s="6">
        <v>0</v>
      </c>
      <c r="K40" s="6">
        <v>0</v>
      </c>
      <c r="L40" s="6">
        <v>3105.6559999999999</v>
      </c>
      <c r="M40" s="6">
        <v>3105.6559999999999</v>
      </c>
      <c r="N40" s="6">
        <v>0</v>
      </c>
      <c r="O40" s="6">
        <v>0</v>
      </c>
      <c r="P40" s="6">
        <v>2</v>
      </c>
      <c r="Q40" s="4" t="s">
        <v>60</v>
      </c>
      <c r="R40" s="4">
        <v>0</v>
      </c>
      <c r="S40" s="6">
        <v>0</v>
      </c>
      <c r="T40" s="6">
        <v>3</v>
      </c>
      <c r="U40" s="6">
        <v>0</v>
      </c>
      <c r="V40" s="6">
        <f>IF(ISERROR(VLOOKUP($S$40,'TAR FIN'!$A$1:$O$116,15,0)),0,VLOOKUP($S$40,'TAR FIN'!$A$1:$O$116,15,0))</f>
        <v>0</v>
      </c>
      <c r="W40" s="6">
        <f>IF(ISERROR(VLOOKUP($T$40,'TAR FIN'!$A$1:$O$116,15,0)),0,VLOOKUP($T$40,'TAR FIN'!$A$1:$O$116,15,0))</f>
        <v>62.94</v>
      </c>
      <c r="X40" s="6">
        <f>IF(ISERROR(VLOOKUP($U$40,'TAR FIN'!$A$1:$O$116,15,0)),0,VLOOKUP($U$40,'TAR FIN'!$A$1:$O$116,15,0))</f>
        <v>0</v>
      </c>
      <c r="Y40" s="6"/>
      <c r="Z40" s="6">
        <f ca="1">('TUSD BE'!$AM$7+'TUSD BF'!$AM$7+'TUSD CVA'!$AM$7)*1</f>
        <v>97.221093174390077</v>
      </c>
      <c r="AA40" s="6"/>
      <c r="AB40" s="6">
        <f>$K$40*$V$40</f>
        <v>0</v>
      </c>
      <c r="AC40" s="6">
        <f>$M$40*$W$40</f>
        <v>195469.98864</v>
      </c>
      <c r="AD40" s="6">
        <f>$O$40*$X$40</f>
        <v>0</v>
      </c>
      <c r="AE40" s="6">
        <f>$K$40*$Y$40</f>
        <v>0</v>
      </c>
      <c r="AF40" s="6">
        <f ca="1">$M$40*$Z$40</f>
        <v>301935.27134360361</v>
      </c>
      <c r="AG40" s="6">
        <f>$O$40*$AA$40</f>
        <v>0</v>
      </c>
    </row>
    <row r="41" spans="1:33" ht="11.25" customHeight="1" x14ac:dyDescent="0.25">
      <c r="A41" s="4" t="s">
        <v>27</v>
      </c>
      <c r="B41" s="4" t="s">
        <v>59</v>
      </c>
      <c r="C41" s="4" t="s">
        <v>40</v>
      </c>
      <c r="D41" s="4" t="s">
        <v>38</v>
      </c>
      <c r="E41" s="4" t="s">
        <v>25</v>
      </c>
      <c r="F41" s="4" t="s">
        <v>25</v>
      </c>
      <c r="G41" s="4" t="s">
        <v>25</v>
      </c>
      <c r="H41" s="4" t="s">
        <v>25</v>
      </c>
      <c r="I41" s="5">
        <v>44562</v>
      </c>
      <c r="J41" s="6">
        <v>0</v>
      </c>
      <c r="K41" s="6">
        <v>0</v>
      </c>
      <c r="L41" s="6">
        <v>-349.25900000000001</v>
      </c>
      <c r="M41" s="6">
        <v>-349.25900000000001</v>
      </c>
      <c r="N41" s="6">
        <v>0</v>
      </c>
      <c r="O41" s="6">
        <v>0</v>
      </c>
      <c r="P41" s="6">
        <v>0</v>
      </c>
      <c r="Q41" s="4" t="s">
        <v>60</v>
      </c>
      <c r="R41" s="4">
        <v>0</v>
      </c>
      <c r="S41" s="6">
        <v>0</v>
      </c>
      <c r="T41" s="6">
        <v>3</v>
      </c>
      <c r="U41" s="6">
        <v>0</v>
      </c>
      <c r="V41" s="6">
        <f>IF(ISERROR(VLOOKUP($S$41,'TAR FIN'!$A$1:$O$116,15,0)),0,VLOOKUP($S$41,'TAR FIN'!$A$1:$O$116,15,0))</f>
        <v>0</v>
      </c>
      <c r="W41" s="6">
        <f>IF(ISERROR(VLOOKUP($T$41,'TAR FIN'!$A$1:$O$116,15,0)),0,VLOOKUP($T$41,'TAR FIN'!$A$1:$O$116,15,0))</f>
        <v>62.94</v>
      </c>
      <c r="X41" s="6">
        <f>IF(ISERROR(VLOOKUP($U$41,'TAR FIN'!$A$1:$O$116,15,0)),0,VLOOKUP($U$41,'TAR FIN'!$A$1:$O$116,15,0))</f>
        <v>0</v>
      </c>
      <c r="Y41" s="6"/>
      <c r="Z41" s="6">
        <f ca="1">('TUSD BE'!$AM$7+'TUSD BF'!$AM$7+'TUSD CVA'!$AM$7)*1</f>
        <v>97.221093174390077</v>
      </c>
      <c r="AA41" s="6"/>
      <c r="AB41" s="6">
        <f>$K$41*$V$41</f>
        <v>0</v>
      </c>
      <c r="AC41" s="6">
        <f>$M$41*$W$41</f>
        <v>-21982.36146</v>
      </c>
      <c r="AD41" s="6">
        <f>$O$41*$X$41</f>
        <v>0</v>
      </c>
      <c r="AE41" s="6">
        <f>$K$41*$Y$41</f>
        <v>0</v>
      </c>
      <c r="AF41" s="6">
        <f ca="1">$M$41*$Z$41</f>
        <v>-33955.341780994306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59</v>
      </c>
      <c r="C42" s="4" t="s">
        <v>40</v>
      </c>
      <c r="D42" s="4" t="s">
        <v>38</v>
      </c>
      <c r="E42" s="4" t="s">
        <v>25</v>
      </c>
      <c r="F42" s="4" t="s">
        <v>25</v>
      </c>
      <c r="G42" s="4" t="s">
        <v>25</v>
      </c>
      <c r="H42" s="4" t="s">
        <v>25</v>
      </c>
      <c r="I42" s="5">
        <v>44593</v>
      </c>
      <c r="J42" s="6">
        <v>0</v>
      </c>
      <c r="K42" s="6">
        <v>0</v>
      </c>
      <c r="L42" s="6">
        <v>2879.8380000000002</v>
      </c>
      <c r="M42" s="6">
        <v>2879.8380000000002</v>
      </c>
      <c r="N42" s="6">
        <v>0</v>
      </c>
      <c r="O42" s="6">
        <v>0</v>
      </c>
      <c r="P42" s="6">
        <v>2</v>
      </c>
      <c r="Q42" s="4" t="s">
        <v>60</v>
      </c>
      <c r="R42" s="4">
        <v>0</v>
      </c>
      <c r="S42" s="6">
        <v>0</v>
      </c>
      <c r="T42" s="6">
        <v>3</v>
      </c>
      <c r="U42" s="6">
        <v>0</v>
      </c>
      <c r="V42" s="6">
        <f>IF(ISERROR(VLOOKUP($S$42,'TAR FIN'!$A$1:$O$116,15,0)),0,VLOOKUP($S$42,'TAR FIN'!$A$1:$O$116,15,0))</f>
        <v>0</v>
      </c>
      <c r="W42" s="6">
        <f>IF(ISERROR(VLOOKUP($T$42,'TAR FIN'!$A$1:$O$116,15,0)),0,VLOOKUP($T$42,'TAR FIN'!$A$1:$O$116,15,0))</f>
        <v>62.94</v>
      </c>
      <c r="X42" s="6">
        <f>IF(ISERROR(VLOOKUP($U$42,'TAR FIN'!$A$1:$O$116,15,0)),0,VLOOKUP($U$42,'TAR FIN'!$A$1:$O$116,15,0))</f>
        <v>0</v>
      </c>
      <c r="Y42" s="6"/>
      <c r="Z42" s="6">
        <f ca="1">('TUSD BE'!$AM$7+'TUSD BF'!$AM$7+'TUSD CVA'!$AM$7)*1</f>
        <v>97.221093174390077</v>
      </c>
      <c r="AA42" s="6"/>
      <c r="AB42" s="6">
        <f>$K$42*$V$42</f>
        <v>0</v>
      </c>
      <c r="AC42" s="6">
        <f>$M$42*$W$42</f>
        <v>181257.00372000001</v>
      </c>
      <c r="AD42" s="6">
        <f>$O$42*$X$42</f>
        <v>0</v>
      </c>
      <c r="AE42" s="6">
        <f>$K$42*$Y$42</f>
        <v>0</v>
      </c>
      <c r="AF42" s="6">
        <f ca="1">$M$42*$Z$42</f>
        <v>279980.99852514919</v>
      </c>
      <c r="AG42" s="6">
        <f>$O$42*$AA$42</f>
        <v>0</v>
      </c>
    </row>
    <row r="43" spans="1:33" ht="11.25" customHeight="1" x14ac:dyDescent="0.25">
      <c r="A43" s="4" t="s">
        <v>27</v>
      </c>
      <c r="B43" s="4" t="s">
        <v>59</v>
      </c>
      <c r="C43" s="4" t="s">
        <v>40</v>
      </c>
      <c r="D43" s="4" t="s">
        <v>38</v>
      </c>
      <c r="E43" s="4" t="s">
        <v>25</v>
      </c>
      <c r="F43" s="4" t="s">
        <v>25</v>
      </c>
      <c r="G43" s="4" t="s">
        <v>25</v>
      </c>
      <c r="H43" s="4" t="s">
        <v>25</v>
      </c>
      <c r="I43" s="5">
        <v>44593</v>
      </c>
      <c r="J43" s="6">
        <v>0</v>
      </c>
      <c r="K43" s="6">
        <v>0</v>
      </c>
      <c r="L43" s="6">
        <v>-435.19299999999998</v>
      </c>
      <c r="M43" s="6">
        <v>-435.19299999999998</v>
      </c>
      <c r="N43" s="6">
        <v>0</v>
      </c>
      <c r="O43" s="6">
        <v>0</v>
      </c>
      <c r="P43" s="6">
        <v>0</v>
      </c>
      <c r="Q43" s="4" t="s">
        <v>60</v>
      </c>
      <c r="R43" s="4">
        <v>0</v>
      </c>
      <c r="S43" s="6">
        <v>0</v>
      </c>
      <c r="T43" s="6">
        <v>3</v>
      </c>
      <c r="U43" s="6">
        <v>0</v>
      </c>
      <c r="V43" s="6">
        <f>IF(ISERROR(VLOOKUP($S$43,'TAR FIN'!$A$1:$O$116,15,0)),0,VLOOKUP($S$43,'TAR FIN'!$A$1:$O$116,15,0))</f>
        <v>0</v>
      </c>
      <c r="W43" s="6">
        <f>IF(ISERROR(VLOOKUP($T$43,'TAR FIN'!$A$1:$O$116,15,0)),0,VLOOKUP($T$43,'TAR FIN'!$A$1:$O$116,15,0))</f>
        <v>62.94</v>
      </c>
      <c r="X43" s="6">
        <f>IF(ISERROR(VLOOKUP($U$43,'TAR FIN'!$A$1:$O$116,15,0)),0,VLOOKUP($U$43,'TAR FIN'!$A$1:$O$116,15,0))</f>
        <v>0</v>
      </c>
      <c r="Y43" s="6"/>
      <c r="Z43" s="6">
        <f ca="1">('TUSD BE'!$AM$7+'TUSD BF'!$AM$7+'TUSD CVA'!$AM$7)*1</f>
        <v>97.221093174390077</v>
      </c>
      <c r="AA43" s="6"/>
      <c r="AB43" s="6">
        <f>$K$43*$V$43</f>
        <v>0</v>
      </c>
      <c r="AC43" s="6">
        <f>$M$43*$W$43</f>
        <v>-27391.047419999999</v>
      </c>
      <c r="AD43" s="6">
        <f>$O$43*$X$43</f>
        <v>0</v>
      </c>
      <c r="AE43" s="6">
        <f>$K$43*$Y$43</f>
        <v>0</v>
      </c>
      <c r="AF43" s="6">
        <f ca="1">$M$43*$Z$43</f>
        <v>-42309.939201842339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59</v>
      </c>
      <c r="C44" s="4" t="s">
        <v>40</v>
      </c>
      <c r="D44" s="4" t="s">
        <v>38</v>
      </c>
      <c r="E44" s="4" t="s">
        <v>25</v>
      </c>
      <c r="F44" s="4" t="s">
        <v>25</v>
      </c>
      <c r="G44" s="4" t="s">
        <v>25</v>
      </c>
      <c r="H44" s="4" t="s">
        <v>25</v>
      </c>
      <c r="I44" s="5">
        <v>44621</v>
      </c>
      <c r="J44" s="6">
        <v>0</v>
      </c>
      <c r="K44" s="6">
        <v>0</v>
      </c>
      <c r="L44" s="6">
        <v>2679.2</v>
      </c>
      <c r="M44" s="6">
        <v>2679.2</v>
      </c>
      <c r="N44" s="6">
        <v>0</v>
      </c>
      <c r="O44" s="6">
        <v>0</v>
      </c>
      <c r="P44" s="6">
        <v>2</v>
      </c>
      <c r="Q44" s="4" t="s">
        <v>60</v>
      </c>
      <c r="R44" s="4">
        <v>0</v>
      </c>
      <c r="S44" s="6">
        <v>0</v>
      </c>
      <c r="T44" s="6">
        <v>3</v>
      </c>
      <c r="U44" s="6">
        <v>0</v>
      </c>
      <c r="V44" s="6">
        <f>IF(ISERROR(VLOOKUP($S$44,'TAR FIN'!$A$1:$O$116,15,0)),0,VLOOKUP($S$44,'TAR FIN'!$A$1:$O$116,15,0))</f>
        <v>0</v>
      </c>
      <c r="W44" s="6">
        <f>IF(ISERROR(VLOOKUP($T$44,'TAR FIN'!$A$1:$O$116,15,0)),0,VLOOKUP($T$44,'TAR FIN'!$A$1:$O$116,15,0))</f>
        <v>62.94</v>
      </c>
      <c r="X44" s="6">
        <f>IF(ISERROR(VLOOKUP($U$44,'TAR FIN'!$A$1:$O$116,15,0)),0,VLOOKUP($U$44,'TAR FIN'!$A$1:$O$116,15,0))</f>
        <v>0</v>
      </c>
      <c r="Y44" s="6"/>
      <c r="Z44" s="6">
        <f ca="1">('TUSD BE'!$AM$7+'TUSD BF'!$AM$7+'TUSD CVA'!$AM$7)*1</f>
        <v>97.221093174390077</v>
      </c>
      <c r="AA44" s="6"/>
      <c r="AB44" s="6">
        <f>$K$44*$V$44</f>
        <v>0</v>
      </c>
      <c r="AC44" s="6">
        <f>$M$44*$W$44</f>
        <v>168628.84799999997</v>
      </c>
      <c r="AD44" s="6">
        <f>$O$44*$X$44</f>
        <v>0</v>
      </c>
      <c r="AE44" s="6">
        <f>$K$44*$Y$44</f>
        <v>0</v>
      </c>
      <c r="AF44" s="6">
        <f ca="1">$M$44*$Z$44</f>
        <v>260474.75283282588</v>
      </c>
      <c r="AG44" s="6">
        <f>$O$44*$AA$44</f>
        <v>0</v>
      </c>
    </row>
    <row r="45" spans="1:33" ht="11.25" customHeight="1" x14ac:dyDescent="0.25">
      <c r="A45" s="4" t="s">
        <v>27</v>
      </c>
      <c r="B45" s="4" t="s">
        <v>59</v>
      </c>
      <c r="C45" s="4" t="s">
        <v>40</v>
      </c>
      <c r="D45" s="4" t="s">
        <v>38</v>
      </c>
      <c r="E45" s="4" t="s">
        <v>25</v>
      </c>
      <c r="F45" s="4" t="s">
        <v>25</v>
      </c>
      <c r="G45" s="4" t="s">
        <v>25</v>
      </c>
      <c r="H45" s="4" t="s">
        <v>25</v>
      </c>
      <c r="I45" s="5">
        <v>44621</v>
      </c>
      <c r="J45" s="6">
        <v>0</v>
      </c>
      <c r="K45" s="6">
        <v>0</v>
      </c>
      <c r="L45" s="6">
        <v>-517.96299999999997</v>
      </c>
      <c r="M45" s="6">
        <v>-517.96299999999997</v>
      </c>
      <c r="N45" s="6">
        <v>0</v>
      </c>
      <c r="O45" s="6">
        <v>0</v>
      </c>
      <c r="P45" s="6">
        <v>0</v>
      </c>
      <c r="Q45" s="4" t="s">
        <v>60</v>
      </c>
      <c r="R45" s="4">
        <v>0</v>
      </c>
      <c r="S45" s="6">
        <v>0</v>
      </c>
      <c r="T45" s="6">
        <v>3</v>
      </c>
      <c r="U45" s="6">
        <v>0</v>
      </c>
      <c r="V45" s="6">
        <f>IF(ISERROR(VLOOKUP($S$45,'TAR FIN'!$A$1:$O$116,15,0)),0,VLOOKUP($S$45,'TAR FIN'!$A$1:$O$116,15,0))</f>
        <v>0</v>
      </c>
      <c r="W45" s="6">
        <f>IF(ISERROR(VLOOKUP($T$45,'TAR FIN'!$A$1:$O$116,15,0)),0,VLOOKUP($T$45,'TAR FIN'!$A$1:$O$116,15,0))</f>
        <v>62.94</v>
      </c>
      <c r="X45" s="6">
        <f>IF(ISERROR(VLOOKUP($U$45,'TAR FIN'!$A$1:$O$116,15,0)),0,VLOOKUP($U$45,'TAR FIN'!$A$1:$O$116,15,0))</f>
        <v>0</v>
      </c>
      <c r="Y45" s="6"/>
      <c r="Z45" s="6">
        <f ca="1">('TUSD BE'!$AM$7+'TUSD BF'!$AM$7+'TUSD CVA'!$AM$7)*1</f>
        <v>97.221093174390077</v>
      </c>
      <c r="AA45" s="6"/>
      <c r="AB45" s="6">
        <f>$K$45*$V$45</f>
        <v>0</v>
      </c>
      <c r="AC45" s="6">
        <f>$M$45*$W$45</f>
        <v>-32600.591219999998</v>
      </c>
      <c r="AD45" s="6">
        <f>$O$45*$X$45</f>
        <v>0</v>
      </c>
      <c r="AE45" s="6">
        <f>$K$45*$Y$45</f>
        <v>0</v>
      </c>
      <c r="AF45" s="6">
        <f ca="1">$M$45*$Z$45</f>
        <v>-50356.929083886607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59</v>
      </c>
      <c r="C46" s="4" t="s">
        <v>40</v>
      </c>
      <c r="D46" s="4" t="s">
        <v>38</v>
      </c>
      <c r="E46" s="4" t="s">
        <v>25</v>
      </c>
      <c r="F46" s="4" t="s">
        <v>25</v>
      </c>
      <c r="G46" s="4" t="s">
        <v>25</v>
      </c>
      <c r="H46" s="4" t="s">
        <v>25</v>
      </c>
      <c r="I46" s="5">
        <v>44652</v>
      </c>
      <c r="J46" s="6">
        <v>0</v>
      </c>
      <c r="K46" s="6">
        <v>0</v>
      </c>
      <c r="L46" s="6">
        <v>2958.3780000000002</v>
      </c>
      <c r="M46" s="6">
        <v>2958.3780000000002</v>
      </c>
      <c r="N46" s="6">
        <v>0</v>
      </c>
      <c r="O46" s="6">
        <v>0</v>
      </c>
      <c r="P46" s="6">
        <v>2</v>
      </c>
      <c r="Q46" s="4" t="s">
        <v>60</v>
      </c>
      <c r="R46" s="4">
        <v>0</v>
      </c>
      <c r="S46" s="6">
        <v>0</v>
      </c>
      <c r="T46" s="6">
        <v>3</v>
      </c>
      <c r="U46" s="6">
        <v>0</v>
      </c>
      <c r="V46" s="6">
        <f>IF(ISERROR(VLOOKUP($S$46,'TAR FIN'!$A$1:$O$116,15,0)),0,VLOOKUP($S$46,'TAR FIN'!$A$1:$O$116,15,0))</f>
        <v>0</v>
      </c>
      <c r="W46" s="6">
        <f>IF(ISERROR(VLOOKUP($T$46,'TAR FIN'!$A$1:$O$116,15,0)),0,VLOOKUP($T$46,'TAR FIN'!$A$1:$O$116,15,0))</f>
        <v>62.94</v>
      </c>
      <c r="X46" s="6">
        <f>IF(ISERROR(VLOOKUP($U$46,'TAR FIN'!$A$1:$O$116,15,0)),0,VLOOKUP($U$46,'TAR FIN'!$A$1:$O$116,15,0))</f>
        <v>0</v>
      </c>
      <c r="Y46" s="6"/>
      <c r="Z46" s="6">
        <f ca="1">('TUSD BE'!$AM$7+'TUSD BF'!$AM$7+'TUSD CVA'!$AM$7)*1</f>
        <v>97.221093174390077</v>
      </c>
      <c r="AA46" s="6"/>
      <c r="AB46" s="6">
        <f>$K$46*$V$46</f>
        <v>0</v>
      </c>
      <c r="AC46" s="6">
        <f>$M$46*$W$46</f>
        <v>186200.31132000001</v>
      </c>
      <c r="AD46" s="6">
        <f>$O$46*$X$46</f>
        <v>0</v>
      </c>
      <c r="AE46" s="6">
        <f>$K$46*$Y$46</f>
        <v>0</v>
      </c>
      <c r="AF46" s="6">
        <f ca="1">$M$46*$Z$46</f>
        <v>287616.74318306579</v>
      </c>
      <c r="AG46" s="6">
        <f>$O$46*$AA$46</f>
        <v>0</v>
      </c>
    </row>
    <row r="47" spans="1:33" ht="11.25" customHeight="1" x14ac:dyDescent="0.25">
      <c r="A47" s="4" t="s">
        <v>27</v>
      </c>
      <c r="B47" s="4" t="s">
        <v>59</v>
      </c>
      <c r="C47" s="4" t="s">
        <v>40</v>
      </c>
      <c r="D47" s="4" t="s">
        <v>38</v>
      </c>
      <c r="E47" s="4" t="s">
        <v>25</v>
      </c>
      <c r="F47" s="4" t="s">
        <v>25</v>
      </c>
      <c r="G47" s="4" t="s">
        <v>25</v>
      </c>
      <c r="H47" s="4" t="s">
        <v>25</v>
      </c>
      <c r="I47" s="5">
        <v>44652</v>
      </c>
      <c r="J47" s="6">
        <v>0</v>
      </c>
      <c r="K47" s="6">
        <v>0</v>
      </c>
      <c r="L47" s="6">
        <v>-390.41</v>
      </c>
      <c r="M47" s="6">
        <v>-390.41</v>
      </c>
      <c r="N47" s="6">
        <v>0</v>
      </c>
      <c r="O47" s="6">
        <v>0</v>
      </c>
      <c r="P47" s="6">
        <v>0</v>
      </c>
      <c r="Q47" s="4" t="s">
        <v>60</v>
      </c>
      <c r="R47" s="4">
        <v>0</v>
      </c>
      <c r="S47" s="6">
        <v>0</v>
      </c>
      <c r="T47" s="6">
        <v>3</v>
      </c>
      <c r="U47" s="6">
        <v>0</v>
      </c>
      <c r="V47" s="6">
        <f>IF(ISERROR(VLOOKUP($S$47,'TAR FIN'!$A$1:$O$116,15,0)),0,VLOOKUP($S$47,'TAR FIN'!$A$1:$O$116,15,0))</f>
        <v>0</v>
      </c>
      <c r="W47" s="6">
        <f>IF(ISERROR(VLOOKUP($T$47,'TAR FIN'!$A$1:$O$116,15,0)),0,VLOOKUP($T$47,'TAR FIN'!$A$1:$O$116,15,0))</f>
        <v>62.94</v>
      </c>
      <c r="X47" s="6">
        <f>IF(ISERROR(VLOOKUP($U$47,'TAR FIN'!$A$1:$O$116,15,0)),0,VLOOKUP($U$47,'TAR FIN'!$A$1:$O$116,15,0))</f>
        <v>0</v>
      </c>
      <c r="Y47" s="6"/>
      <c r="Z47" s="6">
        <f ca="1">('TUSD BE'!$AM$7+'TUSD BF'!$AM$7+'TUSD CVA'!$AM$7)*1</f>
        <v>97.221093174390077</v>
      </c>
      <c r="AA47" s="6"/>
      <c r="AB47" s="6">
        <f>$K$47*$V$47</f>
        <v>0</v>
      </c>
      <c r="AC47" s="6">
        <f>$M$47*$W$47</f>
        <v>-24572.4054</v>
      </c>
      <c r="AD47" s="6">
        <f>$O$47*$X$47</f>
        <v>0</v>
      </c>
      <c r="AE47" s="6">
        <f>$K$47*$Y$47</f>
        <v>0</v>
      </c>
      <c r="AF47" s="6">
        <f ca="1">$M$47*$Z$47</f>
        <v>-37956.086986213631</v>
      </c>
      <c r="AG47" s="6">
        <f>$O$47*$AA$47</f>
        <v>0</v>
      </c>
    </row>
    <row r="48" spans="1:33" ht="11.25" customHeight="1" x14ac:dyDescent="0.25">
      <c r="A48" s="4" t="s">
        <v>58</v>
      </c>
      <c r="B48" s="4" t="s">
        <v>59</v>
      </c>
      <c r="C48" s="4" t="s">
        <v>40</v>
      </c>
      <c r="D48" s="4" t="s">
        <v>38</v>
      </c>
      <c r="E48" s="4" t="s">
        <v>25</v>
      </c>
      <c r="F48" s="4" t="s">
        <v>25</v>
      </c>
      <c r="G48" s="4" t="s">
        <v>25</v>
      </c>
      <c r="H48" s="4" t="s">
        <v>25</v>
      </c>
      <c r="I48" s="5">
        <v>44682</v>
      </c>
      <c r="J48" s="6">
        <v>0</v>
      </c>
      <c r="K48" s="6">
        <v>0</v>
      </c>
      <c r="L48" s="6">
        <v>2958.3780000000002</v>
      </c>
      <c r="M48" s="6">
        <v>2958.3780000000002</v>
      </c>
      <c r="N48" s="6">
        <v>0</v>
      </c>
      <c r="O48" s="6">
        <v>0</v>
      </c>
      <c r="P48" s="6">
        <v>2</v>
      </c>
      <c r="Q48" s="4" t="s">
        <v>60</v>
      </c>
      <c r="R48" s="4">
        <v>0</v>
      </c>
      <c r="S48" s="6">
        <v>0</v>
      </c>
      <c r="T48" s="6">
        <v>3</v>
      </c>
      <c r="U48" s="6">
        <v>0</v>
      </c>
      <c r="V48" s="6">
        <f>IF(ISERROR(VLOOKUP($S$48,'TAR FIN'!$A$1:$O$116,15,0)),0,VLOOKUP($S$48,'TAR FIN'!$A$1:$O$116,15,0))</f>
        <v>0</v>
      </c>
      <c r="W48" s="6">
        <f>IF(ISERROR(VLOOKUP($T$48,'TAR FIN'!$A$1:$O$116,15,0)),0,VLOOKUP($T$48,'TAR FIN'!$A$1:$O$116,15,0))</f>
        <v>62.94</v>
      </c>
      <c r="X48" s="6">
        <f>IF(ISERROR(VLOOKUP($U$48,'TAR FIN'!$A$1:$O$116,15,0)),0,VLOOKUP($U$48,'TAR FIN'!$A$1:$O$116,15,0))</f>
        <v>0</v>
      </c>
      <c r="Y48" s="6"/>
      <c r="Z48" s="6">
        <f ca="1">('TUSD BE'!$AM$7+'TUSD BF'!$AM$7+'TUSD CVA'!$AM$7)*1</f>
        <v>97.221093174390077</v>
      </c>
      <c r="AA48" s="6"/>
      <c r="AB48" s="6">
        <f>$K$48*$V$48</f>
        <v>0</v>
      </c>
      <c r="AC48" s="6">
        <f>$M$48*$W$48</f>
        <v>186200.31132000001</v>
      </c>
      <c r="AD48" s="6">
        <f>$O$48*$X$48</f>
        <v>0</v>
      </c>
      <c r="AE48" s="6">
        <f>$K$48*$Y$48</f>
        <v>0</v>
      </c>
      <c r="AF48" s="6">
        <f ca="1">$M$48*$Z$48</f>
        <v>287616.74318306579</v>
      </c>
      <c r="AG48" s="6">
        <f>$O$48*$AA$48</f>
        <v>0</v>
      </c>
    </row>
    <row r="49" spans="1:33" ht="11.25" customHeight="1" x14ac:dyDescent="0.25">
      <c r="A49" s="4" t="s">
        <v>58</v>
      </c>
      <c r="B49" s="4" t="s">
        <v>59</v>
      </c>
      <c r="C49" s="4" t="s">
        <v>40</v>
      </c>
      <c r="D49" s="4" t="s">
        <v>38</v>
      </c>
      <c r="E49" s="4" t="s">
        <v>25</v>
      </c>
      <c r="F49" s="4" t="s">
        <v>25</v>
      </c>
      <c r="G49" s="4" t="s">
        <v>25</v>
      </c>
      <c r="H49" s="4" t="s">
        <v>25</v>
      </c>
      <c r="I49" s="5">
        <v>44682</v>
      </c>
      <c r="J49" s="6">
        <v>0</v>
      </c>
      <c r="K49" s="6">
        <v>0</v>
      </c>
      <c r="L49" s="6">
        <v>-390.41</v>
      </c>
      <c r="M49" s="6">
        <v>-390.41</v>
      </c>
      <c r="N49" s="6">
        <v>0</v>
      </c>
      <c r="O49" s="6">
        <v>0</v>
      </c>
      <c r="P49" s="6">
        <v>0</v>
      </c>
      <c r="Q49" s="4" t="s">
        <v>60</v>
      </c>
      <c r="R49" s="4">
        <v>0</v>
      </c>
      <c r="S49" s="6">
        <v>0</v>
      </c>
      <c r="T49" s="6">
        <v>3</v>
      </c>
      <c r="U49" s="6">
        <v>0</v>
      </c>
      <c r="V49" s="6">
        <f>IF(ISERROR(VLOOKUP($S$49,'TAR FIN'!$A$1:$O$116,15,0)),0,VLOOKUP($S$49,'TAR FIN'!$A$1:$O$116,15,0))</f>
        <v>0</v>
      </c>
      <c r="W49" s="6">
        <f>IF(ISERROR(VLOOKUP($T$49,'TAR FIN'!$A$1:$O$116,15,0)),0,VLOOKUP($T$49,'TAR FIN'!$A$1:$O$116,15,0))</f>
        <v>62.94</v>
      </c>
      <c r="X49" s="6">
        <f>IF(ISERROR(VLOOKUP($U$49,'TAR FIN'!$A$1:$O$116,15,0)),0,VLOOKUP($U$49,'TAR FIN'!$A$1:$O$116,15,0))</f>
        <v>0</v>
      </c>
      <c r="Y49" s="6"/>
      <c r="Z49" s="6">
        <f ca="1">('TUSD BE'!$AM$7+'TUSD BF'!$AM$7+'TUSD CVA'!$AM$7)*1</f>
        <v>97.221093174390077</v>
      </c>
      <c r="AA49" s="6"/>
      <c r="AB49" s="6">
        <f>$K$49*$V$49</f>
        <v>0</v>
      </c>
      <c r="AC49" s="6">
        <f>$M$49*$W$49</f>
        <v>-24572.4054</v>
      </c>
      <c r="AD49" s="6">
        <f>$O$49*$X$49</f>
        <v>0</v>
      </c>
      <c r="AE49" s="6">
        <f>$K$49*$Y$49</f>
        <v>0</v>
      </c>
      <c r="AF49" s="6">
        <f ca="1">$M$49*$Z$49</f>
        <v>-37956.086986213631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59</v>
      </c>
      <c r="C50" s="4" t="s">
        <v>40</v>
      </c>
      <c r="D50" s="4" t="s">
        <v>38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44348</v>
      </c>
      <c r="J50" s="6">
        <v>8600</v>
      </c>
      <c r="K50" s="6">
        <v>8600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60</v>
      </c>
      <c r="R50" s="4">
        <v>0</v>
      </c>
      <c r="S50" s="6">
        <v>1</v>
      </c>
      <c r="T50" s="6">
        <v>0</v>
      </c>
      <c r="U50" s="6">
        <v>0</v>
      </c>
      <c r="V50" s="6">
        <f>IF(ISERROR(VLOOKUP($S$50,'TAR FIN'!$A$1:$O$116,15,0)),0,VLOOKUP($S$50,'TAR FIN'!$A$1:$O$116,15,0))</f>
        <v>16.07</v>
      </c>
      <c r="W50" s="6">
        <f>IF(ISERROR(VLOOKUP($T$50,'TAR FIN'!$A$1:$O$116,15,0)),0,VLOOKUP($T$50,'TAR FIN'!$A$1:$O$116,15,0))</f>
        <v>0</v>
      </c>
      <c r="X50" s="6">
        <f>IF(ISERROR(VLOOKUP($U$50,'TAR FIN'!$A$1:$O$116,15,0)),0,VLOOKUP($U$50,'TAR FIN'!$A$1:$O$116,15,0))</f>
        <v>0</v>
      </c>
      <c r="Y50" s="6">
        <f ca="1">('TUSD BE'!$AM$5+'TUSD BF'!$AM$5+'TUSD CVA'!$AM$5)*1</f>
        <v>19.744356357903676</v>
      </c>
      <c r="Z50" s="6">
        <f ca="1">('TUSD BE'!$AM$7+'TUSD BF'!$AM$7+'TUSD CVA'!$AM$7)*1</f>
        <v>97.221093174390077</v>
      </c>
      <c r="AA50" s="6"/>
      <c r="AB50" s="6">
        <f>$K$50*$V$50</f>
        <v>138202</v>
      </c>
      <c r="AC50" s="6">
        <f>$M$50*$W$50</f>
        <v>0</v>
      </c>
      <c r="AD50" s="6">
        <f>$O$50*$X$50</f>
        <v>0</v>
      </c>
      <c r="AE50" s="6">
        <f ca="1">$K$50*$Y$50</f>
        <v>169801.46467797161</v>
      </c>
      <c r="AF50" s="6">
        <f ca="1">$M$50*$Z$50</f>
        <v>0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59</v>
      </c>
      <c r="C51" s="4" t="s">
        <v>40</v>
      </c>
      <c r="D51" s="4" t="s">
        <v>38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44378</v>
      </c>
      <c r="J51" s="6">
        <v>8600</v>
      </c>
      <c r="K51" s="6">
        <v>8600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60</v>
      </c>
      <c r="R51" s="4">
        <v>0</v>
      </c>
      <c r="S51" s="6">
        <v>1</v>
      </c>
      <c r="T51" s="6">
        <v>0</v>
      </c>
      <c r="U51" s="6">
        <v>0</v>
      </c>
      <c r="V51" s="6">
        <f>IF(ISERROR(VLOOKUP($S$51,'TAR FIN'!$A$1:$O$116,15,0)),0,VLOOKUP($S$51,'TAR FIN'!$A$1:$O$116,15,0))</f>
        <v>16.07</v>
      </c>
      <c r="W51" s="6">
        <f>IF(ISERROR(VLOOKUP($T$51,'TAR FIN'!$A$1:$O$116,15,0)),0,VLOOKUP($T$51,'TAR FIN'!$A$1:$O$116,15,0))</f>
        <v>0</v>
      </c>
      <c r="X51" s="6">
        <f>IF(ISERROR(VLOOKUP($U$51,'TAR FIN'!$A$1:$O$116,15,0)),0,VLOOKUP($U$51,'TAR FIN'!$A$1:$O$116,15,0))</f>
        <v>0</v>
      </c>
      <c r="Y51" s="6">
        <f ca="1">('TUSD BE'!$AM$5+'TUSD BF'!$AM$5+'TUSD CVA'!$AM$5)*1</f>
        <v>19.744356357903676</v>
      </c>
      <c r="Z51" s="6">
        <f ca="1">('TUSD BE'!$AM$7+'TUSD BF'!$AM$7+'TUSD CVA'!$AM$7)*1</f>
        <v>97.221093174390077</v>
      </c>
      <c r="AA51" s="6"/>
      <c r="AB51" s="6">
        <f>$K$51*$V$51</f>
        <v>138202</v>
      </c>
      <c r="AC51" s="6">
        <f>$M$51*$W$51</f>
        <v>0</v>
      </c>
      <c r="AD51" s="6">
        <f>$O$51*$X$51</f>
        <v>0</v>
      </c>
      <c r="AE51" s="6">
        <f ca="1">$K$51*$Y$51</f>
        <v>169801.46467797161</v>
      </c>
      <c r="AF51" s="6">
        <f ca="1"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59</v>
      </c>
      <c r="C52" s="4" t="s">
        <v>40</v>
      </c>
      <c r="D52" s="4" t="s">
        <v>38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44409</v>
      </c>
      <c r="J52" s="6">
        <v>8600</v>
      </c>
      <c r="K52" s="6">
        <v>8600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60</v>
      </c>
      <c r="R52" s="4">
        <v>0</v>
      </c>
      <c r="S52" s="6">
        <v>1</v>
      </c>
      <c r="T52" s="6">
        <v>0</v>
      </c>
      <c r="U52" s="6">
        <v>0</v>
      </c>
      <c r="V52" s="6">
        <f>IF(ISERROR(VLOOKUP($S$52,'TAR FIN'!$A$1:$O$116,15,0)),0,VLOOKUP($S$52,'TAR FIN'!$A$1:$O$116,15,0))</f>
        <v>16.07</v>
      </c>
      <c r="W52" s="6">
        <f>IF(ISERROR(VLOOKUP($T$52,'TAR FIN'!$A$1:$O$116,15,0)),0,VLOOKUP($T$52,'TAR FIN'!$A$1:$O$116,15,0))</f>
        <v>0</v>
      </c>
      <c r="X52" s="6">
        <f>IF(ISERROR(VLOOKUP($U$52,'TAR FIN'!$A$1:$O$116,15,0)),0,VLOOKUP($U$52,'TAR FIN'!$A$1:$O$116,15,0))</f>
        <v>0</v>
      </c>
      <c r="Y52" s="6">
        <f ca="1">('TUSD BE'!$AM$5+'TUSD BF'!$AM$5+'TUSD CVA'!$AM$5)*1</f>
        <v>19.744356357903676</v>
      </c>
      <c r="Z52" s="6">
        <f ca="1">('TUSD BE'!$AM$7+'TUSD BF'!$AM$7+'TUSD CVA'!$AM$7)*1</f>
        <v>97.221093174390077</v>
      </c>
      <c r="AA52" s="6"/>
      <c r="AB52" s="6">
        <f>$K$52*$V$52</f>
        <v>138202</v>
      </c>
      <c r="AC52" s="6">
        <f>$M$52*$W$52</f>
        <v>0</v>
      </c>
      <c r="AD52" s="6">
        <f>$O$52*$X$52</f>
        <v>0</v>
      </c>
      <c r="AE52" s="6">
        <f ca="1">$K$52*$Y$52</f>
        <v>169801.46467797161</v>
      </c>
      <c r="AF52" s="6">
        <f ca="1"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59</v>
      </c>
      <c r="C53" s="4" t="s">
        <v>40</v>
      </c>
      <c r="D53" s="4" t="s">
        <v>38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44440</v>
      </c>
      <c r="J53" s="6">
        <v>8600</v>
      </c>
      <c r="K53" s="6">
        <v>8600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60</v>
      </c>
      <c r="R53" s="4">
        <v>0</v>
      </c>
      <c r="S53" s="6">
        <v>1</v>
      </c>
      <c r="T53" s="6">
        <v>0</v>
      </c>
      <c r="U53" s="6">
        <v>0</v>
      </c>
      <c r="V53" s="6">
        <f>IF(ISERROR(VLOOKUP($S$53,'TAR FIN'!$A$1:$O$116,15,0)),0,VLOOKUP($S$53,'TAR FIN'!$A$1:$O$116,15,0))</f>
        <v>16.07</v>
      </c>
      <c r="W53" s="6">
        <f>IF(ISERROR(VLOOKUP($T$53,'TAR FIN'!$A$1:$O$116,15,0)),0,VLOOKUP($T$53,'TAR FIN'!$A$1:$O$116,15,0))</f>
        <v>0</v>
      </c>
      <c r="X53" s="6">
        <f>IF(ISERROR(VLOOKUP($U$53,'TAR FIN'!$A$1:$O$116,15,0)),0,VLOOKUP($U$53,'TAR FIN'!$A$1:$O$116,15,0))</f>
        <v>0</v>
      </c>
      <c r="Y53" s="6">
        <f ca="1">('TUSD BE'!$AM$5+'TUSD BF'!$AM$5+'TUSD CVA'!$AM$5)*1</f>
        <v>19.744356357903676</v>
      </c>
      <c r="Z53" s="6">
        <f ca="1">('TUSD BE'!$AM$7+'TUSD BF'!$AM$7+'TUSD CVA'!$AM$7)*1</f>
        <v>97.221093174390077</v>
      </c>
      <c r="AA53" s="6"/>
      <c r="AB53" s="6">
        <f>$K$53*$V$53</f>
        <v>138202</v>
      </c>
      <c r="AC53" s="6">
        <f>$M$53*$W$53</f>
        <v>0</v>
      </c>
      <c r="AD53" s="6">
        <f>$O$53*$X$53</f>
        <v>0</v>
      </c>
      <c r="AE53" s="6">
        <f ca="1">$K$53*$Y$53</f>
        <v>169801.46467797161</v>
      </c>
      <c r="AF53" s="6">
        <f ca="1"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59</v>
      </c>
      <c r="C54" s="4" t="s">
        <v>40</v>
      </c>
      <c r="D54" s="4" t="s">
        <v>38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44470</v>
      </c>
      <c r="J54" s="6">
        <v>8600</v>
      </c>
      <c r="K54" s="6">
        <v>8600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60</v>
      </c>
      <c r="R54" s="4">
        <v>0</v>
      </c>
      <c r="S54" s="6">
        <v>1</v>
      </c>
      <c r="T54" s="6">
        <v>0</v>
      </c>
      <c r="U54" s="6">
        <v>0</v>
      </c>
      <c r="V54" s="6">
        <f>IF(ISERROR(VLOOKUP($S$54,'TAR FIN'!$A$1:$O$116,15,0)),0,VLOOKUP($S$54,'TAR FIN'!$A$1:$O$116,15,0))</f>
        <v>16.07</v>
      </c>
      <c r="W54" s="6">
        <f>IF(ISERROR(VLOOKUP($T$54,'TAR FIN'!$A$1:$O$116,15,0)),0,VLOOKUP($T$54,'TAR FIN'!$A$1:$O$116,15,0))</f>
        <v>0</v>
      </c>
      <c r="X54" s="6">
        <f>IF(ISERROR(VLOOKUP($U$54,'TAR FIN'!$A$1:$O$116,15,0)),0,VLOOKUP($U$54,'TAR FIN'!$A$1:$O$116,15,0))</f>
        <v>0</v>
      </c>
      <c r="Y54" s="6">
        <f ca="1">('TUSD BE'!$AM$5+'TUSD BF'!$AM$5+'TUSD CVA'!$AM$5)*1</f>
        <v>19.744356357903676</v>
      </c>
      <c r="Z54" s="6">
        <f ca="1">('TUSD BE'!$AM$7+'TUSD BF'!$AM$7+'TUSD CVA'!$AM$7)*1</f>
        <v>97.221093174390077</v>
      </c>
      <c r="AA54" s="6"/>
      <c r="AB54" s="6">
        <f>$K$54*$V$54</f>
        <v>138202</v>
      </c>
      <c r="AC54" s="6">
        <f>$M$54*$W$54</f>
        <v>0</v>
      </c>
      <c r="AD54" s="6">
        <f>$O$54*$X$54</f>
        <v>0</v>
      </c>
      <c r="AE54" s="6">
        <f ca="1">$K$54*$Y$54</f>
        <v>169801.46467797161</v>
      </c>
      <c r="AF54" s="6">
        <f ca="1"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59</v>
      </c>
      <c r="C55" s="4" t="s">
        <v>40</v>
      </c>
      <c r="D55" s="4" t="s">
        <v>38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44501</v>
      </c>
      <c r="J55" s="6">
        <v>8600</v>
      </c>
      <c r="K55" s="6">
        <v>8600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60</v>
      </c>
      <c r="R55" s="4">
        <v>0</v>
      </c>
      <c r="S55" s="6">
        <v>1</v>
      </c>
      <c r="T55" s="6">
        <v>0</v>
      </c>
      <c r="U55" s="6">
        <v>0</v>
      </c>
      <c r="V55" s="6">
        <f>IF(ISERROR(VLOOKUP($S$55,'TAR FIN'!$A$1:$O$116,15,0)),0,VLOOKUP($S$55,'TAR FIN'!$A$1:$O$116,15,0))</f>
        <v>16.07</v>
      </c>
      <c r="W55" s="6">
        <f>IF(ISERROR(VLOOKUP($T$55,'TAR FIN'!$A$1:$O$116,15,0)),0,VLOOKUP($T$55,'TAR FIN'!$A$1:$O$116,15,0))</f>
        <v>0</v>
      </c>
      <c r="X55" s="6">
        <f>IF(ISERROR(VLOOKUP($U$55,'TAR FIN'!$A$1:$O$116,15,0)),0,VLOOKUP($U$55,'TAR FIN'!$A$1:$O$116,15,0))</f>
        <v>0</v>
      </c>
      <c r="Y55" s="6">
        <f ca="1">('TUSD BE'!$AM$5+'TUSD BF'!$AM$5+'TUSD CVA'!$AM$5)*1</f>
        <v>19.744356357903676</v>
      </c>
      <c r="Z55" s="6">
        <f ca="1">('TUSD BE'!$AM$7+'TUSD BF'!$AM$7+'TUSD CVA'!$AM$7)*1</f>
        <v>97.221093174390077</v>
      </c>
      <c r="AA55" s="6"/>
      <c r="AB55" s="6">
        <f>$K$55*$V$55</f>
        <v>138202</v>
      </c>
      <c r="AC55" s="6">
        <f>$M$55*$W$55</f>
        <v>0</v>
      </c>
      <c r="AD55" s="6">
        <f>$O$55*$X$55</f>
        <v>0</v>
      </c>
      <c r="AE55" s="6">
        <f ca="1">$K$55*$Y$55</f>
        <v>169801.46467797161</v>
      </c>
      <c r="AF55" s="6">
        <f ca="1"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59</v>
      </c>
      <c r="C56" s="4" t="s">
        <v>40</v>
      </c>
      <c r="D56" s="4" t="s">
        <v>38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44531</v>
      </c>
      <c r="J56" s="6">
        <v>8600</v>
      </c>
      <c r="K56" s="6">
        <v>8600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60</v>
      </c>
      <c r="R56" s="4">
        <v>0</v>
      </c>
      <c r="S56" s="6">
        <v>1</v>
      </c>
      <c r="T56" s="6">
        <v>0</v>
      </c>
      <c r="U56" s="6">
        <v>0</v>
      </c>
      <c r="V56" s="6">
        <f>IF(ISERROR(VLOOKUP($S$56,'TAR FIN'!$A$1:$O$116,15,0)),0,VLOOKUP($S$56,'TAR FIN'!$A$1:$O$116,15,0))</f>
        <v>16.07</v>
      </c>
      <c r="W56" s="6">
        <f>IF(ISERROR(VLOOKUP($T$56,'TAR FIN'!$A$1:$O$116,15,0)),0,VLOOKUP($T$56,'TAR FIN'!$A$1:$O$116,15,0))</f>
        <v>0</v>
      </c>
      <c r="X56" s="6">
        <f>IF(ISERROR(VLOOKUP($U$56,'TAR FIN'!$A$1:$O$116,15,0)),0,VLOOKUP($U$56,'TAR FIN'!$A$1:$O$116,15,0))</f>
        <v>0</v>
      </c>
      <c r="Y56" s="6">
        <f ca="1">('TUSD BE'!$AM$5+'TUSD BF'!$AM$5+'TUSD CVA'!$AM$5)*1</f>
        <v>19.744356357903676</v>
      </c>
      <c r="Z56" s="6">
        <f ca="1">('TUSD BE'!$AM$7+'TUSD BF'!$AM$7+'TUSD CVA'!$AM$7)*1</f>
        <v>97.221093174390077</v>
      </c>
      <c r="AA56" s="6"/>
      <c r="AB56" s="6">
        <f>$K$56*$V$56</f>
        <v>138202</v>
      </c>
      <c r="AC56" s="6">
        <f>$M$56*$W$56</f>
        <v>0</v>
      </c>
      <c r="AD56" s="6">
        <f>$O$56*$X$56</f>
        <v>0</v>
      </c>
      <c r="AE56" s="6">
        <f ca="1">$K$56*$Y$56</f>
        <v>169801.46467797161</v>
      </c>
      <c r="AF56" s="6">
        <f ca="1"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59</v>
      </c>
      <c r="C57" s="4" t="s">
        <v>40</v>
      </c>
      <c r="D57" s="4" t="s">
        <v>38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44562</v>
      </c>
      <c r="J57" s="6">
        <v>8600</v>
      </c>
      <c r="K57" s="6">
        <v>8600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60</v>
      </c>
      <c r="R57" s="4">
        <v>0</v>
      </c>
      <c r="S57" s="6">
        <v>1</v>
      </c>
      <c r="T57" s="6">
        <v>0</v>
      </c>
      <c r="U57" s="6">
        <v>0</v>
      </c>
      <c r="V57" s="6">
        <f>IF(ISERROR(VLOOKUP($S$57,'TAR FIN'!$A$1:$O$116,15,0)),0,VLOOKUP($S$57,'TAR FIN'!$A$1:$O$116,15,0))</f>
        <v>16.07</v>
      </c>
      <c r="W57" s="6">
        <f>IF(ISERROR(VLOOKUP($T$57,'TAR FIN'!$A$1:$O$116,15,0)),0,VLOOKUP($T$57,'TAR FIN'!$A$1:$O$116,15,0))</f>
        <v>0</v>
      </c>
      <c r="X57" s="6">
        <f>IF(ISERROR(VLOOKUP($U$57,'TAR FIN'!$A$1:$O$116,15,0)),0,VLOOKUP($U$57,'TAR FIN'!$A$1:$O$116,15,0))</f>
        <v>0</v>
      </c>
      <c r="Y57" s="6">
        <f ca="1">('TUSD BE'!$AM$5+'TUSD BF'!$AM$5+'TUSD CVA'!$AM$5)*1</f>
        <v>19.744356357903676</v>
      </c>
      <c r="Z57" s="6">
        <f ca="1">('TUSD BE'!$AM$7+'TUSD BF'!$AM$7+'TUSD CVA'!$AM$7)*1</f>
        <v>97.221093174390077</v>
      </c>
      <c r="AA57" s="6"/>
      <c r="AB57" s="6">
        <f>$K$57*$V$57</f>
        <v>138202</v>
      </c>
      <c r="AC57" s="6">
        <f>$M$57*$W$57</f>
        <v>0</v>
      </c>
      <c r="AD57" s="6">
        <f>$O$57*$X$57</f>
        <v>0</v>
      </c>
      <c r="AE57" s="6">
        <f ca="1">$K$57*$Y$57</f>
        <v>169801.46467797161</v>
      </c>
      <c r="AF57" s="6">
        <f ca="1"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59</v>
      </c>
      <c r="C58" s="4" t="s">
        <v>40</v>
      </c>
      <c r="D58" s="4" t="s">
        <v>38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44593</v>
      </c>
      <c r="J58" s="6">
        <v>8600</v>
      </c>
      <c r="K58" s="6">
        <v>8600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60</v>
      </c>
      <c r="R58" s="4">
        <v>0</v>
      </c>
      <c r="S58" s="6">
        <v>1</v>
      </c>
      <c r="T58" s="6">
        <v>0</v>
      </c>
      <c r="U58" s="6">
        <v>0</v>
      </c>
      <c r="V58" s="6">
        <f>IF(ISERROR(VLOOKUP($S$58,'TAR FIN'!$A$1:$O$116,15,0)),0,VLOOKUP($S$58,'TAR FIN'!$A$1:$O$116,15,0))</f>
        <v>16.07</v>
      </c>
      <c r="W58" s="6">
        <f>IF(ISERROR(VLOOKUP($T$58,'TAR FIN'!$A$1:$O$116,15,0)),0,VLOOKUP($T$58,'TAR FIN'!$A$1:$O$116,15,0))</f>
        <v>0</v>
      </c>
      <c r="X58" s="6">
        <f>IF(ISERROR(VLOOKUP($U$58,'TAR FIN'!$A$1:$O$116,15,0)),0,VLOOKUP($U$58,'TAR FIN'!$A$1:$O$116,15,0))</f>
        <v>0</v>
      </c>
      <c r="Y58" s="6">
        <f ca="1">('TUSD BE'!$AM$5+'TUSD BF'!$AM$5+'TUSD CVA'!$AM$5)*1</f>
        <v>19.744356357903676</v>
      </c>
      <c r="Z58" s="6">
        <f ca="1">('TUSD BE'!$AM$7+'TUSD BF'!$AM$7+'TUSD CVA'!$AM$7)*1</f>
        <v>97.221093174390077</v>
      </c>
      <c r="AA58" s="6"/>
      <c r="AB58" s="6">
        <f>$K$58*$V$58</f>
        <v>138202</v>
      </c>
      <c r="AC58" s="6">
        <f>$M$58*$W$58</f>
        <v>0</v>
      </c>
      <c r="AD58" s="6">
        <f>$O$58*$X$58</f>
        <v>0</v>
      </c>
      <c r="AE58" s="6">
        <f ca="1">$K$58*$Y$58</f>
        <v>169801.46467797161</v>
      </c>
      <c r="AF58" s="6">
        <f ca="1"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59</v>
      </c>
      <c r="C59" s="4" t="s">
        <v>40</v>
      </c>
      <c r="D59" s="4" t="s">
        <v>38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44621</v>
      </c>
      <c r="J59" s="6">
        <v>8600</v>
      </c>
      <c r="K59" s="6">
        <v>8600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60</v>
      </c>
      <c r="R59" s="4">
        <v>0</v>
      </c>
      <c r="S59" s="6">
        <v>1</v>
      </c>
      <c r="T59" s="6">
        <v>0</v>
      </c>
      <c r="U59" s="6">
        <v>0</v>
      </c>
      <c r="V59" s="6">
        <f>IF(ISERROR(VLOOKUP($S$59,'TAR FIN'!$A$1:$O$116,15,0)),0,VLOOKUP($S$59,'TAR FIN'!$A$1:$O$116,15,0))</f>
        <v>16.07</v>
      </c>
      <c r="W59" s="6">
        <f>IF(ISERROR(VLOOKUP($T$59,'TAR FIN'!$A$1:$O$116,15,0)),0,VLOOKUP($T$59,'TAR FIN'!$A$1:$O$116,15,0))</f>
        <v>0</v>
      </c>
      <c r="X59" s="6">
        <f>IF(ISERROR(VLOOKUP($U$59,'TAR FIN'!$A$1:$O$116,15,0)),0,VLOOKUP($U$59,'TAR FIN'!$A$1:$O$116,15,0))</f>
        <v>0</v>
      </c>
      <c r="Y59" s="6">
        <f ca="1">('TUSD BE'!$AM$5+'TUSD BF'!$AM$5+'TUSD CVA'!$AM$5)*1</f>
        <v>19.744356357903676</v>
      </c>
      <c r="Z59" s="6">
        <f ca="1">('TUSD BE'!$AM$7+'TUSD BF'!$AM$7+'TUSD CVA'!$AM$7)*1</f>
        <v>97.221093174390077</v>
      </c>
      <c r="AA59" s="6"/>
      <c r="AB59" s="6">
        <f>$K$59*$V$59</f>
        <v>138202</v>
      </c>
      <c r="AC59" s="6">
        <f>$M$59*$W$59</f>
        <v>0</v>
      </c>
      <c r="AD59" s="6">
        <f>$O$59*$X$59</f>
        <v>0</v>
      </c>
      <c r="AE59" s="6">
        <f ca="1">$K$59*$Y$59</f>
        <v>169801.46467797161</v>
      </c>
      <c r="AF59" s="6">
        <f ca="1"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59</v>
      </c>
      <c r="C60" s="4" t="s">
        <v>40</v>
      </c>
      <c r="D60" s="4" t="s">
        <v>38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44652</v>
      </c>
      <c r="J60" s="6">
        <v>8600</v>
      </c>
      <c r="K60" s="6">
        <v>8600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60</v>
      </c>
      <c r="R60" s="4">
        <v>0</v>
      </c>
      <c r="S60" s="6">
        <v>1</v>
      </c>
      <c r="T60" s="6">
        <v>0</v>
      </c>
      <c r="U60" s="6">
        <v>0</v>
      </c>
      <c r="V60" s="6">
        <f>IF(ISERROR(VLOOKUP($S$60,'TAR FIN'!$A$1:$O$116,15,0)),0,VLOOKUP($S$60,'TAR FIN'!$A$1:$O$116,15,0))</f>
        <v>16.07</v>
      </c>
      <c r="W60" s="6">
        <f>IF(ISERROR(VLOOKUP($T$60,'TAR FIN'!$A$1:$O$116,15,0)),0,VLOOKUP($T$60,'TAR FIN'!$A$1:$O$116,15,0))</f>
        <v>0</v>
      </c>
      <c r="X60" s="6">
        <f>IF(ISERROR(VLOOKUP($U$60,'TAR FIN'!$A$1:$O$116,15,0)),0,VLOOKUP($U$60,'TAR FIN'!$A$1:$O$116,15,0))</f>
        <v>0</v>
      </c>
      <c r="Y60" s="6">
        <f ca="1">('TUSD BE'!$AM$5+'TUSD BF'!$AM$5+'TUSD CVA'!$AM$5)*1</f>
        <v>19.744356357903676</v>
      </c>
      <c r="Z60" s="6">
        <f ca="1">('TUSD BE'!$AM$7+'TUSD BF'!$AM$7+'TUSD CVA'!$AM$7)*1</f>
        <v>97.221093174390077</v>
      </c>
      <c r="AA60" s="6"/>
      <c r="AB60" s="6">
        <f>$K$60*$V$60</f>
        <v>138202</v>
      </c>
      <c r="AC60" s="6">
        <f>$M$60*$W$60</f>
        <v>0</v>
      </c>
      <c r="AD60" s="6">
        <f>$O$60*$X$60</f>
        <v>0</v>
      </c>
      <c r="AE60" s="6">
        <f ca="1">$K$60*$Y$60</f>
        <v>169801.46467797161</v>
      </c>
      <c r="AF60" s="6">
        <f ca="1">$M$60*$Z$60</f>
        <v>0</v>
      </c>
      <c r="AG60" s="6">
        <f>$O$60*$AA$60</f>
        <v>0</v>
      </c>
    </row>
    <row r="61" spans="1:33" ht="11.25" customHeight="1" x14ac:dyDescent="0.25">
      <c r="A61" s="4" t="s">
        <v>58</v>
      </c>
      <c r="B61" s="4" t="s">
        <v>59</v>
      </c>
      <c r="C61" s="4" t="s">
        <v>40</v>
      </c>
      <c r="D61" s="4" t="s">
        <v>38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44682</v>
      </c>
      <c r="J61" s="6">
        <v>8600</v>
      </c>
      <c r="K61" s="6">
        <v>8600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60</v>
      </c>
      <c r="R61" s="4">
        <v>0</v>
      </c>
      <c r="S61" s="6">
        <v>1</v>
      </c>
      <c r="T61" s="6">
        <v>0</v>
      </c>
      <c r="U61" s="6">
        <v>0</v>
      </c>
      <c r="V61" s="6">
        <f>IF(ISERROR(VLOOKUP($S$61,'TAR FIN'!$A$1:$O$116,15,0)),0,VLOOKUP($S$61,'TAR FIN'!$A$1:$O$116,15,0))</f>
        <v>16.07</v>
      </c>
      <c r="W61" s="6">
        <f>IF(ISERROR(VLOOKUP($T$61,'TAR FIN'!$A$1:$O$116,15,0)),0,VLOOKUP($T$61,'TAR FIN'!$A$1:$O$116,15,0))</f>
        <v>0</v>
      </c>
      <c r="X61" s="6">
        <f>IF(ISERROR(VLOOKUP($U$61,'TAR FIN'!$A$1:$O$116,15,0)),0,VLOOKUP($U$61,'TAR FIN'!$A$1:$O$116,15,0))</f>
        <v>0</v>
      </c>
      <c r="Y61" s="6">
        <f ca="1">('TUSD BE'!$AM$5+'TUSD BF'!$AM$5+'TUSD CVA'!$AM$5)*1</f>
        <v>19.744356357903676</v>
      </c>
      <c r="Z61" s="6">
        <f ca="1">('TUSD BE'!$AM$7+'TUSD BF'!$AM$7+'TUSD CVA'!$AM$7)*1</f>
        <v>97.221093174390077</v>
      </c>
      <c r="AA61" s="6"/>
      <c r="AB61" s="6">
        <f>$K$61*$V$61</f>
        <v>138202</v>
      </c>
      <c r="AC61" s="6">
        <f>$M$61*$W$61</f>
        <v>0</v>
      </c>
      <c r="AD61" s="6">
        <f>$O$61*$X$61</f>
        <v>0</v>
      </c>
      <c r="AE61" s="6">
        <f ca="1">$K$61*$Y$61</f>
        <v>169801.46467797161</v>
      </c>
      <c r="AF61" s="6">
        <f ca="1"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59</v>
      </c>
      <c r="C62" s="4" t="s">
        <v>64</v>
      </c>
      <c r="D62" s="4" t="s">
        <v>25</v>
      </c>
      <c r="E62" s="4" t="s">
        <v>25</v>
      </c>
      <c r="F62" s="4" t="s">
        <v>25</v>
      </c>
      <c r="G62" s="4" t="s">
        <v>65</v>
      </c>
      <c r="H62" s="4" t="s">
        <v>25</v>
      </c>
      <c r="I62" s="5">
        <v>44348</v>
      </c>
      <c r="J62" s="6">
        <v>1640</v>
      </c>
      <c r="K62" s="6">
        <v>820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66</v>
      </c>
      <c r="R62" s="4">
        <v>104</v>
      </c>
      <c r="S62" s="6">
        <v>5</v>
      </c>
      <c r="T62" s="6">
        <v>0</v>
      </c>
      <c r="U62" s="6">
        <v>0</v>
      </c>
      <c r="V62" s="6">
        <f>IF(ISERROR(VLOOKUP($S$62,'TAR FIN'!$A$1:$O$116,15,0)),0,VLOOKUP($S$62,'TAR FIN'!$A$1:$O$116,15,0))</f>
        <v>5.0999999999999996</v>
      </c>
      <c r="W62" s="6">
        <f>IF(ISERROR(VLOOKUP($T$62,'TAR FIN'!$A$1:$O$116,15,0)),0,VLOOKUP($T$62,'TAR FIN'!$A$1:$O$116,15,0))</f>
        <v>0</v>
      </c>
      <c r="X62" s="6">
        <f>IF(ISERROR(VLOOKUP($U$62,'TAR FIN'!$A$1:$O$116,15,0)),0,VLOOKUP($U$62,'TAR FIN'!$A$1:$O$116,15,0))</f>
        <v>0</v>
      </c>
      <c r="Y62" s="6">
        <f ca="1">('TUSD BE'!$AM$9+'TUSD BF'!$AM$9+'TUSD CVA'!$AM$9)*1</f>
        <v>5.3518194805398505</v>
      </c>
      <c r="Z62" s="6"/>
      <c r="AA62" s="6"/>
      <c r="AB62" s="6">
        <f>$K$62*$V$62</f>
        <v>4182</v>
      </c>
      <c r="AC62" s="6">
        <f>$M$62*$W$62</f>
        <v>0</v>
      </c>
      <c r="AD62" s="6">
        <f>$O$62*$X$62</f>
        <v>0</v>
      </c>
      <c r="AE62" s="6">
        <f ca="1">$K$62*$Y$62</f>
        <v>4388.4919740426776</v>
      </c>
      <c r="AF62" s="6">
        <f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59</v>
      </c>
      <c r="C63" s="4" t="s">
        <v>64</v>
      </c>
      <c r="D63" s="4" t="s">
        <v>25</v>
      </c>
      <c r="E63" s="4" t="s">
        <v>25</v>
      </c>
      <c r="F63" s="4" t="s">
        <v>25</v>
      </c>
      <c r="G63" s="4" t="s">
        <v>67</v>
      </c>
      <c r="H63" s="4" t="s">
        <v>25</v>
      </c>
      <c r="I63" s="5">
        <v>44348</v>
      </c>
      <c r="J63" s="6">
        <v>39500</v>
      </c>
      <c r="K63" s="6">
        <v>24307.692490000001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66</v>
      </c>
      <c r="R63" s="4">
        <v>215</v>
      </c>
      <c r="S63" s="6">
        <v>6</v>
      </c>
      <c r="T63" s="6">
        <v>0</v>
      </c>
      <c r="U63" s="6">
        <v>0</v>
      </c>
      <c r="V63" s="6">
        <f>IF(ISERROR(VLOOKUP($S$63,'TAR FIN'!$A$1:$O$116,15,0)),0,VLOOKUP($S$63,'TAR FIN'!$A$1:$O$116,15,0))</f>
        <v>3.94</v>
      </c>
      <c r="W63" s="6">
        <f>IF(ISERROR(VLOOKUP($T$63,'TAR FIN'!$A$1:$O$116,15,0)),0,VLOOKUP($T$63,'TAR FIN'!$A$1:$O$116,15,0))</f>
        <v>0</v>
      </c>
      <c r="X63" s="6">
        <f>IF(ISERROR(VLOOKUP($U$63,'TAR FIN'!$A$1:$O$116,15,0)),0,VLOOKUP($U$63,'TAR FIN'!$A$1:$O$116,15,0))</f>
        <v>0</v>
      </c>
      <c r="Y63" s="6">
        <f ca="1">('TUSD BE'!$AM$10+'TUSD BF'!$AM$10+'TUSD CVA'!$AM$10)*1</f>
        <v>4.1263435553812471</v>
      </c>
      <c r="Z63" s="6"/>
      <c r="AA63" s="6"/>
      <c r="AB63" s="6">
        <f>$K$63*$V$63</f>
        <v>95772.308410600002</v>
      </c>
      <c r="AC63" s="6">
        <f>$M$63*$W$63</f>
        <v>0</v>
      </c>
      <c r="AD63" s="6">
        <f>$O$63*$X$63</f>
        <v>0</v>
      </c>
      <c r="AE63" s="6">
        <f ca="1">$K$63*$Y$63</f>
        <v>100301.89025230064</v>
      </c>
      <c r="AF63" s="6">
        <f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59</v>
      </c>
      <c r="C64" s="4" t="s">
        <v>64</v>
      </c>
      <c r="D64" s="4" t="s">
        <v>25</v>
      </c>
      <c r="E64" s="4" t="s">
        <v>25</v>
      </c>
      <c r="F64" s="4" t="s">
        <v>25</v>
      </c>
      <c r="G64" s="4" t="s">
        <v>69</v>
      </c>
      <c r="H64" s="4" t="s">
        <v>25</v>
      </c>
      <c r="I64" s="5">
        <v>44348</v>
      </c>
      <c r="J64" s="6">
        <v>22000</v>
      </c>
      <c r="K64" s="6">
        <v>22000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66</v>
      </c>
      <c r="R64" s="4">
        <v>473</v>
      </c>
      <c r="S64" s="6">
        <v>7</v>
      </c>
      <c r="T64" s="6">
        <v>0</v>
      </c>
      <c r="U64" s="6">
        <v>0</v>
      </c>
      <c r="V64" s="6">
        <f>IF(ISERROR(VLOOKUP($S$64,'TAR FIN'!$A$1:$O$116,15,0)),0,VLOOKUP($S$64,'TAR FIN'!$A$1:$O$116,15,0))</f>
        <v>5.69</v>
      </c>
      <c r="W64" s="6">
        <f>IF(ISERROR(VLOOKUP($T$64,'TAR FIN'!$A$1:$O$116,15,0)),0,VLOOKUP($T$64,'TAR FIN'!$A$1:$O$116,15,0))</f>
        <v>0</v>
      </c>
      <c r="X64" s="6">
        <f>IF(ISERROR(VLOOKUP($U$64,'TAR FIN'!$A$1:$O$116,15,0)),0,VLOOKUP($U$64,'TAR FIN'!$A$1:$O$116,15,0))</f>
        <v>0</v>
      </c>
      <c r="Y64" s="6">
        <f ca="1">('TUSD BE'!$AM$11+'TUSD BF'!$AM$11+'TUSD CVA'!$AM$11)*1</f>
        <v>5.9725875581129042</v>
      </c>
      <c r="Z64" s="6"/>
      <c r="AA64" s="6"/>
      <c r="AB64" s="6">
        <f>$K$64*$V$64</f>
        <v>125180.00000000001</v>
      </c>
      <c r="AC64" s="6">
        <f>$M$64*$W$64</f>
        <v>0</v>
      </c>
      <c r="AD64" s="6">
        <f>$O$64*$X$64</f>
        <v>0</v>
      </c>
      <c r="AE64" s="6">
        <f ca="1">$K$64*$Y$64</f>
        <v>131396.92627848388</v>
      </c>
      <c r="AF64" s="6">
        <f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59</v>
      </c>
      <c r="C65" s="4" t="s">
        <v>64</v>
      </c>
      <c r="D65" s="4" t="s">
        <v>25</v>
      </c>
      <c r="E65" s="4" t="s">
        <v>25</v>
      </c>
      <c r="F65" s="4" t="s">
        <v>25</v>
      </c>
      <c r="G65" s="4" t="s">
        <v>72</v>
      </c>
      <c r="H65" s="4" t="s">
        <v>25</v>
      </c>
      <c r="I65" s="5">
        <v>44348</v>
      </c>
      <c r="J65" s="6">
        <v>16500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66</v>
      </c>
      <c r="R65" s="4">
        <v>1047</v>
      </c>
      <c r="S65" s="6">
        <v>8</v>
      </c>
      <c r="T65" s="6">
        <v>0</v>
      </c>
      <c r="U65" s="6">
        <v>0</v>
      </c>
      <c r="V65" s="6">
        <f>IF(ISERROR(VLOOKUP($S$65,'TAR FIN'!$A$1:$O$116,15,0)),0,VLOOKUP($S$65,'TAR FIN'!$A$1:$O$116,15,0))</f>
        <v>5.41</v>
      </c>
      <c r="W65" s="6">
        <f>IF(ISERROR(VLOOKUP($T$65,'TAR FIN'!$A$1:$O$116,15,0)),0,VLOOKUP($T$65,'TAR FIN'!$A$1:$O$116,15,0))</f>
        <v>0</v>
      </c>
      <c r="X65" s="6">
        <f>IF(ISERROR(VLOOKUP($U$65,'TAR FIN'!$A$1:$O$116,15,0)),0,VLOOKUP($U$65,'TAR FIN'!$A$1:$O$116,15,0))</f>
        <v>0</v>
      </c>
      <c r="Y65" s="6">
        <f ca="1">('TUSD BE'!$AM$12+'TUSD BF'!$AM$12+'TUSD CVA'!$AM$12)*1</f>
        <v>5.6770468968387959</v>
      </c>
      <c r="Z65" s="6"/>
      <c r="AA65" s="6"/>
      <c r="AB65" s="6">
        <f>$K$65*$V$65</f>
        <v>0</v>
      </c>
      <c r="AC65" s="6">
        <f>$M$65*$W$65</f>
        <v>0</v>
      </c>
      <c r="AD65" s="6">
        <f>$O$65*$X$65</f>
        <v>0</v>
      </c>
      <c r="AE65" s="6">
        <f ca="1">$K$65*$Y$65</f>
        <v>0</v>
      </c>
      <c r="AF65" s="6">
        <f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59</v>
      </c>
      <c r="C66" s="4" t="s">
        <v>64</v>
      </c>
      <c r="D66" s="4" t="s">
        <v>25</v>
      </c>
      <c r="E66" s="4" t="s">
        <v>25</v>
      </c>
      <c r="F66" s="4" t="s">
        <v>25</v>
      </c>
      <c r="G66" s="4" t="s">
        <v>73</v>
      </c>
      <c r="H66" s="4" t="s">
        <v>25</v>
      </c>
      <c r="I66" s="5">
        <v>44348</v>
      </c>
      <c r="J66" s="6">
        <v>5320</v>
      </c>
      <c r="K66" s="6">
        <v>2660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66</v>
      </c>
      <c r="R66" s="4">
        <v>1078</v>
      </c>
      <c r="S66" s="6">
        <v>9</v>
      </c>
      <c r="T66" s="6">
        <v>0</v>
      </c>
      <c r="U66" s="6">
        <v>0</v>
      </c>
      <c r="V66" s="6">
        <f>IF(ISERROR(VLOOKUP($S$66,'TAR FIN'!$A$1:$O$116,15,0)),0,VLOOKUP($S$66,'TAR FIN'!$A$1:$O$116,15,0))</f>
        <v>5.0999999999999996</v>
      </c>
      <c r="W66" s="6">
        <f>IF(ISERROR(VLOOKUP($T$66,'TAR FIN'!$A$1:$O$116,15,0)),0,VLOOKUP($T$66,'TAR FIN'!$A$1:$O$116,15,0))</f>
        <v>0</v>
      </c>
      <c r="X66" s="6">
        <f>IF(ISERROR(VLOOKUP($U$66,'TAR FIN'!$A$1:$O$116,15,0)),0,VLOOKUP($U$66,'TAR FIN'!$A$1:$O$116,15,0))</f>
        <v>0</v>
      </c>
      <c r="Y66" s="6">
        <f ca="1">('TUSD BE'!$AM$13+'TUSD BF'!$AM$13+'TUSD CVA'!$AM$13)*1</f>
        <v>5.3518194805398505</v>
      </c>
      <c r="Z66" s="6"/>
      <c r="AA66" s="6"/>
      <c r="AB66" s="6">
        <f>$K$66*$V$66</f>
        <v>13565.999999999998</v>
      </c>
      <c r="AC66" s="6">
        <f>$M$66*$W$66</f>
        <v>0</v>
      </c>
      <c r="AD66" s="6">
        <f>$O$66*$X$66</f>
        <v>0</v>
      </c>
      <c r="AE66" s="6">
        <f ca="1">$K$66*$Y$66</f>
        <v>14235.839818236002</v>
      </c>
      <c r="AF66" s="6">
        <f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59</v>
      </c>
      <c r="C67" s="4" t="s">
        <v>64</v>
      </c>
      <c r="D67" s="4" t="s">
        <v>25</v>
      </c>
      <c r="E67" s="4" t="s">
        <v>25</v>
      </c>
      <c r="F67" s="4" t="s">
        <v>25</v>
      </c>
      <c r="G67" s="4" t="s">
        <v>75</v>
      </c>
      <c r="H67" s="4" t="s">
        <v>25</v>
      </c>
      <c r="I67" s="5">
        <v>44348</v>
      </c>
      <c r="J67" s="6">
        <v>42635</v>
      </c>
      <c r="K67" s="6">
        <v>42635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66</v>
      </c>
      <c r="R67" s="4">
        <v>1276</v>
      </c>
      <c r="S67" s="6">
        <v>10</v>
      </c>
      <c r="T67" s="6">
        <v>0</v>
      </c>
      <c r="U67" s="6">
        <v>0</v>
      </c>
      <c r="V67" s="6">
        <f>IF(ISERROR(VLOOKUP($S$67,'TAR FIN'!$A$1:$O$116,15,0)),0,VLOOKUP($S$67,'TAR FIN'!$A$1:$O$116,15,0))</f>
        <v>5.0999999999999996</v>
      </c>
      <c r="W67" s="6">
        <f>IF(ISERROR(VLOOKUP($T$67,'TAR FIN'!$A$1:$O$116,15,0)),0,VLOOKUP($T$67,'TAR FIN'!$A$1:$O$116,15,0))</f>
        <v>0</v>
      </c>
      <c r="X67" s="6">
        <f>IF(ISERROR(VLOOKUP($U$67,'TAR FIN'!$A$1:$O$116,15,0)),0,VLOOKUP($U$67,'TAR FIN'!$A$1:$O$116,15,0))</f>
        <v>0</v>
      </c>
      <c r="Y67" s="6">
        <f ca="1">('TUSD BE'!$AM$14+'TUSD BF'!$AM$14+'TUSD CVA'!$AM$14)*1</f>
        <v>5.3518194805398505</v>
      </c>
      <c r="Z67" s="6"/>
      <c r="AA67" s="6"/>
      <c r="AB67" s="6">
        <f>$K$67*$V$67</f>
        <v>217438.49999999997</v>
      </c>
      <c r="AC67" s="6">
        <f>$M$67*$W$67</f>
        <v>0</v>
      </c>
      <c r="AD67" s="6">
        <f>$O$67*$X$67</f>
        <v>0</v>
      </c>
      <c r="AE67" s="6">
        <f ca="1">$K$67*$Y$67</f>
        <v>228174.82355281652</v>
      </c>
      <c r="AF67" s="6">
        <f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59</v>
      </c>
      <c r="C68" s="4" t="s">
        <v>64</v>
      </c>
      <c r="D68" s="4" t="s">
        <v>25</v>
      </c>
      <c r="E68" s="4" t="s">
        <v>25</v>
      </c>
      <c r="F68" s="4" t="s">
        <v>25</v>
      </c>
      <c r="G68" s="4" t="s">
        <v>86</v>
      </c>
      <c r="H68" s="4" t="s">
        <v>25</v>
      </c>
      <c r="I68" s="5">
        <v>44348</v>
      </c>
      <c r="J68" s="6">
        <v>24400</v>
      </c>
      <c r="K68" s="6">
        <v>12200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66</v>
      </c>
      <c r="R68" s="4">
        <v>27532</v>
      </c>
      <c r="S68" s="6">
        <v>11</v>
      </c>
      <c r="T68" s="6">
        <v>0</v>
      </c>
      <c r="U68" s="6">
        <v>0</v>
      </c>
      <c r="V68" s="6">
        <f>IF(ISERROR(VLOOKUP($S$68,'TAR FIN'!$A$1:$O$116,15,0)),0,VLOOKUP($S$68,'TAR FIN'!$A$1:$O$116,15,0))</f>
        <v>4.63</v>
      </c>
      <c r="W68" s="6">
        <f>IF(ISERROR(VLOOKUP($T$68,'TAR FIN'!$A$1:$O$116,15,0)),0,VLOOKUP($T$68,'TAR FIN'!$A$1:$O$116,15,0))</f>
        <v>0</v>
      </c>
      <c r="X68" s="6">
        <f>IF(ISERROR(VLOOKUP($U$68,'TAR FIN'!$A$1:$O$116,15,0)),0,VLOOKUP($U$68,'TAR FIN'!$A$1:$O$116,15,0))</f>
        <v>0</v>
      </c>
      <c r="Y68" s="6">
        <f ca="1">('TUSD BE'!$AM$15+'TUSD BF'!$AM$15+'TUSD CVA'!$AM$15)*1</f>
        <v>4.8520321280503262</v>
      </c>
      <c r="Z68" s="6"/>
      <c r="AA68" s="6"/>
      <c r="AB68" s="6">
        <f>$K$68*$V$68</f>
        <v>56486</v>
      </c>
      <c r="AC68" s="6">
        <f>$M$68*$W$68</f>
        <v>0</v>
      </c>
      <c r="AD68" s="6">
        <f>$O$68*$X$68</f>
        <v>0</v>
      </c>
      <c r="AE68" s="6">
        <f ca="1">$K$68*$Y$68</f>
        <v>59194.791962213982</v>
      </c>
      <c r="AF68" s="6">
        <f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59</v>
      </c>
      <c r="C69" s="4" t="s">
        <v>64</v>
      </c>
      <c r="D69" s="4" t="s">
        <v>25</v>
      </c>
      <c r="E69" s="4" t="s">
        <v>25</v>
      </c>
      <c r="F69" s="4" t="s">
        <v>25</v>
      </c>
      <c r="G69" s="4" t="s">
        <v>87</v>
      </c>
      <c r="H69" s="4" t="s">
        <v>25</v>
      </c>
      <c r="I69" s="5">
        <v>44348</v>
      </c>
      <c r="J69" s="6">
        <v>25000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66</v>
      </c>
      <c r="R69" s="4">
        <v>27534</v>
      </c>
      <c r="S69" s="6">
        <v>12</v>
      </c>
      <c r="T69" s="6">
        <v>0</v>
      </c>
      <c r="U69" s="6">
        <v>0</v>
      </c>
      <c r="V69" s="6">
        <f>IF(ISERROR(VLOOKUP($S$69,'TAR FIN'!$A$1:$O$116,15,0)),0,VLOOKUP($S$69,'TAR FIN'!$A$1:$O$116,15,0))</f>
        <v>5.58</v>
      </c>
      <c r="W69" s="6">
        <f>IF(ISERROR(VLOOKUP($T$69,'TAR FIN'!$A$1:$O$116,15,0)),0,VLOOKUP($T$69,'TAR FIN'!$A$1:$O$116,15,0))</f>
        <v>0</v>
      </c>
      <c r="X69" s="6">
        <f>IF(ISERROR(VLOOKUP($U$69,'TAR FIN'!$A$1:$O$116,15,0)),0,VLOOKUP($U$69,'TAR FIN'!$A$1:$O$116,15,0))</f>
        <v>0</v>
      </c>
      <c r="Y69" s="6">
        <f ca="1">('TUSD BE'!$AM$16+'TUSD BF'!$AM$16+'TUSD CVA'!$AM$16)*1</f>
        <v>5.862991208798829</v>
      </c>
      <c r="Z69" s="6"/>
      <c r="AA69" s="6"/>
      <c r="AB69" s="6">
        <f>$K$69*$V$69</f>
        <v>0</v>
      </c>
      <c r="AC69" s="6">
        <f>$M$69*$W$69</f>
        <v>0</v>
      </c>
      <c r="AD69" s="6">
        <f>$O$69*$X$69</f>
        <v>0</v>
      </c>
      <c r="AE69" s="6">
        <f ca="1">$K$69*$Y$69</f>
        <v>0</v>
      </c>
      <c r="AF69" s="6">
        <f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59</v>
      </c>
      <c r="C70" s="4" t="s">
        <v>64</v>
      </c>
      <c r="D70" s="4" t="s">
        <v>25</v>
      </c>
      <c r="E70" s="4" t="s">
        <v>25</v>
      </c>
      <c r="F70" s="4" t="s">
        <v>25</v>
      </c>
      <c r="G70" s="4" t="s">
        <v>89</v>
      </c>
      <c r="H70" s="4" t="s">
        <v>25</v>
      </c>
      <c r="I70" s="5">
        <v>44348</v>
      </c>
      <c r="J70" s="6">
        <v>12600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66</v>
      </c>
      <c r="R70" s="4">
        <v>27727</v>
      </c>
      <c r="S70" s="6">
        <v>13</v>
      </c>
      <c r="T70" s="6">
        <v>0</v>
      </c>
      <c r="U70" s="6">
        <v>0</v>
      </c>
      <c r="V70" s="6">
        <f>IF(ISERROR(VLOOKUP($S$70,'TAR FIN'!$A$1:$O$116,15,0)),0,VLOOKUP($S$70,'TAR FIN'!$A$1:$O$116,15,0))</f>
        <v>5.37</v>
      </c>
      <c r="W70" s="6">
        <f>IF(ISERROR(VLOOKUP($T$70,'TAR FIN'!$A$1:$O$116,15,0)),0,VLOOKUP($T$70,'TAR FIN'!$A$1:$O$116,15,0))</f>
        <v>0</v>
      </c>
      <c r="X70" s="6">
        <f>IF(ISERROR(VLOOKUP($U$70,'TAR FIN'!$A$1:$O$116,15,0)),0,VLOOKUP($U$70,'TAR FIN'!$A$1:$O$116,15,0))</f>
        <v>0</v>
      </c>
      <c r="Y70" s="6">
        <f ca="1">('TUSD BE'!$AM$17+'TUSD BF'!$AM$17+'TUSD CVA'!$AM$17)*1</f>
        <v>5.6347568025342989</v>
      </c>
      <c r="Z70" s="6"/>
      <c r="AA70" s="6"/>
      <c r="AB70" s="6">
        <f>$K$70*$V$70</f>
        <v>0</v>
      </c>
      <c r="AC70" s="6">
        <f>$M$70*$W$70</f>
        <v>0</v>
      </c>
      <c r="AD70" s="6">
        <f>$O$70*$X$70</f>
        <v>0</v>
      </c>
      <c r="AE70" s="6">
        <f ca="1">$K$70*$Y$70</f>
        <v>0</v>
      </c>
      <c r="AF70" s="6">
        <f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59</v>
      </c>
      <c r="C71" s="4" t="s">
        <v>64</v>
      </c>
      <c r="D71" s="4" t="s">
        <v>25</v>
      </c>
      <c r="E71" s="4" t="s">
        <v>25</v>
      </c>
      <c r="F71" s="4" t="s">
        <v>25</v>
      </c>
      <c r="G71" s="4" t="s">
        <v>92</v>
      </c>
      <c r="H71" s="4" t="s">
        <v>25</v>
      </c>
      <c r="I71" s="5">
        <v>44348</v>
      </c>
      <c r="J71" s="6">
        <v>8100</v>
      </c>
      <c r="K71" s="6">
        <v>4050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66</v>
      </c>
      <c r="R71" s="4">
        <v>30597</v>
      </c>
      <c r="S71" s="6">
        <v>14</v>
      </c>
      <c r="T71" s="6">
        <v>0</v>
      </c>
      <c r="U71" s="6">
        <v>0</v>
      </c>
      <c r="V71" s="6">
        <f>IF(ISERROR(VLOOKUP($S$71,'TAR FIN'!$A$1:$O$116,15,0)),0,VLOOKUP($S$71,'TAR FIN'!$A$1:$O$116,15,0))</f>
        <v>5.04</v>
      </c>
      <c r="W71" s="6">
        <f>IF(ISERROR(VLOOKUP($T$71,'TAR FIN'!$A$1:$O$116,15,0)),0,VLOOKUP($T$71,'TAR FIN'!$A$1:$O$116,15,0))</f>
        <v>0</v>
      </c>
      <c r="X71" s="6">
        <f>IF(ISERROR(VLOOKUP($U$71,'TAR FIN'!$A$1:$O$116,15,0)),0,VLOOKUP($U$71,'TAR FIN'!$A$1:$O$116,15,0))</f>
        <v>0</v>
      </c>
      <c r="Y71" s="6">
        <f ca="1">('TUSD BE'!$AM$18+'TUSD BF'!$AM$18+'TUSD CVA'!$AM$18)*1</f>
        <v>5.2832968919533032</v>
      </c>
      <c r="Z71" s="6"/>
      <c r="AA71" s="6"/>
      <c r="AB71" s="6">
        <f>$K$71*$V$71</f>
        <v>20412</v>
      </c>
      <c r="AC71" s="6">
        <f>$M$71*$W$71</f>
        <v>0</v>
      </c>
      <c r="AD71" s="6">
        <f>$O$71*$X$71</f>
        <v>0</v>
      </c>
      <c r="AE71" s="6">
        <f ca="1">$K$71*$Y$71</f>
        <v>21397.352412410877</v>
      </c>
      <c r="AF71" s="6">
        <f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59</v>
      </c>
      <c r="C72" s="4" t="s">
        <v>64</v>
      </c>
      <c r="D72" s="4" t="s">
        <v>25</v>
      </c>
      <c r="E72" s="4" t="s">
        <v>25</v>
      </c>
      <c r="F72" s="4" t="s">
        <v>25</v>
      </c>
      <c r="G72" s="4" t="s">
        <v>65</v>
      </c>
      <c r="H72" s="4" t="s">
        <v>25</v>
      </c>
      <c r="I72" s="5">
        <v>44378</v>
      </c>
      <c r="J72" s="6">
        <v>1640</v>
      </c>
      <c r="K72" s="6">
        <v>820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66</v>
      </c>
      <c r="R72" s="4">
        <v>104</v>
      </c>
      <c r="S72" s="6">
        <v>5</v>
      </c>
      <c r="T72" s="6">
        <v>0</v>
      </c>
      <c r="U72" s="6">
        <v>0</v>
      </c>
      <c r="V72" s="6">
        <f>IF(ISERROR(VLOOKUP($S$72,'TAR FIN'!$A$1:$O$116,15,0)),0,VLOOKUP($S$72,'TAR FIN'!$A$1:$O$116,15,0))</f>
        <v>5.0999999999999996</v>
      </c>
      <c r="W72" s="6">
        <f>IF(ISERROR(VLOOKUP($T$72,'TAR FIN'!$A$1:$O$116,15,0)),0,VLOOKUP($T$72,'TAR FIN'!$A$1:$O$116,15,0))</f>
        <v>0</v>
      </c>
      <c r="X72" s="6">
        <f>IF(ISERROR(VLOOKUP($U$72,'TAR FIN'!$A$1:$O$116,15,0)),0,VLOOKUP($U$72,'TAR FIN'!$A$1:$O$116,15,0))</f>
        <v>0</v>
      </c>
      <c r="Y72" s="6">
        <f ca="1">('TUSD BE'!$AM$9+'TUSD BF'!$AM$9+'TUSD CVA'!$AM$9)*1</f>
        <v>5.3518194805398505</v>
      </c>
      <c r="Z72" s="6"/>
      <c r="AA72" s="6"/>
      <c r="AB72" s="6">
        <f>$K$72*$V$72</f>
        <v>4182</v>
      </c>
      <c r="AC72" s="6">
        <f>$M$72*$W$72</f>
        <v>0</v>
      </c>
      <c r="AD72" s="6">
        <f>$O$72*$X$72</f>
        <v>0</v>
      </c>
      <c r="AE72" s="6">
        <f ca="1">$K$72*$Y$72</f>
        <v>4388.4919740426776</v>
      </c>
      <c r="AF72" s="6">
        <f>$M$72*$Z$72</f>
        <v>0</v>
      </c>
      <c r="AG72" s="6">
        <f>$O$72*$AA$72</f>
        <v>0</v>
      </c>
    </row>
    <row r="73" spans="1:33" ht="11.25" customHeight="1" x14ac:dyDescent="0.25">
      <c r="A73" s="4" t="s">
        <v>21</v>
      </c>
      <c r="B73" s="4" t="s">
        <v>59</v>
      </c>
      <c r="C73" s="4" t="s">
        <v>64</v>
      </c>
      <c r="D73" s="4" t="s">
        <v>25</v>
      </c>
      <c r="E73" s="4" t="s">
        <v>25</v>
      </c>
      <c r="F73" s="4" t="s">
        <v>25</v>
      </c>
      <c r="G73" s="4" t="s">
        <v>67</v>
      </c>
      <c r="H73" s="4" t="s">
        <v>25</v>
      </c>
      <c r="I73" s="5">
        <v>44378</v>
      </c>
      <c r="J73" s="6">
        <v>39500</v>
      </c>
      <c r="K73" s="6">
        <v>24307.692490000001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66</v>
      </c>
      <c r="R73" s="4">
        <v>215</v>
      </c>
      <c r="S73" s="6">
        <v>6</v>
      </c>
      <c r="T73" s="6">
        <v>0</v>
      </c>
      <c r="U73" s="6">
        <v>0</v>
      </c>
      <c r="V73" s="6">
        <f>IF(ISERROR(VLOOKUP($S$73,'TAR FIN'!$A$1:$O$116,15,0)),0,VLOOKUP($S$73,'TAR FIN'!$A$1:$O$116,15,0))</f>
        <v>3.94</v>
      </c>
      <c r="W73" s="6">
        <f>IF(ISERROR(VLOOKUP($T$73,'TAR FIN'!$A$1:$O$116,15,0)),0,VLOOKUP($T$73,'TAR FIN'!$A$1:$O$116,15,0))</f>
        <v>0</v>
      </c>
      <c r="X73" s="6">
        <f>IF(ISERROR(VLOOKUP($U$73,'TAR FIN'!$A$1:$O$116,15,0)),0,VLOOKUP($U$73,'TAR FIN'!$A$1:$O$116,15,0))</f>
        <v>0</v>
      </c>
      <c r="Y73" s="6">
        <f ca="1">('TUSD BE'!$AM$10+'TUSD BF'!$AM$10+'TUSD CVA'!$AM$10)*1</f>
        <v>4.1263435553812471</v>
      </c>
      <c r="Z73" s="6"/>
      <c r="AA73" s="6"/>
      <c r="AB73" s="6">
        <f>$K$73*$V$73</f>
        <v>95772.308410600002</v>
      </c>
      <c r="AC73" s="6">
        <f>$M$73*$W$73</f>
        <v>0</v>
      </c>
      <c r="AD73" s="6">
        <f>$O$73*$X$73</f>
        <v>0</v>
      </c>
      <c r="AE73" s="6">
        <f ca="1">$K$73*$Y$73</f>
        <v>100301.89025230064</v>
      </c>
      <c r="AF73" s="6">
        <f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59</v>
      </c>
      <c r="C74" s="4" t="s">
        <v>64</v>
      </c>
      <c r="D74" s="4" t="s">
        <v>25</v>
      </c>
      <c r="E74" s="4" t="s">
        <v>25</v>
      </c>
      <c r="F74" s="4" t="s">
        <v>25</v>
      </c>
      <c r="G74" s="4" t="s">
        <v>69</v>
      </c>
      <c r="H74" s="4" t="s">
        <v>25</v>
      </c>
      <c r="I74" s="5">
        <v>44378</v>
      </c>
      <c r="J74" s="6">
        <v>22000</v>
      </c>
      <c r="K74" s="6">
        <v>22000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66</v>
      </c>
      <c r="R74" s="4">
        <v>473</v>
      </c>
      <c r="S74" s="6">
        <v>7</v>
      </c>
      <c r="T74" s="6">
        <v>0</v>
      </c>
      <c r="U74" s="6">
        <v>0</v>
      </c>
      <c r="V74" s="6">
        <f>IF(ISERROR(VLOOKUP($S$74,'TAR FIN'!$A$1:$O$116,15,0)),0,VLOOKUP($S$74,'TAR FIN'!$A$1:$O$116,15,0))</f>
        <v>5.69</v>
      </c>
      <c r="W74" s="6">
        <f>IF(ISERROR(VLOOKUP($T$74,'TAR FIN'!$A$1:$O$116,15,0)),0,VLOOKUP($T$74,'TAR FIN'!$A$1:$O$116,15,0))</f>
        <v>0</v>
      </c>
      <c r="X74" s="6">
        <f>IF(ISERROR(VLOOKUP($U$74,'TAR FIN'!$A$1:$O$116,15,0)),0,VLOOKUP($U$74,'TAR FIN'!$A$1:$O$116,15,0))</f>
        <v>0</v>
      </c>
      <c r="Y74" s="6">
        <f ca="1">('TUSD BE'!$AM$11+'TUSD BF'!$AM$11+'TUSD CVA'!$AM$11)*1</f>
        <v>5.9725875581129042</v>
      </c>
      <c r="Z74" s="6"/>
      <c r="AA74" s="6"/>
      <c r="AB74" s="6">
        <f>$K$74*$V$74</f>
        <v>125180.00000000001</v>
      </c>
      <c r="AC74" s="6">
        <f>$M$74*$W$74</f>
        <v>0</v>
      </c>
      <c r="AD74" s="6">
        <f>$O$74*$X$74</f>
        <v>0</v>
      </c>
      <c r="AE74" s="6">
        <f ca="1">$K$74*$Y$74</f>
        <v>131396.92627848388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59</v>
      </c>
      <c r="C75" s="4" t="s">
        <v>64</v>
      </c>
      <c r="D75" s="4" t="s">
        <v>25</v>
      </c>
      <c r="E75" s="4" t="s">
        <v>25</v>
      </c>
      <c r="F75" s="4" t="s">
        <v>25</v>
      </c>
      <c r="G75" s="4" t="s">
        <v>72</v>
      </c>
      <c r="H75" s="4" t="s">
        <v>25</v>
      </c>
      <c r="I75" s="5">
        <v>44378</v>
      </c>
      <c r="J75" s="6">
        <v>16500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66</v>
      </c>
      <c r="R75" s="4">
        <v>1047</v>
      </c>
      <c r="S75" s="6">
        <v>8</v>
      </c>
      <c r="T75" s="6">
        <v>0</v>
      </c>
      <c r="U75" s="6">
        <v>0</v>
      </c>
      <c r="V75" s="6">
        <f>IF(ISERROR(VLOOKUP($S$75,'TAR FIN'!$A$1:$O$116,15,0)),0,VLOOKUP($S$75,'TAR FIN'!$A$1:$O$116,15,0))</f>
        <v>5.41</v>
      </c>
      <c r="W75" s="6">
        <f>IF(ISERROR(VLOOKUP($T$75,'TAR FIN'!$A$1:$O$116,15,0)),0,VLOOKUP($T$75,'TAR FIN'!$A$1:$O$116,15,0))</f>
        <v>0</v>
      </c>
      <c r="X75" s="6">
        <f>IF(ISERROR(VLOOKUP($U$75,'TAR FIN'!$A$1:$O$116,15,0)),0,VLOOKUP($U$75,'TAR FIN'!$A$1:$O$116,15,0))</f>
        <v>0</v>
      </c>
      <c r="Y75" s="6">
        <f ca="1">('TUSD BE'!$AM$12+'TUSD BF'!$AM$12+'TUSD CVA'!$AM$12)*1</f>
        <v>5.6770468968387959</v>
      </c>
      <c r="Z75" s="6"/>
      <c r="AA75" s="6"/>
      <c r="AB75" s="6">
        <f>$K$75*$V$75</f>
        <v>0</v>
      </c>
      <c r="AC75" s="6">
        <f>$M$75*$W$75</f>
        <v>0</v>
      </c>
      <c r="AD75" s="6">
        <f>$O$75*$X$75</f>
        <v>0</v>
      </c>
      <c r="AE75" s="6">
        <f ca="1">$K$75*$Y$75</f>
        <v>0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59</v>
      </c>
      <c r="C76" s="4" t="s">
        <v>64</v>
      </c>
      <c r="D76" s="4" t="s">
        <v>25</v>
      </c>
      <c r="E76" s="4" t="s">
        <v>25</v>
      </c>
      <c r="F76" s="4" t="s">
        <v>25</v>
      </c>
      <c r="G76" s="4" t="s">
        <v>73</v>
      </c>
      <c r="H76" s="4" t="s">
        <v>25</v>
      </c>
      <c r="I76" s="5">
        <v>44378</v>
      </c>
      <c r="J76" s="6">
        <v>5320</v>
      </c>
      <c r="K76" s="6">
        <v>2660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66</v>
      </c>
      <c r="R76" s="4">
        <v>1078</v>
      </c>
      <c r="S76" s="6">
        <v>9</v>
      </c>
      <c r="T76" s="6">
        <v>0</v>
      </c>
      <c r="U76" s="6">
        <v>0</v>
      </c>
      <c r="V76" s="6">
        <f>IF(ISERROR(VLOOKUP($S$76,'TAR FIN'!$A$1:$O$116,15,0)),0,VLOOKUP($S$76,'TAR FIN'!$A$1:$O$116,15,0))</f>
        <v>5.0999999999999996</v>
      </c>
      <c r="W76" s="6">
        <f>IF(ISERROR(VLOOKUP($T$76,'TAR FIN'!$A$1:$O$116,15,0)),0,VLOOKUP($T$76,'TAR FIN'!$A$1:$O$116,15,0))</f>
        <v>0</v>
      </c>
      <c r="X76" s="6">
        <f>IF(ISERROR(VLOOKUP($U$76,'TAR FIN'!$A$1:$O$116,15,0)),0,VLOOKUP($U$76,'TAR FIN'!$A$1:$O$116,15,0))</f>
        <v>0</v>
      </c>
      <c r="Y76" s="6">
        <f ca="1">('TUSD BE'!$AM$13+'TUSD BF'!$AM$13+'TUSD CVA'!$AM$13)*1</f>
        <v>5.3518194805398505</v>
      </c>
      <c r="Z76" s="6"/>
      <c r="AA76" s="6"/>
      <c r="AB76" s="6">
        <f>$K$76*$V$76</f>
        <v>13565.999999999998</v>
      </c>
      <c r="AC76" s="6">
        <f>$M$76*$W$76</f>
        <v>0</v>
      </c>
      <c r="AD76" s="6">
        <f>$O$76*$X$76</f>
        <v>0</v>
      </c>
      <c r="AE76" s="6">
        <f ca="1">$K$76*$Y$76</f>
        <v>14235.839818236002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59</v>
      </c>
      <c r="C77" s="4" t="s">
        <v>64</v>
      </c>
      <c r="D77" s="4" t="s">
        <v>25</v>
      </c>
      <c r="E77" s="4" t="s">
        <v>25</v>
      </c>
      <c r="F77" s="4" t="s">
        <v>25</v>
      </c>
      <c r="G77" s="4" t="s">
        <v>75</v>
      </c>
      <c r="H77" s="4" t="s">
        <v>25</v>
      </c>
      <c r="I77" s="5">
        <v>44378</v>
      </c>
      <c r="J77" s="6">
        <v>43360</v>
      </c>
      <c r="K77" s="6">
        <v>43360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66</v>
      </c>
      <c r="R77" s="4">
        <v>1276</v>
      </c>
      <c r="S77" s="6">
        <v>10</v>
      </c>
      <c r="T77" s="6">
        <v>0</v>
      </c>
      <c r="U77" s="6">
        <v>0</v>
      </c>
      <c r="V77" s="6">
        <f>IF(ISERROR(VLOOKUP($S$77,'TAR FIN'!$A$1:$O$116,15,0)),0,VLOOKUP($S$77,'TAR FIN'!$A$1:$O$116,15,0))</f>
        <v>5.0999999999999996</v>
      </c>
      <c r="W77" s="6">
        <f>IF(ISERROR(VLOOKUP($T$77,'TAR FIN'!$A$1:$O$116,15,0)),0,VLOOKUP($T$77,'TAR FIN'!$A$1:$O$116,15,0))</f>
        <v>0</v>
      </c>
      <c r="X77" s="6">
        <f>IF(ISERROR(VLOOKUP($U$77,'TAR FIN'!$A$1:$O$116,15,0)),0,VLOOKUP($U$77,'TAR FIN'!$A$1:$O$116,15,0))</f>
        <v>0</v>
      </c>
      <c r="Y77" s="6">
        <f ca="1">('TUSD BE'!$AM$14+'TUSD BF'!$AM$14+'TUSD CVA'!$AM$14)*1</f>
        <v>5.3518194805398505</v>
      </c>
      <c r="Z77" s="6"/>
      <c r="AA77" s="6"/>
      <c r="AB77" s="6">
        <f>$K$77*$V$77</f>
        <v>221135.99999999997</v>
      </c>
      <c r="AC77" s="6">
        <f>$M$77*$W$77</f>
        <v>0</v>
      </c>
      <c r="AD77" s="6">
        <f>$O$77*$X$77</f>
        <v>0</v>
      </c>
      <c r="AE77" s="6">
        <f ca="1">$K$77*$Y$77</f>
        <v>232054.89267620791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59</v>
      </c>
      <c r="C78" s="4" t="s">
        <v>64</v>
      </c>
      <c r="D78" s="4" t="s">
        <v>25</v>
      </c>
      <c r="E78" s="4" t="s">
        <v>25</v>
      </c>
      <c r="F78" s="4" t="s">
        <v>25</v>
      </c>
      <c r="G78" s="4" t="s">
        <v>86</v>
      </c>
      <c r="H78" s="4" t="s">
        <v>25</v>
      </c>
      <c r="I78" s="5">
        <v>44378</v>
      </c>
      <c r="J78" s="6">
        <v>24400</v>
      </c>
      <c r="K78" s="6">
        <v>12200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66</v>
      </c>
      <c r="R78" s="4">
        <v>27532</v>
      </c>
      <c r="S78" s="6">
        <v>11</v>
      </c>
      <c r="T78" s="6">
        <v>0</v>
      </c>
      <c r="U78" s="6">
        <v>0</v>
      </c>
      <c r="V78" s="6">
        <f>IF(ISERROR(VLOOKUP($S$78,'TAR FIN'!$A$1:$O$116,15,0)),0,VLOOKUP($S$78,'TAR FIN'!$A$1:$O$116,15,0))</f>
        <v>4.63</v>
      </c>
      <c r="W78" s="6">
        <f>IF(ISERROR(VLOOKUP($T$78,'TAR FIN'!$A$1:$O$116,15,0)),0,VLOOKUP($T$78,'TAR FIN'!$A$1:$O$116,15,0))</f>
        <v>0</v>
      </c>
      <c r="X78" s="6">
        <f>IF(ISERROR(VLOOKUP($U$78,'TAR FIN'!$A$1:$O$116,15,0)),0,VLOOKUP($U$78,'TAR FIN'!$A$1:$O$116,15,0))</f>
        <v>0</v>
      </c>
      <c r="Y78" s="6">
        <f ca="1">('TUSD BE'!$AM$15+'TUSD BF'!$AM$15+'TUSD CVA'!$AM$15)*1</f>
        <v>4.8520321280503262</v>
      </c>
      <c r="Z78" s="6"/>
      <c r="AA78" s="6"/>
      <c r="AB78" s="6">
        <f>$K$78*$V$78</f>
        <v>56486</v>
      </c>
      <c r="AC78" s="6">
        <f>$M$78*$W$78</f>
        <v>0</v>
      </c>
      <c r="AD78" s="6">
        <f>$O$78*$X$78</f>
        <v>0</v>
      </c>
      <c r="AE78" s="6">
        <f ca="1">$K$78*$Y$78</f>
        <v>59194.791962213982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59</v>
      </c>
      <c r="C79" s="4" t="s">
        <v>64</v>
      </c>
      <c r="D79" s="4" t="s">
        <v>25</v>
      </c>
      <c r="E79" s="4" t="s">
        <v>25</v>
      </c>
      <c r="F79" s="4" t="s">
        <v>25</v>
      </c>
      <c r="G79" s="4" t="s">
        <v>87</v>
      </c>
      <c r="H79" s="4" t="s">
        <v>25</v>
      </c>
      <c r="I79" s="5">
        <v>44378</v>
      </c>
      <c r="J79" s="6">
        <v>25000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66</v>
      </c>
      <c r="R79" s="4">
        <v>27534</v>
      </c>
      <c r="S79" s="6">
        <v>12</v>
      </c>
      <c r="T79" s="6">
        <v>0</v>
      </c>
      <c r="U79" s="6">
        <v>0</v>
      </c>
      <c r="V79" s="6">
        <f>IF(ISERROR(VLOOKUP($S$79,'TAR FIN'!$A$1:$O$116,15,0)),0,VLOOKUP($S$79,'TAR FIN'!$A$1:$O$116,15,0))</f>
        <v>5.58</v>
      </c>
      <c r="W79" s="6">
        <f>IF(ISERROR(VLOOKUP($T$79,'TAR FIN'!$A$1:$O$116,15,0)),0,VLOOKUP($T$79,'TAR FIN'!$A$1:$O$116,15,0))</f>
        <v>0</v>
      </c>
      <c r="X79" s="6">
        <f>IF(ISERROR(VLOOKUP($U$79,'TAR FIN'!$A$1:$O$116,15,0)),0,VLOOKUP($U$79,'TAR FIN'!$A$1:$O$116,15,0))</f>
        <v>0</v>
      </c>
      <c r="Y79" s="6">
        <f ca="1">('TUSD BE'!$AM$16+'TUSD BF'!$AM$16+'TUSD CVA'!$AM$16)*1</f>
        <v>5.862991208798829</v>
      </c>
      <c r="Z79" s="6"/>
      <c r="AA79" s="6"/>
      <c r="AB79" s="6">
        <f>$K$79*$V$79</f>
        <v>0</v>
      </c>
      <c r="AC79" s="6">
        <f>$M$79*$W$79</f>
        <v>0</v>
      </c>
      <c r="AD79" s="6">
        <f>$O$79*$X$79</f>
        <v>0</v>
      </c>
      <c r="AE79" s="6">
        <f ca="1">$K$79*$Y$79</f>
        <v>0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59</v>
      </c>
      <c r="C80" s="4" t="s">
        <v>64</v>
      </c>
      <c r="D80" s="4" t="s">
        <v>25</v>
      </c>
      <c r="E80" s="4" t="s">
        <v>25</v>
      </c>
      <c r="F80" s="4" t="s">
        <v>25</v>
      </c>
      <c r="G80" s="4" t="s">
        <v>89</v>
      </c>
      <c r="H80" s="4" t="s">
        <v>25</v>
      </c>
      <c r="I80" s="5">
        <v>44378</v>
      </c>
      <c r="J80" s="6">
        <v>12600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66</v>
      </c>
      <c r="R80" s="4">
        <v>27727</v>
      </c>
      <c r="S80" s="6">
        <v>13</v>
      </c>
      <c r="T80" s="6">
        <v>0</v>
      </c>
      <c r="U80" s="6">
        <v>0</v>
      </c>
      <c r="V80" s="6">
        <f>IF(ISERROR(VLOOKUP($S$80,'TAR FIN'!$A$1:$O$116,15,0)),0,VLOOKUP($S$80,'TAR FIN'!$A$1:$O$116,15,0))</f>
        <v>5.37</v>
      </c>
      <c r="W80" s="6">
        <f>IF(ISERROR(VLOOKUP($T$80,'TAR FIN'!$A$1:$O$116,15,0)),0,VLOOKUP($T$80,'TAR FIN'!$A$1:$O$116,15,0))</f>
        <v>0</v>
      </c>
      <c r="X80" s="6">
        <f>IF(ISERROR(VLOOKUP($U$80,'TAR FIN'!$A$1:$O$116,15,0)),0,VLOOKUP($U$80,'TAR FIN'!$A$1:$O$116,15,0))</f>
        <v>0</v>
      </c>
      <c r="Y80" s="6">
        <f ca="1">('TUSD BE'!$AM$17+'TUSD BF'!$AM$17+'TUSD CVA'!$AM$17)*1</f>
        <v>5.6347568025342989</v>
      </c>
      <c r="Z80" s="6"/>
      <c r="AA80" s="6"/>
      <c r="AB80" s="6">
        <f>$K$80*$V$80</f>
        <v>0</v>
      </c>
      <c r="AC80" s="6">
        <f>$M$80*$W$80</f>
        <v>0</v>
      </c>
      <c r="AD80" s="6">
        <f>$O$80*$X$80</f>
        <v>0</v>
      </c>
      <c r="AE80" s="6">
        <f ca="1">$K$80*$Y$80</f>
        <v>0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59</v>
      </c>
      <c r="C81" s="4" t="s">
        <v>64</v>
      </c>
      <c r="D81" s="4" t="s">
        <v>25</v>
      </c>
      <c r="E81" s="4" t="s">
        <v>25</v>
      </c>
      <c r="F81" s="4" t="s">
        <v>25</v>
      </c>
      <c r="G81" s="4" t="s">
        <v>92</v>
      </c>
      <c r="H81" s="4" t="s">
        <v>25</v>
      </c>
      <c r="I81" s="5">
        <v>44378</v>
      </c>
      <c r="J81" s="6">
        <v>8100</v>
      </c>
      <c r="K81" s="6">
        <v>4050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66</v>
      </c>
      <c r="R81" s="4">
        <v>30597</v>
      </c>
      <c r="S81" s="6">
        <v>14</v>
      </c>
      <c r="T81" s="6">
        <v>0</v>
      </c>
      <c r="U81" s="6">
        <v>0</v>
      </c>
      <c r="V81" s="6">
        <f>IF(ISERROR(VLOOKUP($S$81,'TAR FIN'!$A$1:$O$116,15,0)),0,VLOOKUP($S$81,'TAR FIN'!$A$1:$O$116,15,0))</f>
        <v>5.04</v>
      </c>
      <c r="W81" s="6">
        <f>IF(ISERROR(VLOOKUP($T$81,'TAR FIN'!$A$1:$O$116,15,0)),0,VLOOKUP($T$81,'TAR FIN'!$A$1:$O$116,15,0))</f>
        <v>0</v>
      </c>
      <c r="X81" s="6">
        <f>IF(ISERROR(VLOOKUP($U$81,'TAR FIN'!$A$1:$O$116,15,0)),0,VLOOKUP($U$81,'TAR FIN'!$A$1:$O$116,15,0))</f>
        <v>0</v>
      </c>
      <c r="Y81" s="6">
        <f ca="1">('TUSD BE'!$AM$18+'TUSD BF'!$AM$18+'TUSD CVA'!$AM$18)*1</f>
        <v>5.2832968919533032</v>
      </c>
      <c r="Z81" s="6"/>
      <c r="AA81" s="6"/>
      <c r="AB81" s="6">
        <f>$K$81*$V$81</f>
        <v>20412</v>
      </c>
      <c r="AC81" s="6">
        <f>$M$81*$W$81</f>
        <v>0</v>
      </c>
      <c r="AD81" s="6">
        <f>$O$81*$X$81</f>
        <v>0</v>
      </c>
      <c r="AE81" s="6">
        <f ca="1">$K$81*$Y$81</f>
        <v>21397.352412410877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59</v>
      </c>
      <c r="C82" s="4" t="s">
        <v>64</v>
      </c>
      <c r="D82" s="4" t="s">
        <v>25</v>
      </c>
      <c r="E82" s="4" t="s">
        <v>25</v>
      </c>
      <c r="F82" s="4" t="s">
        <v>25</v>
      </c>
      <c r="G82" s="4" t="s">
        <v>65</v>
      </c>
      <c r="H82" s="4" t="s">
        <v>25</v>
      </c>
      <c r="I82" s="5">
        <v>44409</v>
      </c>
      <c r="J82" s="6">
        <v>1640</v>
      </c>
      <c r="K82" s="6">
        <v>820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66</v>
      </c>
      <c r="R82" s="4">
        <v>104</v>
      </c>
      <c r="S82" s="6">
        <v>5</v>
      </c>
      <c r="T82" s="6">
        <v>0</v>
      </c>
      <c r="U82" s="6">
        <v>0</v>
      </c>
      <c r="V82" s="6">
        <f>IF(ISERROR(VLOOKUP($S$82,'TAR FIN'!$A$1:$O$116,15,0)),0,VLOOKUP($S$82,'TAR FIN'!$A$1:$O$116,15,0))</f>
        <v>5.0999999999999996</v>
      </c>
      <c r="W82" s="6">
        <f>IF(ISERROR(VLOOKUP($T$82,'TAR FIN'!$A$1:$O$116,15,0)),0,VLOOKUP($T$82,'TAR FIN'!$A$1:$O$116,15,0))</f>
        <v>0</v>
      </c>
      <c r="X82" s="6">
        <f>IF(ISERROR(VLOOKUP($U$82,'TAR FIN'!$A$1:$O$116,15,0)),0,VLOOKUP($U$82,'TAR FIN'!$A$1:$O$116,15,0))</f>
        <v>0</v>
      </c>
      <c r="Y82" s="6">
        <f ca="1">('TUSD BE'!$AM$9+'TUSD BF'!$AM$9+'TUSD CVA'!$AM$9)*1</f>
        <v>5.3518194805398505</v>
      </c>
      <c r="Z82" s="6"/>
      <c r="AA82" s="6"/>
      <c r="AB82" s="6">
        <f>$K$82*$V$82</f>
        <v>4182</v>
      </c>
      <c r="AC82" s="6">
        <f>$M$82*$W$82</f>
        <v>0</v>
      </c>
      <c r="AD82" s="6">
        <f>$O$82*$X$82</f>
        <v>0</v>
      </c>
      <c r="AE82" s="6">
        <f ca="1">$K$82*$Y$82</f>
        <v>4388.4919740426776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59</v>
      </c>
      <c r="C83" s="4" t="s">
        <v>64</v>
      </c>
      <c r="D83" s="4" t="s">
        <v>25</v>
      </c>
      <c r="E83" s="4" t="s">
        <v>25</v>
      </c>
      <c r="F83" s="4" t="s">
        <v>25</v>
      </c>
      <c r="G83" s="4" t="s">
        <v>67</v>
      </c>
      <c r="H83" s="4" t="s">
        <v>25</v>
      </c>
      <c r="I83" s="5">
        <v>44409</v>
      </c>
      <c r="J83" s="6">
        <v>39500</v>
      </c>
      <c r="K83" s="6">
        <v>24307.692490000001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66</v>
      </c>
      <c r="R83" s="4">
        <v>215</v>
      </c>
      <c r="S83" s="6">
        <v>6</v>
      </c>
      <c r="T83" s="6">
        <v>0</v>
      </c>
      <c r="U83" s="6">
        <v>0</v>
      </c>
      <c r="V83" s="6">
        <f>IF(ISERROR(VLOOKUP($S$83,'TAR FIN'!$A$1:$O$116,15,0)),0,VLOOKUP($S$83,'TAR FIN'!$A$1:$O$116,15,0))</f>
        <v>3.94</v>
      </c>
      <c r="W83" s="6">
        <f>IF(ISERROR(VLOOKUP($T$83,'TAR FIN'!$A$1:$O$116,15,0)),0,VLOOKUP($T$83,'TAR FIN'!$A$1:$O$116,15,0))</f>
        <v>0</v>
      </c>
      <c r="X83" s="6">
        <f>IF(ISERROR(VLOOKUP($U$83,'TAR FIN'!$A$1:$O$116,15,0)),0,VLOOKUP($U$83,'TAR FIN'!$A$1:$O$116,15,0))</f>
        <v>0</v>
      </c>
      <c r="Y83" s="6">
        <f ca="1">('TUSD BE'!$AM$10+'TUSD BF'!$AM$10+'TUSD CVA'!$AM$10)*1</f>
        <v>4.1263435553812471</v>
      </c>
      <c r="Z83" s="6"/>
      <c r="AA83" s="6"/>
      <c r="AB83" s="6">
        <f>$K$83*$V$83</f>
        <v>95772.308410600002</v>
      </c>
      <c r="AC83" s="6">
        <f>$M$83*$W$83</f>
        <v>0</v>
      </c>
      <c r="AD83" s="6">
        <f>$O$83*$X$83</f>
        <v>0</v>
      </c>
      <c r="AE83" s="6">
        <f ca="1">$K$83*$Y$83</f>
        <v>100301.89025230064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59</v>
      </c>
      <c r="C84" s="4" t="s">
        <v>64</v>
      </c>
      <c r="D84" s="4" t="s">
        <v>25</v>
      </c>
      <c r="E84" s="4" t="s">
        <v>25</v>
      </c>
      <c r="F84" s="4" t="s">
        <v>25</v>
      </c>
      <c r="G84" s="4" t="s">
        <v>69</v>
      </c>
      <c r="H84" s="4" t="s">
        <v>25</v>
      </c>
      <c r="I84" s="5">
        <v>44409</v>
      </c>
      <c r="J84" s="6">
        <v>22000</v>
      </c>
      <c r="K84" s="6">
        <v>22000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66</v>
      </c>
      <c r="R84" s="4">
        <v>473</v>
      </c>
      <c r="S84" s="6">
        <v>7</v>
      </c>
      <c r="T84" s="6">
        <v>0</v>
      </c>
      <c r="U84" s="6">
        <v>0</v>
      </c>
      <c r="V84" s="6">
        <f>IF(ISERROR(VLOOKUP($S$84,'TAR FIN'!$A$1:$O$116,15,0)),0,VLOOKUP($S$84,'TAR FIN'!$A$1:$O$116,15,0))</f>
        <v>5.69</v>
      </c>
      <c r="W84" s="6">
        <f>IF(ISERROR(VLOOKUP($T$84,'TAR FIN'!$A$1:$O$116,15,0)),0,VLOOKUP($T$84,'TAR FIN'!$A$1:$O$116,15,0))</f>
        <v>0</v>
      </c>
      <c r="X84" s="6">
        <f>IF(ISERROR(VLOOKUP($U$84,'TAR FIN'!$A$1:$O$116,15,0)),0,VLOOKUP($U$84,'TAR FIN'!$A$1:$O$116,15,0))</f>
        <v>0</v>
      </c>
      <c r="Y84" s="6">
        <f ca="1">('TUSD BE'!$AM$11+'TUSD BF'!$AM$11+'TUSD CVA'!$AM$11)*1</f>
        <v>5.9725875581129042</v>
      </c>
      <c r="Z84" s="6"/>
      <c r="AA84" s="6"/>
      <c r="AB84" s="6">
        <f>$K$84*$V$84</f>
        <v>125180.00000000001</v>
      </c>
      <c r="AC84" s="6">
        <f>$M$84*$W$84</f>
        <v>0</v>
      </c>
      <c r="AD84" s="6">
        <f>$O$84*$X$84</f>
        <v>0</v>
      </c>
      <c r="AE84" s="6">
        <f ca="1">$K$84*$Y$84</f>
        <v>131396.92627848388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21</v>
      </c>
      <c r="B85" s="4" t="s">
        <v>59</v>
      </c>
      <c r="C85" s="4" t="s">
        <v>64</v>
      </c>
      <c r="D85" s="4" t="s">
        <v>25</v>
      </c>
      <c r="E85" s="4" t="s">
        <v>25</v>
      </c>
      <c r="F85" s="4" t="s">
        <v>25</v>
      </c>
      <c r="G85" s="4" t="s">
        <v>72</v>
      </c>
      <c r="H85" s="4" t="s">
        <v>25</v>
      </c>
      <c r="I85" s="5">
        <v>44409</v>
      </c>
      <c r="J85" s="6">
        <v>16500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66</v>
      </c>
      <c r="R85" s="4">
        <v>1047</v>
      </c>
      <c r="S85" s="6">
        <v>8</v>
      </c>
      <c r="T85" s="6">
        <v>0</v>
      </c>
      <c r="U85" s="6">
        <v>0</v>
      </c>
      <c r="V85" s="6">
        <f>IF(ISERROR(VLOOKUP($S$85,'TAR FIN'!$A$1:$O$116,15,0)),0,VLOOKUP($S$85,'TAR FIN'!$A$1:$O$116,15,0))</f>
        <v>5.41</v>
      </c>
      <c r="W85" s="6">
        <f>IF(ISERROR(VLOOKUP($T$85,'TAR FIN'!$A$1:$O$116,15,0)),0,VLOOKUP($T$85,'TAR FIN'!$A$1:$O$116,15,0))</f>
        <v>0</v>
      </c>
      <c r="X85" s="6">
        <f>IF(ISERROR(VLOOKUP($U$85,'TAR FIN'!$A$1:$O$116,15,0)),0,VLOOKUP($U$85,'TAR FIN'!$A$1:$O$116,15,0))</f>
        <v>0</v>
      </c>
      <c r="Y85" s="6">
        <f ca="1">('TUSD BE'!$AM$12+'TUSD BF'!$AM$12+'TUSD CVA'!$AM$12)*1</f>
        <v>5.6770468968387959</v>
      </c>
      <c r="Z85" s="6"/>
      <c r="AA85" s="6"/>
      <c r="AB85" s="6">
        <f>$K$85*$V$85</f>
        <v>0</v>
      </c>
      <c r="AC85" s="6">
        <f>$M$85*$W$85</f>
        <v>0</v>
      </c>
      <c r="AD85" s="6">
        <f>$O$85*$X$85</f>
        <v>0</v>
      </c>
      <c r="AE85" s="6">
        <f ca="1">$K$85*$Y$85</f>
        <v>0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59</v>
      </c>
      <c r="C86" s="4" t="s">
        <v>64</v>
      </c>
      <c r="D86" s="4" t="s">
        <v>25</v>
      </c>
      <c r="E86" s="4" t="s">
        <v>25</v>
      </c>
      <c r="F86" s="4" t="s">
        <v>25</v>
      </c>
      <c r="G86" s="4" t="s">
        <v>73</v>
      </c>
      <c r="H86" s="4" t="s">
        <v>25</v>
      </c>
      <c r="I86" s="5">
        <v>44409</v>
      </c>
      <c r="J86" s="6">
        <v>5320</v>
      </c>
      <c r="K86" s="6">
        <v>2660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66</v>
      </c>
      <c r="R86" s="4">
        <v>1078</v>
      </c>
      <c r="S86" s="6">
        <v>9</v>
      </c>
      <c r="T86" s="6">
        <v>0</v>
      </c>
      <c r="U86" s="6">
        <v>0</v>
      </c>
      <c r="V86" s="6">
        <f>IF(ISERROR(VLOOKUP($S$86,'TAR FIN'!$A$1:$O$116,15,0)),0,VLOOKUP($S$86,'TAR FIN'!$A$1:$O$116,15,0))</f>
        <v>5.0999999999999996</v>
      </c>
      <c r="W86" s="6">
        <f>IF(ISERROR(VLOOKUP($T$86,'TAR FIN'!$A$1:$O$116,15,0)),0,VLOOKUP($T$86,'TAR FIN'!$A$1:$O$116,15,0))</f>
        <v>0</v>
      </c>
      <c r="X86" s="6">
        <f>IF(ISERROR(VLOOKUP($U$86,'TAR FIN'!$A$1:$O$116,15,0)),0,VLOOKUP($U$86,'TAR FIN'!$A$1:$O$116,15,0))</f>
        <v>0</v>
      </c>
      <c r="Y86" s="6">
        <f ca="1">('TUSD BE'!$AM$13+'TUSD BF'!$AM$13+'TUSD CVA'!$AM$13)*1</f>
        <v>5.3518194805398505</v>
      </c>
      <c r="Z86" s="6"/>
      <c r="AA86" s="6"/>
      <c r="AB86" s="6">
        <f>$K$86*$V$86</f>
        <v>13565.999999999998</v>
      </c>
      <c r="AC86" s="6">
        <f>$M$86*$W$86</f>
        <v>0</v>
      </c>
      <c r="AD86" s="6">
        <f>$O$86*$X$86</f>
        <v>0</v>
      </c>
      <c r="AE86" s="6">
        <f ca="1">$K$86*$Y$86</f>
        <v>14235.839818236002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59</v>
      </c>
      <c r="C87" s="4" t="s">
        <v>64</v>
      </c>
      <c r="D87" s="4" t="s">
        <v>25</v>
      </c>
      <c r="E87" s="4" t="s">
        <v>25</v>
      </c>
      <c r="F87" s="4" t="s">
        <v>25</v>
      </c>
      <c r="G87" s="4" t="s">
        <v>75</v>
      </c>
      <c r="H87" s="4" t="s">
        <v>25</v>
      </c>
      <c r="I87" s="5">
        <v>44409</v>
      </c>
      <c r="J87" s="6">
        <v>43721</v>
      </c>
      <c r="K87" s="6">
        <v>43721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66</v>
      </c>
      <c r="R87" s="4">
        <v>1276</v>
      </c>
      <c r="S87" s="6">
        <v>10</v>
      </c>
      <c r="T87" s="6">
        <v>0</v>
      </c>
      <c r="U87" s="6">
        <v>0</v>
      </c>
      <c r="V87" s="6">
        <f>IF(ISERROR(VLOOKUP($S$87,'TAR FIN'!$A$1:$O$116,15,0)),0,VLOOKUP($S$87,'TAR FIN'!$A$1:$O$116,15,0))</f>
        <v>5.0999999999999996</v>
      </c>
      <c r="W87" s="6">
        <f>IF(ISERROR(VLOOKUP($T$87,'TAR FIN'!$A$1:$O$116,15,0)),0,VLOOKUP($T$87,'TAR FIN'!$A$1:$O$116,15,0))</f>
        <v>0</v>
      </c>
      <c r="X87" s="6">
        <f>IF(ISERROR(VLOOKUP($U$87,'TAR FIN'!$A$1:$O$116,15,0)),0,VLOOKUP($U$87,'TAR FIN'!$A$1:$O$116,15,0))</f>
        <v>0</v>
      </c>
      <c r="Y87" s="6">
        <f ca="1">('TUSD BE'!$AM$14+'TUSD BF'!$AM$14+'TUSD CVA'!$AM$14)*1</f>
        <v>5.3518194805398505</v>
      </c>
      <c r="Z87" s="6"/>
      <c r="AA87" s="6"/>
      <c r="AB87" s="6">
        <f>$K$87*$V$87</f>
        <v>222977.09999999998</v>
      </c>
      <c r="AC87" s="6">
        <f>$M$87*$W$87</f>
        <v>0</v>
      </c>
      <c r="AD87" s="6">
        <f>$O$87*$X$87</f>
        <v>0</v>
      </c>
      <c r="AE87" s="6">
        <f ca="1">$K$87*$Y$87</f>
        <v>233986.89950868281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59</v>
      </c>
      <c r="C88" s="4" t="s">
        <v>64</v>
      </c>
      <c r="D88" s="4" t="s">
        <v>25</v>
      </c>
      <c r="E88" s="4" t="s">
        <v>25</v>
      </c>
      <c r="F88" s="4" t="s">
        <v>25</v>
      </c>
      <c r="G88" s="4" t="s">
        <v>86</v>
      </c>
      <c r="H88" s="4" t="s">
        <v>25</v>
      </c>
      <c r="I88" s="5">
        <v>44409</v>
      </c>
      <c r="J88" s="6">
        <v>24400</v>
      </c>
      <c r="K88" s="6">
        <v>12200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66</v>
      </c>
      <c r="R88" s="4">
        <v>27532</v>
      </c>
      <c r="S88" s="6">
        <v>11</v>
      </c>
      <c r="T88" s="6">
        <v>0</v>
      </c>
      <c r="U88" s="6">
        <v>0</v>
      </c>
      <c r="V88" s="6">
        <f>IF(ISERROR(VLOOKUP($S$88,'TAR FIN'!$A$1:$O$116,15,0)),0,VLOOKUP($S$88,'TAR FIN'!$A$1:$O$116,15,0))</f>
        <v>4.63</v>
      </c>
      <c r="W88" s="6">
        <f>IF(ISERROR(VLOOKUP($T$88,'TAR FIN'!$A$1:$O$116,15,0)),0,VLOOKUP($T$88,'TAR FIN'!$A$1:$O$116,15,0))</f>
        <v>0</v>
      </c>
      <c r="X88" s="6">
        <f>IF(ISERROR(VLOOKUP($U$88,'TAR FIN'!$A$1:$O$116,15,0)),0,VLOOKUP($U$88,'TAR FIN'!$A$1:$O$116,15,0))</f>
        <v>0</v>
      </c>
      <c r="Y88" s="6">
        <f ca="1">('TUSD BE'!$AM$15+'TUSD BF'!$AM$15+'TUSD CVA'!$AM$15)*1</f>
        <v>4.8520321280503262</v>
      </c>
      <c r="Z88" s="6"/>
      <c r="AA88" s="6"/>
      <c r="AB88" s="6">
        <f>$K$88*$V$88</f>
        <v>56486</v>
      </c>
      <c r="AC88" s="6">
        <f>$M$88*$W$88</f>
        <v>0</v>
      </c>
      <c r="AD88" s="6">
        <f>$O$88*$X$88</f>
        <v>0</v>
      </c>
      <c r="AE88" s="6">
        <f ca="1">$K$88*$Y$88</f>
        <v>59194.791962213982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59</v>
      </c>
      <c r="C89" s="4" t="s">
        <v>64</v>
      </c>
      <c r="D89" s="4" t="s">
        <v>25</v>
      </c>
      <c r="E89" s="4" t="s">
        <v>25</v>
      </c>
      <c r="F89" s="4" t="s">
        <v>25</v>
      </c>
      <c r="G89" s="4" t="s">
        <v>87</v>
      </c>
      <c r="H89" s="4" t="s">
        <v>25</v>
      </c>
      <c r="I89" s="5">
        <v>44409</v>
      </c>
      <c r="J89" s="6">
        <v>25000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66</v>
      </c>
      <c r="R89" s="4">
        <v>27534</v>
      </c>
      <c r="S89" s="6">
        <v>12</v>
      </c>
      <c r="T89" s="6">
        <v>0</v>
      </c>
      <c r="U89" s="6">
        <v>0</v>
      </c>
      <c r="V89" s="6">
        <f>IF(ISERROR(VLOOKUP($S$89,'TAR FIN'!$A$1:$O$116,15,0)),0,VLOOKUP($S$89,'TAR FIN'!$A$1:$O$116,15,0))</f>
        <v>5.58</v>
      </c>
      <c r="W89" s="6">
        <f>IF(ISERROR(VLOOKUP($T$89,'TAR FIN'!$A$1:$O$116,15,0)),0,VLOOKUP($T$89,'TAR FIN'!$A$1:$O$116,15,0))</f>
        <v>0</v>
      </c>
      <c r="X89" s="6">
        <f>IF(ISERROR(VLOOKUP($U$89,'TAR FIN'!$A$1:$O$116,15,0)),0,VLOOKUP($U$89,'TAR FIN'!$A$1:$O$116,15,0))</f>
        <v>0</v>
      </c>
      <c r="Y89" s="6">
        <f ca="1">('TUSD BE'!$AM$16+'TUSD BF'!$AM$16+'TUSD CVA'!$AM$16)*1</f>
        <v>5.862991208798829</v>
      </c>
      <c r="Z89" s="6"/>
      <c r="AA89" s="6"/>
      <c r="AB89" s="6">
        <f>$K$89*$V$89</f>
        <v>0</v>
      </c>
      <c r="AC89" s="6">
        <f>$M$89*$W$89</f>
        <v>0</v>
      </c>
      <c r="AD89" s="6">
        <f>$O$89*$X$89</f>
        <v>0</v>
      </c>
      <c r="AE89" s="6">
        <f ca="1">$K$89*$Y$89</f>
        <v>0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59</v>
      </c>
      <c r="C90" s="4" t="s">
        <v>64</v>
      </c>
      <c r="D90" s="4" t="s">
        <v>25</v>
      </c>
      <c r="E90" s="4" t="s">
        <v>25</v>
      </c>
      <c r="F90" s="4" t="s">
        <v>25</v>
      </c>
      <c r="G90" s="4" t="s">
        <v>89</v>
      </c>
      <c r="H90" s="4" t="s">
        <v>25</v>
      </c>
      <c r="I90" s="5">
        <v>44409</v>
      </c>
      <c r="J90" s="6">
        <v>12600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66</v>
      </c>
      <c r="R90" s="4">
        <v>27727</v>
      </c>
      <c r="S90" s="6">
        <v>13</v>
      </c>
      <c r="T90" s="6">
        <v>0</v>
      </c>
      <c r="U90" s="6">
        <v>0</v>
      </c>
      <c r="V90" s="6">
        <f>IF(ISERROR(VLOOKUP($S$90,'TAR FIN'!$A$1:$O$116,15,0)),0,VLOOKUP($S$90,'TAR FIN'!$A$1:$O$116,15,0))</f>
        <v>5.37</v>
      </c>
      <c r="W90" s="6">
        <f>IF(ISERROR(VLOOKUP($T$90,'TAR FIN'!$A$1:$O$116,15,0)),0,VLOOKUP($T$90,'TAR FIN'!$A$1:$O$116,15,0))</f>
        <v>0</v>
      </c>
      <c r="X90" s="6">
        <f>IF(ISERROR(VLOOKUP($U$90,'TAR FIN'!$A$1:$O$116,15,0)),0,VLOOKUP($U$90,'TAR FIN'!$A$1:$O$116,15,0))</f>
        <v>0</v>
      </c>
      <c r="Y90" s="6">
        <f ca="1">('TUSD BE'!$AM$17+'TUSD BF'!$AM$17+'TUSD CVA'!$AM$17)*1</f>
        <v>5.6347568025342989</v>
      </c>
      <c r="Z90" s="6"/>
      <c r="AA90" s="6"/>
      <c r="AB90" s="6">
        <f>$K$90*$V$90</f>
        <v>0</v>
      </c>
      <c r="AC90" s="6">
        <f>$M$90*$W$90</f>
        <v>0</v>
      </c>
      <c r="AD90" s="6">
        <f>$O$90*$X$90</f>
        <v>0</v>
      </c>
      <c r="AE90" s="6">
        <f ca="1">$K$90*$Y$90</f>
        <v>0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59</v>
      </c>
      <c r="C91" s="4" t="s">
        <v>64</v>
      </c>
      <c r="D91" s="4" t="s">
        <v>25</v>
      </c>
      <c r="E91" s="4" t="s">
        <v>25</v>
      </c>
      <c r="F91" s="4" t="s">
        <v>25</v>
      </c>
      <c r="G91" s="4" t="s">
        <v>92</v>
      </c>
      <c r="H91" s="4" t="s">
        <v>25</v>
      </c>
      <c r="I91" s="5">
        <v>44409</v>
      </c>
      <c r="J91" s="6">
        <v>8100</v>
      </c>
      <c r="K91" s="6">
        <v>4050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66</v>
      </c>
      <c r="R91" s="4">
        <v>30597</v>
      </c>
      <c r="S91" s="6">
        <v>14</v>
      </c>
      <c r="T91" s="6">
        <v>0</v>
      </c>
      <c r="U91" s="6">
        <v>0</v>
      </c>
      <c r="V91" s="6">
        <f>IF(ISERROR(VLOOKUP($S$91,'TAR FIN'!$A$1:$O$116,15,0)),0,VLOOKUP($S$91,'TAR FIN'!$A$1:$O$116,15,0))</f>
        <v>5.04</v>
      </c>
      <c r="W91" s="6">
        <f>IF(ISERROR(VLOOKUP($T$91,'TAR FIN'!$A$1:$O$116,15,0)),0,VLOOKUP($T$91,'TAR FIN'!$A$1:$O$116,15,0))</f>
        <v>0</v>
      </c>
      <c r="X91" s="6">
        <f>IF(ISERROR(VLOOKUP($U$91,'TAR FIN'!$A$1:$O$116,15,0)),0,VLOOKUP($U$91,'TAR FIN'!$A$1:$O$116,15,0))</f>
        <v>0</v>
      </c>
      <c r="Y91" s="6">
        <f ca="1">('TUSD BE'!$AM$18+'TUSD BF'!$AM$18+'TUSD CVA'!$AM$18)*1</f>
        <v>5.2832968919533032</v>
      </c>
      <c r="Z91" s="6"/>
      <c r="AA91" s="6"/>
      <c r="AB91" s="6">
        <f>$K$91*$V$91</f>
        <v>20412</v>
      </c>
      <c r="AC91" s="6">
        <f>$M$91*$W$91</f>
        <v>0</v>
      </c>
      <c r="AD91" s="6">
        <f>$O$91*$X$91</f>
        <v>0</v>
      </c>
      <c r="AE91" s="6">
        <f ca="1">$K$91*$Y$91</f>
        <v>21397.352412410877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59</v>
      </c>
      <c r="C92" s="4" t="s">
        <v>64</v>
      </c>
      <c r="D92" s="4" t="s">
        <v>25</v>
      </c>
      <c r="E92" s="4" t="s">
        <v>25</v>
      </c>
      <c r="F92" s="4" t="s">
        <v>25</v>
      </c>
      <c r="G92" s="4" t="s">
        <v>65</v>
      </c>
      <c r="H92" s="4" t="s">
        <v>25</v>
      </c>
      <c r="I92" s="5">
        <v>44440</v>
      </c>
      <c r="J92" s="6">
        <v>1640</v>
      </c>
      <c r="K92" s="6">
        <v>820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66</v>
      </c>
      <c r="R92" s="4">
        <v>104</v>
      </c>
      <c r="S92" s="6">
        <v>5</v>
      </c>
      <c r="T92" s="6">
        <v>0</v>
      </c>
      <c r="U92" s="6">
        <v>0</v>
      </c>
      <c r="V92" s="6">
        <f>IF(ISERROR(VLOOKUP($S$92,'TAR FIN'!$A$1:$O$116,15,0)),0,VLOOKUP($S$92,'TAR FIN'!$A$1:$O$116,15,0))</f>
        <v>5.0999999999999996</v>
      </c>
      <c r="W92" s="6">
        <f>IF(ISERROR(VLOOKUP($T$92,'TAR FIN'!$A$1:$O$116,15,0)),0,VLOOKUP($T$92,'TAR FIN'!$A$1:$O$116,15,0))</f>
        <v>0</v>
      </c>
      <c r="X92" s="6">
        <f>IF(ISERROR(VLOOKUP($U$92,'TAR FIN'!$A$1:$O$116,15,0)),0,VLOOKUP($U$92,'TAR FIN'!$A$1:$O$116,15,0))</f>
        <v>0</v>
      </c>
      <c r="Y92" s="6">
        <f ca="1">('TUSD BE'!$AM$9+'TUSD BF'!$AM$9+'TUSD CVA'!$AM$9)*1</f>
        <v>5.3518194805398505</v>
      </c>
      <c r="Z92" s="6"/>
      <c r="AA92" s="6"/>
      <c r="AB92" s="6">
        <f>$K$92*$V$92</f>
        <v>4182</v>
      </c>
      <c r="AC92" s="6">
        <f>$M$92*$W$92</f>
        <v>0</v>
      </c>
      <c r="AD92" s="6">
        <f>$O$92*$X$92</f>
        <v>0</v>
      </c>
      <c r="AE92" s="6">
        <f ca="1">$K$92*$Y$92</f>
        <v>4388.4919740426776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59</v>
      </c>
      <c r="C93" s="4" t="s">
        <v>64</v>
      </c>
      <c r="D93" s="4" t="s">
        <v>25</v>
      </c>
      <c r="E93" s="4" t="s">
        <v>25</v>
      </c>
      <c r="F93" s="4" t="s">
        <v>25</v>
      </c>
      <c r="G93" s="4" t="s">
        <v>67</v>
      </c>
      <c r="H93" s="4" t="s">
        <v>25</v>
      </c>
      <c r="I93" s="5">
        <v>44440</v>
      </c>
      <c r="J93" s="6">
        <v>39500</v>
      </c>
      <c r="K93" s="6">
        <v>24307.692490000001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66</v>
      </c>
      <c r="R93" s="4">
        <v>215</v>
      </c>
      <c r="S93" s="6">
        <v>6</v>
      </c>
      <c r="T93" s="6">
        <v>0</v>
      </c>
      <c r="U93" s="6">
        <v>0</v>
      </c>
      <c r="V93" s="6">
        <f>IF(ISERROR(VLOOKUP($S$93,'TAR FIN'!$A$1:$O$116,15,0)),0,VLOOKUP($S$93,'TAR FIN'!$A$1:$O$116,15,0))</f>
        <v>3.94</v>
      </c>
      <c r="W93" s="6">
        <f>IF(ISERROR(VLOOKUP($T$93,'TAR FIN'!$A$1:$O$116,15,0)),0,VLOOKUP($T$93,'TAR FIN'!$A$1:$O$116,15,0))</f>
        <v>0</v>
      </c>
      <c r="X93" s="6">
        <f>IF(ISERROR(VLOOKUP($U$93,'TAR FIN'!$A$1:$O$116,15,0)),0,VLOOKUP($U$93,'TAR FIN'!$A$1:$O$116,15,0))</f>
        <v>0</v>
      </c>
      <c r="Y93" s="6">
        <f ca="1">('TUSD BE'!$AM$10+'TUSD BF'!$AM$10+'TUSD CVA'!$AM$10)*1</f>
        <v>4.1263435553812471</v>
      </c>
      <c r="Z93" s="6"/>
      <c r="AA93" s="6"/>
      <c r="AB93" s="6">
        <f>$K$93*$V$93</f>
        <v>95772.308410600002</v>
      </c>
      <c r="AC93" s="6">
        <f>$M$93*$W$93</f>
        <v>0</v>
      </c>
      <c r="AD93" s="6">
        <f>$O$93*$X$93</f>
        <v>0</v>
      </c>
      <c r="AE93" s="6">
        <f ca="1">$K$93*$Y$93</f>
        <v>100301.89025230064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59</v>
      </c>
      <c r="C94" s="4" t="s">
        <v>64</v>
      </c>
      <c r="D94" s="4" t="s">
        <v>25</v>
      </c>
      <c r="E94" s="4" t="s">
        <v>25</v>
      </c>
      <c r="F94" s="4" t="s">
        <v>25</v>
      </c>
      <c r="G94" s="4" t="s">
        <v>69</v>
      </c>
      <c r="H94" s="4" t="s">
        <v>25</v>
      </c>
      <c r="I94" s="5">
        <v>44440</v>
      </c>
      <c r="J94" s="6">
        <v>22000</v>
      </c>
      <c r="K94" s="6">
        <v>22000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66</v>
      </c>
      <c r="R94" s="4">
        <v>473</v>
      </c>
      <c r="S94" s="6">
        <v>7</v>
      </c>
      <c r="T94" s="6">
        <v>0</v>
      </c>
      <c r="U94" s="6">
        <v>0</v>
      </c>
      <c r="V94" s="6">
        <f>IF(ISERROR(VLOOKUP($S$94,'TAR FIN'!$A$1:$O$116,15,0)),0,VLOOKUP($S$94,'TAR FIN'!$A$1:$O$116,15,0))</f>
        <v>5.69</v>
      </c>
      <c r="W94" s="6">
        <f>IF(ISERROR(VLOOKUP($T$94,'TAR FIN'!$A$1:$O$116,15,0)),0,VLOOKUP($T$94,'TAR FIN'!$A$1:$O$116,15,0))</f>
        <v>0</v>
      </c>
      <c r="X94" s="6">
        <f>IF(ISERROR(VLOOKUP($U$94,'TAR FIN'!$A$1:$O$116,15,0)),0,VLOOKUP($U$94,'TAR FIN'!$A$1:$O$116,15,0))</f>
        <v>0</v>
      </c>
      <c r="Y94" s="6">
        <f ca="1">('TUSD BE'!$AM$11+'TUSD BF'!$AM$11+'TUSD CVA'!$AM$11)*1</f>
        <v>5.9725875581129042</v>
      </c>
      <c r="Z94" s="6"/>
      <c r="AA94" s="6"/>
      <c r="AB94" s="6">
        <f>$K$94*$V$94</f>
        <v>125180.00000000001</v>
      </c>
      <c r="AC94" s="6">
        <f>$M$94*$W$94</f>
        <v>0</v>
      </c>
      <c r="AD94" s="6">
        <f>$O$94*$X$94</f>
        <v>0</v>
      </c>
      <c r="AE94" s="6">
        <f ca="1">$K$94*$Y$94</f>
        <v>131396.92627848388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59</v>
      </c>
      <c r="C95" s="4" t="s">
        <v>64</v>
      </c>
      <c r="D95" s="4" t="s">
        <v>25</v>
      </c>
      <c r="E95" s="4" t="s">
        <v>25</v>
      </c>
      <c r="F95" s="4" t="s">
        <v>25</v>
      </c>
      <c r="G95" s="4" t="s">
        <v>72</v>
      </c>
      <c r="H95" s="4" t="s">
        <v>25</v>
      </c>
      <c r="I95" s="5">
        <v>44440</v>
      </c>
      <c r="J95" s="6">
        <v>16500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66</v>
      </c>
      <c r="R95" s="4">
        <v>1047</v>
      </c>
      <c r="S95" s="6">
        <v>8</v>
      </c>
      <c r="T95" s="6">
        <v>0</v>
      </c>
      <c r="U95" s="6">
        <v>0</v>
      </c>
      <c r="V95" s="6">
        <f>IF(ISERROR(VLOOKUP($S$95,'TAR FIN'!$A$1:$O$116,15,0)),0,VLOOKUP($S$95,'TAR FIN'!$A$1:$O$116,15,0))</f>
        <v>5.41</v>
      </c>
      <c r="W95" s="6">
        <f>IF(ISERROR(VLOOKUP($T$95,'TAR FIN'!$A$1:$O$116,15,0)),0,VLOOKUP($T$95,'TAR FIN'!$A$1:$O$116,15,0))</f>
        <v>0</v>
      </c>
      <c r="X95" s="6">
        <f>IF(ISERROR(VLOOKUP($U$95,'TAR FIN'!$A$1:$O$116,15,0)),0,VLOOKUP($U$95,'TAR FIN'!$A$1:$O$116,15,0))</f>
        <v>0</v>
      </c>
      <c r="Y95" s="6">
        <f ca="1">('TUSD BE'!$AM$12+'TUSD BF'!$AM$12+'TUSD CVA'!$AM$12)*1</f>
        <v>5.6770468968387959</v>
      </c>
      <c r="Z95" s="6"/>
      <c r="AA95" s="6"/>
      <c r="AB95" s="6">
        <f>$K$95*$V$95</f>
        <v>0</v>
      </c>
      <c r="AC95" s="6">
        <f>$M$95*$W$95</f>
        <v>0</v>
      </c>
      <c r="AD95" s="6">
        <f>$O$95*$X$95</f>
        <v>0</v>
      </c>
      <c r="AE95" s="6">
        <f ca="1">$K$95*$Y$95</f>
        <v>0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59</v>
      </c>
      <c r="C96" s="4" t="s">
        <v>64</v>
      </c>
      <c r="D96" s="4" t="s">
        <v>25</v>
      </c>
      <c r="E96" s="4" t="s">
        <v>25</v>
      </c>
      <c r="F96" s="4" t="s">
        <v>25</v>
      </c>
      <c r="G96" s="4" t="s">
        <v>73</v>
      </c>
      <c r="H96" s="4" t="s">
        <v>25</v>
      </c>
      <c r="I96" s="5">
        <v>44440</v>
      </c>
      <c r="J96" s="6">
        <v>5320</v>
      </c>
      <c r="K96" s="6">
        <v>2660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66</v>
      </c>
      <c r="R96" s="4">
        <v>1078</v>
      </c>
      <c r="S96" s="6">
        <v>9</v>
      </c>
      <c r="T96" s="6">
        <v>0</v>
      </c>
      <c r="U96" s="6">
        <v>0</v>
      </c>
      <c r="V96" s="6">
        <f>IF(ISERROR(VLOOKUP($S$96,'TAR FIN'!$A$1:$O$116,15,0)),0,VLOOKUP($S$96,'TAR FIN'!$A$1:$O$116,15,0))</f>
        <v>5.0999999999999996</v>
      </c>
      <c r="W96" s="6">
        <f>IF(ISERROR(VLOOKUP($T$96,'TAR FIN'!$A$1:$O$116,15,0)),0,VLOOKUP($T$96,'TAR FIN'!$A$1:$O$116,15,0))</f>
        <v>0</v>
      </c>
      <c r="X96" s="6">
        <f>IF(ISERROR(VLOOKUP($U$96,'TAR FIN'!$A$1:$O$116,15,0)),0,VLOOKUP($U$96,'TAR FIN'!$A$1:$O$116,15,0))</f>
        <v>0</v>
      </c>
      <c r="Y96" s="6">
        <f ca="1">('TUSD BE'!$AM$13+'TUSD BF'!$AM$13+'TUSD CVA'!$AM$13)*1</f>
        <v>5.3518194805398505</v>
      </c>
      <c r="Z96" s="6"/>
      <c r="AA96" s="6"/>
      <c r="AB96" s="6">
        <f>$K$96*$V$96</f>
        <v>13565.999999999998</v>
      </c>
      <c r="AC96" s="6">
        <f>$M$96*$W$96</f>
        <v>0</v>
      </c>
      <c r="AD96" s="6">
        <f>$O$96*$X$96</f>
        <v>0</v>
      </c>
      <c r="AE96" s="6">
        <f ca="1">$K$96*$Y$96</f>
        <v>14235.839818236002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59</v>
      </c>
      <c r="C97" s="4" t="s">
        <v>64</v>
      </c>
      <c r="D97" s="4" t="s">
        <v>25</v>
      </c>
      <c r="E97" s="4" t="s">
        <v>25</v>
      </c>
      <c r="F97" s="4" t="s">
        <v>25</v>
      </c>
      <c r="G97" s="4" t="s">
        <v>75</v>
      </c>
      <c r="H97" s="4" t="s">
        <v>25</v>
      </c>
      <c r="I97" s="5">
        <v>44440</v>
      </c>
      <c r="J97" s="6">
        <v>44057</v>
      </c>
      <c r="K97" s="6">
        <v>44057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66</v>
      </c>
      <c r="R97" s="4">
        <v>1276</v>
      </c>
      <c r="S97" s="6">
        <v>10</v>
      </c>
      <c r="T97" s="6">
        <v>0</v>
      </c>
      <c r="U97" s="6">
        <v>0</v>
      </c>
      <c r="V97" s="6">
        <f>IF(ISERROR(VLOOKUP($S$97,'TAR FIN'!$A$1:$O$116,15,0)),0,VLOOKUP($S$97,'TAR FIN'!$A$1:$O$116,15,0))</f>
        <v>5.0999999999999996</v>
      </c>
      <c r="W97" s="6">
        <f>IF(ISERROR(VLOOKUP($T$97,'TAR FIN'!$A$1:$O$116,15,0)),0,VLOOKUP($T$97,'TAR FIN'!$A$1:$O$116,15,0))</f>
        <v>0</v>
      </c>
      <c r="X97" s="6">
        <f>IF(ISERROR(VLOOKUP($U$97,'TAR FIN'!$A$1:$O$116,15,0)),0,VLOOKUP($U$97,'TAR FIN'!$A$1:$O$116,15,0))</f>
        <v>0</v>
      </c>
      <c r="Y97" s="6">
        <f ca="1">('TUSD BE'!$AM$14+'TUSD BF'!$AM$14+'TUSD CVA'!$AM$14)*1</f>
        <v>5.3518194805398505</v>
      </c>
      <c r="Z97" s="6"/>
      <c r="AA97" s="6"/>
      <c r="AB97" s="6">
        <f>$K$97*$V$97</f>
        <v>224690.69999999998</v>
      </c>
      <c r="AC97" s="6">
        <f>$M$97*$W$97</f>
        <v>0</v>
      </c>
      <c r="AD97" s="6">
        <f>$O$97*$X$97</f>
        <v>0</v>
      </c>
      <c r="AE97" s="6">
        <f ca="1">$K$97*$Y$97</f>
        <v>235785.11085414418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59</v>
      </c>
      <c r="C98" s="4" t="s">
        <v>64</v>
      </c>
      <c r="D98" s="4" t="s">
        <v>25</v>
      </c>
      <c r="E98" s="4" t="s">
        <v>25</v>
      </c>
      <c r="F98" s="4" t="s">
        <v>25</v>
      </c>
      <c r="G98" s="4" t="s">
        <v>86</v>
      </c>
      <c r="H98" s="4" t="s">
        <v>25</v>
      </c>
      <c r="I98" s="5">
        <v>44440</v>
      </c>
      <c r="J98" s="6">
        <v>24400</v>
      </c>
      <c r="K98" s="6">
        <v>12200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66</v>
      </c>
      <c r="R98" s="4">
        <v>27532</v>
      </c>
      <c r="S98" s="6">
        <v>11</v>
      </c>
      <c r="T98" s="6">
        <v>0</v>
      </c>
      <c r="U98" s="6">
        <v>0</v>
      </c>
      <c r="V98" s="6">
        <f>IF(ISERROR(VLOOKUP($S$98,'TAR FIN'!$A$1:$O$116,15,0)),0,VLOOKUP($S$98,'TAR FIN'!$A$1:$O$116,15,0))</f>
        <v>4.63</v>
      </c>
      <c r="W98" s="6">
        <f>IF(ISERROR(VLOOKUP($T$98,'TAR FIN'!$A$1:$O$116,15,0)),0,VLOOKUP($T$98,'TAR FIN'!$A$1:$O$116,15,0))</f>
        <v>0</v>
      </c>
      <c r="X98" s="6">
        <f>IF(ISERROR(VLOOKUP($U$98,'TAR FIN'!$A$1:$O$116,15,0)),0,VLOOKUP($U$98,'TAR FIN'!$A$1:$O$116,15,0))</f>
        <v>0</v>
      </c>
      <c r="Y98" s="6">
        <f ca="1">('TUSD BE'!$AM$15+'TUSD BF'!$AM$15+'TUSD CVA'!$AM$15)*1</f>
        <v>4.8520321280503262</v>
      </c>
      <c r="Z98" s="6"/>
      <c r="AA98" s="6"/>
      <c r="AB98" s="6">
        <f>$K$98*$V$98</f>
        <v>56486</v>
      </c>
      <c r="AC98" s="6">
        <f>$M$98*$W$98</f>
        <v>0</v>
      </c>
      <c r="AD98" s="6">
        <f>$O$98*$X$98</f>
        <v>0</v>
      </c>
      <c r="AE98" s="6">
        <f ca="1">$K$98*$Y$98</f>
        <v>59194.791962213982</v>
      </c>
      <c r="AF98" s="6">
        <f>$M$98*$Z$98</f>
        <v>0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59</v>
      </c>
      <c r="C99" s="4" t="s">
        <v>64</v>
      </c>
      <c r="D99" s="4" t="s">
        <v>25</v>
      </c>
      <c r="E99" s="4" t="s">
        <v>25</v>
      </c>
      <c r="F99" s="4" t="s">
        <v>25</v>
      </c>
      <c r="G99" s="4" t="s">
        <v>87</v>
      </c>
      <c r="H99" s="4" t="s">
        <v>25</v>
      </c>
      <c r="I99" s="5">
        <v>44440</v>
      </c>
      <c r="J99" s="6">
        <v>25000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66</v>
      </c>
      <c r="R99" s="4">
        <v>27534</v>
      </c>
      <c r="S99" s="6">
        <v>12</v>
      </c>
      <c r="T99" s="6">
        <v>0</v>
      </c>
      <c r="U99" s="6">
        <v>0</v>
      </c>
      <c r="V99" s="6">
        <f>IF(ISERROR(VLOOKUP($S$99,'TAR FIN'!$A$1:$O$116,15,0)),0,VLOOKUP($S$99,'TAR FIN'!$A$1:$O$116,15,0))</f>
        <v>5.58</v>
      </c>
      <c r="W99" s="6">
        <f>IF(ISERROR(VLOOKUP($T$99,'TAR FIN'!$A$1:$O$116,15,0)),0,VLOOKUP($T$99,'TAR FIN'!$A$1:$O$116,15,0))</f>
        <v>0</v>
      </c>
      <c r="X99" s="6">
        <f>IF(ISERROR(VLOOKUP($U$99,'TAR FIN'!$A$1:$O$116,15,0)),0,VLOOKUP($U$99,'TAR FIN'!$A$1:$O$116,15,0))</f>
        <v>0</v>
      </c>
      <c r="Y99" s="6">
        <f ca="1">('TUSD BE'!$AM$16+'TUSD BF'!$AM$16+'TUSD CVA'!$AM$16)*1</f>
        <v>5.862991208798829</v>
      </c>
      <c r="Z99" s="6"/>
      <c r="AA99" s="6"/>
      <c r="AB99" s="6">
        <f>$K$99*$V$99</f>
        <v>0</v>
      </c>
      <c r="AC99" s="6">
        <f>$M$99*$W$99</f>
        <v>0</v>
      </c>
      <c r="AD99" s="6">
        <f>$O$99*$X$99</f>
        <v>0</v>
      </c>
      <c r="AE99" s="6">
        <f ca="1">$K$99*$Y$99</f>
        <v>0</v>
      </c>
      <c r="AF99" s="6">
        <f>$M$99*$Z$99</f>
        <v>0</v>
      </c>
      <c r="AG99" s="6">
        <f>$O$99*$AA$99</f>
        <v>0</v>
      </c>
    </row>
    <row r="100" spans="1:33" ht="11.25" customHeight="1" x14ac:dyDescent="0.25">
      <c r="A100" s="4" t="s">
        <v>21</v>
      </c>
      <c r="B100" s="4" t="s">
        <v>59</v>
      </c>
      <c r="C100" s="4" t="s">
        <v>64</v>
      </c>
      <c r="D100" s="4" t="s">
        <v>25</v>
      </c>
      <c r="E100" s="4" t="s">
        <v>25</v>
      </c>
      <c r="F100" s="4" t="s">
        <v>25</v>
      </c>
      <c r="G100" s="4" t="s">
        <v>89</v>
      </c>
      <c r="H100" s="4" t="s">
        <v>25</v>
      </c>
      <c r="I100" s="5">
        <v>44440</v>
      </c>
      <c r="J100" s="6">
        <v>12600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66</v>
      </c>
      <c r="R100" s="4">
        <v>27727</v>
      </c>
      <c r="S100" s="6">
        <v>13</v>
      </c>
      <c r="T100" s="6">
        <v>0</v>
      </c>
      <c r="U100" s="6">
        <v>0</v>
      </c>
      <c r="V100" s="6">
        <f>IF(ISERROR(VLOOKUP($S$100,'TAR FIN'!$A$1:$O$116,15,0)),0,VLOOKUP($S$100,'TAR FIN'!$A$1:$O$116,15,0))</f>
        <v>5.37</v>
      </c>
      <c r="W100" s="6">
        <f>IF(ISERROR(VLOOKUP($T$100,'TAR FIN'!$A$1:$O$116,15,0)),0,VLOOKUP($T$100,'TAR FIN'!$A$1:$O$116,15,0))</f>
        <v>0</v>
      </c>
      <c r="X100" s="6">
        <f>IF(ISERROR(VLOOKUP($U$100,'TAR FIN'!$A$1:$O$116,15,0)),0,VLOOKUP($U$100,'TAR FIN'!$A$1:$O$116,15,0))</f>
        <v>0</v>
      </c>
      <c r="Y100" s="6">
        <f ca="1">('TUSD BE'!$AM$17+'TUSD BF'!$AM$17+'TUSD CVA'!$AM$17)*1</f>
        <v>5.6347568025342989</v>
      </c>
      <c r="Z100" s="6"/>
      <c r="AA100" s="6"/>
      <c r="AB100" s="6">
        <f>$K$100*$V$100</f>
        <v>0</v>
      </c>
      <c r="AC100" s="6">
        <f>$M$100*$W$100</f>
        <v>0</v>
      </c>
      <c r="AD100" s="6">
        <f>$O$100*$X$100</f>
        <v>0</v>
      </c>
      <c r="AE100" s="6">
        <f ca="1">$K$100*$Y$100</f>
        <v>0</v>
      </c>
      <c r="AF100" s="6">
        <f>$M$100*$Z$100</f>
        <v>0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59</v>
      </c>
      <c r="C101" s="4" t="s">
        <v>64</v>
      </c>
      <c r="D101" s="4" t="s">
        <v>25</v>
      </c>
      <c r="E101" s="4" t="s">
        <v>25</v>
      </c>
      <c r="F101" s="4" t="s">
        <v>25</v>
      </c>
      <c r="G101" s="4" t="s">
        <v>92</v>
      </c>
      <c r="H101" s="4" t="s">
        <v>25</v>
      </c>
      <c r="I101" s="5">
        <v>44440</v>
      </c>
      <c r="J101" s="6">
        <v>8100</v>
      </c>
      <c r="K101" s="6">
        <v>4050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66</v>
      </c>
      <c r="R101" s="4">
        <v>30597</v>
      </c>
      <c r="S101" s="6">
        <v>14</v>
      </c>
      <c r="T101" s="6">
        <v>0</v>
      </c>
      <c r="U101" s="6">
        <v>0</v>
      </c>
      <c r="V101" s="6">
        <f>IF(ISERROR(VLOOKUP($S$101,'TAR FIN'!$A$1:$O$116,15,0)),0,VLOOKUP($S$101,'TAR FIN'!$A$1:$O$116,15,0))</f>
        <v>5.04</v>
      </c>
      <c r="W101" s="6">
        <f>IF(ISERROR(VLOOKUP($T$101,'TAR FIN'!$A$1:$O$116,15,0)),0,VLOOKUP($T$101,'TAR FIN'!$A$1:$O$116,15,0))</f>
        <v>0</v>
      </c>
      <c r="X101" s="6">
        <f>IF(ISERROR(VLOOKUP($U$101,'TAR FIN'!$A$1:$O$116,15,0)),0,VLOOKUP($U$101,'TAR FIN'!$A$1:$O$116,15,0))</f>
        <v>0</v>
      </c>
      <c r="Y101" s="6">
        <f ca="1">('TUSD BE'!$AM$18+'TUSD BF'!$AM$18+'TUSD CVA'!$AM$18)*1</f>
        <v>5.2832968919533032</v>
      </c>
      <c r="Z101" s="6"/>
      <c r="AA101" s="6"/>
      <c r="AB101" s="6">
        <f>$K$101*$V$101</f>
        <v>20412</v>
      </c>
      <c r="AC101" s="6">
        <f>$M$101*$W$101</f>
        <v>0</v>
      </c>
      <c r="AD101" s="6">
        <f>$O$101*$X$101</f>
        <v>0</v>
      </c>
      <c r="AE101" s="6">
        <f ca="1">$K$101*$Y$101</f>
        <v>21397.352412410877</v>
      </c>
      <c r="AF101" s="6">
        <f>$M$101*$Z$101</f>
        <v>0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59</v>
      </c>
      <c r="C102" s="4" t="s">
        <v>64</v>
      </c>
      <c r="D102" s="4" t="s">
        <v>25</v>
      </c>
      <c r="E102" s="4" t="s">
        <v>25</v>
      </c>
      <c r="F102" s="4" t="s">
        <v>25</v>
      </c>
      <c r="G102" s="4" t="s">
        <v>65</v>
      </c>
      <c r="H102" s="4" t="s">
        <v>25</v>
      </c>
      <c r="I102" s="5">
        <v>44470</v>
      </c>
      <c r="J102" s="6">
        <v>1640</v>
      </c>
      <c r="K102" s="6">
        <v>820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66</v>
      </c>
      <c r="R102" s="4">
        <v>104</v>
      </c>
      <c r="S102" s="6">
        <v>5</v>
      </c>
      <c r="T102" s="6">
        <v>0</v>
      </c>
      <c r="U102" s="6">
        <v>0</v>
      </c>
      <c r="V102" s="6">
        <f>IF(ISERROR(VLOOKUP($S$102,'TAR FIN'!$A$1:$O$116,15,0)),0,VLOOKUP($S$102,'TAR FIN'!$A$1:$O$116,15,0))</f>
        <v>5.0999999999999996</v>
      </c>
      <c r="W102" s="6">
        <f>IF(ISERROR(VLOOKUP($T$102,'TAR FIN'!$A$1:$O$116,15,0)),0,VLOOKUP($T$102,'TAR FIN'!$A$1:$O$116,15,0))</f>
        <v>0</v>
      </c>
      <c r="X102" s="6">
        <f>IF(ISERROR(VLOOKUP($U$102,'TAR FIN'!$A$1:$O$116,15,0)),0,VLOOKUP($U$102,'TAR FIN'!$A$1:$O$116,15,0))</f>
        <v>0</v>
      </c>
      <c r="Y102" s="6">
        <f ca="1">('TUSD BE'!$AM$9+'TUSD BF'!$AM$9+'TUSD CVA'!$AM$9)*1</f>
        <v>5.3518194805398505</v>
      </c>
      <c r="Z102" s="6"/>
      <c r="AA102" s="6"/>
      <c r="AB102" s="6">
        <f>$K$102*$V$102</f>
        <v>4182</v>
      </c>
      <c r="AC102" s="6">
        <f>$M$102*$W$102</f>
        <v>0</v>
      </c>
      <c r="AD102" s="6">
        <f>$O$102*$X$102</f>
        <v>0</v>
      </c>
      <c r="AE102" s="6">
        <f ca="1">$K$102*$Y$102</f>
        <v>4388.4919740426776</v>
      </c>
      <c r="AF102" s="6">
        <f>$M$102*$Z$102</f>
        <v>0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59</v>
      </c>
      <c r="C103" s="4" t="s">
        <v>64</v>
      </c>
      <c r="D103" s="4" t="s">
        <v>25</v>
      </c>
      <c r="E103" s="4" t="s">
        <v>25</v>
      </c>
      <c r="F103" s="4" t="s">
        <v>25</v>
      </c>
      <c r="G103" s="4" t="s">
        <v>67</v>
      </c>
      <c r="H103" s="4" t="s">
        <v>25</v>
      </c>
      <c r="I103" s="5">
        <v>44470</v>
      </c>
      <c r="J103" s="6">
        <v>39500</v>
      </c>
      <c r="K103" s="6">
        <v>24307.692490000001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66</v>
      </c>
      <c r="R103" s="4">
        <v>215</v>
      </c>
      <c r="S103" s="6">
        <v>6</v>
      </c>
      <c r="T103" s="6">
        <v>0</v>
      </c>
      <c r="U103" s="6">
        <v>0</v>
      </c>
      <c r="V103" s="6">
        <f>IF(ISERROR(VLOOKUP($S$103,'TAR FIN'!$A$1:$O$116,15,0)),0,VLOOKUP($S$103,'TAR FIN'!$A$1:$O$116,15,0))</f>
        <v>3.94</v>
      </c>
      <c r="W103" s="6">
        <f>IF(ISERROR(VLOOKUP($T$103,'TAR FIN'!$A$1:$O$116,15,0)),0,VLOOKUP($T$103,'TAR FIN'!$A$1:$O$116,15,0))</f>
        <v>0</v>
      </c>
      <c r="X103" s="6">
        <f>IF(ISERROR(VLOOKUP($U$103,'TAR FIN'!$A$1:$O$116,15,0)),0,VLOOKUP($U$103,'TAR FIN'!$A$1:$O$116,15,0))</f>
        <v>0</v>
      </c>
      <c r="Y103" s="6">
        <f ca="1">('TUSD BE'!$AM$10+'TUSD BF'!$AM$10+'TUSD CVA'!$AM$10)*1</f>
        <v>4.1263435553812471</v>
      </c>
      <c r="Z103" s="6"/>
      <c r="AA103" s="6"/>
      <c r="AB103" s="6">
        <f>$K$103*$V$103</f>
        <v>95772.308410600002</v>
      </c>
      <c r="AC103" s="6">
        <f>$M$103*$W$103</f>
        <v>0</v>
      </c>
      <c r="AD103" s="6">
        <f>$O$103*$X$103</f>
        <v>0</v>
      </c>
      <c r="AE103" s="6">
        <f ca="1">$K$103*$Y$103</f>
        <v>100301.89025230064</v>
      </c>
      <c r="AF103" s="6">
        <f>$M$103*$Z$103</f>
        <v>0</v>
      </c>
      <c r="AG103" s="6">
        <f>$O$103*$AA$103</f>
        <v>0</v>
      </c>
    </row>
    <row r="104" spans="1:33" ht="11.25" customHeight="1" x14ac:dyDescent="0.25">
      <c r="A104" s="4" t="s">
        <v>21</v>
      </c>
      <c r="B104" s="4" t="s">
        <v>59</v>
      </c>
      <c r="C104" s="4" t="s">
        <v>64</v>
      </c>
      <c r="D104" s="4" t="s">
        <v>25</v>
      </c>
      <c r="E104" s="4" t="s">
        <v>25</v>
      </c>
      <c r="F104" s="4" t="s">
        <v>25</v>
      </c>
      <c r="G104" s="4" t="s">
        <v>69</v>
      </c>
      <c r="H104" s="4" t="s">
        <v>25</v>
      </c>
      <c r="I104" s="5">
        <v>44470</v>
      </c>
      <c r="J104" s="6">
        <v>22000</v>
      </c>
      <c r="K104" s="6">
        <v>22000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66</v>
      </c>
      <c r="R104" s="4">
        <v>473</v>
      </c>
      <c r="S104" s="6">
        <v>7</v>
      </c>
      <c r="T104" s="6">
        <v>0</v>
      </c>
      <c r="U104" s="6">
        <v>0</v>
      </c>
      <c r="V104" s="6">
        <f>IF(ISERROR(VLOOKUP($S$104,'TAR FIN'!$A$1:$O$116,15,0)),0,VLOOKUP($S$104,'TAR FIN'!$A$1:$O$116,15,0))</f>
        <v>5.69</v>
      </c>
      <c r="W104" s="6">
        <f>IF(ISERROR(VLOOKUP($T$104,'TAR FIN'!$A$1:$O$116,15,0)),0,VLOOKUP($T$104,'TAR FIN'!$A$1:$O$116,15,0))</f>
        <v>0</v>
      </c>
      <c r="X104" s="6">
        <f>IF(ISERROR(VLOOKUP($U$104,'TAR FIN'!$A$1:$O$116,15,0)),0,VLOOKUP($U$104,'TAR FIN'!$A$1:$O$116,15,0))</f>
        <v>0</v>
      </c>
      <c r="Y104" s="6">
        <f ca="1">('TUSD BE'!$AM$11+'TUSD BF'!$AM$11+'TUSD CVA'!$AM$11)*1</f>
        <v>5.9725875581129042</v>
      </c>
      <c r="Z104" s="6"/>
      <c r="AA104" s="6"/>
      <c r="AB104" s="6">
        <f>$K$104*$V$104</f>
        <v>125180.00000000001</v>
      </c>
      <c r="AC104" s="6">
        <f>$M$104*$W$104</f>
        <v>0</v>
      </c>
      <c r="AD104" s="6">
        <f>$O$104*$X$104</f>
        <v>0</v>
      </c>
      <c r="AE104" s="6">
        <f ca="1">$K$104*$Y$104</f>
        <v>131396.92627848388</v>
      </c>
      <c r="AF104" s="6">
        <f>$M$104*$Z$104</f>
        <v>0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59</v>
      </c>
      <c r="C105" s="4" t="s">
        <v>64</v>
      </c>
      <c r="D105" s="4" t="s">
        <v>25</v>
      </c>
      <c r="E105" s="4" t="s">
        <v>25</v>
      </c>
      <c r="F105" s="4" t="s">
        <v>25</v>
      </c>
      <c r="G105" s="4" t="s">
        <v>72</v>
      </c>
      <c r="H105" s="4" t="s">
        <v>25</v>
      </c>
      <c r="I105" s="5">
        <v>44470</v>
      </c>
      <c r="J105" s="6">
        <v>16500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66</v>
      </c>
      <c r="R105" s="4">
        <v>1047</v>
      </c>
      <c r="S105" s="6">
        <v>8</v>
      </c>
      <c r="T105" s="6">
        <v>0</v>
      </c>
      <c r="U105" s="6">
        <v>0</v>
      </c>
      <c r="V105" s="6">
        <f>IF(ISERROR(VLOOKUP($S$105,'TAR FIN'!$A$1:$O$116,15,0)),0,VLOOKUP($S$105,'TAR FIN'!$A$1:$O$116,15,0))</f>
        <v>5.41</v>
      </c>
      <c r="W105" s="6">
        <f>IF(ISERROR(VLOOKUP($T$105,'TAR FIN'!$A$1:$O$116,15,0)),0,VLOOKUP($T$105,'TAR FIN'!$A$1:$O$116,15,0))</f>
        <v>0</v>
      </c>
      <c r="X105" s="6">
        <f>IF(ISERROR(VLOOKUP($U$105,'TAR FIN'!$A$1:$O$116,15,0)),0,VLOOKUP($U$105,'TAR FIN'!$A$1:$O$116,15,0))</f>
        <v>0</v>
      </c>
      <c r="Y105" s="6">
        <f ca="1">('TUSD BE'!$AM$12+'TUSD BF'!$AM$12+'TUSD CVA'!$AM$12)*1</f>
        <v>5.6770468968387959</v>
      </c>
      <c r="Z105" s="6"/>
      <c r="AA105" s="6"/>
      <c r="AB105" s="6">
        <f>$K$105*$V$105</f>
        <v>0</v>
      </c>
      <c r="AC105" s="6">
        <f>$M$105*$W$105</f>
        <v>0</v>
      </c>
      <c r="AD105" s="6">
        <f>$O$105*$X$105</f>
        <v>0</v>
      </c>
      <c r="AE105" s="6">
        <f ca="1">$K$105*$Y$105</f>
        <v>0</v>
      </c>
      <c r="AF105" s="6">
        <f>$M$105*$Z$105</f>
        <v>0</v>
      </c>
      <c r="AG105" s="6">
        <f>$O$105*$AA$105</f>
        <v>0</v>
      </c>
    </row>
    <row r="106" spans="1:33" ht="11.25" customHeight="1" x14ac:dyDescent="0.25">
      <c r="A106" s="4" t="s">
        <v>21</v>
      </c>
      <c r="B106" s="4" t="s">
        <v>59</v>
      </c>
      <c r="C106" s="4" t="s">
        <v>64</v>
      </c>
      <c r="D106" s="4" t="s">
        <v>25</v>
      </c>
      <c r="E106" s="4" t="s">
        <v>25</v>
      </c>
      <c r="F106" s="4" t="s">
        <v>25</v>
      </c>
      <c r="G106" s="4" t="s">
        <v>73</v>
      </c>
      <c r="H106" s="4" t="s">
        <v>25</v>
      </c>
      <c r="I106" s="5">
        <v>44470</v>
      </c>
      <c r="J106" s="6">
        <v>5320</v>
      </c>
      <c r="K106" s="6">
        <v>2660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66</v>
      </c>
      <c r="R106" s="4">
        <v>1078</v>
      </c>
      <c r="S106" s="6">
        <v>9</v>
      </c>
      <c r="T106" s="6">
        <v>0</v>
      </c>
      <c r="U106" s="6">
        <v>0</v>
      </c>
      <c r="V106" s="6">
        <f>IF(ISERROR(VLOOKUP($S$106,'TAR FIN'!$A$1:$O$116,15,0)),0,VLOOKUP($S$106,'TAR FIN'!$A$1:$O$116,15,0))</f>
        <v>5.0999999999999996</v>
      </c>
      <c r="W106" s="6">
        <f>IF(ISERROR(VLOOKUP($T$106,'TAR FIN'!$A$1:$O$116,15,0)),0,VLOOKUP($T$106,'TAR FIN'!$A$1:$O$116,15,0))</f>
        <v>0</v>
      </c>
      <c r="X106" s="6">
        <f>IF(ISERROR(VLOOKUP($U$106,'TAR FIN'!$A$1:$O$116,15,0)),0,VLOOKUP($U$106,'TAR FIN'!$A$1:$O$116,15,0))</f>
        <v>0</v>
      </c>
      <c r="Y106" s="6">
        <f ca="1">('TUSD BE'!$AM$13+'TUSD BF'!$AM$13+'TUSD CVA'!$AM$13)*1</f>
        <v>5.3518194805398505</v>
      </c>
      <c r="Z106" s="6"/>
      <c r="AA106" s="6"/>
      <c r="AB106" s="6">
        <f>$K$106*$V$106</f>
        <v>13565.999999999998</v>
      </c>
      <c r="AC106" s="6">
        <f>$M$106*$W$106</f>
        <v>0</v>
      </c>
      <c r="AD106" s="6">
        <f>$O$106*$X$106</f>
        <v>0</v>
      </c>
      <c r="AE106" s="6">
        <f ca="1">$K$106*$Y$106</f>
        <v>14235.839818236002</v>
      </c>
      <c r="AF106" s="6">
        <f>$M$106*$Z$106</f>
        <v>0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59</v>
      </c>
      <c r="C107" s="4" t="s">
        <v>64</v>
      </c>
      <c r="D107" s="4" t="s">
        <v>25</v>
      </c>
      <c r="E107" s="4" t="s">
        <v>25</v>
      </c>
      <c r="F107" s="4" t="s">
        <v>25</v>
      </c>
      <c r="G107" s="4" t="s">
        <v>75</v>
      </c>
      <c r="H107" s="4" t="s">
        <v>25</v>
      </c>
      <c r="I107" s="5">
        <v>44470</v>
      </c>
      <c r="J107" s="6">
        <v>42500</v>
      </c>
      <c r="K107" s="6">
        <v>42500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66</v>
      </c>
      <c r="R107" s="4">
        <v>1276</v>
      </c>
      <c r="S107" s="6">
        <v>10</v>
      </c>
      <c r="T107" s="6">
        <v>0</v>
      </c>
      <c r="U107" s="6">
        <v>0</v>
      </c>
      <c r="V107" s="6">
        <f>IF(ISERROR(VLOOKUP($S$107,'TAR FIN'!$A$1:$O$116,15,0)),0,VLOOKUP($S$107,'TAR FIN'!$A$1:$O$116,15,0))</f>
        <v>5.0999999999999996</v>
      </c>
      <c r="W107" s="6">
        <f>IF(ISERROR(VLOOKUP($T$107,'TAR FIN'!$A$1:$O$116,15,0)),0,VLOOKUP($T$107,'TAR FIN'!$A$1:$O$116,15,0))</f>
        <v>0</v>
      </c>
      <c r="X107" s="6">
        <f>IF(ISERROR(VLOOKUP($U$107,'TAR FIN'!$A$1:$O$116,15,0)),0,VLOOKUP($U$107,'TAR FIN'!$A$1:$O$116,15,0))</f>
        <v>0</v>
      </c>
      <c r="Y107" s="6">
        <f ca="1">('TUSD BE'!$AM$14+'TUSD BF'!$AM$14+'TUSD CVA'!$AM$14)*1</f>
        <v>5.3518194805398505</v>
      </c>
      <c r="Z107" s="6"/>
      <c r="AA107" s="6"/>
      <c r="AB107" s="6">
        <f>$K$107*$V$107</f>
        <v>216749.99999999997</v>
      </c>
      <c r="AC107" s="6">
        <f>$M$107*$W$107</f>
        <v>0</v>
      </c>
      <c r="AD107" s="6">
        <f>$O$107*$X$107</f>
        <v>0</v>
      </c>
      <c r="AE107" s="6">
        <f ca="1">$K$107*$Y$107</f>
        <v>227452.32792294363</v>
      </c>
      <c r="AF107" s="6">
        <f>$M$107*$Z$107</f>
        <v>0</v>
      </c>
      <c r="AG107" s="6">
        <f>$O$107*$AA$107</f>
        <v>0</v>
      </c>
    </row>
    <row r="108" spans="1:33" ht="11.25" customHeight="1" x14ac:dyDescent="0.25">
      <c r="A108" s="4" t="s">
        <v>21</v>
      </c>
      <c r="B108" s="4" t="s">
        <v>59</v>
      </c>
      <c r="C108" s="4" t="s">
        <v>64</v>
      </c>
      <c r="D108" s="4" t="s">
        <v>25</v>
      </c>
      <c r="E108" s="4" t="s">
        <v>25</v>
      </c>
      <c r="F108" s="4" t="s">
        <v>25</v>
      </c>
      <c r="G108" s="4" t="s">
        <v>86</v>
      </c>
      <c r="H108" s="4" t="s">
        <v>25</v>
      </c>
      <c r="I108" s="5">
        <v>44470</v>
      </c>
      <c r="J108" s="6">
        <v>24400</v>
      </c>
      <c r="K108" s="6">
        <v>12200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66</v>
      </c>
      <c r="R108" s="4">
        <v>27532</v>
      </c>
      <c r="S108" s="6">
        <v>11</v>
      </c>
      <c r="T108" s="6">
        <v>0</v>
      </c>
      <c r="U108" s="6">
        <v>0</v>
      </c>
      <c r="V108" s="6">
        <f>IF(ISERROR(VLOOKUP($S$108,'TAR FIN'!$A$1:$O$116,15,0)),0,VLOOKUP($S$108,'TAR FIN'!$A$1:$O$116,15,0))</f>
        <v>4.63</v>
      </c>
      <c r="W108" s="6">
        <f>IF(ISERROR(VLOOKUP($T$108,'TAR FIN'!$A$1:$O$116,15,0)),0,VLOOKUP($T$108,'TAR FIN'!$A$1:$O$116,15,0))</f>
        <v>0</v>
      </c>
      <c r="X108" s="6">
        <f>IF(ISERROR(VLOOKUP($U$108,'TAR FIN'!$A$1:$O$116,15,0)),0,VLOOKUP($U$108,'TAR FIN'!$A$1:$O$116,15,0))</f>
        <v>0</v>
      </c>
      <c r="Y108" s="6">
        <f ca="1">('TUSD BE'!$AM$15+'TUSD BF'!$AM$15+'TUSD CVA'!$AM$15)*1</f>
        <v>4.8520321280503262</v>
      </c>
      <c r="Z108" s="6"/>
      <c r="AA108" s="6"/>
      <c r="AB108" s="6">
        <f>$K$108*$V$108</f>
        <v>56486</v>
      </c>
      <c r="AC108" s="6">
        <f>$M$108*$W$108</f>
        <v>0</v>
      </c>
      <c r="AD108" s="6">
        <f>$O$108*$X$108</f>
        <v>0</v>
      </c>
      <c r="AE108" s="6">
        <f ca="1">$K$108*$Y$108</f>
        <v>59194.791962213982</v>
      </c>
      <c r="AF108" s="6">
        <f>$M$108*$Z$108</f>
        <v>0</v>
      </c>
      <c r="AG108" s="6">
        <f>$O$108*$AA$108</f>
        <v>0</v>
      </c>
    </row>
    <row r="109" spans="1:33" ht="11.25" customHeight="1" x14ac:dyDescent="0.25">
      <c r="A109" s="4" t="s">
        <v>21</v>
      </c>
      <c r="B109" s="4" t="s">
        <v>59</v>
      </c>
      <c r="C109" s="4" t="s">
        <v>64</v>
      </c>
      <c r="D109" s="4" t="s">
        <v>25</v>
      </c>
      <c r="E109" s="4" t="s">
        <v>25</v>
      </c>
      <c r="F109" s="4" t="s">
        <v>25</v>
      </c>
      <c r="G109" s="4" t="s">
        <v>87</v>
      </c>
      <c r="H109" s="4" t="s">
        <v>25</v>
      </c>
      <c r="I109" s="5">
        <v>44470</v>
      </c>
      <c r="J109" s="6">
        <v>25000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66</v>
      </c>
      <c r="R109" s="4">
        <v>27534</v>
      </c>
      <c r="S109" s="6">
        <v>12</v>
      </c>
      <c r="T109" s="6">
        <v>0</v>
      </c>
      <c r="U109" s="6">
        <v>0</v>
      </c>
      <c r="V109" s="6">
        <f>IF(ISERROR(VLOOKUP($S$109,'TAR FIN'!$A$1:$O$116,15,0)),0,VLOOKUP($S$109,'TAR FIN'!$A$1:$O$116,15,0))</f>
        <v>5.58</v>
      </c>
      <c r="W109" s="6">
        <f>IF(ISERROR(VLOOKUP($T$109,'TAR FIN'!$A$1:$O$116,15,0)),0,VLOOKUP($T$109,'TAR FIN'!$A$1:$O$116,15,0))</f>
        <v>0</v>
      </c>
      <c r="X109" s="6">
        <f>IF(ISERROR(VLOOKUP($U$109,'TAR FIN'!$A$1:$O$116,15,0)),0,VLOOKUP($U$109,'TAR FIN'!$A$1:$O$116,15,0))</f>
        <v>0</v>
      </c>
      <c r="Y109" s="6">
        <f ca="1">('TUSD BE'!$AM$16+'TUSD BF'!$AM$16+'TUSD CVA'!$AM$16)*1</f>
        <v>5.862991208798829</v>
      </c>
      <c r="Z109" s="6"/>
      <c r="AA109" s="6"/>
      <c r="AB109" s="6">
        <f>$K$109*$V$109</f>
        <v>0</v>
      </c>
      <c r="AC109" s="6">
        <f>$M$109*$W$109</f>
        <v>0</v>
      </c>
      <c r="AD109" s="6">
        <f>$O$109*$X$109</f>
        <v>0</v>
      </c>
      <c r="AE109" s="6">
        <f ca="1">$K$109*$Y$109</f>
        <v>0</v>
      </c>
      <c r="AF109" s="6">
        <f>$M$109*$Z$109</f>
        <v>0</v>
      </c>
      <c r="AG109" s="6">
        <f>$O$109*$AA$109</f>
        <v>0</v>
      </c>
    </row>
    <row r="110" spans="1:33" ht="11.25" customHeight="1" x14ac:dyDescent="0.25">
      <c r="A110" s="4" t="s">
        <v>21</v>
      </c>
      <c r="B110" s="4" t="s">
        <v>59</v>
      </c>
      <c r="C110" s="4" t="s">
        <v>64</v>
      </c>
      <c r="D110" s="4" t="s">
        <v>25</v>
      </c>
      <c r="E110" s="4" t="s">
        <v>25</v>
      </c>
      <c r="F110" s="4" t="s">
        <v>25</v>
      </c>
      <c r="G110" s="4" t="s">
        <v>89</v>
      </c>
      <c r="H110" s="4" t="s">
        <v>25</v>
      </c>
      <c r="I110" s="5">
        <v>44470</v>
      </c>
      <c r="J110" s="6">
        <v>12600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66</v>
      </c>
      <c r="R110" s="4">
        <v>27727</v>
      </c>
      <c r="S110" s="6">
        <v>13</v>
      </c>
      <c r="T110" s="6">
        <v>0</v>
      </c>
      <c r="U110" s="6">
        <v>0</v>
      </c>
      <c r="V110" s="6">
        <f>IF(ISERROR(VLOOKUP($S$110,'TAR FIN'!$A$1:$O$116,15,0)),0,VLOOKUP($S$110,'TAR FIN'!$A$1:$O$116,15,0))</f>
        <v>5.37</v>
      </c>
      <c r="W110" s="6">
        <f>IF(ISERROR(VLOOKUP($T$110,'TAR FIN'!$A$1:$O$116,15,0)),0,VLOOKUP($T$110,'TAR FIN'!$A$1:$O$116,15,0))</f>
        <v>0</v>
      </c>
      <c r="X110" s="6">
        <f>IF(ISERROR(VLOOKUP($U$110,'TAR FIN'!$A$1:$O$116,15,0)),0,VLOOKUP($U$110,'TAR FIN'!$A$1:$O$116,15,0))</f>
        <v>0</v>
      </c>
      <c r="Y110" s="6">
        <f ca="1">('TUSD BE'!$AM$17+'TUSD BF'!$AM$17+'TUSD CVA'!$AM$17)*1</f>
        <v>5.6347568025342989</v>
      </c>
      <c r="Z110" s="6"/>
      <c r="AA110" s="6"/>
      <c r="AB110" s="6">
        <f>$K$110*$V$110</f>
        <v>0</v>
      </c>
      <c r="AC110" s="6">
        <f>$M$110*$W$110</f>
        <v>0</v>
      </c>
      <c r="AD110" s="6">
        <f>$O$110*$X$110</f>
        <v>0</v>
      </c>
      <c r="AE110" s="6">
        <f ca="1">$K$110*$Y$110</f>
        <v>0</v>
      </c>
      <c r="AF110" s="6">
        <f>$M$110*$Z$110</f>
        <v>0</v>
      </c>
      <c r="AG110" s="6">
        <f>$O$110*$AA$110</f>
        <v>0</v>
      </c>
    </row>
    <row r="111" spans="1:33" ht="11.25" customHeight="1" x14ac:dyDescent="0.25">
      <c r="A111" s="4" t="s">
        <v>21</v>
      </c>
      <c r="B111" s="4" t="s">
        <v>59</v>
      </c>
      <c r="C111" s="4" t="s">
        <v>64</v>
      </c>
      <c r="D111" s="4" t="s">
        <v>25</v>
      </c>
      <c r="E111" s="4" t="s">
        <v>25</v>
      </c>
      <c r="F111" s="4" t="s">
        <v>25</v>
      </c>
      <c r="G111" s="4" t="s">
        <v>92</v>
      </c>
      <c r="H111" s="4" t="s">
        <v>25</v>
      </c>
      <c r="I111" s="5">
        <v>44470</v>
      </c>
      <c r="J111" s="6">
        <v>8100</v>
      </c>
      <c r="K111" s="6">
        <v>4050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66</v>
      </c>
      <c r="R111" s="4">
        <v>30597</v>
      </c>
      <c r="S111" s="6">
        <v>14</v>
      </c>
      <c r="T111" s="6">
        <v>0</v>
      </c>
      <c r="U111" s="6">
        <v>0</v>
      </c>
      <c r="V111" s="6">
        <f>IF(ISERROR(VLOOKUP($S$111,'TAR FIN'!$A$1:$O$116,15,0)),0,VLOOKUP($S$111,'TAR FIN'!$A$1:$O$116,15,0))</f>
        <v>5.04</v>
      </c>
      <c r="W111" s="6">
        <f>IF(ISERROR(VLOOKUP($T$111,'TAR FIN'!$A$1:$O$116,15,0)),0,VLOOKUP($T$111,'TAR FIN'!$A$1:$O$116,15,0))</f>
        <v>0</v>
      </c>
      <c r="X111" s="6">
        <f>IF(ISERROR(VLOOKUP($U$111,'TAR FIN'!$A$1:$O$116,15,0)),0,VLOOKUP($U$111,'TAR FIN'!$A$1:$O$116,15,0))</f>
        <v>0</v>
      </c>
      <c r="Y111" s="6">
        <f ca="1">('TUSD BE'!$AM$18+'TUSD BF'!$AM$18+'TUSD CVA'!$AM$18)*1</f>
        <v>5.2832968919533032</v>
      </c>
      <c r="Z111" s="6"/>
      <c r="AA111" s="6"/>
      <c r="AB111" s="6">
        <f>$K$111*$V$111</f>
        <v>20412</v>
      </c>
      <c r="AC111" s="6">
        <f>$M$111*$W$111</f>
        <v>0</v>
      </c>
      <c r="AD111" s="6">
        <f>$O$111*$X$111</f>
        <v>0</v>
      </c>
      <c r="AE111" s="6">
        <f ca="1">$K$111*$Y$111</f>
        <v>21397.352412410877</v>
      </c>
      <c r="AF111" s="6">
        <f>$M$111*$Z$111</f>
        <v>0</v>
      </c>
      <c r="AG111" s="6">
        <f>$O$111*$AA$111</f>
        <v>0</v>
      </c>
    </row>
    <row r="112" spans="1:33" ht="11.25" customHeight="1" x14ac:dyDescent="0.25">
      <c r="A112" s="4" t="s">
        <v>21</v>
      </c>
      <c r="B112" s="4" t="s">
        <v>59</v>
      </c>
      <c r="C112" s="4" t="s">
        <v>64</v>
      </c>
      <c r="D112" s="4" t="s">
        <v>25</v>
      </c>
      <c r="E112" s="4" t="s">
        <v>25</v>
      </c>
      <c r="F112" s="4" t="s">
        <v>25</v>
      </c>
      <c r="G112" s="4" t="s">
        <v>65</v>
      </c>
      <c r="H112" s="4" t="s">
        <v>25</v>
      </c>
      <c r="I112" s="5">
        <v>44501</v>
      </c>
      <c r="J112" s="6">
        <v>1640</v>
      </c>
      <c r="K112" s="6">
        <v>820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66</v>
      </c>
      <c r="R112" s="4">
        <v>104</v>
      </c>
      <c r="S112" s="6">
        <v>5</v>
      </c>
      <c r="T112" s="6">
        <v>0</v>
      </c>
      <c r="U112" s="6">
        <v>0</v>
      </c>
      <c r="V112" s="6">
        <f>IF(ISERROR(VLOOKUP($S$112,'TAR FIN'!$A$1:$O$116,15,0)),0,VLOOKUP($S$112,'TAR FIN'!$A$1:$O$116,15,0))</f>
        <v>5.0999999999999996</v>
      </c>
      <c r="W112" s="6">
        <f>IF(ISERROR(VLOOKUP($T$112,'TAR FIN'!$A$1:$O$116,15,0)),0,VLOOKUP($T$112,'TAR FIN'!$A$1:$O$116,15,0))</f>
        <v>0</v>
      </c>
      <c r="X112" s="6">
        <f>IF(ISERROR(VLOOKUP($U$112,'TAR FIN'!$A$1:$O$116,15,0)),0,VLOOKUP($U$112,'TAR FIN'!$A$1:$O$116,15,0))</f>
        <v>0</v>
      </c>
      <c r="Y112" s="6">
        <f ca="1">('TUSD BE'!$AM$9+'TUSD BF'!$AM$9+'TUSD CVA'!$AM$9)*1</f>
        <v>5.3518194805398505</v>
      </c>
      <c r="Z112" s="6"/>
      <c r="AA112" s="6"/>
      <c r="AB112" s="6">
        <f>$K$112*$V$112</f>
        <v>4182</v>
      </c>
      <c r="AC112" s="6">
        <f>$M$112*$W$112</f>
        <v>0</v>
      </c>
      <c r="AD112" s="6">
        <f>$O$112*$X$112</f>
        <v>0</v>
      </c>
      <c r="AE112" s="6">
        <f ca="1">$K$112*$Y$112</f>
        <v>4388.4919740426776</v>
      </c>
      <c r="AF112" s="6">
        <f>$M$112*$Z$112</f>
        <v>0</v>
      </c>
      <c r="AG112" s="6">
        <f>$O$112*$AA$112</f>
        <v>0</v>
      </c>
    </row>
    <row r="113" spans="1:33" ht="11.25" customHeight="1" x14ac:dyDescent="0.25">
      <c r="A113" s="4" t="s">
        <v>21</v>
      </c>
      <c r="B113" s="4" t="s">
        <v>59</v>
      </c>
      <c r="C113" s="4" t="s">
        <v>64</v>
      </c>
      <c r="D113" s="4" t="s">
        <v>25</v>
      </c>
      <c r="E113" s="4" t="s">
        <v>25</v>
      </c>
      <c r="F113" s="4" t="s">
        <v>25</v>
      </c>
      <c r="G113" s="4" t="s">
        <v>67</v>
      </c>
      <c r="H113" s="4" t="s">
        <v>25</v>
      </c>
      <c r="I113" s="5">
        <v>44501</v>
      </c>
      <c r="J113" s="6">
        <v>39500</v>
      </c>
      <c r="K113" s="6">
        <v>24307.692490000001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66</v>
      </c>
      <c r="R113" s="4">
        <v>215</v>
      </c>
      <c r="S113" s="6">
        <v>6</v>
      </c>
      <c r="T113" s="6">
        <v>0</v>
      </c>
      <c r="U113" s="6">
        <v>0</v>
      </c>
      <c r="V113" s="6">
        <f>IF(ISERROR(VLOOKUP($S$113,'TAR FIN'!$A$1:$O$116,15,0)),0,VLOOKUP($S$113,'TAR FIN'!$A$1:$O$116,15,0))</f>
        <v>3.94</v>
      </c>
      <c r="W113" s="6">
        <f>IF(ISERROR(VLOOKUP($T$113,'TAR FIN'!$A$1:$O$116,15,0)),0,VLOOKUP($T$113,'TAR FIN'!$A$1:$O$116,15,0))</f>
        <v>0</v>
      </c>
      <c r="X113" s="6">
        <f>IF(ISERROR(VLOOKUP($U$113,'TAR FIN'!$A$1:$O$116,15,0)),0,VLOOKUP($U$113,'TAR FIN'!$A$1:$O$116,15,0))</f>
        <v>0</v>
      </c>
      <c r="Y113" s="6">
        <f ca="1">('TUSD BE'!$AM$10+'TUSD BF'!$AM$10+'TUSD CVA'!$AM$10)*1</f>
        <v>4.1263435553812471</v>
      </c>
      <c r="Z113" s="6"/>
      <c r="AA113" s="6"/>
      <c r="AB113" s="6">
        <f>$K$113*$V$113</f>
        <v>95772.308410600002</v>
      </c>
      <c r="AC113" s="6">
        <f>$M$113*$W$113</f>
        <v>0</v>
      </c>
      <c r="AD113" s="6">
        <f>$O$113*$X$113</f>
        <v>0</v>
      </c>
      <c r="AE113" s="6">
        <f ca="1">$K$113*$Y$113</f>
        <v>100301.89025230064</v>
      </c>
      <c r="AF113" s="6">
        <f>$M$113*$Z$113</f>
        <v>0</v>
      </c>
      <c r="AG113" s="6">
        <f>$O$113*$AA$113</f>
        <v>0</v>
      </c>
    </row>
    <row r="114" spans="1:33" ht="11.25" customHeight="1" x14ac:dyDescent="0.25">
      <c r="A114" s="4" t="s">
        <v>21</v>
      </c>
      <c r="B114" s="4" t="s">
        <v>59</v>
      </c>
      <c r="C114" s="4" t="s">
        <v>64</v>
      </c>
      <c r="D114" s="4" t="s">
        <v>25</v>
      </c>
      <c r="E114" s="4" t="s">
        <v>25</v>
      </c>
      <c r="F114" s="4" t="s">
        <v>25</v>
      </c>
      <c r="G114" s="4" t="s">
        <v>69</v>
      </c>
      <c r="H114" s="4" t="s">
        <v>25</v>
      </c>
      <c r="I114" s="5">
        <v>44501</v>
      </c>
      <c r="J114" s="6">
        <v>22000</v>
      </c>
      <c r="K114" s="6">
        <v>22000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66</v>
      </c>
      <c r="R114" s="4">
        <v>473</v>
      </c>
      <c r="S114" s="6">
        <v>7</v>
      </c>
      <c r="T114" s="6">
        <v>0</v>
      </c>
      <c r="U114" s="6">
        <v>0</v>
      </c>
      <c r="V114" s="6">
        <f>IF(ISERROR(VLOOKUP($S$114,'TAR FIN'!$A$1:$O$116,15,0)),0,VLOOKUP($S$114,'TAR FIN'!$A$1:$O$116,15,0))</f>
        <v>5.69</v>
      </c>
      <c r="W114" s="6">
        <f>IF(ISERROR(VLOOKUP($T$114,'TAR FIN'!$A$1:$O$116,15,0)),0,VLOOKUP($T$114,'TAR FIN'!$A$1:$O$116,15,0))</f>
        <v>0</v>
      </c>
      <c r="X114" s="6">
        <f>IF(ISERROR(VLOOKUP($U$114,'TAR FIN'!$A$1:$O$116,15,0)),0,VLOOKUP($U$114,'TAR FIN'!$A$1:$O$116,15,0))</f>
        <v>0</v>
      </c>
      <c r="Y114" s="6">
        <f ca="1">('TUSD BE'!$AM$11+'TUSD BF'!$AM$11+'TUSD CVA'!$AM$11)*1</f>
        <v>5.9725875581129042</v>
      </c>
      <c r="Z114" s="6"/>
      <c r="AA114" s="6"/>
      <c r="AB114" s="6">
        <f>$K$114*$V$114</f>
        <v>125180.00000000001</v>
      </c>
      <c r="AC114" s="6">
        <f>$M$114*$W$114</f>
        <v>0</v>
      </c>
      <c r="AD114" s="6">
        <f>$O$114*$X$114</f>
        <v>0</v>
      </c>
      <c r="AE114" s="6">
        <f ca="1">$K$114*$Y$114</f>
        <v>131396.92627848388</v>
      </c>
      <c r="AF114" s="6">
        <f>$M$114*$Z$114</f>
        <v>0</v>
      </c>
      <c r="AG114" s="6">
        <f>$O$114*$AA$114</f>
        <v>0</v>
      </c>
    </row>
    <row r="115" spans="1:33" ht="11.25" customHeight="1" x14ac:dyDescent="0.25">
      <c r="A115" s="4" t="s">
        <v>21</v>
      </c>
      <c r="B115" s="4" t="s">
        <v>59</v>
      </c>
      <c r="C115" s="4" t="s">
        <v>64</v>
      </c>
      <c r="D115" s="4" t="s">
        <v>25</v>
      </c>
      <c r="E115" s="4" t="s">
        <v>25</v>
      </c>
      <c r="F115" s="4" t="s">
        <v>25</v>
      </c>
      <c r="G115" s="4" t="s">
        <v>72</v>
      </c>
      <c r="H115" s="4" t="s">
        <v>25</v>
      </c>
      <c r="I115" s="5">
        <v>44501</v>
      </c>
      <c r="J115" s="6">
        <v>16500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66</v>
      </c>
      <c r="R115" s="4">
        <v>1047</v>
      </c>
      <c r="S115" s="6">
        <v>8</v>
      </c>
      <c r="T115" s="6">
        <v>0</v>
      </c>
      <c r="U115" s="6">
        <v>0</v>
      </c>
      <c r="V115" s="6">
        <f>IF(ISERROR(VLOOKUP($S$115,'TAR FIN'!$A$1:$O$116,15,0)),0,VLOOKUP($S$115,'TAR FIN'!$A$1:$O$116,15,0))</f>
        <v>5.41</v>
      </c>
      <c r="W115" s="6">
        <f>IF(ISERROR(VLOOKUP($T$115,'TAR FIN'!$A$1:$O$116,15,0)),0,VLOOKUP($T$115,'TAR FIN'!$A$1:$O$116,15,0))</f>
        <v>0</v>
      </c>
      <c r="X115" s="6">
        <f>IF(ISERROR(VLOOKUP($U$115,'TAR FIN'!$A$1:$O$116,15,0)),0,VLOOKUP($U$115,'TAR FIN'!$A$1:$O$116,15,0))</f>
        <v>0</v>
      </c>
      <c r="Y115" s="6">
        <f ca="1">('TUSD BE'!$AM$12+'TUSD BF'!$AM$12+'TUSD CVA'!$AM$12)*1</f>
        <v>5.6770468968387959</v>
      </c>
      <c r="Z115" s="6"/>
      <c r="AA115" s="6"/>
      <c r="AB115" s="6">
        <f>$K$115*$V$115</f>
        <v>0</v>
      </c>
      <c r="AC115" s="6">
        <f>$M$115*$W$115</f>
        <v>0</v>
      </c>
      <c r="AD115" s="6">
        <f>$O$115*$X$115</f>
        <v>0</v>
      </c>
      <c r="AE115" s="6">
        <f ca="1">$K$115*$Y$115</f>
        <v>0</v>
      </c>
      <c r="AF115" s="6">
        <f>$M$115*$Z$115</f>
        <v>0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59</v>
      </c>
      <c r="C116" s="4" t="s">
        <v>64</v>
      </c>
      <c r="D116" s="4" t="s">
        <v>25</v>
      </c>
      <c r="E116" s="4" t="s">
        <v>25</v>
      </c>
      <c r="F116" s="4" t="s">
        <v>25</v>
      </c>
      <c r="G116" s="4" t="s">
        <v>73</v>
      </c>
      <c r="H116" s="4" t="s">
        <v>25</v>
      </c>
      <c r="I116" s="5">
        <v>44501</v>
      </c>
      <c r="J116" s="6">
        <v>5320</v>
      </c>
      <c r="K116" s="6">
        <v>2660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66</v>
      </c>
      <c r="R116" s="4">
        <v>1078</v>
      </c>
      <c r="S116" s="6">
        <v>9</v>
      </c>
      <c r="T116" s="6">
        <v>0</v>
      </c>
      <c r="U116" s="6">
        <v>0</v>
      </c>
      <c r="V116" s="6">
        <f>IF(ISERROR(VLOOKUP($S$116,'TAR FIN'!$A$1:$O$116,15,0)),0,VLOOKUP($S$116,'TAR FIN'!$A$1:$O$116,15,0))</f>
        <v>5.0999999999999996</v>
      </c>
      <c r="W116" s="6">
        <f>IF(ISERROR(VLOOKUP($T$116,'TAR FIN'!$A$1:$O$116,15,0)),0,VLOOKUP($T$116,'TAR FIN'!$A$1:$O$116,15,0))</f>
        <v>0</v>
      </c>
      <c r="X116" s="6">
        <f>IF(ISERROR(VLOOKUP($U$116,'TAR FIN'!$A$1:$O$116,15,0)),0,VLOOKUP($U$116,'TAR FIN'!$A$1:$O$116,15,0))</f>
        <v>0</v>
      </c>
      <c r="Y116" s="6">
        <f ca="1">('TUSD BE'!$AM$13+'TUSD BF'!$AM$13+'TUSD CVA'!$AM$13)*1</f>
        <v>5.3518194805398505</v>
      </c>
      <c r="Z116" s="6"/>
      <c r="AA116" s="6"/>
      <c r="AB116" s="6">
        <f>$K$116*$V$116</f>
        <v>13565.999999999998</v>
      </c>
      <c r="AC116" s="6">
        <f>$M$116*$W$116</f>
        <v>0</v>
      </c>
      <c r="AD116" s="6">
        <f>$O$116*$X$116</f>
        <v>0</v>
      </c>
      <c r="AE116" s="6">
        <f ca="1">$K$116*$Y$116</f>
        <v>14235.839818236002</v>
      </c>
      <c r="AF116" s="6">
        <f>$M$116*$Z$116</f>
        <v>0</v>
      </c>
      <c r="AG116" s="6">
        <f>$O$116*$AA$116</f>
        <v>0</v>
      </c>
    </row>
    <row r="117" spans="1:33" ht="11.25" customHeight="1" x14ac:dyDescent="0.25">
      <c r="A117" s="4" t="s">
        <v>21</v>
      </c>
      <c r="B117" s="4" t="s">
        <v>59</v>
      </c>
      <c r="C117" s="4" t="s">
        <v>64</v>
      </c>
      <c r="D117" s="4" t="s">
        <v>25</v>
      </c>
      <c r="E117" s="4" t="s">
        <v>25</v>
      </c>
      <c r="F117" s="4" t="s">
        <v>25</v>
      </c>
      <c r="G117" s="4" t="s">
        <v>75</v>
      </c>
      <c r="H117" s="4" t="s">
        <v>25</v>
      </c>
      <c r="I117" s="5">
        <v>44501</v>
      </c>
      <c r="J117" s="6">
        <v>42500</v>
      </c>
      <c r="K117" s="6">
        <v>42500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66</v>
      </c>
      <c r="R117" s="4">
        <v>1276</v>
      </c>
      <c r="S117" s="6">
        <v>10</v>
      </c>
      <c r="T117" s="6">
        <v>0</v>
      </c>
      <c r="U117" s="6">
        <v>0</v>
      </c>
      <c r="V117" s="6">
        <f>IF(ISERROR(VLOOKUP($S$117,'TAR FIN'!$A$1:$O$116,15,0)),0,VLOOKUP($S$117,'TAR FIN'!$A$1:$O$116,15,0))</f>
        <v>5.0999999999999996</v>
      </c>
      <c r="W117" s="6">
        <f>IF(ISERROR(VLOOKUP($T$117,'TAR FIN'!$A$1:$O$116,15,0)),0,VLOOKUP($T$117,'TAR FIN'!$A$1:$O$116,15,0))</f>
        <v>0</v>
      </c>
      <c r="X117" s="6">
        <f>IF(ISERROR(VLOOKUP($U$117,'TAR FIN'!$A$1:$O$116,15,0)),0,VLOOKUP($U$117,'TAR FIN'!$A$1:$O$116,15,0))</f>
        <v>0</v>
      </c>
      <c r="Y117" s="6">
        <f ca="1">('TUSD BE'!$AM$14+'TUSD BF'!$AM$14+'TUSD CVA'!$AM$14)*1</f>
        <v>5.3518194805398505</v>
      </c>
      <c r="Z117" s="6"/>
      <c r="AA117" s="6"/>
      <c r="AB117" s="6">
        <f>$K$117*$V$117</f>
        <v>216749.99999999997</v>
      </c>
      <c r="AC117" s="6">
        <f>$M$117*$W$117</f>
        <v>0</v>
      </c>
      <c r="AD117" s="6">
        <f>$O$117*$X$117</f>
        <v>0</v>
      </c>
      <c r="AE117" s="6">
        <f ca="1">$K$117*$Y$117</f>
        <v>227452.32792294363</v>
      </c>
      <c r="AF117" s="6">
        <f>$M$117*$Z$117</f>
        <v>0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59</v>
      </c>
      <c r="C118" s="4" t="s">
        <v>64</v>
      </c>
      <c r="D118" s="4" t="s">
        <v>25</v>
      </c>
      <c r="E118" s="4" t="s">
        <v>25</v>
      </c>
      <c r="F118" s="4" t="s">
        <v>25</v>
      </c>
      <c r="G118" s="4" t="s">
        <v>86</v>
      </c>
      <c r="H118" s="4" t="s">
        <v>25</v>
      </c>
      <c r="I118" s="5">
        <v>44501</v>
      </c>
      <c r="J118" s="6">
        <v>24400</v>
      </c>
      <c r="K118" s="6">
        <v>12200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66</v>
      </c>
      <c r="R118" s="4">
        <v>27532</v>
      </c>
      <c r="S118" s="6">
        <v>11</v>
      </c>
      <c r="T118" s="6">
        <v>0</v>
      </c>
      <c r="U118" s="6">
        <v>0</v>
      </c>
      <c r="V118" s="6">
        <f>IF(ISERROR(VLOOKUP($S$118,'TAR FIN'!$A$1:$O$116,15,0)),0,VLOOKUP($S$118,'TAR FIN'!$A$1:$O$116,15,0))</f>
        <v>4.63</v>
      </c>
      <c r="W118" s="6">
        <f>IF(ISERROR(VLOOKUP($T$118,'TAR FIN'!$A$1:$O$116,15,0)),0,VLOOKUP($T$118,'TAR FIN'!$A$1:$O$116,15,0))</f>
        <v>0</v>
      </c>
      <c r="X118" s="6">
        <f>IF(ISERROR(VLOOKUP($U$118,'TAR FIN'!$A$1:$O$116,15,0)),0,VLOOKUP($U$118,'TAR FIN'!$A$1:$O$116,15,0))</f>
        <v>0</v>
      </c>
      <c r="Y118" s="6">
        <f ca="1">('TUSD BE'!$AM$15+'TUSD BF'!$AM$15+'TUSD CVA'!$AM$15)*1</f>
        <v>4.8520321280503262</v>
      </c>
      <c r="Z118" s="6"/>
      <c r="AA118" s="6"/>
      <c r="AB118" s="6">
        <f>$K$118*$V$118</f>
        <v>56486</v>
      </c>
      <c r="AC118" s="6">
        <f>$M$118*$W$118</f>
        <v>0</v>
      </c>
      <c r="AD118" s="6">
        <f>$O$118*$X$118</f>
        <v>0</v>
      </c>
      <c r="AE118" s="6">
        <f ca="1">$K$118*$Y$118</f>
        <v>59194.791962213982</v>
      </c>
      <c r="AF118" s="6">
        <f>$M$118*$Z$118</f>
        <v>0</v>
      </c>
      <c r="AG118" s="6">
        <f>$O$118*$AA$118</f>
        <v>0</v>
      </c>
    </row>
    <row r="119" spans="1:33" ht="11.25" customHeight="1" x14ac:dyDescent="0.25">
      <c r="A119" s="4" t="s">
        <v>21</v>
      </c>
      <c r="B119" s="4" t="s">
        <v>59</v>
      </c>
      <c r="C119" s="4" t="s">
        <v>64</v>
      </c>
      <c r="D119" s="4" t="s">
        <v>25</v>
      </c>
      <c r="E119" s="4" t="s">
        <v>25</v>
      </c>
      <c r="F119" s="4" t="s">
        <v>25</v>
      </c>
      <c r="G119" s="4" t="s">
        <v>87</v>
      </c>
      <c r="H119" s="4" t="s">
        <v>25</v>
      </c>
      <c r="I119" s="5">
        <v>44501</v>
      </c>
      <c r="J119" s="6">
        <v>25000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66</v>
      </c>
      <c r="R119" s="4">
        <v>27534</v>
      </c>
      <c r="S119" s="6">
        <v>12</v>
      </c>
      <c r="T119" s="6">
        <v>0</v>
      </c>
      <c r="U119" s="6">
        <v>0</v>
      </c>
      <c r="V119" s="6">
        <f>IF(ISERROR(VLOOKUP($S$119,'TAR FIN'!$A$1:$O$116,15,0)),0,VLOOKUP($S$119,'TAR FIN'!$A$1:$O$116,15,0))</f>
        <v>5.58</v>
      </c>
      <c r="W119" s="6">
        <f>IF(ISERROR(VLOOKUP($T$119,'TAR FIN'!$A$1:$O$116,15,0)),0,VLOOKUP($T$119,'TAR FIN'!$A$1:$O$116,15,0))</f>
        <v>0</v>
      </c>
      <c r="X119" s="6">
        <f>IF(ISERROR(VLOOKUP($U$119,'TAR FIN'!$A$1:$O$116,15,0)),0,VLOOKUP($U$119,'TAR FIN'!$A$1:$O$116,15,0))</f>
        <v>0</v>
      </c>
      <c r="Y119" s="6">
        <f ca="1">('TUSD BE'!$AM$16+'TUSD BF'!$AM$16+'TUSD CVA'!$AM$16)*1</f>
        <v>5.862991208798829</v>
      </c>
      <c r="Z119" s="6"/>
      <c r="AA119" s="6"/>
      <c r="AB119" s="6">
        <f>$K$119*$V$119</f>
        <v>0</v>
      </c>
      <c r="AC119" s="6">
        <f>$M$119*$W$119</f>
        <v>0</v>
      </c>
      <c r="AD119" s="6">
        <f>$O$119*$X$119</f>
        <v>0</v>
      </c>
      <c r="AE119" s="6">
        <f ca="1">$K$119*$Y$119</f>
        <v>0</v>
      </c>
      <c r="AF119" s="6">
        <f>$M$119*$Z$119</f>
        <v>0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59</v>
      </c>
      <c r="C120" s="4" t="s">
        <v>64</v>
      </c>
      <c r="D120" s="4" t="s">
        <v>25</v>
      </c>
      <c r="E120" s="4" t="s">
        <v>25</v>
      </c>
      <c r="F120" s="4" t="s">
        <v>25</v>
      </c>
      <c r="G120" s="4" t="s">
        <v>89</v>
      </c>
      <c r="H120" s="4" t="s">
        <v>25</v>
      </c>
      <c r="I120" s="5">
        <v>44501</v>
      </c>
      <c r="J120" s="6">
        <v>12600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66</v>
      </c>
      <c r="R120" s="4">
        <v>27727</v>
      </c>
      <c r="S120" s="6">
        <v>13</v>
      </c>
      <c r="T120" s="6">
        <v>0</v>
      </c>
      <c r="U120" s="6">
        <v>0</v>
      </c>
      <c r="V120" s="6">
        <f>IF(ISERROR(VLOOKUP($S$120,'TAR FIN'!$A$1:$O$116,15,0)),0,VLOOKUP($S$120,'TAR FIN'!$A$1:$O$116,15,0))</f>
        <v>5.37</v>
      </c>
      <c r="W120" s="6">
        <f>IF(ISERROR(VLOOKUP($T$120,'TAR FIN'!$A$1:$O$116,15,0)),0,VLOOKUP($T$120,'TAR FIN'!$A$1:$O$116,15,0))</f>
        <v>0</v>
      </c>
      <c r="X120" s="6">
        <f>IF(ISERROR(VLOOKUP($U$120,'TAR FIN'!$A$1:$O$116,15,0)),0,VLOOKUP($U$120,'TAR FIN'!$A$1:$O$116,15,0))</f>
        <v>0</v>
      </c>
      <c r="Y120" s="6">
        <f ca="1">('TUSD BE'!$AM$17+'TUSD BF'!$AM$17+'TUSD CVA'!$AM$17)*1</f>
        <v>5.6347568025342989</v>
      </c>
      <c r="Z120" s="6"/>
      <c r="AA120" s="6"/>
      <c r="AB120" s="6">
        <f>$K$120*$V$120</f>
        <v>0</v>
      </c>
      <c r="AC120" s="6">
        <f>$M$120*$W$120</f>
        <v>0</v>
      </c>
      <c r="AD120" s="6">
        <f>$O$120*$X$120</f>
        <v>0</v>
      </c>
      <c r="AE120" s="6">
        <f ca="1">$K$120*$Y$120</f>
        <v>0</v>
      </c>
      <c r="AF120" s="6">
        <f>$M$120*$Z$120</f>
        <v>0</v>
      </c>
      <c r="AG120" s="6">
        <f>$O$120*$AA$120</f>
        <v>0</v>
      </c>
    </row>
    <row r="121" spans="1:33" ht="11.25" customHeight="1" x14ac:dyDescent="0.25">
      <c r="A121" s="4" t="s">
        <v>21</v>
      </c>
      <c r="B121" s="4" t="s">
        <v>59</v>
      </c>
      <c r="C121" s="4" t="s">
        <v>64</v>
      </c>
      <c r="D121" s="4" t="s">
        <v>25</v>
      </c>
      <c r="E121" s="4" t="s">
        <v>25</v>
      </c>
      <c r="F121" s="4" t="s">
        <v>25</v>
      </c>
      <c r="G121" s="4" t="s">
        <v>92</v>
      </c>
      <c r="H121" s="4" t="s">
        <v>25</v>
      </c>
      <c r="I121" s="5">
        <v>44501</v>
      </c>
      <c r="J121" s="6">
        <v>8100</v>
      </c>
      <c r="K121" s="6">
        <v>4050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66</v>
      </c>
      <c r="R121" s="4">
        <v>30597</v>
      </c>
      <c r="S121" s="6">
        <v>14</v>
      </c>
      <c r="T121" s="6">
        <v>0</v>
      </c>
      <c r="U121" s="6">
        <v>0</v>
      </c>
      <c r="V121" s="6">
        <f>IF(ISERROR(VLOOKUP($S$121,'TAR FIN'!$A$1:$O$116,15,0)),0,VLOOKUP($S$121,'TAR FIN'!$A$1:$O$116,15,0))</f>
        <v>5.04</v>
      </c>
      <c r="W121" s="6">
        <f>IF(ISERROR(VLOOKUP($T$121,'TAR FIN'!$A$1:$O$116,15,0)),0,VLOOKUP($T$121,'TAR FIN'!$A$1:$O$116,15,0))</f>
        <v>0</v>
      </c>
      <c r="X121" s="6">
        <f>IF(ISERROR(VLOOKUP($U$121,'TAR FIN'!$A$1:$O$116,15,0)),0,VLOOKUP($U$121,'TAR FIN'!$A$1:$O$116,15,0))</f>
        <v>0</v>
      </c>
      <c r="Y121" s="6">
        <f ca="1">('TUSD BE'!$AM$18+'TUSD BF'!$AM$18+'TUSD CVA'!$AM$18)*1</f>
        <v>5.2832968919533032</v>
      </c>
      <c r="Z121" s="6"/>
      <c r="AA121" s="6"/>
      <c r="AB121" s="6">
        <f>$K$121*$V$121</f>
        <v>20412</v>
      </c>
      <c r="AC121" s="6">
        <f>$M$121*$W$121</f>
        <v>0</v>
      </c>
      <c r="AD121" s="6">
        <f>$O$121*$X$121</f>
        <v>0</v>
      </c>
      <c r="AE121" s="6">
        <f ca="1">$K$121*$Y$121</f>
        <v>21397.352412410877</v>
      </c>
      <c r="AF121" s="6">
        <f>$M$121*$Z$121</f>
        <v>0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59</v>
      </c>
      <c r="C122" s="4" t="s">
        <v>64</v>
      </c>
      <c r="D122" s="4" t="s">
        <v>25</v>
      </c>
      <c r="E122" s="4" t="s">
        <v>25</v>
      </c>
      <c r="F122" s="4" t="s">
        <v>25</v>
      </c>
      <c r="G122" s="4" t="s">
        <v>65</v>
      </c>
      <c r="H122" s="4" t="s">
        <v>25</v>
      </c>
      <c r="I122" s="5">
        <v>44531</v>
      </c>
      <c r="J122" s="6">
        <v>1640</v>
      </c>
      <c r="K122" s="6">
        <v>820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66</v>
      </c>
      <c r="R122" s="4">
        <v>104</v>
      </c>
      <c r="S122" s="6">
        <v>5</v>
      </c>
      <c r="T122" s="6">
        <v>0</v>
      </c>
      <c r="U122" s="6">
        <v>0</v>
      </c>
      <c r="V122" s="6">
        <f>IF(ISERROR(VLOOKUP($S$122,'TAR FIN'!$A$1:$O$116,15,0)),0,VLOOKUP($S$122,'TAR FIN'!$A$1:$O$116,15,0))</f>
        <v>5.0999999999999996</v>
      </c>
      <c r="W122" s="6">
        <f>IF(ISERROR(VLOOKUP($T$122,'TAR FIN'!$A$1:$O$116,15,0)),0,VLOOKUP($T$122,'TAR FIN'!$A$1:$O$116,15,0))</f>
        <v>0</v>
      </c>
      <c r="X122" s="6">
        <f>IF(ISERROR(VLOOKUP($U$122,'TAR FIN'!$A$1:$O$116,15,0)),0,VLOOKUP($U$122,'TAR FIN'!$A$1:$O$116,15,0))</f>
        <v>0</v>
      </c>
      <c r="Y122" s="6">
        <f ca="1">('TUSD BE'!$AM$9+'TUSD BF'!$AM$9+'TUSD CVA'!$AM$9)*1</f>
        <v>5.3518194805398505</v>
      </c>
      <c r="Z122" s="6"/>
      <c r="AA122" s="6"/>
      <c r="AB122" s="6">
        <f>$K$122*$V$122</f>
        <v>4182</v>
      </c>
      <c r="AC122" s="6">
        <f>$M$122*$W$122</f>
        <v>0</v>
      </c>
      <c r="AD122" s="6">
        <f>$O$122*$X$122</f>
        <v>0</v>
      </c>
      <c r="AE122" s="6">
        <f ca="1">$K$122*$Y$122</f>
        <v>4388.4919740426776</v>
      </c>
      <c r="AF122" s="6">
        <f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59</v>
      </c>
      <c r="C123" s="4" t="s">
        <v>64</v>
      </c>
      <c r="D123" s="4" t="s">
        <v>25</v>
      </c>
      <c r="E123" s="4" t="s">
        <v>25</v>
      </c>
      <c r="F123" s="4" t="s">
        <v>25</v>
      </c>
      <c r="G123" s="4" t="s">
        <v>67</v>
      </c>
      <c r="H123" s="4" t="s">
        <v>25</v>
      </c>
      <c r="I123" s="5">
        <v>44531</v>
      </c>
      <c r="J123" s="6">
        <v>39500</v>
      </c>
      <c r="K123" s="6">
        <v>24307.692490000001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66</v>
      </c>
      <c r="R123" s="4">
        <v>215</v>
      </c>
      <c r="S123" s="6">
        <v>6</v>
      </c>
      <c r="T123" s="6">
        <v>0</v>
      </c>
      <c r="U123" s="6">
        <v>0</v>
      </c>
      <c r="V123" s="6">
        <f>IF(ISERROR(VLOOKUP($S$123,'TAR FIN'!$A$1:$O$116,15,0)),0,VLOOKUP($S$123,'TAR FIN'!$A$1:$O$116,15,0))</f>
        <v>3.94</v>
      </c>
      <c r="W123" s="6">
        <f>IF(ISERROR(VLOOKUP($T$123,'TAR FIN'!$A$1:$O$116,15,0)),0,VLOOKUP($T$123,'TAR FIN'!$A$1:$O$116,15,0))</f>
        <v>0</v>
      </c>
      <c r="X123" s="6">
        <f>IF(ISERROR(VLOOKUP($U$123,'TAR FIN'!$A$1:$O$116,15,0)),0,VLOOKUP($U$123,'TAR FIN'!$A$1:$O$116,15,0))</f>
        <v>0</v>
      </c>
      <c r="Y123" s="6">
        <f ca="1">('TUSD BE'!$AM$10+'TUSD BF'!$AM$10+'TUSD CVA'!$AM$10)*1</f>
        <v>4.1263435553812471</v>
      </c>
      <c r="Z123" s="6"/>
      <c r="AA123" s="6"/>
      <c r="AB123" s="6">
        <f>$K$123*$V$123</f>
        <v>95772.308410600002</v>
      </c>
      <c r="AC123" s="6">
        <f>$M$123*$W$123</f>
        <v>0</v>
      </c>
      <c r="AD123" s="6">
        <f>$O$123*$X$123</f>
        <v>0</v>
      </c>
      <c r="AE123" s="6">
        <f ca="1">$K$123*$Y$123</f>
        <v>100301.89025230064</v>
      </c>
      <c r="AF123" s="6">
        <f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59</v>
      </c>
      <c r="C124" s="4" t="s">
        <v>64</v>
      </c>
      <c r="D124" s="4" t="s">
        <v>25</v>
      </c>
      <c r="E124" s="4" t="s">
        <v>25</v>
      </c>
      <c r="F124" s="4" t="s">
        <v>25</v>
      </c>
      <c r="G124" s="4" t="s">
        <v>69</v>
      </c>
      <c r="H124" s="4" t="s">
        <v>25</v>
      </c>
      <c r="I124" s="5">
        <v>44531</v>
      </c>
      <c r="J124" s="6">
        <v>22000</v>
      </c>
      <c r="K124" s="6">
        <v>22000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66</v>
      </c>
      <c r="R124" s="4">
        <v>473</v>
      </c>
      <c r="S124" s="6">
        <v>7</v>
      </c>
      <c r="T124" s="6">
        <v>0</v>
      </c>
      <c r="U124" s="6">
        <v>0</v>
      </c>
      <c r="V124" s="6">
        <f>IF(ISERROR(VLOOKUP($S$124,'TAR FIN'!$A$1:$O$116,15,0)),0,VLOOKUP($S$124,'TAR FIN'!$A$1:$O$116,15,0))</f>
        <v>5.69</v>
      </c>
      <c r="W124" s="6">
        <f>IF(ISERROR(VLOOKUP($T$124,'TAR FIN'!$A$1:$O$116,15,0)),0,VLOOKUP($T$124,'TAR FIN'!$A$1:$O$116,15,0))</f>
        <v>0</v>
      </c>
      <c r="X124" s="6">
        <f>IF(ISERROR(VLOOKUP($U$124,'TAR FIN'!$A$1:$O$116,15,0)),0,VLOOKUP($U$124,'TAR FIN'!$A$1:$O$116,15,0))</f>
        <v>0</v>
      </c>
      <c r="Y124" s="6">
        <f ca="1">('TUSD BE'!$AM$11+'TUSD BF'!$AM$11+'TUSD CVA'!$AM$11)*1</f>
        <v>5.9725875581129042</v>
      </c>
      <c r="Z124" s="6"/>
      <c r="AA124" s="6"/>
      <c r="AB124" s="6">
        <f>$K$124*$V$124</f>
        <v>125180.00000000001</v>
      </c>
      <c r="AC124" s="6">
        <f>$M$124*$W$124</f>
        <v>0</v>
      </c>
      <c r="AD124" s="6">
        <f>$O$124*$X$124</f>
        <v>0</v>
      </c>
      <c r="AE124" s="6">
        <f ca="1">$K$124*$Y$124</f>
        <v>131396.92627848388</v>
      </c>
      <c r="AF124" s="6">
        <f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59</v>
      </c>
      <c r="C125" s="4" t="s">
        <v>64</v>
      </c>
      <c r="D125" s="4" t="s">
        <v>25</v>
      </c>
      <c r="E125" s="4" t="s">
        <v>25</v>
      </c>
      <c r="F125" s="4" t="s">
        <v>25</v>
      </c>
      <c r="G125" s="4" t="s">
        <v>72</v>
      </c>
      <c r="H125" s="4" t="s">
        <v>25</v>
      </c>
      <c r="I125" s="5">
        <v>44531</v>
      </c>
      <c r="J125" s="6">
        <v>16500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66</v>
      </c>
      <c r="R125" s="4">
        <v>1047</v>
      </c>
      <c r="S125" s="6">
        <v>8</v>
      </c>
      <c r="T125" s="6">
        <v>0</v>
      </c>
      <c r="U125" s="6">
        <v>0</v>
      </c>
      <c r="V125" s="6">
        <f>IF(ISERROR(VLOOKUP($S$125,'TAR FIN'!$A$1:$O$116,15,0)),0,VLOOKUP($S$125,'TAR FIN'!$A$1:$O$116,15,0))</f>
        <v>5.41</v>
      </c>
      <c r="W125" s="6">
        <f>IF(ISERROR(VLOOKUP($T$125,'TAR FIN'!$A$1:$O$116,15,0)),0,VLOOKUP($T$125,'TAR FIN'!$A$1:$O$116,15,0))</f>
        <v>0</v>
      </c>
      <c r="X125" s="6">
        <f>IF(ISERROR(VLOOKUP($U$125,'TAR FIN'!$A$1:$O$116,15,0)),0,VLOOKUP($U$125,'TAR FIN'!$A$1:$O$116,15,0))</f>
        <v>0</v>
      </c>
      <c r="Y125" s="6">
        <f ca="1">('TUSD BE'!$AM$12+'TUSD BF'!$AM$12+'TUSD CVA'!$AM$12)*1</f>
        <v>5.6770468968387959</v>
      </c>
      <c r="Z125" s="6"/>
      <c r="AA125" s="6"/>
      <c r="AB125" s="6">
        <f>$K$125*$V$125</f>
        <v>0</v>
      </c>
      <c r="AC125" s="6">
        <f>$M$125*$W$125</f>
        <v>0</v>
      </c>
      <c r="AD125" s="6">
        <f>$O$125*$X$125</f>
        <v>0</v>
      </c>
      <c r="AE125" s="6">
        <f ca="1">$K$125*$Y$125</f>
        <v>0</v>
      </c>
      <c r="AF125" s="6">
        <f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59</v>
      </c>
      <c r="C126" s="4" t="s">
        <v>64</v>
      </c>
      <c r="D126" s="4" t="s">
        <v>25</v>
      </c>
      <c r="E126" s="4" t="s">
        <v>25</v>
      </c>
      <c r="F126" s="4" t="s">
        <v>25</v>
      </c>
      <c r="G126" s="4" t="s">
        <v>73</v>
      </c>
      <c r="H126" s="4" t="s">
        <v>25</v>
      </c>
      <c r="I126" s="5">
        <v>44531</v>
      </c>
      <c r="J126" s="6">
        <v>5320</v>
      </c>
      <c r="K126" s="6">
        <v>2660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66</v>
      </c>
      <c r="R126" s="4">
        <v>1078</v>
      </c>
      <c r="S126" s="6">
        <v>9</v>
      </c>
      <c r="T126" s="6">
        <v>0</v>
      </c>
      <c r="U126" s="6">
        <v>0</v>
      </c>
      <c r="V126" s="6">
        <f>IF(ISERROR(VLOOKUP($S$126,'TAR FIN'!$A$1:$O$116,15,0)),0,VLOOKUP($S$126,'TAR FIN'!$A$1:$O$116,15,0))</f>
        <v>5.0999999999999996</v>
      </c>
      <c r="W126" s="6">
        <f>IF(ISERROR(VLOOKUP($T$126,'TAR FIN'!$A$1:$O$116,15,0)),0,VLOOKUP($T$126,'TAR FIN'!$A$1:$O$116,15,0))</f>
        <v>0</v>
      </c>
      <c r="X126" s="6">
        <f>IF(ISERROR(VLOOKUP($U$126,'TAR FIN'!$A$1:$O$116,15,0)),0,VLOOKUP($U$126,'TAR FIN'!$A$1:$O$116,15,0))</f>
        <v>0</v>
      </c>
      <c r="Y126" s="6">
        <f ca="1">('TUSD BE'!$AM$13+'TUSD BF'!$AM$13+'TUSD CVA'!$AM$13)*1</f>
        <v>5.3518194805398505</v>
      </c>
      <c r="Z126" s="6"/>
      <c r="AA126" s="6"/>
      <c r="AB126" s="6">
        <f>$K$126*$V$126</f>
        <v>13565.999999999998</v>
      </c>
      <c r="AC126" s="6">
        <f>$M$126*$W$126</f>
        <v>0</v>
      </c>
      <c r="AD126" s="6">
        <f>$O$126*$X$126</f>
        <v>0</v>
      </c>
      <c r="AE126" s="6">
        <f ca="1">$K$126*$Y$126</f>
        <v>14235.839818236002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59</v>
      </c>
      <c r="C127" s="4" t="s">
        <v>64</v>
      </c>
      <c r="D127" s="4" t="s">
        <v>25</v>
      </c>
      <c r="E127" s="4" t="s">
        <v>25</v>
      </c>
      <c r="F127" s="4" t="s">
        <v>25</v>
      </c>
      <c r="G127" s="4" t="s">
        <v>75</v>
      </c>
      <c r="H127" s="4" t="s">
        <v>25</v>
      </c>
      <c r="I127" s="5">
        <v>44531</v>
      </c>
      <c r="J127" s="6">
        <v>42500</v>
      </c>
      <c r="K127" s="6">
        <v>42500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66</v>
      </c>
      <c r="R127" s="4">
        <v>1276</v>
      </c>
      <c r="S127" s="6">
        <v>10</v>
      </c>
      <c r="T127" s="6">
        <v>0</v>
      </c>
      <c r="U127" s="6">
        <v>0</v>
      </c>
      <c r="V127" s="6">
        <f>IF(ISERROR(VLOOKUP($S$127,'TAR FIN'!$A$1:$O$116,15,0)),0,VLOOKUP($S$127,'TAR FIN'!$A$1:$O$116,15,0))</f>
        <v>5.0999999999999996</v>
      </c>
      <c r="W127" s="6">
        <f>IF(ISERROR(VLOOKUP($T$127,'TAR FIN'!$A$1:$O$116,15,0)),0,VLOOKUP($T$127,'TAR FIN'!$A$1:$O$116,15,0))</f>
        <v>0</v>
      </c>
      <c r="X127" s="6">
        <f>IF(ISERROR(VLOOKUP($U$127,'TAR FIN'!$A$1:$O$116,15,0)),0,VLOOKUP($U$127,'TAR FIN'!$A$1:$O$116,15,0))</f>
        <v>0</v>
      </c>
      <c r="Y127" s="6">
        <f ca="1">('TUSD BE'!$AM$14+'TUSD BF'!$AM$14+'TUSD CVA'!$AM$14)*1</f>
        <v>5.3518194805398505</v>
      </c>
      <c r="Z127" s="6"/>
      <c r="AA127" s="6"/>
      <c r="AB127" s="6">
        <f>$K$127*$V$127</f>
        <v>216749.99999999997</v>
      </c>
      <c r="AC127" s="6">
        <f>$M$127*$W$127</f>
        <v>0</v>
      </c>
      <c r="AD127" s="6">
        <f>$O$127*$X$127</f>
        <v>0</v>
      </c>
      <c r="AE127" s="6">
        <f ca="1">$K$127*$Y$127</f>
        <v>227452.32792294363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59</v>
      </c>
      <c r="C128" s="4" t="s">
        <v>64</v>
      </c>
      <c r="D128" s="4" t="s">
        <v>25</v>
      </c>
      <c r="E128" s="4" t="s">
        <v>25</v>
      </c>
      <c r="F128" s="4" t="s">
        <v>25</v>
      </c>
      <c r="G128" s="4" t="s">
        <v>86</v>
      </c>
      <c r="H128" s="4" t="s">
        <v>25</v>
      </c>
      <c r="I128" s="5">
        <v>44531</v>
      </c>
      <c r="J128" s="6">
        <v>24400</v>
      </c>
      <c r="K128" s="6">
        <v>12200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66</v>
      </c>
      <c r="R128" s="4">
        <v>27532</v>
      </c>
      <c r="S128" s="6">
        <v>11</v>
      </c>
      <c r="T128" s="6">
        <v>0</v>
      </c>
      <c r="U128" s="6">
        <v>0</v>
      </c>
      <c r="V128" s="6">
        <f>IF(ISERROR(VLOOKUP($S$128,'TAR FIN'!$A$1:$O$116,15,0)),0,VLOOKUP($S$128,'TAR FIN'!$A$1:$O$116,15,0))</f>
        <v>4.63</v>
      </c>
      <c r="W128" s="6">
        <f>IF(ISERROR(VLOOKUP($T$128,'TAR FIN'!$A$1:$O$116,15,0)),0,VLOOKUP($T$128,'TAR FIN'!$A$1:$O$116,15,0))</f>
        <v>0</v>
      </c>
      <c r="X128" s="6">
        <f>IF(ISERROR(VLOOKUP($U$128,'TAR FIN'!$A$1:$O$116,15,0)),0,VLOOKUP($U$128,'TAR FIN'!$A$1:$O$116,15,0))</f>
        <v>0</v>
      </c>
      <c r="Y128" s="6">
        <f ca="1">('TUSD BE'!$AM$15+'TUSD BF'!$AM$15+'TUSD CVA'!$AM$15)*1</f>
        <v>4.8520321280503262</v>
      </c>
      <c r="Z128" s="6"/>
      <c r="AA128" s="6"/>
      <c r="AB128" s="6">
        <f>$K$128*$V$128</f>
        <v>56486</v>
      </c>
      <c r="AC128" s="6">
        <f>$M$128*$W$128</f>
        <v>0</v>
      </c>
      <c r="AD128" s="6">
        <f>$O$128*$X$128</f>
        <v>0</v>
      </c>
      <c r="AE128" s="6">
        <f ca="1">$K$128*$Y$128</f>
        <v>59194.791962213982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59</v>
      </c>
      <c r="C129" s="4" t="s">
        <v>64</v>
      </c>
      <c r="D129" s="4" t="s">
        <v>25</v>
      </c>
      <c r="E129" s="4" t="s">
        <v>25</v>
      </c>
      <c r="F129" s="4" t="s">
        <v>25</v>
      </c>
      <c r="G129" s="4" t="s">
        <v>87</v>
      </c>
      <c r="H129" s="4" t="s">
        <v>25</v>
      </c>
      <c r="I129" s="5">
        <v>44531</v>
      </c>
      <c r="J129" s="6">
        <v>25000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66</v>
      </c>
      <c r="R129" s="4">
        <v>27534</v>
      </c>
      <c r="S129" s="6">
        <v>12</v>
      </c>
      <c r="T129" s="6">
        <v>0</v>
      </c>
      <c r="U129" s="6">
        <v>0</v>
      </c>
      <c r="V129" s="6">
        <f>IF(ISERROR(VLOOKUP($S$129,'TAR FIN'!$A$1:$O$116,15,0)),0,VLOOKUP($S$129,'TAR FIN'!$A$1:$O$116,15,0))</f>
        <v>5.58</v>
      </c>
      <c r="W129" s="6">
        <f>IF(ISERROR(VLOOKUP($T$129,'TAR FIN'!$A$1:$O$116,15,0)),0,VLOOKUP($T$129,'TAR FIN'!$A$1:$O$116,15,0))</f>
        <v>0</v>
      </c>
      <c r="X129" s="6">
        <f>IF(ISERROR(VLOOKUP($U$129,'TAR FIN'!$A$1:$O$116,15,0)),0,VLOOKUP($U$129,'TAR FIN'!$A$1:$O$116,15,0))</f>
        <v>0</v>
      </c>
      <c r="Y129" s="6">
        <f ca="1">('TUSD BE'!$AM$16+'TUSD BF'!$AM$16+'TUSD CVA'!$AM$16)*1</f>
        <v>5.862991208798829</v>
      </c>
      <c r="Z129" s="6"/>
      <c r="AA129" s="6"/>
      <c r="AB129" s="6">
        <f>$K$129*$V$129</f>
        <v>0</v>
      </c>
      <c r="AC129" s="6">
        <f>$M$129*$W$129</f>
        <v>0</v>
      </c>
      <c r="AD129" s="6">
        <f>$O$129*$X$129</f>
        <v>0</v>
      </c>
      <c r="AE129" s="6">
        <f ca="1">$K$129*$Y$129</f>
        <v>0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59</v>
      </c>
      <c r="C130" s="4" t="s">
        <v>64</v>
      </c>
      <c r="D130" s="4" t="s">
        <v>25</v>
      </c>
      <c r="E130" s="4" t="s">
        <v>25</v>
      </c>
      <c r="F130" s="4" t="s">
        <v>25</v>
      </c>
      <c r="G130" s="4" t="s">
        <v>89</v>
      </c>
      <c r="H130" s="4" t="s">
        <v>25</v>
      </c>
      <c r="I130" s="5">
        <v>44531</v>
      </c>
      <c r="J130" s="6">
        <v>12600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66</v>
      </c>
      <c r="R130" s="4">
        <v>27727</v>
      </c>
      <c r="S130" s="6">
        <v>13</v>
      </c>
      <c r="T130" s="6">
        <v>0</v>
      </c>
      <c r="U130" s="6">
        <v>0</v>
      </c>
      <c r="V130" s="6">
        <f>IF(ISERROR(VLOOKUP($S$130,'TAR FIN'!$A$1:$O$116,15,0)),0,VLOOKUP($S$130,'TAR FIN'!$A$1:$O$116,15,0))</f>
        <v>5.37</v>
      </c>
      <c r="W130" s="6">
        <f>IF(ISERROR(VLOOKUP($T$130,'TAR FIN'!$A$1:$O$116,15,0)),0,VLOOKUP($T$130,'TAR FIN'!$A$1:$O$116,15,0))</f>
        <v>0</v>
      </c>
      <c r="X130" s="6">
        <f>IF(ISERROR(VLOOKUP($U$130,'TAR FIN'!$A$1:$O$116,15,0)),0,VLOOKUP($U$130,'TAR FIN'!$A$1:$O$116,15,0))</f>
        <v>0</v>
      </c>
      <c r="Y130" s="6">
        <f ca="1">('TUSD BE'!$AM$17+'TUSD BF'!$AM$17+'TUSD CVA'!$AM$17)*1</f>
        <v>5.6347568025342989</v>
      </c>
      <c r="Z130" s="6"/>
      <c r="AA130" s="6"/>
      <c r="AB130" s="6">
        <f>$K$130*$V$130</f>
        <v>0</v>
      </c>
      <c r="AC130" s="6">
        <f>$M$130*$W$130</f>
        <v>0</v>
      </c>
      <c r="AD130" s="6">
        <f>$O$130*$X$130</f>
        <v>0</v>
      </c>
      <c r="AE130" s="6">
        <f ca="1">$K$130*$Y$130</f>
        <v>0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59</v>
      </c>
      <c r="C131" s="4" t="s">
        <v>64</v>
      </c>
      <c r="D131" s="4" t="s">
        <v>25</v>
      </c>
      <c r="E131" s="4" t="s">
        <v>25</v>
      </c>
      <c r="F131" s="4" t="s">
        <v>25</v>
      </c>
      <c r="G131" s="4" t="s">
        <v>92</v>
      </c>
      <c r="H131" s="4" t="s">
        <v>25</v>
      </c>
      <c r="I131" s="5">
        <v>44531</v>
      </c>
      <c r="J131" s="6">
        <v>8100</v>
      </c>
      <c r="K131" s="6">
        <v>4050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66</v>
      </c>
      <c r="R131" s="4">
        <v>30597</v>
      </c>
      <c r="S131" s="6">
        <v>14</v>
      </c>
      <c r="T131" s="6">
        <v>0</v>
      </c>
      <c r="U131" s="6">
        <v>0</v>
      </c>
      <c r="V131" s="6">
        <f>IF(ISERROR(VLOOKUP($S$131,'TAR FIN'!$A$1:$O$116,15,0)),0,VLOOKUP($S$131,'TAR FIN'!$A$1:$O$116,15,0))</f>
        <v>5.04</v>
      </c>
      <c r="W131" s="6">
        <f>IF(ISERROR(VLOOKUP($T$131,'TAR FIN'!$A$1:$O$116,15,0)),0,VLOOKUP($T$131,'TAR FIN'!$A$1:$O$116,15,0))</f>
        <v>0</v>
      </c>
      <c r="X131" s="6">
        <f>IF(ISERROR(VLOOKUP($U$131,'TAR FIN'!$A$1:$O$116,15,0)),0,VLOOKUP($U$131,'TAR FIN'!$A$1:$O$116,15,0))</f>
        <v>0</v>
      </c>
      <c r="Y131" s="6">
        <f ca="1">('TUSD BE'!$AM$18+'TUSD BF'!$AM$18+'TUSD CVA'!$AM$18)*1</f>
        <v>5.2832968919533032</v>
      </c>
      <c r="Z131" s="6"/>
      <c r="AA131" s="6"/>
      <c r="AB131" s="6">
        <f>$K$131*$V$131</f>
        <v>20412</v>
      </c>
      <c r="AC131" s="6">
        <f>$M$131*$W$131</f>
        <v>0</v>
      </c>
      <c r="AD131" s="6">
        <f>$O$131*$X$131</f>
        <v>0</v>
      </c>
      <c r="AE131" s="6">
        <f ca="1">$K$131*$Y$131</f>
        <v>21397.352412410877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59</v>
      </c>
      <c r="C132" s="4" t="s">
        <v>64</v>
      </c>
      <c r="D132" s="4" t="s">
        <v>25</v>
      </c>
      <c r="E132" s="4" t="s">
        <v>25</v>
      </c>
      <c r="F132" s="4" t="s">
        <v>25</v>
      </c>
      <c r="G132" s="4" t="s">
        <v>65</v>
      </c>
      <c r="H132" s="4" t="s">
        <v>25</v>
      </c>
      <c r="I132" s="5">
        <v>44562</v>
      </c>
      <c r="J132" s="6">
        <v>1640</v>
      </c>
      <c r="K132" s="6">
        <v>820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66</v>
      </c>
      <c r="R132" s="4">
        <v>104</v>
      </c>
      <c r="S132" s="6">
        <v>5</v>
      </c>
      <c r="T132" s="6">
        <v>0</v>
      </c>
      <c r="U132" s="6">
        <v>0</v>
      </c>
      <c r="V132" s="6">
        <f>IF(ISERROR(VLOOKUP($S$132,'TAR FIN'!$A$1:$O$116,15,0)),0,VLOOKUP($S$132,'TAR FIN'!$A$1:$O$116,15,0))</f>
        <v>5.0999999999999996</v>
      </c>
      <c r="W132" s="6">
        <f>IF(ISERROR(VLOOKUP($T$132,'TAR FIN'!$A$1:$O$116,15,0)),0,VLOOKUP($T$132,'TAR FIN'!$A$1:$O$116,15,0))</f>
        <v>0</v>
      </c>
      <c r="X132" s="6">
        <f>IF(ISERROR(VLOOKUP($U$132,'TAR FIN'!$A$1:$O$116,15,0)),0,VLOOKUP($U$132,'TAR FIN'!$A$1:$O$116,15,0))</f>
        <v>0</v>
      </c>
      <c r="Y132" s="6">
        <f ca="1">('TUSD BE'!$AM$9+'TUSD BF'!$AM$9+'TUSD CVA'!$AM$9)*1</f>
        <v>5.3518194805398505</v>
      </c>
      <c r="Z132" s="6"/>
      <c r="AA132" s="6"/>
      <c r="AB132" s="6">
        <f>$K$132*$V$132</f>
        <v>4182</v>
      </c>
      <c r="AC132" s="6">
        <f>$M$132*$W$132</f>
        <v>0</v>
      </c>
      <c r="AD132" s="6">
        <f>$O$132*$X$132</f>
        <v>0</v>
      </c>
      <c r="AE132" s="6">
        <f ca="1">$K$132*$Y$132</f>
        <v>4388.4919740426776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59</v>
      </c>
      <c r="C133" s="4" t="s">
        <v>64</v>
      </c>
      <c r="D133" s="4" t="s">
        <v>25</v>
      </c>
      <c r="E133" s="4" t="s">
        <v>25</v>
      </c>
      <c r="F133" s="4" t="s">
        <v>25</v>
      </c>
      <c r="G133" s="4" t="s">
        <v>67</v>
      </c>
      <c r="H133" s="4" t="s">
        <v>25</v>
      </c>
      <c r="I133" s="5">
        <v>44562</v>
      </c>
      <c r="J133" s="6">
        <v>39500</v>
      </c>
      <c r="K133" s="6">
        <v>24307.692490000001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66</v>
      </c>
      <c r="R133" s="4">
        <v>215</v>
      </c>
      <c r="S133" s="6">
        <v>6</v>
      </c>
      <c r="T133" s="6">
        <v>0</v>
      </c>
      <c r="U133" s="6">
        <v>0</v>
      </c>
      <c r="V133" s="6">
        <f>IF(ISERROR(VLOOKUP($S$133,'TAR FIN'!$A$1:$O$116,15,0)),0,VLOOKUP($S$133,'TAR FIN'!$A$1:$O$116,15,0))</f>
        <v>3.94</v>
      </c>
      <c r="W133" s="6">
        <f>IF(ISERROR(VLOOKUP($T$133,'TAR FIN'!$A$1:$O$116,15,0)),0,VLOOKUP($T$133,'TAR FIN'!$A$1:$O$116,15,0))</f>
        <v>0</v>
      </c>
      <c r="X133" s="6">
        <f>IF(ISERROR(VLOOKUP($U$133,'TAR FIN'!$A$1:$O$116,15,0)),0,VLOOKUP($U$133,'TAR FIN'!$A$1:$O$116,15,0))</f>
        <v>0</v>
      </c>
      <c r="Y133" s="6">
        <f ca="1">('TUSD BE'!$AM$10+'TUSD BF'!$AM$10+'TUSD CVA'!$AM$10)*1</f>
        <v>4.1263435553812471</v>
      </c>
      <c r="Z133" s="6"/>
      <c r="AA133" s="6"/>
      <c r="AB133" s="6">
        <f>$K$133*$V$133</f>
        <v>95772.308410600002</v>
      </c>
      <c r="AC133" s="6">
        <f>$M$133*$W$133</f>
        <v>0</v>
      </c>
      <c r="AD133" s="6">
        <f>$O$133*$X$133</f>
        <v>0</v>
      </c>
      <c r="AE133" s="6">
        <f ca="1">$K$133*$Y$133</f>
        <v>100301.89025230064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59</v>
      </c>
      <c r="C134" s="4" t="s">
        <v>64</v>
      </c>
      <c r="D134" s="4" t="s">
        <v>25</v>
      </c>
      <c r="E134" s="4" t="s">
        <v>25</v>
      </c>
      <c r="F134" s="4" t="s">
        <v>25</v>
      </c>
      <c r="G134" s="4" t="s">
        <v>69</v>
      </c>
      <c r="H134" s="4" t="s">
        <v>25</v>
      </c>
      <c r="I134" s="5">
        <v>44562</v>
      </c>
      <c r="J134" s="6">
        <v>22000</v>
      </c>
      <c r="K134" s="6">
        <v>22000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66</v>
      </c>
      <c r="R134" s="4">
        <v>473</v>
      </c>
      <c r="S134" s="6">
        <v>7</v>
      </c>
      <c r="T134" s="6">
        <v>0</v>
      </c>
      <c r="U134" s="6">
        <v>0</v>
      </c>
      <c r="V134" s="6">
        <f>IF(ISERROR(VLOOKUP($S$134,'TAR FIN'!$A$1:$O$116,15,0)),0,VLOOKUP($S$134,'TAR FIN'!$A$1:$O$116,15,0))</f>
        <v>5.69</v>
      </c>
      <c r="W134" s="6">
        <f>IF(ISERROR(VLOOKUP($T$134,'TAR FIN'!$A$1:$O$116,15,0)),0,VLOOKUP($T$134,'TAR FIN'!$A$1:$O$116,15,0))</f>
        <v>0</v>
      </c>
      <c r="X134" s="6">
        <f>IF(ISERROR(VLOOKUP($U$134,'TAR FIN'!$A$1:$O$116,15,0)),0,VLOOKUP($U$134,'TAR FIN'!$A$1:$O$116,15,0))</f>
        <v>0</v>
      </c>
      <c r="Y134" s="6">
        <f ca="1">('TUSD BE'!$AM$11+'TUSD BF'!$AM$11+'TUSD CVA'!$AM$11)*1</f>
        <v>5.9725875581129042</v>
      </c>
      <c r="Z134" s="6"/>
      <c r="AA134" s="6"/>
      <c r="AB134" s="6">
        <f>$K$134*$V$134</f>
        <v>125180.00000000001</v>
      </c>
      <c r="AC134" s="6">
        <f>$M$134*$W$134</f>
        <v>0</v>
      </c>
      <c r="AD134" s="6">
        <f>$O$134*$X$134</f>
        <v>0</v>
      </c>
      <c r="AE134" s="6">
        <f ca="1">$K$134*$Y$134</f>
        <v>131396.92627848388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59</v>
      </c>
      <c r="C135" s="4" t="s">
        <v>64</v>
      </c>
      <c r="D135" s="4" t="s">
        <v>25</v>
      </c>
      <c r="E135" s="4" t="s">
        <v>25</v>
      </c>
      <c r="F135" s="4" t="s">
        <v>25</v>
      </c>
      <c r="G135" s="4" t="s">
        <v>72</v>
      </c>
      <c r="H135" s="4" t="s">
        <v>25</v>
      </c>
      <c r="I135" s="5">
        <v>44562</v>
      </c>
      <c r="J135" s="6">
        <v>16500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66</v>
      </c>
      <c r="R135" s="4">
        <v>1047</v>
      </c>
      <c r="S135" s="6">
        <v>8</v>
      </c>
      <c r="T135" s="6">
        <v>0</v>
      </c>
      <c r="U135" s="6">
        <v>0</v>
      </c>
      <c r="V135" s="6">
        <f>IF(ISERROR(VLOOKUP($S$135,'TAR FIN'!$A$1:$O$116,15,0)),0,VLOOKUP($S$135,'TAR FIN'!$A$1:$O$116,15,0))</f>
        <v>5.41</v>
      </c>
      <c r="W135" s="6">
        <f>IF(ISERROR(VLOOKUP($T$135,'TAR FIN'!$A$1:$O$116,15,0)),0,VLOOKUP($T$135,'TAR FIN'!$A$1:$O$116,15,0))</f>
        <v>0</v>
      </c>
      <c r="X135" s="6">
        <f>IF(ISERROR(VLOOKUP($U$135,'TAR FIN'!$A$1:$O$116,15,0)),0,VLOOKUP($U$135,'TAR FIN'!$A$1:$O$116,15,0))</f>
        <v>0</v>
      </c>
      <c r="Y135" s="6">
        <f ca="1">('TUSD BE'!$AM$12+'TUSD BF'!$AM$12+'TUSD CVA'!$AM$12)*1</f>
        <v>5.6770468968387959</v>
      </c>
      <c r="Z135" s="6"/>
      <c r="AA135" s="6"/>
      <c r="AB135" s="6">
        <f>$K$135*$V$135</f>
        <v>0</v>
      </c>
      <c r="AC135" s="6">
        <f>$M$135*$W$135</f>
        <v>0</v>
      </c>
      <c r="AD135" s="6">
        <f>$O$135*$X$135</f>
        <v>0</v>
      </c>
      <c r="AE135" s="6">
        <f ca="1">$K$135*$Y$135</f>
        <v>0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59</v>
      </c>
      <c r="C136" s="4" t="s">
        <v>64</v>
      </c>
      <c r="D136" s="4" t="s">
        <v>25</v>
      </c>
      <c r="E136" s="4" t="s">
        <v>25</v>
      </c>
      <c r="F136" s="4" t="s">
        <v>25</v>
      </c>
      <c r="G136" s="4" t="s">
        <v>73</v>
      </c>
      <c r="H136" s="4" t="s">
        <v>25</v>
      </c>
      <c r="I136" s="5">
        <v>44562</v>
      </c>
      <c r="J136" s="6">
        <v>5320</v>
      </c>
      <c r="K136" s="6">
        <v>2660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66</v>
      </c>
      <c r="R136" s="4">
        <v>1078</v>
      </c>
      <c r="S136" s="6">
        <v>9</v>
      </c>
      <c r="T136" s="6">
        <v>0</v>
      </c>
      <c r="U136" s="6">
        <v>0</v>
      </c>
      <c r="V136" s="6">
        <f>IF(ISERROR(VLOOKUP($S$136,'TAR FIN'!$A$1:$O$116,15,0)),0,VLOOKUP($S$136,'TAR FIN'!$A$1:$O$116,15,0))</f>
        <v>5.0999999999999996</v>
      </c>
      <c r="W136" s="6">
        <f>IF(ISERROR(VLOOKUP($T$136,'TAR FIN'!$A$1:$O$116,15,0)),0,VLOOKUP($T$136,'TAR FIN'!$A$1:$O$116,15,0))</f>
        <v>0</v>
      </c>
      <c r="X136" s="6">
        <f>IF(ISERROR(VLOOKUP($U$136,'TAR FIN'!$A$1:$O$116,15,0)),0,VLOOKUP($U$136,'TAR FIN'!$A$1:$O$116,15,0))</f>
        <v>0</v>
      </c>
      <c r="Y136" s="6">
        <f ca="1">('TUSD BE'!$AM$13+'TUSD BF'!$AM$13+'TUSD CVA'!$AM$13)*1</f>
        <v>5.3518194805398505</v>
      </c>
      <c r="Z136" s="6"/>
      <c r="AA136" s="6"/>
      <c r="AB136" s="6">
        <f>$K$136*$V$136</f>
        <v>13565.999999999998</v>
      </c>
      <c r="AC136" s="6">
        <f>$M$136*$W$136</f>
        <v>0</v>
      </c>
      <c r="AD136" s="6">
        <f>$O$136*$X$136</f>
        <v>0</v>
      </c>
      <c r="AE136" s="6">
        <f ca="1">$K$136*$Y$136</f>
        <v>14235.839818236002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59</v>
      </c>
      <c r="C137" s="4" t="s">
        <v>64</v>
      </c>
      <c r="D137" s="4" t="s">
        <v>25</v>
      </c>
      <c r="E137" s="4" t="s">
        <v>25</v>
      </c>
      <c r="F137" s="4" t="s">
        <v>25</v>
      </c>
      <c r="G137" s="4" t="s">
        <v>75</v>
      </c>
      <c r="H137" s="4" t="s">
        <v>25</v>
      </c>
      <c r="I137" s="5">
        <v>44562</v>
      </c>
      <c r="J137" s="6">
        <v>42500</v>
      </c>
      <c r="K137" s="6">
        <v>42500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66</v>
      </c>
      <c r="R137" s="4">
        <v>1276</v>
      </c>
      <c r="S137" s="6">
        <v>10</v>
      </c>
      <c r="T137" s="6">
        <v>0</v>
      </c>
      <c r="U137" s="6">
        <v>0</v>
      </c>
      <c r="V137" s="6">
        <f>IF(ISERROR(VLOOKUP($S$137,'TAR FIN'!$A$1:$O$116,15,0)),0,VLOOKUP($S$137,'TAR FIN'!$A$1:$O$116,15,0))</f>
        <v>5.0999999999999996</v>
      </c>
      <c r="W137" s="6">
        <f>IF(ISERROR(VLOOKUP($T$137,'TAR FIN'!$A$1:$O$116,15,0)),0,VLOOKUP($T$137,'TAR FIN'!$A$1:$O$116,15,0))</f>
        <v>0</v>
      </c>
      <c r="X137" s="6">
        <f>IF(ISERROR(VLOOKUP($U$137,'TAR FIN'!$A$1:$O$116,15,0)),0,VLOOKUP($U$137,'TAR FIN'!$A$1:$O$116,15,0))</f>
        <v>0</v>
      </c>
      <c r="Y137" s="6">
        <f ca="1">('TUSD BE'!$AM$14+'TUSD BF'!$AM$14+'TUSD CVA'!$AM$14)*1</f>
        <v>5.3518194805398505</v>
      </c>
      <c r="Z137" s="6"/>
      <c r="AA137" s="6"/>
      <c r="AB137" s="6">
        <f>$K$137*$V$137</f>
        <v>216749.99999999997</v>
      </c>
      <c r="AC137" s="6">
        <f>$M$137*$W$137</f>
        <v>0</v>
      </c>
      <c r="AD137" s="6">
        <f>$O$137*$X$137</f>
        <v>0</v>
      </c>
      <c r="AE137" s="6">
        <f ca="1">$K$137*$Y$137</f>
        <v>227452.32792294363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59</v>
      </c>
      <c r="C138" s="4" t="s">
        <v>64</v>
      </c>
      <c r="D138" s="4" t="s">
        <v>25</v>
      </c>
      <c r="E138" s="4" t="s">
        <v>25</v>
      </c>
      <c r="F138" s="4" t="s">
        <v>25</v>
      </c>
      <c r="G138" s="4" t="s">
        <v>86</v>
      </c>
      <c r="H138" s="4" t="s">
        <v>25</v>
      </c>
      <c r="I138" s="5">
        <v>44562</v>
      </c>
      <c r="J138" s="6">
        <v>24400</v>
      </c>
      <c r="K138" s="6">
        <v>12200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66</v>
      </c>
      <c r="R138" s="4">
        <v>27532</v>
      </c>
      <c r="S138" s="6">
        <v>11</v>
      </c>
      <c r="T138" s="6">
        <v>0</v>
      </c>
      <c r="U138" s="6">
        <v>0</v>
      </c>
      <c r="V138" s="6">
        <f>IF(ISERROR(VLOOKUP($S$138,'TAR FIN'!$A$1:$O$116,15,0)),0,VLOOKUP($S$138,'TAR FIN'!$A$1:$O$116,15,0))</f>
        <v>4.63</v>
      </c>
      <c r="W138" s="6">
        <f>IF(ISERROR(VLOOKUP($T$138,'TAR FIN'!$A$1:$O$116,15,0)),0,VLOOKUP($T$138,'TAR FIN'!$A$1:$O$116,15,0))</f>
        <v>0</v>
      </c>
      <c r="X138" s="6">
        <f>IF(ISERROR(VLOOKUP($U$138,'TAR FIN'!$A$1:$O$116,15,0)),0,VLOOKUP($U$138,'TAR FIN'!$A$1:$O$116,15,0))</f>
        <v>0</v>
      </c>
      <c r="Y138" s="6">
        <f ca="1">('TUSD BE'!$AM$15+'TUSD BF'!$AM$15+'TUSD CVA'!$AM$15)*1</f>
        <v>4.8520321280503262</v>
      </c>
      <c r="Z138" s="6"/>
      <c r="AA138" s="6"/>
      <c r="AB138" s="6">
        <f>$K$138*$V$138</f>
        <v>56486</v>
      </c>
      <c r="AC138" s="6">
        <f>$M$138*$W$138</f>
        <v>0</v>
      </c>
      <c r="AD138" s="6">
        <f>$O$138*$X$138</f>
        <v>0</v>
      </c>
      <c r="AE138" s="6">
        <f ca="1">$K$138*$Y$138</f>
        <v>59194.791962213982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59</v>
      </c>
      <c r="C139" s="4" t="s">
        <v>64</v>
      </c>
      <c r="D139" s="4" t="s">
        <v>25</v>
      </c>
      <c r="E139" s="4" t="s">
        <v>25</v>
      </c>
      <c r="F139" s="4" t="s">
        <v>25</v>
      </c>
      <c r="G139" s="4" t="s">
        <v>87</v>
      </c>
      <c r="H139" s="4" t="s">
        <v>25</v>
      </c>
      <c r="I139" s="5">
        <v>44562</v>
      </c>
      <c r="J139" s="6">
        <v>25000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66</v>
      </c>
      <c r="R139" s="4">
        <v>27534</v>
      </c>
      <c r="S139" s="6">
        <v>12</v>
      </c>
      <c r="T139" s="6">
        <v>0</v>
      </c>
      <c r="U139" s="6">
        <v>0</v>
      </c>
      <c r="V139" s="6">
        <f>IF(ISERROR(VLOOKUP($S$139,'TAR FIN'!$A$1:$O$116,15,0)),0,VLOOKUP($S$139,'TAR FIN'!$A$1:$O$116,15,0))</f>
        <v>5.58</v>
      </c>
      <c r="W139" s="6">
        <f>IF(ISERROR(VLOOKUP($T$139,'TAR FIN'!$A$1:$O$116,15,0)),0,VLOOKUP($T$139,'TAR FIN'!$A$1:$O$116,15,0))</f>
        <v>0</v>
      </c>
      <c r="X139" s="6">
        <f>IF(ISERROR(VLOOKUP($U$139,'TAR FIN'!$A$1:$O$116,15,0)),0,VLOOKUP($U$139,'TAR FIN'!$A$1:$O$116,15,0))</f>
        <v>0</v>
      </c>
      <c r="Y139" s="6">
        <f ca="1">('TUSD BE'!$AM$16+'TUSD BF'!$AM$16+'TUSD CVA'!$AM$16)*1</f>
        <v>5.862991208798829</v>
      </c>
      <c r="Z139" s="6"/>
      <c r="AA139" s="6"/>
      <c r="AB139" s="6">
        <f>$K$139*$V$139</f>
        <v>0</v>
      </c>
      <c r="AC139" s="6">
        <f>$M$139*$W$139</f>
        <v>0</v>
      </c>
      <c r="AD139" s="6">
        <f>$O$139*$X$139</f>
        <v>0</v>
      </c>
      <c r="AE139" s="6">
        <f ca="1">$K$139*$Y$139</f>
        <v>0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59</v>
      </c>
      <c r="C140" s="4" t="s">
        <v>64</v>
      </c>
      <c r="D140" s="4" t="s">
        <v>25</v>
      </c>
      <c r="E140" s="4" t="s">
        <v>25</v>
      </c>
      <c r="F140" s="4" t="s">
        <v>25</v>
      </c>
      <c r="G140" s="4" t="s">
        <v>89</v>
      </c>
      <c r="H140" s="4" t="s">
        <v>25</v>
      </c>
      <c r="I140" s="5">
        <v>44562</v>
      </c>
      <c r="J140" s="6">
        <v>12600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66</v>
      </c>
      <c r="R140" s="4">
        <v>27727</v>
      </c>
      <c r="S140" s="6">
        <v>13</v>
      </c>
      <c r="T140" s="6">
        <v>0</v>
      </c>
      <c r="U140" s="6">
        <v>0</v>
      </c>
      <c r="V140" s="6">
        <f>IF(ISERROR(VLOOKUP($S$140,'TAR FIN'!$A$1:$O$116,15,0)),0,VLOOKUP($S$140,'TAR FIN'!$A$1:$O$116,15,0))</f>
        <v>5.37</v>
      </c>
      <c r="W140" s="6">
        <f>IF(ISERROR(VLOOKUP($T$140,'TAR FIN'!$A$1:$O$116,15,0)),0,VLOOKUP($T$140,'TAR FIN'!$A$1:$O$116,15,0))</f>
        <v>0</v>
      </c>
      <c r="X140" s="6">
        <f>IF(ISERROR(VLOOKUP($U$140,'TAR FIN'!$A$1:$O$116,15,0)),0,VLOOKUP($U$140,'TAR FIN'!$A$1:$O$116,15,0))</f>
        <v>0</v>
      </c>
      <c r="Y140" s="6">
        <f ca="1">('TUSD BE'!$AM$17+'TUSD BF'!$AM$17+'TUSD CVA'!$AM$17)*1</f>
        <v>5.6347568025342989</v>
      </c>
      <c r="Z140" s="6"/>
      <c r="AA140" s="6"/>
      <c r="AB140" s="6">
        <f>$K$140*$V$140</f>
        <v>0</v>
      </c>
      <c r="AC140" s="6">
        <f>$M$140*$W$140</f>
        <v>0</v>
      </c>
      <c r="AD140" s="6">
        <f>$O$140*$X$140</f>
        <v>0</v>
      </c>
      <c r="AE140" s="6">
        <f ca="1">$K$140*$Y$140</f>
        <v>0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59</v>
      </c>
      <c r="C141" s="4" t="s">
        <v>64</v>
      </c>
      <c r="D141" s="4" t="s">
        <v>25</v>
      </c>
      <c r="E141" s="4" t="s">
        <v>25</v>
      </c>
      <c r="F141" s="4" t="s">
        <v>25</v>
      </c>
      <c r="G141" s="4" t="s">
        <v>92</v>
      </c>
      <c r="H141" s="4" t="s">
        <v>25</v>
      </c>
      <c r="I141" s="5">
        <v>44562</v>
      </c>
      <c r="J141" s="6">
        <v>8100</v>
      </c>
      <c r="K141" s="6">
        <v>4050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66</v>
      </c>
      <c r="R141" s="4">
        <v>30597</v>
      </c>
      <c r="S141" s="6">
        <v>14</v>
      </c>
      <c r="T141" s="6">
        <v>0</v>
      </c>
      <c r="U141" s="6">
        <v>0</v>
      </c>
      <c r="V141" s="6">
        <f>IF(ISERROR(VLOOKUP($S$141,'TAR FIN'!$A$1:$O$116,15,0)),0,VLOOKUP($S$141,'TAR FIN'!$A$1:$O$116,15,0))</f>
        <v>5.04</v>
      </c>
      <c r="W141" s="6">
        <f>IF(ISERROR(VLOOKUP($T$141,'TAR FIN'!$A$1:$O$116,15,0)),0,VLOOKUP($T$141,'TAR FIN'!$A$1:$O$116,15,0))</f>
        <v>0</v>
      </c>
      <c r="X141" s="6">
        <f>IF(ISERROR(VLOOKUP($U$141,'TAR FIN'!$A$1:$O$116,15,0)),0,VLOOKUP($U$141,'TAR FIN'!$A$1:$O$116,15,0))</f>
        <v>0</v>
      </c>
      <c r="Y141" s="6">
        <f ca="1">('TUSD BE'!$AM$18+'TUSD BF'!$AM$18+'TUSD CVA'!$AM$18)*1</f>
        <v>5.2832968919533032</v>
      </c>
      <c r="Z141" s="6"/>
      <c r="AA141" s="6"/>
      <c r="AB141" s="6">
        <f>$K$141*$V$141</f>
        <v>20412</v>
      </c>
      <c r="AC141" s="6">
        <f>$M$141*$W$141</f>
        <v>0</v>
      </c>
      <c r="AD141" s="6">
        <f>$O$141*$X$141</f>
        <v>0</v>
      </c>
      <c r="AE141" s="6">
        <f ca="1">$K$141*$Y$141</f>
        <v>21397.352412410877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59</v>
      </c>
      <c r="C142" s="4" t="s">
        <v>64</v>
      </c>
      <c r="D142" s="4" t="s">
        <v>25</v>
      </c>
      <c r="E142" s="4" t="s">
        <v>25</v>
      </c>
      <c r="F142" s="4" t="s">
        <v>25</v>
      </c>
      <c r="G142" s="4" t="s">
        <v>65</v>
      </c>
      <c r="H142" s="4" t="s">
        <v>25</v>
      </c>
      <c r="I142" s="5">
        <v>44593</v>
      </c>
      <c r="J142" s="6">
        <v>1640</v>
      </c>
      <c r="K142" s="6">
        <v>820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66</v>
      </c>
      <c r="R142" s="4">
        <v>104</v>
      </c>
      <c r="S142" s="6">
        <v>5</v>
      </c>
      <c r="T142" s="6">
        <v>0</v>
      </c>
      <c r="U142" s="6">
        <v>0</v>
      </c>
      <c r="V142" s="6">
        <f>IF(ISERROR(VLOOKUP($S$142,'TAR FIN'!$A$1:$O$116,15,0)),0,VLOOKUP($S$142,'TAR FIN'!$A$1:$O$116,15,0))</f>
        <v>5.0999999999999996</v>
      </c>
      <c r="W142" s="6">
        <f>IF(ISERROR(VLOOKUP($T$142,'TAR FIN'!$A$1:$O$116,15,0)),0,VLOOKUP($T$142,'TAR FIN'!$A$1:$O$116,15,0))</f>
        <v>0</v>
      </c>
      <c r="X142" s="6">
        <f>IF(ISERROR(VLOOKUP($U$142,'TAR FIN'!$A$1:$O$116,15,0)),0,VLOOKUP($U$142,'TAR FIN'!$A$1:$O$116,15,0))</f>
        <v>0</v>
      </c>
      <c r="Y142" s="6">
        <f ca="1">('TUSD BE'!$AM$9+'TUSD BF'!$AM$9+'TUSD CVA'!$AM$9)*1</f>
        <v>5.3518194805398505</v>
      </c>
      <c r="Z142" s="6"/>
      <c r="AA142" s="6"/>
      <c r="AB142" s="6">
        <f>$K$142*$V$142</f>
        <v>4182</v>
      </c>
      <c r="AC142" s="6">
        <f>$M$142*$W$142</f>
        <v>0</v>
      </c>
      <c r="AD142" s="6">
        <f>$O$142*$X$142</f>
        <v>0</v>
      </c>
      <c r="AE142" s="6">
        <f ca="1">$K$142*$Y$142</f>
        <v>4388.4919740426776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59</v>
      </c>
      <c r="C143" s="4" t="s">
        <v>64</v>
      </c>
      <c r="D143" s="4" t="s">
        <v>25</v>
      </c>
      <c r="E143" s="4" t="s">
        <v>25</v>
      </c>
      <c r="F143" s="4" t="s">
        <v>25</v>
      </c>
      <c r="G143" s="4" t="s">
        <v>67</v>
      </c>
      <c r="H143" s="4" t="s">
        <v>25</v>
      </c>
      <c r="I143" s="5">
        <v>44593</v>
      </c>
      <c r="J143" s="6">
        <v>39500</v>
      </c>
      <c r="K143" s="6">
        <v>24307.692490000001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66</v>
      </c>
      <c r="R143" s="4">
        <v>215</v>
      </c>
      <c r="S143" s="6">
        <v>6</v>
      </c>
      <c r="T143" s="6">
        <v>0</v>
      </c>
      <c r="U143" s="6">
        <v>0</v>
      </c>
      <c r="V143" s="6">
        <f>IF(ISERROR(VLOOKUP($S$143,'TAR FIN'!$A$1:$O$116,15,0)),0,VLOOKUP($S$143,'TAR FIN'!$A$1:$O$116,15,0))</f>
        <v>3.94</v>
      </c>
      <c r="W143" s="6">
        <f>IF(ISERROR(VLOOKUP($T$143,'TAR FIN'!$A$1:$O$116,15,0)),0,VLOOKUP($T$143,'TAR FIN'!$A$1:$O$116,15,0))</f>
        <v>0</v>
      </c>
      <c r="X143" s="6">
        <f>IF(ISERROR(VLOOKUP($U$143,'TAR FIN'!$A$1:$O$116,15,0)),0,VLOOKUP($U$143,'TAR FIN'!$A$1:$O$116,15,0))</f>
        <v>0</v>
      </c>
      <c r="Y143" s="6">
        <f ca="1">('TUSD BE'!$AM$10+'TUSD BF'!$AM$10+'TUSD CVA'!$AM$10)*1</f>
        <v>4.1263435553812471</v>
      </c>
      <c r="Z143" s="6"/>
      <c r="AA143" s="6"/>
      <c r="AB143" s="6">
        <f>$K$143*$V$143</f>
        <v>95772.308410600002</v>
      </c>
      <c r="AC143" s="6">
        <f>$M$143*$W$143</f>
        <v>0</v>
      </c>
      <c r="AD143" s="6">
        <f>$O$143*$X$143</f>
        <v>0</v>
      </c>
      <c r="AE143" s="6">
        <f ca="1">$K$143*$Y$143</f>
        <v>100301.89025230064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59</v>
      </c>
      <c r="C144" s="4" t="s">
        <v>64</v>
      </c>
      <c r="D144" s="4" t="s">
        <v>25</v>
      </c>
      <c r="E144" s="4" t="s">
        <v>25</v>
      </c>
      <c r="F144" s="4" t="s">
        <v>25</v>
      </c>
      <c r="G144" s="4" t="s">
        <v>69</v>
      </c>
      <c r="H144" s="4" t="s">
        <v>25</v>
      </c>
      <c r="I144" s="5">
        <v>44593</v>
      </c>
      <c r="J144" s="6">
        <v>22004</v>
      </c>
      <c r="K144" s="6">
        <v>22004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66</v>
      </c>
      <c r="R144" s="4">
        <v>473</v>
      </c>
      <c r="S144" s="6">
        <v>7</v>
      </c>
      <c r="T144" s="6">
        <v>0</v>
      </c>
      <c r="U144" s="6">
        <v>0</v>
      </c>
      <c r="V144" s="6">
        <f>IF(ISERROR(VLOOKUP($S$144,'TAR FIN'!$A$1:$O$116,15,0)),0,VLOOKUP($S$144,'TAR FIN'!$A$1:$O$116,15,0))</f>
        <v>5.69</v>
      </c>
      <c r="W144" s="6">
        <f>IF(ISERROR(VLOOKUP($T$144,'TAR FIN'!$A$1:$O$116,15,0)),0,VLOOKUP($T$144,'TAR FIN'!$A$1:$O$116,15,0))</f>
        <v>0</v>
      </c>
      <c r="X144" s="6">
        <f>IF(ISERROR(VLOOKUP($U$144,'TAR FIN'!$A$1:$O$116,15,0)),0,VLOOKUP($U$144,'TAR FIN'!$A$1:$O$116,15,0))</f>
        <v>0</v>
      </c>
      <c r="Y144" s="6">
        <f ca="1">('TUSD BE'!$AM$11+'TUSD BF'!$AM$11+'TUSD CVA'!$AM$11)*1</f>
        <v>5.9725875581129042</v>
      </c>
      <c r="Z144" s="6"/>
      <c r="AA144" s="6"/>
      <c r="AB144" s="6">
        <f>$K$144*$V$144</f>
        <v>125202.76000000001</v>
      </c>
      <c r="AC144" s="6">
        <f>$M$144*$W$144</f>
        <v>0</v>
      </c>
      <c r="AD144" s="6">
        <f>$O$144*$X$144</f>
        <v>0</v>
      </c>
      <c r="AE144" s="6">
        <f ca="1">$K$144*$Y$144</f>
        <v>131420.81662871633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59</v>
      </c>
      <c r="C145" s="4" t="s">
        <v>64</v>
      </c>
      <c r="D145" s="4" t="s">
        <v>25</v>
      </c>
      <c r="E145" s="4" t="s">
        <v>25</v>
      </c>
      <c r="F145" s="4" t="s">
        <v>25</v>
      </c>
      <c r="G145" s="4" t="s">
        <v>72</v>
      </c>
      <c r="H145" s="4" t="s">
        <v>25</v>
      </c>
      <c r="I145" s="5">
        <v>44593</v>
      </c>
      <c r="J145" s="6">
        <v>16500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66</v>
      </c>
      <c r="R145" s="4">
        <v>1047</v>
      </c>
      <c r="S145" s="6">
        <v>8</v>
      </c>
      <c r="T145" s="6">
        <v>0</v>
      </c>
      <c r="U145" s="6">
        <v>0</v>
      </c>
      <c r="V145" s="6">
        <f>IF(ISERROR(VLOOKUP($S$145,'TAR FIN'!$A$1:$O$116,15,0)),0,VLOOKUP($S$145,'TAR FIN'!$A$1:$O$116,15,0))</f>
        <v>5.41</v>
      </c>
      <c r="W145" s="6">
        <f>IF(ISERROR(VLOOKUP($T$145,'TAR FIN'!$A$1:$O$116,15,0)),0,VLOOKUP($T$145,'TAR FIN'!$A$1:$O$116,15,0))</f>
        <v>0</v>
      </c>
      <c r="X145" s="6">
        <f>IF(ISERROR(VLOOKUP($U$145,'TAR FIN'!$A$1:$O$116,15,0)),0,VLOOKUP($U$145,'TAR FIN'!$A$1:$O$116,15,0))</f>
        <v>0</v>
      </c>
      <c r="Y145" s="6">
        <f ca="1">('TUSD BE'!$AM$12+'TUSD BF'!$AM$12+'TUSD CVA'!$AM$12)*1</f>
        <v>5.6770468968387959</v>
      </c>
      <c r="Z145" s="6"/>
      <c r="AA145" s="6"/>
      <c r="AB145" s="6">
        <f>$K$145*$V$145</f>
        <v>0</v>
      </c>
      <c r="AC145" s="6">
        <f>$M$145*$W$145</f>
        <v>0</v>
      </c>
      <c r="AD145" s="6">
        <f>$O$145*$X$145</f>
        <v>0</v>
      </c>
      <c r="AE145" s="6">
        <f ca="1">$K$145*$Y$145</f>
        <v>0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59</v>
      </c>
      <c r="C146" s="4" t="s">
        <v>64</v>
      </c>
      <c r="D146" s="4" t="s">
        <v>25</v>
      </c>
      <c r="E146" s="4" t="s">
        <v>25</v>
      </c>
      <c r="F146" s="4" t="s">
        <v>25</v>
      </c>
      <c r="G146" s="4" t="s">
        <v>73</v>
      </c>
      <c r="H146" s="4" t="s">
        <v>25</v>
      </c>
      <c r="I146" s="5">
        <v>44593</v>
      </c>
      <c r="J146" s="6">
        <v>5320</v>
      </c>
      <c r="K146" s="6">
        <v>2660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66</v>
      </c>
      <c r="R146" s="4">
        <v>1078</v>
      </c>
      <c r="S146" s="6">
        <v>9</v>
      </c>
      <c r="T146" s="6">
        <v>0</v>
      </c>
      <c r="U146" s="6">
        <v>0</v>
      </c>
      <c r="V146" s="6">
        <f>IF(ISERROR(VLOOKUP($S$146,'TAR FIN'!$A$1:$O$116,15,0)),0,VLOOKUP($S$146,'TAR FIN'!$A$1:$O$116,15,0))</f>
        <v>5.0999999999999996</v>
      </c>
      <c r="W146" s="6">
        <f>IF(ISERROR(VLOOKUP($T$146,'TAR FIN'!$A$1:$O$116,15,0)),0,VLOOKUP($T$146,'TAR FIN'!$A$1:$O$116,15,0))</f>
        <v>0</v>
      </c>
      <c r="X146" s="6">
        <f>IF(ISERROR(VLOOKUP($U$146,'TAR FIN'!$A$1:$O$116,15,0)),0,VLOOKUP($U$146,'TAR FIN'!$A$1:$O$116,15,0))</f>
        <v>0</v>
      </c>
      <c r="Y146" s="6">
        <f ca="1">('TUSD BE'!$AM$13+'TUSD BF'!$AM$13+'TUSD CVA'!$AM$13)*1</f>
        <v>5.3518194805398505</v>
      </c>
      <c r="Z146" s="6"/>
      <c r="AA146" s="6"/>
      <c r="AB146" s="6">
        <f>$K$146*$V$146</f>
        <v>13565.999999999998</v>
      </c>
      <c r="AC146" s="6">
        <f>$M$146*$W$146</f>
        <v>0</v>
      </c>
      <c r="AD146" s="6">
        <f>$O$146*$X$146</f>
        <v>0</v>
      </c>
      <c r="AE146" s="6">
        <f ca="1">$K$146*$Y$146</f>
        <v>14235.839818236002</v>
      </c>
      <c r="AF146" s="6">
        <f>$M$146*$Z$146</f>
        <v>0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59</v>
      </c>
      <c r="C147" s="4" t="s">
        <v>64</v>
      </c>
      <c r="D147" s="4" t="s">
        <v>25</v>
      </c>
      <c r="E147" s="4" t="s">
        <v>25</v>
      </c>
      <c r="F147" s="4" t="s">
        <v>25</v>
      </c>
      <c r="G147" s="4" t="s">
        <v>75</v>
      </c>
      <c r="H147" s="4" t="s">
        <v>25</v>
      </c>
      <c r="I147" s="5">
        <v>44593</v>
      </c>
      <c r="J147" s="6">
        <v>42500</v>
      </c>
      <c r="K147" s="6">
        <v>42500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66</v>
      </c>
      <c r="R147" s="4">
        <v>1276</v>
      </c>
      <c r="S147" s="6">
        <v>10</v>
      </c>
      <c r="T147" s="6">
        <v>0</v>
      </c>
      <c r="U147" s="6">
        <v>0</v>
      </c>
      <c r="V147" s="6">
        <f>IF(ISERROR(VLOOKUP($S$147,'TAR FIN'!$A$1:$O$116,15,0)),0,VLOOKUP($S$147,'TAR FIN'!$A$1:$O$116,15,0))</f>
        <v>5.0999999999999996</v>
      </c>
      <c r="W147" s="6">
        <f>IF(ISERROR(VLOOKUP($T$147,'TAR FIN'!$A$1:$O$116,15,0)),0,VLOOKUP($T$147,'TAR FIN'!$A$1:$O$116,15,0))</f>
        <v>0</v>
      </c>
      <c r="X147" s="6">
        <f>IF(ISERROR(VLOOKUP($U$147,'TAR FIN'!$A$1:$O$116,15,0)),0,VLOOKUP($U$147,'TAR FIN'!$A$1:$O$116,15,0))</f>
        <v>0</v>
      </c>
      <c r="Y147" s="6">
        <f ca="1">('TUSD BE'!$AM$14+'TUSD BF'!$AM$14+'TUSD CVA'!$AM$14)*1</f>
        <v>5.3518194805398505</v>
      </c>
      <c r="Z147" s="6"/>
      <c r="AA147" s="6"/>
      <c r="AB147" s="6">
        <f>$K$147*$V$147</f>
        <v>216749.99999999997</v>
      </c>
      <c r="AC147" s="6">
        <f>$M$147*$W$147</f>
        <v>0</v>
      </c>
      <c r="AD147" s="6">
        <f>$O$147*$X$147</f>
        <v>0</v>
      </c>
      <c r="AE147" s="6">
        <f ca="1">$K$147*$Y$147</f>
        <v>227452.32792294363</v>
      </c>
      <c r="AF147" s="6">
        <f>$M$147*$Z$147</f>
        <v>0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59</v>
      </c>
      <c r="C148" s="4" t="s">
        <v>64</v>
      </c>
      <c r="D148" s="4" t="s">
        <v>25</v>
      </c>
      <c r="E148" s="4" t="s">
        <v>25</v>
      </c>
      <c r="F148" s="4" t="s">
        <v>25</v>
      </c>
      <c r="G148" s="4" t="s">
        <v>86</v>
      </c>
      <c r="H148" s="4" t="s">
        <v>25</v>
      </c>
      <c r="I148" s="5">
        <v>44593</v>
      </c>
      <c r="J148" s="6">
        <v>24400</v>
      </c>
      <c r="K148" s="6">
        <v>12200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66</v>
      </c>
      <c r="R148" s="4">
        <v>27532</v>
      </c>
      <c r="S148" s="6">
        <v>11</v>
      </c>
      <c r="T148" s="6">
        <v>0</v>
      </c>
      <c r="U148" s="6">
        <v>0</v>
      </c>
      <c r="V148" s="6">
        <f>IF(ISERROR(VLOOKUP($S$148,'TAR FIN'!$A$1:$O$116,15,0)),0,VLOOKUP($S$148,'TAR FIN'!$A$1:$O$116,15,0))</f>
        <v>4.63</v>
      </c>
      <c r="W148" s="6">
        <f>IF(ISERROR(VLOOKUP($T$148,'TAR FIN'!$A$1:$O$116,15,0)),0,VLOOKUP($T$148,'TAR FIN'!$A$1:$O$116,15,0))</f>
        <v>0</v>
      </c>
      <c r="X148" s="6">
        <f>IF(ISERROR(VLOOKUP($U$148,'TAR FIN'!$A$1:$O$116,15,0)),0,VLOOKUP($U$148,'TAR FIN'!$A$1:$O$116,15,0))</f>
        <v>0</v>
      </c>
      <c r="Y148" s="6">
        <f ca="1">('TUSD BE'!$AM$15+'TUSD BF'!$AM$15+'TUSD CVA'!$AM$15)*1</f>
        <v>4.8520321280503262</v>
      </c>
      <c r="Z148" s="6"/>
      <c r="AA148" s="6"/>
      <c r="AB148" s="6">
        <f>$K$148*$V$148</f>
        <v>56486</v>
      </c>
      <c r="AC148" s="6">
        <f>$M$148*$W$148</f>
        <v>0</v>
      </c>
      <c r="AD148" s="6">
        <f>$O$148*$X$148</f>
        <v>0</v>
      </c>
      <c r="AE148" s="6">
        <f ca="1">$K$148*$Y$148</f>
        <v>59194.791962213982</v>
      </c>
      <c r="AF148" s="6">
        <f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59</v>
      </c>
      <c r="C149" s="4" t="s">
        <v>64</v>
      </c>
      <c r="D149" s="4" t="s">
        <v>25</v>
      </c>
      <c r="E149" s="4" t="s">
        <v>25</v>
      </c>
      <c r="F149" s="4" t="s">
        <v>25</v>
      </c>
      <c r="G149" s="4" t="s">
        <v>87</v>
      </c>
      <c r="H149" s="4" t="s">
        <v>25</v>
      </c>
      <c r="I149" s="5">
        <v>44593</v>
      </c>
      <c r="J149" s="6">
        <v>25000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66</v>
      </c>
      <c r="R149" s="4">
        <v>27534</v>
      </c>
      <c r="S149" s="6">
        <v>12</v>
      </c>
      <c r="T149" s="6">
        <v>0</v>
      </c>
      <c r="U149" s="6">
        <v>0</v>
      </c>
      <c r="V149" s="6">
        <f>IF(ISERROR(VLOOKUP($S$149,'TAR FIN'!$A$1:$O$116,15,0)),0,VLOOKUP($S$149,'TAR FIN'!$A$1:$O$116,15,0))</f>
        <v>5.58</v>
      </c>
      <c r="W149" s="6">
        <f>IF(ISERROR(VLOOKUP($T$149,'TAR FIN'!$A$1:$O$116,15,0)),0,VLOOKUP($T$149,'TAR FIN'!$A$1:$O$116,15,0))</f>
        <v>0</v>
      </c>
      <c r="X149" s="6">
        <f>IF(ISERROR(VLOOKUP($U$149,'TAR FIN'!$A$1:$O$116,15,0)),0,VLOOKUP($U$149,'TAR FIN'!$A$1:$O$116,15,0))</f>
        <v>0</v>
      </c>
      <c r="Y149" s="6">
        <f ca="1">('TUSD BE'!$AM$16+'TUSD BF'!$AM$16+'TUSD CVA'!$AM$16)*1</f>
        <v>5.862991208798829</v>
      </c>
      <c r="Z149" s="6"/>
      <c r="AA149" s="6"/>
      <c r="AB149" s="6">
        <f>$K$149*$V$149</f>
        <v>0</v>
      </c>
      <c r="AC149" s="6">
        <f>$M$149*$W$149</f>
        <v>0</v>
      </c>
      <c r="AD149" s="6">
        <f>$O$149*$X$149</f>
        <v>0</v>
      </c>
      <c r="AE149" s="6">
        <f ca="1">$K$149*$Y$149</f>
        <v>0</v>
      </c>
      <c r="AF149" s="6">
        <f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59</v>
      </c>
      <c r="C150" s="4" t="s">
        <v>64</v>
      </c>
      <c r="D150" s="4" t="s">
        <v>25</v>
      </c>
      <c r="E150" s="4" t="s">
        <v>25</v>
      </c>
      <c r="F150" s="4" t="s">
        <v>25</v>
      </c>
      <c r="G150" s="4" t="s">
        <v>89</v>
      </c>
      <c r="H150" s="4" t="s">
        <v>25</v>
      </c>
      <c r="I150" s="5">
        <v>44593</v>
      </c>
      <c r="J150" s="6">
        <v>12600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66</v>
      </c>
      <c r="R150" s="4">
        <v>27727</v>
      </c>
      <c r="S150" s="6">
        <v>13</v>
      </c>
      <c r="T150" s="6">
        <v>0</v>
      </c>
      <c r="U150" s="6">
        <v>0</v>
      </c>
      <c r="V150" s="6">
        <f>IF(ISERROR(VLOOKUP($S$150,'TAR FIN'!$A$1:$O$116,15,0)),0,VLOOKUP($S$150,'TAR FIN'!$A$1:$O$116,15,0))</f>
        <v>5.37</v>
      </c>
      <c r="W150" s="6">
        <f>IF(ISERROR(VLOOKUP($T$150,'TAR FIN'!$A$1:$O$116,15,0)),0,VLOOKUP($T$150,'TAR FIN'!$A$1:$O$116,15,0))</f>
        <v>0</v>
      </c>
      <c r="X150" s="6">
        <f>IF(ISERROR(VLOOKUP($U$150,'TAR FIN'!$A$1:$O$116,15,0)),0,VLOOKUP($U$150,'TAR FIN'!$A$1:$O$116,15,0))</f>
        <v>0</v>
      </c>
      <c r="Y150" s="6">
        <f ca="1">('TUSD BE'!$AM$17+'TUSD BF'!$AM$17+'TUSD CVA'!$AM$17)*1</f>
        <v>5.6347568025342989</v>
      </c>
      <c r="Z150" s="6"/>
      <c r="AA150" s="6"/>
      <c r="AB150" s="6">
        <f>$K$150*$V$150</f>
        <v>0</v>
      </c>
      <c r="AC150" s="6">
        <f>$M$150*$W$150</f>
        <v>0</v>
      </c>
      <c r="AD150" s="6">
        <f>$O$150*$X$150</f>
        <v>0</v>
      </c>
      <c r="AE150" s="6">
        <f ca="1">$K$150*$Y$150</f>
        <v>0</v>
      </c>
      <c r="AF150" s="6">
        <f>$M$150*$Z$150</f>
        <v>0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59</v>
      </c>
      <c r="C151" s="4" t="s">
        <v>64</v>
      </c>
      <c r="D151" s="4" t="s">
        <v>25</v>
      </c>
      <c r="E151" s="4" t="s">
        <v>25</v>
      </c>
      <c r="F151" s="4" t="s">
        <v>25</v>
      </c>
      <c r="G151" s="4" t="s">
        <v>92</v>
      </c>
      <c r="H151" s="4" t="s">
        <v>25</v>
      </c>
      <c r="I151" s="5">
        <v>44593</v>
      </c>
      <c r="J151" s="6">
        <v>8100</v>
      </c>
      <c r="K151" s="6">
        <v>4050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66</v>
      </c>
      <c r="R151" s="4">
        <v>30597</v>
      </c>
      <c r="S151" s="6">
        <v>14</v>
      </c>
      <c r="T151" s="6">
        <v>0</v>
      </c>
      <c r="U151" s="6">
        <v>0</v>
      </c>
      <c r="V151" s="6">
        <f>IF(ISERROR(VLOOKUP($S$151,'TAR FIN'!$A$1:$O$116,15,0)),0,VLOOKUP($S$151,'TAR FIN'!$A$1:$O$116,15,0))</f>
        <v>5.04</v>
      </c>
      <c r="W151" s="6">
        <f>IF(ISERROR(VLOOKUP($T$151,'TAR FIN'!$A$1:$O$116,15,0)),0,VLOOKUP($T$151,'TAR FIN'!$A$1:$O$116,15,0))</f>
        <v>0</v>
      </c>
      <c r="X151" s="6">
        <f>IF(ISERROR(VLOOKUP($U$151,'TAR FIN'!$A$1:$O$116,15,0)),0,VLOOKUP($U$151,'TAR FIN'!$A$1:$O$116,15,0))</f>
        <v>0</v>
      </c>
      <c r="Y151" s="6">
        <f ca="1">('TUSD BE'!$AM$18+'TUSD BF'!$AM$18+'TUSD CVA'!$AM$18)*1</f>
        <v>5.2832968919533032</v>
      </c>
      <c r="Z151" s="6"/>
      <c r="AA151" s="6"/>
      <c r="AB151" s="6">
        <f>$K$151*$V$151</f>
        <v>20412</v>
      </c>
      <c r="AC151" s="6">
        <f>$M$151*$W$151</f>
        <v>0</v>
      </c>
      <c r="AD151" s="6">
        <f>$O$151*$X$151</f>
        <v>0</v>
      </c>
      <c r="AE151" s="6">
        <f ca="1">$K$151*$Y$151</f>
        <v>21397.352412410877</v>
      </c>
      <c r="AF151" s="6">
        <f>$M$151*$Z$151</f>
        <v>0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59</v>
      </c>
      <c r="C152" s="4" t="s">
        <v>64</v>
      </c>
      <c r="D152" s="4" t="s">
        <v>25</v>
      </c>
      <c r="E152" s="4" t="s">
        <v>25</v>
      </c>
      <c r="F152" s="4" t="s">
        <v>25</v>
      </c>
      <c r="G152" s="4" t="s">
        <v>65</v>
      </c>
      <c r="H152" s="4" t="s">
        <v>25</v>
      </c>
      <c r="I152" s="5">
        <v>44621</v>
      </c>
      <c r="J152" s="6">
        <v>1640</v>
      </c>
      <c r="K152" s="6">
        <v>820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66</v>
      </c>
      <c r="R152" s="4">
        <v>104</v>
      </c>
      <c r="S152" s="6">
        <v>5</v>
      </c>
      <c r="T152" s="6">
        <v>0</v>
      </c>
      <c r="U152" s="6">
        <v>0</v>
      </c>
      <c r="V152" s="6">
        <f>IF(ISERROR(VLOOKUP($S$152,'TAR FIN'!$A$1:$O$116,15,0)),0,VLOOKUP($S$152,'TAR FIN'!$A$1:$O$116,15,0))</f>
        <v>5.0999999999999996</v>
      </c>
      <c r="W152" s="6">
        <f>IF(ISERROR(VLOOKUP($T$152,'TAR FIN'!$A$1:$O$116,15,0)),0,VLOOKUP($T$152,'TAR FIN'!$A$1:$O$116,15,0))</f>
        <v>0</v>
      </c>
      <c r="X152" s="6">
        <f>IF(ISERROR(VLOOKUP($U$152,'TAR FIN'!$A$1:$O$116,15,0)),0,VLOOKUP($U$152,'TAR FIN'!$A$1:$O$116,15,0))</f>
        <v>0</v>
      </c>
      <c r="Y152" s="6">
        <f ca="1">('TUSD BE'!$AM$9+'TUSD BF'!$AM$9+'TUSD CVA'!$AM$9)*1</f>
        <v>5.3518194805398505</v>
      </c>
      <c r="Z152" s="6"/>
      <c r="AA152" s="6"/>
      <c r="AB152" s="6">
        <f>$K$152*$V$152</f>
        <v>4182</v>
      </c>
      <c r="AC152" s="6">
        <f>$M$152*$W$152</f>
        <v>0</v>
      </c>
      <c r="AD152" s="6">
        <f>$O$152*$X$152</f>
        <v>0</v>
      </c>
      <c r="AE152" s="6">
        <f ca="1">$K$152*$Y$152</f>
        <v>4388.4919740426776</v>
      </c>
      <c r="AF152" s="6">
        <f>$M$152*$Z$152</f>
        <v>0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59</v>
      </c>
      <c r="C153" s="4" t="s">
        <v>64</v>
      </c>
      <c r="D153" s="4" t="s">
        <v>25</v>
      </c>
      <c r="E153" s="4" t="s">
        <v>25</v>
      </c>
      <c r="F153" s="4" t="s">
        <v>25</v>
      </c>
      <c r="G153" s="4" t="s">
        <v>67</v>
      </c>
      <c r="H153" s="4" t="s">
        <v>25</v>
      </c>
      <c r="I153" s="5">
        <v>44621</v>
      </c>
      <c r="J153" s="6">
        <v>39500</v>
      </c>
      <c r="K153" s="6">
        <v>24307.692490000001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66</v>
      </c>
      <c r="R153" s="4">
        <v>215</v>
      </c>
      <c r="S153" s="6">
        <v>6</v>
      </c>
      <c r="T153" s="6">
        <v>0</v>
      </c>
      <c r="U153" s="6">
        <v>0</v>
      </c>
      <c r="V153" s="6">
        <f>IF(ISERROR(VLOOKUP($S$153,'TAR FIN'!$A$1:$O$116,15,0)),0,VLOOKUP($S$153,'TAR FIN'!$A$1:$O$116,15,0))</f>
        <v>3.94</v>
      </c>
      <c r="W153" s="6">
        <f>IF(ISERROR(VLOOKUP($T$153,'TAR FIN'!$A$1:$O$116,15,0)),0,VLOOKUP($T$153,'TAR FIN'!$A$1:$O$116,15,0))</f>
        <v>0</v>
      </c>
      <c r="X153" s="6">
        <f>IF(ISERROR(VLOOKUP($U$153,'TAR FIN'!$A$1:$O$116,15,0)),0,VLOOKUP($U$153,'TAR FIN'!$A$1:$O$116,15,0))</f>
        <v>0</v>
      </c>
      <c r="Y153" s="6">
        <f ca="1">('TUSD BE'!$AM$10+'TUSD BF'!$AM$10+'TUSD CVA'!$AM$10)*1</f>
        <v>4.1263435553812471</v>
      </c>
      <c r="Z153" s="6"/>
      <c r="AA153" s="6"/>
      <c r="AB153" s="6">
        <f>$K$153*$V$153</f>
        <v>95772.308410600002</v>
      </c>
      <c r="AC153" s="6">
        <f>$M$153*$W$153</f>
        <v>0</v>
      </c>
      <c r="AD153" s="6">
        <f>$O$153*$X$153</f>
        <v>0</v>
      </c>
      <c r="AE153" s="6">
        <f ca="1">$K$153*$Y$153</f>
        <v>100301.89025230064</v>
      </c>
      <c r="AF153" s="6">
        <f>$M$153*$Z$153</f>
        <v>0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59</v>
      </c>
      <c r="C154" s="4" t="s">
        <v>64</v>
      </c>
      <c r="D154" s="4" t="s">
        <v>25</v>
      </c>
      <c r="E154" s="4" t="s">
        <v>25</v>
      </c>
      <c r="F154" s="4" t="s">
        <v>25</v>
      </c>
      <c r="G154" s="4" t="s">
        <v>69</v>
      </c>
      <c r="H154" s="4" t="s">
        <v>25</v>
      </c>
      <c r="I154" s="5">
        <v>44621</v>
      </c>
      <c r="J154" s="6">
        <v>22000</v>
      </c>
      <c r="K154" s="6">
        <v>22000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66</v>
      </c>
      <c r="R154" s="4">
        <v>473</v>
      </c>
      <c r="S154" s="6">
        <v>7</v>
      </c>
      <c r="T154" s="6">
        <v>0</v>
      </c>
      <c r="U154" s="6">
        <v>0</v>
      </c>
      <c r="V154" s="6">
        <f>IF(ISERROR(VLOOKUP($S$154,'TAR FIN'!$A$1:$O$116,15,0)),0,VLOOKUP($S$154,'TAR FIN'!$A$1:$O$116,15,0))</f>
        <v>5.69</v>
      </c>
      <c r="W154" s="6">
        <f>IF(ISERROR(VLOOKUP($T$154,'TAR FIN'!$A$1:$O$116,15,0)),0,VLOOKUP($T$154,'TAR FIN'!$A$1:$O$116,15,0))</f>
        <v>0</v>
      </c>
      <c r="X154" s="6">
        <f>IF(ISERROR(VLOOKUP($U$154,'TAR FIN'!$A$1:$O$116,15,0)),0,VLOOKUP($U$154,'TAR FIN'!$A$1:$O$116,15,0))</f>
        <v>0</v>
      </c>
      <c r="Y154" s="6">
        <f ca="1">('TUSD BE'!$AM$11+'TUSD BF'!$AM$11+'TUSD CVA'!$AM$11)*1</f>
        <v>5.9725875581129042</v>
      </c>
      <c r="Z154" s="6"/>
      <c r="AA154" s="6"/>
      <c r="AB154" s="6">
        <f>$K$154*$V$154</f>
        <v>125180.00000000001</v>
      </c>
      <c r="AC154" s="6">
        <f>$M$154*$W$154</f>
        <v>0</v>
      </c>
      <c r="AD154" s="6">
        <f>$O$154*$X$154</f>
        <v>0</v>
      </c>
      <c r="AE154" s="6">
        <f ca="1">$K$154*$Y$154</f>
        <v>131396.92627848388</v>
      </c>
      <c r="AF154" s="6">
        <f>$M$154*$Z$154</f>
        <v>0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59</v>
      </c>
      <c r="C155" s="4" t="s">
        <v>64</v>
      </c>
      <c r="D155" s="4" t="s">
        <v>25</v>
      </c>
      <c r="E155" s="4" t="s">
        <v>25</v>
      </c>
      <c r="F155" s="4" t="s">
        <v>25</v>
      </c>
      <c r="G155" s="4" t="s">
        <v>72</v>
      </c>
      <c r="H155" s="4" t="s">
        <v>25</v>
      </c>
      <c r="I155" s="5">
        <v>44621</v>
      </c>
      <c r="J155" s="6">
        <v>16500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66</v>
      </c>
      <c r="R155" s="4">
        <v>1047</v>
      </c>
      <c r="S155" s="6">
        <v>8</v>
      </c>
      <c r="T155" s="6">
        <v>0</v>
      </c>
      <c r="U155" s="6">
        <v>0</v>
      </c>
      <c r="V155" s="6">
        <f>IF(ISERROR(VLOOKUP($S$155,'TAR FIN'!$A$1:$O$116,15,0)),0,VLOOKUP($S$155,'TAR FIN'!$A$1:$O$116,15,0))</f>
        <v>5.41</v>
      </c>
      <c r="W155" s="6">
        <f>IF(ISERROR(VLOOKUP($T$155,'TAR FIN'!$A$1:$O$116,15,0)),0,VLOOKUP($T$155,'TAR FIN'!$A$1:$O$116,15,0))</f>
        <v>0</v>
      </c>
      <c r="X155" s="6">
        <f>IF(ISERROR(VLOOKUP($U$155,'TAR FIN'!$A$1:$O$116,15,0)),0,VLOOKUP($U$155,'TAR FIN'!$A$1:$O$116,15,0))</f>
        <v>0</v>
      </c>
      <c r="Y155" s="6">
        <f ca="1">('TUSD BE'!$AM$12+'TUSD BF'!$AM$12+'TUSD CVA'!$AM$12)*1</f>
        <v>5.6770468968387959</v>
      </c>
      <c r="Z155" s="6"/>
      <c r="AA155" s="6"/>
      <c r="AB155" s="6">
        <f>$K$155*$V$155</f>
        <v>0</v>
      </c>
      <c r="AC155" s="6">
        <f>$M$155*$W$155</f>
        <v>0</v>
      </c>
      <c r="AD155" s="6">
        <f>$O$155*$X$155</f>
        <v>0</v>
      </c>
      <c r="AE155" s="6">
        <f ca="1">$K$155*$Y$155</f>
        <v>0</v>
      </c>
      <c r="AF155" s="6">
        <f>$M$155*$Z$155</f>
        <v>0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59</v>
      </c>
      <c r="C156" s="4" t="s">
        <v>64</v>
      </c>
      <c r="D156" s="4" t="s">
        <v>25</v>
      </c>
      <c r="E156" s="4" t="s">
        <v>25</v>
      </c>
      <c r="F156" s="4" t="s">
        <v>25</v>
      </c>
      <c r="G156" s="4" t="s">
        <v>73</v>
      </c>
      <c r="H156" s="4" t="s">
        <v>25</v>
      </c>
      <c r="I156" s="5">
        <v>44621</v>
      </c>
      <c r="J156" s="6">
        <v>5320</v>
      </c>
      <c r="K156" s="6">
        <v>2660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66</v>
      </c>
      <c r="R156" s="4">
        <v>1078</v>
      </c>
      <c r="S156" s="6">
        <v>9</v>
      </c>
      <c r="T156" s="6">
        <v>0</v>
      </c>
      <c r="U156" s="6">
        <v>0</v>
      </c>
      <c r="V156" s="6">
        <f>IF(ISERROR(VLOOKUP($S$156,'TAR FIN'!$A$1:$O$116,15,0)),0,VLOOKUP($S$156,'TAR FIN'!$A$1:$O$116,15,0))</f>
        <v>5.0999999999999996</v>
      </c>
      <c r="W156" s="6">
        <f>IF(ISERROR(VLOOKUP($T$156,'TAR FIN'!$A$1:$O$116,15,0)),0,VLOOKUP($T$156,'TAR FIN'!$A$1:$O$116,15,0))</f>
        <v>0</v>
      </c>
      <c r="X156" s="6">
        <f>IF(ISERROR(VLOOKUP($U$156,'TAR FIN'!$A$1:$O$116,15,0)),0,VLOOKUP($U$156,'TAR FIN'!$A$1:$O$116,15,0))</f>
        <v>0</v>
      </c>
      <c r="Y156" s="6">
        <f ca="1">('TUSD BE'!$AM$13+'TUSD BF'!$AM$13+'TUSD CVA'!$AM$13)*1</f>
        <v>5.3518194805398505</v>
      </c>
      <c r="Z156" s="6"/>
      <c r="AA156" s="6"/>
      <c r="AB156" s="6">
        <f>$K$156*$V$156</f>
        <v>13565.999999999998</v>
      </c>
      <c r="AC156" s="6">
        <f>$M$156*$W$156</f>
        <v>0</v>
      </c>
      <c r="AD156" s="6">
        <f>$O$156*$X$156</f>
        <v>0</v>
      </c>
      <c r="AE156" s="6">
        <f ca="1">$K$156*$Y$156</f>
        <v>14235.839818236002</v>
      </c>
      <c r="AF156" s="6">
        <f>$M$156*$Z$156</f>
        <v>0</v>
      </c>
      <c r="AG156" s="6">
        <f>$O$156*$AA$156</f>
        <v>0</v>
      </c>
    </row>
    <row r="157" spans="1:33" ht="11.25" customHeight="1" x14ac:dyDescent="0.25">
      <c r="A157" s="4" t="s">
        <v>21</v>
      </c>
      <c r="B157" s="4" t="s">
        <v>59</v>
      </c>
      <c r="C157" s="4" t="s">
        <v>64</v>
      </c>
      <c r="D157" s="4" t="s">
        <v>25</v>
      </c>
      <c r="E157" s="4" t="s">
        <v>25</v>
      </c>
      <c r="F157" s="4" t="s">
        <v>25</v>
      </c>
      <c r="G157" s="4" t="s">
        <v>75</v>
      </c>
      <c r="H157" s="4" t="s">
        <v>25</v>
      </c>
      <c r="I157" s="5">
        <v>44621</v>
      </c>
      <c r="J157" s="6">
        <v>42500</v>
      </c>
      <c r="K157" s="6">
        <v>42500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66</v>
      </c>
      <c r="R157" s="4">
        <v>1276</v>
      </c>
      <c r="S157" s="6">
        <v>10</v>
      </c>
      <c r="T157" s="6">
        <v>0</v>
      </c>
      <c r="U157" s="6">
        <v>0</v>
      </c>
      <c r="V157" s="6">
        <f>IF(ISERROR(VLOOKUP($S$157,'TAR FIN'!$A$1:$O$116,15,0)),0,VLOOKUP($S$157,'TAR FIN'!$A$1:$O$116,15,0))</f>
        <v>5.0999999999999996</v>
      </c>
      <c r="W157" s="6">
        <f>IF(ISERROR(VLOOKUP($T$157,'TAR FIN'!$A$1:$O$116,15,0)),0,VLOOKUP($T$157,'TAR FIN'!$A$1:$O$116,15,0))</f>
        <v>0</v>
      </c>
      <c r="X157" s="6">
        <f>IF(ISERROR(VLOOKUP($U$157,'TAR FIN'!$A$1:$O$116,15,0)),0,VLOOKUP($U$157,'TAR FIN'!$A$1:$O$116,15,0))</f>
        <v>0</v>
      </c>
      <c r="Y157" s="6">
        <f ca="1">('TUSD BE'!$AM$14+'TUSD BF'!$AM$14+'TUSD CVA'!$AM$14)*1</f>
        <v>5.3518194805398505</v>
      </c>
      <c r="Z157" s="6"/>
      <c r="AA157" s="6"/>
      <c r="AB157" s="6">
        <f>$K$157*$V$157</f>
        <v>216749.99999999997</v>
      </c>
      <c r="AC157" s="6">
        <f>$M$157*$W$157</f>
        <v>0</v>
      </c>
      <c r="AD157" s="6">
        <f>$O$157*$X$157</f>
        <v>0</v>
      </c>
      <c r="AE157" s="6">
        <f ca="1">$K$157*$Y$157</f>
        <v>227452.32792294363</v>
      </c>
      <c r="AF157" s="6">
        <f>$M$157*$Z$157</f>
        <v>0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59</v>
      </c>
      <c r="C158" s="4" t="s">
        <v>64</v>
      </c>
      <c r="D158" s="4" t="s">
        <v>25</v>
      </c>
      <c r="E158" s="4" t="s">
        <v>25</v>
      </c>
      <c r="F158" s="4" t="s">
        <v>25</v>
      </c>
      <c r="G158" s="4" t="s">
        <v>86</v>
      </c>
      <c r="H158" s="4" t="s">
        <v>25</v>
      </c>
      <c r="I158" s="5">
        <v>44621</v>
      </c>
      <c r="J158" s="6">
        <v>24400</v>
      </c>
      <c r="K158" s="6">
        <v>12200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66</v>
      </c>
      <c r="R158" s="4">
        <v>27532</v>
      </c>
      <c r="S158" s="6">
        <v>11</v>
      </c>
      <c r="T158" s="6">
        <v>0</v>
      </c>
      <c r="U158" s="6">
        <v>0</v>
      </c>
      <c r="V158" s="6">
        <f>IF(ISERROR(VLOOKUP($S$158,'TAR FIN'!$A$1:$O$116,15,0)),0,VLOOKUP($S$158,'TAR FIN'!$A$1:$O$116,15,0))</f>
        <v>4.63</v>
      </c>
      <c r="W158" s="6">
        <f>IF(ISERROR(VLOOKUP($T$158,'TAR FIN'!$A$1:$O$116,15,0)),0,VLOOKUP($T$158,'TAR FIN'!$A$1:$O$116,15,0))</f>
        <v>0</v>
      </c>
      <c r="X158" s="6">
        <f>IF(ISERROR(VLOOKUP($U$158,'TAR FIN'!$A$1:$O$116,15,0)),0,VLOOKUP($U$158,'TAR FIN'!$A$1:$O$116,15,0))</f>
        <v>0</v>
      </c>
      <c r="Y158" s="6">
        <f ca="1">('TUSD BE'!$AM$15+'TUSD BF'!$AM$15+'TUSD CVA'!$AM$15)*1</f>
        <v>4.8520321280503262</v>
      </c>
      <c r="Z158" s="6"/>
      <c r="AA158" s="6"/>
      <c r="AB158" s="6">
        <f>$K$158*$V$158</f>
        <v>56486</v>
      </c>
      <c r="AC158" s="6">
        <f>$M$158*$W$158</f>
        <v>0</v>
      </c>
      <c r="AD158" s="6">
        <f>$O$158*$X$158</f>
        <v>0</v>
      </c>
      <c r="AE158" s="6">
        <f ca="1">$K$158*$Y$158</f>
        <v>59194.791962213982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59</v>
      </c>
      <c r="C159" s="4" t="s">
        <v>64</v>
      </c>
      <c r="D159" s="4" t="s">
        <v>25</v>
      </c>
      <c r="E159" s="4" t="s">
        <v>25</v>
      </c>
      <c r="F159" s="4" t="s">
        <v>25</v>
      </c>
      <c r="G159" s="4" t="s">
        <v>87</v>
      </c>
      <c r="H159" s="4" t="s">
        <v>25</v>
      </c>
      <c r="I159" s="5">
        <v>44621</v>
      </c>
      <c r="J159" s="6">
        <v>25000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66</v>
      </c>
      <c r="R159" s="4">
        <v>27534</v>
      </c>
      <c r="S159" s="6">
        <v>12</v>
      </c>
      <c r="T159" s="6">
        <v>0</v>
      </c>
      <c r="U159" s="6">
        <v>0</v>
      </c>
      <c r="V159" s="6">
        <f>IF(ISERROR(VLOOKUP($S$159,'TAR FIN'!$A$1:$O$116,15,0)),0,VLOOKUP($S$159,'TAR FIN'!$A$1:$O$116,15,0))</f>
        <v>5.58</v>
      </c>
      <c r="W159" s="6">
        <f>IF(ISERROR(VLOOKUP($T$159,'TAR FIN'!$A$1:$O$116,15,0)),0,VLOOKUP($T$159,'TAR FIN'!$A$1:$O$116,15,0))</f>
        <v>0</v>
      </c>
      <c r="X159" s="6">
        <f>IF(ISERROR(VLOOKUP($U$159,'TAR FIN'!$A$1:$O$116,15,0)),0,VLOOKUP($U$159,'TAR FIN'!$A$1:$O$116,15,0))</f>
        <v>0</v>
      </c>
      <c r="Y159" s="6">
        <f ca="1">('TUSD BE'!$AM$16+'TUSD BF'!$AM$16+'TUSD CVA'!$AM$16)*1</f>
        <v>5.862991208798829</v>
      </c>
      <c r="Z159" s="6"/>
      <c r="AA159" s="6"/>
      <c r="AB159" s="6">
        <f>$K$159*$V$159</f>
        <v>0</v>
      </c>
      <c r="AC159" s="6">
        <f>$M$159*$W$159</f>
        <v>0</v>
      </c>
      <c r="AD159" s="6">
        <f>$O$159*$X$159</f>
        <v>0</v>
      </c>
      <c r="AE159" s="6">
        <f ca="1">$K$159*$Y$159</f>
        <v>0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59</v>
      </c>
      <c r="C160" s="4" t="s">
        <v>64</v>
      </c>
      <c r="D160" s="4" t="s">
        <v>25</v>
      </c>
      <c r="E160" s="4" t="s">
        <v>25</v>
      </c>
      <c r="F160" s="4" t="s">
        <v>25</v>
      </c>
      <c r="G160" s="4" t="s">
        <v>89</v>
      </c>
      <c r="H160" s="4" t="s">
        <v>25</v>
      </c>
      <c r="I160" s="5">
        <v>44621</v>
      </c>
      <c r="J160" s="6">
        <v>12600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66</v>
      </c>
      <c r="R160" s="4">
        <v>27727</v>
      </c>
      <c r="S160" s="6">
        <v>13</v>
      </c>
      <c r="T160" s="6">
        <v>0</v>
      </c>
      <c r="U160" s="6">
        <v>0</v>
      </c>
      <c r="V160" s="6">
        <f>IF(ISERROR(VLOOKUP($S$160,'TAR FIN'!$A$1:$O$116,15,0)),0,VLOOKUP($S$160,'TAR FIN'!$A$1:$O$116,15,0))</f>
        <v>5.37</v>
      </c>
      <c r="W160" s="6">
        <f>IF(ISERROR(VLOOKUP($T$160,'TAR FIN'!$A$1:$O$116,15,0)),0,VLOOKUP($T$160,'TAR FIN'!$A$1:$O$116,15,0))</f>
        <v>0</v>
      </c>
      <c r="X160" s="6">
        <f>IF(ISERROR(VLOOKUP($U$160,'TAR FIN'!$A$1:$O$116,15,0)),0,VLOOKUP($U$160,'TAR FIN'!$A$1:$O$116,15,0))</f>
        <v>0</v>
      </c>
      <c r="Y160" s="6">
        <f ca="1">('TUSD BE'!$AM$17+'TUSD BF'!$AM$17+'TUSD CVA'!$AM$17)*1</f>
        <v>5.6347568025342989</v>
      </c>
      <c r="Z160" s="6"/>
      <c r="AA160" s="6"/>
      <c r="AB160" s="6">
        <f>$K$160*$V$160</f>
        <v>0</v>
      </c>
      <c r="AC160" s="6">
        <f>$M$160*$W$160</f>
        <v>0</v>
      </c>
      <c r="AD160" s="6">
        <f>$O$160*$X$160</f>
        <v>0</v>
      </c>
      <c r="AE160" s="6">
        <f ca="1">$K$160*$Y$160</f>
        <v>0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59</v>
      </c>
      <c r="C161" s="4" t="s">
        <v>64</v>
      </c>
      <c r="D161" s="4" t="s">
        <v>25</v>
      </c>
      <c r="E161" s="4" t="s">
        <v>25</v>
      </c>
      <c r="F161" s="4" t="s">
        <v>25</v>
      </c>
      <c r="G161" s="4" t="s">
        <v>92</v>
      </c>
      <c r="H161" s="4" t="s">
        <v>25</v>
      </c>
      <c r="I161" s="5">
        <v>44621</v>
      </c>
      <c r="J161" s="6">
        <v>8100</v>
      </c>
      <c r="K161" s="6">
        <v>4050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66</v>
      </c>
      <c r="R161" s="4">
        <v>30597</v>
      </c>
      <c r="S161" s="6">
        <v>14</v>
      </c>
      <c r="T161" s="6">
        <v>0</v>
      </c>
      <c r="U161" s="6">
        <v>0</v>
      </c>
      <c r="V161" s="6">
        <f>IF(ISERROR(VLOOKUP($S$161,'TAR FIN'!$A$1:$O$116,15,0)),0,VLOOKUP($S$161,'TAR FIN'!$A$1:$O$116,15,0))</f>
        <v>5.04</v>
      </c>
      <c r="W161" s="6">
        <f>IF(ISERROR(VLOOKUP($T$161,'TAR FIN'!$A$1:$O$116,15,0)),0,VLOOKUP($T$161,'TAR FIN'!$A$1:$O$116,15,0))</f>
        <v>0</v>
      </c>
      <c r="X161" s="6">
        <f>IF(ISERROR(VLOOKUP($U$161,'TAR FIN'!$A$1:$O$116,15,0)),0,VLOOKUP($U$161,'TAR FIN'!$A$1:$O$116,15,0))</f>
        <v>0</v>
      </c>
      <c r="Y161" s="6">
        <f ca="1">('TUSD BE'!$AM$18+'TUSD BF'!$AM$18+'TUSD CVA'!$AM$18)*1</f>
        <v>5.2832968919533032</v>
      </c>
      <c r="Z161" s="6"/>
      <c r="AA161" s="6"/>
      <c r="AB161" s="6">
        <f>$K$161*$V$161</f>
        <v>20412</v>
      </c>
      <c r="AC161" s="6">
        <f>$M$161*$W$161</f>
        <v>0</v>
      </c>
      <c r="AD161" s="6">
        <f>$O$161*$X$161</f>
        <v>0</v>
      </c>
      <c r="AE161" s="6">
        <f ca="1">$K$161*$Y$161</f>
        <v>21397.352412410877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59</v>
      </c>
      <c r="C162" s="4" t="s">
        <v>64</v>
      </c>
      <c r="D162" s="4" t="s">
        <v>25</v>
      </c>
      <c r="E162" s="4" t="s">
        <v>25</v>
      </c>
      <c r="F162" s="4" t="s">
        <v>25</v>
      </c>
      <c r="G162" s="4" t="s">
        <v>65</v>
      </c>
      <c r="H162" s="4" t="s">
        <v>25</v>
      </c>
      <c r="I162" s="5">
        <v>44652</v>
      </c>
      <c r="J162" s="6">
        <v>1640</v>
      </c>
      <c r="K162" s="6">
        <v>820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66</v>
      </c>
      <c r="R162" s="4">
        <v>104</v>
      </c>
      <c r="S162" s="6">
        <v>5</v>
      </c>
      <c r="T162" s="6">
        <v>0</v>
      </c>
      <c r="U162" s="6">
        <v>0</v>
      </c>
      <c r="V162" s="6">
        <f>IF(ISERROR(VLOOKUP($S$162,'TAR FIN'!$A$1:$O$116,15,0)),0,VLOOKUP($S$162,'TAR FIN'!$A$1:$O$116,15,0))</f>
        <v>5.0999999999999996</v>
      </c>
      <c r="W162" s="6">
        <f>IF(ISERROR(VLOOKUP($T$162,'TAR FIN'!$A$1:$O$116,15,0)),0,VLOOKUP($T$162,'TAR FIN'!$A$1:$O$116,15,0))</f>
        <v>0</v>
      </c>
      <c r="X162" s="6">
        <f>IF(ISERROR(VLOOKUP($U$162,'TAR FIN'!$A$1:$O$116,15,0)),0,VLOOKUP($U$162,'TAR FIN'!$A$1:$O$116,15,0))</f>
        <v>0</v>
      </c>
      <c r="Y162" s="6">
        <f ca="1">('TUSD BE'!$AM$9+'TUSD BF'!$AM$9+'TUSD CVA'!$AM$9)*1</f>
        <v>5.3518194805398505</v>
      </c>
      <c r="Z162" s="6"/>
      <c r="AA162" s="6"/>
      <c r="AB162" s="6">
        <f>$K$162*$V$162</f>
        <v>4182</v>
      </c>
      <c r="AC162" s="6">
        <f>$M$162*$W$162</f>
        <v>0</v>
      </c>
      <c r="AD162" s="6">
        <f>$O$162*$X$162</f>
        <v>0</v>
      </c>
      <c r="AE162" s="6">
        <f ca="1">$K$162*$Y$162</f>
        <v>4388.4919740426776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59</v>
      </c>
      <c r="C163" s="4" t="s">
        <v>64</v>
      </c>
      <c r="D163" s="4" t="s">
        <v>25</v>
      </c>
      <c r="E163" s="4" t="s">
        <v>25</v>
      </c>
      <c r="F163" s="4" t="s">
        <v>25</v>
      </c>
      <c r="G163" s="4" t="s">
        <v>67</v>
      </c>
      <c r="H163" s="4" t="s">
        <v>25</v>
      </c>
      <c r="I163" s="5">
        <v>44652</v>
      </c>
      <c r="J163" s="6">
        <v>39500</v>
      </c>
      <c r="K163" s="6">
        <v>24307.692490000001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66</v>
      </c>
      <c r="R163" s="4">
        <v>215</v>
      </c>
      <c r="S163" s="6">
        <v>6</v>
      </c>
      <c r="T163" s="6">
        <v>0</v>
      </c>
      <c r="U163" s="6">
        <v>0</v>
      </c>
      <c r="V163" s="6">
        <f>IF(ISERROR(VLOOKUP($S$163,'TAR FIN'!$A$1:$O$116,15,0)),0,VLOOKUP($S$163,'TAR FIN'!$A$1:$O$116,15,0))</f>
        <v>3.94</v>
      </c>
      <c r="W163" s="6">
        <f>IF(ISERROR(VLOOKUP($T$163,'TAR FIN'!$A$1:$O$116,15,0)),0,VLOOKUP($T$163,'TAR FIN'!$A$1:$O$116,15,0))</f>
        <v>0</v>
      </c>
      <c r="X163" s="6">
        <f>IF(ISERROR(VLOOKUP($U$163,'TAR FIN'!$A$1:$O$116,15,0)),0,VLOOKUP($U$163,'TAR FIN'!$A$1:$O$116,15,0))</f>
        <v>0</v>
      </c>
      <c r="Y163" s="6">
        <f ca="1">('TUSD BE'!$AM$10+'TUSD BF'!$AM$10+'TUSD CVA'!$AM$10)*1</f>
        <v>4.1263435553812471</v>
      </c>
      <c r="Z163" s="6"/>
      <c r="AA163" s="6"/>
      <c r="AB163" s="6">
        <f>$K$163*$V$163</f>
        <v>95772.308410600002</v>
      </c>
      <c r="AC163" s="6">
        <f>$M$163*$W$163</f>
        <v>0</v>
      </c>
      <c r="AD163" s="6">
        <f>$O$163*$X$163</f>
        <v>0</v>
      </c>
      <c r="AE163" s="6">
        <f ca="1">$K$163*$Y$163</f>
        <v>100301.89025230064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59</v>
      </c>
      <c r="C164" s="4" t="s">
        <v>64</v>
      </c>
      <c r="D164" s="4" t="s">
        <v>25</v>
      </c>
      <c r="E164" s="4" t="s">
        <v>25</v>
      </c>
      <c r="F164" s="4" t="s">
        <v>25</v>
      </c>
      <c r="G164" s="4" t="s">
        <v>69</v>
      </c>
      <c r="H164" s="4" t="s">
        <v>25</v>
      </c>
      <c r="I164" s="5">
        <v>44652</v>
      </c>
      <c r="J164" s="6">
        <v>22000</v>
      </c>
      <c r="K164" s="6">
        <v>22000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66</v>
      </c>
      <c r="R164" s="4">
        <v>473</v>
      </c>
      <c r="S164" s="6">
        <v>7</v>
      </c>
      <c r="T164" s="6">
        <v>0</v>
      </c>
      <c r="U164" s="6">
        <v>0</v>
      </c>
      <c r="V164" s="6">
        <f>IF(ISERROR(VLOOKUP($S$164,'TAR FIN'!$A$1:$O$116,15,0)),0,VLOOKUP($S$164,'TAR FIN'!$A$1:$O$116,15,0))</f>
        <v>5.69</v>
      </c>
      <c r="W164" s="6">
        <f>IF(ISERROR(VLOOKUP($T$164,'TAR FIN'!$A$1:$O$116,15,0)),0,VLOOKUP($T$164,'TAR FIN'!$A$1:$O$116,15,0))</f>
        <v>0</v>
      </c>
      <c r="X164" s="6">
        <f>IF(ISERROR(VLOOKUP($U$164,'TAR FIN'!$A$1:$O$116,15,0)),0,VLOOKUP($U$164,'TAR FIN'!$A$1:$O$116,15,0))</f>
        <v>0</v>
      </c>
      <c r="Y164" s="6">
        <f ca="1">('TUSD BE'!$AM$11+'TUSD BF'!$AM$11+'TUSD CVA'!$AM$11)*1</f>
        <v>5.9725875581129042</v>
      </c>
      <c r="Z164" s="6"/>
      <c r="AA164" s="6"/>
      <c r="AB164" s="6">
        <f>$K$164*$V$164</f>
        <v>125180.00000000001</v>
      </c>
      <c r="AC164" s="6">
        <f>$M$164*$W$164</f>
        <v>0</v>
      </c>
      <c r="AD164" s="6">
        <f>$O$164*$X$164</f>
        <v>0</v>
      </c>
      <c r="AE164" s="6">
        <f ca="1">$K$164*$Y$164</f>
        <v>131396.92627848388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59</v>
      </c>
      <c r="C165" s="4" t="s">
        <v>64</v>
      </c>
      <c r="D165" s="4" t="s">
        <v>25</v>
      </c>
      <c r="E165" s="4" t="s">
        <v>25</v>
      </c>
      <c r="F165" s="4" t="s">
        <v>25</v>
      </c>
      <c r="G165" s="4" t="s">
        <v>72</v>
      </c>
      <c r="H165" s="4" t="s">
        <v>25</v>
      </c>
      <c r="I165" s="5">
        <v>44652</v>
      </c>
      <c r="J165" s="6">
        <v>16500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66</v>
      </c>
      <c r="R165" s="4">
        <v>1047</v>
      </c>
      <c r="S165" s="6">
        <v>8</v>
      </c>
      <c r="T165" s="6">
        <v>0</v>
      </c>
      <c r="U165" s="6">
        <v>0</v>
      </c>
      <c r="V165" s="6">
        <f>IF(ISERROR(VLOOKUP($S$165,'TAR FIN'!$A$1:$O$116,15,0)),0,VLOOKUP($S$165,'TAR FIN'!$A$1:$O$116,15,0))</f>
        <v>5.41</v>
      </c>
      <c r="W165" s="6">
        <f>IF(ISERROR(VLOOKUP($T$165,'TAR FIN'!$A$1:$O$116,15,0)),0,VLOOKUP($T$165,'TAR FIN'!$A$1:$O$116,15,0))</f>
        <v>0</v>
      </c>
      <c r="X165" s="6">
        <f>IF(ISERROR(VLOOKUP($U$165,'TAR FIN'!$A$1:$O$116,15,0)),0,VLOOKUP($U$165,'TAR FIN'!$A$1:$O$116,15,0))</f>
        <v>0</v>
      </c>
      <c r="Y165" s="6">
        <f ca="1">('TUSD BE'!$AM$12+'TUSD BF'!$AM$12+'TUSD CVA'!$AM$12)*1</f>
        <v>5.6770468968387959</v>
      </c>
      <c r="Z165" s="6"/>
      <c r="AA165" s="6"/>
      <c r="AB165" s="6">
        <f>$K$165*$V$165</f>
        <v>0</v>
      </c>
      <c r="AC165" s="6">
        <f>$M$165*$W$165</f>
        <v>0</v>
      </c>
      <c r="AD165" s="6">
        <f>$O$165*$X$165</f>
        <v>0</v>
      </c>
      <c r="AE165" s="6">
        <f ca="1">$K$165*$Y$165</f>
        <v>0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59</v>
      </c>
      <c r="C166" s="4" t="s">
        <v>64</v>
      </c>
      <c r="D166" s="4" t="s">
        <v>25</v>
      </c>
      <c r="E166" s="4" t="s">
        <v>25</v>
      </c>
      <c r="F166" s="4" t="s">
        <v>25</v>
      </c>
      <c r="G166" s="4" t="s">
        <v>73</v>
      </c>
      <c r="H166" s="4" t="s">
        <v>25</v>
      </c>
      <c r="I166" s="5">
        <v>44652</v>
      </c>
      <c r="J166" s="6">
        <v>5320</v>
      </c>
      <c r="K166" s="6">
        <v>2660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66</v>
      </c>
      <c r="R166" s="4">
        <v>1078</v>
      </c>
      <c r="S166" s="6">
        <v>9</v>
      </c>
      <c r="T166" s="6">
        <v>0</v>
      </c>
      <c r="U166" s="6">
        <v>0</v>
      </c>
      <c r="V166" s="6">
        <f>IF(ISERROR(VLOOKUP($S$166,'TAR FIN'!$A$1:$O$116,15,0)),0,VLOOKUP($S$166,'TAR FIN'!$A$1:$O$116,15,0))</f>
        <v>5.0999999999999996</v>
      </c>
      <c r="W166" s="6">
        <f>IF(ISERROR(VLOOKUP($T$166,'TAR FIN'!$A$1:$O$116,15,0)),0,VLOOKUP($T$166,'TAR FIN'!$A$1:$O$116,15,0))</f>
        <v>0</v>
      </c>
      <c r="X166" s="6">
        <f>IF(ISERROR(VLOOKUP($U$166,'TAR FIN'!$A$1:$O$116,15,0)),0,VLOOKUP($U$166,'TAR FIN'!$A$1:$O$116,15,0))</f>
        <v>0</v>
      </c>
      <c r="Y166" s="6">
        <f ca="1">('TUSD BE'!$AM$13+'TUSD BF'!$AM$13+'TUSD CVA'!$AM$13)*1</f>
        <v>5.3518194805398505</v>
      </c>
      <c r="Z166" s="6"/>
      <c r="AA166" s="6"/>
      <c r="AB166" s="6">
        <f>$K$166*$V$166</f>
        <v>13565.999999999998</v>
      </c>
      <c r="AC166" s="6">
        <f>$M$166*$W$166</f>
        <v>0</v>
      </c>
      <c r="AD166" s="6">
        <f>$O$166*$X$166</f>
        <v>0</v>
      </c>
      <c r="AE166" s="6">
        <f ca="1">$K$166*$Y$166</f>
        <v>14235.839818236002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59</v>
      </c>
      <c r="C167" s="4" t="s">
        <v>64</v>
      </c>
      <c r="D167" s="4" t="s">
        <v>25</v>
      </c>
      <c r="E167" s="4" t="s">
        <v>25</v>
      </c>
      <c r="F167" s="4" t="s">
        <v>25</v>
      </c>
      <c r="G167" s="4" t="s">
        <v>75</v>
      </c>
      <c r="H167" s="4" t="s">
        <v>25</v>
      </c>
      <c r="I167" s="5">
        <v>44652</v>
      </c>
      <c r="J167" s="6">
        <v>42500</v>
      </c>
      <c r="K167" s="6">
        <v>42500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66</v>
      </c>
      <c r="R167" s="4">
        <v>1276</v>
      </c>
      <c r="S167" s="6">
        <v>10</v>
      </c>
      <c r="T167" s="6">
        <v>0</v>
      </c>
      <c r="U167" s="6">
        <v>0</v>
      </c>
      <c r="V167" s="6">
        <f>IF(ISERROR(VLOOKUP($S$167,'TAR FIN'!$A$1:$O$116,15,0)),0,VLOOKUP($S$167,'TAR FIN'!$A$1:$O$116,15,0))</f>
        <v>5.0999999999999996</v>
      </c>
      <c r="W167" s="6">
        <f>IF(ISERROR(VLOOKUP($T$167,'TAR FIN'!$A$1:$O$116,15,0)),0,VLOOKUP($T$167,'TAR FIN'!$A$1:$O$116,15,0))</f>
        <v>0</v>
      </c>
      <c r="X167" s="6">
        <f>IF(ISERROR(VLOOKUP($U$167,'TAR FIN'!$A$1:$O$116,15,0)),0,VLOOKUP($U$167,'TAR FIN'!$A$1:$O$116,15,0))</f>
        <v>0</v>
      </c>
      <c r="Y167" s="6">
        <f ca="1">('TUSD BE'!$AM$14+'TUSD BF'!$AM$14+'TUSD CVA'!$AM$14)*1</f>
        <v>5.3518194805398505</v>
      </c>
      <c r="Z167" s="6"/>
      <c r="AA167" s="6"/>
      <c r="AB167" s="6">
        <f>$K$167*$V$167</f>
        <v>216749.99999999997</v>
      </c>
      <c r="AC167" s="6">
        <f>$M$167*$W$167</f>
        <v>0</v>
      </c>
      <c r="AD167" s="6">
        <f>$O$167*$X$167</f>
        <v>0</v>
      </c>
      <c r="AE167" s="6">
        <f ca="1">$K$167*$Y$167</f>
        <v>227452.32792294363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59</v>
      </c>
      <c r="C168" s="4" t="s">
        <v>64</v>
      </c>
      <c r="D168" s="4" t="s">
        <v>25</v>
      </c>
      <c r="E168" s="4" t="s">
        <v>25</v>
      </c>
      <c r="F168" s="4" t="s">
        <v>25</v>
      </c>
      <c r="G168" s="4" t="s">
        <v>86</v>
      </c>
      <c r="H168" s="4" t="s">
        <v>25</v>
      </c>
      <c r="I168" s="5">
        <v>44652</v>
      </c>
      <c r="J168" s="6">
        <v>24400</v>
      </c>
      <c r="K168" s="6">
        <v>12200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66</v>
      </c>
      <c r="R168" s="4">
        <v>27532</v>
      </c>
      <c r="S168" s="6">
        <v>11</v>
      </c>
      <c r="T168" s="6">
        <v>0</v>
      </c>
      <c r="U168" s="6">
        <v>0</v>
      </c>
      <c r="V168" s="6">
        <f>IF(ISERROR(VLOOKUP($S$168,'TAR FIN'!$A$1:$O$116,15,0)),0,VLOOKUP($S$168,'TAR FIN'!$A$1:$O$116,15,0))</f>
        <v>4.63</v>
      </c>
      <c r="W168" s="6">
        <f>IF(ISERROR(VLOOKUP($T$168,'TAR FIN'!$A$1:$O$116,15,0)),0,VLOOKUP($T$168,'TAR FIN'!$A$1:$O$116,15,0))</f>
        <v>0</v>
      </c>
      <c r="X168" s="6">
        <f>IF(ISERROR(VLOOKUP($U$168,'TAR FIN'!$A$1:$O$116,15,0)),0,VLOOKUP($U$168,'TAR FIN'!$A$1:$O$116,15,0))</f>
        <v>0</v>
      </c>
      <c r="Y168" s="6">
        <f ca="1">('TUSD BE'!$AM$15+'TUSD BF'!$AM$15+'TUSD CVA'!$AM$15)*1</f>
        <v>4.8520321280503262</v>
      </c>
      <c r="Z168" s="6"/>
      <c r="AA168" s="6"/>
      <c r="AB168" s="6">
        <f>$K$168*$V$168</f>
        <v>56486</v>
      </c>
      <c r="AC168" s="6">
        <f>$M$168*$W$168</f>
        <v>0</v>
      </c>
      <c r="AD168" s="6">
        <f>$O$168*$X$168</f>
        <v>0</v>
      </c>
      <c r="AE168" s="6">
        <f ca="1">$K$168*$Y$168</f>
        <v>59194.791962213982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59</v>
      </c>
      <c r="C169" s="4" t="s">
        <v>64</v>
      </c>
      <c r="D169" s="4" t="s">
        <v>25</v>
      </c>
      <c r="E169" s="4" t="s">
        <v>25</v>
      </c>
      <c r="F169" s="4" t="s">
        <v>25</v>
      </c>
      <c r="G169" s="4" t="s">
        <v>87</v>
      </c>
      <c r="H169" s="4" t="s">
        <v>25</v>
      </c>
      <c r="I169" s="5">
        <v>44652</v>
      </c>
      <c r="J169" s="6">
        <v>25000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66</v>
      </c>
      <c r="R169" s="4">
        <v>27534</v>
      </c>
      <c r="S169" s="6">
        <v>12</v>
      </c>
      <c r="T169" s="6">
        <v>0</v>
      </c>
      <c r="U169" s="6">
        <v>0</v>
      </c>
      <c r="V169" s="6">
        <f>IF(ISERROR(VLOOKUP($S$169,'TAR FIN'!$A$1:$O$116,15,0)),0,VLOOKUP($S$169,'TAR FIN'!$A$1:$O$116,15,0))</f>
        <v>5.58</v>
      </c>
      <c r="W169" s="6">
        <f>IF(ISERROR(VLOOKUP($T$169,'TAR FIN'!$A$1:$O$116,15,0)),0,VLOOKUP($T$169,'TAR FIN'!$A$1:$O$116,15,0))</f>
        <v>0</v>
      </c>
      <c r="X169" s="6">
        <f>IF(ISERROR(VLOOKUP($U$169,'TAR FIN'!$A$1:$O$116,15,0)),0,VLOOKUP($U$169,'TAR FIN'!$A$1:$O$116,15,0))</f>
        <v>0</v>
      </c>
      <c r="Y169" s="6">
        <f ca="1">('TUSD BE'!$AM$16+'TUSD BF'!$AM$16+'TUSD CVA'!$AM$16)*1</f>
        <v>5.862991208798829</v>
      </c>
      <c r="Z169" s="6"/>
      <c r="AA169" s="6"/>
      <c r="AB169" s="6">
        <f>$K$169*$V$169</f>
        <v>0</v>
      </c>
      <c r="AC169" s="6">
        <f>$M$169*$W$169</f>
        <v>0</v>
      </c>
      <c r="AD169" s="6">
        <f>$O$169*$X$169</f>
        <v>0</v>
      </c>
      <c r="AE169" s="6">
        <f ca="1">$K$169*$Y$169</f>
        <v>0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59</v>
      </c>
      <c r="C170" s="4" t="s">
        <v>64</v>
      </c>
      <c r="D170" s="4" t="s">
        <v>25</v>
      </c>
      <c r="E170" s="4" t="s">
        <v>25</v>
      </c>
      <c r="F170" s="4" t="s">
        <v>25</v>
      </c>
      <c r="G170" s="4" t="s">
        <v>89</v>
      </c>
      <c r="H170" s="4" t="s">
        <v>25</v>
      </c>
      <c r="I170" s="5">
        <v>44652</v>
      </c>
      <c r="J170" s="6">
        <v>12600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66</v>
      </c>
      <c r="R170" s="4">
        <v>27727</v>
      </c>
      <c r="S170" s="6">
        <v>13</v>
      </c>
      <c r="T170" s="6">
        <v>0</v>
      </c>
      <c r="U170" s="6">
        <v>0</v>
      </c>
      <c r="V170" s="6">
        <f>IF(ISERROR(VLOOKUP($S$170,'TAR FIN'!$A$1:$O$116,15,0)),0,VLOOKUP($S$170,'TAR FIN'!$A$1:$O$116,15,0))</f>
        <v>5.37</v>
      </c>
      <c r="W170" s="6">
        <f>IF(ISERROR(VLOOKUP($T$170,'TAR FIN'!$A$1:$O$116,15,0)),0,VLOOKUP($T$170,'TAR FIN'!$A$1:$O$116,15,0))</f>
        <v>0</v>
      </c>
      <c r="X170" s="6">
        <f>IF(ISERROR(VLOOKUP($U$170,'TAR FIN'!$A$1:$O$116,15,0)),0,VLOOKUP($U$170,'TAR FIN'!$A$1:$O$116,15,0))</f>
        <v>0</v>
      </c>
      <c r="Y170" s="6">
        <f ca="1">('TUSD BE'!$AM$17+'TUSD BF'!$AM$17+'TUSD CVA'!$AM$17)*1</f>
        <v>5.6347568025342989</v>
      </c>
      <c r="Z170" s="6"/>
      <c r="AA170" s="6"/>
      <c r="AB170" s="6">
        <f>$K$170*$V$170</f>
        <v>0</v>
      </c>
      <c r="AC170" s="6">
        <f>$M$170*$W$170</f>
        <v>0</v>
      </c>
      <c r="AD170" s="6">
        <f>$O$170*$X$170</f>
        <v>0</v>
      </c>
      <c r="AE170" s="6">
        <f ca="1">$K$170*$Y$170</f>
        <v>0</v>
      </c>
      <c r="AF170" s="6">
        <f>$M$170*$Z$170</f>
        <v>0</v>
      </c>
      <c r="AG170" s="6">
        <f>$O$170*$AA$170</f>
        <v>0</v>
      </c>
    </row>
    <row r="171" spans="1:33" ht="11.25" customHeight="1" x14ac:dyDescent="0.25">
      <c r="A171" s="4" t="s">
        <v>21</v>
      </c>
      <c r="B171" s="4" t="s">
        <v>59</v>
      </c>
      <c r="C171" s="4" t="s">
        <v>64</v>
      </c>
      <c r="D171" s="4" t="s">
        <v>25</v>
      </c>
      <c r="E171" s="4" t="s">
        <v>25</v>
      </c>
      <c r="F171" s="4" t="s">
        <v>25</v>
      </c>
      <c r="G171" s="4" t="s">
        <v>92</v>
      </c>
      <c r="H171" s="4" t="s">
        <v>25</v>
      </c>
      <c r="I171" s="5">
        <v>44652</v>
      </c>
      <c r="J171" s="6">
        <v>8100</v>
      </c>
      <c r="K171" s="6">
        <v>4050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66</v>
      </c>
      <c r="R171" s="4">
        <v>30597</v>
      </c>
      <c r="S171" s="6">
        <v>14</v>
      </c>
      <c r="T171" s="6">
        <v>0</v>
      </c>
      <c r="U171" s="6">
        <v>0</v>
      </c>
      <c r="V171" s="6">
        <f>IF(ISERROR(VLOOKUP($S$171,'TAR FIN'!$A$1:$O$116,15,0)),0,VLOOKUP($S$171,'TAR FIN'!$A$1:$O$116,15,0))</f>
        <v>5.04</v>
      </c>
      <c r="W171" s="6">
        <f>IF(ISERROR(VLOOKUP($T$171,'TAR FIN'!$A$1:$O$116,15,0)),0,VLOOKUP($T$171,'TAR FIN'!$A$1:$O$116,15,0))</f>
        <v>0</v>
      </c>
      <c r="X171" s="6">
        <f>IF(ISERROR(VLOOKUP($U$171,'TAR FIN'!$A$1:$O$116,15,0)),0,VLOOKUP($U$171,'TAR FIN'!$A$1:$O$116,15,0))</f>
        <v>0</v>
      </c>
      <c r="Y171" s="6">
        <f ca="1">('TUSD BE'!$AM$18+'TUSD BF'!$AM$18+'TUSD CVA'!$AM$18)*1</f>
        <v>5.2832968919533032</v>
      </c>
      <c r="Z171" s="6"/>
      <c r="AA171" s="6"/>
      <c r="AB171" s="6">
        <f>$K$171*$V$171</f>
        <v>20412</v>
      </c>
      <c r="AC171" s="6">
        <f>$M$171*$W$171</f>
        <v>0</v>
      </c>
      <c r="AD171" s="6">
        <f>$O$171*$X$171</f>
        <v>0</v>
      </c>
      <c r="AE171" s="6">
        <f ca="1">$K$171*$Y$171</f>
        <v>21397.352412410877</v>
      </c>
      <c r="AF171" s="6">
        <f>$M$171*$Z$171</f>
        <v>0</v>
      </c>
      <c r="AG171" s="6">
        <f>$O$171*$AA$171</f>
        <v>0</v>
      </c>
    </row>
    <row r="172" spans="1:33" ht="11.25" customHeight="1" x14ac:dyDescent="0.25">
      <c r="A172" s="4" t="s">
        <v>58</v>
      </c>
      <c r="B172" s="4" t="s">
        <v>59</v>
      </c>
      <c r="C172" s="4" t="s">
        <v>64</v>
      </c>
      <c r="D172" s="4" t="s">
        <v>25</v>
      </c>
      <c r="E172" s="4" t="s">
        <v>25</v>
      </c>
      <c r="F172" s="4" t="s">
        <v>25</v>
      </c>
      <c r="G172" s="4" t="s">
        <v>65</v>
      </c>
      <c r="H172" s="4" t="s">
        <v>25</v>
      </c>
      <c r="I172" s="5">
        <v>44682</v>
      </c>
      <c r="J172" s="6">
        <v>1640</v>
      </c>
      <c r="K172" s="6">
        <v>820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66</v>
      </c>
      <c r="R172" s="4">
        <v>104</v>
      </c>
      <c r="S172" s="6">
        <v>5</v>
      </c>
      <c r="T172" s="6">
        <v>0</v>
      </c>
      <c r="U172" s="6">
        <v>0</v>
      </c>
      <c r="V172" s="6">
        <f>IF(ISERROR(VLOOKUP($S$172,'TAR FIN'!$A$1:$O$116,15,0)),0,VLOOKUP($S$172,'TAR FIN'!$A$1:$O$116,15,0))</f>
        <v>5.0999999999999996</v>
      </c>
      <c r="W172" s="6">
        <f>IF(ISERROR(VLOOKUP($T$172,'TAR FIN'!$A$1:$O$116,15,0)),0,VLOOKUP($T$172,'TAR FIN'!$A$1:$O$116,15,0))</f>
        <v>0</v>
      </c>
      <c r="X172" s="6">
        <f>IF(ISERROR(VLOOKUP($U$172,'TAR FIN'!$A$1:$O$116,15,0)),0,VLOOKUP($U$172,'TAR FIN'!$A$1:$O$116,15,0))</f>
        <v>0</v>
      </c>
      <c r="Y172" s="6">
        <f ca="1">('TUSD BE'!$AM$9+'TUSD BF'!$AM$9+'TUSD CVA'!$AM$9)*1</f>
        <v>5.3518194805398505</v>
      </c>
      <c r="Z172" s="6"/>
      <c r="AA172" s="6"/>
      <c r="AB172" s="6">
        <f>$K$172*$V$172</f>
        <v>4182</v>
      </c>
      <c r="AC172" s="6">
        <f>$M$172*$W$172</f>
        <v>0</v>
      </c>
      <c r="AD172" s="6">
        <f>$O$172*$X$172</f>
        <v>0</v>
      </c>
      <c r="AE172" s="6">
        <f ca="1">$K$172*$Y$172</f>
        <v>4388.4919740426776</v>
      </c>
      <c r="AF172" s="6">
        <f>$M$172*$Z$172</f>
        <v>0</v>
      </c>
      <c r="AG172" s="6">
        <f>$O$172*$AA$172</f>
        <v>0</v>
      </c>
    </row>
    <row r="173" spans="1:33" ht="11.25" customHeight="1" x14ac:dyDescent="0.25">
      <c r="A173" s="4" t="s">
        <v>58</v>
      </c>
      <c r="B173" s="4" t="s">
        <v>59</v>
      </c>
      <c r="C173" s="4" t="s">
        <v>64</v>
      </c>
      <c r="D173" s="4" t="s">
        <v>25</v>
      </c>
      <c r="E173" s="4" t="s">
        <v>25</v>
      </c>
      <c r="F173" s="4" t="s">
        <v>25</v>
      </c>
      <c r="G173" s="4" t="s">
        <v>67</v>
      </c>
      <c r="H173" s="4" t="s">
        <v>25</v>
      </c>
      <c r="I173" s="5">
        <v>44682</v>
      </c>
      <c r="J173" s="6">
        <v>39500</v>
      </c>
      <c r="K173" s="6">
        <v>24307.692490000001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66</v>
      </c>
      <c r="R173" s="4">
        <v>215</v>
      </c>
      <c r="S173" s="6">
        <v>6</v>
      </c>
      <c r="T173" s="6">
        <v>0</v>
      </c>
      <c r="U173" s="6">
        <v>0</v>
      </c>
      <c r="V173" s="6">
        <f>IF(ISERROR(VLOOKUP($S$173,'TAR FIN'!$A$1:$O$116,15,0)),0,VLOOKUP($S$173,'TAR FIN'!$A$1:$O$116,15,0))</f>
        <v>3.94</v>
      </c>
      <c r="W173" s="6">
        <f>IF(ISERROR(VLOOKUP($T$173,'TAR FIN'!$A$1:$O$116,15,0)),0,VLOOKUP($T$173,'TAR FIN'!$A$1:$O$116,15,0))</f>
        <v>0</v>
      </c>
      <c r="X173" s="6">
        <f>IF(ISERROR(VLOOKUP($U$173,'TAR FIN'!$A$1:$O$116,15,0)),0,VLOOKUP($U$173,'TAR FIN'!$A$1:$O$116,15,0))</f>
        <v>0</v>
      </c>
      <c r="Y173" s="6">
        <f ca="1">('TUSD BE'!$AM$10+'TUSD BF'!$AM$10+'TUSD CVA'!$AM$10)*1</f>
        <v>4.1263435553812471</v>
      </c>
      <c r="Z173" s="6"/>
      <c r="AA173" s="6"/>
      <c r="AB173" s="6">
        <f>$K$173*$V$173</f>
        <v>95772.308410600002</v>
      </c>
      <c r="AC173" s="6">
        <f>$M$173*$W$173</f>
        <v>0</v>
      </c>
      <c r="AD173" s="6">
        <f>$O$173*$X$173</f>
        <v>0</v>
      </c>
      <c r="AE173" s="6">
        <f ca="1">$K$173*$Y$173</f>
        <v>100301.89025230064</v>
      </c>
      <c r="AF173" s="6">
        <f>$M$173*$Z$173</f>
        <v>0</v>
      </c>
      <c r="AG173" s="6">
        <f>$O$173*$AA$173</f>
        <v>0</v>
      </c>
    </row>
    <row r="174" spans="1:33" ht="11.25" customHeight="1" x14ac:dyDescent="0.25">
      <c r="A174" s="4" t="s">
        <v>58</v>
      </c>
      <c r="B174" s="4" t="s">
        <v>59</v>
      </c>
      <c r="C174" s="4" t="s">
        <v>64</v>
      </c>
      <c r="D174" s="4" t="s">
        <v>25</v>
      </c>
      <c r="E174" s="4" t="s">
        <v>25</v>
      </c>
      <c r="F174" s="4" t="s">
        <v>25</v>
      </c>
      <c r="G174" s="4" t="s">
        <v>69</v>
      </c>
      <c r="H174" s="4" t="s">
        <v>25</v>
      </c>
      <c r="I174" s="5">
        <v>44682</v>
      </c>
      <c r="J174" s="6">
        <v>22000</v>
      </c>
      <c r="K174" s="6">
        <v>22000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66</v>
      </c>
      <c r="R174" s="4">
        <v>473</v>
      </c>
      <c r="S174" s="6">
        <v>7</v>
      </c>
      <c r="T174" s="6">
        <v>0</v>
      </c>
      <c r="U174" s="6">
        <v>0</v>
      </c>
      <c r="V174" s="6">
        <f>IF(ISERROR(VLOOKUP($S$174,'TAR FIN'!$A$1:$O$116,15,0)),0,VLOOKUP($S$174,'TAR FIN'!$A$1:$O$116,15,0))</f>
        <v>5.69</v>
      </c>
      <c r="W174" s="6">
        <f>IF(ISERROR(VLOOKUP($T$174,'TAR FIN'!$A$1:$O$116,15,0)),0,VLOOKUP($T$174,'TAR FIN'!$A$1:$O$116,15,0))</f>
        <v>0</v>
      </c>
      <c r="X174" s="6">
        <f>IF(ISERROR(VLOOKUP($U$174,'TAR FIN'!$A$1:$O$116,15,0)),0,VLOOKUP($U$174,'TAR FIN'!$A$1:$O$116,15,0))</f>
        <v>0</v>
      </c>
      <c r="Y174" s="6">
        <f ca="1">('TUSD BE'!$AM$11+'TUSD BF'!$AM$11+'TUSD CVA'!$AM$11)*1</f>
        <v>5.9725875581129042</v>
      </c>
      <c r="Z174" s="6"/>
      <c r="AA174" s="6"/>
      <c r="AB174" s="6">
        <f>$K$174*$V$174</f>
        <v>125180.00000000001</v>
      </c>
      <c r="AC174" s="6">
        <f>$M$174*$W$174</f>
        <v>0</v>
      </c>
      <c r="AD174" s="6">
        <f>$O$174*$X$174</f>
        <v>0</v>
      </c>
      <c r="AE174" s="6">
        <f ca="1">$K$174*$Y$174</f>
        <v>131396.92627848388</v>
      </c>
      <c r="AF174" s="6">
        <f>$M$174*$Z$174</f>
        <v>0</v>
      </c>
      <c r="AG174" s="6">
        <f>$O$174*$AA$174</f>
        <v>0</v>
      </c>
    </row>
    <row r="175" spans="1:33" ht="11.25" customHeight="1" x14ac:dyDescent="0.25">
      <c r="A175" s="4" t="s">
        <v>58</v>
      </c>
      <c r="B175" s="4" t="s">
        <v>59</v>
      </c>
      <c r="C175" s="4" t="s">
        <v>64</v>
      </c>
      <c r="D175" s="4" t="s">
        <v>25</v>
      </c>
      <c r="E175" s="4" t="s">
        <v>25</v>
      </c>
      <c r="F175" s="4" t="s">
        <v>25</v>
      </c>
      <c r="G175" s="4" t="s">
        <v>72</v>
      </c>
      <c r="H175" s="4" t="s">
        <v>25</v>
      </c>
      <c r="I175" s="5">
        <v>44682</v>
      </c>
      <c r="J175" s="6">
        <v>16500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66</v>
      </c>
      <c r="R175" s="4">
        <v>1047</v>
      </c>
      <c r="S175" s="6">
        <v>8</v>
      </c>
      <c r="T175" s="6">
        <v>0</v>
      </c>
      <c r="U175" s="6">
        <v>0</v>
      </c>
      <c r="V175" s="6">
        <f>IF(ISERROR(VLOOKUP($S$175,'TAR FIN'!$A$1:$O$116,15,0)),0,VLOOKUP($S$175,'TAR FIN'!$A$1:$O$116,15,0))</f>
        <v>5.41</v>
      </c>
      <c r="W175" s="6">
        <f>IF(ISERROR(VLOOKUP($T$175,'TAR FIN'!$A$1:$O$116,15,0)),0,VLOOKUP($T$175,'TAR FIN'!$A$1:$O$116,15,0))</f>
        <v>0</v>
      </c>
      <c r="X175" s="6">
        <f>IF(ISERROR(VLOOKUP($U$175,'TAR FIN'!$A$1:$O$116,15,0)),0,VLOOKUP($U$175,'TAR FIN'!$A$1:$O$116,15,0))</f>
        <v>0</v>
      </c>
      <c r="Y175" s="6">
        <f ca="1">('TUSD BE'!$AM$12+'TUSD BF'!$AM$12+'TUSD CVA'!$AM$12)*1</f>
        <v>5.6770468968387959</v>
      </c>
      <c r="Z175" s="6"/>
      <c r="AA175" s="6"/>
      <c r="AB175" s="6">
        <f>$K$175*$V$175</f>
        <v>0</v>
      </c>
      <c r="AC175" s="6">
        <f>$M$175*$W$175</f>
        <v>0</v>
      </c>
      <c r="AD175" s="6">
        <f>$O$175*$X$175</f>
        <v>0</v>
      </c>
      <c r="AE175" s="6">
        <f ca="1">$K$175*$Y$175</f>
        <v>0</v>
      </c>
      <c r="AF175" s="6">
        <f>$M$175*$Z$175</f>
        <v>0</v>
      </c>
      <c r="AG175" s="6">
        <f>$O$175*$AA$175</f>
        <v>0</v>
      </c>
    </row>
    <row r="176" spans="1:33" ht="11.25" customHeight="1" x14ac:dyDescent="0.25">
      <c r="A176" s="4" t="s">
        <v>58</v>
      </c>
      <c r="B176" s="4" t="s">
        <v>59</v>
      </c>
      <c r="C176" s="4" t="s">
        <v>64</v>
      </c>
      <c r="D176" s="4" t="s">
        <v>25</v>
      </c>
      <c r="E176" s="4" t="s">
        <v>25</v>
      </c>
      <c r="F176" s="4" t="s">
        <v>25</v>
      </c>
      <c r="G176" s="4" t="s">
        <v>73</v>
      </c>
      <c r="H176" s="4" t="s">
        <v>25</v>
      </c>
      <c r="I176" s="5">
        <v>44682</v>
      </c>
      <c r="J176" s="6">
        <v>5320</v>
      </c>
      <c r="K176" s="6">
        <v>2660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66</v>
      </c>
      <c r="R176" s="4">
        <v>1078</v>
      </c>
      <c r="S176" s="6">
        <v>9</v>
      </c>
      <c r="T176" s="6">
        <v>0</v>
      </c>
      <c r="U176" s="6">
        <v>0</v>
      </c>
      <c r="V176" s="6">
        <f>IF(ISERROR(VLOOKUP($S$176,'TAR FIN'!$A$1:$O$116,15,0)),0,VLOOKUP($S$176,'TAR FIN'!$A$1:$O$116,15,0))</f>
        <v>5.0999999999999996</v>
      </c>
      <c r="W176" s="6">
        <f>IF(ISERROR(VLOOKUP($T$176,'TAR FIN'!$A$1:$O$116,15,0)),0,VLOOKUP($T$176,'TAR FIN'!$A$1:$O$116,15,0))</f>
        <v>0</v>
      </c>
      <c r="X176" s="6">
        <f>IF(ISERROR(VLOOKUP($U$176,'TAR FIN'!$A$1:$O$116,15,0)),0,VLOOKUP($U$176,'TAR FIN'!$A$1:$O$116,15,0))</f>
        <v>0</v>
      </c>
      <c r="Y176" s="6">
        <f ca="1">('TUSD BE'!$AM$13+'TUSD BF'!$AM$13+'TUSD CVA'!$AM$13)*1</f>
        <v>5.3518194805398505</v>
      </c>
      <c r="Z176" s="6"/>
      <c r="AA176" s="6"/>
      <c r="AB176" s="6">
        <f>$K$176*$V$176</f>
        <v>13565.999999999998</v>
      </c>
      <c r="AC176" s="6">
        <f>$M$176*$W$176</f>
        <v>0</v>
      </c>
      <c r="AD176" s="6">
        <f>$O$176*$X$176</f>
        <v>0</v>
      </c>
      <c r="AE176" s="6">
        <f ca="1">$K$176*$Y$176</f>
        <v>14235.839818236002</v>
      </c>
      <c r="AF176" s="6">
        <f>$M$176*$Z$176</f>
        <v>0</v>
      </c>
      <c r="AG176" s="6">
        <f>$O$176*$AA$176</f>
        <v>0</v>
      </c>
    </row>
    <row r="177" spans="1:33" ht="11.25" customHeight="1" x14ac:dyDescent="0.25">
      <c r="A177" s="4" t="s">
        <v>58</v>
      </c>
      <c r="B177" s="4" t="s">
        <v>59</v>
      </c>
      <c r="C177" s="4" t="s">
        <v>64</v>
      </c>
      <c r="D177" s="4" t="s">
        <v>25</v>
      </c>
      <c r="E177" s="4" t="s">
        <v>25</v>
      </c>
      <c r="F177" s="4" t="s">
        <v>25</v>
      </c>
      <c r="G177" s="4" t="s">
        <v>75</v>
      </c>
      <c r="H177" s="4" t="s">
        <v>25</v>
      </c>
      <c r="I177" s="5">
        <v>44682</v>
      </c>
      <c r="J177" s="6">
        <v>42500</v>
      </c>
      <c r="K177" s="6">
        <v>42500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66</v>
      </c>
      <c r="R177" s="4">
        <v>1276</v>
      </c>
      <c r="S177" s="6">
        <v>10</v>
      </c>
      <c r="T177" s="6">
        <v>0</v>
      </c>
      <c r="U177" s="6">
        <v>0</v>
      </c>
      <c r="V177" s="6">
        <f>IF(ISERROR(VLOOKUP($S$177,'TAR FIN'!$A$1:$O$116,15,0)),0,VLOOKUP($S$177,'TAR FIN'!$A$1:$O$116,15,0))</f>
        <v>5.0999999999999996</v>
      </c>
      <c r="W177" s="6">
        <f>IF(ISERROR(VLOOKUP($T$177,'TAR FIN'!$A$1:$O$116,15,0)),0,VLOOKUP($T$177,'TAR FIN'!$A$1:$O$116,15,0))</f>
        <v>0</v>
      </c>
      <c r="X177" s="6">
        <f>IF(ISERROR(VLOOKUP($U$177,'TAR FIN'!$A$1:$O$116,15,0)),0,VLOOKUP($U$177,'TAR FIN'!$A$1:$O$116,15,0))</f>
        <v>0</v>
      </c>
      <c r="Y177" s="6">
        <f ca="1">('TUSD BE'!$AM$14+'TUSD BF'!$AM$14+'TUSD CVA'!$AM$14)*1</f>
        <v>5.3518194805398505</v>
      </c>
      <c r="Z177" s="6"/>
      <c r="AA177" s="6"/>
      <c r="AB177" s="6">
        <f>$K$177*$V$177</f>
        <v>216749.99999999997</v>
      </c>
      <c r="AC177" s="6">
        <f>$M$177*$W$177</f>
        <v>0</v>
      </c>
      <c r="AD177" s="6">
        <f>$O$177*$X$177</f>
        <v>0</v>
      </c>
      <c r="AE177" s="6">
        <f ca="1">$K$177*$Y$177</f>
        <v>227452.32792294363</v>
      </c>
      <c r="AF177" s="6">
        <f>$M$177*$Z$177</f>
        <v>0</v>
      </c>
      <c r="AG177" s="6">
        <f>$O$177*$AA$177</f>
        <v>0</v>
      </c>
    </row>
    <row r="178" spans="1:33" ht="11.25" customHeight="1" x14ac:dyDescent="0.25">
      <c r="A178" s="4" t="s">
        <v>58</v>
      </c>
      <c r="B178" s="4" t="s">
        <v>59</v>
      </c>
      <c r="C178" s="4" t="s">
        <v>64</v>
      </c>
      <c r="D178" s="4" t="s">
        <v>25</v>
      </c>
      <c r="E178" s="4" t="s">
        <v>25</v>
      </c>
      <c r="F178" s="4" t="s">
        <v>25</v>
      </c>
      <c r="G178" s="4" t="s">
        <v>86</v>
      </c>
      <c r="H178" s="4" t="s">
        <v>25</v>
      </c>
      <c r="I178" s="5">
        <v>44682</v>
      </c>
      <c r="J178" s="6">
        <v>24400</v>
      </c>
      <c r="K178" s="6">
        <v>12200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66</v>
      </c>
      <c r="R178" s="4">
        <v>27532</v>
      </c>
      <c r="S178" s="6">
        <v>11</v>
      </c>
      <c r="T178" s="6">
        <v>0</v>
      </c>
      <c r="U178" s="6">
        <v>0</v>
      </c>
      <c r="V178" s="6">
        <f>IF(ISERROR(VLOOKUP($S$178,'TAR FIN'!$A$1:$O$116,15,0)),0,VLOOKUP($S$178,'TAR FIN'!$A$1:$O$116,15,0))</f>
        <v>4.63</v>
      </c>
      <c r="W178" s="6">
        <f>IF(ISERROR(VLOOKUP($T$178,'TAR FIN'!$A$1:$O$116,15,0)),0,VLOOKUP($T$178,'TAR FIN'!$A$1:$O$116,15,0))</f>
        <v>0</v>
      </c>
      <c r="X178" s="6">
        <f>IF(ISERROR(VLOOKUP($U$178,'TAR FIN'!$A$1:$O$116,15,0)),0,VLOOKUP($U$178,'TAR FIN'!$A$1:$O$116,15,0))</f>
        <v>0</v>
      </c>
      <c r="Y178" s="6">
        <f ca="1">('TUSD BE'!$AM$15+'TUSD BF'!$AM$15+'TUSD CVA'!$AM$15)*1</f>
        <v>4.8520321280503262</v>
      </c>
      <c r="Z178" s="6"/>
      <c r="AA178" s="6"/>
      <c r="AB178" s="6">
        <f>$K$178*$V$178</f>
        <v>56486</v>
      </c>
      <c r="AC178" s="6">
        <f>$M$178*$W$178</f>
        <v>0</v>
      </c>
      <c r="AD178" s="6">
        <f>$O$178*$X$178</f>
        <v>0</v>
      </c>
      <c r="AE178" s="6">
        <f ca="1">$K$178*$Y$178</f>
        <v>59194.791962213982</v>
      </c>
      <c r="AF178" s="6">
        <f>$M$178*$Z$178</f>
        <v>0</v>
      </c>
      <c r="AG178" s="6">
        <f>$O$178*$AA$178</f>
        <v>0</v>
      </c>
    </row>
    <row r="179" spans="1:33" ht="11.25" customHeight="1" x14ac:dyDescent="0.25">
      <c r="A179" s="4" t="s">
        <v>58</v>
      </c>
      <c r="B179" s="4" t="s">
        <v>59</v>
      </c>
      <c r="C179" s="4" t="s">
        <v>64</v>
      </c>
      <c r="D179" s="4" t="s">
        <v>25</v>
      </c>
      <c r="E179" s="4" t="s">
        <v>25</v>
      </c>
      <c r="F179" s="4" t="s">
        <v>25</v>
      </c>
      <c r="G179" s="4" t="s">
        <v>87</v>
      </c>
      <c r="H179" s="4" t="s">
        <v>25</v>
      </c>
      <c r="I179" s="5">
        <v>44682</v>
      </c>
      <c r="J179" s="6">
        <v>25000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66</v>
      </c>
      <c r="R179" s="4">
        <v>27534</v>
      </c>
      <c r="S179" s="6">
        <v>12</v>
      </c>
      <c r="T179" s="6">
        <v>0</v>
      </c>
      <c r="U179" s="6">
        <v>0</v>
      </c>
      <c r="V179" s="6">
        <f>IF(ISERROR(VLOOKUP($S$179,'TAR FIN'!$A$1:$O$116,15,0)),0,VLOOKUP($S$179,'TAR FIN'!$A$1:$O$116,15,0))</f>
        <v>5.58</v>
      </c>
      <c r="W179" s="6">
        <f>IF(ISERROR(VLOOKUP($T$179,'TAR FIN'!$A$1:$O$116,15,0)),0,VLOOKUP($T$179,'TAR FIN'!$A$1:$O$116,15,0))</f>
        <v>0</v>
      </c>
      <c r="X179" s="6">
        <f>IF(ISERROR(VLOOKUP($U$179,'TAR FIN'!$A$1:$O$116,15,0)),0,VLOOKUP($U$179,'TAR FIN'!$A$1:$O$116,15,0))</f>
        <v>0</v>
      </c>
      <c r="Y179" s="6">
        <f ca="1">('TUSD BE'!$AM$16+'TUSD BF'!$AM$16+'TUSD CVA'!$AM$16)*1</f>
        <v>5.862991208798829</v>
      </c>
      <c r="Z179" s="6"/>
      <c r="AA179" s="6"/>
      <c r="AB179" s="6">
        <f>$K$179*$V$179</f>
        <v>0</v>
      </c>
      <c r="AC179" s="6">
        <f>$M$179*$W$179</f>
        <v>0</v>
      </c>
      <c r="AD179" s="6">
        <f>$O$179*$X$179</f>
        <v>0</v>
      </c>
      <c r="AE179" s="6">
        <f ca="1">$K$179*$Y$179</f>
        <v>0</v>
      </c>
      <c r="AF179" s="6">
        <f>$M$179*$Z$179</f>
        <v>0</v>
      </c>
      <c r="AG179" s="6">
        <f>$O$179*$AA$179</f>
        <v>0</v>
      </c>
    </row>
    <row r="180" spans="1:33" ht="11.25" customHeight="1" x14ac:dyDescent="0.25">
      <c r="A180" s="4" t="s">
        <v>58</v>
      </c>
      <c r="B180" s="4" t="s">
        <v>59</v>
      </c>
      <c r="C180" s="4" t="s">
        <v>64</v>
      </c>
      <c r="D180" s="4" t="s">
        <v>25</v>
      </c>
      <c r="E180" s="4" t="s">
        <v>25</v>
      </c>
      <c r="F180" s="4" t="s">
        <v>25</v>
      </c>
      <c r="G180" s="4" t="s">
        <v>89</v>
      </c>
      <c r="H180" s="4" t="s">
        <v>25</v>
      </c>
      <c r="I180" s="5">
        <v>44682</v>
      </c>
      <c r="J180" s="6">
        <v>12600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66</v>
      </c>
      <c r="R180" s="4">
        <v>27727</v>
      </c>
      <c r="S180" s="6">
        <v>13</v>
      </c>
      <c r="T180" s="6">
        <v>0</v>
      </c>
      <c r="U180" s="6">
        <v>0</v>
      </c>
      <c r="V180" s="6">
        <f>IF(ISERROR(VLOOKUP($S$180,'TAR FIN'!$A$1:$O$116,15,0)),0,VLOOKUP($S$180,'TAR FIN'!$A$1:$O$116,15,0))</f>
        <v>5.37</v>
      </c>
      <c r="W180" s="6">
        <f>IF(ISERROR(VLOOKUP($T$180,'TAR FIN'!$A$1:$O$116,15,0)),0,VLOOKUP($T$180,'TAR FIN'!$A$1:$O$116,15,0))</f>
        <v>0</v>
      </c>
      <c r="X180" s="6">
        <f>IF(ISERROR(VLOOKUP($U$180,'TAR FIN'!$A$1:$O$116,15,0)),0,VLOOKUP($U$180,'TAR FIN'!$A$1:$O$116,15,0))</f>
        <v>0</v>
      </c>
      <c r="Y180" s="6">
        <f ca="1">('TUSD BE'!$AM$17+'TUSD BF'!$AM$17+'TUSD CVA'!$AM$17)*1</f>
        <v>5.6347568025342989</v>
      </c>
      <c r="Z180" s="6"/>
      <c r="AA180" s="6"/>
      <c r="AB180" s="6">
        <f>$K$180*$V$180</f>
        <v>0</v>
      </c>
      <c r="AC180" s="6">
        <f>$M$180*$W$180</f>
        <v>0</v>
      </c>
      <c r="AD180" s="6">
        <f>$O$180*$X$180</f>
        <v>0</v>
      </c>
      <c r="AE180" s="6">
        <f ca="1">$K$180*$Y$180</f>
        <v>0</v>
      </c>
      <c r="AF180" s="6">
        <f>$M$180*$Z$180</f>
        <v>0</v>
      </c>
      <c r="AG180" s="6">
        <f>$O$180*$AA$180</f>
        <v>0</v>
      </c>
    </row>
    <row r="181" spans="1:33" ht="11.25" customHeight="1" x14ac:dyDescent="0.25">
      <c r="A181" s="4" t="s">
        <v>58</v>
      </c>
      <c r="B181" s="4" t="s">
        <v>59</v>
      </c>
      <c r="C181" s="4" t="s">
        <v>64</v>
      </c>
      <c r="D181" s="4" t="s">
        <v>25</v>
      </c>
      <c r="E181" s="4" t="s">
        <v>25</v>
      </c>
      <c r="F181" s="4" t="s">
        <v>25</v>
      </c>
      <c r="G181" s="4" t="s">
        <v>92</v>
      </c>
      <c r="H181" s="4" t="s">
        <v>25</v>
      </c>
      <c r="I181" s="5">
        <v>44682</v>
      </c>
      <c r="J181" s="6">
        <v>8100</v>
      </c>
      <c r="K181" s="6">
        <v>4050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66</v>
      </c>
      <c r="R181" s="4">
        <v>30597</v>
      </c>
      <c r="S181" s="6">
        <v>14</v>
      </c>
      <c r="T181" s="6">
        <v>0</v>
      </c>
      <c r="U181" s="6">
        <v>0</v>
      </c>
      <c r="V181" s="6">
        <f>IF(ISERROR(VLOOKUP($S$181,'TAR FIN'!$A$1:$O$116,15,0)),0,VLOOKUP($S$181,'TAR FIN'!$A$1:$O$116,15,0))</f>
        <v>5.04</v>
      </c>
      <c r="W181" s="6">
        <f>IF(ISERROR(VLOOKUP($T$181,'TAR FIN'!$A$1:$O$116,15,0)),0,VLOOKUP($T$181,'TAR FIN'!$A$1:$O$116,15,0))</f>
        <v>0</v>
      </c>
      <c r="X181" s="6">
        <f>IF(ISERROR(VLOOKUP($U$181,'TAR FIN'!$A$1:$O$116,15,0)),0,VLOOKUP($U$181,'TAR FIN'!$A$1:$O$116,15,0))</f>
        <v>0</v>
      </c>
      <c r="Y181" s="6">
        <f ca="1">('TUSD BE'!$AM$18+'TUSD BF'!$AM$18+'TUSD CVA'!$AM$18)*1</f>
        <v>5.2832968919533032</v>
      </c>
      <c r="Z181" s="6"/>
      <c r="AA181" s="6"/>
      <c r="AB181" s="6">
        <f>$K$181*$V$181</f>
        <v>20412</v>
      </c>
      <c r="AC181" s="6">
        <f>$M$181*$W$181</f>
        <v>0</v>
      </c>
      <c r="AD181" s="6">
        <f>$O$181*$X$181</f>
        <v>0</v>
      </c>
      <c r="AE181" s="6">
        <f ca="1">$K$181*$Y$181</f>
        <v>21397.352412410877</v>
      </c>
      <c r="AF181" s="6">
        <f>$M$181*$Z$181</f>
        <v>0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39</v>
      </c>
      <c r="C182" s="4" t="s">
        <v>40</v>
      </c>
      <c r="D182" s="4" t="s">
        <v>38</v>
      </c>
      <c r="E182" s="4" t="s">
        <v>25</v>
      </c>
      <c r="F182" s="4" t="s">
        <v>25</v>
      </c>
      <c r="G182" s="4" t="s">
        <v>25</v>
      </c>
      <c r="H182" s="4" t="s">
        <v>35</v>
      </c>
      <c r="I182" s="5">
        <v>44348</v>
      </c>
      <c r="J182" s="6">
        <v>350</v>
      </c>
      <c r="K182" s="6">
        <v>350</v>
      </c>
      <c r="L182" s="6">
        <v>56</v>
      </c>
      <c r="M182" s="6">
        <v>56</v>
      </c>
      <c r="N182" s="6">
        <v>56</v>
      </c>
      <c r="O182" s="6">
        <v>56</v>
      </c>
      <c r="P182" s="6">
        <v>0</v>
      </c>
      <c r="Q182" s="4" t="s">
        <v>26</v>
      </c>
      <c r="R182" s="4">
        <v>0</v>
      </c>
      <c r="S182" s="6">
        <v>17</v>
      </c>
      <c r="T182" s="6">
        <v>18</v>
      </c>
      <c r="U182" s="6">
        <v>76</v>
      </c>
      <c r="V182" s="6">
        <f>IF(ISERROR(VLOOKUP($S$182,'TAR FIN'!$A$1:$O$116,15,0)),0,VLOOKUP($S$182,'TAR FIN'!$A$1:$O$116,15,0))</f>
        <v>9.33</v>
      </c>
      <c r="W182" s="6">
        <f>IF(ISERROR(VLOOKUP($T$182,'TAR FIN'!$A$1:$O$116,15,0)),0,VLOOKUP($T$182,'TAR FIN'!$A$1:$O$116,15,0))</f>
        <v>65.78</v>
      </c>
      <c r="X182" s="6">
        <f>IF(ISERROR(VLOOKUP($U$182,'TAR FIN'!$A$1:$O$116,15,0)),0,VLOOKUP($U$182,'TAR FIN'!$A$1:$O$116,15,0))</f>
        <v>311.04000000000002</v>
      </c>
      <c r="Y182" s="6">
        <f ca="1">('TUSD BE'!$AM$21+'TUSD BF'!$AM$21+'TUSD CVA'!$AM$21)*1</f>
        <v>11.677313297733747</v>
      </c>
      <c r="Z182" s="6">
        <f ca="1">('TUSD BE'!$AM$22+'TUSD BF'!$AM$22+'TUSD CVA'!$AM$22)*1</f>
        <v>101.24255939823256</v>
      </c>
      <c r="AA182" s="6">
        <f>('TE BE'!$AB$8+'TE BF'!$AB$8+'TE CVA'!$AB$8)*1</f>
        <v>313.22907246928764</v>
      </c>
      <c r="AB182" s="6">
        <f>$K$182*$V$182</f>
        <v>3265.5</v>
      </c>
      <c r="AC182" s="6">
        <f>$M$182*$W$182</f>
        <v>3683.6800000000003</v>
      </c>
      <c r="AD182" s="6">
        <f>$O$182*$X$182</f>
        <v>17418.240000000002</v>
      </c>
      <c r="AE182" s="6">
        <f ca="1">$K$182*$Y$182</f>
        <v>4087.0596542068115</v>
      </c>
      <c r="AF182" s="6">
        <f ca="1">$M$182*$Z$182</f>
        <v>5669.5833263010236</v>
      </c>
      <c r="AG182" s="6">
        <f>$O$182*$AA$182</f>
        <v>17540.828058280109</v>
      </c>
    </row>
    <row r="183" spans="1:33" ht="11.25" customHeight="1" x14ac:dyDescent="0.25">
      <c r="A183" s="4" t="s">
        <v>21</v>
      </c>
      <c r="B183" s="4" t="s">
        <v>39</v>
      </c>
      <c r="C183" s="4" t="s">
        <v>40</v>
      </c>
      <c r="D183" s="4" t="s">
        <v>38</v>
      </c>
      <c r="E183" s="4" t="s">
        <v>25</v>
      </c>
      <c r="F183" s="4" t="s">
        <v>25</v>
      </c>
      <c r="G183" s="4" t="s">
        <v>25</v>
      </c>
      <c r="H183" s="4" t="s">
        <v>35</v>
      </c>
      <c r="I183" s="5">
        <v>44348</v>
      </c>
      <c r="J183" s="6">
        <v>13224</v>
      </c>
      <c r="K183" s="6">
        <v>13224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0</v>
      </c>
      <c r="S183" s="6">
        <v>17</v>
      </c>
      <c r="T183" s="6">
        <v>0</v>
      </c>
      <c r="U183" s="6">
        <v>0</v>
      </c>
      <c r="V183" s="6">
        <f>IF(ISERROR(VLOOKUP($S$183,'TAR FIN'!$A$1:$O$116,15,0)),0,VLOOKUP($S$183,'TAR FIN'!$A$1:$O$116,15,0))</f>
        <v>9.33</v>
      </c>
      <c r="W183" s="6">
        <f>IF(ISERROR(VLOOKUP($T$183,'TAR FIN'!$A$1:$O$116,15,0)),0,VLOOKUP($T$183,'TAR FIN'!$A$1:$O$116,15,0))</f>
        <v>0</v>
      </c>
      <c r="X183" s="6">
        <f>IF(ISERROR(VLOOKUP($U$183,'TAR FIN'!$A$1:$O$116,15,0)),0,VLOOKUP($U$183,'TAR FIN'!$A$1:$O$116,15,0))</f>
        <v>0</v>
      </c>
      <c r="Y183" s="6">
        <f ca="1">('TUSD BE'!$AM$21+'TUSD BF'!$AM$21+'TUSD CVA'!$AM$21)*1</f>
        <v>11.677313297733747</v>
      </c>
      <c r="Z183" s="6">
        <f ca="1">('TUSD BE'!$AM$22+'TUSD BF'!$AM$22+'TUSD CVA'!$AM$22)*1</f>
        <v>101.24255939823256</v>
      </c>
      <c r="AA183" s="6"/>
      <c r="AB183" s="6">
        <f>$K$183*$V$183</f>
        <v>123379.92</v>
      </c>
      <c r="AC183" s="6">
        <f>$M$183*$W$183</f>
        <v>0</v>
      </c>
      <c r="AD183" s="6">
        <f>$O$183*$X$183</f>
        <v>0</v>
      </c>
      <c r="AE183" s="6">
        <f ca="1">$K$183*$Y$183</f>
        <v>154420.79104923108</v>
      </c>
      <c r="AF183" s="6">
        <f ca="1"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39</v>
      </c>
      <c r="C184" s="4" t="s">
        <v>40</v>
      </c>
      <c r="D184" s="4" t="s">
        <v>38</v>
      </c>
      <c r="E184" s="4" t="s">
        <v>25</v>
      </c>
      <c r="F184" s="4" t="s">
        <v>25</v>
      </c>
      <c r="G184" s="4" t="s">
        <v>25</v>
      </c>
      <c r="H184" s="4" t="s">
        <v>35</v>
      </c>
      <c r="I184" s="5">
        <v>44378</v>
      </c>
      <c r="J184" s="6">
        <v>350</v>
      </c>
      <c r="K184" s="6">
        <v>350</v>
      </c>
      <c r="L184" s="6">
        <v>49</v>
      </c>
      <c r="M184" s="6">
        <v>49</v>
      </c>
      <c r="N184" s="6">
        <v>49</v>
      </c>
      <c r="O184" s="6">
        <v>49</v>
      </c>
      <c r="P184" s="6">
        <v>0</v>
      </c>
      <c r="Q184" s="4" t="s">
        <v>26</v>
      </c>
      <c r="R184" s="4">
        <v>0</v>
      </c>
      <c r="S184" s="6">
        <v>17</v>
      </c>
      <c r="T184" s="6">
        <v>18</v>
      </c>
      <c r="U184" s="6">
        <v>76</v>
      </c>
      <c r="V184" s="6">
        <f>IF(ISERROR(VLOOKUP($S$184,'TAR FIN'!$A$1:$O$116,15,0)),0,VLOOKUP($S$184,'TAR FIN'!$A$1:$O$116,15,0))</f>
        <v>9.33</v>
      </c>
      <c r="W184" s="6">
        <f>IF(ISERROR(VLOOKUP($T$184,'TAR FIN'!$A$1:$O$116,15,0)),0,VLOOKUP($T$184,'TAR FIN'!$A$1:$O$116,15,0))</f>
        <v>65.78</v>
      </c>
      <c r="X184" s="6">
        <f>IF(ISERROR(VLOOKUP($U$184,'TAR FIN'!$A$1:$O$116,15,0)),0,VLOOKUP($U$184,'TAR FIN'!$A$1:$O$116,15,0))</f>
        <v>311.04000000000002</v>
      </c>
      <c r="Y184" s="6">
        <f ca="1">('TUSD BE'!$AM$21+'TUSD BF'!$AM$21+'TUSD CVA'!$AM$21)*1</f>
        <v>11.677313297733747</v>
      </c>
      <c r="Z184" s="6">
        <f ca="1">('TUSD BE'!$AM$22+'TUSD BF'!$AM$22+'TUSD CVA'!$AM$22)*1</f>
        <v>101.24255939823256</v>
      </c>
      <c r="AA184" s="6">
        <f>('TE BE'!$AB$8+'TE BF'!$AB$8+'TE CVA'!$AB$8)*1</f>
        <v>313.22907246928764</v>
      </c>
      <c r="AB184" s="6">
        <f>$K$184*$V$184</f>
        <v>3265.5</v>
      </c>
      <c r="AC184" s="6">
        <f>$M$184*$W$184</f>
        <v>3223.2200000000003</v>
      </c>
      <c r="AD184" s="6">
        <f>$O$184*$X$184</f>
        <v>15240.960000000001</v>
      </c>
      <c r="AE184" s="6">
        <f ca="1">$K$184*$Y$184</f>
        <v>4087.0596542068115</v>
      </c>
      <c r="AF184" s="6">
        <f ca="1">$M$184*$Z$184</f>
        <v>4960.8854105133951</v>
      </c>
      <c r="AG184" s="6">
        <f>$O$184*$AA$184</f>
        <v>15348.224550995095</v>
      </c>
    </row>
    <row r="185" spans="1:33" ht="11.25" customHeight="1" x14ac:dyDescent="0.25">
      <c r="A185" s="4" t="s">
        <v>21</v>
      </c>
      <c r="B185" s="4" t="s">
        <v>39</v>
      </c>
      <c r="C185" s="4" t="s">
        <v>40</v>
      </c>
      <c r="D185" s="4" t="s">
        <v>38</v>
      </c>
      <c r="E185" s="4" t="s">
        <v>25</v>
      </c>
      <c r="F185" s="4" t="s">
        <v>25</v>
      </c>
      <c r="G185" s="4" t="s">
        <v>25</v>
      </c>
      <c r="H185" s="4" t="s">
        <v>35</v>
      </c>
      <c r="I185" s="5">
        <v>44378</v>
      </c>
      <c r="J185" s="6">
        <v>13256</v>
      </c>
      <c r="K185" s="6">
        <v>13256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0</v>
      </c>
      <c r="S185" s="6">
        <v>17</v>
      </c>
      <c r="T185" s="6">
        <v>0</v>
      </c>
      <c r="U185" s="6">
        <v>0</v>
      </c>
      <c r="V185" s="6">
        <f>IF(ISERROR(VLOOKUP($S$185,'TAR FIN'!$A$1:$O$116,15,0)),0,VLOOKUP($S$185,'TAR FIN'!$A$1:$O$116,15,0))</f>
        <v>9.33</v>
      </c>
      <c r="W185" s="6">
        <f>IF(ISERROR(VLOOKUP($T$185,'TAR FIN'!$A$1:$O$116,15,0)),0,VLOOKUP($T$185,'TAR FIN'!$A$1:$O$116,15,0))</f>
        <v>0</v>
      </c>
      <c r="X185" s="6">
        <f>IF(ISERROR(VLOOKUP($U$185,'TAR FIN'!$A$1:$O$116,15,0)),0,VLOOKUP($U$185,'TAR FIN'!$A$1:$O$116,15,0))</f>
        <v>0</v>
      </c>
      <c r="Y185" s="6">
        <f ca="1">('TUSD BE'!$AM$21+'TUSD BF'!$AM$21+'TUSD CVA'!$AM$21)*1</f>
        <v>11.677313297733747</v>
      </c>
      <c r="Z185" s="6">
        <f ca="1">('TUSD BE'!$AM$22+'TUSD BF'!$AM$22+'TUSD CVA'!$AM$22)*1</f>
        <v>101.24255939823256</v>
      </c>
      <c r="AA185" s="6"/>
      <c r="AB185" s="6">
        <f>$K$185*$V$185</f>
        <v>123678.48</v>
      </c>
      <c r="AC185" s="6">
        <f>$M$185*$W$185</f>
        <v>0</v>
      </c>
      <c r="AD185" s="6">
        <f>$O$185*$X$185</f>
        <v>0</v>
      </c>
      <c r="AE185" s="6">
        <f ca="1">$K$185*$Y$185</f>
        <v>154794.46507475854</v>
      </c>
      <c r="AF185" s="6">
        <f ca="1"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39</v>
      </c>
      <c r="C186" s="4" t="s">
        <v>40</v>
      </c>
      <c r="D186" s="4" t="s">
        <v>38</v>
      </c>
      <c r="E186" s="4" t="s">
        <v>25</v>
      </c>
      <c r="F186" s="4" t="s">
        <v>25</v>
      </c>
      <c r="G186" s="4" t="s">
        <v>25</v>
      </c>
      <c r="H186" s="4" t="s">
        <v>35</v>
      </c>
      <c r="I186" s="5">
        <v>44409</v>
      </c>
      <c r="J186" s="6">
        <v>350</v>
      </c>
      <c r="K186" s="6">
        <v>350</v>
      </c>
      <c r="L186" s="6">
        <v>42</v>
      </c>
      <c r="M186" s="6">
        <v>42</v>
      </c>
      <c r="N186" s="6">
        <v>42</v>
      </c>
      <c r="O186" s="6">
        <v>42</v>
      </c>
      <c r="P186" s="6">
        <v>0</v>
      </c>
      <c r="Q186" s="4" t="s">
        <v>26</v>
      </c>
      <c r="R186" s="4">
        <v>0</v>
      </c>
      <c r="S186" s="6">
        <v>17</v>
      </c>
      <c r="T186" s="6">
        <v>18</v>
      </c>
      <c r="U186" s="6">
        <v>76</v>
      </c>
      <c r="V186" s="6">
        <f>IF(ISERROR(VLOOKUP($S$186,'TAR FIN'!$A$1:$O$116,15,0)),0,VLOOKUP($S$186,'TAR FIN'!$A$1:$O$116,15,0))</f>
        <v>9.33</v>
      </c>
      <c r="W186" s="6">
        <f>IF(ISERROR(VLOOKUP($T$186,'TAR FIN'!$A$1:$O$116,15,0)),0,VLOOKUP($T$186,'TAR FIN'!$A$1:$O$116,15,0))</f>
        <v>65.78</v>
      </c>
      <c r="X186" s="6">
        <f>IF(ISERROR(VLOOKUP($U$186,'TAR FIN'!$A$1:$O$116,15,0)),0,VLOOKUP($U$186,'TAR FIN'!$A$1:$O$116,15,0))</f>
        <v>311.04000000000002</v>
      </c>
      <c r="Y186" s="6">
        <f ca="1">('TUSD BE'!$AM$21+'TUSD BF'!$AM$21+'TUSD CVA'!$AM$21)*1</f>
        <v>11.677313297733747</v>
      </c>
      <c r="Z186" s="6">
        <f ca="1">('TUSD BE'!$AM$22+'TUSD BF'!$AM$22+'TUSD CVA'!$AM$22)*1</f>
        <v>101.24255939823256</v>
      </c>
      <c r="AA186" s="6">
        <f>('TE BE'!$AB$8+'TE BF'!$AB$8+'TE CVA'!$AB$8)*1</f>
        <v>313.22907246928764</v>
      </c>
      <c r="AB186" s="6">
        <f>$K$186*$V$186</f>
        <v>3265.5</v>
      </c>
      <c r="AC186" s="6">
        <f>$M$186*$W$186</f>
        <v>2762.76</v>
      </c>
      <c r="AD186" s="6">
        <f>$O$186*$X$186</f>
        <v>13063.68</v>
      </c>
      <c r="AE186" s="6">
        <f ca="1">$K$186*$Y$186</f>
        <v>4087.0596542068115</v>
      </c>
      <c r="AF186" s="6">
        <f ca="1">$M$186*$Z$186</f>
        <v>4252.1874947257675</v>
      </c>
      <c r="AG186" s="6">
        <f>$O$186*$AA$186</f>
        <v>13155.621043710082</v>
      </c>
    </row>
    <row r="187" spans="1:33" ht="11.25" customHeight="1" x14ac:dyDescent="0.25">
      <c r="A187" s="4" t="s">
        <v>21</v>
      </c>
      <c r="B187" s="4" t="s">
        <v>39</v>
      </c>
      <c r="C187" s="4" t="s">
        <v>40</v>
      </c>
      <c r="D187" s="4" t="s">
        <v>38</v>
      </c>
      <c r="E187" s="4" t="s">
        <v>25</v>
      </c>
      <c r="F187" s="4" t="s">
        <v>25</v>
      </c>
      <c r="G187" s="4" t="s">
        <v>25</v>
      </c>
      <c r="H187" s="4" t="s">
        <v>35</v>
      </c>
      <c r="I187" s="5">
        <v>44409</v>
      </c>
      <c r="J187" s="6">
        <v>13327</v>
      </c>
      <c r="K187" s="6">
        <v>13327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0</v>
      </c>
      <c r="S187" s="6">
        <v>17</v>
      </c>
      <c r="T187" s="6">
        <v>0</v>
      </c>
      <c r="U187" s="6">
        <v>0</v>
      </c>
      <c r="V187" s="6">
        <f>IF(ISERROR(VLOOKUP($S$187,'TAR FIN'!$A$1:$O$116,15,0)),0,VLOOKUP($S$187,'TAR FIN'!$A$1:$O$116,15,0))</f>
        <v>9.33</v>
      </c>
      <c r="W187" s="6">
        <f>IF(ISERROR(VLOOKUP($T$187,'TAR FIN'!$A$1:$O$116,15,0)),0,VLOOKUP($T$187,'TAR FIN'!$A$1:$O$116,15,0))</f>
        <v>0</v>
      </c>
      <c r="X187" s="6">
        <f>IF(ISERROR(VLOOKUP($U$187,'TAR FIN'!$A$1:$O$116,15,0)),0,VLOOKUP($U$187,'TAR FIN'!$A$1:$O$116,15,0))</f>
        <v>0</v>
      </c>
      <c r="Y187" s="6">
        <f ca="1">('TUSD BE'!$AM$21+'TUSD BF'!$AM$21+'TUSD CVA'!$AM$21)*1</f>
        <v>11.677313297733747</v>
      </c>
      <c r="Z187" s="6">
        <f ca="1">('TUSD BE'!$AM$22+'TUSD BF'!$AM$22+'TUSD CVA'!$AM$22)*1</f>
        <v>101.24255939823256</v>
      </c>
      <c r="AA187" s="6"/>
      <c r="AB187" s="6">
        <f>$K$187*$V$187</f>
        <v>124340.91</v>
      </c>
      <c r="AC187" s="6">
        <f>$M$187*$W$187</f>
        <v>0</v>
      </c>
      <c r="AD187" s="6">
        <f>$O$187*$X$187</f>
        <v>0</v>
      </c>
      <c r="AE187" s="6">
        <f ca="1">$K$187*$Y$187</f>
        <v>155623.55431889763</v>
      </c>
      <c r="AF187" s="6">
        <f ca="1"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39</v>
      </c>
      <c r="C188" s="4" t="s">
        <v>40</v>
      </c>
      <c r="D188" s="4" t="s">
        <v>38</v>
      </c>
      <c r="E188" s="4" t="s">
        <v>25</v>
      </c>
      <c r="F188" s="4" t="s">
        <v>25</v>
      </c>
      <c r="G188" s="4" t="s">
        <v>25</v>
      </c>
      <c r="H188" s="4" t="s">
        <v>35</v>
      </c>
      <c r="I188" s="5">
        <v>44440</v>
      </c>
      <c r="J188" s="6">
        <v>2170</v>
      </c>
      <c r="K188" s="6">
        <v>2170</v>
      </c>
      <c r="L188" s="6">
        <v>308</v>
      </c>
      <c r="M188" s="6">
        <v>308</v>
      </c>
      <c r="N188" s="6">
        <v>308</v>
      </c>
      <c r="O188" s="6">
        <v>308</v>
      </c>
      <c r="P188" s="6">
        <v>0</v>
      </c>
      <c r="Q188" s="4" t="s">
        <v>26</v>
      </c>
      <c r="R188" s="4">
        <v>0</v>
      </c>
      <c r="S188" s="6">
        <v>17</v>
      </c>
      <c r="T188" s="6">
        <v>18</v>
      </c>
      <c r="U188" s="6">
        <v>76</v>
      </c>
      <c r="V188" s="6">
        <f>IF(ISERROR(VLOOKUP($S$188,'TAR FIN'!$A$1:$O$116,15,0)),0,VLOOKUP($S$188,'TAR FIN'!$A$1:$O$116,15,0))</f>
        <v>9.33</v>
      </c>
      <c r="W188" s="6">
        <f>IF(ISERROR(VLOOKUP($T$188,'TAR FIN'!$A$1:$O$116,15,0)),0,VLOOKUP($T$188,'TAR FIN'!$A$1:$O$116,15,0))</f>
        <v>65.78</v>
      </c>
      <c r="X188" s="6">
        <f>IF(ISERROR(VLOOKUP($U$188,'TAR FIN'!$A$1:$O$116,15,0)),0,VLOOKUP($U$188,'TAR FIN'!$A$1:$O$116,15,0))</f>
        <v>311.04000000000002</v>
      </c>
      <c r="Y188" s="6">
        <f ca="1">('TUSD BE'!$AM$21+'TUSD BF'!$AM$21+'TUSD CVA'!$AM$21)*1</f>
        <v>11.677313297733747</v>
      </c>
      <c r="Z188" s="6">
        <f ca="1">('TUSD BE'!$AM$22+'TUSD BF'!$AM$22+'TUSD CVA'!$AM$22)*1</f>
        <v>101.24255939823256</v>
      </c>
      <c r="AA188" s="6">
        <f>('TE BE'!$AB$8+'TE BF'!$AB$8+'TE CVA'!$AB$8)*1</f>
        <v>313.22907246928764</v>
      </c>
      <c r="AB188" s="6">
        <f>$K$188*$V$188</f>
        <v>20246.099999999999</v>
      </c>
      <c r="AC188" s="6">
        <f>$M$188*$W$188</f>
        <v>20260.240000000002</v>
      </c>
      <c r="AD188" s="6">
        <f>$O$188*$X$188</f>
        <v>95800.320000000007</v>
      </c>
      <c r="AE188" s="6">
        <f ca="1">$K$188*$Y$188</f>
        <v>25339.769856082232</v>
      </c>
      <c r="AF188" s="6">
        <f ca="1">$M$188*$Z$188</f>
        <v>31182.708294655629</v>
      </c>
      <c r="AG188" s="6">
        <f>$O$188*$AA$188</f>
        <v>96474.554320540599</v>
      </c>
    </row>
    <row r="189" spans="1:33" ht="11.25" customHeight="1" x14ac:dyDescent="0.25">
      <c r="A189" s="4" t="s">
        <v>21</v>
      </c>
      <c r="B189" s="4" t="s">
        <v>39</v>
      </c>
      <c r="C189" s="4" t="s">
        <v>40</v>
      </c>
      <c r="D189" s="4" t="s">
        <v>38</v>
      </c>
      <c r="E189" s="4" t="s">
        <v>25</v>
      </c>
      <c r="F189" s="4" t="s">
        <v>25</v>
      </c>
      <c r="G189" s="4" t="s">
        <v>25</v>
      </c>
      <c r="H189" s="4" t="s">
        <v>35</v>
      </c>
      <c r="I189" s="5">
        <v>44440</v>
      </c>
      <c r="J189" s="6">
        <v>13438</v>
      </c>
      <c r="K189" s="6">
        <v>13438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0</v>
      </c>
      <c r="S189" s="6">
        <v>17</v>
      </c>
      <c r="T189" s="6">
        <v>0</v>
      </c>
      <c r="U189" s="6">
        <v>0</v>
      </c>
      <c r="V189" s="6">
        <f>IF(ISERROR(VLOOKUP($S$189,'TAR FIN'!$A$1:$O$116,15,0)),0,VLOOKUP($S$189,'TAR FIN'!$A$1:$O$116,15,0))</f>
        <v>9.33</v>
      </c>
      <c r="W189" s="6">
        <f>IF(ISERROR(VLOOKUP($T$189,'TAR FIN'!$A$1:$O$116,15,0)),0,VLOOKUP($T$189,'TAR FIN'!$A$1:$O$116,15,0))</f>
        <v>0</v>
      </c>
      <c r="X189" s="6">
        <f>IF(ISERROR(VLOOKUP($U$189,'TAR FIN'!$A$1:$O$116,15,0)),0,VLOOKUP($U$189,'TAR FIN'!$A$1:$O$116,15,0))</f>
        <v>0</v>
      </c>
      <c r="Y189" s="6">
        <f ca="1">('TUSD BE'!$AM$21+'TUSD BF'!$AM$21+'TUSD CVA'!$AM$21)*1</f>
        <v>11.677313297733747</v>
      </c>
      <c r="Z189" s="6">
        <f ca="1">('TUSD BE'!$AM$22+'TUSD BF'!$AM$22+'TUSD CVA'!$AM$22)*1</f>
        <v>101.24255939823256</v>
      </c>
      <c r="AA189" s="6"/>
      <c r="AB189" s="6">
        <f>$K$189*$V$189</f>
        <v>125376.54000000001</v>
      </c>
      <c r="AC189" s="6">
        <f>$M$189*$W$189</f>
        <v>0</v>
      </c>
      <c r="AD189" s="6">
        <f>$O$189*$X$189</f>
        <v>0</v>
      </c>
      <c r="AE189" s="6">
        <f ca="1">$K$189*$Y$189</f>
        <v>156919.7360949461</v>
      </c>
      <c r="AF189" s="6">
        <f ca="1"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39</v>
      </c>
      <c r="C190" s="4" t="s">
        <v>40</v>
      </c>
      <c r="D190" s="4" t="s">
        <v>38</v>
      </c>
      <c r="E190" s="4" t="s">
        <v>25</v>
      </c>
      <c r="F190" s="4" t="s">
        <v>25</v>
      </c>
      <c r="G190" s="4" t="s">
        <v>25</v>
      </c>
      <c r="H190" s="4" t="s">
        <v>35</v>
      </c>
      <c r="I190" s="5">
        <v>44470</v>
      </c>
      <c r="J190" s="6">
        <v>2030</v>
      </c>
      <c r="K190" s="6">
        <v>2030</v>
      </c>
      <c r="L190" s="6">
        <v>788.44899999999996</v>
      </c>
      <c r="M190" s="6">
        <v>788.44899999999996</v>
      </c>
      <c r="N190" s="6">
        <v>788.44899999999996</v>
      </c>
      <c r="O190" s="6">
        <v>788.44899999999996</v>
      </c>
      <c r="P190" s="6">
        <v>0</v>
      </c>
      <c r="Q190" s="4" t="s">
        <v>26</v>
      </c>
      <c r="R190" s="4">
        <v>0</v>
      </c>
      <c r="S190" s="6">
        <v>17</v>
      </c>
      <c r="T190" s="6">
        <v>18</v>
      </c>
      <c r="U190" s="6">
        <v>76</v>
      </c>
      <c r="V190" s="6">
        <f>IF(ISERROR(VLOOKUP($S$190,'TAR FIN'!$A$1:$O$116,15,0)),0,VLOOKUP($S$190,'TAR FIN'!$A$1:$O$116,15,0))</f>
        <v>9.33</v>
      </c>
      <c r="W190" s="6">
        <f>IF(ISERROR(VLOOKUP($T$190,'TAR FIN'!$A$1:$O$116,15,0)),0,VLOOKUP($T$190,'TAR FIN'!$A$1:$O$116,15,0))</f>
        <v>65.78</v>
      </c>
      <c r="X190" s="6">
        <f>IF(ISERROR(VLOOKUP($U$190,'TAR FIN'!$A$1:$O$116,15,0)),0,VLOOKUP($U$190,'TAR FIN'!$A$1:$O$116,15,0))</f>
        <v>311.04000000000002</v>
      </c>
      <c r="Y190" s="6">
        <f ca="1">('TUSD BE'!$AM$21+'TUSD BF'!$AM$21+'TUSD CVA'!$AM$21)*1</f>
        <v>11.677313297733747</v>
      </c>
      <c r="Z190" s="6">
        <f ca="1">('TUSD BE'!$AM$22+'TUSD BF'!$AM$22+'TUSD CVA'!$AM$22)*1</f>
        <v>101.24255939823256</v>
      </c>
      <c r="AA190" s="6">
        <f>('TE BE'!$AB$8+'TE BF'!$AB$8+'TE CVA'!$AB$8)*1</f>
        <v>313.22907246928764</v>
      </c>
      <c r="AB190" s="6">
        <f>$K$190*$V$190</f>
        <v>18939.900000000001</v>
      </c>
      <c r="AC190" s="6">
        <f>$M$190*$W$190</f>
        <v>51864.175219999997</v>
      </c>
      <c r="AD190" s="6">
        <f>$O$190*$X$190</f>
        <v>245239.17696000001</v>
      </c>
      <c r="AE190" s="6">
        <f ca="1">$K$190*$Y$190</f>
        <v>23704.945994399506</v>
      </c>
      <c r="AF190" s="6">
        <f ca="1">$M$190*$Z$190</f>
        <v>79824.594714977051</v>
      </c>
      <c r="AG190" s="6">
        <f>$O$190*$AA$190</f>
        <v>246965.14895933736</v>
      </c>
    </row>
    <row r="191" spans="1:33" ht="11.25" customHeight="1" x14ac:dyDescent="0.25">
      <c r="A191" s="4" t="s">
        <v>21</v>
      </c>
      <c r="B191" s="4" t="s">
        <v>39</v>
      </c>
      <c r="C191" s="4" t="s">
        <v>40</v>
      </c>
      <c r="D191" s="4" t="s">
        <v>38</v>
      </c>
      <c r="E191" s="4" t="s">
        <v>25</v>
      </c>
      <c r="F191" s="4" t="s">
        <v>25</v>
      </c>
      <c r="G191" s="4" t="s">
        <v>25</v>
      </c>
      <c r="H191" s="4" t="s">
        <v>35</v>
      </c>
      <c r="I191" s="5">
        <v>44470</v>
      </c>
      <c r="J191" s="6">
        <v>13420</v>
      </c>
      <c r="K191" s="6">
        <v>13420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0</v>
      </c>
      <c r="S191" s="6">
        <v>17</v>
      </c>
      <c r="T191" s="6">
        <v>0</v>
      </c>
      <c r="U191" s="6">
        <v>0</v>
      </c>
      <c r="V191" s="6">
        <f>IF(ISERROR(VLOOKUP($S$191,'TAR FIN'!$A$1:$O$116,15,0)),0,VLOOKUP($S$191,'TAR FIN'!$A$1:$O$116,15,0))</f>
        <v>9.33</v>
      </c>
      <c r="W191" s="6">
        <f>IF(ISERROR(VLOOKUP($T$191,'TAR FIN'!$A$1:$O$116,15,0)),0,VLOOKUP($T$191,'TAR FIN'!$A$1:$O$116,15,0))</f>
        <v>0</v>
      </c>
      <c r="X191" s="6">
        <f>IF(ISERROR(VLOOKUP($U$191,'TAR FIN'!$A$1:$O$116,15,0)),0,VLOOKUP($U$191,'TAR FIN'!$A$1:$O$116,15,0))</f>
        <v>0</v>
      </c>
      <c r="Y191" s="6">
        <f ca="1">('TUSD BE'!$AM$21+'TUSD BF'!$AM$21+'TUSD CVA'!$AM$21)*1</f>
        <v>11.677313297733747</v>
      </c>
      <c r="Z191" s="6">
        <f ca="1">('TUSD BE'!$AM$22+'TUSD BF'!$AM$22+'TUSD CVA'!$AM$22)*1</f>
        <v>101.24255939823256</v>
      </c>
      <c r="AA191" s="6"/>
      <c r="AB191" s="6">
        <f>$K$191*$V$191</f>
        <v>125208.6</v>
      </c>
      <c r="AC191" s="6">
        <f>$M$191*$W$191</f>
        <v>0</v>
      </c>
      <c r="AD191" s="6">
        <f>$O$191*$X$191</f>
        <v>0</v>
      </c>
      <c r="AE191" s="6">
        <f ca="1">$K$191*$Y$191</f>
        <v>156709.54445558687</v>
      </c>
      <c r="AF191" s="6">
        <f ca="1"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39</v>
      </c>
      <c r="C192" s="4" t="s">
        <v>40</v>
      </c>
      <c r="D192" s="4" t="s">
        <v>38</v>
      </c>
      <c r="E192" s="4" t="s">
        <v>25</v>
      </c>
      <c r="F192" s="4" t="s">
        <v>25</v>
      </c>
      <c r="G192" s="4" t="s">
        <v>25</v>
      </c>
      <c r="H192" s="4" t="s">
        <v>35</v>
      </c>
      <c r="I192" s="5">
        <v>44501</v>
      </c>
      <c r="J192" s="6">
        <v>350</v>
      </c>
      <c r="K192" s="6">
        <v>350</v>
      </c>
      <c r="L192" s="6">
        <v>84</v>
      </c>
      <c r="M192" s="6">
        <v>84</v>
      </c>
      <c r="N192" s="6">
        <v>84</v>
      </c>
      <c r="O192" s="6">
        <v>84</v>
      </c>
      <c r="P192" s="6">
        <v>0</v>
      </c>
      <c r="Q192" s="4" t="s">
        <v>26</v>
      </c>
      <c r="R192" s="4">
        <v>0</v>
      </c>
      <c r="S192" s="6">
        <v>17</v>
      </c>
      <c r="T192" s="6">
        <v>18</v>
      </c>
      <c r="U192" s="6">
        <v>76</v>
      </c>
      <c r="V192" s="6">
        <f>IF(ISERROR(VLOOKUP($S$192,'TAR FIN'!$A$1:$O$116,15,0)),0,VLOOKUP($S$192,'TAR FIN'!$A$1:$O$116,15,0))</f>
        <v>9.33</v>
      </c>
      <c r="W192" s="6">
        <f>IF(ISERROR(VLOOKUP($T$192,'TAR FIN'!$A$1:$O$116,15,0)),0,VLOOKUP($T$192,'TAR FIN'!$A$1:$O$116,15,0))</f>
        <v>65.78</v>
      </c>
      <c r="X192" s="6">
        <f>IF(ISERROR(VLOOKUP($U$192,'TAR FIN'!$A$1:$O$116,15,0)),0,VLOOKUP($U$192,'TAR FIN'!$A$1:$O$116,15,0))</f>
        <v>311.04000000000002</v>
      </c>
      <c r="Y192" s="6">
        <f ca="1">('TUSD BE'!$AM$21+'TUSD BF'!$AM$21+'TUSD CVA'!$AM$21)*1</f>
        <v>11.677313297733747</v>
      </c>
      <c r="Z192" s="6">
        <f ca="1">('TUSD BE'!$AM$22+'TUSD BF'!$AM$22+'TUSD CVA'!$AM$22)*1</f>
        <v>101.24255939823256</v>
      </c>
      <c r="AA192" s="6">
        <f>('TE BE'!$AB$8+'TE BF'!$AB$8+'TE CVA'!$AB$8)*1</f>
        <v>313.22907246928764</v>
      </c>
      <c r="AB192" s="6">
        <f>$K$192*$V$192</f>
        <v>3265.5</v>
      </c>
      <c r="AC192" s="6">
        <f>$M$192*$W$192</f>
        <v>5525.52</v>
      </c>
      <c r="AD192" s="6">
        <f>$O$192*$X$192</f>
        <v>26127.360000000001</v>
      </c>
      <c r="AE192" s="6">
        <f ca="1">$K$192*$Y$192</f>
        <v>4087.0596542068115</v>
      </c>
      <c r="AF192" s="6">
        <f ca="1">$M$192*$Z$192</f>
        <v>8504.3749894515349</v>
      </c>
      <c r="AG192" s="6">
        <f>$O$192*$AA$192</f>
        <v>26311.242087420163</v>
      </c>
    </row>
    <row r="193" spans="1:33" ht="11.25" customHeight="1" x14ac:dyDescent="0.25">
      <c r="A193" s="4" t="s">
        <v>21</v>
      </c>
      <c r="B193" s="4" t="s">
        <v>39</v>
      </c>
      <c r="C193" s="4" t="s">
        <v>40</v>
      </c>
      <c r="D193" s="4" t="s">
        <v>38</v>
      </c>
      <c r="E193" s="4" t="s">
        <v>25</v>
      </c>
      <c r="F193" s="4" t="s">
        <v>25</v>
      </c>
      <c r="G193" s="4" t="s">
        <v>25</v>
      </c>
      <c r="H193" s="4" t="s">
        <v>35</v>
      </c>
      <c r="I193" s="5">
        <v>44501</v>
      </c>
      <c r="J193" s="6">
        <v>13689</v>
      </c>
      <c r="K193" s="6">
        <v>13689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R193" s="4">
        <v>0</v>
      </c>
      <c r="S193" s="6">
        <v>17</v>
      </c>
      <c r="T193" s="6">
        <v>0</v>
      </c>
      <c r="U193" s="6">
        <v>0</v>
      </c>
      <c r="V193" s="6">
        <f>IF(ISERROR(VLOOKUP($S$193,'TAR FIN'!$A$1:$O$116,15,0)),0,VLOOKUP($S$193,'TAR FIN'!$A$1:$O$116,15,0))</f>
        <v>9.33</v>
      </c>
      <c r="W193" s="6">
        <f>IF(ISERROR(VLOOKUP($T$193,'TAR FIN'!$A$1:$O$116,15,0)),0,VLOOKUP($T$193,'TAR FIN'!$A$1:$O$116,15,0))</f>
        <v>0</v>
      </c>
      <c r="X193" s="6">
        <f>IF(ISERROR(VLOOKUP($U$193,'TAR FIN'!$A$1:$O$116,15,0)),0,VLOOKUP($U$193,'TAR FIN'!$A$1:$O$116,15,0))</f>
        <v>0</v>
      </c>
      <c r="Y193" s="6">
        <f ca="1">('TUSD BE'!$AM$21+'TUSD BF'!$AM$21+'TUSD CVA'!$AM$21)*1</f>
        <v>11.677313297733747</v>
      </c>
      <c r="Z193" s="6">
        <f ca="1">('TUSD BE'!$AM$22+'TUSD BF'!$AM$22+'TUSD CVA'!$AM$22)*1</f>
        <v>101.24255939823256</v>
      </c>
      <c r="AA193" s="6"/>
      <c r="AB193" s="6">
        <f>$K$193*$V$193</f>
        <v>127718.37</v>
      </c>
      <c r="AC193" s="6">
        <f>$M$193*$W$193</f>
        <v>0</v>
      </c>
      <c r="AD193" s="6">
        <f>$O$193*$X$193</f>
        <v>0</v>
      </c>
      <c r="AE193" s="6">
        <f ca="1">$K$193*$Y$193</f>
        <v>159850.74173267727</v>
      </c>
      <c r="AF193" s="6">
        <f ca="1"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39</v>
      </c>
      <c r="C194" s="4" t="s">
        <v>40</v>
      </c>
      <c r="D194" s="4" t="s">
        <v>38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44531</v>
      </c>
      <c r="J194" s="6">
        <v>2380</v>
      </c>
      <c r="K194" s="6">
        <v>2380</v>
      </c>
      <c r="L194" s="6">
        <v>189</v>
      </c>
      <c r="M194" s="6">
        <v>189</v>
      </c>
      <c r="N194" s="6">
        <v>189</v>
      </c>
      <c r="O194" s="6">
        <v>189</v>
      </c>
      <c r="P194" s="6">
        <v>0</v>
      </c>
      <c r="Q194" s="4" t="s">
        <v>26</v>
      </c>
      <c r="R194" s="4">
        <v>0</v>
      </c>
      <c r="S194" s="6">
        <v>17</v>
      </c>
      <c r="T194" s="6">
        <v>18</v>
      </c>
      <c r="U194" s="6">
        <v>76</v>
      </c>
      <c r="V194" s="6">
        <f>IF(ISERROR(VLOOKUP($S$194,'TAR FIN'!$A$1:$O$116,15,0)),0,VLOOKUP($S$194,'TAR FIN'!$A$1:$O$116,15,0))</f>
        <v>9.33</v>
      </c>
      <c r="W194" s="6">
        <f>IF(ISERROR(VLOOKUP($T$194,'TAR FIN'!$A$1:$O$116,15,0)),0,VLOOKUP($T$194,'TAR FIN'!$A$1:$O$116,15,0))</f>
        <v>65.78</v>
      </c>
      <c r="X194" s="6">
        <f>IF(ISERROR(VLOOKUP($U$194,'TAR FIN'!$A$1:$O$116,15,0)),0,VLOOKUP($U$194,'TAR FIN'!$A$1:$O$116,15,0))</f>
        <v>311.04000000000002</v>
      </c>
      <c r="Y194" s="6">
        <f ca="1">('TUSD BE'!$AM$21+'TUSD BF'!$AM$21+'TUSD CVA'!$AM$21)*1</f>
        <v>11.677313297733747</v>
      </c>
      <c r="Z194" s="6">
        <f ca="1">('TUSD BE'!$AM$22+'TUSD BF'!$AM$22+'TUSD CVA'!$AM$22)*1</f>
        <v>101.24255939823256</v>
      </c>
      <c r="AA194" s="6">
        <f>('TE BE'!$AB$8+'TE BF'!$AB$8+'TE CVA'!$AB$8)*1</f>
        <v>313.22907246928764</v>
      </c>
      <c r="AB194" s="6">
        <f>$K$194*$V$194</f>
        <v>22205.4</v>
      </c>
      <c r="AC194" s="6">
        <f>$M$194*$W$194</f>
        <v>12432.42</v>
      </c>
      <c r="AD194" s="6">
        <f>$O$194*$X$194</f>
        <v>58786.560000000005</v>
      </c>
      <c r="AE194" s="6">
        <f ca="1">$K$194*$Y$194</f>
        <v>27792.005648606319</v>
      </c>
      <c r="AF194" s="6">
        <f ca="1">$M$194*$Z$194</f>
        <v>19134.843726265954</v>
      </c>
      <c r="AG194" s="6">
        <f>$O$194*$AA$194</f>
        <v>59200.294696695368</v>
      </c>
    </row>
    <row r="195" spans="1:33" ht="11.25" customHeight="1" x14ac:dyDescent="0.25">
      <c r="A195" s="4" t="s">
        <v>21</v>
      </c>
      <c r="B195" s="4" t="s">
        <v>39</v>
      </c>
      <c r="C195" s="4" t="s">
        <v>40</v>
      </c>
      <c r="D195" s="4" t="s">
        <v>38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44531</v>
      </c>
      <c r="J195" s="6">
        <v>13515</v>
      </c>
      <c r="K195" s="6">
        <v>13515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60</v>
      </c>
      <c r="R195" s="4">
        <v>0</v>
      </c>
      <c r="S195" s="6">
        <v>17</v>
      </c>
      <c r="T195" s="6">
        <v>0</v>
      </c>
      <c r="U195" s="6">
        <v>0</v>
      </c>
      <c r="V195" s="6">
        <f>IF(ISERROR(VLOOKUP($S$195,'TAR FIN'!$A$1:$O$116,15,0)),0,VLOOKUP($S$195,'TAR FIN'!$A$1:$O$116,15,0))</f>
        <v>9.33</v>
      </c>
      <c r="W195" s="6">
        <f>IF(ISERROR(VLOOKUP($T$195,'TAR FIN'!$A$1:$O$116,15,0)),0,VLOOKUP($T$195,'TAR FIN'!$A$1:$O$116,15,0))</f>
        <v>0</v>
      </c>
      <c r="X195" s="6">
        <f>IF(ISERROR(VLOOKUP($U$195,'TAR FIN'!$A$1:$O$116,15,0)),0,VLOOKUP($U$195,'TAR FIN'!$A$1:$O$116,15,0))</f>
        <v>0</v>
      </c>
      <c r="Y195" s="6">
        <f ca="1">('TUSD BE'!$AM$21+'TUSD BF'!$AM$21+'TUSD CVA'!$AM$21)*1</f>
        <v>11.677313297733747</v>
      </c>
      <c r="Z195" s="6">
        <f ca="1">('TUSD BE'!$AM$22+'TUSD BF'!$AM$22+'TUSD CVA'!$AM$22)*1</f>
        <v>101.24255939823256</v>
      </c>
      <c r="AA195" s="6"/>
      <c r="AB195" s="6">
        <f>$K$195*$V$195</f>
        <v>126094.95</v>
      </c>
      <c r="AC195" s="6">
        <f>$M$195*$W$195</f>
        <v>0</v>
      </c>
      <c r="AD195" s="6">
        <f>$O$195*$X$195</f>
        <v>0</v>
      </c>
      <c r="AE195" s="6">
        <f ca="1">$K$195*$Y$195</f>
        <v>157818.8892188716</v>
      </c>
      <c r="AF195" s="6">
        <f ca="1"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39</v>
      </c>
      <c r="C196" s="4" t="s">
        <v>40</v>
      </c>
      <c r="D196" s="4" t="s">
        <v>38</v>
      </c>
      <c r="E196" s="4" t="s">
        <v>25</v>
      </c>
      <c r="F196" s="4" t="s">
        <v>25</v>
      </c>
      <c r="G196" s="4" t="s">
        <v>25</v>
      </c>
      <c r="H196" s="4" t="s">
        <v>35</v>
      </c>
      <c r="I196" s="5">
        <v>44562</v>
      </c>
      <c r="J196" s="6">
        <v>3000</v>
      </c>
      <c r="K196" s="6">
        <v>3000</v>
      </c>
      <c r="L196" s="6">
        <v>245.89699999999999</v>
      </c>
      <c r="M196" s="6">
        <v>245.89699999999999</v>
      </c>
      <c r="N196" s="6">
        <v>245.89699999999999</v>
      </c>
      <c r="O196" s="6">
        <v>245.89699999999999</v>
      </c>
      <c r="P196" s="6">
        <v>0</v>
      </c>
      <c r="Q196" s="4" t="s">
        <v>26</v>
      </c>
      <c r="R196" s="4">
        <v>0</v>
      </c>
      <c r="S196" s="6">
        <v>17</v>
      </c>
      <c r="T196" s="6">
        <v>18</v>
      </c>
      <c r="U196" s="6">
        <v>76</v>
      </c>
      <c r="V196" s="6">
        <f>IF(ISERROR(VLOOKUP($S$196,'TAR FIN'!$A$1:$O$116,15,0)),0,VLOOKUP($S$196,'TAR FIN'!$A$1:$O$116,15,0))</f>
        <v>9.33</v>
      </c>
      <c r="W196" s="6">
        <f>IF(ISERROR(VLOOKUP($T$196,'TAR FIN'!$A$1:$O$116,15,0)),0,VLOOKUP($T$196,'TAR FIN'!$A$1:$O$116,15,0))</f>
        <v>65.78</v>
      </c>
      <c r="X196" s="6">
        <f>IF(ISERROR(VLOOKUP($U$196,'TAR FIN'!$A$1:$O$116,15,0)),0,VLOOKUP($U$196,'TAR FIN'!$A$1:$O$116,15,0))</f>
        <v>311.04000000000002</v>
      </c>
      <c r="Y196" s="6">
        <f ca="1">('TUSD BE'!$AM$21+'TUSD BF'!$AM$21+'TUSD CVA'!$AM$21)*1</f>
        <v>11.677313297733747</v>
      </c>
      <c r="Z196" s="6">
        <f ca="1">('TUSD BE'!$AM$22+'TUSD BF'!$AM$22+'TUSD CVA'!$AM$22)*1</f>
        <v>101.24255939823256</v>
      </c>
      <c r="AA196" s="6">
        <f>('TE BE'!$AB$8+'TE BF'!$AB$8+'TE CVA'!$AB$8)*1</f>
        <v>313.22907246928764</v>
      </c>
      <c r="AB196" s="6">
        <f>$K$196*$V$196</f>
        <v>27990</v>
      </c>
      <c r="AC196" s="6">
        <f>$M$196*$W$196</f>
        <v>16175.104659999999</v>
      </c>
      <c r="AD196" s="6">
        <f>$O$196*$X$196</f>
        <v>76483.802880000003</v>
      </c>
      <c r="AE196" s="6">
        <f ca="1">$K$196*$Y$196</f>
        <v>35031.939893201241</v>
      </c>
      <c r="AF196" s="6">
        <f ca="1">$M$196*$Z$196</f>
        <v>24895.24162834719</v>
      </c>
      <c r="AG196" s="6">
        <f>$O$196*$AA$196</f>
        <v>77022.089232980419</v>
      </c>
    </row>
    <row r="197" spans="1:33" ht="11.25" customHeight="1" x14ac:dyDescent="0.25">
      <c r="A197" s="4" t="s">
        <v>21</v>
      </c>
      <c r="B197" s="4" t="s">
        <v>39</v>
      </c>
      <c r="C197" s="4" t="s">
        <v>40</v>
      </c>
      <c r="D197" s="4" t="s">
        <v>38</v>
      </c>
      <c r="E197" s="4" t="s">
        <v>25</v>
      </c>
      <c r="F197" s="4" t="s">
        <v>25</v>
      </c>
      <c r="G197" s="4" t="s">
        <v>25</v>
      </c>
      <c r="H197" s="4" t="s">
        <v>35</v>
      </c>
      <c r="I197" s="5">
        <v>44562</v>
      </c>
      <c r="J197" s="6">
        <v>13490</v>
      </c>
      <c r="K197" s="6">
        <v>13490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60</v>
      </c>
      <c r="R197" s="4">
        <v>0</v>
      </c>
      <c r="S197" s="6">
        <v>17</v>
      </c>
      <c r="T197" s="6">
        <v>0</v>
      </c>
      <c r="U197" s="6">
        <v>0</v>
      </c>
      <c r="V197" s="6">
        <f>IF(ISERROR(VLOOKUP($S$197,'TAR FIN'!$A$1:$O$116,15,0)),0,VLOOKUP($S$197,'TAR FIN'!$A$1:$O$116,15,0))</f>
        <v>9.33</v>
      </c>
      <c r="W197" s="6">
        <f>IF(ISERROR(VLOOKUP($T$197,'TAR FIN'!$A$1:$O$116,15,0)),0,VLOOKUP($T$197,'TAR FIN'!$A$1:$O$116,15,0))</f>
        <v>0</v>
      </c>
      <c r="X197" s="6">
        <f>IF(ISERROR(VLOOKUP($U$197,'TAR FIN'!$A$1:$O$116,15,0)),0,VLOOKUP($U$197,'TAR FIN'!$A$1:$O$116,15,0))</f>
        <v>0</v>
      </c>
      <c r="Y197" s="6">
        <f ca="1">('TUSD BE'!$AM$21+'TUSD BF'!$AM$21+'TUSD CVA'!$AM$21)*1</f>
        <v>11.677313297733747</v>
      </c>
      <c r="Z197" s="6">
        <f ca="1">('TUSD BE'!$AM$22+'TUSD BF'!$AM$22+'TUSD CVA'!$AM$22)*1</f>
        <v>101.24255939823256</v>
      </c>
      <c r="AA197" s="6"/>
      <c r="AB197" s="6">
        <f>$K$197*$V$197</f>
        <v>125861.7</v>
      </c>
      <c r="AC197" s="6">
        <f>$M$197*$W$197</f>
        <v>0</v>
      </c>
      <c r="AD197" s="6">
        <f>$O$197*$X$197</f>
        <v>0</v>
      </c>
      <c r="AE197" s="6">
        <f ca="1">$K$197*$Y$197</f>
        <v>157526.95638642824</v>
      </c>
      <c r="AF197" s="6">
        <f ca="1"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39</v>
      </c>
      <c r="C198" s="4" t="s">
        <v>40</v>
      </c>
      <c r="D198" s="4" t="s">
        <v>38</v>
      </c>
      <c r="E198" s="4" t="s">
        <v>25</v>
      </c>
      <c r="F198" s="4" t="s">
        <v>25</v>
      </c>
      <c r="G198" s="4" t="s">
        <v>25</v>
      </c>
      <c r="H198" s="4" t="s">
        <v>35</v>
      </c>
      <c r="I198" s="5">
        <v>44593</v>
      </c>
      <c r="J198" s="6">
        <v>16283</v>
      </c>
      <c r="K198" s="6">
        <v>16283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60</v>
      </c>
      <c r="R198" s="4">
        <v>0</v>
      </c>
      <c r="S198" s="6">
        <v>17</v>
      </c>
      <c r="T198" s="6">
        <v>0</v>
      </c>
      <c r="U198" s="6">
        <v>0</v>
      </c>
      <c r="V198" s="6">
        <f>IF(ISERROR(VLOOKUP($S$198,'TAR FIN'!$A$1:$O$116,15,0)),0,VLOOKUP($S$198,'TAR FIN'!$A$1:$O$116,15,0))</f>
        <v>9.33</v>
      </c>
      <c r="W198" s="6">
        <f>IF(ISERROR(VLOOKUP($T$198,'TAR FIN'!$A$1:$O$116,15,0)),0,VLOOKUP($T$198,'TAR FIN'!$A$1:$O$116,15,0))</f>
        <v>0</v>
      </c>
      <c r="X198" s="6">
        <f>IF(ISERROR(VLOOKUP($U$198,'TAR FIN'!$A$1:$O$116,15,0)),0,VLOOKUP($U$198,'TAR FIN'!$A$1:$O$116,15,0))</f>
        <v>0</v>
      </c>
      <c r="Y198" s="6">
        <f ca="1">('TUSD BE'!$AM$21+'TUSD BF'!$AM$21+'TUSD CVA'!$AM$21)*1</f>
        <v>11.677313297733747</v>
      </c>
      <c r="Z198" s="6">
        <f ca="1">('TUSD BE'!$AM$22+'TUSD BF'!$AM$22+'TUSD CVA'!$AM$22)*1</f>
        <v>101.24255939823256</v>
      </c>
      <c r="AA198" s="6"/>
      <c r="AB198" s="6">
        <f>$K$198*$V$198</f>
        <v>151920.39000000001</v>
      </c>
      <c r="AC198" s="6">
        <f>$M$198*$W$198</f>
        <v>0</v>
      </c>
      <c r="AD198" s="6">
        <f>$O$198*$X$198</f>
        <v>0</v>
      </c>
      <c r="AE198" s="6">
        <f ca="1">$K$198*$Y$198</f>
        <v>190141.6924269986</v>
      </c>
      <c r="AF198" s="6">
        <f ca="1"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39</v>
      </c>
      <c r="C199" s="4" t="s">
        <v>40</v>
      </c>
      <c r="D199" s="4" t="s">
        <v>38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44621</v>
      </c>
      <c r="J199" s="6">
        <v>16438</v>
      </c>
      <c r="K199" s="6">
        <v>16438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60</v>
      </c>
      <c r="R199" s="4">
        <v>0</v>
      </c>
      <c r="S199" s="6">
        <v>17</v>
      </c>
      <c r="T199" s="6">
        <v>0</v>
      </c>
      <c r="U199" s="6">
        <v>0</v>
      </c>
      <c r="V199" s="6">
        <f>IF(ISERROR(VLOOKUP($S$199,'TAR FIN'!$A$1:$O$116,15,0)),0,VLOOKUP($S$199,'TAR FIN'!$A$1:$O$116,15,0))</f>
        <v>9.33</v>
      </c>
      <c r="W199" s="6">
        <f>IF(ISERROR(VLOOKUP($T$199,'TAR FIN'!$A$1:$O$116,15,0)),0,VLOOKUP($T$199,'TAR FIN'!$A$1:$O$116,15,0))</f>
        <v>0</v>
      </c>
      <c r="X199" s="6">
        <f>IF(ISERROR(VLOOKUP($U$199,'TAR FIN'!$A$1:$O$116,15,0)),0,VLOOKUP($U$199,'TAR FIN'!$A$1:$O$116,15,0))</f>
        <v>0</v>
      </c>
      <c r="Y199" s="6">
        <f ca="1">('TUSD BE'!$AM$21+'TUSD BF'!$AM$21+'TUSD CVA'!$AM$21)*1</f>
        <v>11.677313297733747</v>
      </c>
      <c r="Z199" s="6">
        <f ca="1">('TUSD BE'!$AM$22+'TUSD BF'!$AM$22+'TUSD CVA'!$AM$22)*1</f>
        <v>101.24255939823256</v>
      </c>
      <c r="AA199" s="6"/>
      <c r="AB199" s="6">
        <f>$K$199*$V$199</f>
        <v>153366.54</v>
      </c>
      <c r="AC199" s="6">
        <f>$M$199*$W$199</f>
        <v>0</v>
      </c>
      <c r="AD199" s="6">
        <f>$O$199*$X$199</f>
        <v>0</v>
      </c>
      <c r="AE199" s="6">
        <f ca="1">$K$199*$Y$199</f>
        <v>191951.67598814733</v>
      </c>
      <c r="AF199" s="6">
        <f ca="1">$M$199*$Z$199</f>
        <v>0</v>
      </c>
      <c r="AG199" s="6">
        <f>$O$199*$AA$199</f>
        <v>0</v>
      </c>
    </row>
    <row r="200" spans="1:33" ht="11.25" customHeight="1" x14ac:dyDescent="0.25">
      <c r="A200" s="4" t="s">
        <v>27</v>
      </c>
      <c r="B200" s="4" t="s">
        <v>39</v>
      </c>
      <c r="C200" s="4" t="s">
        <v>40</v>
      </c>
      <c r="D200" s="4" t="s">
        <v>38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44652</v>
      </c>
      <c r="J200" s="6">
        <v>-391</v>
      </c>
      <c r="K200" s="6">
        <v>-391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26</v>
      </c>
      <c r="R200" s="4">
        <v>0</v>
      </c>
      <c r="S200" s="6">
        <v>17</v>
      </c>
      <c r="T200" s="6">
        <v>0</v>
      </c>
      <c r="U200" s="6">
        <v>0</v>
      </c>
      <c r="V200" s="6">
        <f>IF(ISERROR(VLOOKUP($S$200,'TAR FIN'!$A$1:$O$116,15,0)),0,VLOOKUP($S$200,'TAR FIN'!$A$1:$O$116,15,0))</f>
        <v>9.33</v>
      </c>
      <c r="W200" s="6">
        <f>IF(ISERROR(VLOOKUP($T$200,'TAR FIN'!$A$1:$O$116,15,0)),0,VLOOKUP($T$200,'TAR FIN'!$A$1:$O$116,15,0))</f>
        <v>0</v>
      </c>
      <c r="X200" s="6">
        <f>IF(ISERROR(VLOOKUP($U$200,'TAR FIN'!$A$1:$O$116,15,0)),0,VLOOKUP($U$200,'TAR FIN'!$A$1:$O$116,15,0))</f>
        <v>0</v>
      </c>
      <c r="Y200" s="6">
        <f ca="1">('TUSD BE'!$AM$21+'TUSD BF'!$AM$21+'TUSD CVA'!$AM$21)*1</f>
        <v>11.677313297733747</v>
      </c>
      <c r="Z200" s="6">
        <f ca="1">('TUSD BE'!$AM$22+'TUSD BF'!$AM$22+'TUSD CVA'!$AM$22)*1</f>
        <v>101.24255939823256</v>
      </c>
      <c r="AA200" s="6">
        <f>('TE BE'!$AB$8+'TE BF'!$AB$8+'TE CVA'!$AB$8)*1</f>
        <v>313.22907246928764</v>
      </c>
      <c r="AB200" s="6">
        <f>$K$200*$V$200</f>
        <v>-3648.03</v>
      </c>
      <c r="AC200" s="6">
        <f>$M$200*$W$200</f>
        <v>0</v>
      </c>
      <c r="AD200" s="6">
        <f>$O$200*$X$200</f>
        <v>0</v>
      </c>
      <c r="AE200" s="6">
        <f ca="1">$K$200*$Y$200</f>
        <v>-4565.8294994138951</v>
      </c>
      <c r="AF200" s="6">
        <f ca="1"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39</v>
      </c>
      <c r="C201" s="4" t="s">
        <v>40</v>
      </c>
      <c r="D201" s="4" t="s">
        <v>38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44652</v>
      </c>
      <c r="J201" s="6">
        <v>16594</v>
      </c>
      <c r="K201" s="6">
        <v>16594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60</v>
      </c>
      <c r="R201" s="4">
        <v>0</v>
      </c>
      <c r="S201" s="6">
        <v>17</v>
      </c>
      <c r="T201" s="6">
        <v>0</v>
      </c>
      <c r="U201" s="6">
        <v>0</v>
      </c>
      <c r="V201" s="6">
        <f>IF(ISERROR(VLOOKUP($S$201,'TAR FIN'!$A$1:$O$116,15,0)),0,VLOOKUP($S$201,'TAR FIN'!$A$1:$O$116,15,0))</f>
        <v>9.33</v>
      </c>
      <c r="W201" s="6">
        <f>IF(ISERROR(VLOOKUP($T$201,'TAR FIN'!$A$1:$O$116,15,0)),0,VLOOKUP($T$201,'TAR FIN'!$A$1:$O$116,15,0))</f>
        <v>0</v>
      </c>
      <c r="X201" s="6">
        <f>IF(ISERROR(VLOOKUP($U$201,'TAR FIN'!$A$1:$O$116,15,0)),0,VLOOKUP($U$201,'TAR FIN'!$A$1:$O$116,15,0))</f>
        <v>0</v>
      </c>
      <c r="Y201" s="6">
        <f ca="1">('TUSD BE'!$AM$21+'TUSD BF'!$AM$21+'TUSD CVA'!$AM$21)*1</f>
        <v>11.677313297733747</v>
      </c>
      <c r="Z201" s="6">
        <f ca="1">('TUSD BE'!$AM$22+'TUSD BF'!$AM$22+'TUSD CVA'!$AM$22)*1</f>
        <v>101.24255939823256</v>
      </c>
      <c r="AA201" s="6"/>
      <c r="AB201" s="6">
        <f>$K$201*$V$201</f>
        <v>154822.01999999999</v>
      </c>
      <c r="AC201" s="6">
        <f>$M$201*$W$201</f>
        <v>0</v>
      </c>
      <c r="AD201" s="6">
        <f>$O$201*$X$201</f>
        <v>0</v>
      </c>
      <c r="AE201" s="6">
        <f ca="1">$K$201*$Y$201</f>
        <v>193773.3368625938</v>
      </c>
      <c r="AF201" s="6">
        <f ca="1">$M$201*$Z$201</f>
        <v>0</v>
      </c>
      <c r="AG201" s="6">
        <f>$O$201*$AA$201</f>
        <v>0</v>
      </c>
    </row>
    <row r="202" spans="1:33" ht="11.25" customHeight="1" x14ac:dyDescent="0.25">
      <c r="A202" s="4" t="s">
        <v>58</v>
      </c>
      <c r="B202" s="4" t="s">
        <v>39</v>
      </c>
      <c r="C202" s="4" t="s">
        <v>40</v>
      </c>
      <c r="D202" s="4" t="s">
        <v>38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44682</v>
      </c>
      <c r="J202" s="6">
        <v>-391</v>
      </c>
      <c r="K202" s="6">
        <v>-391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26</v>
      </c>
      <c r="R202" s="4">
        <v>0</v>
      </c>
      <c r="S202" s="6">
        <v>17</v>
      </c>
      <c r="T202" s="6">
        <v>0</v>
      </c>
      <c r="U202" s="6">
        <v>0</v>
      </c>
      <c r="V202" s="6">
        <f>IF(ISERROR(VLOOKUP($S$202,'TAR FIN'!$A$1:$O$116,15,0)),0,VLOOKUP($S$202,'TAR FIN'!$A$1:$O$116,15,0))</f>
        <v>9.33</v>
      </c>
      <c r="W202" s="6">
        <f>IF(ISERROR(VLOOKUP($T$202,'TAR FIN'!$A$1:$O$116,15,0)),0,VLOOKUP($T$202,'TAR FIN'!$A$1:$O$116,15,0))</f>
        <v>0</v>
      </c>
      <c r="X202" s="6">
        <f>IF(ISERROR(VLOOKUP($U$202,'TAR FIN'!$A$1:$O$116,15,0)),0,VLOOKUP($U$202,'TAR FIN'!$A$1:$O$116,15,0))</f>
        <v>0</v>
      </c>
      <c r="Y202" s="6">
        <f ca="1">('TUSD BE'!$AM$21+'TUSD BF'!$AM$21+'TUSD CVA'!$AM$21)*1</f>
        <v>11.677313297733747</v>
      </c>
      <c r="Z202" s="6">
        <f ca="1">('TUSD BE'!$AM$22+'TUSD BF'!$AM$22+'TUSD CVA'!$AM$22)*1</f>
        <v>101.24255939823256</v>
      </c>
      <c r="AA202" s="6">
        <f>('TE BE'!$AB$8+'TE BF'!$AB$8+'TE CVA'!$AB$8)*1</f>
        <v>313.22907246928764</v>
      </c>
      <c r="AB202" s="6">
        <f>$K$202*$V$202</f>
        <v>-3648.03</v>
      </c>
      <c r="AC202" s="6">
        <f>$M$202*$W$202</f>
        <v>0</v>
      </c>
      <c r="AD202" s="6">
        <f>$O$202*$X$202</f>
        <v>0</v>
      </c>
      <c r="AE202" s="6">
        <f ca="1">$K$202*$Y$202</f>
        <v>-4565.8294994138951</v>
      </c>
      <c r="AF202" s="6">
        <f ca="1">$M$202*$Z$202</f>
        <v>0</v>
      </c>
      <c r="AG202" s="6">
        <f>$O$202*$AA$202</f>
        <v>0</v>
      </c>
    </row>
    <row r="203" spans="1:33" ht="11.25" customHeight="1" x14ac:dyDescent="0.25">
      <c r="A203" s="4" t="s">
        <v>58</v>
      </c>
      <c r="B203" s="4" t="s">
        <v>39</v>
      </c>
      <c r="C203" s="4" t="s">
        <v>40</v>
      </c>
      <c r="D203" s="4" t="s">
        <v>38</v>
      </c>
      <c r="E203" s="4" t="s">
        <v>25</v>
      </c>
      <c r="F203" s="4" t="s">
        <v>25</v>
      </c>
      <c r="G203" s="4" t="s">
        <v>25</v>
      </c>
      <c r="H203" s="4" t="s">
        <v>35</v>
      </c>
      <c r="I203" s="5">
        <v>44682</v>
      </c>
      <c r="J203" s="6">
        <v>16594</v>
      </c>
      <c r="K203" s="6">
        <v>16594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60</v>
      </c>
      <c r="R203" s="4">
        <v>0</v>
      </c>
      <c r="S203" s="6">
        <v>17</v>
      </c>
      <c r="T203" s="6">
        <v>0</v>
      </c>
      <c r="U203" s="6">
        <v>0</v>
      </c>
      <c r="V203" s="6">
        <f>IF(ISERROR(VLOOKUP($S$203,'TAR FIN'!$A$1:$O$116,15,0)),0,VLOOKUP($S$203,'TAR FIN'!$A$1:$O$116,15,0))</f>
        <v>9.33</v>
      </c>
      <c r="W203" s="6">
        <f>IF(ISERROR(VLOOKUP($T$203,'TAR FIN'!$A$1:$O$116,15,0)),0,VLOOKUP($T$203,'TAR FIN'!$A$1:$O$116,15,0))</f>
        <v>0</v>
      </c>
      <c r="X203" s="6">
        <f>IF(ISERROR(VLOOKUP($U$203,'TAR FIN'!$A$1:$O$116,15,0)),0,VLOOKUP($U$203,'TAR FIN'!$A$1:$O$116,15,0))</f>
        <v>0</v>
      </c>
      <c r="Y203" s="6">
        <f ca="1">('TUSD BE'!$AM$21+'TUSD BF'!$AM$21+'TUSD CVA'!$AM$21)*1</f>
        <v>11.677313297733747</v>
      </c>
      <c r="Z203" s="6">
        <f ca="1">('TUSD BE'!$AM$22+'TUSD BF'!$AM$22+'TUSD CVA'!$AM$22)*1</f>
        <v>101.24255939823256</v>
      </c>
      <c r="AA203" s="6"/>
      <c r="AB203" s="6">
        <f>$K$203*$V$203</f>
        <v>154822.01999999999</v>
      </c>
      <c r="AC203" s="6">
        <f>$M$203*$W$203</f>
        <v>0</v>
      </c>
      <c r="AD203" s="6">
        <f>$O$203*$X$203</f>
        <v>0</v>
      </c>
      <c r="AE203" s="6">
        <f ca="1">$K$203*$Y$203</f>
        <v>193773.3368625938</v>
      </c>
      <c r="AF203" s="6">
        <f ca="1"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39</v>
      </c>
      <c r="C204" s="4" t="s">
        <v>40</v>
      </c>
      <c r="D204" s="4" t="s">
        <v>38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44348</v>
      </c>
      <c r="J204" s="6">
        <v>0</v>
      </c>
      <c r="K204" s="6">
        <v>0</v>
      </c>
      <c r="L204" s="6">
        <v>7944.7790000000005</v>
      </c>
      <c r="M204" s="6">
        <v>7944.7790000000005</v>
      </c>
      <c r="N204" s="6">
        <v>0</v>
      </c>
      <c r="O204" s="6">
        <v>0</v>
      </c>
      <c r="P204" s="6">
        <v>2</v>
      </c>
      <c r="Q204" s="4" t="s">
        <v>60</v>
      </c>
      <c r="R204" s="4">
        <v>0</v>
      </c>
      <c r="S204" s="6">
        <v>0</v>
      </c>
      <c r="T204" s="6">
        <v>18</v>
      </c>
      <c r="U204" s="6">
        <v>0</v>
      </c>
      <c r="V204" s="6">
        <f>IF(ISERROR(VLOOKUP($S$204,'TAR FIN'!$A$1:$O$116,15,0)),0,VLOOKUP($S$204,'TAR FIN'!$A$1:$O$116,15,0))</f>
        <v>0</v>
      </c>
      <c r="W204" s="6">
        <f>IF(ISERROR(VLOOKUP($T$204,'TAR FIN'!$A$1:$O$116,15,0)),0,VLOOKUP($T$204,'TAR FIN'!$A$1:$O$116,15,0))</f>
        <v>65.78</v>
      </c>
      <c r="X204" s="6">
        <f>IF(ISERROR(VLOOKUP($U$204,'TAR FIN'!$A$1:$O$116,15,0)),0,VLOOKUP($U$204,'TAR FIN'!$A$1:$O$116,15,0))</f>
        <v>0</v>
      </c>
      <c r="Y204" s="6"/>
      <c r="Z204" s="6">
        <f ca="1">('TUSD BE'!$AM$22+'TUSD BF'!$AM$22+'TUSD CVA'!$AM$22)*1</f>
        <v>101.24255939823256</v>
      </c>
      <c r="AA204" s="6"/>
      <c r="AB204" s="6">
        <f>$K$204*$V$204</f>
        <v>0</v>
      </c>
      <c r="AC204" s="6">
        <f>$M$204*$W$204</f>
        <v>522607.56262000004</v>
      </c>
      <c r="AD204" s="6">
        <f>$O$204*$X$204</f>
        <v>0</v>
      </c>
      <c r="AE204" s="6">
        <f>$K$204*$Y$204</f>
        <v>0</v>
      </c>
      <c r="AF204" s="6">
        <f ca="1">$M$204*$Z$204</f>
        <v>804349.75981333072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39</v>
      </c>
      <c r="C205" s="4" t="s">
        <v>40</v>
      </c>
      <c r="D205" s="4" t="s">
        <v>38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44378</v>
      </c>
      <c r="J205" s="6">
        <v>0</v>
      </c>
      <c r="K205" s="6">
        <v>0</v>
      </c>
      <c r="L205" s="6">
        <v>7563.1220000000003</v>
      </c>
      <c r="M205" s="6">
        <v>7563.1220000000003</v>
      </c>
      <c r="N205" s="6">
        <v>0</v>
      </c>
      <c r="O205" s="6">
        <v>0</v>
      </c>
      <c r="P205" s="6">
        <v>2</v>
      </c>
      <c r="Q205" s="4" t="s">
        <v>60</v>
      </c>
      <c r="R205" s="4">
        <v>0</v>
      </c>
      <c r="S205" s="6">
        <v>0</v>
      </c>
      <c r="T205" s="6">
        <v>18</v>
      </c>
      <c r="U205" s="6">
        <v>0</v>
      </c>
      <c r="V205" s="6">
        <f>IF(ISERROR(VLOOKUP($S$205,'TAR FIN'!$A$1:$O$116,15,0)),0,VLOOKUP($S$205,'TAR FIN'!$A$1:$O$116,15,0))</f>
        <v>0</v>
      </c>
      <c r="W205" s="6">
        <f>IF(ISERROR(VLOOKUP($T$205,'TAR FIN'!$A$1:$O$116,15,0)),0,VLOOKUP($T$205,'TAR FIN'!$A$1:$O$116,15,0))</f>
        <v>65.78</v>
      </c>
      <c r="X205" s="6">
        <f>IF(ISERROR(VLOOKUP($U$205,'TAR FIN'!$A$1:$O$116,15,0)),0,VLOOKUP($U$205,'TAR FIN'!$A$1:$O$116,15,0))</f>
        <v>0</v>
      </c>
      <c r="Y205" s="6"/>
      <c r="Z205" s="6">
        <f ca="1">('TUSD BE'!$AM$22+'TUSD BF'!$AM$22+'TUSD CVA'!$AM$22)*1</f>
        <v>101.24255939823256</v>
      </c>
      <c r="AA205" s="6"/>
      <c r="AB205" s="6">
        <f>$K$205*$V$205</f>
        <v>0</v>
      </c>
      <c r="AC205" s="6">
        <f>$M$205*$W$205</f>
        <v>497502.16516000003</v>
      </c>
      <c r="AD205" s="6">
        <f>$O$205*$X$205</f>
        <v>0</v>
      </c>
      <c r="AE205" s="6">
        <f>$K$205*$Y$205</f>
        <v>0</v>
      </c>
      <c r="AF205" s="6">
        <f ca="1">$M$205*$Z$205</f>
        <v>765709.82832107949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39</v>
      </c>
      <c r="C206" s="4" t="s">
        <v>40</v>
      </c>
      <c r="D206" s="4" t="s">
        <v>38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44409</v>
      </c>
      <c r="J206" s="6">
        <v>0</v>
      </c>
      <c r="K206" s="6">
        <v>0</v>
      </c>
      <c r="L206" s="6">
        <v>8221.7540000000008</v>
      </c>
      <c r="M206" s="6">
        <v>8221.7540000000008</v>
      </c>
      <c r="N206" s="6">
        <v>0</v>
      </c>
      <c r="O206" s="6">
        <v>0</v>
      </c>
      <c r="P206" s="6">
        <v>2</v>
      </c>
      <c r="Q206" s="4" t="s">
        <v>60</v>
      </c>
      <c r="R206" s="4">
        <v>0</v>
      </c>
      <c r="S206" s="6">
        <v>0</v>
      </c>
      <c r="T206" s="6">
        <v>18</v>
      </c>
      <c r="U206" s="6">
        <v>0</v>
      </c>
      <c r="V206" s="6">
        <f>IF(ISERROR(VLOOKUP($S$206,'TAR FIN'!$A$1:$O$116,15,0)),0,VLOOKUP($S$206,'TAR FIN'!$A$1:$O$116,15,0))</f>
        <v>0</v>
      </c>
      <c r="W206" s="6">
        <f>IF(ISERROR(VLOOKUP($T$206,'TAR FIN'!$A$1:$O$116,15,0)),0,VLOOKUP($T$206,'TAR FIN'!$A$1:$O$116,15,0))</f>
        <v>65.78</v>
      </c>
      <c r="X206" s="6">
        <f>IF(ISERROR(VLOOKUP($U$206,'TAR FIN'!$A$1:$O$116,15,0)),0,VLOOKUP($U$206,'TAR FIN'!$A$1:$O$116,15,0))</f>
        <v>0</v>
      </c>
      <c r="Y206" s="6"/>
      <c r="Z206" s="6">
        <f ca="1">('TUSD BE'!$AM$22+'TUSD BF'!$AM$22+'TUSD CVA'!$AM$22)*1</f>
        <v>101.24255939823256</v>
      </c>
      <c r="AA206" s="6"/>
      <c r="AB206" s="6">
        <f>$K$206*$V$206</f>
        <v>0</v>
      </c>
      <c r="AC206" s="6">
        <f>$M$206*$W$206</f>
        <v>540826.9781200001</v>
      </c>
      <c r="AD206" s="6">
        <f>$O$206*$X$206</f>
        <v>0</v>
      </c>
      <c r="AE206" s="6">
        <f>$K$206*$Y$206</f>
        <v>0</v>
      </c>
      <c r="AF206" s="6">
        <f ca="1">$M$206*$Z$206</f>
        <v>832391.41770265624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39</v>
      </c>
      <c r="C207" s="4" t="s">
        <v>40</v>
      </c>
      <c r="D207" s="4" t="s">
        <v>38</v>
      </c>
      <c r="E207" s="4" t="s">
        <v>25</v>
      </c>
      <c r="F207" s="4" t="s">
        <v>25</v>
      </c>
      <c r="G207" s="4" t="s">
        <v>25</v>
      </c>
      <c r="H207" s="4" t="s">
        <v>25</v>
      </c>
      <c r="I207" s="5">
        <v>44440</v>
      </c>
      <c r="J207" s="6">
        <v>0</v>
      </c>
      <c r="K207" s="6">
        <v>0</v>
      </c>
      <c r="L207" s="6">
        <v>8311.0030000000006</v>
      </c>
      <c r="M207" s="6">
        <v>8311.0030000000006</v>
      </c>
      <c r="N207" s="6">
        <v>0</v>
      </c>
      <c r="O207" s="6">
        <v>0</v>
      </c>
      <c r="P207" s="6">
        <v>2</v>
      </c>
      <c r="Q207" s="4" t="s">
        <v>60</v>
      </c>
      <c r="R207" s="4">
        <v>0</v>
      </c>
      <c r="S207" s="6">
        <v>0</v>
      </c>
      <c r="T207" s="6">
        <v>18</v>
      </c>
      <c r="U207" s="6">
        <v>0</v>
      </c>
      <c r="V207" s="6">
        <f>IF(ISERROR(VLOOKUP($S$207,'TAR FIN'!$A$1:$O$116,15,0)),0,VLOOKUP($S$207,'TAR FIN'!$A$1:$O$116,15,0))</f>
        <v>0</v>
      </c>
      <c r="W207" s="6">
        <f>IF(ISERROR(VLOOKUP($T$207,'TAR FIN'!$A$1:$O$116,15,0)),0,VLOOKUP($T$207,'TAR FIN'!$A$1:$O$116,15,0))</f>
        <v>65.78</v>
      </c>
      <c r="X207" s="6">
        <f>IF(ISERROR(VLOOKUP($U$207,'TAR FIN'!$A$1:$O$116,15,0)),0,VLOOKUP($U$207,'TAR FIN'!$A$1:$O$116,15,0))</f>
        <v>0</v>
      </c>
      <c r="Y207" s="6"/>
      <c r="Z207" s="6">
        <f ca="1">('TUSD BE'!$AM$22+'TUSD BF'!$AM$22+'TUSD CVA'!$AM$22)*1</f>
        <v>101.24255939823256</v>
      </c>
      <c r="AA207" s="6"/>
      <c r="AB207" s="6">
        <f>$K$207*$V$207</f>
        <v>0</v>
      </c>
      <c r="AC207" s="6">
        <f>$M$207*$W$207</f>
        <v>546697.77734000003</v>
      </c>
      <c r="AD207" s="6">
        <f>$O$207*$X$207</f>
        <v>0</v>
      </c>
      <c r="AE207" s="6">
        <f>$K$207*$Y$207</f>
        <v>0</v>
      </c>
      <c r="AF207" s="6">
        <f ca="1">$M$207*$Z$207</f>
        <v>841427.21488638909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39</v>
      </c>
      <c r="C208" s="4" t="s">
        <v>40</v>
      </c>
      <c r="D208" s="4" t="s">
        <v>38</v>
      </c>
      <c r="E208" s="4" t="s">
        <v>25</v>
      </c>
      <c r="F208" s="4" t="s">
        <v>25</v>
      </c>
      <c r="G208" s="4" t="s">
        <v>25</v>
      </c>
      <c r="H208" s="4" t="s">
        <v>25</v>
      </c>
      <c r="I208" s="5">
        <v>44470</v>
      </c>
      <c r="J208" s="6">
        <v>0</v>
      </c>
      <c r="K208" s="6">
        <v>0</v>
      </c>
      <c r="L208" s="6">
        <v>7705.9750000000004</v>
      </c>
      <c r="M208" s="6">
        <v>7705.9750000000004</v>
      </c>
      <c r="N208" s="6">
        <v>0</v>
      </c>
      <c r="O208" s="6">
        <v>0</v>
      </c>
      <c r="P208" s="6">
        <v>2</v>
      </c>
      <c r="Q208" s="4" t="s">
        <v>60</v>
      </c>
      <c r="R208" s="4">
        <v>0</v>
      </c>
      <c r="S208" s="6">
        <v>0</v>
      </c>
      <c r="T208" s="6">
        <v>18</v>
      </c>
      <c r="U208" s="6">
        <v>0</v>
      </c>
      <c r="V208" s="6">
        <f>IF(ISERROR(VLOOKUP($S$208,'TAR FIN'!$A$1:$O$116,15,0)),0,VLOOKUP($S$208,'TAR FIN'!$A$1:$O$116,15,0))</f>
        <v>0</v>
      </c>
      <c r="W208" s="6">
        <f>IF(ISERROR(VLOOKUP($T$208,'TAR FIN'!$A$1:$O$116,15,0)),0,VLOOKUP($T$208,'TAR FIN'!$A$1:$O$116,15,0))</f>
        <v>65.78</v>
      </c>
      <c r="X208" s="6">
        <f>IF(ISERROR(VLOOKUP($U$208,'TAR FIN'!$A$1:$O$116,15,0)),0,VLOOKUP($U$208,'TAR FIN'!$A$1:$O$116,15,0))</f>
        <v>0</v>
      </c>
      <c r="Y208" s="6"/>
      <c r="Z208" s="6">
        <f ca="1">('TUSD BE'!$AM$22+'TUSD BF'!$AM$22+'TUSD CVA'!$AM$22)*1</f>
        <v>101.24255939823256</v>
      </c>
      <c r="AA208" s="6"/>
      <c r="AB208" s="6">
        <f>$K$208*$V$208</f>
        <v>0</v>
      </c>
      <c r="AC208" s="6">
        <f>$M$208*$W$208</f>
        <v>506899.03550000006</v>
      </c>
      <c r="AD208" s="6">
        <f>$O$208*$X$208</f>
        <v>0</v>
      </c>
      <c r="AE208" s="6">
        <f>$K$208*$Y$208</f>
        <v>0</v>
      </c>
      <c r="AF208" s="6">
        <f ca="1">$M$208*$Z$208</f>
        <v>780172.63165879517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39</v>
      </c>
      <c r="C209" s="4" t="s">
        <v>40</v>
      </c>
      <c r="D209" s="4" t="s">
        <v>38</v>
      </c>
      <c r="E209" s="4" t="s">
        <v>25</v>
      </c>
      <c r="F209" s="4" t="s">
        <v>25</v>
      </c>
      <c r="G209" s="4" t="s">
        <v>25</v>
      </c>
      <c r="H209" s="4" t="s">
        <v>25</v>
      </c>
      <c r="I209" s="5">
        <v>44501</v>
      </c>
      <c r="J209" s="6">
        <v>0</v>
      </c>
      <c r="K209" s="6">
        <v>0</v>
      </c>
      <c r="L209" s="6">
        <v>8310.8539999999994</v>
      </c>
      <c r="M209" s="6">
        <v>8310.8539999999994</v>
      </c>
      <c r="N209" s="6">
        <v>0</v>
      </c>
      <c r="O209" s="6">
        <v>0</v>
      </c>
      <c r="P209" s="6">
        <v>2</v>
      </c>
      <c r="Q209" s="4" t="s">
        <v>60</v>
      </c>
      <c r="R209" s="4">
        <v>0</v>
      </c>
      <c r="S209" s="6">
        <v>0</v>
      </c>
      <c r="T209" s="6">
        <v>18</v>
      </c>
      <c r="U209" s="6">
        <v>0</v>
      </c>
      <c r="V209" s="6">
        <f>IF(ISERROR(VLOOKUP($S$209,'TAR FIN'!$A$1:$O$116,15,0)),0,VLOOKUP($S$209,'TAR FIN'!$A$1:$O$116,15,0))</f>
        <v>0</v>
      </c>
      <c r="W209" s="6">
        <f>IF(ISERROR(VLOOKUP($T$209,'TAR FIN'!$A$1:$O$116,15,0)),0,VLOOKUP($T$209,'TAR FIN'!$A$1:$O$116,15,0))</f>
        <v>65.78</v>
      </c>
      <c r="X209" s="6">
        <f>IF(ISERROR(VLOOKUP($U$209,'TAR FIN'!$A$1:$O$116,15,0)),0,VLOOKUP($U$209,'TAR FIN'!$A$1:$O$116,15,0))</f>
        <v>0</v>
      </c>
      <c r="Y209" s="6"/>
      <c r="Z209" s="6">
        <f ca="1">('TUSD BE'!$AM$22+'TUSD BF'!$AM$22+'TUSD CVA'!$AM$22)*1</f>
        <v>101.24255939823256</v>
      </c>
      <c r="AA209" s="6"/>
      <c r="AB209" s="6">
        <f>$K$209*$V$209</f>
        <v>0</v>
      </c>
      <c r="AC209" s="6">
        <f>$M$209*$W$209</f>
        <v>546687.97612000001</v>
      </c>
      <c r="AD209" s="6">
        <f>$O$209*$X$209</f>
        <v>0</v>
      </c>
      <c r="AE209" s="6">
        <f>$K$209*$Y$209</f>
        <v>0</v>
      </c>
      <c r="AF209" s="6">
        <f ca="1">$M$209*$Z$209</f>
        <v>841412.12974503858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39</v>
      </c>
      <c r="C210" s="4" t="s">
        <v>40</v>
      </c>
      <c r="D210" s="4" t="s">
        <v>38</v>
      </c>
      <c r="E210" s="4" t="s">
        <v>25</v>
      </c>
      <c r="F210" s="4" t="s">
        <v>25</v>
      </c>
      <c r="G210" s="4" t="s">
        <v>25</v>
      </c>
      <c r="H210" s="4" t="s">
        <v>25</v>
      </c>
      <c r="I210" s="5">
        <v>44531</v>
      </c>
      <c r="J210" s="6">
        <v>0</v>
      </c>
      <c r="K210" s="6">
        <v>0</v>
      </c>
      <c r="L210" s="6">
        <v>8055.2250000000004</v>
      </c>
      <c r="M210" s="6">
        <v>8055.2250000000004</v>
      </c>
      <c r="N210" s="6">
        <v>0</v>
      </c>
      <c r="O210" s="6">
        <v>0</v>
      </c>
      <c r="P210" s="6">
        <v>2</v>
      </c>
      <c r="Q210" s="4" t="s">
        <v>60</v>
      </c>
      <c r="R210" s="4">
        <v>0</v>
      </c>
      <c r="S210" s="6">
        <v>0</v>
      </c>
      <c r="T210" s="6">
        <v>18</v>
      </c>
      <c r="U210" s="6">
        <v>0</v>
      </c>
      <c r="V210" s="6">
        <f>IF(ISERROR(VLOOKUP($S$210,'TAR FIN'!$A$1:$O$116,15,0)),0,VLOOKUP($S$210,'TAR FIN'!$A$1:$O$116,15,0))</f>
        <v>0</v>
      </c>
      <c r="W210" s="6">
        <f>IF(ISERROR(VLOOKUP($T$210,'TAR FIN'!$A$1:$O$116,15,0)),0,VLOOKUP($T$210,'TAR FIN'!$A$1:$O$116,15,0))</f>
        <v>65.78</v>
      </c>
      <c r="X210" s="6">
        <f>IF(ISERROR(VLOOKUP($U$210,'TAR FIN'!$A$1:$O$116,15,0)),0,VLOOKUP($U$210,'TAR FIN'!$A$1:$O$116,15,0))</f>
        <v>0</v>
      </c>
      <c r="Y210" s="6"/>
      <c r="Z210" s="6">
        <f ca="1">('TUSD BE'!$AM$22+'TUSD BF'!$AM$22+'TUSD CVA'!$AM$22)*1</f>
        <v>101.24255939823256</v>
      </c>
      <c r="AA210" s="6"/>
      <c r="AB210" s="6">
        <f>$K$210*$V$210</f>
        <v>0</v>
      </c>
      <c r="AC210" s="6">
        <f>$M$210*$W$210</f>
        <v>529872.70050000004</v>
      </c>
      <c r="AD210" s="6">
        <f>$O$210*$X$210</f>
        <v>0</v>
      </c>
      <c r="AE210" s="6">
        <f>$K$210*$Y$210</f>
        <v>0</v>
      </c>
      <c r="AF210" s="6">
        <f ca="1">$M$210*$Z$210</f>
        <v>815531.59552862786</v>
      </c>
      <c r="AG210" s="6">
        <f>$O$210*$AA$210</f>
        <v>0</v>
      </c>
    </row>
    <row r="211" spans="1:33" ht="11.25" customHeight="1" x14ac:dyDescent="0.25">
      <c r="A211" s="4" t="s">
        <v>21</v>
      </c>
      <c r="B211" s="4" t="s">
        <v>39</v>
      </c>
      <c r="C211" s="4" t="s">
        <v>40</v>
      </c>
      <c r="D211" s="4" t="s">
        <v>38</v>
      </c>
      <c r="E211" s="4" t="s">
        <v>25</v>
      </c>
      <c r="F211" s="4" t="s">
        <v>25</v>
      </c>
      <c r="G211" s="4" t="s">
        <v>25</v>
      </c>
      <c r="H211" s="4" t="s">
        <v>25</v>
      </c>
      <c r="I211" s="5">
        <v>44562</v>
      </c>
      <c r="J211" s="6">
        <v>0</v>
      </c>
      <c r="K211" s="6">
        <v>0</v>
      </c>
      <c r="L211" s="6">
        <v>7635.7719999999999</v>
      </c>
      <c r="M211" s="6">
        <v>7635.7719999999999</v>
      </c>
      <c r="N211" s="6">
        <v>0</v>
      </c>
      <c r="O211" s="6">
        <v>0</v>
      </c>
      <c r="P211" s="6">
        <v>2</v>
      </c>
      <c r="Q211" s="4" t="s">
        <v>60</v>
      </c>
      <c r="R211" s="4">
        <v>0</v>
      </c>
      <c r="S211" s="6">
        <v>0</v>
      </c>
      <c r="T211" s="6">
        <v>18</v>
      </c>
      <c r="U211" s="6">
        <v>0</v>
      </c>
      <c r="V211" s="6">
        <f>IF(ISERROR(VLOOKUP($S$211,'TAR FIN'!$A$1:$O$116,15,0)),0,VLOOKUP($S$211,'TAR FIN'!$A$1:$O$116,15,0))</f>
        <v>0</v>
      </c>
      <c r="W211" s="6">
        <f>IF(ISERROR(VLOOKUP($T$211,'TAR FIN'!$A$1:$O$116,15,0)),0,VLOOKUP($T$211,'TAR FIN'!$A$1:$O$116,15,0))</f>
        <v>65.78</v>
      </c>
      <c r="X211" s="6">
        <f>IF(ISERROR(VLOOKUP($U$211,'TAR FIN'!$A$1:$O$116,15,0)),0,VLOOKUP($U$211,'TAR FIN'!$A$1:$O$116,15,0))</f>
        <v>0</v>
      </c>
      <c r="Y211" s="6"/>
      <c r="Z211" s="6">
        <f ca="1">('TUSD BE'!$AM$22+'TUSD BF'!$AM$22+'TUSD CVA'!$AM$22)*1</f>
        <v>101.24255939823256</v>
      </c>
      <c r="AA211" s="6"/>
      <c r="AB211" s="6">
        <f>$K$211*$V$211</f>
        <v>0</v>
      </c>
      <c r="AC211" s="6">
        <f>$M$211*$W$211</f>
        <v>502281.08215999999</v>
      </c>
      <c r="AD211" s="6">
        <f>$O$211*$X$211</f>
        <v>0</v>
      </c>
      <c r="AE211" s="6">
        <f>$K$211*$Y$211</f>
        <v>0</v>
      </c>
      <c r="AF211" s="6">
        <f ca="1">$M$211*$Z$211</f>
        <v>773065.10026136099</v>
      </c>
      <c r="AG211" s="6">
        <f>$O$211*$AA$211</f>
        <v>0</v>
      </c>
    </row>
    <row r="212" spans="1:33" ht="11.25" customHeight="1" x14ac:dyDescent="0.25">
      <c r="A212" s="4" t="s">
        <v>21</v>
      </c>
      <c r="B212" s="4" t="s">
        <v>39</v>
      </c>
      <c r="C212" s="4" t="s">
        <v>40</v>
      </c>
      <c r="D212" s="4" t="s">
        <v>38</v>
      </c>
      <c r="E212" s="4" t="s">
        <v>25</v>
      </c>
      <c r="F212" s="4" t="s">
        <v>25</v>
      </c>
      <c r="G212" s="4" t="s">
        <v>25</v>
      </c>
      <c r="H212" s="4" t="s">
        <v>25</v>
      </c>
      <c r="I212" s="5">
        <v>44593</v>
      </c>
      <c r="J212" s="6">
        <v>0</v>
      </c>
      <c r="K212" s="6">
        <v>0</v>
      </c>
      <c r="L212" s="6">
        <v>7919.174</v>
      </c>
      <c r="M212" s="6">
        <v>7919.174</v>
      </c>
      <c r="N212" s="6">
        <v>0</v>
      </c>
      <c r="O212" s="6">
        <v>0</v>
      </c>
      <c r="P212" s="6">
        <v>3</v>
      </c>
      <c r="Q212" s="4" t="s">
        <v>60</v>
      </c>
      <c r="R212" s="4">
        <v>0</v>
      </c>
      <c r="S212" s="6">
        <v>0</v>
      </c>
      <c r="T212" s="6">
        <v>18</v>
      </c>
      <c r="U212" s="6">
        <v>0</v>
      </c>
      <c r="V212" s="6">
        <f>IF(ISERROR(VLOOKUP($S$212,'TAR FIN'!$A$1:$O$116,15,0)),0,VLOOKUP($S$212,'TAR FIN'!$A$1:$O$116,15,0))</f>
        <v>0</v>
      </c>
      <c r="W212" s="6">
        <f>IF(ISERROR(VLOOKUP($T$212,'TAR FIN'!$A$1:$O$116,15,0)),0,VLOOKUP($T$212,'TAR FIN'!$A$1:$O$116,15,0))</f>
        <v>65.78</v>
      </c>
      <c r="X212" s="6">
        <f>IF(ISERROR(VLOOKUP($U$212,'TAR FIN'!$A$1:$O$116,15,0)),0,VLOOKUP($U$212,'TAR FIN'!$A$1:$O$116,15,0))</f>
        <v>0</v>
      </c>
      <c r="Y212" s="6"/>
      <c r="Z212" s="6">
        <f ca="1">('TUSD BE'!$AM$22+'TUSD BF'!$AM$22+'TUSD CVA'!$AM$22)*1</f>
        <v>101.24255939823256</v>
      </c>
      <c r="AA212" s="6"/>
      <c r="AB212" s="6">
        <f>$K$212*$V$212</f>
        <v>0</v>
      </c>
      <c r="AC212" s="6">
        <f>$M$212*$W$212</f>
        <v>520923.26572000002</v>
      </c>
      <c r="AD212" s="6">
        <f>$O$212*$X$212</f>
        <v>0</v>
      </c>
      <c r="AE212" s="6">
        <f>$K$212*$Y$212</f>
        <v>0</v>
      </c>
      <c r="AF212" s="6">
        <f ca="1">$M$212*$Z$212</f>
        <v>801757.44407993893</v>
      </c>
      <c r="AG212" s="6">
        <f>$O$212*$AA$212</f>
        <v>0</v>
      </c>
    </row>
    <row r="213" spans="1:33" ht="11.25" customHeight="1" x14ac:dyDescent="0.25">
      <c r="A213" s="4" t="s">
        <v>21</v>
      </c>
      <c r="B213" s="4" t="s">
        <v>39</v>
      </c>
      <c r="C213" s="4" t="s">
        <v>40</v>
      </c>
      <c r="D213" s="4" t="s">
        <v>38</v>
      </c>
      <c r="E213" s="4" t="s">
        <v>25</v>
      </c>
      <c r="F213" s="4" t="s">
        <v>25</v>
      </c>
      <c r="G213" s="4" t="s">
        <v>25</v>
      </c>
      <c r="H213" s="4" t="s">
        <v>25</v>
      </c>
      <c r="I213" s="5">
        <v>44621</v>
      </c>
      <c r="J213" s="6">
        <v>0</v>
      </c>
      <c r="K213" s="6">
        <v>0</v>
      </c>
      <c r="L213" s="6">
        <v>8320.5540000000001</v>
      </c>
      <c r="M213" s="6">
        <v>8320.5540000000001</v>
      </c>
      <c r="N213" s="6">
        <v>0</v>
      </c>
      <c r="O213" s="6">
        <v>0</v>
      </c>
      <c r="P213" s="6">
        <v>3</v>
      </c>
      <c r="Q213" s="4" t="s">
        <v>60</v>
      </c>
      <c r="R213" s="4">
        <v>0</v>
      </c>
      <c r="S213" s="6">
        <v>0</v>
      </c>
      <c r="T213" s="6">
        <v>18</v>
      </c>
      <c r="U213" s="6">
        <v>0</v>
      </c>
      <c r="V213" s="6">
        <f>IF(ISERROR(VLOOKUP($S$213,'TAR FIN'!$A$1:$O$116,15,0)),0,VLOOKUP($S$213,'TAR FIN'!$A$1:$O$116,15,0))</f>
        <v>0</v>
      </c>
      <c r="W213" s="6">
        <f>IF(ISERROR(VLOOKUP($T$213,'TAR FIN'!$A$1:$O$116,15,0)),0,VLOOKUP($T$213,'TAR FIN'!$A$1:$O$116,15,0))</f>
        <v>65.78</v>
      </c>
      <c r="X213" s="6">
        <f>IF(ISERROR(VLOOKUP($U$213,'TAR FIN'!$A$1:$O$116,15,0)),0,VLOOKUP($U$213,'TAR FIN'!$A$1:$O$116,15,0))</f>
        <v>0</v>
      </c>
      <c r="Y213" s="6"/>
      <c r="Z213" s="6">
        <f ca="1">('TUSD BE'!$AM$22+'TUSD BF'!$AM$22+'TUSD CVA'!$AM$22)*1</f>
        <v>101.24255939823256</v>
      </c>
      <c r="AA213" s="6"/>
      <c r="AB213" s="6">
        <f>$K$213*$V$213</f>
        <v>0</v>
      </c>
      <c r="AC213" s="6">
        <f>$M$213*$W$213</f>
        <v>547326.04212</v>
      </c>
      <c r="AD213" s="6">
        <f>$O$213*$X$213</f>
        <v>0</v>
      </c>
      <c r="AE213" s="6">
        <f>$K$213*$Y$213</f>
        <v>0</v>
      </c>
      <c r="AF213" s="6">
        <f ca="1">$M$213*$Z$213</f>
        <v>842394.18257120147</v>
      </c>
      <c r="AG213" s="6">
        <f>$O$213*$AA$213</f>
        <v>0</v>
      </c>
    </row>
    <row r="214" spans="1:33" ht="11.25" customHeight="1" x14ac:dyDescent="0.25">
      <c r="A214" s="4" t="s">
        <v>21</v>
      </c>
      <c r="B214" s="4" t="s">
        <v>39</v>
      </c>
      <c r="C214" s="4" t="s">
        <v>40</v>
      </c>
      <c r="D214" s="4" t="s">
        <v>38</v>
      </c>
      <c r="E214" s="4" t="s">
        <v>25</v>
      </c>
      <c r="F214" s="4" t="s">
        <v>25</v>
      </c>
      <c r="G214" s="4" t="s">
        <v>25</v>
      </c>
      <c r="H214" s="4" t="s">
        <v>25</v>
      </c>
      <c r="I214" s="5">
        <v>44652</v>
      </c>
      <c r="J214" s="6">
        <v>0</v>
      </c>
      <c r="K214" s="6">
        <v>0</v>
      </c>
      <c r="L214" s="6">
        <v>8974.5650000000005</v>
      </c>
      <c r="M214" s="6">
        <v>8974.5650000000005</v>
      </c>
      <c r="N214" s="6">
        <v>0</v>
      </c>
      <c r="O214" s="6">
        <v>0</v>
      </c>
      <c r="P214" s="6">
        <v>3</v>
      </c>
      <c r="Q214" s="4" t="s">
        <v>60</v>
      </c>
      <c r="R214" s="4">
        <v>0</v>
      </c>
      <c r="S214" s="6">
        <v>0</v>
      </c>
      <c r="T214" s="6">
        <v>18</v>
      </c>
      <c r="U214" s="6">
        <v>0</v>
      </c>
      <c r="V214" s="6">
        <f>IF(ISERROR(VLOOKUP($S$214,'TAR FIN'!$A$1:$O$116,15,0)),0,VLOOKUP($S$214,'TAR FIN'!$A$1:$O$116,15,0))</f>
        <v>0</v>
      </c>
      <c r="W214" s="6">
        <f>IF(ISERROR(VLOOKUP($T$214,'TAR FIN'!$A$1:$O$116,15,0)),0,VLOOKUP($T$214,'TAR FIN'!$A$1:$O$116,15,0))</f>
        <v>65.78</v>
      </c>
      <c r="X214" s="6">
        <f>IF(ISERROR(VLOOKUP($U$214,'TAR FIN'!$A$1:$O$116,15,0)),0,VLOOKUP($U$214,'TAR FIN'!$A$1:$O$116,15,0))</f>
        <v>0</v>
      </c>
      <c r="Y214" s="6"/>
      <c r="Z214" s="6">
        <f ca="1">('TUSD BE'!$AM$22+'TUSD BF'!$AM$22+'TUSD CVA'!$AM$22)*1</f>
        <v>101.24255939823256</v>
      </c>
      <c r="AA214" s="6"/>
      <c r="AB214" s="6">
        <f>$K$214*$V$214</f>
        <v>0</v>
      </c>
      <c r="AC214" s="6">
        <f>$M$214*$W$214</f>
        <v>590346.8857000001</v>
      </c>
      <c r="AD214" s="6">
        <f>$O$214*$X$214</f>
        <v>0</v>
      </c>
      <c r="AE214" s="6">
        <f>$K$214*$Y$214</f>
        <v>0</v>
      </c>
      <c r="AF214" s="6">
        <f ca="1">$M$214*$Z$214</f>
        <v>908607.93008579907</v>
      </c>
      <c r="AG214" s="6">
        <f>$O$214*$AA$214</f>
        <v>0</v>
      </c>
    </row>
    <row r="215" spans="1:33" ht="11.25" customHeight="1" x14ac:dyDescent="0.25">
      <c r="A215" s="4" t="s">
        <v>58</v>
      </c>
      <c r="B215" s="4" t="s">
        <v>39</v>
      </c>
      <c r="C215" s="4" t="s">
        <v>40</v>
      </c>
      <c r="D215" s="4" t="s">
        <v>38</v>
      </c>
      <c r="E215" s="4" t="s">
        <v>25</v>
      </c>
      <c r="F215" s="4" t="s">
        <v>25</v>
      </c>
      <c r="G215" s="4" t="s">
        <v>25</v>
      </c>
      <c r="H215" s="4" t="s">
        <v>25</v>
      </c>
      <c r="I215" s="5">
        <v>44682</v>
      </c>
      <c r="J215" s="6">
        <v>0</v>
      </c>
      <c r="K215" s="6">
        <v>0</v>
      </c>
      <c r="L215" s="6">
        <v>8974.5650000000005</v>
      </c>
      <c r="M215" s="6">
        <v>8974.5650000000005</v>
      </c>
      <c r="N215" s="6">
        <v>0</v>
      </c>
      <c r="O215" s="6">
        <v>0</v>
      </c>
      <c r="P215" s="6">
        <v>3</v>
      </c>
      <c r="Q215" s="4" t="s">
        <v>60</v>
      </c>
      <c r="R215" s="4">
        <v>0</v>
      </c>
      <c r="S215" s="6">
        <v>0</v>
      </c>
      <c r="T215" s="6">
        <v>18</v>
      </c>
      <c r="U215" s="6">
        <v>0</v>
      </c>
      <c r="V215" s="6">
        <f>IF(ISERROR(VLOOKUP($S$215,'TAR FIN'!$A$1:$O$116,15,0)),0,VLOOKUP($S$215,'TAR FIN'!$A$1:$O$116,15,0))</f>
        <v>0</v>
      </c>
      <c r="W215" s="6">
        <f>IF(ISERROR(VLOOKUP($T$215,'TAR FIN'!$A$1:$O$116,15,0)),0,VLOOKUP($T$215,'TAR FIN'!$A$1:$O$116,15,0))</f>
        <v>65.78</v>
      </c>
      <c r="X215" s="6">
        <f>IF(ISERROR(VLOOKUP($U$215,'TAR FIN'!$A$1:$O$116,15,0)),0,VLOOKUP($U$215,'TAR FIN'!$A$1:$O$116,15,0))</f>
        <v>0</v>
      </c>
      <c r="Y215" s="6"/>
      <c r="Z215" s="6">
        <f ca="1">('TUSD BE'!$AM$22+'TUSD BF'!$AM$22+'TUSD CVA'!$AM$22)*1</f>
        <v>101.24255939823256</v>
      </c>
      <c r="AA215" s="6"/>
      <c r="AB215" s="6">
        <f>$K$215*$V$215</f>
        <v>0</v>
      </c>
      <c r="AC215" s="6">
        <f>$M$215*$W$215</f>
        <v>590346.8857000001</v>
      </c>
      <c r="AD215" s="6">
        <f>$O$215*$X$215</f>
        <v>0</v>
      </c>
      <c r="AE215" s="6">
        <f>$K$215*$Y$215</f>
        <v>0</v>
      </c>
      <c r="AF215" s="6">
        <f ca="1">$M$215*$Z$215</f>
        <v>908607.93008579907</v>
      </c>
      <c r="AG215" s="6">
        <f>$O$215*$AA$215</f>
        <v>0</v>
      </c>
    </row>
    <row r="216" spans="1:33" ht="11.25" customHeight="1" x14ac:dyDescent="0.25">
      <c r="A216" s="4" t="s">
        <v>21</v>
      </c>
      <c r="B216" s="4" t="s">
        <v>39</v>
      </c>
      <c r="C216" s="4" t="s">
        <v>40</v>
      </c>
      <c r="D216" s="4" t="s">
        <v>38</v>
      </c>
      <c r="E216" s="4" t="s">
        <v>25</v>
      </c>
      <c r="F216" s="4" t="s">
        <v>25</v>
      </c>
      <c r="G216" s="4" t="s">
        <v>25</v>
      </c>
      <c r="H216" s="4" t="s">
        <v>34</v>
      </c>
      <c r="I216" s="5">
        <v>44348</v>
      </c>
      <c r="J216" s="6">
        <v>350</v>
      </c>
      <c r="K216" s="6">
        <v>350</v>
      </c>
      <c r="L216" s="6">
        <v>7</v>
      </c>
      <c r="M216" s="6">
        <v>7</v>
      </c>
      <c r="N216" s="6">
        <v>7</v>
      </c>
      <c r="O216" s="6">
        <v>7</v>
      </c>
      <c r="P216" s="6">
        <v>0</v>
      </c>
      <c r="Q216" s="4" t="s">
        <v>26</v>
      </c>
      <c r="R216" s="4">
        <v>0</v>
      </c>
      <c r="S216" s="6">
        <v>16</v>
      </c>
      <c r="T216" s="6">
        <v>18</v>
      </c>
      <c r="U216" s="6">
        <v>75</v>
      </c>
      <c r="V216" s="6">
        <f>IF(ISERROR(VLOOKUP($S$216,'TAR FIN'!$A$1:$O$116,15,0)),0,VLOOKUP($S$216,'TAR FIN'!$A$1:$O$116,15,0))</f>
        <v>23.91</v>
      </c>
      <c r="W216" s="6">
        <f>IF(ISERROR(VLOOKUP($T$216,'TAR FIN'!$A$1:$O$116,15,0)),0,VLOOKUP($T$216,'TAR FIN'!$A$1:$O$116,15,0))</f>
        <v>65.78</v>
      </c>
      <c r="X216" s="6">
        <f>IF(ISERROR(VLOOKUP($U$216,'TAR FIN'!$A$1:$O$116,15,0)),0,VLOOKUP($U$216,'TAR FIN'!$A$1:$O$116,15,0))</f>
        <v>496.15</v>
      </c>
      <c r="Y216" s="6">
        <f ca="1">('TUSD BE'!$AM$20+'TUSD BF'!$AM$20+'TUSD CVA'!$AM$20)*1</f>
        <v>28.541575585553517</v>
      </c>
      <c r="Z216" s="6">
        <f ca="1">('TUSD BE'!$AM$22+'TUSD BF'!$AM$22+'TUSD CVA'!$AM$22)*1</f>
        <v>101.24255939823256</v>
      </c>
      <c r="AA216" s="6">
        <f>('TE BE'!$AB$7+'TE BF'!$AB$7+'TE CVA'!$AB$7)*1</f>
        <v>510.04993331215127</v>
      </c>
      <c r="AB216" s="6">
        <f>$K$216*$V$216</f>
        <v>8368.5</v>
      </c>
      <c r="AC216" s="6">
        <f>$M$216*$W$216</f>
        <v>460.46000000000004</v>
      </c>
      <c r="AD216" s="6">
        <f>$O$216*$X$216</f>
        <v>3473.0499999999997</v>
      </c>
      <c r="AE216" s="6">
        <f ca="1">$K$216*$Y$216</f>
        <v>9989.5514549437303</v>
      </c>
      <c r="AF216" s="6">
        <f ca="1">$M$216*$Z$216</f>
        <v>708.69791578762795</v>
      </c>
      <c r="AG216" s="6">
        <f>$O$216*$AA$216</f>
        <v>3570.349533185059</v>
      </c>
    </row>
    <row r="217" spans="1:33" ht="11.25" customHeight="1" x14ac:dyDescent="0.25">
      <c r="A217" s="4" t="s">
        <v>21</v>
      </c>
      <c r="B217" s="4" t="s">
        <v>39</v>
      </c>
      <c r="C217" s="4" t="s">
        <v>40</v>
      </c>
      <c r="D217" s="4" t="s">
        <v>38</v>
      </c>
      <c r="E217" s="4" t="s">
        <v>25</v>
      </c>
      <c r="F217" s="4" t="s">
        <v>25</v>
      </c>
      <c r="G217" s="4" t="s">
        <v>25</v>
      </c>
      <c r="H217" s="4" t="s">
        <v>34</v>
      </c>
      <c r="I217" s="5">
        <v>44348</v>
      </c>
      <c r="J217" s="6">
        <v>13200</v>
      </c>
      <c r="K217" s="6">
        <v>13200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0</v>
      </c>
      <c r="S217" s="6">
        <v>16</v>
      </c>
      <c r="T217" s="6">
        <v>0</v>
      </c>
      <c r="U217" s="6">
        <v>0</v>
      </c>
      <c r="V217" s="6">
        <f>IF(ISERROR(VLOOKUP($S$217,'TAR FIN'!$A$1:$O$116,15,0)),0,VLOOKUP($S$217,'TAR FIN'!$A$1:$O$116,15,0))</f>
        <v>23.91</v>
      </c>
      <c r="W217" s="6">
        <f>IF(ISERROR(VLOOKUP($T$217,'TAR FIN'!$A$1:$O$116,15,0)),0,VLOOKUP($T$217,'TAR FIN'!$A$1:$O$116,15,0))</f>
        <v>0</v>
      </c>
      <c r="X217" s="6">
        <f>IF(ISERROR(VLOOKUP($U$217,'TAR FIN'!$A$1:$O$116,15,0)),0,VLOOKUP($U$217,'TAR FIN'!$A$1:$O$116,15,0))</f>
        <v>0</v>
      </c>
      <c r="Y217" s="6">
        <f ca="1">('TUSD BE'!$AM$20+'TUSD BF'!$AM$20+'TUSD CVA'!$AM$20)*1</f>
        <v>28.541575585553517</v>
      </c>
      <c r="Z217" s="6">
        <f ca="1">('TUSD BE'!$AM$22+'TUSD BF'!$AM$22+'TUSD CVA'!$AM$22)*1</f>
        <v>101.24255939823256</v>
      </c>
      <c r="AA217" s="6"/>
      <c r="AB217" s="6">
        <f>$K$217*$V$217</f>
        <v>315612</v>
      </c>
      <c r="AC217" s="6">
        <f>$M$217*$W$217</f>
        <v>0</v>
      </c>
      <c r="AD217" s="6">
        <f>$O$217*$X$217</f>
        <v>0</v>
      </c>
      <c r="AE217" s="6">
        <f ca="1">$K$217*$Y$217</f>
        <v>376748.79772930645</v>
      </c>
      <c r="AF217" s="6">
        <f ca="1">$M$217*$Z$217</f>
        <v>0</v>
      </c>
      <c r="AG217" s="6">
        <f>$O$217*$AA$217</f>
        <v>0</v>
      </c>
    </row>
    <row r="218" spans="1:33" ht="11.25" customHeight="1" x14ac:dyDescent="0.25">
      <c r="A218" s="4" t="s">
        <v>21</v>
      </c>
      <c r="B218" s="4" t="s">
        <v>39</v>
      </c>
      <c r="C218" s="4" t="s">
        <v>40</v>
      </c>
      <c r="D218" s="4" t="s">
        <v>38</v>
      </c>
      <c r="E218" s="4" t="s">
        <v>25</v>
      </c>
      <c r="F218" s="4" t="s">
        <v>25</v>
      </c>
      <c r="G218" s="4" t="s">
        <v>25</v>
      </c>
      <c r="H218" s="4" t="s">
        <v>34</v>
      </c>
      <c r="I218" s="5">
        <v>44378</v>
      </c>
      <c r="J218" s="6">
        <v>350</v>
      </c>
      <c r="K218" s="6">
        <v>350</v>
      </c>
      <c r="L218" s="6">
        <v>7</v>
      </c>
      <c r="M218" s="6">
        <v>7</v>
      </c>
      <c r="N218" s="6">
        <v>7</v>
      </c>
      <c r="O218" s="6">
        <v>7</v>
      </c>
      <c r="P218" s="6">
        <v>0</v>
      </c>
      <c r="Q218" s="4" t="s">
        <v>26</v>
      </c>
      <c r="R218" s="4">
        <v>0</v>
      </c>
      <c r="S218" s="6">
        <v>16</v>
      </c>
      <c r="T218" s="6">
        <v>18</v>
      </c>
      <c r="U218" s="6">
        <v>75</v>
      </c>
      <c r="V218" s="6">
        <f>IF(ISERROR(VLOOKUP($S$218,'TAR FIN'!$A$1:$O$116,15,0)),0,VLOOKUP($S$218,'TAR FIN'!$A$1:$O$116,15,0))</f>
        <v>23.91</v>
      </c>
      <c r="W218" s="6">
        <f>IF(ISERROR(VLOOKUP($T$218,'TAR FIN'!$A$1:$O$116,15,0)),0,VLOOKUP($T$218,'TAR FIN'!$A$1:$O$116,15,0))</f>
        <v>65.78</v>
      </c>
      <c r="X218" s="6">
        <f>IF(ISERROR(VLOOKUP($U$218,'TAR FIN'!$A$1:$O$116,15,0)),0,VLOOKUP($U$218,'TAR FIN'!$A$1:$O$116,15,0))</f>
        <v>496.15</v>
      </c>
      <c r="Y218" s="6">
        <f ca="1">('TUSD BE'!$AM$20+'TUSD BF'!$AM$20+'TUSD CVA'!$AM$20)*1</f>
        <v>28.541575585553517</v>
      </c>
      <c r="Z218" s="6">
        <f ca="1">('TUSD BE'!$AM$22+'TUSD BF'!$AM$22+'TUSD CVA'!$AM$22)*1</f>
        <v>101.24255939823256</v>
      </c>
      <c r="AA218" s="6">
        <f>('TE BE'!$AB$7+'TE BF'!$AB$7+'TE CVA'!$AB$7)*1</f>
        <v>510.04993331215127</v>
      </c>
      <c r="AB218" s="6">
        <f>$K$218*$V$218</f>
        <v>8368.5</v>
      </c>
      <c r="AC218" s="6">
        <f>$M$218*$W$218</f>
        <v>460.46000000000004</v>
      </c>
      <c r="AD218" s="6">
        <f>$O$218*$X$218</f>
        <v>3473.0499999999997</v>
      </c>
      <c r="AE218" s="6">
        <f ca="1">$K$218*$Y$218</f>
        <v>9989.5514549437303</v>
      </c>
      <c r="AF218" s="6">
        <f ca="1">$M$218*$Z$218</f>
        <v>708.69791578762795</v>
      </c>
      <c r="AG218" s="6">
        <f>$O$218*$AA$218</f>
        <v>3570.349533185059</v>
      </c>
    </row>
    <row r="219" spans="1:33" ht="11.25" customHeight="1" x14ac:dyDescent="0.25">
      <c r="A219" s="4" t="s">
        <v>21</v>
      </c>
      <c r="B219" s="4" t="s">
        <v>39</v>
      </c>
      <c r="C219" s="4" t="s">
        <v>40</v>
      </c>
      <c r="D219" s="4" t="s">
        <v>38</v>
      </c>
      <c r="E219" s="4" t="s">
        <v>25</v>
      </c>
      <c r="F219" s="4" t="s">
        <v>25</v>
      </c>
      <c r="G219" s="4" t="s">
        <v>25</v>
      </c>
      <c r="H219" s="4" t="s">
        <v>34</v>
      </c>
      <c r="I219" s="5">
        <v>44378</v>
      </c>
      <c r="J219" s="6">
        <v>13243</v>
      </c>
      <c r="K219" s="6">
        <v>13243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60</v>
      </c>
      <c r="R219" s="4">
        <v>0</v>
      </c>
      <c r="S219" s="6">
        <v>16</v>
      </c>
      <c r="T219" s="6">
        <v>0</v>
      </c>
      <c r="U219" s="6">
        <v>0</v>
      </c>
      <c r="V219" s="6">
        <f>IF(ISERROR(VLOOKUP($S$219,'TAR FIN'!$A$1:$O$116,15,0)),0,VLOOKUP($S$219,'TAR FIN'!$A$1:$O$116,15,0))</f>
        <v>23.91</v>
      </c>
      <c r="W219" s="6">
        <f>IF(ISERROR(VLOOKUP($T$219,'TAR FIN'!$A$1:$O$116,15,0)),0,VLOOKUP($T$219,'TAR FIN'!$A$1:$O$116,15,0))</f>
        <v>0</v>
      </c>
      <c r="X219" s="6">
        <f>IF(ISERROR(VLOOKUP($U$219,'TAR FIN'!$A$1:$O$116,15,0)),0,VLOOKUP($U$219,'TAR FIN'!$A$1:$O$116,15,0))</f>
        <v>0</v>
      </c>
      <c r="Y219" s="6">
        <f ca="1">('TUSD BE'!$AM$20+'TUSD BF'!$AM$20+'TUSD CVA'!$AM$20)*1</f>
        <v>28.541575585553517</v>
      </c>
      <c r="Z219" s="6">
        <f ca="1">('TUSD BE'!$AM$22+'TUSD BF'!$AM$22+'TUSD CVA'!$AM$22)*1</f>
        <v>101.24255939823256</v>
      </c>
      <c r="AA219" s="6"/>
      <c r="AB219" s="6">
        <f>$K$219*$V$219</f>
        <v>316640.13</v>
      </c>
      <c r="AC219" s="6">
        <f>$M$219*$W$219</f>
        <v>0</v>
      </c>
      <c r="AD219" s="6">
        <f>$O$219*$X$219</f>
        <v>0</v>
      </c>
      <c r="AE219" s="6">
        <f ca="1">$K$219*$Y$219</f>
        <v>377976.08547948522</v>
      </c>
      <c r="AF219" s="6">
        <f ca="1"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39</v>
      </c>
      <c r="C220" s="4" t="s">
        <v>40</v>
      </c>
      <c r="D220" s="4" t="s">
        <v>38</v>
      </c>
      <c r="E220" s="4" t="s">
        <v>25</v>
      </c>
      <c r="F220" s="4" t="s">
        <v>25</v>
      </c>
      <c r="G220" s="4" t="s">
        <v>25</v>
      </c>
      <c r="H220" s="4" t="s">
        <v>34</v>
      </c>
      <c r="I220" s="5">
        <v>44409</v>
      </c>
      <c r="J220" s="6">
        <v>350</v>
      </c>
      <c r="K220" s="6">
        <v>350</v>
      </c>
      <c r="L220" s="6">
        <v>7</v>
      </c>
      <c r="M220" s="6">
        <v>7</v>
      </c>
      <c r="N220" s="6">
        <v>7</v>
      </c>
      <c r="O220" s="6">
        <v>7</v>
      </c>
      <c r="P220" s="6">
        <v>0</v>
      </c>
      <c r="Q220" s="4" t="s">
        <v>26</v>
      </c>
      <c r="R220" s="4">
        <v>0</v>
      </c>
      <c r="S220" s="6">
        <v>16</v>
      </c>
      <c r="T220" s="6">
        <v>18</v>
      </c>
      <c r="U220" s="6">
        <v>75</v>
      </c>
      <c r="V220" s="6">
        <f>IF(ISERROR(VLOOKUP($S$220,'TAR FIN'!$A$1:$O$116,15,0)),0,VLOOKUP($S$220,'TAR FIN'!$A$1:$O$116,15,0))</f>
        <v>23.91</v>
      </c>
      <c r="W220" s="6">
        <f>IF(ISERROR(VLOOKUP($T$220,'TAR FIN'!$A$1:$O$116,15,0)),0,VLOOKUP($T$220,'TAR FIN'!$A$1:$O$116,15,0))</f>
        <v>65.78</v>
      </c>
      <c r="X220" s="6">
        <f>IF(ISERROR(VLOOKUP($U$220,'TAR FIN'!$A$1:$O$116,15,0)),0,VLOOKUP($U$220,'TAR FIN'!$A$1:$O$116,15,0))</f>
        <v>496.15</v>
      </c>
      <c r="Y220" s="6">
        <f ca="1">('TUSD BE'!$AM$20+'TUSD BF'!$AM$20+'TUSD CVA'!$AM$20)*1</f>
        <v>28.541575585553517</v>
      </c>
      <c r="Z220" s="6">
        <f ca="1">('TUSD BE'!$AM$22+'TUSD BF'!$AM$22+'TUSD CVA'!$AM$22)*1</f>
        <v>101.24255939823256</v>
      </c>
      <c r="AA220" s="6">
        <f>('TE BE'!$AB$7+'TE BF'!$AB$7+'TE CVA'!$AB$7)*1</f>
        <v>510.04993331215127</v>
      </c>
      <c r="AB220" s="6">
        <f>$K$220*$V$220</f>
        <v>8368.5</v>
      </c>
      <c r="AC220" s="6">
        <f>$M$220*$W$220</f>
        <v>460.46000000000004</v>
      </c>
      <c r="AD220" s="6">
        <f>$O$220*$X$220</f>
        <v>3473.0499999999997</v>
      </c>
      <c r="AE220" s="6">
        <f ca="1">$K$220*$Y$220</f>
        <v>9989.5514549437303</v>
      </c>
      <c r="AF220" s="6">
        <f ca="1">$M$220*$Z$220</f>
        <v>708.69791578762795</v>
      </c>
      <c r="AG220" s="6">
        <f>$O$220*$AA$220</f>
        <v>3570.349533185059</v>
      </c>
    </row>
    <row r="221" spans="1:33" ht="11.25" customHeight="1" x14ac:dyDescent="0.25">
      <c r="A221" s="4" t="s">
        <v>21</v>
      </c>
      <c r="B221" s="4" t="s">
        <v>39</v>
      </c>
      <c r="C221" s="4" t="s">
        <v>40</v>
      </c>
      <c r="D221" s="4" t="s">
        <v>38</v>
      </c>
      <c r="E221" s="4" t="s">
        <v>25</v>
      </c>
      <c r="F221" s="4" t="s">
        <v>25</v>
      </c>
      <c r="G221" s="4" t="s">
        <v>25</v>
      </c>
      <c r="H221" s="4" t="s">
        <v>34</v>
      </c>
      <c r="I221" s="5">
        <v>44409</v>
      </c>
      <c r="J221" s="6">
        <v>13244</v>
      </c>
      <c r="K221" s="6">
        <v>13244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60</v>
      </c>
      <c r="R221" s="4">
        <v>0</v>
      </c>
      <c r="S221" s="6">
        <v>16</v>
      </c>
      <c r="T221" s="6">
        <v>0</v>
      </c>
      <c r="U221" s="6">
        <v>0</v>
      </c>
      <c r="V221" s="6">
        <f>IF(ISERROR(VLOOKUP($S$221,'TAR FIN'!$A$1:$O$116,15,0)),0,VLOOKUP($S$221,'TAR FIN'!$A$1:$O$116,15,0))</f>
        <v>23.91</v>
      </c>
      <c r="W221" s="6">
        <f>IF(ISERROR(VLOOKUP($T$221,'TAR FIN'!$A$1:$O$116,15,0)),0,VLOOKUP($T$221,'TAR FIN'!$A$1:$O$116,15,0))</f>
        <v>0</v>
      </c>
      <c r="X221" s="6">
        <f>IF(ISERROR(VLOOKUP($U$221,'TAR FIN'!$A$1:$O$116,15,0)),0,VLOOKUP($U$221,'TAR FIN'!$A$1:$O$116,15,0))</f>
        <v>0</v>
      </c>
      <c r="Y221" s="6">
        <f ca="1">('TUSD BE'!$AM$20+'TUSD BF'!$AM$20+'TUSD CVA'!$AM$20)*1</f>
        <v>28.541575585553517</v>
      </c>
      <c r="Z221" s="6">
        <f ca="1">('TUSD BE'!$AM$22+'TUSD BF'!$AM$22+'TUSD CVA'!$AM$22)*1</f>
        <v>101.24255939823256</v>
      </c>
      <c r="AA221" s="6"/>
      <c r="AB221" s="6">
        <f>$K$221*$V$221</f>
        <v>316664.03999999998</v>
      </c>
      <c r="AC221" s="6">
        <f>$M$221*$W$221</f>
        <v>0</v>
      </c>
      <c r="AD221" s="6">
        <f>$O$221*$X$221</f>
        <v>0</v>
      </c>
      <c r="AE221" s="6">
        <f ca="1">$K$221*$Y$221</f>
        <v>378004.62705507077</v>
      </c>
      <c r="AF221" s="6">
        <f ca="1"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39</v>
      </c>
      <c r="C222" s="4" t="s">
        <v>40</v>
      </c>
      <c r="D222" s="4" t="s">
        <v>38</v>
      </c>
      <c r="E222" s="4" t="s">
        <v>25</v>
      </c>
      <c r="F222" s="4" t="s">
        <v>25</v>
      </c>
      <c r="G222" s="4" t="s">
        <v>25</v>
      </c>
      <c r="H222" s="4" t="s">
        <v>34</v>
      </c>
      <c r="I222" s="5">
        <v>44440</v>
      </c>
      <c r="J222" s="6">
        <v>2100</v>
      </c>
      <c r="K222" s="6">
        <v>2100</v>
      </c>
      <c r="L222" s="6">
        <v>35</v>
      </c>
      <c r="M222" s="6">
        <v>35</v>
      </c>
      <c r="N222" s="6">
        <v>35</v>
      </c>
      <c r="O222" s="6">
        <v>35</v>
      </c>
      <c r="P222" s="6">
        <v>0</v>
      </c>
      <c r="Q222" s="4" t="s">
        <v>26</v>
      </c>
      <c r="R222" s="4">
        <v>0</v>
      </c>
      <c r="S222" s="6">
        <v>16</v>
      </c>
      <c r="T222" s="6">
        <v>18</v>
      </c>
      <c r="U222" s="6">
        <v>75</v>
      </c>
      <c r="V222" s="6">
        <f>IF(ISERROR(VLOOKUP($S$222,'TAR FIN'!$A$1:$O$116,15,0)),0,VLOOKUP($S$222,'TAR FIN'!$A$1:$O$116,15,0))</f>
        <v>23.91</v>
      </c>
      <c r="W222" s="6">
        <f>IF(ISERROR(VLOOKUP($T$222,'TAR FIN'!$A$1:$O$116,15,0)),0,VLOOKUP($T$222,'TAR FIN'!$A$1:$O$116,15,0))</f>
        <v>65.78</v>
      </c>
      <c r="X222" s="6">
        <f>IF(ISERROR(VLOOKUP($U$222,'TAR FIN'!$A$1:$O$116,15,0)),0,VLOOKUP($U$222,'TAR FIN'!$A$1:$O$116,15,0))</f>
        <v>496.15</v>
      </c>
      <c r="Y222" s="6">
        <f ca="1">('TUSD BE'!$AM$20+'TUSD BF'!$AM$20+'TUSD CVA'!$AM$20)*1</f>
        <v>28.541575585553517</v>
      </c>
      <c r="Z222" s="6">
        <f ca="1">('TUSD BE'!$AM$22+'TUSD BF'!$AM$22+'TUSD CVA'!$AM$22)*1</f>
        <v>101.24255939823256</v>
      </c>
      <c r="AA222" s="6">
        <f>('TE BE'!$AB$7+'TE BF'!$AB$7+'TE CVA'!$AB$7)*1</f>
        <v>510.04993331215127</v>
      </c>
      <c r="AB222" s="6">
        <f>$K$222*$V$222</f>
        <v>50211</v>
      </c>
      <c r="AC222" s="6">
        <f>$M$222*$W$222</f>
        <v>2302.3000000000002</v>
      </c>
      <c r="AD222" s="6">
        <f>$O$222*$X$222</f>
        <v>17365.25</v>
      </c>
      <c r="AE222" s="6">
        <f ca="1">$K$222*$Y$222</f>
        <v>59937.308729662385</v>
      </c>
      <c r="AF222" s="6">
        <f ca="1">$M$222*$Z$222</f>
        <v>3543.4895789381394</v>
      </c>
      <c r="AG222" s="6">
        <f>$O$222*$AA$222</f>
        <v>17851.747665925293</v>
      </c>
    </row>
    <row r="223" spans="1:33" ht="11.25" customHeight="1" x14ac:dyDescent="0.25">
      <c r="A223" s="4" t="s">
        <v>21</v>
      </c>
      <c r="B223" s="4" t="s">
        <v>39</v>
      </c>
      <c r="C223" s="4" t="s">
        <v>40</v>
      </c>
      <c r="D223" s="4" t="s">
        <v>38</v>
      </c>
      <c r="E223" s="4" t="s">
        <v>25</v>
      </c>
      <c r="F223" s="4" t="s">
        <v>25</v>
      </c>
      <c r="G223" s="4" t="s">
        <v>25</v>
      </c>
      <c r="H223" s="4" t="s">
        <v>34</v>
      </c>
      <c r="I223" s="5">
        <v>44440</v>
      </c>
      <c r="J223" s="6">
        <v>13374</v>
      </c>
      <c r="K223" s="6">
        <v>13374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60</v>
      </c>
      <c r="R223" s="4">
        <v>0</v>
      </c>
      <c r="S223" s="6">
        <v>16</v>
      </c>
      <c r="T223" s="6">
        <v>0</v>
      </c>
      <c r="U223" s="6">
        <v>0</v>
      </c>
      <c r="V223" s="6">
        <f>IF(ISERROR(VLOOKUP($S$223,'TAR FIN'!$A$1:$O$116,15,0)),0,VLOOKUP($S$223,'TAR FIN'!$A$1:$O$116,15,0))</f>
        <v>23.91</v>
      </c>
      <c r="W223" s="6">
        <f>IF(ISERROR(VLOOKUP($T$223,'TAR FIN'!$A$1:$O$116,15,0)),0,VLOOKUP($T$223,'TAR FIN'!$A$1:$O$116,15,0))</f>
        <v>0</v>
      </c>
      <c r="X223" s="6">
        <f>IF(ISERROR(VLOOKUP($U$223,'TAR FIN'!$A$1:$O$116,15,0)),0,VLOOKUP($U$223,'TAR FIN'!$A$1:$O$116,15,0))</f>
        <v>0</v>
      </c>
      <c r="Y223" s="6">
        <f ca="1">('TUSD BE'!$AM$20+'TUSD BF'!$AM$20+'TUSD CVA'!$AM$20)*1</f>
        <v>28.541575585553517</v>
      </c>
      <c r="Z223" s="6">
        <f ca="1">('TUSD BE'!$AM$22+'TUSD BF'!$AM$22+'TUSD CVA'!$AM$22)*1</f>
        <v>101.24255939823256</v>
      </c>
      <c r="AA223" s="6"/>
      <c r="AB223" s="6">
        <f>$K$223*$V$223</f>
        <v>319772.34000000003</v>
      </c>
      <c r="AC223" s="6">
        <f>$M$223*$W$223</f>
        <v>0</v>
      </c>
      <c r="AD223" s="6">
        <f>$O$223*$X$223</f>
        <v>0</v>
      </c>
      <c r="AE223" s="6">
        <f ca="1">$K$223*$Y$223</f>
        <v>381715.03188119276</v>
      </c>
      <c r="AF223" s="6">
        <f ca="1">$M$223*$Z$223</f>
        <v>0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39</v>
      </c>
      <c r="C224" s="4" t="s">
        <v>40</v>
      </c>
      <c r="D224" s="4" t="s">
        <v>38</v>
      </c>
      <c r="E224" s="4" t="s">
        <v>25</v>
      </c>
      <c r="F224" s="4" t="s">
        <v>25</v>
      </c>
      <c r="G224" s="4" t="s">
        <v>25</v>
      </c>
      <c r="H224" s="4" t="s">
        <v>34</v>
      </c>
      <c r="I224" s="5">
        <v>44470</v>
      </c>
      <c r="J224" s="6">
        <v>1890</v>
      </c>
      <c r="K224" s="6">
        <v>1890</v>
      </c>
      <c r="L224" s="6">
        <v>39.298999999999999</v>
      </c>
      <c r="M224" s="6">
        <v>39.298999999999999</v>
      </c>
      <c r="N224" s="6">
        <v>39.298999999999999</v>
      </c>
      <c r="O224" s="6">
        <v>39.298999999999999</v>
      </c>
      <c r="P224" s="6">
        <v>0</v>
      </c>
      <c r="Q224" s="4" t="s">
        <v>26</v>
      </c>
      <c r="R224" s="4">
        <v>0</v>
      </c>
      <c r="S224" s="6">
        <v>16</v>
      </c>
      <c r="T224" s="6">
        <v>18</v>
      </c>
      <c r="U224" s="6">
        <v>75</v>
      </c>
      <c r="V224" s="6">
        <f>IF(ISERROR(VLOOKUP($S$224,'TAR FIN'!$A$1:$O$116,15,0)),0,VLOOKUP($S$224,'TAR FIN'!$A$1:$O$116,15,0))</f>
        <v>23.91</v>
      </c>
      <c r="W224" s="6">
        <f>IF(ISERROR(VLOOKUP($T$224,'TAR FIN'!$A$1:$O$116,15,0)),0,VLOOKUP($T$224,'TAR FIN'!$A$1:$O$116,15,0))</f>
        <v>65.78</v>
      </c>
      <c r="X224" s="6">
        <f>IF(ISERROR(VLOOKUP($U$224,'TAR FIN'!$A$1:$O$116,15,0)),0,VLOOKUP($U$224,'TAR FIN'!$A$1:$O$116,15,0))</f>
        <v>496.15</v>
      </c>
      <c r="Y224" s="6">
        <f ca="1">('TUSD BE'!$AM$20+'TUSD BF'!$AM$20+'TUSD CVA'!$AM$20)*1</f>
        <v>28.541575585553517</v>
      </c>
      <c r="Z224" s="6">
        <f ca="1">('TUSD BE'!$AM$22+'TUSD BF'!$AM$22+'TUSD CVA'!$AM$22)*1</f>
        <v>101.24255939823256</v>
      </c>
      <c r="AA224" s="6">
        <f>('TE BE'!$AB$7+'TE BF'!$AB$7+'TE CVA'!$AB$7)*1</f>
        <v>510.04993331215127</v>
      </c>
      <c r="AB224" s="6">
        <f>$K$224*$V$224</f>
        <v>45189.9</v>
      </c>
      <c r="AC224" s="6">
        <f>$M$224*$W$224</f>
        <v>2585.0882200000001</v>
      </c>
      <c r="AD224" s="6">
        <f>$O$224*$X$224</f>
        <v>19498.198849999997</v>
      </c>
      <c r="AE224" s="6">
        <f ca="1">$K$224*$Y$224</f>
        <v>53943.577856696145</v>
      </c>
      <c r="AF224" s="6">
        <f ca="1">$M$224*$Z$224</f>
        <v>3978.7313417911414</v>
      </c>
      <c r="AG224" s="6">
        <f>$O$224*$AA$224</f>
        <v>20044.452329234231</v>
      </c>
    </row>
    <row r="225" spans="1:33" ht="11.25" customHeight="1" x14ac:dyDescent="0.25">
      <c r="A225" s="4" t="s">
        <v>21</v>
      </c>
      <c r="B225" s="4" t="s">
        <v>39</v>
      </c>
      <c r="C225" s="4" t="s">
        <v>40</v>
      </c>
      <c r="D225" s="4" t="s">
        <v>38</v>
      </c>
      <c r="E225" s="4" t="s">
        <v>25</v>
      </c>
      <c r="F225" s="4" t="s">
        <v>25</v>
      </c>
      <c r="G225" s="4" t="s">
        <v>25</v>
      </c>
      <c r="H225" s="4" t="s">
        <v>34</v>
      </c>
      <c r="I225" s="5">
        <v>44470</v>
      </c>
      <c r="J225" s="6">
        <v>13340</v>
      </c>
      <c r="K225" s="6">
        <v>13340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60</v>
      </c>
      <c r="R225" s="4">
        <v>0</v>
      </c>
      <c r="S225" s="6">
        <v>16</v>
      </c>
      <c r="T225" s="6">
        <v>0</v>
      </c>
      <c r="U225" s="6">
        <v>0</v>
      </c>
      <c r="V225" s="6">
        <f>IF(ISERROR(VLOOKUP($S$225,'TAR FIN'!$A$1:$O$116,15,0)),0,VLOOKUP($S$225,'TAR FIN'!$A$1:$O$116,15,0))</f>
        <v>23.91</v>
      </c>
      <c r="W225" s="6">
        <f>IF(ISERROR(VLOOKUP($T$225,'TAR FIN'!$A$1:$O$116,15,0)),0,VLOOKUP($T$225,'TAR FIN'!$A$1:$O$116,15,0))</f>
        <v>0</v>
      </c>
      <c r="X225" s="6">
        <f>IF(ISERROR(VLOOKUP($U$225,'TAR FIN'!$A$1:$O$116,15,0)),0,VLOOKUP($U$225,'TAR FIN'!$A$1:$O$116,15,0))</f>
        <v>0</v>
      </c>
      <c r="Y225" s="6">
        <f ca="1">('TUSD BE'!$AM$20+'TUSD BF'!$AM$20+'TUSD CVA'!$AM$20)*1</f>
        <v>28.541575585553517</v>
      </c>
      <c r="Z225" s="6">
        <f ca="1">('TUSD BE'!$AM$22+'TUSD BF'!$AM$22+'TUSD CVA'!$AM$22)*1</f>
        <v>101.24255939823256</v>
      </c>
      <c r="AA225" s="6"/>
      <c r="AB225" s="6">
        <f>$K$225*$V$225</f>
        <v>318959.40000000002</v>
      </c>
      <c r="AC225" s="6">
        <f>$M$225*$W$225</f>
        <v>0</v>
      </c>
      <c r="AD225" s="6">
        <f>$O$225*$X$225</f>
        <v>0</v>
      </c>
      <c r="AE225" s="6">
        <f ca="1">$K$225*$Y$225</f>
        <v>380744.61831128394</v>
      </c>
      <c r="AF225" s="6">
        <f ca="1">$M$225*$Z$225</f>
        <v>0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39</v>
      </c>
      <c r="C226" s="4" t="s">
        <v>40</v>
      </c>
      <c r="D226" s="4" t="s">
        <v>38</v>
      </c>
      <c r="E226" s="4" t="s">
        <v>25</v>
      </c>
      <c r="F226" s="4" t="s">
        <v>25</v>
      </c>
      <c r="G226" s="4" t="s">
        <v>25</v>
      </c>
      <c r="H226" s="4" t="s">
        <v>34</v>
      </c>
      <c r="I226" s="5">
        <v>44501</v>
      </c>
      <c r="J226" s="6">
        <v>280</v>
      </c>
      <c r="K226" s="6">
        <v>280</v>
      </c>
      <c r="L226" s="6">
        <v>7</v>
      </c>
      <c r="M226" s="6">
        <v>7</v>
      </c>
      <c r="N226" s="6">
        <v>7</v>
      </c>
      <c r="O226" s="6">
        <v>7</v>
      </c>
      <c r="P226" s="6">
        <v>0</v>
      </c>
      <c r="Q226" s="4" t="s">
        <v>26</v>
      </c>
      <c r="R226" s="4">
        <v>0</v>
      </c>
      <c r="S226" s="6">
        <v>16</v>
      </c>
      <c r="T226" s="6">
        <v>18</v>
      </c>
      <c r="U226" s="6">
        <v>75</v>
      </c>
      <c r="V226" s="6">
        <f>IF(ISERROR(VLOOKUP($S$226,'TAR FIN'!$A$1:$O$116,15,0)),0,VLOOKUP($S$226,'TAR FIN'!$A$1:$O$116,15,0))</f>
        <v>23.91</v>
      </c>
      <c r="W226" s="6">
        <f>IF(ISERROR(VLOOKUP($T$226,'TAR FIN'!$A$1:$O$116,15,0)),0,VLOOKUP($T$226,'TAR FIN'!$A$1:$O$116,15,0))</f>
        <v>65.78</v>
      </c>
      <c r="X226" s="6">
        <f>IF(ISERROR(VLOOKUP($U$226,'TAR FIN'!$A$1:$O$116,15,0)),0,VLOOKUP($U$226,'TAR FIN'!$A$1:$O$116,15,0))</f>
        <v>496.15</v>
      </c>
      <c r="Y226" s="6">
        <f ca="1">('TUSD BE'!$AM$20+'TUSD BF'!$AM$20+'TUSD CVA'!$AM$20)*1</f>
        <v>28.541575585553517</v>
      </c>
      <c r="Z226" s="6">
        <f ca="1">('TUSD BE'!$AM$22+'TUSD BF'!$AM$22+'TUSD CVA'!$AM$22)*1</f>
        <v>101.24255939823256</v>
      </c>
      <c r="AA226" s="6">
        <f>('TE BE'!$AB$7+'TE BF'!$AB$7+'TE CVA'!$AB$7)*1</f>
        <v>510.04993331215127</v>
      </c>
      <c r="AB226" s="6">
        <f>$K$226*$V$226</f>
        <v>6694.8</v>
      </c>
      <c r="AC226" s="6">
        <f>$M$226*$W$226</f>
        <v>460.46000000000004</v>
      </c>
      <c r="AD226" s="6">
        <f>$O$226*$X$226</f>
        <v>3473.0499999999997</v>
      </c>
      <c r="AE226" s="6">
        <f ca="1">$K$226*$Y$226</f>
        <v>7991.6411639549842</v>
      </c>
      <c r="AF226" s="6">
        <f ca="1">$M$226*$Z$226</f>
        <v>708.69791578762795</v>
      </c>
      <c r="AG226" s="6">
        <f>$O$226*$AA$226</f>
        <v>3570.349533185059</v>
      </c>
    </row>
    <row r="227" spans="1:33" ht="11.25" customHeight="1" x14ac:dyDescent="0.25">
      <c r="A227" s="4" t="s">
        <v>21</v>
      </c>
      <c r="B227" s="4" t="s">
        <v>39</v>
      </c>
      <c r="C227" s="4" t="s">
        <v>40</v>
      </c>
      <c r="D227" s="4" t="s">
        <v>38</v>
      </c>
      <c r="E227" s="4" t="s">
        <v>25</v>
      </c>
      <c r="F227" s="4" t="s">
        <v>25</v>
      </c>
      <c r="G227" s="4" t="s">
        <v>25</v>
      </c>
      <c r="H227" s="4" t="s">
        <v>34</v>
      </c>
      <c r="I227" s="5">
        <v>44501</v>
      </c>
      <c r="J227" s="6">
        <v>13344</v>
      </c>
      <c r="K227" s="6">
        <v>13344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60</v>
      </c>
      <c r="R227" s="4">
        <v>0</v>
      </c>
      <c r="S227" s="6">
        <v>16</v>
      </c>
      <c r="T227" s="6">
        <v>0</v>
      </c>
      <c r="U227" s="6">
        <v>0</v>
      </c>
      <c r="V227" s="6">
        <f>IF(ISERROR(VLOOKUP($S$227,'TAR FIN'!$A$1:$O$116,15,0)),0,VLOOKUP($S$227,'TAR FIN'!$A$1:$O$116,15,0))</f>
        <v>23.91</v>
      </c>
      <c r="W227" s="6">
        <f>IF(ISERROR(VLOOKUP($T$227,'TAR FIN'!$A$1:$O$116,15,0)),0,VLOOKUP($T$227,'TAR FIN'!$A$1:$O$116,15,0))</f>
        <v>0</v>
      </c>
      <c r="X227" s="6">
        <f>IF(ISERROR(VLOOKUP($U$227,'TAR FIN'!$A$1:$O$116,15,0)),0,VLOOKUP($U$227,'TAR FIN'!$A$1:$O$116,15,0))</f>
        <v>0</v>
      </c>
      <c r="Y227" s="6">
        <f ca="1">('TUSD BE'!$AM$20+'TUSD BF'!$AM$20+'TUSD CVA'!$AM$20)*1</f>
        <v>28.541575585553517</v>
      </c>
      <c r="Z227" s="6">
        <f ca="1">('TUSD BE'!$AM$22+'TUSD BF'!$AM$22+'TUSD CVA'!$AM$22)*1</f>
        <v>101.24255939823256</v>
      </c>
      <c r="AA227" s="6"/>
      <c r="AB227" s="6">
        <f>$K$227*$V$227</f>
        <v>319055.03999999998</v>
      </c>
      <c r="AC227" s="6">
        <f>$M$227*$W$227</f>
        <v>0</v>
      </c>
      <c r="AD227" s="6">
        <f>$O$227*$X$227</f>
        <v>0</v>
      </c>
      <c r="AE227" s="6">
        <f ca="1">$K$227*$Y$227</f>
        <v>380858.78461362614</v>
      </c>
      <c r="AF227" s="6">
        <f ca="1">$M$227*$Z$227</f>
        <v>0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39</v>
      </c>
      <c r="C228" s="4" t="s">
        <v>40</v>
      </c>
      <c r="D228" s="4" t="s">
        <v>38</v>
      </c>
      <c r="E228" s="4" t="s">
        <v>25</v>
      </c>
      <c r="F228" s="4" t="s">
        <v>25</v>
      </c>
      <c r="G228" s="4" t="s">
        <v>25</v>
      </c>
      <c r="H228" s="4" t="s">
        <v>34</v>
      </c>
      <c r="I228" s="5">
        <v>44531</v>
      </c>
      <c r="J228" s="6">
        <v>2310</v>
      </c>
      <c r="K228" s="6">
        <v>2310</v>
      </c>
      <c r="L228" s="6">
        <v>21</v>
      </c>
      <c r="M228" s="6">
        <v>21</v>
      </c>
      <c r="N228" s="6">
        <v>21</v>
      </c>
      <c r="O228" s="6">
        <v>21</v>
      </c>
      <c r="P228" s="6">
        <v>0</v>
      </c>
      <c r="Q228" s="4" t="s">
        <v>26</v>
      </c>
      <c r="R228" s="4">
        <v>0</v>
      </c>
      <c r="S228" s="6">
        <v>16</v>
      </c>
      <c r="T228" s="6">
        <v>18</v>
      </c>
      <c r="U228" s="6">
        <v>75</v>
      </c>
      <c r="V228" s="6">
        <f>IF(ISERROR(VLOOKUP($S$228,'TAR FIN'!$A$1:$O$116,15,0)),0,VLOOKUP($S$228,'TAR FIN'!$A$1:$O$116,15,0))</f>
        <v>23.91</v>
      </c>
      <c r="W228" s="6">
        <f>IF(ISERROR(VLOOKUP($T$228,'TAR FIN'!$A$1:$O$116,15,0)),0,VLOOKUP($T$228,'TAR FIN'!$A$1:$O$116,15,0))</f>
        <v>65.78</v>
      </c>
      <c r="X228" s="6">
        <f>IF(ISERROR(VLOOKUP($U$228,'TAR FIN'!$A$1:$O$116,15,0)),0,VLOOKUP($U$228,'TAR FIN'!$A$1:$O$116,15,0))</f>
        <v>496.15</v>
      </c>
      <c r="Y228" s="6">
        <f ca="1">('TUSD BE'!$AM$20+'TUSD BF'!$AM$20+'TUSD CVA'!$AM$20)*1</f>
        <v>28.541575585553517</v>
      </c>
      <c r="Z228" s="6">
        <f ca="1">('TUSD BE'!$AM$22+'TUSD BF'!$AM$22+'TUSD CVA'!$AM$22)*1</f>
        <v>101.24255939823256</v>
      </c>
      <c r="AA228" s="6">
        <f>('TE BE'!$AB$7+'TE BF'!$AB$7+'TE CVA'!$AB$7)*1</f>
        <v>510.04993331215127</v>
      </c>
      <c r="AB228" s="6">
        <f>$K$228*$V$228</f>
        <v>55232.1</v>
      </c>
      <c r="AC228" s="6">
        <f>$M$228*$W$228</f>
        <v>1381.38</v>
      </c>
      <c r="AD228" s="6">
        <f>$O$228*$X$228</f>
        <v>10419.15</v>
      </c>
      <c r="AE228" s="6">
        <f ca="1">$K$228*$Y$228</f>
        <v>65931.039602628618</v>
      </c>
      <c r="AF228" s="6">
        <f ca="1">$M$228*$Z$228</f>
        <v>2126.0937473628837</v>
      </c>
      <c r="AG228" s="6">
        <f>$O$228*$AA$228</f>
        <v>10711.048599555177</v>
      </c>
    </row>
    <row r="229" spans="1:33" ht="11.25" customHeight="1" x14ac:dyDescent="0.25">
      <c r="A229" s="4" t="s">
        <v>21</v>
      </c>
      <c r="B229" s="4" t="s">
        <v>39</v>
      </c>
      <c r="C229" s="4" t="s">
        <v>40</v>
      </c>
      <c r="D229" s="4" t="s">
        <v>38</v>
      </c>
      <c r="E229" s="4" t="s">
        <v>25</v>
      </c>
      <c r="F229" s="4" t="s">
        <v>25</v>
      </c>
      <c r="G229" s="4" t="s">
        <v>25</v>
      </c>
      <c r="H229" s="4" t="s">
        <v>34</v>
      </c>
      <c r="I229" s="5">
        <v>44531</v>
      </c>
      <c r="J229" s="6">
        <v>13379</v>
      </c>
      <c r="K229" s="6">
        <v>13379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60</v>
      </c>
      <c r="R229" s="4">
        <v>0</v>
      </c>
      <c r="S229" s="6">
        <v>16</v>
      </c>
      <c r="T229" s="6">
        <v>0</v>
      </c>
      <c r="U229" s="6">
        <v>0</v>
      </c>
      <c r="V229" s="6">
        <f>IF(ISERROR(VLOOKUP($S$229,'TAR FIN'!$A$1:$O$116,15,0)),0,VLOOKUP($S$229,'TAR FIN'!$A$1:$O$116,15,0))</f>
        <v>23.91</v>
      </c>
      <c r="W229" s="6">
        <f>IF(ISERROR(VLOOKUP($T$229,'TAR FIN'!$A$1:$O$116,15,0)),0,VLOOKUP($T$229,'TAR FIN'!$A$1:$O$116,15,0))</f>
        <v>0</v>
      </c>
      <c r="X229" s="6">
        <f>IF(ISERROR(VLOOKUP($U$229,'TAR FIN'!$A$1:$O$116,15,0)),0,VLOOKUP($U$229,'TAR FIN'!$A$1:$O$116,15,0))</f>
        <v>0</v>
      </c>
      <c r="Y229" s="6">
        <f ca="1">('TUSD BE'!$AM$20+'TUSD BF'!$AM$20+'TUSD CVA'!$AM$20)*1</f>
        <v>28.541575585553517</v>
      </c>
      <c r="Z229" s="6">
        <f ca="1">('TUSD BE'!$AM$22+'TUSD BF'!$AM$22+'TUSD CVA'!$AM$22)*1</f>
        <v>101.24255939823256</v>
      </c>
      <c r="AA229" s="6"/>
      <c r="AB229" s="6">
        <f>$K$229*$V$229</f>
        <v>319891.89</v>
      </c>
      <c r="AC229" s="6">
        <f>$M$229*$W$229</f>
        <v>0</v>
      </c>
      <c r="AD229" s="6">
        <f>$O$229*$X$229</f>
        <v>0</v>
      </c>
      <c r="AE229" s="6">
        <f ca="1">$K$229*$Y$229</f>
        <v>381857.73975912051</v>
      </c>
      <c r="AF229" s="6">
        <f ca="1">$M$229*$Z$229</f>
        <v>0</v>
      </c>
      <c r="AG229" s="6">
        <f>$O$229*$AA$229</f>
        <v>0</v>
      </c>
    </row>
    <row r="230" spans="1:33" ht="11.25" customHeight="1" x14ac:dyDescent="0.25">
      <c r="A230" s="4" t="s">
        <v>21</v>
      </c>
      <c r="B230" s="4" t="s">
        <v>39</v>
      </c>
      <c r="C230" s="4" t="s">
        <v>40</v>
      </c>
      <c r="D230" s="4" t="s">
        <v>38</v>
      </c>
      <c r="E230" s="4" t="s">
        <v>25</v>
      </c>
      <c r="F230" s="4" t="s">
        <v>25</v>
      </c>
      <c r="G230" s="4" t="s">
        <v>25</v>
      </c>
      <c r="H230" s="4" t="s">
        <v>34</v>
      </c>
      <c r="I230" s="5">
        <v>44562</v>
      </c>
      <c r="J230" s="6">
        <v>3000</v>
      </c>
      <c r="K230" s="6">
        <v>3000</v>
      </c>
      <c r="L230" s="6">
        <v>51.475000000000001</v>
      </c>
      <c r="M230" s="6">
        <v>51.475000000000001</v>
      </c>
      <c r="N230" s="6">
        <v>51.475000000000001</v>
      </c>
      <c r="O230" s="6">
        <v>51.475000000000001</v>
      </c>
      <c r="P230" s="6">
        <v>0</v>
      </c>
      <c r="Q230" s="4" t="s">
        <v>26</v>
      </c>
      <c r="R230" s="4">
        <v>0</v>
      </c>
      <c r="S230" s="6">
        <v>16</v>
      </c>
      <c r="T230" s="6">
        <v>18</v>
      </c>
      <c r="U230" s="6">
        <v>75</v>
      </c>
      <c r="V230" s="6">
        <f>IF(ISERROR(VLOOKUP($S$230,'TAR FIN'!$A$1:$O$116,15,0)),0,VLOOKUP($S$230,'TAR FIN'!$A$1:$O$116,15,0))</f>
        <v>23.91</v>
      </c>
      <c r="W230" s="6">
        <f>IF(ISERROR(VLOOKUP($T$230,'TAR FIN'!$A$1:$O$116,15,0)),0,VLOOKUP($T$230,'TAR FIN'!$A$1:$O$116,15,0))</f>
        <v>65.78</v>
      </c>
      <c r="X230" s="6">
        <f>IF(ISERROR(VLOOKUP($U$230,'TAR FIN'!$A$1:$O$116,15,0)),0,VLOOKUP($U$230,'TAR FIN'!$A$1:$O$116,15,0))</f>
        <v>496.15</v>
      </c>
      <c r="Y230" s="6">
        <f ca="1">('TUSD BE'!$AM$20+'TUSD BF'!$AM$20+'TUSD CVA'!$AM$20)*1</f>
        <v>28.541575585553517</v>
      </c>
      <c r="Z230" s="6">
        <f ca="1">('TUSD BE'!$AM$22+'TUSD BF'!$AM$22+'TUSD CVA'!$AM$22)*1</f>
        <v>101.24255939823256</v>
      </c>
      <c r="AA230" s="6">
        <f>('TE BE'!$AB$7+'TE BF'!$AB$7+'TE CVA'!$AB$7)*1</f>
        <v>510.04993331215127</v>
      </c>
      <c r="AB230" s="6">
        <f>$K$230*$V$230</f>
        <v>71730</v>
      </c>
      <c r="AC230" s="6">
        <f>$M$230*$W$230</f>
        <v>3386.0255000000002</v>
      </c>
      <c r="AD230" s="6">
        <f>$O$230*$X$230</f>
        <v>25539.321250000001</v>
      </c>
      <c r="AE230" s="6">
        <f ca="1">$K$230*$Y$230</f>
        <v>85624.726756660544</v>
      </c>
      <c r="AF230" s="6">
        <f ca="1">$M$230*$Z$230</f>
        <v>5211.460745024021</v>
      </c>
      <c r="AG230" s="6">
        <f>$O$230*$AA$230</f>
        <v>26254.820317242986</v>
      </c>
    </row>
    <row r="231" spans="1:33" ht="11.25" customHeight="1" x14ac:dyDescent="0.25">
      <c r="A231" s="4" t="s">
        <v>21</v>
      </c>
      <c r="B231" s="4" t="s">
        <v>39</v>
      </c>
      <c r="C231" s="4" t="s">
        <v>40</v>
      </c>
      <c r="D231" s="4" t="s">
        <v>38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44562</v>
      </c>
      <c r="J231" s="6">
        <v>13293</v>
      </c>
      <c r="K231" s="6">
        <v>13293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60</v>
      </c>
      <c r="R231" s="4">
        <v>0</v>
      </c>
      <c r="S231" s="6">
        <v>16</v>
      </c>
      <c r="T231" s="6">
        <v>0</v>
      </c>
      <c r="U231" s="6">
        <v>0</v>
      </c>
      <c r="V231" s="6">
        <f>IF(ISERROR(VLOOKUP($S$231,'TAR FIN'!$A$1:$O$116,15,0)),0,VLOOKUP($S$231,'TAR FIN'!$A$1:$O$116,15,0))</f>
        <v>23.91</v>
      </c>
      <c r="W231" s="6">
        <f>IF(ISERROR(VLOOKUP($T$231,'TAR FIN'!$A$1:$O$116,15,0)),0,VLOOKUP($T$231,'TAR FIN'!$A$1:$O$116,15,0))</f>
        <v>0</v>
      </c>
      <c r="X231" s="6">
        <f>IF(ISERROR(VLOOKUP($U$231,'TAR FIN'!$A$1:$O$116,15,0)),0,VLOOKUP($U$231,'TAR FIN'!$A$1:$O$116,15,0))</f>
        <v>0</v>
      </c>
      <c r="Y231" s="6">
        <f ca="1">('TUSD BE'!$AM$20+'TUSD BF'!$AM$20+'TUSD CVA'!$AM$20)*1</f>
        <v>28.541575585553517</v>
      </c>
      <c r="Z231" s="6">
        <f ca="1">('TUSD BE'!$AM$22+'TUSD BF'!$AM$22+'TUSD CVA'!$AM$22)*1</f>
        <v>101.24255939823256</v>
      </c>
      <c r="AA231" s="6"/>
      <c r="AB231" s="6">
        <f>$K$231*$V$231</f>
        <v>317835.63</v>
      </c>
      <c r="AC231" s="6">
        <f>$M$231*$W$231</f>
        <v>0</v>
      </c>
      <c r="AD231" s="6">
        <f>$O$231*$X$231</f>
        <v>0</v>
      </c>
      <c r="AE231" s="6">
        <f ca="1">$K$231*$Y$231</f>
        <v>379403.1642587629</v>
      </c>
      <c r="AF231" s="6">
        <f ca="1">$M$231*$Z$231</f>
        <v>0</v>
      </c>
      <c r="AG231" s="6">
        <f>$O$231*$AA$231</f>
        <v>0</v>
      </c>
    </row>
    <row r="232" spans="1:33" ht="11.25" customHeight="1" x14ac:dyDescent="0.25">
      <c r="A232" s="4" t="s">
        <v>21</v>
      </c>
      <c r="B232" s="4" t="s">
        <v>39</v>
      </c>
      <c r="C232" s="4" t="s">
        <v>40</v>
      </c>
      <c r="D232" s="4" t="s">
        <v>38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44593</v>
      </c>
      <c r="J232" s="6">
        <v>16000</v>
      </c>
      <c r="K232" s="6">
        <v>16000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60</v>
      </c>
      <c r="R232" s="4">
        <v>0</v>
      </c>
      <c r="S232" s="6">
        <v>16</v>
      </c>
      <c r="T232" s="6">
        <v>0</v>
      </c>
      <c r="U232" s="6">
        <v>0</v>
      </c>
      <c r="V232" s="6">
        <f>IF(ISERROR(VLOOKUP($S$232,'TAR FIN'!$A$1:$O$116,15,0)),0,VLOOKUP($S$232,'TAR FIN'!$A$1:$O$116,15,0))</f>
        <v>23.91</v>
      </c>
      <c r="W232" s="6">
        <f>IF(ISERROR(VLOOKUP($T$232,'TAR FIN'!$A$1:$O$116,15,0)),0,VLOOKUP($T$232,'TAR FIN'!$A$1:$O$116,15,0))</f>
        <v>0</v>
      </c>
      <c r="X232" s="6">
        <f>IF(ISERROR(VLOOKUP($U$232,'TAR FIN'!$A$1:$O$116,15,0)),0,VLOOKUP($U$232,'TAR FIN'!$A$1:$O$116,15,0))</f>
        <v>0</v>
      </c>
      <c r="Y232" s="6">
        <f ca="1">('TUSD BE'!$AM$20+'TUSD BF'!$AM$20+'TUSD CVA'!$AM$20)*1</f>
        <v>28.541575585553517</v>
      </c>
      <c r="Z232" s="6">
        <f ca="1">('TUSD BE'!$AM$22+'TUSD BF'!$AM$22+'TUSD CVA'!$AM$22)*1</f>
        <v>101.24255939823256</v>
      </c>
      <c r="AA232" s="6"/>
      <c r="AB232" s="6">
        <f>$K$232*$V$232</f>
        <v>382560</v>
      </c>
      <c r="AC232" s="6">
        <f>$M$232*$W$232</f>
        <v>0</v>
      </c>
      <c r="AD232" s="6">
        <f>$O$232*$X$232</f>
        <v>0</v>
      </c>
      <c r="AE232" s="6">
        <f ca="1">$K$232*$Y$232</f>
        <v>456665.20936885627</v>
      </c>
      <c r="AF232" s="6">
        <f ca="1"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39</v>
      </c>
      <c r="C233" s="4" t="s">
        <v>40</v>
      </c>
      <c r="D233" s="4" t="s">
        <v>38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44621</v>
      </c>
      <c r="J233" s="6">
        <v>16088</v>
      </c>
      <c r="K233" s="6">
        <v>16088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60</v>
      </c>
      <c r="R233" s="4">
        <v>0</v>
      </c>
      <c r="S233" s="6">
        <v>16</v>
      </c>
      <c r="T233" s="6">
        <v>0</v>
      </c>
      <c r="U233" s="6">
        <v>0</v>
      </c>
      <c r="V233" s="6">
        <f>IF(ISERROR(VLOOKUP($S$233,'TAR FIN'!$A$1:$O$116,15,0)),0,VLOOKUP($S$233,'TAR FIN'!$A$1:$O$116,15,0))</f>
        <v>23.91</v>
      </c>
      <c r="W233" s="6">
        <f>IF(ISERROR(VLOOKUP($T$233,'TAR FIN'!$A$1:$O$116,15,0)),0,VLOOKUP($T$233,'TAR FIN'!$A$1:$O$116,15,0))</f>
        <v>0</v>
      </c>
      <c r="X233" s="6">
        <f>IF(ISERROR(VLOOKUP($U$233,'TAR FIN'!$A$1:$O$116,15,0)),0,VLOOKUP($U$233,'TAR FIN'!$A$1:$O$116,15,0))</f>
        <v>0</v>
      </c>
      <c r="Y233" s="6">
        <f ca="1">('TUSD BE'!$AM$20+'TUSD BF'!$AM$20+'TUSD CVA'!$AM$20)*1</f>
        <v>28.541575585553517</v>
      </c>
      <c r="Z233" s="6">
        <f ca="1">('TUSD BE'!$AM$22+'TUSD BF'!$AM$22+'TUSD CVA'!$AM$22)*1</f>
        <v>101.24255939823256</v>
      </c>
      <c r="AA233" s="6"/>
      <c r="AB233" s="6">
        <f>$K$233*$V$233</f>
        <v>384664.08</v>
      </c>
      <c r="AC233" s="6">
        <f>$M$233*$W$233</f>
        <v>0</v>
      </c>
      <c r="AD233" s="6">
        <f>$O$233*$X$233</f>
        <v>0</v>
      </c>
      <c r="AE233" s="6">
        <f ca="1">$K$233*$Y$233</f>
        <v>459176.86802038498</v>
      </c>
      <c r="AF233" s="6">
        <f ca="1">$M$233*$Z$233</f>
        <v>0</v>
      </c>
      <c r="AG233" s="6">
        <f>$O$233*$AA$233</f>
        <v>0</v>
      </c>
    </row>
    <row r="234" spans="1:33" ht="11.25" customHeight="1" x14ac:dyDescent="0.25">
      <c r="A234" s="4" t="s">
        <v>27</v>
      </c>
      <c r="B234" s="4" t="s">
        <v>39</v>
      </c>
      <c r="C234" s="4" t="s">
        <v>40</v>
      </c>
      <c r="D234" s="4" t="s">
        <v>38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44652</v>
      </c>
      <c r="J234" s="6">
        <v>-596</v>
      </c>
      <c r="K234" s="6">
        <v>-596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26</v>
      </c>
      <c r="R234" s="4">
        <v>0</v>
      </c>
      <c r="S234" s="6">
        <v>16</v>
      </c>
      <c r="T234" s="6">
        <v>0</v>
      </c>
      <c r="U234" s="6">
        <v>0</v>
      </c>
      <c r="V234" s="6">
        <f>IF(ISERROR(VLOOKUP($S$234,'TAR FIN'!$A$1:$O$116,15,0)),0,VLOOKUP($S$234,'TAR FIN'!$A$1:$O$116,15,0))</f>
        <v>23.91</v>
      </c>
      <c r="W234" s="6">
        <f>IF(ISERROR(VLOOKUP($T$234,'TAR FIN'!$A$1:$O$116,15,0)),0,VLOOKUP($T$234,'TAR FIN'!$A$1:$O$116,15,0))</f>
        <v>0</v>
      </c>
      <c r="X234" s="6">
        <f>IF(ISERROR(VLOOKUP($U$234,'TAR FIN'!$A$1:$O$116,15,0)),0,VLOOKUP($U$234,'TAR FIN'!$A$1:$O$116,15,0))</f>
        <v>0</v>
      </c>
      <c r="Y234" s="6">
        <f ca="1">('TUSD BE'!$AM$20+'TUSD BF'!$AM$20+'TUSD CVA'!$AM$20)*1</f>
        <v>28.541575585553517</v>
      </c>
      <c r="Z234" s="6">
        <f ca="1">('TUSD BE'!$AM$22+'TUSD BF'!$AM$22+'TUSD CVA'!$AM$22)*1</f>
        <v>101.24255939823256</v>
      </c>
      <c r="AA234" s="6">
        <f>('TE BE'!$AB$7+'TE BF'!$AB$7+'TE CVA'!$AB$7)*1</f>
        <v>510.04993331215127</v>
      </c>
      <c r="AB234" s="6">
        <f>$K$234*$V$234</f>
        <v>-14250.36</v>
      </c>
      <c r="AC234" s="6">
        <f>$M$234*$W$234</f>
        <v>0</v>
      </c>
      <c r="AD234" s="6">
        <f>$O$234*$X$234</f>
        <v>0</v>
      </c>
      <c r="AE234" s="6">
        <f ca="1">$K$234*$Y$234</f>
        <v>-17010.779048989894</v>
      </c>
      <c r="AF234" s="6">
        <f ca="1">$M$234*$Z$234</f>
        <v>0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39</v>
      </c>
      <c r="C235" s="4" t="s">
        <v>40</v>
      </c>
      <c r="D235" s="4" t="s">
        <v>38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44652</v>
      </c>
      <c r="J235" s="6">
        <v>16258</v>
      </c>
      <c r="K235" s="6">
        <v>16258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60</v>
      </c>
      <c r="R235" s="4">
        <v>0</v>
      </c>
      <c r="S235" s="6">
        <v>16</v>
      </c>
      <c r="T235" s="6">
        <v>0</v>
      </c>
      <c r="U235" s="6">
        <v>0</v>
      </c>
      <c r="V235" s="6">
        <f>IF(ISERROR(VLOOKUP($S$235,'TAR FIN'!$A$1:$O$116,15,0)),0,VLOOKUP($S$235,'TAR FIN'!$A$1:$O$116,15,0))</f>
        <v>23.91</v>
      </c>
      <c r="W235" s="6">
        <f>IF(ISERROR(VLOOKUP($T$235,'TAR FIN'!$A$1:$O$116,15,0)),0,VLOOKUP($T$235,'TAR FIN'!$A$1:$O$116,15,0))</f>
        <v>0</v>
      </c>
      <c r="X235" s="6">
        <f>IF(ISERROR(VLOOKUP($U$235,'TAR FIN'!$A$1:$O$116,15,0)),0,VLOOKUP($U$235,'TAR FIN'!$A$1:$O$116,15,0))</f>
        <v>0</v>
      </c>
      <c r="Y235" s="6">
        <f ca="1">('TUSD BE'!$AM$20+'TUSD BF'!$AM$20+'TUSD CVA'!$AM$20)*1</f>
        <v>28.541575585553517</v>
      </c>
      <c r="Z235" s="6">
        <f ca="1">('TUSD BE'!$AM$22+'TUSD BF'!$AM$22+'TUSD CVA'!$AM$22)*1</f>
        <v>101.24255939823256</v>
      </c>
      <c r="AA235" s="6"/>
      <c r="AB235" s="6">
        <f>$K$235*$V$235</f>
        <v>388728.78</v>
      </c>
      <c r="AC235" s="6">
        <f>$M$235*$W$235</f>
        <v>0</v>
      </c>
      <c r="AD235" s="6">
        <f>$O$235*$X$235</f>
        <v>0</v>
      </c>
      <c r="AE235" s="6">
        <f ca="1">$K$235*$Y$235</f>
        <v>464028.93586992909</v>
      </c>
      <c r="AF235" s="6">
        <f ca="1">$M$235*$Z$235</f>
        <v>0</v>
      </c>
      <c r="AG235" s="6">
        <f>$O$235*$AA$235</f>
        <v>0</v>
      </c>
    </row>
    <row r="236" spans="1:33" ht="11.25" customHeight="1" x14ac:dyDescent="0.25">
      <c r="A236" s="4" t="s">
        <v>58</v>
      </c>
      <c r="B236" s="4" t="s">
        <v>39</v>
      </c>
      <c r="C236" s="4" t="s">
        <v>40</v>
      </c>
      <c r="D236" s="4" t="s">
        <v>38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44682</v>
      </c>
      <c r="J236" s="6">
        <v>-596</v>
      </c>
      <c r="K236" s="6">
        <v>-596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26</v>
      </c>
      <c r="R236" s="4">
        <v>0</v>
      </c>
      <c r="S236" s="6">
        <v>16</v>
      </c>
      <c r="T236" s="6">
        <v>0</v>
      </c>
      <c r="U236" s="6">
        <v>0</v>
      </c>
      <c r="V236" s="6">
        <f>IF(ISERROR(VLOOKUP($S$236,'TAR FIN'!$A$1:$O$116,15,0)),0,VLOOKUP($S$236,'TAR FIN'!$A$1:$O$116,15,0))</f>
        <v>23.91</v>
      </c>
      <c r="W236" s="6">
        <f>IF(ISERROR(VLOOKUP($T$236,'TAR FIN'!$A$1:$O$116,15,0)),0,VLOOKUP($T$236,'TAR FIN'!$A$1:$O$116,15,0))</f>
        <v>0</v>
      </c>
      <c r="X236" s="6">
        <f>IF(ISERROR(VLOOKUP($U$236,'TAR FIN'!$A$1:$O$116,15,0)),0,VLOOKUP($U$236,'TAR FIN'!$A$1:$O$116,15,0))</f>
        <v>0</v>
      </c>
      <c r="Y236" s="6">
        <f ca="1">('TUSD BE'!$AM$20+'TUSD BF'!$AM$20+'TUSD CVA'!$AM$20)*1</f>
        <v>28.541575585553517</v>
      </c>
      <c r="Z236" s="6">
        <f ca="1">('TUSD BE'!$AM$22+'TUSD BF'!$AM$22+'TUSD CVA'!$AM$22)*1</f>
        <v>101.24255939823256</v>
      </c>
      <c r="AA236" s="6">
        <f>('TE BE'!$AB$7+'TE BF'!$AB$7+'TE CVA'!$AB$7)*1</f>
        <v>510.04993331215127</v>
      </c>
      <c r="AB236" s="6">
        <f>$K$236*$V$236</f>
        <v>-14250.36</v>
      </c>
      <c r="AC236" s="6">
        <f>$M$236*$W$236</f>
        <v>0</v>
      </c>
      <c r="AD236" s="6">
        <f>$O$236*$X$236</f>
        <v>0</v>
      </c>
      <c r="AE236" s="6">
        <f ca="1">$K$236*$Y$236</f>
        <v>-17010.779048989894</v>
      </c>
      <c r="AF236" s="6">
        <f ca="1">$M$236*$Z$236</f>
        <v>0</v>
      </c>
      <c r="AG236" s="6">
        <f>$O$236*$AA$236</f>
        <v>0</v>
      </c>
    </row>
    <row r="237" spans="1:33" ht="11.25" customHeight="1" x14ac:dyDescent="0.25">
      <c r="A237" s="4" t="s">
        <v>58</v>
      </c>
      <c r="B237" s="4" t="s">
        <v>39</v>
      </c>
      <c r="C237" s="4" t="s">
        <v>40</v>
      </c>
      <c r="D237" s="4" t="s">
        <v>38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44682</v>
      </c>
      <c r="J237" s="6">
        <v>16258</v>
      </c>
      <c r="K237" s="6">
        <v>16258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60</v>
      </c>
      <c r="R237" s="4">
        <v>0</v>
      </c>
      <c r="S237" s="6">
        <v>16</v>
      </c>
      <c r="T237" s="6">
        <v>0</v>
      </c>
      <c r="U237" s="6">
        <v>0</v>
      </c>
      <c r="V237" s="6">
        <f>IF(ISERROR(VLOOKUP($S$237,'TAR FIN'!$A$1:$O$116,15,0)),0,VLOOKUP($S$237,'TAR FIN'!$A$1:$O$116,15,0))</f>
        <v>23.91</v>
      </c>
      <c r="W237" s="6">
        <f>IF(ISERROR(VLOOKUP($T$237,'TAR FIN'!$A$1:$O$116,15,0)),0,VLOOKUP($T$237,'TAR FIN'!$A$1:$O$116,15,0))</f>
        <v>0</v>
      </c>
      <c r="X237" s="6">
        <f>IF(ISERROR(VLOOKUP($U$237,'TAR FIN'!$A$1:$O$116,15,0)),0,VLOOKUP($U$237,'TAR FIN'!$A$1:$O$116,15,0))</f>
        <v>0</v>
      </c>
      <c r="Y237" s="6">
        <f ca="1">('TUSD BE'!$AM$20+'TUSD BF'!$AM$20+'TUSD CVA'!$AM$20)*1</f>
        <v>28.541575585553517</v>
      </c>
      <c r="Z237" s="6">
        <f ca="1">('TUSD BE'!$AM$22+'TUSD BF'!$AM$22+'TUSD CVA'!$AM$22)*1</f>
        <v>101.24255939823256</v>
      </c>
      <c r="AA237" s="6"/>
      <c r="AB237" s="6">
        <f>$K$237*$V$237</f>
        <v>388728.78</v>
      </c>
      <c r="AC237" s="6">
        <f>$M$237*$W$237</f>
        <v>0</v>
      </c>
      <c r="AD237" s="6">
        <f>$O$237*$X$237</f>
        <v>0</v>
      </c>
      <c r="AE237" s="6">
        <f ca="1">$K$237*$Y$237</f>
        <v>464028.93586992909</v>
      </c>
      <c r="AF237" s="6">
        <f ca="1">$M$237*$Z$237</f>
        <v>0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39</v>
      </c>
      <c r="C238" s="4" t="s">
        <v>64</v>
      </c>
      <c r="D238" s="4" t="s">
        <v>25</v>
      </c>
      <c r="E238" s="4" t="s">
        <v>25</v>
      </c>
      <c r="F238" s="4" t="s">
        <v>25</v>
      </c>
      <c r="G238" s="4" t="s">
        <v>71</v>
      </c>
      <c r="H238" s="4" t="s">
        <v>25</v>
      </c>
      <c r="I238" s="5">
        <v>44348</v>
      </c>
      <c r="J238" s="6">
        <v>13720</v>
      </c>
      <c r="K238" s="6">
        <v>6860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66</v>
      </c>
      <c r="R238" s="4">
        <v>1034</v>
      </c>
      <c r="S238" s="6">
        <v>20</v>
      </c>
      <c r="T238" s="6">
        <v>0</v>
      </c>
      <c r="U238" s="6">
        <v>0</v>
      </c>
      <c r="V238" s="6">
        <f>IF(ISERROR(VLOOKUP($S$238,'TAR FIN'!$A$1:$O$116,15,0)),0,VLOOKUP($S$238,'TAR FIN'!$A$1:$O$116,15,0))</f>
        <v>17.920000000000002</v>
      </c>
      <c r="W238" s="6">
        <f>IF(ISERROR(VLOOKUP($T$238,'TAR FIN'!$A$1:$O$116,15,0)),0,VLOOKUP($T$238,'TAR FIN'!$A$1:$O$116,15,0))</f>
        <v>0</v>
      </c>
      <c r="X238" s="6">
        <f>IF(ISERROR(VLOOKUP($U$238,'TAR FIN'!$A$1:$O$116,15,0)),0,VLOOKUP($U$238,'TAR FIN'!$A$1:$O$116,15,0))</f>
        <v>0</v>
      </c>
      <c r="Y238" s="6">
        <f ca="1">('TUSD BE'!$AM$24+'TUSD BF'!$AM$24+'TUSD CVA'!$AM$24)*1</f>
        <v>21.034406725438203</v>
      </c>
      <c r="Z238" s="6"/>
      <c r="AA238" s="6"/>
      <c r="AB238" s="6">
        <f>$K$238*$V$238</f>
        <v>122931.20000000001</v>
      </c>
      <c r="AC238" s="6">
        <f>$M$238*$W$238</f>
        <v>0</v>
      </c>
      <c r="AD238" s="6">
        <f>$O$238*$X$238</f>
        <v>0</v>
      </c>
      <c r="AE238" s="6">
        <f ca="1">$K$238*$Y$238</f>
        <v>144296.03013650607</v>
      </c>
      <c r="AF238" s="6">
        <f>$M$238*$Z$238</f>
        <v>0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39</v>
      </c>
      <c r="C239" s="4" t="s">
        <v>64</v>
      </c>
      <c r="D239" s="4" t="s">
        <v>25</v>
      </c>
      <c r="E239" s="4" t="s">
        <v>25</v>
      </c>
      <c r="F239" s="4" t="s">
        <v>25</v>
      </c>
      <c r="G239" s="4" t="s">
        <v>84</v>
      </c>
      <c r="H239" s="4" t="s">
        <v>25</v>
      </c>
      <c r="I239" s="5">
        <v>44348</v>
      </c>
      <c r="J239" s="6">
        <v>6970</v>
      </c>
      <c r="K239" s="6">
        <v>6970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66</v>
      </c>
      <c r="R239" s="4">
        <v>27034</v>
      </c>
      <c r="S239" s="6">
        <v>20</v>
      </c>
      <c r="T239" s="6">
        <v>0</v>
      </c>
      <c r="U239" s="6">
        <v>0</v>
      </c>
      <c r="V239" s="6">
        <f>IF(ISERROR(VLOOKUP($S$239,'TAR FIN'!$A$1:$O$116,15,0)),0,VLOOKUP($S$239,'TAR FIN'!$A$1:$O$116,15,0))</f>
        <v>17.920000000000002</v>
      </c>
      <c r="W239" s="6">
        <f>IF(ISERROR(VLOOKUP($T$239,'TAR FIN'!$A$1:$O$116,15,0)),0,VLOOKUP($T$239,'TAR FIN'!$A$1:$O$116,15,0))</f>
        <v>0</v>
      </c>
      <c r="X239" s="6">
        <f>IF(ISERROR(VLOOKUP($U$239,'TAR FIN'!$A$1:$O$116,15,0)),0,VLOOKUP($U$239,'TAR FIN'!$A$1:$O$116,15,0))</f>
        <v>0</v>
      </c>
      <c r="Y239" s="6">
        <f ca="1">('TUSD BE'!$AM$24+'TUSD BF'!$AM$24+'TUSD CVA'!$AM$24)*1</f>
        <v>21.034406725438203</v>
      </c>
      <c r="Z239" s="6"/>
      <c r="AA239" s="6"/>
      <c r="AB239" s="6">
        <f>$K$239*$V$239</f>
        <v>124902.40000000001</v>
      </c>
      <c r="AC239" s="6">
        <f>$M$239*$W$239</f>
        <v>0</v>
      </c>
      <c r="AD239" s="6">
        <f>$O$239*$X$239</f>
        <v>0</v>
      </c>
      <c r="AE239" s="6">
        <f ca="1">$K$239*$Y$239</f>
        <v>146609.81487630427</v>
      </c>
      <c r="AF239" s="6">
        <f>$M$239*$Z$239</f>
        <v>0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39</v>
      </c>
      <c r="C240" s="4" t="s">
        <v>64</v>
      </c>
      <c r="D240" s="4" t="s">
        <v>25</v>
      </c>
      <c r="E240" s="4" t="s">
        <v>25</v>
      </c>
      <c r="F240" s="4" t="s">
        <v>25</v>
      </c>
      <c r="G240" s="4" t="s">
        <v>85</v>
      </c>
      <c r="H240" s="4" t="s">
        <v>25</v>
      </c>
      <c r="I240" s="5">
        <v>44348</v>
      </c>
      <c r="J240" s="6">
        <v>9600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66</v>
      </c>
      <c r="R240" s="4">
        <v>27207</v>
      </c>
      <c r="S240" s="6">
        <v>20</v>
      </c>
      <c r="T240" s="6">
        <v>0</v>
      </c>
      <c r="U240" s="6">
        <v>0</v>
      </c>
      <c r="V240" s="6">
        <f>IF(ISERROR(VLOOKUP($S$240,'TAR FIN'!$A$1:$O$116,15,0)),0,VLOOKUP($S$240,'TAR FIN'!$A$1:$O$116,15,0))</f>
        <v>17.920000000000002</v>
      </c>
      <c r="W240" s="6">
        <f>IF(ISERROR(VLOOKUP($T$240,'TAR FIN'!$A$1:$O$116,15,0)),0,VLOOKUP($T$240,'TAR FIN'!$A$1:$O$116,15,0))</f>
        <v>0</v>
      </c>
      <c r="X240" s="6">
        <f>IF(ISERROR(VLOOKUP($U$240,'TAR FIN'!$A$1:$O$116,15,0)),0,VLOOKUP($U$240,'TAR FIN'!$A$1:$O$116,15,0))</f>
        <v>0</v>
      </c>
      <c r="Y240" s="6">
        <f ca="1">('TUSD BE'!$AM$24+'TUSD BF'!$AM$24+'TUSD CVA'!$AM$24)*1</f>
        <v>21.034406725438203</v>
      </c>
      <c r="Z240" s="6"/>
      <c r="AA240" s="6"/>
      <c r="AB240" s="6">
        <f>$K$240*$V$240</f>
        <v>0</v>
      </c>
      <c r="AC240" s="6">
        <f>$M$240*$W$240</f>
        <v>0</v>
      </c>
      <c r="AD240" s="6">
        <f>$O$240*$X$240</f>
        <v>0</v>
      </c>
      <c r="AE240" s="6">
        <f ca="1">$K$240*$Y$240</f>
        <v>0</v>
      </c>
      <c r="AF240" s="6">
        <f>$M$240*$Z$240</f>
        <v>0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39</v>
      </c>
      <c r="C241" s="4" t="s">
        <v>64</v>
      </c>
      <c r="D241" s="4" t="s">
        <v>25</v>
      </c>
      <c r="E241" s="4" t="s">
        <v>25</v>
      </c>
      <c r="F241" s="4" t="s">
        <v>25</v>
      </c>
      <c r="G241" s="4" t="s">
        <v>88</v>
      </c>
      <c r="H241" s="4" t="s">
        <v>25</v>
      </c>
      <c r="I241" s="5">
        <v>44348</v>
      </c>
      <c r="J241" s="6">
        <v>19500</v>
      </c>
      <c r="K241" s="6">
        <v>9750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66</v>
      </c>
      <c r="R241" s="4">
        <v>27722</v>
      </c>
      <c r="S241" s="6">
        <v>20</v>
      </c>
      <c r="T241" s="6">
        <v>0</v>
      </c>
      <c r="U241" s="6">
        <v>0</v>
      </c>
      <c r="V241" s="6">
        <f>IF(ISERROR(VLOOKUP($S$241,'TAR FIN'!$A$1:$O$116,15,0)),0,VLOOKUP($S$241,'TAR FIN'!$A$1:$O$116,15,0))</f>
        <v>17.920000000000002</v>
      </c>
      <c r="W241" s="6">
        <f>IF(ISERROR(VLOOKUP($T$241,'TAR FIN'!$A$1:$O$116,15,0)),0,VLOOKUP($T$241,'TAR FIN'!$A$1:$O$116,15,0))</f>
        <v>0</v>
      </c>
      <c r="X241" s="6">
        <f>IF(ISERROR(VLOOKUP($U$241,'TAR FIN'!$A$1:$O$116,15,0)),0,VLOOKUP($U$241,'TAR FIN'!$A$1:$O$116,15,0))</f>
        <v>0</v>
      </c>
      <c r="Y241" s="6">
        <f ca="1">('TUSD BE'!$AM$24+'TUSD BF'!$AM$24+'TUSD CVA'!$AM$24)*1</f>
        <v>21.034406725438203</v>
      </c>
      <c r="Z241" s="6"/>
      <c r="AA241" s="6"/>
      <c r="AB241" s="6">
        <f>$K$241*$V$241</f>
        <v>174720.00000000003</v>
      </c>
      <c r="AC241" s="6">
        <f>$M$241*$W$241</f>
        <v>0</v>
      </c>
      <c r="AD241" s="6">
        <f>$O$241*$X$241</f>
        <v>0</v>
      </c>
      <c r="AE241" s="6">
        <f ca="1">$K$241*$Y$241</f>
        <v>205085.46557302246</v>
      </c>
      <c r="AF241" s="6">
        <f>$M$241*$Z$241</f>
        <v>0</v>
      </c>
      <c r="AG241" s="6">
        <f>$O$241*$AA$241</f>
        <v>0</v>
      </c>
    </row>
    <row r="242" spans="1:33" ht="11.25" customHeight="1" x14ac:dyDescent="0.25">
      <c r="A242" s="4" t="s">
        <v>21</v>
      </c>
      <c r="B242" s="4" t="s">
        <v>39</v>
      </c>
      <c r="C242" s="4" t="s">
        <v>64</v>
      </c>
      <c r="D242" s="4" t="s">
        <v>25</v>
      </c>
      <c r="E242" s="4" t="s">
        <v>25</v>
      </c>
      <c r="F242" s="4" t="s">
        <v>25</v>
      </c>
      <c r="G242" s="4" t="s">
        <v>91</v>
      </c>
      <c r="H242" s="4" t="s">
        <v>25</v>
      </c>
      <c r="I242" s="5">
        <v>44348</v>
      </c>
      <c r="J242" s="6">
        <v>22400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66</v>
      </c>
      <c r="R242" s="4">
        <v>27958</v>
      </c>
      <c r="S242" s="6">
        <v>20</v>
      </c>
      <c r="T242" s="6">
        <v>0</v>
      </c>
      <c r="U242" s="6">
        <v>0</v>
      </c>
      <c r="V242" s="6">
        <f>IF(ISERROR(VLOOKUP($S$242,'TAR FIN'!$A$1:$O$116,15,0)),0,VLOOKUP($S$242,'TAR FIN'!$A$1:$O$116,15,0))</f>
        <v>17.920000000000002</v>
      </c>
      <c r="W242" s="6">
        <f>IF(ISERROR(VLOOKUP($T$242,'TAR FIN'!$A$1:$O$116,15,0)),0,VLOOKUP($T$242,'TAR FIN'!$A$1:$O$116,15,0))</f>
        <v>0</v>
      </c>
      <c r="X242" s="6">
        <f>IF(ISERROR(VLOOKUP($U$242,'TAR FIN'!$A$1:$O$116,15,0)),0,VLOOKUP($U$242,'TAR FIN'!$A$1:$O$116,15,0))</f>
        <v>0</v>
      </c>
      <c r="Y242" s="6">
        <f ca="1">('TUSD BE'!$AM$24+'TUSD BF'!$AM$24+'TUSD CVA'!$AM$24)*1</f>
        <v>21.034406725438203</v>
      </c>
      <c r="Z242" s="6"/>
      <c r="AA242" s="6"/>
      <c r="AB242" s="6">
        <f>$K$242*$V$242</f>
        <v>0</v>
      </c>
      <c r="AC242" s="6">
        <f>$M$242*$W$242</f>
        <v>0</v>
      </c>
      <c r="AD242" s="6">
        <f>$O$242*$X$242</f>
        <v>0</v>
      </c>
      <c r="AE242" s="6">
        <f ca="1">$K$242*$Y$242</f>
        <v>0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39</v>
      </c>
      <c r="C243" s="4" t="s">
        <v>64</v>
      </c>
      <c r="D243" s="4" t="s">
        <v>25</v>
      </c>
      <c r="E243" s="4" t="s">
        <v>25</v>
      </c>
      <c r="F243" s="4" t="s">
        <v>25</v>
      </c>
      <c r="G243" s="4" t="s">
        <v>71</v>
      </c>
      <c r="H243" s="4" t="s">
        <v>25</v>
      </c>
      <c r="I243" s="5">
        <v>44378</v>
      </c>
      <c r="J243" s="6">
        <v>13720</v>
      </c>
      <c r="K243" s="6">
        <v>6860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66</v>
      </c>
      <c r="R243" s="4">
        <v>1034</v>
      </c>
      <c r="S243" s="6">
        <v>20</v>
      </c>
      <c r="T243" s="6">
        <v>0</v>
      </c>
      <c r="U243" s="6">
        <v>0</v>
      </c>
      <c r="V243" s="6">
        <f>IF(ISERROR(VLOOKUP($S$243,'TAR FIN'!$A$1:$O$116,15,0)),0,VLOOKUP($S$243,'TAR FIN'!$A$1:$O$116,15,0))</f>
        <v>17.920000000000002</v>
      </c>
      <c r="W243" s="6">
        <f>IF(ISERROR(VLOOKUP($T$243,'TAR FIN'!$A$1:$O$116,15,0)),0,VLOOKUP($T$243,'TAR FIN'!$A$1:$O$116,15,0))</f>
        <v>0</v>
      </c>
      <c r="X243" s="6">
        <f>IF(ISERROR(VLOOKUP($U$243,'TAR FIN'!$A$1:$O$116,15,0)),0,VLOOKUP($U$243,'TAR FIN'!$A$1:$O$116,15,0))</f>
        <v>0</v>
      </c>
      <c r="Y243" s="6">
        <f ca="1">('TUSD BE'!$AM$24+'TUSD BF'!$AM$24+'TUSD CVA'!$AM$24)*1</f>
        <v>21.034406725438203</v>
      </c>
      <c r="Z243" s="6"/>
      <c r="AA243" s="6"/>
      <c r="AB243" s="6">
        <f>$K$243*$V$243</f>
        <v>122931.20000000001</v>
      </c>
      <c r="AC243" s="6">
        <f>$M$243*$W$243</f>
        <v>0</v>
      </c>
      <c r="AD243" s="6">
        <f>$O$243*$X$243</f>
        <v>0</v>
      </c>
      <c r="AE243" s="6">
        <f ca="1">$K$243*$Y$243</f>
        <v>144296.03013650607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39</v>
      </c>
      <c r="C244" s="4" t="s">
        <v>64</v>
      </c>
      <c r="D244" s="4" t="s">
        <v>25</v>
      </c>
      <c r="E244" s="4" t="s">
        <v>25</v>
      </c>
      <c r="F244" s="4" t="s">
        <v>25</v>
      </c>
      <c r="G244" s="4" t="s">
        <v>84</v>
      </c>
      <c r="H244" s="4" t="s">
        <v>25</v>
      </c>
      <c r="I244" s="5">
        <v>44378</v>
      </c>
      <c r="J244" s="6">
        <v>6970</v>
      </c>
      <c r="K244" s="6">
        <v>6970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66</v>
      </c>
      <c r="R244" s="4">
        <v>27034</v>
      </c>
      <c r="S244" s="6">
        <v>20</v>
      </c>
      <c r="T244" s="6">
        <v>0</v>
      </c>
      <c r="U244" s="6">
        <v>0</v>
      </c>
      <c r="V244" s="6">
        <f>IF(ISERROR(VLOOKUP($S$244,'TAR FIN'!$A$1:$O$116,15,0)),0,VLOOKUP($S$244,'TAR FIN'!$A$1:$O$116,15,0))</f>
        <v>17.920000000000002</v>
      </c>
      <c r="W244" s="6">
        <f>IF(ISERROR(VLOOKUP($T$244,'TAR FIN'!$A$1:$O$116,15,0)),0,VLOOKUP($T$244,'TAR FIN'!$A$1:$O$116,15,0))</f>
        <v>0</v>
      </c>
      <c r="X244" s="6">
        <f>IF(ISERROR(VLOOKUP($U$244,'TAR FIN'!$A$1:$O$116,15,0)),0,VLOOKUP($U$244,'TAR FIN'!$A$1:$O$116,15,0))</f>
        <v>0</v>
      </c>
      <c r="Y244" s="6">
        <f ca="1">('TUSD BE'!$AM$24+'TUSD BF'!$AM$24+'TUSD CVA'!$AM$24)*1</f>
        <v>21.034406725438203</v>
      </c>
      <c r="Z244" s="6"/>
      <c r="AA244" s="6"/>
      <c r="AB244" s="6">
        <f>$K$244*$V$244</f>
        <v>124902.40000000001</v>
      </c>
      <c r="AC244" s="6">
        <f>$M$244*$W$244</f>
        <v>0</v>
      </c>
      <c r="AD244" s="6">
        <f>$O$244*$X$244</f>
        <v>0</v>
      </c>
      <c r="AE244" s="6">
        <f ca="1">$K$244*$Y$244</f>
        <v>146609.81487630427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39</v>
      </c>
      <c r="C245" s="4" t="s">
        <v>64</v>
      </c>
      <c r="D245" s="4" t="s">
        <v>25</v>
      </c>
      <c r="E245" s="4" t="s">
        <v>25</v>
      </c>
      <c r="F245" s="4" t="s">
        <v>25</v>
      </c>
      <c r="G245" s="4" t="s">
        <v>85</v>
      </c>
      <c r="H245" s="4" t="s">
        <v>25</v>
      </c>
      <c r="I245" s="5">
        <v>44378</v>
      </c>
      <c r="J245" s="6">
        <v>9600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66</v>
      </c>
      <c r="R245" s="4">
        <v>27207</v>
      </c>
      <c r="S245" s="6">
        <v>20</v>
      </c>
      <c r="T245" s="6">
        <v>0</v>
      </c>
      <c r="U245" s="6">
        <v>0</v>
      </c>
      <c r="V245" s="6">
        <f>IF(ISERROR(VLOOKUP($S$245,'TAR FIN'!$A$1:$O$116,15,0)),0,VLOOKUP($S$245,'TAR FIN'!$A$1:$O$116,15,0))</f>
        <v>17.920000000000002</v>
      </c>
      <c r="W245" s="6">
        <f>IF(ISERROR(VLOOKUP($T$245,'TAR FIN'!$A$1:$O$116,15,0)),0,VLOOKUP($T$245,'TAR FIN'!$A$1:$O$116,15,0))</f>
        <v>0</v>
      </c>
      <c r="X245" s="6">
        <f>IF(ISERROR(VLOOKUP($U$245,'TAR FIN'!$A$1:$O$116,15,0)),0,VLOOKUP($U$245,'TAR FIN'!$A$1:$O$116,15,0))</f>
        <v>0</v>
      </c>
      <c r="Y245" s="6">
        <f ca="1">('TUSD BE'!$AM$24+'TUSD BF'!$AM$24+'TUSD CVA'!$AM$24)*1</f>
        <v>21.034406725438203</v>
      </c>
      <c r="Z245" s="6"/>
      <c r="AA245" s="6"/>
      <c r="AB245" s="6">
        <f>$K$245*$V$245</f>
        <v>0</v>
      </c>
      <c r="AC245" s="6">
        <f>$M$245*$W$245</f>
        <v>0</v>
      </c>
      <c r="AD245" s="6">
        <f>$O$245*$X$245</f>
        <v>0</v>
      </c>
      <c r="AE245" s="6">
        <f ca="1">$K$245*$Y$245</f>
        <v>0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39</v>
      </c>
      <c r="C246" s="4" t="s">
        <v>64</v>
      </c>
      <c r="D246" s="4" t="s">
        <v>25</v>
      </c>
      <c r="E246" s="4" t="s">
        <v>25</v>
      </c>
      <c r="F246" s="4" t="s">
        <v>25</v>
      </c>
      <c r="G246" s="4" t="s">
        <v>88</v>
      </c>
      <c r="H246" s="4" t="s">
        <v>25</v>
      </c>
      <c r="I246" s="5">
        <v>44378</v>
      </c>
      <c r="J246" s="6">
        <v>19500</v>
      </c>
      <c r="K246" s="6">
        <v>9750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66</v>
      </c>
      <c r="R246" s="4">
        <v>27722</v>
      </c>
      <c r="S246" s="6">
        <v>20</v>
      </c>
      <c r="T246" s="6">
        <v>0</v>
      </c>
      <c r="U246" s="6">
        <v>0</v>
      </c>
      <c r="V246" s="6">
        <f>IF(ISERROR(VLOOKUP($S$246,'TAR FIN'!$A$1:$O$116,15,0)),0,VLOOKUP($S$246,'TAR FIN'!$A$1:$O$116,15,0))</f>
        <v>17.920000000000002</v>
      </c>
      <c r="W246" s="6">
        <f>IF(ISERROR(VLOOKUP($T$246,'TAR FIN'!$A$1:$O$116,15,0)),0,VLOOKUP($T$246,'TAR FIN'!$A$1:$O$116,15,0))</f>
        <v>0</v>
      </c>
      <c r="X246" s="6">
        <f>IF(ISERROR(VLOOKUP($U$246,'TAR FIN'!$A$1:$O$116,15,0)),0,VLOOKUP($U$246,'TAR FIN'!$A$1:$O$116,15,0))</f>
        <v>0</v>
      </c>
      <c r="Y246" s="6">
        <f ca="1">('TUSD BE'!$AM$24+'TUSD BF'!$AM$24+'TUSD CVA'!$AM$24)*1</f>
        <v>21.034406725438203</v>
      </c>
      <c r="Z246" s="6"/>
      <c r="AA246" s="6"/>
      <c r="AB246" s="6">
        <f>$K$246*$V$246</f>
        <v>174720.00000000003</v>
      </c>
      <c r="AC246" s="6">
        <f>$M$246*$W$246</f>
        <v>0</v>
      </c>
      <c r="AD246" s="6">
        <f>$O$246*$X$246</f>
        <v>0</v>
      </c>
      <c r="AE246" s="6">
        <f ca="1">$K$246*$Y$246</f>
        <v>205085.46557302246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39</v>
      </c>
      <c r="C247" s="4" t="s">
        <v>64</v>
      </c>
      <c r="D247" s="4" t="s">
        <v>25</v>
      </c>
      <c r="E247" s="4" t="s">
        <v>25</v>
      </c>
      <c r="F247" s="4" t="s">
        <v>25</v>
      </c>
      <c r="G247" s="4" t="s">
        <v>91</v>
      </c>
      <c r="H247" s="4" t="s">
        <v>25</v>
      </c>
      <c r="I247" s="5">
        <v>44378</v>
      </c>
      <c r="J247" s="6">
        <v>22400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66</v>
      </c>
      <c r="R247" s="4">
        <v>27958</v>
      </c>
      <c r="S247" s="6">
        <v>20</v>
      </c>
      <c r="T247" s="6">
        <v>0</v>
      </c>
      <c r="U247" s="6">
        <v>0</v>
      </c>
      <c r="V247" s="6">
        <f>IF(ISERROR(VLOOKUP($S$247,'TAR FIN'!$A$1:$O$116,15,0)),0,VLOOKUP($S$247,'TAR FIN'!$A$1:$O$116,15,0))</f>
        <v>17.920000000000002</v>
      </c>
      <c r="W247" s="6">
        <f>IF(ISERROR(VLOOKUP($T$247,'TAR FIN'!$A$1:$O$116,15,0)),0,VLOOKUP($T$247,'TAR FIN'!$A$1:$O$116,15,0))</f>
        <v>0</v>
      </c>
      <c r="X247" s="6">
        <f>IF(ISERROR(VLOOKUP($U$247,'TAR FIN'!$A$1:$O$116,15,0)),0,VLOOKUP($U$247,'TAR FIN'!$A$1:$O$116,15,0))</f>
        <v>0</v>
      </c>
      <c r="Y247" s="6">
        <f ca="1">('TUSD BE'!$AM$24+'TUSD BF'!$AM$24+'TUSD CVA'!$AM$24)*1</f>
        <v>21.034406725438203</v>
      </c>
      <c r="Z247" s="6"/>
      <c r="AA247" s="6"/>
      <c r="AB247" s="6">
        <f>$K$247*$V$247</f>
        <v>0</v>
      </c>
      <c r="AC247" s="6">
        <f>$M$247*$W$247</f>
        <v>0</v>
      </c>
      <c r="AD247" s="6">
        <f>$O$247*$X$247</f>
        <v>0</v>
      </c>
      <c r="AE247" s="6">
        <f ca="1">$K$247*$Y$247</f>
        <v>0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39</v>
      </c>
      <c r="C248" s="4" t="s">
        <v>64</v>
      </c>
      <c r="D248" s="4" t="s">
        <v>25</v>
      </c>
      <c r="E248" s="4" t="s">
        <v>25</v>
      </c>
      <c r="F248" s="4" t="s">
        <v>25</v>
      </c>
      <c r="G248" s="4" t="s">
        <v>71</v>
      </c>
      <c r="H248" s="4" t="s">
        <v>25</v>
      </c>
      <c r="I248" s="5">
        <v>44409</v>
      </c>
      <c r="J248" s="6">
        <v>13720</v>
      </c>
      <c r="K248" s="6">
        <v>6860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66</v>
      </c>
      <c r="R248" s="4">
        <v>1034</v>
      </c>
      <c r="S248" s="6">
        <v>20</v>
      </c>
      <c r="T248" s="6">
        <v>0</v>
      </c>
      <c r="U248" s="6">
        <v>0</v>
      </c>
      <c r="V248" s="6">
        <f>IF(ISERROR(VLOOKUP($S$248,'TAR FIN'!$A$1:$O$116,15,0)),0,VLOOKUP($S$248,'TAR FIN'!$A$1:$O$116,15,0))</f>
        <v>17.920000000000002</v>
      </c>
      <c r="W248" s="6">
        <f>IF(ISERROR(VLOOKUP($T$248,'TAR FIN'!$A$1:$O$116,15,0)),0,VLOOKUP($T$248,'TAR FIN'!$A$1:$O$116,15,0))</f>
        <v>0</v>
      </c>
      <c r="X248" s="6">
        <f>IF(ISERROR(VLOOKUP($U$248,'TAR FIN'!$A$1:$O$116,15,0)),0,VLOOKUP($U$248,'TAR FIN'!$A$1:$O$116,15,0))</f>
        <v>0</v>
      </c>
      <c r="Y248" s="6">
        <f ca="1">('TUSD BE'!$AM$24+'TUSD BF'!$AM$24+'TUSD CVA'!$AM$24)*1</f>
        <v>21.034406725438203</v>
      </c>
      <c r="Z248" s="6"/>
      <c r="AA248" s="6"/>
      <c r="AB248" s="6">
        <f>$K$248*$V$248</f>
        <v>122931.20000000001</v>
      </c>
      <c r="AC248" s="6">
        <f>$M$248*$W$248</f>
        <v>0</v>
      </c>
      <c r="AD248" s="6">
        <f>$O$248*$X$248</f>
        <v>0</v>
      </c>
      <c r="AE248" s="6">
        <f ca="1">$K$248*$Y$248</f>
        <v>144296.03013650607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39</v>
      </c>
      <c r="C249" s="4" t="s">
        <v>64</v>
      </c>
      <c r="D249" s="4" t="s">
        <v>25</v>
      </c>
      <c r="E249" s="4" t="s">
        <v>25</v>
      </c>
      <c r="F249" s="4" t="s">
        <v>25</v>
      </c>
      <c r="G249" s="4" t="s">
        <v>84</v>
      </c>
      <c r="H249" s="4" t="s">
        <v>25</v>
      </c>
      <c r="I249" s="5">
        <v>44409</v>
      </c>
      <c r="J249" s="6">
        <v>6970</v>
      </c>
      <c r="K249" s="6">
        <v>6970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66</v>
      </c>
      <c r="R249" s="4">
        <v>27034</v>
      </c>
      <c r="S249" s="6">
        <v>20</v>
      </c>
      <c r="T249" s="6">
        <v>0</v>
      </c>
      <c r="U249" s="6">
        <v>0</v>
      </c>
      <c r="V249" s="6">
        <f>IF(ISERROR(VLOOKUP($S$249,'TAR FIN'!$A$1:$O$116,15,0)),0,VLOOKUP($S$249,'TAR FIN'!$A$1:$O$116,15,0))</f>
        <v>17.920000000000002</v>
      </c>
      <c r="W249" s="6">
        <f>IF(ISERROR(VLOOKUP($T$249,'TAR FIN'!$A$1:$O$116,15,0)),0,VLOOKUP($T$249,'TAR FIN'!$A$1:$O$116,15,0))</f>
        <v>0</v>
      </c>
      <c r="X249" s="6">
        <f>IF(ISERROR(VLOOKUP($U$249,'TAR FIN'!$A$1:$O$116,15,0)),0,VLOOKUP($U$249,'TAR FIN'!$A$1:$O$116,15,0))</f>
        <v>0</v>
      </c>
      <c r="Y249" s="6">
        <f ca="1">('TUSD BE'!$AM$24+'TUSD BF'!$AM$24+'TUSD CVA'!$AM$24)*1</f>
        <v>21.034406725438203</v>
      </c>
      <c r="Z249" s="6"/>
      <c r="AA249" s="6"/>
      <c r="AB249" s="6">
        <f>$K$249*$V$249</f>
        <v>124902.40000000001</v>
      </c>
      <c r="AC249" s="6">
        <f>$M$249*$W$249</f>
        <v>0</v>
      </c>
      <c r="AD249" s="6">
        <f>$O$249*$X$249</f>
        <v>0</v>
      </c>
      <c r="AE249" s="6">
        <f ca="1">$K$249*$Y$249</f>
        <v>146609.81487630427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39</v>
      </c>
      <c r="C250" s="4" t="s">
        <v>64</v>
      </c>
      <c r="D250" s="4" t="s">
        <v>25</v>
      </c>
      <c r="E250" s="4" t="s">
        <v>25</v>
      </c>
      <c r="F250" s="4" t="s">
        <v>25</v>
      </c>
      <c r="G250" s="4" t="s">
        <v>85</v>
      </c>
      <c r="H250" s="4" t="s">
        <v>25</v>
      </c>
      <c r="I250" s="5">
        <v>44409</v>
      </c>
      <c r="J250" s="6">
        <v>9600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66</v>
      </c>
      <c r="R250" s="4">
        <v>27207</v>
      </c>
      <c r="S250" s="6">
        <v>20</v>
      </c>
      <c r="T250" s="6">
        <v>0</v>
      </c>
      <c r="U250" s="6">
        <v>0</v>
      </c>
      <c r="V250" s="6">
        <f>IF(ISERROR(VLOOKUP($S$250,'TAR FIN'!$A$1:$O$116,15,0)),0,VLOOKUP($S$250,'TAR FIN'!$A$1:$O$116,15,0))</f>
        <v>17.920000000000002</v>
      </c>
      <c r="W250" s="6">
        <f>IF(ISERROR(VLOOKUP($T$250,'TAR FIN'!$A$1:$O$116,15,0)),0,VLOOKUP($T$250,'TAR FIN'!$A$1:$O$116,15,0))</f>
        <v>0</v>
      </c>
      <c r="X250" s="6">
        <f>IF(ISERROR(VLOOKUP($U$250,'TAR FIN'!$A$1:$O$116,15,0)),0,VLOOKUP($U$250,'TAR FIN'!$A$1:$O$116,15,0))</f>
        <v>0</v>
      </c>
      <c r="Y250" s="6">
        <f ca="1">('TUSD BE'!$AM$24+'TUSD BF'!$AM$24+'TUSD CVA'!$AM$24)*1</f>
        <v>21.034406725438203</v>
      </c>
      <c r="Z250" s="6"/>
      <c r="AA250" s="6"/>
      <c r="AB250" s="6">
        <f>$K$250*$V$250</f>
        <v>0</v>
      </c>
      <c r="AC250" s="6">
        <f>$M$250*$W$250</f>
        <v>0</v>
      </c>
      <c r="AD250" s="6">
        <f>$O$250*$X$250</f>
        <v>0</v>
      </c>
      <c r="AE250" s="6">
        <f ca="1">$K$250*$Y$250</f>
        <v>0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39</v>
      </c>
      <c r="C251" s="4" t="s">
        <v>64</v>
      </c>
      <c r="D251" s="4" t="s">
        <v>25</v>
      </c>
      <c r="E251" s="4" t="s">
        <v>25</v>
      </c>
      <c r="F251" s="4" t="s">
        <v>25</v>
      </c>
      <c r="G251" s="4" t="s">
        <v>88</v>
      </c>
      <c r="H251" s="4" t="s">
        <v>25</v>
      </c>
      <c r="I251" s="5">
        <v>44409</v>
      </c>
      <c r="J251" s="6">
        <v>19500</v>
      </c>
      <c r="K251" s="6">
        <v>9750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66</v>
      </c>
      <c r="R251" s="4">
        <v>27722</v>
      </c>
      <c r="S251" s="6">
        <v>20</v>
      </c>
      <c r="T251" s="6">
        <v>0</v>
      </c>
      <c r="U251" s="6">
        <v>0</v>
      </c>
      <c r="V251" s="6">
        <f>IF(ISERROR(VLOOKUP($S$251,'TAR FIN'!$A$1:$O$116,15,0)),0,VLOOKUP($S$251,'TAR FIN'!$A$1:$O$116,15,0))</f>
        <v>17.920000000000002</v>
      </c>
      <c r="W251" s="6">
        <f>IF(ISERROR(VLOOKUP($T$251,'TAR FIN'!$A$1:$O$116,15,0)),0,VLOOKUP($T$251,'TAR FIN'!$A$1:$O$116,15,0))</f>
        <v>0</v>
      </c>
      <c r="X251" s="6">
        <f>IF(ISERROR(VLOOKUP($U$251,'TAR FIN'!$A$1:$O$116,15,0)),0,VLOOKUP($U$251,'TAR FIN'!$A$1:$O$116,15,0))</f>
        <v>0</v>
      </c>
      <c r="Y251" s="6">
        <f ca="1">('TUSD BE'!$AM$24+'TUSD BF'!$AM$24+'TUSD CVA'!$AM$24)*1</f>
        <v>21.034406725438203</v>
      </c>
      <c r="Z251" s="6"/>
      <c r="AA251" s="6"/>
      <c r="AB251" s="6">
        <f>$K$251*$V$251</f>
        <v>174720.00000000003</v>
      </c>
      <c r="AC251" s="6">
        <f>$M$251*$W$251</f>
        <v>0</v>
      </c>
      <c r="AD251" s="6">
        <f>$O$251*$X$251</f>
        <v>0</v>
      </c>
      <c r="AE251" s="6">
        <f ca="1">$K$251*$Y$251</f>
        <v>205085.46557302246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39</v>
      </c>
      <c r="C252" s="4" t="s">
        <v>64</v>
      </c>
      <c r="D252" s="4" t="s">
        <v>25</v>
      </c>
      <c r="E252" s="4" t="s">
        <v>25</v>
      </c>
      <c r="F252" s="4" t="s">
        <v>25</v>
      </c>
      <c r="G252" s="4" t="s">
        <v>91</v>
      </c>
      <c r="H252" s="4" t="s">
        <v>25</v>
      </c>
      <c r="I252" s="5">
        <v>44409</v>
      </c>
      <c r="J252" s="6">
        <v>22400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66</v>
      </c>
      <c r="R252" s="4">
        <v>27958</v>
      </c>
      <c r="S252" s="6">
        <v>20</v>
      </c>
      <c r="T252" s="6">
        <v>0</v>
      </c>
      <c r="U252" s="6">
        <v>0</v>
      </c>
      <c r="V252" s="6">
        <f>IF(ISERROR(VLOOKUP($S$252,'TAR FIN'!$A$1:$O$116,15,0)),0,VLOOKUP($S$252,'TAR FIN'!$A$1:$O$116,15,0))</f>
        <v>17.920000000000002</v>
      </c>
      <c r="W252" s="6">
        <f>IF(ISERROR(VLOOKUP($T$252,'TAR FIN'!$A$1:$O$116,15,0)),0,VLOOKUP($T$252,'TAR FIN'!$A$1:$O$116,15,0))</f>
        <v>0</v>
      </c>
      <c r="X252" s="6">
        <f>IF(ISERROR(VLOOKUP($U$252,'TAR FIN'!$A$1:$O$116,15,0)),0,VLOOKUP($U$252,'TAR FIN'!$A$1:$O$116,15,0))</f>
        <v>0</v>
      </c>
      <c r="Y252" s="6">
        <f ca="1">('TUSD BE'!$AM$24+'TUSD BF'!$AM$24+'TUSD CVA'!$AM$24)*1</f>
        <v>21.034406725438203</v>
      </c>
      <c r="Z252" s="6"/>
      <c r="AA252" s="6"/>
      <c r="AB252" s="6">
        <f>$K$252*$V$252</f>
        <v>0</v>
      </c>
      <c r="AC252" s="6">
        <f>$M$252*$W$252</f>
        <v>0</v>
      </c>
      <c r="AD252" s="6">
        <f>$O$252*$X$252</f>
        <v>0</v>
      </c>
      <c r="AE252" s="6">
        <f ca="1">$K$252*$Y$252</f>
        <v>0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39</v>
      </c>
      <c r="C253" s="4" t="s">
        <v>64</v>
      </c>
      <c r="D253" s="4" t="s">
        <v>25</v>
      </c>
      <c r="E253" s="4" t="s">
        <v>25</v>
      </c>
      <c r="F253" s="4" t="s">
        <v>25</v>
      </c>
      <c r="G253" s="4" t="s">
        <v>71</v>
      </c>
      <c r="H253" s="4" t="s">
        <v>25</v>
      </c>
      <c r="I253" s="5">
        <v>44440</v>
      </c>
      <c r="J253" s="6">
        <v>13720</v>
      </c>
      <c r="K253" s="6">
        <v>6860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66</v>
      </c>
      <c r="R253" s="4">
        <v>1034</v>
      </c>
      <c r="S253" s="6">
        <v>20</v>
      </c>
      <c r="T253" s="6">
        <v>0</v>
      </c>
      <c r="U253" s="6">
        <v>0</v>
      </c>
      <c r="V253" s="6">
        <f>IF(ISERROR(VLOOKUP($S$253,'TAR FIN'!$A$1:$O$116,15,0)),0,VLOOKUP($S$253,'TAR FIN'!$A$1:$O$116,15,0))</f>
        <v>17.920000000000002</v>
      </c>
      <c r="W253" s="6">
        <f>IF(ISERROR(VLOOKUP($T$253,'TAR FIN'!$A$1:$O$116,15,0)),0,VLOOKUP($T$253,'TAR FIN'!$A$1:$O$116,15,0))</f>
        <v>0</v>
      </c>
      <c r="X253" s="6">
        <f>IF(ISERROR(VLOOKUP($U$253,'TAR FIN'!$A$1:$O$116,15,0)),0,VLOOKUP($U$253,'TAR FIN'!$A$1:$O$116,15,0))</f>
        <v>0</v>
      </c>
      <c r="Y253" s="6">
        <f ca="1">('TUSD BE'!$AM$24+'TUSD BF'!$AM$24+'TUSD CVA'!$AM$24)*1</f>
        <v>21.034406725438203</v>
      </c>
      <c r="Z253" s="6"/>
      <c r="AA253" s="6"/>
      <c r="AB253" s="6">
        <f>$K$253*$V$253</f>
        <v>122931.20000000001</v>
      </c>
      <c r="AC253" s="6">
        <f>$M$253*$W$253</f>
        <v>0</v>
      </c>
      <c r="AD253" s="6">
        <f>$O$253*$X$253</f>
        <v>0</v>
      </c>
      <c r="AE253" s="6">
        <f ca="1">$K$253*$Y$253</f>
        <v>144296.03013650607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39</v>
      </c>
      <c r="C254" s="4" t="s">
        <v>64</v>
      </c>
      <c r="D254" s="4" t="s">
        <v>25</v>
      </c>
      <c r="E254" s="4" t="s">
        <v>25</v>
      </c>
      <c r="F254" s="4" t="s">
        <v>25</v>
      </c>
      <c r="G254" s="4" t="s">
        <v>84</v>
      </c>
      <c r="H254" s="4" t="s">
        <v>25</v>
      </c>
      <c r="I254" s="5">
        <v>44440</v>
      </c>
      <c r="J254" s="6">
        <v>6970</v>
      </c>
      <c r="K254" s="6">
        <v>6970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4" t="s">
        <v>66</v>
      </c>
      <c r="R254" s="4">
        <v>27034</v>
      </c>
      <c r="S254" s="6">
        <v>20</v>
      </c>
      <c r="T254" s="6">
        <v>0</v>
      </c>
      <c r="U254" s="6">
        <v>0</v>
      </c>
      <c r="V254" s="6">
        <f>IF(ISERROR(VLOOKUP($S$254,'TAR FIN'!$A$1:$O$116,15,0)),0,VLOOKUP($S$254,'TAR FIN'!$A$1:$O$116,15,0))</f>
        <v>17.920000000000002</v>
      </c>
      <c r="W254" s="6">
        <f>IF(ISERROR(VLOOKUP($T$254,'TAR FIN'!$A$1:$O$116,15,0)),0,VLOOKUP($T$254,'TAR FIN'!$A$1:$O$116,15,0))</f>
        <v>0</v>
      </c>
      <c r="X254" s="6">
        <f>IF(ISERROR(VLOOKUP($U$254,'TAR FIN'!$A$1:$O$116,15,0)),0,VLOOKUP($U$254,'TAR FIN'!$A$1:$O$116,15,0))</f>
        <v>0</v>
      </c>
      <c r="Y254" s="6">
        <f ca="1">('TUSD BE'!$AM$24+'TUSD BF'!$AM$24+'TUSD CVA'!$AM$24)*1</f>
        <v>21.034406725438203</v>
      </c>
      <c r="Z254" s="6"/>
      <c r="AA254" s="6"/>
      <c r="AB254" s="6">
        <f>$K$254*$V$254</f>
        <v>124902.40000000001</v>
      </c>
      <c r="AC254" s="6">
        <f>$M$254*$W$254</f>
        <v>0</v>
      </c>
      <c r="AD254" s="6">
        <f>$O$254*$X$254</f>
        <v>0</v>
      </c>
      <c r="AE254" s="6">
        <f ca="1">$K$254*$Y$254</f>
        <v>146609.81487630427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21</v>
      </c>
      <c r="B255" s="4" t="s">
        <v>39</v>
      </c>
      <c r="C255" s="4" t="s">
        <v>64</v>
      </c>
      <c r="D255" s="4" t="s">
        <v>25</v>
      </c>
      <c r="E255" s="4" t="s">
        <v>25</v>
      </c>
      <c r="F255" s="4" t="s">
        <v>25</v>
      </c>
      <c r="G255" s="4" t="s">
        <v>85</v>
      </c>
      <c r="H255" s="4" t="s">
        <v>25</v>
      </c>
      <c r="I255" s="5">
        <v>44440</v>
      </c>
      <c r="J255" s="6">
        <v>9600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4" t="s">
        <v>66</v>
      </c>
      <c r="R255" s="4">
        <v>27207</v>
      </c>
      <c r="S255" s="6">
        <v>20</v>
      </c>
      <c r="T255" s="6">
        <v>0</v>
      </c>
      <c r="U255" s="6">
        <v>0</v>
      </c>
      <c r="V255" s="6">
        <f>IF(ISERROR(VLOOKUP($S$255,'TAR FIN'!$A$1:$O$116,15,0)),0,VLOOKUP($S$255,'TAR FIN'!$A$1:$O$116,15,0))</f>
        <v>17.920000000000002</v>
      </c>
      <c r="W255" s="6">
        <f>IF(ISERROR(VLOOKUP($T$255,'TAR FIN'!$A$1:$O$116,15,0)),0,VLOOKUP($T$255,'TAR FIN'!$A$1:$O$116,15,0))</f>
        <v>0</v>
      </c>
      <c r="X255" s="6">
        <f>IF(ISERROR(VLOOKUP($U$255,'TAR FIN'!$A$1:$O$116,15,0)),0,VLOOKUP($U$255,'TAR FIN'!$A$1:$O$116,15,0))</f>
        <v>0</v>
      </c>
      <c r="Y255" s="6">
        <f ca="1">('TUSD BE'!$AM$24+'TUSD BF'!$AM$24+'TUSD CVA'!$AM$24)*1</f>
        <v>21.034406725438203</v>
      </c>
      <c r="Z255" s="6"/>
      <c r="AA255" s="6"/>
      <c r="AB255" s="6">
        <f>$K$255*$V$255</f>
        <v>0</v>
      </c>
      <c r="AC255" s="6">
        <f>$M$255*$W$255</f>
        <v>0</v>
      </c>
      <c r="AD255" s="6">
        <f>$O$255*$X$255</f>
        <v>0</v>
      </c>
      <c r="AE255" s="6">
        <f ca="1">$K$255*$Y$255</f>
        <v>0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39</v>
      </c>
      <c r="C256" s="4" t="s">
        <v>64</v>
      </c>
      <c r="D256" s="4" t="s">
        <v>25</v>
      </c>
      <c r="E256" s="4" t="s">
        <v>25</v>
      </c>
      <c r="F256" s="4" t="s">
        <v>25</v>
      </c>
      <c r="G256" s="4" t="s">
        <v>88</v>
      </c>
      <c r="H256" s="4" t="s">
        <v>25</v>
      </c>
      <c r="I256" s="5">
        <v>44440</v>
      </c>
      <c r="J256" s="6">
        <v>19500</v>
      </c>
      <c r="K256" s="6">
        <v>9750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66</v>
      </c>
      <c r="R256" s="4">
        <v>27722</v>
      </c>
      <c r="S256" s="6">
        <v>20</v>
      </c>
      <c r="T256" s="6">
        <v>0</v>
      </c>
      <c r="U256" s="6">
        <v>0</v>
      </c>
      <c r="V256" s="6">
        <f>IF(ISERROR(VLOOKUP($S$256,'TAR FIN'!$A$1:$O$116,15,0)),0,VLOOKUP($S$256,'TAR FIN'!$A$1:$O$116,15,0))</f>
        <v>17.920000000000002</v>
      </c>
      <c r="W256" s="6">
        <f>IF(ISERROR(VLOOKUP($T$256,'TAR FIN'!$A$1:$O$116,15,0)),0,VLOOKUP($T$256,'TAR FIN'!$A$1:$O$116,15,0))</f>
        <v>0</v>
      </c>
      <c r="X256" s="6">
        <f>IF(ISERROR(VLOOKUP($U$256,'TAR FIN'!$A$1:$O$116,15,0)),0,VLOOKUP($U$256,'TAR FIN'!$A$1:$O$116,15,0))</f>
        <v>0</v>
      </c>
      <c r="Y256" s="6">
        <f ca="1">('TUSD BE'!$AM$24+'TUSD BF'!$AM$24+'TUSD CVA'!$AM$24)*1</f>
        <v>21.034406725438203</v>
      </c>
      <c r="Z256" s="6"/>
      <c r="AA256" s="6"/>
      <c r="AB256" s="6">
        <f>$K$256*$V$256</f>
        <v>174720.00000000003</v>
      </c>
      <c r="AC256" s="6">
        <f>$M$256*$W$256</f>
        <v>0</v>
      </c>
      <c r="AD256" s="6">
        <f>$O$256*$X$256</f>
        <v>0</v>
      </c>
      <c r="AE256" s="6">
        <f ca="1">$K$256*$Y$256</f>
        <v>205085.46557302246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39</v>
      </c>
      <c r="C257" s="4" t="s">
        <v>64</v>
      </c>
      <c r="D257" s="4" t="s">
        <v>25</v>
      </c>
      <c r="E257" s="4" t="s">
        <v>25</v>
      </c>
      <c r="F257" s="4" t="s">
        <v>25</v>
      </c>
      <c r="G257" s="4" t="s">
        <v>91</v>
      </c>
      <c r="H257" s="4" t="s">
        <v>25</v>
      </c>
      <c r="I257" s="5">
        <v>44440</v>
      </c>
      <c r="J257" s="6">
        <v>22400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66</v>
      </c>
      <c r="R257" s="4">
        <v>27958</v>
      </c>
      <c r="S257" s="6">
        <v>20</v>
      </c>
      <c r="T257" s="6">
        <v>0</v>
      </c>
      <c r="U257" s="6">
        <v>0</v>
      </c>
      <c r="V257" s="6">
        <f>IF(ISERROR(VLOOKUP($S$257,'TAR FIN'!$A$1:$O$116,15,0)),0,VLOOKUP($S$257,'TAR FIN'!$A$1:$O$116,15,0))</f>
        <v>17.920000000000002</v>
      </c>
      <c r="W257" s="6">
        <f>IF(ISERROR(VLOOKUP($T$257,'TAR FIN'!$A$1:$O$116,15,0)),0,VLOOKUP($T$257,'TAR FIN'!$A$1:$O$116,15,0))</f>
        <v>0</v>
      </c>
      <c r="X257" s="6">
        <f>IF(ISERROR(VLOOKUP($U$257,'TAR FIN'!$A$1:$O$116,15,0)),0,VLOOKUP($U$257,'TAR FIN'!$A$1:$O$116,15,0))</f>
        <v>0</v>
      </c>
      <c r="Y257" s="6">
        <f ca="1">('TUSD BE'!$AM$24+'TUSD BF'!$AM$24+'TUSD CVA'!$AM$24)*1</f>
        <v>21.034406725438203</v>
      </c>
      <c r="Z257" s="6"/>
      <c r="AA257" s="6"/>
      <c r="AB257" s="6">
        <f>$K$257*$V$257</f>
        <v>0</v>
      </c>
      <c r="AC257" s="6">
        <f>$M$257*$W$257</f>
        <v>0</v>
      </c>
      <c r="AD257" s="6">
        <f>$O$257*$X$257</f>
        <v>0</v>
      </c>
      <c r="AE257" s="6">
        <f ca="1">$K$257*$Y$257</f>
        <v>0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39</v>
      </c>
      <c r="C258" s="4" t="s">
        <v>64</v>
      </c>
      <c r="D258" s="4" t="s">
        <v>25</v>
      </c>
      <c r="E258" s="4" t="s">
        <v>25</v>
      </c>
      <c r="F258" s="4" t="s">
        <v>25</v>
      </c>
      <c r="G258" s="4" t="s">
        <v>71</v>
      </c>
      <c r="H258" s="4" t="s">
        <v>25</v>
      </c>
      <c r="I258" s="5">
        <v>44470</v>
      </c>
      <c r="J258" s="6">
        <v>13720</v>
      </c>
      <c r="K258" s="6">
        <v>6860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66</v>
      </c>
      <c r="R258" s="4">
        <v>1034</v>
      </c>
      <c r="S258" s="6">
        <v>20</v>
      </c>
      <c r="T258" s="6">
        <v>0</v>
      </c>
      <c r="U258" s="6">
        <v>0</v>
      </c>
      <c r="V258" s="6">
        <f>IF(ISERROR(VLOOKUP($S$258,'TAR FIN'!$A$1:$O$116,15,0)),0,VLOOKUP($S$258,'TAR FIN'!$A$1:$O$116,15,0))</f>
        <v>17.920000000000002</v>
      </c>
      <c r="W258" s="6">
        <f>IF(ISERROR(VLOOKUP($T$258,'TAR FIN'!$A$1:$O$116,15,0)),0,VLOOKUP($T$258,'TAR FIN'!$A$1:$O$116,15,0))</f>
        <v>0</v>
      </c>
      <c r="X258" s="6">
        <f>IF(ISERROR(VLOOKUP($U$258,'TAR FIN'!$A$1:$O$116,15,0)),0,VLOOKUP($U$258,'TAR FIN'!$A$1:$O$116,15,0))</f>
        <v>0</v>
      </c>
      <c r="Y258" s="6">
        <f ca="1">('TUSD BE'!$AM$24+'TUSD BF'!$AM$24+'TUSD CVA'!$AM$24)*1</f>
        <v>21.034406725438203</v>
      </c>
      <c r="Z258" s="6"/>
      <c r="AA258" s="6"/>
      <c r="AB258" s="6">
        <f>$K$258*$V$258</f>
        <v>122931.20000000001</v>
      </c>
      <c r="AC258" s="6">
        <f>$M$258*$W$258</f>
        <v>0</v>
      </c>
      <c r="AD258" s="6">
        <f>$O$258*$X$258</f>
        <v>0</v>
      </c>
      <c r="AE258" s="6">
        <f ca="1">$K$258*$Y$258</f>
        <v>144296.03013650607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39</v>
      </c>
      <c r="C259" s="4" t="s">
        <v>64</v>
      </c>
      <c r="D259" s="4" t="s">
        <v>25</v>
      </c>
      <c r="E259" s="4" t="s">
        <v>25</v>
      </c>
      <c r="F259" s="4" t="s">
        <v>25</v>
      </c>
      <c r="G259" s="4" t="s">
        <v>84</v>
      </c>
      <c r="H259" s="4" t="s">
        <v>25</v>
      </c>
      <c r="I259" s="5">
        <v>44470</v>
      </c>
      <c r="J259" s="6">
        <v>6970</v>
      </c>
      <c r="K259" s="6">
        <v>6970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66</v>
      </c>
      <c r="R259" s="4">
        <v>27034</v>
      </c>
      <c r="S259" s="6">
        <v>20</v>
      </c>
      <c r="T259" s="6">
        <v>0</v>
      </c>
      <c r="U259" s="6">
        <v>0</v>
      </c>
      <c r="V259" s="6">
        <f>IF(ISERROR(VLOOKUP($S$259,'TAR FIN'!$A$1:$O$116,15,0)),0,VLOOKUP($S$259,'TAR FIN'!$A$1:$O$116,15,0))</f>
        <v>17.920000000000002</v>
      </c>
      <c r="W259" s="6">
        <f>IF(ISERROR(VLOOKUP($T$259,'TAR FIN'!$A$1:$O$116,15,0)),0,VLOOKUP($T$259,'TAR FIN'!$A$1:$O$116,15,0))</f>
        <v>0</v>
      </c>
      <c r="X259" s="6">
        <f>IF(ISERROR(VLOOKUP($U$259,'TAR FIN'!$A$1:$O$116,15,0)),0,VLOOKUP($U$259,'TAR FIN'!$A$1:$O$116,15,0))</f>
        <v>0</v>
      </c>
      <c r="Y259" s="6">
        <f ca="1">('TUSD BE'!$AM$24+'TUSD BF'!$AM$24+'TUSD CVA'!$AM$24)*1</f>
        <v>21.034406725438203</v>
      </c>
      <c r="Z259" s="6"/>
      <c r="AA259" s="6"/>
      <c r="AB259" s="6">
        <f>$K$259*$V$259</f>
        <v>124902.40000000001</v>
      </c>
      <c r="AC259" s="6">
        <f>$M$259*$W$259</f>
        <v>0</v>
      </c>
      <c r="AD259" s="6">
        <f>$O$259*$X$259</f>
        <v>0</v>
      </c>
      <c r="AE259" s="6">
        <f ca="1">$K$259*$Y$259</f>
        <v>146609.81487630427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39</v>
      </c>
      <c r="C260" s="4" t="s">
        <v>64</v>
      </c>
      <c r="D260" s="4" t="s">
        <v>25</v>
      </c>
      <c r="E260" s="4" t="s">
        <v>25</v>
      </c>
      <c r="F260" s="4" t="s">
        <v>25</v>
      </c>
      <c r="G260" s="4" t="s">
        <v>85</v>
      </c>
      <c r="H260" s="4" t="s">
        <v>25</v>
      </c>
      <c r="I260" s="5">
        <v>44470</v>
      </c>
      <c r="J260" s="6">
        <v>9600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66</v>
      </c>
      <c r="R260" s="4">
        <v>27207</v>
      </c>
      <c r="S260" s="6">
        <v>20</v>
      </c>
      <c r="T260" s="6">
        <v>0</v>
      </c>
      <c r="U260" s="6">
        <v>0</v>
      </c>
      <c r="V260" s="6">
        <f>IF(ISERROR(VLOOKUP($S$260,'TAR FIN'!$A$1:$O$116,15,0)),0,VLOOKUP($S$260,'TAR FIN'!$A$1:$O$116,15,0))</f>
        <v>17.920000000000002</v>
      </c>
      <c r="W260" s="6">
        <f>IF(ISERROR(VLOOKUP($T$260,'TAR FIN'!$A$1:$O$116,15,0)),0,VLOOKUP($T$260,'TAR FIN'!$A$1:$O$116,15,0))</f>
        <v>0</v>
      </c>
      <c r="X260" s="6">
        <f>IF(ISERROR(VLOOKUP($U$260,'TAR FIN'!$A$1:$O$116,15,0)),0,VLOOKUP($U$260,'TAR FIN'!$A$1:$O$116,15,0))</f>
        <v>0</v>
      </c>
      <c r="Y260" s="6">
        <f ca="1">('TUSD BE'!$AM$24+'TUSD BF'!$AM$24+'TUSD CVA'!$AM$24)*1</f>
        <v>21.034406725438203</v>
      </c>
      <c r="Z260" s="6"/>
      <c r="AA260" s="6"/>
      <c r="AB260" s="6">
        <f>$K$260*$V$260</f>
        <v>0</v>
      </c>
      <c r="AC260" s="6">
        <f>$M$260*$W$260</f>
        <v>0</v>
      </c>
      <c r="AD260" s="6">
        <f>$O$260*$X$260</f>
        <v>0</v>
      </c>
      <c r="AE260" s="6">
        <f ca="1">$K$260*$Y$260</f>
        <v>0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21</v>
      </c>
      <c r="B261" s="4" t="s">
        <v>39</v>
      </c>
      <c r="C261" s="4" t="s">
        <v>64</v>
      </c>
      <c r="D261" s="4" t="s">
        <v>25</v>
      </c>
      <c r="E261" s="4" t="s">
        <v>25</v>
      </c>
      <c r="F261" s="4" t="s">
        <v>25</v>
      </c>
      <c r="G261" s="4" t="s">
        <v>88</v>
      </c>
      <c r="H261" s="4" t="s">
        <v>25</v>
      </c>
      <c r="I261" s="5">
        <v>44470</v>
      </c>
      <c r="J261" s="6">
        <v>19500</v>
      </c>
      <c r="K261" s="6">
        <v>9750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66</v>
      </c>
      <c r="R261" s="4">
        <v>27722</v>
      </c>
      <c r="S261" s="6">
        <v>20</v>
      </c>
      <c r="T261" s="6">
        <v>0</v>
      </c>
      <c r="U261" s="6">
        <v>0</v>
      </c>
      <c r="V261" s="6">
        <f>IF(ISERROR(VLOOKUP($S$261,'TAR FIN'!$A$1:$O$116,15,0)),0,VLOOKUP($S$261,'TAR FIN'!$A$1:$O$116,15,0))</f>
        <v>17.920000000000002</v>
      </c>
      <c r="W261" s="6">
        <f>IF(ISERROR(VLOOKUP($T$261,'TAR FIN'!$A$1:$O$116,15,0)),0,VLOOKUP($T$261,'TAR FIN'!$A$1:$O$116,15,0))</f>
        <v>0</v>
      </c>
      <c r="X261" s="6">
        <f>IF(ISERROR(VLOOKUP($U$261,'TAR FIN'!$A$1:$O$116,15,0)),0,VLOOKUP($U$261,'TAR FIN'!$A$1:$O$116,15,0))</f>
        <v>0</v>
      </c>
      <c r="Y261" s="6">
        <f ca="1">('TUSD BE'!$AM$24+'TUSD BF'!$AM$24+'TUSD CVA'!$AM$24)*1</f>
        <v>21.034406725438203</v>
      </c>
      <c r="Z261" s="6"/>
      <c r="AA261" s="6"/>
      <c r="AB261" s="6">
        <f>$K$261*$V$261</f>
        <v>174720.00000000003</v>
      </c>
      <c r="AC261" s="6">
        <f>$M$261*$W$261</f>
        <v>0</v>
      </c>
      <c r="AD261" s="6">
        <f>$O$261*$X$261</f>
        <v>0</v>
      </c>
      <c r="AE261" s="6">
        <f ca="1">$K$261*$Y$261</f>
        <v>205085.46557302246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39</v>
      </c>
      <c r="C262" s="4" t="s">
        <v>64</v>
      </c>
      <c r="D262" s="4" t="s">
        <v>25</v>
      </c>
      <c r="E262" s="4" t="s">
        <v>25</v>
      </c>
      <c r="F262" s="4" t="s">
        <v>25</v>
      </c>
      <c r="G262" s="4" t="s">
        <v>91</v>
      </c>
      <c r="H262" s="4" t="s">
        <v>25</v>
      </c>
      <c r="I262" s="5">
        <v>44470</v>
      </c>
      <c r="J262" s="6">
        <v>22400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66</v>
      </c>
      <c r="R262" s="4">
        <v>27958</v>
      </c>
      <c r="S262" s="6">
        <v>20</v>
      </c>
      <c r="T262" s="6">
        <v>0</v>
      </c>
      <c r="U262" s="6">
        <v>0</v>
      </c>
      <c r="V262" s="6">
        <f>IF(ISERROR(VLOOKUP($S$262,'TAR FIN'!$A$1:$O$116,15,0)),0,VLOOKUP($S$262,'TAR FIN'!$A$1:$O$116,15,0))</f>
        <v>17.920000000000002</v>
      </c>
      <c r="W262" s="6">
        <f>IF(ISERROR(VLOOKUP($T$262,'TAR FIN'!$A$1:$O$116,15,0)),0,VLOOKUP($T$262,'TAR FIN'!$A$1:$O$116,15,0))</f>
        <v>0</v>
      </c>
      <c r="X262" s="6">
        <f>IF(ISERROR(VLOOKUP($U$262,'TAR FIN'!$A$1:$O$116,15,0)),0,VLOOKUP($U$262,'TAR FIN'!$A$1:$O$116,15,0))</f>
        <v>0</v>
      </c>
      <c r="Y262" s="6">
        <f ca="1">('TUSD BE'!$AM$24+'TUSD BF'!$AM$24+'TUSD CVA'!$AM$24)*1</f>
        <v>21.034406725438203</v>
      </c>
      <c r="Z262" s="6"/>
      <c r="AA262" s="6"/>
      <c r="AB262" s="6">
        <f>$K$262*$V$262</f>
        <v>0</v>
      </c>
      <c r="AC262" s="6">
        <f>$M$262*$W$262</f>
        <v>0</v>
      </c>
      <c r="AD262" s="6">
        <f>$O$262*$X$262</f>
        <v>0</v>
      </c>
      <c r="AE262" s="6">
        <f ca="1">$K$262*$Y$262</f>
        <v>0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39</v>
      </c>
      <c r="C263" s="4" t="s">
        <v>64</v>
      </c>
      <c r="D263" s="4" t="s">
        <v>25</v>
      </c>
      <c r="E263" s="4" t="s">
        <v>25</v>
      </c>
      <c r="F263" s="4" t="s">
        <v>25</v>
      </c>
      <c r="G263" s="4" t="s">
        <v>71</v>
      </c>
      <c r="H263" s="4" t="s">
        <v>25</v>
      </c>
      <c r="I263" s="5">
        <v>44501</v>
      </c>
      <c r="J263" s="6">
        <v>13720</v>
      </c>
      <c r="K263" s="6">
        <v>6860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66</v>
      </c>
      <c r="R263" s="4">
        <v>1034</v>
      </c>
      <c r="S263" s="6">
        <v>20</v>
      </c>
      <c r="T263" s="6">
        <v>0</v>
      </c>
      <c r="U263" s="6">
        <v>0</v>
      </c>
      <c r="V263" s="6">
        <f>IF(ISERROR(VLOOKUP($S$263,'TAR FIN'!$A$1:$O$116,15,0)),0,VLOOKUP($S$263,'TAR FIN'!$A$1:$O$116,15,0))</f>
        <v>17.920000000000002</v>
      </c>
      <c r="W263" s="6">
        <f>IF(ISERROR(VLOOKUP($T$263,'TAR FIN'!$A$1:$O$116,15,0)),0,VLOOKUP($T$263,'TAR FIN'!$A$1:$O$116,15,0))</f>
        <v>0</v>
      </c>
      <c r="X263" s="6">
        <f>IF(ISERROR(VLOOKUP($U$263,'TAR FIN'!$A$1:$O$116,15,0)),0,VLOOKUP($U$263,'TAR FIN'!$A$1:$O$116,15,0))</f>
        <v>0</v>
      </c>
      <c r="Y263" s="6">
        <f ca="1">('TUSD BE'!$AM$24+'TUSD BF'!$AM$24+'TUSD CVA'!$AM$24)*1</f>
        <v>21.034406725438203</v>
      </c>
      <c r="Z263" s="6"/>
      <c r="AA263" s="6"/>
      <c r="AB263" s="6">
        <f>$K$263*$V$263</f>
        <v>122931.20000000001</v>
      </c>
      <c r="AC263" s="6">
        <f>$M$263*$W$263</f>
        <v>0</v>
      </c>
      <c r="AD263" s="6">
        <f>$O$263*$X$263</f>
        <v>0</v>
      </c>
      <c r="AE263" s="6">
        <f ca="1">$K$263*$Y$263</f>
        <v>144296.03013650607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39</v>
      </c>
      <c r="C264" s="4" t="s">
        <v>64</v>
      </c>
      <c r="D264" s="4" t="s">
        <v>25</v>
      </c>
      <c r="E264" s="4" t="s">
        <v>25</v>
      </c>
      <c r="F264" s="4" t="s">
        <v>25</v>
      </c>
      <c r="G264" s="4" t="s">
        <v>84</v>
      </c>
      <c r="H264" s="4" t="s">
        <v>25</v>
      </c>
      <c r="I264" s="5">
        <v>44501</v>
      </c>
      <c r="J264" s="6">
        <v>6970</v>
      </c>
      <c r="K264" s="6">
        <v>6970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66</v>
      </c>
      <c r="R264" s="4">
        <v>27034</v>
      </c>
      <c r="S264" s="6">
        <v>20</v>
      </c>
      <c r="T264" s="6">
        <v>0</v>
      </c>
      <c r="U264" s="6">
        <v>0</v>
      </c>
      <c r="V264" s="6">
        <f>IF(ISERROR(VLOOKUP($S$264,'TAR FIN'!$A$1:$O$116,15,0)),0,VLOOKUP($S$264,'TAR FIN'!$A$1:$O$116,15,0))</f>
        <v>17.920000000000002</v>
      </c>
      <c r="W264" s="6">
        <f>IF(ISERROR(VLOOKUP($T$264,'TAR FIN'!$A$1:$O$116,15,0)),0,VLOOKUP($T$264,'TAR FIN'!$A$1:$O$116,15,0))</f>
        <v>0</v>
      </c>
      <c r="X264" s="6">
        <f>IF(ISERROR(VLOOKUP($U$264,'TAR FIN'!$A$1:$O$116,15,0)),0,VLOOKUP($U$264,'TAR FIN'!$A$1:$O$116,15,0))</f>
        <v>0</v>
      </c>
      <c r="Y264" s="6">
        <f ca="1">('TUSD BE'!$AM$24+'TUSD BF'!$AM$24+'TUSD CVA'!$AM$24)*1</f>
        <v>21.034406725438203</v>
      </c>
      <c r="Z264" s="6"/>
      <c r="AA264" s="6"/>
      <c r="AB264" s="6">
        <f>$K$264*$V$264</f>
        <v>124902.40000000001</v>
      </c>
      <c r="AC264" s="6">
        <f>$M$264*$W$264</f>
        <v>0</v>
      </c>
      <c r="AD264" s="6">
        <f>$O$264*$X$264</f>
        <v>0</v>
      </c>
      <c r="AE264" s="6">
        <f ca="1">$K$264*$Y$264</f>
        <v>146609.81487630427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39</v>
      </c>
      <c r="C265" s="4" t="s">
        <v>64</v>
      </c>
      <c r="D265" s="4" t="s">
        <v>25</v>
      </c>
      <c r="E265" s="4" t="s">
        <v>25</v>
      </c>
      <c r="F265" s="4" t="s">
        <v>25</v>
      </c>
      <c r="G265" s="4" t="s">
        <v>85</v>
      </c>
      <c r="H265" s="4" t="s">
        <v>25</v>
      </c>
      <c r="I265" s="5">
        <v>44501</v>
      </c>
      <c r="J265" s="6">
        <v>9600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66</v>
      </c>
      <c r="R265" s="4">
        <v>27207</v>
      </c>
      <c r="S265" s="6">
        <v>20</v>
      </c>
      <c r="T265" s="6">
        <v>0</v>
      </c>
      <c r="U265" s="6">
        <v>0</v>
      </c>
      <c r="V265" s="6">
        <f>IF(ISERROR(VLOOKUP($S$265,'TAR FIN'!$A$1:$O$116,15,0)),0,VLOOKUP($S$265,'TAR FIN'!$A$1:$O$116,15,0))</f>
        <v>17.920000000000002</v>
      </c>
      <c r="W265" s="6">
        <f>IF(ISERROR(VLOOKUP($T$265,'TAR FIN'!$A$1:$O$116,15,0)),0,VLOOKUP($T$265,'TAR FIN'!$A$1:$O$116,15,0))</f>
        <v>0</v>
      </c>
      <c r="X265" s="6">
        <f>IF(ISERROR(VLOOKUP($U$265,'TAR FIN'!$A$1:$O$116,15,0)),0,VLOOKUP($U$265,'TAR FIN'!$A$1:$O$116,15,0))</f>
        <v>0</v>
      </c>
      <c r="Y265" s="6">
        <f ca="1">('TUSD BE'!$AM$24+'TUSD BF'!$AM$24+'TUSD CVA'!$AM$24)*1</f>
        <v>21.034406725438203</v>
      </c>
      <c r="Z265" s="6"/>
      <c r="AA265" s="6"/>
      <c r="AB265" s="6">
        <f>$K$265*$V$265</f>
        <v>0</v>
      </c>
      <c r="AC265" s="6">
        <f>$M$265*$W$265</f>
        <v>0</v>
      </c>
      <c r="AD265" s="6">
        <f>$O$265*$X$265</f>
        <v>0</v>
      </c>
      <c r="AE265" s="6">
        <f ca="1">$K$265*$Y$265</f>
        <v>0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39</v>
      </c>
      <c r="C266" s="4" t="s">
        <v>64</v>
      </c>
      <c r="D266" s="4" t="s">
        <v>25</v>
      </c>
      <c r="E266" s="4" t="s">
        <v>25</v>
      </c>
      <c r="F266" s="4" t="s">
        <v>25</v>
      </c>
      <c r="G266" s="4" t="s">
        <v>88</v>
      </c>
      <c r="H266" s="4" t="s">
        <v>25</v>
      </c>
      <c r="I266" s="5">
        <v>44501</v>
      </c>
      <c r="J266" s="6">
        <v>19500</v>
      </c>
      <c r="K266" s="6">
        <v>9750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66</v>
      </c>
      <c r="R266" s="4">
        <v>27722</v>
      </c>
      <c r="S266" s="6">
        <v>20</v>
      </c>
      <c r="T266" s="6">
        <v>0</v>
      </c>
      <c r="U266" s="6">
        <v>0</v>
      </c>
      <c r="V266" s="6">
        <f>IF(ISERROR(VLOOKUP($S$266,'TAR FIN'!$A$1:$O$116,15,0)),0,VLOOKUP($S$266,'TAR FIN'!$A$1:$O$116,15,0))</f>
        <v>17.920000000000002</v>
      </c>
      <c r="W266" s="6">
        <f>IF(ISERROR(VLOOKUP($T$266,'TAR FIN'!$A$1:$O$116,15,0)),0,VLOOKUP($T$266,'TAR FIN'!$A$1:$O$116,15,0))</f>
        <v>0</v>
      </c>
      <c r="X266" s="6">
        <f>IF(ISERROR(VLOOKUP($U$266,'TAR FIN'!$A$1:$O$116,15,0)),0,VLOOKUP($U$266,'TAR FIN'!$A$1:$O$116,15,0))</f>
        <v>0</v>
      </c>
      <c r="Y266" s="6">
        <f ca="1">('TUSD BE'!$AM$24+'TUSD BF'!$AM$24+'TUSD CVA'!$AM$24)*1</f>
        <v>21.034406725438203</v>
      </c>
      <c r="Z266" s="6"/>
      <c r="AA266" s="6"/>
      <c r="AB266" s="6">
        <f>$K$266*$V$266</f>
        <v>174720.00000000003</v>
      </c>
      <c r="AC266" s="6">
        <f>$M$266*$W$266</f>
        <v>0</v>
      </c>
      <c r="AD266" s="6">
        <f>$O$266*$X$266</f>
        <v>0</v>
      </c>
      <c r="AE266" s="6">
        <f ca="1">$K$266*$Y$266</f>
        <v>205085.46557302246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39</v>
      </c>
      <c r="C267" s="4" t="s">
        <v>64</v>
      </c>
      <c r="D267" s="4" t="s">
        <v>25</v>
      </c>
      <c r="E267" s="4" t="s">
        <v>25</v>
      </c>
      <c r="F267" s="4" t="s">
        <v>25</v>
      </c>
      <c r="G267" s="4" t="s">
        <v>91</v>
      </c>
      <c r="H267" s="4" t="s">
        <v>25</v>
      </c>
      <c r="I267" s="5">
        <v>44501</v>
      </c>
      <c r="J267" s="6">
        <v>22400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66</v>
      </c>
      <c r="R267" s="4">
        <v>27958</v>
      </c>
      <c r="S267" s="6">
        <v>20</v>
      </c>
      <c r="T267" s="6">
        <v>0</v>
      </c>
      <c r="U267" s="6">
        <v>0</v>
      </c>
      <c r="V267" s="6">
        <f>IF(ISERROR(VLOOKUP($S$267,'TAR FIN'!$A$1:$O$116,15,0)),0,VLOOKUP($S$267,'TAR FIN'!$A$1:$O$116,15,0))</f>
        <v>17.920000000000002</v>
      </c>
      <c r="W267" s="6">
        <f>IF(ISERROR(VLOOKUP($T$267,'TAR FIN'!$A$1:$O$116,15,0)),0,VLOOKUP($T$267,'TAR FIN'!$A$1:$O$116,15,0))</f>
        <v>0</v>
      </c>
      <c r="X267" s="6">
        <f>IF(ISERROR(VLOOKUP($U$267,'TAR FIN'!$A$1:$O$116,15,0)),0,VLOOKUP($U$267,'TAR FIN'!$A$1:$O$116,15,0))</f>
        <v>0</v>
      </c>
      <c r="Y267" s="6">
        <f ca="1">('TUSD BE'!$AM$24+'TUSD BF'!$AM$24+'TUSD CVA'!$AM$24)*1</f>
        <v>21.034406725438203</v>
      </c>
      <c r="Z267" s="6"/>
      <c r="AA267" s="6"/>
      <c r="AB267" s="6">
        <f>$K$267*$V$267</f>
        <v>0</v>
      </c>
      <c r="AC267" s="6">
        <f>$M$267*$W$267</f>
        <v>0</v>
      </c>
      <c r="AD267" s="6">
        <f>$O$267*$X$267</f>
        <v>0</v>
      </c>
      <c r="AE267" s="6">
        <f ca="1">$K$267*$Y$267</f>
        <v>0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21</v>
      </c>
      <c r="B268" s="4" t="s">
        <v>39</v>
      </c>
      <c r="C268" s="4" t="s">
        <v>64</v>
      </c>
      <c r="D268" s="4" t="s">
        <v>25</v>
      </c>
      <c r="E268" s="4" t="s">
        <v>25</v>
      </c>
      <c r="F268" s="4" t="s">
        <v>25</v>
      </c>
      <c r="G268" s="4" t="s">
        <v>71</v>
      </c>
      <c r="H268" s="4" t="s">
        <v>25</v>
      </c>
      <c r="I268" s="5">
        <v>44531</v>
      </c>
      <c r="J268" s="6">
        <v>13720</v>
      </c>
      <c r="K268" s="6">
        <v>6860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66</v>
      </c>
      <c r="R268" s="4">
        <v>1034</v>
      </c>
      <c r="S268" s="6">
        <v>20</v>
      </c>
      <c r="T268" s="6">
        <v>0</v>
      </c>
      <c r="U268" s="6">
        <v>0</v>
      </c>
      <c r="V268" s="6">
        <f>IF(ISERROR(VLOOKUP($S$268,'TAR FIN'!$A$1:$O$116,15,0)),0,VLOOKUP($S$268,'TAR FIN'!$A$1:$O$116,15,0))</f>
        <v>17.920000000000002</v>
      </c>
      <c r="W268" s="6">
        <f>IF(ISERROR(VLOOKUP($T$268,'TAR FIN'!$A$1:$O$116,15,0)),0,VLOOKUP($T$268,'TAR FIN'!$A$1:$O$116,15,0))</f>
        <v>0</v>
      </c>
      <c r="X268" s="6">
        <f>IF(ISERROR(VLOOKUP($U$268,'TAR FIN'!$A$1:$O$116,15,0)),0,VLOOKUP($U$268,'TAR FIN'!$A$1:$O$116,15,0))</f>
        <v>0</v>
      </c>
      <c r="Y268" s="6">
        <f ca="1">('TUSD BE'!$AM$24+'TUSD BF'!$AM$24+'TUSD CVA'!$AM$24)*1</f>
        <v>21.034406725438203</v>
      </c>
      <c r="Z268" s="6"/>
      <c r="AA268" s="6"/>
      <c r="AB268" s="6">
        <f>$K$268*$V$268</f>
        <v>122931.20000000001</v>
      </c>
      <c r="AC268" s="6">
        <f>$M$268*$W$268</f>
        <v>0</v>
      </c>
      <c r="AD268" s="6">
        <f>$O$268*$X$268</f>
        <v>0</v>
      </c>
      <c r="AE268" s="6">
        <f ca="1">$K$268*$Y$268</f>
        <v>144296.03013650607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39</v>
      </c>
      <c r="C269" s="4" t="s">
        <v>64</v>
      </c>
      <c r="D269" s="4" t="s">
        <v>25</v>
      </c>
      <c r="E269" s="4" t="s">
        <v>25</v>
      </c>
      <c r="F269" s="4" t="s">
        <v>25</v>
      </c>
      <c r="G269" s="4" t="s">
        <v>84</v>
      </c>
      <c r="H269" s="4" t="s">
        <v>25</v>
      </c>
      <c r="I269" s="5">
        <v>44531</v>
      </c>
      <c r="J269" s="6">
        <v>6970</v>
      </c>
      <c r="K269" s="6">
        <v>6970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4" t="s">
        <v>66</v>
      </c>
      <c r="R269" s="4">
        <v>27034</v>
      </c>
      <c r="S269" s="6">
        <v>20</v>
      </c>
      <c r="T269" s="6">
        <v>0</v>
      </c>
      <c r="U269" s="6">
        <v>0</v>
      </c>
      <c r="V269" s="6">
        <f>IF(ISERROR(VLOOKUP($S$269,'TAR FIN'!$A$1:$O$116,15,0)),0,VLOOKUP($S$269,'TAR FIN'!$A$1:$O$116,15,0))</f>
        <v>17.920000000000002</v>
      </c>
      <c r="W269" s="6">
        <f>IF(ISERROR(VLOOKUP($T$269,'TAR FIN'!$A$1:$O$116,15,0)),0,VLOOKUP($T$269,'TAR FIN'!$A$1:$O$116,15,0))</f>
        <v>0</v>
      </c>
      <c r="X269" s="6">
        <f>IF(ISERROR(VLOOKUP($U$269,'TAR FIN'!$A$1:$O$116,15,0)),0,VLOOKUP($U$269,'TAR FIN'!$A$1:$O$116,15,0))</f>
        <v>0</v>
      </c>
      <c r="Y269" s="6">
        <f ca="1">('TUSD BE'!$AM$24+'TUSD BF'!$AM$24+'TUSD CVA'!$AM$24)*1</f>
        <v>21.034406725438203</v>
      </c>
      <c r="Z269" s="6"/>
      <c r="AA269" s="6"/>
      <c r="AB269" s="6">
        <f>$K$269*$V$269</f>
        <v>124902.40000000001</v>
      </c>
      <c r="AC269" s="6">
        <f>$M$269*$W$269</f>
        <v>0</v>
      </c>
      <c r="AD269" s="6">
        <f>$O$269*$X$269</f>
        <v>0</v>
      </c>
      <c r="AE269" s="6">
        <f ca="1">$K$269*$Y$269</f>
        <v>146609.81487630427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39</v>
      </c>
      <c r="C270" s="4" t="s">
        <v>64</v>
      </c>
      <c r="D270" s="4" t="s">
        <v>25</v>
      </c>
      <c r="E270" s="4" t="s">
        <v>25</v>
      </c>
      <c r="F270" s="4" t="s">
        <v>25</v>
      </c>
      <c r="G270" s="4" t="s">
        <v>85</v>
      </c>
      <c r="H270" s="4" t="s">
        <v>25</v>
      </c>
      <c r="I270" s="5">
        <v>44531</v>
      </c>
      <c r="J270" s="6">
        <v>9600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66</v>
      </c>
      <c r="R270" s="4">
        <v>27207</v>
      </c>
      <c r="S270" s="6">
        <v>20</v>
      </c>
      <c r="T270" s="6">
        <v>0</v>
      </c>
      <c r="U270" s="6">
        <v>0</v>
      </c>
      <c r="V270" s="6">
        <f>IF(ISERROR(VLOOKUP($S$270,'TAR FIN'!$A$1:$O$116,15,0)),0,VLOOKUP($S$270,'TAR FIN'!$A$1:$O$116,15,0))</f>
        <v>17.920000000000002</v>
      </c>
      <c r="W270" s="6">
        <f>IF(ISERROR(VLOOKUP($T$270,'TAR FIN'!$A$1:$O$116,15,0)),0,VLOOKUP($T$270,'TAR FIN'!$A$1:$O$116,15,0))</f>
        <v>0</v>
      </c>
      <c r="X270" s="6">
        <f>IF(ISERROR(VLOOKUP($U$270,'TAR FIN'!$A$1:$O$116,15,0)),0,VLOOKUP($U$270,'TAR FIN'!$A$1:$O$116,15,0))</f>
        <v>0</v>
      </c>
      <c r="Y270" s="6">
        <f ca="1">('TUSD BE'!$AM$24+'TUSD BF'!$AM$24+'TUSD CVA'!$AM$24)*1</f>
        <v>21.034406725438203</v>
      </c>
      <c r="Z270" s="6"/>
      <c r="AA270" s="6"/>
      <c r="AB270" s="6">
        <f>$K$270*$V$270</f>
        <v>0</v>
      </c>
      <c r="AC270" s="6">
        <f>$M$270*$W$270</f>
        <v>0</v>
      </c>
      <c r="AD270" s="6">
        <f>$O$270*$X$270</f>
        <v>0</v>
      </c>
      <c r="AE270" s="6">
        <f ca="1">$K$270*$Y$270</f>
        <v>0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39</v>
      </c>
      <c r="C271" s="4" t="s">
        <v>64</v>
      </c>
      <c r="D271" s="4" t="s">
        <v>25</v>
      </c>
      <c r="E271" s="4" t="s">
        <v>25</v>
      </c>
      <c r="F271" s="4" t="s">
        <v>25</v>
      </c>
      <c r="G271" s="4" t="s">
        <v>88</v>
      </c>
      <c r="H271" s="4" t="s">
        <v>25</v>
      </c>
      <c r="I271" s="5">
        <v>44531</v>
      </c>
      <c r="J271" s="6">
        <v>19500</v>
      </c>
      <c r="K271" s="6">
        <v>9750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66</v>
      </c>
      <c r="R271" s="4">
        <v>27722</v>
      </c>
      <c r="S271" s="6">
        <v>20</v>
      </c>
      <c r="T271" s="6">
        <v>0</v>
      </c>
      <c r="U271" s="6">
        <v>0</v>
      </c>
      <c r="V271" s="6">
        <f>IF(ISERROR(VLOOKUP($S$271,'TAR FIN'!$A$1:$O$116,15,0)),0,VLOOKUP($S$271,'TAR FIN'!$A$1:$O$116,15,0))</f>
        <v>17.920000000000002</v>
      </c>
      <c r="W271" s="6">
        <f>IF(ISERROR(VLOOKUP($T$271,'TAR FIN'!$A$1:$O$116,15,0)),0,VLOOKUP($T$271,'TAR FIN'!$A$1:$O$116,15,0))</f>
        <v>0</v>
      </c>
      <c r="X271" s="6">
        <f>IF(ISERROR(VLOOKUP($U$271,'TAR FIN'!$A$1:$O$116,15,0)),0,VLOOKUP($U$271,'TAR FIN'!$A$1:$O$116,15,0))</f>
        <v>0</v>
      </c>
      <c r="Y271" s="6">
        <f ca="1">('TUSD BE'!$AM$24+'TUSD BF'!$AM$24+'TUSD CVA'!$AM$24)*1</f>
        <v>21.034406725438203</v>
      </c>
      <c r="Z271" s="6"/>
      <c r="AA271" s="6"/>
      <c r="AB271" s="6">
        <f>$K$271*$V$271</f>
        <v>174720.00000000003</v>
      </c>
      <c r="AC271" s="6">
        <f>$M$271*$W$271</f>
        <v>0</v>
      </c>
      <c r="AD271" s="6">
        <f>$O$271*$X$271</f>
        <v>0</v>
      </c>
      <c r="AE271" s="6">
        <f ca="1">$K$271*$Y$271</f>
        <v>205085.46557302246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39</v>
      </c>
      <c r="C272" s="4" t="s">
        <v>64</v>
      </c>
      <c r="D272" s="4" t="s">
        <v>25</v>
      </c>
      <c r="E272" s="4" t="s">
        <v>25</v>
      </c>
      <c r="F272" s="4" t="s">
        <v>25</v>
      </c>
      <c r="G272" s="4" t="s">
        <v>91</v>
      </c>
      <c r="H272" s="4" t="s">
        <v>25</v>
      </c>
      <c r="I272" s="5">
        <v>44531</v>
      </c>
      <c r="J272" s="6">
        <v>22400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66</v>
      </c>
      <c r="R272" s="4">
        <v>27958</v>
      </c>
      <c r="S272" s="6">
        <v>20</v>
      </c>
      <c r="T272" s="6">
        <v>0</v>
      </c>
      <c r="U272" s="6">
        <v>0</v>
      </c>
      <c r="V272" s="6">
        <f>IF(ISERROR(VLOOKUP($S$272,'TAR FIN'!$A$1:$O$116,15,0)),0,VLOOKUP($S$272,'TAR FIN'!$A$1:$O$116,15,0))</f>
        <v>17.920000000000002</v>
      </c>
      <c r="W272" s="6">
        <f>IF(ISERROR(VLOOKUP($T$272,'TAR FIN'!$A$1:$O$116,15,0)),0,VLOOKUP($T$272,'TAR FIN'!$A$1:$O$116,15,0))</f>
        <v>0</v>
      </c>
      <c r="X272" s="6">
        <f>IF(ISERROR(VLOOKUP($U$272,'TAR FIN'!$A$1:$O$116,15,0)),0,VLOOKUP($U$272,'TAR FIN'!$A$1:$O$116,15,0))</f>
        <v>0</v>
      </c>
      <c r="Y272" s="6">
        <f ca="1">('TUSD BE'!$AM$24+'TUSD BF'!$AM$24+'TUSD CVA'!$AM$24)*1</f>
        <v>21.034406725438203</v>
      </c>
      <c r="Z272" s="6"/>
      <c r="AA272" s="6"/>
      <c r="AB272" s="6">
        <f>$K$272*$V$272</f>
        <v>0</v>
      </c>
      <c r="AC272" s="6">
        <f>$M$272*$W$272</f>
        <v>0</v>
      </c>
      <c r="AD272" s="6">
        <f>$O$272*$X$272</f>
        <v>0</v>
      </c>
      <c r="AE272" s="6">
        <f ca="1">$K$272*$Y$272</f>
        <v>0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39</v>
      </c>
      <c r="C273" s="4" t="s">
        <v>64</v>
      </c>
      <c r="D273" s="4" t="s">
        <v>25</v>
      </c>
      <c r="E273" s="4" t="s">
        <v>25</v>
      </c>
      <c r="F273" s="4" t="s">
        <v>25</v>
      </c>
      <c r="G273" s="4" t="s">
        <v>71</v>
      </c>
      <c r="H273" s="4" t="s">
        <v>25</v>
      </c>
      <c r="I273" s="5">
        <v>44562</v>
      </c>
      <c r="J273" s="6">
        <v>13720</v>
      </c>
      <c r="K273" s="6">
        <v>6860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66</v>
      </c>
      <c r="R273" s="4">
        <v>1034</v>
      </c>
      <c r="S273" s="6">
        <v>20</v>
      </c>
      <c r="T273" s="6">
        <v>0</v>
      </c>
      <c r="U273" s="6">
        <v>0</v>
      </c>
      <c r="V273" s="6">
        <f>IF(ISERROR(VLOOKUP($S$273,'TAR FIN'!$A$1:$O$116,15,0)),0,VLOOKUP($S$273,'TAR FIN'!$A$1:$O$116,15,0))</f>
        <v>17.920000000000002</v>
      </c>
      <c r="W273" s="6">
        <f>IF(ISERROR(VLOOKUP($T$273,'TAR FIN'!$A$1:$O$116,15,0)),0,VLOOKUP($T$273,'TAR FIN'!$A$1:$O$116,15,0))</f>
        <v>0</v>
      </c>
      <c r="X273" s="6">
        <f>IF(ISERROR(VLOOKUP($U$273,'TAR FIN'!$A$1:$O$116,15,0)),0,VLOOKUP($U$273,'TAR FIN'!$A$1:$O$116,15,0))</f>
        <v>0</v>
      </c>
      <c r="Y273" s="6">
        <f ca="1">('TUSD BE'!$AM$24+'TUSD BF'!$AM$24+'TUSD CVA'!$AM$24)*1</f>
        <v>21.034406725438203</v>
      </c>
      <c r="Z273" s="6"/>
      <c r="AA273" s="6"/>
      <c r="AB273" s="6">
        <f>$K$273*$V$273</f>
        <v>122931.20000000001</v>
      </c>
      <c r="AC273" s="6">
        <f>$M$273*$W$273</f>
        <v>0</v>
      </c>
      <c r="AD273" s="6">
        <f>$O$273*$X$273</f>
        <v>0</v>
      </c>
      <c r="AE273" s="6">
        <f ca="1">$K$273*$Y$273</f>
        <v>144296.03013650607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21</v>
      </c>
      <c r="B274" s="4" t="s">
        <v>39</v>
      </c>
      <c r="C274" s="4" t="s">
        <v>64</v>
      </c>
      <c r="D274" s="4" t="s">
        <v>25</v>
      </c>
      <c r="E274" s="4" t="s">
        <v>25</v>
      </c>
      <c r="F274" s="4" t="s">
        <v>25</v>
      </c>
      <c r="G274" s="4" t="s">
        <v>84</v>
      </c>
      <c r="H274" s="4" t="s">
        <v>25</v>
      </c>
      <c r="I274" s="5">
        <v>44562</v>
      </c>
      <c r="J274" s="6">
        <v>6970</v>
      </c>
      <c r="K274" s="6">
        <v>6970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66</v>
      </c>
      <c r="R274" s="4">
        <v>27034</v>
      </c>
      <c r="S274" s="6">
        <v>20</v>
      </c>
      <c r="T274" s="6">
        <v>0</v>
      </c>
      <c r="U274" s="6">
        <v>0</v>
      </c>
      <c r="V274" s="6">
        <f>IF(ISERROR(VLOOKUP($S$274,'TAR FIN'!$A$1:$O$116,15,0)),0,VLOOKUP($S$274,'TAR FIN'!$A$1:$O$116,15,0))</f>
        <v>17.920000000000002</v>
      </c>
      <c r="W274" s="6">
        <f>IF(ISERROR(VLOOKUP($T$274,'TAR FIN'!$A$1:$O$116,15,0)),0,VLOOKUP($T$274,'TAR FIN'!$A$1:$O$116,15,0))</f>
        <v>0</v>
      </c>
      <c r="X274" s="6">
        <f>IF(ISERROR(VLOOKUP($U$274,'TAR FIN'!$A$1:$O$116,15,0)),0,VLOOKUP($U$274,'TAR FIN'!$A$1:$O$116,15,0))</f>
        <v>0</v>
      </c>
      <c r="Y274" s="6">
        <f ca="1">('TUSD BE'!$AM$24+'TUSD BF'!$AM$24+'TUSD CVA'!$AM$24)*1</f>
        <v>21.034406725438203</v>
      </c>
      <c r="Z274" s="6"/>
      <c r="AA274" s="6"/>
      <c r="AB274" s="6">
        <f>$K$274*$V$274</f>
        <v>124902.40000000001</v>
      </c>
      <c r="AC274" s="6">
        <f>$M$274*$W$274</f>
        <v>0</v>
      </c>
      <c r="AD274" s="6">
        <f>$O$274*$X$274</f>
        <v>0</v>
      </c>
      <c r="AE274" s="6">
        <f ca="1">$K$274*$Y$274</f>
        <v>146609.81487630427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39</v>
      </c>
      <c r="C275" s="4" t="s">
        <v>64</v>
      </c>
      <c r="D275" s="4" t="s">
        <v>25</v>
      </c>
      <c r="E275" s="4" t="s">
        <v>25</v>
      </c>
      <c r="F275" s="4" t="s">
        <v>25</v>
      </c>
      <c r="G275" s="4" t="s">
        <v>85</v>
      </c>
      <c r="H275" s="4" t="s">
        <v>25</v>
      </c>
      <c r="I275" s="5">
        <v>44562</v>
      </c>
      <c r="J275" s="6">
        <v>9600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66</v>
      </c>
      <c r="R275" s="4">
        <v>27207</v>
      </c>
      <c r="S275" s="6">
        <v>20</v>
      </c>
      <c r="T275" s="6">
        <v>0</v>
      </c>
      <c r="U275" s="6">
        <v>0</v>
      </c>
      <c r="V275" s="6">
        <f>IF(ISERROR(VLOOKUP($S$275,'TAR FIN'!$A$1:$O$116,15,0)),0,VLOOKUP($S$275,'TAR FIN'!$A$1:$O$116,15,0))</f>
        <v>17.920000000000002</v>
      </c>
      <c r="W275" s="6">
        <f>IF(ISERROR(VLOOKUP($T$275,'TAR FIN'!$A$1:$O$116,15,0)),0,VLOOKUP($T$275,'TAR FIN'!$A$1:$O$116,15,0))</f>
        <v>0</v>
      </c>
      <c r="X275" s="6">
        <f>IF(ISERROR(VLOOKUP($U$275,'TAR FIN'!$A$1:$O$116,15,0)),0,VLOOKUP($U$275,'TAR FIN'!$A$1:$O$116,15,0))</f>
        <v>0</v>
      </c>
      <c r="Y275" s="6">
        <f ca="1">('TUSD BE'!$AM$24+'TUSD BF'!$AM$24+'TUSD CVA'!$AM$24)*1</f>
        <v>21.034406725438203</v>
      </c>
      <c r="Z275" s="6"/>
      <c r="AA275" s="6"/>
      <c r="AB275" s="6">
        <f>$K$275*$V$275</f>
        <v>0</v>
      </c>
      <c r="AC275" s="6">
        <f>$M$275*$W$275</f>
        <v>0</v>
      </c>
      <c r="AD275" s="6">
        <f>$O$275*$X$275</f>
        <v>0</v>
      </c>
      <c r="AE275" s="6">
        <f ca="1">$K$275*$Y$275</f>
        <v>0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39</v>
      </c>
      <c r="C276" s="4" t="s">
        <v>64</v>
      </c>
      <c r="D276" s="4" t="s">
        <v>25</v>
      </c>
      <c r="E276" s="4" t="s">
        <v>25</v>
      </c>
      <c r="F276" s="4" t="s">
        <v>25</v>
      </c>
      <c r="G276" s="4" t="s">
        <v>88</v>
      </c>
      <c r="H276" s="4" t="s">
        <v>25</v>
      </c>
      <c r="I276" s="5">
        <v>44562</v>
      </c>
      <c r="J276" s="6">
        <v>19500</v>
      </c>
      <c r="K276" s="6">
        <v>9750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66</v>
      </c>
      <c r="R276" s="4">
        <v>27722</v>
      </c>
      <c r="S276" s="6">
        <v>20</v>
      </c>
      <c r="T276" s="6">
        <v>0</v>
      </c>
      <c r="U276" s="6">
        <v>0</v>
      </c>
      <c r="V276" s="6">
        <f>IF(ISERROR(VLOOKUP($S$276,'TAR FIN'!$A$1:$O$116,15,0)),0,VLOOKUP($S$276,'TAR FIN'!$A$1:$O$116,15,0))</f>
        <v>17.920000000000002</v>
      </c>
      <c r="W276" s="6">
        <f>IF(ISERROR(VLOOKUP($T$276,'TAR FIN'!$A$1:$O$116,15,0)),0,VLOOKUP($T$276,'TAR FIN'!$A$1:$O$116,15,0))</f>
        <v>0</v>
      </c>
      <c r="X276" s="6">
        <f>IF(ISERROR(VLOOKUP($U$276,'TAR FIN'!$A$1:$O$116,15,0)),0,VLOOKUP($U$276,'TAR FIN'!$A$1:$O$116,15,0))</f>
        <v>0</v>
      </c>
      <c r="Y276" s="6">
        <f ca="1">('TUSD BE'!$AM$24+'TUSD BF'!$AM$24+'TUSD CVA'!$AM$24)*1</f>
        <v>21.034406725438203</v>
      </c>
      <c r="Z276" s="6"/>
      <c r="AA276" s="6"/>
      <c r="AB276" s="6">
        <f>$K$276*$V$276</f>
        <v>174720.00000000003</v>
      </c>
      <c r="AC276" s="6">
        <f>$M$276*$W$276</f>
        <v>0</v>
      </c>
      <c r="AD276" s="6">
        <f>$O$276*$X$276</f>
        <v>0</v>
      </c>
      <c r="AE276" s="6">
        <f ca="1">$K$276*$Y$276</f>
        <v>205085.46557302246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39</v>
      </c>
      <c r="C277" s="4" t="s">
        <v>64</v>
      </c>
      <c r="D277" s="4" t="s">
        <v>25</v>
      </c>
      <c r="E277" s="4" t="s">
        <v>25</v>
      </c>
      <c r="F277" s="4" t="s">
        <v>25</v>
      </c>
      <c r="G277" s="4" t="s">
        <v>91</v>
      </c>
      <c r="H277" s="4" t="s">
        <v>25</v>
      </c>
      <c r="I277" s="5">
        <v>44562</v>
      </c>
      <c r="J277" s="6">
        <v>22400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66</v>
      </c>
      <c r="R277" s="4">
        <v>27958</v>
      </c>
      <c r="S277" s="6">
        <v>20</v>
      </c>
      <c r="T277" s="6">
        <v>0</v>
      </c>
      <c r="U277" s="6">
        <v>0</v>
      </c>
      <c r="V277" s="6">
        <f>IF(ISERROR(VLOOKUP($S$277,'TAR FIN'!$A$1:$O$116,15,0)),0,VLOOKUP($S$277,'TAR FIN'!$A$1:$O$116,15,0))</f>
        <v>17.920000000000002</v>
      </c>
      <c r="W277" s="6">
        <f>IF(ISERROR(VLOOKUP($T$277,'TAR FIN'!$A$1:$O$116,15,0)),0,VLOOKUP($T$277,'TAR FIN'!$A$1:$O$116,15,0))</f>
        <v>0</v>
      </c>
      <c r="X277" s="6">
        <f>IF(ISERROR(VLOOKUP($U$277,'TAR FIN'!$A$1:$O$116,15,0)),0,VLOOKUP($U$277,'TAR FIN'!$A$1:$O$116,15,0))</f>
        <v>0</v>
      </c>
      <c r="Y277" s="6">
        <f ca="1">('TUSD BE'!$AM$24+'TUSD BF'!$AM$24+'TUSD CVA'!$AM$24)*1</f>
        <v>21.034406725438203</v>
      </c>
      <c r="Z277" s="6"/>
      <c r="AA277" s="6"/>
      <c r="AB277" s="6">
        <f>$K$277*$V$277</f>
        <v>0</v>
      </c>
      <c r="AC277" s="6">
        <f>$M$277*$W$277</f>
        <v>0</v>
      </c>
      <c r="AD277" s="6">
        <f>$O$277*$X$277</f>
        <v>0</v>
      </c>
      <c r="AE277" s="6">
        <f ca="1">$K$277*$Y$277</f>
        <v>0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21</v>
      </c>
      <c r="B278" s="4" t="s">
        <v>39</v>
      </c>
      <c r="C278" s="4" t="s">
        <v>64</v>
      </c>
      <c r="D278" s="4" t="s">
        <v>25</v>
      </c>
      <c r="E278" s="4" t="s">
        <v>25</v>
      </c>
      <c r="F278" s="4" t="s">
        <v>25</v>
      </c>
      <c r="G278" s="4" t="s">
        <v>71</v>
      </c>
      <c r="H278" s="4" t="s">
        <v>25</v>
      </c>
      <c r="I278" s="5">
        <v>44593</v>
      </c>
      <c r="J278" s="6">
        <v>13720</v>
      </c>
      <c r="K278" s="6">
        <v>6860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66</v>
      </c>
      <c r="R278" s="4">
        <v>1034</v>
      </c>
      <c r="S278" s="6">
        <v>20</v>
      </c>
      <c r="T278" s="6">
        <v>0</v>
      </c>
      <c r="U278" s="6">
        <v>0</v>
      </c>
      <c r="V278" s="6">
        <f>IF(ISERROR(VLOOKUP($S$278,'TAR FIN'!$A$1:$O$116,15,0)),0,VLOOKUP($S$278,'TAR FIN'!$A$1:$O$116,15,0))</f>
        <v>17.920000000000002</v>
      </c>
      <c r="W278" s="6">
        <f>IF(ISERROR(VLOOKUP($T$278,'TAR FIN'!$A$1:$O$116,15,0)),0,VLOOKUP($T$278,'TAR FIN'!$A$1:$O$116,15,0))</f>
        <v>0</v>
      </c>
      <c r="X278" s="6">
        <f>IF(ISERROR(VLOOKUP($U$278,'TAR FIN'!$A$1:$O$116,15,0)),0,VLOOKUP($U$278,'TAR FIN'!$A$1:$O$116,15,0))</f>
        <v>0</v>
      </c>
      <c r="Y278" s="6">
        <f ca="1">('TUSD BE'!$AM$24+'TUSD BF'!$AM$24+'TUSD CVA'!$AM$24)*1</f>
        <v>21.034406725438203</v>
      </c>
      <c r="Z278" s="6"/>
      <c r="AA278" s="6"/>
      <c r="AB278" s="6">
        <f>$K$278*$V$278</f>
        <v>122931.20000000001</v>
      </c>
      <c r="AC278" s="6">
        <f>$M$278*$W$278</f>
        <v>0</v>
      </c>
      <c r="AD278" s="6">
        <f>$O$278*$X$278</f>
        <v>0</v>
      </c>
      <c r="AE278" s="6">
        <f ca="1">$K$278*$Y$278</f>
        <v>144296.03013650607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39</v>
      </c>
      <c r="C279" s="4" t="s">
        <v>64</v>
      </c>
      <c r="D279" s="4" t="s">
        <v>25</v>
      </c>
      <c r="E279" s="4" t="s">
        <v>25</v>
      </c>
      <c r="F279" s="4" t="s">
        <v>25</v>
      </c>
      <c r="G279" s="4" t="s">
        <v>84</v>
      </c>
      <c r="H279" s="4" t="s">
        <v>25</v>
      </c>
      <c r="I279" s="5">
        <v>44593</v>
      </c>
      <c r="J279" s="6">
        <v>6970</v>
      </c>
      <c r="K279" s="6">
        <v>6970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66</v>
      </c>
      <c r="R279" s="4">
        <v>27034</v>
      </c>
      <c r="S279" s="6">
        <v>20</v>
      </c>
      <c r="T279" s="6">
        <v>0</v>
      </c>
      <c r="U279" s="6">
        <v>0</v>
      </c>
      <c r="V279" s="6">
        <f>IF(ISERROR(VLOOKUP($S$279,'TAR FIN'!$A$1:$O$116,15,0)),0,VLOOKUP($S$279,'TAR FIN'!$A$1:$O$116,15,0))</f>
        <v>17.920000000000002</v>
      </c>
      <c r="W279" s="6">
        <f>IF(ISERROR(VLOOKUP($T$279,'TAR FIN'!$A$1:$O$116,15,0)),0,VLOOKUP($T$279,'TAR FIN'!$A$1:$O$116,15,0))</f>
        <v>0</v>
      </c>
      <c r="X279" s="6">
        <f>IF(ISERROR(VLOOKUP($U$279,'TAR FIN'!$A$1:$O$116,15,0)),0,VLOOKUP($U$279,'TAR FIN'!$A$1:$O$116,15,0))</f>
        <v>0</v>
      </c>
      <c r="Y279" s="6">
        <f ca="1">('TUSD BE'!$AM$24+'TUSD BF'!$AM$24+'TUSD CVA'!$AM$24)*1</f>
        <v>21.034406725438203</v>
      </c>
      <c r="Z279" s="6"/>
      <c r="AA279" s="6"/>
      <c r="AB279" s="6">
        <f>$K$279*$V$279</f>
        <v>124902.40000000001</v>
      </c>
      <c r="AC279" s="6">
        <f>$M$279*$W$279</f>
        <v>0</v>
      </c>
      <c r="AD279" s="6">
        <f>$O$279*$X$279</f>
        <v>0</v>
      </c>
      <c r="AE279" s="6">
        <f ca="1">$K$279*$Y$279</f>
        <v>146609.81487630427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21</v>
      </c>
      <c r="B280" s="4" t="s">
        <v>39</v>
      </c>
      <c r="C280" s="4" t="s">
        <v>64</v>
      </c>
      <c r="D280" s="4" t="s">
        <v>25</v>
      </c>
      <c r="E280" s="4" t="s">
        <v>25</v>
      </c>
      <c r="F280" s="4" t="s">
        <v>25</v>
      </c>
      <c r="G280" s="4" t="s">
        <v>85</v>
      </c>
      <c r="H280" s="4" t="s">
        <v>25</v>
      </c>
      <c r="I280" s="5">
        <v>44593</v>
      </c>
      <c r="J280" s="6">
        <v>9600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66</v>
      </c>
      <c r="R280" s="4">
        <v>27207</v>
      </c>
      <c r="S280" s="6">
        <v>20</v>
      </c>
      <c r="T280" s="6">
        <v>0</v>
      </c>
      <c r="U280" s="6">
        <v>0</v>
      </c>
      <c r="V280" s="6">
        <f>IF(ISERROR(VLOOKUP($S$280,'TAR FIN'!$A$1:$O$116,15,0)),0,VLOOKUP($S$280,'TAR FIN'!$A$1:$O$116,15,0))</f>
        <v>17.920000000000002</v>
      </c>
      <c r="W280" s="6">
        <f>IF(ISERROR(VLOOKUP($T$280,'TAR FIN'!$A$1:$O$116,15,0)),0,VLOOKUP($T$280,'TAR FIN'!$A$1:$O$116,15,0))</f>
        <v>0</v>
      </c>
      <c r="X280" s="6">
        <f>IF(ISERROR(VLOOKUP($U$280,'TAR FIN'!$A$1:$O$116,15,0)),0,VLOOKUP($U$280,'TAR FIN'!$A$1:$O$116,15,0))</f>
        <v>0</v>
      </c>
      <c r="Y280" s="6">
        <f ca="1">('TUSD BE'!$AM$24+'TUSD BF'!$AM$24+'TUSD CVA'!$AM$24)*1</f>
        <v>21.034406725438203</v>
      </c>
      <c r="Z280" s="6"/>
      <c r="AA280" s="6"/>
      <c r="AB280" s="6">
        <f>$K$280*$V$280</f>
        <v>0</v>
      </c>
      <c r="AC280" s="6">
        <f>$M$280*$W$280</f>
        <v>0</v>
      </c>
      <c r="AD280" s="6">
        <f>$O$280*$X$280</f>
        <v>0</v>
      </c>
      <c r="AE280" s="6">
        <f ca="1">$K$280*$Y$280</f>
        <v>0</v>
      </c>
      <c r="AF280" s="6">
        <f>$M$280*$Z$280</f>
        <v>0</v>
      </c>
      <c r="AG280" s="6">
        <f>$O$280*$AA$280</f>
        <v>0</v>
      </c>
    </row>
    <row r="281" spans="1:33" ht="11.25" customHeight="1" x14ac:dyDescent="0.25">
      <c r="A281" s="4" t="s">
        <v>21</v>
      </c>
      <c r="B281" s="4" t="s">
        <v>39</v>
      </c>
      <c r="C281" s="4" t="s">
        <v>64</v>
      </c>
      <c r="D281" s="4" t="s">
        <v>25</v>
      </c>
      <c r="E281" s="4" t="s">
        <v>25</v>
      </c>
      <c r="F281" s="4" t="s">
        <v>25</v>
      </c>
      <c r="G281" s="4" t="s">
        <v>88</v>
      </c>
      <c r="H281" s="4" t="s">
        <v>25</v>
      </c>
      <c r="I281" s="5">
        <v>44593</v>
      </c>
      <c r="J281" s="6">
        <v>19500</v>
      </c>
      <c r="K281" s="6">
        <v>9750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66</v>
      </c>
      <c r="R281" s="4">
        <v>27722</v>
      </c>
      <c r="S281" s="6">
        <v>20</v>
      </c>
      <c r="T281" s="6">
        <v>0</v>
      </c>
      <c r="U281" s="6">
        <v>0</v>
      </c>
      <c r="V281" s="6">
        <f>IF(ISERROR(VLOOKUP($S$281,'TAR FIN'!$A$1:$O$116,15,0)),0,VLOOKUP($S$281,'TAR FIN'!$A$1:$O$116,15,0))</f>
        <v>17.920000000000002</v>
      </c>
      <c r="W281" s="6">
        <f>IF(ISERROR(VLOOKUP($T$281,'TAR FIN'!$A$1:$O$116,15,0)),0,VLOOKUP($T$281,'TAR FIN'!$A$1:$O$116,15,0))</f>
        <v>0</v>
      </c>
      <c r="X281" s="6">
        <f>IF(ISERROR(VLOOKUP($U$281,'TAR FIN'!$A$1:$O$116,15,0)),0,VLOOKUP($U$281,'TAR FIN'!$A$1:$O$116,15,0))</f>
        <v>0</v>
      </c>
      <c r="Y281" s="6">
        <f ca="1">('TUSD BE'!$AM$24+'TUSD BF'!$AM$24+'TUSD CVA'!$AM$24)*1</f>
        <v>21.034406725438203</v>
      </c>
      <c r="Z281" s="6"/>
      <c r="AA281" s="6"/>
      <c r="AB281" s="6">
        <f>$K$281*$V$281</f>
        <v>174720.00000000003</v>
      </c>
      <c r="AC281" s="6">
        <f>$M$281*$W$281</f>
        <v>0</v>
      </c>
      <c r="AD281" s="6">
        <f>$O$281*$X$281</f>
        <v>0</v>
      </c>
      <c r="AE281" s="6">
        <f ca="1">$K$281*$Y$281</f>
        <v>205085.46557302246</v>
      </c>
      <c r="AF281" s="6">
        <f>$M$281*$Z$281</f>
        <v>0</v>
      </c>
      <c r="AG281" s="6">
        <f>$O$281*$AA$281</f>
        <v>0</v>
      </c>
    </row>
    <row r="282" spans="1:33" ht="11.25" customHeight="1" x14ac:dyDescent="0.25">
      <c r="A282" s="4" t="s">
        <v>21</v>
      </c>
      <c r="B282" s="4" t="s">
        <v>39</v>
      </c>
      <c r="C282" s="4" t="s">
        <v>64</v>
      </c>
      <c r="D282" s="4" t="s">
        <v>25</v>
      </c>
      <c r="E282" s="4" t="s">
        <v>25</v>
      </c>
      <c r="F282" s="4" t="s">
        <v>25</v>
      </c>
      <c r="G282" s="4" t="s">
        <v>91</v>
      </c>
      <c r="H282" s="4" t="s">
        <v>25</v>
      </c>
      <c r="I282" s="5">
        <v>44593</v>
      </c>
      <c r="J282" s="6">
        <v>22400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4" t="s">
        <v>66</v>
      </c>
      <c r="R282" s="4">
        <v>27958</v>
      </c>
      <c r="S282" s="6">
        <v>20</v>
      </c>
      <c r="T282" s="6">
        <v>0</v>
      </c>
      <c r="U282" s="6">
        <v>0</v>
      </c>
      <c r="V282" s="6">
        <f>IF(ISERROR(VLOOKUP($S$282,'TAR FIN'!$A$1:$O$116,15,0)),0,VLOOKUP($S$282,'TAR FIN'!$A$1:$O$116,15,0))</f>
        <v>17.920000000000002</v>
      </c>
      <c r="W282" s="6">
        <f>IF(ISERROR(VLOOKUP($T$282,'TAR FIN'!$A$1:$O$116,15,0)),0,VLOOKUP($T$282,'TAR FIN'!$A$1:$O$116,15,0))</f>
        <v>0</v>
      </c>
      <c r="X282" s="6">
        <f>IF(ISERROR(VLOOKUP($U$282,'TAR FIN'!$A$1:$O$116,15,0)),0,VLOOKUP($U$282,'TAR FIN'!$A$1:$O$116,15,0))</f>
        <v>0</v>
      </c>
      <c r="Y282" s="6">
        <f ca="1">('TUSD BE'!$AM$24+'TUSD BF'!$AM$24+'TUSD CVA'!$AM$24)*1</f>
        <v>21.034406725438203</v>
      </c>
      <c r="Z282" s="6"/>
      <c r="AA282" s="6"/>
      <c r="AB282" s="6">
        <f>$K$282*$V$282</f>
        <v>0</v>
      </c>
      <c r="AC282" s="6">
        <f>$M$282*$W$282</f>
        <v>0</v>
      </c>
      <c r="AD282" s="6">
        <f>$O$282*$X$282</f>
        <v>0</v>
      </c>
      <c r="AE282" s="6">
        <f ca="1">$K$282*$Y$282</f>
        <v>0</v>
      </c>
      <c r="AF282" s="6">
        <f>$M$282*$Z$282</f>
        <v>0</v>
      </c>
      <c r="AG282" s="6">
        <f>$O$282*$AA$282</f>
        <v>0</v>
      </c>
    </row>
    <row r="283" spans="1:33" ht="11.25" customHeight="1" x14ac:dyDescent="0.25">
      <c r="A283" s="4" t="s">
        <v>21</v>
      </c>
      <c r="B283" s="4" t="s">
        <v>39</v>
      </c>
      <c r="C283" s="4" t="s">
        <v>64</v>
      </c>
      <c r="D283" s="4" t="s">
        <v>25</v>
      </c>
      <c r="E283" s="4" t="s">
        <v>25</v>
      </c>
      <c r="F283" s="4" t="s">
        <v>25</v>
      </c>
      <c r="G283" s="4" t="s">
        <v>71</v>
      </c>
      <c r="H283" s="4" t="s">
        <v>25</v>
      </c>
      <c r="I283" s="5">
        <v>44621</v>
      </c>
      <c r="J283" s="6">
        <v>13720</v>
      </c>
      <c r="K283" s="6">
        <v>6860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4" t="s">
        <v>66</v>
      </c>
      <c r="R283" s="4">
        <v>1034</v>
      </c>
      <c r="S283" s="6">
        <v>20</v>
      </c>
      <c r="T283" s="6">
        <v>0</v>
      </c>
      <c r="U283" s="6">
        <v>0</v>
      </c>
      <c r="V283" s="6">
        <f>IF(ISERROR(VLOOKUP($S$283,'TAR FIN'!$A$1:$O$116,15,0)),0,VLOOKUP($S$283,'TAR FIN'!$A$1:$O$116,15,0))</f>
        <v>17.920000000000002</v>
      </c>
      <c r="W283" s="6">
        <f>IF(ISERROR(VLOOKUP($T$283,'TAR FIN'!$A$1:$O$116,15,0)),0,VLOOKUP($T$283,'TAR FIN'!$A$1:$O$116,15,0))</f>
        <v>0</v>
      </c>
      <c r="X283" s="6">
        <f>IF(ISERROR(VLOOKUP($U$283,'TAR FIN'!$A$1:$O$116,15,0)),0,VLOOKUP($U$283,'TAR FIN'!$A$1:$O$116,15,0))</f>
        <v>0</v>
      </c>
      <c r="Y283" s="6">
        <f ca="1">('TUSD BE'!$AM$24+'TUSD BF'!$AM$24+'TUSD CVA'!$AM$24)*1</f>
        <v>21.034406725438203</v>
      </c>
      <c r="Z283" s="6"/>
      <c r="AA283" s="6"/>
      <c r="AB283" s="6">
        <f>$K$283*$V$283</f>
        <v>122931.20000000001</v>
      </c>
      <c r="AC283" s="6">
        <f>$M$283*$W$283</f>
        <v>0</v>
      </c>
      <c r="AD283" s="6">
        <f>$O$283*$X$283</f>
        <v>0</v>
      </c>
      <c r="AE283" s="6">
        <f ca="1">$K$283*$Y$283</f>
        <v>144296.03013650607</v>
      </c>
      <c r="AF283" s="6">
        <f>$M$283*$Z$283</f>
        <v>0</v>
      </c>
      <c r="AG283" s="6">
        <f>$O$283*$AA$283</f>
        <v>0</v>
      </c>
    </row>
    <row r="284" spans="1:33" ht="11.25" customHeight="1" x14ac:dyDescent="0.25">
      <c r="A284" s="4" t="s">
        <v>21</v>
      </c>
      <c r="B284" s="4" t="s">
        <v>39</v>
      </c>
      <c r="C284" s="4" t="s">
        <v>64</v>
      </c>
      <c r="D284" s="4" t="s">
        <v>25</v>
      </c>
      <c r="E284" s="4" t="s">
        <v>25</v>
      </c>
      <c r="F284" s="4" t="s">
        <v>25</v>
      </c>
      <c r="G284" s="4" t="s">
        <v>84</v>
      </c>
      <c r="H284" s="4" t="s">
        <v>25</v>
      </c>
      <c r="I284" s="5">
        <v>44621</v>
      </c>
      <c r="J284" s="6">
        <v>6970</v>
      </c>
      <c r="K284" s="6">
        <v>6970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4" t="s">
        <v>66</v>
      </c>
      <c r="R284" s="4">
        <v>27034</v>
      </c>
      <c r="S284" s="6">
        <v>20</v>
      </c>
      <c r="T284" s="6">
        <v>0</v>
      </c>
      <c r="U284" s="6">
        <v>0</v>
      </c>
      <c r="V284" s="6">
        <f>IF(ISERROR(VLOOKUP($S$284,'TAR FIN'!$A$1:$O$116,15,0)),0,VLOOKUP($S$284,'TAR FIN'!$A$1:$O$116,15,0))</f>
        <v>17.920000000000002</v>
      </c>
      <c r="W284" s="6">
        <f>IF(ISERROR(VLOOKUP($T$284,'TAR FIN'!$A$1:$O$116,15,0)),0,VLOOKUP($T$284,'TAR FIN'!$A$1:$O$116,15,0))</f>
        <v>0</v>
      </c>
      <c r="X284" s="6">
        <f>IF(ISERROR(VLOOKUP($U$284,'TAR FIN'!$A$1:$O$116,15,0)),0,VLOOKUP($U$284,'TAR FIN'!$A$1:$O$116,15,0))</f>
        <v>0</v>
      </c>
      <c r="Y284" s="6">
        <f ca="1">('TUSD BE'!$AM$24+'TUSD BF'!$AM$24+'TUSD CVA'!$AM$24)*1</f>
        <v>21.034406725438203</v>
      </c>
      <c r="Z284" s="6"/>
      <c r="AA284" s="6"/>
      <c r="AB284" s="6">
        <f>$K$284*$V$284</f>
        <v>124902.40000000001</v>
      </c>
      <c r="AC284" s="6">
        <f>$M$284*$W$284</f>
        <v>0</v>
      </c>
      <c r="AD284" s="6">
        <f>$O$284*$X$284</f>
        <v>0</v>
      </c>
      <c r="AE284" s="6">
        <f ca="1">$K$284*$Y$284</f>
        <v>146609.81487630427</v>
      </c>
      <c r="AF284" s="6">
        <f>$M$284*$Z$284</f>
        <v>0</v>
      </c>
      <c r="AG284" s="6">
        <f>$O$284*$AA$284</f>
        <v>0</v>
      </c>
    </row>
    <row r="285" spans="1:33" ht="11.25" customHeight="1" x14ac:dyDescent="0.25">
      <c r="A285" s="4" t="s">
        <v>21</v>
      </c>
      <c r="B285" s="4" t="s">
        <v>39</v>
      </c>
      <c r="C285" s="4" t="s">
        <v>64</v>
      </c>
      <c r="D285" s="4" t="s">
        <v>25</v>
      </c>
      <c r="E285" s="4" t="s">
        <v>25</v>
      </c>
      <c r="F285" s="4" t="s">
        <v>25</v>
      </c>
      <c r="G285" s="4" t="s">
        <v>85</v>
      </c>
      <c r="H285" s="4" t="s">
        <v>25</v>
      </c>
      <c r="I285" s="5">
        <v>44621</v>
      </c>
      <c r="J285" s="6">
        <v>9600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4" t="s">
        <v>66</v>
      </c>
      <c r="R285" s="4">
        <v>27207</v>
      </c>
      <c r="S285" s="6">
        <v>20</v>
      </c>
      <c r="T285" s="6">
        <v>0</v>
      </c>
      <c r="U285" s="6">
        <v>0</v>
      </c>
      <c r="V285" s="6">
        <f>IF(ISERROR(VLOOKUP($S$285,'TAR FIN'!$A$1:$O$116,15,0)),0,VLOOKUP($S$285,'TAR FIN'!$A$1:$O$116,15,0))</f>
        <v>17.920000000000002</v>
      </c>
      <c r="W285" s="6">
        <f>IF(ISERROR(VLOOKUP($T$285,'TAR FIN'!$A$1:$O$116,15,0)),0,VLOOKUP($T$285,'TAR FIN'!$A$1:$O$116,15,0))</f>
        <v>0</v>
      </c>
      <c r="X285" s="6">
        <f>IF(ISERROR(VLOOKUP($U$285,'TAR FIN'!$A$1:$O$116,15,0)),0,VLOOKUP($U$285,'TAR FIN'!$A$1:$O$116,15,0))</f>
        <v>0</v>
      </c>
      <c r="Y285" s="6">
        <f ca="1">('TUSD BE'!$AM$24+'TUSD BF'!$AM$24+'TUSD CVA'!$AM$24)*1</f>
        <v>21.034406725438203</v>
      </c>
      <c r="Z285" s="6"/>
      <c r="AA285" s="6"/>
      <c r="AB285" s="6">
        <f>$K$285*$V$285</f>
        <v>0</v>
      </c>
      <c r="AC285" s="6">
        <f>$M$285*$W$285</f>
        <v>0</v>
      </c>
      <c r="AD285" s="6">
        <f>$O$285*$X$285</f>
        <v>0</v>
      </c>
      <c r="AE285" s="6">
        <f ca="1">$K$285*$Y$285</f>
        <v>0</v>
      </c>
      <c r="AF285" s="6">
        <f>$M$285*$Z$285</f>
        <v>0</v>
      </c>
      <c r="AG285" s="6">
        <f>$O$285*$AA$285</f>
        <v>0</v>
      </c>
    </row>
    <row r="286" spans="1:33" ht="11.25" customHeight="1" x14ac:dyDescent="0.25">
      <c r="A286" s="4" t="s">
        <v>21</v>
      </c>
      <c r="B286" s="4" t="s">
        <v>39</v>
      </c>
      <c r="C286" s="4" t="s">
        <v>64</v>
      </c>
      <c r="D286" s="4" t="s">
        <v>25</v>
      </c>
      <c r="E286" s="4" t="s">
        <v>25</v>
      </c>
      <c r="F286" s="4" t="s">
        <v>25</v>
      </c>
      <c r="G286" s="4" t="s">
        <v>88</v>
      </c>
      <c r="H286" s="4" t="s">
        <v>25</v>
      </c>
      <c r="I286" s="5">
        <v>44621</v>
      </c>
      <c r="J286" s="6">
        <v>19500</v>
      </c>
      <c r="K286" s="6">
        <v>9750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4" t="s">
        <v>66</v>
      </c>
      <c r="R286" s="4">
        <v>27722</v>
      </c>
      <c r="S286" s="6">
        <v>20</v>
      </c>
      <c r="T286" s="6">
        <v>0</v>
      </c>
      <c r="U286" s="6">
        <v>0</v>
      </c>
      <c r="V286" s="6">
        <f>IF(ISERROR(VLOOKUP($S$286,'TAR FIN'!$A$1:$O$116,15,0)),0,VLOOKUP($S$286,'TAR FIN'!$A$1:$O$116,15,0))</f>
        <v>17.920000000000002</v>
      </c>
      <c r="W286" s="6">
        <f>IF(ISERROR(VLOOKUP($T$286,'TAR FIN'!$A$1:$O$116,15,0)),0,VLOOKUP($T$286,'TAR FIN'!$A$1:$O$116,15,0))</f>
        <v>0</v>
      </c>
      <c r="X286" s="6">
        <f>IF(ISERROR(VLOOKUP($U$286,'TAR FIN'!$A$1:$O$116,15,0)),0,VLOOKUP($U$286,'TAR FIN'!$A$1:$O$116,15,0))</f>
        <v>0</v>
      </c>
      <c r="Y286" s="6">
        <f ca="1">('TUSD BE'!$AM$24+'TUSD BF'!$AM$24+'TUSD CVA'!$AM$24)*1</f>
        <v>21.034406725438203</v>
      </c>
      <c r="Z286" s="6"/>
      <c r="AA286" s="6"/>
      <c r="AB286" s="6">
        <f>$K$286*$V$286</f>
        <v>174720.00000000003</v>
      </c>
      <c r="AC286" s="6">
        <f>$M$286*$W$286</f>
        <v>0</v>
      </c>
      <c r="AD286" s="6">
        <f>$O$286*$X$286</f>
        <v>0</v>
      </c>
      <c r="AE286" s="6">
        <f ca="1">$K$286*$Y$286</f>
        <v>205085.46557302246</v>
      </c>
      <c r="AF286" s="6">
        <f>$M$286*$Z$286</f>
        <v>0</v>
      </c>
      <c r="AG286" s="6">
        <f>$O$286*$AA$286</f>
        <v>0</v>
      </c>
    </row>
    <row r="287" spans="1:33" ht="11.25" customHeight="1" x14ac:dyDescent="0.25">
      <c r="A287" s="4" t="s">
        <v>21</v>
      </c>
      <c r="B287" s="4" t="s">
        <v>39</v>
      </c>
      <c r="C287" s="4" t="s">
        <v>64</v>
      </c>
      <c r="D287" s="4" t="s">
        <v>25</v>
      </c>
      <c r="E287" s="4" t="s">
        <v>25</v>
      </c>
      <c r="F287" s="4" t="s">
        <v>25</v>
      </c>
      <c r="G287" s="4" t="s">
        <v>91</v>
      </c>
      <c r="H287" s="4" t="s">
        <v>25</v>
      </c>
      <c r="I287" s="5">
        <v>44621</v>
      </c>
      <c r="J287" s="6">
        <v>22400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66</v>
      </c>
      <c r="R287" s="4">
        <v>27958</v>
      </c>
      <c r="S287" s="6">
        <v>20</v>
      </c>
      <c r="T287" s="6">
        <v>0</v>
      </c>
      <c r="U287" s="6">
        <v>0</v>
      </c>
      <c r="V287" s="6">
        <f>IF(ISERROR(VLOOKUP($S$287,'TAR FIN'!$A$1:$O$116,15,0)),0,VLOOKUP($S$287,'TAR FIN'!$A$1:$O$116,15,0))</f>
        <v>17.920000000000002</v>
      </c>
      <c r="W287" s="6">
        <f>IF(ISERROR(VLOOKUP($T$287,'TAR FIN'!$A$1:$O$116,15,0)),0,VLOOKUP($T$287,'TAR FIN'!$A$1:$O$116,15,0))</f>
        <v>0</v>
      </c>
      <c r="X287" s="6">
        <f>IF(ISERROR(VLOOKUP($U$287,'TAR FIN'!$A$1:$O$116,15,0)),0,VLOOKUP($U$287,'TAR FIN'!$A$1:$O$116,15,0))</f>
        <v>0</v>
      </c>
      <c r="Y287" s="6">
        <f ca="1">('TUSD BE'!$AM$24+'TUSD BF'!$AM$24+'TUSD CVA'!$AM$24)*1</f>
        <v>21.034406725438203</v>
      </c>
      <c r="Z287" s="6"/>
      <c r="AA287" s="6"/>
      <c r="AB287" s="6">
        <f>$K$287*$V$287</f>
        <v>0</v>
      </c>
      <c r="AC287" s="6">
        <f>$M$287*$W$287</f>
        <v>0</v>
      </c>
      <c r="AD287" s="6">
        <f>$O$287*$X$287</f>
        <v>0</v>
      </c>
      <c r="AE287" s="6">
        <f ca="1">$K$287*$Y$287</f>
        <v>0</v>
      </c>
      <c r="AF287" s="6">
        <f>$M$287*$Z$287</f>
        <v>0</v>
      </c>
      <c r="AG287" s="6">
        <f>$O$287*$AA$287</f>
        <v>0</v>
      </c>
    </row>
    <row r="288" spans="1:33" ht="11.25" customHeight="1" x14ac:dyDescent="0.25">
      <c r="A288" s="4" t="s">
        <v>21</v>
      </c>
      <c r="B288" s="4" t="s">
        <v>39</v>
      </c>
      <c r="C288" s="4" t="s">
        <v>64</v>
      </c>
      <c r="D288" s="4" t="s">
        <v>25</v>
      </c>
      <c r="E288" s="4" t="s">
        <v>25</v>
      </c>
      <c r="F288" s="4" t="s">
        <v>25</v>
      </c>
      <c r="G288" s="4" t="s">
        <v>71</v>
      </c>
      <c r="H288" s="4" t="s">
        <v>25</v>
      </c>
      <c r="I288" s="5">
        <v>44652</v>
      </c>
      <c r="J288" s="6">
        <v>13759</v>
      </c>
      <c r="K288" s="6">
        <v>6879.5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66</v>
      </c>
      <c r="R288" s="4">
        <v>1034</v>
      </c>
      <c r="S288" s="6">
        <v>20</v>
      </c>
      <c r="T288" s="6">
        <v>0</v>
      </c>
      <c r="U288" s="6">
        <v>0</v>
      </c>
      <c r="V288" s="6">
        <f>IF(ISERROR(VLOOKUP($S$288,'TAR FIN'!$A$1:$O$116,15,0)),0,VLOOKUP($S$288,'TAR FIN'!$A$1:$O$116,15,0))</f>
        <v>17.920000000000002</v>
      </c>
      <c r="W288" s="6">
        <f>IF(ISERROR(VLOOKUP($T$288,'TAR FIN'!$A$1:$O$116,15,0)),0,VLOOKUP($T$288,'TAR FIN'!$A$1:$O$116,15,0))</f>
        <v>0</v>
      </c>
      <c r="X288" s="6">
        <f>IF(ISERROR(VLOOKUP($U$288,'TAR FIN'!$A$1:$O$116,15,0)),0,VLOOKUP($U$288,'TAR FIN'!$A$1:$O$116,15,0))</f>
        <v>0</v>
      </c>
      <c r="Y288" s="6">
        <f ca="1">('TUSD BE'!$AM$24+'TUSD BF'!$AM$24+'TUSD CVA'!$AM$24)*1</f>
        <v>21.034406725438203</v>
      </c>
      <c r="Z288" s="6"/>
      <c r="AA288" s="6"/>
      <c r="AB288" s="6">
        <f>$K$288*$V$288</f>
        <v>123280.64000000001</v>
      </c>
      <c r="AC288" s="6">
        <f>$M$288*$W$288</f>
        <v>0</v>
      </c>
      <c r="AD288" s="6">
        <f>$O$288*$X$288</f>
        <v>0</v>
      </c>
      <c r="AE288" s="6">
        <f ca="1">$K$288*$Y$288</f>
        <v>144706.20106765212</v>
      </c>
      <c r="AF288" s="6">
        <f>$M$288*$Z$288</f>
        <v>0</v>
      </c>
      <c r="AG288" s="6">
        <f>$O$288*$AA$288</f>
        <v>0</v>
      </c>
    </row>
    <row r="289" spans="1:33" ht="11.25" customHeight="1" x14ac:dyDescent="0.25">
      <c r="A289" s="4" t="s">
        <v>21</v>
      </c>
      <c r="B289" s="4" t="s">
        <v>39</v>
      </c>
      <c r="C289" s="4" t="s">
        <v>64</v>
      </c>
      <c r="D289" s="4" t="s">
        <v>25</v>
      </c>
      <c r="E289" s="4" t="s">
        <v>25</v>
      </c>
      <c r="F289" s="4" t="s">
        <v>25</v>
      </c>
      <c r="G289" s="4" t="s">
        <v>84</v>
      </c>
      <c r="H289" s="4" t="s">
        <v>25</v>
      </c>
      <c r="I289" s="5">
        <v>44652</v>
      </c>
      <c r="J289" s="6">
        <v>6970</v>
      </c>
      <c r="K289" s="6">
        <v>6970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4" t="s">
        <v>66</v>
      </c>
      <c r="R289" s="4">
        <v>27034</v>
      </c>
      <c r="S289" s="6">
        <v>20</v>
      </c>
      <c r="T289" s="6">
        <v>0</v>
      </c>
      <c r="U289" s="6">
        <v>0</v>
      </c>
      <c r="V289" s="6">
        <f>IF(ISERROR(VLOOKUP($S$289,'TAR FIN'!$A$1:$O$116,15,0)),0,VLOOKUP($S$289,'TAR FIN'!$A$1:$O$116,15,0))</f>
        <v>17.920000000000002</v>
      </c>
      <c r="W289" s="6">
        <f>IF(ISERROR(VLOOKUP($T$289,'TAR FIN'!$A$1:$O$116,15,0)),0,VLOOKUP($T$289,'TAR FIN'!$A$1:$O$116,15,0))</f>
        <v>0</v>
      </c>
      <c r="X289" s="6">
        <f>IF(ISERROR(VLOOKUP($U$289,'TAR FIN'!$A$1:$O$116,15,0)),0,VLOOKUP($U$289,'TAR FIN'!$A$1:$O$116,15,0))</f>
        <v>0</v>
      </c>
      <c r="Y289" s="6">
        <f ca="1">('TUSD BE'!$AM$24+'TUSD BF'!$AM$24+'TUSD CVA'!$AM$24)*1</f>
        <v>21.034406725438203</v>
      </c>
      <c r="Z289" s="6"/>
      <c r="AA289" s="6"/>
      <c r="AB289" s="6">
        <f>$K$289*$V$289</f>
        <v>124902.40000000001</v>
      </c>
      <c r="AC289" s="6">
        <f>$M$289*$W$289</f>
        <v>0</v>
      </c>
      <c r="AD289" s="6">
        <f>$O$289*$X$289</f>
        <v>0</v>
      </c>
      <c r="AE289" s="6">
        <f ca="1">$K$289*$Y$289</f>
        <v>146609.81487630427</v>
      </c>
      <c r="AF289" s="6">
        <f>$M$289*$Z$289</f>
        <v>0</v>
      </c>
      <c r="AG289" s="6">
        <f>$O$289*$AA$289</f>
        <v>0</v>
      </c>
    </row>
    <row r="290" spans="1:33" ht="11.25" customHeight="1" x14ac:dyDescent="0.25">
      <c r="A290" s="4" t="s">
        <v>21</v>
      </c>
      <c r="B290" s="4" t="s">
        <v>39</v>
      </c>
      <c r="C290" s="4" t="s">
        <v>64</v>
      </c>
      <c r="D290" s="4" t="s">
        <v>25</v>
      </c>
      <c r="E290" s="4" t="s">
        <v>25</v>
      </c>
      <c r="F290" s="4" t="s">
        <v>25</v>
      </c>
      <c r="G290" s="4" t="s">
        <v>85</v>
      </c>
      <c r="H290" s="4" t="s">
        <v>25</v>
      </c>
      <c r="I290" s="5">
        <v>44652</v>
      </c>
      <c r="J290" s="6">
        <v>9600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4" t="s">
        <v>66</v>
      </c>
      <c r="R290" s="4">
        <v>27207</v>
      </c>
      <c r="S290" s="6">
        <v>20</v>
      </c>
      <c r="T290" s="6">
        <v>0</v>
      </c>
      <c r="U290" s="6">
        <v>0</v>
      </c>
      <c r="V290" s="6">
        <f>IF(ISERROR(VLOOKUP($S$290,'TAR FIN'!$A$1:$O$116,15,0)),0,VLOOKUP($S$290,'TAR FIN'!$A$1:$O$116,15,0))</f>
        <v>17.920000000000002</v>
      </c>
      <c r="W290" s="6">
        <f>IF(ISERROR(VLOOKUP($T$290,'TAR FIN'!$A$1:$O$116,15,0)),0,VLOOKUP($T$290,'TAR FIN'!$A$1:$O$116,15,0))</f>
        <v>0</v>
      </c>
      <c r="X290" s="6">
        <f>IF(ISERROR(VLOOKUP($U$290,'TAR FIN'!$A$1:$O$116,15,0)),0,VLOOKUP($U$290,'TAR FIN'!$A$1:$O$116,15,0))</f>
        <v>0</v>
      </c>
      <c r="Y290" s="6">
        <f ca="1">('TUSD BE'!$AM$24+'TUSD BF'!$AM$24+'TUSD CVA'!$AM$24)*1</f>
        <v>21.034406725438203</v>
      </c>
      <c r="Z290" s="6"/>
      <c r="AA290" s="6"/>
      <c r="AB290" s="6">
        <f>$K$290*$V$290</f>
        <v>0</v>
      </c>
      <c r="AC290" s="6">
        <f>$M$290*$W$290</f>
        <v>0</v>
      </c>
      <c r="AD290" s="6">
        <f>$O$290*$X$290</f>
        <v>0</v>
      </c>
      <c r="AE290" s="6">
        <f ca="1">$K$290*$Y$290</f>
        <v>0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21</v>
      </c>
      <c r="B291" s="4" t="s">
        <v>39</v>
      </c>
      <c r="C291" s="4" t="s">
        <v>64</v>
      </c>
      <c r="D291" s="4" t="s">
        <v>25</v>
      </c>
      <c r="E291" s="4" t="s">
        <v>25</v>
      </c>
      <c r="F291" s="4" t="s">
        <v>25</v>
      </c>
      <c r="G291" s="4" t="s">
        <v>88</v>
      </c>
      <c r="H291" s="4" t="s">
        <v>25</v>
      </c>
      <c r="I291" s="5">
        <v>44652</v>
      </c>
      <c r="J291" s="6">
        <v>19500</v>
      </c>
      <c r="K291" s="6">
        <v>9750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4" t="s">
        <v>66</v>
      </c>
      <c r="R291" s="4">
        <v>27722</v>
      </c>
      <c r="S291" s="6">
        <v>20</v>
      </c>
      <c r="T291" s="6">
        <v>0</v>
      </c>
      <c r="U291" s="6">
        <v>0</v>
      </c>
      <c r="V291" s="6">
        <f>IF(ISERROR(VLOOKUP($S$291,'TAR FIN'!$A$1:$O$116,15,0)),0,VLOOKUP($S$291,'TAR FIN'!$A$1:$O$116,15,0))</f>
        <v>17.920000000000002</v>
      </c>
      <c r="W291" s="6">
        <f>IF(ISERROR(VLOOKUP($T$291,'TAR FIN'!$A$1:$O$116,15,0)),0,VLOOKUP($T$291,'TAR FIN'!$A$1:$O$116,15,0))</f>
        <v>0</v>
      </c>
      <c r="X291" s="6">
        <f>IF(ISERROR(VLOOKUP($U$291,'TAR FIN'!$A$1:$O$116,15,0)),0,VLOOKUP($U$291,'TAR FIN'!$A$1:$O$116,15,0))</f>
        <v>0</v>
      </c>
      <c r="Y291" s="6">
        <f ca="1">('TUSD BE'!$AM$24+'TUSD BF'!$AM$24+'TUSD CVA'!$AM$24)*1</f>
        <v>21.034406725438203</v>
      </c>
      <c r="Z291" s="6"/>
      <c r="AA291" s="6"/>
      <c r="AB291" s="6">
        <f>$K$291*$V$291</f>
        <v>174720.00000000003</v>
      </c>
      <c r="AC291" s="6">
        <f>$M$291*$W$291</f>
        <v>0</v>
      </c>
      <c r="AD291" s="6">
        <f>$O$291*$X$291</f>
        <v>0</v>
      </c>
      <c r="AE291" s="6">
        <f ca="1">$K$291*$Y$291</f>
        <v>205085.46557302246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21</v>
      </c>
      <c r="B292" s="4" t="s">
        <v>39</v>
      </c>
      <c r="C292" s="4" t="s">
        <v>64</v>
      </c>
      <c r="D292" s="4" t="s">
        <v>25</v>
      </c>
      <c r="E292" s="4" t="s">
        <v>25</v>
      </c>
      <c r="F292" s="4" t="s">
        <v>25</v>
      </c>
      <c r="G292" s="4" t="s">
        <v>91</v>
      </c>
      <c r="H292" s="4" t="s">
        <v>25</v>
      </c>
      <c r="I292" s="5">
        <v>44652</v>
      </c>
      <c r="J292" s="6">
        <v>22400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66</v>
      </c>
      <c r="R292" s="4">
        <v>27958</v>
      </c>
      <c r="S292" s="6">
        <v>20</v>
      </c>
      <c r="T292" s="6">
        <v>0</v>
      </c>
      <c r="U292" s="6">
        <v>0</v>
      </c>
      <c r="V292" s="6">
        <f>IF(ISERROR(VLOOKUP($S$292,'TAR FIN'!$A$1:$O$116,15,0)),0,VLOOKUP($S$292,'TAR FIN'!$A$1:$O$116,15,0))</f>
        <v>17.920000000000002</v>
      </c>
      <c r="W292" s="6">
        <f>IF(ISERROR(VLOOKUP($T$292,'TAR FIN'!$A$1:$O$116,15,0)),0,VLOOKUP($T$292,'TAR FIN'!$A$1:$O$116,15,0))</f>
        <v>0</v>
      </c>
      <c r="X292" s="6">
        <f>IF(ISERROR(VLOOKUP($U$292,'TAR FIN'!$A$1:$O$116,15,0)),0,VLOOKUP($U$292,'TAR FIN'!$A$1:$O$116,15,0))</f>
        <v>0</v>
      </c>
      <c r="Y292" s="6">
        <f ca="1">('TUSD BE'!$AM$24+'TUSD BF'!$AM$24+'TUSD CVA'!$AM$24)*1</f>
        <v>21.034406725438203</v>
      </c>
      <c r="Z292" s="6"/>
      <c r="AA292" s="6"/>
      <c r="AB292" s="6">
        <f>$K$292*$V$292</f>
        <v>0</v>
      </c>
      <c r="AC292" s="6">
        <f>$M$292*$W$292</f>
        <v>0</v>
      </c>
      <c r="AD292" s="6">
        <f>$O$292*$X$292</f>
        <v>0</v>
      </c>
      <c r="AE292" s="6">
        <f ca="1">$K$292*$Y$292</f>
        <v>0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58</v>
      </c>
      <c r="B293" s="4" t="s">
        <v>39</v>
      </c>
      <c r="C293" s="4" t="s">
        <v>64</v>
      </c>
      <c r="D293" s="4" t="s">
        <v>25</v>
      </c>
      <c r="E293" s="4" t="s">
        <v>25</v>
      </c>
      <c r="F293" s="4" t="s">
        <v>25</v>
      </c>
      <c r="G293" s="4" t="s">
        <v>71</v>
      </c>
      <c r="H293" s="4" t="s">
        <v>25</v>
      </c>
      <c r="I293" s="5">
        <v>44682</v>
      </c>
      <c r="J293" s="6">
        <v>13759</v>
      </c>
      <c r="K293" s="6">
        <v>6879.5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4" t="s">
        <v>66</v>
      </c>
      <c r="R293" s="4">
        <v>1034</v>
      </c>
      <c r="S293" s="6">
        <v>20</v>
      </c>
      <c r="T293" s="6">
        <v>0</v>
      </c>
      <c r="U293" s="6">
        <v>0</v>
      </c>
      <c r="V293" s="6">
        <f>IF(ISERROR(VLOOKUP($S$293,'TAR FIN'!$A$1:$O$116,15,0)),0,VLOOKUP($S$293,'TAR FIN'!$A$1:$O$116,15,0))</f>
        <v>17.920000000000002</v>
      </c>
      <c r="W293" s="6">
        <f>IF(ISERROR(VLOOKUP($T$293,'TAR FIN'!$A$1:$O$116,15,0)),0,VLOOKUP($T$293,'TAR FIN'!$A$1:$O$116,15,0))</f>
        <v>0</v>
      </c>
      <c r="X293" s="6">
        <f>IF(ISERROR(VLOOKUP($U$293,'TAR FIN'!$A$1:$O$116,15,0)),0,VLOOKUP($U$293,'TAR FIN'!$A$1:$O$116,15,0))</f>
        <v>0</v>
      </c>
      <c r="Y293" s="6">
        <f ca="1">('TUSD BE'!$AM$24+'TUSD BF'!$AM$24+'TUSD CVA'!$AM$24)*1</f>
        <v>21.034406725438203</v>
      </c>
      <c r="Z293" s="6"/>
      <c r="AA293" s="6"/>
      <c r="AB293" s="6">
        <f>$K$293*$V$293</f>
        <v>123280.64000000001</v>
      </c>
      <c r="AC293" s="6">
        <f>$M$293*$W$293</f>
        <v>0</v>
      </c>
      <c r="AD293" s="6">
        <f>$O$293*$X$293</f>
        <v>0</v>
      </c>
      <c r="AE293" s="6">
        <f ca="1">$K$293*$Y$293</f>
        <v>144706.20106765212</v>
      </c>
      <c r="AF293" s="6">
        <f>$M$293*$Z$293</f>
        <v>0</v>
      </c>
      <c r="AG293" s="6">
        <f>$O$293*$AA$293</f>
        <v>0</v>
      </c>
    </row>
    <row r="294" spans="1:33" ht="11.25" customHeight="1" x14ac:dyDescent="0.25">
      <c r="A294" s="4" t="s">
        <v>58</v>
      </c>
      <c r="B294" s="4" t="s">
        <v>39</v>
      </c>
      <c r="C294" s="4" t="s">
        <v>64</v>
      </c>
      <c r="D294" s="4" t="s">
        <v>25</v>
      </c>
      <c r="E294" s="4" t="s">
        <v>25</v>
      </c>
      <c r="F294" s="4" t="s">
        <v>25</v>
      </c>
      <c r="G294" s="4" t="s">
        <v>84</v>
      </c>
      <c r="H294" s="4" t="s">
        <v>25</v>
      </c>
      <c r="I294" s="5">
        <v>44682</v>
      </c>
      <c r="J294" s="6">
        <v>6970</v>
      </c>
      <c r="K294" s="6">
        <v>6970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4" t="s">
        <v>66</v>
      </c>
      <c r="R294" s="4">
        <v>27034</v>
      </c>
      <c r="S294" s="6">
        <v>20</v>
      </c>
      <c r="T294" s="6">
        <v>0</v>
      </c>
      <c r="U294" s="6">
        <v>0</v>
      </c>
      <c r="V294" s="6">
        <f>IF(ISERROR(VLOOKUP($S$294,'TAR FIN'!$A$1:$O$116,15,0)),0,VLOOKUP($S$294,'TAR FIN'!$A$1:$O$116,15,0))</f>
        <v>17.920000000000002</v>
      </c>
      <c r="W294" s="6">
        <f>IF(ISERROR(VLOOKUP($T$294,'TAR FIN'!$A$1:$O$116,15,0)),0,VLOOKUP($T$294,'TAR FIN'!$A$1:$O$116,15,0))</f>
        <v>0</v>
      </c>
      <c r="X294" s="6">
        <f>IF(ISERROR(VLOOKUP($U$294,'TAR FIN'!$A$1:$O$116,15,0)),0,VLOOKUP($U$294,'TAR FIN'!$A$1:$O$116,15,0))</f>
        <v>0</v>
      </c>
      <c r="Y294" s="6">
        <f ca="1">('TUSD BE'!$AM$24+'TUSD BF'!$AM$24+'TUSD CVA'!$AM$24)*1</f>
        <v>21.034406725438203</v>
      </c>
      <c r="Z294" s="6"/>
      <c r="AA294" s="6"/>
      <c r="AB294" s="6">
        <f>$K$294*$V$294</f>
        <v>124902.40000000001</v>
      </c>
      <c r="AC294" s="6">
        <f>$M$294*$W$294</f>
        <v>0</v>
      </c>
      <c r="AD294" s="6">
        <f>$O$294*$X$294</f>
        <v>0</v>
      </c>
      <c r="AE294" s="6">
        <f ca="1">$K$294*$Y$294</f>
        <v>146609.81487630427</v>
      </c>
      <c r="AF294" s="6">
        <f>$M$294*$Z$294</f>
        <v>0</v>
      </c>
      <c r="AG294" s="6">
        <f>$O$294*$AA$294</f>
        <v>0</v>
      </c>
    </row>
    <row r="295" spans="1:33" ht="11.25" customHeight="1" x14ac:dyDescent="0.25">
      <c r="A295" s="4" t="s">
        <v>58</v>
      </c>
      <c r="B295" s="4" t="s">
        <v>39</v>
      </c>
      <c r="C295" s="4" t="s">
        <v>64</v>
      </c>
      <c r="D295" s="4" t="s">
        <v>25</v>
      </c>
      <c r="E295" s="4" t="s">
        <v>25</v>
      </c>
      <c r="F295" s="4" t="s">
        <v>25</v>
      </c>
      <c r="G295" s="4" t="s">
        <v>85</v>
      </c>
      <c r="H295" s="4" t="s">
        <v>25</v>
      </c>
      <c r="I295" s="5">
        <v>44682</v>
      </c>
      <c r="J295" s="6">
        <v>9600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4" t="s">
        <v>66</v>
      </c>
      <c r="R295" s="4">
        <v>27207</v>
      </c>
      <c r="S295" s="6">
        <v>20</v>
      </c>
      <c r="T295" s="6">
        <v>0</v>
      </c>
      <c r="U295" s="6">
        <v>0</v>
      </c>
      <c r="V295" s="6">
        <f>IF(ISERROR(VLOOKUP($S$295,'TAR FIN'!$A$1:$O$116,15,0)),0,VLOOKUP($S$295,'TAR FIN'!$A$1:$O$116,15,0))</f>
        <v>17.920000000000002</v>
      </c>
      <c r="W295" s="6">
        <f>IF(ISERROR(VLOOKUP($T$295,'TAR FIN'!$A$1:$O$116,15,0)),0,VLOOKUP($T$295,'TAR FIN'!$A$1:$O$116,15,0))</f>
        <v>0</v>
      </c>
      <c r="X295" s="6">
        <f>IF(ISERROR(VLOOKUP($U$295,'TAR FIN'!$A$1:$O$116,15,0)),0,VLOOKUP($U$295,'TAR FIN'!$A$1:$O$116,15,0))</f>
        <v>0</v>
      </c>
      <c r="Y295" s="6">
        <f ca="1">('TUSD BE'!$AM$24+'TUSD BF'!$AM$24+'TUSD CVA'!$AM$24)*1</f>
        <v>21.034406725438203</v>
      </c>
      <c r="Z295" s="6"/>
      <c r="AA295" s="6"/>
      <c r="AB295" s="6">
        <f>$K$295*$V$295</f>
        <v>0</v>
      </c>
      <c r="AC295" s="6">
        <f>$M$295*$W$295</f>
        <v>0</v>
      </c>
      <c r="AD295" s="6">
        <f>$O$295*$X$295</f>
        <v>0</v>
      </c>
      <c r="AE295" s="6">
        <f ca="1">$K$295*$Y$295</f>
        <v>0</v>
      </c>
      <c r="AF295" s="6">
        <f>$M$295*$Z$295</f>
        <v>0</v>
      </c>
      <c r="AG295" s="6">
        <f>$O$295*$AA$295</f>
        <v>0</v>
      </c>
    </row>
    <row r="296" spans="1:33" ht="11.25" customHeight="1" x14ac:dyDescent="0.25">
      <c r="A296" s="4" t="s">
        <v>58</v>
      </c>
      <c r="B296" s="4" t="s">
        <v>39</v>
      </c>
      <c r="C296" s="4" t="s">
        <v>64</v>
      </c>
      <c r="D296" s="4" t="s">
        <v>25</v>
      </c>
      <c r="E296" s="4" t="s">
        <v>25</v>
      </c>
      <c r="F296" s="4" t="s">
        <v>25</v>
      </c>
      <c r="G296" s="4" t="s">
        <v>88</v>
      </c>
      <c r="H296" s="4" t="s">
        <v>25</v>
      </c>
      <c r="I296" s="5">
        <v>44682</v>
      </c>
      <c r="J296" s="6">
        <v>19500</v>
      </c>
      <c r="K296" s="6">
        <v>9750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4" t="s">
        <v>66</v>
      </c>
      <c r="R296" s="4">
        <v>27722</v>
      </c>
      <c r="S296" s="6">
        <v>20</v>
      </c>
      <c r="T296" s="6">
        <v>0</v>
      </c>
      <c r="U296" s="6">
        <v>0</v>
      </c>
      <c r="V296" s="6">
        <f>IF(ISERROR(VLOOKUP($S$296,'TAR FIN'!$A$1:$O$116,15,0)),0,VLOOKUP($S$296,'TAR FIN'!$A$1:$O$116,15,0))</f>
        <v>17.920000000000002</v>
      </c>
      <c r="W296" s="6">
        <f>IF(ISERROR(VLOOKUP($T$296,'TAR FIN'!$A$1:$O$116,15,0)),0,VLOOKUP($T$296,'TAR FIN'!$A$1:$O$116,15,0))</f>
        <v>0</v>
      </c>
      <c r="X296" s="6">
        <f>IF(ISERROR(VLOOKUP($U$296,'TAR FIN'!$A$1:$O$116,15,0)),0,VLOOKUP($U$296,'TAR FIN'!$A$1:$O$116,15,0))</f>
        <v>0</v>
      </c>
      <c r="Y296" s="6">
        <f ca="1">('TUSD BE'!$AM$24+'TUSD BF'!$AM$24+'TUSD CVA'!$AM$24)*1</f>
        <v>21.034406725438203</v>
      </c>
      <c r="Z296" s="6"/>
      <c r="AA296" s="6"/>
      <c r="AB296" s="6">
        <f>$K$296*$V$296</f>
        <v>174720.00000000003</v>
      </c>
      <c r="AC296" s="6">
        <f>$M$296*$W$296</f>
        <v>0</v>
      </c>
      <c r="AD296" s="6">
        <f>$O$296*$X$296</f>
        <v>0</v>
      </c>
      <c r="AE296" s="6">
        <f ca="1">$K$296*$Y$296</f>
        <v>205085.46557302246</v>
      </c>
      <c r="AF296" s="6">
        <f>$M$296*$Z$296</f>
        <v>0</v>
      </c>
      <c r="AG296" s="6">
        <f>$O$296*$AA$296</f>
        <v>0</v>
      </c>
    </row>
    <row r="297" spans="1:33" ht="11.25" customHeight="1" x14ac:dyDescent="0.25">
      <c r="A297" s="4" t="s">
        <v>58</v>
      </c>
      <c r="B297" s="4" t="s">
        <v>39</v>
      </c>
      <c r="C297" s="4" t="s">
        <v>64</v>
      </c>
      <c r="D297" s="4" t="s">
        <v>25</v>
      </c>
      <c r="E297" s="4" t="s">
        <v>25</v>
      </c>
      <c r="F297" s="4" t="s">
        <v>25</v>
      </c>
      <c r="G297" s="4" t="s">
        <v>91</v>
      </c>
      <c r="H297" s="4" t="s">
        <v>25</v>
      </c>
      <c r="I297" s="5">
        <v>44682</v>
      </c>
      <c r="J297" s="6">
        <v>22400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4" t="s">
        <v>66</v>
      </c>
      <c r="R297" s="4">
        <v>27958</v>
      </c>
      <c r="S297" s="6">
        <v>20</v>
      </c>
      <c r="T297" s="6">
        <v>0</v>
      </c>
      <c r="U297" s="6">
        <v>0</v>
      </c>
      <c r="V297" s="6">
        <f>IF(ISERROR(VLOOKUP($S$297,'TAR FIN'!$A$1:$O$116,15,0)),0,VLOOKUP($S$297,'TAR FIN'!$A$1:$O$116,15,0))</f>
        <v>17.920000000000002</v>
      </c>
      <c r="W297" s="6">
        <f>IF(ISERROR(VLOOKUP($T$297,'TAR FIN'!$A$1:$O$116,15,0)),0,VLOOKUP($T$297,'TAR FIN'!$A$1:$O$116,15,0))</f>
        <v>0</v>
      </c>
      <c r="X297" s="6">
        <f>IF(ISERROR(VLOOKUP($U$297,'TAR FIN'!$A$1:$O$116,15,0)),0,VLOOKUP($U$297,'TAR FIN'!$A$1:$O$116,15,0))</f>
        <v>0</v>
      </c>
      <c r="Y297" s="6">
        <f ca="1">('TUSD BE'!$AM$24+'TUSD BF'!$AM$24+'TUSD CVA'!$AM$24)*1</f>
        <v>21.034406725438203</v>
      </c>
      <c r="Z297" s="6"/>
      <c r="AA297" s="6"/>
      <c r="AB297" s="6">
        <f>$K$297*$V$297</f>
        <v>0</v>
      </c>
      <c r="AC297" s="6">
        <f>$M$297*$W$297</f>
        <v>0</v>
      </c>
      <c r="AD297" s="6">
        <f>$O$297*$X$297</f>
        <v>0</v>
      </c>
      <c r="AE297" s="6">
        <f ca="1">$K$297*$Y$297</f>
        <v>0</v>
      </c>
      <c r="AF297" s="6">
        <f>$M$297*$Z$297</f>
        <v>0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41</v>
      </c>
      <c r="C298" s="4" t="s">
        <v>40</v>
      </c>
      <c r="D298" s="4" t="s">
        <v>43</v>
      </c>
      <c r="E298" s="4" t="s">
        <v>25</v>
      </c>
      <c r="F298" s="4" t="s">
        <v>25</v>
      </c>
      <c r="G298" s="4" t="s">
        <v>25</v>
      </c>
      <c r="H298" s="4" t="s">
        <v>35</v>
      </c>
      <c r="I298" s="5">
        <v>44348</v>
      </c>
      <c r="J298" s="6">
        <v>1316</v>
      </c>
      <c r="K298" s="6">
        <v>1316</v>
      </c>
      <c r="L298" s="6">
        <v>352.03800000000001</v>
      </c>
      <c r="M298" s="6">
        <v>352.03800000000001</v>
      </c>
      <c r="N298" s="6">
        <v>352.03800000000001</v>
      </c>
      <c r="O298" s="6">
        <v>352.03800000000001</v>
      </c>
      <c r="P298" s="6">
        <v>0</v>
      </c>
      <c r="Q298" s="4" t="s">
        <v>26</v>
      </c>
      <c r="R298" s="4">
        <v>0</v>
      </c>
      <c r="S298" s="6">
        <v>22</v>
      </c>
      <c r="T298" s="6">
        <v>23</v>
      </c>
      <c r="U298" s="6">
        <v>79</v>
      </c>
      <c r="V298" s="6">
        <f>IF(ISERROR(VLOOKUP($S$298,'TAR FIN'!$A$1:$O$116,15,0)),0,VLOOKUP($S$298,'TAR FIN'!$A$1:$O$116,15,0))</f>
        <v>25.51</v>
      </c>
      <c r="W298" s="6">
        <f>IF(ISERROR(VLOOKUP($T$298,'TAR FIN'!$A$1:$O$116,15,0)),0,VLOOKUP($T$298,'TAR FIN'!$A$1:$O$116,15,0))</f>
        <v>88.66</v>
      </c>
      <c r="X298" s="6">
        <f>IF(ISERROR(VLOOKUP($U$298,'TAR FIN'!$A$1:$O$116,15,0)),0,VLOOKUP($U$298,'TAR FIN'!$A$1:$O$116,15,0))</f>
        <v>311.04000000000002</v>
      </c>
      <c r="Y298" s="6">
        <f ca="1">('TUSD BE'!$AM$26+'TUSD BF'!$AM$26+'TUSD CVA'!$AM$26)*1</f>
        <v>29.803266797877356</v>
      </c>
      <c r="Z298" s="6">
        <f ca="1">('TUSD BE'!$AM$27+'TUSD BF'!$AM$27+'TUSD CVA'!$AM$27)*1</f>
        <v>137.4358543126599</v>
      </c>
      <c r="AA298" s="6">
        <f>('TE BE'!$AB$10+'TE BF'!$AB$10+'TE CVA'!$AB$10)*1</f>
        <v>313.22907246928764</v>
      </c>
      <c r="AB298" s="6">
        <f>$K$298*$V$298</f>
        <v>33571.160000000003</v>
      </c>
      <c r="AC298" s="6">
        <f>$M$298*$W$298</f>
        <v>31211.68908</v>
      </c>
      <c r="AD298" s="6">
        <f>$O$298*$X$298</f>
        <v>109497.89952000001</v>
      </c>
      <c r="AE298" s="6">
        <f ca="1">$K$298*$Y$298</f>
        <v>39221.099106006601</v>
      </c>
      <c r="AF298" s="6">
        <f ca="1">$M$298*$Z$298</f>
        <v>48382.643280520169</v>
      </c>
      <c r="AG298" s="6">
        <f>$O$298*$AA$298</f>
        <v>110268.53621394308</v>
      </c>
    </row>
    <row r="299" spans="1:33" ht="11.25" customHeight="1" x14ac:dyDescent="0.25">
      <c r="A299" s="4" t="s">
        <v>28</v>
      </c>
      <c r="B299" s="4" t="s">
        <v>41</v>
      </c>
      <c r="C299" s="4" t="s">
        <v>40</v>
      </c>
      <c r="D299" s="4" t="s">
        <v>43</v>
      </c>
      <c r="E299" s="4" t="s">
        <v>25</v>
      </c>
      <c r="F299" s="4" t="s">
        <v>25</v>
      </c>
      <c r="G299" s="4" t="s">
        <v>25</v>
      </c>
      <c r="H299" s="4" t="s">
        <v>35</v>
      </c>
      <c r="I299" s="5">
        <v>44348</v>
      </c>
      <c r="J299" s="6">
        <v>56</v>
      </c>
      <c r="K299" s="6">
        <v>56</v>
      </c>
      <c r="L299" s="6">
        <v>13.109</v>
      </c>
      <c r="M299" s="6">
        <v>13.109</v>
      </c>
      <c r="N299" s="6">
        <v>13.109</v>
      </c>
      <c r="O299" s="6">
        <v>13.109</v>
      </c>
      <c r="P299" s="6">
        <v>0</v>
      </c>
      <c r="Q299" s="4" t="s">
        <v>26</v>
      </c>
      <c r="R299" s="4">
        <v>0</v>
      </c>
      <c r="S299" s="6">
        <v>22</v>
      </c>
      <c r="T299" s="6">
        <v>23</v>
      </c>
      <c r="U299" s="6">
        <v>79</v>
      </c>
      <c r="V299" s="6">
        <f>IF(ISERROR(VLOOKUP($S$299,'TAR FIN'!$A$1:$O$116,15,0)),0,VLOOKUP($S$299,'TAR FIN'!$A$1:$O$116,15,0))</f>
        <v>25.51</v>
      </c>
      <c r="W299" s="6">
        <f>IF(ISERROR(VLOOKUP($T$299,'TAR FIN'!$A$1:$O$116,15,0)),0,VLOOKUP($T$299,'TAR FIN'!$A$1:$O$116,15,0))</f>
        <v>88.66</v>
      </c>
      <c r="X299" s="6">
        <f>IF(ISERROR(VLOOKUP($U$299,'TAR FIN'!$A$1:$O$116,15,0)),0,VLOOKUP($U$299,'TAR FIN'!$A$1:$O$116,15,0))</f>
        <v>311.04000000000002</v>
      </c>
      <c r="Y299" s="6">
        <f ca="1">('TUSD BE'!$AM$26+'TUSD BF'!$AM$26+'TUSD CVA'!$AM$26)*1</f>
        <v>29.803266797877356</v>
      </c>
      <c r="Z299" s="6">
        <f ca="1">('TUSD BE'!$AM$27+'TUSD BF'!$AM$27+'TUSD CVA'!$AM$27)*1</f>
        <v>137.4358543126599</v>
      </c>
      <c r="AA299" s="6">
        <f>('TE BE'!$AB$10+'TE BF'!$AB$10+'TE CVA'!$AB$10)*1</f>
        <v>313.22907246928764</v>
      </c>
      <c r="AB299" s="6">
        <f>$K$299*$V$299</f>
        <v>1428.5600000000002</v>
      </c>
      <c r="AC299" s="6">
        <f>$M$299*$W$299</f>
        <v>1162.2439400000001</v>
      </c>
      <c r="AD299" s="6">
        <f>$O$299*$X$299</f>
        <v>4077.4233600000002</v>
      </c>
      <c r="AE299" s="6">
        <f ca="1">$K$299*$Y$299</f>
        <v>1668.9829406811318</v>
      </c>
      <c r="AF299" s="6">
        <f ca="1">$M$299*$Z$299</f>
        <v>1801.6466141846586</v>
      </c>
      <c r="AG299" s="6">
        <f>$O$299*$AA$299</f>
        <v>4106.1199109998915</v>
      </c>
    </row>
    <row r="300" spans="1:33" ht="11.25" customHeight="1" x14ac:dyDescent="0.25">
      <c r="A300" s="4" t="s">
        <v>21</v>
      </c>
      <c r="B300" s="4" t="s">
        <v>41</v>
      </c>
      <c r="C300" s="4" t="s">
        <v>40</v>
      </c>
      <c r="D300" s="4" t="s">
        <v>43</v>
      </c>
      <c r="E300" s="4" t="s">
        <v>25</v>
      </c>
      <c r="F300" s="4" t="s">
        <v>25</v>
      </c>
      <c r="G300" s="4" t="s">
        <v>25</v>
      </c>
      <c r="H300" s="4" t="s">
        <v>35</v>
      </c>
      <c r="I300" s="5">
        <v>44378</v>
      </c>
      <c r="J300" s="6">
        <v>1544</v>
      </c>
      <c r="K300" s="6">
        <v>1544</v>
      </c>
      <c r="L300" s="6">
        <v>429.923</v>
      </c>
      <c r="M300" s="6">
        <v>429.923</v>
      </c>
      <c r="N300" s="6">
        <v>429.923</v>
      </c>
      <c r="O300" s="6">
        <v>429.923</v>
      </c>
      <c r="P300" s="6">
        <v>0</v>
      </c>
      <c r="Q300" s="4" t="s">
        <v>26</v>
      </c>
      <c r="R300" s="4">
        <v>0</v>
      </c>
      <c r="S300" s="6">
        <v>22</v>
      </c>
      <c r="T300" s="6">
        <v>23</v>
      </c>
      <c r="U300" s="6">
        <v>79</v>
      </c>
      <c r="V300" s="6">
        <f>IF(ISERROR(VLOOKUP($S$300,'TAR FIN'!$A$1:$O$116,15,0)),0,VLOOKUP($S$300,'TAR FIN'!$A$1:$O$116,15,0))</f>
        <v>25.51</v>
      </c>
      <c r="W300" s="6">
        <f>IF(ISERROR(VLOOKUP($T$300,'TAR FIN'!$A$1:$O$116,15,0)),0,VLOOKUP($T$300,'TAR FIN'!$A$1:$O$116,15,0))</f>
        <v>88.66</v>
      </c>
      <c r="X300" s="6">
        <f>IF(ISERROR(VLOOKUP($U$300,'TAR FIN'!$A$1:$O$116,15,0)),0,VLOOKUP($U$300,'TAR FIN'!$A$1:$O$116,15,0))</f>
        <v>311.04000000000002</v>
      </c>
      <c r="Y300" s="6">
        <f ca="1">('TUSD BE'!$AM$26+'TUSD BF'!$AM$26+'TUSD CVA'!$AM$26)*1</f>
        <v>29.803266797877356</v>
      </c>
      <c r="Z300" s="6">
        <f ca="1">('TUSD BE'!$AM$27+'TUSD BF'!$AM$27+'TUSD CVA'!$AM$27)*1</f>
        <v>137.4358543126599</v>
      </c>
      <c r="AA300" s="6">
        <f>('TE BE'!$AB$10+'TE BF'!$AB$10+'TE CVA'!$AB$10)*1</f>
        <v>313.22907246928764</v>
      </c>
      <c r="AB300" s="6">
        <f>$K$300*$V$300</f>
        <v>39387.440000000002</v>
      </c>
      <c r="AC300" s="6">
        <f>$M$300*$W$300</f>
        <v>38116.973180000001</v>
      </c>
      <c r="AD300" s="6">
        <f>$O$300*$X$300</f>
        <v>133723.24992</v>
      </c>
      <c r="AE300" s="6">
        <f ca="1">$K$300*$Y$300</f>
        <v>46016.243935922641</v>
      </c>
      <c r="AF300" s="6">
        <f ca="1">$M$300*$Z$300</f>
        <v>59086.834793661685</v>
      </c>
      <c r="AG300" s="6">
        <f>$O$300*$AA$300</f>
        <v>134664.38252321354</v>
      </c>
    </row>
    <row r="301" spans="1:33" ht="11.25" customHeight="1" x14ac:dyDescent="0.25">
      <c r="A301" s="4" t="s">
        <v>28</v>
      </c>
      <c r="B301" s="4" t="s">
        <v>41</v>
      </c>
      <c r="C301" s="4" t="s">
        <v>40</v>
      </c>
      <c r="D301" s="4" t="s">
        <v>43</v>
      </c>
      <c r="E301" s="4" t="s">
        <v>25</v>
      </c>
      <c r="F301" s="4" t="s">
        <v>25</v>
      </c>
      <c r="G301" s="4" t="s">
        <v>25</v>
      </c>
      <c r="H301" s="4" t="s">
        <v>35</v>
      </c>
      <c r="I301" s="5">
        <v>44378</v>
      </c>
      <c r="J301" s="6">
        <v>56</v>
      </c>
      <c r="K301" s="6">
        <v>56</v>
      </c>
      <c r="L301" s="6">
        <v>0.23200000000000001</v>
      </c>
      <c r="M301" s="6">
        <v>0.23200000000000001</v>
      </c>
      <c r="N301" s="6">
        <v>0.23200000000000001</v>
      </c>
      <c r="O301" s="6">
        <v>0.23200000000000001</v>
      </c>
      <c r="P301" s="6">
        <v>0</v>
      </c>
      <c r="Q301" s="4" t="s">
        <v>26</v>
      </c>
      <c r="R301" s="4">
        <v>0</v>
      </c>
      <c r="S301" s="6">
        <v>22</v>
      </c>
      <c r="T301" s="6">
        <v>23</v>
      </c>
      <c r="U301" s="6">
        <v>79</v>
      </c>
      <c r="V301" s="6">
        <f>IF(ISERROR(VLOOKUP($S$301,'TAR FIN'!$A$1:$O$116,15,0)),0,VLOOKUP($S$301,'TAR FIN'!$A$1:$O$116,15,0))</f>
        <v>25.51</v>
      </c>
      <c r="W301" s="6">
        <f>IF(ISERROR(VLOOKUP($T$301,'TAR FIN'!$A$1:$O$116,15,0)),0,VLOOKUP($T$301,'TAR FIN'!$A$1:$O$116,15,0))</f>
        <v>88.66</v>
      </c>
      <c r="X301" s="6">
        <f>IF(ISERROR(VLOOKUP($U$301,'TAR FIN'!$A$1:$O$116,15,0)),0,VLOOKUP($U$301,'TAR FIN'!$A$1:$O$116,15,0))</f>
        <v>311.04000000000002</v>
      </c>
      <c r="Y301" s="6">
        <f ca="1">('TUSD BE'!$AM$26+'TUSD BF'!$AM$26+'TUSD CVA'!$AM$26)*1</f>
        <v>29.803266797877356</v>
      </c>
      <c r="Z301" s="6">
        <f ca="1">('TUSD BE'!$AM$27+'TUSD BF'!$AM$27+'TUSD CVA'!$AM$27)*1</f>
        <v>137.4358543126599</v>
      </c>
      <c r="AA301" s="6">
        <f>('TE BE'!$AB$10+'TE BF'!$AB$10+'TE CVA'!$AB$10)*1</f>
        <v>313.22907246928764</v>
      </c>
      <c r="AB301" s="6">
        <f>$K$301*$V$301</f>
        <v>1428.5600000000002</v>
      </c>
      <c r="AC301" s="6">
        <f>$M$301*$W$301</f>
        <v>20.569120000000002</v>
      </c>
      <c r="AD301" s="6">
        <f>$O$301*$X$301</f>
        <v>72.161280000000005</v>
      </c>
      <c r="AE301" s="6">
        <f ca="1">$K$301*$Y$301</f>
        <v>1668.9829406811318</v>
      </c>
      <c r="AF301" s="6">
        <f ca="1">$M$301*$Z$301</f>
        <v>31.885118200537097</v>
      </c>
      <c r="AG301" s="6">
        <f>$O$301*$AA$301</f>
        <v>72.669144812874734</v>
      </c>
    </row>
    <row r="302" spans="1:33" ht="11.25" customHeight="1" x14ac:dyDescent="0.25">
      <c r="A302" s="4" t="s">
        <v>21</v>
      </c>
      <c r="B302" s="4" t="s">
        <v>41</v>
      </c>
      <c r="C302" s="4" t="s">
        <v>40</v>
      </c>
      <c r="D302" s="4" t="s">
        <v>43</v>
      </c>
      <c r="E302" s="4" t="s">
        <v>25</v>
      </c>
      <c r="F302" s="4" t="s">
        <v>25</v>
      </c>
      <c r="G302" s="4" t="s">
        <v>25</v>
      </c>
      <c r="H302" s="4" t="s">
        <v>35</v>
      </c>
      <c r="I302" s="5">
        <v>44409</v>
      </c>
      <c r="J302" s="6">
        <v>1218</v>
      </c>
      <c r="K302" s="6">
        <v>1218</v>
      </c>
      <c r="L302" s="6">
        <v>312.78500000000003</v>
      </c>
      <c r="M302" s="6">
        <v>312.78500000000003</v>
      </c>
      <c r="N302" s="6">
        <v>312.78500000000003</v>
      </c>
      <c r="O302" s="6">
        <v>312.78500000000003</v>
      </c>
      <c r="P302" s="6">
        <v>0</v>
      </c>
      <c r="Q302" s="4" t="s">
        <v>26</v>
      </c>
      <c r="R302" s="4">
        <v>0</v>
      </c>
      <c r="S302" s="6">
        <v>22</v>
      </c>
      <c r="T302" s="6">
        <v>23</v>
      </c>
      <c r="U302" s="6">
        <v>79</v>
      </c>
      <c r="V302" s="6">
        <f>IF(ISERROR(VLOOKUP($S$302,'TAR FIN'!$A$1:$O$116,15,0)),0,VLOOKUP($S$302,'TAR FIN'!$A$1:$O$116,15,0))</f>
        <v>25.51</v>
      </c>
      <c r="W302" s="6">
        <f>IF(ISERROR(VLOOKUP($T$302,'TAR FIN'!$A$1:$O$116,15,0)),0,VLOOKUP($T$302,'TAR FIN'!$A$1:$O$116,15,0))</f>
        <v>88.66</v>
      </c>
      <c r="X302" s="6">
        <f>IF(ISERROR(VLOOKUP($U$302,'TAR FIN'!$A$1:$O$116,15,0)),0,VLOOKUP($U$302,'TAR FIN'!$A$1:$O$116,15,0))</f>
        <v>311.04000000000002</v>
      </c>
      <c r="Y302" s="6">
        <f ca="1">('TUSD BE'!$AM$26+'TUSD BF'!$AM$26+'TUSD CVA'!$AM$26)*1</f>
        <v>29.803266797877356</v>
      </c>
      <c r="Z302" s="6">
        <f ca="1">('TUSD BE'!$AM$27+'TUSD BF'!$AM$27+'TUSD CVA'!$AM$27)*1</f>
        <v>137.4358543126599</v>
      </c>
      <c r="AA302" s="6">
        <f>('TE BE'!$AB$10+'TE BF'!$AB$10+'TE CVA'!$AB$10)*1</f>
        <v>313.22907246928764</v>
      </c>
      <c r="AB302" s="6">
        <f>$K$302*$V$302</f>
        <v>31071.18</v>
      </c>
      <c r="AC302" s="6">
        <f>$M$302*$W$302</f>
        <v>27731.518100000001</v>
      </c>
      <c r="AD302" s="6">
        <f>$O$302*$X$302</f>
        <v>97288.646400000012</v>
      </c>
      <c r="AE302" s="6">
        <f ca="1">$K$302*$Y$302</f>
        <v>36300.378959814618</v>
      </c>
      <c r="AF302" s="6">
        <f ca="1">$M$302*$Z$302</f>
        <v>42987.873691185327</v>
      </c>
      <c r="AG302" s="6">
        <f>$O$302*$AA$302</f>
        <v>97973.35543230614</v>
      </c>
    </row>
    <row r="303" spans="1:33" ht="11.25" customHeight="1" x14ac:dyDescent="0.25">
      <c r="A303" s="4" t="s">
        <v>27</v>
      </c>
      <c r="B303" s="4" t="s">
        <v>41</v>
      </c>
      <c r="C303" s="4" t="s">
        <v>40</v>
      </c>
      <c r="D303" s="4" t="s">
        <v>43</v>
      </c>
      <c r="E303" s="4" t="s">
        <v>25</v>
      </c>
      <c r="F303" s="4" t="s">
        <v>25</v>
      </c>
      <c r="G303" s="4" t="s">
        <v>25</v>
      </c>
      <c r="H303" s="4" t="s">
        <v>35</v>
      </c>
      <c r="I303" s="5">
        <v>44409</v>
      </c>
      <c r="J303" s="6">
        <v>-100</v>
      </c>
      <c r="K303" s="6">
        <v>-100</v>
      </c>
      <c r="L303" s="6">
        <v>-43.606000000000002</v>
      </c>
      <c r="M303" s="6">
        <v>-43.606000000000002</v>
      </c>
      <c r="N303" s="6">
        <v>-43.606000000000002</v>
      </c>
      <c r="O303" s="6">
        <v>-43.606000000000002</v>
      </c>
      <c r="P303" s="6">
        <v>0</v>
      </c>
      <c r="Q303" s="4" t="s">
        <v>26</v>
      </c>
      <c r="R303" s="4">
        <v>0</v>
      </c>
      <c r="S303" s="6">
        <v>22</v>
      </c>
      <c r="T303" s="6">
        <v>23</v>
      </c>
      <c r="U303" s="6">
        <v>79</v>
      </c>
      <c r="V303" s="6">
        <f>IF(ISERROR(VLOOKUP($S$303,'TAR FIN'!$A$1:$O$116,15,0)),0,VLOOKUP($S$303,'TAR FIN'!$A$1:$O$116,15,0))</f>
        <v>25.51</v>
      </c>
      <c r="W303" s="6">
        <f>IF(ISERROR(VLOOKUP($T$303,'TAR FIN'!$A$1:$O$116,15,0)),0,VLOOKUP($T$303,'TAR FIN'!$A$1:$O$116,15,0))</f>
        <v>88.66</v>
      </c>
      <c r="X303" s="6">
        <f>IF(ISERROR(VLOOKUP($U$303,'TAR FIN'!$A$1:$O$116,15,0)),0,VLOOKUP($U$303,'TAR FIN'!$A$1:$O$116,15,0))</f>
        <v>311.04000000000002</v>
      </c>
      <c r="Y303" s="6">
        <f ca="1">('TUSD BE'!$AM$26+'TUSD BF'!$AM$26+'TUSD CVA'!$AM$26)*1</f>
        <v>29.803266797877356</v>
      </c>
      <c r="Z303" s="6">
        <f ca="1">('TUSD BE'!$AM$27+'TUSD BF'!$AM$27+'TUSD CVA'!$AM$27)*1</f>
        <v>137.4358543126599</v>
      </c>
      <c r="AA303" s="6">
        <f>('TE BE'!$AB$10+'TE BF'!$AB$10+'TE CVA'!$AB$10)*1</f>
        <v>313.22907246928764</v>
      </c>
      <c r="AB303" s="6">
        <f>$K$303*$V$303</f>
        <v>-2551</v>
      </c>
      <c r="AC303" s="6">
        <f>$M$303*$W$303</f>
        <v>-3866.1079599999998</v>
      </c>
      <c r="AD303" s="6">
        <f>$O$303*$X$303</f>
        <v>-13563.210240000002</v>
      </c>
      <c r="AE303" s="6">
        <f ca="1">$K$303*$Y$303</f>
        <v>-2980.3266797877354</v>
      </c>
      <c r="AF303" s="6">
        <f ca="1">$M$303*$Z$303</f>
        <v>-5993.0278631578476</v>
      </c>
      <c r="AG303" s="6">
        <f>$O$303*$AA$303</f>
        <v>-13658.666934095758</v>
      </c>
    </row>
    <row r="304" spans="1:33" ht="11.25" customHeight="1" x14ac:dyDescent="0.25">
      <c r="A304" s="4" t="s">
        <v>28</v>
      </c>
      <c r="B304" s="4" t="s">
        <v>41</v>
      </c>
      <c r="C304" s="4" t="s">
        <v>40</v>
      </c>
      <c r="D304" s="4" t="s">
        <v>43</v>
      </c>
      <c r="E304" s="4" t="s">
        <v>25</v>
      </c>
      <c r="F304" s="4" t="s">
        <v>25</v>
      </c>
      <c r="G304" s="4" t="s">
        <v>25</v>
      </c>
      <c r="H304" s="4" t="s">
        <v>35</v>
      </c>
      <c r="I304" s="5">
        <v>44409</v>
      </c>
      <c r="J304" s="6">
        <v>56</v>
      </c>
      <c r="K304" s="6">
        <v>56</v>
      </c>
      <c r="L304" s="6">
        <v>11.07</v>
      </c>
      <c r="M304" s="6">
        <v>11.07</v>
      </c>
      <c r="N304" s="6">
        <v>11.07</v>
      </c>
      <c r="O304" s="6">
        <v>11.07</v>
      </c>
      <c r="P304" s="6">
        <v>0</v>
      </c>
      <c r="Q304" s="4" t="s">
        <v>26</v>
      </c>
      <c r="R304" s="4">
        <v>0</v>
      </c>
      <c r="S304" s="6">
        <v>22</v>
      </c>
      <c r="T304" s="6">
        <v>23</v>
      </c>
      <c r="U304" s="6">
        <v>79</v>
      </c>
      <c r="V304" s="6">
        <f>IF(ISERROR(VLOOKUP($S$304,'TAR FIN'!$A$1:$O$116,15,0)),0,VLOOKUP($S$304,'TAR FIN'!$A$1:$O$116,15,0))</f>
        <v>25.51</v>
      </c>
      <c r="W304" s="6">
        <f>IF(ISERROR(VLOOKUP($T$304,'TAR FIN'!$A$1:$O$116,15,0)),0,VLOOKUP($T$304,'TAR FIN'!$A$1:$O$116,15,0))</f>
        <v>88.66</v>
      </c>
      <c r="X304" s="6">
        <f>IF(ISERROR(VLOOKUP($U$304,'TAR FIN'!$A$1:$O$116,15,0)),0,VLOOKUP($U$304,'TAR FIN'!$A$1:$O$116,15,0))</f>
        <v>311.04000000000002</v>
      </c>
      <c r="Y304" s="6">
        <f ca="1">('TUSD BE'!$AM$26+'TUSD BF'!$AM$26+'TUSD CVA'!$AM$26)*1</f>
        <v>29.803266797877356</v>
      </c>
      <c r="Z304" s="6">
        <f ca="1">('TUSD BE'!$AM$27+'TUSD BF'!$AM$27+'TUSD CVA'!$AM$27)*1</f>
        <v>137.4358543126599</v>
      </c>
      <c r="AA304" s="6">
        <f>('TE BE'!$AB$10+'TE BF'!$AB$10+'TE CVA'!$AB$10)*1</f>
        <v>313.22907246928764</v>
      </c>
      <c r="AB304" s="6">
        <f>$K$304*$V$304</f>
        <v>1428.5600000000002</v>
      </c>
      <c r="AC304" s="6">
        <f>$M$304*$W$304</f>
        <v>981.46619999999996</v>
      </c>
      <c r="AD304" s="6">
        <f>$O$304*$X$304</f>
        <v>3443.2128000000002</v>
      </c>
      <c r="AE304" s="6">
        <f ca="1">$K$304*$Y$304</f>
        <v>1668.9829406811318</v>
      </c>
      <c r="AF304" s="6">
        <f ca="1">$M$304*$Z$304</f>
        <v>1521.4149072411451</v>
      </c>
      <c r="AG304" s="6">
        <f>$O$304*$AA$304</f>
        <v>3467.4458322350142</v>
      </c>
    </row>
    <row r="305" spans="1:33" ht="11.25" customHeight="1" x14ac:dyDescent="0.25">
      <c r="A305" s="4" t="s">
        <v>21</v>
      </c>
      <c r="B305" s="4" t="s">
        <v>41</v>
      </c>
      <c r="C305" s="4" t="s">
        <v>40</v>
      </c>
      <c r="D305" s="4" t="s">
        <v>43</v>
      </c>
      <c r="E305" s="4" t="s">
        <v>25</v>
      </c>
      <c r="F305" s="4" t="s">
        <v>25</v>
      </c>
      <c r="G305" s="4" t="s">
        <v>25</v>
      </c>
      <c r="H305" s="4" t="s">
        <v>35</v>
      </c>
      <c r="I305" s="5">
        <v>44440</v>
      </c>
      <c r="J305" s="6">
        <v>1146</v>
      </c>
      <c r="K305" s="6">
        <v>1146</v>
      </c>
      <c r="L305" s="6">
        <v>328.71199999999999</v>
      </c>
      <c r="M305" s="6">
        <v>328.71199999999999</v>
      </c>
      <c r="N305" s="6">
        <v>328.71199999999999</v>
      </c>
      <c r="O305" s="6">
        <v>328.71199999999999</v>
      </c>
      <c r="P305" s="6">
        <v>0</v>
      </c>
      <c r="Q305" s="4" t="s">
        <v>26</v>
      </c>
      <c r="R305" s="4">
        <v>0</v>
      </c>
      <c r="S305" s="6">
        <v>22</v>
      </c>
      <c r="T305" s="6">
        <v>23</v>
      </c>
      <c r="U305" s="6">
        <v>79</v>
      </c>
      <c r="V305" s="6">
        <f>IF(ISERROR(VLOOKUP($S$305,'TAR FIN'!$A$1:$O$116,15,0)),0,VLOOKUP($S$305,'TAR FIN'!$A$1:$O$116,15,0))</f>
        <v>25.51</v>
      </c>
      <c r="W305" s="6">
        <f>IF(ISERROR(VLOOKUP($T$305,'TAR FIN'!$A$1:$O$116,15,0)),0,VLOOKUP($T$305,'TAR FIN'!$A$1:$O$116,15,0))</f>
        <v>88.66</v>
      </c>
      <c r="X305" s="6">
        <f>IF(ISERROR(VLOOKUP($U$305,'TAR FIN'!$A$1:$O$116,15,0)),0,VLOOKUP($U$305,'TAR FIN'!$A$1:$O$116,15,0))</f>
        <v>311.04000000000002</v>
      </c>
      <c r="Y305" s="6">
        <f ca="1">('TUSD BE'!$AM$26+'TUSD BF'!$AM$26+'TUSD CVA'!$AM$26)*1</f>
        <v>29.803266797877356</v>
      </c>
      <c r="Z305" s="6">
        <f ca="1">('TUSD BE'!$AM$27+'TUSD BF'!$AM$27+'TUSD CVA'!$AM$27)*1</f>
        <v>137.4358543126599</v>
      </c>
      <c r="AA305" s="6">
        <f>('TE BE'!$AB$10+'TE BF'!$AB$10+'TE CVA'!$AB$10)*1</f>
        <v>313.22907246928764</v>
      </c>
      <c r="AB305" s="6">
        <f>$K$305*$V$305</f>
        <v>29234.460000000003</v>
      </c>
      <c r="AC305" s="6">
        <f>$M$305*$W$305</f>
        <v>29143.605919999998</v>
      </c>
      <c r="AD305" s="6">
        <f>$O$305*$X$305</f>
        <v>102242.58048</v>
      </c>
      <c r="AE305" s="6">
        <f ca="1">$K$305*$Y$305</f>
        <v>34154.543750367448</v>
      </c>
      <c r="AF305" s="6">
        <f ca="1">$M$305*$Z$305</f>
        <v>45176.814542823056</v>
      </c>
      <c r="AG305" s="6">
        <f>$O$305*$AA$305</f>
        <v>102962.15486952447</v>
      </c>
    </row>
    <row r="306" spans="1:33" ht="11.25" customHeight="1" x14ac:dyDescent="0.25">
      <c r="A306" s="4" t="s">
        <v>28</v>
      </c>
      <c r="B306" s="4" t="s">
        <v>41</v>
      </c>
      <c r="C306" s="4" t="s">
        <v>40</v>
      </c>
      <c r="D306" s="4" t="s">
        <v>43</v>
      </c>
      <c r="E306" s="4" t="s">
        <v>25</v>
      </c>
      <c r="F306" s="4" t="s">
        <v>25</v>
      </c>
      <c r="G306" s="4" t="s">
        <v>25</v>
      </c>
      <c r="H306" s="4" t="s">
        <v>35</v>
      </c>
      <c r="I306" s="5">
        <v>44440</v>
      </c>
      <c r="J306" s="6">
        <v>56</v>
      </c>
      <c r="K306" s="6">
        <v>56</v>
      </c>
      <c r="L306" s="6">
        <v>12.340999999999999</v>
      </c>
      <c r="M306" s="6">
        <v>12.340999999999999</v>
      </c>
      <c r="N306" s="6">
        <v>12.340999999999999</v>
      </c>
      <c r="O306" s="6">
        <v>12.340999999999999</v>
      </c>
      <c r="P306" s="6">
        <v>0</v>
      </c>
      <c r="Q306" s="4" t="s">
        <v>26</v>
      </c>
      <c r="R306" s="4">
        <v>0</v>
      </c>
      <c r="S306" s="6">
        <v>22</v>
      </c>
      <c r="T306" s="6">
        <v>23</v>
      </c>
      <c r="U306" s="6">
        <v>79</v>
      </c>
      <c r="V306" s="6">
        <f>IF(ISERROR(VLOOKUP($S$306,'TAR FIN'!$A$1:$O$116,15,0)),0,VLOOKUP($S$306,'TAR FIN'!$A$1:$O$116,15,0))</f>
        <v>25.51</v>
      </c>
      <c r="W306" s="6">
        <f>IF(ISERROR(VLOOKUP($T$306,'TAR FIN'!$A$1:$O$116,15,0)),0,VLOOKUP($T$306,'TAR FIN'!$A$1:$O$116,15,0))</f>
        <v>88.66</v>
      </c>
      <c r="X306" s="6">
        <f>IF(ISERROR(VLOOKUP($U$306,'TAR FIN'!$A$1:$O$116,15,0)),0,VLOOKUP($U$306,'TAR FIN'!$A$1:$O$116,15,0))</f>
        <v>311.04000000000002</v>
      </c>
      <c r="Y306" s="6">
        <f ca="1">('TUSD BE'!$AM$26+'TUSD BF'!$AM$26+'TUSD CVA'!$AM$26)*1</f>
        <v>29.803266797877356</v>
      </c>
      <c r="Z306" s="6">
        <f ca="1">('TUSD BE'!$AM$27+'TUSD BF'!$AM$27+'TUSD CVA'!$AM$27)*1</f>
        <v>137.4358543126599</v>
      </c>
      <c r="AA306" s="6">
        <f>('TE BE'!$AB$10+'TE BF'!$AB$10+'TE CVA'!$AB$10)*1</f>
        <v>313.22907246928764</v>
      </c>
      <c r="AB306" s="6">
        <f>$K$306*$V$306</f>
        <v>1428.5600000000002</v>
      </c>
      <c r="AC306" s="6">
        <f>$M$306*$W$306</f>
        <v>1094.1530599999999</v>
      </c>
      <c r="AD306" s="6">
        <f>$O$306*$X$306</f>
        <v>3838.5446400000001</v>
      </c>
      <c r="AE306" s="6">
        <f ca="1">$K$306*$Y$306</f>
        <v>1668.9829406811318</v>
      </c>
      <c r="AF306" s="6">
        <f ca="1">$M$306*$Z$306</f>
        <v>1696.0958780725357</v>
      </c>
      <c r="AG306" s="6">
        <f>$O$306*$AA$306</f>
        <v>3865.5599833434785</v>
      </c>
    </row>
    <row r="307" spans="1:33" ht="11.25" customHeight="1" x14ac:dyDescent="0.25">
      <c r="A307" s="4" t="s">
        <v>21</v>
      </c>
      <c r="B307" s="4" t="s">
        <v>41</v>
      </c>
      <c r="C307" s="4" t="s">
        <v>40</v>
      </c>
      <c r="D307" s="4" t="s">
        <v>43</v>
      </c>
      <c r="E307" s="4" t="s">
        <v>25</v>
      </c>
      <c r="F307" s="4" t="s">
        <v>25</v>
      </c>
      <c r="G307" s="4" t="s">
        <v>25</v>
      </c>
      <c r="H307" s="4" t="s">
        <v>35</v>
      </c>
      <c r="I307" s="5">
        <v>44470</v>
      </c>
      <c r="J307" s="6">
        <v>1056</v>
      </c>
      <c r="K307" s="6">
        <v>1056</v>
      </c>
      <c r="L307" s="6">
        <v>303.88</v>
      </c>
      <c r="M307" s="6">
        <v>303.88</v>
      </c>
      <c r="N307" s="6">
        <v>303.88</v>
      </c>
      <c r="O307" s="6">
        <v>303.88</v>
      </c>
      <c r="P307" s="6">
        <v>0</v>
      </c>
      <c r="Q307" s="4" t="s">
        <v>26</v>
      </c>
      <c r="R307" s="4">
        <v>0</v>
      </c>
      <c r="S307" s="6">
        <v>22</v>
      </c>
      <c r="T307" s="6">
        <v>23</v>
      </c>
      <c r="U307" s="6">
        <v>79</v>
      </c>
      <c r="V307" s="6">
        <f>IF(ISERROR(VLOOKUP($S$307,'TAR FIN'!$A$1:$O$116,15,0)),0,VLOOKUP($S$307,'TAR FIN'!$A$1:$O$116,15,0))</f>
        <v>25.51</v>
      </c>
      <c r="W307" s="6">
        <f>IF(ISERROR(VLOOKUP($T$307,'TAR FIN'!$A$1:$O$116,15,0)),0,VLOOKUP($T$307,'TAR FIN'!$A$1:$O$116,15,0))</f>
        <v>88.66</v>
      </c>
      <c r="X307" s="6">
        <f>IF(ISERROR(VLOOKUP($U$307,'TAR FIN'!$A$1:$O$116,15,0)),0,VLOOKUP($U$307,'TAR FIN'!$A$1:$O$116,15,0))</f>
        <v>311.04000000000002</v>
      </c>
      <c r="Y307" s="6">
        <f ca="1">('TUSD BE'!$AM$26+'TUSD BF'!$AM$26+'TUSD CVA'!$AM$26)*1</f>
        <v>29.803266797877356</v>
      </c>
      <c r="Z307" s="6">
        <f ca="1">('TUSD BE'!$AM$27+'TUSD BF'!$AM$27+'TUSD CVA'!$AM$27)*1</f>
        <v>137.4358543126599</v>
      </c>
      <c r="AA307" s="6">
        <f>('TE BE'!$AB$10+'TE BF'!$AB$10+'TE CVA'!$AB$10)*1</f>
        <v>313.22907246928764</v>
      </c>
      <c r="AB307" s="6">
        <f>$K$307*$V$307</f>
        <v>26938.560000000001</v>
      </c>
      <c r="AC307" s="6">
        <f>$M$307*$W$307</f>
        <v>26942.000799999998</v>
      </c>
      <c r="AD307" s="6">
        <f>$O$307*$X$307</f>
        <v>94518.835200000001</v>
      </c>
      <c r="AE307" s="6">
        <f ca="1">$K$307*$Y$307</f>
        <v>31472.249738558487</v>
      </c>
      <c r="AF307" s="6">
        <f ca="1">$M$307*$Z$307</f>
        <v>41764.007408531092</v>
      </c>
      <c r="AG307" s="6">
        <f>$O$307*$AA$307</f>
        <v>95184.050541967124</v>
      </c>
    </row>
    <row r="308" spans="1:33" ht="11.25" customHeight="1" x14ac:dyDescent="0.25">
      <c r="A308" s="4" t="s">
        <v>27</v>
      </c>
      <c r="B308" s="4" t="s">
        <v>41</v>
      </c>
      <c r="C308" s="4" t="s">
        <v>40</v>
      </c>
      <c r="D308" s="4" t="s">
        <v>43</v>
      </c>
      <c r="E308" s="4" t="s">
        <v>25</v>
      </c>
      <c r="F308" s="4" t="s">
        <v>25</v>
      </c>
      <c r="G308" s="4" t="s">
        <v>25</v>
      </c>
      <c r="H308" s="4" t="s">
        <v>35</v>
      </c>
      <c r="I308" s="5">
        <v>44470</v>
      </c>
      <c r="J308" s="6">
        <v>-140</v>
      </c>
      <c r="K308" s="6">
        <v>-140</v>
      </c>
      <c r="L308" s="6">
        <v>-47.887999999999998</v>
      </c>
      <c r="M308" s="6">
        <v>-47.887999999999998</v>
      </c>
      <c r="N308" s="6">
        <v>-47.887999999999998</v>
      </c>
      <c r="O308" s="6">
        <v>-47.887999999999998</v>
      </c>
      <c r="P308" s="6">
        <v>0</v>
      </c>
      <c r="Q308" s="4" t="s">
        <v>26</v>
      </c>
      <c r="R308" s="4">
        <v>0</v>
      </c>
      <c r="S308" s="6">
        <v>22</v>
      </c>
      <c r="T308" s="6">
        <v>23</v>
      </c>
      <c r="U308" s="6">
        <v>79</v>
      </c>
      <c r="V308" s="6">
        <f>IF(ISERROR(VLOOKUP($S$308,'TAR FIN'!$A$1:$O$116,15,0)),0,VLOOKUP($S$308,'TAR FIN'!$A$1:$O$116,15,0))</f>
        <v>25.51</v>
      </c>
      <c r="W308" s="6">
        <f>IF(ISERROR(VLOOKUP($T$308,'TAR FIN'!$A$1:$O$116,15,0)),0,VLOOKUP($T$308,'TAR FIN'!$A$1:$O$116,15,0))</f>
        <v>88.66</v>
      </c>
      <c r="X308" s="6">
        <f>IF(ISERROR(VLOOKUP($U$308,'TAR FIN'!$A$1:$O$116,15,0)),0,VLOOKUP($U$308,'TAR FIN'!$A$1:$O$116,15,0))</f>
        <v>311.04000000000002</v>
      </c>
      <c r="Y308" s="6">
        <f ca="1">('TUSD BE'!$AM$26+'TUSD BF'!$AM$26+'TUSD CVA'!$AM$26)*1</f>
        <v>29.803266797877356</v>
      </c>
      <c r="Z308" s="6">
        <f ca="1">('TUSD BE'!$AM$27+'TUSD BF'!$AM$27+'TUSD CVA'!$AM$27)*1</f>
        <v>137.4358543126599</v>
      </c>
      <c r="AA308" s="6">
        <f>('TE BE'!$AB$10+'TE BF'!$AB$10+'TE CVA'!$AB$10)*1</f>
        <v>313.22907246928764</v>
      </c>
      <c r="AB308" s="6">
        <f>$K$308*$V$308</f>
        <v>-3571.4</v>
      </c>
      <c r="AC308" s="6">
        <f>$M$308*$W$308</f>
        <v>-4245.7500799999998</v>
      </c>
      <c r="AD308" s="6">
        <f>$O$308*$X$308</f>
        <v>-14895.08352</v>
      </c>
      <c r="AE308" s="6">
        <f ca="1">$K$308*$Y$308</f>
        <v>-4172.4573517028302</v>
      </c>
      <c r="AF308" s="6">
        <f ca="1">$M$308*$Z$308</f>
        <v>-6581.5281913246572</v>
      </c>
      <c r="AG308" s="6">
        <f>$O$308*$AA$308</f>
        <v>-14999.913822409246</v>
      </c>
    </row>
    <row r="309" spans="1:33" ht="11.25" customHeight="1" x14ac:dyDescent="0.25">
      <c r="A309" s="4" t="s">
        <v>28</v>
      </c>
      <c r="B309" s="4" t="s">
        <v>41</v>
      </c>
      <c r="C309" s="4" t="s">
        <v>40</v>
      </c>
      <c r="D309" s="4" t="s">
        <v>43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44470</v>
      </c>
      <c r="J309" s="6">
        <v>56</v>
      </c>
      <c r="K309" s="6">
        <v>56</v>
      </c>
      <c r="L309" s="6">
        <v>14.022</v>
      </c>
      <c r="M309" s="6">
        <v>14.022</v>
      </c>
      <c r="N309" s="6">
        <v>14.022</v>
      </c>
      <c r="O309" s="6">
        <v>14.022</v>
      </c>
      <c r="P309" s="6">
        <v>0</v>
      </c>
      <c r="Q309" s="4" t="s">
        <v>26</v>
      </c>
      <c r="R309" s="4">
        <v>0</v>
      </c>
      <c r="S309" s="6">
        <v>22</v>
      </c>
      <c r="T309" s="6">
        <v>23</v>
      </c>
      <c r="U309" s="6">
        <v>79</v>
      </c>
      <c r="V309" s="6">
        <f>IF(ISERROR(VLOOKUP($S$309,'TAR FIN'!$A$1:$O$116,15,0)),0,VLOOKUP($S$309,'TAR FIN'!$A$1:$O$116,15,0))</f>
        <v>25.51</v>
      </c>
      <c r="W309" s="6">
        <f>IF(ISERROR(VLOOKUP($T$309,'TAR FIN'!$A$1:$O$116,15,0)),0,VLOOKUP($T$309,'TAR FIN'!$A$1:$O$116,15,0))</f>
        <v>88.66</v>
      </c>
      <c r="X309" s="6">
        <f>IF(ISERROR(VLOOKUP($U$309,'TAR FIN'!$A$1:$O$116,15,0)),0,VLOOKUP($U$309,'TAR FIN'!$A$1:$O$116,15,0))</f>
        <v>311.04000000000002</v>
      </c>
      <c r="Y309" s="6">
        <f ca="1">('TUSD BE'!$AM$26+'TUSD BF'!$AM$26+'TUSD CVA'!$AM$26)*1</f>
        <v>29.803266797877356</v>
      </c>
      <c r="Z309" s="6">
        <f ca="1">('TUSD BE'!$AM$27+'TUSD BF'!$AM$27+'TUSD CVA'!$AM$27)*1</f>
        <v>137.4358543126599</v>
      </c>
      <c r="AA309" s="6">
        <f>('TE BE'!$AB$10+'TE BF'!$AB$10+'TE CVA'!$AB$10)*1</f>
        <v>313.22907246928764</v>
      </c>
      <c r="AB309" s="6">
        <f>$K$309*$V$309</f>
        <v>1428.5600000000002</v>
      </c>
      <c r="AC309" s="6">
        <f>$M$309*$W$309</f>
        <v>1243.1905199999999</v>
      </c>
      <c r="AD309" s="6">
        <f>$O$309*$X$309</f>
        <v>4361.4028800000006</v>
      </c>
      <c r="AE309" s="6">
        <f ca="1">$K$309*$Y$309</f>
        <v>1668.9829406811318</v>
      </c>
      <c r="AF309" s="6">
        <f ca="1">$M$309*$Z$309</f>
        <v>1927.1255491721172</v>
      </c>
      <c r="AG309" s="6">
        <f>$O$309*$AA$309</f>
        <v>4392.0980541643512</v>
      </c>
    </row>
    <row r="310" spans="1:33" ht="11.25" customHeight="1" x14ac:dyDescent="0.25">
      <c r="A310" s="4" t="s">
        <v>21</v>
      </c>
      <c r="B310" s="4" t="s">
        <v>41</v>
      </c>
      <c r="C310" s="4" t="s">
        <v>40</v>
      </c>
      <c r="D310" s="4" t="s">
        <v>43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44501</v>
      </c>
      <c r="J310" s="6">
        <v>972</v>
      </c>
      <c r="K310" s="6">
        <v>972</v>
      </c>
      <c r="L310" s="6">
        <v>263.04500000000002</v>
      </c>
      <c r="M310" s="6">
        <v>263.04500000000002</v>
      </c>
      <c r="N310" s="6">
        <v>263.04500000000002</v>
      </c>
      <c r="O310" s="6">
        <v>263.04500000000002</v>
      </c>
      <c r="P310" s="6">
        <v>0</v>
      </c>
      <c r="Q310" s="4" t="s">
        <v>26</v>
      </c>
      <c r="R310" s="4">
        <v>0</v>
      </c>
      <c r="S310" s="6">
        <v>22</v>
      </c>
      <c r="T310" s="6">
        <v>23</v>
      </c>
      <c r="U310" s="6">
        <v>79</v>
      </c>
      <c r="V310" s="6">
        <f>IF(ISERROR(VLOOKUP($S$310,'TAR FIN'!$A$1:$O$116,15,0)),0,VLOOKUP($S$310,'TAR FIN'!$A$1:$O$116,15,0))</f>
        <v>25.51</v>
      </c>
      <c r="W310" s="6">
        <f>IF(ISERROR(VLOOKUP($T$310,'TAR FIN'!$A$1:$O$116,15,0)),0,VLOOKUP($T$310,'TAR FIN'!$A$1:$O$116,15,0))</f>
        <v>88.66</v>
      </c>
      <c r="X310" s="6">
        <f>IF(ISERROR(VLOOKUP($U$310,'TAR FIN'!$A$1:$O$116,15,0)),0,VLOOKUP($U$310,'TAR FIN'!$A$1:$O$116,15,0))</f>
        <v>311.04000000000002</v>
      </c>
      <c r="Y310" s="6">
        <f ca="1">('TUSD BE'!$AM$26+'TUSD BF'!$AM$26+'TUSD CVA'!$AM$26)*1</f>
        <v>29.803266797877356</v>
      </c>
      <c r="Z310" s="6">
        <f ca="1">('TUSD BE'!$AM$27+'TUSD BF'!$AM$27+'TUSD CVA'!$AM$27)*1</f>
        <v>137.4358543126599</v>
      </c>
      <c r="AA310" s="6">
        <f>('TE BE'!$AB$10+'TE BF'!$AB$10+'TE CVA'!$AB$10)*1</f>
        <v>313.22907246928764</v>
      </c>
      <c r="AB310" s="6">
        <f>$K$310*$V$310</f>
        <v>24795.72</v>
      </c>
      <c r="AC310" s="6">
        <f>$M$310*$W$310</f>
        <v>23321.5697</v>
      </c>
      <c r="AD310" s="6">
        <f>$O$310*$X$310</f>
        <v>81817.516800000012</v>
      </c>
      <c r="AE310" s="6">
        <f ca="1">$K$310*$Y$310</f>
        <v>28968.77532753679</v>
      </c>
      <c r="AF310" s="6">
        <f ca="1">$M$310*$Z$310</f>
        <v>36151.814297673627</v>
      </c>
      <c r="AG310" s="6">
        <f>$O$310*$AA$310</f>
        <v>82393.341367683766</v>
      </c>
    </row>
    <row r="311" spans="1:33" ht="11.25" customHeight="1" x14ac:dyDescent="0.25">
      <c r="A311" s="4" t="s">
        <v>28</v>
      </c>
      <c r="B311" s="4" t="s">
        <v>41</v>
      </c>
      <c r="C311" s="4" t="s">
        <v>40</v>
      </c>
      <c r="D311" s="4" t="s">
        <v>43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44501</v>
      </c>
      <c r="J311" s="6">
        <v>56</v>
      </c>
      <c r="K311" s="6">
        <v>56</v>
      </c>
      <c r="L311" s="6">
        <v>14.35</v>
      </c>
      <c r="M311" s="6">
        <v>14.35</v>
      </c>
      <c r="N311" s="6">
        <v>14.35</v>
      </c>
      <c r="O311" s="6">
        <v>14.35</v>
      </c>
      <c r="P311" s="6">
        <v>0</v>
      </c>
      <c r="Q311" s="4" t="s">
        <v>26</v>
      </c>
      <c r="R311" s="4">
        <v>0</v>
      </c>
      <c r="S311" s="6">
        <v>22</v>
      </c>
      <c r="T311" s="6">
        <v>23</v>
      </c>
      <c r="U311" s="6">
        <v>79</v>
      </c>
      <c r="V311" s="6">
        <f>IF(ISERROR(VLOOKUP($S$311,'TAR FIN'!$A$1:$O$116,15,0)),0,VLOOKUP($S$311,'TAR FIN'!$A$1:$O$116,15,0))</f>
        <v>25.51</v>
      </c>
      <c r="W311" s="6">
        <f>IF(ISERROR(VLOOKUP($T$311,'TAR FIN'!$A$1:$O$116,15,0)),0,VLOOKUP($T$311,'TAR FIN'!$A$1:$O$116,15,0))</f>
        <v>88.66</v>
      </c>
      <c r="X311" s="6">
        <f>IF(ISERROR(VLOOKUP($U$311,'TAR FIN'!$A$1:$O$116,15,0)),0,VLOOKUP($U$311,'TAR FIN'!$A$1:$O$116,15,0))</f>
        <v>311.04000000000002</v>
      </c>
      <c r="Y311" s="6">
        <f ca="1">('TUSD BE'!$AM$26+'TUSD BF'!$AM$26+'TUSD CVA'!$AM$26)*1</f>
        <v>29.803266797877356</v>
      </c>
      <c r="Z311" s="6">
        <f ca="1">('TUSD BE'!$AM$27+'TUSD BF'!$AM$27+'TUSD CVA'!$AM$27)*1</f>
        <v>137.4358543126599</v>
      </c>
      <c r="AA311" s="6">
        <f>('TE BE'!$AB$10+'TE BF'!$AB$10+'TE CVA'!$AB$10)*1</f>
        <v>313.22907246928764</v>
      </c>
      <c r="AB311" s="6">
        <f>$K$311*$V$311</f>
        <v>1428.5600000000002</v>
      </c>
      <c r="AC311" s="6">
        <f>$M$311*$W$311</f>
        <v>1272.271</v>
      </c>
      <c r="AD311" s="6">
        <f>$O$311*$X$311</f>
        <v>4463.424</v>
      </c>
      <c r="AE311" s="6">
        <f ca="1">$K$311*$Y$311</f>
        <v>1668.9829406811318</v>
      </c>
      <c r="AF311" s="6">
        <f ca="1">$M$311*$Z$311</f>
        <v>1972.2045093866695</v>
      </c>
      <c r="AG311" s="6">
        <f>$O$311*$AA$311</f>
        <v>4494.8371899342774</v>
      </c>
    </row>
    <row r="312" spans="1:33" ht="11.25" customHeight="1" x14ac:dyDescent="0.25">
      <c r="A312" s="4" t="s">
        <v>21</v>
      </c>
      <c r="B312" s="4" t="s">
        <v>41</v>
      </c>
      <c r="C312" s="4" t="s">
        <v>40</v>
      </c>
      <c r="D312" s="4" t="s">
        <v>43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44531</v>
      </c>
      <c r="J312" s="6">
        <v>1255</v>
      </c>
      <c r="K312" s="6">
        <v>1255</v>
      </c>
      <c r="L312" s="6">
        <v>357.95600000000002</v>
      </c>
      <c r="M312" s="6">
        <v>357.95600000000002</v>
      </c>
      <c r="N312" s="6">
        <v>357.95600000000002</v>
      </c>
      <c r="O312" s="6">
        <v>357.95600000000002</v>
      </c>
      <c r="P312" s="6">
        <v>0</v>
      </c>
      <c r="Q312" s="4" t="s">
        <v>26</v>
      </c>
      <c r="R312" s="4">
        <v>0</v>
      </c>
      <c r="S312" s="6">
        <v>22</v>
      </c>
      <c r="T312" s="6">
        <v>23</v>
      </c>
      <c r="U312" s="6">
        <v>79</v>
      </c>
      <c r="V312" s="6">
        <f>IF(ISERROR(VLOOKUP($S$312,'TAR FIN'!$A$1:$O$116,15,0)),0,VLOOKUP($S$312,'TAR FIN'!$A$1:$O$116,15,0))</f>
        <v>25.51</v>
      </c>
      <c r="W312" s="6">
        <f>IF(ISERROR(VLOOKUP($T$312,'TAR FIN'!$A$1:$O$116,15,0)),0,VLOOKUP($T$312,'TAR FIN'!$A$1:$O$116,15,0))</f>
        <v>88.66</v>
      </c>
      <c r="X312" s="6">
        <f>IF(ISERROR(VLOOKUP($U$312,'TAR FIN'!$A$1:$O$116,15,0)),0,VLOOKUP($U$312,'TAR FIN'!$A$1:$O$116,15,0))</f>
        <v>311.04000000000002</v>
      </c>
      <c r="Y312" s="6">
        <f ca="1">('TUSD BE'!$AM$26+'TUSD BF'!$AM$26+'TUSD CVA'!$AM$26)*1</f>
        <v>29.803266797877356</v>
      </c>
      <c r="Z312" s="6">
        <f ca="1">('TUSD BE'!$AM$27+'TUSD BF'!$AM$27+'TUSD CVA'!$AM$27)*1</f>
        <v>137.4358543126599</v>
      </c>
      <c r="AA312" s="6">
        <f>('TE BE'!$AB$10+'TE BF'!$AB$10+'TE CVA'!$AB$10)*1</f>
        <v>313.22907246928764</v>
      </c>
      <c r="AB312" s="6">
        <f>$K$312*$V$312</f>
        <v>32015.050000000003</v>
      </c>
      <c r="AC312" s="6">
        <f>$M$312*$W$312</f>
        <v>31736.378960000002</v>
      </c>
      <c r="AD312" s="6">
        <f>$O$312*$X$312</f>
        <v>111338.63424000001</v>
      </c>
      <c r="AE312" s="6">
        <f ca="1">$K$312*$Y$312</f>
        <v>37403.099831336083</v>
      </c>
      <c r="AF312" s="6">
        <f ca="1">$M$312*$Z$312</f>
        <v>49195.988666342491</v>
      </c>
      <c r="AG312" s="6">
        <f>$O$312*$AA$312</f>
        <v>112122.22586481633</v>
      </c>
    </row>
    <row r="313" spans="1:33" ht="11.25" customHeight="1" x14ac:dyDescent="0.25">
      <c r="A313" s="4" t="s">
        <v>28</v>
      </c>
      <c r="B313" s="4" t="s">
        <v>41</v>
      </c>
      <c r="C313" s="4" t="s">
        <v>40</v>
      </c>
      <c r="D313" s="4" t="s">
        <v>43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44531</v>
      </c>
      <c r="J313" s="6">
        <v>56</v>
      </c>
      <c r="K313" s="6">
        <v>56</v>
      </c>
      <c r="L313" s="6">
        <v>14.145</v>
      </c>
      <c r="M313" s="6">
        <v>14.145</v>
      </c>
      <c r="N313" s="6">
        <v>14.145</v>
      </c>
      <c r="O313" s="6">
        <v>14.145</v>
      </c>
      <c r="P313" s="6">
        <v>0</v>
      </c>
      <c r="Q313" s="4" t="s">
        <v>26</v>
      </c>
      <c r="R313" s="4">
        <v>0</v>
      </c>
      <c r="S313" s="6">
        <v>22</v>
      </c>
      <c r="T313" s="6">
        <v>23</v>
      </c>
      <c r="U313" s="6">
        <v>79</v>
      </c>
      <c r="V313" s="6">
        <f>IF(ISERROR(VLOOKUP($S$313,'TAR FIN'!$A$1:$O$116,15,0)),0,VLOOKUP($S$313,'TAR FIN'!$A$1:$O$116,15,0))</f>
        <v>25.51</v>
      </c>
      <c r="W313" s="6">
        <f>IF(ISERROR(VLOOKUP($T$313,'TAR FIN'!$A$1:$O$116,15,0)),0,VLOOKUP($T$313,'TAR FIN'!$A$1:$O$116,15,0))</f>
        <v>88.66</v>
      </c>
      <c r="X313" s="6">
        <f>IF(ISERROR(VLOOKUP($U$313,'TAR FIN'!$A$1:$O$116,15,0)),0,VLOOKUP($U$313,'TAR FIN'!$A$1:$O$116,15,0))</f>
        <v>311.04000000000002</v>
      </c>
      <c r="Y313" s="6">
        <f ca="1">('TUSD BE'!$AM$26+'TUSD BF'!$AM$26+'TUSD CVA'!$AM$26)*1</f>
        <v>29.803266797877356</v>
      </c>
      <c r="Z313" s="6">
        <f ca="1">('TUSD BE'!$AM$27+'TUSD BF'!$AM$27+'TUSD CVA'!$AM$27)*1</f>
        <v>137.4358543126599</v>
      </c>
      <c r="AA313" s="6">
        <f>('TE BE'!$AB$10+'TE BF'!$AB$10+'TE CVA'!$AB$10)*1</f>
        <v>313.22907246928764</v>
      </c>
      <c r="AB313" s="6">
        <f>$K$313*$V$313</f>
        <v>1428.5600000000002</v>
      </c>
      <c r="AC313" s="6">
        <f>$M$313*$W$313</f>
        <v>1254.0956999999999</v>
      </c>
      <c r="AD313" s="6">
        <f>$O$313*$X$313</f>
        <v>4399.6608000000006</v>
      </c>
      <c r="AE313" s="6">
        <f ca="1">$K$313*$Y$313</f>
        <v>1668.9829406811318</v>
      </c>
      <c r="AF313" s="6">
        <f ca="1">$M$313*$Z$313</f>
        <v>1944.0301592525743</v>
      </c>
      <c r="AG313" s="6">
        <f>$O$313*$AA$313</f>
        <v>4430.6252300780734</v>
      </c>
    </row>
    <row r="314" spans="1:33" ht="11.25" customHeight="1" x14ac:dyDescent="0.25">
      <c r="A314" s="4" t="s">
        <v>21</v>
      </c>
      <c r="B314" s="4" t="s">
        <v>41</v>
      </c>
      <c r="C314" s="4" t="s">
        <v>40</v>
      </c>
      <c r="D314" s="4" t="s">
        <v>43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44562</v>
      </c>
      <c r="J314" s="6">
        <v>898</v>
      </c>
      <c r="K314" s="6">
        <v>898</v>
      </c>
      <c r="L314" s="6">
        <v>279.779</v>
      </c>
      <c r="M314" s="6">
        <v>279.779</v>
      </c>
      <c r="N314" s="6">
        <v>279.779</v>
      </c>
      <c r="O314" s="6">
        <v>279.779</v>
      </c>
      <c r="P314" s="6">
        <v>0</v>
      </c>
      <c r="Q314" s="4" t="s">
        <v>26</v>
      </c>
      <c r="R314" s="4">
        <v>0</v>
      </c>
      <c r="S314" s="6">
        <v>22</v>
      </c>
      <c r="T314" s="6">
        <v>23</v>
      </c>
      <c r="U314" s="6">
        <v>79</v>
      </c>
      <c r="V314" s="6">
        <f>IF(ISERROR(VLOOKUP($S$314,'TAR FIN'!$A$1:$O$116,15,0)),0,VLOOKUP($S$314,'TAR FIN'!$A$1:$O$116,15,0))</f>
        <v>25.51</v>
      </c>
      <c r="W314" s="6">
        <f>IF(ISERROR(VLOOKUP($T$314,'TAR FIN'!$A$1:$O$116,15,0)),0,VLOOKUP($T$314,'TAR FIN'!$A$1:$O$116,15,0))</f>
        <v>88.66</v>
      </c>
      <c r="X314" s="6">
        <f>IF(ISERROR(VLOOKUP($U$314,'TAR FIN'!$A$1:$O$116,15,0)),0,VLOOKUP($U$314,'TAR FIN'!$A$1:$O$116,15,0))</f>
        <v>311.04000000000002</v>
      </c>
      <c r="Y314" s="6">
        <f ca="1">('TUSD BE'!$AM$26+'TUSD BF'!$AM$26+'TUSD CVA'!$AM$26)*1</f>
        <v>29.803266797877356</v>
      </c>
      <c r="Z314" s="6">
        <f ca="1">('TUSD BE'!$AM$27+'TUSD BF'!$AM$27+'TUSD CVA'!$AM$27)*1</f>
        <v>137.4358543126599</v>
      </c>
      <c r="AA314" s="6">
        <f>('TE BE'!$AB$10+'TE BF'!$AB$10+'TE CVA'!$AB$10)*1</f>
        <v>313.22907246928764</v>
      </c>
      <c r="AB314" s="6">
        <f>$K$314*$V$314</f>
        <v>22907.980000000003</v>
      </c>
      <c r="AC314" s="6">
        <f>$M$314*$W$314</f>
        <v>24805.206139999998</v>
      </c>
      <c r="AD314" s="6">
        <f>$O$314*$X$314</f>
        <v>87022.460160000002</v>
      </c>
      <c r="AE314" s="6">
        <f ca="1">$K$314*$Y$314</f>
        <v>26763.333584493867</v>
      </c>
      <c r="AF314" s="6">
        <f ca="1">$M$314*$Z$314</f>
        <v>38451.665883741676</v>
      </c>
      <c r="AG314" s="6">
        <f>$O$314*$AA$314</f>
        <v>87634.91666638483</v>
      </c>
    </row>
    <row r="315" spans="1:33" ht="11.25" customHeight="1" x14ac:dyDescent="0.25">
      <c r="A315" s="4" t="s">
        <v>28</v>
      </c>
      <c r="B315" s="4" t="s">
        <v>41</v>
      </c>
      <c r="C315" s="4" t="s">
        <v>40</v>
      </c>
      <c r="D315" s="4" t="s">
        <v>43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44562</v>
      </c>
      <c r="J315" s="6">
        <v>56</v>
      </c>
      <c r="K315" s="6">
        <v>56</v>
      </c>
      <c r="L315" s="6">
        <v>15.397</v>
      </c>
      <c r="M315" s="6">
        <v>15.397</v>
      </c>
      <c r="N315" s="6">
        <v>15.397</v>
      </c>
      <c r="O315" s="6">
        <v>15.397</v>
      </c>
      <c r="P315" s="6">
        <v>0</v>
      </c>
      <c r="Q315" s="4" t="s">
        <v>26</v>
      </c>
      <c r="R315" s="4">
        <v>0</v>
      </c>
      <c r="S315" s="6">
        <v>22</v>
      </c>
      <c r="T315" s="6">
        <v>23</v>
      </c>
      <c r="U315" s="6">
        <v>79</v>
      </c>
      <c r="V315" s="6">
        <f>IF(ISERROR(VLOOKUP($S$315,'TAR FIN'!$A$1:$O$116,15,0)),0,VLOOKUP($S$315,'TAR FIN'!$A$1:$O$116,15,0))</f>
        <v>25.51</v>
      </c>
      <c r="W315" s="6">
        <f>IF(ISERROR(VLOOKUP($T$315,'TAR FIN'!$A$1:$O$116,15,0)),0,VLOOKUP($T$315,'TAR FIN'!$A$1:$O$116,15,0))</f>
        <v>88.66</v>
      </c>
      <c r="X315" s="6">
        <f>IF(ISERROR(VLOOKUP($U$315,'TAR FIN'!$A$1:$O$116,15,0)),0,VLOOKUP($U$315,'TAR FIN'!$A$1:$O$116,15,0))</f>
        <v>311.04000000000002</v>
      </c>
      <c r="Y315" s="6">
        <f ca="1">('TUSD BE'!$AM$26+'TUSD BF'!$AM$26+'TUSD CVA'!$AM$26)*1</f>
        <v>29.803266797877356</v>
      </c>
      <c r="Z315" s="6">
        <f ca="1">('TUSD BE'!$AM$27+'TUSD BF'!$AM$27+'TUSD CVA'!$AM$27)*1</f>
        <v>137.4358543126599</v>
      </c>
      <c r="AA315" s="6">
        <f>('TE BE'!$AB$10+'TE BF'!$AB$10+'TE CVA'!$AB$10)*1</f>
        <v>313.22907246928764</v>
      </c>
      <c r="AB315" s="6">
        <f>$K$315*$V$315</f>
        <v>1428.5600000000002</v>
      </c>
      <c r="AC315" s="6">
        <f>$M$315*$W$315</f>
        <v>1365.0980199999999</v>
      </c>
      <c r="AD315" s="6">
        <f>$O$315*$X$315</f>
        <v>4789.0828800000008</v>
      </c>
      <c r="AE315" s="6">
        <f ca="1">$K$315*$Y$315</f>
        <v>1668.9829406811318</v>
      </c>
      <c r="AF315" s="6">
        <f ca="1">$M$315*$Z$315</f>
        <v>2116.0998488520245</v>
      </c>
      <c r="AG315" s="6">
        <f>$O$315*$AA$315</f>
        <v>4822.7880288096221</v>
      </c>
    </row>
    <row r="316" spans="1:33" ht="11.25" customHeight="1" x14ac:dyDescent="0.25">
      <c r="A316" s="4" t="s">
        <v>21</v>
      </c>
      <c r="B316" s="4" t="s">
        <v>41</v>
      </c>
      <c r="C316" s="4" t="s">
        <v>40</v>
      </c>
      <c r="D316" s="4" t="s">
        <v>43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44593</v>
      </c>
      <c r="J316" s="6">
        <v>878</v>
      </c>
      <c r="K316" s="6">
        <v>878</v>
      </c>
      <c r="L316" s="6">
        <v>250.20599999999999</v>
      </c>
      <c r="M316" s="6">
        <v>250.20599999999999</v>
      </c>
      <c r="N316" s="6">
        <v>250.20599999999999</v>
      </c>
      <c r="O316" s="6">
        <v>250.20599999999999</v>
      </c>
      <c r="P316" s="6">
        <v>0</v>
      </c>
      <c r="Q316" s="4" t="s">
        <v>26</v>
      </c>
      <c r="R316" s="4">
        <v>0</v>
      </c>
      <c r="S316" s="6">
        <v>22</v>
      </c>
      <c r="T316" s="6">
        <v>23</v>
      </c>
      <c r="U316" s="6">
        <v>79</v>
      </c>
      <c r="V316" s="6">
        <f>IF(ISERROR(VLOOKUP($S$316,'TAR FIN'!$A$1:$O$116,15,0)),0,VLOOKUP($S$316,'TAR FIN'!$A$1:$O$116,15,0))</f>
        <v>25.51</v>
      </c>
      <c r="W316" s="6">
        <f>IF(ISERROR(VLOOKUP($T$316,'TAR FIN'!$A$1:$O$116,15,0)),0,VLOOKUP($T$316,'TAR FIN'!$A$1:$O$116,15,0))</f>
        <v>88.66</v>
      </c>
      <c r="X316" s="6">
        <f>IF(ISERROR(VLOOKUP($U$316,'TAR FIN'!$A$1:$O$116,15,0)),0,VLOOKUP($U$316,'TAR FIN'!$A$1:$O$116,15,0))</f>
        <v>311.04000000000002</v>
      </c>
      <c r="Y316" s="6">
        <f ca="1">('TUSD BE'!$AM$26+'TUSD BF'!$AM$26+'TUSD CVA'!$AM$26)*1</f>
        <v>29.803266797877356</v>
      </c>
      <c r="Z316" s="6">
        <f ca="1">('TUSD BE'!$AM$27+'TUSD BF'!$AM$27+'TUSD CVA'!$AM$27)*1</f>
        <v>137.4358543126599</v>
      </c>
      <c r="AA316" s="6">
        <f>('TE BE'!$AB$10+'TE BF'!$AB$10+'TE CVA'!$AB$10)*1</f>
        <v>313.22907246928764</v>
      </c>
      <c r="AB316" s="6">
        <f>$K$316*$V$316</f>
        <v>22397.780000000002</v>
      </c>
      <c r="AC316" s="6">
        <f>$M$316*$W$316</f>
        <v>22183.263959999997</v>
      </c>
      <c r="AD316" s="6">
        <f>$O$316*$X$316</f>
        <v>77824.074240000002</v>
      </c>
      <c r="AE316" s="6">
        <f ca="1">$K$316*$Y$316</f>
        <v>26167.268248536318</v>
      </c>
      <c r="AF316" s="6">
        <f ca="1">$M$316*$Z$316</f>
        <v>34387.275364153378</v>
      </c>
      <c r="AG316" s="6">
        <f>$O$316*$AA$316</f>
        <v>78371.793306250576</v>
      </c>
    </row>
    <row r="317" spans="1:33" ht="11.25" customHeight="1" x14ac:dyDescent="0.25">
      <c r="A317" s="4" t="s">
        <v>28</v>
      </c>
      <c r="B317" s="4" t="s">
        <v>41</v>
      </c>
      <c r="C317" s="4" t="s">
        <v>40</v>
      </c>
      <c r="D317" s="4" t="s">
        <v>43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44593</v>
      </c>
      <c r="J317" s="6">
        <v>56</v>
      </c>
      <c r="K317" s="6">
        <v>56</v>
      </c>
      <c r="L317" s="6">
        <v>15.739000000000001</v>
      </c>
      <c r="M317" s="6">
        <v>15.739000000000001</v>
      </c>
      <c r="N317" s="6">
        <v>15.739000000000001</v>
      </c>
      <c r="O317" s="6">
        <v>15.739000000000001</v>
      </c>
      <c r="P317" s="6">
        <v>0</v>
      </c>
      <c r="Q317" s="4" t="s">
        <v>26</v>
      </c>
      <c r="R317" s="4">
        <v>0</v>
      </c>
      <c r="S317" s="6">
        <v>22</v>
      </c>
      <c r="T317" s="6">
        <v>23</v>
      </c>
      <c r="U317" s="6">
        <v>79</v>
      </c>
      <c r="V317" s="6">
        <f>IF(ISERROR(VLOOKUP($S$317,'TAR FIN'!$A$1:$O$116,15,0)),0,VLOOKUP($S$317,'TAR FIN'!$A$1:$O$116,15,0))</f>
        <v>25.51</v>
      </c>
      <c r="W317" s="6">
        <f>IF(ISERROR(VLOOKUP($T$317,'TAR FIN'!$A$1:$O$116,15,0)),0,VLOOKUP($T$317,'TAR FIN'!$A$1:$O$116,15,0))</f>
        <v>88.66</v>
      </c>
      <c r="X317" s="6">
        <f>IF(ISERROR(VLOOKUP($U$317,'TAR FIN'!$A$1:$O$116,15,0)),0,VLOOKUP($U$317,'TAR FIN'!$A$1:$O$116,15,0))</f>
        <v>311.04000000000002</v>
      </c>
      <c r="Y317" s="6">
        <f ca="1">('TUSD BE'!$AM$26+'TUSD BF'!$AM$26+'TUSD CVA'!$AM$26)*1</f>
        <v>29.803266797877356</v>
      </c>
      <c r="Z317" s="6">
        <f ca="1">('TUSD BE'!$AM$27+'TUSD BF'!$AM$27+'TUSD CVA'!$AM$27)*1</f>
        <v>137.4358543126599</v>
      </c>
      <c r="AA317" s="6">
        <f>('TE BE'!$AB$10+'TE BF'!$AB$10+'TE CVA'!$AB$10)*1</f>
        <v>313.22907246928764</v>
      </c>
      <c r="AB317" s="6">
        <f>$K$317*$V$317</f>
        <v>1428.5600000000002</v>
      </c>
      <c r="AC317" s="6">
        <f>$M$317*$W$317</f>
        <v>1395.41974</v>
      </c>
      <c r="AD317" s="6">
        <f>$O$317*$X$317</f>
        <v>4895.4585600000009</v>
      </c>
      <c r="AE317" s="6">
        <f ca="1">$K$317*$Y$317</f>
        <v>1668.9829406811318</v>
      </c>
      <c r="AF317" s="6">
        <f ca="1">$M$317*$Z$317</f>
        <v>2163.1029110269542</v>
      </c>
      <c r="AG317" s="6">
        <f>$O$317*$AA$317</f>
        <v>4929.9123715941187</v>
      </c>
    </row>
    <row r="318" spans="1:33" ht="11.25" customHeight="1" x14ac:dyDescent="0.25">
      <c r="A318" s="4" t="s">
        <v>21</v>
      </c>
      <c r="B318" s="4" t="s">
        <v>41</v>
      </c>
      <c r="C318" s="4" t="s">
        <v>40</v>
      </c>
      <c r="D318" s="4" t="s">
        <v>43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44621</v>
      </c>
      <c r="J318" s="6">
        <v>897</v>
      </c>
      <c r="K318" s="6">
        <v>897</v>
      </c>
      <c r="L318" s="6">
        <v>274.92399999999998</v>
      </c>
      <c r="M318" s="6">
        <v>274.92399999999998</v>
      </c>
      <c r="N318" s="6">
        <v>274.92399999999998</v>
      </c>
      <c r="O318" s="6">
        <v>274.92399999999998</v>
      </c>
      <c r="P318" s="6">
        <v>0</v>
      </c>
      <c r="Q318" s="4" t="s">
        <v>26</v>
      </c>
      <c r="R318" s="4">
        <v>0</v>
      </c>
      <c r="S318" s="6">
        <v>22</v>
      </c>
      <c r="T318" s="6">
        <v>23</v>
      </c>
      <c r="U318" s="6">
        <v>79</v>
      </c>
      <c r="V318" s="6">
        <f>IF(ISERROR(VLOOKUP($S$318,'TAR FIN'!$A$1:$O$116,15,0)),0,VLOOKUP($S$318,'TAR FIN'!$A$1:$O$116,15,0))</f>
        <v>25.51</v>
      </c>
      <c r="W318" s="6">
        <f>IF(ISERROR(VLOOKUP($T$318,'TAR FIN'!$A$1:$O$116,15,0)),0,VLOOKUP($T$318,'TAR FIN'!$A$1:$O$116,15,0))</f>
        <v>88.66</v>
      </c>
      <c r="X318" s="6">
        <f>IF(ISERROR(VLOOKUP($U$318,'TAR FIN'!$A$1:$O$116,15,0)),0,VLOOKUP($U$318,'TAR FIN'!$A$1:$O$116,15,0))</f>
        <v>311.04000000000002</v>
      </c>
      <c r="Y318" s="6">
        <f ca="1">('TUSD BE'!$AM$26+'TUSD BF'!$AM$26+'TUSD CVA'!$AM$26)*1</f>
        <v>29.803266797877356</v>
      </c>
      <c r="Z318" s="6">
        <f ca="1">('TUSD BE'!$AM$27+'TUSD BF'!$AM$27+'TUSD CVA'!$AM$27)*1</f>
        <v>137.4358543126599</v>
      </c>
      <c r="AA318" s="6">
        <f>('TE BE'!$AB$10+'TE BF'!$AB$10+'TE CVA'!$AB$10)*1</f>
        <v>313.22907246928764</v>
      </c>
      <c r="AB318" s="6">
        <f>$K$318*$V$318</f>
        <v>22882.47</v>
      </c>
      <c r="AC318" s="6">
        <f>$M$318*$W$318</f>
        <v>24374.761839999996</v>
      </c>
      <c r="AD318" s="6">
        <f>$O$318*$X$318</f>
        <v>85512.360960000005</v>
      </c>
      <c r="AE318" s="6">
        <f ca="1">$K$318*$Y$318</f>
        <v>26733.53031769599</v>
      </c>
      <c r="AF318" s="6">
        <f ca="1">$M$318*$Z$318</f>
        <v>37784.414811053706</v>
      </c>
      <c r="AG318" s="6">
        <f>$O$318*$AA$318</f>
        <v>86114.189519546431</v>
      </c>
    </row>
    <row r="319" spans="1:33" ht="11.25" customHeight="1" x14ac:dyDescent="0.25">
      <c r="A319" s="4" t="s">
        <v>27</v>
      </c>
      <c r="B319" s="4" t="s">
        <v>41</v>
      </c>
      <c r="C319" s="4" t="s">
        <v>40</v>
      </c>
      <c r="D319" s="4" t="s">
        <v>43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44621</v>
      </c>
      <c r="J319" s="6">
        <v>5</v>
      </c>
      <c r="K319" s="6">
        <v>5</v>
      </c>
      <c r="L319" s="6">
        <v>-0.504</v>
      </c>
      <c r="M319" s="6">
        <v>-0.504</v>
      </c>
      <c r="N319" s="6">
        <v>-0.504</v>
      </c>
      <c r="O319" s="6">
        <v>-0.504</v>
      </c>
      <c r="P319" s="6">
        <v>0</v>
      </c>
      <c r="Q319" s="4" t="s">
        <v>26</v>
      </c>
      <c r="R319" s="4">
        <v>0</v>
      </c>
      <c r="S319" s="6">
        <v>22</v>
      </c>
      <c r="T319" s="6">
        <v>23</v>
      </c>
      <c r="U319" s="6">
        <v>79</v>
      </c>
      <c r="V319" s="6">
        <f>IF(ISERROR(VLOOKUP($S$319,'TAR FIN'!$A$1:$O$116,15,0)),0,VLOOKUP($S$319,'TAR FIN'!$A$1:$O$116,15,0))</f>
        <v>25.51</v>
      </c>
      <c r="W319" s="6">
        <f>IF(ISERROR(VLOOKUP($T$319,'TAR FIN'!$A$1:$O$116,15,0)),0,VLOOKUP($T$319,'TAR FIN'!$A$1:$O$116,15,0))</f>
        <v>88.66</v>
      </c>
      <c r="X319" s="6">
        <f>IF(ISERROR(VLOOKUP($U$319,'TAR FIN'!$A$1:$O$116,15,0)),0,VLOOKUP($U$319,'TAR FIN'!$A$1:$O$116,15,0))</f>
        <v>311.04000000000002</v>
      </c>
      <c r="Y319" s="6">
        <f ca="1">('TUSD BE'!$AM$26+'TUSD BF'!$AM$26+'TUSD CVA'!$AM$26)*1</f>
        <v>29.803266797877356</v>
      </c>
      <c r="Z319" s="6">
        <f ca="1">('TUSD BE'!$AM$27+'TUSD BF'!$AM$27+'TUSD CVA'!$AM$27)*1</f>
        <v>137.4358543126599</v>
      </c>
      <c r="AA319" s="6">
        <f>('TE BE'!$AB$10+'TE BF'!$AB$10+'TE CVA'!$AB$10)*1</f>
        <v>313.22907246928764</v>
      </c>
      <c r="AB319" s="6">
        <f>$K$319*$V$319</f>
        <v>127.55000000000001</v>
      </c>
      <c r="AC319" s="6">
        <f>$M$319*$W$319</f>
        <v>-44.684640000000002</v>
      </c>
      <c r="AD319" s="6">
        <f>$O$319*$X$319</f>
        <v>-156.76416</v>
      </c>
      <c r="AE319" s="6">
        <f ca="1">$K$319*$Y$319</f>
        <v>149.01633398938679</v>
      </c>
      <c r="AF319" s="6">
        <f ca="1">$M$319*$Z$319</f>
        <v>-69.267670573580588</v>
      </c>
      <c r="AG319" s="6">
        <f>$O$319*$AA$319</f>
        <v>-157.86745252452098</v>
      </c>
    </row>
    <row r="320" spans="1:33" ht="11.25" customHeight="1" x14ac:dyDescent="0.25">
      <c r="A320" s="4" t="s">
        <v>28</v>
      </c>
      <c r="B320" s="4" t="s">
        <v>41</v>
      </c>
      <c r="C320" s="4" t="s">
        <v>40</v>
      </c>
      <c r="D320" s="4" t="s">
        <v>43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44621</v>
      </c>
      <c r="J320" s="6">
        <v>56</v>
      </c>
      <c r="K320" s="6">
        <v>56</v>
      </c>
      <c r="L320" s="6">
        <v>14.423</v>
      </c>
      <c r="M320" s="6">
        <v>14.423</v>
      </c>
      <c r="N320" s="6">
        <v>14.423</v>
      </c>
      <c r="O320" s="6">
        <v>14.423</v>
      </c>
      <c r="P320" s="6">
        <v>0</v>
      </c>
      <c r="Q320" s="4" t="s">
        <v>26</v>
      </c>
      <c r="R320" s="4">
        <v>0</v>
      </c>
      <c r="S320" s="6">
        <v>22</v>
      </c>
      <c r="T320" s="6">
        <v>23</v>
      </c>
      <c r="U320" s="6">
        <v>79</v>
      </c>
      <c r="V320" s="6">
        <f>IF(ISERROR(VLOOKUP($S$320,'TAR FIN'!$A$1:$O$116,15,0)),0,VLOOKUP($S$320,'TAR FIN'!$A$1:$O$116,15,0))</f>
        <v>25.51</v>
      </c>
      <c r="W320" s="6">
        <f>IF(ISERROR(VLOOKUP($T$320,'TAR FIN'!$A$1:$O$116,15,0)),0,VLOOKUP($T$320,'TAR FIN'!$A$1:$O$116,15,0))</f>
        <v>88.66</v>
      </c>
      <c r="X320" s="6">
        <f>IF(ISERROR(VLOOKUP($U$320,'TAR FIN'!$A$1:$O$116,15,0)),0,VLOOKUP($U$320,'TAR FIN'!$A$1:$O$116,15,0))</f>
        <v>311.04000000000002</v>
      </c>
      <c r="Y320" s="6">
        <f ca="1">('TUSD BE'!$AM$26+'TUSD BF'!$AM$26+'TUSD CVA'!$AM$26)*1</f>
        <v>29.803266797877356</v>
      </c>
      <c r="Z320" s="6">
        <f ca="1">('TUSD BE'!$AM$27+'TUSD BF'!$AM$27+'TUSD CVA'!$AM$27)*1</f>
        <v>137.4358543126599</v>
      </c>
      <c r="AA320" s="6">
        <f>('TE BE'!$AB$10+'TE BF'!$AB$10+'TE CVA'!$AB$10)*1</f>
        <v>313.22907246928764</v>
      </c>
      <c r="AB320" s="6">
        <f>$K$320*$V$320</f>
        <v>1428.5600000000002</v>
      </c>
      <c r="AC320" s="6">
        <f>$M$320*$W$320</f>
        <v>1278.7431799999999</v>
      </c>
      <c r="AD320" s="6">
        <f>$O$320*$X$320</f>
        <v>4486.1299200000003</v>
      </c>
      <c r="AE320" s="6">
        <f ca="1">$K$320*$Y$320</f>
        <v>1668.9829406811318</v>
      </c>
      <c r="AF320" s="6">
        <f ca="1">$M$320*$Z$320</f>
        <v>1982.2373267514938</v>
      </c>
      <c r="AG320" s="6">
        <f>$O$320*$AA$320</f>
        <v>4517.7029122245358</v>
      </c>
    </row>
    <row r="321" spans="1:33" ht="11.25" customHeight="1" x14ac:dyDescent="0.25">
      <c r="A321" s="4" t="s">
        <v>21</v>
      </c>
      <c r="B321" s="4" t="s">
        <v>41</v>
      </c>
      <c r="C321" s="4" t="s">
        <v>40</v>
      </c>
      <c r="D321" s="4" t="s">
        <v>43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44652</v>
      </c>
      <c r="J321" s="6">
        <v>1269</v>
      </c>
      <c r="K321" s="6">
        <v>1269</v>
      </c>
      <c r="L321" s="6">
        <v>392.98599999999999</v>
      </c>
      <c r="M321" s="6">
        <v>392.98599999999999</v>
      </c>
      <c r="N321" s="6">
        <v>392.98599999999999</v>
      </c>
      <c r="O321" s="6">
        <v>392.98599999999999</v>
      </c>
      <c r="P321" s="6">
        <v>0</v>
      </c>
      <c r="Q321" s="4" t="s">
        <v>26</v>
      </c>
      <c r="R321" s="4">
        <v>0</v>
      </c>
      <c r="S321" s="6">
        <v>22</v>
      </c>
      <c r="T321" s="6">
        <v>23</v>
      </c>
      <c r="U321" s="6">
        <v>79</v>
      </c>
      <c r="V321" s="6">
        <f>IF(ISERROR(VLOOKUP($S$321,'TAR FIN'!$A$1:$O$116,15,0)),0,VLOOKUP($S$321,'TAR FIN'!$A$1:$O$116,15,0))</f>
        <v>25.51</v>
      </c>
      <c r="W321" s="6">
        <f>IF(ISERROR(VLOOKUP($T$321,'TAR FIN'!$A$1:$O$116,15,0)),0,VLOOKUP($T$321,'TAR FIN'!$A$1:$O$116,15,0))</f>
        <v>88.66</v>
      </c>
      <c r="X321" s="6">
        <f>IF(ISERROR(VLOOKUP($U$321,'TAR FIN'!$A$1:$O$116,15,0)),0,VLOOKUP($U$321,'TAR FIN'!$A$1:$O$116,15,0))</f>
        <v>311.04000000000002</v>
      </c>
      <c r="Y321" s="6">
        <f ca="1">('TUSD BE'!$AM$26+'TUSD BF'!$AM$26+'TUSD CVA'!$AM$26)*1</f>
        <v>29.803266797877356</v>
      </c>
      <c r="Z321" s="6">
        <f ca="1">('TUSD BE'!$AM$27+'TUSD BF'!$AM$27+'TUSD CVA'!$AM$27)*1</f>
        <v>137.4358543126599</v>
      </c>
      <c r="AA321" s="6">
        <f>('TE BE'!$AB$10+'TE BF'!$AB$10+'TE CVA'!$AB$10)*1</f>
        <v>313.22907246928764</v>
      </c>
      <c r="AB321" s="6">
        <f>$K$321*$V$321</f>
        <v>32372.190000000002</v>
      </c>
      <c r="AC321" s="6">
        <f>$M$321*$W$321</f>
        <v>34842.138759999994</v>
      </c>
      <c r="AD321" s="6">
        <f>$O$321*$X$321</f>
        <v>122234.36544000001</v>
      </c>
      <c r="AE321" s="6">
        <f ca="1">$K$321*$Y$321</f>
        <v>37820.345566506367</v>
      </c>
      <c r="AF321" s="6">
        <f ca="1">$M$321*$Z$321</f>
        <v>54010.36664291496</v>
      </c>
      <c r="AG321" s="6">
        <f>$O$321*$AA$321</f>
        <v>123094.64027341547</v>
      </c>
    </row>
    <row r="322" spans="1:33" ht="11.25" customHeight="1" x14ac:dyDescent="0.25">
      <c r="A322" s="4" t="s">
        <v>28</v>
      </c>
      <c r="B322" s="4" t="s">
        <v>41</v>
      </c>
      <c r="C322" s="4" t="s">
        <v>40</v>
      </c>
      <c r="D322" s="4" t="s">
        <v>43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44652</v>
      </c>
      <c r="J322" s="6">
        <v>56</v>
      </c>
      <c r="K322" s="6">
        <v>56</v>
      </c>
      <c r="L322" s="6">
        <v>16.341999999999999</v>
      </c>
      <c r="M322" s="6">
        <v>16.341999999999999</v>
      </c>
      <c r="N322" s="6">
        <v>16.341999999999999</v>
      </c>
      <c r="O322" s="6">
        <v>16.341999999999999</v>
      </c>
      <c r="P322" s="6">
        <v>0</v>
      </c>
      <c r="Q322" s="4" t="s">
        <v>26</v>
      </c>
      <c r="R322" s="4">
        <v>0</v>
      </c>
      <c r="S322" s="6">
        <v>22</v>
      </c>
      <c r="T322" s="6">
        <v>23</v>
      </c>
      <c r="U322" s="6">
        <v>79</v>
      </c>
      <c r="V322" s="6">
        <f>IF(ISERROR(VLOOKUP($S$322,'TAR FIN'!$A$1:$O$116,15,0)),0,VLOOKUP($S$322,'TAR FIN'!$A$1:$O$116,15,0))</f>
        <v>25.51</v>
      </c>
      <c r="W322" s="6">
        <f>IF(ISERROR(VLOOKUP($T$322,'TAR FIN'!$A$1:$O$116,15,0)),0,VLOOKUP($T$322,'TAR FIN'!$A$1:$O$116,15,0))</f>
        <v>88.66</v>
      </c>
      <c r="X322" s="6">
        <f>IF(ISERROR(VLOOKUP($U$322,'TAR FIN'!$A$1:$O$116,15,0)),0,VLOOKUP($U$322,'TAR FIN'!$A$1:$O$116,15,0))</f>
        <v>311.04000000000002</v>
      </c>
      <c r="Y322" s="6">
        <f ca="1">('TUSD BE'!$AM$26+'TUSD BF'!$AM$26+'TUSD CVA'!$AM$26)*1</f>
        <v>29.803266797877356</v>
      </c>
      <c r="Z322" s="6">
        <f ca="1">('TUSD BE'!$AM$27+'TUSD BF'!$AM$27+'TUSD CVA'!$AM$27)*1</f>
        <v>137.4358543126599</v>
      </c>
      <c r="AA322" s="6">
        <f>('TE BE'!$AB$10+'TE BF'!$AB$10+'TE CVA'!$AB$10)*1</f>
        <v>313.22907246928764</v>
      </c>
      <c r="AB322" s="6">
        <f>$K$322*$V$322</f>
        <v>1428.5600000000002</v>
      </c>
      <c r="AC322" s="6">
        <f>$M$322*$W$322</f>
        <v>1448.8817199999999</v>
      </c>
      <c r="AD322" s="6">
        <f>$O$322*$X$322</f>
        <v>5083.0156799999995</v>
      </c>
      <c r="AE322" s="6">
        <f ca="1">$K$322*$Y$322</f>
        <v>1668.9829406811318</v>
      </c>
      <c r="AF322" s="6">
        <f ca="1">$M$322*$Z$322</f>
        <v>2245.9767311774881</v>
      </c>
      <c r="AG322" s="6">
        <f>$O$322*$AA$322</f>
        <v>5118.7895022930979</v>
      </c>
    </row>
    <row r="323" spans="1:33" ht="11.25" customHeight="1" x14ac:dyDescent="0.25">
      <c r="A323" s="4" t="s">
        <v>58</v>
      </c>
      <c r="B323" s="4" t="s">
        <v>41</v>
      </c>
      <c r="C323" s="4" t="s">
        <v>40</v>
      </c>
      <c r="D323" s="4" t="s">
        <v>43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44682</v>
      </c>
      <c r="J323" s="6">
        <v>1269</v>
      </c>
      <c r="K323" s="6">
        <v>1269</v>
      </c>
      <c r="L323" s="6">
        <v>392.98599999999999</v>
      </c>
      <c r="M323" s="6">
        <v>392.98599999999999</v>
      </c>
      <c r="N323" s="6">
        <v>392.98599999999999</v>
      </c>
      <c r="O323" s="6">
        <v>392.98599999999999</v>
      </c>
      <c r="P323" s="6">
        <v>0</v>
      </c>
      <c r="Q323" s="4" t="s">
        <v>26</v>
      </c>
      <c r="R323" s="4">
        <v>0</v>
      </c>
      <c r="S323" s="6">
        <v>22</v>
      </c>
      <c r="T323" s="6">
        <v>23</v>
      </c>
      <c r="U323" s="6">
        <v>79</v>
      </c>
      <c r="V323" s="6">
        <f>IF(ISERROR(VLOOKUP($S$323,'TAR FIN'!$A$1:$O$116,15,0)),0,VLOOKUP($S$323,'TAR FIN'!$A$1:$O$116,15,0))</f>
        <v>25.51</v>
      </c>
      <c r="W323" s="6">
        <f>IF(ISERROR(VLOOKUP($T$323,'TAR FIN'!$A$1:$O$116,15,0)),0,VLOOKUP($T$323,'TAR FIN'!$A$1:$O$116,15,0))</f>
        <v>88.66</v>
      </c>
      <c r="X323" s="6">
        <f>IF(ISERROR(VLOOKUP($U$323,'TAR FIN'!$A$1:$O$116,15,0)),0,VLOOKUP($U$323,'TAR FIN'!$A$1:$O$116,15,0))</f>
        <v>311.04000000000002</v>
      </c>
      <c r="Y323" s="6">
        <f ca="1">('TUSD BE'!$AM$26+'TUSD BF'!$AM$26+'TUSD CVA'!$AM$26)*1</f>
        <v>29.803266797877356</v>
      </c>
      <c r="Z323" s="6">
        <f ca="1">('TUSD BE'!$AM$27+'TUSD BF'!$AM$27+'TUSD CVA'!$AM$27)*1</f>
        <v>137.4358543126599</v>
      </c>
      <c r="AA323" s="6">
        <f>('TE BE'!$AB$10+'TE BF'!$AB$10+'TE CVA'!$AB$10)*1</f>
        <v>313.22907246928764</v>
      </c>
      <c r="AB323" s="6">
        <f>$K$323*$V$323</f>
        <v>32372.190000000002</v>
      </c>
      <c r="AC323" s="6">
        <f>$M$323*$W$323</f>
        <v>34842.138759999994</v>
      </c>
      <c r="AD323" s="6">
        <f>$O$323*$X$323</f>
        <v>122234.36544000001</v>
      </c>
      <c r="AE323" s="6">
        <f ca="1">$K$323*$Y$323</f>
        <v>37820.345566506367</v>
      </c>
      <c r="AF323" s="6">
        <f ca="1">$M$323*$Z$323</f>
        <v>54010.36664291496</v>
      </c>
      <c r="AG323" s="6">
        <f>$O$323*$AA$323</f>
        <v>123094.64027341547</v>
      </c>
    </row>
    <row r="324" spans="1:33" ht="11.25" customHeight="1" x14ac:dyDescent="0.25">
      <c r="A324" s="4" t="s">
        <v>58</v>
      </c>
      <c r="B324" s="4" t="s">
        <v>41</v>
      </c>
      <c r="C324" s="4" t="s">
        <v>40</v>
      </c>
      <c r="D324" s="4" t="s">
        <v>43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44682</v>
      </c>
      <c r="J324" s="6">
        <v>56</v>
      </c>
      <c r="K324" s="6">
        <v>56</v>
      </c>
      <c r="L324" s="6">
        <v>16.341999999999999</v>
      </c>
      <c r="M324" s="6">
        <v>16.341999999999999</v>
      </c>
      <c r="N324" s="6">
        <v>16.341999999999999</v>
      </c>
      <c r="O324" s="6">
        <v>16.341999999999999</v>
      </c>
      <c r="P324" s="6">
        <v>0</v>
      </c>
      <c r="Q324" s="4" t="s">
        <v>26</v>
      </c>
      <c r="R324" s="4">
        <v>0</v>
      </c>
      <c r="S324" s="6">
        <v>22</v>
      </c>
      <c r="T324" s="6">
        <v>23</v>
      </c>
      <c r="U324" s="6">
        <v>79</v>
      </c>
      <c r="V324" s="6">
        <f>IF(ISERROR(VLOOKUP($S$324,'TAR FIN'!$A$1:$O$116,15,0)),0,VLOOKUP($S$324,'TAR FIN'!$A$1:$O$116,15,0))</f>
        <v>25.51</v>
      </c>
      <c r="W324" s="6">
        <f>IF(ISERROR(VLOOKUP($T$324,'TAR FIN'!$A$1:$O$116,15,0)),0,VLOOKUP($T$324,'TAR FIN'!$A$1:$O$116,15,0))</f>
        <v>88.66</v>
      </c>
      <c r="X324" s="6">
        <f>IF(ISERROR(VLOOKUP($U$324,'TAR FIN'!$A$1:$O$116,15,0)),0,VLOOKUP($U$324,'TAR FIN'!$A$1:$O$116,15,0))</f>
        <v>311.04000000000002</v>
      </c>
      <c r="Y324" s="6">
        <f ca="1">('TUSD BE'!$AM$26+'TUSD BF'!$AM$26+'TUSD CVA'!$AM$26)*1</f>
        <v>29.803266797877356</v>
      </c>
      <c r="Z324" s="6">
        <f ca="1">('TUSD BE'!$AM$27+'TUSD BF'!$AM$27+'TUSD CVA'!$AM$27)*1</f>
        <v>137.4358543126599</v>
      </c>
      <c r="AA324" s="6">
        <f>('TE BE'!$AB$10+'TE BF'!$AB$10+'TE CVA'!$AB$10)*1</f>
        <v>313.22907246928764</v>
      </c>
      <c r="AB324" s="6">
        <f>$K$324*$V$324</f>
        <v>1428.5600000000002</v>
      </c>
      <c r="AC324" s="6">
        <f>$M$324*$W$324</f>
        <v>1448.8817199999999</v>
      </c>
      <c r="AD324" s="6">
        <f>$O$324*$X$324</f>
        <v>5083.0156799999995</v>
      </c>
      <c r="AE324" s="6">
        <f ca="1">$K$324*$Y$324</f>
        <v>1668.9829406811318</v>
      </c>
      <c r="AF324" s="6">
        <f ca="1">$M$324*$Z$324</f>
        <v>2245.9767311774881</v>
      </c>
      <c r="AG324" s="6">
        <f>$O$324*$AA$324</f>
        <v>5118.7895022930979</v>
      </c>
    </row>
    <row r="325" spans="1:33" ht="11.25" customHeight="1" x14ac:dyDescent="0.25">
      <c r="A325" s="4" t="s">
        <v>21</v>
      </c>
      <c r="B325" s="4" t="s">
        <v>41</v>
      </c>
      <c r="C325" s="4" t="s">
        <v>40</v>
      </c>
      <c r="D325" s="4" t="s">
        <v>43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44348</v>
      </c>
      <c r="J325" s="6">
        <v>1093</v>
      </c>
      <c r="K325" s="6">
        <v>1093</v>
      </c>
      <c r="L325" s="6">
        <v>41.820999999999998</v>
      </c>
      <c r="M325" s="6">
        <v>41.820999999999998</v>
      </c>
      <c r="N325" s="6">
        <v>41.820999999999998</v>
      </c>
      <c r="O325" s="6">
        <v>41.820999999999998</v>
      </c>
      <c r="P325" s="6">
        <v>0</v>
      </c>
      <c r="Q325" s="4" t="s">
        <v>26</v>
      </c>
      <c r="R325" s="4">
        <v>0</v>
      </c>
      <c r="S325" s="6">
        <v>21</v>
      </c>
      <c r="T325" s="6">
        <v>23</v>
      </c>
      <c r="U325" s="6">
        <v>78</v>
      </c>
      <c r="V325" s="6">
        <f>IF(ISERROR(VLOOKUP($S$325,'TAR FIN'!$A$1:$O$116,15,0)),0,VLOOKUP($S$325,'TAR FIN'!$A$1:$O$116,15,0))</f>
        <v>65.599999999999994</v>
      </c>
      <c r="W325" s="6">
        <f>IF(ISERROR(VLOOKUP($T$325,'TAR FIN'!$A$1:$O$116,15,0)),0,VLOOKUP($T$325,'TAR FIN'!$A$1:$O$116,15,0))</f>
        <v>88.66</v>
      </c>
      <c r="X325" s="6">
        <f>IF(ISERROR(VLOOKUP($U$325,'TAR FIN'!$A$1:$O$116,15,0)),0,VLOOKUP($U$325,'TAR FIN'!$A$1:$O$116,15,0))</f>
        <v>496.15</v>
      </c>
      <c r="Y325" s="6">
        <f ca="1">('TUSD BE'!$AM$25+'TUSD BF'!$AM$25+'TUSD CVA'!$AM$25)*1</f>
        <v>75.407822945580492</v>
      </c>
      <c r="Z325" s="6">
        <f ca="1">('TUSD BE'!$AM$27+'TUSD BF'!$AM$27+'TUSD CVA'!$AM$27)*1</f>
        <v>137.4358543126599</v>
      </c>
      <c r="AA325" s="6">
        <f>('TE BE'!$AB$9+'TE BF'!$AB$9+'TE CVA'!$AB$9)*1</f>
        <v>510.04993331215127</v>
      </c>
      <c r="AB325" s="6">
        <f>$K$325*$V$325</f>
        <v>71700.799999999988</v>
      </c>
      <c r="AC325" s="6">
        <f>$M$325*$W$325</f>
        <v>3707.8498599999998</v>
      </c>
      <c r="AD325" s="6">
        <f>$O$325*$X$325</f>
        <v>20749.489149999998</v>
      </c>
      <c r="AE325" s="6">
        <f ca="1">$K$325*$Y$325</f>
        <v>82420.750479519484</v>
      </c>
      <c r="AF325" s="6">
        <f ca="1">$M$325*$Z$325</f>
        <v>5747.7048632097494</v>
      </c>
      <c r="AG325" s="6">
        <f>$O$325*$AA$325</f>
        <v>21330.798261047476</v>
      </c>
    </row>
    <row r="326" spans="1:33" ht="11.25" customHeight="1" x14ac:dyDescent="0.25">
      <c r="A326" s="4" t="s">
        <v>28</v>
      </c>
      <c r="B326" s="4" t="s">
        <v>41</v>
      </c>
      <c r="C326" s="4" t="s">
        <v>40</v>
      </c>
      <c r="D326" s="4" t="s">
        <v>43</v>
      </c>
      <c r="E326" s="4" t="s">
        <v>25</v>
      </c>
      <c r="F326" s="4" t="s">
        <v>25</v>
      </c>
      <c r="G326" s="4" t="s">
        <v>25</v>
      </c>
      <c r="H326" s="4" t="s">
        <v>34</v>
      </c>
      <c r="I326" s="5">
        <v>44348</v>
      </c>
      <c r="J326" s="6">
        <v>48</v>
      </c>
      <c r="K326" s="6">
        <v>48</v>
      </c>
      <c r="L326" s="6">
        <v>1.5580000000000001</v>
      </c>
      <c r="M326" s="6">
        <v>1.5580000000000001</v>
      </c>
      <c r="N326" s="6">
        <v>1.5580000000000001</v>
      </c>
      <c r="O326" s="6">
        <v>1.5580000000000001</v>
      </c>
      <c r="P326" s="6">
        <v>0</v>
      </c>
      <c r="Q326" s="4" t="s">
        <v>26</v>
      </c>
      <c r="R326" s="4">
        <v>0</v>
      </c>
      <c r="S326" s="6">
        <v>21</v>
      </c>
      <c r="T326" s="6">
        <v>23</v>
      </c>
      <c r="U326" s="6">
        <v>78</v>
      </c>
      <c r="V326" s="6">
        <f>IF(ISERROR(VLOOKUP($S$326,'TAR FIN'!$A$1:$O$116,15,0)),0,VLOOKUP($S$326,'TAR FIN'!$A$1:$O$116,15,0))</f>
        <v>65.599999999999994</v>
      </c>
      <c r="W326" s="6">
        <f>IF(ISERROR(VLOOKUP($T$326,'TAR FIN'!$A$1:$O$116,15,0)),0,VLOOKUP($T$326,'TAR FIN'!$A$1:$O$116,15,0))</f>
        <v>88.66</v>
      </c>
      <c r="X326" s="6">
        <f>IF(ISERROR(VLOOKUP($U$326,'TAR FIN'!$A$1:$O$116,15,0)),0,VLOOKUP($U$326,'TAR FIN'!$A$1:$O$116,15,0))</f>
        <v>496.15</v>
      </c>
      <c r="Y326" s="6">
        <f ca="1">('TUSD BE'!$AM$25+'TUSD BF'!$AM$25+'TUSD CVA'!$AM$25)*1</f>
        <v>75.407822945580492</v>
      </c>
      <c r="Z326" s="6">
        <f ca="1">('TUSD BE'!$AM$27+'TUSD BF'!$AM$27+'TUSD CVA'!$AM$27)*1</f>
        <v>137.4358543126599</v>
      </c>
      <c r="AA326" s="6">
        <f>('TE BE'!$AB$9+'TE BF'!$AB$9+'TE CVA'!$AB$9)*1</f>
        <v>510.04993331215127</v>
      </c>
      <c r="AB326" s="6">
        <f>$K$326*$V$326</f>
        <v>3148.7999999999997</v>
      </c>
      <c r="AC326" s="6">
        <f>$M$326*$W$326</f>
        <v>138.13228000000001</v>
      </c>
      <c r="AD326" s="6">
        <f>$O$326*$X$326</f>
        <v>773.00170000000003</v>
      </c>
      <c r="AE326" s="6">
        <f ca="1">$K$326*$Y$326</f>
        <v>3619.5755013878634</v>
      </c>
      <c r="AF326" s="6">
        <f ca="1">$M$326*$Z$326</f>
        <v>214.12506101912413</v>
      </c>
      <c r="AG326" s="6">
        <f>$O$326*$AA$326</f>
        <v>794.65779610033167</v>
      </c>
    </row>
    <row r="327" spans="1:33" ht="11.25" customHeight="1" x14ac:dyDescent="0.25">
      <c r="A327" s="4" t="s">
        <v>21</v>
      </c>
      <c r="B327" s="4" t="s">
        <v>41</v>
      </c>
      <c r="C327" s="4" t="s">
        <v>40</v>
      </c>
      <c r="D327" s="4" t="s">
        <v>43</v>
      </c>
      <c r="E327" s="4" t="s">
        <v>25</v>
      </c>
      <c r="F327" s="4" t="s">
        <v>25</v>
      </c>
      <c r="G327" s="4" t="s">
        <v>25</v>
      </c>
      <c r="H327" s="4" t="s">
        <v>34</v>
      </c>
      <c r="I327" s="5">
        <v>44378</v>
      </c>
      <c r="J327" s="6">
        <v>1170</v>
      </c>
      <c r="K327" s="6">
        <v>1170</v>
      </c>
      <c r="L327" s="6">
        <v>42.487000000000002</v>
      </c>
      <c r="M327" s="6">
        <v>42.487000000000002</v>
      </c>
      <c r="N327" s="6">
        <v>42.487000000000002</v>
      </c>
      <c r="O327" s="6">
        <v>42.487000000000002</v>
      </c>
      <c r="P327" s="6">
        <v>0</v>
      </c>
      <c r="Q327" s="4" t="s">
        <v>26</v>
      </c>
      <c r="R327" s="4">
        <v>0</v>
      </c>
      <c r="S327" s="6">
        <v>21</v>
      </c>
      <c r="T327" s="6">
        <v>23</v>
      </c>
      <c r="U327" s="6">
        <v>78</v>
      </c>
      <c r="V327" s="6">
        <f>IF(ISERROR(VLOOKUP($S$327,'TAR FIN'!$A$1:$O$116,15,0)),0,VLOOKUP($S$327,'TAR FIN'!$A$1:$O$116,15,0))</f>
        <v>65.599999999999994</v>
      </c>
      <c r="W327" s="6">
        <f>IF(ISERROR(VLOOKUP($T$327,'TAR FIN'!$A$1:$O$116,15,0)),0,VLOOKUP($T$327,'TAR FIN'!$A$1:$O$116,15,0))</f>
        <v>88.66</v>
      </c>
      <c r="X327" s="6">
        <f>IF(ISERROR(VLOOKUP($U$327,'TAR FIN'!$A$1:$O$116,15,0)),0,VLOOKUP($U$327,'TAR FIN'!$A$1:$O$116,15,0))</f>
        <v>496.15</v>
      </c>
      <c r="Y327" s="6">
        <f ca="1">('TUSD BE'!$AM$25+'TUSD BF'!$AM$25+'TUSD CVA'!$AM$25)*1</f>
        <v>75.407822945580492</v>
      </c>
      <c r="Z327" s="6">
        <f ca="1">('TUSD BE'!$AM$27+'TUSD BF'!$AM$27+'TUSD CVA'!$AM$27)*1</f>
        <v>137.4358543126599</v>
      </c>
      <c r="AA327" s="6">
        <f>('TE BE'!$AB$9+'TE BF'!$AB$9+'TE CVA'!$AB$9)*1</f>
        <v>510.04993331215127</v>
      </c>
      <c r="AB327" s="6">
        <f>$K$327*$V$327</f>
        <v>76752</v>
      </c>
      <c r="AC327" s="6">
        <f>$M$327*$W$327</f>
        <v>3766.8974200000002</v>
      </c>
      <c r="AD327" s="6">
        <f>$O$327*$X$327</f>
        <v>21079.925050000002</v>
      </c>
      <c r="AE327" s="6">
        <f ca="1">$K$327*$Y$327</f>
        <v>88227.152846329176</v>
      </c>
      <c r="AF327" s="6">
        <f ca="1">$M$327*$Z$327</f>
        <v>5839.2371421819817</v>
      </c>
      <c r="AG327" s="6">
        <f>$O$327*$AA$327</f>
        <v>21670.49151663337</v>
      </c>
    </row>
    <row r="328" spans="1:33" ht="11.25" customHeight="1" x14ac:dyDescent="0.25">
      <c r="A328" s="4" t="s">
        <v>28</v>
      </c>
      <c r="B328" s="4" t="s">
        <v>41</v>
      </c>
      <c r="C328" s="4" t="s">
        <v>40</v>
      </c>
      <c r="D328" s="4" t="s">
        <v>43</v>
      </c>
      <c r="E328" s="4" t="s">
        <v>25</v>
      </c>
      <c r="F328" s="4" t="s">
        <v>25</v>
      </c>
      <c r="G328" s="4" t="s">
        <v>25</v>
      </c>
      <c r="H328" s="4" t="s">
        <v>34</v>
      </c>
      <c r="I328" s="5">
        <v>44378</v>
      </c>
      <c r="J328" s="6">
        <v>48</v>
      </c>
      <c r="K328" s="6">
        <v>48</v>
      </c>
      <c r="L328" s="6">
        <v>1.0229999999999999</v>
      </c>
      <c r="M328" s="6">
        <v>1.0229999999999999</v>
      </c>
      <c r="N328" s="6">
        <v>1.0229999999999999</v>
      </c>
      <c r="O328" s="6">
        <v>1.0229999999999999</v>
      </c>
      <c r="P328" s="6">
        <v>0</v>
      </c>
      <c r="Q328" s="4" t="s">
        <v>26</v>
      </c>
      <c r="R328" s="4">
        <v>0</v>
      </c>
      <c r="S328" s="6">
        <v>21</v>
      </c>
      <c r="T328" s="6">
        <v>23</v>
      </c>
      <c r="U328" s="6">
        <v>78</v>
      </c>
      <c r="V328" s="6">
        <f>IF(ISERROR(VLOOKUP($S$328,'TAR FIN'!$A$1:$O$116,15,0)),0,VLOOKUP($S$328,'TAR FIN'!$A$1:$O$116,15,0))</f>
        <v>65.599999999999994</v>
      </c>
      <c r="W328" s="6">
        <f>IF(ISERROR(VLOOKUP($T$328,'TAR FIN'!$A$1:$O$116,15,0)),0,VLOOKUP($T$328,'TAR FIN'!$A$1:$O$116,15,0))</f>
        <v>88.66</v>
      </c>
      <c r="X328" s="6">
        <f>IF(ISERROR(VLOOKUP($U$328,'TAR FIN'!$A$1:$O$116,15,0)),0,VLOOKUP($U$328,'TAR FIN'!$A$1:$O$116,15,0))</f>
        <v>496.15</v>
      </c>
      <c r="Y328" s="6">
        <f ca="1">('TUSD BE'!$AM$25+'TUSD BF'!$AM$25+'TUSD CVA'!$AM$25)*1</f>
        <v>75.407822945580492</v>
      </c>
      <c r="Z328" s="6">
        <f ca="1">('TUSD BE'!$AM$27+'TUSD BF'!$AM$27+'TUSD CVA'!$AM$27)*1</f>
        <v>137.4358543126599</v>
      </c>
      <c r="AA328" s="6">
        <f>('TE BE'!$AB$9+'TE BF'!$AB$9+'TE CVA'!$AB$9)*1</f>
        <v>510.04993331215127</v>
      </c>
      <c r="AB328" s="6">
        <f>$K$328*$V$328</f>
        <v>3148.7999999999997</v>
      </c>
      <c r="AC328" s="6">
        <f>$M$328*$W$328</f>
        <v>90.699179999999984</v>
      </c>
      <c r="AD328" s="6">
        <f>$O$328*$X$328</f>
        <v>507.56144999999992</v>
      </c>
      <c r="AE328" s="6">
        <f ca="1">$K$328*$Y$328</f>
        <v>3619.5755013878634</v>
      </c>
      <c r="AF328" s="6">
        <f ca="1">$M$328*$Z$328</f>
        <v>140.59687896185108</v>
      </c>
      <c r="AG328" s="6">
        <f>$O$328*$AA$328</f>
        <v>521.78108177833064</v>
      </c>
    </row>
    <row r="329" spans="1:33" ht="11.25" customHeight="1" x14ac:dyDescent="0.25">
      <c r="A329" s="4" t="s">
        <v>21</v>
      </c>
      <c r="B329" s="4" t="s">
        <v>41</v>
      </c>
      <c r="C329" s="4" t="s">
        <v>40</v>
      </c>
      <c r="D329" s="4" t="s">
        <v>43</v>
      </c>
      <c r="E329" s="4" t="s">
        <v>25</v>
      </c>
      <c r="F329" s="4" t="s">
        <v>25</v>
      </c>
      <c r="G329" s="4" t="s">
        <v>25</v>
      </c>
      <c r="H329" s="4" t="s">
        <v>34</v>
      </c>
      <c r="I329" s="5">
        <v>44409</v>
      </c>
      <c r="J329" s="6">
        <v>1008</v>
      </c>
      <c r="K329" s="6">
        <v>1008</v>
      </c>
      <c r="L329" s="6">
        <v>39.235999999999997</v>
      </c>
      <c r="M329" s="6">
        <v>39.235999999999997</v>
      </c>
      <c r="N329" s="6">
        <v>39.235999999999997</v>
      </c>
      <c r="O329" s="6">
        <v>39.235999999999997</v>
      </c>
      <c r="P329" s="6">
        <v>0</v>
      </c>
      <c r="Q329" s="4" t="s">
        <v>26</v>
      </c>
      <c r="R329" s="4">
        <v>0</v>
      </c>
      <c r="S329" s="6">
        <v>21</v>
      </c>
      <c r="T329" s="6">
        <v>23</v>
      </c>
      <c r="U329" s="6">
        <v>78</v>
      </c>
      <c r="V329" s="6">
        <f>IF(ISERROR(VLOOKUP($S$329,'TAR FIN'!$A$1:$O$116,15,0)),0,VLOOKUP($S$329,'TAR FIN'!$A$1:$O$116,15,0))</f>
        <v>65.599999999999994</v>
      </c>
      <c r="W329" s="6">
        <f>IF(ISERROR(VLOOKUP($T$329,'TAR FIN'!$A$1:$O$116,15,0)),0,VLOOKUP($T$329,'TAR FIN'!$A$1:$O$116,15,0))</f>
        <v>88.66</v>
      </c>
      <c r="X329" s="6">
        <f>IF(ISERROR(VLOOKUP($U$329,'TAR FIN'!$A$1:$O$116,15,0)),0,VLOOKUP($U$329,'TAR FIN'!$A$1:$O$116,15,0))</f>
        <v>496.15</v>
      </c>
      <c r="Y329" s="6">
        <f ca="1">('TUSD BE'!$AM$25+'TUSD BF'!$AM$25+'TUSD CVA'!$AM$25)*1</f>
        <v>75.407822945580492</v>
      </c>
      <c r="Z329" s="6">
        <f ca="1">('TUSD BE'!$AM$27+'TUSD BF'!$AM$27+'TUSD CVA'!$AM$27)*1</f>
        <v>137.4358543126599</v>
      </c>
      <c r="AA329" s="6">
        <f>('TE BE'!$AB$9+'TE BF'!$AB$9+'TE CVA'!$AB$9)*1</f>
        <v>510.04993331215127</v>
      </c>
      <c r="AB329" s="6">
        <f>$K$329*$V$329</f>
        <v>66124.799999999988</v>
      </c>
      <c r="AC329" s="6">
        <f>$M$329*$W$329</f>
        <v>3478.6637599999995</v>
      </c>
      <c r="AD329" s="6">
        <f>$O$329*$X$329</f>
        <v>19466.941399999996</v>
      </c>
      <c r="AE329" s="6">
        <f ca="1">$K$329*$Y$329</f>
        <v>76011.08552914513</v>
      </c>
      <c r="AF329" s="6">
        <f ca="1">$M$329*$Z$329</f>
        <v>5392.4331798115236</v>
      </c>
      <c r="AG329" s="6">
        <f>$O$329*$AA$329</f>
        <v>20012.319183435564</v>
      </c>
    </row>
    <row r="330" spans="1:33" ht="11.25" customHeight="1" x14ac:dyDescent="0.25">
      <c r="A330" s="4" t="s">
        <v>27</v>
      </c>
      <c r="B330" s="4" t="s">
        <v>41</v>
      </c>
      <c r="C330" s="4" t="s">
        <v>40</v>
      </c>
      <c r="D330" s="4" t="s">
        <v>43</v>
      </c>
      <c r="E330" s="4" t="s">
        <v>25</v>
      </c>
      <c r="F330" s="4" t="s">
        <v>25</v>
      </c>
      <c r="G330" s="4" t="s">
        <v>25</v>
      </c>
      <c r="H330" s="4" t="s">
        <v>34</v>
      </c>
      <c r="I330" s="5">
        <v>44409</v>
      </c>
      <c r="J330" s="6">
        <v>-98</v>
      </c>
      <c r="K330" s="6">
        <v>-98</v>
      </c>
      <c r="L330" s="6">
        <v>-4.17</v>
      </c>
      <c r="M330" s="6">
        <v>-4.17</v>
      </c>
      <c r="N330" s="6">
        <v>-4.17</v>
      </c>
      <c r="O330" s="6">
        <v>-4.17</v>
      </c>
      <c r="P330" s="6">
        <v>0</v>
      </c>
      <c r="Q330" s="4" t="s">
        <v>26</v>
      </c>
      <c r="R330" s="4">
        <v>0</v>
      </c>
      <c r="S330" s="6">
        <v>21</v>
      </c>
      <c r="T330" s="6">
        <v>23</v>
      </c>
      <c r="U330" s="6">
        <v>78</v>
      </c>
      <c r="V330" s="6">
        <f>IF(ISERROR(VLOOKUP($S$330,'TAR FIN'!$A$1:$O$116,15,0)),0,VLOOKUP($S$330,'TAR FIN'!$A$1:$O$116,15,0))</f>
        <v>65.599999999999994</v>
      </c>
      <c r="W330" s="6">
        <f>IF(ISERROR(VLOOKUP($T$330,'TAR FIN'!$A$1:$O$116,15,0)),0,VLOOKUP($T$330,'TAR FIN'!$A$1:$O$116,15,0))</f>
        <v>88.66</v>
      </c>
      <c r="X330" s="6">
        <f>IF(ISERROR(VLOOKUP($U$330,'TAR FIN'!$A$1:$O$116,15,0)),0,VLOOKUP($U$330,'TAR FIN'!$A$1:$O$116,15,0))</f>
        <v>496.15</v>
      </c>
      <c r="Y330" s="6">
        <f ca="1">('TUSD BE'!$AM$25+'TUSD BF'!$AM$25+'TUSD CVA'!$AM$25)*1</f>
        <v>75.407822945580492</v>
      </c>
      <c r="Z330" s="6">
        <f ca="1">('TUSD BE'!$AM$27+'TUSD BF'!$AM$27+'TUSD CVA'!$AM$27)*1</f>
        <v>137.4358543126599</v>
      </c>
      <c r="AA330" s="6">
        <f>('TE BE'!$AB$9+'TE BF'!$AB$9+'TE CVA'!$AB$9)*1</f>
        <v>510.04993331215127</v>
      </c>
      <c r="AB330" s="6">
        <f>$K$330*$V$330</f>
        <v>-6428.7999999999993</v>
      </c>
      <c r="AC330" s="6">
        <f>$M$330*$W$330</f>
        <v>-369.7122</v>
      </c>
      <c r="AD330" s="6">
        <f>$O$330*$X$330</f>
        <v>-2068.9454999999998</v>
      </c>
      <c r="AE330" s="6">
        <f ca="1">$K$330*$Y$330</f>
        <v>-7389.9666486668884</v>
      </c>
      <c r="AF330" s="6">
        <f ca="1">$M$330*$Z$330</f>
        <v>-573.10751248379177</v>
      </c>
      <c r="AG330" s="6">
        <f>$O$330*$AA$330</f>
        <v>-2126.9082219116708</v>
      </c>
    </row>
    <row r="331" spans="1:33" ht="11.25" customHeight="1" x14ac:dyDescent="0.25">
      <c r="A331" s="4" t="s">
        <v>28</v>
      </c>
      <c r="B331" s="4" t="s">
        <v>41</v>
      </c>
      <c r="C331" s="4" t="s">
        <v>40</v>
      </c>
      <c r="D331" s="4" t="s">
        <v>43</v>
      </c>
      <c r="E331" s="4" t="s">
        <v>25</v>
      </c>
      <c r="F331" s="4" t="s">
        <v>25</v>
      </c>
      <c r="G331" s="4" t="s">
        <v>25</v>
      </c>
      <c r="H331" s="4" t="s">
        <v>34</v>
      </c>
      <c r="I331" s="5">
        <v>44409</v>
      </c>
      <c r="J331" s="6">
        <v>48</v>
      </c>
      <c r="K331" s="6">
        <v>48</v>
      </c>
      <c r="L331" s="6">
        <v>1.23</v>
      </c>
      <c r="M331" s="6">
        <v>1.23</v>
      </c>
      <c r="N331" s="6">
        <v>1.23</v>
      </c>
      <c r="O331" s="6">
        <v>1.23</v>
      </c>
      <c r="P331" s="6">
        <v>0</v>
      </c>
      <c r="Q331" s="4" t="s">
        <v>26</v>
      </c>
      <c r="R331" s="4">
        <v>0</v>
      </c>
      <c r="S331" s="6">
        <v>21</v>
      </c>
      <c r="T331" s="6">
        <v>23</v>
      </c>
      <c r="U331" s="6">
        <v>78</v>
      </c>
      <c r="V331" s="6">
        <f>IF(ISERROR(VLOOKUP($S$331,'TAR FIN'!$A$1:$O$116,15,0)),0,VLOOKUP($S$331,'TAR FIN'!$A$1:$O$116,15,0))</f>
        <v>65.599999999999994</v>
      </c>
      <c r="W331" s="6">
        <f>IF(ISERROR(VLOOKUP($T$331,'TAR FIN'!$A$1:$O$116,15,0)),0,VLOOKUP($T$331,'TAR FIN'!$A$1:$O$116,15,0))</f>
        <v>88.66</v>
      </c>
      <c r="X331" s="6">
        <f>IF(ISERROR(VLOOKUP($U$331,'TAR FIN'!$A$1:$O$116,15,0)),0,VLOOKUP($U$331,'TAR FIN'!$A$1:$O$116,15,0))</f>
        <v>496.15</v>
      </c>
      <c r="Y331" s="6">
        <f ca="1">('TUSD BE'!$AM$25+'TUSD BF'!$AM$25+'TUSD CVA'!$AM$25)*1</f>
        <v>75.407822945580492</v>
      </c>
      <c r="Z331" s="6">
        <f ca="1">('TUSD BE'!$AM$27+'TUSD BF'!$AM$27+'TUSD CVA'!$AM$27)*1</f>
        <v>137.4358543126599</v>
      </c>
      <c r="AA331" s="6">
        <f>('TE BE'!$AB$9+'TE BF'!$AB$9+'TE CVA'!$AB$9)*1</f>
        <v>510.04993331215127</v>
      </c>
      <c r="AB331" s="6">
        <f>$K$331*$V$331</f>
        <v>3148.7999999999997</v>
      </c>
      <c r="AC331" s="6">
        <f>$M$331*$W$331</f>
        <v>109.0518</v>
      </c>
      <c r="AD331" s="6">
        <f>$O$331*$X$331</f>
        <v>610.2645</v>
      </c>
      <c r="AE331" s="6">
        <f ca="1">$K$331*$Y$331</f>
        <v>3619.5755013878634</v>
      </c>
      <c r="AF331" s="6">
        <f ca="1">$M$331*$Z$331</f>
        <v>169.04610080457167</v>
      </c>
      <c r="AG331" s="6">
        <f>$O$331*$AA$331</f>
        <v>627.361417973946</v>
      </c>
    </row>
    <row r="332" spans="1:33" ht="11.25" customHeight="1" x14ac:dyDescent="0.25">
      <c r="A332" s="4" t="s">
        <v>21</v>
      </c>
      <c r="B332" s="4" t="s">
        <v>41</v>
      </c>
      <c r="C332" s="4" t="s">
        <v>40</v>
      </c>
      <c r="D332" s="4" t="s">
        <v>43</v>
      </c>
      <c r="E332" s="4" t="s">
        <v>25</v>
      </c>
      <c r="F332" s="4" t="s">
        <v>25</v>
      </c>
      <c r="G332" s="4" t="s">
        <v>25</v>
      </c>
      <c r="H332" s="4" t="s">
        <v>34</v>
      </c>
      <c r="I332" s="5">
        <v>44440</v>
      </c>
      <c r="J332" s="6">
        <v>976</v>
      </c>
      <c r="K332" s="6">
        <v>976</v>
      </c>
      <c r="L332" s="6">
        <v>40.942999999999998</v>
      </c>
      <c r="M332" s="6">
        <v>40.942999999999998</v>
      </c>
      <c r="N332" s="6">
        <v>40.942999999999998</v>
      </c>
      <c r="O332" s="6">
        <v>40.942999999999998</v>
      </c>
      <c r="P332" s="6">
        <v>0</v>
      </c>
      <c r="Q332" s="4" t="s">
        <v>26</v>
      </c>
      <c r="R332" s="4">
        <v>0</v>
      </c>
      <c r="S332" s="6">
        <v>21</v>
      </c>
      <c r="T332" s="6">
        <v>23</v>
      </c>
      <c r="U332" s="6">
        <v>78</v>
      </c>
      <c r="V332" s="6">
        <f>IF(ISERROR(VLOOKUP($S$332,'TAR FIN'!$A$1:$O$116,15,0)),0,VLOOKUP($S$332,'TAR FIN'!$A$1:$O$116,15,0))</f>
        <v>65.599999999999994</v>
      </c>
      <c r="W332" s="6">
        <f>IF(ISERROR(VLOOKUP($T$332,'TAR FIN'!$A$1:$O$116,15,0)),0,VLOOKUP($T$332,'TAR FIN'!$A$1:$O$116,15,0))</f>
        <v>88.66</v>
      </c>
      <c r="X332" s="6">
        <f>IF(ISERROR(VLOOKUP($U$332,'TAR FIN'!$A$1:$O$116,15,0)),0,VLOOKUP($U$332,'TAR FIN'!$A$1:$O$116,15,0))</f>
        <v>496.15</v>
      </c>
      <c r="Y332" s="6">
        <f ca="1">('TUSD BE'!$AM$25+'TUSD BF'!$AM$25+'TUSD CVA'!$AM$25)*1</f>
        <v>75.407822945580492</v>
      </c>
      <c r="Z332" s="6">
        <f ca="1">('TUSD BE'!$AM$27+'TUSD BF'!$AM$27+'TUSD CVA'!$AM$27)*1</f>
        <v>137.4358543126599</v>
      </c>
      <c r="AA332" s="6">
        <f>('TE BE'!$AB$9+'TE BF'!$AB$9+'TE CVA'!$AB$9)*1</f>
        <v>510.04993331215127</v>
      </c>
      <c r="AB332" s="6">
        <f>$K$332*$V$332</f>
        <v>64025.599999999991</v>
      </c>
      <c r="AC332" s="6">
        <f>$M$332*$W$332</f>
        <v>3630.0063799999998</v>
      </c>
      <c r="AD332" s="6">
        <f>$O$332*$X$332</f>
        <v>20313.869449999998</v>
      </c>
      <c r="AE332" s="6">
        <f ca="1">$K$332*$Y$332</f>
        <v>73598.035194886557</v>
      </c>
      <c r="AF332" s="6">
        <f ca="1">$M$332*$Z$332</f>
        <v>5627.036183123234</v>
      </c>
      <c r="AG332" s="6">
        <f>$O$332*$AA$332</f>
        <v>20882.97441959941</v>
      </c>
    </row>
    <row r="333" spans="1:33" ht="11.25" customHeight="1" x14ac:dyDescent="0.25">
      <c r="A333" s="4" t="s">
        <v>28</v>
      </c>
      <c r="B333" s="4" t="s">
        <v>41</v>
      </c>
      <c r="C333" s="4" t="s">
        <v>40</v>
      </c>
      <c r="D333" s="4" t="s">
        <v>43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44440</v>
      </c>
      <c r="J333" s="6">
        <v>48</v>
      </c>
      <c r="K333" s="6">
        <v>48</v>
      </c>
      <c r="L333" s="6">
        <v>1.476</v>
      </c>
      <c r="M333" s="6">
        <v>1.476</v>
      </c>
      <c r="N333" s="6">
        <v>1.476</v>
      </c>
      <c r="O333" s="6">
        <v>1.476</v>
      </c>
      <c r="P333" s="6">
        <v>0</v>
      </c>
      <c r="Q333" s="4" t="s">
        <v>26</v>
      </c>
      <c r="R333" s="4">
        <v>0</v>
      </c>
      <c r="S333" s="6">
        <v>21</v>
      </c>
      <c r="T333" s="6">
        <v>23</v>
      </c>
      <c r="U333" s="6">
        <v>78</v>
      </c>
      <c r="V333" s="6">
        <f>IF(ISERROR(VLOOKUP($S$333,'TAR FIN'!$A$1:$O$116,15,0)),0,VLOOKUP($S$333,'TAR FIN'!$A$1:$O$116,15,0))</f>
        <v>65.599999999999994</v>
      </c>
      <c r="W333" s="6">
        <f>IF(ISERROR(VLOOKUP($T$333,'TAR FIN'!$A$1:$O$116,15,0)),0,VLOOKUP($T$333,'TAR FIN'!$A$1:$O$116,15,0))</f>
        <v>88.66</v>
      </c>
      <c r="X333" s="6">
        <f>IF(ISERROR(VLOOKUP($U$333,'TAR FIN'!$A$1:$O$116,15,0)),0,VLOOKUP($U$333,'TAR FIN'!$A$1:$O$116,15,0))</f>
        <v>496.15</v>
      </c>
      <c r="Y333" s="6">
        <f ca="1">('TUSD BE'!$AM$25+'TUSD BF'!$AM$25+'TUSD CVA'!$AM$25)*1</f>
        <v>75.407822945580492</v>
      </c>
      <c r="Z333" s="6">
        <f ca="1">('TUSD BE'!$AM$27+'TUSD BF'!$AM$27+'TUSD CVA'!$AM$27)*1</f>
        <v>137.4358543126599</v>
      </c>
      <c r="AA333" s="6">
        <f>('TE BE'!$AB$9+'TE BF'!$AB$9+'TE CVA'!$AB$9)*1</f>
        <v>510.04993331215127</v>
      </c>
      <c r="AB333" s="6">
        <f>$K$333*$V$333</f>
        <v>3148.7999999999997</v>
      </c>
      <c r="AC333" s="6">
        <f>$M$333*$W$333</f>
        <v>130.86215999999999</v>
      </c>
      <c r="AD333" s="6">
        <f>$O$333*$X$333</f>
        <v>732.31739999999991</v>
      </c>
      <c r="AE333" s="6">
        <f ca="1">$K$333*$Y$333</f>
        <v>3619.5755013878634</v>
      </c>
      <c r="AF333" s="6">
        <f ca="1">$M$333*$Z$333</f>
        <v>202.85532096548602</v>
      </c>
      <c r="AG333" s="6">
        <f>$O$333*$AA$333</f>
        <v>752.83370156873525</v>
      </c>
    </row>
    <row r="334" spans="1:33" ht="11.25" customHeight="1" x14ac:dyDescent="0.25">
      <c r="A334" s="4" t="s">
        <v>21</v>
      </c>
      <c r="B334" s="4" t="s">
        <v>41</v>
      </c>
      <c r="C334" s="4" t="s">
        <v>40</v>
      </c>
      <c r="D334" s="4" t="s">
        <v>43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44470</v>
      </c>
      <c r="J334" s="6">
        <v>880</v>
      </c>
      <c r="K334" s="6">
        <v>880</v>
      </c>
      <c r="L334" s="6">
        <v>33.295999999999999</v>
      </c>
      <c r="M334" s="6">
        <v>33.295999999999999</v>
      </c>
      <c r="N334" s="6">
        <v>33.295999999999999</v>
      </c>
      <c r="O334" s="6">
        <v>33.295999999999999</v>
      </c>
      <c r="P334" s="6">
        <v>0</v>
      </c>
      <c r="Q334" s="4" t="s">
        <v>26</v>
      </c>
      <c r="R334" s="4">
        <v>0</v>
      </c>
      <c r="S334" s="6">
        <v>21</v>
      </c>
      <c r="T334" s="6">
        <v>23</v>
      </c>
      <c r="U334" s="6">
        <v>78</v>
      </c>
      <c r="V334" s="6">
        <f>IF(ISERROR(VLOOKUP($S$334,'TAR FIN'!$A$1:$O$116,15,0)),0,VLOOKUP($S$334,'TAR FIN'!$A$1:$O$116,15,0))</f>
        <v>65.599999999999994</v>
      </c>
      <c r="W334" s="6">
        <f>IF(ISERROR(VLOOKUP($T$334,'TAR FIN'!$A$1:$O$116,15,0)),0,VLOOKUP($T$334,'TAR FIN'!$A$1:$O$116,15,0))</f>
        <v>88.66</v>
      </c>
      <c r="X334" s="6">
        <f>IF(ISERROR(VLOOKUP($U$334,'TAR FIN'!$A$1:$O$116,15,0)),0,VLOOKUP($U$334,'TAR FIN'!$A$1:$O$116,15,0))</f>
        <v>496.15</v>
      </c>
      <c r="Y334" s="6">
        <f ca="1">('TUSD BE'!$AM$25+'TUSD BF'!$AM$25+'TUSD CVA'!$AM$25)*1</f>
        <v>75.407822945580492</v>
      </c>
      <c r="Z334" s="6">
        <f ca="1">('TUSD BE'!$AM$27+'TUSD BF'!$AM$27+'TUSD CVA'!$AM$27)*1</f>
        <v>137.4358543126599</v>
      </c>
      <c r="AA334" s="6">
        <f>('TE BE'!$AB$9+'TE BF'!$AB$9+'TE CVA'!$AB$9)*1</f>
        <v>510.04993331215127</v>
      </c>
      <c r="AB334" s="6">
        <f>$K$334*$V$334</f>
        <v>57727.999999999993</v>
      </c>
      <c r="AC334" s="6">
        <f>$M$334*$W$334</f>
        <v>2952.0233599999997</v>
      </c>
      <c r="AD334" s="6">
        <f>$O$334*$X$334</f>
        <v>16519.810399999998</v>
      </c>
      <c r="AE334" s="6">
        <f ca="1">$K$334*$Y$334</f>
        <v>66358.88419211084</v>
      </c>
      <c r="AF334" s="6">
        <f ca="1">$M$334*$Z$334</f>
        <v>4576.0642051943241</v>
      </c>
      <c r="AG334" s="6">
        <f>$O$334*$AA$334</f>
        <v>16982.62257956139</v>
      </c>
    </row>
    <row r="335" spans="1:33" ht="11.25" customHeight="1" x14ac:dyDescent="0.25">
      <c r="A335" s="4" t="s">
        <v>27</v>
      </c>
      <c r="B335" s="4" t="s">
        <v>41</v>
      </c>
      <c r="C335" s="4" t="s">
        <v>40</v>
      </c>
      <c r="D335" s="4" t="s">
        <v>43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44470</v>
      </c>
      <c r="J335" s="6">
        <v>-116</v>
      </c>
      <c r="K335" s="6">
        <v>-116</v>
      </c>
      <c r="L335" s="6">
        <v>-5.4530000000000003</v>
      </c>
      <c r="M335" s="6">
        <v>-5.4530000000000003</v>
      </c>
      <c r="N335" s="6">
        <v>-5.4530000000000003</v>
      </c>
      <c r="O335" s="6">
        <v>-5.4530000000000003</v>
      </c>
      <c r="P335" s="6">
        <v>0</v>
      </c>
      <c r="Q335" s="4" t="s">
        <v>26</v>
      </c>
      <c r="R335" s="4">
        <v>0</v>
      </c>
      <c r="S335" s="6">
        <v>21</v>
      </c>
      <c r="T335" s="6">
        <v>23</v>
      </c>
      <c r="U335" s="6">
        <v>78</v>
      </c>
      <c r="V335" s="6">
        <f>IF(ISERROR(VLOOKUP($S$335,'TAR FIN'!$A$1:$O$116,15,0)),0,VLOOKUP($S$335,'TAR FIN'!$A$1:$O$116,15,0))</f>
        <v>65.599999999999994</v>
      </c>
      <c r="W335" s="6">
        <f>IF(ISERROR(VLOOKUP($T$335,'TAR FIN'!$A$1:$O$116,15,0)),0,VLOOKUP($T$335,'TAR FIN'!$A$1:$O$116,15,0))</f>
        <v>88.66</v>
      </c>
      <c r="X335" s="6">
        <f>IF(ISERROR(VLOOKUP($U$335,'TAR FIN'!$A$1:$O$116,15,0)),0,VLOOKUP($U$335,'TAR FIN'!$A$1:$O$116,15,0))</f>
        <v>496.15</v>
      </c>
      <c r="Y335" s="6">
        <f ca="1">('TUSD BE'!$AM$25+'TUSD BF'!$AM$25+'TUSD CVA'!$AM$25)*1</f>
        <v>75.407822945580492</v>
      </c>
      <c r="Z335" s="6">
        <f ca="1">('TUSD BE'!$AM$27+'TUSD BF'!$AM$27+'TUSD CVA'!$AM$27)*1</f>
        <v>137.4358543126599</v>
      </c>
      <c r="AA335" s="6">
        <f>('TE BE'!$AB$9+'TE BF'!$AB$9+'TE CVA'!$AB$9)*1</f>
        <v>510.04993331215127</v>
      </c>
      <c r="AB335" s="6">
        <f>$K$335*$V$335</f>
        <v>-7609.5999999999995</v>
      </c>
      <c r="AC335" s="6">
        <f>$M$335*$W$335</f>
        <v>-483.46298000000002</v>
      </c>
      <c r="AD335" s="6">
        <f>$O$335*$X$335</f>
        <v>-2705.5059500000002</v>
      </c>
      <c r="AE335" s="6">
        <f ca="1">$K$335*$Y$335</f>
        <v>-8747.3074616873364</v>
      </c>
      <c r="AF335" s="6">
        <f ca="1">$M$335*$Z$335</f>
        <v>-749.43771356693446</v>
      </c>
      <c r="AG335" s="6">
        <f>$O$335*$AA$335</f>
        <v>-2781.302286351161</v>
      </c>
    </row>
    <row r="336" spans="1:33" ht="11.25" customHeight="1" x14ac:dyDescent="0.25">
      <c r="A336" s="4" t="s">
        <v>28</v>
      </c>
      <c r="B336" s="4" t="s">
        <v>41</v>
      </c>
      <c r="C336" s="4" t="s">
        <v>40</v>
      </c>
      <c r="D336" s="4" t="s">
        <v>43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44470</v>
      </c>
      <c r="J336" s="6">
        <v>48</v>
      </c>
      <c r="K336" s="6">
        <v>48</v>
      </c>
      <c r="L336" s="6">
        <v>1.722</v>
      </c>
      <c r="M336" s="6">
        <v>1.722</v>
      </c>
      <c r="N336" s="6">
        <v>1.722</v>
      </c>
      <c r="O336" s="6">
        <v>1.722</v>
      </c>
      <c r="P336" s="6">
        <v>0</v>
      </c>
      <c r="Q336" s="4" t="s">
        <v>26</v>
      </c>
      <c r="R336" s="4">
        <v>0</v>
      </c>
      <c r="S336" s="6">
        <v>21</v>
      </c>
      <c r="T336" s="6">
        <v>23</v>
      </c>
      <c r="U336" s="6">
        <v>78</v>
      </c>
      <c r="V336" s="6">
        <f>IF(ISERROR(VLOOKUP($S$336,'TAR FIN'!$A$1:$O$116,15,0)),0,VLOOKUP($S$336,'TAR FIN'!$A$1:$O$116,15,0))</f>
        <v>65.599999999999994</v>
      </c>
      <c r="W336" s="6">
        <f>IF(ISERROR(VLOOKUP($T$336,'TAR FIN'!$A$1:$O$116,15,0)),0,VLOOKUP($T$336,'TAR FIN'!$A$1:$O$116,15,0))</f>
        <v>88.66</v>
      </c>
      <c r="X336" s="6">
        <f>IF(ISERROR(VLOOKUP($U$336,'TAR FIN'!$A$1:$O$116,15,0)),0,VLOOKUP($U$336,'TAR FIN'!$A$1:$O$116,15,0))</f>
        <v>496.15</v>
      </c>
      <c r="Y336" s="6">
        <f ca="1">('TUSD BE'!$AM$25+'TUSD BF'!$AM$25+'TUSD CVA'!$AM$25)*1</f>
        <v>75.407822945580492</v>
      </c>
      <c r="Z336" s="6">
        <f ca="1">('TUSD BE'!$AM$27+'TUSD BF'!$AM$27+'TUSD CVA'!$AM$27)*1</f>
        <v>137.4358543126599</v>
      </c>
      <c r="AA336" s="6">
        <f>('TE BE'!$AB$9+'TE BF'!$AB$9+'TE CVA'!$AB$9)*1</f>
        <v>510.04993331215127</v>
      </c>
      <c r="AB336" s="6">
        <f>$K$336*$V$336</f>
        <v>3148.7999999999997</v>
      </c>
      <c r="AC336" s="6">
        <f>$M$336*$W$336</f>
        <v>152.67251999999999</v>
      </c>
      <c r="AD336" s="6">
        <f>$O$336*$X$336</f>
        <v>854.37029999999993</v>
      </c>
      <c r="AE336" s="6">
        <f ca="1">$K$336*$Y$336</f>
        <v>3619.5755013878634</v>
      </c>
      <c r="AF336" s="6">
        <f ca="1">$M$336*$Z$336</f>
        <v>236.66454112640034</v>
      </c>
      <c r="AG336" s="6">
        <f>$O$336*$AA$336</f>
        <v>878.3059851635245</v>
      </c>
    </row>
    <row r="337" spans="1:33" ht="11.25" customHeight="1" x14ac:dyDescent="0.25">
      <c r="A337" s="4" t="s">
        <v>21</v>
      </c>
      <c r="B337" s="4" t="s">
        <v>41</v>
      </c>
      <c r="C337" s="4" t="s">
        <v>40</v>
      </c>
      <c r="D337" s="4" t="s">
        <v>43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44501</v>
      </c>
      <c r="J337" s="6">
        <v>784</v>
      </c>
      <c r="K337" s="6">
        <v>784</v>
      </c>
      <c r="L337" s="6">
        <v>30.318999999999999</v>
      </c>
      <c r="M337" s="6">
        <v>30.318999999999999</v>
      </c>
      <c r="N337" s="6">
        <v>30.318999999999999</v>
      </c>
      <c r="O337" s="6">
        <v>30.318999999999999</v>
      </c>
      <c r="P337" s="6">
        <v>0</v>
      </c>
      <c r="Q337" s="4" t="s">
        <v>26</v>
      </c>
      <c r="R337" s="4">
        <v>0</v>
      </c>
      <c r="S337" s="6">
        <v>21</v>
      </c>
      <c r="T337" s="6">
        <v>23</v>
      </c>
      <c r="U337" s="6">
        <v>78</v>
      </c>
      <c r="V337" s="6">
        <f>IF(ISERROR(VLOOKUP($S$337,'TAR FIN'!$A$1:$O$116,15,0)),0,VLOOKUP($S$337,'TAR FIN'!$A$1:$O$116,15,0))</f>
        <v>65.599999999999994</v>
      </c>
      <c r="W337" s="6">
        <f>IF(ISERROR(VLOOKUP($T$337,'TAR FIN'!$A$1:$O$116,15,0)),0,VLOOKUP($T$337,'TAR FIN'!$A$1:$O$116,15,0))</f>
        <v>88.66</v>
      </c>
      <c r="X337" s="6">
        <f>IF(ISERROR(VLOOKUP($U$337,'TAR FIN'!$A$1:$O$116,15,0)),0,VLOOKUP($U$337,'TAR FIN'!$A$1:$O$116,15,0))</f>
        <v>496.15</v>
      </c>
      <c r="Y337" s="6">
        <f ca="1">('TUSD BE'!$AM$25+'TUSD BF'!$AM$25+'TUSD CVA'!$AM$25)*1</f>
        <v>75.407822945580492</v>
      </c>
      <c r="Z337" s="6">
        <f ca="1">('TUSD BE'!$AM$27+'TUSD BF'!$AM$27+'TUSD CVA'!$AM$27)*1</f>
        <v>137.4358543126599</v>
      </c>
      <c r="AA337" s="6">
        <f>('TE BE'!$AB$9+'TE BF'!$AB$9+'TE CVA'!$AB$9)*1</f>
        <v>510.04993331215127</v>
      </c>
      <c r="AB337" s="6">
        <f>$K$337*$V$337</f>
        <v>51430.399999999994</v>
      </c>
      <c r="AC337" s="6">
        <f>$M$337*$W$337</f>
        <v>2688.0825399999999</v>
      </c>
      <c r="AD337" s="6">
        <f>$O$337*$X$337</f>
        <v>15042.771849999999</v>
      </c>
      <c r="AE337" s="6">
        <f ca="1">$K$337*$Y$337</f>
        <v>59119.733189335107</v>
      </c>
      <c r="AF337" s="6">
        <f ca="1">$M$337*$Z$337</f>
        <v>4166.917666905535</v>
      </c>
      <c r="AG337" s="6">
        <f>$O$337*$AA$337</f>
        <v>15464.203928091114</v>
      </c>
    </row>
    <row r="338" spans="1:33" ht="11.25" customHeight="1" x14ac:dyDescent="0.25">
      <c r="A338" s="4" t="s">
        <v>28</v>
      </c>
      <c r="B338" s="4" t="s">
        <v>41</v>
      </c>
      <c r="C338" s="4" t="s">
        <v>40</v>
      </c>
      <c r="D338" s="4" t="s">
        <v>43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44501</v>
      </c>
      <c r="J338" s="6">
        <v>48</v>
      </c>
      <c r="K338" s="6">
        <v>48</v>
      </c>
      <c r="L338" s="6">
        <v>1.353</v>
      </c>
      <c r="M338" s="6">
        <v>1.353</v>
      </c>
      <c r="N338" s="6">
        <v>1.353</v>
      </c>
      <c r="O338" s="6">
        <v>1.353</v>
      </c>
      <c r="P338" s="6">
        <v>0</v>
      </c>
      <c r="Q338" s="4" t="s">
        <v>26</v>
      </c>
      <c r="R338" s="4">
        <v>0</v>
      </c>
      <c r="S338" s="6">
        <v>21</v>
      </c>
      <c r="T338" s="6">
        <v>23</v>
      </c>
      <c r="U338" s="6">
        <v>78</v>
      </c>
      <c r="V338" s="6">
        <f>IF(ISERROR(VLOOKUP($S$338,'TAR FIN'!$A$1:$O$116,15,0)),0,VLOOKUP($S$338,'TAR FIN'!$A$1:$O$116,15,0))</f>
        <v>65.599999999999994</v>
      </c>
      <c r="W338" s="6">
        <f>IF(ISERROR(VLOOKUP($T$338,'TAR FIN'!$A$1:$O$116,15,0)),0,VLOOKUP($T$338,'TAR FIN'!$A$1:$O$116,15,0))</f>
        <v>88.66</v>
      </c>
      <c r="X338" s="6">
        <f>IF(ISERROR(VLOOKUP($U$338,'TAR FIN'!$A$1:$O$116,15,0)),0,VLOOKUP($U$338,'TAR FIN'!$A$1:$O$116,15,0))</f>
        <v>496.15</v>
      </c>
      <c r="Y338" s="6">
        <f ca="1">('TUSD BE'!$AM$25+'TUSD BF'!$AM$25+'TUSD CVA'!$AM$25)*1</f>
        <v>75.407822945580492</v>
      </c>
      <c r="Z338" s="6">
        <f ca="1">('TUSD BE'!$AM$27+'TUSD BF'!$AM$27+'TUSD CVA'!$AM$27)*1</f>
        <v>137.4358543126599</v>
      </c>
      <c r="AA338" s="6">
        <f>('TE BE'!$AB$9+'TE BF'!$AB$9+'TE CVA'!$AB$9)*1</f>
        <v>510.04993331215127</v>
      </c>
      <c r="AB338" s="6">
        <f>$K$338*$V$338</f>
        <v>3148.7999999999997</v>
      </c>
      <c r="AC338" s="6">
        <f>$M$338*$W$338</f>
        <v>119.95697999999999</v>
      </c>
      <c r="AD338" s="6">
        <f>$O$338*$X$338</f>
        <v>671.29094999999995</v>
      </c>
      <c r="AE338" s="6">
        <f ca="1">$K$338*$Y$338</f>
        <v>3619.5755013878634</v>
      </c>
      <c r="AF338" s="6">
        <f ca="1">$M$338*$Z$338</f>
        <v>185.95071088502885</v>
      </c>
      <c r="AG338" s="6">
        <f>$O$338*$AA$338</f>
        <v>690.09755977134068</v>
      </c>
    </row>
    <row r="339" spans="1:33" ht="11.25" customHeight="1" x14ac:dyDescent="0.25">
      <c r="A339" s="4" t="s">
        <v>21</v>
      </c>
      <c r="B339" s="4" t="s">
        <v>41</v>
      </c>
      <c r="C339" s="4" t="s">
        <v>40</v>
      </c>
      <c r="D339" s="4" t="s">
        <v>43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44531</v>
      </c>
      <c r="J339" s="6">
        <v>1080</v>
      </c>
      <c r="K339" s="6">
        <v>1080</v>
      </c>
      <c r="L339" s="6">
        <v>43.070999999999998</v>
      </c>
      <c r="M339" s="6">
        <v>43.070999999999998</v>
      </c>
      <c r="N339" s="6">
        <v>43.070999999999998</v>
      </c>
      <c r="O339" s="6">
        <v>43.070999999999998</v>
      </c>
      <c r="P339" s="6">
        <v>0</v>
      </c>
      <c r="Q339" s="4" t="s">
        <v>26</v>
      </c>
      <c r="R339" s="4">
        <v>0</v>
      </c>
      <c r="S339" s="6">
        <v>21</v>
      </c>
      <c r="T339" s="6">
        <v>23</v>
      </c>
      <c r="U339" s="6">
        <v>78</v>
      </c>
      <c r="V339" s="6">
        <f>IF(ISERROR(VLOOKUP($S$339,'TAR FIN'!$A$1:$O$116,15,0)),0,VLOOKUP($S$339,'TAR FIN'!$A$1:$O$116,15,0))</f>
        <v>65.599999999999994</v>
      </c>
      <c r="W339" s="6">
        <f>IF(ISERROR(VLOOKUP($T$339,'TAR FIN'!$A$1:$O$116,15,0)),0,VLOOKUP($T$339,'TAR FIN'!$A$1:$O$116,15,0))</f>
        <v>88.66</v>
      </c>
      <c r="X339" s="6">
        <f>IF(ISERROR(VLOOKUP($U$339,'TAR FIN'!$A$1:$O$116,15,0)),0,VLOOKUP($U$339,'TAR FIN'!$A$1:$O$116,15,0))</f>
        <v>496.15</v>
      </c>
      <c r="Y339" s="6">
        <f ca="1">('TUSD BE'!$AM$25+'TUSD BF'!$AM$25+'TUSD CVA'!$AM$25)*1</f>
        <v>75.407822945580492</v>
      </c>
      <c r="Z339" s="6">
        <f ca="1">('TUSD BE'!$AM$27+'TUSD BF'!$AM$27+'TUSD CVA'!$AM$27)*1</f>
        <v>137.4358543126599</v>
      </c>
      <c r="AA339" s="6">
        <f>('TE BE'!$AB$9+'TE BF'!$AB$9+'TE CVA'!$AB$9)*1</f>
        <v>510.04993331215127</v>
      </c>
      <c r="AB339" s="6">
        <f>$K$339*$V$339</f>
        <v>70848</v>
      </c>
      <c r="AC339" s="6">
        <f>$M$339*$W$339</f>
        <v>3818.6748599999996</v>
      </c>
      <c r="AD339" s="6">
        <f>$O$339*$X$339</f>
        <v>21369.676649999998</v>
      </c>
      <c r="AE339" s="6">
        <f ca="1">$K$339*$Y$339</f>
        <v>81440.448781226936</v>
      </c>
      <c r="AF339" s="6">
        <f ca="1">$M$339*$Z$339</f>
        <v>5919.499681100574</v>
      </c>
      <c r="AG339" s="6">
        <f>$O$339*$AA$339</f>
        <v>21968.360677687666</v>
      </c>
    </row>
    <row r="340" spans="1:33" ht="11.25" customHeight="1" x14ac:dyDescent="0.25">
      <c r="A340" s="4" t="s">
        <v>28</v>
      </c>
      <c r="B340" s="4" t="s">
        <v>41</v>
      </c>
      <c r="C340" s="4" t="s">
        <v>40</v>
      </c>
      <c r="D340" s="4" t="s">
        <v>43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44531</v>
      </c>
      <c r="J340" s="6">
        <v>48</v>
      </c>
      <c r="K340" s="6">
        <v>48</v>
      </c>
      <c r="L340" s="6">
        <v>1.4350000000000001</v>
      </c>
      <c r="M340" s="6">
        <v>1.4350000000000001</v>
      </c>
      <c r="N340" s="6">
        <v>1.4350000000000001</v>
      </c>
      <c r="O340" s="6">
        <v>1.4350000000000001</v>
      </c>
      <c r="P340" s="6">
        <v>0</v>
      </c>
      <c r="Q340" s="4" t="s">
        <v>26</v>
      </c>
      <c r="R340" s="4">
        <v>0</v>
      </c>
      <c r="S340" s="6">
        <v>21</v>
      </c>
      <c r="T340" s="6">
        <v>23</v>
      </c>
      <c r="U340" s="6">
        <v>78</v>
      </c>
      <c r="V340" s="6">
        <f>IF(ISERROR(VLOOKUP($S$340,'TAR FIN'!$A$1:$O$116,15,0)),0,VLOOKUP($S$340,'TAR FIN'!$A$1:$O$116,15,0))</f>
        <v>65.599999999999994</v>
      </c>
      <c r="W340" s="6">
        <f>IF(ISERROR(VLOOKUP($T$340,'TAR FIN'!$A$1:$O$116,15,0)),0,VLOOKUP($T$340,'TAR FIN'!$A$1:$O$116,15,0))</f>
        <v>88.66</v>
      </c>
      <c r="X340" s="6">
        <f>IF(ISERROR(VLOOKUP($U$340,'TAR FIN'!$A$1:$O$116,15,0)),0,VLOOKUP($U$340,'TAR FIN'!$A$1:$O$116,15,0))</f>
        <v>496.15</v>
      </c>
      <c r="Y340" s="6">
        <f ca="1">('TUSD BE'!$AM$25+'TUSD BF'!$AM$25+'TUSD CVA'!$AM$25)*1</f>
        <v>75.407822945580492</v>
      </c>
      <c r="Z340" s="6">
        <f ca="1">('TUSD BE'!$AM$27+'TUSD BF'!$AM$27+'TUSD CVA'!$AM$27)*1</f>
        <v>137.4358543126599</v>
      </c>
      <c r="AA340" s="6">
        <f>('TE BE'!$AB$9+'TE BF'!$AB$9+'TE CVA'!$AB$9)*1</f>
        <v>510.04993331215127</v>
      </c>
      <c r="AB340" s="6">
        <f>$K$340*$V$340</f>
        <v>3148.7999999999997</v>
      </c>
      <c r="AC340" s="6">
        <f>$M$340*$W$340</f>
        <v>127.22709999999999</v>
      </c>
      <c r="AD340" s="6">
        <f>$O$340*$X$340</f>
        <v>711.97524999999996</v>
      </c>
      <c r="AE340" s="6">
        <f ca="1">$K$340*$Y$340</f>
        <v>3619.5755013878634</v>
      </c>
      <c r="AF340" s="6">
        <f ca="1">$M$340*$Z$340</f>
        <v>197.22045093866697</v>
      </c>
      <c r="AG340" s="6">
        <f>$O$340*$AA$340</f>
        <v>731.9216543029371</v>
      </c>
    </row>
    <row r="341" spans="1:33" ht="11.25" customHeight="1" x14ac:dyDescent="0.25">
      <c r="A341" s="4" t="s">
        <v>21</v>
      </c>
      <c r="B341" s="4" t="s">
        <v>41</v>
      </c>
      <c r="C341" s="4" t="s">
        <v>40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44562</v>
      </c>
      <c r="J341" s="6">
        <v>765</v>
      </c>
      <c r="K341" s="6">
        <v>765</v>
      </c>
      <c r="L341" s="6">
        <v>33.460999999999999</v>
      </c>
      <c r="M341" s="6">
        <v>33.460999999999999</v>
      </c>
      <c r="N341" s="6">
        <v>33.460999999999999</v>
      </c>
      <c r="O341" s="6">
        <v>33.460999999999999</v>
      </c>
      <c r="P341" s="6">
        <v>0</v>
      </c>
      <c r="Q341" s="4" t="s">
        <v>26</v>
      </c>
      <c r="R341" s="4">
        <v>0</v>
      </c>
      <c r="S341" s="6">
        <v>21</v>
      </c>
      <c r="T341" s="6">
        <v>23</v>
      </c>
      <c r="U341" s="6">
        <v>78</v>
      </c>
      <c r="V341" s="6">
        <f>IF(ISERROR(VLOOKUP($S$341,'TAR FIN'!$A$1:$O$116,15,0)),0,VLOOKUP($S$341,'TAR FIN'!$A$1:$O$116,15,0))</f>
        <v>65.599999999999994</v>
      </c>
      <c r="W341" s="6">
        <f>IF(ISERROR(VLOOKUP($T$341,'TAR FIN'!$A$1:$O$116,15,0)),0,VLOOKUP($T$341,'TAR FIN'!$A$1:$O$116,15,0))</f>
        <v>88.66</v>
      </c>
      <c r="X341" s="6">
        <f>IF(ISERROR(VLOOKUP($U$341,'TAR FIN'!$A$1:$O$116,15,0)),0,VLOOKUP($U$341,'TAR FIN'!$A$1:$O$116,15,0))</f>
        <v>496.15</v>
      </c>
      <c r="Y341" s="6">
        <f ca="1">('TUSD BE'!$AM$25+'TUSD BF'!$AM$25+'TUSD CVA'!$AM$25)*1</f>
        <v>75.407822945580492</v>
      </c>
      <c r="Z341" s="6">
        <f ca="1">('TUSD BE'!$AM$27+'TUSD BF'!$AM$27+'TUSD CVA'!$AM$27)*1</f>
        <v>137.4358543126599</v>
      </c>
      <c r="AA341" s="6">
        <f>('TE BE'!$AB$9+'TE BF'!$AB$9+'TE CVA'!$AB$9)*1</f>
        <v>510.04993331215127</v>
      </c>
      <c r="AB341" s="6">
        <f>$K$341*$V$341</f>
        <v>50183.999999999993</v>
      </c>
      <c r="AC341" s="6">
        <f>$M$341*$W$341</f>
        <v>2966.6522599999998</v>
      </c>
      <c r="AD341" s="6">
        <f>$O$341*$X$341</f>
        <v>16601.675149999999</v>
      </c>
      <c r="AE341" s="6">
        <f ca="1">$K$341*$Y$341</f>
        <v>57686.984553369075</v>
      </c>
      <c r="AF341" s="6">
        <f ca="1">$M$341*$Z$341</f>
        <v>4598.7411211559129</v>
      </c>
      <c r="AG341" s="6">
        <f>$O$341*$AA$341</f>
        <v>17066.780818557894</v>
      </c>
    </row>
    <row r="342" spans="1:33" ht="11.25" customHeight="1" x14ac:dyDescent="0.25">
      <c r="A342" s="4" t="s">
        <v>28</v>
      </c>
      <c r="B342" s="4" t="s">
        <v>41</v>
      </c>
      <c r="C342" s="4" t="s">
        <v>40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44562</v>
      </c>
      <c r="J342" s="6">
        <v>48</v>
      </c>
      <c r="K342" s="6">
        <v>48</v>
      </c>
      <c r="L342" s="6">
        <v>1.804</v>
      </c>
      <c r="M342" s="6">
        <v>1.804</v>
      </c>
      <c r="N342" s="6">
        <v>1.804</v>
      </c>
      <c r="O342" s="6">
        <v>1.804</v>
      </c>
      <c r="P342" s="6">
        <v>0</v>
      </c>
      <c r="Q342" s="4" t="s">
        <v>26</v>
      </c>
      <c r="R342" s="4">
        <v>0</v>
      </c>
      <c r="S342" s="6">
        <v>21</v>
      </c>
      <c r="T342" s="6">
        <v>23</v>
      </c>
      <c r="U342" s="6">
        <v>78</v>
      </c>
      <c r="V342" s="6">
        <f>IF(ISERROR(VLOOKUP($S$342,'TAR FIN'!$A$1:$O$116,15,0)),0,VLOOKUP($S$342,'TAR FIN'!$A$1:$O$116,15,0))</f>
        <v>65.599999999999994</v>
      </c>
      <c r="W342" s="6">
        <f>IF(ISERROR(VLOOKUP($T$342,'TAR FIN'!$A$1:$O$116,15,0)),0,VLOOKUP($T$342,'TAR FIN'!$A$1:$O$116,15,0))</f>
        <v>88.66</v>
      </c>
      <c r="X342" s="6">
        <f>IF(ISERROR(VLOOKUP($U$342,'TAR FIN'!$A$1:$O$116,15,0)),0,VLOOKUP($U$342,'TAR FIN'!$A$1:$O$116,15,0))</f>
        <v>496.15</v>
      </c>
      <c r="Y342" s="6">
        <f ca="1">('TUSD BE'!$AM$25+'TUSD BF'!$AM$25+'TUSD CVA'!$AM$25)*1</f>
        <v>75.407822945580492</v>
      </c>
      <c r="Z342" s="6">
        <f ca="1">('TUSD BE'!$AM$27+'TUSD BF'!$AM$27+'TUSD CVA'!$AM$27)*1</f>
        <v>137.4358543126599</v>
      </c>
      <c r="AA342" s="6">
        <f>('TE BE'!$AB$9+'TE BF'!$AB$9+'TE CVA'!$AB$9)*1</f>
        <v>510.04993331215127</v>
      </c>
      <c r="AB342" s="6">
        <f>$K$342*$V$342</f>
        <v>3148.7999999999997</v>
      </c>
      <c r="AC342" s="6">
        <f>$M$342*$W$342</f>
        <v>159.94264000000001</v>
      </c>
      <c r="AD342" s="6">
        <f>$O$342*$X$342</f>
        <v>895.05459999999994</v>
      </c>
      <c r="AE342" s="6">
        <f ca="1">$K$342*$Y$342</f>
        <v>3619.5755013878634</v>
      </c>
      <c r="AF342" s="6">
        <f ca="1">$M$342*$Z$342</f>
        <v>247.93428118003845</v>
      </c>
      <c r="AG342" s="6">
        <f>$O$342*$AA$342</f>
        <v>920.13007969512091</v>
      </c>
    </row>
    <row r="343" spans="1:33" ht="11.25" customHeight="1" x14ac:dyDescent="0.25">
      <c r="A343" s="4" t="s">
        <v>21</v>
      </c>
      <c r="B343" s="4" t="s">
        <v>41</v>
      </c>
      <c r="C343" s="4" t="s">
        <v>40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44593</v>
      </c>
      <c r="J343" s="6">
        <v>746</v>
      </c>
      <c r="K343" s="6">
        <v>746</v>
      </c>
      <c r="L343" s="6">
        <v>30.151</v>
      </c>
      <c r="M343" s="6">
        <v>30.151</v>
      </c>
      <c r="N343" s="6">
        <v>30.151</v>
      </c>
      <c r="O343" s="6">
        <v>30.151</v>
      </c>
      <c r="P343" s="6">
        <v>0</v>
      </c>
      <c r="Q343" s="4" t="s">
        <v>26</v>
      </c>
      <c r="R343" s="4">
        <v>0</v>
      </c>
      <c r="S343" s="6">
        <v>21</v>
      </c>
      <c r="T343" s="6">
        <v>23</v>
      </c>
      <c r="U343" s="6">
        <v>78</v>
      </c>
      <c r="V343" s="6">
        <f>IF(ISERROR(VLOOKUP($S$343,'TAR FIN'!$A$1:$O$116,15,0)),0,VLOOKUP($S$343,'TAR FIN'!$A$1:$O$116,15,0))</f>
        <v>65.599999999999994</v>
      </c>
      <c r="W343" s="6">
        <f>IF(ISERROR(VLOOKUP($T$343,'TAR FIN'!$A$1:$O$116,15,0)),0,VLOOKUP($T$343,'TAR FIN'!$A$1:$O$116,15,0))</f>
        <v>88.66</v>
      </c>
      <c r="X343" s="6">
        <f>IF(ISERROR(VLOOKUP($U$343,'TAR FIN'!$A$1:$O$116,15,0)),0,VLOOKUP($U$343,'TAR FIN'!$A$1:$O$116,15,0))</f>
        <v>496.15</v>
      </c>
      <c r="Y343" s="6">
        <f ca="1">('TUSD BE'!$AM$25+'TUSD BF'!$AM$25+'TUSD CVA'!$AM$25)*1</f>
        <v>75.407822945580492</v>
      </c>
      <c r="Z343" s="6">
        <f ca="1">('TUSD BE'!$AM$27+'TUSD BF'!$AM$27+'TUSD CVA'!$AM$27)*1</f>
        <v>137.4358543126599</v>
      </c>
      <c r="AA343" s="6">
        <f>('TE BE'!$AB$9+'TE BF'!$AB$9+'TE CVA'!$AB$9)*1</f>
        <v>510.04993331215127</v>
      </c>
      <c r="AB343" s="6">
        <f>$K$343*$V$343</f>
        <v>48937.599999999999</v>
      </c>
      <c r="AC343" s="6">
        <f>$M$343*$W$343</f>
        <v>2673.1876600000001</v>
      </c>
      <c r="AD343" s="6">
        <f>$O$343*$X$343</f>
        <v>14959.41865</v>
      </c>
      <c r="AE343" s="6">
        <f ca="1">$K$343*$Y$343</f>
        <v>56254.23591740305</v>
      </c>
      <c r="AF343" s="6">
        <f ca="1">$M$343*$Z$343</f>
        <v>4143.8284433810086</v>
      </c>
      <c r="AG343" s="6">
        <f>$O$343*$AA$343</f>
        <v>15378.515539294673</v>
      </c>
    </row>
    <row r="344" spans="1:33" ht="11.25" customHeight="1" x14ac:dyDescent="0.25">
      <c r="A344" s="4" t="s">
        <v>28</v>
      </c>
      <c r="B344" s="4" t="s">
        <v>41</v>
      </c>
      <c r="C344" s="4" t="s">
        <v>40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44593</v>
      </c>
      <c r="J344" s="6">
        <v>48</v>
      </c>
      <c r="K344" s="6">
        <v>48</v>
      </c>
      <c r="L344" s="6">
        <v>1.698</v>
      </c>
      <c r="M344" s="6">
        <v>1.698</v>
      </c>
      <c r="N344" s="6">
        <v>1.698</v>
      </c>
      <c r="O344" s="6">
        <v>1.698</v>
      </c>
      <c r="P344" s="6">
        <v>0</v>
      </c>
      <c r="Q344" s="4" t="s">
        <v>26</v>
      </c>
      <c r="R344" s="4">
        <v>0</v>
      </c>
      <c r="S344" s="6">
        <v>21</v>
      </c>
      <c r="T344" s="6">
        <v>23</v>
      </c>
      <c r="U344" s="6">
        <v>78</v>
      </c>
      <c r="V344" s="6">
        <f>IF(ISERROR(VLOOKUP($S$344,'TAR FIN'!$A$1:$O$116,15,0)),0,VLOOKUP($S$344,'TAR FIN'!$A$1:$O$116,15,0))</f>
        <v>65.599999999999994</v>
      </c>
      <c r="W344" s="6">
        <f>IF(ISERROR(VLOOKUP($T$344,'TAR FIN'!$A$1:$O$116,15,0)),0,VLOOKUP($T$344,'TAR FIN'!$A$1:$O$116,15,0))</f>
        <v>88.66</v>
      </c>
      <c r="X344" s="6">
        <f>IF(ISERROR(VLOOKUP($U$344,'TAR FIN'!$A$1:$O$116,15,0)),0,VLOOKUP($U$344,'TAR FIN'!$A$1:$O$116,15,0))</f>
        <v>496.15</v>
      </c>
      <c r="Y344" s="6">
        <f ca="1">('TUSD BE'!$AM$25+'TUSD BF'!$AM$25+'TUSD CVA'!$AM$25)*1</f>
        <v>75.407822945580492</v>
      </c>
      <c r="Z344" s="6">
        <f ca="1">('TUSD BE'!$AM$27+'TUSD BF'!$AM$27+'TUSD CVA'!$AM$27)*1</f>
        <v>137.4358543126599</v>
      </c>
      <c r="AA344" s="6">
        <f>('TE BE'!$AB$9+'TE BF'!$AB$9+'TE CVA'!$AB$9)*1</f>
        <v>510.04993331215127</v>
      </c>
      <c r="AB344" s="6">
        <f>$K$344*$V$344</f>
        <v>3148.7999999999997</v>
      </c>
      <c r="AC344" s="6">
        <f>$M$344*$W$344</f>
        <v>150.54468</v>
      </c>
      <c r="AD344" s="6">
        <f>$O$344*$X$344</f>
        <v>842.46269999999993</v>
      </c>
      <c r="AE344" s="6">
        <f ca="1">$K$344*$Y$344</f>
        <v>3619.5755013878634</v>
      </c>
      <c r="AF344" s="6">
        <f ca="1">$M$344*$Z$344</f>
        <v>233.3660806228965</v>
      </c>
      <c r="AG344" s="6">
        <f>$O$344*$AA$344</f>
        <v>866.06478676403287</v>
      </c>
    </row>
    <row r="345" spans="1:33" ht="11.25" customHeight="1" x14ac:dyDescent="0.25">
      <c r="A345" s="4" t="s">
        <v>21</v>
      </c>
      <c r="B345" s="4" t="s">
        <v>41</v>
      </c>
      <c r="C345" s="4" t="s">
        <v>40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44621</v>
      </c>
      <c r="J345" s="6">
        <v>762</v>
      </c>
      <c r="K345" s="6">
        <v>762</v>
      </c>
      <c r="L345" s="6">
        <v>33.936999999999998</v>
      </c>
      <c r="M345" s="6">
        <v>33.936999999999998</v>
      </c>
      <c r="N345" s="6">
        <v>33.936999999999998</v>
      </c>
      <c r="O345" s="6">
        <v>33.936999999999998</v>
      </c>
      <c r="P345" s="6">
        <v>0</v>
      </c>
      <c r="Q345" s="4" t="s">
        <v>26</v>
      </c>
      <c r="R345" s="4">
        <v>0</v>
      </c>
      <c r="S345" s="6">
        <v>21</v>
      </c>
      <c r="T345" s="6">
        <v>23</v>
      </c>
      <c r="U345" s="6">
        <v>78</v>
      </c>
      <c r="V345" s="6">
        <f>IF(ISERROR(VLOOKUP($S$345,'TAR FIN'!$A$1:$O$116,15,0)),0,VLOOKUP($S$345,'TAR FIN'!$A$1:$O$116,15,0))</f>
        <v>65.599999999999994</v>
      </c>
      <c r="W345" s="6">
        <f>IF(ISERROR(VLOOKUP($T$345,'TAR FIN'!$A$1:$O$116,15,0)),0,VLOOKUP($T$345,'TAR FIN'!$A$1:$O$116,15,0))</f>
        <v>88.66</v>
      </c>
      <c r="X345" s="6">
        <f>IF(ISERROR(VLOOKUP($U$345,'TAR FIN'!$A$1:$O$116,15,0)),0,VLOOKUP($U$345,'TAR FIN'!$A$1:$O$116,15,0))</f>
        <v>496.15</v>
      </c>
      <c r="Y345" s="6">
        <f ca="1">('TUSD BE'!$AM$25+'TUSD BF'!$AM$25+'TUSD CVA'!$AM$25)*1</f>
        <v>75.407822945580492</v>
      </c>
      <c r="Z345" s="6">
        <f ca="1">('TUSD BE'!$AM$27+'TUSD BF'!$AM$27+'TUSD CVA'!$AM$27)*1</f>
        <v>137.4358543126599</v>
      </c>
      <c r="AA345" s="6">
        <f>('TE BE'!$AB$9+'TE BF'!$AB$9+'TE CVA'!$AB$9)*1</f>
        <v>510.04993331215127</v>
      </c>
      <c r="AB345" s="6">
        <f>$K$345*$V$345</f>
        <v>49987.199999999997</v>
      </c>
      <c r="AC345" s="6">
        <f>$M$345*$W$345</f>
        <v>3008.8544199999997</v>
      </c>
      <c r="AD345" s="6">
        <f>$O$345*$X$345</f>
        <v>16837.842549999998</v>
      </c>
      <c r="AE345" s="6">
        <f ca="1">$K$345*$Y$345</f>
        <v>57460.761084532336</v>
      </c>
      <c r="AF345" s="6">
        <f ca="1">$M$345*$Z$345</f>
        <v>4664.1605878087385</v>
      </c>
      <c r="AG345" s="6">
        <f>$O$345*$AA$345</f>
        <v>17309.564586814475</v>
      </c>
    </row>
    <row r="346" spans="1:33" ht="11.25" customHeight="1" x14ac:dyDescent="0.25">
      <c r="A346" s="4" t="s">
        <v>27</v>
      </c>
      <c r="B346" s="4" t="s">
        <v>41</v>
      </c>
      <c r="C346" s="4" t="s">
        <v>40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44621</v>
      </c>
      <c r="J346" s="6">
        <v>2</v>
      </c>
      <c r="K346" s="6">
        <v>2</v>
      </c>
      <c r="L346" s="6">
        <v>-0.17499999999999999</v>
      </c>
      <c r="M346" s="6">
        <v>-0.17499999999999999</v>
      </c>
      <c r="N346" s="6">
        <v>-0.17499999999999999</v>
      </c>
      <c r="O346" s="6">
        <v>-0.17499999999999999</v>
      </c>
      <c r="P346" s="6">
        <v>0</v>
      </c>
      <c r="Q346" s="4" t="s">
        <v>26</v>
      </c>
      <c r="R346" s="4">
        <v>0</v>
      </c>
      <c r="S346" s="6">
        <v>21</v>
      </c>
      <c r="T346" s="6">
        <v>23</v>
      </c>
      <c r="U346" s="6">
        <v>78</v>
      </c>
      <c r="V346" s="6">
        <f>IF(ISERROR(VLOOKUP($S$346,'TAR FIN'!$A$1:$O$116,15,0)),0,VLOOKUP($S$346,'TAR FIN'!$A$1:$O$116,15,0))</f>
        <v>65.599999999999994</v>
      </c>
      <c r="W346" s="6">
        <f>IF(ISERROR(VLOOKUP($T$346,'TAR FIN'!$A$1:$O$116,15,0)),0,VLOOKUP($T$346,'TAR FIN'!$A$1:$O$116,15,0))</f>
        <v>88.66</v>
      </c>
      <c r="X346" s="6">
        <f>IF(ISERROR(VLOOKUP($U$346,'TAR FIN'!$A$1:$O$116,15,0)),0,VLOOKUP($U$346,'TAR FIN'!$A$1:$O$116,15,0))</f>
        <v>496.15</v>
      </c>
      <c r="Y346" s="6">
        <f ca="1">('TUSD BE'!$AM$25+'TUSD BF'!$AM$25+'TUSD CVA'!$AM$25)*1</f>
        <v>75.407822945580492</v>
      </c>
      <c r="Z346" s="6">
        <f ca="1">('TUSD BE'!$AM$27+'TUSD BF'!$AM$27+'TUSD CVA'!$AM$27)*1</f>
        <v>137.4358543126599</v>
      </c>
      <c r="AA346" s="6">
        <f>('TE BE'!$AB$9+'TE BF'!$AB$9+'TE CVA'!$AB$9)*1</f>
        <v>510.04993331215127</v>
      </c>
      <c r="AB346" s="6">
        <f>$K$346*$V$346</f>
        <v>131.19999999999999</v>
      </c>
      <c r="AC346" s="6">
        <f>$M$346*$W$346</f>
        <v>-15.515499999999998</v>
      </c>
      <c r="AD346" s="6">
        <f>$O$346*$X$346</f>
        <v>-86.826249999999987</v>
      </c>
      <c r="AE346" s="6">
        <f ca="1">$K$346*$Y$346</f>
        <v>150.81564589116098</v>
      </c>
      <c r="AF346" s="6">
        <f ca="1">$M$346*$Z$346</f>
        <v>-24.051274504715479</v>
      </c>
      <c r="AG346" s="6">
        <f>$O$346*$AA$346</f>
        <v>-89.258738329626468</v>
      </c>
    </row>
    <row r="347" spans="1:33" ht="11.25" customHeight="1" x14ac:dyDescent="0.25">
      <c r="A347" s="4" t="s">
        <v>28</v>
      </c>
      <c r="B347" s="4" t="s">
        <v>41</v>
      </c>
      <c r="C347" s="4" t="s">
        <v>40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44621</v>
      </c>
      <c r="J347" s="6">
        <v>48</v>
      </c>
      <c r="K347" s="6">
        <v>48</v>
      </c>
      <c r="L347" s="6">
        <v>1.554</v>
      </c>
      <c r="M347" s="6">
        <v>1.554</v>
      </c>
      <c r="N347" s="6">
        <v>1.554</v>
      </c>
      <c r="O347" s="6">
        <v>1.554</v>
      </c>
      <c r="P347" s="6">
        <v>0</v>
      </c>
      <c r="Q347" s="4" t="s">
        <v>26</v>
      </c>
      <c r="R347" s="4">
        <v>0</v>
      </c>
      <c r="S347" s="6">
        <v>21</v>
      </c>
      <c r="T347" s="6">
        <v>23</v>
      </c>
      <c r="U347" s="6">
        <v>78</v>
      </c>
      <c r="V347" s="6">
        <f>IF(ISERROR(VLOOKUP($S$347,'TAR FIN'!$A$1:$O$116,15,0)),0,VLOOKUP($S$347,'TAR FIN'!$A$1:$O$116,15,0))</f>
        <v>65.599999999999994</v>
      </c>
      <c r="W347" s="6">
        <f>IF(ISERROR(VLOOKUP($T$347,'TAR FIN'!$A$1:$O$116,15,0)),0,VLOOKUP($T$347,'TAR FIN'!$A$1:$O$116,15,0))</f>
        <v>88.66</v>
      </c>
      <c r="X347" s="6">
        <f>IF(ISERROR(VLOOKUP($U$347,'TAR FIN'!$A$1:$O$116,15,0)),0,VLOOKUP($U$347,'TAR FIN'!$A$1:$O$116,15,0))</f>
        <v>496.15</v>
      </c>
      <c r="Y347" s="6">
        <f ca="1">('TUSD BE'!$AM$25+'TUSD BF'!$AM$25+'TUSD CVA'!$AM$25)*1</f>
        <v>75.407822945580492</v>
      </c>
      <c r="Z347" s="6">
        <f ca="1">('TUSD BE'!$AM$27+'TUSD BF'!$AM$27+'TUSD CVA'!$AM$27)*1</f>
        <v>137.4358543126599</v>
      </c>
      <c r="AA347" s="6">
        <f>('TE BE'!$AB$9+'TE BF'!$AB$9+'TE CVA'!$AB$9)*1</f>
        <v>510.04993331215127</v>
      </c>
      <c r="AB347" s="6">
        <f>$K$347*$V$347</f>
        <v>3148.7999999999997</v>
      </c>
      <c r="AC347" s="6">
        <f>$M$347*$W$347</f>
        <v>137.77763999999999</v>
      </c>
      <c r="AD347" s="6">
        <f>$O$347*$X$347</f>
        <v>771.01710000000003</v>
      </c>
      <c r="AE347" s="6">
        <f ca="1">$K$347*$Y$347</f>
        <v>3619.5755013878634</v>
      </c>
      <c r="AF347" s="6">
        <f ca="1">$M$347*$Z$347</f>
        <v>213.57531760187348</v>
      </c>
      <c r="AG347" s="6">
        <f>$O$347*$AA$347</f>
        <v>792.61759636708314</v>
      </c>
    </row>
    <row r="348" spans="1:33" ht="11.25" customHeight="1" x14ac:dyDescent="0.25">
      <c r="A348" s="4" t="s">
        <v>21</v>
      </c>
      <c r="B348" s="4" t="s">
        <v>41</v>
      </c>
      <c r="C348" s="4" t="s">
        <v>40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44652</v>
      </c>
      <c r="J348" s="6">
        <v>1030</v>
      </c>
      <c r="K348" s="6">
        <v>1030</v>
      </c>
      <c r="L348" s="6">
        <v>43.087000000000003</v>
      </c>
      <c r="M348" s="6">
        <v>43.087000000000003</v>
      </c>
      <c r="N348" s="6">
        <v>43.087000000000003</v>
      </c>
      <c r="O348" s="6">
        <v>43.087000000000003</v>
      </c>
      <c r="P348" s="6">
        <v>0</v>
      </c>
      <c r="Q348" s="4" t="s">
        <v>26</v>
      </c>
      <c r="R348" s="4">
        <v>0</v>
      </c>
      <c r="S348" s="6">
        <v>21</v>
      </c>
      <c r="T348" s="6">
        <v>23</v>
      </c>
      <c r="U348" s="6">
        <v>78</v>
      </c>
      <c r="V348" s="6">
        <f>IF(ISERROR(VLOOKUP($S$348,'TAR FIN'!$A$1:$O$116,15,0)),0,VLOOKUP($S$348,'TAR FIN'!$A$1:$O$116,15,0))</f>
        <v>65.599999999999994</v>
      </c>
      <c r="W348" s="6">
        <f>IF(ISERROR(VLOOKUP($T$348,'TAR FIN'!$A$1:$O$116,15,0)),0,VLOOKUP($T$348,'TAR FIN'!$A$1:$O$116,15,0))</f>
        <v>88.66</v>
      </c>
      <c r="X348" s="6">
        <f>IF(ISERROR(VLOOKUP($U$348,'TAR FIN'!$A$1:$O$116,15,0)),0,VLOOKUP($U$348,'TAR FIN'!$A$1:$O$116,15,0))</f>
        <v>496.15</v>
      </c>
      <c r="Y348" s="6">
        <f ca="1">('TUSD BE'!$AM$25+'TUSD BF'!$AM$25+'TUSD CVA'!$AM$25)*1</f>
        <v>75.407822945580492</v>
      </c>
      <c r="Z348" s="6">
        <f ca="1">('TUSD BE'!$AM$27+'TUSD BF'!$AM$27+'TUSD CVA'!$AM$27)*1</f>
        <v>137.4358543126599</v>
      </c>
      <c r="AA348" s="6">
        <f>('TE BE'!$AB$9+'TE BF'!$AB$9+'TE CVA'!$AB$9)*1</f>
        <v>510.04993331215127</v>
      </c>
      <c r="AB348" s="6">
        <f>$K$348*$V$348</f>
        <v>67568</v>
      </c>
      <c r="AC348" s="6">
        <f>$M$348*$W$348</f>
        <v>3820.0934200000002</v>
      </c>
      <c r="AD348" s="6">
        <f>$O$348*$X$348</f>
        <v>21377.61505</v>
      </c>
      <c r="AE348" s="6">
        <f ca="1">$K$348*$Y$348</f>
        <v>77670.057633947901</v>
      </c>
      <c r="AF348" s="6">
        <f ca="1">$M$348*$Z$348</f>
        <v>5921.6986547695778</v>
      </c>
      <c r="AG348" s="6">
        <f>$O$348*$AA$348</f>
        <v>21976.521476620663</v>
      </c>
    </row>
    <row r="349" spans="1:33" ht="11.25" customHeight="1" x14ac:dyDescent="0.25">
      <c r="A349" s="4" t="s">
        <v>28</v>
      </c>
      <c r="B349" s="4" t="s">
        <v>41</v>
      </c>
      <c r="C349" s="4" t="s">
        <v>40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44652</v>
      </c>
      <c r="J349" s="6">
        <v>48</v>
      </c>
      <c r="K349" s="6">
        <v>48</v>
      </c>
      <c r="L349" s="6">
        <v>1.835</v>
      </c>
      <c r="M349" s="6">
        <v>1.835</v>
      </c>
      <c r="N349" s="6">
        <v>1.835</v>
      </c>
      <c r="O349" s="6">
        <v>1.835</v>
      </c>
      <c r="P349" s="6">
        <v>0</v>
      </c>
      <c r="Q349" s="4" t="s">
        <v>26</v>
      </c>
      <c r="R349" s="4">
        <v>0</v>
      </c>
      <c r="S349" s="6">
        <v>21</v>
      </c>
      <c r="T349" s="6">
        <v>23</v>
      </c>
      <c r="U349" s="6">
        <v>78</v>
      </c>
      <c r="V349" s="6">
        <f>IF(ISERROR(VLOOKUP($S$349,'TAR FIN'!$A$1:$O$116,15,0)),0,VLOOKUP($S$349,'TAR FIN'!$A$1:$O$116,15,0))</f>
        <v>65.599999999999994</v>
      </c>
      <c r="W349" s="6">
        <f>IF(ISERROR(VLOOKUP($T$349,'TAR FIN'!$A$1:$O$116,15,0)),0,VLOOKUP($T$349,'TAR FIN'!$A$1:$O$116,15,0))</f>
        <v>88.66</v>
      </c>
      <c r="X349" s="6">
        <f>IF(ISERROR(VLOOKUP($U$349,'TAR FIN'!$A$1:$O$116,15,0)),0,VLOOKUP($U$349,'TAR FIN'!$A$1:$O$116,15,0))</f>
        <v>496.15</v>
      </c>
      <c r="Y349" s="6">
        <f ca="1">('TUSD BE'!$AM$25+'TUSD BF'!$AM$25+'TUSD CVA'!$AM$25)*1</f>
        <v>75.407822945580492</v>
      </c>
      <c r="Z349" s="6">
        <f ca="1">('TUSD BE'!$AM$27+'TUSD BF'!$AM$27+'TUSD CVA'!$AM$27)*1</f>
        <v>137.4358543126599</v>
      </c>
      <c r="AA349" s="6">
        <f>('TE BE'!$AB$9+'TE BF'!$AB$9+'TE CVA'!$AB$9)*1</f>
        <v>510.04993331215127</v>
      </c>
      <c r="AB349" s="6">
        <f>$K$349*$V$349</f>
        <v>3148.7999999999997</v>
      </c>
      <c r="AC349" s="6">
        <f>$M$349*$W$349</f>
        <v>162.69109999999998</v>
      </c>
      <c r="AD349" s="6">
        <f>$O$349*$X$349</f>
        <v>910.43525</v>
      </c>
      <c r="AE349" s="6">
        <f ca="1">$K$349*$Y$349</f>
        <v>3619.5755013878634</v>
      </c>
      <c r="AF349" s="6">
        <f ca="1">$M$349*$Z$349</f>
        <v>252.19479266373091</v>
      </c>
      <c r="AG349" s="6">
        <f>$O$349*$AA$349</f>
        <v>935.94162762779752</v>
      </c>
    </row>
    <row r="350" spans="1:33" ht="11.25" customHeight="1" x14ac:dyDescent="0.25">
      <c r="A350" s="4" t="s">
        <v>58</v>
      </c>
      <c r="B350" s="4" t="s">
        <v>41</v>
      </c>
      <c r="C350" s="4" t="s">
        <v>40</v>
      </c>
      <c r="D350" s="4" t="s">
        <v>43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44682</v>
      </c>
      <c r="J350" s="6">
        <v>1030</v>
      </c>
      <c r="K350" s="6">
        <v>1030</v>
      </c>
      <c r="L350" s="6">
        <v>43.087000000000003</v>
      </c>
      <c r="M350" s="6">
        <v>43.087000000000003</v>
      </c>
      <c r="N350" s="6">
        <v>43.087000000000003</v>
      </c>
      <c r="O350" s="6">
        <v>43.087000000000003</v>
      </c>
      <c r="P350" s="6">
        <v>0</v>
      </c>
      <c r="Q350" s="4" t="s">
        <v>26</v>
      </c>
      <c r="R350" s="4">
        <v>0</v>
      </c>
      <c r="S350" s="6">
        <v>21</v>
      </c>
      <c r="T350" s="6">
        <v>23</v>
      </c>
      <c r="U350" s="6">
        <v>78</v>
      </c>
      <c r="V350" s="6">
        <f>IF(ISERROR(VLOOKUP($S$350,'TAR FIN'!$A$1:$O$116,15,0)),0,VLOOKUP($S$350,'TAR FIN'!$A$1:$O$116,15,0))</f>
        <v>65.599999999999994</v>
      </c>
      <c r="W350" s="6">
        <f>IF(ISERROR(VLOOKUP($T$350,'TAR FIN'!$A$1:$O$116,15,0)),0,VLOOKUP($T$350,'TAR FIN'!$A$1:$O$116,15,0))</f>
        <v>88.66</v>
      </c>
      <c r="X350" s="6">
        <f>IF(ISERROR(VLOOKUP($U$350,'TAR FIN'!$A$1:$O$116,15,0)),0,VLOOKUP($U$350,'TAR FIN'!$A$1:$O$116,15,0))</f>
        <v>496.15</v>
      </c>
      <c r="Y350" s="6">
        <f ca="1">('TUSD BE'!$AM$25+'TUSD BF'!$AM$25+'TUSD CVA'!$AM$25)*1</f>
        <v>75.407822945580492</v>
      </c>
      <c r="Z350" s="6">
        <f ca="1">('TUSD BE'!$AM$27+'TUSD BF'!$AM$27+'TUSD CVA'!$AM$27)*1</f>
        <v>137.4358543126599</v>
      </c>
      <c r="AA350" s="6">
        <f>('TE BE'!$AB$9+'TE BF'!$AB$9+'TE CVA'!$AB$9)*1</f>
        <v>510.04993331215127</v>
      </c>
      <c r="AB350" s="6">
        <f>$K$350*$V$350</f>
        <v>67568</v>
      </c>
      <c r="AC350" s="6">
        <f>$M$350*$W$350</f>
        <v>3820.0934200000002</v>
      </c>
      <c r="AD350" s="6">
        <f>$O$350*$X$350</f>
        <v>21377.61505</v>
      </c>
      <c r="AE350" s="6">
        <f ca="1">$K$350*$Y$350</f>
        <v>77670.057633947901</v>
      </c>
      <c r="AF350" s="6">
        <f ca="1">$M$350*$Z$350</f>
        <v>5921.6986547695778</v>
      </c>
      <c r="AG350" s="6">
        <f>$O$350*$AA$350</f>
        <v>21976.521476620663</v>
      </c>
    </row>
    <row r="351" spans="1:33" ht="11.25" customHeight="1" x14ac:dyDescent="0.25">
      <c r="A351" s="4" t="s">
        <v>58</v>
      </c>
      <c r="B351" s="4" t="s">
        <v>41</v>
      </c>
      <c r="C351" s="4" t="s">
        <v>40</v>
      </c>
      <c r="D351" s="4" t="s">
        <v>43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44682</v>
      </c>
      <c r="J351" s="6">
        <v>48</v>
      </c>
      <c r="K351" s="6">
        <v>48</v>
      </c>
      <c r="L351" s="6">
        <v>1.835</v>
      </c>
      <c r="M351" s="6">
        <v>1.835</v>
      </c>
      <c r="N351" s="6">
        <v>1.835</v>
      </c>
      <c r="O351" s="6">
        <v>1.835</v>
      </c>
      <c r="P351" s="6">
        <v>0</v>
      </c>
      <c r="Q351" s="4" t="s">
        <v>26</v>
      </c>
      <c r="R351" s="4">
        <v>0</v>
      </c>
      <c r="S351" s="6">
        <v>21</v>
      </c>
      <c r="T351" s="6">
        <v>23</v>
      </c>
      <c r="U351" s="6">
        <v>78</v>
      </c>
      <c r="V351" s="6">
        <f>IF(ISERROR(VLOOKUP($S$351,'TAR FIN'!$A$1:$O$116,15,0)),0,VLOOKUP($S$351,'TAR FIN'!$A$1:$O$116,15,0))</f>
        <v>65.599999999999994</v>
      </c>
      <c r="W351" s="6">
        <f>IF(ISERROR(VLOOKUP($T$351,'TAR FIN'!$A$1:$O$116,15,0)),0,VLOOKUP($T$351,'TAR FIN'!$A$1:$O$116,15,0))</f>
        <v>88.66</v>
      </c>
      <c r="X351" s="6">
        <f>IF(ISERROR(VLOOKUP($U$351,'TAR FIN'!$A$1:$O$116,15,0)),0,VLOOKUP($U$351,'TAR FIN'!$A$1:$O$116,15,0))</f>
        <v>496.15</v>
      </c>
      <c r="Y351" s="6">
        <f ca="1">('TUSD BE'!$AM$25+'TUSD BF'!$AM$25+'TUSD CVA'!$AM$25)*1</f>
        <v>75.407822945580492</v>
      </c>
      <c r="Z351" s="6">
        <f ca="1">('TUSD BE'!$AM$27+'TUSD BF'!$AM$27+'TUSD CVA'!$AM$27)*1</f>
        <v>137.4358543126599</v>
      </c>
      <c r="AA351" s="6">
        <f>('TE BE'!$AB$9+'TE BF'!$AB$9+'TE CVA'!$AB$9)*1</f>
        <v>510.04993331215127</v>
      </c>
      <c r="AB351" s="6">
        <f>$K$351*$V$351</f>
        <v>3148.7999999999997</v>
      </c>
      <c r="AC351" s="6">
        <f>$M$351*$W$351</f>
        <v>162.69109999999998</v>
      </c>
      <c r="AD351" s="6">
        <f>$O$351*$X$351</f>
        <v>910.43525</v>
      </c>
      <c r="AE351" s="6">
        <f ca="1">$K$351*$Y$351</f>
        <v>3619.5755013878634</v>
      </c>
      <c r="AF351" s="6">
        <f ca="1">$M$351*$Z$351</f>
        <v>252.19479266373091</v>
      </c>
      <c r="AG351" s="6">
        <f>$O$351*$AA$351</f>
        <v>935.94162762779752</v>
      </c>
    </row>
    <row r="352" spans="1:33" ht="11.25" customHeight="1" x14ac:dyDescent="0.25">
      <c r="A352" s="4" t="s">
        <v>21</v>
      </c>
      <c r="B352" s="4" t="s">
        <v>41</v>
      </c>
      <c r="C352" s="4" t="s">
        <v>40</v>
      </c>
      <c r="D352" s="4" t="s">
        <v>38</v>
      </c>
      <c r="E352" s="4" t="s">
        <v>25</v>
      </c>
      <c r="F352" s="4" t="s">
        <v>63</v>
      </c>
      <c r="G352" s="4" t="s">
        <v>25</v>
      </c>
      <c r="H352" s="4" t="s">
        <v>35</v>
      </c>
      <c r="I352" s="5">
        <v>44348</v>
      </c>
      <c r="J352" s="6">
        <v>17603</v>
      </c>
      <c r="K352" s="6">
        <v>13280.13394541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4" t="s">
        <v>60</v>
      </c>
      <c r="R352" s="4">
        <v>0</v>
      </c>
      <c r="S352" s="6">
        <v>22</v>
      </c>
      <c r="T352" s="6">
        <v>0</v>
      </c>
      <c r="U352" s="6">
        <v>0</v>
      </c>
      <c r="V352" s="6">
        <f>IF(ISERROR(VLOOKUP($S$352,'TAR FIN'!$A$1:$O$116,15,0)),0,VLOOKUP($S$352,'TAR FIN'!$A$1:$O$116,15,0))</f>
        <v>25.51</v>
      </c>
      <c r="W352" s="6">
        <f>IF(ISERROR(VLOOKUP($T$352,'TAR FIN'!$A$1:$O$116,15,0)),0,VLOOKUP($T$352,'TAR FIN'!$A$1:$O$116,15,0))</f>
        <v>0</v>
      </c>
      <c r="X352" s="6">
        <f>IF(ISERROR(VLOOKUP($U$352,'TAR FIN'!$A$1:$O$116,15,0)),0,VLOOKUP($U$352,'TAR FIN'!$A$1:$O$116,15,0))</f>
        <v>0</v>
      </c>
      <c r="Y352" s="6">
        <f ca="1">('TUSD BE'!$AM$26+'TUSD BF'!$AM$26+'TUSD CVA'!$AM$26)*1</f>
        <v>29.803266797877356</v>
      </c>
      <c r="Z352" s="6">
        <f ca="1">('TUSD BE'!$AM$27+'TUSD BF'!$AM$27+'TUSD CVA'!$AM$27)*1</f>
        <v>137.4358543126599</v>
      </c>
      <c r="AA352" s="6"/>
      <c r="AB352" s="6">
        <f>$K$352*$V$352</f>
        <v>338776.21694740909</v>
      </c>
      <c r="AC352" s="6">
        <f>$M$352*$W$352</f>
        <v>0</v>
      </c>
      <c r="AD352" s="6">
        <f>$O$352*$X$352</f>
        <v>0</v>
      </c>
      <c r="AE352" s="6">
        <f ca="1">$K$352*$Y$352</f>
        <v>395791.37508660188</v>
      </c>
      <c r="AF352" s="6">
        <f ca="1">$M$352*$Z$352</f>
        <v>0</v>
      </c>
      <c r="AG352" s="6">
        <f>$O$352*$AA$352</f>
        <v>0</v>
      </c>
    </row>
    <row r="353" spans="1:33" ht="11.25" customHeight="1" x14ac:dyDescent="0.25">
      <c r="A353" s="4" t="s">
        <v>21</v>
      </c>
      <c r="B353" s="4" t="s">
        <v>41</v>
      </c>
      <c r="C353" s="4" t="s">
        <v>40</v>
      </c>
      <c r="D353" s="4" t="s">
        <v>38</v>
      </c>
      <c r="E353" s="4" t="s">
        <v>25</v>
      </c>
      <c r="F353" s="4" t="s">
        <v>63</v>
      </c>
      <c r="G353" s="4" t="s">
        <v>25</v>
      </c>
      <c r="H353" s="4" t="s">
        <v>35</v>
      </c>
      <c r="I353" s="5">
        <v>44378</v>
      </c>
      <c r="J353" s="6">
        <v>17628</v>
      </c>
      <c r="K353" s="6">
        <v>12203.516247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4" t="s">
        <v>60</v>
      </c>
      <c r="R353" s="4">
        <v>0</v>
      </c>
      <c r="S353" s="6">
        <v>22</v>
      </c>
      <c r="T353" s="6">
        <v>0</v>
      </c>
      <c r="U353" s="6">
        <v>0</v>
      </c>
      <c r="V353" s="6">
        <f>IF(ISERROR(VLOOKUP($S$353,'TAR FIN'!$A$1:$O$116,15,0)),0,VLOOKUP($S$353,'TAR FIN'!$A$1:$O$116,15,0))</f>
        <v>25.51</v>
      </c>
      <c r="W353" s="6">
        <f>IF(ISERROR(VLOOKUP($T$353,'TAR FIN'!$A$1:$O$116,15,0)),0,VLOOKUP($T$353,'TAR FIN'!$A$1:$O$116,15,0))</f>
        <v>0</v>
      </c>
      <c r="X353" s="6">
        <f>IF(ISERROR(VLOOKUP($U$353,'TAR FIN'!$A$1:$O$116,15,0)),0,VLOOKUP($U$353,'TAR FIN'!$A$1:$O$116,15,0))</f>
        <v>0</v>
      </c>
      <c r="Y353" s="6">
        <f ca="1">('TUSD BE'!$AM$26+'TUSD BF'!$AM$26+'TUSD CVA'!$AM$26)*1</f>
        <v>29.803266797877356</v>
      </c>
      <c r="Z353" s="6">
        <f ca="1">('TUSD BE'!$AM$27+'TUSD BF'!$AM$27+'TUSD CVA'!$AM$27)*1</f>
        <v>137.4358543126599</v>
      </c>
      <c r="AA353" s="6"/>
      <c r="AB353" s="6">
        <f>$K$353*$V$353</f>
        <v>311311.69946097001</v>
      </c>
      <c r="AC353" s="6">
        <f>$M$353*$W$353</f>
        <v>0</v>
      </c>
      <c r="AD353" s="6">
        <f>$O$353*$X$353</f>
        <v>0</v>
      </c>
      <c r="AE353" s="6">
        <f ca="1">$K$353*$Y$353</f>
        <v>363704.65058157197</v>
      </c>
      <c r="AF353" s="6">
        <f ca="1">$M$353*$Z$353</f>
        <v>0</v>
      </c>
      <c r="AG353" s="6">
        <f>$O$353*$AA$353</f>
        <v>0</v>
      </c>
    </row>
    <row r="354" spans="1:33" ht="11.25" customHeight="1" x14ac:dyDescent="0.25">
      <c r="A354" s="4" t="s">
        <v>21</v>
      </c>
      <c r="B354" s="4" t="s">
        <v>41</v>
      </c>
      <c r="C354" s="4" t="s">
        <v>40</v>
      </c>
      <c r="D354" s="4" t="s">
        <v>38</v>
      </c>
      <c r="E354" s="4" t="s">
        <v>25</v>
      </c>
      <c r="F354" s="4" t="s">
        <v>63</v>
      </c>
      <c r="G354" s="4" t="s">
        <v>25</v>
      </c>
      <c r="H354" s="4" t="s">
        <v>35</v>
      </c>
      <c r="I354" s="5">
        <v>44409</v>
      </c>
      <c r="J354" s="6">
        <v>12595</v>
      </c>
      <c r="K354" s="6">
        <v>5669.6795540000003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4" t="s">
        <v>60</v>
      </c>
      <c r="R354" s="4">
        <v>0</v>
      </c>
      <c r="S354" s="6">
        <v>22</v>
      </c>
      <c r="T354" s="6">
        <v>0</v>
      </c>
      <c r="U354" s="6">
        <v>0</v>
      </c>
      <c r="V354" s="6">
        <f>IF(ISERROR(VLOOKUP($S$354,'TAR FIN'!$A$1:$O$116,15,0)),0,VLOOKUP($S$354,'TAR FIN'!$A$1:$O$116,15,0))</f>
        <v>25.51</v>
      </c>
      <c r="W354" s="6">
        <f>IF(ISERROR(VLOOKUP($T$354,'TAR FIN'!$A$1:$O$116,15,0)),0,VLOOKUP($T$354,'TAR FIN'!$A$1:$O$116,15,0))</f>
        <v>0</v>
      </c>
      <c r="X354" s="6">
        <f>IF(ISERROR(VLOOKUP($U$354,'TAR FIN'!$A$1:$O$116,15,0)),0,VLOOKUP($U$354,'TAR FIN'!$A$1:$O$116,15,0))</f>
        <v>0</v>
      </c>
      <c r="Y354" s="6">
        <f ca="1">('TUSD BE'!$AM$26+'TUSD BF'!$AM$26+'TUSD CVA'!$AM$26)*1</f>
        <v>29.803266797877356</v>
      </c>
      <c r="Z354" s="6">
        <f ca="1">('TUSD BE'!$AM$27+'TUSD BF'!$AM$27+'TUSD CVA'!$AM$27)*1</f>
        <v>137.4358543126599</v>
      </c>
      <c r="AA354" s="6"/>
      <c r="AB354" s="6">
        <f>$K$354*$V$354</f>
        <v>144633.52542254003</v>
      </c>
      <c r="AC354" s="6">
        <f>$M$354*$W$354</f>
        <v>0</v>
      </c>
      <c r="AD354" s="6">
        <f>$O$354*$X$354</f>
        <v>0</v>
      </c>
      <c r="AE354" s="6">
        <f ca="1">$K$354*$Y$354</f>
        <v>168974.97240633229</v>
      </c>
      <c r="AF354" s="6">
        <f ca="1">$M$354*$Z$354</f>
        <v>0</v>
      </c>
      <c r="AG354" s="6">
        <f>$O$354*$AA$354</f>
        <v>0</v>
      </c>
    </row>
    <row r="355" spans="1:33" ht="11.25" customHeight="1" x14ac:dyDescent="0.25">
      <c r="A355" s="4" t="s">
        <v>21</v>
      </c>
      <c r="B355" s="4" t="s">
        <v>41</v>
      </c>
      <c r="C355" s="4" t="s">
        <v>40</v>
      </c>
      <c r="D355" s="4" t="s">
        <v>38</v>
      </c>
      <c r="E355" s="4" t="s">
        <v>25</v>
      </c>
      <c r="F355" s="4" t="s">
        <v>63</v>
      </c>
      <c r="G355" s="4" t="s">
        <v>25</v>
      </c>
      <c r="H355" s="4" t="s">
        <v>35</v>
      </c>
      <c r="I355" s="5">
        <v>44440</v>
      </c>
      <c r="J355" s="6">
        <v>13569</v>
      </c>
      <c r="K355" s="6">
        <v>6160.3053751199996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60</v>
      </c>
      <c r="R355" s="4">
        <v>0</v>
      </c>
      <c r="S355" s="6">
        <v>22</v>
      </c>
      <c r="T355" s="6">
        <v>0</v>
      </c>
      <c r="U355" s="6">
        <v>0</v>
      </c>
      <c r="V355" s="6">
        <f>IF(ISERROR(VLOOKUP($S$355,'TAR FIN'!$A$1:$O$116,15,0)),0,VLOOKUP($S$355,'TAR FIN'!$A$1:$O$116,15,0))</f>
        <v>25.51</v>
      </c>
      <c r="W355" s="6">
        <f>IF(ISERROR(VLOOKUP($T$355,'TAR FIN'!$A$1:$O$116,15,0)),0,VLOOKUP($T$355,'TAR FIN'!$A$1:$O$116,15,0))</f>
        <v>0</v>
      </c>
      <c r="X355" s="6">
        <f>IF(ISERROR(VLOOKUP($U$355,'TAR FIN'!$A$1:$O$116,15,0)),0,VLOOKUP($U$355,'TAR FIN'!$A$1:$O$116,15,0))</f>
        <v>0</v>
      </c>
      <c r="Y355" s="6">
        <f ca="1">('TUSD BE'!$AM$26+'TUSD BF'!$AM$26+'TUSD CVA'!$AM$26)*1</f>
        <v>29.803266797877356</v>
      </c>
      <c r="Z355" s="6">
        <f ca="1">('TUSD BE'!$AM$27+'TUSD BF'!$AM$27+'TUSD CVA'!$AM$27)*1</f>
        <v>137.4358543126599</v>
      </c>
      <c r="AA355" s="6"/>
      <c r="AB355" s="6">
        <f>$K$355*$V$355</f>
        <v>157149.3901193112</v>
      </c>
      <c r="AC355" s="6">
        <f>$M$355*$W$355</f>
        <v>0</v>
      </c>
      <c r="AD355" s="6">
        <f>$O$355*$X$355</f>
        <v>0</v>
      </c>
      <c r="AE355" s="6">
        <f ca="1">$K$355*$Y$355</f>
        <v>183597.2246510993</v>
      </c>
      <c r="AF355" s="6">
        <f ca="1">$M$355*$Z$355</f>
        <v>0</v>
      </c>
      <c r="AG355" s="6">
        <f>$O$355*$AA$355</f>
        <v>0</v>
      </c>
    </row>
    <row r="356" spans="1:33" ht="11.25" customHeight="1" x14ac:dyDescent="0.25">
      <c r="A356" s="4" t="s">
        <v>21</v>
      </c>
      <c r="B356" s="4" t="s">
        <v>41</v>
      </c>
      <c r="C356" s="4" t="s">
        <v>40</v>
      </c>
      <c r="D356" s="4" t="s">
        <v>38</v>
      </c>
      <c r="E356" s="4" t="s">
        <v>25</v>
      </c>
      <c r="F356" s="4" t="s">
        <v>63</v>
      </c>
      <c r="G356" s="4" t="s">
        <v>25</v>
      </c>
      <c r="H356" s="4" t="s">
        <v>35</v>
      </c>
      <c r="I356" s="5">
        <v>44470</v>
      </c>
      <c r="J356" s="6">
        <v>13596</v>
      </c>
      <c r="K356" s="6">
        <v>6266.9120962799998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4" t="s">
        <v>60</v>
      </c>
      <c r="R356" s="4">
        <v>0</v>
      </c>
      <c r="S356" s="6">
        <v>22</v>
      </c>
      <c r="T356" s="6">
        <v>0</v>
      </c>
      <c r="U356" s="6">
        <v>0</v>
      </c>
      <c r="V356" s="6">
        <f>IF(ISERROR(VLOOKUP($S$356,'TAR FIN'!$A$1:$O$116,15,0)),0,VLOOKUP($S$356,'TAR FIN'!$A$1:$O$116,15,0))</f>
        <v>25.51</v>
      </c>
      <c r="W356" s="6">
        <f>IF(ISERROR(VLOOKUP($T$356,'TAR FIN'!$A$1:$O$116,15,0)),0,VLOOKUP($T$356,'TAR FIN'!$A$1:$O$116,15,0))</f>
        <v>0</v>
      </c>
      <c r="X356" s="6">
        <f>IF(ISERROR(VLOOKUP($U$356,'TAR FIN'!$A$1:$O$116,15,0)),0,VLOOKUP($U$356,'TAR FIN'!$A$1:$O$116,15,0))</f>
        <v>0</v>
      </c>
      <c r="Y356" s="6">
        <f ca="1">('TUSD BE'!$AM$26+'TUSD BF'!$AM$26+'TUSD CVA'!$AM$26)*1</f>
        <v>29.803266797877356</v>
      </c>
      <c r="Z356" s="6">
        <f ca="1">('TUSD BE'!$AM$27+'TUSD BF'!$AM$27+'TUSD CVA'!$AM$27)*1</f>
        <v>137.4358543126599</v>
      </c>
      <c r="AA356" s="6"/>
      <c r="AB356" s="6">
        <f>$K$356*$V$356</f>
        <v>159868.92757610281</v>
      </c>
      <c r="AC356" s="6">
        <f>$M$356*$W$356</f>
        <v>0</v>
      </c>
      <c r="AD356" s="6">
        <f>$O$356*$X$356</f>
        <v>0</v>
      </c>
      <c r="AE356" s="6">
        <f ca="1">$K$356*$Y$356</f>
        <v>186774.4532042777</v>
      </c>
      <c r="AF356" s="6">
        <f ca="1">$M$356*$Z$356</f>
        <v>0</v>
      </c>
      <c r="AG356" s="6">
        <f>$O$356*$AA$356</f>
        <v>0</v>
      </c>
    </row>
    <row r="357" spans="1:33" ht="11.25" customHeight="1" x14ac:dyDescent="0.25">
      <c r="A357" s="4" t="s">
        <v>21</v>
      </c>
      <c r="B357" s="4" t="s">
        <v>41</v>
      </c>
      <c r="C357" s="4" t="s">
        <v>40</v>
      </c>
      <c r="D357" s="4" t="s">
        <v>38</v>
      </c>
      <c r="E357" s="4" t="s">
        <v>25</v>
      </c>
      <c r="F357" s="4" t="s">
        <v>63</v>
      </c>
      <c r="G357" s="4" t="s">
        <v>25</v>
      </c>
      <c r="H357" s="4" t="s">
        <v>35</v>
      </c>
      <c r="I357" s="5">
        <v>44501</v>
      </c>
      <c r="J357" s="6">
        <v>13629</v>
      </c>
      <c r="K357" s="6">
        <v>6256.2838268699998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4" t="s">
        <v>60</v>
      </c>
      <c r="R357" s="4">
        <v>0</v>
      </c>
      <c r="S357" s="6">
        <v>22</v>
      </c>
      <c r="T357" s="6">
        <v>0</v>
      </c>
      <c r="U357" s="6">
        <v>0</v>
      </c>
      <c r="V357" s="6">
        <f>IF(ISERROR(VLOOKUP($S$357,'TAR FIN'!$A$1:$O$116,15,0)),0,VLOOKUP($S$357,'TAR FIN'!$A$1:$O$116,15,0))</f>
        <v>25.51</v>
      </c>
      <c r="W357" s="6">
        <f>IF(ISERROR(VLOOKUP($T$357,'TAR FIN'!$A$1:$O$116,15,0)),0,VLOOKUP($T$357,'TAR FIN'!$A$1:$O$116,15,0))</f>
        <v>0</v>
      </c>
      <c r="X357" s="6">
        <f>IF(ISERROR(VLOOKUP($U$357,'TAR FIN'!$A$1:$O$116,15,0)),0,VLOOKUP($U$357,'TAR FIN'!$A$1:$O$116,15,0))</f>
        <v>0</v>
      </c>
      <c r="Y357" s="6">
        <f ca="1">('TUSD BE'!$AM$26+'TUSD BF'!$AM$26+'TUSD CVA'!$AM$26)*1</f>
        <v>29.803266797877356</v>
      </c>
      <c r="Z357" s="6">
        <f ca="1">('TUSD BE'!$AM$27+'TUSD BF'!$AM$27+'TUSD CVA'!$AM$27)*1</f>
        <v>137.4358543126599</v>
      </c>
      <c r="AA357" s="6"/>
      <c r="AB357" s="6">
        <f>$K$357*$V$357</f>
        <v>159597.80042345371</v>
      </c>
      <c r="AC357" s="6">
        <f>$M$357*$W$357</f>
        <v>0</v>
      </c>
      <c r="AD357" s="6">
        <f>$O$357*$X$357</f>
        <v>0</v>
      </c>
      <c r="AE357" s="6">
        <f ca="1">$K$357*$Y$357</f>
        <v>186457.69605545176</v>
      </c>
      <c r="AF357" s="6">
        <f ca="1">$M$357*$Z$357</f>
        <v>0</v>
      </c>
      <c r="AG357" s="6">
        <f>$O$357*$AA$357</f>
        <v>0</v>
      </c>
    </row>
    <row r="358" spans="1:33" ht="11.25" customHeight="1" x14ac:dyDescent="0.25">
      <c r="A358" s="4" t="s">
        <v>21</v>
      </c>
      <c r="B358" s="4" t="s">
        <v>41</v>
      </c>
      <c r="C358" s="4" t="s">
        <v>40</v>
      </c>
      <c r="D358" s="4" t="s">
        <v>38</v>
      </c>
      <c r="E358" s="4" t="s">
        <v>25</v>
      </c>
      <c r="F358" s="4" t="s">
        <v>63</v>
      </c>
      <c r="G358" s="4" t="s">
        <v>25</v>
      </c>
      <c r="H358" s="4" t="s">
        <v>35</v>
      </c>
      <c r="I358" s="5">
        <v>44531</v>
      </c>
      <c r="J358" s="6">
        <v>13627</v>
      </c>
      <c r="K358" s="6">
        <v>6244.4569204999998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4" t="s">
        <v>60</v>
      </c>
      <c r="R358" s="4">
        <v>0</v>
      </c>
      <c r="S358" s="6">
        <v>22</v>
      </c>
      <c r="T358" s="6">
        <v>0</v>
      </c>
      <c r="U358" s="6">
        <v>0</v>
      </c>
      <c r="V358" s="6">
        <f>IF(ISERROR(VLOOKUP($S$358,'TAR FIN'!$A$1:$O$116,15,0)),0,VLOOKUP($S$358,'TAR FIN'!$A$1:$O$116,15,0))</f>
        <v>25.51</v>
      </c>
      <c r="W358" s="6">
        <f>IF(ISERROR(VLOOKUP($T$358,'TAR FIN'!$A$1:$O$116,15,0)),0,VLOOKUP($T$358,'TAR FIN'!$A$1:$O$116,15,0))</f>
        <v>0</v>
      </c>
      <c r="X358" s="6">
        <f>IF(ISERROR(VLOOKUP($U$358,'TAR FIN'!$A$1:$O$116,15,0)),0,VLOOKUP($U$358,'TAR FIN'!$A$1:$O$116,15,0))</f>
        <v>0</v>
      </c>
      <c r="Y358" s="6">
        <f ca="1">('TUSD BE'!$AM$26+'TUSD BF'!$AM$26+'TUSD CVA'!$AM$26)*1</f>
        <v>29.803266797877356</v>
      </c>
      <c r="Z358" s="6">
        <f ca="1">('TUSD BE'!$AM$27+'TUSD BF'!$AM$27+'TUSD CVA'!$AM$27)*1</f>
        <v>137.4358543126599</v>
      </c>
      <c r="AA358" s="6"/>
      <c r="AB358" s="6">
        <f>$K$358*$V$358</f>
        <v>159296.096041955</v>
      </c>
      <c r="AC358" s="6">
        <f>$M$358*$W$358</f>
        <v>0</v>
      </c>
      <c r="AD358" s="6">
        <f>$O$358*$X$358</f>
        <v>0</v>
      </c>
      <c r="AE358" s="6">
        <f ca="1">$K$358*$Y$358</f>
        <v>186105.21560951314</v>
      </c>
      <c r="AF358" s="6">
        <f ca="1">$M$358*$Z$358</f>
        <v>0</v>
      </c>
      <c r="AG358" s="6">
        <f>$O$358*$AA$358</f>
        <v>0</v>
      </c>
    </row>
    <row r="359" spans="1:33" ht="11.25" customHeight="1" x14ac:dyDescent="0.25">
      <c r="A359" s="4" t="s">
        <v>21</v>
      </c>
      <c r="B359" s="4" t="s">
        <v>41</v>
      </c>
      <c r="C359" s="4" t="s">
        <v>40</v>
      </c>
      <c r="D359" s="4" t="s">
        <v>38</v>
      </c>
      <c r="E359" s="4" t="s">
        <v>25</v>
      </c>
      <c r="F359" s="4" t="s">
        <v>63</v>
      </c>
      <c r="G359" s="4" t="s">
        <v>25</v>
      </c>
      <c r="H359" s="4" t="s">
        <v>35</v>
      </c>
      <c r="I359" s="5">
        <v>44562</v>
      </c>
      <c r="J359" s="6">
        <v>13958</v>
      </c>
      <c r="K359" s="6">
        <v>6426.2320736600004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4" t="s">
        <v>60</v>
      </c>
      <c r="R359" s="4">
        <v>0</v>
      </c>
      <c r="S359" s="6">
        <v>22</v>
      </c>
      <c r="T359" s="6">
        <v>0</v>
      </c>
      <c r="U359" s="6">
        <v>0</v>
      </c>
      <c r="V359" s="6">
        <f>IF(ISERROR(VLOOKUP($S$359,'TAR FIN'!$A$1:$O$116,15,0)),0,VLOOKUP($S$359,'TAR FIN'!$A$1:$O$116,15,0))</f>
        <v>25.51</v>
      </c>
      <c r="W359" s="6">
        <f>IF(ISERROR(VLOOKUP($T$359,'TAR FIN'!$A$1:$O$116,15,0)),0,VLOOKUP($T$359,'TAR FIN'!$A$1:$O$116,15,0))</f>
        <v>0</v>
      </c>
      <c r="X359" s="6">
        <f>IF(ISERROR(VLOOKUP($U$359,'TAR FIN'!$A$1:$O$116,15,0)),0,VLOOKUP($U$359,'TAR FIN'!$A$1:$O$116,15,0))</f>
        <v>0</v>
      </c>
      <c r="Y359" s="6">
        <f ca="1">('TUSD BE'!$AM$26+'TUSD BF'!$AM$26+'TUSD CVA'!$AM$26)*1</f>
        <v>29.803266797877356</v>
      </c>
      <c r="Z359" s="6">
        <f ca="1">('TUSD BE'!$AM$27+'TUSD BF'!$AM$27+'TUSD CVA'!$AM$27)*1</f>
        <v>137.4358543126599</v>
      </c>
      <c r="AA359" s="6"/>
      <c r="AB359" s="6">
        <f>$K$359*$V$359</f>
        <v>163933.18019906661</v>
      </c>
      <c r="AC359" s="6">
        <f>$M$359*$W$359</f>
        <v>0</v>
      </c>
      <c r="AD359" s="6">
        <f>$O$359*$X$359</f>
        <v>0</v>
      </c>
      <c r="AE359" s="6">
        <f ca="1">$K$359*$Y$359</f>
        <v>191522.70899636563</v>
      </c>
      <c r="AF359" s="6">
        <f ca="1">$M$359*$Z$359</f>
        <v>0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41</v>
      </c>
      <c r="C360" s="4" t="s">
        <v>40</v>
      </c>
      <c r="D360" s="4" t="s">
        <v>38</v>
      </c>
      <c r="E360" s="4" t="s">
        <v>25</v>
      </c>
      <c r="F360" s="4" t="s">
        <v>63</v>
      </c>
      <c r="G360" s="4" t="s">
        <v>25</v>
      </c>
      <c r="H360" s="4" t="s">
        <v>35</v>
      </c>
      <c r="I360" s="5">
        <v>44593</v>
      </c>
      <c r="J360" s="6">
        <v>13082</v>
      </c>
      <c r="K360" s="6">
        <v>5997.7436551800001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4" t="s">
        <v>60</v>
      </c>
      <c r="R360" s="4">
        <v>0</v>
      </c>
      <c r="S360" s="6">
        <v>22</v>
      </c>
      <c r="T360" s="6">
        <v>0</v>
      </c>
      <c r="U360" s="6">
        <v>0</v>
      </c>
      <c r="V360" s="6">
        <f>IF(ISERROR(VLOOKUP($S$360,'TAR FIN'!$A$1:$O$116,15,0)),0,VLOOKUP($S$360,'TAR FIN'!$A$1:$O$116,15,0))</f>
        <v>25.51</v>
      </c>
      <c r="W360" s="6">
        <f>IF(ISERROR(VLOOKUP($T$360,'TAR FIN'!$A$1:$O$116,15,0)),0,VLOOKUP($T$360,'TAR FIN'!$A$1:$O$116,15,0))</f>
        <v>0</v>
      </c>
      <c r="X360" s="6">
        <f>IF(ISERROR(VLOOKUP($U$360,'TAR FIN'!$A$1:$O$116,15,0)),0,VLOOKUP($U$360,'TAR FIN'!$A$1:$O$116,15,0))</f>
        <v>0</v>
      </c>
      <c r="Y360" s="6">
        <f ca="1">('TUSD BE'!$AM$26+'TUSD BF'!$AM$26+'TUSD CVA'!$AM$26)*1</f>
        <v>29.803266797877356</v>
      </c>
      <c r="Z360" s="6">
        <f ca="1">('TUSD BE'!$AM$27+'TUSD BF'!$AM$27+'TUSD CVA'!$AM$27)*1</f>
        <v>137.4358543126599</v>
      </c>
      <c r="AA360" s="6"/>
      <c r="AB360" s="6">
        <f>$K$360*$V$360</f>
        <v>153002.44064364181</v>
      </c>
      <c r="AC360" s="6">
        <f>$M$360*$W$360</f>
        <v>0</v>
      </c>
      <c r="AD360" s="6">
        <f>$O$360*$X$360</f>
        <v>0</v>
      </c>
      <c r="AE360" s="6">
        <f ca="1">$K$360*$Y$360</f>
        <v>178752.35434060567</v>
      </c>
      <c r="AF360" s="6">
        <f ca="1">$M$360*$Z$360</f>
        <v>0</v>
      </c>
      <c r="AG360" s="6">
        <f>$O$360*$AA$360</f>
        <v>0</v>
      </c>
    </row>
    <row r="361" spans="1:33" ht="11.25" customHeight="1" x14ac:dyDescent="0.25">
      <c r="A361" s="4" t="s">
        <v>21</v>
      </c>
      <c r="B361" s="4" t="s">
        <v>41</v>
      </c>
      <c r="C361" s="4" t="s">
        <v>40</v>
      </c>
      <c r="D361" s="4" t="s">
        <v>38</v>
      </c>
      <c r="E361" s="4" t="s">
        <v>25</v>
      </c>
      <c r="F361" s="4" t="s">
        <v>63</v>
      </c>
      <c r="G361" s="4" t="s">
        <v>25</v>
      </c>
      <c r="H361" s="4" t="s">
        <v>35</v>
      </c>
      <c r="I361" s="5">
        <v>44621</v>
      </c>
      <c r="J361" s="6">
        <v>13062</v>
      </c>
      <c r="K361" s="6">
        <v>5945.0991570599999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4" t="s">
        <v>60</v>
      </c>
      <c r="R361" s="4">
        <v>0</v>
      </c>
      <c r="S361" s="6">
        <v>22</v>
      </c>
      <c r="T361" s="6">
        <v>0</v>
      </c>
      <c r="U361" s="6">
        <v>0</v>
      </c>
      <c r="V361" s="6">
        <f>IF(ISERROR(VLOOKUP($S$361,'TAR FIN'!$A$1:$O$116,15,0)),0,VLOOKUP($S$361,'TAR FIN'!$A$1:$O$116,15,0))</f>
        <v>25.51</v>
      </c>
      <c r="W361" s="6">
        <f>IF(ISERROR(VLOOKUP($T$361,'TAR FIN'!$A$1:$O$116,15,0)),0,VLOOKUP($T$361,'TAR FIN'!$A$1:$O$116,15,0))</f>
        <v>0</v>
      </c>
      <c r="X361" s="6">
        <f>IF(ISERROR(VLOOKUP($U$361,'TAR FIN'!$A$1:$O$116,15,0)),0,VLOOKUP($U$361,'TAR FIN'!$A$1:$O$116,15,0))</f>
        <v>0</v>
      </c>
      <c r="Y361" s="6">
        <f ca="1">('TUSD BE'!$AM$26+'TUSD BF'!$AM$26+'TUSD CVA'!$AM$26)*1</f>
        <v>29.803266797877356</v>
      </c>
      <c r="Z361" s="6">
        <f ca="1">('TUSD BE'!$AM$27+'TUSD BF'!$AM$27+'TUSD CVA'!$AM$27)*1</f>
        <v>137.4358543126599</v>
      </c>
      <c r="AA361" s="6"/>
      <c r="AB361" s="6">
        <f>$K$361*$V$361</f>
        <v>151659.4794966006</v>
      </c>
      <c r="AC361" s="6">
        <f>$M$361*$W$361</f>
        <v>0</v>
      </c>
      <c r="AD361" s="6">
        <f>$O$361*$X$361</f>
        <v>0</v>
      </c>
      <c r="AE361" s="6">
        <f ca="1">$K$361*$Y$361</f>
        <v>177183.37631769496</v>
      </c>
      <c r="AF361" s="6">
        <f ca="1">$M$361*$Z$361</f>
        <v>0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41</v>
      </c>
      <c r="C362" s="4" t="s">
        <v>40</v>
      </c>
      <c r="D362" s="4" t="s">
        <v>38</v>
      </c>
      <c r="E362" s="4" t="s">
        <v>25</v>
      </c>
      <c r="F362" s="4" t="s">
        <v>63</v>
      </c>
      <c r="G362" s="4" t="s">
        <v>25</v>
      </c>
      <c r="H362" s="4" t="s">
        <v>35</v>
      </c>
      <c r="I362" s="5">
        <v>44652</v>
      </c>
      <c r="J362" s="6">
        <v>13066</v>
      </c>
      <c r="K362" s="6">
        <v>5928.49876614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4" t="s">
        <v>60</v>
      </c>
      <c r="R362" s="4">
        <v>0</v>
      </c>
      <c r="S362" s="6">
        <v>22</v>
      </c>
      <c r="T362" s="6">
        <v>0</v>
      </c>
      <c r="U362" s="6">
        <v>0</v>
      </c>
      <c r="V362" s="6">
        <f>IF(ISERROR(VLOOKUP($S$362,'TAR FIN'!$A$1:$O$116,15,0)),0,VLOOKUP($S$362,'TAR FIN'!$A$1:$O$116,15,0))</f>
        <v>25.51</v>
      </c>
      <c r="W362" s="6">
        <f>IF(ISERROR(VLOOKUP($T$362,'TAR FIN'!$A$1:$O$116,15,0)),0,VLOOKUP($T$362,'TAR FIN'!$A$1:$O$116,15,0))</f>
        <v>0</v>
      </c>
      <c r="X362" s="6">
        <f>IF(ISERROR(VLOOKUP($U$362,'TAR FIN'!$A$1:$O$116,15,0)),0,VLOOKUP($U$362,'TAR FIN'!$A$1:$O$116,15,0))</f>
        <v>0</v>
      </c>
      <c r="Y362" s="6">
        <f ca="1">('TUSD BE'!$AM$26+'TUSD BF'!$AM$26+'TUSD CVA'!$AM$26)*1</f>
        <v>29.803266797877356</v>
      </c>
      <c r="Z362" s="6">
        <f ca="1">('TUSD BE'!$AM$27+'TUSD BF'!$AM$27+'TUSD CVA'!$AM$27)*1</f>
        <v>137.4358543126599</v>
      </c>
      <c r="AA362" s="6"/>
      <c r="AB362" s="6">
        <f>$K$362*$V$362</f>
        <v>151236.0035242314</v>
      </c>
      <c r="AC362" s="6">
        <f>$M$362*$W$362</f>
        <v>0</v>
      </c>
      <c r="AD362" s="6">
        <f>$O$362*$X$362</f>
        <v>0</v>
      </c>
      <c r="AE362" s="6">
        <f ca="1">$K$362*$Y$362</f>
        <v>176688.63043815712</v>
      </c>
      <c r="AF362" s="6">
        <f ca="1">$M$362*$Z$362</f>
        <v>0</v>
      </c>
      <c r="AG362" s="6">
        <f>$O$362*$AA$362</f>
        <v>0</v>
      </c>
    </row>
    <row r="363" spans="1:33" ht="11.25" customHeight="1" x14ac:dyDescent="0.25">
      <c r="A363" s="4" t="s">
        <v>58</v>
      </c>
      <c r="B363" s="4" t="s">
        <v>41</v>
      </c>
      <c r="C363" s="4" t="s">
        <v>40</v>
      </c>
      <c r="D363" s="4" t="s">
        <v>38</v>
      </c>
      <c r="E363" s="4" t="s">
        <v>25</v>
      </c>
      <c r="F363" s="4" t="s">
        <v>63</v>
      </c>
      <c r="G363" s="4" t="s">
        <v>25</v>
      </c>
      <c r="H363" s="4" t="s">
        <v>35</v>
      </c>
      <c r="I363" s="5">
        <v>44682</v>
      </c>
      <c r="J363" s="6">
        <v>13066</v>
      </c>
      <c r="K363" s="6">
        <v>5928.49876614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4" t="s">
        <v>60</v>
      </c>
      <c r="R363" s="4">
        <v>0</v>
      </c>
      <c r="S363" s="6">
        <v>22</v>
      </c>
      <c r="T363" s="6">
        <v>0</v>
      </c>
      <c r="U363" s="6">
        <v>0</v>
      </c>
      <c r="V363" s="6">
        <f>IF(ISERROR(VLOOKUP($S$363,'TAR FIN'!$A$1:$O$116,15,0)),0,VLOOKUP($S$363,'TAR FIN'!$A$1:$O$116,15,0))</f>
        <v>25.51</v>
      </c>
      <c r="W363" s="6">
        <f>IF(ISERROR(VLOOKUP($T$363,'TAR FIN'!$A$1:$O$116,15,0)),0,VLOOKUP($T$363,'TAR FIN'!$A$1:$O$116,15,0))</f>
        <v>0</v>
      </c>
      <c r="X363" s="6">
        <f>IF(ISERROR(VLOOKUP($U$363,'TAR FIN'!$A$1:$O$116,15,0)),0,VLOOKUP($U$363,'TAR FIN'!$A$1:$O$116,15,0))</f>
        <v>0</v>
      </c>
      <c r="Y363" s="6">
        <f ca="1">('TUSD BE'!$AM$26+'TUSD BF'!$AM$26+'TUSD CVA'!$AM$26)*1</f>
        <v>29.803266797877356</v>
      </c>
      <c r="Z363" s="6">
        <f ca="1">('TUSD BE'!$AM$27+'TUSD BF'!$AM$27+'TUSD CVA'!$AM$27)*1</f>
        <v>137.4358543126599</v>
      </c>
      <c r="AA363" s="6"/>
      <c r="AB363" s="6">
        <f>$K$363*$V$363</f>
        <v>151236.0035242314</v>
      </c>
      <c r="AC363" s="6">
        <f>$M$363*$W$363</f>
        <v>0</v>
      </c>
      <c r="AD363" s="6">
        <f>$O$363*$X$363</f>
        <v>0</v>
      </c>
      <c r="AE363" s="6">
        <f ca="1">$K$363*$Y$363</f>
        <v>176688.63043815712</v>
      </c>
      <c r="AF363" s="6">
        <f ca="1">$M$363*$Z$363</f>
        <v>0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41</v>
      </c>
      <c r="C364" s="4" t="s">
        <v>40</v>
      </c>
      <c r="D364" s="4" t="s">
        <v>38</v>
      </c>
      <c r="E364" s="4" t="s">
        <v>25</v>
      </c>
      <c r="F364" s="4" t="s">
        <v>63</v>
      </c>
      <c r="G364" s="4" t="s">
        <v>25</v>
      </c>
      <c r="H364" s="4" t="s">
        <v>25</v>
      </c>
      <c r="I364" s="5">
        <v>44348</v>
      </c>
      <c r="J364" s="6">
        <v>0</v>
      </c>
      <c r="K364" s="6">
        <v>0</v>
      </c>
      <c r="L364" s="6">
        <v>6518.7150000000001</v>
      </c>
      <c r="M364" s="6">
        <v>6518.7150000000001</v>
      </c>
      <c r="N364" s="6">
        <v>0</v>
      </c>
      <c r="O364" s="6">
        <v>0</v>
      </c>
      <c r="P364" s="6">
        <v>17</v>
      </c>
      <c r="Q364" s="4" t="s">
        <v>60</v>
      </c>
      <c r="R364" s="4">
        <v>0</v>
      </c>
      <c r="S364" s="6">
        <v>0</v>
      </c>
      <c r="T364" s="6">
        <v>23</v>
      </c>
      <c r="U364" s="6">
        <v>0</v>
      </c>
      <c r="V364" s="6">
        <f>IF(ISERROR(VLOOKUP($S$364,'TAR FIN'!$A$1:$O$116,15,0)),0,VLOOKUP($S$364,'TAR FIN'!$A$1:$O$116,15,0))</f>
        <v>0</v>
      </c>
      <c r="W364" s="6">
        <f>IF(ISERROR(VLOOKUP($T$364,'TAR FIN'!$A$1:$O$116,15,0)),0,VLOOKUP($T$364,'TAR FIN'!$A$1:$O$116,15,0))</f>
        <v>88.66</v>
      </c>
      <c r="X364" s="6">
        <f>IF(ISERROR(VLOOKUP($U$364,'TAR FIN'!$A$1:$O$116,15,0)),0,VLOOKUP($U$364,'TAR FIN'!$A$1:$O$116,15,0))</f>
        <v>0</v>
      </c>
      <c r="Y364" s="6"/>
      <c r="Z364" s="6">
        <f ca="1">('TUSD BE'!$AM$27+'TUSD BF'!$AM$27+'TUSD CVA'!$AM$27)*1</f>
        <v>137.4358543126599</v>
      </c>
      <c r="AA364" s="6"/>
      <c r="AB364" s="6">
        <f>$K$364*$V$364</f>
        <v>0</v>
      </c>
      <c r="AC364" s="6">
        <f>$M$364*$W$364</f>
        <v>577949.27189999993</v>
      </c>
      <c r="AD364" s="6">
        <f>$O$364*$X$364</f>
        <v>0</v>
      </c>
      <c r="AE364" s="6">
        <f>$K$364*$Y$364</f>
        <v>0</v>
      </c>
      <c r="AF364" s="6">
        <f ca="1">$M$364*$Z$364</f>
        <v>895905.16504575079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41</v>
      </c>
      <c r="C365" s="4" t="s">
        <v>40</v>
      </c>
      <c r="D365" s="4" t="s">
        <v>38</v>
      </c>
      <c r="E365" s="4" t="s">
        <v>25</v>
      </c>
      <c r="F365" s="4" t="s">
        <v>63</v>
      </c>
      <c r="G365" s="4" t="s">
        <v>25</v>
      </c>
      <c r="H365" s="4" t="s">
        <v>25</v>
      </c>
      <c r="I365" s="5">
        <v>44378</v>
      </c>
      <c r="J365" s="6">
        <v>0</v>
      </c>
      <c r="K365" s="6">
        <v>0</v>
      </c>
      <c r="L365" s="6">
        <v>6026.5969999999998</v>
      </c>
      <c r="M365" s="6">
        <v>6026.5969999999998</v>
      </c>
      <c r="N365" s="6">
        <v>0</v>
      </c>
      <c r="O365" s="6">
        <v>0</v>
      </c>
      <c r="P365" s="6">
        <v>17</v>
      </c>
      <c r="Q365" s="4" t="s">
        <v>60</v>
      </c>
      <c r="R365" s="4">
        <v>0</v>
      </c>
      <c r="S365" s="6">
        <v>0</v>
      </c>
      <c r="T365" s="6">
        <v>23</v>
      </c>
      <c r="U365" s="6">
        <v>0</v>
      </c>
      <c r="V365" s="6">
        <f>IF(ISERROR(VLOOKUP($S$365,'TAR FIN'!$A$1:$O$116,15,0)),0,VLOOKUP($S$365,'TAR FIN'!$A$1:$O$116,15,0))</f>
        <v>0</v>
      </c>
      <c r="W365" s="6">
        <f>IF(ISERROR(VLOOKUP($T$365,'TAR FIN'!$A$1:$O$116,15,0)),0,VLOOKUP($T$365,'TAR FIN'!$A$1:$O$116,15,0))</f>
        <v>88.66</v>
      </c>
      <c r="X365" s="6">
        <f>IF(ISERROR(VLOOKUP($U$365,'TAR FIN'!$A$1:$O$116,15,0)),0,VLOOKUP($U$365,'TAR FIN'!$A$1:$O$116,15,0))</f>
        <v>0</v>
      </c>
      <c r="Y365" s="6"/>
      <c r="Z365" s="6">
        <f ca="1">('TUSD BE'!$AM$27+'TUSD BF'!$AM$27+'TUSD CVA'!$AM$27)*1</f>
        <v>137.4358543126599</v>
      </c>
      <c r="AA365" s="6"/>
      <c r="AB365" s="6">
        <f>$K$365*$V$365</f>
        <v>0</v>
      </c>
      <c r="AC365" s="6">
        <f>$M$365*$W$365</f>
        <v>534318.09002</v>
      </c>
      <c r="AD365" s="6">
        <f>$O$365*$X$365</f>
        <v>0</v>
      </c>
      <c r="AE365" s="6">
        <f>$K$365*$Y$365</f>
        <v>0</v>
      </c>
      <c r="AF365" s="6">
        <f ca="1">$M$365*$Z$365</f>
        <v>828270.50729311316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41</v>
      </c>
      <c r="C366" s="4" t="s">
        <v>40</v>
      </c>
      <c r="D366" s="4" t="s">
        <v>38</v>
      </c>
      <c r="E366" s="4" t="s">
        <v>25</v>
      </c>
      <c r="F366" s="4" t="s">
        <v>63</v>
      </c>
      <c r="G366" s="4" t="s">
        <v>25</v>
      </c>
      <c r="H366" s="4" t="s">
        <v>25</v>
      </c>
      <c r="I366" s="5">
        <v>44409</v>
      </c>
      <c r="J366" s="6">
        <v>0</v>
      </c>
      <c r="K366" s="6">
        <v>0</v>
      </c>
      <c r="L366" s="6">
        <v>4247.6530000000002</v>
      </c>
      <c r="M366" s="6">
        <v>4247.6530000000002</v>
      </c>
      <c r="N366" s="6">
        <v>0</v>
      </c>
      <c r="O366" s="6">
        <v>0</v>
      </c>
      <c r="P366" s="6">
        <v>18</v>
      </c>
      <c r="Q366" s="4" t="s">
        <v>60</v>
      </c>
      <c r="R366" s="4">
        <v>0</v>
      </c>
      <c r="S366" s="6">
        <v>0</v>
      </c>
      <c r="T366" s="6">
        <v>23</v>
      </c>
      <c r="U366" s="6">
        <v>0</v>
      </c>
      <c r="V366" s="6">
        <f>IF(ISERROR(VLOOKUP($S$366,'TAR FIN'!$A$1:$O$116,15,0)),0,VLOOKUP($S$366,'TAR FIN'!$A$1:$O$116,15,0))</f>
        <v>0</v>
      </c>
      <c r="W366" s="6">
        <f>IF(ISERROR(VLOOKUP($T$366,'TAR FIN'!$A$1:$O$116,15,0)),0,VLOOKUP($T$366,'TAR FIN'!$A$1:$O$116,15,0))</f>
        <v>88.66</v>
      </c>
      <c r="X366" s="6">
        <f>IF(ISERROR(VLOOKUP($U$366,'TAR FIN'!$A$1:$O$116,15,0)),0,VLOOKUP($U$366,'TAR FIN'!$A$1:$O$116,15,0))</f>
        <v>0</v>
      </c>
      <c r="Y366" s="6"/>
      <c r="Z366" s="6">
        <f ca="1">('TUSD BE'!$AM$27+'TUSD BF'!$AM$27+'TUSD CVA'!$AM$27)*1</f>
        <v>137.4358543126599</v>
      </c>
      <c r="AA366" s="6"/>
      <c r="AB366" s="6">
        <f>$K$366*$V$366</f>
        <v>0</v>
      </c>
      <c r="AC366" s="6">
        <f>$M$366*$W$366</f>
        <v>376596.91498</v>
      </c>
      <c r="AD366" s="6">
        <f>$O$366*$X$366</f>
        <v>0</v>
      </c>
      <c r="AE366" s="6">
        <f>$K$366*$Y$366</f>
        <v>0</v>
      </c>
      <c r="AF366" s="6">
        <f ca="1">$M$366*$Z$366</f>
        <v>583779.81887873274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41</v>
      </c>
      <c r="C367" s="4" t="s">
        <v>40</v>
      </c>
      <c r="D367" s="4" t="s">
        <v>38</v>
      </c>
      <c r="E367" s="4" t="s">
        <v>25</v>
      </c>
      <c r="F367" s="4" t="s">
        <v>63</v>
      </c>
      <c r="G367" s="4" t="s">
        <v>25</v>
      </c>
      <c r="H367" s="4" t="s">
        <v>25</v>
      </c>
      <c r="I367" s="5">
        <v>44440</v>
      </c>
      <c r="J367" s="6">
        <v>0</v>
      </c>
      <c r="K367" s="6">
        <v>0</v>
      </c>
      <c r="L367" s="6">
        <v>4578.7550000000001</v>
      </c>
      <c r="M367" s="6">
        <v>4578.7550000000001</v>
      </c>
      <c r="N367" s="6">
        <v>0</v>
      </c>
      <c r="O367" s="6">
        <v>0</v>
      </c>
      <c r="P367" s="6">
        <v>22</v>
      </c>
      <c r="Q367" s="4" t="s">
        <v>60</v>
      </c>
      <c r="R367" s="4">
        <v>0</v>
      </c>
      <c r="S367" s="6">
        <v>0</v>
      </c>
      <c r="T367" s="6">
        <v>23</v>
      </c>
      <c r="U367" s="6">
        <v>0</v>
      </c>
      <c r="V367" s="6">
        <f>IF(ISERROR(VLOOKUP($S$367,'TAR FIN'!$A$1:$O$116,15,0)),0,VLOOKUP($S$367,'TAR FIN'!$A$1:$O$116,15,0))</f>
        <v>0</v>
      </c>
      <c r="W367" s="6">
        <f>IF(ISERROR(VLOOKUP($T$367,'TAR FIN'!$A$1:$O$116,15,0)),0,VLOOKUP($T$367,'TAR FIN'!$A$1:$O$116,15,0))</f>
        <v>88.66</v>
      </c>
      <c r="X367" s="6">
        <f>IF(ISERROR(VLOOKUP($U$367,'TAR FIN'!$A$1:$O$116,15,0)),0,VLOOKUP($U$367,'TAR FIN'!$A$1:$O$116,15,0))</f>
        <v>0</v>
      </c>
      <c r="Y367" s="6"/>
      <c r="Z367" s="6">
        <f ca="1">('TUSD BE'!$AM$27+'TUSD BF'!$AM$27+'TUSD CVA'!$AM$27)*1</f>
        <v>137.4358543126599</v>
      </c>
      <c r="AA367" s="6"/>
      <c r="AB367" s="6">
        <f>$K$367*$V$367</f>
        <v>0</v>
      </c>
      <c r="AC367" s="6">
        <f>$M$367*$W$367</f>
        <v>405952.41830000002</v>
      </c>
      <c r="AD367" s="6">
        <f>$O$367*$X$367</f>
        <v>0</v>
      </c>
      <c r="AE367" s="6">
        <f>$K$367*$Y$367</f>
        <v>0</v>
      </c>
      <c r="AF367" s="6">
        <f ca="1">$M$367*$Z$367</f>
        <v>629285.10511336313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41</v>
      </c>
      <c r="C368" s="4" t="s">
        <v>40</v>
      </c>
      <c r="D368" s="4" t="s">
        <v>38</v>
      </c>
      <c r="E368" s="4" t="s">
        <v>25</v>
      </c>
      <c r="F368" s="4" t="s">
        <v>63</v>
      </c>
      <c r="G368" s="4" t="s">
        <v>25</v>
      </c>
      <c r="H368" s="4" t="s">
        <v>25</v>
      </c>
      <c r="I368" s="5">
        <v>44470</v>
      </c>
      <c r="J368" s="6">
        <v>0</v>
      </c>
      <c r="K368" s="6">
        <v>0</v>
      </c>
      <c r="L368" s="6">
        <v>4108.3670000000002</v>
      </c>
      <c r="M368" s="6">
        <v>4108.3670000000002</v>
      </c>
      <c r="N368" s="6">
        <v>0</v>
      </c>
      <c r="O368" s="6">
        <v>0</v>
      </c>
      <c r="P368" s="6">
        <v>22</v>
      </c>
      <c r="Q368" s="4" t="s">
        <v>60</v>
      </c>
      <c r="R368" s="4">
        <v>0</v>
      </c>
      <c r="S368" s="6">
        <v>0</v>
      </c>
      <c r="T368" s="6">
        <v>23</v>
      </c>
      <c r="U368" s="6">
        <v>0</v>
      </c>
      <c r="V368" s="6">
        <f>IF(ISERROR(VLOOKUP($S$368,'TAR FIN'!$A$1:$O$116,15,0)),0,VLOOKUP($S$368,'TAR FIN'!$A$1:$O$116,15,0))</f>
        <v>0</v>
      </c>
      <c r="W368" s="6">
        <f>IF(ISERROR(VLOOKUP($T$368,'TAR FIN'!$A$1:$O$116,15,0)),0,VLOOKUP($T$368,'TAR FIN'!$A$1:$O$116,15,0))</f>
        <v>88.66</v>
      </c>
      <c r="X368" s="6">
        <f>IF(ISERROR(VLOOKUP($U$368,'TAR FIN'!$A$1:$O$116,15,0)),0,VLOOKUP($U$368,'TAR FIN'!$A$1:$O$116,15,0))</f>
        <v>0</v>
      </c>
      <c r="Y368" s="6"/>
      <c r="Z368" s="6">
        <f ca="1">('TUSD BE'!$AM$27+'TUSD BF'!$AM$27+'TUSD CVA'!$AM$27)*1</f>
        <v>137.4358543126599</v>
      </c>
      <c r="AA368" s="6"/>
      <c r="AB368" s="6">
        <f>$K$368*$V$368</f>
        <v>0</v>
      </c>
      <c r="AC368" s="6">
        <f>$M$368*$W$368</f>
        <v>364247.81822000002</v>
      </c>
      <c r="AD368" s="6">
        <f>$O$368*$X$368</f>
        <v>0</v>
      </c>
      <c r="AE368" s="6">
        <f>$K$368*$Y$368</f>
        <v>0</v>
      </c>
      <c r="AF368" s="6">
        <f ca="1">$M$368*$Z$368</f>
        <v>564636.92847493966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41</v>
      </c>
      <c r="C369" s="4" t="s">
        <v>40</v>
      </c>
      <c r="D369" s="4" t="s">
        <v>38</v>
      </c>
      <c r="E369" s="4" t="s">
        <v>25</v>
      </c>
      <c r="F369" s="4" t="s">
        <v>63</v>
      </c>
      <c r="G369" s="4" t="s">
        <v>25</v>
      </c>
      <c r="H369" s="4" t="s">
        <v>25</v>
      </c>
      <c r="I369" s="5">
        <v>44501</v>
      </c>
      <c r="J369" s="6">
        <v>0</v>
      </c>
      <c r="K369" s="6">
        <v>0</v>
      </c>
      <c r="L369" s="6">
        <v>4393.1260000000002</v>
      </c>
      <c r="M369" s="6">
        <v>4393.1260000000002</v>
      </c>
      <c r="N369" s="6">
        <v>0</v>
      </c>
      <c r="O369" s="6">
        <v>0</v>
      </c>
      <c r="P369" s="6">
        <v>22</v>
      </c>
      <c r="Q369" s="4" t="s">
        <v>60</v>
      </c>
      <c r="R369" s="4">
        <v>0</v>
      </c>
      <c r="S369" s="6">
        <v>0</v>
      </c>
      <c r="T369" s="6">
        <v>23</v>
      </c>
      <c r="U369" s="6">
        <v>0</v>
      </c>
      <c r="V369" s="6">
        <f>IF(ISERROR(VLOOKUP($S$369,'TAR FIN'!$A$1:$O$116,15,0)),0,VLOOKUP($S$369,'TAR FIN'!$A$1:$O$116,15,0))</f>
        <v>0</v>
      </c>
      <c r="W369" s="6">
        <f>IF(ISERROR(VLOOKUP($T$369,'TAR FIN'!$A$1:$O$116,15,0)),0,VLOOKUP($T$369,'TAR FIN'!$A$1:$O$116,15,0))</f>
        <v>88.66</v>
      </c>
      <c r="X369" s="6">
        <f>IF(ISERROR(VLOOKUP($U$369,'TAR FIN'!$A$1:$O$116,15,0)),0,VLOOKUP($U$369,'TAR FIN'!$A$1:$O$116,15,0))</f>
        <v>0</v>
      </c>
      <c r="Y369" s="6"/>
      <c r="Z369" s="6">
        <f ca="1">('TUSD BE'!$AM$27+'TUSD BF'!$AM$27+'TUSD CVA'!$AM$27)*1</f>
        <v>137.4358543126599</v>
      </c>
      <c r="AA369" s="6"/>
      <c r="AB369" s="6">
        <f>$K$369*$V$369</f>
        <v>0</v>
      </c>
      <c r="AC369" s="6">
        <f>$M$369*$W$369</f>
        <v>389494.55116000003</v>
      </c>
      <c r="AD369" s="6">
        <f>$O$369*$X$369</f>
        <v>0</v>
      </c>
      <c r="AE369" s="6">
        <f>$K$369*$Y$369</f>
        <v>0</v>
      </c>
      <c r="AF369" s="6">
        <f ca="1">$M$369*$Z$369</f>
        <v>603773.02491315838</v>
      </c>
      <c r="AG369" s="6">
        <f>$O$369*$AA$369</f>
        <v>0</v>
      </c>
    </row>
    <row r="370" spans="1:33" ht="11.25" customHeight="1" x14ac:dyDescent="0.25">
      <c r="A370" s="4" t="s">
        <v>21</v>
      </c>
      <c r="B370" s="4" t="s">
        <v>41</v>
      </c>
      <c r="C370" s="4" t="s">
        <v>40</v>
      </c>
      <c r="D370" s="4" t="s">
        <v>38</v>
      </c>
      <c r="E370" s="4" t="s">
        <v>25</v>
      </c>
      <c r="F370" s="4" t="s">
        <v>63</v>
      </c>
      <c r="G370" s="4" t="s">
        <v>25</v>
      </c>
      <c r="H370" s="4" t="s">
        <v>25</v>
      </c>
      <c r="I370" s="5">
        <v>44531</v>
      </c>
      <c r="J370" s="6">
        <v>0</v>
      </c>
      <c r="K370" s="6">
        <v>0</v>
      </c>
      <c r="L370" s="6">
        <v>4351.4920000000002</v>
      </c>
      <c r="M370" s="6">
        <v>4351.4920000000002</v>
      </c>
      <c r="N370" s="6">
        <v>0</v>
      </c>
      <c r="O370" s="6">
        <v>0</v>
      </c>
      <c r="P370" s="6">
        <v>22</v>
      </c>
      <c r="Q370" s="4" t="s">
        <v>60</v>
      </c>
      <c r="R370" s="4">
        <v>0</v>
      </c>
      <c r="S370" s="6">
        <v>0</v>
      </c>
      <c r="T370" s="6">
        <v>23</v>
      </c>
      <c r="U370" s="6">
        <v>0</v>
      </c>
      <c r="V370" s="6">
        <f>IF(ISERROR(VLOOKUP($S$370,'TAR FIN'!$A$1:$O$116,15,0)),0,VLOOKUP($S$370,'TAR FIN'!$A$1:$O$116,15,0))</f>
        <v>0</v>
      </c>
      <c r="W370" s="6">
        <f>IF(ISERROR(VLOOKUP($T$370,'TAR FIN'!$A$1:$O$116,15,0)),0,VLOOKUP($T$370,'TAR FIN'!$A$1:$O$116,15,0))</f>
        <v>88.66</v>
      </c>
      <c r="X370" s="6">
        <f>IF(ISERROR(VLOOKUP($U$370,'TAR FIN'!$A$1:$O$116,15,0)),0,VLOOKUP($U$370,'TAR FIN'!$A$1:$O$116,15,0))</f>
        <v>0</v>
      </c>
      <c r="Y370" s="6"/>
      <c r="Z370" s="6">
        <f ca="1">('TUSD BE'!$AM$27+'TUSD BF'!$AM$27+'TUSD CVA'!$AM$27)*1</f>
        <v>137.4358543126599</v>
      </c>
      <c r="AA370" s="6"/>
      <c r="AB370" s="6">
        <f>$K$370*$V$370</f>
        <v>0</v>
      </c>
      <c r="AC370" s="6">
        <f>$M$370*$W$370</f>
        <v>385803.28071999998</v>
      </c>
      <c r="AD370" s="6">
        <f>$O$370*$X$370</f>
        <v>0</v>
      </c>
      <c r="AE370" s="6">
        <f>$K$370*$Y$370</f>
        <v>0</v>
      </c>
      <c r="AF370" s="6">
        <f ca="1">$M$370*$Z$370</f>
        <v>598051.02055470506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41</v>
      </c>
      <c r="C371" s="4" t="s">
        <v>40</v>
      </c>
      <c r="D371" s="4" t="s">
        <v>38</v>
      </c>
      <c r="E371" s="4" t="s">
        <v>25</v>
      </c>
      <c r="F371" s="4" t="s">
        <v>63</v>
      </c>
      <c r="G371" s="4" t="s">
        <v>25</v>
      </c>
      <c r="H371" s="4" t="s">
        <v>25</v>
      </c>
      <c r="I371" s="5">
        <v>44562</v>
      </c>
      <c r="J371" s="6">
        <v>0</v>
      </c>
      <c r="K371" s="6">
        <v>0</v>
      </c>
      <c r="L371" s="6">
        <v>4381.7139999999999</v>
      </c>
      <c r="M371" s="6">
        <v>4381.7139999999999</v>
      </c>
      <c r="N371" s="6">
        <v>0</v>
      </c>
      <c r="O371" s="6">
        <v>0</v>
      </c>
      <c r="P371" s="6">
        <v>23</v>
      </c>
      <c r="Q371" s="4" t="s">
        <v>60</v>
      </c>
      <c r="R371" s="4">
        <v>0</v>
      </c>
      <c r="S371" s="6">
        <v>0</v>
      </c>
      <c r="T371" s="6">
        <v>23</v>
      </c>
      <c r="U371" s="6">
        <v>0</v>
      </c>
      <c r="V371" s="6">
        <f>IF(ISERROR(VLOOKUP($S$371,'TAR FIN'!$A$1:$O$116,15,0)),0,VLOOKUP($S$371,'TAR FIN'!$A$1:$O$116,15,0))</f>
        <v>0</v>
      </c>
      <c r="W371" s="6">
        <f>IF(ISERROR(VLOOKUP($T$371,'TAR FIN'!$A$1:$O$116,15,0)),0,VLOOKUP($T$371,'TAR FIN'!$A$1:$O$116,15,0))</f>
        <v>88.66</v>
      </c>
      <c r="X371" s="6">
        <f>IF(ISERROR(VLOOKUP($U$371,'TAR FIN'!$A$1:$O$116,15,0)),0,VLOOKUP($U$371,'TAR FIN'!$A$1:$O$116,15,0))</f>
        <v>0</v>
      </c>
      <c r="Y371" s="6"/>
      <c r="Z371" s="6">
        <f ca="1">('TUSD BE'!$AM$27+'TUSD BF'!$AM$27+'TUSD CVA'!$AM$27)*1</f>
        <v>137.4358543126599</v>
      </c>
      <c r="AA371" s="6"/>
      <c r="AB371" s="6">
        <f>$K$371*$V$371</f>
        <v>0</v>
      </c>
      <c r="AC371" s="6">
        <f>$M$371*$W$371</f>
        <v>388482.76324</v>
      </c>
      <c r="AD371" s="6">
        <f>$O$371*$X$371</f>
        <v>0</v>
      </c>
      <c r="AE371" s="6">
        <f>$K$371*$Y$371</f>
        <v>0</v>
      </c>
      <c r="AF371" s="6">
        <f ca="1">$M$371*$Z$371</f>
        <v>602204.60694374226</v>
      </c>
      <c r="AG371" s="6">
        <f>$O$371*$AA$371</f>
        <v>0</v>
      </c>
    </row>
    <row r="372" spans="1:33" ht="11.25" customHeight="1" x14ac:dyDescent="0.25">
      <c r="A372" s="4" t="s">
        <v>21</v>
      </c>
      <c r="B372" s="4" t="s">
        <v>41</v>
      </c>
      <c r="C372" s="4" t="s">
        <v>40</v>
      </c>
      <c r="D372" s="4" t="s">
        <v>38</v>
      </c>
      <c r="E372" s="4" t="s">
        <v>25</v>
      </c>
      <c r="F372" s="4" t="s">
        <v>63</v>
      </c>
      <c r="G372" s="4" t="s">
        <v>25</v>
      </c>
      <c r="H372" s="4" t="s">
        <v>25</v>
      </c>
      <c r="I372" s="5">
        <v>44593</v>
      </c>
      <c r="J372" s="6">
        <v>0</v>
      </c>
      <c r="K372" s="6">
        <v>0</v>
      </c>
      <c r="L372" s="6">
        <v>4082.529</v>
      </c>
      <c r="M372" s="6">
        <v>4082.529</v>
      </c>
      <c r="N372" s="6">
        <v>0</v>
      </c>
      <c r="O372" s="6">
        <v>0</v>
      </c>
      <c r="P372" s="6">
        <v>22</v>
      </c>
      <c r="Q372" s="4" t="s">
        <v>60</v>
      </c>
      <c r="R372" s="4">
        <v>0</v>
      </c>
      <c r="S372" s="6">
        <v>0</v>
      </c>
      <c r="T372" s="6">
        <v>23</v>
      </c>
      <c r="U372" s="6">
        <v>0</v>
      </c>
      <c r="V372" s="6">
        <f>IF(ISERROR(VLOOKUP($S$372,'TAR FIN'!$A$1:$O$116,15,0)),0,VLOOKUP($S$372,'TAR FIN'!$A$1:$O$116,15,0))</f>
        <v>0</v>
      </c>
      <c r="W372" s="6">
        <f>IF(ISERROR(VLOOKUP($T$372,'TAR FIN'!$A$1:$O$116,15,0)),0,VLOOKUP($T$372,'TAR FIN'!$A$1:$O$116,15,0))</f>
        <v>88.66</v>
      </c>
      <c r="X372" s="6">
        <f>IF(ISERROR(VLOOKUP($U$372,'TAR FIN'!$A$1:$O$116,15,0)),0,VLOOKUP($U$372,'TAR FIN'!$A$1:$O$116,15,0))</f>
        <v>0</v>
      </c>
      <c r="Y372" s="6"/>
      <c r="Z372" s="6">
        <f ca="1">('TUSD BE'!$AM$27+'TUSD BF'!$AM$27+'TUSD CVA'!$AM$27)*1</f>
        <v>137.4358543126599</v>
      </c>
      <c r="AA372" s="6"/>
      <c r="AB372" s="6">
        <f>$K$372*$V$372</f>
        <v>0</v>
      </c>
      <c r="AC372" s="6">
        <f>$M$372*$W$372</f>
        <v>361957.02113999997</v>
      </c>
      <c r="AD372" s="6">
        <f>$O$372*$X$372</f>
        <v>0</v>
      </c>
      <c r="AE372" s="6">
        <f>$K$372*$Y$372</f>
        <v>0</v>
      </c>
      <c r="AF372" s="6">
        <f ca="1">$M$372*$Z$372</f>
        <v>561085.86087120906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41</v>
      </c>
      <c r="C373" s="4" t="s">
        <v>40</v>
      </c>
      <c r="D373" s="4" t="s">
        <v>38</v>
      </c>
      <c r="E373" s="4" t="s">
        <v>25</v>
      </c>
      <c r="F373" s="4" t="s">
        <v>63</v>
      </c>
      <c r="G373" s="4" t="s">
        <v>25</v>
      </c>
      <c r="H373" s="4" t="s">
        <v>25</v>
      </c>
      <c r="I373" s="5">
        <v>44621</v>
      </c>
      <c r="J373" s="6">
        <v>0</v>
      </c>
      <c r="K373" s="6">
        <v>0</v>
      </c>
      <c r="L373" s="6">
        <v>3441.7910000000002</v>
      </c>
      <c r="M373" s="6">
        <v>3441.7910000000002</v>
      </c>
      <c r="N373" s="6">
        <v>0</v>
      </c>
      <c r="O373" s="6">
        <v>0</v>
      </c>
      <c r="P373" s="6">
        <v>22</v>
      </c>
      <c r="Q373" s="4" t="s">
        <v>60</v>
      </c>
      <c r="R373" s="4">
        <v>0</v>
      </c>
      <c r="S373" s="6">
        <v>0</v>
      </c>
      <c r="T373" s="6">
        <v>23</v>
      </c>
      <c r="U373" s="6">
        <v>0</v>
      </c>
      <c r="V373" s="6">
        <f>IF(ISERROR(VLOOKUP($S$373,'TAR FIN'!$A$1:$O$116,15,0)),0,VLOOKUP($S$373,'TAR FIN'!$A$1:$O$116,15,0))</f>
        <v>0</v>
      </c>
      <c r="W373" s="6">
        <f>IF(ISERROR(VLOOKUP($T$373,'TAR FIN'!$A$1:$O$116,15,0)),0,VLOOKUP($T$373,'TAR FIN'!$A$1:$O$116,15,0))</f>
        <v>88.66</v>
      </c>
      <c r="X373" s="6">
        <f>IF(ISERROR(VLOOKUP($U$373,'TAR FIN'!$A$1:$O$116,15,0)),0,VLOOKUP($U$373,'TAR FIN'!$A$1:$O$116,15,0))</f>
        <v>0</v>
      </c>
      <c r="Y373" s="6"/>
      <c r="Z373" s="6">
        <f ca="1">('TUSD BE'!$AM$27+'TUSD BF'!$AM$27+'TUSD CVA'!$AM$27)*1</f>
        <v>137.4358543126599</v>
      </c>
      <c r="AA373" s="6"/>
      <c r="AB373" s="6">
        <f>$K$373*$V$373</f>
        <v>0</v>
      </c>
      <c r="AC373" s="6">
        <f>$M$373*$W$373</f>
        <v>305149.19005999999</v>
      </c>
      <c r="AD373" s="6">
        <f>$O$373*$X$373</f>
        <v>0</v>
      </c>
      <c r="AE373" s="6">
        <f>$K$373*$Y$373</f>
        <v>0</v>
      </c>
      <c r="AF373" s="6">
        <f ca="1">$M$373*$Z$373</f>
        <v>473025.48645062407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41</v>
      </c>
      <c r="C374" s="4" t="s">
        <v>40</v>
      </c>
      <c r="D374" s="4" t="s">
        <v>38</v>
      </c>
      <c r="E374" s="4" t="s">
        <v>25</v>
      </c>
      <c r="F374" s="4" t="s">
        <v>63</v>
      </c>
      <c r="G374" s="4" t="s">
        <v>25</v>
      </c>
      <c r="H374" s="4" t="s">
        <v>25</v>
      </c>
      <c r="I374" s="5">
        <v>44652</v>
      </c>
      <c r="J374" s="6">
        <v>0</v>
      </c>
      <c r="K374" s="6">
        <v>0</v>
      </c>
      <c r="L374" s="6">
        <v>3776.21</v>
      </c>
      <c r="M374" s="6">
        <v>3776.21</v>
      </c>
      <c r="N374" s="6">
        <v>0</v>
      </c>
      <c r="O374" s="6">
        <v>0</v>
      </c>
      <c r="P374" s="6">
        <v>22</v>
      </c>
      <c r="Q374" s="4" t="s">
        <v>60</v>
      </c>
      <c r="R374" s="4">
        <v>0</v>
      </c>
      <c r="S374" s="6">
        <v>0</v>
      </c>
      <c r="T374" s="6">
        <v>23</v>
      </c>
      <c r="U374" s="6">
        <v>0</v>
      </c>
      <c r="V374" s="6">
        <f>IF(ISERROR(VLOOKUP($S$374,'TAR FIN'!$A$1:$O$116,15,0)),0,VLOOKUP($S$374,'TAR FIN'!$A$1:$O$116,15,0))</f>
        <v>0</v>
      </c>
      <c r="W374" s="6">
        <f>IF(ISERROR(VLOOKUP($T$374,'TAR FIN'!$A$1:$O$116,15,0)),0,VLOOKUP($T$374,'TAR FIN'!$A$1:$O$116,15,0))</f>
        <v>88.66</v>
      </c>
      <c r="X374" s="6">
        <f>IF(ISERROR(VLOOKUP($U$374,'TAR FIN'!$A$1:$O$116,15,0)),0,VLOOKUP($U$374,'TAR FIN'!$A$1:$O$116,15,0))</f>
        <v>0</v>
      </c>
      <c r="Y374" s="6"/>
      <c r="Z374" s="6">
        <f ca="1">('TUSD BE'!$AM$27+'TUSD BF'!$AM$27+'TUSD CVA'!$AM$27)*1</f>
        <v>137.4358543126599</v>
      </c>
      <c r="AA374" s="6"/>
      <c r="AB374" s="6">
        <f>$K$374*$V$374</f>
        <v>0</v>
      </c>
      <c r="AC374" s="6">
        <f>$M$374*$W$374</f>
        <v>334798.77859999996</v>
      </c>
      <c r="AD374" s="6">
        <f>$O$374*$X$374</f>
        <v>0</v>
      </c>
      <c r="AE374" s="6">
        <f>$K$374*$Y$374</f>
        <v>0</v>
      </c>
      <c r="AF374" s="6">
        <f ca="1">$M$374*$Z$374</f>
        <v>518986.64741400944</v>
      </c>
      <c r="AG374" s="6">
        <f>$O$374*$AA$374</f>
        <v>0</v>
      </c>
    </row>
    <row r="375" spans="1:33" ht="11.25" customHeight="1" x14ac:dyDescent="0.25">
      <c r="A375" s="4" t="s">
        <v>58</v>
      </c>
      <c r="B375" s="4" t="s">
        <v>41</v>
      </c>
      <c r="C375" s="4" t="s">
        <v>40</v>
      </c>
      <c r="D375" s="4" t="s">
        <v>38</v>
      </c>
      <c r="E375" s="4" t="s">
        <v>25</v>
      </c>
      <c r="F375" s="4" t="s">
        <v>63</v>
      </c>
      <c r="G375" s="4" t="s">
        <v>25</v>
      </c>
      <c r="H375" s="4" t="s">
        <v>25</v>
      </c>
      <c r="I375" s="5">
        <v>44682</v>
      </c>
      <c r="J375" s="6">
        <v>0</v>
      </c>
      <c r="K375" s="6">
        <v>0</v>
      </c>
      <c r="L375" s="6">
        <v>3776.21</v>
      </c>
      <c r="M375" s="6">
        <v>3776.21</v>
      </c>
      <c r="N375" s="6">
        <v>0</v>
      </c>
      <c r="O375" s="6">
        <v>0</v>
      </c>
      <c r="P375" s="6">
        <v>22</v>
      </c>
      <c r="Q375" s="4" t="s">
        <v>60</v>
      </c>
      <c r="R375" s="4">
        <v>0</v>
      </c>
      <c r="S375" s="6">
        <v>0</v>
      </c>
      <c r="T375" s="6">
        <v>23</v>
      </c>
      <c r="U375" s="6">
        <v>0</v>
      </c>
      <c r="V375" s="6">
        <f>IF(ISERROR(VLOOKUP($S$375,'TAR FIN'!$A$1:$O$116,15,0)),0,VLOOKUP($S$375,'TAR FIN'!$A$1:$O$116,15,0))</f>
        <v>0</v>
      </c>
      <c r="W375" s="6">
        <f>IF(ISERROR(VLOOKUP($T$375,'TAR FIN'!$A$1:$O$116,15,0)),0,VLOOKUP($T$375,'TAR FIN'!$A$1:$O$116,15,0))</f>
        <v>88.66</v>
      </c>
      <c r="X375" s="6">
        <f>IF(ISERROR(VLOOKUP($U$375,'TAR FIN'!$A$1:$O$116,15,0)),0,VLOOKUP($U$375,'TAR FIN'!$A$1:$O$116,15,0))</f>
        <v>0</v>
      </c>
      <c r="Y375" s="6"/>
      <c r="Z375" s="6">
        <f ca="1">('TUSD BE'!$AM$27+'TUSD BF'!$AM$27+'TUSD CVA'!$AM$27)*1</f>
        <v>137.4358543126599</v>
      </c>
      <c r="AA375" s="6"/>
      <c r="AB375" s="6">
        <f>$K$375*$V$375</f>
        <v>0</v>
      </c>
      <c r="AC375" s="6">
        <f>$M$375*$W$375</f>
        <v>334798.77859999996</v>
      </c>
      <c r="AD375" s="6">
        <f>$O$375*$X$375</f>
        <v>0</v>
      </c>
      <c r="AE375" s="6">
        <f>$K$375*$Y$375</f>
        <v>0</v>
      </c>
      <c r="AF375" s="6">
        <f ca="1">$M$375*$Z$375</f>
        <v>518986.64741400944</v>
      </c>
      <c r="AG375" s="6">
        <f>$O$375*$AA$375</f>
        <v>0</v>
      </c>
    </row>
    <row r="376" spans="1:33" ht="11.25" customHeight="1" x14ac:dyDescent="0.25">
      <c r="A376" s="4" t="s">
        <v>21</v>
      </c>
      <c r="B376" s="4" t="s">
        <v>41</v>
      </c>
      <c r="C376" s="4" t="s">
        <v>40</v>
      </c>
      <c r="D376" s="4" t="s">
        <v>38</v>
      </c>
      <c r="E376" s="4" t="s">
        <v>25</v>
      </c>
      <c r="F376" s="4" t="s">
        <v>63</v>
      </c>
      <c r="G376" s="4" t="s">
        <v>25</v>
      </c>
      <c r="H376" s="4" t="s">
        <v>34</v>
      </c>
      <c r="I376" s="5">
        <v>44348</v>
      </c>
      <c r="J376" s="6">
        <v>15564</v>
      </c>
      <c r="K376" s="6">
        <v>12065.4867264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4" t="s">
        <v>60</v>
      </c>
      <c r="R376" s="4">
        <v>0</v>
      </c>
      <c r="S376" s="6">
        <v>21</v>
      </c>
      <c r="T376" s="6">
        <v>0</v>
      </c>
      <c r="U376" s="6">
        <v>0</v>
      </c>
      <c r="V376" s="6">
        <f>IF(ISERROR(VLOOKUP($S$376,'TAR FIN'!$A$1:$O$116,15,0)),0,VLOOKUP($S$376,'TAR FIN'!$A$1:$O$116,15,0))</f>
        <v>65.599999999999994</v>
      </c>
      <c r="W376" s="6">
        <f>IF(ISERROR(VLOOKUP($T$376,'TAR FIN'!$A$1:$O$116,15,0)),0,VLOOKUP($T$376,'TAR FIN'!$A$1:$O$116,15,0))</f>
        <v>0</v>
      </c>
      <c r="X376" s="6">
        <f>IF(ISERROR(VLOOKUP($U$376,'TAR FIN'!$A$1:$O$116,15,0)),0,VLOOKUP($U$376,'TAR FIN'!$A$1:$O$116,15,0))</f>
        <v>0</v>
      </c>
      <c r="Y376" s="6">
        <f ca="1">('TUSD BE'!$AM$25+'TUSD BF'!$AM$25+'TUSD CVA'!$AM$25)*1</f>
        <v>75.407822945580492</v>
      </c>
      <c r="Z376" s="6">
        <f ca="1">('TUSD BE'!$AM$27+'TUSD BF'!$AM$27+'TUSD CVA'!$AM$27)*1</f>
        <v>137.4358543126599</v>
      </c>
      <c r="AA376" s="6"/>
      <c r="AB376" s="6">
        <f>$K$376*$V$376</f>
        <v>791495.92925183999</v>
      </c>
      <c r="AC376" s="6">
        <f>$M$376*$W$376</f>
        <v>0</v>
      </c>
      <c r="AD376" s="6">
        <f>$O$376*$X$376</f>
        <v>0</v>
      </c>
      <c r="AE376" s="6">
        <f ca="1">$K$376*$Y$376</f>
        <v>909832.08681662276</v>
      </c>
      <c r="AF376" s="6">
        <f ca="1">$M$376*$Z$376</f>
        <v>0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41</v>
      </c>
      <c r="C377" s="4" t="s">
        <v>40</v>
      </c>
      <c r="D377" s="4" t="s">
        <v>38</v>
      </c>
      <c r="E377" s="4" t="s">
        <v>25</v>
      </c>
      <c r="F377" s="4" t="s">
        <v>63</v>
      </c>
      <c r="G377" s="4" t="s">
        <v>25</v>
      </c>
      <c r="H377" s="4" t="s">
        <v>34</v>
      </c>
      <c r="I377" s="5">
        <v>44378</v>
      </c>
      <c r="J377" s="6">
        <v>15573</v>
      </c>
      <c r="K377" s="6">
        <v>10961.54893545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4" t="s">
        <v>60</v>
      </c>
      <c r="R377" s="4">
        <v>0</v>
      </c>
      <c r="S377" s="6">
        <v>21</v>
      </c>
      <c r="T377" s="6">
        <v>0</v>
      </c>
      <c r="U377" s="6">
        <v>0</v>
      </c>
      <c r="V377" s="6">
        <f>IF(ISERROR(VLOOKUP($S$377,'TAR FIN'!$A$1:$O$116,15,0)),0,VLOOKUP($S$377,'TAR FIN'!$A$1:$O$116,15,0))</f>
        <v>65.599999999999994</v>
      </c>
      <c r="W377" s="6">
        <f>IF(ISERROR(VLOOKUP($T$377,'TAR FIN'!$A$1:$O$116,15,0)),0,VLOOKUP($T$377,'TAR FIN'!$A$1:$O$116,15,0))</f>
        <v>0</v>
      </c>
      <c r="X377" s="6">
        <f>IF(ISERROR(VLOOKUP($U$377,'TAR FIN'!$A$1:$O$116,15,0)),0,VLOOKUP($U$377,'TAR FIN'!$A$1:$O$116,15,0))</f>
        <v>0</v>
      </c>
      <c r="Y377" s="6">
        <f ca="1">('TUSD BE'!$AM$25+'TUSD BF'!$AM$25+'TUSD CVA'!$AM$25)*1</f>
        <v>75.407822945580492</v>
      </c>
      <c r="Z377" s="6">
        <f ca="1">('TUSD BE'!$AM$27+'TUSD BF'!$AM$27+'TUSD CVA'!$AM$27)*1</f>
        <v>137.4358543126599</v>
      </c>
      <c r="AA377" s="6"/>
      <c r="AB377" s="6">
        <f>$K$377*$V$377</f>
        <v>719077.61016551999</v>
      </c>
      <c r="AC377" s="6">
        <f>$M$377*$W$377</f>
        <v>0</v>
      </c>
      <c r="AD377" s="6">
        <f>$O$377*$X$377</f>
        <v>0</v>
      </c>
      <c r="AE377" s="6">
        <f ca="1">$K$377*$Y$377</f>
        <v>826586.54133372998</v>
      </c>
      <c r="AF377" s="6">
        <f ca="1"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41</v>
      </c>
      <c r="C378" s="4" t="s">
        <v>40</v>
      </c>
      <c r="D378" s="4" t="s">
        <v>38</v>
      </c>
      <c r="E378" s="4" t="s">
        <v>25</v>
      </c>
      <c r="F378" s="4" t="s">
        <v>63</v>
      </c>
      <c r="G378" s="4" t="s">
        <v>25</v>
      </c>
      <c r="H378" s="4" t="s">
        <v>34</v>
      </c>
      <c r="I378" s="5">
        <v>44409</v>
      </c>
      <c r="J378" s="6">
        <v>9884</v>
      </c>
      <c r="K378" s="6">
        <v>4311.5132799200001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4" t="s">
        <v>60</v>
      </c>
      <c r="R378" s="4">
        <v>0</v>
      </c>
      <c r="S378" s="6">
        <v>21</v>
      </c>
      <c r="T378" s="6">
        <v>0</v>
      </c>
      <c r="U378" s="6">
        <v>0</v>
      </c>
      <c r="V378" s="6">
        <f>IF(ISERROR(VLOOKUP($S$378,'TAR FIN'!$A$1:$O$116,15,0)),0,VLOOKUP($S$378,'TAR FIN'!$A$1:$O$116,15,0))</f>
        <v>65.599999999999994</v>
      </c>
      <c r="W378" s="6">
        <f>IF(ISERROR(VLOOKUP($T$378,'TAR FIN'!$A$1:$O$116,15,0)),0,VLOOKUP($T$378,'TAR FIN'!$A$1:$O$116,15,0))</f>
        <v>0</v>
      </c>
      <c r="X378" s="6">
        <f>IF(ISERROR(VLOOKUP($U$378,'TAR FIN'!$A$1:$O$116,15,0)),0,VLOOKUP($U$378,'TAR FIN'!$A$1:$O$116,15,0))</f>
        <v>0</v>
      </c>
      <c r="Y378" s="6">
        <f ca="1">('TUSD BE'!$AM$25+'TUSD BF'!$AM$25+'TUSD CVA'!$AM$25)*1</f>
        <v>75.407822945580492</v>
      </c>
      <c r="Z378" s="6">
        <f ca="1">('TUSD BE'!$AM$27+'TUSD BF'!$AM$27+'TUSD CVA'!$AM$27)*1</f>
        <v>137.4358543126599</v>
      </c>
      <c r="AA378" s="6"/>
      <c r="AB378" s="6">
        <f>$K$378*$V$378</f>
        <v>282835.271162752</v>
      </c>
      <c r="AC378" s="6">
        <f>$M$378*$W$378</f>
        <v>0</v>
      </c>
      <c r="AD378" s="6">
        <f>$O$378*$X$378</f>
        <v>0</v>
      </c>
      <c r="AE378" s="6">
        <f ca="1">$K$378*$Y$378</f>
        <v>325121.8300397264</v>
      </c>
      <c r="AF378" s="6">
        <f ca="1">$M$378*$Z$378</f>
        <v>0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41</v>
      </c>
      <c r="C379" s="4" t="s">
        <v>40</v>
      </c>
      <c r="D379" s="4" t="s">
        <v>38</v>
      </c>
      <c r="E379" s="4" t="s">
        <v>25</v>
      </c>
      <c r="F379" s="4" t="s">
        <v>63</v>
      </c>
      <c r="G379" s="4" t="s">
        <v>25</v>
      </c>
      <c r="H379" s="4" t="s">
        <v>34</v>
      </c>
      <c r="I379" s="5">
        <v>44440</v>
      </c>
      <c r="J379" s="6">
        <v>10458</v>
      </c>
      <c r="K379" s="6">
        <v>4597.34642136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4" t="s">
        <v>60</v>
      </c>
      <c r="R379" s="4">
        <v>0</v>
      </c>
      <c r="S379" s="6">
        <v>21</v>
      </c>
      <c r="T379" s="6">
        <v>0</v>
      </c>
      <c r="U379" s="6">
        <v>0</v>
      </c>
      <c r="V379" s="6">
        <f>IF(ISERROR(VLOOKUP($S$379,'TAR FIN'!$A$1:$O$116,15,0)),0,VLOOKUP($S$379,'TAR FIN'!$A$1:$O$116,15,0))</f>
        <v>65.599999999999994</v>
      </c>
      <c r="W379" s="6">
        <f>IF(ISERROR(VLOOKUP($T$379,'TAR FIN'!$A$1:$O$116,15,0)),0,VLOOKUP($T$379,'TAR FIN'!$A$1:$O$116,15,0))</f>
        <v>0</v>
      </c>
      <c r="X379" s="6">
        <f>IF(ISERROR(VLOOKUP($U$379,'TAR FIN'!$A$1:$O$116,15,0)),0,VLOOKUP($U$379,'TAR FIN'!$A$1:$O$116,15,0))</f>
        <v>0</v>
      </c>
      <c r="Y379" s="6">
        <f ca="1">('TUSD BE'!$AM$25+'TUSD BF'!$AM$25+'TUSD CVA'!$AM$25)*1</f>
        <v>75.407822945580492</v>
      </c>
      <c r="Z379" s="6">
        <f ca="1">('TUSD BE'!$AM$27+'TUSD BF'!$AM$27+'TUSD CVA'!$AM$27)*1</f>
        <v>137.4358543126599</v>
      </c>
      <c r="AA379" s="6"/>
      <c r="AB379" s="6">
        <f>$K$379*$V$379</f>
        <v>301585.92524121597</v>
      </c>
      <c r="AC379" s="6">
        <f>$M$379*$W$379</f>
        <v>0</v>
      </c>
      <c r="AD379" s="6">
        <f>$O$379*$X$379</f>
        <v>0</v>
      </c>
      <c r="AE379" s="6">
        <f ca="1">$K$379*$Y$379</f>
        <v>346675.88496141299</v>
      </c>
      <c r="AF379" s="6">
        <f ca="1">$M$379*$Z$379</f>
        <v>0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41</v>
      </c>
      <c r="C380" s="4" t="s">
        <v>40</v>
      </c>
      <c r="D380" s="4" t="s">
        <v>38</v>
      </c>
      <c r="E380" s="4" t="s">
        <v>25</v>
      </c>
      <c r="F380" s="4" t="s">
        <v>63</v>
      </c>
      <c r="G380" s="4" t="s">
        <v>25</v>
      </c>
      <c r="H380" s="4" t="s">
        <v>34</v>
      </c>
      <c r="I380" s="5">
        <v>44470</v>
      </c>
      <c r="J380" s="6">
        <v>10721</v>
      </c>
      <c r="K380" s="6">
        <v>4798.28304088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4" t="s">
        <v>60</v>
      </c>
      <c r="R380" s="4">
        <v>0</v>
      </c>
      <c r="S380" s="6">
        <v>21</v>
      </c>
      <c r="T380" s="6">
        <v>0</v>
      </c>
      <c r="U380" s="6">
        <v>0</v>
      </c>
      <c r="V380" s="6">
        <f>IF(ISERROR(VLOOKUP($S$380,'TAR FIN'!$A$1:$O$116,15,0)),0,VLOOKUP($S$380,'TAR FIN'!$A$1:$O$116,15,0))</f>
        <v>65.599999999999994</v>
      </c>
      <c r="W380" s="6">
        <f>IF(ISERROR(VLOOKUP($T$380,'TAR FIN'!$A$1:$O$116,15,0)),0,VLOOKUP($T$380,'TAR FIN'!$A$1:$O$116,15,0))</f>
        <v>0</v>
      </c>
      <c r="X380" s="6">
        <f>IF(ISERROR(VLOOKUP($U$380,'TAR FIN'!$A$1:$O$116,15,0)),0,VLOOKUP($U$380,'TAR FIN'!$A$1:$O$116,15,0))</f>
        <v>0</v>
      </c>
      <c r="Y380" s="6">
        <f ca="1">('TUSD BE'!$AM$25+'TUSD BF'!$AM$25+'TUSD CVA'!$AM$25)*1</f>
        <v>75.407822945580492</v>
      </c>
      <c r="Z380" s="6">
        <f ca="1">('TUSD BE'!$AM$27+'TUSD BF'!$AM$27+'TUSD CVA'!$AM$27)*1</f>
        <v>137.4358543126599</v>
      </c>
      <c r="AA380" s="6"/>
      <c r="AB380" s="6">
        <f>$K$380*$V$380</f>
        <v>314767.36748172797</v>
      </c>
      <c r="AC380" s="6">
        <f>$M$380*$W$380</f>
        <v>0</v>
      </c>
      <c r="AD380" s="6">
        <f>$O$380*$X$380</f>
        <v>0</v>
      </c>
      <c r="AE380" s="6">
        <f ca="1">$K$380*$Y$380</f>
        <v>361828.07798946061</v>
      </c>
      <c r="AF380" s="6">
        <f ca="1">$M$380*$Z$380</f>
        <v>0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41</v>
      </c>
      <c r="C381" s="4" t="s">
        <v>40</v>
      </c>
      <c r="D381" s="4" t="s">
        <v>38</v>
      </c>
      <c r="E381" s="4" t="s">
        <v>25</v>
      </c>
      <c r="F381" s="4" t="s">
        <v>63</v>
      </c>
      <c r="G381" s="4" t="s">
        <v>25</v>
      </c>
      <c r="H381" s="4" t="s">
        <v>34</v>
      </c>
      <c r="I381" s="5">
        <v>44501</v>
      </c>
      <c r="J381" s="6">
        <v>10820</v>
      </c>
      <c r="K381" s="6">
        <v>4835.0066978000004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4" t="s">
        <v>60</v>
      </c>
      <c r="R381" s="4">
        <v>0</v>
      </c>
      <c r="S381" s="6">
        <v>21</v>
      </c>
      <c r="T381" s="6">
        <v>0</v>
      </c>
      <c r="U381" s="6">
        <v>0</v>
      </c>
      <c r="V381" s="6">
        <f>IF(ISERROR(VLOOKUP($S$381,'TAR FIN'!$A$1:$O$116,15,0)),0,VLOOKUP($S$381,'TAR FIN'!$A$1:$O$116,15,0))</f>
        <v>65.599999999999994</v>
      </c>
      <c r="W381" s="6">
        <f>IF(ISERROR(VLOOKUP($T$381,'TAR FIN'!$A$1:$O$116,15,0)),0,VLOOKUP($T$381,'TAR FIN'!$A$1:$O$116,15,0))</f>
        <v>0</v>
      </c>
      <c r="X381" s="6">
        <f>IF(ISERROR(VLOOKUP($U$381,'TAR FIN'!$A$1:$O$116,15,0)),0,VLOOKUP($U$381,'TAR FIN'!$A$1:$O$116,15,0))</f>
        <v>0</v>
      </c>
      <c r="Y381" s="6">
        <f ca="1">('TUSD BE'!$AM$25+'TUSD BF'!$AM$25+'TUSD CVA'!$AM$25)*1</f>
        <v>75.407822945580492</v>
      </c>
      <c r="Z381" s="6">
        <f ca="1">('TUSD BE'!$AM$27+'TUSD BF'!$AM$27+'TUSD CVA'!$AM$27)*1</f>
        <v>137.4358543126599</v>
      </c>
      <c r="AA381" s="6"/>
      <c r="AB381" s="6">
        <f>$K$381*$V$381</f>
        <v>317176.43937568</v>
      </c>
      <c r="AC381" s="6">
        <f>$M$381*$W$381</f>
        <v>0</v>
      </c>
      <c r="AD381" s="6">
        <f>$O$381*$X$381</f>
        <v>0</v>
      </c>
      <c r="AE381" s="6">
        <f ca="1">$K$381*$Y$381</f>
        <v>364597.32900839823</v>
      </c>
      <c r="AF381" s="6">
        <f ca="1">$M$381*$Z$381</f>
        <v>0</v>
      </c>
      <c r="AG381" s="6">
        <f>$O$381*$AA$381</f>
        <v>0</v>
      </c>
    </row>
    <row r="382" spans="1:33" ht="11.25" customHeight="1" x14ac:dyDescent="0.25">
      <c r="A382" s="4" t="s">
        <v>21</v>
      </c>
      <c r="B382" s="4" t="s">
        <v>41</v>
      </c>
      <c r="C382" s="4" t="s">
        <v>40</v>
      </c>
      <c r="D382" s="4" t="s">
        <v>38</v>
      </c>
      <c r="E382" s="4" t="s">
        <v>25</v>
      </c>
      <c r="F382" s="4" t="s">
        <v>63</v>
      </c>
      <c r="G382" s="4" t="s">
        <v>25</v>
      </c>
      <c r="H382" s="4" t="s">
        <v>34</v>
      </c>
      <c r="I382" s="5">
        <v>44531</v>
      </c>
      <c r="J382" s="6">
        <v>10902</v>
      </c>
      <c r="K382" s="6">
        <v>4865.8107295199998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4" t="s">
        <v>60</v>
      </c>
      <c r="R382" s="4">
        <v>0</v>
      </c>
      <c r="S382" s="6">
        <v>21</v>
      </c>
      <c r="T382" s="6">
        <v>0</v>
      </c>
      <c r="U382" s="6">
        <v>0</v>
      </c>
      <c r="V382" s="6">
        <f>IF(ISERROR(VLOOKUP($S$382,'TAR FIN'!$A$1:$O$116,15,0)),0,VLOOKUP($S$382,'TAR FIN'!$A$1:$O$116,15,0))</f>
        <v>65.599999999999994</v>
      </c>
      <c r="W382" s="6">
        <f>IF(ISERROR(VLOOKUP($T$382,'TAR FIN'!$A$1:$O$116,15,0)),0,VLOOKUP($T$382,'TAR FIN'!$A$1:$O$116,15,0))</f>
        <v>0</v>
      </c>
      <c r="X382" s="6">
        <f>IF(ISERROR(VLOOKUP($U$382,'TAR FIN'!$A$1:$O$116,15,0)),0,VLOOKUP($U$382,'TAR FIN'!$A$1:$O$116,15,0))</f>
        <v>0</v>
      </c>
      <c r="Y382" s="6">
        <f ca="1">('TUSD BE'!$AM$25+'TUSD BF'!$AM$25+'TUSD CVA'!$AM$25)*1</f>
        <v>75.407822945580492</v>
      </c>
      <c r="Z382" s="6">
        <f ca="1">('TUSD BE'!$AM$27+'TUSD BF'!$AM$27+'TUSD CVA'!$AM$27)*1</f>
        <v>137.4358543126599</v>
      </c>
      <c r="AA382" s="6"/>
      <c r="AB382" s="6">
        <f>$K$382*$V$382</f>
        <v>319197.18385651195</v>
      </c>
      <c r="AC382" s="6">
        <f>$M$382*$W$382</f>
        <v>0</v>
      </c>
      <c r="AD382" s="6">
        <f>$O$382*$X$382</f>
        <v>0</v>
      </c>
      <c r="AE382" s="6">
        <f ca="1">$K$382*$Y$382</f>
        <v>366920.19397834997</v>
      </c>
      <c r="AF382" s="6">
        <f ca="1">$M$382*$Z$382</f>
        <v>0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41</v>
      </c>
      <c r="C383" s="4" t="s">
        <v>40</v>
      </c>
      <c r="D383" s="4" t="s">
        <v>38</v>
      </c>
      <c r="E383" s="4" t="s">
        <v>25</v>
      </c>
      <c r="F383" s="4" t="s">
        <v>63</v>
      </c>
      <c r="G383" s="4" t="s">
        <v>25</v>
      </c>
      <c r="H383" s="4" t="s">
        <v>34</v>
      </c>
      <c r="I383" s="5">
        <v>44562</v>
      </c>
      <c r="J383" s="6">
        <v>11175</v>
      </c>
      <c r="K383" s="6">
        <v>5019.2626485000001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4" t="s">
        <v>60</v>
      </c>
      <c r="R383" s="4">
        <v>0</v>
      </c>
      <c r="S383" s="6">
        <v>21</v>
      </c>
      <c r="T383" s="6">
        <v>0</v>
      </c>
      <c r="U383" s="6">
        <v>0</v>
      </c>
      <c r="V383" s="6">
        <f>IF(ISERROR(VLOOKUP($S$383,'TAR FIN'!$A$1:$O$116,15,0)),0,VLOOKUP($S$383,'TAR FIN'!$A$1:$O$116,15,0))</f>
        <v>65.599999999999994</v>
      </c>
      <c r="W383" s="6">
        <f>IF(ISERROR(VLOOKUP($T$383,'TAR FIN'!$A$1:$O$116,15,0)),0,VLOOKUP($T$383,'TAR FIN'!$A$1:$O$116,15,0))</f>
        <v>0</v>
      </c>
      <c r="X383" s="6">
        <f>IF(ISERROR(VLOOKUP($U$383,'TAR FIN'!$A$1:$O$116,15,0)),0,VLOOKUP($U$383,'TAR FIN'!$A$1:$O$116,15,0))</f>
        <v>0</v>
      </c>
      <c r="Y383" s="6">
        <f ca="1">('TUSD BE'!$AM$25+'TUSD BF'!$AM$25+'TUSD CVA'!$AM$25)*1</f>
        <v>75.407822945580492</v>
      </c>
      <c r="Z383" s="6">
        <f ca="1">('TUSD BE'!$AM$27+'TUSD BF'!$AM$27+'TUSD CVA'!$AM$27)*1</f>
        <v>137.4358543126599</v>
      </c>
      <c r="AA383" s="6"/>
      <c r="AB383" s="6">
        <f>$K$383*$V$383</f>
        <v>329263.62974159996</v>
      </c>
      <c r="AC383" s="6">
        <f>$M$383*$W$383</f>
        <v>0</v>
      </c>
      <c r="AD383" s="6">
        <f>$O$383*$X$383</f>
        <v>0</v>
      </c>
      <c r="AE383" s="6">
        <f ca="1">$K$383*$Y$383</f>
        <v>378491.66911545343</v>
      </c>
      <c r="AF383" s="6">
        <f ca="1">$M$383*$Z$383</f>
        <v>0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41</v>
      </c>
      <c r="C384" s="4" t="s">
        <v>40</v>
      </c>
      <c r="D384" s="4" t="s">
        <v>38</v>
      </c>
      <c r="E384" s="4" t="s">
        <v>25</v>
      </c>
      <c r="F384" s="4" t="s">
        <v>63</v>
      </c>
      <c r="G384" s="4" t="s">
        <v>25</v>
      </c>
      <c r="H384" s="4" t="s">
        <v>34</v>
      </c>
      <c r="I384" s="5">
        <v>44593</v>
      </c>
      <c r="J384" s="6">
        <v>10471</v>
      </c>
      <c r="K384" s="6">
        <v>4674.6753342000002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4" t="s">
        <v>60</v>
      </c>
      <c r="R384" s="4">
        <v>0</v>
      </c>
      <c r="S384" s="6">
        <v>21</v>
      </c>
      <c r="T384" s="6">
        <v>0</v>
      </c>
      <c r="U384" s="6">
        <v>0</v>
      </c>
      <c r="V384" s="6">
        <f>IF(ISERROR(VLOOKUP($S$384,'TAR FIN'!$A$1:$O$116,15,0)),0,VLOOKUP($S$384,'TAR FIN'!$A$1:$O$116,15,0))</f>
        <v>65.599999999999994</v>
      </c>
      <c r="W384" s="6">
        <f>IF(ISERROR(VLOOKUP($T$384,'TAR FIN'!$A$1:$O$116,15,0)),0,VLOOKUP($T$384,'TAR FIN'!$A$1:$O$116,15,0))</f>
        <v>0</v>
      </c>
      <c r="X384" s="6">
        <f>IF(ISERROR(VLOOKUP($U$384,'TAR FIN'!$A$1:$O$116,15,0)),0,VLOOKUP($U$384,'TAR FIN'!$A$1:$O$116,15,0))</f>
        <v>0</v>
      </c>
      <c r="Y384" s="6">
        <f ca="1">('TUSD BE'!$AM$25+'TUSD BF'!$AM$25+'TUSD CVA'!$AM$25)*1</f>
        <v>75.407822945580492</v>
      </c>
      <c r="Z384" s="6">
        <f ca="1">('TUSD BE'!$AM$27+'TUSD BF'!$AM$27+'TUSD CVA'!$AM$27)*1</f>
        <v>137.4358543126599</v>
      </c>
      <c r="AA384" s="6"/>
      <c r="AB384" s="6">
        <f>$K$384*$V$384</f>
        <v>306658.70192352001</v>
      </c>
      <c r="AC384" s="6">
        <f>$M$384*$W$384</f>
        <v>0</v>
      </c>
      <c r="AD384" s="6">
        <f>$O$384*$X$384</f>
        <v>0</v>
      </c>
      <c r="AE384" s="6">
        <f ca="1">$K$384*$Y$384</f>
        <v>352507.08992942591</v>
      </c>
      <c r="AF384" s="6">
        <f ca="1">$M$384*$Z$384</f>
        <v>0</v>
      </c>
      <c r="AG384" s="6">
        <f>$O$384*$AA$384</f>
        <v>0</v>
      </c>
    </row>
    <row r="385" spans="1:33" ht="11.25" customHeight="1" x14ac:dyDescent="0.25">
      <c r="A385" s="4" t="s">
        <v>21</v>
      </c>
      <c r="B385" s="4" t="s">
        <v>41</v>
      </c>
      <c r="C385" s="4" t="s">
        <v>40</v>
      </c>
      <c r="D385" s="4" t="s">
        <v>38</v>
      </c>
      <c r="E385" s="4" t="s">
        <v>25</v>
      </c>
      <c r="F385" s="4" t="s">
        <v>63</v>
      </c>
      <c r="G385" s="4" t="s">
        <v>25</v>
      </c>
      <c r="H385" s="4" t="s">
        <v>34</v>
      </c>
      <c r="I385" s="5">
        <v>44621</v>
      </c>
      <c r="J385" s="6">
        <v>10488</v>
      </c>
      <c r="K385" s="6">
        <v>4650.2599514399999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4" t="s">
        <v>60</v>
      </c>
      <c r="R385" s="4">
        <v>0</v>
      </c>
      <c r="S385" s="6">
        <v>21</v>
      </c>
      <c r="T385" s="6">
        <v>0</v>
      </c>
      <c r="U385" s="6">
        <v>0</v>
      </c>
      <c r="V385" s="6">
        <f>IF(ISERROR(VLOOKUP($S$385,'TAR FIN'!$A$1:$O$116,15,0)),0,VLOOKUP($S$385,'TAR FIN'!$A$1:$O$116,15,0))</f>
        <v>65.599999999999994</v>
      </c>
      <c r="W385" s="6">
        <f>IF(ISERROR(VLOOKUP($T$385,'TAR FIN'!$A$1:$O$116,15,0)),0,VLOOKUP($T$385,'TAR FIN'!$A$1:$O$116,15,0))</f>
        <v>0</v>
      </c>
      <c r="X385" s="6">
        <f>IF(ISERROR(VLOOKUP($U$385,'TAR FIN'!$A$1:$O$116,15,0)),0,VLOOKUP($U$385,'TAR FIN'!$A$1:$O$116,15,0))</f>
        <v>0</v>
      </c>
      <c r="Y385" s="6">
        <f ca="1">('TUSD BE'!$AM$25+'TUSD BF'!$AM$25+'TUSD CVA'!$AM$25)*1</f>
        <v>75.407822945580492</v>
      </c>
      <c r="Z385" s="6">
        <f ca="1">('TUSD BE'!$AM$27+'TUSD BF'!$AM$27+'TUSD CVA'!$AM$27)*1</f>
        <v>137.4358543126599</v>
      </c>
      <c r="AA385" s="6"/>
      <c r="AB385" s="6">
        <f>$K$385*$V$385</f>
        <v>305057.05281446397</v>
      </c>
      <c r="AC385" s="6">
        <f>$M$385*$W$385</f>
        <v>0</v>
      </c>
      <c r="AD385" s="6">
        <f>$O$385*$X$385</f>
        <v>0</v>
      </c>
      <c r="AE385" s="6">
        <f ca="1">$K$385*$Y$385</f>
        <v>350665.97906911123</v>
      </c>
      <c r="AF385" s="6">
        <f ca="1">$M$385*$Z$385</f>
        <v>0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41</v>
      </c>
      <c r="C386" s="4" t="s">
        <v>40</v>
      </c>
      <c r="D386" s="4" t="s">
        <v>38</v>
      </c>
      <c r="E386" s="4" t="s">
        <v>25</v>
      </c>
      <c r="F386" s="4" t="s">
        <v>63</v>
      </c>
      <c r="G386" s="4" t="s">
        <v>25</v>
      </c>
      <c r="H386" s="4" t="s">
        <v>34</v>
      </c>
      <c r="I386" s="5">
        <v>44652</v>
      </c>
      <c r="J386" s="6">
        <v>10467</v>
      </c>
      <c r="K386" s="6">
        <v>4623.80729832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4" t="s">
        <v>60</v>
      </c>
      <c r="R386" s="4">
        <v>0</v>
      </c>
      <c r="S386" s="6">
        <v>21</v>
      </c>
      <c r="T386" s="6">
        <v>0</v>
      </c>
      <c r="U386" s="6">
        <v>0</v>
      </c>
      <c r="V386" s="6">
        <f>IF(ISERROR(VLOOKUP($S$386,'TAR FIN'!$A$1:$O$116,15,0)),0,VLOOKUP($S$386,'TAR FIN'!$A$1:$O$116,15,0))</f>
        <v>65.599999999999994</v>
      </c>
      <c r="W386" s="6">
        <f>IF(ISERROR(VLOOKUP($T$386,'TAR FIN'!$A$1:$O$116,15,0)),0,VLOOKUP($T$386,'TAR FIN'!$A$1:$O$116,15,0))</f>
        <v>0</v>
      </c>
      <c r="X386" s="6">
        <f>IF(ISERROR(VLOOKUP($U$386,'TAR FIN'!$A$1:$O$116,15,0)),0,VLOOKUP($U$386,'TAR FIN'!$A$1:$O$116,15,0))</f>
        <v>0</v>
      </c>
      <c r="Y386" s="6">
        <f ca="1">('TUSD BE'!$AM$25+'TUSD BF'!$AM$25+'TUSD CVA'!$AM$25)*1</f>
        <v>75.407822945580492</v>
      </c>
      <c r="Z386" s="6">
        <f ca="1">('TUSD BE'!$AM$27+'TUSD BF'!$AM$27+'TUSD CVA'!$AM$27)*1</f>
        <v>137.4358543126599</v>
      </c>
      <c r="AA386" s="6"/>
      <c r="AB386" s="6">
        <f>$K$386*$V$386</f>
        <v>303321.75876979198</v>
      </c>
      <c r="AC386" s="6">
        <f>$M$386*$W$386</f>
        <v>0</v>
      </c>
      <c r="AD386" s="6">
        <f>$O$386*$X$386</f>
        <v>0</v>
      </c>
      <c r="AE386" s="6">
        <f ca="1">$K$386*$Y$386</f>
        <v>348671.24208619742</v>
      </c>
      <c r="AF386" s="6">
        <f ca="1">$M$386*$Z$386</f>
        <v>0</v>
      </c>
      <c r="AG386" s="6">
        <f>$O$386*$AA$386</f>
        <v>0</v>
      </c>
    </row>
    <row r="387" spans="1:33" ht="11.25" customHeight="1" x14ac:dyDescent="0.25">
      <c r="A387" s="4" t="s">
        <v>58</v>
      </c>
      <c r="B387" s="4" t="s">
        <v>41</v>
      </c>
      <c r="C387" s="4" t="s">
        <v>40</v>
      </c>
      <c r="D387" s="4" t="s">
        <v>38</v>
      </c>
      <c r="E387" s="4" t="s">
        <v>25</v>
      </c>
      <c r="F387" s="4" t="s">
        <v>63</v>
      </c>
      <c r="G387" s="4" t="s">
        <v>25</v>
      </c>
      <c r="H387" s="4" t="s">
        <v>34</v>
      </c>
      <c r="I387" s="5">
        <v>44682</v>
      </c>
      <c r="J387" s="6">
        <v>10467</v>
      </c>
      <c r="K387" s="6">
        <v>4623.80729832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60</v>
      </c>
      <c r="R387" s="4">
        <v>0</v>
      </c>
      <c r="S387" s="6">
        <v>21</v>
      </c>
      <c r="T387" s="6">
        <v>0</v>
      </c>
      <c r="U387" s="6">
        <v>0</v>
      </c>
      <c r="V387" s="6">
        <f>IF(ISERROR(VLOOKUP($S$387,'TAR FIN'!$A$1:$O$116,15,0)),0,VLOOKUP($S$387,'TAR FIN'!$A$1:$O$116,15,0))</f>
        <v>65.599999999999994</v>
      </c>
      <c r="W387" s="6">
        <f>IF(ISERROR(VLOOKUP($T$387,'TAR FIN'!$A$1:$O$116,15,0)),0,VLOOKUP($T$387,'TAR FIN'!$A$1:$O$116,15,0))</f>
        <v>0</v>
      </c>
      <c r="X387" s="6">
        <f>IF(ISERROR(VLOOKUP($U$387,'TAR FIN'!$A$1:$O$116,15,0)),0,VLOOKUP($U$387,'TAR FIN'!$A$1:$O$116,15,0))</f>
        <v>0</v>
      </c>
      <c r="Y387" s="6">
        <f ca="1">('TUSD BE'!$AM$25+'TUSD BF'!$AM$25+'TUSD CVA'!$AM$25)*1</f>
        <v>75.407822945580492</v>
      </c>
      <c r="Z387" s="6">
        <f ca="1">('TUSD BE'!$AM$27+'TUSD BF'!$AM$27+'TUSD CVA'!$AM$27)*1</f>
        <v>137.4358543126599</v>
      </c>
      <c r="AA387" s="6"/>
      <c r="AB387" s="6">
        <f>$K$387*$V$387</f>
        <v>303321.75876979198</v>
      </c>
      <c r="AC387" s="6">
        <f>$M$387*$W$387</f>
        <v>0</v>
      </c>
      <c r="AD387" s="6">
        <f>$O$387*$X$387</f>
        <v>0</v>
      </c>
      <c r="AE387" s="6">
        <f ca="1">$K$387*$Y$387</f>
        <v>348671.24208619742</v>
      </c>
      <c r="AF387" s="6">
        <f ca="1">$M$387*$Z$387</f>
        <v>0</v>
      </c>
      <c r="AG387" s="6">
        <f>$O$387*$AA$387</f>
        <v>0</v>
      </c>
    </row>
    <row r="388" spans="1:33" ht="11.25" customHeight="1" x14ac:dyDescent="0.25">
      <c r="A388" s="4" t="s">
        <v>21</v>
      </c>
      <c r="B388" s="4" t="s">
        <v>41</v>
      </c>
      <c r="C388" s="4" t="s">
        <v>40</v>
      </c>
      <c r="D388" s="4" t="s">
        <v>38</v>
      </c>
      <c r="E388" s="4" t="s">
        <v>25</v>
      </c>
      <c r="F388" s="4" t="s">
        <v>25</v>
      </c>
      <c r="G388" s="4" t="s">
        <v>25</v>
      </c>
      <c r="H388" s="4" t="s">
        <v>35</v>
      </c>
      <c r="I388" s="5">
        <v>44348</v>
      </c>
      <c r="J388" s="6">
        <v>998</v>
      </c>
      <c r="K388" s="6">
        <v>998</v>
      </c>
      <c r="L388" s="6">
        <v>149.62</v>
      </c>
      <c r="M388" s="6">
        <v>149.62</v>
      </c>
      <c r="N388" s="6">
        <v>149.62</v>
      </c>
      <c r="O388" s="6">
        <v>149.62</v>
      </c>
      <c r="P388" s="6">
        <v>0</v>
      </c>
      <c r="Q388" s="4" t="s">
        <v>26</v>
      </c>
      <c r="R388" s="4">
        <v>0</v>
      </c>
      <c r="S388" s="6">
        <v>22</v>
      </c>
      <c r="T388" s="6">
        <v>23</v>
      </c>
      <c r="U388" s="6">
        <v>79</v>
      </c>
      <c r="V388" s="6">
        <f>IF(ISERROR(VLOOKUP($S$388,'TAR FIN'!$A$1:$O$116,15,0)),0,VLOOKUP($S$388,'TAR FIN'!$A$1:$O$116,15,0))</f>
        <v>25.51</v>
      </c>
      <c r="W388" s="6">
        <f>IF(ISERROR(VLOOKUP($T$388,'TAR FIN'!$A$1:$O$116,15,0)),0,VLOOKUP($T$388,'TAR FIN'!$A$1:$O$116,15,0))</f>
        <v>88.66</v>
      </c>
      <c r="X388" s="6">
        <f>IF(ISERROR(VLOOKUP($U$388,'TAR FIN'!$A$1:$O$116,15,0)),0,VLOOKUP($U$388,'TAR FIN'!$A$1:$O$116,15,0))</f>
        <v>311.04000000000002</v>
      </c>
      <c r="Y388" s="6">
        <f ca="1">('TUSD BE'!$AM$26+'TUSD BF'!$AM$26+'TUSD CVA'!$AM$26)*1</f>
        <v>29.803266797877356</v>
      </c>
      <c r="Z388" s="6">
        <f ca="1">('TUSD BE'!$AM$27+'TUSD BF'!$AM$27+'TUSD CVA'!$AM$27)*1</f>
        <v>137.4358543126599</v>
      </c>
      <c r="AA388" s="6">
        <f>('TE BE'!$AB$10+'TE BF'!$AB$10+'TE CVA'!$AB$10)*1</f>
        <v>313.22907246928764</v>
      </c>
      <c r="AB388" s="6">
        <f>$K$388*$V$388</f>
        <v>25458.980000000003</v>
      </c>
      <c r="AC388" s="6">
        <f>$M$388*$W$388</f>
        <v>13265.3092</v>
      </c>
      <c r="AD388" s="6">
        <f>$O$388*$X$388</f>
        <v>46537.804800000005</v>
      </c>
      <c r="AE388" s="6">
        <f ca="1">$K$388*$Y$388</f>
        <v>29743.6602642816</v>
      </c>
      <c r="AF388" s="6">
        <f ca="1">$M$388*$Z$388</f>
        <v>20563.152522260174</v>
      </c>
      <c r="AG388" s="6">
        <f>$O$388*$AA$388</f>
        <v>46865.333822854816</v>
      </c>
    </row>
    <row r="389" spans="1:33" ht="11.25" customHeight="1" x14ac:dyDescent="0.25">
      <c r="A389" s="4" t="s">
        <v>28</v>
      </c>
      <c r="B389" s="4" t="s">
        <v>41</v>
      </c>
      <c r="C389" s="4" t="s">
        <v>40</v>
      </c>
      <c r="D389" s="4" t="s">
        <v>38</v>
      </c>
      <c r="E389" s="4" t="s">
        <v>25</v>
      </c>
      <c r="F389" s="4" t="s">
        <v>25</v>
      </c>
      <c r="G389" s="4" t="s">
        <v>25</v>
      </c>
      <c r="H389" s="4" t="s">
        <v>35</v>
      </c>
      <c r="I389" s="5">
        <v>44348</v>
      </c>
      <c r="J389" s="6">
        <v>110</v>
      </c>
      <c r="K389" s="6">
        <v>110</v>
      </c>
      <c r="L389" s="6">
        <v>42.968000000000004</v>
      </c>
      <c r="M389" s="6">
        <v>42.968000000000004</v>
      </c>
      <c r="N389" s="6">
        <v>42.968000000000004</v>
      </c>
      <c r="O389" s="6">
        <v>42.968000000000004</v>
      </c>
      <c r="P389" s="6">
        <v>0</v>
      </c>
      <c r="Q389" s="4" t="s">
        <v>26</v>
      </c>
      <c r="R389" s="4">
        <v>0</v>
      </c>
      <c r="S389" s="6">
        <v>22</v>
      </c>
      <c r="T389" s="6">
        <v>23</v>
      </c>
      <c r="U389" s="6">
        <v>79</v>
      </c>
      <c r="V389" s="6">
        <f>IF(ISERROR(VLOOKUP($S$389,'TAR FIN'!$A$1:$O$116,15,0)),0,VLOOKUP($S$389,'TAR FIN'!$A$1:$O$116,15,0))</f>
        <v>25.51</v>
      </c>
      <c r="W389" s="6">
        <f>IF(ISERROR(VLOOKUP($T$389,'TAR FIN'!$A$1:$O$116,15,0)),0,VLOOKUP($T$389,'TAR FIN'!$A$1:$O$116,15,0))</f>
        <v>88.66</v>
      </c>
      <c r="X389" s="6">
        <f>IF(ISERROR(VLOOKUP($U$389,'TAR FIN'!$A$1:$O$116,15,0)),0,VLOOKUP($U$389,'TAR FIN'!$A$1:$O$116,15,0))</f>
        <v>311.04000000000002</v>
      </c>
      <c r="Y389" s="6">
        <f ca="1">('TUSD BE'!$AM$26+'TUSD BF'!$AM$26+'TUSD CVA'!$AM$26)*1</f>
        <v>29.803266797877356</v>
      </c>
      <c r="Z389" s="6">
        <f ca="1">('TUSD BE'!$AM$27+'TUSD BF'!$AM$27+'TUSD CVA'!$AM$27)*1</f>
        <v>137.4358543126599</v>
      </c>
      <c r="AA389" s="6">
        <f>('TE BE'!$AB$10+'TE BF'!$AB$10+'TE CVA'!$AB$10)*1</f>
        <v>313.22907246928764</v>
      </c>
      <c r="AB389" s="6">
        <f>$K$389*$V$389</f>
        <v>2806.1000000000004</v>
      </c>
      <c r="AC389" s="6">
        <f>$M$389*$W$389</f>
        <v>3809.54288</v>
      </c>
      <c r="AD389" s="6">
        <f>$O$389*$X$389</f>
        <v>13364.766720000001</v>
      </c>
      <c r="AE389" s="6">
        <f ca="1">$K$389*$Y$389</f>
        <v>3278.359347766509</v>
      </c>
      <c r="AF389" s="6">
        <f ca="1">$M$389*$Z$389</f>
        <v>5905.343788106371</v>
      </c>
      <c r="AG389" s="6">
        <f>$O$389*$AA$389</f>
        <v>13458.826785860352</v>
      </c>
    </row>
    <row r="390" spans="1:33" ht="11.25" customHeight="1" x14ac:dyDescent="0.25">
      <c r="A390" s="4" t="s">
        <v>21</v>
      </c>
      <c r="B390" s="4" t="s">
        <v>41</v>
      </c>
      <c r="C390" s="4" t="s">
        <v>40</v>
      </c>
      <c r="D390" s="4" t="s">
        <v>38</v>
      </c>
      <c r="E390" s="4" t="s">
        <v>25</v>
      </c>
      <c r="F390" s="4" t="s">
        <v>25</v>
      </c>
      <c r="G390" s="4" t="s">
        <v>25</v>
      </c>
      <c r="H390" s="4" t="s">
        <v>35</v>
      </c>
      <c r="I390" s="5">
        <v>44348</v>
      </c>
      <c r="J390" s="6">
        <v>4000</v>
      </c>
      <c r="K390" s="6">
        <v>4000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4" t="s">
        <v>60</v>
      </c>
      <c r="R390" s="4">
        <v>0</v>
      </c>
      <c r="S390" s="6">
        <v>22</v>
      </c>
      <c r="T390" s="6">
        <v>0</v>
      </c>
      <c r="U390" s="6">
        <v>0</v>
      </c>
      <c r="V390" s="6">
        <f>IF(ISERROR(VLOOKUP($S$390,'TAR FIN'!$A$1:$O$116,15,0)),0,VLOOKUP($S$390,'TAR FIN'!$A$1:$O$116,15,0))</f>
        <v>25.51</v>
      </c>
      <c r="W390" s="6">
        <f>IF(ISERROR(VLOOKUP($T$390,'TAR FIN'!$A$1:$O$116,15,0)),0,VLOOKUP($T$390,'TAR FIN'!$A$1:$O$116,15,0))</f>
        <v>0</v>
      </c>
      <c r="X390" s="6">
        <f>IF(ISERROR(VLOOKUP($U$390,'TAR FIN'!$A$1:$O$116,15,0)),0,VLOOKUP($U$390,'TAR FIN'!$A$1:$O$116,15,0))</f>
        <v>0</v>
      </c>
      <c r="Y390" s="6">
        <f ca="1">('TUSD BE'!$AM$26+'TUSD BF'!$AM$26+'TUSD CVA'!$AM$26)*1</f>
        <v>29.803266797877356</v>
      </c>
      <c r="Z390" s="6">
        <f ca="1">('TUSD BE'!$AM$27+'TUSD BF'!$AM$27+'TUSD CVA'!$AM$27)*1</f>
        <v>137.4358543126599</v>
      </c>
      <c r="AA390" s="6"/>
      <c r="AB390" s="6">
        <f>$K$390*$V$390</f>
        <v>102040</v>
      </c>
      <c r="AC390" s="6">
        <f>$M$390*$W$390</f>
        <v>0</v>
      </c>
      <c r="AD390" s="6">
        <f>$O$390*$X$390</f>
        <v>0</v>
      </c>
      <c r="AE390" s="6">
        <f ca="1">$K$390*$Y$390</f>
        <v>119213.06719150943</v>
      </c>
      <c r="AF390" s="6">
        <f ca="1">$M$390*$Z$390</f>
        <v>0</v>
      </c>
      <c r="AG390" s="6">
        <f>$O$390*$AA$390</f>
        <v>0</v>
      </c>
    </row>
    <row r="391" spans="1:33" ht="11.25" customHeight="1" x14ac:dyDescent="0.25">
      <c r="A391" s="4" t="s">
        <v>21</v>
      </c>
      <c r="B391" s="4" t="s">
        <v>41</v>
      </c>
      <c r="C391" s="4" t="s">
        <v>40</v>
      </c>
      <c r="D391" s="4" t="s">
        <v>38</v>
      </c>
      <c r="E391" s="4" t="s">
        <v>25</v>
      </c>
      <c r="F391" s="4" t="s">
        <v>25</v>
      </c>
      <c r="G391" s="4" t="s">
        <v>25</v>
      </c>
      <c r="H391" s="4" t="s">
        <v>35</v>
      </c>
      <c r="I391" s="5">
        <v>44378</v>
      </c>
      <c r="J391" s="6">
        <v>115</v>
      </c>
      <c r="K391" s="6">
        <v>115</v>
      </c>
      <c r="L391" s="6">
        <v>35.67</v>
      </c>
      <c r="M391" s="6">
        <v>35.67</v>
      </c>
      <c r="N391" s="6">
        <v>35.67</v>
      </c>
      <c r="O391" s="6">
        <v>35.67</v>
      </c>
      <c r="P391" s="6">
        <v>0</v>
      </c>
      <c r="Q391" s="4" t="s">
        <v>26</v>
      </c>
      <c r="R391" s="4">
        <v>0</v>
      </c>
      <c r="S391" s="6">
        <v>22</v>
      </c>
      <c r="T391" s="6">
        <v>23</v>
      </c>
      <c r="U391" s="6">
        <v>79</v>
      </c>
      <c r="V391" s="6">
        <f>IF(ISERROR(VLOOKUP($S$391,'TAR FIN'!$A$1:$O$116,15,0)),0,VLOOKUP($S$391,'TAR FIN'!$A$1:$O$116,15,0))</f>
        <v>25.51</v>
      </c>
      <c r="W391" s="6">
        <f>IF(ISERROR(VLOOKUP($T$391,'TAR FIN'!$A$1:$O$116,15,0)),0,VLOOKUP($T$391,'TAR FIN'!$A$1:$O$116,15,0))</f>
        <v>88.66</v>
      </c>
      <c r="X391" s="6">
        <f>IF(ISERROR(VLOOKUP($U$391,'TAR FIN'!$A$1:$O$116,15,0)),0,VLOOKUP($U$391,'TAR FIN'!$A$1:$O$116,15,0))</f>
        <v>311.04000000000002</v>
      </c>
      <c r="Y391" s="6">
        <f ca="1">('TUSD BE'!$AM$26+'TUSD BF'!$AM$26+'TUSD CVA'!$AM$26)*1</f>
        <v>29.803266797877356</v>
      </c>
      <c r="Z391" s="6">
        <f ca="1">('TUSD BE'!$AM$27+'TUSD BF'!$AM$27+'TUSD CVA'!$AM$27)*1</f>
        <v>137.4358543126599</v>
      </c>
      <c r="AA391" s="6">
        <f>('TE BE'!$AB$10+'TE BF'!$AB$10+'TE CVA'!$AB$10)*1</f>
        <v>313.22907246928764</v>
      </c>
      <c r="AB391" s="6">
        <f>$K$391*$V$391</f>
        <v>2933.65</v>
      </c>
      <c r="AC391" s="6">
        <f>$M$391*$W$391</f>
        <v>3162.5021999999999</v>
      </c>
      <c r="AD391" s="6">
        <f>$O$391*$X$391</f>
        <v>11094.796800000002</v>
      </c>
      <c r="AE391" s="6">
        <f ca="1">$K$391*$Y$391</f>
        <v>3427.375681755896</v>
      </c>
      <c r="AF391" s="6">
        <f ca="1">$M$391*$Z$391</f>
        <v>4902.3369233325784</v>
      </c>
      <c r="AG391" s="6">
        <f>$O$391*$AA$391</f>
        <v>11172.88101497949</v>
      </c>
    </row>
    <row r="392" spans="1:33" ht="11.25" customHeight="1" x14ac:dyDescent="0.25">
      <c r="A392" s="4" t="s">
        <v>28</v>
      </c>
      <c r="B392" s="4" t="s">
        <v>41</v>
      </c>
      <c r="C392" s="4" t="s">
        <v>40</v>
      </c>
      <c r="D392" s="4" t="s">
        <v>38</v>
      </c>
      <c r="E392" s="4" t="s">
        <v>25</v>
      </c>
      <c r="F392" s="4" t="s">
        <v>25</v>
      </c>
      <c r="G392" s="4" t="s">
        <v>25</v>
      </c>
      <c r="H392" s="4" t="s">
        <v>35</v>
      </c>
      <c r="I392" s="5">
        <v>44378</v>
      </c>
      <c r="J392" s="6">
        <v>116</v>
      </c>
      <c r="K392" s="6">
        <v>116</v>
      </c>
      <c r="L392" s="6">
        <v>49.651000000000003</v>
      </c>
      <c r="M392" s="6">
        <v>49.651000000000003</v>
      </c>
      <c r="N392" s="6">
        <v>49.651000000000003</v>
      </c>
      <c r="O392" s="6">
        <v>49.651000000000003</v>
      </c>
      <c r="P392" s="6">
        <v>0</v>
      </c>
      <c r="Q392" s="4" t="s">
        <v>26</v>
      </c>
      <c r="R392" s="4">
        <v>0</v>
      </c>
      <c r="S392" s="6">
        <v>22</v>
      </c>
      <c r="T392" s="6">
        <v>23</v>
      </c>
      <c r="U392" s="6">
        <v>79</v>
      </c>
      <c r="V392" s="6">
        <f>IF(ISERROR(VLOOKUP($S$392,'TAR FIN'!$A$1:$O$116,15,0)),0,VLOOKUP($S$392,'TAR FIN'!$A$1:$O$116,15,0))</f>
        <v>25.51</v>
      </c>
      <c r="W392" s="6">
        <f>IF(ISERROR(VLOOKUP($T$392,'TAR FIN'!$A$1:$O$116,15,0)),0,VLOOKUP($T$392,'TAR FIN'!$A$1:$O$116,15,0))</f>
        <v>88.66</v>
      </c>
      <c r="X392" s="6">
        <f>IF(ISERROR(VLOOKUP($U$392,'TAR FIN'!$A$1:$O$116,15,0)),0,VLOOKUP($U$392,'TAR FIN'!$A$1:$O$116,15,0))</f>
        <v>311.04000000000002</v>
      </c>
      <c r="Y392" s="6">
        <f ca="1">('TUSD BE'!$AM$26+'TUSD BF'!$AM$26+'TUSD CVA'!$AM$26)*1</f>
        <v>29.803266797877356</v>
      </c>
      <c r="Z392" s="6">
        <f ca="1">('TUSD BE'!$AM$27+'TUSD BF'!$AM$27+'TUSD CVA'!$AM$27)*1</f>
        <v>137.4358543126599</v>
      </c>
      <c r="AA392" s="6">
        <f>('TE BE'!$AB$10+'TE BF'!$AB$10+'TE CVA'!$AB$10)*1</f>
        <v>313.22907246928764</v>
      </c>
      <c r="AB392" s="6">
        <f>$K$392*$V$392</f>
        <v>2959.1600000000003</v>
      </c>
      <c r="AC392" s="6">
        <f>$M$392*$W$392</f>
        <v>4402.0576600000004</v>
      </c>
      <c r="AD392" s="6">
        <f>$O$392*$X$392</f>
        <v>15443.447040000003</v>
      </c>
      <c r="AE392" s="6">
        <f ca="1">$K$392*$Y$392</f>
        <v>3457.1789485537734</v>
      </c>
      <c r="AF392" s="6">
        <f ca="1">$M$392*$Z$392</f>
        <v>6823.827602477877</v>
      </c>
      <c r="AG392" s="6">
        <f>$O$392*$AA$392</f>
        <v>15552.136677172603</v>
      </c>
    </row>
    <row r="393" spans="1:33" ht="11.25" customHeight="1" x14ac:dyDescent="0.25">
      <c r="A393" s="4" t="s">
        <v>21</v>
      </c>
      <c r="B393" s="4" t="s">
        <v>41</v>
      </c>
      <c r="C393" s="4" t="s">
        <v>40</v>
      </c>
      <c r="D393" s="4" t="s">
        <v>38</v>
      </c>
      <c r="E393" s="4" t="s">
        <v>25</v>
      </c>
      <c r="F393" s="4" t="s">
        <v>25</v>
      </c>
      <c r="G393" s="4" t="s">
        <v>25</v>
      </c>
      <c r="H393" s="4" t="s">
        <v>35</v>
      </c>
      <c r="I393" s="5">
        <v>44378</v>
      </c>
      <c r="J393" s="6">
        <v>4000</v>
      </c>
      <c r="K393" s="6">
        <v>4000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4" t="s">
        <v>60</v>
      </c>
      <c r="R393" s="4">
        <v>0</v>
      </c>
      <c r="S393" s="6">
        <v>22</v>
      </c>
      <c r="T393" s="6">
        <v>0</v>
      </c>
      <c r="U393" s="6">
        <v>0</v>
      </c>
      <c r="V393" s="6">
        <f>IF(ISERROR(VLOOKUP($S$393,'TAR FIN'!$A$1:$O$116,15,0)),0,VLOOKUP($S$393,'TAR FIN'!$A$1:$O$116,15,0))</f>
        <v>25.51</v>
      </c>
      <c r="W393" s="6">
        <f>IF(ISERROR(VLOOKUP($T$393,'TAR FIN'!$A$1:$O$116,15,0)),0,VLOOKUP($T$393,'TAR FIN'!$A$1:$O$116,15,0))</f>
        <v>0</v>
      </c>
      <c r="X393" s="6">
        <f>IF(ISERROR(VLOOKUP($U$393,'TAR FIN'!$A$1:$O$116,15,0)),0,VLOOKUP($U$393,'TAR FIN'!$A$1:$O$116,15,0))</f>
        <v>0</v>
      </c>
      <c r="Y393" s="6">
        <f ca="1">('TUSD BE'!$AM$26+'TUSD BF'!$AM$26+'TUSD CVA'!$AM$26)*1</f>
        <v>29.803266797877356</v>
      </c>
      <c r="Z393" s="6">
        <f ca="1">('TUSD BE'!$AM$27+'TUSD BF'!$AM$27+'TUSD CVA'!$AM$27)*1</f>
        <v>137.4358543126599</v>
      </c>
      <c r="AA393" s="6"/>
      <c r="AB393" s="6">
        <f>$K$393*$V$393</f>
        <v>102040</v>
      </c>
      <c r="AC393" s="6">
        <f>$M$393*$W$393</f>
        <v>0</v>
      </c>
      <c r="AD393" s="6">
        <f>$O$393*$X$393</f>
        <v>0</v>
      </c>
      <c r="AE393" s="6">
        <f ca="1">$K$393*$Y$393</f>
        <v>119213.06719150943</v>
      </c>
      <c r="AF393" s="6">
        <f ca="1">$M$393*$Z$393</f>
        <v>0</v>
      </c>
      <c r="AG393" s="6">
        <f>$O$393*$AA$393</f>
        <v>0</v>
      </c>
    </row>
    <row r="394" spans="1:33" ht="11.25" customHeight="1" x14ac:dyDescent="0.25">
      <c r="A394" s="4" t="s">
        <v>21</v>
      </c>
      <c r="B394" s="4" t="s">
        <v>41</v>
      </c>
      <c r="C394" s="4" t="s">
        <v>40</v>
      </c>
      <c r="D394" s="4" t="s">
        <v>38</v>
      </c>
      <c r="E394" s="4" t="s">
        <v>25</v>
      </c>
      <c r="F394" s="4" t="s">
        <v>25</v>
      </c>
      <c r="G394" s="4" t="s">
        <v>25</v>
      </c>
      <c r="H394" s="4" t="s">
        <v>35</v>
      </c>
      <c r="I394" s="5">
        <v>44409</v>
      </c>
      <c r="J394" s="6">
        <v>115</v>
      </c>
      <c r="K394" s="6">
        <v>115</v>
      </c>
      <c r="L394" s="6">
        <v>39.893000000000001</v>
      </c>
      <c r="M394" s="6">
        <v>39.893000000000001</v>
      </c>
      <c r="N394" s="6">
        <v>39.893000000000001</v>
      </c>
      <c r="O394" s="6">
        <v>39.893000000000001</v>
      </c>
      <c r="P394" s="6">
        <v>0</v>
      </c>
      <c r="Q394" s="4" t="s">
        <v>26</v>
      </c>
      <c r="R394" s="4">
        <v>0</v>
      </c>
      <c r="S394" s="6">
        <v>22</v>
      </c>
      <c r="T394" s="6">
        <v>23</v>
      </c>
      <c r="U394" s="6">
        <v>79</v>
      </c>
      <c r="V394" s="6">
        <f>IF(ISERROR(VLOOKUP($S$394,'TAR FIN'!$A$1:$O$116,15,0)),0,VLOOKUP($S$394,'TAR FIN'!$A$1:$O$116,15,0))</f>
        <v>25.51</v>
      </c>
      <c r="W394" s="6">
        <f>IF(ISERROR(VLOOKUP($T$394,'TAR FIN'!$A$1:$O$116,15,0)),0,VLOOKUP($T$394,'TAR FIN'!$A$1:$O$116,15,0))</f>
        <v>88.66</v>
      </c>
      <c r="X394" s="6">
        <f>IF(ISERROR(VLOOKUP($U$394,'TAR FIN'!$A$1:$O$116,15,0)),0,VLOOKUP($U$394,'TAR FIN'!$A$1:$O$116,15,0))</f>
        <v>311.04000000000002</v>
      </c>
      <c r="Y394" s="6">
        <f ca="1">('TUSD BE'!$AM$26+'TUSD BF'!$AM$26+'TUSD CVA'!$AM$26)*1</f>
        <v>29.803266797877356</v>
      </c>
      <c r="Z394" s="6">
        <f ca="1">('TUSD BE'!$AM$27+'TUSD BF'!$AM$27+'TUSD CVA'!$AM$27)*1</f>
        <v>137.4358543126599</v>
      </c>
      <c r="AA394" s="6">
        <f>('TE BE'!$AB$10+'TE BF'!$AB$10+'TE CVA'!$AB$10)*1</f>
        <v>313.22907246928764</v>
      </c>
      <c r="AB394" s="6">
        <f>$K$394*$V$394</f>
        <v>2933.65</v>
      </c>
      <c r="AC394" s="6">
        <f>$M$394*$W$394</f>
        <v>3536.91338</v>
      </c>
      <c r="AD394" s="6">
        <f>$O$394*$X$394</f>
        <v>12408.318720000001</v>
      </c>
      <c r="AE394" s="6">
        <f ca="1">$K$394*$Y$394</f>
        <v>3427.375681755896</v>
      </c>
      <c r="AF394" s="6">
        <f ca="1">$M$394*$Z$394</f>
        <v>5482.7285360949418</v>
      </c>
      <c r="AG394" s="6">
        <f>$O$394*$AA$394</f>
        <v>12495.647388017293</v>
      </c>
    </row>
    <row r="395" spans="1:33" ht="11.25" customHeight="1" x14ac:dyDescent="0.25">
      <c r="A395" s="4" t="s">
        <v>28</v>
      </c>
      <c r="B395" s="4" t="s">
        <v>41</v>
      </c>
      <c r="C395" s="4" t="s">
        <v>40</v>
      </c>
      <c r="D395" s="4" t="s">
        <v>38</v>
      </c>
      <c r="E395" s="4" t="s">
        <v>25</v>
      </c>
      <c r="F395" s="4" t="s">
        <v>25</v>
      </c>
      <c r="G395" s="4" t="s">
        <v>25</v>
      </c>
      <c r="H395" s="4" t="s">
        <v>35</v>
      </c>
      <c r="I395" s="5">
        <v>44409</v>
      </c>
      <c r="J395" s="6">
        <v>113</v>
      </c>
      <c r="K395" s="6">
        <v>113</v>
      </c>
      <c r="L395" s="6">
        <v>48.134</v>
      </c>
      <c r="M395" s="6">
        <v>48.134</v>
      </c>
      <c r="N395" s="6">
        <v>48.134</v>
      </c>
      <c r="O395" s="6">
        <v>48.134</v>
      </c>
      <c r="P395" s="6">
        <v>0</v>
      </c>
      <c r="Q395" s="4" t="s">
        <v>26</v>
      </c>
      <c r="R395" s="4">
        <v>0</v>
      </c>
      <c r="S395" s="6">
        <v>22</v>
      </c>
      <c r="T395" s="6">
        <v>23</v>
      </c>
      <c r="U395" s="6">
        <v>79</v>
      </c>
      <c r="V395" s="6">
        <f>IF(ISERROR(VLOOKUP($S$395,'TAR FIN'!$A$1:$O$116,15,0)),0,VLOOKUP($S$395,'TAR FIN'!$A$1:$O$116,15,0))</f>
        <v>25.51</v>
      </c>
      <c r="W395" s="6">
        <f>IF(ISERROR(VLOOKUP($T$395,'TAR FIN'!$A$1:$O$116,15,0)),0,VLOOKUP($T$395,'TAR FIN'!$A$1:$O$116,15,0))</f>
        <v>88.66</v>
      </c>
      <c r="X395" s="6">
        <f>IF(ISERROR(VLOOKUP($U$395,'TAR FIN'!$A$1:$O$116,15,0)),0,VLOOKUP($U$395,'TAR FIN'!$A$1:$O$116,15,0))</f>
        <v>311.04000000000002</v>
      </c>
      <c r="Y395" s="6">
        <f ca="1">('TUSD BE'!$AM$26+'TUSD BF'!$AM$26+'TUSD CVA'!$AM$26)*1</f>
        <v>29.803266797877356</v>
      </c>
      <c r="Z395" s="6">
        <f ca="1">('TUSD BE'!$AM$27+'TUSD BF'!$AM$27+'TUSD CVA'!$AM$27)*1</f>
        <v>137.4358543126599</v>
      </c>
      <c r="AA395" s="6">
        <f>('TE BE'!$AB$10+'TE BF'!$AB$10+'TE CVA'!$AB$10)*1</f>
        <v>313.22907246928764</v>
      </c>
      <c r="AB395" s="6">
        <f>$K$395*$V$395</f>
        <v>2882.63</v>
      </c>
      <c r="AC395" s="6">
        <f>$M$395*$W$395</f>
        <v>4267.5604400000002</v>
      </c>
      <c r="AD395" s="6">
        <f>$O$395*$X$395</f>
        <v>14971.599360000002</v>
      </c>
      <c r="AE395" s="6">
        <f ca="1">$K$395*$Y$395</f>
        <v>3367.7691481601414</v>
      </c>
      <c r="AF395" s="6">
        <f ca="1">$M$395*$Z$395</f>
        <v>6615.3374114855715</v>
      </c>
      <c r="AG395" s="6">
        <f>$O$395*$AA$395</f>
        <v>15076.968174236692</v>
      </c>
    </row>
    <row r="396" spans="1:33" ht="11.25" customHeight="1" x14ac:dyDescent="0.25">
      <c r="A396" s="4" t="s">
        <v>21</v>
      </c>
      <c r="B396" s="4" t="s">
        <v>41</v>
      </c>
      <c r="C396" s="4" t="s">
        <v>40</v>
      </c>
      <c r="D396" s="4" t="s">
        <v>38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44409</v>
      </c>
      <c r="J396" s="6">
        <v>9980</v>
      </c>
      <c r="K396" s="6">
        <v>9980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4" t="s">
        <v>60</v>
      </c>
      <c r="R396" s="4">
        <v>0</v>
      </c>
      <c r="S396" s="6">
        <v>22</v>
      </c>
      <c r="T396" s="6">
        <v>0</v>
      </c>
      <c r="U396" s="6">
        <v>0</v>
      </c>
      <c r="V396" s="6">
        <f>IF(ISERROR(VLOOKUP($S$396,'TAR FIN'!$A$1:$O$116,15,0)),0,VLOOKUP($S$396,'TAR FIN'!$A$1:$O$116,15,0))</f>
        <v>25.51</v>
      </c>
      <c r="W396" s="6">
        <f>IF(ISERROR(VLOOKUP($T$396,'TAR FIN'!$A$1:$O$116,15,0)),0,VLOOKUP($T$396,'TAR FIN'!$A$1:$O$116,15,0))</f>
        <v>0</v>
      </c>
      <c r="X396" s="6">
        <f>IF(ISERROR(VLOOKUP($U$396,'TAR FIN'!$A$1:$O$116,15,0)),0,VLOOKUP($U$396,'TAR FIN'!$A$1:$O$116,15,0))</f>
        <v>0</v>
      </c>
      <c r="Y396" s="6">
        <f ca="1">('TUSD BE'!$AM$26+'TUSD BF'!$AM$26+'TUSD CVA'!$AM$26)*1</f>
        <v>29.803266797877356</v>
      </c>
      <c r="Z396" s="6">
        <f ca="1">('TUSD BE'!$AM$27+'TUSD BF'!$AM$27+'TUSD CVA'!$AM$27)*1</f>
        <v>137.4358543126599</v>
      </c>
      <c r="AA396" s="6"/>
      <c r="AB396" s="6">
        <f>$K$396*$V$396</f>
        <v>254589.80000000002</v>
      </c>
      <c r="AC396" s="6">
        <f>$M$396*$W$396</f>
        <v>0</v>
      </c>
      <c r="AD396" s="6">
        <f>$O$396*$X$396</f>
        <v>0</v>
      </c>
      <c r="AE396" s="6">
        <f ca="1">$K$396*$Y$396</f>
        <v>297436.60264281603</v>
      </c>
      <c r="AF396" s="6">
        <f ca="1">$M$396*$Z$396</f>
        <v>0</v>
      </c>
      <c r="AG396" s="6">
        <f>$O$396*$AA$396</f>
        <v>0</v>
      </c>
    </row>
    <row r="397" spans="1:33" ht="11.25" customHeight="1" x14ac:dyDescent="0.25">
      <c r="A397" s="4" t="s">
        <v>28</v>
      </c>
      <c r="B397" s="4" t="s">
        <v>41</v>
      </c>
      <c r="C397" s="4" t="s">
        <v>40</v>
      </c>
      <c r="D397" s="4" t="s">
        <v>38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44440</v>
      </c>
      <c r="J397" s="6">
        <v>215</v>
      </c>
      <c r="K397" s="6">
        <v>215</v>
      </c>
      <c r="L397" s="6">
        <v>67.403000000000006</v>
      </c>
      <c r="M397" s="6">
        <v>67.403000000000006</v>
      </c>
      <c r="N397" s="6">
        <v>67.403000000000006</v>
      </c>
      <c r="O397" s="6">
        <v>67.403000000000006</v>
      </c>
      <c r="P397" s="6">
        <v>0</v>
      </c>
      <c r="Q397" s="4" t="s">
        <v>26</v>
      </c>
      <c r="R397" s="4">
        <v>0</v>
      </c>
      <c r="S397" s="6">
        <v>22</v>
      </c>
      <c r="T397" s="6">
        <v>23</v>
      </c>
      <c r="U397" s="6">
        <v>79</v>
      </c>
      <c r="V397" s="6">
        <f>IF(ISERROR(VLOOKUP($S$397,'TAR FIN'!$A$1:$O$116,15,0)),0,VLOOKUP($S$397,'TAR FIN'!$A$1:$O$116,15,0))</f>
        <v>25.51</v>
      </c>
      <c r="W397" s="6">
        <f>IF(ISERROR(VLOOKUP($T$397,'TAR FIN'!$A$1:$O$116,15,0)),0,VLOOKUP($T$397,'TAR FIN'!$A$1:$O$116,15,0))</f>
        <v>88.66</v>
      </c>
      <c r="X397" s="6">
        <f>IF(ISERROR(VLOOKUP($U$397,'TAR FIN'!$A$1:$O$116,15,0)),0,VLOOKUP($U$397,'TAR FIN'!$A$1:$O$116,15,0))</f>
        <v>311.04000000000002</v>
      </c>
      <c r="Y397" s="6">
        <f ca="1">('TUSD BE'!$AM$26+'TUSD BF'!$AM$26+'TUSD CVA'!$AM$26)*1</f>
        <v>29.803266797877356</v>
      </c>
      <c r="Z397" s="6">
        <f ca="1">('TUSD BE'!$AM$27+'TUSD BF'!$AM$27+'TUSD CVA'!$AM$27)*1</f>
        <v>137.4358543126599</v>
      </c>
      <c r="AA397" s="6">
        <f>('TE BE'!$AB$10+'TE BF'!$AB$10+'TE CVA'!$AB$10)*1</f>
        <v>313.22907246928764</v>
      </c>
      <c r="AB397" s="6">
        <f>$K$397*$V$397</f>
        <v>5484.6500000000005</v>
      </c>
      <c r="AC397" s="6">
        <f>$M$397*$W$397</f>
        <v>5975.9499800000003</v>
      </c>
      <c r="AD397" s="6">
        <f>$O$397*$X$397</f>
        <v>20965.029120000003</v>
      </c>
      <c r="AE397" s="6">
        <f ca="1">$K$397*$Y$397</f>
        <v>6407.7023615436319</v>
      </c>
      <c r="AF397" s="6">
        <f ca="1">$M$397*$Z$397</f>
        <v>9263.588888236216</v>
      </c>
      <c r="AG397" s="6">
        <f>$O$397*$AA$397</f>
        <v>21112.579171647398</v>
      </c>
    </row>
    <row r="398" spans="1:33" ht="11.25" customHeight="1" x14ac:dyDescent="0.25">
      <c r="A398" s="4" t="s">
        <v>21</v>
      </c>
      <c r="B398" s="4" t="s">
        <v>41</v>
      </c>
      <c r="C398" s="4" t="s">
        <v>40</v>
      </c>
      <c r="D398" s="4" t="s">
        <v>38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44440</v>
      </c>
      <c r="J398" s="6">
        <v>10040</v>
      </c>
      <c r="K398" s="6">
        <v>10040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4" t="s">
        <v>60</v>
      </c>
      <c r="R398" s="4">
        <v>0</v>
      </c>
      <c r="S398" s="6">
        <v>22</v>
      </c>
      <c r="T398" s="6">
        <v>0</v>
      </c>
      <c r="U398" s="6">
        <v>0</v>
      </c>
      <c r="V398" s="6">
        <f>IF(ISERROR(VLOOKUP($S$398,'TAR FIN'!$A$1:$O$116,15,0)),0,VLOOKUP($S$398,'TAR FIN'!$A$1:$O$116,15,0))</f>
        <v>25.51</v>
      </c>
      <c r="W398" s="6">
        <f>IF(ISERROR(VLOOKUP($T$398,'TAR FIN'!$A$1:$O$116,15,0)),0,VLOOKUP($T$398,'TAR FIN'!$A$1:$O$116,15,0))</f>
        <v>0</v>
      </c>
      <c r="X398" s="6">
        <f>IF(ISERROR(VLOOKUP($U$398,'TAR FIN'!$A$1:$O$116,15,0)),0,VLOOKUP($U$398,'TAR FIN'!$A$1:$O$116,15,0))</f>
        <v>0</v>
      </c>
      <c r="Y398" s="6">
        <f ca="1">('TUSD BE'!$AM$26+'TUSD BF'!$AM$26+'TUSD CVA'!$AM$26)*1</f>
        <v>29.803266797877356</v>
      </c>
      <c r="Z398" s="6">
        <f ca="1">('TUSD BE'!$AM$27+'TUSD BF'!$AM$27+'TUSD CVA'!$AM$27)*1</f>
        <v>137.4358543126599</v>
      </c>
      <c r="AA398" s="6"/>
      <c r="AB398" s="6">
        <f>$K$398*$V$398</f>
        <v>256120.40000000002</v>
      </c>
      <c r="AC398" s="6">
        <f>$M$398*$W$398</f>
        <v>0</v>
      </c>
      <c r="AD398" s="6">
        <f>$O$398*$X$398</f>
        <v>0</v>
      </c>
      <c r="AE398" s="6">
        <f ca="1">$K$398*$Y$398</f>
        <v>299224.79865068867</v>
      </c>
      <c r="AF398" s="6">
        <f ca="1">$M$398*$Z$398</f>
        <v>0</v>
      </c>
      <c r="AG398" s="6">
        <f>$O$398*$AA$398</f>
        <v>0</v>
      </c>
    </row>
    <row r="399" spans="1:33" ht="11.25" customHeight="1" x14ac:dyDescent="0.25">
      <c r="A399" s="4" t="s">
        <v>28</v>
      </c>
      <c r="B399" s="4" t="s">
        <v>41</v>
      </c>
      <c r="C399" s="4" t="s">
        <v>40</v>
      </c>
      <c r="D399" s="4" t="s">
        <v>38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44470</v>
      </c>
      <c r="J399" s="6">
        <v>217</v>
      </c>
      <c r="K399" s="6">
        <v>217</v>
      </c>
      <c r="L399" s="6">
        <v>65.813999999999993</v>
      </c>
      <c r="M399" s="6">
        <v>65.813999999999993</v>
      </c>
      <c r="N399" s="6">
        <v>65.813999999999993</v>
      </c>
      <c r="O399" s="6">
        <v>65.813999999999993</v>
      </c>
      <c r="P399" s="6">
        <v>0</v>
      </c>
      <c r="Q399" s="4" t="s">
        <v>26</v>
      </c>
      <c r="R399" s="4">
        <v>0</v>
      </c>
      <c r="S399" s="6">
        <v>22</v>
      </c>
      <c r="T399" s="6">
        <v>23</v>
      </c>
      <c r="U399" s="6">
        <v>79</v>
      </c>
      <c r="V399" s="6">
        <f>IF(ISERROR(VLOOKUP($S$399,'TAR FIN'!$A$1:$O$116,15,0)),0,VLOOKUP($S$399,'TAR FIN'!$A$1:$O$116,15,0))</f>
        <v>25.51</v>
      </c>
      <c r="W399" s="6">
        <f>IF(ISERROR(VLOOKUP($T$399,'TAR FIN'!$A$1:$O$116,15,0)),0,VLOOKUP($T$399,'TAR FIN'!$A$1:$O$116,15,0))</f>
        <v>88.66</v>
      </c>
      <c r="X399" s="6">
        <f>IF(ISERROR(VLOOKUP($U$399,'TAR FIN'!$A$1:$O$116,15,0)),0,VLOOKUP($U$399,'TAR FIN'!$A$1:$O$116,15,0))</f>
        <v>311.04000000000002</v>
      </c>
      <c r="Y399" s="6">
        <f ca="1">('TUSD BE'!$AM$26+'TUSD BF'!$AM$26+'TUSD CVA'!$AM$26)*1</f>
        <v>29.803266797877356</v>
      </c>
      <c r="Z399" s="6">
        <f ca="1">('TUSD BE'!$AM$27+'TUSD BF'!$AM$27+'TUSD CVA'!$AM$27)*1</f>
        <v>137.4358543126599</v>
      </c>
      <c r="AA399" s="6">
        <f>('TE BE'!$AB$10+'TE BF'!$AB$10+'TE CVA'!$AB$10)*1</f>
        <v>313.22907246928764</v>
      </c>
      <c r="AB399" s="6">
        <f>$K$399*$V$399</f>
        <v>5535.67</v>
      </c>
      <c r="AC399" s="6">
        <f>$M$399*$W$399</f>
        <v>5835.0692399999989</v>
      </c>
      <c r="AD399" s="6">
        <f>$O$399*$X$399</f>
        <v>20470.78656</v>
      </c>
      <c r="AE399" s="6">
        <f ca="1">$K$399*$Y$399</f>
        <v>6467.3088951393865</v>
      </c>
      <c r="AF399" s="6">
        <f ca="1">$M$399*$Z$399</f>
        <v>9045.2033157333972</v>
      </c>
      <c r="AG399" s="6">
        <f>$O$399*$AA$399</f>
        <v>20614.858175493693</v>
      </c>
    </row>
    <row r="400" spans="1:33" ht="11.25" customHeight="1" x14ac:dyDescent="0.25">
      <c r="A400" s="4" t="s">
        <v>21</v>
      </c>
      <c r="B400" s="4" t="s">
        <v>41</v>
      </c>
      <c r="C400" s="4" t="s">
        <v>40</v>
      </c>
      <c r="D400" s="4" t="s">
        <v>38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44470</v>
      </c>
      <c r="J400" s="6">
        <v>10053</v>
      </c>
      <c r="K400" s="6">
        <v>10053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4" t="s">
        <v>60</v>
      </c>
      <c r="R400" s="4">
        <v>0</v>
      </c>
      <c r="S400" s="6">
        <v>22</v>
      </c>
      <c r="T400" s="6">
        <v>0</v>
      </c>
      <c r="U400" s="6">
        <v>0</v>
      </c>
      <c r="V400" s="6">
        <f>IF(ISERROR(VLOOKUP($S$400,'TAR FIN'!$A$1:$O$116,15,0)),0,VLOOKUP($S$400,'TAR FIN'!$A$1:$O$116,15,0))</f>
        <v>25.51</v>
      </c>
      <c r="W400" s="6">
        <f>IF(ISERROR(VLOOKUP($T$400,'TAR FIN'!$A$1:$O$116,15,0)),0,VLOOKUP($T$400,'TAR FIN'!$A$1:$O$116,15,0))</f>
        <v>0</v>
      </c>
      <c r="X400" s="6">
        <f>IF(ISERROR(VLOOKUP($U$400,'TAR FIN'!$A$1:$O$116,15,0)),0,VLOOKUP($U$400,'TAR FIN'!$A$1:$O$116,15,0))</f>
        <v>0</v>
      </c>
      <c r="Y400" s="6">
        <f ca="1">('TUSD BE'!$AM$26+'TUSD BF'!$AM$26+'TUSD CVA'!$AM$26)*1</f>
        <v>29.803266797877356</v>
      </c>
      <c r="Z400" s="6">
        <f ca="1">('TUSD BE'!$AM$27+'TUSD BF'!$AM$27+'TUSD CVA'!$AM$27)*1</f>
        <v>137.4358543126599</v>
      </c>
      <c r="AA400" s="6"/>
      <c r="AB400" s="6">
        <f>$K$400*$V$400</f>
        <v>256452.03000000003</v>
      </c>
      <c r="AC400" s="6">
        <f>$M$400*$W$400</f>
        <v>0</v>
      </c>
      <c r="AD400" s="6">
        <f>$O$400*$X$400</f>
        <v>0</v>
      </c>
      <c r="AE400" s="6">
        <f ca="1">$K$400*$Y$400</f>
        <v>299612.24111906107</v>
      </c>
      <c r="AF400" s="6">
        <f ca="1">$M$400*$Z$400</f>
        <v>0</v>
      </c>
      <c r="AG400" s="6">
        <f>$O$400*$AA$400</f>
        <v>0</v>
      </c>
    </row>
    <row r="401" spans="1:33" ht="11.25" customHeight="1" x14ac:dyDescent="0.25">
      <c r="A401" s="4" t="s">
        <v>28</v>
      </c>
      <c r="B401" s="4" t="s">
        <v>41</v>
      </c>
      <c r="C401" s="4" t="s">
        <v>40</v>
      </c>
      <c r="D401" s="4" t="s">
        <v>38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44501</v>
      </c>
      <c r="J401" s="6">
        <v>215</v>
      </c>
      <c r="K401" s="6">
        <v>215</v>
      </c>
      <c r="L401" s="6">
        <v>68.509</v>
      </c>
      <c r="M401" s="6">
        <v>68.509</v>
      </c>
      <c r="N401" s="6">
        <v>68.509</v>
      </c>
      <c r="O401" s="6">
        <v>68.509</v>
      </c>
      <c r="P401" s="6">
        <v>0</v>
      </c>
      <c r="Q401" s="4" t="s">
        <v>26</v>
      </c>
      <c r="R401" s="4">
        <v>0</v>
      </c>
      <c r="S401" s="6">
        <v>22</v>
      </c>
      <c r="T401" s="6">
        <v>23</v>
      </c>
      <c r="U401" s="6">
        <v>79</v>
      </c>
      <c r="V401" s="6">
        <f>IF(ISERROR(VLOOKUP($S$401,'TAR FIN'!$A$1:$O$116,15,0)),0,VLOOKUP($S$401,'TAR FIN'!$A$1:$O$116,15,0))</f>
        <v>25.51</v>
      </c>
      <c r="W401" s="6">
        <f>IF(ISERROR(VLOOKUP($T$401,'TAR FIN'!$A$1:$O$116,15,0)),0,VLOOKUP($T$401,'TAR FIN'!$A$1:$O$116,15,0))</f>
        <v>88.66</v>
      </c>
      <c r="X401" s="6">
        <f>IF(ISERROR(VLOOKUP($U$401,'TAR FIN'!$A$1:$O$116,15,0)),0,VLOOKUP($U$401,'TAR FIN'!$A$1:$O$116,15,0))</f>
        <v>311.04000000000002</v>
      </c>
      <c r="Y401" s="6">
        <f ca="1">('TUSD BE'!$AM$26+'TUSD BF'!$AM$26+'TUSD CVA'!$AM$26)*1</f>
        <v>29.803266797877356</v>
      </c>
      <c r="Z401" s="6">
        <f ca="1">('TUSD BE'!$AM$27+'TUSD BF'!$AM$27+'TUSD CVA'!$AM$27)*1</f>
        <v>137.4358543126599</v>
      </c>
      <c r="AA401" s="6">
        <f>('TE BE'!$AB$10+'TE BF'!$AB$10+'TE CVA'!$AB$10)*1</f>
        <v>313.22907246928764</v>
      </c>
      <c r="AB401" s="6">
        <f>$K$401*$V$401</f>
        <v>5484.6500000000005</v>
      </c>
      <c r="AC401" s="6">
        <f>$M$401*$W$401</f>
        <v>6074.0079399999995</v>
      </c>
      <c r="AD401" s="6">
        <f>$O$401*$X$401</f>
        <v>21309.039360000002</v>
      </c>
      <c r="AE401" s="6">
        <f ca="1">$K$401*$Y$401</f>
        <v>6407.7023615436319</v>
      </c>
      <c r="AF401" s="6">
        <f ca="1">$M$401*$Z$401</f>
        <v>9415.5929431060176</v>
      </c>
      <c r="AG401" s="6">
        <f>$O$401*$AA$401</f>
        <v>21459.010525798429</v>
      </c>
    </row>
    <row r="402" spans="1:33" ht="11.25" customHeight="1" x14ac:dyDescent="0.25">
      <c r="A402" s="4" t="s">
        <v>21</v>
      </c>
      <c r="B402" s="4" t="s">
        <v>41</v>
      </c>
      <c r="C402" s="4" t="s">
        <v>40</v>
      </c>
      <c r="D402" s="4" t="s">
        <v>38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44501</v>
      </c>
      <c r="J402" s="6">
        <v>10023</v>
      </c>
      <c r="K402" s="6">
        <v>10023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4" t="s">
        <v>60</v>
      </c>
      <c r="R402" s="4">
        <v>0</v>
      </c>
      <c r="S402" s="6">
        <v>22</v>
      </c>
      <c r="T402" s="6">
        <v>0</v>
      </c>
      <c r="U402" s="6">
        <v>0</v>
      </c>
      <c r="V402" s="6">
        <f>IF(ISERROR(VLOOKUP($S$402,'TAR FIN'!$A$1:$O$116,15,0)),0,VLOOKUP($S$402,'TAR FIN'!$A$1:$O$116,15,0))</f>
        <v>25.51</v>
      </c>
      <c r="W402" s="6">
        <f>IF(ISERROR(VLOOKUP($T$402,'TAR FIN'!$A$1:$O$116,15,0)),0,VLOOKUP($T$402,'TAR FIN'!$A$1:$O$116,15,0))</f>
        <v>0</v>
      </c>
      <c r="X402" s="6">
        <f>IF(ISERROR(VLOOKUP($U$402,'TAR FIN'!$A$1:$O$116,15,0)),0,VLOOKUP($U$402,'TAR FIN'!$A$1:$O$116,15,0))</f>
        <v>0</v>
      </c>
      <c r="Y402" s="6">
        <f ca="1">('TUSD BE'!$AM$26+'TUSD BF'!$AM$26+'TUSD CVA'!$AM$26)*1</f>
        <v>29.803266797877356</v>
      </c>
      <c r="Z402" s="6">
        <f ca="1">('TUSD BE'!$AM$27+'TUSD BF'!$AM$27+'TUSD CVA'!$AM$27)*1</f>
        <v>137.4358543126599</v>
      </c>
      <c r="AA402" s="6"/>
      <c r="AB402" s="6">
        <f>$K$402*$V$402</f>
        <v>255686.73</v>
      </c>
      <c r="AC402" s="6">
        <f>$M$402*$W$402</f>
        <v>0</v>
      </c>
      <c r="AD402" s="6">
        <f>$O$402*$X$402</f>
        <v>0</v>
      </c>
      <c r="AE402" s="6">
        <f ca="1">$K$402*$Y$402</f>
        <v>298718.14311512472</v>
      </c>
      <c r="AF402" s="6">
        <f ca="1">$M$402*$Z$402</f>
        <v>0</v>
      </c>
      <c r="AG402" s="6">
        <f>$O$402*$AA$402</f>
        <v>0</v>
      </c>
    </row>
    <row r="403" spans="1:33" ht="11.25" customHeight="1" x14ac:dyDescent="0.25">
      <c r="A403" s="4" t="s">
        <v>28</v>
      </c>
      <c r="B403" s="4" t="s">
        <v>41</v>
      </c>
      <c r="C403" s="4" t="s">
        <v>40</v>
      </c>
      <c r="D403" s="4" t="s">
        <v>38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44531</v>
      </c>
      <c r="J403" s="6">
        <v>215</v>
      </c>
      <c r="K403" s="6">
        <v>215</v>
      </c>
      <c r="L403" s="6">
        <v>66.444999999999993</v>
      </c>
      <c r="M403" s="6">
        <v>66.444999999999993</v>
      </c>
      <c r="N403" s="6">
        <v>66.444999999999993</v>
      </c>
      <c r="O403" s="6">
        <v>66.444999999999993</v>
      </c>
      <c r="P403" s="6">
        <v>0</v>
      </c>
      <c r="Q403" s="4" t="s">
        <v>26</v>
      </c>
      <c r="R403" s="4">
        <v>0</v>
      </c>
      <c r="S403" s="6">
        <v>22</v>
      </c>
      <c r="T403" s="6">
        <v>23</v>
      </c>
      <c r="U403" s="6">
        <v>79</v>
      </c>
      <c r="V403" s="6">
        <f>IF(ISERROR(VLOOKUP($S$403,'TAR FIN'!$A$1:$O$116,15,0)),0,VLOOKUP($S$403,'TAR FIN'!$A$1:$O$116,15,0))</f>
        <v>25.51</v>
      </c>
      <c r="W403" s="6">
        <f>IF(ISERROR(VLOOKUP($T$403,'TAR FIN'!$A$1:$O$116,15,0)),0,VLOOKUP($T$403,'TAR FIN'!$A$1:$O$116,15,0))</f>
        <v>88.66</v>
      </c>
      <c r="X403" s="6">
        <f>IF(ISERROR(VLOOKUP($U$403,'TAR FIN'!$A$1:$O$116,15,0)),0,VLOOKUP($U$403,'TAR FIN'!$A$1:$O$116,15,0))</f>
        <v>311.04000000000002</v>
      </c>
      <c r="Y403" s="6">
        <f ca="1">('TUSD BE'!$AM$26+'TUSD BF'!$AM$26+'TUSD CVA'!$AM$26)*1</f>
        <v>29.803266797877356</v>
      </c>
      <c r="Z403" s="6">
        <f ca="1">('TUSD BE'!$AM$27+'TUSD BF'!$AM$27+'TUSD CVA'!$AM$27)*1</f>
        <v>137.4358543126599</v>
      </c>
      <c r="AA403" s="6">
        <f>('TE BE'!$AB$10+'TE BF'!$AB$10+'TE CVA'!$AB$10)*1</f>
        <v>313.22907246928764</v>
      </c>
      <c r="AB403" s="6">
        <f>$K$403*$V$403</f>
        <v>5484.6500000000005</v>
      </c>
      <c r="AC403" s="6">
        <f>$M$403*$W$403</f>
        <v>5891.0136999999995</v>
      </c>
      <c r="AD403" s="6">
        <f>$O$403*$X$403</f>
        <v>20667.052799999998</v>
      </c>
      <c r="AE403" s="6">
        <f ca="1">$K$403*$Y$403</f>
        <v>6407.7023615436319</v>
      </c>
      <c r="AF403" s="6">
        <f ca="1">$M$403*$Z$403</f>
        <v>9131.9253398046858</v>
      </c>
      <c r="AG403" s="6">
        <f>$O$403*$AA$403</f>
        <v>20812.505720221816</v>
      </c>
    </row>
    <row r="404" spans="1:33" ht="11.25" customHeight="1" x14ac:dyDescent="0.25">
      <c r="A404" s="4" t="s">
        <v>21</v>
      </c>
      <c r="B404" s="4" t="s">
        <v>41</v>
      </c>
      <c r="C404" s="4" t="s">
        <v>40</v>
      </c>
      <c r="D404" s="4" t="s">
        <v>38</v>
      </c>
      <c r="E404" s="4" t="s">
        <v>25</v>
      </c>
      <c r="F404" s="4" t="s">
        <v>25</v>
      </c>
      <c r="G404" s="4" t="s">
        <v>25</v>
      </c>
      <c r="H404" s="4" t="s">
        <v>35</v>
      </c>
      <c r="I404" s="5">
        <v>44531</v>
      </c>
      <c r="J404" s="6">
        <v>10035</v>
      </c>
      <c r="K404" s="6">
        <v>10035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60</v>
      </c>
      <c r="R404" s="4">
        <v>0</v>
      </c>
      <c r="S404" s="6">
        <v>22</v>
      </c>
      <c r="T404" s="6">
        <v>0</v>
      </c>
      <c r="U404" s="6">
        <v>0</v>
      </c>
      <c r="V404" s="6">
        <f>IF(ISERROR(VLOOKUP($S$404,'TAR FIN'!$A$1:$O$116,15,0)),0,VLOOKUP($S$404,'TAR FIN'!$A$1:$O$116,15,0))</f>
        <v>25.51</v>
      </c>
      <c r="W404" s="6">
        <f>IF(ISERROR(VLOOKUP($T$404,'TAR FIN'!$A$1:$O$116,15,0)),0,VLOOKUP($T$404,'TAR FIN'!$A$1:$O$116,15,0))</f>
        <v>0</v>
      </c>
      <c r="X404" s="6">
        <f>IF(ISERROR(VLOOKUP($U$404,'TAR FIN'!$A$1:$O$116,15,0)),0,VLOOKUP($U$404,'TAR FIN'!$A$1:$O$116,15,0))</f>
        <v>0</v>
      </c>
      <c r="Y404" s="6">
        <f ca="1">('TUSD BE'!$AM$26+'TUSD BF'!$AM$26+'TUSD CVA'!$AM$26)*1</f>
        <v>29.803266797877356</v>
      </c>
      <c r="Z404" s="6">
        <f ca="1">('TUSD BE'!$AM$27+'TUSD BF'!$AM$27+'TUSD CVA'!$AM$27)*1</f>
        <v>137.4358543126599</v>
      </c>
      <c r="AA404" s="6"/>
      <c r="AB404" s="6">
        <f>$K$404*$V$404</f>
        <v>255992.85</v>
      </c>
      <c r="AC404" s="6">
        <f>$M$404*$W$404</f>
        <v>0</v>
      </c>
      <c r="AD404" s="6">
        <f>$O$404*$X$404</f>
        <v>0</v>
      </c>
      <c r="AE404" s="6">
        <f ca="1">$K$404*$Y$404</f>
        <v>299075.78231669927</v>
      </c>
      <c r="AF404" s="6">
        <f ca="1">$M$404*$Z$404</f>
        <v>0</v>
      </c>
      <c r="AG404" s="6">
        <f>$O$404*$AA$404</f>
        <v>0</v>
      </c>
    </row>
    <row r="405" spans="1:33" ht="11.25" customHeight="1" x14ac:dyDescent="0.25">
      <c r="A405" s="4" t="s">
        <v>28</v>
      </c>
      <c r="B405" s="4" t="s">
        <v>41</v>
      </c>
      <c r="C405" s="4" t="s">
        <v>40</v>
      </c>
      <c r="D405" s="4" t="s">
        <v>38</v>
      </c>
      <c r="E405" s="4" t="s">
        <v>25</v>
      </c>
      <c r="F405" s="4" t="s">
        <v>25</v>
      </c>
      <c r="G405" s="4" t="s">
        <v>25</v>
      </c>
      <c r="H405" s="4" t="s">
        <v>35</v>
      </c>
      <c r="I405" s="5">
        <v>44562</v>
      </c>
      <c r="J405" s="6">
        <v>215</v>
      </c>
      <c r="K405" s="6">
        <v>215</v>
      </c>
      <c r="L405" s="6">
        <v>69.826999999999998</v>
      </c>
      <c r="M405" s="6">
        <v>69.826999999999998</v>
      </c>
      <c r="N405" s="6">
        <v>69.826999999999998</v>
      </c>
      <c r="O405" s="6">
        <v>69.826999999999998</v>
      </c>
      <c r="P405" s="6">
        <v>0</v>
      </c>
      <c r="Q405" s="4" t="s">
        <v>26</v>
      </c>
      <c r="R405" s="4">
        <v>0</v>
      </c>
      <c r="S405" s="6">
        <v>22</v>
      </c>
      <c r="T405" s="6">
        <v>23</v>
      </c>
      <c r="U405" s="6">
        <v>79</v>
      </c>
      <c r="V405" s="6">
        <f>IF(ISERROR(VLOOKUP($S$405,'TAR FIN'!$A$1:$O$116,15,0)),0,VLOOKUP($S$405,'TAR FIN'!$A$1:$O$116,15,0))</f>
        <v>25.51</v>
      </c>
      <c r="W405" s="6">
        <f>IF(ISERROR(VLOOKUP($T$405,'TAR FIN'!$A$1:$O$116,15,0)),0,VLOOKUP($T$405,'TAR FIN'!$A$1:$O$116,15,0))</f>
        <v>88.66</v>
      </c>
      <c r="X405" s="6">
        <f>IF(ISERROR(VLOOKUP($U$405,'TAR FIN'!$A$1:$O$116,15,0)),0,VLOOKUP($U$405,'TAR FIN'!$A$1:$O$116,15,0))</f>
        <v>311.04000000000002</v>
      </c>
      <c r="Y405" s="6">
        <f ca="1">('TUSD BE'!$AM$26+'TUSD BF'!$AM$26+'TUSD CVA'!$AM$26)*1</f>
        <v>29.803266797877356</v>
      </c>
      <c r="Z405" s="6">
        <f ca="1">('TUSD BE'!$AM$27+'TUSD BF'!$AM$27+'TUSD CVA'!$AM$27)*1</f>
        <v>137.4358543126599</v>
      </c>
      <c r="AA405" s="6">
        <f>('TE BE'!$AB$10+'TE BF'!$AB$10+'TE CVA'!$AB$10)*1</f>
        <v>313.22907246928764</v>
      </c>
      <c r="AB405" s="6">
        <f>$K$405*$V$405</f>
        <v>5484.6500000000005</v>
      </c>
      <c r="AC405" s="6">
        <f>$M$405*$W$405</f>
        <v>6190.8618199999992</v>
      </c>
      <c r="AD405" s="6">
        <f>$O$405*$X$405</f>
        <v>21718.99008</v>
      </c>
      <c r="AE405" s="6">
        <f ca="1">$K$405*$Y$405</f>
        <v>6407.7023615436319</v>
      </c>
      <c r="AF405" s="6">
        <f ca="1">$M$405*$Z$405</f>
        <v>9596.7333990901025</v>
      </c>
      <c r="AG405" s="6">
        <f>$O$405*$AA$405</f>
        <v>21871.846443312948</v>
      </c>
    </row>
    <row r="406" spans="1:33" ht="11.25" customHeight="1" x14ac:dyDescent="0.25">
      <c r="A406" s="4" t="s">
        <v>21</v>
      </c>
      <c r="B406" s="4" t="s">
        <v>41</v>
      </c>
      <c r="C406" s="4" t="s">
        <v>40</v>
      </c>
      <c r="D406" s="4" t="s">
        <v>38</v>
      </c>
      <c r="E406" s="4" t="s">
        <v>25</v>
      </c>
      <c r="F406" s="4" t="s">
        <v>25</v>
      </c>
      <c r="G406" s="4" t="s">
        <v>25</v>
      </c>
      <c r="H406" s="4" t="s">
        <v>35</v>
      </c>
      <c r="I406" s="5">
        <v>44562</v>
      </c>
      <c r="J406" s="6">
        <v>10099</v>
      </c>
      <c r="K406" s="6">
        <v>10099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60</v>
      </c>
      <c r="R406" s="4">
        <v>0</v>
      </c>
      <c r="S406" s="6">
        <v>22</v>
      </c>
      <c r="T406" s="6">
        <v>0</v>
      </c>
      <c r="U406" s="6">
        <v>0</v>
      </c>
      <c r="V406" s="6">
        <f>IF(ISERROR(VLOOKUP($S$406,'TAR FIN'!$A$1:$O$116,15,0)),0,VLOOKUP($S$406,'TAR FIN'!$A$1:$O$116,15,0))</f>
        <v>25.51</v>
      </c>
      <c r="W406" s="6">
        <f>IF(ISERROR(VLOOKUP($T$406,'TAR FIN'!$A$1:$O$116,15,0)),0,VLOOKUP($T$406,'TAR FIN'!$A$1:$O$116,15,0))</f>
        <v>0</v>
      </c>
      <c r="X406" s="6">
        <f>IF(ISERROR(VLOOKUP($U$406,'TAR FIN'!$A$1:$O$116,15,0)),0,VLOOKUP($U$406,'TAR FIN'!$A$1:$O$116,15,0))</f>
        <v>0</v>
      </c>
      <c r="Y406" s="6">
        <f ca="1">('TUSD BE'!$AM$26+'TUSD BF'!$AM$26+'TUSD CVA'!$AM$26)*1</f>
        <v>29.803266797877356</v>
      </c>
      <c r="Z406" s="6">
        <f ca="1">('TUSD BE'!$AM$27+'TUSD BF'!$AM$27+'TUSD CVA'!$AM$27)*1</f>
        <v>137.4358543126599</v>
      </c>
      <c r="AA406" s="6"/>
      <c r="AB406" s="6">
        <f>$K$406*$V$406</f>
        <v>257625.49000000002</v>
      </c>
      <c r="AC406" s="6">
        <f>$M$406*$W$406</f>
        <v>0</v>
      </c>
      <c r="AD406" s="6">
        <f>$O$406*$X$406</f>
        <v>0</v>
      </c>
      <c r="AE406" s="6">
        <f ca="1">$K$406*$Y$406</f>
        <v>300983.19139176339</v>
      </c>
      <c r="AF406" s="6">
        <f ca="1">$M$406*$Z$406</f>
        <v>0</v>
      </c>
      <c r="AG406" s="6">
        <f>$O$406*$AA$406</f>
        <v>0</v>
      </c>
    </row>
    <row r="407" spans="1:33" ht="11.25" customHeight="1" x14ac:dyDescent="0.25">
      <c r="A407" s="4" t="s">
        <v>28</v>
      </c>
      <c r="B407" s="4" t="s">
        <v>41</v>
      </c>
      <c r="C407" s="4" t="s">
        <v>40</v>
      </c>
      <c r="D407" s="4" t="s">
        <v>38</v>
      </c>
      <c r="E407" s="4" t="s">
        <v>25</v>
      </c>
      <c r="F407" s="4" t="s">
        <v>25</v>
      </c>
      <c r="G407" s="4" t="s">
        <v>25</v>
      </c>
      <c r="H407" s="4" t="s">
        <v>35</v>
      </c>
      <c r="I407" s="5">
        <v>44593</v>
      </c>
      <c r="J407" s="6">
        <v>219</v>
      </c>
      <c r="K407" s="6">
        <v>219</v>
      </c>
      <c r="L407" s="6">
        <v>62.564999999999998</v>
      </c>
      <c r="M407" s="6">
        <v>62.564999999999998</v>
      </c>
      <c r="N407" s="6">
        <v>62.564999999999998</v>
      </c>
      <c r="O407" s="6">
        <v>62.564999999999998</v>
      </c>
      <c r="P407" s="6">
        <v>0</v>
      </c>
      <c r="Q407" s="4" t="s">
        <v>26</v>
      </c>
      <c r="R407" s="4">
        <v>0</v>
      </c>
      <c r="S407" s="6">
        <v>22</v>
      </c>
      <c r="T407" s="6">
        <v>23</v>
      </c>
      <c r="U407" s="6">
        <v>79</v>
      </c>
      <c r="V407" s="6">
        <f>IF(ISERROR(VLOOKUP($S$407,'TAR FIN'!$A$1:$O$116,15,0)),0,VLOOKUP($S$407,'TAR FIN'!$A$1:$O$116,15,0))</f>
        <v>25.51</v>
      </c>
      <c r="W407" s="6">
        <f>IF(ISERROR(VLOOKUP($T$407,'TAR FIN'!$A$1:$O$116,15,0)),0,VLOOKUP($T$407,'TAR FIN'!$A$1:$O$116,15,0))</f>
        <v>88.66</v>
      </c>
      <c r="X407" s="6">
        <f>IF(ISERROR(VLOOKUP($U$407,'TAR FIN'!$A$1:$O$116,15,0)),0,VLOOKUP($U$407,'TAR FIN'!$A$1:$O$116,15,0))</f>
        <v>311.04000000000002</v>
      </c>
      <c r="Y407" s="6">
        <f ca="1">('TUSD BE'!$AM$26+'TUSD BF'!$AM$26+'TUSD CVA'!$AM$26)*1</f>
        <v>29.803266797877356</v>
      </c>
      <c r="Z407" s="6">
        <f ca="1">('TUSD BE'!$AM$27+'TUSD BF'!$AM$27+'TUSD CVA'!$AM$27)*1</f>
        <v>137.4358543126599</v>
      </c>
      <c r="AA407" s="6">
        <f>('TE BE'!$AB$10+'TE BF'!$AB$10+'TE CVA'!$AB$10)*1</f>
        <v>313.22907246928764</v>
      </c>
      <c r="AB407" s="6">
        <f>$K$407*$V$407</f>
        <v>5586.6900000000005</v>
      </c>
      <c r="AC407" s="6">
        <f>$M$407*$W$407</f>
        <v>5547.0128999999997</v>
      </c>
      <c r="AD407" s="6">
        <f>$O$407*$X$407</f>
        <v>19460.2176</v>
      </c>
      <c r="AE407" s="6">
        <f ca="1">$K$407*$Y$407</f>
        <v>6526.9154287351412</v>
      </c>
      <c r="AF407" s="6">
        <f ca="1">$M$407*$Z$407</f>
        <v>8598.674225071567</v>
      </c>
      <c r="AG407" s="6">
        <f>$O$407*$AA$407</f>
        <v>19597.17691904098</v>
      </c>
    </row>
    <row r="408" spans="1:33" ht="11.25" customHeight="1" x14ac:dyDescent="0.25">
      <c r="A408" s="4" t="s">
        <v>21</v>
      </c>
      <c r="B408" s="4" t="s">
        <v>41</v>
      </c>
      <c r="C408" s="4" t="s">
        <v>40</v>
      </c>
      <c r="D408" s="4" t="s">
        <v>38</v>
      </c>
      <c r="E408" s="4" t="s">
        <v>25</v>
      </c>
      <c r="F408" s="4" t="s">
        <v>25</v>
      </c>
      <c r="G408" s="4" t="s">
        <v>25</v>
      </c>
      <c r="H408" s="4" t="s">
        <v>35</v>
      </c>
      <c r="I408" s="5">
        <v>44593</v>
      </c>
      <c r="J408" s="6">
        <v>10134</v>
      </c>
      <c r="K408" s="6">
        <v>10134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60</v>
      </c>
      <c r="R408" s="4">
        <v>0</v>
      </c>
      <c r="S408" s="6">
        <v>22</v>
      </c>
      <c r="T408" s="6">
        <v>0</v>
      </c>
      <c r="U408" s="6">
        <v>0</v>
      </c>
      <c r="V408" s="6">
        <f>IF(ISERROR(VLOOKUP($S$408,'TAR FIN'!$A$1:$O$116,15,0)),0,VLOOKUP($S$408,'TAR FIN'!$A$1:$O$116,15,0))</f>
        <v>25.51</v>
      </c>
      <c r="W408" s="6">
        <f>IF(ISERROR(VLOOKUP($T$408,'TAR FIN'!$A$1:$O$116,15,0)),0,VLOOKUP($T$408,'TAR FIN'!$A$1:$O$116,15,0))</f>
        <v>0</v>
      </c>
      <c r="X408" s="6">
        <f>IF(ISERROR(VLOOKUP($U$408,'TAR FIN'!$A$1:$O$116,15,0)),0,VLOOKUP($U$408,'TAR FIN'!$A$1:$O$116,15,0))</f>
        <v>0</v>
      </c>
      <c r="Y408" s="6">
        <f ca="1">('TUSD BE'!$AM$26+'TUSD BF'!$AM$26+'TUSD CVA'!$AM$26)*1</f>
        <v>29.803266797877356</v>
      </c>
      <c r="Z408" s="6">
        <f ca="1">('TUSD BE'!$AM$27+'TUSD BF'!$AM$27+'TUSD CVA'!$AM$27)*1</f>
        <v>137.4358543126599</v>
      </c>
      <c r="AA408" s="6"/>
      <c r="AB408" s="6">
        <f>$K$408*$V$408</f>
        <v>258518.34000000003</v>
      </c>
      <c r="AC408" s="6">
        <f>$M$408*$W$408</f>
        <v>0</v>
      </c>
      <c r="AD408" s="6">
        <f>$O$408*$X$408</f>
        <v>0</v>
      </c>
      <c r="AE408" s="6">
        <f ca="1">$K$408*$Y$408</f>
        <v>302026.30572968913</v>
      </c>
      <c r="AF408" s="6">
        <f ca="1">$M$408*$Z$408</f>
        <v>0</v>
      </c>
      <c r="AG408" s="6">
        <f>$O$408*$AA$408</f>
        <v>0</v>
      </c>
    </row>
    <row r="409" spans="1:33" ht="11.25" customHeight="1" x14ac:dyDescent="0.25">
      <c r="A409" s="4" t="s">
        <v>28</v>
      </c>
      <c r="B409" s="4" t="s">
        <v>41</v>
      </c>
      <c r="C409" s="4" t="s">
        <v>40</v>
      </c>
      <c r="D409" s="4" t="s">
        <v>38</v>
      </c>
      <c r="E409" s="4" t="s">
        <v>25</v>
      </c>
      <c r="F409" s="4" t="s">
        <v>25</v>
      </c>
      <c r="G409" s="4" t="s">
        <v>25</v>
      </c>
      <c r="H409" s="4" t="s">
        <v>35</v>
      </c>
      <c r="I409" s="5">
        <v>44621</v>
      </c>
      <c r="J409" s="6">
        <v>222</v>
      </c>
      <c r="K409" s="6">
        <v>222</v>
      </c>
      <c r="L409" s="6">
        <v>92.025000000000006</v>
      </c>
      <c r="M409" s="6">
        <v>92.025000000000006</v>
      </c>
      <c r="N409" s="6">
        <v>92.025000000000006</v>
      </c>
      <c r="O409" s="6">
        <v>92.025000000000006</v>
      </c>
      <c r="P409" s="6">
        <v>0</v>
      </c>
      <c r="Q409" s="4" t="s">
        <v>26</v>
      </c>
      <c r="R409" s="4">
        <v>0</v>
      </c>
      <c r="S409" s="6">
        <v>22</v>
      </c>
      <c r="T409" s="6">
        <v>23</v>
      </c>
      <c r="U409" s="6">
        <v>79</v>
      </c>
      <c r="V409" s="6">
        <f>IF(ISERROR(VLOOKUP($S$409,'TAR FIN'!$A$1:$O$116,15,0)),0,VLOOKUP($S$409,'TAR FIN'!$A$1:$O$116,15,0))</f>
        <v>25.51</v>
      </c>
      <c r="W409" s="6">
        <f>IF(ISERROR(VLOOKUP($T$409,'TAR FIN'!$A$1:$O$116,15,0)),0,VLOOKUP($T$409,'TAR FIN'!$A$1:$O$116,15,0))</f>
        <v>88.66</v>
      </c>
      <c r="X409" s="6">
        <f>IF(ISERROR(VLOOKUP($U$409,'TAR FIN'!$A$1:$O$116,15,0)),0,VLOOKUP($U$409,'TAR FIN'!$A$1:$O$116,15,0))</f>
        <v>311.04000000000002</v>
      </c>
      <c r="Y409" s="6">
        <f ca="1">('TUSD BE'!$AM$26+'TUSD BF'!$AM$26+'TUSD CVA'!$AM$26)*1</f>
        <v>29.803266797877356</v>
      </c>
      <c r="Z409" s="6">
        <f ca="1">('TUSD BE'!$AM$27+'TUSD BF'!$AM$27+'TUSD CVA'!$AM$27)*1</f>
        <v>137.4358543126599</v>
      </c>
      <c r="AA409" s="6">
        <f>('TE BE'!$AB$10+'TE BF'!$AB$10+'TE CVA'!$AB$10)*1</f>
        <v>313.22907246928764</v>
      </c>
      <c r="AB409" s="6">
        <f>$K$409*$V$409</f>
        <v>5663.22</v>
      </c>
      <c r="AC409" s="6">
        <f>$M$409*$W$409</f>
        <v>8158.9364999999998</v>
      </c>
      <c r="AD409" s="6">
        <f>$O$409*$X$409</f>
        <v>28623.456000000002</v>
      </c>
      <c r="AE409" s="6">
        <f ca="1">$K$409*$Y$409</f>
        <v>6616.3252291287727</v>
      </c>
      <c r="AF409" s="6">
        <f ca="1">$M$409*$Z$409</f>
        <v>12647.534493122528</v>
      </c>
      <c r="AG409" s="6">
        <f>$O$409*$AA$409</f>
        <v>28824.905393986199</v>
      </c>
    </row>
    <row r="410" spans="1:33" ht="11.25" customHeight="1" x14ac:dyDescent="0.25">
      <c r="A410" s="4" t="s">
        <v>21</v>
      </c>
      <c r="B410" s="4" t="s">
        <v>41</v>
      </c>
      <c r="C410" s="4" t="s">
        <v>40</v>
      </c>
      <c r="D410" s="4" t="s">
        <v>38</v>
      </c>
      <c r="E410" s="4" t="s">
        <v>25</v>
      </c>
      <c r="F410" s="4" t="s">
        <v>25</v>
      </c>
      <c r="G410" s="4" t="s">
        <v>25</v>
      </c>
      <c r="H410" s="4" t="s">
        <v>35</v>
      </c>
      <c r="I410" s="5">
        <v>44621</v>
      </c>
      <c r="J410" s="6">
        <v>10363</v>
      </c>
      <c r="K410" s="6">
        <v>10363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4" t="s">
        <v>60</v>
      </c>
      <c r="R410" s="4">
        <v>0</v>
      </c>
      <c r="S410" s="6">
        <v>22</v>
      </c>
      <c r="T410" s="6">
        <v>0</v>
      </c>
      <c r="U410" s="6">
        <v>0</v>
      </c>
      <c r="V410" s="6">
        <f>IF(ISERROR(VLOOKUP($S$410,'TAR FIN'!$A$1:$O$116,15,0)),0,VLOOKUP($S$410,'TAR FIN'!$A$1:$O$116,15,0))</f>
        <v>25.51</v>
      </c>
      <c r="W410" s="6">
        <f>IF(ISERROR(VLOOKUP($T$410,'TAR FIN'!$A$1:$O$116,15,0)),0,VLOOKUP($T$410,'TAR FIN'!$A$1:$O$116,15,0))</f>
        <v>0</v>
      </c>
      <c r="X410" s="6">
        <f>IF(ISERROR(VLOOKUP($U$410,'TAR FIN'!$A$1:$O$116,15,0)),0,VLOOKUP($U$410,'TAR FIN'!$A$1:$O$116,15,0))</f>
        <v>0</v>
      </c>
      <c r="Y410" s="6">
        <f ca="1">('TUSD BE'!$AM$26+'TUSD BF'!$AM$26+'TUSD CVA'!$AM$26)*1</f>
        <v>29.803266797877356</v>
      </c>
      <c r="Z410" s="6">
        <f ca="1">('TUSD BE'!$AM$27+'TUSD BF'!$AM$27+'TUSD CVA'!$AM$27)*1</f>
        <v>137.4358543126599</v>
      </c>
      <c r="AA410" s="6"/>
      <c r="AB410" s="6">
        <f>$K$410*$V$410</f>
        <v>264360.13</v>
      </c>
      <c r="AC410" s="6">
        <f>$M$410*$W$410</f>
        <v>0</v>
      </c>
      <c r="AD410" s="6">
        <f>$O$410*$X$410</f>
        <v>0</v>
      </c>
      <c r="AE410" s="6">
        <f ca="1">$K$410*$Y$410</f>
        <v>308851.25382640306</v>
      </c>
      <c r="AF410" s="6">
        <f ca="1">$M$410*$Z$410</f>
        <v>0</v>
      </c>
      <c r="AG410" s="6">
        <f>$O$410*$AA$410</f>
        <v>0</v>
      </c>
    </row>
    <row r="411" spans="1:33" ht="11.25" customHeight="1" x14ac:dyDescent="0.25">
      <c r="A411" s="4" t="s">
        <v>28</v>
      </c>
      <c r="B411" s="4" t="s">
        <v>41</v>
      </c>
      <c r="C411" s="4" t="s">
        <v>40</v>
      </c>
      <c r="D411" s="4" t="s">
        <v>38</v>
      </c>
      <c r="E411" s="4" t="s">
        <v>25</v>
      </c>
      <c r="F411" s="4" t="s">
        <v>25</v>
      </c>
      <c r="G411" s="4" t="s">
        <v>25</v>
      </c>
      <c r="H411" s="4" t="s">
        <v>35</v>
      </c>
      <c r="I411" s="5">
        <v>44652</v>
      </c>
      <c r="J411" s="6">
        <v>225</v>
      </c>
      <c r="K411" s="6">
        <v>225</v>
      </c>
      <c r="L411" s="6">
        <v>62.643000000000001</v>
      </c>
      <c r="M411" s="6">
        <v>62.643000000000001</v>
      </c>
      <c r="N411" s="6">
        <v>62.643000000000001</v>
      </c>
      <c r="O411" s="6">
        <v>62.643000000000001</v>
      </c>
      <c r="P411" s="6">
        <v>0</v>
      </c>
      <c r="Q411" s="4" t="s">
        <v>26</v>
      </c>
      <c r="R411" s="4">
        <v>0</v>
      </c>
      <c r="S411" s="6">
        <v>22</v>
      </c>
      <c r="T411" s="6">
        <v>23</v>
      </c>
      <c r="U411" s="6">
        <v>79</v>
      </c>
      <c r="V411" s="6">
        <f>IF(ISERROR(VLOOKUP($S$411,'TAR FIN'!$A$1:$O$116,15,0)),0,VLOOKUP($S$411,'TAR FIN'!$A$1:$O$116,15,0))</f>
        <v>25.51</v>
      </c>
      <c r="W411" s="6">
        <f>IF(ISERROR(VLOOKUP($T$411,'TAR FIN'!$A$1:$O$116,15,0)),0,VLOOKUP($T$411,'TAR FIN'!$A$1:$O$116,15,0))</f>
        <v>88.66</v>
      </c>
      <c r="X411" s="6">
        <f>IF(ISERROR(VLOOKUP($U$411,'TAR FIN'!$A$1:$O$116,15,0)),0,VLOOKUP($U$411,'TAR FIN'!$A$1:$O$116,15,0))</f>
        <v>311.04000000000002</v>
      </c>
      <c r="Y411" s="6">
        <f ca="1">('TUSD BE'!$AM$26+'TUSD BF'!$AM$26+'TUSD CVA'!$AM$26)*1</f>
        <v>29.803266797877356</v>
      </c>
      <c r="Z411" s="6">
        <f ca="1">('TUSD BE'!$AM$27+'TUSD BF'!$AM$27+'TUSD CVA'!$AM$27)*1</f>
        <v>137.4358543126599</v>
      </c>
      <c r="AA411" s="6">
        <f>('TE BE'!$AB$10+'TE BF'!$AB$10+'TE CVA'!$AB$10)*1</f>
        <v>313.22907246928764</v>
      </c>
      <c r="AB411" s="6">
        <f>$K$411*$V$411</f>
        <v>5739.75</v>
      </c>
      <c r="AC411" s="6">
        <f>$M$411*$W$411</f>
        <v>5553.9283800000003</v>
      </c>
      <c r="AD411" s="6">
        <f>$O$411*$X$411</f>
        <v>19484.478720000003</v>
      </c>
      <c r="AE411" s="6">
        <f ca="1">$K$411*$Y$411</f>
        <v>6705.7350295224051</v>
      </c>
      <c r="AF411" s="6">
        <f ca="1">$M$411*$Z$411</f>
        <v>8609.3942217079548</v>
      </c>
      <c r="AG411" s="6">
        <f>$O$411*$AA$411</f>
        <v>19621.608786693585</v>
      </c>
    </row>
    <row r="412" spans="1:33" ht="11.25" customHeight="1" x14ac:dyDescent="0.25">
      <c r="A412" s="4" t="s">
        <v>21</v>
      </c>
      <c r="B412" s="4" t="s">
        <v>41</v>
      </c>
      <c r="C412" s="4" t="s">
        <v>40</v>
      </c>
      <c r="D412" s="4" t="s">
        <v>38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44652</v>
      </c>
      <c r="J412" s="6">
        <v>10182</v>
      </c>
      <c r="K412" s="6">
        <v>10182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4" t="s">
        <v>60</v>
      </c>
      <c r="R412" s="4">
        <v>0</v>
      </c>
      <c r="S412" s="6">
        <v>22</v>
      </c>
      <c r="T412" s="6">
        <v>0</v>
      </c>
      <c r="U412" s="6">
        <v>0</v>
      </c>
      <c r="V412" s="6">
        <f>IF(ISERROR(VLOOKUP($S$412,'TAR FIN'!$A$1:$O$116,15,0)),0,VLOOKUP($S$412,'TAR FIN'!$A$1:$O$116,15,0))</f>
        <v>25.51</v>
      </c>
      <c r="W412" s="6">
        <f>IF(ISERROR(VLOOKUP($T$412,'TAR FIN'!$A$1:$O$116,15,0)),0,VLOOKUP($T$412,'TAR FIN'!$A$1:$O$116,15,0))</f>
        <v>0</v>
      </c>
      <c r="X412" s="6">
        <f>IF(ISERROR(VLOOKUP($U$412,'TAR FIN'!$A$1:$O$116,15,0)),0,VLOOKUP($U$412,'TAR FIN'!$A$1:$O$116,15,0))</f>
        <v>0</v>
      </c>
      <c r="Y412" s="6">
        <f ca="1">('TUSD BE'!$AM$26+'TUSD BF'!$AM$26+'TUSD CVA'!$AM$26)*1</f>
        <v>29.803266797877356</v>
      </c>
      <c r="Z412" s="6">
        <f ca="1">('TUSD BE'!$AM$27+'TUSD BF'!$AM$27+'TUSD CVA'!$AM$27)*1</f>
        <v>137.4358543126599</v>
      </c>
      <c r="AA412" s="6"/>
      <c r="AB412" s="6">
        <f>$K$412*$V$412</f>
        <v>259742.82</v>
      </c>
      <c r="AC412" s="6">
        <f>$M$412*$W$412</f>
        <v>0</v>
      </c>
      <c r="AD412" s="6">
        <f>$O$412*$X$412</f>
        <v>0</v>
      </c>
      <c r="AE412" s="6">
        <f ca="1">$K$412*$Y$412</f>
        <v>303456.86253598722</v>
      </c>
      <c r="AF412" s="6">
        <f ca="1">$M$412*$Z$412</f>
        <v>0</v>
      </c>
      <c r="AG412" s="6">
        <f>$O$412*$AA$412</f>
        <v>0</v>
      </c>
    </row>
    <row r="413" spans="1:33" ht="11.25" customHeight="1" x14ac:dyDescent="0.25">
      <c r="A413" s="4" t="s">
        <v>58</v>
      </c>
      <c r="B413" s="4" t="s">
        <v>41</v>
      </c>
      <c r="C413" s="4" t="s">
        <v>40</v>
      </c>
      <c r="D413" s="4" t="s">
        <v>38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44682</v>
      </c>
      <c r="J413" s="6">
        <v>225</v>
      </c>
      <c r="K413" s="6">
        <v>225</v>
      </c>
      <c r="L413" s="6">
        <v>62.643000000000001</v>
      </c>
      <c r="M413" s="6">
        <v>62.643000000000001</v>
      </c>
      <c r="N413" s="6">
        <v>62.643000000000001</v>
      </c>
      <c r="O413" s="6">
        <v>62.643000000000001</v>
      </c>
      <c r="P413" s="6">
        <v>0</v>
      </c>
      <c r="Q413" s="4" t="s">
        <v>26</v>
      </c>
      <c r="R413" s="4">
        <v>0</v>
      </c>
      <c r="S413" s="6">
        <v>22</v>
      </c>
      <c r="T413" s="6">
        <v>23</v>
      </c>
      <c r="U413" s="6">
        <v>79</v>
      </c>
      <c r="V413" s="6">
        <f>IF(ISERROR(VLOOKUP($S$413,'TAR FIN'!$A$1:$O$116,15,0)),0,VLOOKUP($S$413,'TAR FIN'!$A$1:$O$116,15,0))</f>
        <v>25.51</v>
      </c>
      <c r="W413" s="6">
        <f>IF(ISERROR(VLOOKUP($T$413,'TAR FIN'!$A$1:$O$116,15,0)),0,VLOOKUP($T$413,'TAR FIN'!$A$1:$O$116,15,0))</f>
        <v>88.66</v>
      </c>
      <c r="X413" s="6">
        <f>IF(ISERROR(VLOOKUP($U$413,'TAR FIN'!$A$1:$O$116,15,0)),0,VLOOKUP($U$413,'TAR FIN'!$A$1:$O$116,15,0))</f>
        <v>311.04000000000002</v>
      </c>
      <c r="Y413" s="6">
        <f ca="1">('TUSD BE'!$AM$26+'TUSD BF'!$AM$26+'TUSD CVA'!$AM$26)*1</f>
        <v>29.803266797877356</v>
      </c>
      <c r="Z413" s="6">
        <f ca="1">('TUSD BE'!$AM$27+'TUSD BF'!$AM$27+'TUSD CVA'!$AM$27)*1</f>
        <v>137.4358543126599</v>
      </c>
      <c r="AA413" s="6">
        <f>('TE BE'!$AB$10+'TE BF'!$AB$10+'TE CVA'!$AB$10)*1</f>
        <v>313.22907246928764</v>
      </c>
      <c r="AB413" s="6">
        <f>$K$413*$V$413</f>
        <v>5739.75</v>
      </c>
      <c r="AC413" s="6">
        <f>$M$413*$W$413</f>
        <v>5553.9283800000003</v>
      </c>
      <c r="AD413" s="6">
        <f>$O$413*$X$413</f>
        <v>19484.478720000003</v>
      </c>
      <c r="AE413" s="6">
        <f ca="1">$K$413*$Y$413</f>
        <v>6705.7350295224051</v>
      </c>
      <c r="AF413" s="6">
        <f ca="1">$M$413*$Z$413</f>
        <v>8609.3942217079548</v>
      </c>
      <c r="AG413" s="6">
        <f>$O$413*$AA$413</f>
        <v>19621.608786693585</v>
      </c>
    </row>
    <row r="414" spans="1:33" ht="11.25" customHeight="1" x14ac:dyDescent="0.25">
      <c r="A414" s="4" t="s">
        <v>58</v>
      </c>
      <c r="B414" s="4" t="s">
        <v>41</v>
      </c>
      <c r="C414" s="4" t="s">
        <v>40</v>
      </c>
      <c r="D414" s="4" t="s">
        <v>38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44682</v>
      </c>
      <c r="J414" s="6">
        <v>10182</v>
      </c>
      <c r="K414" s="6">
        <v>10182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4" t="s">
        <v>60</v>
      </c>
      <c r="R414" s="4">
        <v>0</v>
      </c>
      <c r="S414" s="6">
        <v>22</v>
      </c>
      <c r="T414" s="6">
        <v>0</v>
      </c>
      <c r="U414" s="6">
        <v>0</v>
      </c>
      <c r="V414" s="6">
        <f>IF(ISERROR(VLOOKUP($S$414,'TAR FIN'!$A$1:$O$116,15,0)),0,VLOOKUP($S$414,'TAR FIN'!$A$1:$O$116,15,0))</f>
        <v>25.51</v>
      </c>
      <c r="W414" s="6">
        <f>IF(ISERROR(VLOOKUP($T$414,'TAR FIN'!$A$1:$O$116,15,0)),0,VLOOKUP($T$414,'TAR FIN'!$A$1:$O$116,15,0))</f>
        <v>0</v>
      </c>
      <c r="X414" s="6">
        <f>IF(ISERROR(VLOOKUP($U$414,'TAR FIN'!$A$1:$O$116,15,0)),0,VLOOKUP($U$414,'TAR FIN'!$A$1:$O$116,15,0))</f>
        <v>0</v>
      </c>
      <c r="Y414" s="6">
        <f ca="1">('TUSD BE'!$AM$26+'TUSD BF'!$AM$26+'TUSD CVA'!$AM$26)*1</f>
        <v>29.803266797877356</v>
      </c>
      <c r="Z414" s="6">
        <f ca="1">('TUSD BE'!$AM$27+'TUSD BF'!$AM$27+'TUSD CVA'!$AM$27)*1</f>
        <v>137.4358543126599</v>
      </c>
      <c r="AA414" s="6"/>
      <c r="AB414" s="6">
        <f>$K$414*$V$414</f>
        <v>259742.82</v>
      </c>
      <c r="AC414" s="6">
        <f>$M$414*$W$414</f>
        <v>0</v>
      </c>
      <c r="AD414" s="6">
        <f>$O$414*$X$414</f>
        <v>0</v>
      </c>
      <c r="AE414" s="6">
        <f ca="1">$K$414*$Y$414</f>
        <v>303456.86253598722</v>
      </c>
      <c r="AF414" s="6">
        <f ca="1">$M$414*$Z$414</f>
        <v>0</v>
      </c>
      <c r="AG414" s="6">
        <f>$O$414*$AA$414</f>
        <v>0</v>
      </c>
    </row>
    <row r="415" spans="1:33" ht="11.25" customHeight="1" x14ac:dyDescent="0.25">
      <c r="A415" s="4" t="s">
        <v>21</v>
      </c>
      <c r="B415" s="4" t="s">
        <v>41</v>
      </c>
      <c r="C415" s="4" t="s">
        <v>40</v>
      </c>
      <c r="D415" s="4" t="s">
        <v>38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44348</v>
      </c>
      <c r="J415" s="6">
        <v>0</v>
      </c>
      <c r="K415" s="6">
        <v>0</v>
      </c>
      <c r="L415" s="6">
        <v>2631.6010000000001</v>
      </c>
      <c r="M415" s="6">
        <v>2631.6010000000001</v>
      </c>
      <c r="N415" s="6">
        <v>0</v>
      </c>
      <c r="O415" s="6">
        <v>0</v>
      </c>
      <c r="P415" s="6">
        <v>1</v>
      </c>
      <c r="Q415" s="4" t="s">
        <v>60</v>
      </c>
      <c r="R415" s="4">
        <v>0</v>
      </c>
      <c r="S415" s="6">
        <v>0</v>
      </c>
      <c r="T415" s="6">
        <v>23</v>
      </c>
      <c r="U415" s="6">
        <v>0</v>
      </c>
      <c r="V415" s="6">
        <f>IF(ISERROR(VLOOKUP($S$415,'TAR FIN'!$A$1:$O$116,15,0)),0,VLOOKUP($S$415,'TAR FIN'!$A$1:$O$116,15,0))</f>
        <v>0</v>
      </c>
      <c r="W415" s="6">
        <f>IF(ISERROR(VLOOKUP($T$415,'TAR FIN'!$A$1:$O$116,15,0)),0,VLOOKUP($T$415,'TAR FIN'!$A$1:$O$116,15,0))</f>
        <v>88.66</v>
      </c>
      <c r="X415" s="6">
        <f>IF(ISERROR(VLOOKUP($U$415,'TAR FIN'!$A$1:$O$116,15,0)),0,VLOOKUP($U$415,'TAR FIN'!$A$1:$O$116,15,0))</f>
        <v>0</v>
      </c>
      <c r="Y415" s="6"/>
      <c r="Z415" s="6">
        <f ca="1">('TUSD BE'!$AM$27+'TUSD BF'!$AM$27+'TUSD CVA'!$AM$27)*1</f>
        <v>137.4358543126599</v>
      </c>
      <c r="AA415" s="6"/>
      <c r="AB415" s="6">
        <f>$K$415*$V$415</f>
        <v>0</v>
      </c>
      <c r="AC415" s="6">
        <f>$M$415*$W$415</f>
        <v>233317.74466</v>
      </c>
      <c r="AD415" s="6">
        <f>$O$415*$X$415</f>
        <v>0</v>
      </c>
      <c r="AE415" s="6">
        <f>$K$415*$Y$415</f>
        <v>0</v>
      </c>
      <c r="AF415" s="6">
        <f ca="1">$M$415*$Z$415</f>
        <v>361676.33164505014</v>
      </c>
      <c r="AG415" s="6">
        <f>$O$415*$AA$415</f>
        <v>0</v>
      </c>
    </row>
    <row r="416" spans="1:33" ht="11.25" customHeight="1" x14ac:dyDescent="0.25">
      <c r="A416" s="4" t="s">
        <v>21</v>
      </c>
      <c r="B416" s="4" t="s">
        <v>41</v>
      </c>
      <c r="C416" s="4" t="s">
        <v>40</v>
      </c>
      <c r="D416" s="4" t="s">
        <v>38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44378</v>
      </c>
      <c r="J416" s="6">
        <v>0</v>
      </c>
      <c r="K416" s="6">
        <v>0</v>
      </c>
      <c r="L416" s="6">
        <v>2554.1709999999998</v>
      </c>
      <c r="M416" s="6">
        <v>2554.1709999999998</v>
      </c>
      <c r="N416" s="6">
        <v>0</v>
      </c>
      <c r="O416" s="6">
        <v>0</v>
      </c>
      <c r="P416" s="6">
        <v>1</v>
      </c>
      <c r="Q416" s="4" t="s">
        <v>60</v>
      </c>
      <c r="R416" s="4">
        <v>0</v>
      </c>
      <c r="S416" s="6">
        <v>0</v>
      </c>
      <c r="T416" s="6">
        <v>23</v>
      </c>
      <c r="U416" s="6">
        <v>0</v>
      </c>
      <c r="V416" s="6">
        <f>IF(ISERROR(VLOOKUP($S$416,'TAR FIN'!$A$1:$O$116,15,0)),0,VLOOKUP($S$416,'TAR FIN'!$A$1:$O$116,15,0))</f>
        <v>0</v>
      </c>
      <c r="W416" s="6">
        <f>IF(ISERROR(VLOOKUP($T$416,'TAR FIN'!$A$1:$O$116,15,0)),0,VLOOKUP($T$416,'TAR FIN'!$A$1:$O$116,15,0))</f>
        <v>88.66</v>
      </c>
      <c r="X416" s="6">
        <f>IF(ISERROR(VLOOKUP($U$416,'TAR FIN'!$A$1:$O$116,15,0)),0,VLOOKUP($U$416,'TAR FIN'!$A$1:$O$116,15,0))</f>
        <v>0</v>
      </c>
      <c r="Y416" s="6"/>
      <c r="Z416" s="6">
        <f ca="1">('TUSD BE'!$AM$27+'TUSD BF'!$AM$27+'TUSD CVA'!$AM$27)*1</f>
        <v>137.4358543126599</v>
      </c>
      <c r="AA416" s="6"/>
      <c r="AB416" s="6">
        <f>$K$416*$V$416</f>
        <v>0</v>
      </c>
      <c r="AC416" s="6">
        <f>$M$416*$W$416</f>
        <v>226452.80085999999</v>
      </c>
      <c r="AD416" s="6">
        <f>$O$416*$X$416</f>
        <v>0</v>
      </c>
      <c r="AE416" s="6">
        <f>$K$416*$Y$416</f>
        <v>0</v>
      </c>
      <c r="AF416" s="6">
        <f ca="1">$M$416*$Z$416</f>
        <v>351034.67344562081</v>
      </c>
      <c r="AG416" s="6">
        <f>$O$416*$AA$416</f>
        <v>0</v>
      </c>
    </row>
    <row r="417" spans="1:33" ht="11.25" customHeight="1" x14ac:dyDescent="0.25">
      <c r="A417" s="4" t="s">
        <v>21</v>
      </c>
      <c r="B417" s="4" t="s">
        <v>41</v>
      </c>
      <c r="C417" s="4" t="s">
        <v>40</v>
      </c>
      <c r="D417" s="4" t="s">
        <v>38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44409</v>
      </c>
      <c r="J417" s="6">
        <v>0</v>
      </c>
      <c r="K417" s="6">
        <v>0</v>
      </c>
      <c r="L417" s="6">
        <v>4964.0550000000003</v>
      </c>
      <c r="M417" s="6">
        <v>4964.0550000000003</v>
      </c>
      <c r="N417" s="6">
        <v>0</v>
      </c>
      <c r="O417" s="6">
        <v>0</v>
      </c>
      <c r="P417" s="6">
        <v>2</v>
      </c>
      <c r="Q417" s="4" t="s">
        <v>60</v>
      </c>
      <c r="R417" s="4">
        <v>0</v>
      </c>
      <c r="S417" s="6">
        <v>0</v>
      </c>
      <c r="T417" s="6">
        <v>23</v>
      </c>
      <c r="U417" s="6">
        <v>0</v>
      </c>
      <c r="V417" s="6">
        <f>IF(ISERROR(VLOOKUP($S$417,'TAR FIN'!$A$1:$O$116,15,0)),0,VLOOKUP($S$417,'TAR FIN'!$A$1:$O$116,15,0))</f>
        <v>0</v>
      </c>
      <c r="W417" s="6">
        <f>IF(ISERROR(VLOOKUP($T$417,'TAR FIN'!$A$1:$O$116,15,0)),0,VLOOKUP($T$417,'TAR FIN'!$A$1:$O$116,15,0))</f>
        <v>88.66</v>
      </c>
      <c r="X417" s="6">
        <f>IF(ISERROR(VLOOKUP($U$417,'TAR FIN'!$A$1:$O$116,15,0)),0,VLOOKUP($U$417,'TAR FIN'!$A$1:$O$116,15,0))</f>
        <v>0</v>
      </c>
      <c r="Y417" s="6"/>
      <c r="Z417" s="6">
        <f ca="1">('TUSD BE'!$AM$27+'TUSD BF'!$AM$27+'TUSD CVA'!$AM$27)*1</f>
        <v>137.4358543126599</v>
      </c>
      <c r="AA417" s="6"/>
      <c r="AB417" s="6">
        <f>$K$417*$V$417</f>
        <v>0</v>
      </c>
      <c r="AC417" s="6">
        <f>$M$417*$W$417</f>
        <v>440113.11629999999</v>
      </c>
      <c r="AD417" s="6">
        <f>$O$417*$X$417</f>
        <v>0</v>
      </c>
      <c r="AE417" s="6">
        <f>$K$417*$Y$417</f>
        <v>0</v>
      </c>
      <c r="AF417" s="6">
        <f ca="1">$M$417*$Z$417</f>
        <v>682239.13978003094</v>
      </c>
      <c r="AG417" s="6">
        <f>$O$417*$AA$417</f>
        <v>0</v>
      </c>
    </row>
    <row r="418" spans="1:33" ht="11.25" customHeight="1" x14ac:dyDescent="0.25">
      <c r="A418" s="4" t="s">
        <v>21</v>
      </c>
      <c r="B418" s="4" t="s">
        <v>41</v>
      </c>
      <c r="C418" s="4" t="s">
        <v>40</v>
      </c>
      <c r="D418" s="4" t="s">
        <v>38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44440</v>
      </c>
      <c r="J418" s="6">
        <v>0</v>
      </c>
      <c r="K418" s="6">
        <v>0</v>
      </c>
      <c r="L418" s="6">
        <v>5222.1989999999996</v>
      </c>
      <c r="M418" s="6">
        <v>5222.1989999999996</v>
      </c>
      <c r="N418" s="6">
        <v>0</v>
      </c>
      <c r="O418" s="6">
        <v>0</v>
      </c>
      <c r="P418" s="6">
        <v>2</v>
      </c>
      <c r="Q418" s="4" t="s">
        <v>60</v>
      </c>
      <c r="R418" s="4">
        <v>0</v>
      </c>
      <c r="S418" s="6">
        <v>0</v>
      </c>
      <c r="T418" s="6">
        <v>23</v>
      </c>
      <c r="U418" s="6">
        <v>0</v>
      </c>
      <c r="V418" s="6">
        <f>IF(ISERROR(VLOOKUP($S$418,'TAR FIN'!$A$1:$O$116,15,0)),0,VLOOKUP($S$418,'TAR FIN'!$A$1:$O$116,15,0))</f>
        <v>0</v>
      </c>
      <c r="W418" s="6">
        <f>IF(ISERROR(VLOOKUP($T$418,'TAR FIN'!$A$1:$O$116,15,0)),0,VLOOKUP($T$418,'TAR FIN'!$A$1:$O$116,15,0))</f>
        <v>88.66</v>
      </c>
      <c r="X418" s="6">
        <f>IF(ISERROR(VLOOKUP($U$418,'TAR FIN'!$A$1:$O$116,15,0)),0,VLOOKUP($U$418,'TAR FIN'!$A$1:$O$116,15,0))</f>
        <v>0</v>
      </c>
      <c r="Y418" s="6"/>
      <c r="Z418" s="6">
        <f ca="1">('TUSD BE'!$AM$27+'TUSD BF'!$AM$27+'TUSD CVA'!$AM$27)*1</f>
        <v>137.4358543126599</v>
      </c>
      <c r="AA418" s="6"/>
      <c r="AB418" s="6">
        <f>$K$418*$V$418</f>
        <v>0</v>
      </c>
      <c r="AC418" s="6">
        <f>$M$418*$W$418</f>
        <v>463000.16333999997</v>
      </c>
      <c r="AD418" s="6">
        <f>$O$418*$X$418</f>
        <v>0</v>
      </c>
      <c r="AE418" s="6">
        <f>$K$418*$Y$418</f>
        <v>0</v>
      </c>
      <c r="AF418" s="6">
        <f ca="1">$M$418*$Z$418</f>
        <v>717717.38095571811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41</v>
      </c>
      <c r="C419" s="4" t="s">
        <v>40</v>
      </c>
      <c r="D419" s="4" t="s">
        <v>38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44470</v>
      </c>
      <c r="J419" s="6">
        <v>0</v>
      </c>
      <c r="K419" s="6">
        <v>0</v>
      </c>
      <c r="L419" s="6">
        <v>5117.5439999999999</v>
      </c>
      <c r="M419" s="6">
        <v>5117.5439999999999</v>
      </c>
      <c r="N419" s="6">
        <v>0</v>
      </c>
      <c r="O419" s="6">
        <v>0</v>
      </c>
      <c r="P419" s="6">
        <v>2</v>
      </c>
      <c r="Q419" s="4" t="s">
        <v>60</v>
      </c>
      <c r="R419" s="4">
        <v>0</v>
      </c>
      <c r="S419" s="6">
        <v>0</v>
      </c>
      <c r="T419" s="6">
        <v>23</v>
      </c>
      <c r="U419" s="6">
        <v>0</v>
      </c>
      <c r="V419" s="6">
        <f>IF(ISERROR(VLOOKUP($S$419,'TAR FIN'!$A$1:$O$116,15,0)),0,VLOOKUP($S$419,'TAR FIN'!$A$1:$O$116,15,0))</f>
        <v>0</v>
      </c>
      <c r="W419" s="6">
        <f>IF(ISERROR(VLOOKUP($T$419,'TAR FIN'!$A$1:$O$116,15,0)),0,VLOOKUP($T$419,'TAR FIN'!$A$1:$O$116,15,0))</f>
        <v>88.66</v>
      </c>
      <c r="X419" s="6">
        <f>IF(ISERROR(VLOOKUP($U$419,'TAR FIN'!$A$1:$O$116,15,0)),0,VLOOKUP($U$419,'TAR FIN'!$A$1:$O$116,15,0))</f>
        <v>0</v>
      </c>
      <c r="Y419" s="6"/>
      <c r="Z419" s="6">
        <f ca="1">('TUSD BE'!$AM$27+'TUSD BF'!$AM$27+'TUSD CVA'!$AM$27)*1</f>
        <v>137.4358543126599</v>
      </c>
      <c r="AA419" s="6"/>
      <c r="AB419" s="6">
        <f>$K$419*$V$419</f>
        <v>0</v>
      </c>
      <c r="AC419" s="6">
        <f>$M$419*$W$419</f>
        <v>453721.45103999996</v>
      </c>
      <c r="AD419" s="6">
        <f>$O$419*$X$419</f>
        <v>0</v>
      </c>
      <c r="AE419" s="6">
        <f>$K$419*$Y$419</f>
        <v>0</v>
      </c>
      <c r="AF419" s="6">
        <f ca="1">$M$419*$Z$419</f>
        <v>703334.03162262682</v>
      </c>
      <c r="AG419" s="6">
        <f>$O$419*$AA$419</f>
        <v>0</v>
      </c>
    </row>
    <row r="420" spans="1:33" ht="11.25" customHeight="1" x14ac:dyDescent="0.25">
      <c r="A420" s="4" t="s">
        <v>21</v>
      </c>
      <c r="B420" s="4" t="s">
        <v>41</v>
      </c>
      <c r="C420" s="4" t="s">
        <v>40</v>
      </c>
      <c r="D420" s="4" t="s">
        <v>38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44501</v>
      </c>
      <c r="J420" s="6">
        <v>0</v>
      </c>
      <c r="K420" s="6">
        <v>0</v>
      </c>
      <c r="L420" s="6">
        <v>5419.8969999999999</v>
      </c>
      <c r="M420" s="6">
        <v>5419.8969999999999</v>
      </c>
      <c r="N420" s="6">
        <v>0</v>
      </c>
      <c r="O420" s="6">
        <v>0</v>
      </c>
      <c r="P420" s="6">
        <v>2</v>
      </c>
      <c r="Q420" s="4" t="s">
        <v>60</v>
      </c>
      <c r="R420" s="4">
        <v>0</v>
      </c>
      <c r="S420" s="6">
        <v>0</v>
      </c>
      <c r="T420" s="6">
        <v>23</v>
      </c>
      <c r="U420" s="6">
        <v>0</v>
      </c>
      <c r="V420" s="6">
        <f>IF(ISERROR(VLOOKUP($S$420,'TAR FIN'!$A$1:$O$116,15,0)),0,VLOOKUP($S$420,'TAR FIN'!$A$1:$O$116,15,0))</f>
        <v>0</v>
      </c>
      <c r="W420" s="6">
        <f>IF(ISERROR(VLOOKUP($T$420,'TAR FIN'!$A$1:$O$116,15,0)),0,VLOOKUP($T$420,'TAR FIN'!$A$1:$O$116,15,0))</f>
        <v>88.66</v>
      </c>
      <c r="X420" s="6">
        <f>IF(ISERROR(VLOOKUP($U$420,'TAR FIN'!$A$1:$O$116,15,0)),0,VLOOKUP($U$420,'TAR FIN'!$A$1:$O$116,15,0))</f>
        <v>0</v>
      </c>
      <c r="Y420" s="6"/>
      <c r="Z420" s="6">
        <f ca="1">('TUSD BE'!$AM$27+'TUSD BF'!$AM$27+'TUSD CVA'!$AM$27)*1</f>
        <v>137.4358543126599</v>
      </c>
      <c r="AA420" s="6"/>
      <c r="AB420" s="6">
        <f>$K$420*$V$420</f>
        <v>0</v>
      </c>
      <c r="AC420" s="6">
        <f>$M$420*$W$420</f>
        <v>480528.06801999995</v>
      </c>
      <c r="AD420" s="6">
        <f>$O$420*$X$420</f>
        <v>0</v>
      </c>
      <c r="AE420" s="6">
        <f>$K$420*$Y$420</f>
        <v>0</v>
      </c>
      <c r="AF420" s="6">
        <f ca="1">$M$420*$Z$420</f>
        <v>744888.17448162241</v>
      </c>
      <c r="AG420" s="6">
        <f>$O$420*$AA$420</f>
        <v>0</v>
      </c>
    </row>
    <row r="421" spans="1:33" ht="11.25" customHeight="1" x14ac:dyDescent="0.25">
      <c r="A421" s="4" t="s">
        <v>21</v>
      </c>
      <c r="B421" s="4" t="s">
        <v>41</v>
      </c>
      <c r="C421" s="4" t="s">
        <v>40</v>
      </c>
      <c r="D421" s="4" t="s">
        <v>38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44531</v>
      </c>
      <c r="J421" s="6">
        <v>0</v>
      </c>
      <c r="K421" s="6">
        <v>0</v>
      </c>
      <c r="L421" s="6">
        <v>5545.7979999999998</v>
      </c>
      <c r="M421" s="6">
        <v>5545.7979999999998</v>
      </c>
      <c r="N421" s="6">
        <v>0</v>
      </c>
      <c r="O421" s="6">
        <v>0</v>
      </c>
      <c r="P421" s="6">
        <v>2</v>
      </c>
      <c r="Q421" s="4" t="s">
        <v>60</v>
      </c>
      <c r="R421" s="4">
        <v>0</v>
      </c>
      <c r="S421" s="6">
        <v>0</v>
      </c>
      <c r="T421" s="6">
        <v>23</v>
      </c>
      <c r="U421" s="6">
        <v>0</v>
      </c>
      <c r="V421" s="6">
        <f>IF(ISERROR(VLOOKUP($S$421,'TAR FIN'!$A$1:$O$116,15,0)),0,VLOOKUP($S$421,'TAR FIN'!$A$1:$O$116,15,0))</f>
        <v>0</v>
      </c>
      <c r="W421" s="6">
        <f>IF(ISERROR(VLOOKUP($T$421,'TAR FIN'!$A$1:$O$116,15,0)),0,VLOOKUP($T$421,'TAR FIN'!$A$1:$O$116,15,0))</f>
        <v>88.66</v>
      </c>
      <c r="X421" s="6">
        <f>IF(ISERROR(VLOOKUP($U$421,'TAR FIN'!$A$1:$O$116,15,0)),0,VLOOKUP($U$421,'TAR FIN'!$A$1:$O$116,15,0))</f>
        <v>0</v>
      </c>
      <c r="Y421" s="6"/>
      <c r="Z421" s="6">
        <f ca="1">('TUSD BE'!$AM$27+'TUSD BF'!$AM$27+'TUSD CVA'!$AM$27)*1</f>
        <v>137.4358543126599</v>
      </c>
      <c r="AA421" s="6"/>
      <c r="AB421" s="6">
        <f>$K$421*$V$421</f>
        <v>0</v>
      </c>
      <c r="AC421" s="6">
        <f>$M$421*$W$421</f>
        <v>491690.45067999995</v>
      </c>
      <c r="AD421" s="6">
        <f>$O$421*$X$421</f>
        <v>0</v>
      </c>
      <c r="AE421" s="6">
        <f>$K$421*$Y$421</f>
        <v>0</v>
      </c>
      <c r="AF421" s="6">
        <f ca="1">$M$421*$Z$421</f>
        <v>762191.48597544059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41</v>
      </c>
      <c r="C422" s="4" t="s">
        <v>40</v>
      </c>
      <c r="D422" s="4" t="s">
        <v>38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44562</v>
      </c>
      <c r="J422" s="6">
        <v>0</v>
      </c>
      <c r="K422" s="6">
        <v>0</v>
      </c>
      <c r="L422" s="6">
        <v>4888.43</v>
      </c>
      <c r="M422" s="6">
        <v>4888.43</v>
      </c>
      <c r="N422" s="6">
        <v>0</v>
      </c>
      <c r="O422" s="6">
        <v>0</v>
      </c>
      <c r="P422" s="6">
        <v>2</v>
      </c>
      <c r="Q422" s="4" t="s">
        <v>60</v>
      </c>
      <c r="R422" s="4">
        <v>0</v>
      </c>
      <c r="S422" s="6">
        <v>0</v>
      </c>
      <c r="T422" s="6">
        <v>23</v>
      </c>
      <c r="U422" s="6">
        <v>0</v>
      </c>
      <c r="V422" s="6">
        <f>IF(ISERROR(VLOOKUP($S$422,'TAR FIN'!$A$1:$O$116,15,0)),0,VLOOKUP($S$422,'TAR FIN'!$A$1:$O$116,15,0))</f>
        <v>0</v>
      </c>
      <c r="W422" s="6">
        <f>IF(ISERROR(VLOOKUP($T$422,'TAR FIN'!$A$1:$O$116,15,0)),0,VLOOKUP($T$422,'TAR FIN'!$A$1:$O$116,15,0))</f>
        <v>88.66</v>
      </c>
      <c r="X422" s="6">
        <f>IF(ISERROR(VLOOKUP($U$422,'TAR FIN'!$A$1:$O$116,15,0)),0,VLOOKUP($U$422,'TAR FIN'!$A$1:$O$116,15,0))</f>
        <v>0</v>
      </c>
      <c r="Y422" s="6"/>
      <c r="Z422" s="6">
        <f ca="1">('TUSD BE'!$AM$27+'TUSD BF'!$AM$27+'TUSD CVA'!$AM$27)*1</f>
        <v>137.4358543126599</v>
      </c>
      <c r="AA422" s="6"/>
      <c r="AB422" s="6">
        <f>$K$422*$V$422</f>
        <v>0</v>
      </c>
      <c r="AC422" s="6">
        <f>$M$422*$W$422</f>
        <v>433408.20380000002</v>
      </c>
      <c r="AD422" s="6">
        <f>$O$422*$X$422</f>
        <v>0</v>
      </c>
      <c r="AE422" s="6">
        <f>$K$422*$Y$422</f>
        <v>0</v>
      </c>
      <c r="AF422" s="6">
        <f ca="1">$M$422*$Z$422</f>
        <v>671845.5532976361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41</v>
      </c>
      <c r="C423" s="4" t="s">
        <v>40</v>
      </c>
      <c r="D423" s="4" t="s">
        <v>38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44593</v>
      </c>
      <c r="J423" s="6">
        <v>0</v>
      </c>
      <c r="K423" s="6">
        <v>0</v>
      </c>
      <c r="L423" s="6">
        <v>4796.317</v>
      </c>
      <c r="M423" s="6">
        <v>4796.317</v>
      </c>
      <c r="N423" s="6">
        <v>0</v>
      </c>
      <c r="O423" s="6">
        <v>0</v>
      </c>
      <c r="P423" s="6">
        <v>2</v>
      </c>
      <c r="Q423" s="4" t="s">
        <v>60</v>
      </c>
      <c r="R423" s="4">
        <v>0</v>
      </c>
      <c r="S423" s="6">
        <v>0</v>
      </c>
      <c r="T423" s="6">
        <v>23</v>
      </c>
      <c r="U423" s="6">
        <v>0</v>
      </c>
      <c r="V423" s="6">
        <f>IF(ISERROR(VLOOKUP($S$423,'TAR FIN'!$A$1:$O$116,15,0)),0,VLOOKUP($S$423,'TAR FIN'!$A$1:$O$116,15,0))</f>
        <v>0</v>
      </c>
      <c r="W423" s="6">
        <f>IF(ISERROR(VLOOKUP($T$423,'TAR FIN'!$A$1:$O$116,15,0)),0,VLOOKUP($T$423,'TAR FIN'!$A$1:$O$116,15,0))</f>
        <v>88.66</v>
      </c>
      <c r="X423" s="6">
        <f>IF(ISERROR(VLOOKUP($U$423,'TAR FIN'!$A$1:$O$116,15,0)),0,VLOOKUP($U$423,'TAR FIN'!$A$1:$O$116,15,0))</f>
        <v>0</v>
      </c>
      <c r="Y423" s="6"/>
      <c r="Z423" s="6">
        <f ca="1">('TUSD BE'!$AM$27+'TUSD BF'!$AM$27+'TUSD CVA'!$AM$27)*1</f>
        <v>137.4358543126599</v>
      </c>
      <c r="AA423" s="6"/>
      <c r="AB423" s="6">
        <f>$K$423*$V$423</f>
        <v>0</v>
      </c>
      <c r="AC423" s="6">
        <f>$M$423*$W$423</f>
        <v>425241.46522000001</v>
      </c>
      <c r="AD423" s="6">
        <f>$O$423*$X$423</f>
        <v>0</v>
      </c>
      <c r="AE423" s="6">
        <f>$K$423*$Y$423</f>
        <v>0</v>
      </c>
      <c r="AF423" s="6">
        <f ca="1">$M$423*$Z$423</f>
        <v>659185.92444933404</v>
      </c>
      <c r="AG423" s="6">
        <f>$O$423*$AA$423</f>
        <v>0</v>
      </c>
    </row>
    <row r="424" spans="1:33" ht="11.25" customHeight="1" x14ac:dyDescent="0.25">
      <c r="A424" s="4" t="s">
        <v>21</v>
      </c>
      <c r="B424" s="4" t="s">
        <v>41</v>
      </c>
      <c r="C424" s="4" t="s">
        <v>40</v>
      </c>
      <c r="D424" s="4" t="s">
        <v>38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44621</v>
      </c>
      <c r="J424" s="6">
        <v>0</v>
      </c>
      <c r="K424" s="6">
        <v>0</v>
      </c>
      <c r="L424" s="6">
        <v>4949.9409999999998</v>
      </c>
      <c r="M424" s="6">
        <v>4949.9409999999998</v>
      </c>
      <c r="N424" s="6">
        <v>0</v>
      </c>
      <c r="O424" s="6">
        <v>0</v>
      </c>
      <c r="P424" s="6">
        <v>2</v>
      </c>
      <c r="Q424" s="4" t="s">
        <v>60</v>
      </c>
      <c r="R424" s="4">
        <v>0</v>
      </c>
      <c r="S424" s="6">
        <v>0</v>
      </c>
      <c r="T424" s="6">
        <v>23</v>
      </c>
      <c r="U424" s="6">
        <v>0</v>
      </c>
      <c r="V424" s="6">
        <f>IF(ISERROR(VLOOKUP($S$424,'TAR FIN'!$A$1:$O$116,15,0)),0,VLOOKUP($S$424,'TAR FIN'!$A$1:$O$116,15,0))</f>
        <v>0</v>
      </c>
      <c r="W424" s="6">
        <f>IF(ISERROR(VLOOKUP($T$424,'TAR FIN'!$A$1:$O$116,15,0)),0,VLOOKUP($T$424,'TAR FIN'!$A$1:$O$116,15,0))</f>
        <v>88.66</v>
      </c>
      <c r="X424" s="6">
        <f>IF(ISERROR(VLOOKUP($U$424,'TAR FIN'!$A$1:$O$116,15,0)),0,VLOOKUP($U$424,'TAR FIN'!$A$1:$O$116,15,0))</f>
        <v>0</v>
      </c>
      <c r="Y424" s="6"/>
      <c r="Z424" s="6">
        <f ca="1">('TUSD BE'!$AM$27+'TUSD BF'!$AM$27+'TUSD CVA'!$AM$27)*1</f>
        <v>137.4358543126599</v>
      </c>
      <c r="AA424" s="6"/>
      <c r="AB424" s="6">
        <f>$K$424*$V$424</f>
        <v>0</v>
      </c>
      <c r="AC424" s="6">
        <f>$M$424*$W$424</f>
        <v>438861.76905999996</v>
      </c>
      <c r="AD424" s="6">
        <f>$O$424*$X$424</f>
        <v>0</v>
      </c>
      <c r="AE424" s="6">
        <f>$K$424*$Y$424</f>
        <v>0</v>
      </c>
      <c r="AF424" s="6">
        <f ca="1">$M$424*$Z$424</f>
        <v>680299.370132262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41</v>
      </c>
      <c r="C425" s="4" t="s">
        <v>40</v>
      </c>
      <c r="D425" s="4" t="s">
        <v>38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44652</v>
      </c>
      <c r="J425" s="6">
        <v>0</v>
      </c>
      <c r="K425" s="6">
        <v>0</v>
      </c>
      <c r="L425" s="6">
        <v>5785.7730000000001</v>
      </c>
      <c r="M425" s="6">
        <v>5785.7730000000001</v>
      </c>
      <c r="N425" s="6">
        <v>0</v>
      </c>
      <c r="O425" s="6">
        <v>0</v>
      </c>
      <c r="P425" s="6">
        <v>2</v>
      </c>
      <c r="Q425" s="4" t="s">
        <v>60</v>
      </c>
      <c r="R425" s="4">
        <v>0</v>
      </c>
      <c r="S425" s="6">
        <v>0</v>
      </c>
      <c r="T425" s="6">
        <v>23</v>
      </c>
      <c r="U425" s="6">
        <v>0</v>
      </c>
      <c r="V425" s="6">
        <f>IF(ISERROR(VLOOKUP($S$425,'TAR FIN'!$A$1:$O$116,15,0)),0,VLOOKUP($S$425,'TAR FIN'!$A$1:$O$116,15,0))</f>
        <v>0</v>
      </c>
      <c r="W425" s="6">
        <f>IF(ISERROR(VLOOKUP($T$425,'TAR FIN'!$A$1:$O$116,15,0)),0,VLOOKUP($T$425,'TAR FIN'!$A$1:$O$116,15,0))</f>
        <v>88.66</v>
      </c>
      <c r="X425" s="6">
        <f>IF(ISERROR(VLOOKUP($U$425,'TAR FIN'!$A$1:$O$116,15,0)),0,VLOOKUP($U$425,'TAR FIN'!$A$1:$O$116,15,0))</f>
        <v>0</v>
      </c>
      <c r="Y425" s="6"/>
      <c r="Z425" s="6">
        <f ca="1">('TUSD BE'!$AM$27+'TUSD BF'!$AM$27+'TUSD CVA'!$AM$27)*1</f>
        <v>137.4358543126599</v>
      </c>
      <c r="AA425" s="6"/>
      <c r="AB425" s="6">
        <f>$K$425*$V$425</f>
        <v>0</v>
      </c>
      <c r="AC425" s="6">
        <f>$M$425*$W$425</f>
        <v>512966.63417999999</v>
      </c>
      <c r="AD425" s="6">
        <f>$O$425*$X$425</f>
        <v>0</v>
      </c>
      <c r="AE425" s="6">
        <f>$K$425*$Y$425</f>
        <v>0</v>
      </c>
      <c r="AF425" s="6">
        <f ca="1">$M$425*$Z$425</f>
        <v>795172.65511412127</v>
      </c>
      <c r="AG425" s="6">
        <f>$O$425*$AA$425</f>
        <v>0</v>
      </c>
    </row>
    <row r="426" spans="1:33" ht="11.25" customHeight="1" x14ac:dyDescent="0.25">
      <c r="A426" s="4" t="s">
        <v>58</v>
      </c>
      <c r="B426" s="4" t="s">
        <v>41</v>
      </c>
      <c r="C426" s="4" t="s">
        <v>40</v>
      </c>
      <c r="D426" s="4" t="s">
        <v>38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44682</v>
      </c>
      <c r="J426" s="6">
        <v>0</v>
      </c>
      <c r="K426" s="6">
        <v>0</v>
      </c>
      <c r="L426" s="6">
        <v>5785.7730000000001</v>
      </c>
      <c r="M426" s="6">
        <v>5785.7730000000001</v>
      </c>
      <c r="N426" s="6">
        <v>0</v>
      </c>
      <c r="O426" s="6">
        <v>0</v>
      </c>
      <c r="P426" s="6">
        <v>2</v>
      </c>
      <c r="Q426" s="4" t="s">
        <v>60</v>
      </c>
      <c r="R426" s="4">
        <v>0</v>
      </c>
      <c r="S426" s="6">
        <v>0</v>
      </c>
      <c r="T426" s="6">
        <v>23</v>
      </c>
      <c r="U426" s="6">
        <v>0</v>
      </c>
      <c r="V426" s="6">
        <f>IF(ISERROR(VLOOKUP($S$426,'TAR FIN'!$A$1:$O$116,15,0)),0,VLOOKUP($S$426,'TAR FIN'!$A$1:$O$116,15,0))</f>
        <v>0</v>
      </c>
      <c r="W426" s="6">
        <f>IF(ISERROR(VLOOKUP($T$426,'TAR FIN'!$A$1:$O$116,15,0)),0,VLOOKUP($T$426,'TAR FIN'!$A$1:$O$116,15,0))</f>
        <v>88.66</v>
      </c>
      <c r="X426" s="6">
        <f>IF(ISERROR(VLOOKUP($U$426,'TAR FIN'!$A$1:$O$116,15,0)),0,VLOOKUP($U$426,'TAR FIN'!$A$1:$O$116,15,0))</f>
        <v>0</v>
      </c>
      <c r="Y426" s="6"/>
      <c r="Z426" s="6">
        <f ca="1">('TUSD BE'!$AM$27+'TUSD BF'!$AM$27+'TUSD CVA'!$AM$27)*1</f>
        <v>137.4358543126599</v>
      </c>
      <c r="AA426" s="6"/>
      <c r="AB426" s="6">
        <f>$K$426*$V$426</f>
        <v>0</v>
      </c>
      <c r="AC426" s="6">
        <f>$M$426*$W$426</f>
        <v>512966.63417999999</v>
      </c>
      <c r="AD426" s="6">
        <f>$O$426*$X$426</f>
        <v>0</v>
      </c>
      <c r="AE426" s="6">
        <f>$K$426*$Y$426</f>
        <v>0</v>
      </c>
      <c r="AF426" s="6">
        <f ca="1">$M$426*$Z$426</f>
        <v>795172.65511412127</v>
      </c>
      <c r="AG426" s="6">
        <f>$O$426*$AA$426</f>
        <v>0</v>
      </c>
    </row>
    <row r="427" spans="1:33" ht="11.25" customHeight="1" x14ac:dyDescent="0.25">
      <c r="A427" s="4" t="s">
        <v>21</v>
      </c>
      <c r="B427" s="4" t="s">
        <v>41</v>
      </c>
      <c r="C427" s="4" t="s">
        <v>40</v>
      </c>
      <c r="D427" s="4" t="s">
        <v>38</v>
      </c>
      <c r="E427" s="4" t="s">
        <v>25</v>
      </c>
      <c r="F427" s="4" t="s">
        <v>25</v>
      </c>
      <c r="G427" s="4" t="s">
        <v>25</v>
      </c>
      <c r="H427" s="4" t="s">
        <v>34</v>
      </c>
      <c r="I427" s="5">
        <v>44348</v>
      </c>
      <c r="J427" s="6">
        <v>185</v>
      </c>
      <c r="K427" s="6">
        <v>185</v>
      </c>
      <c r="L427" s="6">
        <v>5.09</v>
      </c>
      <c r="M427" s="6">
        <v>5.09</v>
      </c>
      <c r="N427" s="6">
        <v>5.09</v>
      </c>
      <c r="O427" s="6">
        <v>5.09</v>
      </c>
      <c r="P427" s="6">
        <v>0</v>
      </c>
      <c r="Q427" s="4" t="s">
        <v>26</v>
      </c>
      <c r="R427" s="4">
        <v>0</v>
      </c>
      <c r="S427" s="6">
        <v>21</v>
      </c>
      <c r="T427" s="6">
        <v>23</v>
      </c>
      <c r="U427" s="6">
        <v>78</v>
      </c>
      <c r="V427" s="6">
        <f>IF(ISERROR(VLOOKUP($S$427,'TAR FIN'!$A$1:$O$116,15,0)),0,VLOOKUP($S$427,'TAR FIN'!$A$1:$O$116,15,0))</f>
        <v>65.599999999999994</v>
      </c>
      <c r="W427" s="6">
        <f>IF(ISERROR(VLOOKUP($T$427,'TAR FIN'!$A$1:$O$116,15,0)),0,VLOOKUP($T$427,'TAR FIN'!$A$1:$O$116,15,0))</f>
        <v>88.66</v>
      </c>
      <c r="X427" s="6">
        <f>IF(ISERROR(VLOOKUP($U$427,'TAR FIN'!$A$1:$O$116,15,0)),0,VLOOKUP($U$427,'TAR FIN'!$A$1:$O$116,15,0))</f>
        <v>496.15</v>
      </c>
      <c r="Y427" s="6">
        <f ca="1">('TUSD BE'!$AM$25+'TUSD BF'!$AM$25+'TUSD CVA'!$AM$25)*1</f>
        <v>75.407822945580492</v>
      </c>
      <c r="Z427" s="6">
        <f ca="1">('TUSD BE'!$AM$27+'TUSD BF'!$AM$27+'TUSD CVA'!$AM$27)*1</f>
        <v>137.4358543126599</v>
      </c>
      <c r="AA427" s="6">
        <f>('TE BE'!$AB$9+'TE BF'!$AB$9+'TE CVA'!$AB$9)*1</f>
        <v>510.04993331215127</v>
      </c>
      <c r="AB427" s="6">
        <f>$K$427*$V$427</f>
        <v>12135.999999999998</v>
      </c>
      <c r="AC427" s="6">
        <f>$M$427*$W$427</f>
        <v>451.27939999999995</v>
      </c>
      <c r="AD427" s="6">
        <f>$O$427*$X$427</f>
        <v>2525.4034999999999</v>
      </c>
      <c r="AE427" s="6">
        <f ca="1">$K$427*$Y$427</f>
        <v>13950.447244932391</v>
      </c>
      <c r="AF427" s="6">
        <f ca="1">$M$427*$Z$427</f>
        <v>699.54849845143883</v>
      </c>
      <c r="AG427" s="6">
        <f>$O$427*$AA$427</f>
        <v>2596.15416055885</v>
      </c>
    </row>
    <row r="428" spans="1:33" ht="11.25" customHeight="1" x14ac:dyDescent="0.25">
      <c r="A428" s="4" t="s">
        <v>28</v>
      </c>
      <c r="B428" s="4" t="s">
        <v>41</v>
      </c>
      <c r="C428" s="4" t="s">
        <v>40</v>
      </c>
      <c r="D428" s="4" t="s">
        <v>38</v>
      </c>
      <c r="E428" s="4" t="s">
        <v>25</v>
      </c>
      <c r="F428" s="4" t="s">
        <v>25</v>
      </c>
      <c r="G428" s="4" t="s">
        <v>25</v>
      </c>
      <c r="H428" s="4" t="s">
        <v>34</v>
      </c>
      <c r="I428" s="5">
        <v>44348</v>
      </c>
      <c r="J428" s="6">
        <v>110</v>
      </c>
      <c r="K428" s="6">
        <v>110</v>
      </c>
      <c r="L428" s="6">
        <v>4.92</v>
      </c>
      <c r="M428" s="6">
        <v>4.92</v>
      </c>
      <c r="N428" s="6">
        <v>4.92</v>
      </c>
      <c r="O428" s="6">
        <v>4.92</v>
      </c>
      <c r="P428" s="6">
        <v>0</v>
      </c>
      <c r="Q428" s="4" t="s">
        <v>26</v>
      </c>
      <c r="R428" s="4">
        <v>0</v>
      </c>
      <c r="S428" s="6">
        <v>21</v>
      </c>
      <c r="T428" s="6">
        <v>23</v>
      </c>
      <c r="U428" s="6">
        <v>78</v>
      </c>
      <c r="V428" s="6">
        <f>IF(ISERROR(VLOOKUP($S$428,'TAR FIN'!$A$1:$O$116,15,0)),0,VLOOKUP($S$428,'TAR FIN'!$A$1:$O$116,15,0))</f>
        <v>65.599999999999994</v>
      </c>
      <c r="W428" s="6">
        <f>IF(ISERROR(VLOOKUP($T$428,'TAR FIN'!$A$1:$O$116,15,0)),0,VLOOKUP($T$428,'TAR FIN'!$A$1:$O$116,15,0))</f>
        <v>88.66</v>
      </c>
      <c r="X428" s="6">
        <f>IF(ISERROR(VLOOKUP($U$428,'TAR FIN'!$A$1:$O$116,15,0)),0,VLOOKUP($U$428,'TAR FIN'!$A$1:$O$116,15,0))</f>
        <v>496.15</v>
      </c>
      <c r="Y428" s="6">
        <f ca="1">('TUSD BE'!$AM$25+'TUSD BF'!$AM$25+'TUSD CVA'!$AM$25)*1</f>
        <v>75.407822945580492</v>
      </c>
      <c r="Z428" s="6">
        <f ca="1">('TUSD BE'!$AM$27+'TUSD BF'!$AM$27+'TUSD CVA'!$AM$27)*1</f>
        <v>137.4358543126599</v>
      </c>
      <c r="AA428" s="6">
        <f>('TE BE'!$AB$9+'TE BF'!$AB$9+'TE CVA'!$AB$9)*1</f>
        <v>510.04993331215127</v>
      </c>
      <c r="AB428" s="6">
        <f>$K$428*$V$428</f>
        <v>7215.9999999999991</v>
      </c>
      <c r="AC428" s="6">
        <f>$M$428*$W$428</f>
        <v>436.2072</v>
      </c>
      <c r="AD428" s="6">
        <f>$O$428*$X$428</f>
        <v>2441.058</v>
      </c>
      <c r="AE428" s="6">
        <f ca="1">$K$428*$Y$428</f>
        <v>8294.860524013855</v>
      </c>
      <c r="AF428" s="6">
        <f ca="1">$M$428*$Z$428</f>
        <v>676.18440321828666</v>
      </c>
      <c r="AG428" s="6">
        <f>$O$428*$AA$428</f>
        <v>2509.445671895784</v>
      </c>
    </row>
    <row r="429" spans="1:33" ht="11.25" customHeight="1" x14ac:dyDescent="0.25">
      <c r="A429" s="4" t="s">
        <v>21</v>
      </c>
      <c r="B429" s="4" t="s">
        <v>41</v>
      </c>
      <c r="C429" s="4" t="s">
        <v>40</v>
      </c>
      <c r="D429" s="4" t="s">
        <v>38</v>
      </c>
      <c r="E429" s="4" t="s">
        <v>25</v>
      </c>
      <c r="F429" s="4" t="s">
        <v>25</v>
      </c>
      <c r="G429" s="4" t="s">
        <v>25</v>
      </c>
      <c r="H429" s="4" t="s">
        <v>34</v>
      </c>
      <c r="I429" s="5">
        <v>44348</v>
      </c>
      <c r="J429" s="6">
        <v>4000</v>
      </c>
      <c r="K429" s="6">
        <v>4000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60</v>
      </c>
      <c r="R429" s="4">
        <v>0</v>
      </c>
      <c r="S429" s="6">
        <v>21</v>
      </c>
      <c r="T429" s="6">
        <v>0</v>
      </c>
      <c r="U429" s="6">
        <v>0</v>
      </c>
      <c r="V429" s="6">
        <f>IF(ISERROR(VLOOKUP($S$429,'TAR FIN'!$A$1:$O$116,15,0)),0,VLOOKUP($S$429,'TAR FIN'!$A$1:$O$116,15,0))</f>
        <v>65.599999999999994</v>
      </c>
      <c r="W429" s="6">
        <f>IF(ISERROR(VLOOKUP($T$429,'TAR FIN'!$A$1:$O$116,15,0)),0,VLOOKUP($T$429,'TAR FIN'!$A$1:$O$116,15,0))</f>
        <v>0</v>
      </c>
      <c r="X429" s="6">
        <f>IF(ISERROR(VLOOKUP($U$429,'TAR FIN'!$A$1:$O$116,15,0)),0,VLOOKUP($U$429,'TAR FIN'!$A$1:$O$116,15,0))</f>
        <v>0</v>
      </c>
      <c r="Y429" s="6">
        <f ca="1">('TUSD BE'!$AM$25+'TUSD BF'!$AM$25+'TUSD CVA'!$AM$25)*1</f>
        <v>75.407822945580492</v>
      </c>
      <c r="Z429" s="6">
        <f ca="1">('TUSD BE'!$AM$27+'TUSD BF'!$AM$27+'TUSD CVA'!$AM$27)*1</f>
        <v>137.4358543126599</v>
      </c>
      <c r="AA429" s="6"/>
      <c r="AB429" s="6">
        <f>$K$429*$V$429</f>
        <v>262400</v>
      </c>
      <c r="AC429" s="6">
        <f>$M$429*$W$429</f>
        <v>0</v>
      </c>
      <c r="AD429" s="6">
        <f>$O$429*$X$429</f>
        <v>0</v>
      </c>
      <c r="AE429" s="6">
        <f ca="1">$K$429*$Y$429</f>
        <v>301631.29178232199</v>
      </c>
      <c r="AF429" s="6">
        <f ca="1">$M$429*$Z$429</f>
        <v>0</v>
      </c>
      <c r="AG429" s="6">
        <f>$O$429*$AA$429</f>
        <v>0</v>
      </c>
    </row>
    <row r="430" spans="1:33" ht="11.25" customHeight="1" x14ac:dyDescent="0.25">
      <c r="A430" s="4" t="s">
        <v>21</v>
      </c>
      <c r="B430" s="4" t="s">
        <v>41</v>
      </c>
      <c r="C430" s="4" t="s">
        <v>40</v>
      </c>
      <c r="D430" s="4" t="s">
        <v>38</v>
      </c>
      <c r="E430" s="4" t="s">
        <v>25</v>
      </c>
      <c r="F430" s="4" t="s">
        <v>25</v>
      </c>
      <c r="G430" s="4" t="s">
        <v>25</v>
      </c>
      <c r="H430" s="4" t="s">
        <v>34</v>
      </c>
      <c r="I430" s="5">
        <v>44378</v>
      </c>
      <c r="J430" s="6">
        <v>115</v>
      </c>
      <c r="K430" s="6">
        <v>115</v>
      </c>
      <c r="L430" s="6">
        <v>4.2640000000000002</v>
      </c>
      <c r="M430" s="6">
        <v>4.2640000000000002</v>
      </c>
      <c r="N430" s="6">
        <v>4.2640000000000002</v>
      </c>
      <c r="O430" s="6">
        <v>4.2640000000000002</v>
      </c>
      <c r="P430" s="6">
        <v>0</v>
      </c>
      <c r="Q430" s="4" t="s">
        <v>26</v>
      </c>
      <c r="R430" s="4">
        <v>0</v>
      </c>
      <c r="S430" s="6">
        <v>21</v>
      </c>
      <c r="T430" s="6">
        <v>23</v>
      </c>
      <c r="U430" s="6">
        <v>78</v>
      </c>
      <c r="V430" s="6">
        <f>IF(ISERROR(VLOOKUP($S$430,'TAR FIN'!$A$1:$O$116,15,0)),0,VLOOKUP($S$430,'TAR FIN'!$A$1:$O$116,15,0))</f>
        <v>65.599999999999994</v>
      </c>
      <c r="W430" s="6">
        <f>IF(ISERROR(VLOOKUP($T$430,'TAR FIN'!$A$1:$O$116,15,0)),0,VLOOKUP($T$430,'TAR FIN'!$A$1:$O$116,15,0))</f>
        <v>88.66</v>
      </c>
      <c r="X430" s="6">
        <f>IF(ISERROR(VLOOKUP($U$430,'TAR FIN'!$A$1:$O$116,15,0)),0,VLOOKUP($U$430,'TAR FIN'!$A$1:$O$116,15,0))</f>
        <v>496.15</v>
      </c>
      <c r="Y430" s="6">
        <f ca="1">('TUSD BE'!$AM$25+'TUSD BF'!$AM$25+'TUSD CVA'!$AM$25)*1</f>
        <v>75.407822945580492</v>
      </c>
      <c r="Z430" s="6">
        <f ca="1">('TUSD BE'!$AM$27+'TUSD BF'!$AM$27+'TUSD CVA'!$AM$27)*1</f>
        <v>137.4358543126599</v>
      </c>
      <c r="AA430" s="6">
        <f>('TE BE'!$AB$9+'TE BF'!$AB$9+'TE CVA'!$AB$9)*1</f>
        <v>510.04993331215127</v>
      </c>
      <c r="AB430" s="6">
        <f>$K$430*$V$430</f>
        <v>7543.9999999999991</v>
      </c>
      <c r="AC430" s="6">
        <f>$M$430*$W$430</f>
        <v>378.04624000000001</v>
      </c>
      <c r="AD430" s="6">
        <f>$O$430*$X$430</f>
        <v>2115.5835999999999</v>
      </c>
      <c r="AE430" s="6">
        <f ca="1">$K$430*$Y$430</f>
        <v>8671.8996387417574</v>
      </c>
      <c r="AF430" s="6">
        <f ca="1">$M$430*$Z$430</f>
        <v>586.02648278918184</v>
      </c>
      <c r="AG430" s="6">
        <f>$O$430*$AA$430</f>
        <v>2174.8529156430131</v>
      </c>
    </row>
    <row r="431" spans="1:33" ht="11.25" customHeight="1" x14ac:dyDescent="0.25">
      <c r="A431" s="4" t="s">
        <v>28</v>
      </c>
      <c r="B431" s="4" t="s">
        <v>41</v>
      </c>
      <c r="C431" s="4" t="s">
        <v>40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34</v>
      </c>
      <c r="I431" s="5">
        <v>44378</v>
      </c>
      <c r="J431" s="6">
        <v>106</v>
      </c>
      <c r="K431" s="6">
        <v>106</v>
      </c>
      <c r="L431" s="6">
        <v>5.6580000000000004</v>
      </c>
      <c r="M431" s="6">
        <v>5.6580000000000004</v>
      </c>
      <c r="N431" s="6">
        <v>5.6580000000000004</v>
      </c>
      <c r="O431" s="6">
        <v>5.6580000000000004</v>
      </c>
      <c r="P431" s="6">
        <v>0</v>
      </c>
      <c r="Q431" s="4" t="s">
        <v>26</v>
      </c>
      <c r="R431" s="4">
        <v>0</v>
      </c>
      <c r="S431" s="6">
        <v>21</v>
      </c>
      <c r="T431" s="6">
        <v>23</v>
      </c>
      <c r="U431" s="6">
        <v>78</v>
      </c>
      <c r="V431" s="6">
        <f>IF(ISERROR(VLOOKUP($S$431,'TAR FIN'!$A$1:$O$116,15,0)),0,VLOOKUP($S$431,'TAR FIN'!$A$1:$O$116,15,0))</f>
        <v>65.599999999999994</v>
      </c>
      <c r="W431" s="6">
        <f>IF(ISERROR(VLOOKUP($T$431,'TAR FIN'!$A$1:$O$116,15,0)),0,VLOOKUP($T$431,'TAR FIN'!$A$1:$O$116,15,0))</f>
        <v>88.66</v>
      </c>
      <c r="X431" s="6">
        <f>IF(ISERROR(VLOOKUP($U$431,'TAR FIN'!$A$1:$O$116,15,0)),0,VLOOKUP($U$431,'TAR FIN'!$A$1:$O$116,15,0))</f>
        <v>496.15</v>
      </c>
      <c r="Y431" s="6">
        <f ca="1">('TUSD BE'!$AM$25+'TUSD BF'!$AM$25+'TUSD CVA'!$AM$25)*1</f>
        <v>75.407822945580492</v>
      </c>
      <c r="Z431" s="6">
        <f ca="1">('TUSD BE'!$AM$27+'TUSD BF'!$AM$27+'TUSD CVA'!$AM$27)*1</f>
        <v>137.4358543126599</v>
      </c>
      <c r="AA431" s="6">
        <f>('TE BE'!$AB$9+'TE BF'!$AB$9+'TE CVA'!$AB$9)*1</f>
        <v>510.04993331215127</v>
      </c>
      <c r="AB431" s="6">
        <f>$K$431*$V$431</f>
        <v>6953.5999999999995</v>
      </c>
      <c r="AC431" s="6">
        <f>$M$431*$W$431</f>
        <v>501.63828000000001</v>
      </c>
      <c r="AD431" s="6">
        <f>$O$431*$X$431</f>
        <v>2807.2166999999999</v>
      </c>
      <c r="AE431" s="6">
        <f ca="1">$K$431*$Y$431</f>
        <v>7993.2292322315325</v>
      </c>
      <c r="AF431" s="6">
        <f ca="1">$M$431*$Z$431</f>
        <v>777.6120637010298</v>
      </c>
      <c r="AG431" s="6">
        <f>$O$431*$AA$431</f>
        <v>2885.8625226801519</v>
      </c>
    </row>
    <row r="432" spans="1:33" ht="11.25" customHeight="1" x14ac:dyDescent="0.25">
      <c r="A432" s="4" t="s">
        <v>21</v>
      </c>
      <c r="B432" s="4" t="s">
        <v>41</v>
      </c>
      <c r="C432" s="4" t="s">
        <v>40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34</v>
      </c>
      <c r="I432" s="5">
        <v>44378</v>
      </c>
      <c r="J432" s="6">
        <v>4000</v>
      </c>
      <c r="K432" s="6">
        <v>4000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60</v>
      </c>
      <c r="R432" s="4">
        <v>0</v>
      </c>
      <c r="S432" s="6">
        <v>21</v>
      </c>
      <c r="T432" s="6">
        <v>0</v>
      </c>
      <c r="U432" s="6">
        <v>0</v>
      </c>
      <c r="V432" s="6">
        <f>IF(ISERROR(VLOOKUP($S$432,'TAR FIN'!$A$1:$O$116,15,0)),0,VLOOKUP($S$432,'TAR FIN'!$A$1:$O$116,15,0))</f>
        <v>65.599999999999994</v>
      </c>
      <c r="W432" s="6">
        <f>IF(ISERROR(VLOOKUP($T$432,'TAR FIN'!$A$1:$O$116,15,0)),0,VLOOKUP($T$432,'TAR FIN'!$A$1:$O$116,15,0))</f>
        <v>0</v>
      </c>
      <c r="X432" s="6">
        <f>IF(ISERROR(VLOOKUP($U$432,'TAR FIN'!$A$1:$O$116,15,0)),0,VLOOKUP($U$432,'TAR FIN'!$A$1:$O$116,15,0))</f>
        <v>0</v>
      </c>
      <c r="Y432" s="6">
        <f ca="1">('TUSD BE'!$AM$25+'TUSD BF'!$AM$25+'TUSD CVA'!$AM$25)*1</f>
        <v>75.407822945580492</v>
      </c>
      <c r="Z432" s="6">
        <f ca="1">('TUSD BE'!$AM$27+'TUSD BF'!$AM$27+'TUSD CVA'!$AM$27)*1</f>
        <v>137.4358543126599</v>
      </c>
      <c r="AA432" s="6"/>
      <c r="AB432" s="6">
        <f>$K$432*$V$432</f>
        <v>262400</v>
      </c>
      <c r="AC432" s="6">
        <f>$M$432*$W$432</f>
        <v>0</v>
      </c>
      <c r="AD432" s="6">
        <f>$O$432*$X$432</f>
        <v>0</v>
      </c>
      <c r="AE432" s="6">
        <f ca="1">$K$432*$Y$432</f>
        <v>301631.29178232199</v>
      </c>
      <c r="AF432" s="6">
        <f ca="1">$M$432*$Z$432</f>
        <v>0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41</v>
      </c>
      <c r="C433" s="4" t="s">
        <v>40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34</v>
      </c>
      <c r="I433" s="5">
        <v>44409</v>
      </c>
      <c r="J433" s="6">
        <v>115</v>
      </c>
      <c r="K433" s="6">
        <v>115</v>
      </c>
      <c r="L433" s="6">
        <v>4.0590000000000002</v>
      </c>
      <c r="M433" s="6">
        <v>4.0590000000000002</v>
      </c>
      <c r="N433" s="6">
        <v>4.0590000000000002</v>
      </c>
      <c r="O433" s="6">
        <v>4.0590000000000002</v>
      </c>
      <c r="P433" s="6">
        <v>0</v>
      </c>
      <c r="Q433" s="4" t="s">
        <v>26</v>
      </c>
      <c r="R433" s="4">
        <v>0</v>
      </c>
      <c r="S433" s="6">
        <v>21</v>
      </c>
      <c r="T433" s="6">
        <v>23</v>
      </c>
      <c r="U433" s="6">
        <v>78</v>
      </c>
      <c r="V433" s="6">
        <f>IF(ISERROR(VLOOKUP($S$433,'TAR FIN'!$A$1:$O$116,15,0)),0,VLOOKUP($S$433,'TAR FIN'!$A$1:$O$116,15,0))</f>
        <v>65.599999999999994</v>
      </c>
      <c r="W433" s="6">
        <f>IF(ISERROR(VLOOKUP($T$433,'TAR FIN'!$A$1:$O$116,15,0)),0,VLOOKUP($T$433,'TAR FIN'!$A$1:$O$116,15,0))</f>
        <v>88.66</v>
      </c>
      <c r="X433" s="6">
        <f>IF(ISERROR(VLOOKUP($U$433,'TAR FIN'!$A$1:$O$116,15,0)),0,VLOOKUP($U$433,'TAR FIN'!$A$1:$O$116,15,0))</f>
        <v>496.15</v>
      </c>
      <c r="Y433" s="6">
        <f ca="1">('TUSD BE'!$AM$25+'TUSD BF'!$AM$25+'TUSD CVA'!$AM$25)*1</f>
        <v>75.407822945580492</v>
      </c>
      <c r="Z433" s="6">
        <f ca="1">('TUSD BE'!$AM$27+'TUSD BF'!$AM$27+'TUSD CVA'!$AM$27)*1</f>
        <v>137.4358543126599</v>
      </c>
      <c r="AA433" s="6">
        <f>('TE BE'!$AB$9+'TE BF'!$AB$9+'TE CVA'!$AB$9)*1</f>
        <v>510.04993331215127</v>
      </c>
      <c r="AB433" s="6">
        <f>$K$433*$V$433</f>
        <v>7543.9999999999991</v>
      </c>
      <c r="AC433" s="6">
        <f>$M$433*$W$433</f>
        <v>359.87094000000002</v>
      </c>
      <c r="AD433" s="6">
        <f>$O$433*$X$433</f>
        <v>2013.87285</v>
      </c>
      <c r="AE433" s="6">
        <f ca="1">$K$433*$Y$433</f>
        <v>8671.8996387417574</v>
      </c>
      <c r="AF433" s="6">
        <f ca="1">$M$433*$Z$433</f>
        <v>557.85213265508651</v>
      </c>
      <c r="AG433" s="6">
        <f>$O$433*$AA$433</f>
        <v>2070.2926793140223</v>
      </c>
    </row>
    <row r="434" spans="1:33" ht="11.25" customHeight="1" x14ac:dyDescent="0.25">
      <c r="A434" s="4" t="s">
        <v>28</v>
      </c>
      <c r="B434" s="4" t="s">
        <v>41</v>
      </c>
      <c r="C434" s="4" t="s">
        <v>40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34</v>
      </c>
      <c r="I434" s="5">
        <v>44409</v>
      </c>
      <c r="J434" s="6">
        <v>106</v>
      </c>
      <c r="K434" s="6">
        <v>106</v>
      </c>
      <c r="L434" s="6">
        <v>5.7809999999999997</v>
      </c>
      <c r="M434" s="6">
        <v>5.7809999999999997</v>
      </c>
      <c r="N434" s="6">
        <v>5.7809999999999997</v>
      </c>
      <c r="O434" s="6">
        <v>5.7809999999999997</v>
      </c>
      <c r="P434" s="6">
        <v>0</v>
      </c>
      <c r="Q434" s="4" t="s">
        <v>26</v>
      </c>
      <c r="R434" s="4">
        <v>0</v>
      </c>
      <c r="S434" s="6">
        <v>21</v>
      </c>
      <c r="T434" s="6">
        <v>23</v>
      </c>
      <c r="U434" s="6">
        <v>78</v>
      </c>
      <c r="V434" s="6">
        <f>IF(ISERROR(VLOOKUP($S$434,'TAR FIN'!$A$1:$O$116,15,0)),0,VLOOKUP($S$434,'TAR FIN'!$A$1:$O$116,15,0))</f>
        <v>65.599999999999994</v>
      </c>
      <c r="W434" s="6">
        <f>IF(ISERROR(VLOOKUP($T$434,'TAR FIN'!$A$1:$O$116,15,0)),0,VLOOKUP($T$434,'TAR FIN'!$A$1:$O$116,15,0))</f>
        <v>88.66</v>
      </c>
      <c r="X434" s="6">
        <f>IF(ISERROR(VLOOKUP($U$434,'TAR FIN'!$A$1:$O$116,15,0)),0,VLOOKUP($U$434,'TAR FIN'!$A$1:$O$116,15,0))</f>
        <v>496.15</v>
      </c>
      <c r="Y434" s="6">
        <f ca="1">('TUSD BE'!$AM$25+'TUSD BF'!$AM$25+'TUSD CVA'!$AM$25)*1</f>
        <v>75.407822945580492</v>
      </c>
      <c r="Z434" s="6">
        <f ca="1">('TUSD BE'!$AM$27+'TUSD BF'!$AM$27+'TUSD CVA'!$AM$27)*1</f>
        <v>137.4358543126599</v>
      </c>
      <c r="AA434" s="6">
        <f>('TE BE'!$AB$9+'TE BF'!$AB$9+'TE CVA'!$AB$9)*1</f>
        <v>510.04993331215127</v>
      </c>
      <c r="AB434" s="6">
        <f>$K$434*$V$434</f>
        <v>6953.5999999999995</v>
      </c>
      <c r="AC434" s="6">
        <f>$M$434*$W$434</f>
        <v>512.54345999999998</v>
      </c>
      <c r="AD434" s="6">
        <f>$O$434*$X$434</f>
        <v>2868.2431499999998</v>
      </c>
      <c r="AE434" s="6">
        <f ca="1">$K$434*$Y$434</f>
        <v>7993.2292322315325</v>
      </c>
      <c r="AF434" s="6">
        <f ca="1">$M$434*$Z$434</f>
        <v>794.51667378148682</v>
      </c>
      <c r="AG434" s="6">
        <f>$O$434*$AA$434</f>
        <v>2948.5986644775462</v>
      </c>
    </row>
    <row r="435" spans="1:33" ht="11.25" customHeight="1" x14ac:dyDescent="0.25">
      <c r="A435" s="4" t="s">
        <v>21</v>
      </c>
      <c r="B435" s="4" t="s">
        <v>41</v>
      </c>
      <c r="C435" s="4" t="s">
        <v>40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34</v>
      </c>
      <c r="I435" s="5">
        <v>44409</v>
      </c>
      <c r="J435" s="6">
        <v>9850</v>
      </c>
      <c r="K435" s="6">
        <v>9850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60</v>
      </c>
      <c r="R435" s="4">
        <v>0</v>
      </c>
      <c r="S435" s="6">
        <v>21</v>
      </c>
      <c r="T435" s="6">
        <v>0</v>
      </c>
      <c r="U435" s="6">
        <v>0</v>
      </c>
      <c r="V435" s="6">
        <f>IF(ISERROR(VLOOKUP($S$435,'TAR FIN'!$A$1:$O$116,15,0)),0,VLOOKUP($S$435,'TAR FIN'!$A$1:$O$116,15,0))</f>
        <v>65.599999999999994</v>
      </c>
      <c r="W435" s="6">
        <f>IF(ISERROR(VLOOKUP($T$435,'TAR FIN'!$A$1:$O$116,15,0)),0,VLOOKUP($T$435,'TAR FIN'!$A$1:$O$116,15,0))</f>
        <v>0</v>
      </c>
      <c r="X435" s="6">
        <f>IF(ISERROR(VLOOKUP($U$435,'TAR FIN'!$A$1:$O$116,15,0)),0,VLOOKUP($U$435,'TAR FIN'!$A$1:$O$116,15,0))</f>
        <v>0</v>
      </c>
      <c r="Y435" s="6">
        <f ca="1">('TUSD BE'!$AM$25+'TUSD BF'!$AM$25+'TUSD CVA'!$AM$25)*1</f>
        <v>75.407822945580492</v>
      </c>
      <c r="Z435" s="6">
        <f ca="1">('TUSD BE'!$AM$27+'TUSD BF'!$AM$27+'TUSD CVA'!$AM$27)*1</f>
        <v>137.4358543126599</v>
      </c>
      <c r="AA435" s="6"/>
      <c r="AB435" s="6">
        <f>$K$435*$V$435</f>
        <v>646160</v>
      </c>
      <c r="AC435" s="6">
        <f>$M$435*$W$435</f>
        <v>0</v>
      </c>
      <c r="AD435" s="6">
        <f>$O$435*$X$435</f>
        <v>0</v>
      </c>
      <c r="AE435" s="6">
        <f ca="1">$K$435*$Y$435</f>
        <v>742767.05601396784</v>
      </c>
      <c r="AF435" s="6">
        <f ca="1">$M$435*$Z$435</f>
        <v>0</v>
      </c>
      <c r="AG435" s="6">
        <f>$O$435*$AA$435</f>
        <v>0</v>
      </c>
    </row>
    <row r="436" spans="1:33" ht="11.25" customHeight="1" x14ac:dyDescent="0.25">
      <c r="A436" s="4" t="s">
        <v>28</v>
      </c>
      <c r="B436" s="4" t="s">
        <v>41</v>
      </c>
      <c r="C436" s="4" t="s">
        <v>40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34</v>
      </c>
      <c r="I436" s="5">
        <v>44440</v>
      </c>
      <c r="J436" s="6">
        <v>215</v>
      </c>
      <c r="K436" s="6">
        <v>215</v>
      </c>
      <c r="L436" s="6">
        <v>8.5690000000000008</v>
      </c>
      <c r="M436" s="6">
        <v>8.5690000000000008</v>
      </c>
      <c r="N436" s="6">
        <v>8.5690000000000008</v>
      </c>
      <c r="O436" s="6">
        <v>8.5690000000000008</v>
      </c>
      <c r="P436" s="6">
        <v>0</v>
      </c>
      <c r="Q436" s="4" t="s">
        <v>26</v>
      </c>
      <c r="R436" s="4">
        <v>0</v>
      </c>
      <c r="S436" s="6">
        <v>21</v>
      </c>
      <c r="T436" s="6">
        <v>23</v>
      </c>
      <c r="U436" s="6">
        <v>78</v>
      </c>
      <c r="V436" s="6">
        <f>IF(ISERROR(VLOOKUP($S$436,'TAR FIN'!$A$1:$O$116,15,0)),0,VLOOKUP($S$436,'TAR FIN'!$A$1:$O$116,15,0))</f>
        <v>65.599999999999994</v>
      </c>
      <c r="W436" s="6">
        <f>IF(ISERROR(VLOOKUP($T$436,'TAR FIN'!$A$1:$O$116,15,0)),0,VLOOKUP($T$436,'TAR FIN'!$A$1:$O$116,15,0))</f>
        <v>88.66</v>
      </c>
      <c r="X436" s="6">
        <f>IF(ISERROR(VLOOKUP($U$436,'TAR FIN'!$A$1:$O$116,15,0)),0,VLOOKUP($U$436,'TAR FIN'!$A$1:$O$116,15,0))</f>
        <v>496.15</v>
      </c>
      <c r="Y436" s="6">
        <f ca="1">('TUSD BE'!$AM$25+'TUSD BF'!$AM$25+'TUSD CVA'!$AM$25)*1</f>
        <v>75.407822945580492</v>
      </c>
      <c r="Z436" s="6">
        <f ca="1">('TUSD BE'!$AM$27+'TUSD BF'!$AM$27+'TUSD CVA'!$AM$27)*1</f>
        <v>137.4358543126599</v>
      </c>
      <c r="AA436" s="6">
        <f>('TE BE'!$AB$9+'TE BF'!$AB$9+'TE CVA'!$AB$9)*1</f>
        <v>510.04993331215127</v>
      </c>
      <c r="AB436" s="6">
        <f>$K$436*$V$436</f>
        <v>14103.999999999998</v>
      </c>
      <c r="AC436" s="6">
        <f>$M$436*$W$436</f>
        <v>759.72754000000009</v>
      </c>
      <c r="AD436" s="6">
        <f>$O$436*$X$436</f>
        <v>4251.5093500000003</v>
      </c>
      <c r="AE436" s="6">
        <f ca="1">$K$436*$Y$436</f>
        <v>16212.681933299806</v>
      </c>
      <c r="AF436" s="6">
        <f ca="1">$M$436*$Z$436</f>
        <v>1177.6878356051827</v>
      </c>
      <c r="AG436" s="6">
        <f>$O$436*$AA$436</f>
        <v>4370.617878551825</v>
      </c>
    </row>
    <row r="437" spans="1:33" ht="11.25" customHeight="1" x14ac:dyDescent="0.25">
      <c r="A437" s="4" t="s">
        <v>21</v>
      </c>
      <c r="B437" s="4" t="s">
        <v>41</v>
      </c>
      <c r="C437" s="4" t="s">
        <v>40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34</v>
      </c>
      <c r="I437" s="5">
        <v>44440</v>
      </c>
      <c r="J437" s="6">
        <v>9866</v>
      </c>
      <c r="K437" s="6">
        <v>9866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60</v>
      </c>
      <c r="R437" s="4">
        <v>0</v>
      </c>
      <c r="S437" s="6">
        <v>21</v>
      </c>
      <c r="T437" s="6">
        <v>0</v>
      </c>
      <c r="U437" s="6">
        <v>0</v>
      </c>
      <c r="V437" s="6">
        <f>IF(ISERROR(VLOOKUP($S$437,'TAR FIN'!$A$1:$O$116,15,0)),0,VLOOKUP($S$437,'TAR FIN'!$A$1:$O$116,15,0))</f>
        <v>65.599999999999994</v>
      </c>
      <c r="W437" s="6">
        <f>IF(ISERROR(VLOOKUP($T$437,'TAR FIN'!$A$1:$O$116,15,0)),0,VLOOKUP($T$437,'TAR FIN'!$A$1:$O$116,15,0))</f>
        <v>0</v>
      </c>
      <c r="X437" s="6">
        <f>IF(ISERROR(VLOOKUP($U$437,'TAR FIN'!$A$1:$O$116,15,0)),0,VLOOKUP($U$437,'TAR FIN'!$A$1:$O$116,15,0))</f>
        <v>0</v>
      </c>
      <c r="Y437" s="6">
        <f ca="1">('TUSD BE'!$AM$25+'TUSD BF'!$AM$25+'TUSD CVA'!$AM$25)*1</f>
        <v>75.407822945580492</v>
      </c>
      <c r="Z437" s="6">
        <f ca="1">('TUSD BE'!$AM$27+'TUSD BF'!$AM$27+'TUSD CVA'!$AM$27)*1</f>
        <v>137.4358543126599</v>
      </c>
      <c r="AA437" s="6"/>
      <c r="AB437" s="6">
        <f>$K$437*$V$437</f>
        <v>647209.6</v>
      </c>
      <c r="AC437" s="6">
        <f>$M$437*$W$437</f>
        <v>0</v>
      </c>
      <c r="AD437" s="6">
        <f>$O$437*$X$437</f>
        <v>0</v>
      </c>
      <c r="AE437" s="6">
        <f ca="1">$K$437*$Y$437</f>
        <v>743973.58118109708</v>
      </c>
      <c r="AF437" s="6">
        <f ca="1">$M$437*$Z$437</f>
        <v>0</v>
      </c>
      <c r="AG437" s="6">
        <f>$O$437*$AA$437</f>
        <v>0</v>
      </c>
    </row>
    <row r="438" spans="1:33" ht="11.25" customHeight="1" x14ac:dyDescent="0.25">
      <c r="A438" s="4" t="s">
        <v>28</v>
      </c>
      <c r="B438" s="4" t="s">
        <v>41</v>
      </c>
      <c r="C438" s="4" t="s">
        <v>40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34</v>
      </c>
      <c r="I438" s="5">
        <v>44470</v>
      </c>
      <c r="J438" s="6">
        <v>215</v>
      </c>
      <c r="K438" s="6">
        <v>215</v>
      </c>
      <c r="L438" s="6">
        <v>7.7080000000000002</v>
      </c>
      <c r="M438" s="6">
        <v>7.7080000000000002</v>
      </c>
      <c r="N438" s="6">
        <v>7.7080000000000002</v>
      </c>
      <c r="O438" s="6">
        <v>7.7080000000000002</v>
      </c>
      <c r="P438" s="6">
        <v>0</v>
      </c>
      <c r="Q438" s="4" t="s">
        <v>26</v>
      </c>
      <c r="R438" s="4">
        <v>0</v>
      </c>
      <c r="S438" s="6">
        <v>21</v>
      </c>
      <c r="T438" s="6">
        <v>23</v>
      </c>
      <c r="U438" s="6">
        <v>78</v>
      </c>
      <c r="V438" s="6">
        <f>IF(ISERROR(VLOOKUP($S$438,'TAR FIN'!$A$1:$O$116,15,0)),0,VLOOKUP($S$438,'TAR FIN'!$A$1:$O$116,15,0))</f>
        <v>65.599999999999994</v>
      </c>
      <c r="W438" s="6">
        <f>IF(ISERROR(VLOOKUP($T$438,'TAR FIN'!$A$1:$O$116,15,0)),0,VLOOKUP($T$438,'TAR FIN'!$A$1:$O$116,15,0))</f>
        <v>88.66</v>
      </c>
      <c r="X438" s="6">
        <f>IF(ISERROR(VLOOKUP($U$438,'TAR FIN'!$A$1:$O$116,15,0)),0,VLOOKUP($U$438,'TAR FIN'!$A$1:$O$116,15,0))</f>
        <v>496.15</v>
      </c>
      <c r="Y438" s="6">
        <f ca="1">('TUSD BE'!$AM$25+'TUSD BF'!$AM$25+'TUSD CVA'!$AM$25)*1</f>
        <v>75.407822945580492</v>
      </c>
      <c r="Z438" s="6">
        <f ca="1">('TUSD BE'!$AM$27+'TUSD BF'!$AM$27+'TUSD CVA'!$AM$27)*1</f>
        <v>137.4358543126599</v>
      </c>
      <c r="AA438" s="6">
        <f>('TE BE'!$AB$9+'TE BF'!$AB$9+'TE CVA'!$AB$9)*1</f>
        <v>510.04993331215127</v>
      </c>
      <c r="AB438" s="6">
        <f>$K$438*$V$438</f>
        <v>14103.999999999998</v>
      </c>
      <c r="AC438" s="6">
        <f>$M$438*$W$438</f>
        <v>683.39127999999994</v>
      </c>
      <c r="AD438" s="6">
        <f>$O$438*$X$438</f>
        <v>3824.3242</v>
      </c>
      <c r="AE438" s="6">
        <f ca="1">$K$438*$Y$438</f>
        <v>16212.681933299806</v>
      </c>
      <c r="AF438" s="6">
        <f ca="1">$M$438*$Z$438</f>
        <v>1059.3555650419826</v>
      </c>
      <c r="AG438" s="6">
        <f>$O$438*$AA$438</f>
        <v>3931.4648859700619</v>
      </c>
    </row>
    <row r="439" spans="1:33" ht="11.25" customHeight="1" x14ac:dyDescent="0.25">
      <c r="A439" s="4" t="s">
        <v>21</v>
      </c>
      <c r="B439" s="4" t="s">
        <v>41</v>
      </c>
      <c r="C439" s="4" t="s">
        <v>40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34</v>
      </c>
      <c r="I439" s="5">
        <v>44470</v>
      </c>
      <c r="J439" s="6">
        <v>9918</v>
      </c>
      <c r="K439" s="6">
        <v>9918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4" t="s">
        <v>60</v>
      </c>
      <c r="R439" s="4">
        <v>0</v>
      </c>
      <c r="S439" s="6">
        <v>21</v>
      </c>
      <c r="T439" s="6">
        <v>0</v>
      </c>
      <c r="U439" s="6">
        <v>0</v>
      </c>
      <c r="V439" s="6">
        <f>IF(ISERROR(VLOOKUP($S$439,'TAR FIN'!$A$1:$O$116,15,0)),0,VLOOKUP($S$439,'TAR FIN'!$A$1:$O$116,15,0))</f>
        <v>65.599999999999994</v>
      </c>
      <c r="W439" s="6">
        <f>IF(ISERROR(VLOOKUP($T$439,'TAR FIN'!$A$1:$O$116,15,0)),0,VLOOKUP($T$439,'TAR FIN'!$A$1:$O$116,15,0))</f>
        <v>0</v>
      </c>
      <c r="X439" s="6">
        <f>IF(ISERROR(VLOOKUP($U$439,'TAR FIN'!$A$1:$O$116,15,0)),0,VLOOKUP($U$439,'TAR FIN'!$A$1:$O$116,15,0))</f>
        <v>0</v>
      </c>
      <c r="Y439" s="6">
        <f ca="1">('TUSD BE'!$AM$25+'TUSD BF'!$AM$25+'TUSD CVA'!$AM$25)*1</f>
        <v>75.407822945580492</v>
      </c>
      <c r="Z439" s="6">
        <f ca="1">('TUSD BE'!$AM$27+'TUSD BF'!$AM$27+'TUSD CVA'!$AM$27)*1</f>
        <v>137.4358543126599</v>
      </c>
      <c r="AA439" s="6"/>
      <c r="AB439" s="6">
        <f>$K$439*$V$439</f>
        <v>650620.79999999993</v>
      </c>
      <c r="AC439" s="6">
        <f>$M$439*$W$439</f>
        <v>0</v>
      </c>
      <c r="AD439" s="6">
        <f>$O$439*$X$439</f>
        <v>0</v>
      </c>
      <c r="AE439" s="6">
        <f ca="1">$K$439*$Y$439</f>
        <v>747894.78797426727</v>
      </c>
      <c r="AF439" s="6">
        <f ca="1">$M$439*$Z$439</f>
        <v>0</v>
      </c>
      <c r="AG439" s="6">
        <f>$O$439*$AA$439</f>
        <v>0</v>
      </c>
    </row>
    <row r="440" spans="1:33" ht="11.25" customHeight="1" x14ac:dyDescent="0.25">
      <c r="A440" s="4" t="s">
        <v>28</v>
      </c>
      <c r="B440" s="4" t="s">
        <v>41</v>
      </c>
      <c r="C440" s="4" t="s">
        <v>40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34</v>
      </c>
      <c r="I440" s="5">
        <v>44501</v>
      </c>
      <c r="J440" s="6">
        <v>215</v>
      </c>
      <c r="K440" s="6">
        <v>215</v>
      </c>
      <c r="L440" s="6">
        <v>8.3230000000000004</v>
      </c>
      <c r="M440" s="6">
        <v>8.3230000000000004</v>
      </c>
      <c r="N440" s="6">
        <v>8.3230000000000004</v>
      </c>
      <c r="O440" s="6">
        <v>8.3230000000000004</v>
      </c>
      <c r="P440" s="6">
        <v>0</v>
      </c>
      <c r="Q440" s="4" t="s">
        <v>26</v>
      </c>
      <c r="R440" s="4">
        <v>0</v>
      </c>
      <c r="S440" s="6">
        <v>21</v>
      </c>
      <c r="T440" s="6">
        <v>23</v>
      </c>
      <c r="U440" s="6">
        <v>78</v>
      </c>
      <c r="V440" s="6">
        <f>IF(ISERROR(VLOOKUP($S$440,'TAR FIN'!$A$1:$O$116,15,0)),0,VLOOKUP($S$440,'TAR FIN'!$A$1:$O$116,15,0))</f>
        <v>65.599999999999994</v>
      </c>
      <c r="W440" s="6">
        <f>IF(ISERROR(VLOOKUP($T$440,'TAR FIN'!$A$1:$O$116,15,0)),0,VLOOKUP($T$440,'TAR FIN'!$A$1:$O$116,15,0))</f>
        <v>88.66</v>
      </c>
      <c r="X440" s="6">
        <f>IF(ISERROR(VLOOKUP($U$440,'TAR FIN'!$A$1:$O$116,15,0)),0,VLOOKUP($U$440,'TAR FIN'!$A$1:$O$116,15,0))</f>
        <v>496.15</v>
      </c>
      <c r="Y440" s="6">
        <f ca="1">('TUSD BE'!$AM$25+'TUSD BF'!$AM$25+'TUSD CVA'!$AM$25)*1</f>
        <v>75.407822945580492</v>
      </c>
      <c r="Z440" s="6">
        <f ca="1">('TUSD BE'!$AM$27+'TUSD BF'!$AM$27+'TUSD CVA'!$AM$27)*1</f>
        <v>137.4358543126599</v>
      </c>
      <c r="AA440" s="6">
        <f>('TE BE'!$AB$9+'TE BF'!$AB$9+'TE CVA'!$AB$9)*1</f>
        <v>510.04993331215127</v>
      </c>
      <c r="AB440" s="6">
        <f>$K$440*$V$440</f>
        <v>14103.999999999998</v>
      </c>
      <c r="AC440" s="6">
        <f>$M$440*$W$440</f>
        <v>737.91718000000003</v>
      </c>
      <c r="AD440" s="6">
        <f>$O$440*$X$440</f>
        <v>4129.4564499999997</v>
      </c>
      <c r="AE440" s="6">
        <f ca="1">$K$440*$Y$440</f>
        <v>16212.681933299806</v>
      </c>
      <c r="AF440" s="6">
        <f ca="1">$M$440*$Z$440</f>
        <v>1143.8786154442685</v>
      </c>
      <c r="AG440" s="6">
        <f>$O$440*$AA$440</f>
        <v>4245.1455949570354</v>
      </c>
    </row>
    <row r="441" spans="1:33" ht="11.25" customHeight="1" x14ac:dyDescent="0.25">
      <c r="A441" s="4" t="s">
        <v>21</v>
      </c>
      <c r="B441" s="4" t="s">
        <v>41</v>
      </c>
      <c r="C441" s="4" t="s">
        <v>40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34</v>
      </c>
      <c r="I441" s="5">
        <v>44501</v>
      </c>
      <c r="J441" s="6">
        <v>9850</v>
      </c>
      <c r="K441" s="6">
        <v>9850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4" t="s">
        <v>60</v>
      </c>
      <c r="R441" s="4">
        <v>0</v>
      </c>
      <c r="S441" s="6">
        <v>21</v>
      </c>
      <c r="T441" s="6">
        <v>0</v>
      </c>
      <c r="U441" s="6">
        <v>0</v>
      </c>
      <c r="V441" s="6">
        <f>IF(ISERROR(VLOOKUP($S$441,'TAR FIN'!$A$1:$O$116,15,0)),0,VLOOKUP($S$441,'TAR FIN'!$A$1:$O$116,15,0))</f>
        <v>65.599999999999994</v>
      </c>
      <c r="W441" s="6">
        <f>IF(ISERROR(VLOOKUP($T$441,'TAR FIN'!$A$1:$O$116,15,0)),0,VLOOKUP($T$441,'TAR FIN'!$A$1:$O$116,15,0))</f>
        <v>0</v>
      </c>
      <c r="X441" s="6">
        <f>IF(ISERROR(VLOOKUP($U$441,'TAR FIN'!$A$1:$O$116,15,0)),0,VLOOKUP($U$441,'TAR FIN'!$A$1:$O$116,15,0))</f>
        <v>0</v>
      </c>
      <c r="Y441" s="6">
        <f ca="1">('TUSD BE'!$AM$25+'TUSD BF'!$AM$25+'TUSD CVA'!$AM$25)*1</f>
        <v>75.407822945580492</v>
      </c>
      <c r="Z441" s="6">
        <f ca="1">('TUSD BE'!$AM$27+'TUSD BF'!$AM$27+'TUSD CVA'!$AM$27)*1</f>
        <v>137.4358543126599</v>
      </c>
      <c r="AA441" s="6"/>
      <c r="AB441" s="6">
        <f>$K$441*$V$441</f>
        <v>646160</v>
      </c>
      <c r="AC441" s="6">
        <f>$M$441*$W$441</f>
        <v>0</v>
      </c>
      <c r="AD441" s="6">
        <f>$O$441*$X$441</f>
        <v>0</v>
      </c>
      <c r="AE441" s="6">
        <f ca="1">$K$441*$Y$441</f>
        <v>742767.05601396784</v>
      </c>
      <c r="AF441" s="6">
        <f ca="1">$M$441*$Z$441</f>
        <v>0</v>
      </c>
      <c r="AG441" s="6">
        <f>$O$441*$AA$441</f>
        <v>0</v>
      </c>
    </row>
    <row r="442" spans="1:33" ht="11.25" customHeight="1" x14ac:dyDescent="0.25">
      <c r="A442" s="4" t="s">
        <v>28</v>
      </c>
      <c r="B442" s="4" t="s">
        <v>41</v>
      </c>
      <c r="C442" s="4" t="s">
        <v>40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34</v>
      </c>
      <c r="I442" s="5">
        <v>44531</v>
      </c>
      <c r="J442" s="6">
        <v>215</v>
      </c>
      <c r="K442" s="6">
        <v>215</v>
      </c>
      <c r="L442" s="6">
        <v>7.9130000000000003</v>
      </c>
      <c r="M442" s="6">
        <v>7.9130000000000003</v>
      </c>
      <c r="N442" s="6">
        <v>7.9130000000000003</v>
      </c>
      <c r="O442" s="6">
        <v>7.9130000000000003</v>
      </c>
      <c r="P442" s="6">
        <v>0</v>
      </c>
      <c r="Q442" s="4" t="s">
        <v>26</v>
      </c>
      <c r="R442" s="4">
        <v>0</v>
      </c>
      <c r="S442" s="6">
        <v>21</v>
      </c>
      <c r="T442" s="6">
        <v>23</v>
      </c>
      <c r="U442" s="6">
        <v>78</v>
      </c>
      <c r="V442" s="6">
        <f>IF(ISERROR(VLOOKUP($S$442,'TAR FIN'!$A$1:$O$116,15,0)),0,VLOOKUP($S$442,'TAR FIN'!$A$1:$O$116,15,0))</f>
        <v>65.599999999999994</v>
      </c>
      <c r="W442" s="6">
        <f>IF(ISERROR(VLOOKUP($T$442,'TAR FIN'!$A$1:$O$116,15,0)),0,VLOOKUP($T$442,'TAR FIN'!$A$1:$O$116,15,0))</f>
        <v>88.66</v>
      </c>
      <c r="X442" s="6">
        <f>IF(ISERROR(VLOOKUP($U$442,'TAR FIN'!$A$1:$O$116,15,0)),0,VLOOKUP($U$442,'TAR FIN'!$A$1:$O$116,15,0))</f>
        <v>496.15</v>
      </c>
      <c r="Y442" s="6">
        <f ca="1">('TUSD BE'!$AM$25+'TUSD BF'!$AM$25+'TUSD CVA'!$AM$25)*1</f>
        <v>75.407822945580492</v>
      </c>
      <c r="Z442" s="6">
        <f ca="1">('TUSD BE'!$AM$27+'TUSD BF'!$AM$27+'TUSD CVA'!$AM$27)*1</f>
        <v>137.4358543126599</v>
      </c>
      <c r="AA442" s="6">
        <f>('TE BE'!$AB$9+'TE BF'!$AB$9+'TE CVA'!$AB$9)*1</f>
        <v>510.04993331215127</v>
      </c>
      <c r="AB442" s="6">
        <f>$K$442*$V$442</f>
        <v>14103.999999999998</v>
      </c>
      <c r="AC442" s="6">
        <f>$M$442*$W$442</f>
        <v>701.56658000000004</v>
      </c>
      <c r="AD442" s="6">
        <f>$O$442*$X$442</f>
        <v>3926.0349499999998</v>
      </c>
      <c r="AE442" s="6">
        <f ca="1">$K$442*$Y$442</f>
        <v>16212.681933299806</v>
      </c>
      <c r="AF442" s="6">
        <f ca="1">$M$442*$Z$442</f>
        <v>1087.5299151760778</v>
      </c>
      <c r="AG442" s="6">
        <f>$O$442*$AA$442</f>
        <v>4036.0251222990532</v>
      </c>
    </row>
    <row r="443" spans="1:33" ht="11.25" customHeight="1" x14ac:dyDescent="0.25">
      <c r="A443" s="4" t="s">
        <v>21</v>
      </c>
      <c r="B443" s="4" t="s">
        <v>41</v>
      </c>
      <c r="C443" s="4" t="s">
        <v>40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34</v>
      </c>
      <c r="I443" s="5">
        <v>44531</v>
      </c>
      <c r="J443" s="6">
        <v>9850</v>
      </c>
      <c r="K443" s="6">
        <v>9850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60</v>
      </c>
      <c r="R443" s="4">
        <v>0</v>
      </c>
      <c r="S443" s="6">
        <v>21</v>
      </c>
      <c r="T443" s="6">
        <v>0</v>
      </c>
      <c r="U443" s="6">
        <v>0</v>
      </c>
      <c r="V443" s="6">
        <f>IF(ISERROR(VLOOKUP($S$443,'TAR FIN'!$A$1:$O$116,15,0)),0,VLOOKUP($S$443,'TAR FIN'!$A$1:$O$116,15,0))</f>
        <v>65.599999999999994</v>
      </c>
      <c r="W443" s="6">
        <f>IF(ISERROR(VLOOKUP($T$443,'TAR FIN'!$A$1:$O$116,15,0)),0,VLOOKUP($T$443,'TAR FIN'!$A$1:$O$116,15,0))</f>
        <v>0</v>
      </c>
      <c r="X443" s="6">
        <f>IF(ISERROR(VLOOKUP($U$443,'TAR FIN'!$A$1:$O$116,15,0)),0,VLOOKUP($U$443,'TAR FIN'!$A$1:$O$116,15,0))</f>
        <v>0</v>
      </c>
      <c r="Y443" s="6">
        <f ca="1">('TUSD BE'!$AM$25+'TUSD BF'!$AM$25+'TUSD CVA'!$AM$25)*1</f>
        <v>75.407822945580492</v>
      </c>
      <c r="Z443" s="6">
        <f ca="1">('TUSD BE'!$AM$27+'TUSD BF'!$AM$27+'TUSD CVA'!$AM$27)*1</f>
        <v>137.4358543126599</v>
      </c>
      <c r="AA443" s="6"/>
      <c r="AB443" s="6">
        <f>$K$443*$V$443</f>
        <v>646160</v>
      </c>
      <c r="AC443" s="6">
        <f>$M$443*$W$443</f>
        <v>0</v>
      </c>
      <c r="AD443" s="6">
        <f>$O$443*$X$443</f>
        <v>0</v>
      </c>
      <c r="AE443" s="6">
        <f ca="1">$K$443*$Y$443</f>
        <v>742767.05601396784</v>
      </c>
      <c r="AF443" s="6">
        <f ca="1">$M$443*$Z$443</f>
        <v>0</v>
      </c>
      <c r="AG443" s="6">
        <f>$O$443*$AA$443</f>
        <v>0</v>
      </c>
    </row>
    <row r="444" spans="1:33" ht="11.25" customHeight="1" x14ac:dyDescent="0.25">
      <c r="A444" s="4" t="s">
        <v>28</v>
      </c>
      <c r="B444" s="4" t="s">
        <v>41</v>
      </c>
      <c r="C444" s="4" t="s">
        <v>40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34</v>
      </c>
      <c r="I444" s="5">
        <v>44562</v>
      </c>
      <c r="J444" s="6">
        <v>215</v>
      </c>
      <c r="K444" s="6">
        <v>215</v>
      </c>
      <c r="L444" s="6">
        <v>9.3339999999999996</v>
      </c>
      <c r="M444" s="6">
        <v>9.3339999999999996</v>
      </c>
      <c r="N444" s="6">
        <v>9.3339999999999996</v>
      </c>
      <c r="O444" s="6">
        <v>9.3339999999999996</v>
      </c>
      <c r="P444" s="6">
        <v>0</v>
      </c>
      <c r="Q444" s="4" t="s">
        <v>26</v>
      </c>
      <c r="R444" s="4">
        <v>0</v>
      </c>
      <c r="S444" s="6">
        <v>21</v>
      </c>
      <c r="T444" s="6">
        <v>23</v>
      </c>
      <c r="U444" s="6">
        <v>78</v>
      </c>
      <c r="V444" s="6">
        <f>IF(ISERROR(VLOOKUP($S$444,'TAR FIN'!$A$1:$O$116,15,0)),0,VLOOKUP($S$444,'TAR FIN'!$A$1:$O$116,15,0))</f>
        <v>65.599999999999994</v>
      </c>
      <c r="W444" s="6">
        <f>IF(ISERROR(VLOOKUP($T$444,'TAR FIN'!$A$1:$O$116,15,0)),0,VLOOKUP($T$444,'TAR FIN'!$A$1:$O$116,15,0))</f>
        <v>88.66</v>
      </c>
      <c r="X444" s="6">
        <f>IF(ISERROR(VLOOKUP($U$444,'TAR FIN'!$A$1:$O$116,15,0)),0,VLOOKUP($U$444,'TAR FIN'!$A$1:$O$116,15,0))</f>
        <v>496.15</v>
      </c>
      <c r="Y444" s="6">
        <f ca="1">('TUSD BE'!$AM$25+'TUSD BF'!$AM$25+'TUSD CVA'!$AM$25)*1</f>
        <v>75.407822945580492</v>
      </c>
      <c r="Z444" s="6">
        <f ca="1">('TUSD BE'!$AM$27+'TUSD BF'!$AM$27+'TUSD CVA'!$AM$27)*1</f>
        <v>137.4358543126599</v>
      </c>
      <c r="AA444" s="6">
        <f>('TE BE'!$AB$9+'TE BF'!$AB$9+'TE CVA'!$AB$9)*1</f>
        <v>510.04993331215127</v>
      </c>
      <c r="AB444" s="6">
        <f>$K$444*$V$444</f>
        <v>14103.999999999998</v>
      </c>
      <c r="AC444" s="6">
        <f>$M$444*$W$444</f>
        <v>827.55243999999993</v>
      </c>
      <c r="AD444" s="6">
        <f>$O$444*$X$444</f>
        <v>4631.0640999999996</v>
      </c>
      <c r="AE444" s="6">
        <f ca="1">$K$444*$Y$444</f>
        <v>16212.681933299806</v>
      </c>
      <c r="AF444" s="6">
        <f ca="1">$M$444*$Z$444</f>
        <v>1282.8262641543674</v>
      </c>
      <c r="AG444" s="6">
        <f>$O$444*$AA$444</f>
        <v>4760.8060775356198</v>
      </c>
    </row>
    <row r="445" spans="1:33" ht="11.25" customHeight="1" x14ac:dyDescent="0.25">
      <c r="A445" s="4" t="s">
        <v>21</v>
      </c>
      <c r="B445" s="4" t="s">
        <v>41</v>
      </c>
      <c r="C445" s="4" t="s">
        <v>40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34</v>
      </c>
      <c r="I445" s="5">
        <v>44562</v>
      </c>
      <c r="J445" s="6">
        <v>9891</v>
      </c>
      <c r="K445" s="6">
        <v>9891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4" t="s">
        <v>60</v>
      </c>
      <c r="R445" s="4">
        <v>0</v>
      </c>
      <c r="S445" s="6">
        <v>21</v>
      </c>
      <c r="T445" s="6">
        <v>0</v>
      </c>
      <c r="U445" s="6">
        <v>0</v>
      </c>
      <c r="V445" s="6">
        <f>IF(ISERROR(VLOOKUP($S$445,'TAR FIN'!$A$1:$O$116,15,0)),0,VLOOKUP($S$445,'TAR FIN'!$A$1:$O$116,15,0))</f>
        <v>65.599999999999994</v>
      </c>
      <c r="W445" s="6">
        <f>IF(ISERROR(VLOOKUP($T$445,'TAR FIN'!$A$1:$O$116,15,0)),0,VLOOKUP($T$445,'TAR FIN'!$A$1:$O$116,15,0))</f>
        <v>0</v>
      </c>
      <c r="X445" s="6">
        <f>IF(ISERROR(VLOOKUP($U$445,'TAR FIN'!$A$1:$O$116,15,0)),0,VLOOKUP($U$445,'TAR FIN'!$A$1:$O$116,15,0))</f>
        <v>0</v>
      </c>
      <c r="Y445" s="6">
        <f ca="1">('TUSD BE'!$AM$25+'TUSD BF'!$AM$25+'TUSD CVA'!$AM$25)*1</f>
        <v>75.407822945580492</v>
      </c>
      <c r="Z445" s="6">
        <f ca="1">('TUSD BE'!$AM$27+'TUSD BF'!$AM$27+'TUSD CVA'!$AM$27)*1</f>
        <v>137.4358543126599</v>
      </c>
      <c r="AA445" s="6"/>
      <c r="AB445" s="6">
        <f>$K$445*$V$445</f>
        <v>648849.6</v>
      </c>
      <c r="AC445" s="6">
        <f>$M$445*$W$445</f>
        <v>0</v>
      </c>
      <c r="AD445" s="6">
        <f>$O$445*$X$445</f>
        <v>0</v>
      </c>
      <c r="AE445" s="6">
        <f ca="1">$K$445*$Y$445</f>
        <v>745858.77675473667</v>
      </c>
      <c r="AF445" s="6">
        <f ca="1">$M$445*$Z$445</f>
        <v>0</v>
      </c>
      <c r="AG445" s="6">
        <f>$O$445*$AA$445</f>
        <v>0</v>
      </c>
    </row>
    <row r="446" spans="1:33" ht="11.25" customHeight="1" x14ac:dyDescent="0.25">
      <c r="A446" s="4" t="s">
        <v>28</v>
      </c>
      <c r="B446" s="4" t="s">
        <v>41</v>
      </c>
      <c r="C446" s="4" t="s">
        <v>40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34</v>
      </c>
      <c r="I446" s="5">
        <v>44593</v>
      </c>
      <c r="J446" s="6">
        <v>215</v>
      </c>
      <c r="K446" s="6">
        <v>215</v>
      </c>
      <c r="L446" s="6">
        <v>7.8120000000000003</v>
      </c>
      <c r="M446" s="6">
        <v>7.8120000000000003</v>
      </c>
      <c r="N446" s="6">
        <v>7.8120000000000003</v>
      </c>
      <c r="O446" s="6">
        <v>7.8120000000000003</v>
      </c>
      <c r="P446" s="6">
        <v>0</v>
      </c>
      <c r="Q446" s="4" t="s">
        <v>26</v>
      </c>
      <c r="R446" s="4">
        <v>0</v>
      </c>
      <c r="S446" s="6">
        <v>21</v>
      </c>
      <c r="T446" s="6">
        <v>23</v>
      </c>
      <c r="U446" s="6">
        <v>78</v>
      </c>
      <c r="V446" s="6">
        <f>IF(ISERROR(VLOOKUP($S$446,'TAR FIN'!$A$1:$O$116,15,0)),0,VLOOKUP($S$446,'TAR FIN'!$A$1:$O$116,15,0))</f>
        <v>65.599999999999994</v>
      </c>
      <c r="W446" s="6">
        <f>IF(ISERROR(VLOOKUP($T$446,'TAR FIN'!$A$1:$O$116,15,0)),0,VLOOKUP($T$446,'TAR FIN'!$A$1:$O$116,15,0))</f>
        <v>88.66</v>
      </c>
      <c r="X446" s="6">
        <f>IF(ISERROR(VLOOKUP($U$446,'TAR FIN'!$A$1:$O$116,15,0)),0,VLOOKUP($U$446,'TAR FIN'!$A$1:$O$116,15,0))</f>
        <v>496.15</v>
      </c>
      <c r="Y446" s="6">
        <f ca="1">('TUSD BE'!$AM$25+'TUSD BF'!$AM$25+'TUSD CVA'!$AM$25)*1</f>
        <v>75.407822945580492</v>
      </c>
      <c r="Z446" s="6">
        <f ca="1">('TUSD BE'!$AM$27+'TUSD BF'!$AM$27+'TUSD CVA'!$AM$27)*1</f>
        <v>137.4358543126599</v>
      </c>
      <c r="AA446" s="6">
        <f>('TE BE'!$AB$9+'TE BF'!$AB$9+'TE CVA'!$AB$9)*1</f>
        <v>510.04993331215127</v>
      </c>
      <c r="AB446" s="6">
        <f>$K$446*$V$446</f>
        <v>14103.999999999998</v>
      </c>
      <c r="AC446" s="6">
        <f>$M$446*$W$446</f>
        <v>692.61192000000005</v>
      </c>
      <c r="AD446" s="6">
        <f>$O$446*$X$446</f>
        <v>3875.9238</v>
      </c>
      <c r="AE446" s="6">
        <f ca="1">$K$446*$Y$446</f>
        <v>16212.681933299806</v>
      </c>
      <c r="AF446" s="6">
        <f ca="1">$M$446*$Z$446</f>
        <v>1073.6488938904993</v>
      </c>
      <c r="AG446" s="6">
        <f>$O$446*$AA$446</f>
        <v>3984.5100790345259</v>
      </c>
    </row>
    <row r="447" spans="1:33" ht="11.25" customHeight="1" x14ac:dyDescent="0.25">
      <c r="A447" s="4" t="s">
        <v>21</v>
      </c>
      <c r="B447" s="4" t="s">
        <v>41</v>
      </c>
      <c r="C447" s="4" t="s">
        <v>40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34</v>
      </c>
      <c r="I447" s="5">
        <v>44593</v>
      </c>
      <c r="J447" s="6">
        <v>9969</v>
      </c>
      <c r="K447" s="6">
        <v>9969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4" t="s">
        <v>60</v>
      </c>
      <c r="R447" s="4">
        <v>0</v>
      </c>
      <c r="S447" s="6">
        <v>21</v>
      </c>
      <c r="T447" s="6">
        <v>0</v>
      </c>
      <c r="U447" s="6">
        <v>0</v>
      </c>
      <c r="V447" s="6">
        <f>IF(ISERROR(VLOOKUP($S$447,'TAR FIN'!$A$1:$O$116,15,0)),0,VLOOKUP($S$447,'TAR FIN'!$A$1:$O$116,15,0))</f>
        <v>65.599999999999994</v>
      </c>
      <c r="W447" s="6">
        <f>IF(ISERROR(VLOOKUP($T$447,'TAR FIN'!$A$1:$O$116,15,0)),0,VLOOKUP($T$447,'TAR FIN'!$A$1:$O$116,15,0))</f>
        <v>0</v>
      </c>
      <c r="X447" s="6">
        <f>IF(ISERROR(VLOOKUP($U$447,'TAR FIN'!$A$1:$O$116,15,0)),0,VLOOKUP($U$447,'TAR FIN'!$A$1:$O$116,15,0))</f>
        <v>0</v>
      </c>
      <c r="Y447" s="6">
        <f ca="1">('TUSD BE'!$AM$25+'TUSD BF'!$AM$25+'TUSD CVA'!$AM$25)*1</f>
        <v>75.407822945580492</v>
      </c>
      <c r="Z447" s="6">
        <f ca="1">('TUSD BE'!$AM$27+'TUSD BF'!$AM$27+'TUSD CVA'!$AM$27)*1</f>
        <v>137.4358543126599</v>
      </c>
      <c r="AA447" s="6"/>
      <c r="AB447" s="6">
        <f>$K$447*$V$447</f>
        <v>653966.39999999991</v>
      </c>
      <c r="AC447" s="6">
        <f>$M$447*$W$447</f>
        <v>0</v>
      </c>
      <c r="AD447" s="6">
        <f>$O$447*$X$447</f>
        <v>0</v>
      </c>
      <c r="AE447" s="6">
        <f ca="1">$K$447*$Y$447</f>
        <v>751740.58694449195</v>
      </c>
      <c r="AF447" s="6">
        <f ca="1">$M$447*$Z$447</f>
        <v>0</v>
      </c>
      <c r="AG447" s="6">
        <f>$O$447*$AA$447</f>
        <v>0</v>
      </c>
    </row>
    <row r="448" spans="1:33" ht="11.25" customHeight="1" x14ac:dyDescent="0.25">
      <c r="A448" s="4" t="s">
        <v>28</v>
      </c>
      <c r="B448" s="4" t="s">
        <v>41</v>
      </c>
      <c r="C448" s="4" t="s">
        <v>40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34</v>
      </c>
      <c r="I448" s="5">
        <v>44621</v>
      </c>
      <c r="J448" s="6">
        <v>216</v>
      </c>
      <c r="K448" s="6">
        <v>216</v>
      </c>
      <c r="L448" s="6">
        <v>10.337999999999999</v>
      </c>
      <c r="M448" s="6">
        <v>10.337999999999999</v>
      </c>
      <c r="N448" s="6">
        <v>10.337999999999999</v>
      </c>
      <c r="O448" s="6">
        <v>10.337999999999999</v>
      </c>
      <c r="P448" s="6">
        <v>0</v>
      </c>
      <c r="Q448" s="4" t="s">
        <v>26</v>
      </c>
      <c r="R448" s="4">
        <v>0</v>
      </c>
      <c r="S448" s="6">
        <v>21</v>
      </c>
      <c r="T448" s="6">
        <v>23</v>
      </c>
      <c r="U448" s="6">
        <v>78</v>
      </c>
      <c r="V448" s="6">
        <f>IF(ISERROR(VLOOKUP($S$448,'TAR FIN'!$A$1:$O$116,15,0)),0,VLOOKUP($S$448,'TAR FIN'!$A$1:$O$116,15,0))</f>
        <v>65.599999999999994</v>
      </c>
      <c r="W448" s="6">
        <f>IF(ISERROR(VLOOKUP($T$448,'TAR FIN'!$A$1:$O$116,15,0)),0,VLOOKUP($T$448,'TAR FIN'!$A$1:$O$116,15,0))</f>
        <v>88.66</v>
      </c>
      <c r="X448" s="6">
        <f>IF(ISERROR(VLOOKUP($U$448,'TAR FIN'!$A$1:$O$116,15,0)),0,VLOOKUP($U$448,'TAR FIN'!$A$1:$O$116,15,0))</f>
        <v>496.15</v>
      </c>
      <c r="Y448" s="6">
        <f ca="1">('TUSD BE'!$AM$25+'TUSD BF'!$AM$25+'TUSD CVA'!$AM$25)*1</f>
        <v>75.407822945580492</v>
      </c>
      <c r="Z448" s="6">
        <f ca="1">('TUSD BE'!$AM$27+'TUSD BF'!$AM$27+'TUSD CVA'!$AM$27)*1</f>
        <v>137.4358543126599</v>
      </c>
      <c r="AA448" s="6">
        <f>('TE BE'!$AB$9+'TE BF'!$AB$9+'TE CVA'!$AB$9)*1</f>
        <v>510.04993331215127</v>
      </c>
      <c r="AB448" s="6">
        <f>$K$448*$V$448</f>
        <v>14169.599999999999</v>
      </c>
      <c r="AC448" s="6">
        <f>$M$448*$W$448</f>
        <v>916.56707999999992</v>
      </c>
      <c r="AD448" s="6">
        <f>$O$448*$X$448</f>
        <v>5129.198699999999</v>
      </c>
      <c r="AE448" s="6">
        <f ca="1">$K$448*$Y$448</f>
        <v>16288.089756245387</v>
      </c>
      <c r="AF448" s="6">
        <f ca="1">$M$448*$Z$448</f>
        <v>1420.811861884278</v>
      </c>
      <c r="AG448" s="6">
        <f>$O$448*$AA$448</f>
        <v>5272.8962105810197</v>
      </c>
    </row>
    <row r="449" spans="1:33" ht="11.25" customHeight="1" x14ac:dyDescent="0.25">
      <c r="A449" s="4" t="s">
        <v>21</v>
      </c>
      <c r="B449" s="4" t="s">
        <v>41</v>
      </c>
      <c r="C449" s="4" t="s">
        <v>40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44621</v>
      </c>
      <c r="J449" s="6">
        <v>10230</v>
      </c>
      <c r="K449" s="6">
        <v>10230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60</v>
      </c>
      <c r="R449" s="4">
        <v>0</v>
      </c>
      <c r="S449" s="6">
        <v>21</v>
      </c>
      <c r="T449" s="6">
        <v>0</v>
      </c>
      <c r="U449" s="6">
        <v>0</v>
      </c>
      <c r="V449" s="6">
        <f>IF(ISERROR(VLOOKUP($S$449,'TAR FIN'!$A$1:$O$116,15,0)),0,VLOOKUP($S$449,'TAR FIN'!$A$1:$O$116,15,0))</f>
        <v>65.599999999999994</v>
      </c>
      <c r="W449" s="6">
        <f>IF(ISERROR(VLOOKUP($T$449,'TAR FIN'!$A$1:$O$116,15,0)),0,VLOOKUP($T$449,'TAR FIN'!$A$1:$O$116,15,0))</f>
        <v>0</v>
      </c>
      <c r="X449" s="6">
        <f>IF(ISERROR(VLOOKUP($U$449,'TAR FIN'!$A$1:$O$116,15,0)),0,VLOOKUP($U$449,'TAR FIN'!$A$1:$O$116,15,0))</f>
        <v>0</v>
      </c>
      <c r="Y449" s="6">
        <f ca="1">('TUSD BE'!$AM$25+'TUSD BF'!$AM$25+'TUSD CVA'!$AM$25)*1</f>
        <v>75.407822945580492</v>
      </c>
      <c r="Z449" s="6">
        <f ca="1">('TUSD BE'!$AM$27+'TUSD BF'!$AM$27+'TUSD CVA'!$AM$27)*1</f>
        <v>137.4358543126599</v>
      </c>
      <c r="AA449" s="6"/>
      <c r="AB449" s="6">
        <f>$K$449*$V$449</f>
        <v>671088</v>
      </c>
      <c r="AC449" s="6">
        <f>$M$449*$W$449</f>
        <v>0</v>
      </c>
      <c r="AD449" s="6">
        <f>$O$449*$X$449</f>
        <v>0</v>
      </c>
      <c r="AE449" s="6">
        <f ca="1">$K$449*$Y$449</f>
        <v>771422.0287332884</v>
      </c>
      <c r="AF449" s="6">
        <f ca="1">$M$449*$Z$449</f>
        <v>0</v>
      </c>
      <c r="AG449" s="6">
        <f>$O$449*$AA$449</f>
        <v>0</v>
      </c>
    </row>
    <row r="450" spans="1:33" ht="11.25" customHeight="1" x14ac:dyDescent="0.25">
      <c r="A450" s="4" t="s">
        <v>28</v>
      </c>
      <c r="B450" s="4" t="s">
        <v>41</v>
      </c>
      <c r="C450" s="4" t="s">
        <v>40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44652</v>
      </c>
      <c r="J450" s="6">
        <v>220</v>
      </c>
      <c r="K450" s="6">
        <v>220</v>
      </c>
      <c r="L450" s="6">
        <v>8.6180000000000003</v>
      </c>
      <c r="M450" s="6">
        <v>8.6180000000000003</v>
      </c>
      <c r="N450" s="6">
        <v>8.6180000000000003</v>
      </c>
      <c r="O450" s="6">
        <v>8.6180000000000003</v>
      </c>
      <c r="P450" s="6">
        <v>0</v>
      </c>
      <c r="Q450" s="4" t="s">
        <v>26</v>
      </c>
      <c r="R450" s="4">
        <v>0</v>
      </c>
      <c r="S450" s="6">
        <v>21</v>
      </c>
      <c r="T450" s="6">
        <v>23</v>
      </c>
      <c r="U450" s="6">
        <v>78</v>
      </c>
      <c r="V450" s="6">
        <f>IF(ISERROR(VLOOKUP($S$450,'TAR FIN'!$A$1:$O$116,15,0)),0,VLOOKUP($S$450,'TAR FIN'!$A$1:$O$116,15,0))</f>
        <v>65.599999999999994</v>
      </c>
      <c r="W450" s="6">
        <f>IF(ISERROR(VLOOKUP($T$450,'TAR FIN'!$A$1:$O$116,15,0)),0,VLOOKUP($T$450,'TAR FIN'!$A$1:$O$116,15,0))</f>
        <v>88.66</v>
      </c>
      <c r="X450" s="6">
        <f>IF(ISERROR(VLOOKUP($U$450,'TAR FIN'!$A$1:$O$116,15,0)),0,VLOOKUP($U$450,'TAR FIN'!$A$1:$O$116,15,0))</f>
        <v>496.15</v>
      </c>
      <c r="Y450" s="6">
        <f ca="1">('TUSD BE'!$AM$25+'TUSD BF'!$AM$25+'TUSD CVA'!$AM$25)*1</f>
        <v>75.407822945580492</v>
      </c>
      <c r="Z450" s="6">
        <f ca="1">('TUSD BE'!$AM$27+'TUSD BF'!$AM$27+'TUSD CVA'!$AM$27)*1</f>
        <v>137.4358543126599</v>
      </c>
      <c r="AA450" s="6">
        <f>('TE BE'!$AB$9+'TE BF'!$AB$9+'TE CVA'!$AB$9)*1</f>
        <v>510.04993331215127</v>
      </c>
      <c r="AB450" s="6">
        <f>$K$450*$V$450</f>
        <v>14431.999999999998</v>
      </c>
      <c r="AC450" s="6">
        <f>$M$450*$W$450</f>
        <v>764.07187999999996</v>
      </c>
      <c r="AD450" s="6">
        <f>$O$450*$X$450</f>
        <v>4275.8207000000002</v>
      </c>
      <c r="AE450" s="6">
        <f ca="1">$K$450*$Y$450</f>
        <v>16589.72104802771</v>
      </c>
      <c r="AF450" s="6">
        <f ca="1">$M$450*$Z$450</f>
        <v>1184.422192466503</v>
      </c>
      <c r="AG450" s="6">
        <f>$O$450*$AA$450</f>
        <v>4395.6103252841194</v>
      </c>
    </row>
    <row r="451" spans="1:33" ht="11.25" customHeight="1" x14ac:dyDescent="0.25">
      <c r="A451" s="4" t="s">
        <v>21</v>
      </c>
      <c r="B451" s="4" t="s">
        <v>41</v>
      </c>
      <c r="C451" s="4" t="s">
        <v>40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44652</v>
      </c>
      <c r="J451" s="6">
        <v>10022</v>
      </c>
      <c r="K451" s="6">
        <v>10022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4" t="s">
        <v>60</v>
      </c>
      <c r="R451" s="4">
        <v>0</v>
      </c>
      <c r="S451" s="6">
        <v>21</v>
      </c>
      <c r="T451" s="6">
        <v>0</v>
      </c>
      <c r="U451" s="6">
        <v>0</v>
      </c>
      <c r="V451" s="6">
        <f>IF(ISERROR(VLOOKUP($S$451,'TAR FIN'!$A$1:$O$116,15,0)),0,VLOOKUP($S$451,'TAR FIN'!$A$1:$O$116,15,0))</f>
        <v>65.599999999999994</v>
      </c>
      <c r="W451" s="6">
        <f>IF(ISERROR(VLOOKUP($T$451,'TAR FIN'!$A$1:$O$116,15,0)),0,VLOOKUP($T$451,'TAR FIN'!$A$1:$O$116,15,0))</f>
        <v>0</v>
      </c>
      <c r="X451" s="6">
        <f>IF(ISERROR(VLOOKUP($U$451,'TAR FIN'!$A$1:$O$116,15,0)),0,VLOOKUP($U$451,'TAR FIN'!$A$1:$O$116,15,0))</f>
        <v>0</v>
      </c>
      <c r="Y451" s="6">
        <f ca="1">('TUSD BE'!$AM$25+'TUSD BF'!$AM$25+'TUSD CVA'!$AM$25)*1</f>
        <v>75.407822945580492</v>
      </c>
      <c r="Z451" s="6">
        <f ca="1">('TUSD BE'!$AM$27+'TUSD BF'!$AM$27+'TUSD CVA'!$AM$27)*1</f>
        <v>137.4358543126599</v>
      </c>
      <c r="AA451" s="6"/>
      <c r="AB451" s="6">
        <f>$K$451*$V$451</f>
        <v>657443.19999999995</v>
      </c>
      <c r="AC451" s="6">
        <f>$M$451*$W$451</f>
        <v>0</v>
      </c>
      <c r="AD451" s="6">
        <f>$O$451*$X$451</f>
        <v>0</v>
      </c>
      <c r="AE451" s="6">
        <f ca="1">$K$451*$Y$451</f>
        <v>755737.20156060765</v>
      </c>
      <c r="AF451" s="6">
        <f ca="1">$M$451*$Z$451</f>
        <v>0</v>
      </c>
      <c r="AG451" s="6">
        <f>$O$451*$AA$451</f>
        <v>0</v>
      </c>
    </row>
    <row r="452" spans="1:33" ht="11.25" customHeight="1" x14ac:dyDescent="0.25">
      <c r="A452" s="4" t="s">
        <v>58</v>
      </c>
      <c r="B452" s="4" t="s">
        <v>41</v>
      </c>
      <c r="C452" s="4" t="s">
        <v>40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44682</v>
      </c>
      <c r="J452" s="6">
        <v>220</v>
      </c>
      <c r="K452" s="6">
        <v>220</v>
      </c>
      <c r="L452" s="6">
        <v>8.6180000000000003</v>
      </c>
      <c r="M452" s="6">
        <v>8.6180000000000003</v>
      </c>
      <c r="N452" s="6">
        <v>8.6180000000000003</v>
      </c>
      <c r="O452" s="6">
        <v>8.6180000000000003</v>
      </c>
      <c r="P452" s="6">
        <v>0</v>
      </c>
      <c r="Q452" s="4" t="s">
        <v>26</v>
      </c>
      <c r="R452" s="4">
        <v>0</v>
      </c>
      <c r="S452" s="6">
        <v>21</v>
      </c>
      <c r="T452" s="6">
        <v>23</v>
      </c>
      <c r="U452" s="6">
        <v>78</v>
      </c>
      <c r="V452" s="6">
        <f>IF(ISERROR(VLOOKUP($S$452,'TAR FIN'!$A$1:$O$116,15,0)),0,VLOOKUP($S$452,'TAR FIN'!$A$1:$O$116,15,0))</f>
        <v>65.599999999999994</v>
      </c>
      <c r="W452" s="6">
        <f>IF(ISERROR(VLOOKUP($T$452,'TAR FIN'!$A$1:$O$116,15,0)),0,VLOOKUP($T$452,'TAR FIN'!$A$1:$O$116,15,0))</f>
        <v>88.66</v>
      </c>
      <c r="X452" s="6">
        <f>IF(ISERROR(VLOOKUP($U$452,'TAR FIN'!$A$1:$O$116,15,0)),0,VLOOKUP($U$452,'TAR FIN'!$A$1:$O$116,15,0))</f>
        <v>496.15</v>
      </c>
      <c r="Y452" s="6">
        <f ca="1">('TUSD BE'!$AM$25+'TUSD BF'!$AM$25+'TUSD CVA'!$AM$25)*1</f>
        <v>75.407822945580492</v>
      </c>
      <c r="Z452" s="6">
        <f ca="1">('TUSD BE'!$AM$27+'TUSD BF'!$AM$27+'TUSD CVA'!$AM$27)*1</f>
        <v>137.4358543126599</v>
      </c>
      <c r="AA452" s="6">
        <f>('TE BE'!$AB$9+'TE BF'!$AB$9+'TE CVA'!$AB$9)*1</f>
        <v>510.04993331215127</v>
      </c>
      <c r="AB452" s="6">
        <f>$K$452*$V$452</f>
        <v>14431.999999999998</v>
      </c>
      <c r="AC452" s="6">
        <f>$M$452*$W$452</f>
        <v>764.07187999999996</v>
      </c>
      <c r="AD452" s="6">
        <f>$O$452*$X$452</f>
        <v>4275.8207000000002</v>
      </c>
      <c r="AE452" s="6">
        <f ca="1">$K$452*$Y$452</f>
        <v>16589.72104802771</v>
      </c>
      <c r="AF452" s="6">
        <f ca="1">$M$452*$Z$452</f>
        <v>1184.422192466503</v>
      </c>
      <c r="AG452" s="6">
        <f>$O$452*$AA$452</f>
        <v>4395.6103252841194</v>
      </c>
    </row>
    <row r="453" spans="1:33" ht="11.25" customHeight="1" x14ac:dyDescent="0.25">
      <c r="A453" s="4" t="s">
        <v>58</v>
      </c>
      <c r="B453" s="4" t="s">
        <v>41</v>
      </c>
      <c r="C453" s="4" t="s">
        <v>40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34</v>
      </c>
      <c r="I453" s="5">
        <v>44682</v>
      </c>
      <c r="J453" s="6">
        <v>10022</v>
      </c>
      <c r="K453" s="6">
        <v>10022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60</v>
      </c>
      <c r="R453" s="4">
        <v>0</v>
      </c>
      <c r="S453" s="6">
        <v>21</v>
      </c>
      <c r="T453" s="6">
        <v>0</v>
      </c>
      <c r="U453" s="6">
        <v>0</v>
      </c>
      <c r="V453" s="6">
        <f>IF(ISERROR(VLOOKUP($S$453,'TAR FIN'!$A$1:$O$116,15,0)),0,VLOOKUP($S$453,'TAR FIN'!$A$1:$O$116,15,0))</f>
        <v>65.599999999999994</v>
      </c>
      <c r="W453" s="6">
        <f>IF(ISERROR(VLOOKUP($T$453,'TAR FIN'!$A$1:$O$116,15,0)),0,VLOOKUP($T$453,'TAR FIN'!$A$1:$O$116,15,0))</f>
        <v>0</v>
      </c>
      <c r="X453" s="6">
        <f>IF(ISERROR(VLOOKUP($U$453,'TAR FIN'!$A$1:$O$116,15,0)),0,VLOOKUP($U$453,'TAR FIN'!$A$1:$O$116,15,0))</f>
        <v>0</v>
      </c>
      <c r="Y453" s="6">
        <f ca="1">('TUSD BE'!$AM$25+'TUSD BF'!$AM$25+'TUSD CVA'!$AM$25)*1</f>
        <v>75.407822945580492</v>
      </c>
      <c r="Z453" s="6">
        <f ca="1">('TUSD BE'!$AM$27+'TUSD BF'!$AM$27+'TUSD CVA'!$AM$27)*1</f>
        <v>137.4358543126599</v>
      </c>
      <c r="AA453" s="6"/>
      <c r="AB453" s="6">
        <f>$K$453*$V$453</f>
        <v>657443.19999999995</v>
      </c>
      <c r="AC453" s="6">
        <f>$M$453*$W$453</f>
        <v>0</v>
      </c>
      <c r="AD453" s="6">
        <f>$O$453*$X$453</f>
        <v>0</v>
      </c>
      <c r="AE453" s="6">
        <f ca="1">$K$453*$Y$453</f>
        <v>755737.20156060765</v>
      </c>
      <c r="AF453" s="6">
        <f ca="1">$M$453*$Z$453</f>
        <v>0</v>
      </c>
      <c r="AG453" s="6">
        <f>$O$453*$AA$453</f>
        <v>0</v>
      </c>
    </row>
    <row r="454" spans="1:33" ht="11.25" customHeight="1" x14ac:dyDescent="0.25">
      <c r="A454" s="4" t="s">
        <v>21</v>
      </c>
      <c r="B454" s="4" t="s">
        <v>41</v>
      </c>
      <c r="C454" s="4" t="s">
        <v>40</v>
      </c>
      <c r="D454" s="4" t="s">
        <v>46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44348</v>
      </c>
      <c r="J454" s="6">
        <v>229</v>
      </c>
      <c r="K454" s="6">
        <v>229</v>
      </c>
      <c r="L454" s="6">
        <v>36.975000000000001</v>
      </c>
      <c r="M454" s="6">
        <v>36.975000000000001</v>
      </c>
      <c r="N454" s="6">
        <v>36.975000000000001</v>
      </c>
      <c r="O454" s="6">
        <v>36.975000000000001</v>
      </c>
      <c r="P454" s="6">
        <v>0</v>
      </c>
      <c r="Q454" s="4" t="s">
        <v>26</v>
      </c>
      <c r="R454" s="4">
        <v>0</v>
      </c>
      <c r="S454" s="6">
        <v>22</v>
      </c>
      <c r="T454" s="6">
        <v>23</v>
      </c>
      <c r="U454" s="6">
        <v>79</v>
      </c>
      <c r="V454" s="6">
        <f>IF(ISERROR(VLOOKUP($S$454,'TAR FIN'!$A$1:$O$116,15,0)),0,VLOOKUP($S$454,'TAR FIN'!$A$1:$O$116,15,0))</f>
        <v>25.51</v>
      </c>
      <c r="W454" s="6">
        <f>IF(ISERROR(VLOOKUP($T$454,'TAR FIN'!$A$1:$O$116,15,0)),0,VLOOKUP($T$454,'TAR FIN'!$A$1:$O$116,15,0))</f>
        <v>88.66</v>
      </c>
      <c r="X454" s="6">
        <f>IF(ISERROR(VLOOKUP($U$454,'TAR FIN'!$A$1:$O$116,15,0)),0,VLOOKUP($U$454,'TAR FIN'!$A$1:$O$116,15,0))</f>
        <v>311.04000000000002</v>
      </c>
      <c r="Y454" s="6">
        <f ca="1">('TUSD BE'!$AM$26+'TUSD BF'!$AM$26+'TUSD CVA'!$AM$26)*1</f>
        <v>29.803266797877356</v>
      </c>
      <c r="Z454" s="6">
        <f ca="1">('TUSD BE'!$AM$27+'TUSD BF'!$AM$27+'TUSD CVA'!$AM$27)*1</f>
        <v>137.4358543126599</v>
      </c>
      <c r="AA454" s="6">
        <f>('TE BE'!$AB$10+'TE BF'!$AB$10+'TE CVA'!$AB$10)*1</f>
        <v>313.22907246928764</v>
      </c>
      <c r="AB454" s="6">
        <f>$K$454*$V$454</f>
        <v>5841.79</v>
      </c>
      <c r="AC454" s="6">
        <f>$M$454*$W$454</f>
        <v>3278.2035000000001</v>
      </c>
      <c r="AD454" s="6">
        <f>$O$454*$X$454</f>
        <v>11500.704000000002</v>
      </c>
      <c r="AE454" s="6">
        <f ca="1">$K$454*$Y$454</f>
        <v>6824.9480967139143</v>
      </c>
      <c r="AF454" s="6">
        <f ca="1">$M$454*$Z$454</f>
        <v>5081.6907132105998</v>
      </c>
      <c r="AG454" s="6">
        <f>$O$454*$AA$454</f>
        <v>11581.644954551912</v>
      </c>
    </row>
    <row r="455" spans="1:33" ht="11.25" customHeight="1" x14ac:dyDescent="0.25">
      <c r="A455" s="4" t="s">
        <v>28</v>
      </c>
      <c r="B455" s="4" t="s">
        <v>41</v>
      </c>
      <c r="C455" s="4" t="s">
        <v>40</v>
      </c>
      <c r="D455" s="4" t="s">
        <v>46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44348</v>
      </c>
      <c r="J455" s="6">
        <v>290</v>
      </c>
      <c r="K455" s="6">
        <v>290</v>
      </c>
      <c r="L455" s="6">
        <v>74.34</v>
      </c>
      <c r="M455" s="6">
        <v>74.34</v>
      </c>
      <c r="N455" s="6">
        <v>74.34</v>
      </c>
      <c r="O455" s="6">
        <v>74.34</v>
      </c>
      <c r="P455" s="6">
        <v>0</v>
      </c>
      <c r="Q455" s="4" t="s">
        <v>26</v>
      </c>
      <c r="R455" s="4">
        <v>0</v>
      </c>
      <c r="S455" s="6">
        <v>22</v>
      </c>
      <c r="T455" s="6">
        <v>23</v>
      </c>
      <c r="U455" s="6">
        <v>79</v>
      </c>
      <c r="V455" s="6">
        <f>IF(ISERROR(VLOOKUP($S$455,'TAR FIN'!$A$1:$O$116,15,0)),0,VLOOKUP($S$455,'TAR FIN'!$A$1:$O$116,15,0))</f>
        <v>25.51</v>
      </c>
      <c r="W455" s="6">
        <f>IF(ISERROR(VLOOKUP($T$455,'TAR FIN'!$A$1:$O$116,15,0)),0,VLOOKUP($T$455,'TAR FIN'!$A$1:$O$116,15,0))</f>
        <v>88.66</v>
      </c>
      <c r="X455" s="6">
        <f>IF(ISERROR(VLOOKUP($U$455,'TAR FIN'!$A$1:$O$116,15,0)),0,VLOOKUP($U$455,'TAR FIN'!$A$1:$O$116,15,0))</f>
        <v>311.04000000000002</v>
      </c>
      <c r="Y455" s="6">
        <f ca="1">('TUSD BE'!$AM$26+'TUSD BF'!$AM$26+'TUSD CVA'!$AM$26)*1</f>
        <v>29.803266797877356</v>
      </c>
      <c r="Z455" s="6">
        <f ca="1">('TUSD BE'!$AM$27+'TUSD BF'!$AM$27+'TUSD CVA'!$AM$27)*1</f>
        <v>137.4358543126599</v>
      </c>
      <c r="AA455" s="6">
        <f>('TE BE'!$AB$10+'TE BF'!$AB$10+'TE CVA'!$AB$10)*1</f>
        <v>313.22907246928764</v>
      </c>
      <c r="AB455" s="6">
        <f>$K$455*$V$455</f>
        <v>7397.9000000000005</v>
      </c>
      <c r="AC455" s="6">
        <f>$M$455*$W$455</f>
        <v>6590.9844000000003</v>
      </c>
      <c r="AD455" s="6">
        <f>$O$455*$X$455</f>
        <v>23122.713600000003</v>
      </c>
      <c r="AE455" s="6">
        <f ca="1">$K$455*$Y$455</f>
        <v>8642.9473713844327</v>
      </c>
      <c r="AF455" s="6">
        <f ca="1">$M$455*$Z$455</f>
        <v>10216.981409603137</v>
      </c>
      <c r="AG455" s="6">
        <f>$O$455*$AA$455</f>
        <v>23285.449247366843</v>
      </c>
    </row>
    <row r="456" spans="1:33" ht="11.25" customHeight="1" x14ac:dyDescent="0.25">
      <c r="A456" s="4" t="s">
        <v>28</v>
      </c>
      <c r="B456" s="4" t="s">
        <v>41</v>
      </c>
      <c r="C456" s="4" t="s">
        <v>40</v>
      </c>
      <c r="D456" s="4" t="s">
        <v>46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44348</v>
      </c>
      <c r="J456" s="6">
        <v>0</v>
      </c>
      <c r="K456" s="6">
        <v>0</v>
      </c>
      <c r="L456" s="6">
        <v>-13.5</v>
      </c>
      <c r="M456" s="6">
        <v>-13.5</v>
      </c>
      <c r="N456" s="6">
        <v>-13.5</v>
      </c>
      <c r="O456" s="6">
        <v>-13.5</v>
      </c>
      <c r="P456" s="6">
        <v>0</v>
      </c>
      <c r="Q456" s="4" t="s">
        <v>26</v>
      </c>
      <c r="R456" s="4">
        <v>0</v>
      </c>
      <c r="S456" s="6">
        <v>0</v>
      </c>
      <c r="T456" s="6">
        <v>23</v>
      </c>
      <c r="U456" s="6">
        <v>79</v>
      </c>
      <c r="V456" s="6">
        <f>IF(ISERROR(VLOOKUP($S$456,'TAR FIN'!$A$1:$O$116,15,0)),0,VLOOKUP($S$456,'TAR FIN'!$A$1:$O$116,15,0))</f>
        <v>0</v>
      </c>
      <c r="W456" s="6">
        <f>IF(ISERROR(VLOOKUP($T$456,'TAR FIN'!$A$1:$O$116,15,0)),0,VLOOKUP($T$456,'TAR FIN'!$A$1:$O$116,15,0))</f>
        <v>88.66</v>
      </c>
      <c r="X456" s="6">
        <f>IF(ISERROR(VLOOKUP($U$456,'TAR FIN'!$A$1:$O$116,15,0)),0,VLOOKUP($U$456,'TAR FIN'!$A$1:$O$116,15,0))</f>
        <v>311.04000000000002</v>
      </c>
      <c r="Y456" s="6">
        <f ca="1">('TUSD BE'!$AM$26+'TUSD BF'!$AM$26+'TUSD CVA'!$AM$26)*1</f>
        <v>29.803266797877356</v>
      </c>
      <c r="Z456" s="6">
        <f ca="1">('TUSD BE'!$AM$27+'TUSD BF'!$AM$27+'TUSD CVA'!$AM$27)*1</f>
        <v>137.4358543126599</v>
      </c>
      <c r="AA456" s="6">
        <f>('TE BE'!$AB$10+'TE BF'!$AB$10+'TE CVA'!$AB$10)*1</f>
        <v>313.22907246928764</v>
      </c>
      <c r="AB456" s="6">
        <f>$K$456*$V$456</f>
        <v>0</v>
      </c>
      <c r="AC456" s="6">
        <f>$M$456*$W$456</f>
        <v>-1196.9099999999999</v>
      </c>
      <c r="AD456" s="6">
        <f>$O$456*$X$456</f>
        <v>-4199.04</v>
      </c>
      <c r="AE456" s="6">
        <f ca="1">$K$456*$Y$456</f>
        <v>0</v>
      </c>
      <c r="AF456" s="6">
        <f ca="1">$M$456*$Z$456</f>
        <v>-1855.3840332209086</v>
      </c>
      <c r="AG456" s="6">
        <f>$O$456*$AA$456</f>
        <v>-4228.592478335383</v>
      </c>
    </row>
    <row r="457" spans="1:33" ht="11.25" customHeight="1" x14ac:dyDescent="0.25">
      <c r="A457" s="4" t="s">
        <v>21</v>
      </c>
      <c r="B457" s="4" t="s">
        <v>41</v>
      </c>
      <c r="C457" s="4" t="s">
        <v>40</v>
      </c>
      <c r="D457" s="4" t="s">
        <v>46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44378</v>
      </c>
      <c r="J457" s="6">
        <v>229</v>
      </c>
      <c r="K457" s="6">
        <v>229</v>
      </c>
      <c r="L457" s="6">
        <v>36.781999999999996</v>
      </c>
      <c r="M457" s="6">
        <v>36.781999999999996</v>
      </c>
      <c r="N457" s="6">
        <v>36.781999999999996</v>
      </c>
      <c r="O457" s="6">
        <v>36.781999999999996</v>
      </c>
      <c r="P457" s="6">
        <v>0</v>
      </c>
      <c r="Q457" s="4" t="s">
        <v>26</v>
      </c>
      <c r="R457" s="4">
        <v>0</v>
      </c>
      <c r="S457" s="6">
        <v>22</v>
      </c>
      <c r="T457" s="6">
        <v>23</v>
      </c>
      <c r="U457" s="6">
        <v>79</v>
      </c>
      <c r="V457" s="6">
        <f>IF(ISERROR(VLOOKUP($S$457,'TAR FIN'!$A$1:$O$116,15,0)),0,VLOOKUP($S$457,'TAR FIN'!$A$1:$O$116,15,0))</f>
        <v>25.51</v>
      </c>
      <c r="W457" s="6">
        <f>IF(ISERROR(VLOOKUP($T$457,'TAR FIN'!$A$1:$O$116,15,0)),0,VLOOKUP($T$457,'TAR FIN'!$A$1:$O$116,15,0))</f>
        <v>88.66</v>
      </c>
      <c r="X457" s="6">
        <f>IF(ISERROR(VLOOKUP($U$457,'TAR FIN'!$A$1:$O$116,15,0)),0,VLOOKUP($U$457,'TAR FIN'!$A$1:$O$116,15,0))</f>
        <v>311.04000000000002</v>
      </c>
      <c r="Y457" s="6">
        <f ca="1">('TUSD BE'!$AM$26+'TUSD BF'!$AM$26+'TUSD CVA'!$AM$26)*1</f>
        <v>29.803266797877356</v>
      </c>
      <c r="Z457" s="6">
        <f ca="1">('TUSD BE'!$AM$27+'TUSD BF'!$AM$27+'TUSD CVA'!$AM$27)*1</f>
        <v>137.4358543126599</v>
      </c>
      <c r="AA457" s="6">
        <f>('TE BE'!$AB$10+'TE BF'!$AB$10+'TE CVA'!$AB$10)*1</f>
        <v>313.22907246928764</v>
      </c>
      <c r="AB457" s="6">
        <f>$K$457*$V$457</f>
        <v>5841.79</v>
      </c>
      <c r="AC457" s="6">
        <f>$M$457*$W$457</f>
        <v>3261.0921199999993</v>
      </c>
      <c r="AD457" s="6">
        <f>$O$457*$X$457</f>
        <v>11440.673279999999</v>
      </c>
      <c r="AE457" s="6">
        <f ca="1">$K$457*$Y$457</f>
        <v>6824.9480967139143</v>
      </c>
      <c r="AF457" s="6">
        <f ca="1">$M$457*$Z$457</f>
        <v>5055.1655933282564</v>
      </c>
      <c r="AG457" s="6">
        <f>$O$457*$AA$457</f>
        <v>11521.191743565338</v>
      </c>
    </row>
    <row r="458" spans="1:33" ht="11.25" customHeight="1" x14ac:dyDescent="0.25">
      <c r="A458" s="4" t="s">
        <v>28</v>
      </c>
      <c r="B458" s="4" t="s">
        <v>41</v>
      </c>
      <c r="C458" s="4" t="s">
        <v>40</v>
      </c>
      <c r="D458" s="4" t="s">
        <v>46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44378</v>
      </c>
      <c r="J458" s="6">
        <v>290</v>
      </c>
      <c r="K458" s="6">
        <v>290</v>
      </c>
      <c r="L458" s="6">
        <v>74.34</v>
      </c>
      <c r="M458" s="6">
        <v>74.34</v>
      </c>
      <c r="N458" s="6">
        <v>74.34</v>
      </c>
      <c r="O458" s="6">
        <v>74.34</v>
      </c>
      <c r="P458" s="6">
        <v>0</v>
      </c>
      <c r="Q458" s="4" t="s">
        <v>26</v>
      </c>
      <c r="R458" s="4">
        <v>0</v>
      </c>
      <c r="S458" s="6">
        <v>22</v>
      </c>
      <c r="T458" s="6">
        <v>23</v>
      </c>
      <c r="U458" s="6">
        <v>79</v>
      </c>
      <c r="V458" s="6">
        <f>IF(ISERROR(VLOOKUP($S$458,'TAR FIN'!$A$1:$O$116,15,0)),0,VLOOKUP($S$458,'TAR FIN'!$A$1:$O$116,15,0))</f>
        <v>25.51</v>
      </c>
      <c r="W458" s="6">
        <f>IF(ISERROR(VLOOKUP($T$458,'TAR FIN'!$A$1:$O$116,15,0)),0,VLOOKUP($T$458,'TAR FIN'!$A$1:$O$116,15,0))</f>
        <v>88.66</v>
      </c>
      <c r="X458" s="6">
        <f>IF(ISERROR(VLOOKUP($U$458,'TAR FIN'!$A$1:$O$116,15,0)),0,VLOOKUP($U$458,'TAR FIN'!$A$1:$O$116,15,0))</f>
        <v>311.04000000000002</v>
      </c>
      <c r="Y458" s="6">
        <f ca="1">('TUSD BE'!$AM$26+'TUSD BF'!$AM$26+'TUSD CVA'!$AM$26)*1</f>
        <v>29.803266797877356</v>
      </c>
      <c r="Z458" s="6">
        <f ca="1">('TUSD BE'!$AM$27+'TUSD BF'!$AM$27+'TUSD CVA'!$AM$27)*1</f>
        <v>137.4358543126599</v>
      </c>
      <c r="AA458" s="6">
        <f>('TE BE'!$AB$10+'TE BF'!$AB$10+'TE CVA'!$AB$10)*1</f>
        <v>313.22907246928764</v>
      </c>
      <c r="AB458" s="6">
        <f>$K$458*$V$458</f>
        <v>7397.9000000000005</v>
      </c>
      <c r="AC458" s="6">
        <f>$M$458*$W$458</f>
        <v>6590.9844000000003</v>
      </c>
      <c r="AD458" s="6">
        <f>$O$458*$X$458</f>
        <v>23122.713600000003</v>
      </c>
      <c r="AE458" s="6">
        <f ca="1">$K$458*$Y$458</f>
        <v>8642.9473713844327</v>
      </c>
      <c r="AF458" s="6">
        <f ca="1">$M$458*$Z$458</f>
        <v>10216.981409603137</v>
      </c>
      <c r="AG458" s="6">
        <f>$O$458*$AA$458</f>
        <v>23285.449247366843</v>
      </c>
    </row>
    <row r="459" spans="1:33" ht="11.25" customHeight="1" x14ac:dyDescent="0.25">
      <c r="A459" s="4" t="s">
        <v>21</v>
      </c>
      <c r="B459" s="4" t="s">
        <v>41</v>
      </c>
      <c r="C459" s="4" t="s">
        <v>40</v>
      </c>
      <c r="D459" s="4" t="s">
        <v>46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44409</v>
      </c>
      <c r="J459" s="6">
        <v>229</v>
      </c>
      <c r="K459" s="6">
        <v>229</v>
      </c>
      <c r="L459" s="6">
        <v>38.847999999999999</v>
      </c>
      <c r="M459" s="6">
        <v>38.847999999999999</v>
      </c>
      <c r="N459" s="6">
        <v>38.847999999999999</v>
      </c>
      <c r="O459" s="6">
        <v>38.847999999999999</v>
      </c>
      <c r="P459" s="6">
        <v>0</v>
      </c>
      <c r="Q459" s="4" t="s">
        <v>26</v>
      </c>
      <c r="R459" s="4">
        <v>0</v>
      </c>
      <c r="S459" s="6">
        <v>22</v>
      </c>
      <c r="T459" s="6">
        <v>23</v>
      </c>
      <c r="U459" s="6">
        <v>79</v>
      </c>
      <c r="V459" s="6">
        <f>IF(ISERROR(VLOOKUP($S$459,'TAR FIN'!$A$1:$O$116,15,0)),0,VLOOKUP($S$459,'TAR FIN'!$A$1:$O$116,15,0))</f>
        <v>25.51</v>
      </c>
      <c r="W459" s="6">
        <f>IF(ISERROR(VLOOKUP($T$459,'TAR FIN'!$A$1:$O$116,15,0)),0,VLOOKUP($T$459,'TAR FIN'!$A$1:$O$116,15,0))</f>
        <v>88.66</v>
      </c>
      <c r="X459" s="6">
        <f>IF(ISERROR(VLOOKUP($U$459,'TAR FIN'!$A$1:$O$116,15,0)),0,VLOOKUP($U$459,'TAR FIN'!$A$1:$O$116,15,0))</f>
        <v>311.04000000000002</v>
      </c>
      <c r="Y459" s="6">
        <f ca="1">('TUSD BE'!$AM$26+'TUSD BF'!$AM$26+'TUSD CVA'!$AM$26)*1</f>
        <v>29.803266797877356</v>
      </c>
      <c r="Z459" s="6">
        <f ca="1">('TUSD BE'!$AM$27+'TUSD BF'!$AM$27+'TUSD CVA'!$AM$27)*1</f>
        <v>137.4358543126599</v>
      </c>
      <c r="AA459" s="6">
        <f>('TE BE'!$AB$10+'TE BF'!$AB$10+'TE CVA'!$AB$10)*1</f>
        <v>313.22907246928764</v>
      </c>
      <c r="AB459" s="6">
        <f>$K$459*$V$459</f>
        <v>5841.79</v>
      </c>
      <c r="AC459" s="6">
        <f>$M$459*$W$459</f>
        <v>3444.2636799999996</v>
      </c>
      <c r="AD459" s="6">
        <f>$O$459*$X$459</f>
        <v>12083.281920000001</v>
      </c>
      <c r="AE459" s="6">
        <f ca="1">$K$459*$Y$459</f>
        <v>6824.9480967139143</v>
      </c>
      <c r="AF459" s="6">
        <f ca="1">$M$459*$Z$459</f>
        <v>5339.1080683382115</v>
      </c>
      <c r="AG459" s="6">
        <f>$O$459*$AA$459</f>
        <v>12168.323007286886</v>
      </c>
    </row>
    <row r="460" spans="1:33" ht="11.25" customHeight="1" x14ac:dyDescent="0.25">
      <c r="A460" s="4" t="s">
        <v>28</v>
      </c>
      <c r="B460" s="4" t="s">
        <v>41</v>
      </c>
      <c r="C460" s="4" t="s">
        <v>40</v>
      </c>
      <c r="D460" s="4" t="s">
        <v>46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44409</v>
      </c>
      <c r="J460" s="6">
        <v>290</v>
      </c>
      <c r="K460" s="6">
        <v>290</v>
      </c>
      <c r="L460" s="6">
        <v>79.92</v>
      </c>
      <c r="M460" s="6">
        <v>79.92</v>
      </c>
      <c r="N460" s="6">
        <v>79.92</v>
      </c>
      <c r="O460" s="6">
        <v>79.92</v>
      </c>
      <c r="P460" s="6">
        <v>0</v>
      </c>
      <c r="Q460" s="4" t="s">
        <v>26</v>
      </c>
      <c r="R460" s="4">
        <v>0</v>
      </c>
      <c r="S460" s="6">
        <v>22</v>
      </c>
      <c r="T460" s="6">
        <v>23</v>
      </c>
      <c r="U460" s="6">
        <v>79</v>
      </c>
      <c r="V460" s="6">
        <f>IF(ISERROR(VLOOKUP($S$460,'TAR FIN'!$A$1:$O$116,15,0)),0,VLOOKUP($S$460,'TAR FIN'!$A$1:$O$116,15,0))</f>
        <v>25.51</v>
      </c>
      <c r="W460" s="6">
        <f>IF(ISERROR(VLOOKUP($T$460,'TAR FIN'!$A$1:$O$116,15,0)),0,VLOOKUP($T$460,'TAR FIN'!$A$1:$O$116,15,0))</f>
        <v>88.66</v>
      </c>
      <c r="X460" s="6">
        <f>IF(ISERROR(VLOOKUP($U$460,'TAR FIN'!$A$1:$O$116,15,0)),0,VLOOKUP($U$460,'TAR FIN'!$A$1:$O$116,15,0))</f>
        <v>311.04000000000002</v>
      </c>
      <c r="Y460" s="6">
        <f ca="1">('TUSD BE'!$AM$26+'TUSD BF'!$AM$26+'TUSD CVA'!$AM$26)*1</f>
        <v>29.803266797877356</v>
      </c>
      <c r="Z460" s="6">
        <f ca="1">('TUSD BE'!$AM$27+'TUSD BF'!$AM$27+'TUSD CVA'!$AM$27)*1</f>
        <v>137.4358543126599</v>
      </c>
      <c r="AA460" s="6">
        <f>('TE BE'!$AB$10+'TE BF'!$AB$10+'TE CVA'!$AB$10)*1</f>
        <v>313.22907246928764</v>
      </c>
      <c r="AB460" s="6">
        <f>$K$460*$V$460</f>
        <v>7397.9000000000005</v>
      </c>
      <c r="AC460" s="6">
        <f>$M$460*$W$460</f>
        <v>7085.7071999999998</v>
      </c>
      <c r="AD460" s="6">
        <f>$O$460*$X$460</f>
        <v>24858.316800000001</v>
      </c>
      <c r="AE460" s="6">
        <f ca="1">$K$460*$Y$460</f>
        <v>8642.9473713844327</v>
      </c>
      <c r="AF460" s="6">
        <f ca="1">$M$460*$Z$460</f>
        <v>10983.873476667779</v>
      </c>
      <c r="AG460" s="6">
        <f>$O$460*$AA$460</f>
        <v>25033.267471745468</v>
      </c>
    </row>
    <row r="461" spans="1:33" ht="11.25" customHeight="1" x14ac:dyDescent="0.25">
      <c r="A461" s="4" t="s">
        <v>21</v>
      </c>
      <c r="B461" s="4" t="s">
        <v>41</v>
      </c>
      <c r="C461" s="4" t="s">
        <v>40</v>
      </c>
      <c r="D461" s="4" t="s">
        <v>46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44440</v>
      </c>
      <c r="J461" s="6">
        <v>229</v>
      </c>
      <c r="K461" s="6">
        <v>229</v>
      </c>
      <c r="L461" s="6">
        <v>41.85</v>
      </c>
      <c r="M461" s="6">
        <v>41.85</v>
      </c>
      <c r="N461" s="6">
        <v>41.85</v>
      </c>
      <c r="O461" s="6">
        <v>41.85</v>
      </c>
      <c r="P461" s="6">
        <v>0</v>
      </c>
      <c r="Q461" s="4" t="s">
        <v>26</v>
      </c>
      <c r="R461" s="4">
        <v>0</v>
      </c>
      <c r="S461" s="6">
        <v>22</v>
      </c>
      <c r="T461" s="6">
        <v>23</v>
      </c>
      <c r="U461" s="6">
        <v>79</v>
      </c>
      <c r="V461" s="6">
        <f>IF(ISERROR(VLOOKUP($S$461,'TAR FIN'!$A$1:$O$116,15,0)),0,VLOOKUP($S$461,'TAR FIN'!$A$1:$O$116,15,0))</f>
        <v>25.51</v>
      </c>
      <c r="W461" s="6">
        <f>IF(ISERROR(VLOOKUP($T$461,'TAR FIN'!$A$1:$O$116,15,0)),0,VLOOKUP($T$461,'TAR FIN'!$A$1:$O$116,15,0))</f>
        <v>88.66</v>
      </c>
      <c r="X461" s="6">
        <f>IF(ISERROR(VLOOKUP($U$461,'TAR FIN'!$A$1:$O$116,15,0)),0,VLOOKUP($U$461,'TAR FIN'!$A$1:$O$116,15,0))</f>
        <v>311.04000000000002</v>
      </c>
      <c r="Y461" s="6">
        <f ca="1">('TUSD BE'!$AM$26+'TUSD BF'!$AM$26+'TUSD CVA'!$AM$26)*1</f>
        <v>29.803266797877356</v>
      </c>
      <c r="Z461" s="6">
        <f ca="1">('TUSD BE'!$AM$27+'TUSD BF'!$AM$27+'TUSD CVA'!$AM$27)*1</f>
        <v>137.4358543126599</v>
      </c>
      <c r="AA461" s="6">
        <f>('TE BE'!$AB$10+'TE BF'!$AB$10+'TE CVA'!$AB$10)*1</f>
        <v>313.22907246928764</v>
      </c>
      <c r="AB461" s="6">
        <f>$K$461*$V$461</f>
        <v>5841.79</v>
      </c>
      <c r="AC461" s="6">
        <f>$M$461*$W$461</f>
        <v>3710.4209999999998</v>
      </c>
      <c r="AD461" s="6">
        <f>$O$461*$X$461</f>
        <v>13017.024000000001</v>
      </c>
      <c r="AE461" s="6">
        <f ca="1">$K$461*$Y$461</f>
        <v>6824.9480967139143</v>
      </c>
      <c r="AF461" s="6">
        <f ca="1">$M$461*$Z$461</f>
        <v>5751.6905029848167</v>
      </c>
      <c r="AG461" s="6">
        <f>$O$461*$AA$461</f>
        <v>13108.636682839688</v>
      </c>
    </row>
    <row r="462" spans="1:33" ht="11.25" customHeight="1" x14ac:dyDescent="0.25">
      <c r="A462" s="4" t="s">
        <v>28</v>
      </c>
      <c r="B462" s="4" t="s">
        <v>41</v>
      </c>
      <c r="C462" s="4" t="s">
        <v>40</v>
      </c>
      <c r="D462" s="4" t="s">
        <v>46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44440</v>
      </c>
      <c r="J462" s="6">
        <v>290</v>
      </c>
      <c r="K462" s="6">
        <v>290</v>
      </c>
      <c r="L462" s="6">
        <v>91.44</v>
      </c>
      <c r="M462" s="6">
        <v>91.44</v>
      </c>
      <c r="N462" s="6">
        <v>91.44</v>
      </c>
      <c r="O462" s="6">
        <v>91.44</v>
      </c>
      <c r="P462" s="6">
        <v>0</v>
      </c>
      <c r="Q462" s="4" t="s">
        <v>26</v>
      </c>
      <c r="R462" s="4">
        <v>0</v>
      </c>
      <c r="S462" s="6">
        <v>22</v>
      </c>
      <c r="T462" s="6">
        <v>23</v>
      </c>
      <c r="U462" s="6">
        <v>79</v>
      </c>
      <c r="V462" s="6">
        <f>IF(ISERROR(VLOOKUP($S$462,'TAR FIN'!$A$1:$O$116,15,0)),0,VLOOKUP($S$462,'TAR FIN'!$A$1:$O$116,15,0))</f>
        <v>25.51</v>
      </c>
      <c r="W462" s="6">
        <f>IF(ISERROR(VLOOKUP($T$462,'TAR FIN'!$A$1:$O$116,15,0)),0,VLOOKUP($T$462,'TAR FIN'!$A$1:$O$116,15,0))</f>
        <v>88.66</v>
      </c>
      <c r="X462" s="6">
        <f>IF(ISERROR(VLOOKUP($U$462,'TAR FIN'!$A$1:$O$116,15,0)),0,VLOOKUP($U$462,'TAR FIN'!$A$1:$O$116,15,0))</f>
        <v>311.04000000000002</v>
      </c>
      <c r="Y462" s="6">
        <f ca="1">('TUSD BE'!$AM$26+'TUSD BF'!$AM$26+'TUSD CVA'!$AM$26)*1</f>
        <v>29.803266797877356</v>
      </c>
      <c r="Z462" s="6">
        <f ca="1">('TUSD BE'!$AM$27+'TUSD BF'!$AM$27+'TUSD CVA'!$AM$27)*1</f>
        <v>137.4358543126599</v>
      </c>
      <c r="AA462" s="6">
        <f>('TE BE'!$AB$10+'TE BF'!$AB$10+'TE CVA'!$AB$10)*1</f>
        <v>313.22907246928764</v>
      </c>
      <c r="AB462" s="6">
        <f>$K$462*$V$462</f>
        <v>7397.9000000000005</v>
      </c>
      <c r="AC462" s="6">
        <f>$M$462*$W$462</f>
        <v>8107.0703999999996</v>
      </c>
      <c r="AD462" s="6">
        <f>$O$462*$X$462</f>
        <v>28441.497600000002</v>
      </c>
      <c r="AE462" s="6">
        <f ca="1">$K$462*$Y$462</f>
        <v>8642.9473713844327</v>
      </c>
      <c r="AF462" s="6">
        <f ca="1">$M$462*$Z$462</f>
        <v>12567.134518349621</v>
      </c>
      <c r="AG462" s="6">
        <f>$O$462*$AA$462</f>
        <v>28641.66638659166</v>
      </c>
    </row>
    <row r="463" spans="1:33" ht="11.25" customHeight="1" x14ac:dyDescent="0.25">
      <c r="A463" s="4" t="s">
        <v>21</v>
      </c>
      <c r="B463" s="4" t="s">
        <v>41</v>
      </c>
      <c r="C463" s="4" t="s">
        <v>40</v>
      </c>
      <c r="D463" s="4" t="s">
        <v>46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44470</v>
      </c>
      <c r="J463" s="6">
        <v>229</v>
      </c>
      <c r="K463" s="6">
        <v>229</v>
      </c>
      <c r="L463" s="6">
        <v>39.979999999999997</v>
      </c>
      <c r="M463" s="6">
        <v>39.979999999999997</v>
      </c>
      <c r="N463" s="6">
        <v>39.979999999999997</v>
      </c>
      <c r="O463" s="6">
        <v>39.979999999999997</v>
      </c>
      <c r="P463" s="6">
        <v>0</v>
      </c>
      <c r="Q463" s="4" t="s">
        <v>26</v>
      </c>
      <c r="R463" s="4">
        <v>0</v>
      </c>
      <c r="S463" s="6">
        <v>22</v>
      </c>
      <c r="T463" s="6">
        <v>23</v>
      </c>
      <c r="U463" s="6">
        <v>79</v>
      </c>
      <c r="V463" s="6">
        <f>IF(ISERROR(VLOOKUP($S$463,'TAR FIN'!$A$1:$O$116,15,0)),0,VLOOKUP($S$463,'TAR FIN'!$A$1:$O$116,15,0))</f>
        <v>25.51</v>
      </c>
      <c r="W463" s="6">
        <f>IF(ISERROR(VLOOKUP($T$463,'TAR FIN'!$A$1:$O$116,15,0)),0,VLOOKUP($T$463,'TAR FIN'!$A$1:$O$116,15,0))</f>
        <v>88.66</v>
      </c>
      <c r="X463" s="6">
        <f>IF(ISERROR(VLOOKUP($U$463,'TAR FIN'!$A$1:$O$116,15,0)),0,VLOOKUP($U$463,'TAR FIN'!$A$1:$O$116,15,0))</f>
        <v>311.04000000000002</v>
      </c>
      <c r="Y463" s="6">
        <f ca="1">('TUSD BE'!$AM$26+'TUSD BF'!$AM$26+'TUSD CVA'!$AM$26)*1</f>
        <v>29.803266797877356</v>
      </c>
      <c r="Z463" s="6">
        <f ca="1">('TUSD BE'!$AM$27+'TUSD BF'!$AM$27+'TUSD CVA'!$AM$27)*1</f>
        <v>137.4358543126599</v>
      </c>
      <c r="AA463" s="6">
        <f>('TE BE'!$AB$10+'TE BF'!$AB$10+'TE CVA'!$AB$10)*1</f>
        <v>313.22907246928764</v>
      </c>
      <c r="AB463" s="6">
        <f>$K$463*$V$463</f>
        <v>5841.79</v>
      </c>
      <c r="AC463" s="6">
        <f>$M$463*$W$463</f>
        <v>3544.6267999999995</v>
      </c>
      <c r="AD463" s="6">
        <f>$O$463*$X$463</f>
        <v>12435.379199999999</v>
      </c>
      <c r="AE463" s="6">
        <f ca="1">$K$463*$Y$463</f>
        <v>6824.9480967139143</v>
      </c>
      <c r="AF463" s="6">
        <f ca="1">$M$463*$Z$463</f>
        <v>5494.6854554201427</v>
      </c>
      <c r="AG463" s="6">
        <f>$O$463*$AA$463</f>
        <v>12522.898317322119</v>
      </c>
    </row>
    <row r="464" spans="1:33" ht="11.25" customHeight="1" x14ac:dyDescent="0.25">
      <c r="A464" s="4" t="s">
        <v>28</v>
      </c>
      <c r="B464" s="4" t="s">
        <v>41</v>
      </c>
      <c r="C464" s="4" t="s">
        <v>40</v>
      </c>
      <c r="D464" s="4" t="s">
        <v>46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44470</v>
      </c>
      <c r="J464" s="6">
        <v>290</v>
      </c>
      <c r="K464" s="6">
        <v>290</v>
      </c>
      <c r="L464" s="6">
        <v>97.56</v>
      </c>
      <c r="M464" s="6">
        <v>97.56</v>
      </c>
      <c r="N464" s="6">
        <v>97.56</v>
      </c>
      <c r="O464" s="6">
        <v>97.56</v>
      </c>
      <c r="P464" s="6">
        <v>0</v>
      </c>
      <c r="Q464" s="4" t="s">
        <v>26</v>
      </c>
      <c r="R464" s="4">
        <v>0</v>
      </c>
      <c r="S464" s="6">
        <v>22</v>
      </c>
      <c r="T464" s="6">
        <v>23</v>
      </c>
      <c r="U464" s="6">
        <v>79</v>
      </c>
      <c r="V464" s="6">
        <f>IF(ISERROR(VLOOKUP($S$464,'TAR FIN'!$A$1:$O$116,15,0)),0,VLOOKUP($S$464,'TAR FIN'!$A$1:$O$116,15,0))</f>
        <v>25.51</v>
      </c>
      <c r="W464" s="6">
        <f>IF(ISERROR(VLOOKUP($T$464,'TAR FIN'!$A$1:$O$116,15,0)),0,VLOOKUP($T$464,'TAR FIN'!$A$1:$O$116,15,0))</f>
        <v>88.66</v>
      </c>
      <c r="X464" s="6">
        <f>IF(ISERROR(VLOOKUP($U$464,'TAR FIN'!$A$1:$O$116,15,0)),0,VLOOKUP($U$464,'TAR FIN'!$A$1:$O$116,15,0))</f>
        <v>311.04000000000002</v>
      </c>
      <c r="Y464" s="6">
        <f ca="1">('TUSD BE'!$AM$26+'TUSD BF'!$AM$26+'TUSD CVA'!$AM$26)*1</f>
        <v>29.803266797877356</v>
      </c>
      <c r="Z464" s="6">
        <f ca="1">('TUSD BE'!$AM$27+'TUSD BF'!$AM$27+'TUSD CVA'!$AM$27)*1</f>
        <v>137.4358543126599</v>
      </c>
      <c r="AA464" s="6">
        <f>('TE BE'!$AB$10+'TE BF'!$AB$10+'TE CVA'!$AB$10)*1</f>
        <v>313.22907246928764</v>
      </c>
      <c r="AB464" s="6">
        <f>$K$464*$V$464</f>
        <v>7397.9000000000005</v>
      </c>
      <c r="AC464" s="6">
        <f>$M$464*$W$464</f>
        <v>8649.6695999999993</v>
      </c>
      <c r="AD464" s="6">
        <f>$O$464*$X$464</f>
        <v>30345.062400000003</v>
      </c>
      <c r="AE464" s="6">
        <f ca="1">$K$464*$Y$464</f>
        <v>8642.9473713844327</v>
      </c>
      <c r="AF464" s="6">
        <f ca="1">$M$464*$Z$464</f>
        <v>13408.241946743101</v>
      </c>
      <c r="AG464" s="6">
        <f>$O$464*$AA$464</f>
        <v>30558.628310103704</v>
      </c>
    </row>
    <row r="465" spans="1:33" ht="11.25" customHeight="1" x14ac:dyDescent="0.25">
      <c r="A465" s="4" t="s">
        <v>21</v>
      </c>
      <c r="B465" s="4" t="s">
        <v>41</v>
      </c>
      <c r="C465" s="4" t="s">
        <v>40</v>
      </c>
      <c r="D465" s="4" t="s">
        <v>46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44501</v>
      </c>
      <c r="J465" s="6">
        <v>229</v>
      </c>
      <c r="K465" s="6">
        <v>229</v>
      </c>
      <c r="L465" s="6">
        <v>39.335999999999999</v>
      </c>
      <c r="M465" s="6">
        <v>39.335999999999999</v>
      </c>
      <c r="N465" s="6">
        <v>39.335999999999999</v>
      </c>
      <c r="O465" s="6">
        <v>39.335999999999999</v>
      </c>
      <c r="P465" s="6">
        <v>0</v>
      </c>
      <c r="Q465" s="4" t="s">
        <v>26</v>
      </c>
      <c r="R465" s="4">
        <v>0</v>
      </c>
      <c r="S465" s="6">
        <v>22</v>
      </c>
      <c r="T465" s="6">
        <v>23</v>
      </c>
      <c r="U465" s="6">
        <v>79</v>
      </c>
      <c r="V465" s="6">
        <f>IF(ISERROR(VLOOKUP($S$465,'TAR FIN'!$A$1:$O$116,15,0)),0,VLOOKUP($S$465,'TAR FIN'!$A$1:$O$116,15,0))</f>
        <v>25.51</v>
      </c>
      <c r="W465" s="6">
        <f>IF(ISERROR(VLOOKUP($T$465,'TAR FIN'!$A$1:$O$116,15,0)),0,VLOOKUP($T$465,'TAR FIN'!$A$1:$O$116,15,0))</f>
        <v>88.66</v>
      </c>
      <c r="X465" s="6">
        <f>IF(ISERROR(VLOOKUP($U$465,'TAR FIN'!$A$1:$O$116,15,0)),0,VLOOKUP($U$465,'TAR FIN'!$A$1:$O$116,15,0))</f>
        <v>311.04000000000002</v>
      </c>
      <c r="Y465" s="6">
        <f ca="1">('TUSD BE'!$AM$26+'TUSD BF'!$AM$26+'TUSD CVA'!$AM$26)*1</f>
        <v>29.803266797877356</v>
      </c>
      <c r="Z465" s="6">
        <f ca="1">('TUSD BE'!$AM$27+'TUSD BF'!$AM$27+'TUSD CVA'!$AM$27)*1</f>
        <v>137.4358543126599</v>
      </c>
      <c r="AA465" s="6">
        <f>('TE BE'!$AB$10+'TE BF'!$AB$10+'TE CVA'!$AB$10)*1</f>
        <v>313.22907246928764</v>
      </c>
      <c r="AB465" s="6">
        <f>$K$465*$V$465</f>
        <v>5841.79</v>
      </c>
      <c r="AC465" s="6">
        <f>$M$465*$W$465</f>
        <v>3487.5297599999999</v>
      </c>
      <c r="AD465" s="6">
        <f>$O$465*$X$465</f>
        <v>12235.069440000001</v>
      </c>
      <c r="AE465" s="6">
        <f ca="1">$K$465*$Y$465</f>
        <v>6824.9480967139143</v>
      </c>
      <c r="AF465" s="6">
        <f ca="1">$M$465*$Z$465</f>
        <v>5406.1767652427898</v>
      </c>
      <c r="AG465" s="6">
        <f>$O$465*$AA$465</f>
        <v>12321.178794651898</v>
      </c>
    </row>
    <row r="466" spans="1:33" ht="11.25" customHeight="1" x14ac:dyDescent="0.25">
      <c r="A466" s="4" t="s">
        <v>28</v>
      </c>
      <c r="B466" s="4" t="s">
        <v>41</v>
      </c>
      <c r="C466" s="4" t="s">
        <v>40</v>
      </c>
      <c r="D466" s="4" t="s">
        <v>46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44501</v>
      </c>
      <c r="J466" s="6">
        <v>290</v>
      </c>
      <c r="K466" s="6">
        <v>290</v>
      </c>
      <c r="L466" s="6">
        <v>95.4</v>
      </c>
      <c r="M466" s="6">
        <v>95.4</v>
      </c>
      <c r="N466" s="6">
        <v>95.4</v>
      </c>
      <c r="O466" s="6">
        <v>95.4</v>
      </c>
      <c r="P466" s="6">
        <v>0</v>
      </c>
      <c r="Q466" s="4" t="s">
        <v>26</v>
      </c>
      <c r="R466" s="4">
        <v>0</v>
      </c>
      <c r="S466" s="6">
        <v>22</v>
      </c>
      <c r="T466" s="6">
        <v>23</v>
      </c>
      <c r="U466" s="6">
        <v>79</v>
      </c>
      <c r="V466" s="6">
        <f>IF(ISERROR(VLOOKUP($S$466,'TAR FIN'!$A$1:$O$116,15,0)),0,VLOOKUP($S$466,'TAR FIN'!$A$1:$O$116,15,0))</f>
        <v>25.51</v>
      </c>
      <c r="W466" s="6">
        <f>IF(ISERROR(VLOOKUP($T$466,'TAR FIN'!$A$1:$O$116,15,0)),0,VLOOKUP($T$466,'TAR FIN'!$A$1:$O$116,15,0))</f>
        <v>88.66</v>
      </c>
      <c r="X466" s="6">
        <f>IF(ISERROR(VLOOKUP($U$466,'TAR FIN'!$A$1:$O$116,15,0)),0,VLOOKUP($U$466,'TAR FIN'!$A$1:$O$116,15,0))</f>
        <v>311.04000000000002</v>
      </c>
      <c r="Y466" s="6">
        <f ca="1">('TUSD BE'!$AM$26+'TUSD BF'!$AM$26+'TUSD CVA'!$AM$26)*1</f>
        <v>29.803266797877356</v>
      </c>
      <c r="Z466" s="6">
        <f ca="1">('TUSD BE'!$AM$27+'TUSD BF'!$AM$27+'TUSD CVA'!$AM$27)*1</f>
        <v>137.4358543126599</v>
      </c>
      <c r="AA466" s="6">
        <f>('TE BE'!$AB$10+'TE BF'!$AB$10+'TE CVA'!$AB$10)*1</f>
        <v>313.22907246928764</v>
      </c>
      <c r="AB466" s="6">
        <f>$K$466*$V$466</f>
        <v>7397.9000000000005</v>
      </c>
      <c r="AC466" s="6">
        <f>$M$466*$W$466</f>
        <v>8458.1640000000007</v>
      </c>
      <c r="AD466" s="6">
        <f>$O$466*$X$466</f>
        <v>29673.216000000004</v>
      </c>
      <c r="AE466" s="6">
        <f ca="1">$K$466*$Y$466</f>
        <v>8642.9473713844327</v>
      </c>
      <c r="AF466" s="6">
        <f ca="1">$M$466*$Z$466</f>
        <v>13111.380501427755</v>
      </c>
      <c r="AG466" s="6">
        <f>$O$466*$AA$466</f>
        <v>29882.053513570045</v>
      </c>
    </row>
    <row r="467" spans="1:33" ht="11.25" customHeight="1" x14ac:dyDescent="0.25">
      <c r="A467" s="4" t="s">
        <v>21</v>
      </c>
      <c r="B467" s="4" t="s">
        <v>41</v>
      </c>
      <c r="C467" s="4" t="s">
        <v>40</v>
      </c>
      <c r="D467" s="4" t="s">
        <v>46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44531</v>
      </c>
      <c r="J467" s="6">
        <v>229</v>
      </c>
      <c r="K467" s="6">
        <v>229</v>
      </c>
      <c r="L467" s="6">
        <v>47.404000000000003</v>
      </c>
      <c r="M467" s="6">
        <v>47.404000000000003</v>
      </c>
      <c r="N467" s="6">
        <v>47.404000000000003</v>
      </c>
      <c r="O467" s="6">
        <v>47.404000000000003</v>
      </c>
      <c r="P467" s="6">
        <v>0</v>
      </c>
      <c r="Q467" s="4" t="s">
        <v>26</v>
      </c>
      <c r="R467" s="4">
        <v>0</v>
      </c>
      <c r="S467" s="6">
        <v>22</v>
      </c>
      <c r="T467" s="6">
        <v>23</v>
      </c>
      <c r="U467" s="6">
        <v>79</v>
      </c>
      <c r="V467" s="6">
        <f>IF(ISERROR(VLOOKUP($S$467,'TAR FIN'!$A$1:$O$116,15,0)),0,VLOOKUP($S$467,'TAR FIN'!$A$1:$O$116,15,0))</f>
        <v>25.51</v>
      </c>
      <c r="W467" s="6">
        <f>IF(ISERROR(VLOOKUP($T$467,'TAR FIN'!$A$1:$O$116,15,0)),0,VLOOKUP($T$467,'TAR FIN'!$A$1:$O$116,15,0))</f>
        <v>88.66</v>
      </c>
      <c r="X467" s="6">
        <f>IF(ISERROR(VLOOKUP($U$467,'TAR FIN'!$A$1:$O$116,15,0)),0,VLOOKUP($U$467,'TAR FIN'!$A$1:$O$116,15,0))</f>
        <v>311.04000000000002</v>
      </c>
      <c r="Y467" s="6">
        <f ca="1">('TUSD BE'!$AM$26+'TUSD BF'!$AM$26+'TUSD CVA'!$AM$26)*1</f>
        <v>29.803266797877356</v>
      </c>
      <c r="Z467" s="6">
        <f ca="1">('TUSD BE'!$AM$27+'TUSD BF'!$AM$27+'TUSD CVA'!$AM$27)*1</f>
        <v>137.4358543126599</v>
      </c>
      <c r="AA467" s="6">
        <f>('TE BE'!$AB$10+'TE BF'!$AB$10+'TE CVA'!$AB$10)*1</f>
        <v>313.22907246928764</v>
      </c>
      <c r="AB467" s="6">
        <f>$K$467*$V$467</f>
        <v>5841.79</v>
      </c>
      <c r="AC467" s="6">
        <f>$M$467*$W$467</f>
        <v>4202.8386399999999</v>
      </c>
      <c r="AD467" s="6">
        <f>$O$467*$X$467</f>
        <v>14744.540160000002</v>
      </c>
      <c r="AE467" s="6">
        <f ca="1">$K$467*$Y$467</f>
        <v>6824.9480967139143</v>
      </c>
      <c r="AF467" s="6">
        <f ca="1">$M$467*$Z$467</f>
        <v>6515.0092378373301</v>
      </c>
      <c r="AG467" s="6">
        <f>$O$467*$AA$467</f>
        <v>14848.310951334113</v>
      </c>
    </row>
    <row r="468" spans="1:33" ht="11.25" customHeight="1" x14ac:dyDescent="0.25">
      <c r="A468" s="4" t="s">
        <v>28</v>
      </c>
      <c r="B468" s="4" t="s">
        <v>41</v>
      </c>
      <c r="C468" s="4" t="s">
        <v>40</v>
      </c>
      <c r="D468" s="4" t="s">
        <v>46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44531</v>
      </c>
      <c r="J468" s="6">
        <v>290</v>
      </c>
      <c r="K468" s="6">
        <v>290</v>
      </c>
      <c r="L468" s="6">
        <v>104.04</v>
      </c>
      <c r="M468" s="6">
        <v>104.04</v>
      </c>
      <c r="N468" s="6">
        <v>104.04</v>
      </c>
      <c r="O468" s="6">
        <v>104.04</v>
      </c>
      <c r="P468" s="6">
        <v>0</v>
      </c>
      <c r="Q468" s="4" t="s">
        <v>26</v>
      </c>
      <c r="R468" s="4">
        <v>0</v>
      </c>
      <c r="S468" s="6">
        <v>22</v>
      </c>
      <c r="T468" s="6">
        <v>23</v>
      </c>
      <c r="U468" s="6">
        <v>79</v>
      </c>
      <c r="V468" s="6">
        <f>IF(ISERROR(VLOOKUP($S$468,'TAR FIN'!$A$1:$O$116,15,0)),0,VLOOKUP($S$468,'TAR FIN'!$A$1:$O$116,15,0))</f>
        <v>25.51</v>
      </c>
      <c r="W468" s="6">
        <f>IF(ISERROR(VLOOKUP($T$468,'TAR FIN'!$A$1:$O$116,15,0)),0,VLOOKUP($T$468,'TAR FIN'!$A$1:$O$116,15,0))</f>
        <v>88.66</v>
      </c>
      <c r="X468" s="6">
        <f>IF(ISERROR(VLOOKUP($U$468,'TAR FIN'!$A$1:$O$116,15,0)),0,VLOOKUP($U$468,'TAR FIN'!$A$1:$O$116,15,0))</f>
        <v>311.04000000000002</v>
      </c>
      <c r="Y468" s="6">
        <f ca="1">('TUSD BE'!$AM$26+'TUSD BF'!$AM$26+'TUSD CVA'!$AM$26)*1</f>
        <v>29.803266797877356</v>
      </c>
      <c r="Z468" s="6">
        <f ca="1">('TUSD BE'!$AM$27+'TUSD BF'!$AM$27+'TUSD CVA'!$AM$27)*1</f>
        <v>137.4358543126599</v>
      </c>
      <c r="AA468" s="6">
        <f>('TE BE'!$AB$10+'TE BF'!$AB$10+'TE CVA'!$AB$10)*1</f>
        <v>313.22907246928764</v>
      </c>
      <c r="AB468" s="6">
        <f>$K$468*$V$468</f>
        <v>7397.9000000000005</v>
      </c>
      <c r="AC468" s="6">
        <f>$M$468*$W$468</f>
        <v>9224.1864000000005</v>
      </c>
      <c r="AD468" s="6">
        <f>$O$468*$X$468</f>
        <v>32360.601600000005</v>
      </c>
      <c r="AE468" s="6">
        <f ca="1">$K$468*$Y$468</f>
        <v>8642.9473713844327</v>
      </c>
      <c r="AF468" s="6">
        <f ca="1">$M$468*$Z$468</f>
        <v>14298.826282689137</v>
      </c>
      <c r="AG468" s="6">
        <f>$O$468*$AA$468</f>
        <v>32588.35269970469</v>
      </c>
    </row>
    <row r="469" spans="1:33" ht="11.25" customHeight="1" x14ac:dyDescent="0.25">
      <c r="A469" s="4" t="s">
        <v>21</v>
      </c>
      <c r="B469" s="4" t="s">
        <v>41</v>
      </c>
      <c r="C469" s="4" t="s">
        <v>40</v>
      </c>
      <c r="D469" s="4" t="s">
        <v>46</v>
      </c>
      <c r="E469" s="4" t="s">
        <v>25</v>
      </c>
      <c r="F469" s="4" t="s">
        <v>25</v>
      </c>
      <c r="G469" s="4" t="s">
        <v>25</v>
      </c>
      <c r="H469" s="4" t="s">
        <v>35</v>
      </c>
      <c r="I469" s="5">
        <v>44562</v>
      </c>
      <c r="J469" s="6">
        <v>229</v>
      </c>
      <c r="K469" s="6">
        <v>229</v>
      </c>
      <c r="L469" s="6">
        <v>45.441000000000003</v>
      </c>
      <c r="M469" s="6">
        <v>45.441000000000003</v>
      </c>
      <c r="N469" s="6">
        <v>45.441000000000003</v>
      </c>
      <c r="O469" s="6">
        <v>45.441000000000003</v>
      </c>
      <c r="P469" s="6">
        <v>0</v>
      </c>
      <c r="Q469" s="4" t="s">
        <v>26</v>
      </c>
      <c r="R469" s="4">
        <v>0</v>
      </c>
      <c r="S469" s="6">
        <v>22</v>
      </c>
      <c r="T469" s="6">
        <v>23</v>
      </c>
      <c r="U469" s="6">
        <v>79</v>
      </c>
      <c r="V469" s="6">
        <f>IF(ISERROR(VLOOKUP($S$469,'TAR FIN'!$A$1:$O$116,15,0)),0,VLOOKUP($S$469,'TAR FIN'!$A$1:$O$116,15,0))</f>
        <v>25.51</v>
      </c>
      <c r="W469" s="6">
        <f>IF(ISERROR(VLOOKUP($T$469,'TAR FIN'!$A$1:$O$116,15,0)),0,VLOOKUP($T$469,'TAR FIN'!$A$1:$O$116,15,0))</f>
        <v>88.66</v>
      </c>
      <c r="X469" s="6">
        <f>IF(ISERROR(VLOOKUP($U$469,'TAR FIN'!$A$1:$O$116,15,0)),0,VLOOKUP($U$469,'TAR FIN'!$A$1:$O$116,15,0))</f>
        <v>311.04000000000002</v>
      </c>
      <c r="Y469" s="6">
        <f ca="1">('TUSD BE'!$AM$26+'TUSD BF'!$AM$26+'TUSD CVA'!$AM$26)*1</f>
        <v>29.803266797877356</v>
      </c>
      <c r="Z469" s="6">
        <f ca="1">('TUSD BE'!$AM$27+'TUSD BF'!$AM$27+'TUSD CVA'!$AM$27)*1</f>
        <v>137.4358543126599</v>
      </c>
      <c r="AA469" s="6">
        <f>('TE BE'!$AB$10+'TE BF'!$AB$10+'TE CVA'!$AB$10)*1</f>
        <v>313.22907246928764</v>
      </c>
      <c r="AB469" s="6">
        <f>$K$469*$V$469</f>
        <v>5841.79</v>
      </c>
      <c r="AC469" s="6">
        <f>$M$469*$W$469</f>
        <v>4028.7990600000003</v>
      </c>
      <c r="AD469" s="6">
        <f>$O$469*$X$469</f>
        <v>14133.968640000001</v>
      </c>
      <c r="AE469" s="6">
        <f ca="1">$K$469*$Y$469</f>
        <v>6824.9480967139143</v>
      </c>
      <c r="AF469" s="6">
        <f ca="1">$M$469*$Z$469</f>
        <v>6245.2226558215789</v>
      </c>
      <c r="AG469" s="6">
        <f>$O$469*$AA$469</f>
        <v>14233.442282076901</v>
      </c>
    </row>
    <row r="470" spans="1:33" ht="11.25" customHeight="1" x14ac:dyDescent="0.25">
      <c r="A470" s="4" t="s">
        <v>28</v>
      </c>
      <c r="B470" s="4" t="s">
        <v>41</v>
      </c>
      <c r="C470" s="4" t="s">
        <v>40</v>
      </c>
      <c r="D470" s="4" t="s">
        <v>46</v>
      </c>
      <c r="E470" s="4" t="s">
        <v>25</v>
      </c>
      <c r="F470" s="4" t="s">
        <v>25</v>
      </c>
      <c r="G470" s="4" t="s">
        <v>25</v>
      </c>
      <c r="H470" s="4" t="s">
        <v>35</v>
      </c>
      <c r="I470" s="5">
        <v>44562</v>
      </c>
      <c r="J470" s="6">
        <v>290</v>
      </c>
      <c r="K470" s="6">
        <v>290</v>
      </c>
      <c r="L470" s="6">
        <v>113.774</v>
      </c>
      <c r="M470" s="6">
        <v>113.774</v>
      </c>
      <c r="N470" s="6">
        <v>113.774</v>
      </c>
      <c r="O470" s="6">
        <v>113.774</v>
      </c>
      <c r="P470" s="6">
        <v>0</v>
      </c>
      <c r="Q470" s="4" t="s">
        <v>26</v>
      </c>
      <c r="R470" s="4">
        <v>0</v>
      </c>
      <c r="S470" s="6">
        <v>22</v>
      </c>
      <c r="T470" s="6">
        <v>23</v>
      </c>
      <c r="U470" s="6">
        <v>79</v>
      </c>
      <c r="V470" s="6">
        <f>IF(ISERROR(VLOOKUP($S$470,'TAR FIN'!$A$1:$O$116,15,0)),0,VLOOKUP($S$470,'TAR FIN'!$A$1:$O$116,15,0))</f>
        <v>25.51</v>
      </c>
      <c r="W470" s="6">
        <f>IF(ISERROR(VLOOKUP($T$470,'TAR FIN'!$A$1:$O$116,15,0)),0,VLOOKUP($T$470,'TAR FIN'!$A$1:$O$116,15,0))</f>
        <v>88.66</v>
      </c>
      <c r="X470" s="6">
        <f>IF(ISERROR(VLOOKUP($U$470,'TAR FIN'!$A$1:$O$116,15,0)),0,VLOOKUP($U$470,'TAR FIN'!$A$1:$O$116,15,0))</f>
        <v>311.04000000000002</v>
      </c>
      <c r="Y470" s="6">
        <f ca="1">('TUSD BE'!$AM$26+'TUSD BF'!$AM$26+'TUSD CVA'!$AM$26)*1</f>
        <v>29.803266797877356</v>
      </c>
      <c r="Z470" s="6">
        <f ca="1">('TUSD BE'!$AM$27+'TUSD BF'!$AM$27+'TUSD CVA'!$AM$27)*1</f>
        <v>137.4358543126599</v>
      </c>
      <c r="AA470" s="6">
        <f>('TE BE'!$AB$10+'TE BF'!$AB$10+'TE CVA'!$AB$10)*1</f>
        <v>313.22907246928764</v>
      </c>
      <c r="AB470" s="6">
        <f>$K$470*$V$470</f>
        <v>7397.9000000000005</v>
      </c>
      <c r="AC470" s="6">
        <f>$M$470*$W$470</f>
        <v>10087.20284</v>
      </c>
      <c r="AD470" s="6">
        <f>$O$470*$X$470</f>
        <v>35388.26496</v>
      </c>
      <c r="AE470" s="6">
        <f ca="1">$K$470*$Y$470</f>
        <v>8642.9473713844327</v>
      </c>
      <c r="AF470" s="6">
        <f ca="1">$M$470*$Z$470</f>
        <v>15636.626888568568</v>
      </c>
      <c r="AG470" s="6">
        <f>$O$470*$AA$470</f>
        <v>35637.324491120729</v>
      </c>
    </row>
    <row r="471" spans="1:33" ht="11.25" customHeight="1" x14ac:dyDescent="0.25">
      <c r="A471" s="4" t="s">
        <v>21</v>
      </c>
      <c r="B471" s="4" t="s">
        <v>41</v>
      </c>
      <c r="C471" s="4" t="s">
        <v>40</v>
      </c>
      <c r="D471" s="4" t="s">
        <v>46</v>
      </c>
      <c r="E471" s="4" t="s">
        <v>25</v>
      </c>
      <c r="F471" s="4" t="s">
        <v>25</v>
      </c>
      <c r="G471" s="4" t="s">
        <v>25</v>
      </c>
      <c r="H471" s="4" t="s">
        <v>35</v>
      </c>
      <c r="I471" s="5">
        <v>44593</v>
      </c>
      <c r="J471" s="6">
        <v>229</v>
      </c>
      <c r="K471" s="6">
        <v>229</v>
      </c>
      <c r="L471" s="6">
        <v>41.381999999999998</v>
      </c>
      <c r="M471" s="6">
        <v>41.381999999999998</v>
      </c>
      <c r="N471" s="6">
        <v>41.381999999999998</v>
      </c>
      <c r="O471" s="6">
        <v>41.381999999999998</v>
      </c>
      <c r="P471" s="6">
        <v>0</v>
      </c>
      <c r="Q471" s="4" t="s">
        <v>26</v>
      </c>
      <c r="R471" s="4">
        <v>0</v>
      </c>
      <c r="S471" s="6">
        <v>22</v>
      </c>
      <c r="T471" s="6">
        <v>23</v>
      </c>
      <c r="U471" s="6">
        <v>79</v>
      </c>
      <c r="V471" s="6">
        <f>IF(ISERROR(VLOOKUP($S$471,'TAR FIN'!$A$1:$O$116,15,0)),0,VLOOKUP($S$471,'TAR FIN'!$A$1:$O$116,15,0))</f>
        <v>25.51</v>
      </c>
      <c r="W471" s="6">
        <f>IF(ISERROR(VLOOKUP($T$471,'TAR FIN'!$A$1:$O$116,15,0)),0,VLOOKUP($T$471,'TAR FIN'!$A$1:$O$116,15,0))</f>
        <v>88.66</v>
      </c>
      <c r="X471" s="6">
        <f>IF(ISERROR(VLOOKUP($U$471,'TAR FIN'!$A$1:$O$116,15,0)),0,VLOOKUP($U$471,'TAR FIN'!$A$1:$O$116,15,0))</f>
        <v>311.04000000000002</v>
      </c>
      <c r="Y471" s="6">
        <f ca="1">('TUSD BE'!$AM$26+'TUSD BF'!$AM$26+'TUSD CVA'!$AM$26)*1</f>
        <v>29.803266797877356</v>
      </c>
      <c r="Z471" s="6">
        <f ca="1">('TUSD BE'!$AM$27+'TUSD BF'!$AM$27+'TUSD CVA'!$AM$27)*1</f>
        <v>137.4358543126599</v>
      </c>
      <c r="AA471" s="6">
        <f>('TE BE'!$AB$10+'TE BF'!$AB$10+'TE CVA'!$AB$10)*1</f>
        <v>313.22907246928764</v>
      </c>
      <c r="AB471" s="6">
        <f>$K$471*$V$471</f>
        <v>5841.79</v>
      </c>
      <c r="AC471" s="6">
        <f>$M$471*$W$471</f>
        <v>3668.9281199999996</v>
      </c>
      <c r="AD471" s="6">
        <f>$O$471*$X$471</f>
        <v>12871.457280000001</v>
      </c>
      <c r="AE471" s="6">
        <f ca="1">$K$471*$Y$471</f>
        <v>6824.9480967139143</v>
      </c>
      <c r="AF471" s="6">
        <f ca="1">$M$471*$Z$471</f>
        <v>5687.3705231664917</v>
      </c>
      <c r="AG471" s="6">
        <f>$O$471*$AA$471</f>
        <v>12962.04547692406</v>
      </c>
    </row>
    <row r="472" spans="1:33" ht="11.25" customHeight="1" x14ac:dyDescent="0.25">
      <c r="A472" s="4" t="s">
        <v>28</v>
      </c>
      <c r="B472" s="4" t="s">
        <v>41</v>
      </c>
      <c r="C472" s="4" t="s">
        <v>40</v>
      </c>
      <c r="D472" s="4" t="s">
        <v>46</v>
      </c>
      <c r="E472" s="4" t="s">
        <v>25</v>
      </c>
      <c r="F472" s="4" t="s">
        <v>25</v>
      </c>
      <c r="G472" s="4" t="s">
        <v>25</v>
      </c>
      <c r="H472" s="4" t="s">
        <v>35</v>
      </c>
      <c r="I472" s="5">
        <v>44593</v>
      </c>
      <c r="J472" s="6">
        <v>290</v>
      </c>
      <c r="K472" s="6">
        <v>290</v>
      </c>
      <c r="L472" s="6">
        <v>99.95</v>
      </c>
      <c r="M472" s="6">
        <v>99.95</v>
      </c>
      <c r="N472" s="6">
        <v>99.95</v>
      </c>
      <c r="O472" s="6">
        <v>99.95</v>
      </c>
      <c r="P472" s="6">
        <v>0</v>
      </c>
      <c r="Q472" s="4" t="s">
        <v>26</v>
      </c>
      <c r="R472" s="4">
        <v>0</v>
      </c>
      <c r="S472" s="6">
        <v>22</v>
      </c>
      <c r="T472" s="6">
        <v>23</v>
      </c>
      <c r="U472" s="6">
        <v>79</v>
      </c>
      <c r="V472" s="6">
        <f>IF(ISERROR(VLOOKUP($S$472,'TAR FIN'!$A$1:$O$116,15,0)),0,VLOOKUP($S$472,'TAR FIN'!$A$1:$O$116,15,0))</f>
        <v>25.51</v>
      </c>
      <c r="W472" s="6">
        <f>IF(ISERROR(VLOOKUP($T$472,'TAR FIN'!$A$1:$O$116,15,0)),0,VLOOKUP($T$472,'TAR FIN'!$A$1:$O$116,15,0))</f>
        <v>88.66</v>
      </c>
      <c r="X472" s="6">
        <f>IF(ISERROR(VLOOKUP($U$472,'TAR FIN'!$A$1:$O$116,15,0)),0,VLOOKUP($U$472,'TAR FIN'!$A$1:$O$116,15,0))</f>
        <v>311.04000000000002</v>
      </c>
      <c r="Y472" s="6">
        <f ca="1">('TUSD BE'!$AM$26+'TUSD BF'!$AM$26+'TUSD CVA'!$AM$26)*1</f>
        <v>29.803266797877356</v>
      </c>
      <c r="Z472" s="6">
        <f ca="1">('TUSD BE'!$AM$27+'TUSD BF'!$AM$27+'TUSD CVA'!$AM$27)*1</f>
        <v>137.4358543126599</v>
      </c>
      <c r="AA472" s="6">
        <f>('TE BE'!$AB$10+'TE BF'!$AB$10+'TE CVA'!$AB$10)*1</f>
        <v>313.22907246928764</v>
      </c>
      <c r="AB472" s="6">
        <f>$K$472*$V$472</f>
        <v>7397.9000000000005</v>
      </c>
      <c r="AC472" s="6">
        <f>$M$472*$W$472</f>
        <v>8861.5669999999991</v>
      </c>
      <c r="AD472" s="6">
        <f>$O$472*$X$472</f>
        <v>31088.448000000004</v>
      </c>
      <c r="AE472" s="6">
        <f ca="1">$K$472*$Y$472</f>
        <v>8642.9473713844327</v>
      </c>
      <c r="AF472" s="6">
        <f ca="1">$M$472*$Z$472</f>
        <v>13736.713638550358</v>
      </c>
      <c r="AG472" s="6">
        <f>$O$472*$AA$472</f>
        <v>31307.245793305301</v>
      </c>
    </row>
    <row r="473" spans="1:33" ht="11.25" customHeight="1" x14ac:dyDescent="0.25">
      <c r="A473" s="4" t="s">
        <v>21</v>
      </c>
      <c r="B473" s="4" t="s">
        <v>41</v>
      </c>
      <c r="C473" s="4" t="s">
        <v>40</v>
      </c>
      <c r="D473" s="4" t="s">
        <v>46</v>
      </c>
      <c r="E473" s="4" t="s">
        <v>25</v>
      </c>
      <c r="F473" s="4" t="s">
        <v>25</v>
      </c>
      <c r="G473" s="4" t="s">
        <v>25</v>
      </c>
      <c r="H473" s="4" t="s">
        <v>35</v>
      </c>
      <c r="I473" s="5">
        <v>44621</v>
      </c>
      <c r="J473" s="6">
        <v>229</v>
      </c>
      <c r="K473" s="6">
        <v>229</v>
      </c>
      <c r="L473" s="6">
        <v>47.046999999999997</v>
      </c>
      <c r="M473" s="6">
        <v>47.046999999999997</v>
      </c>
      <c r="N473" s="6">
        <v>47.046999999999997</v>
      </c>
      <c r="O473" s="6">
        <v>47.046999999999997</v>
      </c>
      <c r="P473" s="6">
        <v>0</v>
      </c>
      <c r="Q473" s="4" t="s">
        <v>26</v>
      </c>
      <c r="R473" s="4">
        <v>0</v>
      </c>
      <c r="S473" s="6">
        <v>22</v>
      </c>
      <c r="T473" s="6">
        <v>23</v>
      </c>
      <c r="U473" s="6">
        <v>79</v>
      </c>
      <c r="V473" s="6">
        <f>IF(ISERROR(VLOOKUP($S$473,'TAR FIN'!$A$1:$O$116,15,0)),0,VLOOKUP($S$473,'TAR FIN'!$A$1:$O$116,15,0))</f>
        <v>25.51</v>
      </c>
      <c r="W473" s="6">
        <f>IF(ISERROR(VLOOKUP($T$473,'TAR FIN'!$A$1:$O$116,15,0)),0,VLOOKUP($T$473,'TAR FIN'!$A$1:$O$116,15,0))</f>
        <v>88.66</v>
      </c>
      <c r="X473" s="6">
        <f>IF(ISERROR(VLOOKUP($U$473,'TAR FIN'!$A$1:$O$116,15,0)),0,VLOOKUP($U$473,'TAR FIN'!$A$1:$O$116,15,0))</f>
        <v>311.04000000000002</v>
      </c>
      <c r="Y473" s="6">
        <f ca="1">('TUSD BE'!$AM$26+'TUSD BF'!$AM$26+'TUSD CVA'!$AM$26)*1</f>
        <v>29.803266797877356</v>
      </c>
      <c r="Z473" s="6">
        <f ca="1">('TUSD BE'!$AM$27+'TUSD BF'!$AM$27+'TUSD CVA'!$AM$27)*1</f>
        <v>137.4358543126599</v>
      </c>
      <c r="AA473" s="6">
        <f>('TE BE'!$AB$10+'TE BF'!$AB$10+'TE CVA'!$AB$10)*1</f>
        <v>313.22907246928764</v>
      </c>
      <c r="AB473" s="6">
        <f>$K$473*$V$473</f>
        <v>5841.79</v>
      </c>
      <c r="AC473" s="6">
        <f>$M$473*$W$473</f>
        <v>4171.1870199999994</v>
      </c>
      <c r="AD473" s="6">
        <f>$O$473*$X$473</f>
        <v>14633.498879999999</v>
      </c>
      <c r="AE473" s="6">
        <f ca="1">$K$473*$Y$473</f>
        <v>6824.9480967139143</v>
      </c>
      <c r="AF473" s="6">
        <f ca="1">$M$473*$Z$473</f>
        <v>6465.9446378477096</v>
      </c>
      <c r="AG473" s="6">
        <f>$O$473*$AA$473</f>
        <v>14736.488172462576</v>
      </c>
    </row>
    <row r="474" spans="1:33" ht="11.25" customHeight="1" x14ac:dyDescent="0.25">
      <c r="A474" s="4" t="s">
        <v>28</v>
      </c>
      <c r="B474" s="4" t="s">
        <v>41</v>
      </c>
      <c r="C474" s="4" t="s">
        <v>40</v>
      </c>
      <c r="D474" s="4" t="s">
        <v>46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44621</v>
      </c>
      <c r="J474" s="6">
        <v>290</v>
      </c>
      <c r="K474" s="6">
        <v>290</v>
      </c>
      <c r="L474" s="6">
        <v>122.509</v>
      </c>
      <c r="M474" s="6">
        <v>122.509</v>
      </c>
      <c r="N474" s="6">
        <v>122.509</v>
      </c>
      <c r="O474" s="6">
        <v>122.509</v>
      </c>
      <c r="P474" s="6">
        <v>0</v>
      </c>
      <c r="Q474" s="4" t="s">
        <v>26</v>
      </c>
      <c r="R474" s="4">
        <v>0</v>
      </c>
      <c r="S474" s="6">
        <v>22</v>
      </c>
      <c r="T474" s="6">
        <v>23</v>
      </c>
      <c r="U474" s="6">
        <v>79</v>
      </c>
      <c r="V474" s="6">
        <f>IF(ISERROR(VLOOKUP($S$474,'TAR FIN'!$A$1:$O$116,15,0)),0,VLOOKUP($S$474,'TAR FIN'!$A$1:$O$116,15,0))</f>
        <v>25.51</v>
      </c>
      <c r="W474" s="6">
        <f>IF(ISERROR(VLOOKUP($T$474,'TAR FIN'!$A$1:$O$116,15,0)),0,VLOOKUP($T$474,'TAR FIN'!$A$1:$O$116,15,0))</f>
        <v>88.66</v>
      </c>
      <c r="X474" s="6">
        <f>IF(ISERROR(VLOOKUP($U$474,'TAR FIN'!$A$1:$O$116,15,0)),0,VLOOKUP($U$474,'TAR FIN'!$A$1:$O$116,15,0))</f>
        <v>311.04000000000002</v>
      </c>
      <c r="Y474" s="6">
        <f ca="1">('TUSD BE'!$AM$26+'TUSD BF'!$AM$26+'TUSD CVA'!$AM$26)*1</f>
        <v>29.803266797877356</v>
      </c>
      <c r="Z474" s="6">
        <f ca="1">('TUSD BE'!$AM$27+'TUSD BF'!$AM$27+'TUSD CVA'!$AM$27)*1</f>
        <v>137.4358543126599</v>
      </c>
      <c r="AA474" s="6">
        <f>('TE BE'!$AB$10+'TE BF'!$AB$10+'TE CVA'!$AB$10)*1</f>
        <v>313.22907246928764</v>
      </c>
      <c r="AB474" s="6">
        <f>$K$474*$V$474</f>
        <v>7397.9000000000005</v>
      </c>
      <c r="AC474" s="6">
        <f>$M$474*$W$474</f>
        <v>10861.647939999999</v>
      </c>
      <c r="AD474" s="6">
        <f>$O$474*$X$474</f>
        <v>38105.199360000006</v>
      </c>
      <c r="AE474" s="6">
        <f ca="1">$K$474*$Y$474</f>
        <v>8642.9473713844327</v>
      </c>
      <c r="AF474" s="6">
        <f ca="1">$M$474*$Z$474</f>
        <v>16837.129075989651</v>
      </c>
      <c r="AG474" s="6">
        <f>$O$474*$AA$474</f>
        <v>38373.380439139961</v>
      </c>
    </row>
    <row r="475" spans="1:33" ht="11.25" customHeight="1" x14ac:dyDescent="0.25">
      <c r="A475" s="4" t="s">
        <v>21</v>
      </c>
      <c r="B475" s="4" t="s">
        <v>41</v>
      </c>
      <c r="C475" s="4" t="s">
        <v>40</v>
      </c>
      <c r="D475" s="4" t="s">
        <v>46</v>
      </c>
      <c r="E475" s="4" t="s">
        <v>25</v>
      </c>
      <c r="F475" s="4" t="s">
        <v>25</v>
      </c>
      <c r="G475" s="4" t="s">
        <v>25</v>
      </c>
      <c r="H475" s="4" t="s">
        <v>35</v>
      </c>
      <c r="I475" s="5">
        <v>44652</v>
      </c>
      <c r="J475" s="6">
        <v>256</v>
      </c>
      <c r="K475" s="6">
        <v>256</v>
      </c>
      <c r="L475" s="6">
        <v>50.764000000000003</v>
      </c>
      <c r="M475" s="6">
        <v>50.764000000000003</v>
      </c>
      <c r="N475" s="6">
        <v>50.764000000000003</v>
      </c>
      <c r="O475" s="6">
        <v>50.764000000000003</v>
      </c>
      <c r="P475" s="6">
        <v>0</v>
      </c>
      <c r="Q475" s="4" t="s">
        <v>26</v>
      </c>
      <c r="R475" s="4">
        <v>0</v>
      </c>
      <c r="S475" s="6">
        <v>22</v>
      </c>
      <c r="T475" s="6">
        <v>23</v>
      </c>
      <c r="U475" s="6">
        <v>79</v>
      </c>
      <c r="V475" s="6">
        <f>IF(ISERROR(VLOOKUP($S$475,'TAR FIN'!$A$1:$O$116,15,0)),0,VLOOKUP($S$475,'TAR FIN'!$A$1:$O$116,15,0))</f>
        <v>25.51</v>
      </c>
      <c r="W475" s="6">
        <f>IF(ISERROR(VLOOKUP($T$475,'TAR FIN'!$A$1:$O$116,15,0)),0,VLOOKUP($T$475,'TAR FIN'!$A$1:$O$116,15,0))</f>
        <v>88.66</v>
      </c>
      <c r="X475" s="6">
        <f>IF(ISERROR(VLOOKUP($U$475,'TAR FIN'!$A$1:$O$116,15,0)),0,VLOOKUP($U$475,'TAR FIN'!$A$1:$O$116,15,0))</f>
        <v>311.04000000000002</v>
      </c>
      <c r="Y475" s="6">
        <f ca="1">('TUSD BE'!$AM$26+'TUSD BF'!$AM$26+'TUSD CVA'!$AM$26)*1</f>
        <v>29.803266797877356</v>
      </c>
      <c r="Z475" s="6">
        <f ca="1">('TUSD BE'!$AM$27+'TUSD BF'!$AM$27+'TUSD CVA'!$AM$27)*1</f>
        <v>137.4358543126599</v>
      </c>
      <c r="AA475" s="6">
        <f>('TE BE'!$AB$10+'TE BF'!$AB$10+'TE CVA'!$AB$10)*1</f>
        <v>313.22907246928764</v>
      </c>
      <c r="AB475" s="6">
        <f>$K$475*$V$475</f>
        <v>6530.56</v>
      </c>
      <c r="AC475" s="6">
        <f>$M$475*$W$475</f>
        <v>4500.7362400000002</v>
      </c>
      <c r="AD475" s="6">
        <f>$O$475*$X$475</f>
        <v>15789.634560000002</v>
      </c>
      <c r="AE475" s="6">
        <f ca="1">$K$475*$Y$475</f>
        <v>7629.6363002566031</v>
      </c>
      <c r="AF475" s="6">
        <f ca="1">$M$475*$Z$475</f>
        <v>6976.7937083278675</v>
      </c>
      <c r="AG475" s="6">
        <f>$O$475*$AA$475</f>
        <v>15900.760634830918</v>
      </c>
    </row>
    <row r="476" spans="1:33" ht="11.25" customHeight="1" x14ac:dyDescent="0.25">
      <c r="A476" s="4" t="s">
        <v>28</v>
      </c>
      <c r="B476" s="4" t="s">
        <v>41</v>
      </c>
      <c r="C476" s="4" t="s">
        <v>40</v>
      </c>
      <c r="D476" s="4" t="s">
        <v>46</v>
      </c>
      <c r="E476" s="4" t="s">
        <v>25</v>
      </c>
      <c r="F476" s="4" t="s">
        <v>25</v>
      </c>
      <c r="G476" s="4" t="s">
        <v>25</v>
      </c>
      <c r="H476" s="4" t="s">
        <v>35</v>
      </c>
      <c r="I476" s="5">
        <v>44652</v>
      </c>
      <c r="J476" s="6">
        <v>290</v>
      </c>
      <c r="K476" s="6">
        <v>290</v>
      </c>
      <c r="L476" s="6">
        <v>103.602</v>
      </c>
      <c r="M476" s="6">
        <v>103.602</v>
      </c>
      <c r="N476" s="6">
        <v>103.602</v>
      </c>
      <c r="O476" s="6">
        <v>103.602</v>
      </c>
      <c r="P476" s="6">
        <v>0</v>
      </c>
      <c r="Q476" s="4" t="s">
        <v>26</v>
      </c>
      <c r="R476" s="4">
        <v>0</v>
      </c>
      <c r="S476" s="6">
        <v>22</v>
      </c>
      <c r="T476" s="6">
        <v>23</v>
      </c>
      <c r="U476" s="6">
        <v>79</v>
      </c>
      <c r="V476" s="6">
        <f>IF(ISERROR(VLOOKUP($S$476,'TAR FIN'!$A$1:$O$116,15,0)),0,VLOOKUP($S$476,'TAR FIN'!$A$1:$O$116,15,0))</f>
        <v>25.51</v>
      </c>
      <c r="W476" s="6">
        <f>IF(ISERROR(VLOOKUP($T$476,'TAR FIN'!$A$1:$O$116,15,0)),0,VLOOKUP($T$476,'TAR FIN'!$A$1:$O$116,15,0))</f>
        <v>88.66</v>
      </c>
      <c r="X476" s="6">
        <f>IF(ISERROR(VLOOKUP($U$476,'TAR FIN'!$A$1:$O$116,15,0)),0,VLOOKUP($U$476,'TAR FIN'!$A$1:$O$116,15,0))</f>
        <v>311.04000000000002</v>
      </c>
      <c r="Y476" s="6">
        <f ca="1">('TUSD BE'!$AM$26+'TUSD BF'!$AM$26+'TUSD CVA'!$AM$26)*1</f>
        <v>29.803266797877356</v>
      </c>
      <c r="Z476" s="6">
        <f ca="1">('TUSD BE'!$AM$27+'TUSD BF'!$AM$27+'TUSD CVA'!$AM$27)*1</f>
        <v>137.4358543126599</v>
      </c>
      <c r="AA476" s="6">
        <f>('TE BE'!$AB$10+'TE BF'!$AB$10+'TE CVA'!$AB$10)*1</f>
        <v>313.22907246928764</v>
      </c>
      <c r="AB476" s="6">
        <f>$K$476*$V$476</f>
        <v>7397.9000000000005</v>
      </c>
      <c r="AC476" s="6">
        <f>$M$476*$W$476</f>
        <v>9185.3533200000002</v>
      </c>
      <c r="AD476" s="6">
        <f>$O$476*$X$476</f>
        <v>32224.366080000003</v>
      </c>
      <c r="AE476" s="6">
        <f ca="1">$K$476*$Y$476</f>
        <v>8642.9473713844327</v>
      </c>
      <c r="AF476" s="6">
        <f ca="1">$M$476*$Z$476</f>
        <v>14238.629378500191</v>
      </c>
      <c r="AG476" s="6">
        <f>$O$476*$AA$476</f>
        <v>32451.15836596314</v>
      </c>
    </row>
    <row r="477" spans="1:33" ht="11.25" customHeight="1" x14ac:dyDescent="0.25">
      <c r="A477" s="4" t="s">
        <v>58</v>
      </c>
      <c r="B477" s="4" t="s">
        <v>41</v>
      </c>
      <c r="C477" s="4" t="s">
        <v>40</v>
      </c>
      <c r="D477" s="4" t="s">
        <v>46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44682</v>
      </c>
      <c r="J477" s="6">
        <v>256</v>
      </c>
      <c r="K477" s="6">
        <v>256</v>
      </c>
      <c r="L477" s="6">
        <v>50.764000000000003</v>
      </c>
      <c r="M477" s="6">
        <v>50.764000000000003</v>
      </c>
      <c r="N477" s="6">
        <v>50.764000000000003</v>
      </c>
      <c r="O477" s="6">
        <v>50.764000000000003</v>
      </c>
      <c r="P477" s="6">
        <v>0</v>
      </c>
      <c r="Q477" s="4" t="s">
        <v>26</v>
      </c>
      <c r="R477" s="4">
        <v>0</v>
      </c>
      <c r="S477" s="6">
        <v>22</v>
      </c>
      <c r="T477" s="6">
        <v>23</v>
      </c>
      <c r="U477" s="6">
        <v>79</v>
      </c>
      <c r="V477" s="6">
        <f>IF(ISERROR(VLOOKUP($S$477,'TAR FIN'!$A$1:$O$116,15,0)),0,VLOOKUP($S$477,'TAR FIN'!$A$1:$O$116,15,0))</f>
        <v>25.51</v>
      </c>
      <c r="W477" s="6">
        <f>IF(ISERROR(VLOOKUP($T$477,'TAR FIN'!$A$1:$O$116,15,0)),0,VLOOKUP($T$477,'TAR FIN'!$A$1:$O$116,15,0))</f>
        <v>88.66</v>
      </c>
      <c r="X477" s="6">
        <f>IF(ISERROR(VLOOKUP($U$477,'TAR FIN'!$A$1:$O$116,15,0)),0,VLOOKUP($U$477,'TAR FIN'!$A$1:$O$116,15,0))</f>
        <v>311.04000000000002</v>
      </c>
      <c r="Y477" s="6">
        <f ca="1">('TUSD BE'!$AM$26+'TUSD BF'!$AM$26+'TUSD CVA'!$AM$26)*1</f>
        <v>29.803266797877356</v>
      </c>
      <c r="Z477" s="6">
        <f ca="1">('TUSD BE'!$AM$27+'TUSD BF'!$AM$27+'TUSD CVA'!$AM$27)*1</f>
        <v>137.4358543126599</v>
      </c>
      <c r="AA477" s="6">
        <f>('TE BE'!$AB$10+'TE BF'!$AB$10+'TE CVA'!$AB$10)*1</f>
        <v>313.22907246928764</v>
      </c>
      <c r="AB477" s="6">
        <f>$K$477*$V$477</f>
        <v>6530.56</v>
      </c>
      <c r="AC477" s="6">
        <f>$M$477*$W$477</f>
        <v>4500.7362400000002</v>
      </c>
      <c r="AD477" s="6">
        <f>$O$477*$X$477</f>
        <v>15789.634560000002</v>
      </c>
      <c r="AE477" s="6">
        <f ca="1">$K$477*$Y$477</f>
        <v>7629.6363002566031</v>
      </c>
      <c r="AF477" s="6">
        <f ca="1">$M$477*$Z$477</f>
        <v>6976.7937083278675</v>
      </c>
      <c r="AG477" s="6">
        <f>$O$477*$AA$477</f>
        <v>15900.760634830918</v>
      </c>
    </row>
    <row r="478" spans="1:33" ht="11.25" customHeight="1" x14ac:dyDescent="0.25">
      <c r="A478" s="4" t="s">
        <v>58</v>
      </c>
      <c r="B478" s="4" t="s">
        <v>41</v>
      </c>
      <c r="C478" s="4" t="s">
        <v>40</v>
      </c>
      <c r="D478" s="4" t="s">
        <v>46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44682</v>
      </c>
      <c r="J478" s="6">
        <v>290</v>
      </c>
      <c r="K478" s="6">
        <v>290</v>
      </c>
      <c r="L478" s="6">
        <v>103.602</v>
      </c>
      <c r="M478" s="6">
        <v>103.602</v>
      </c>
      <c r="N478" s="6">
        <v>103.602</v>
      </c>
      <c r="O478" s="6">
        <v>103.602</v>
      </c>
      <c r="P478" s="6">
        <v>0</v>
      </c>
      <c r="Q478" s="4" t="s">
        <v>26</v>
      </c>
      <c r="R478" s="4">
        <v>0</v>
      </c>
      <c r="S478" s="6">
        <v>22</v>
      </c>
      <c r="T478" s="6">
        <v>23</v>
      </c>
      <c r="U478" s="6">
        <v>79</v>
      </c>
      <c r="V478" s="6">
        <f>IF(ISERROR(VLOOKUP($S$478,'TAR FIN'!$A$1:$O$116,15,0)),0,VLOOKUP($S$478,'TAR FIN'!$A$1:$O$116,15,0))</f>
        <v>25.51</v>
      </c>
      <c r="W478" s="6">
        <f>IF(ISERROR(VLOOKUP($T$478,'TAR FIN'!$A$1:$O$116,15,0)),0,VLOOKUP($T$478,'TAR FIN'!$A$1:$O$116,15,0))</f>
        <v>88.66</v>
      </c>
      <c r="X478" s="6">
        <f>IF(ISERROR(VLOOKUP($U$478,'TAR FIN'!$A$1:$O$116,15,0)),0,VLOOKUP($U$478,'TAR FIN'!$A$1:$O$116,15,0))</f>
        <v>311.04000000000002</v>
      </c>
      <c r="Y478" s="6">
        <f ca="1">('TUSD BE'!$AM$26+'TUSD BF'!$AM$26+'TUSD CVA'!$AM$26)*1</f>
        <v>29.803266797877356</v>
      </c>
      <c r="Z478" s="6">
        <f ca="1">('TUSD BE'!$AM$27+'TUSD BF'!$AM$27+'TUSD CVA'!$AM$27)*1</f>
        <v>137.4358543126599</v>
      </c>
      <c r="AA478" s="6">
        <f>('TE BE'!$AB$10+'TE BF'!$AB$10+'TE CVA'!$AB$10)*1</f>
        <v>313.22907246928764</v>
      </c>
      <c r="AB478" s="6">
        <f>$K$478*$V$478</f>
        <v>7397.9000000000005</v>
      </c>
      <c r="AC478" s="6">
        <f>$M$478*$W$478</f>
        <v>9185.3533200000002</v>
      </c>
      <c r="AD478" s="6">
        <f>$O$478*$X$478</f>
        <v>32224.366080000003</v>
      </c>
      <c r="AE478" s="6">
        <f ca="1">$K$478*$Y$478</f>
        <v>8642.9473713844327</v>
      </c>
      <c r="AF478" s="6">
        <f ca="1">$M$478*$Z$478</f>
        <v>14238.629378500191</v>
      </c>
      <c r="AG478" s="6">
        <f>$O$478*$AA$478</f>
        <v>32451.15836596314</v>
      </c>
    </row>
    <row r="479" spans="1:33" ht="11.25" customHeight="1" x14ac:dyDescent="0.25">
      <c r="A479" s="4" t="s">
        <v>21</v>
      </c>
      <c r="B479" s="4" t="s">
        <v>41</v>
      </c>
      <c r="C479" s="4" t="s">
        <v>40</v>
      </c>
      <c r="D479" s="4" t="s">
        <v>46</v>
      </c>
      <c r="E479" s="4" t="s">
        <v>25</v>
      </c>
      <c r="F479" s="4" t="s">
        <v>25</v>
      </c>
      <c r="G479" s="4" t="s">
        <v>25</v>
      </c>
      <c r="H479" s="4" t="s">
        <v>34</v>
      </c>
      <c r="I479" s="5">
        <v>44348</v>
      </c>
      <c r="J479" s="6">
        <v>184</v>
      </c>
      <c r="K479" s="6">
        <v>184</v>
      </c>
      <c r="L479" s="6">
        <v>5.08</v>
      </c>
      <c r="M479" s="6">
        <v>5.08</v>
      </c>
      <c r="N479" s="6">
        <v>5.08</v>
      </c>
      <c r="O479" s="6">
        <v>5.08</v>
      </c>
      <c r="P479" s="6">
        <v>0</v>
      </c>
      <c r="Q479" s="4" t="s">
        <v>26</v>
      </c>
      <c r="R479" s="4">
        <v>0</v>
      </c>
      <c r="S479" s="6">
        <v>21</v>
      </c>
      <c r="T479" s="6">
        <v>23</v>
      </c>
      <c r="U479" s="6">
        <v>78</v>
      </c>
      <c r="V479" s="6">
        <f>IF(ISERROR(VLOOKUP($S$479,'TAR FIN'!$A$1:$O$116,15,0)),0,VLOOKUP($S$479,'TAR FIN'!$A$1:$O$116,15,0))</f>
        <v>65.599999999999994</v>
      </c>
      <c r="W479" s="6">
        <f>IF(ISERROR(VLOOKUP($T$479,'TAR FIN'!$A$1:$O$116,15,0)),0,VLOOKUP($T$479,'TAR FIN'!$A$1:$O$116,15,0))</f>
        <v>88.66</v>
      </c>
      <c r="X479" s="6">
        <f>IF(ISERROR(VLOOKUP($U$479,'TAR FIN'!$A$1:$O$116,15,0)),0,VLOOKUP($U$479,'TAR FIN'!$A$1:$O$116,15,0))</f>
        <v>496.15</v>
      </c>
      <c r="Y479" s="6">
        <f ca="1">('TUSD BE'!$AM$25+'TUSD BF'!$AM$25+'TUSD CVA'!$AM$25)*1</f>
        <v>75.407822945580492</v>
      </c>
      <c r="Z479" s="6">
        <f ca="1">('TUSD BE'!$AM$27+'TUSD BF'!$AM$27+'TUSD CVA'!$AM$27)*1</f>
        <v>137.4358543126599</v>
      </c>
      <c r="AA479" s="6">
        <f>('TE BE'!$AB$9+'TE BF'!$AB$9+'TE CVA'!$AB$9)*1</f>
        <v>510.04993331215127</v>
      </c>
      <c r="AB479" s="6">
        <f>$K$479*$V$479</f>
        <v>12070.4</v>
      </c>
      <c r="AC479" s="6">
        <f>$M$479*$W$479</f>
        <v>450.39279999999997</v>
      </c>
      <c r="AD479" s="6">
        <f>$O$479*$X$479</f>
        <v>2520.442</v>
      </c>
      <c r="AE479" s="6">
        <f ca="1">$K$479*$Y$479</f>
        <v>13875.03942198681</v>
      </c>
      <c r="AF479" s="6">
        <f ca="1">$M$479*$Z$479</f>
        <v>698.17413990831233</v>
      </c>
      <c r="AG479" s="6">
        <f>$O$479*$AA$479</f>
        <v>2591.0536612257283</v>
      </c>
    </row>
    <row r="480" spans="1:33" ht="11.25" customHeight="1" x14ac:dyDescent="0.25">
      <c r="A480" s="4" t="s">
        <v>28</v>
      </c>
      <c r="B480" s="4" t="s">
        <v>41</v>
      </c>
      <c r="C480" s="4" t="s">
        <v>40</v>
      </c>
      <c r="D480" s="4" t="s">
        <v>46</v>
      </c>
      <c r="E480" s="4" t="s">
        <v>25</v>
      </c>
      <c r="F480" s="4" t="s">
        <v>25</v>
      </c>
      <c r="G480" s="4" t="s">
        <v>25</v>
      </c>
      <c r="H480" s="4" t="s">
        <v>34</v>
      </c>
      <c r="I480" s="5">
        <v>44348</v>
      </c>
      <c r="J480" s="6">
        <v>290</v>
      </c>
      <c r="K480" s="6">
        <v>290</v>
      </c>
      <c r="L480" s="6">
        <v>12.96</v>
      </c>
      <c r="M480" s="6">
        <v>12.96</v>
      </c>
      <c r="N480" s="6">
        <v>12.96</v>
      </c>
      <c r="O480" s="6">
        <v>12.96</v>
      </c>
      <c r="P480" s="6">
        <v>0</v>
      </c>
      <c r="Q480" s="4" t="s">
        <v>26</v>
      </c>
      <c r="R480" s="4">
        <v>0</v>
      </c>
      <c r="S480" s="6">
        <v>21</v>
      </c>
      <c r="T480" s="6">
        <v>23</v>
      </c>
      <c r="U480" s="6">
        <v>78</v>
      </c>
      <c r="V480" s="6">
        <f>IF(ISERROR(VLOOKUP($S$480,'TAR FIN'!$A$1:$O$116,15,0)),0,VLOOKUP($S$480,'TAR FIN'!$A$1:$O$116,15,0))</f>
        <v>65.599999999999994</v>
      </c>
      <c r="W480" s="6">
        <f>IF(ISERROR(VLOOKUP($T$480,'TAR FIN'!$A$1:$O$116,15,0)),0,VLOOKUP($T$480,'TAR FIN'!$A$1:$O$116,15,0))</f>
        <v>88.66</v>
      </c>
      <c r="X480" s="6">
        <f>IF(ISERROR(VLOOKUP($U$480,'TAR FIN'!$A$1:$O$116,15,0)),0,VLOOKUP($U$480,'TAR FIN'!$A$1:$O$116,15,0))</f>
        <v>496.15</v>
      </c>
      <c r="Y480" s="6">
        <f ca="1">('TUSD BE'!$AM$25+'TUSD BF'!$AM$25+'TUSD CVA'!$AM$25)*1</f>
        <v>75.407822945580492</v>
      </c>
      <c r="Z480" s="6">
        <f ca="1">('TUSD BE'!$AM$27+'TUSD BF'!$AM$27+'TUSD CVA'!$AM$27)*1</f>
        <v>137.4358543126599</v>
      </c>
      <c r="AA480" s="6">
        <f>('TE BE'!$AB$9+'TE BF'!$AB$9+'TE CVA'!$AB$9)*1</f>
        <v>510.04993331215127</v>
      </c>
      <c r="AB480" s="6">
        <f>$K$480*$V$480</f>
        <v>19024</v>
      </c>
      <c r="AC480" s="6">
        <f>$M$480*$W$480</f>
        <v>1149.0336</v>
      </c>
      <c r="AD480" s="6">
        <f>$O$480*$X$480</f>
        <v>6430.1040000000003</v>
      </c>
      <c r="AE480" s="6">
        <f ca="1">$K$480*$Y$480</f>
        <v>21868.268654218344</v>
      </c>
      <c r="AF480" s="6">
        <f ca="1">$M$480*$Z$480</f>
        <v>1781.1686718920723</v>
      </c>
      <c r="AG480" s="6">
        <f>$O$480*$AA$480</f>
        <v>6610.2471357254808</v>
      </c>
    </row>
    <row r="481" spans="1:33" ht="11.25" customHeight="1" x14ac:dyDescent="0.25">
      <c r="A481" s="4" t="s">
        <v>28</v>
      </c>
      <c r="B481" s="4" t="s">
        <v>41</v>
      </c>
      <c r="C481" s="4" t="s">
        <v>40</v>
      </c>
      <c r="D481" s="4" t="s">
        <v>46</v>
      </c>
      <c r="E481" s="4" t="s">
        <v>25</v>
      </c>
      <c r="F481" s="4" t="s">
        <v>25</v>
      </c>
      <c r="G481" s="4" t="s">
        <v>25</v>
      </c>
      <c r="H481" s="4" t="s">
        <v>34</v>
      </c>
      <c r="I481" s="5">
        <v>44348</v>
      </c>
      <c r="J481" s="6">
        <v>0</v>
      </c>
      <c r="K481" s="6">
        <v>0</v>
      </c>
      <c r="L481" s="6">
        <v>-0.54</v>
      </c>
      <c r="M481" s="6">
        <v>-0.54</v>
      </c>
      <c r="N481" s="6">
        <v>-0.54</v>
      </c>
      <c r="O481" s="6">
        <v>-0.54</v>
      </c>
      <c r="P481" s="6">
        <v>0</v>
      </c>
      <c r="Q481" s="4" t="s">
        <v>26</v>
      </c>
      <c r="R481" s="4">
        <v>0</v>
      </c>
      <c r="S481" s="6">
        <v>0</v>
      </c>
      <c r="T481" s="6">
        <v>23</v>
      </c>
      <c r="U481" s="6">
        <v>78</v>
      </c>
      <c r="V481" s="6">
        <f>IF(ISERROR(VLOOKUP($S$481,'TAR FIN'!$A$1:$O$116,15,0)),0,VLOOKUP($S$481,'TAR FIN'!$A$1:$O$116,15,0))</f>
        <v>0</v>
      </c>
      <c r="W481" s="6">
        <f>IF(ISERROR(VLOOKUP($T$481,'TAR FIN'!$A$1:$O$116,15,0)),0,VLOOKUP($T$481,'TAR FIN'!$A$1:$O$116,15,0))</f>
        <v>88.66</v>
      </c>
      <c r="X481" s="6">
        <f>IF(ISERROR(VLOOKUP($U$481,'TAR FIN'!$A$1:$O$116,15,0)),0,VLOOKUP($U$481,'TAR FIN'!$A$1:$O$116,15,0))</f>
        <v>496.15</v>
      </c>
      <c r="Y481" s="6">
        <f ca="1">('TUSD BE'!$AM$25+'TUSD BF'!$AM$25+'TUSD CVA'!$AM$25)*1</f>
        <v>75.407822945580492</v>
      </c>
      <c r="Z481" s="6">
        <f ca="1">('TUSD BE'!$AM$27+'TUSD BF'!$AM$27+'TUSD CVA'!$AM$27)*1</f>
        <v>137.4358543126599</v>
      </c>
      <c r="AA481" s="6">
        <f>('TE BE'!$AB$9+'TE BF'!$AB$9+'TE CVA'!$AB$9)*1</f>
        <v>510.04993331215127</v>
      </c>
      <c r="AB481" s="6">
        <f>$K$481*$V$481</f>
        <v>0</v>
      </c>
      <c r="AC481" s="6">
        <f>$M$481*$W$481</f>
        <v>-47.876400000000004</v>
      </c>
      <c r="AD481" s="6">
        <f>$O$481*$X$481</f>
        <v>-267.92099999999999</v>
      </c>
      <c r="AE481" s="6">
        <f ca="1">$K$481*$Y$481</f>
        <v>0</v>
      </c>
      <c r="AF481" s="6">
        <f ca="1">$M$481*$Z$481</f>
        <v>-74.215361328836352</v>
      </c>
      <c r="AG481" s="6">
        <f>$O$481*$AA$481</f>
        <v>-275.42696398856168</v>
      </c>
    </row>
    <row r="482" spans="1:33" ht="11.25" customHeight="1" x14ac:dyDescent="0.25">
      <c r="A482" s="4" t="s">
        <v>21</v>
      </c>
      <c r="B482" s="4" t="s">
        <v>41</v>
      </c>
      <c r="C482" s="4" t="s">
        <v>40</v>
      </c>
      <c r="D482" s="4" t="s">
        <v>46</v>
      </c>
      <c r="E482" s="4" t="s">
        <v>25</v>
      </c>
      <c r="F482" s="4" t="s">
        <v>25</v>
      </c>
      <c r="G482" s="4" t="s">
        <v>25</v>
      </c>
      <c r="H482" s="4" t="s">
        <v>34</v>
      </c>
      <c r="I482" s="5">
        <v>44378</v>
      </c>
      <c r="J482" s="6">
        <v>190</v>
      </c>
      <c r="K482" s="6">
        <v>190</v>
      </c>
      <c r="L482" s="6">
        <v>5.3929999999999998</v>
      </c>
      <c r="M482" s="6">
        <v>5.3929999999999998</v>
      </c>
      <c r="N482" s="6">
        <v>5.3929999999999998</v>
      </c>
      <c r="O482" s="6">
        <v>5.3929999999999998</v>
      </c>
      <c r="P482" s="6">
        <v>0</v>
      </c>
      <c r="Q482" s="4" t="s">
        <v>26</v>
      </c>
      <c r="R482" s="4">
        <v>0</v>
      </c>
      <c r="S482" s="6">
        <v>21</v>
      </c>
      <c r="T482" s="6">
        <v>23</v>
      </c>
      <c r="U482" s="6">
        <v>78</v>
      </c>
      <c r="V482" s="6">
        <f>IF(ISERROR(VLOOKUP($S$482,'TAR FIN'!$A$1:$O$116,15,0)),0,VLOOKUP($S$482,'TAR FIN'!$A$1:$O$116,15,0))</f>
        <v>65.599999999999994</v>
      </c>
      <c r="W482" s="6">
        <f>IF(ISERROR(VLOOKUP($T$482,'TAR FIN'!$A$1:$O$116,15,0)),0,VLOOKUP($T$482,'TAR FIN'!$A$1:$O$116,15,0))</f>
        <v>88.66</v>
      </c>
      <c r="X482" s="6">
        <f>IF(ISERROR(VLOOKUP($U$482,'TAR FIN'!$A$1:$O$116,15,0)),0,VLOOKUP($U$482,'TAR FIN'!$A$1:$O$116,15,0))</f>
        <v>496.15</v>
      </c>
      <c r="Y482" s="6">
        <f ca="1">('TUSD BE'!$AM$25+'TUSD BF'!$AM$25+'TUSD CVA'!$AM$25)*1</f>
        <v>75.407822945580492</v>
      </c>
      <c r="Z482" s="6">
        <f ca="1">('TUSD BE'!$AM$27+'TUSD BF'!$AM$27+'TUSD CVA'!$AM$27)*1</f>
        <v>137.4358543126599</v>
      </c>
      <c r="AA482" s="6">
        <f>('TE BE'!$AB$9+'TE BF'!$AB$9+'TE CVA'!$AB$9)*1</f>
        <v>510.04993331215127</v>
      </c>
      <c r="AB482" s="6">
        <f>$K$482*$V$482</f>
        <v>12463.999999999998</v>
      </c>
      <c r="AC482" s="6">
        <f>$M$482*$W$482</f>
        <v>478.14337999999998</v>
      </c>
      <c r="AD482" s="6">
        <f>$O$482*$X$482</f>
        <v>2675.73695</v>
      </c>
      <c r="AE482" s="6">
        <f ca="1">$K$482*$Y$482</f>
        <v>14327.486359660294</v>
      </c>
      <c r="AF482" s="6">
        <f ca="1">$M$482*$Z$482</f>
        <v>741.19156230817475</v>
      </c>
      <c r="AG482" s="6">
        <f>$O$482*$AA$482</f>
        <v>2750.6992903524315</v>
      </c>
    </row>
    <row r="483" spans="1:33" ht="11.25" customHeight="1" x14ac:dyDescent="0.25">
      <c r="A483" s="4" t="s">
        <v>28</v>
      </c>
      <c r="B483" s="4" t="s">
        <v>41</v>
      </c>
      <c r="C483" s="4" t="s">
        <v>40</v>
      </c>
      <c r="D483" s="4" t="s">
        <v>46</v>
      </c>
      <c r="E483" s="4" t="s">
        <v>25</v>
      </c>
      <c r="F483" s="4" t="s">
        <v>25</v>
      </c>
      <c r="G483" s="4" t="s">
        <v>25</v>
      </c>
      <c r="H483" s="4" t="s">
        <v>34</v>
      </c>
      <c r="I483" s="5">
        <v>44378</v>
      </c>
      <c r="J483" s="6">
        <v>290</v>
      </c>
      <c r="K483" s="6">
        <v>290</v>
      </c>
      <c r="L483" s="6">
        <v>13.86</v>
      </c>
      <c r="M483" s="6">
        <v>13.86</v>
      </c>
      <c r="N483" s="6">
        <v>13.86</v>
      </c>
      <c r="O483" s="6">
        <v>13.86</v>
      </c>
      <c r="P483" s="6">
        <v>0</v>
      </c>
      <c r="Q483" s="4" t="s">
        <v>26</v>
      </c>
      <c r="R483" s="4">
        <v>0</v>
      </c>
      <c r="S483" s="6">
        <v>21</v>
      </c>
      <c r="T483" s="6">
        <v>23</v>
      </c>
      <c r="U483" s="6">
        <v>78</v>
      </c>
      <c r="V483" s="6">
        <f>IF(ISERROR(VLOOKUP($S$483,'TAR FIN'!$A$1:$O$116,15,0)),0,VLOOKUP($S$483,'TAR FIN'!$A$1:$O$116,15,0))</f>
        <v>65.599999999999994</v>
      </c>
      <c r="W483" s="6">
        <f>IF(ISERROR(VLOOKUP($T$483,'TAR FIN'!$A$1:$O$116,15,0)),0,VLOOKUP($T$483,'TAR FIN'!$A$1:$O$116,15,0))</f>
        <v>88.66</v>
      </c>
      <c r="X483" s="6">
        <f>IF(ISERROR(VLOOKUP($U$483,'TAR FIN'!$A$1:$O$116,15,0)),0,VLOOKUP($U$483,'TAR FIN'!$A$1:$O$116,15,0))</f>
        <v>496.15</v>
      </c>
      <c r="Y483" s="6">
        <f ca="1">('TUSD BE'!$AM$25+'TUSD BF'!$AM$25+'TUSD CVA'!$AM$25)*1</f>
        <v>75.407822945580492</v>
      </c>
      <c r="Z483" s="6">
        <f ca="1">('TUSD BE'!$AM$27+'TUSD BF'!$AM$27+'TUSD CVA'!$AM$27)*1</f>
        <v>137.4358543126599</v>
      </c>
      <c r="AA483" s="6">
        <f>('TE BE'!$AB$9+'TE BF'!$AB$9+'TE CVA'!$AB$9)*1</f>
        <v>510.04993331215127</v>
      </c>
      <c r="AB483" s="6">
        <f>$K$483*$V$483</f>
        <v>19024</v>
      </c>
      <c r="AC483" s="6">
        <f>$M$483*$W$483</f>
        <v>1228.8275999999998</v>
      </c>
      <c r="AD483" s="6">
        <f>$O$483*$X$483</f>
        <v>6876.6389999999992</v>
      </c>
      <c r="AE483" s="6">
        <f ca="1">$K$483*$Y$483</f>
        <v>21868.268654218344</v>
      </c>
      <c r="AF483" s="6">
        <f ca="1">$M$483*$Z$483</f>
        <v>1904.8609407734662</v>
      </c>
      <c r="AG483" s="6">
        <f>$O$483*$AA$483</f>
        <v>7069.2920757064167</v>
      </c>
    </row>
    <row r="484" spans="1:33" ht="11.25" customHeight="1" x14ac:dyDescent="0.25">
      <c r="A484" s="4" t="s">
        <v>21</v>
      </c>
      <c r="B484" s="4" t="s">
        <v>41</v>
      </c>
      <c r="C484" s="4" t="s">
        <v>40</v>
      </c>
      <c r="D484" s="4" t="s">
        <v>46</v>
      </c>
      <c r="E484" s="4" t="s">
        <v>25</v>
      </c>
      <c r="F484" s="4" t="s">
        <v>25</v>
      </c>
      <c r="G484" s="4" t="s">
        <v>25</v>
      </c>
      <c r="H484" s="4" t="s">
        <v>34</v>
      </c>
      <c r="I484" s="5">
        <v>44409</v>
      </c>
      <c r="J484" s="6">
        <v>199</v>
      </c>
      <c r="K484" s="6">
        <v>199</v>
      </c>
      <c r="L484" s="6">
        <v>5.4470000000000001</v>
      </c>
      <c r="M484" s="6">
        <v>5.4470000000000001</v>
      </c>
      <c r="N484" s="6">
        <v>5.4470000000000001</v>
      </c>
      <c r="O484" s="6">
        <v>5.4470000000000001</v>
      </c>
      <c r="P484" s="6">
        <v>0</v>
      </c>
      <c r="Q484" s="4" t="s">
        <v>26</v>
      </c>
      <c r="R484" s="4">
        <v>0</v>
      </c>
      <c r="S484" s="6">
        <v>21</v>
      </c>
      <c r="T484" s="6">
        <v>23</v>
      </c>
      <c r="U484" s="6">
        <v>78</v>
      </c>
      <c r="V484" s="6">
        <f>IF(ISERROR(VLOOKUP($S$484,'TAR FIN'!$A$1:$O$116,15,0)),0,VLOOKUP($S$484,'TAR FIN'!$A$1:$O$116,15,0))</f>
        <v>65.599999999999994</v>
      </c>
      <c r="W484" s="6">
        <f>IF(ISERROR(VLOOKUP($T$484,'TAR FIN'!$A$1:$O$116,15,0)),0,VLOOKUP($T$484,'TAR FIN'!$A$1:$O$116,15,0))</f>
        <v>88.66</v>
      </c>
      <c r="X484" s="6">
        <f>IF(ISERROR(VLOOKUP($U$484,'TAR FIN'!$A$1:$O$116,15,0)),0,VLOOKUP($U$484,'TAR FIN'!$A$1:$O$116,15,0))</f>
        <v>496.15</v>
      </c>
      <c r="Y484" s="6">
        <f ca="1">('TUSD BE'!$AM$25+'TUSD BF'!$AM$25+'TUSD CVA'!$AM$25)*1</f>
        <v>75.407822945580492</v>
      </c>
      <c r="Z484" s="6">
        <f ca="1">('TUSD BE'!$AM$27+'TUSD BF'!$AM$27+'TUSD CVA'!$AM$27)*1</f>
        <v>137.4358543126599</v>
      </c>
      <c r="AA484" s="6">
        <f>('TE BE'!$AB$9+'TE BF'!$AB$9+'TE CVA'!$AB$9)*1</f>
        <v>510.04993331215127</v>
      </c>
      <c r="AB484" s="6">
        <f>$K$484*$V$484</f>
        <v>13054.4</v>
      </c>
      <c r="AC484" s="6">
        <f>$M$484*$W$484</f>
        <v>482.93101999999999</v>
      </c>
      <c r="AD484" s="6">
        <f>$O$484*$X$484</f>
        <v>2702.5290500000001</v>
      </c>
      <c r="AE484" s="6">
        <f ca="1">$K$484*$Y$484</f>
        <v>15006.156766170518</v>
      </c>
      <c r="AF484" s="6">
        <f ca="1">$M$484*$Z$484</f>
        <v>748.61309844105847</v>
      </c>
      <c r="AG484" s="6">
        <f>$O$484*$AA$484</f>
        <v>2778.2419867512881</v>
      </c>
    </row>
    <row r="485" spans="1:33" ht="11.25" customHeight="1" x14ac:dyDescent="0.25">
      <c r="A485" s="4" t="s">
        <v>28</v>
      </c>
      <c r="B485" s="4" t="s">
        <v>41</v>
      </c>
      <c r="C485" s="4" t="s">
        <v>40</v>
      </c>
      <c r="D485" s="4" t="s">
        <v>46</v>
      </c>
      <c r="E485" s="4" t="s">
        <v>25</v>
      </c>
      <c r="F485" s="4" t="s">
        <v>25</v>
      </c>
      <c r="G485" s="4" t="s">
        <v>25</v>
      </c>
      <c r="H485" s="4" t="s">
        <v>34</v>
      </c>
      <c r="I485" s="5">
        <v>44409</v>
      </c>
      <c r="J485" s="6">
        <v>290</v>
      </c>
      <c r="K485" s="6">
        <v>290</v>
      </c>
      <c r="L485" s="6">
        <v>13.86</v>
      </c>
      <c r="M485" s="6">
        <v>13.86</v>
      </c>
      <c r="N485" s="6">
        <v>13.86</v>
      </c>
      <c r="O485" s="6">
        <v>13.86</v>
      </c>
      <c r="P485" s="6">
        <v>0</v>
      </c>
      <c r="Q485" s="4" t="s">
        <v>26</v>
      </c>
      <c r="R485" s="4">
        <v>0</v>
      </c>
      <c r="S485" s="6">
        <v>21</v>
      </c>
      <c r="T485" s="6">
        <v>23</v>
      </c>
      <c r="U485" s="6">
        <v>78</v>
      </c>
      <c r="V485" s="6">
        <f>IF(ISERROR(VLOOKUP($S$485,'TAR FIN'!$A$1:$O$116,15,0)),0,VLOOKUP($S$485,'TAR FIN'!$A$1:$O$116,15,0))</f>
        <v>65.599999999999994</v>
      </c>
      <c r="W485" s="6">
        <f>IF(ISERROR(VLOOKUP($T$485,'TAR FIN'!$A$1:$O$116,15,0)),0,VLOOKUP($T$485,'TAR FIN'!$A$1:$O$116,15,0))</f>
        <v>88.66</v>
      </c>
      <c r="X485" s="6">
        <f>IF(ISERROR(VLOOKUP($U$485,'TAR FIN'!$A$1:$O$116,15,0)),0,VLOOKUP($U$485,'TAR FIN'!$A$1:$O$116,15,0))</f>
        <v>496.15</v>
      </c>
      <c r="Y485" s="6">
        <f ca="1">('TUSD BE'!$AM$25+'TUSD BF'!$AM$25+'TUSD CVA'!$AM$25)*1</f>
        <v>75.407822945580492</v>
      </c>
      <c r="Z485" s="6">
        <f ca="1">('TUSD BE'!$AM$27+'TUSD BF'!$AM$27+'TUSD CVA'!$AM$27)*1</f>
        <v>137.4358543126599</v>
      </c>
      <c r="AA485" s="6">
        <f>('TE BE'!$AB$9+'TE BF'!$AB$9+'TE CVA'!$AB$9)*1</f>
        <v>510.04993331215127</v>
      </c>
      <c r="AB485" s="6">
        <f>$K$485*$V$485</f>
        <v>19024</v>
      </c>
      <c r="AC485" s="6">
        <f>$M$485*$W$485</f>
        <v>1228.8275999999998</v>
      </c>
      <c r="AD485" s="6">
        <f>$O$485*$X$485</f>
        <v>6876.6389999999992</v>
      </c>
      <c r="AE485" s="6">
        <f ca="1">$K$485*$Y$485</f>
        <v>21868.268654218344</v>
      </c>
      <c r="AF485" s="6">
        <f ca="1">$M$485*$Z$485</f>
        <v>1904.8609407734662</v>
      </c>
      <c r="AG485" s="6">
        <f>$O$485*$AA$485</f>
        <v>7069.2920757064167</v>
      </c>
    </row>
    <row r="486" spans="1:33" ht="11.25" customHeight="1" x14ac:dyDescent="0.25">
      <c r="A486" s="4" t="s">
        <v>21</v>
      </c>
      <c r="B486" s="4" t="s">
        <v>41</v>
      </c>
      <c r="C486" s="4" t="s">
        <v>40</v>
      </c>
      <c r="D486" s="4" t="s">
        <v>46</v>
      </c>
      <c r="E486" s="4" t="s">
        <v>25</v>
      </c>
      <c r="F486" s="4" t="s">
        <v>25</v>
      </c>
      <c r="G486" s="4" t="s">
        <v>25</v>
      </c>
      <c r="H486" s="4" t="s">
        <v>34</v>
      </c>
      <c r="I486" s="5">
        <v>44440</v>
      </c>
      <c r="J486" s="6">
        <v>192</v>
      </c>
      <c r="K486" s="6">
        <v>192</v>
      </c>
      <c r="L486" s="6">
        <v>5.3630000000000004</v>
      </c>
      <c r="M486" s="6">
        <v>5.3630000000000004</v>
      </c>
      <c r="N486" s="6">
        <v>5.3630000000000004</v>
      </c>
      <c r="O486" s="6">
        <v>5.3630000000000004</v>
      </c>
      <c r="P486" s="6">
        <v>0</v>
      </c>
      <c r="Q486" s="4" t="s">
        <v>26</v>
      </c>
      <c r="R486" s="4">
        <v>0</v>
      </c>
      <c r="S486" s="6">
        <v>21</v>
      </c>
      <c r="T486" s="6">
        <v>23</v>
      </c>
      <c r="U486" s="6">
        <v>78</v>
      </c>
      <c r="V486" s="6">
        <f>IF(ISERROR(VLOOKUP($S$486,'TAR FIN'!$A$1:$O$116,15,0)),0,VLOOKUP($S$486,'TAR FIN'!$A$1:$O$116,15,0))</f>
        <v>65.599999999999994</v>
      </c>
      <c r="W486" s="6">
        <f>IF(ISERROR(VLOOKUP($T$486,'TAR FIN'!$A$1:$O$116,15,0)),0,VLOOKUP($T$486,'TAR FIN'!$A$1:$O$116,15,0))</f>
        <v>88.66</v>
      </c>
      <c r="X486" s="6">
        <f>IF(ISERROR(VLOOKUP($U$486,'TAR FIN'!$A$1:$O$116,15,0)),0,VLOOKUP($U$486,'TAR FIN'!$A$1:$O$116,15,0))</f>
        <v>496.15</v>
      </c>
      <c r="Y486" s="6">
        <f ca="1">('TUSD BE'!$AM$25+'TUSD BF'!$AM$25+'TUSD CVA'!$AM$25)*1</f>
        <v>75.407822945580492</v>
      </c>
      <c r="Z486" s="6">
        <f ca="1">('TUSD BE'!$AM$27+'TUSD BF'!$AM$27+'TUSD CVA'!$AM$27)*1</f>
        <v>137.4358543126599</v>
      </c>
      <c r="AA486" s="6">
        <f>('TE BE'!$AB$9+'TE BF'!$AB$9+'TE CVA'!$AB$9)*1</f>
        <v>510.04993331215127</v>
      </c>
      <c r="AB486" s="6">
        <f>$K$486*$V$486</f>
        <v>12595.199999999999</v>
      </c>
      <c r="AC486" s="6">
        <f>$M$486*$W$486</f>
        <v>475.48358000000002</v>
      </c>
      <c r="AD486" s="6">
        <f>$O$486*$X$486</f>
        <v>2660.8524500000003</v>
      </c>
      <c r="AE486" s="6">
        <f ca="1">$K$486*$Y$486</f>
        <v>14478.302005551453</v>
      </c>
      <c r="AF486" s="6">
        <f ca="1">$M$486*$Z$486</f>
        <v>737.06848667879513</v>
      </c>
      <c r="AG486" s="6">
        <f>$O$486*$AA$486</f>
        <v>2735.3977923530674</v>
      </c>
    </row>
    <row r="487" spans="1:33" ht="11.25" customHeight="1" x14ac:dyDescent="0.25">
      <c r="A487" s="4" t="s">
        <v>28</v>
      </c>
      <c r="B487" s="4" t="s">
        <v>41</v>
      </c>
      <c r="C487" s="4" t="s">
        <v>40</v>
      </c>
      <c r="D487" s="4" t="s">
        <v>46</v>
      </c>
      <c r="E487" s="4" t="s">
        <v>25</v>
      </c>
      <c r="F487" s="4" t="s">
        <v>25</v>
      </c>
      <c r="G487" s="4" t="s">
        <v>25</v>
      </c>
      <c r="H487" s="4" t="s">
        <v>34</v>
      </c>
      <c r="I487" s="5">
        <v>44440</v>
      </c>
      <c r="J487" s="6">
        <v>290</v>
      </c>
      <c r="K487" s="6">
        <v>290</v>
      </c>
      <c r="L487" s="6">
        <v>13.14</v>
      </c>
      <c r="M487" s="6">
        <v>13.14</v>
      </c>
      <c r="N487" s="6">
        <v>13.14</v>
      </c>
      <c r="O487" s="6">
        <v>13.14</v>
      </c>
      <c r="P487" s="6">
        <v>0</v>
      </c>
      <c r="Q487" s="4" t="s">
        <v>26</v>
      </c>
      <c r="R487" s="4">
        <v>0</v>
      </c>
      <c r="S487" s="6">
        <v>21</v>
      </c>
      <c r="T487" s="6">
        <v>23</v>
      </c>
      <c r="U487" s="6">
        <v>78</v>
      </c>
      <c r="V487" s="6">
        <f>IF(ISERROR(VLOOKUP($S$487,'TAR FIN'!$A$1:$O$116,15,0)),0,VLOOKUP($S$487,'TAR FIN'!$A$1:$O$116,15,0))</f>
        <v>65.599999999999994</v>
      </c>
      <c r="W487" s="6">
        <f>IF(ISERROR(VLOOKUP($T$487,'TAR FIN'!$A$1:$O$116,15,0)),0,VLOOKUP($T$487,'TAR FIN'!$A$1:$O$116,15,0))</f>
        <v>88.66</v>
      </c>
      <c r="X487" s="6">
        <f>IF(ISERROR(VLOOKUP($U$487,'TAR FIN'!$A$1:$O$116,15,0)),0,VLOOKUP($U$487,'TAR FIN'!$A$1:$O$116,15,0))</f>
        <v>496.15</v>
      </c>
      <c r="Y487" s="6">
        <f ca="1">('TUSD BE'!$AM$25+'TUSD BF'!$AM$25+'TUSD CVA'!$AM$25)*1</f>
        <v>75.407822945580492</v>
      </c>
      <c r="Z487" s="6">
        <f ca="1">('TUSD BE'!$AM$27+'TUSD BF'!$AM$27+'TUSD CVA'!$AM$27)*1</f>
        <v>137.4358543126599</v>
      </c>
      <c r="AA487" s="6">
        <f>('TE BE'!$AB$9+'TE BF'!$AB$9+'TE CVA'!$AB$9)*1</f>
        <v>510.04993331215127</v>
      </c>
      <c r="AB487" s="6">
        <f>$K$487*$V$487</f>
        <v>19024</v>
      </c>
      <c r="AC487" s="6">
        <f>$M$487*$W$487</f>
        <v>1164.9924000000001</v>
      </c>
      <c r="AD487" s="6">
        <f>$O$487*$X$487</f>
        <v>6519.4110000000001</v>
      </c>
      <c r="AE487" s="6">
        <f ca="1">$K$487*$Y$487</f>
        <v>21868.268654218344</v>
      </c>
      <c r="AF487" s="6">
        <f ca="1">$M$487*$Z$487</f>
        <v>1805.9071256683512</v>
      </c>
      <c r="AG487" s="6">
        <f>$O$487*$AA$487</f>
        <v>6702.056123721668</v>
      </c>
    </row>
    <row r="488" spans="1:33" ht="11.25" customHeight="1" x14ac:dyDescent="0.25">
      <c r="A488" s="4" t="s">
        <v>21</v>
      </c>
      <c r="B488" s="4" t="s">
        <v>41</v>
      </c>
      <c r="C488" s="4" t="s">
        <v>40</v>
      </c>
      <c r="D488" s="4" t="s">
        <v>46</v>
      </c>
      <c r="E488" s="4" t="s">
        <v>25</v>
      </c>
      <c r="F488" s="4" t="s">
        <v>25</v>
      </c>
      <c r="G488" s="4" t="s">
        <v>25</v>
      </c>
      <c r="H488" s="4" t="s">
        <v>34</v>
      </c>
      <c r="I488" s="5">
        <v>44470</v>
      </c>
      <c r="J488" s="6">
        <v>187</v>
      </c>
      <c r="K488" s="6">
        <v>187</v>
      </c>
      <c r="L488" s="6">
        <v>4.8689999999999998</v>
      </c>
      <c r="M488" s="6">
        <v>4.8689999999999998</v>
      </c>
      <c r="N488" s="6">
        <v>4.8689999999999998</v>
      </c>
      <c r="O488" s="6">
        <v>4.8689999999999998</v>
      </c>
      <c r="P488" s="6">
        <v>0</v>
      </c>
      <c r="Q488" s="4" t="s">
        <v>26</v>
      </c>
      <c r="R488" s="4">
        <v>0</v>
      </c>
      <c r="S488" s="6">
        <v>21</v>
      </c>
      <c r="T488" s="6">
        <v>23</v>
      </c>
      <c r="U488" s="6">
        <v>78</v>
      </c>
      <c r="V488" s="6">
        <f>IF(ISERROR(VLOOKUP($S$488,'TAR FIN'!$A$1:$O$116,15,0)),0,VLOOKUP($S$488,'TAR FIN'!$A$1:$O$116,15,0))</f>
        <v>65.599999999999994</v>
      </c>
      <c r="W488" s="6">
        <f>IF(ISERROR(VLOOKUP($T$488,'TAR FIN'!$A$1:$O$116,15,0)),0,VLOOKUP($T$488,'TAR FIN'!$A$1:$O$116,15,0))</f>
        <v>88.66</v>
      </c>
      <c r="X488" s="6">
        <f>IF(ISERROR(VLOOKUP($U$488,'TAR FIN'!$A$1:$O$116,15,0)),0,VLOOKUP($U$488,'TAR FIN'!$A$1:$O$116,15,0))</f>
        <v>496.15</v>
      </c>
      <c r="Y488" s="6">
        <f ca="1">('TUSD BE'!$AM$25+'TUSD BF'!$AM$25+'TUSD CVA'!$AM$25)*1</f>
        <v>75.407822945580492</v>
      </c>
      <c r="Z488" s="6">
        <f ca="1">('TUSD BE'!$AM$27+'TUSD BF'!$AM$27+'TUSD CVA'!$AM$27)*1</f>
        <v>137.4358543126599</v>
      </c>
      <c r="AA488" s="6">
        <f>('TE BE'!$AB$9+'TE BF'!$AB$9+'TE CVA'!$AB$9)*1</f>
        <v>510.04993331215127</v>
      </c>
      <c r="AB488" s="6">
        <f>$K$488*$V$488</f>
        <v>12267.199999999999</v>
      </c>
      <c r="AC488" s="6">
        <f>$M$488*$W$488</f>
        <v>431.68553999999995</v>
      </c>
      <c r="AD488" s="6">
        <f>$O$488*$X$488</f>
        <v>2415.7543499999997</v>
      </c>
      <c r="AE488" s="6">
        <f ca="1">$K$488*$Y$488</f>
        <v>14101.262890823551</v>
      </c>
      <c r="AF488" s="6">
        <f ca="1">$M$488*$Z$488</f>
        <v>669.175174648341</v>
      </c>
      <c r="AG488" s="6">
        <f>$O$488*$AA$488</f>
        <v>2483.4331252968645</v>
      </c>
    </row>
    <row r="489" spans="1:33" ht="11.25" customHeight="1" x14ac:dyDescent="0.25">
      <c r="A489" s="4" t="s">
        <v>28</v>
      </c>
      <c r="B489" s="4" t="s">
        <v>41</v>
      </c>
      <c r="C489" s="4" t="s">
        <v>40</v>
      </c>
      <c r="D489" s="4" t="s">
        <v>46</v>
      </c>
      <c r="E489" s="4" t="s">
        <v>25</v>
      </c>
      <c r="F489" s="4" t="s">
        <v>25</v>
      </c>
      <c r="G489" s="4" t="s">
        <v>25</v>
      </c>
      <c r="H489" s="4" t="s">
        <v>34</v>
      </c>
      <c r="I489" s="5">
        <v>44470</v>
      </c>
      <c r="J489" s="6">
        <v>290</v>
      </c>
      <c r="K489" s="6">
        <v>290</v>
      </c>
      <c r="L489" s="6">
        <v>13.5</v>
      </c>
      <c r="M489" s="6">
        <v>13.5</v>
      </c>
      <c r="N489" s="6">
        <v>13.5</v>
      </c>
      <c r="O489" s="6">
        <v>13.5</v>
      </c>
      <c r="P489" s="6">
        <v>0</v>
      </c>
      <c r="Q489" s="4" t="s">
        <v>26</v>
      </c>
      <c r="R489" s="4">
        <v>0</v>
      </c>
      <c r="S489" s="6">
        <v>21</v>
      </c>
      <c r="T489" s="6">
        <v>23</v>
      </c>
      <c r="U489" s="6">
        <v>78</v>
      </c>
      <c r="V489" s="6">
        <f>IF(ISERROR(VLOOKUP($S$489,'TAR FIN'!$A$1:$O$116,15,0)),0,VLOOKUP($S$489,'TAR FIN'!$A$1:$O$116,15,0))</f>
        <v>65.599999999999994</v>
      </c>
      <c r="W489" s="6">
        <f>IF(ISERROR(VLOOKUP($T$489,'TAR FIN'!$A$1:$O$116,15,0)),0,VLOOKUP($T$489,'TAR FIN'!$A$1:$O$116,15,0))</f>
        <v>88.66</v>
      </c>
      <c r="X489" s="6">
        <f>IF(ISERROR(VLOOKUP($U$489,'TAR FIN'!$A$1:$O$116,15,0)),0,VLOOKUP($U$489,'TAR FIN'!$A$1:$O$116,15,0))</f>
        <v>496.15</v>
      </c>
      <c r="Y489" s="6">
        <f ca="1">('TUSD BE'!$AM$25+'TUSD BF'!$AM$25+'TUSD CVA'!$AM$25)*1</f>
        <v>75.407822945580492</v>
      </c>
      <c r="Z489" s="6">
        <f ca="1">('TUSD BE'!$AM$27+'TUSD BF'!$AM$27+'TUSD CVA'!$AM$27)*1</f>
        <v>137.4358543126599</v>
      </c>
      <c r="AA489" s="6">
        <f>('TE BE'!$AB$9+'TE BF'!$AB$9+'TE CVA'!$AB$9)*1</f>
        <v>510.04993331215127</v>
      </c>
      <c r="AB489" s="6">
        <f>$K$489*$V$489</f>
        <v>19024</v>
      </c>
      <c r="AC489" s="6">
        <f>$M$489*$W$489</f>
        <v>1196.9099999999999</v>
      </c>
      <c r="AD489" s="6">
        <f>$O$489*$X$489</f>
        <v>6698.0249999999996</v>
      </c>
      <c r="AE489" s="6">
        <f ca="1">$K$489*$Y$489</f>
        <v>21868.268654218344</v>
      </c>
      <c r="AF489" s="6">
        <f ca="1">$M$489*$Z$489</f>
        <v>1855.3840332209086</v>
      </c>
      <c r="AG489" s="6">
        <f>$O$489*$AA$489</f>
        <v>6885.6740997140423</v>
      </c>
    </row>
    <row r="490" spans="1:33" ht="11.25" customHeight="1" x14ac:dyDescent="0.25">
      <c r="A490" s="4" t="s">
        <v>21</v>
      </c>
      <c r="B490" s="4" t="s">
        <v>41</v>
      </c>
      <c r="C490" s="4" t="s">
        <v>40</v>
      </c>
      <c r="D490" s="4" t="s">
        <v>46</v>
      </c>
      <c r="E490" s="4" t="s">
        <v>25</v>
      </c>
      <c r="F490" s="4" t="s">
        <v>25</v>
      </c>
      <c r="G490" s="4" t="s">
        <v>25</v>
      </c>
      <c r="H490" s="4" t="s">
        <v>34</v>
      </c>
      <c r="I490" s="5">
        <v>44501</v>
      </c>
      <c r="J490" s="6">
        <v>193</v>
      </c>
      <c r="K490" s="6">
        <v>193</v>
      </c>
      <c r="L490" s="6">
        <v>4.9379999999999997</v>
      </c>
      <c r="M490" s="6">
        <v>4.9379999999999997</v>
      </c>
      <c r="N490" s="6">
        <v>4.9379999999999997</v>
      </c>
      <c r="O490" s="6">
        <v>4.9379999999999997</v>
      </c>
      <c r="P490" s="6">
        <v>0</v>
      </c>
      <c r="Q490" s="4" t="s">
        <v>26</v>
      </c>
      <c r="R490" s="4">
        <v>0</v>
      </c>
      <c r="S490" s="6">
        <v>21</v>
      </c>
      <c r="T490" s="6">
        <v>23</v>
      </c>
      <c r="U490" s="6">
        <v>78</v>
      </c>
      <c r="V490" s="6">
        <f>IF(ISERROR(VLOOKUP($S$490,'TAR FIN'!$A$1:$O$116,15,0)),0,VLOOKUP($S$490,'TAR FIN'!$A$1:$O$116,15,0))</f>
        <v>65.599999999999994</v>
      </c>
      <c r="W490" s="6">
        <f>IF(ISERROR(VLOOKUP($T$490,'TAR FIN'!$A$1:$O$116,15,0)),0,VLOOKUP($T$490,'TAR FIN'!$A$1:$O$116,15,0))</f>
        <v>88.66</v>
      </c>
      <c r="X490" s="6">
        <f>IF(ISERROR(VLOOKUP($U$490,'TAR FIN'!$A$1:$O$116,15,0)),0,VLOOKUP($U$490,'TAR FIN'!$A$1:$O$116,15,0))</f>
        <v>496.15</v>
      </c>
      <c r="Y490" s="6">
        <f ca="1">('TUSD BE'!$AM$25+'TUSD BF'!$AM$25+'TUSD CVA'!$AM$25)*1</f>
        <v>75.407822945580492</v>
      </c>
      <c r="Z490" s="6">
        <f ca="1">('TUSD BE'!$AM$27+'TUSD BF'!$AM$27+'TUSD CVA'!$AM$27)*1</f>
        <v>137.4358543126599</v>
      </c>
      <c r="AA490" s="6">
        <f>('TE BE'!$AB$9+'TE BF'!$AB$9+'TE CVA'!$AB$9)*1</f>
        <v>510.04993331215127</v>
      </c>
      <c r="AB490" s="6">
        <f>$K$490*$V$490</f>
        <v>12660.8</v>
      </c>
      <c r="AC490" s="6">
        <f>$M$490*$W$490</f>
        <v>437.80307999999997</v>
      </c>
      <c r="AD490" s="6">
        <f>$O$490*$X$490</f>
        <v>2449.9886999999999</v>
      </c>
      <c r="AE490" s="6">
        <f ca="1">$K$490*$Y$490</f>
        <v>14553.709828497034</v>
      </c>
      <c r="AF490" s="6">
        <f ca="1">$M$490*$Z$490</f>
        <v>678.65824859591453</v>
      </c>
      <c r="AG490" s="6">
        <f>$O$490*$AA$490</f>
        <v>2518.6265706954027</v>
      </c>
    </row>
    <row r="491" spans="1:33" ht="11.25" customHeight="1" x14ac:dyDescent="0.25">
      <c r="A491" s="4" t="s">
        <v>28</v>
      </c>
      <c r="B491" s="4" t="s">
        <v>41</v>
      </c>
      <c r="C491" s="4" t="s">
        <v>40</v>
      </c>
      <c r="D491" s="4" t="s">
        <v>46</v>
      </c>
      <c r="E491" s="4" t="s">
        <v>25</v>
      </c>
      <c r="F491" s="4" t="s">
        <v>25</v>
      </c>
      <c r="G491" s="4" t="s">
        <v>25</v>
      </c>
      <c r="H491" s="4" t="s">
        <v>34</v>
      </c>
      <c r="I491" s="5">
        <v>44501</v>
      </c>
      <c r="J491" s="6">
        <v>290</v>
      </c>
      <c r="K491" s="6">
        <v>290</v>
      </c>
      <c r="L491" s="6">
        <v>13.32</v>
      </c>
      <c r="M491" s="6">
        <v>13.32</v>
      </c>
      <c r="N491" s="6">
        <v>13.32</v>
      </c>
      <c r="O491" s="6">
        <v>13.32</v>
      </c>
      <c r="P491" s="6">
        <v>0</v>
      </c>
      <c r="Q491" s="4" t="s">
        <v>26</v>
      </c>
      <c r="R491" s="4">
        <v>0</v>
      </c>
      <c r="S491" s="6">
        <v>21</v>
      </c>
      <c r="T491" s="6">
        <v>23</v>
      </c>
      <c r="U491" s="6">
        <v>78</v>
      </c>
      <c r="V491" s="6">
        <f>IF(ISERROR(VLOOKUP($S$491,'TAR FIN'!$A$1:$O$116,15,0)),0,VLOOKUP($S$491,'TAR FIN'!$A$1:$O$116,15,0))</f>
        <v>65.599999999999994</v>
      </c>
      <c r="W491" s="6">
        <f>IF(ISERROR(VLOOKUP($T$491,'TAR FIN'!$A$1:$O$116,15,0)),0,VLOOKUP($T$491,'TAR FIN'!$A$1:$O$116,15,0))</f>
        <v>88.66</v>
      </c>
      <c r="X491" s="6">
        <f>IF(ISERROR(VLOOKUP($U$491,'TAR FIN'!$A$1:$O$116,15,0)),0,VLOOKUP($U$491,'TAR FIN'!$A$1:$O$116,15,0))</f>
        <v>496.15</v>
      </c>
      <c r="Y491" s="6">
        <f ca="1">('TUSD BE'!$AM$25+'TUSD BF'!$AM$25+'TUSD CVA'!$AM$25)*1</f>
        <v>75.407822945580492</v>
      </c>
      <c r="Z491" s="6">
        <f ca="1">('TUSD BE'!$AM$27+'TUSD BF'!$AM$27+'TUSD CVA'!$AM$27)*1</f>
        <v>137.4358543126599</v>
      </c>
      <c r="AA491" s="6">
        <f>('TE BE'!$AB$9+'TE BF'!$AB$9+'TE CVA'!$AB$9)*1</f>
        <v>510.04993331215127</v>
      </c>
      <c r="AB491" s="6">
        <f>$K$491*$V$491</f>
        <v>19024</v>
      </c>
      <c r="AC491" s="6">
        <f>$M$491*$W$491</f>
        <v>1180.9512</v>
      </c>
      <c r="AD491" s="6">
        <f>$O$491*$X$491</f>
        <v>6608.7179999999998</v>
      </c>
      <c r="AE491" s="6">
        <f ca="1">$K$491*$Y$491</f>
        <v>21868.268654218344</v>
      </c>
      <c r="AF491" s="6">
        <f ca="1">$M$491*$Z$491</f>
        <v>1830.6455794446299</v>
      </c>
      <c r="AG491" s="6">
        <f>$O$491*$AA$491</f>
        <v>6793.8651117178551</v>
      </c>
    </row>
    <row r="492" spans="1:33" ht="11.25" customHeight="1" x14ac:dyDescent="0.25">
      <c r="A492" s="4" t="s">
        <v>21</v>
      </c>
      <c r="B492" s="4" t="s">
        <v>41</v>
      </c>
      <c r="C492" s="4" t="s">
        <v>40</v>
      </c>
      <c r="D492" s="4" t="s">
        <v>46</v>
      </c>
      <c r="E492" s="4" t="s">
        <v>25</v>
      </c>
      <c r="F492" s="4" t="s">
        <v>25</v>
      </c>
      <c r="G492" s="4" t="s">
        <v>25</v>
      </c>
      <c r="H492" s="4" t="s">
        <v>34</v>
      </c>
      <c r="I492" s="5">
        <v>44531</v>
      </c>
      <c r="J492" s="6">
        <v>191</v>
      </c>
      <c r="K492" s="6">
        <v>191</v>
      </c>
      <c r="L492" s="6">
        <v>6.3630000000000004</v>
      </c>
      <c r="M492" s="6">
        <v>6.3630000000000004</v>
      </c>
      <c r="N492" s="6">
        <v>6.3630000000000004</v>
      </c>
      <c r="O492" s="6">
        <v>6.3630000000000004</v>
      </c>
      <c r="P492" s="6">
        <v>0</v>
      </c>
      <c r="Q492" s="4" t="s">
        <v>26</v>
      </c>
      <c r="R492" s="4">
        <v>0</v>
      </c>
      <c r="S492" s="6">
        <v>21</v>
      </c>
      <c r="T492" s="6">
        <v>23</v>
      </c>
      <c r="U492" s="6">
        <v>78</v>
      </c>
      <c r="V492" s="6">
        <f>IF(ISERROR(VLOOKUP($S$492,'TAR FIN'!$A$1:$O$116,15,0)),0,VLOOKUP($S$492,'TAR FIN'!$A$1:$O$116,15,0))</f>
        <v>65.599999999999994</v>
      </c>
      <c r="W492" s="6">
        <f>IF(ISERROR(VLOOKUP($T$492,'TAR FIN'!$A$1:$O$116,15,0)),0,VLOOKUP($T$492,'TAR FIN'!$A$1:$O$116,15,0))</f>
        <v>88.66</v>
      </c>
      <c r="X492" s="6">
        <f>IF(ISERROR(VLOOKUP($U$492,'TAR FIN'!$A$1:$O$116,15,0)),0,VLOOKUP($U$492,'TAR FIN'!$A$1:$O$116,15,0))</f>
        <v>496.15</v>
      </c>
      <c r="Y492" s="6">
        <f ca="1">('TUSD BE'!$AM$25+'TUSD BF'!$AM$25+'TUSD CVA'!$AM$25)*1</f>
        <v>75.407822945580492</v>
      </c>
      <c r="Z492" s="6">
        <f ca="1">('TUSD BE'!$AM$27+'TUSD BF'!$AM$27+'TUSD CVA'!$AM$27)*1</f>
        <v>137.4358543126599</v>
      </c>
      <c r="AA492" s="6">
        <f>('TE BE'!$AB$9+'TE BF'!$AB$9+'TE CVA'!$AB$9)*1</f>
        <v>510.04993331215127</v>
      </c>
      <c r="AB492" s="6">
        <f>$K$492*$V$492</f>
        <v>12529.599999999999</v>
      </c>
      <c r="AC492" s="6">
        <f>$M$492*$W$492</f>
        <v>564.14358000000004</v>
      </c>
      <c r="AD492" s="6">
        <f>$O$492*$X$492</f>
        <v>3157.00245</v>
      </c>
      <c r="AE492" s="6">
        <f ca="1">$K$492*$Y$492</f>
        <v>14402.894182605874</v>
      </c>
      <c r="AF492" s="6">
        <f ca="1">$M$492*$Z$492</f>
        <v>874.50434099145502</v>
      </c>
      <c r="AG492" s="6">
        <f>$O$492*$AA$492</f>
        <v>3245.4477256652185</v>
      </c>
    </row>
    <row r="493" spans="1:33" ht="11.25" customHeight="1" x14ac:dyDescent="0.25">
      <c r="A493" s="4" t="s">
        <v>28</v>
      </c>
      <c r="B493" s="4" t="s">
        <v>41</v>
      </c>
      <c r="C493" s="4" t="s">
        <v>40</v>
      </c>
      <c r="D493" s="4" t="s">
        <v>46</v>
      </c>
      <c r="E493" s="4" t="s">
        <v>25</v>
      </c>
      <c r="F493" s="4" t="s">
        <v>25</v>
      </c>
      <c r="G493" s="4" t="s">
        <v>25</v>
      </c>
      <c r="H493" s="4" t="s">
        <v>34</v>
      </c>
      <c r="I493" s="5">
        <v>44531</v>
      </c>
      <c r="J493" s="6">
        <v>290</v>
      </c>
      <c r="K493" s="6">
        <v>290</v>
      </c>
      <c r="L493" s="6">
        <v>15.12</v>
      </c>
      <c r="M493" s="6">
        <v>15.12</v>
      </c>
      <c r="N493" s="6">
        <v>15.12</v>
      </c>
      <c r="O493" s="6">
        <v>15.12</v>
      </c>
      <c r="P493" s="6">
        <v>0</v>
      </c>
      <c r="Q493" s="4" t="s">
        <v>26</v>
      </c>
      <c r="R493" s="4">
        <v>0</v>
      </c>
      <c r="S493" s="6">
        <v>21</v>
      </c>
      <c r="T493" s="6">
        <v>23</v>
      </c>
      <c r="U493" s="6">
        <v>78</v>
      </c>
      <c r="V493" s="6">
        <f>IF(ISERROR(VLOOKUP($S$493,'TAR FIN'!$A$1:$O$116,15,0)),0,VLOOKUP($S$493,'TAR FIN'!$A$1:$O$116,15,0))</f>
        <v>65.599999999999994</v>
      </c>
      <c r="W493" s="6">
        <f>IF(ISERROR(VLOOKUP($T$493,'TAR FIN'!$A$1:$O$116,15,0)),0,VLOOKUP($T$493,'TAR FIN'!$A$1:$O$116,15,0))</f>
        <v>88.66</v>
      </c>
      <c r="X493" s="6">
        <f>IF(ISERROR(VLOOKUP($U$493,'TAR FIN'!$A$1:$O$116,15,0)),0,VLOOKUP($U$493,'TAR FIN'!$A$1:$O$116,15,0))</f>
        <v>496.15</v>
      </c>
      <c r="Y493" s="6">
        <f ca="1">('TUSD BE'!$AM$25+'TUSD BF'!$AM$25+'TUSD CVA'!$AM$25)*1</f>
        <v>75.407822945580492</v>
      </c>
      <c r="Z493" s="6">
        <f ca="1">('TUSD BE'!$AM$27+'TUSD BF'!$AM$27+'TUSD CVA'!$AM$27)*1</f>
        <v>137.4358543126599</v>
      </c>
      <c r="AA493" s="6">
        <f>('TE BE'!$AB$9+'TE BF'!$AB$9+'TE CVA'!$AB$9)*1</f>
        <v>510.04993331215127</v>
      </c>
      <c r="AB493" s="6">
        <f>$K$493*$V$493</f>
        <v>19024</v>
      </c>
      <c r="AC493" s="6">
        <f>$M$493*$W$493</f>
        <v>1340.5391999999999</v>
      </c>
      <c r="AD493" s="6">
        <f>$O$493*$X$493</f>
        <v>7501.7879999999996</v>
      </c>
      <c r="AE493" s="6">
        <f ca="1">$K$493*$Y$493</f>
        <v>21868.268654218344</v>
      </c>
      <c r="AF493" s="6">
        <f ca="1">$M$493*$Z$493</f>
        <v>2078.0301172074178</v>
      </c>
      <c r="AG493" s="6">
        <f>$O$493*$AA$493</f>
        <v>7711.9549916797268</v>
      </c>
    </row>
    <row r="494" spans="1:33" ht="11.25" customHeight="1" x14ac:dyDescent="0.25">
      <c r="A494" s="4" t="s">
        <v>21</v>
      </c>
      <c r="B494" s="4" t="s">
        <v>41</v>
      </c>
      <c r="C494" s="4" t="s">
        <v>40</v>
      </c>
      <c r="D494" s="4" t="s">
        <v>46</v>
      </c>
      <c r="E494" s="4" t="s">
        <v>25</v>
      </c>
      <c r="F494" s="4" t="s">
        <v>25</v>
      </c>
      <c r="G494" s="4" t="s">
        <v>25</v>
      </c>
      <c r="H494" s="4" t="s">
        <v>34</v>
      </c>
      <c r="I494" s="5">
        <v>44562</v>
      </c>
      <c r="J494" s="6">
        <v>188</v>
      </c>
      <c r="K494" s="6">
        <v>188</v>
      </c>
      <c r="L494" s="6">
        <v>5.4550000000000001</v>
      </c>
      <c r="M494" s="6">
        <v>5.4550000000000001</v>
      </c>
      <c r="N494" s="6">
        <v>5.4550000000000001</v>
      </c>
      <c r="O494" s="6">
        <v>5.4550000000000001</v>
      </c>
      <c r="P494" s="6">
        <v>0</v>
      </c>
      <c r="Q494" s="4" t="s">
        <v>26</v>
      </c>
      <c r="R494" s="4">
        <v>0</v>
      </c>
      <c r="S494" s="6">
        <v>21</v>
      </c>
      <c r="T494" s="6">
        <v>23</v>
      </c>
      <c r="U494" s="6">
        <v>78</v>
      </c>
      <c r="V494" s="6">
        <f>IF(ISERROR(VLOOKUP($S$494,'TAR FIN'!$A$1:$O$116,15,0)),0,VLOOKUP($S$494,'TAR FIN'!$A$1:$O$116,15,0))</f>
        <v>65.599999999999994</v>
      </c>
      <c r="W494" s="6">
        <f>IF(ISERROR(VLOOKUP($T$494,'TAR FIN'!$A$1:$O$116,15,0)),0,VLOOKUP($T$494,'TAR FIN'!$A$1:$O$116,15,0))</f>
        <v>88.66</v>
      </c>
      <c r="X494" s="6">
        <f>IF(ISERROR(VLOOKUP($U$494,'TAR FIN'!$A$1:$O$116,15,0)),0,VLOOKUP($U$494,'TAR FIN'!$A$1:$O$116,15,0))</f>
        <v>496.15</v>
      </c>
      <c r="Y494" s="6">
        <f ca="1">('TUSD BE'!$AM$25+'TUSD BF'!$AM$25+'TUSD CVA'!$AM$25)*1</f>
        <v>75.407822945580492</v>
      </c>
      <c r="Z494" s="6">
        <f ca="1">('TUSD BE'!$AM$27+'TUSD BF'!$AM$27+'TUSD CVA'!$AM$27)*1</f>
        <v>137.4358543126599</v>
      </c>
      <c r="AA494" s="6">
        <f>('TE BE'!$AB$9+'TE BF'!$AB$9+'TE CVA'!$AB$9)*1</f>
        <v>510.04993331215127</v>
      </c>
      <c r="AB494" s="6">
        <f>$K$494*$V$494</f>
        <v>12332.8</v>
      </c>
      <c r="AC494" s="6">
        <f>$M$494*$W$494</f>
        <v>483.64029999999997</v>
      </c>
      <c r="AD494" s="6">
        <f>$O$494*$X$494</f>
        <v>2706.4982500000001</v>
      </c>
      <c r="AE494" s="6">
        <f ca="1">$K$494*$Y$494</f>
        <v>14176.670713769132</v>
      </c>
      <c r="AF494" s="6">
        <f ca="1">$M$494*$Z$494</f>
        <v>749.71258527555972</v>
      </c>
      <c r="AG494" s="6">
        <f>$O$494*$AA$494</f>
        <v>2782.3223862177852</v>
      </c>
    </row>
    <row r="495" spans="1:33" ht="11.25" customHeight="1" x14ac:dyDescent="0.25">
      <c r="A495" s="4" t="s">
        <v>28</v>
      </c>
      <c r="B495" s="4" t="s">
        <v>41</v>
      </c>
      <c r="C495" s="4" t="s">
        <v>40</v>
      </c>
      <c r="D495" s="4" t="s">
        <v>46</v>
      </c>
      <c r="E495" s="4" t="s">
        <v>25</v>
      </c>
      <c r="F495" s="4" t="s">
        <v>25</v>
      </c>
      <c r="G495" s="4" t="s">
        <v>25</v>
      </c>
      <c r="H495" s="4" t="s">
        <v>34</v>
      </c>
      <c r="I495" s="5">
        <v>44562</v>
      </c>
      <c r="J495" s="6">
        <v>290</v>
      </c>
      <c r="K495" s="6">
        <v>290</v>
      </c>
      <c r="L495" s="6">
        <v>14.131</v>
      </c>
      <c r="M495" s="6">
        <v>14.131</v>
      </c>
      <c r="N495" s="6">
        <v>14.131</v>
      </c>
      <c r="O495" s="6">
        <v>14.131</v>
      </c>
      <c r="P495" s="6">
        <v>0</v>
      </c>
      <c r="Q495" s="4" t="s">
        <v>26</v>
      </c>
      <c r="R495" s="4">
        <v>0</v>
      </c>
      <c r="S495" s="6">
        <v>21</v>
      </c>
      <c r="T495" s="6">
        <v>23</v>
      </c>
      <c r="U495" s="6">
        <v>78</v>
      </c>
      <c r="V495" s="6">
        <f>IF(ISERROR(VLOOKUP($S$495,'TAR FIN'!$A$1:$O$116,15,0)),0,VLOOKUP($S$495,'TAR FIN'!$A$1:$O$116,15,0))</f>
        <v>65.599999999999994</v>
      </c>
      <c r="W495" s="6">
        <f>IF(ISERROR(VLOOKUP($T$495,'TAR FIN'!$A$1:$O$116,15,0)),0,VLOOKUP($T$495,'TAR FIN'!$A$1:$O$116,15,0))</f>
        <v>88.66</v>
      </c>
      <c r="X495" s="6">
        <f>IF(ISERROR(VLOOKUP($U$495,'TAR FIN'!$A$1:$O$116,15,0)),0,VLOOKUP($U$495,'TAR FIN'!$A$1:$O$116,15,0))</f>
        <v>496.15</v>
      </c>
      <c r="Y495" s="6">
        <f ca="1">('TUSD BE'!$AM$25+'TUSD BF'!$AM$25+'TUSD CVA'!$AM$25)*1</f>
        <v>75.407822945580492</v>
      </c>
      <c r="Z495" s="6">
        <f ca="1">('TUSD BE'!$AM$27+'TUSD BF'!$AM$27+'TUSD CVA'!$AM$27)*1</f>
        <v>137.4358543126599</v>
      </c>
      <c r="AA495" s="6">
        <f>('TE BE'!$AB$9+'TE BF'!$AB$9+'TE CVA'!$AB$9)*1</f>
        <v>510.04993331215127</v>
      </c>
      <c r="AB495" s="6">
        <f>$K$495*$V$495</f>
        <v>19024</v>
      </c>
      <c r="AC495" s="6">
        <f>$M$495*$W$495</f>
        <v>1252.85446</v>
      </c>
      <c r="AD495" s="6">
        <f>$O$495*$X$495</f>
        <v>7011.0956500000002</v>
      </c>
      <c r="AE495" s="6">
        <f ca="1">$K$495*$Y$495</f>
        <v>21868.268654218344</v>
      </c>
      <c r="AF495" s="6">
        <f ca="1">$M$495*$Z$495</f>
        <v>1942.106057292197</v>
      </c>
      <c r="AG495" s="6">
        <f>$O$495*$AA$495</f>
        <v>7207.5156076340099</v>
      </c>
    </row>
    <row r="496" spans="1:33" ht="11.25" customHeight="1" x14ac:dyDescent="0.25">
      <c r="A496" s="4" t="s">
        <v>21</v>
      </c>
      <c r="B496" s="4" t="s">
        <v>41</v>
      </c>
      <c r="C496" s="4" t="s">
        <v>40</v>
      </c>
      <c r="D496" s="4" t="s">
        <v>46</v>
      </c>
      <c r="E496" s="4" t="s">
        <v>25</v>
      </c>
      <c r="F496" s="4" t="s">
        <v>25</v>
      </c>
      <c r="G496" s="4" t="s">
        <v>25</v>
      </c>
      <c r="H496" s="4" t="s">
        <v>34</v>
      </c>
      <c r="I496" s="5">
        <v>44593</v>
      </c>
      <c r="J496" s="6">
        <v>185</v>
      </c>
      <c r="K496" s="6">
        <v>185</v>
      </c>
      <c r="L496" s="6">
        <v>5.0919999999999996</v>
      </c>
      <c r="M496" s="6">
        <v>5.0919999999999996</v>
      </c>
      <c r="N496" s="6">
        <v>5.0919999999999996</v>
      </c>
      <c r="O496" s="6">
        <v>5.0919999999999996</v>
      </c>
      <c r="P496" s="6">
        <v>0</v>
      </c>
      <c r="Q496" s="4" t="s">
        <v>26</v>
      </c>
      <c r="R496" s="4">
        <v>0</v>
      </c>
      <c r="S496" s="6">
        <v>21</v>
      </c>
      <c r="T496" s="6">
        <v>23</v>
      </c>
      <c r="U496" s="6">
        <v>78</v>
      </c>
      <c r="V496" s="6">
        <f>IF(ISERROR(VLOOKUP($S$496,'TAR FIN'!$A$1:$O$116,15,0)),0,VLOOKUP($S$496,'TAR FIN'!$A$1:$O$116,15,0))</f>
        <v>65.599999999999994</v>
      </c>
      <c r="W496" s="6">
        <f>IF(ISERROR(VLOOKUP($T$496,'TAR FIN'!$A$1:$O$116,15,0)),0,VLOOKUP($T$496,'TAR FIN'!$A$1:$O$116,15,0))</f>
        <v>88.66</v>
      </c>
      <c r="X496" s="6">
        <f>IF(ISERROR(VLOOKUP($U$496,'TAR FIN'!$A$1:$O$116,15,0)),0,VLOOKUP($U$496,'TAR FIN'!$A$1:$O$116,15,0))</f>
        <v>496.15</v>
      </c>
      <c r="Y496" s="6">
        <f ca="1">('TUSD BE'!$AM$25+'TUSD BF'!$AM$25+'TUSD CVA'!$AM$25)*1</f>
        <v>75.407822945580492</v>
      </c>
      <c r="Z496" s="6">
        <f ca="1">('TUSD BE'!$AM$27+'TUSD BF'!$AM$27+'TUSD CVA'!$AM$27)*1</f>
        <v>137.4358543126599</v>
      </c>
      <c r="AA496" s="6">
        <f>('TE BE'!$AB$9+'TE BF'!$AB$9+'TE CVA'!$AB$9)*1</f>
        <v>510.04993331215127</v>
      </c>
      <c r="AB496" s="6">
        <f>$K$496*$V$496</f>
        <v>12135.999999999998</v>
      </c>
      <c r="AC496" s="6">
        <f>$M$496*$W$496</f>
        <v>451.45671999999996</v>
      </c>
      <c r="AD496" s="6">
        <f>$O$496*$X$496</f>
        <v>2526.3957999999998</v>
      </c>
      <c r="AE496" s="6">
        <f ca="1">$K$496*$Y$496</f>
        <v>13950.447244932391</v>
      </c>
      <c r="AF496" s="6">
        <f ca="1">$M$496*$Z$496</f>
        <v>699.8233701600642</v>
      </c>
      <c r="AG496" s="6">
        <f>$O$496*$AA$496</f>
        <v>2597.1742604254741</v>
      </c>
    </row>
    <row r="497" spans="1:33" ht="11.25" customHeight="1" x14ac:dyDescent="0.25">
      <c r="A497" s="4" t="s">
        <v>28</v>
      </c>
      <c r="B497" s="4" t="s">
        <v>41</v>
      </c>
      <c r="C497" s="4" t="s">
        <v>40</v>
      </c>
      <c r="D497" s="4" t="s">
        <v>46</v>
      </c>
      <c r="E497" s="4" t="s">
        <v>25</v>
      </c>
      <c r="F497" s="4" t="s">
        <v>25</v>
      </c>
      <c r="G497" s="4" t="s">
        <v>25</v>
      </c>
      <c r="H497" s="4" t="s">
        <v>34</v>
      </c>
      <c r="I497" s="5">
        <v>44593</v>
      </c>
      <c r="J497" s="6">
        <v>290</v>
      </c>
      <c r="K497" s="6">
        <v>290</v>
      </c>
      <c r="L497" s="6">
        <v>13.39</v>
      </c>
      <c r="M497" s="6">
        <v>13.39</v>
      </c>
      <c r="N497" s="6">
        <v>13.39</v>
      </c>
      <c r="O497" s="6">
        <v>13.39</v>
      </c>
      <c r="P497" s="6">
        <v>0</v>
      </c>
      <c r="Q497" s="4" t="s">
        <v>26</v>
      </c>
      <c r="R497" s="4">
        <v>0</v>
      </c>
      <c r="S497" s="6">
        <v>21</v>
      </c>
      <c r="T497" s="6">
        <v>23</v>
      </c>
      <c r="U497" s="6">
        <v>78</v>
      </c>
      <c r="V497" s="6">
        <f>IF(ISERROR(VLOOKUP($S$497,'TAR FIN'!$A$1:$O$116,15,0)),0,VLOOKUP($S$497,'TAR FIN'!$A$1:$O$116,15,0))</f>
        <v>65.599999999999994</v>
      </c>
      <c r="W497" s="6">
        <f>IF(ISERROR(VLOOKUP($T$497,'TAR FIN'!$A$1:$O$116,15,0)),0,VLOOKUP($T$497,'TAR FIN'!$A$1:$O$116,15,0))</f>
        <v>88.66</v>
      </c>
      <c r="X497" s="6">
        <f>IF(ISERROR(VLOOKUP($U$497,'TAR FIN'!$A$1:$O$116,15,0)),0,VLOOKUP($U$497,'TAR FIN'!$A$1:$O$116,15,0))</f>
        <v>496.15</v>
      </c>
      <c r="Y497" s="6">
        <f ca="1">('TUSD BE'!$AM$25+'TUSD BF'!$AM$25+'TUSD CVA'!$AM$25)*1</f>
        <v>75.407822945580492</v>
      </c>
      <c r="Z497" s="6">
        <f ca="1">('TUSD BE'!$AM$27+'TUSD BF'!$AM$27+'TUSD CVA'!$AM$27)*1</f>
        <v>137.4358543126599</v>
      </c>
      <c r="AA497" s="6">
        <f>('TE BE'!$AB$9+'TE BF'!$AB$9+'TE CVA'!$AB$9)*1</f>
        <v>510.04993331215127</v>
      </c>
      <c r="AB497" s="6">
        <f>$K$497*$V$497</f>
        <v>19024</v>
      </c>
      <c r="AC497" s="6">
        <f>$M$497*$W$497</f>
        <v>1187.1574000000001</v>
      </c>
      <c r="AD497" s="6">
        <f>$O$497*$X$497</f>
        <v>6643.4485000000004</v>
      </c>
      <c r="AE497" s="6">
        <f ca="1">$K$497*$Y$497</f>
        <v>21868.268654218344</v>
      </c>
      <c r="AF497" s="6">
        <f ca="1">$M$497*$Z$497</f>
        <v>1840.2660892465162</v>
      </c>
      <c r="AG497" s="6">
        <f>$O$497*$AA$497</f>
        <v>6829.5686070497059</v>
      </c>
    </row>
    <row r="498" spans="1:33" ht="11.25" customHeight="1" x14ac:dyDescent="0.25">
      <c r="A498" s="4" t="s">
        <v>21</v>
      </c>
      <c r="B498" s="4" t="s">
        <v>41</v>
      </c>
      <c r="C498" s="4" t="s">
        <v>40</v>
      </c>
      <c r="D498" s="4" t="s">
        <v>46</v>
      </c>
      <c r="E498" s="4" t="s">
        <v>25</v>
      </c>
      <c r="F498" s="4" t="s">
        <v>25</v>
      </c>
      <c r="G498" s="4" t="s">
        <v>25</v>
      </c>
      <c r="H498" s="4" t="s">
        <v>34</v>
      </c>
      <c r="I498" s="5">
        <v>44621</v>
      </c>
      <c r="J498" s="6">
        <v>193</v>
      </c>
      <c r="K498" s="6">
        <v>193</v>
      </c>
      <c r="L498" s="6">
        <v>5.7880000000000003</v>
      </c>
      <c r="M498" s="6">
        <v>5.7880000000000003</v>
      </c>
      <c r="N498" s="6">
        <v>5.7880000000000003</v>
      </c>
      <c r="O498" s="6">
        <v>5.7880000000000003</v>
      </c>
      <c r="P498" s="6">
        <v>0</v>
      </c>
      <c r="Q498" s="4" t="s">
        <v>26</v>
      </c>
      <c r="R498" s="4">
        <v>0</v>
      </c>
      <c r="S498" s="6">
        <v>21</v>
      </c>
      <c r="T498" s="6">
        <v>23</v>
      </c>
      <c r="U498" s="6">
        <v>78</v>
      </c>
      <c r="V498" s="6">
        <f>IF(ISERROR(VLOOKUP($S$498,'TAR FIN'!$A$1:$O$116,15,0)),0,VLOOKUP($S$498,'TAR FIN'!$A$1:$O$116,15,0))</f>
        <v>65.599999999999994</v>
      </c>
      <c r="W498" s="6">
        <f>IF(ISERROR(VLOOKUP($T$498,'TAR FIN'!$A$1:$O$116,15,0)),0,VLOOKUP($T$498,'TAR FIN'!$A$1:$O$116,15,0))</f>
        <v>88.66</v>
      </c>
      <c r="X498" s="6">
        <f>IF(ISERROR(VLOOKUP($U$498,'TAR FIN'!$A$1:$O$116,15,0)),0,VLOOKUP($U$498,'TAR FIN'!$A$1:$O$116,15,0))</f>
        <v>496.15</v>
      </c>
      <c r="Y498" s="6">
        <f ca="1">('TUSD BE'!$AM$25+'TUSD BF'!$AM$25+'TUSD CVA'!$AM$25)*1</f>
        <v>75.407822945580492</v>
      </c>
      <c r="Z498" s="6">
        <f ca="1">('TUSD BE'!$AM$27+'TUSD BF'!$AM$27+'TUSD CVA'!$AM$27)*1</f>
        <v>137.4358543126599</v>
      </c>
      <c r="AA498" s="6">
        <f>('TE BE'!$AB$9+'TE BF'!$AB$9+'TE CVA'!$AB$9)*1</f>
        <v>510.04993331215127</v>
      </c>
      <c r="AB498" s="6">
        <f>$K$498*$V$498</f>
        <v>12660.8</v>
      </c>
      <c r="AC498" s="6">
        <f>$M$498*$W$498</f>
        <v>513.16408000000001</v>
      </c>
      <c r="AD498" s="6">
        <f>$O$498*$X$498</f>
        <v>2871.7161999999998</v>
      </c>
      <c r="AE498" s="6">
        <f ca="1">$K$498*$Y$498</f>
        <v>14553.709828497034</v>
      </c>
      <c r="AF498" s="6">
        <f ca="1">$M$498*$Z$498</f>
        <v>795.47872476167549</v>
      </c>
      <c r="AG498" s="6">
        <f>$O$498*$AA$498</f>
        <v>2952.1690140107316</v>
      </c>
    </row>
    <row r="499" spans="1:33" ht="11.25" customHeight="1" x14ac:dyDescent="0.25">
      <c r="A499" s="4" t="s">
        <v>28</v>
      </c>
      <c r="B499" s="4" t="s">
        <v>41</v>
      </c>
      <c r="C499" s="4" t="s">
        <v>40</v>
      </c>
      <c r="D499" s="4" t="s">
        <v>46</v>
      </c>
      <c r="E499" s="4" t="s">
        <v>25</v>
      </c>
      <c r="F499" s="4" t="s">
        <v>25</v>
      </c>
      <c r="G499" s="4" t="s">
        <v>25</v>
      </c>
      <c r="H499" s="4" t="s">
        <v>34</v>
      </c>
      <c r="I499" s="5">
        <v>44621</v>
      </c>
      <c r="J499" s="6">
        <v>290</v>
      </c>
      <c r="K499" s="6">
        <v>290</v>
      </c>
      <c r="L499" s="6">
        <v>15.686</v>
      </c>
      <c r="M499" s="6">
        <v>15.686</v>
      </c>
      <c r="N499" s="6">
        <v>15.686</v>
      </c>
      <c r="O499" s="6">
        <v>15.686</v>
      </c>
      <c r="P499" s="6">
        <v>0</v>
      </c>
      <c r="Q499" s="4" t="s">
        <v>26</v>
      </c>
      <c r="R499" s="4">
        <v>0</v>
      </c>
      <c r="S499" s="6">
        <v>21</v>
      </c>
      <c r="T499" s="6">
        <v>23</v>
      </c>
      <c r="U499" s="6">
        <v>78</v>
      </c>
      <c r="V499" s="6">
        <f>IF(ISERROR(VLOOKUP($S$499,'TAR FIN'!$A$1:$O$116,15,0)),0,VLOOKUP($S$499,'TAR FIN'!$A$1:$O$116,15,0))</f>
        <v>65.599999999999994</v>
      </c>
      <c r="W499" s="6">
        <f>IF(ISERROR(VLOOKUP($T$499,'TAR FIN'!$A$1:$O$116,15,0)),0,VLOOKUP($T$499,'TAR FIN'!$A$1:$O$116,15,0))</f>
        <v>88.66</v>
      </c>
      <c r="X499" s="6">
        <f>IF(ISERROR(VLOOKUP($U$499,'TAR FIN'!$A$1:$O$116,15,0)),0,VLOOKUP($U$499,'TAR FIN'!$A$1:$O$116,15,0))</f>
        <v>496.15</v>
      </c>
      <c r="Y499" s="6">
        <f ca="1">('TUSD BE'!$AM$25+'TUSD BF'!$AM$25+'TUSD CVA'!$AM$25)*1</f>
        <v>75.407822945580492</v>
      </c>
      <c r="Z499" s="6">
        <f ca="1">('TUSD BE'!$AM$27+'TUSD BF'!$AM$27+'TUSD CVA'!$AM$27)*1</f>
        <v>137.4358543126599</v>
      </c>
      <c r="AA499" s="6">
        <f>('TE BE'!$AB$9+'TE BF'!$AB$9+'TE CVA'!$AB$9)*1</f>
        <v>510.04993331215127</v>
      </c>
      <c r="AB499" s="6">
        <f>$K$499*$V$499</f>
        <v>19024</v>
      </c>
      <c r="AC499" s="6">
        <f>$M$499*$W$499</f>
        <v>1390.7207599999999</v>
      </c>
      <c r="AD499" s="6">
        <f>$O$499*$X$499</f>
        <v>7782.6088999999993</v>
      </c>
      <c r="AE499" s="6">
        <f ca="1">$K$499*$Y$499</f>
        <v>21868.268654218344</v>
      </c>
      <c r="AF499" s="6">
        <f ca="1">$M$499*$Z$499</f>
        <v>2155.8188107483834</v>
      </c>
      <c r="AG499" s="6">
        <f>$O$499*$AA$499</f>
        <v>8000.643253934405</v>
      </c>
    </row>
    <row r="500" spans="1:33" ht="11.25" customHeight="1" x14ac:dyDescent="0.25">
      <c r="A500" s="4" t="s">
        <v>21</v>
      </c>
      <c r="B500" s="4" t="s">
        <v>41</v>
      </c>
      <c r="C500" s="4" t="s">
        <v>40</v>
      </c>
      <c r="D500" s="4" t="s">
        <v>46</v>
      </c>
      <c r="E500" s="4" t="s">
        <v>25</v>
      </c>
      <c r="F500" s="4" t="s">
        <v>25</v>
      </c>
      <c r="G500" s="4" t="s">
        <v>25</v>
      </c>
      <c r="H500" s="4" t="s">
        <v>34</v>
      </c>
      <c r="I500" s="5">
        <v>44652</v>
      </c>
      <c r="J500" s="6">
        <v>196</v>
      </c>
      <c r="K500" s="6">
        <v>196</v>
      </c>
      <c r="L500" s="6">
        <v>6.157</v>
      </c>
      <c r="M500" s="6">
        <v>6.157</v>
      </c>
      <c r="N500" s="6">
        <v>6.157</v>
      </c>
      <c r="O500" s="6">
        <v>6.157</v>
      </c>
      <c r="P500" s="6">
        <v>0</v>
      </c>
      <c r="Q500" s="4" t="s">
        <v>26</v>
      </c>
      <c r="R500" s="4">
        <v>0</v>
      </c>
      <c r="S500" s="6">
        <v>21</v>
      </c>
      <c r="T500" s="6">
        <v>23</v>
      </c>
      <c r="U500" s="6">
        <v>78</v>
      </c>
      <c r="V500" s="6">
        <f>IF(ISERROR(VLOOKUP($S$500,'TAR FIN'!$A$1:$O$116,15,0)),0,VLOOKUP($S$500,'TAR FIN'!$A$1:$O$116,15,0))</f>
        <v>65.599999999999994</v>
      </c>
      <c r="W500" s="6">
        <f>IF(ISERROR(VLOOKUP($T$500,'TAR FIN'!$A$1:$O$116,15,0)),0,VLOOKUP($T$500,'TAR FIN'!$A$1:$O$116,15,0))</f>
        <v>88.66</v>
      </c>
      <c r="X500" s="6">
        <f>IF(ISERROR(VLOOKUP($U$500,'TAR FIN'!$A$1:$O$116,15,0)),0,VLOOKUP($U$500,'TAR FIN'!$A$1:$O$116,15,0))</f>
        <v>496.15</v>
      </c>
      <c r="Y500" s="6">
        <f ca="1">('TUSD BE'!$AM$25+'TUSD BF'!$AM$25+'TUSD CVA'!$AM$25)*1</f>
        <v>75.407822945580492</v>
      </c>
      <c r="Z500" s="6">
        <f ca="1">('TUSD BE'!$AM$27+'TUSD BF'!$AM$27+'TUSD CVA'!$AM$27)*1</f>
        <v>137.4358543126599</v>
      </c>
      <c r="AA500" s="6">
        <f>('TE BE'!$AB$9+'TE BF'!$AB$9+'TE CVA'!$AB$9)*1</f>
        <v>510.04993331215127</v>
      </c>
      <c r="AB500" s="6">
        <f>$K$500*$V$500</f>
        <v>12857.599999999999</v>
      </c>
      <c r="AC500" s="6">
        <f>$M$500*$W$500</f>
        <v>545.87961999999993</v>
      </c>
      <c r="AD500" s="6">
        <f>$O$500*$X$500</f>
        <v>3054.7955499999998</v>
      </c>
      <c r="AE500" s="6">
        <f ca="1">$K$500*$Y$500</f>
        <v>14779.933297333777</v>
      </c>
      <c r="AF500" s="6">
        <f ca="1">$M$500*$Z$500</f>
        <v>846.192555003047</v>
      </c>
      <c r="AG500" s="6">
        <f>$O$500*$AA$500</f>
        <v>3140.3774394029156</v>
      </c>
    </row>
    <row r="501" spans="1:33" ht="11.25" customHeight="1" x14ac:dyDescent="0.25">
      <c r="A501" s="4" t="s">
        <v>28</v>
      </c>
      <c r="B501" s="4" t="s">
        <v>41</v>
      </c>
      <c r="C501" s="4" t="s">
        <v>40</v>
      </c>
      <c r="D501" s="4" t="s">
        <v>46</v>
      </c>
      <c r="E501" s="4" t="s">
        <v>25</v>
      </c>
      <c r="F501" s="4" t="s">
        <v>25</v>
      </c>
      <c r="G501" s="4" t="s">
        <v>25</v>
      </c>
      <c r="H501" s="4" t="s">
        <v>34</v>
      </c>
      <c r="I501" s="5">
        <v>44652</v>
      </c>
      <c r="J501" s="6">
        <v>290</v>
      </c>
      <c r="K501" s="6">
        <v>290</v>
      </c>
      <c r="L501" s="6">
        <v>12.62</v>
      </c>
      <c r="M501" s="6">
        <v>12.62</v>
      </c>
      <c r="N501" s="6">
        <v>12.62</v>
      </c>
      <c r="O501" s="6">
        <v>12.62</v>
      </c>
      <c r="P501" s="6">
        <v>0</v>
      </c>
      <c r="Q501" s="4" t="s">
        <v>26</v>
      </c>
      <c r="R501" s="4">
        <v>0</v>
      </c>
      <c r="S501" s="6">
        <v>21</v>
      </c>
      <c r="T501" s="6">
        <v>23</v>
      </c>
      <c r="U501" s="6">
        <v>78</v>
      </c>
      <c r="V501" s="6">
        <f>IF(ISERROR(VLOOKUP($S$501,'TAR FIN'!$A$1:$O$116,15,0)),0,VLOOKUP($S$501,'TAR FIN'!$A$1:$O$116,15,0))</f>
        <v>65.599999999999994</v>
      </c>
      <c r="W501" s="6">
        <f>IF(ISERROR(VLOOKUP($T$501,'TAR FIN'!$A$1:$O$116,15,0)),0,VLOOKUP($T$501,'TAR FIN'!$A$1:$O$116,15,0))</f>
        <v>88.66</v>
      </c>
      <c r="X501" s="6">
        <f>IF(ISERROR(VLOOKUP($U$501,'TAR FIN'!$A$1:$O$116,15,0)),0,VLOOKUP($U$501,'TAR FIN'!$A$1:$O$116,15,0))</f>
        <v>496.15</v>
      </c>
      <c r="Y501" s="6">
        <f ca="1">('TUSD BE'!$AM$25+'TUSD BF'!$AM$25+'TUSD CVA'!$AM$25)*1</f>
        <v>75.407822945580492</v>
      </c>
      <c r="Z501" s="6">
        <f ca="1">('TUSD BE'!$AM$27+'TUSD BF'!$AM$27+'TUSD CVA'!$AM$27)*1</f>
        <v>137.4358543126599</v>
      </c>
      <c r="AA501" s="6">
        <f>('TE BE'!$AB$9+'TE BF'!$AB$9+'TE CVA'!$AB$9)*1</f>
        <v>510.04993331215127</v>
      </c>
      <c r="AB501" s="6">
        <f>$K$501*$V$501</f>
        <v>19024</v>
      </c>
      <c r="AC501" s="6">
        <f>$M$501*$W$501</f>
        <v>1118.8891999999998</v>
      </c>
      <c r="AD501" s="6">
        <f>$O$501*$X$501</f>
        <v>6261.4129999999996</v>
      </c>
      <c r="AE501" s="6">
        <f ca="1">$K$501*$Y$501</f>
        <v>21868.268654218344</v>
      </c>
      <c r="AF501" s="6">
        <f ca="1">$M$501*$Z$501</f>
        <v>1734.4404814257678</v>
      </c>
      <c r="AG501" s="6">
        <f>$O$501*$AA$501</f>
        <v>6436.8301583993489</v>
      </c>
    </row>
    <row r="502" spans="1:33" ht="11.25" customHeight="1" x14ac:dyDescent="0.25">
      <c r="A502" s="4" t="s">
        <v>58</v>
      </c>
      <c r="B502" s="4" t="s">
        <v>41</v>
      </c>
      <c r="C502" s="4" t="s">
        <v>40</v>
      </c>
      <c r="D502" s="4" t="s">
        <v>46</v>
      </c>
      <c r="E502" s="4" t="s">
        <v>25</v>
      </c>
      <c r="F502" s="4" t="s">
        <v>25</v>
      </c>
      <c r="G502" s="4" t="s">
        <v>25</v>
      </c>
      <c r="H502" s="4" t="s">
        <v>34</v>
      </c>
      <c r="I502" s="5">
        <v>44682</v>
      </c>
      <c r="J502" s="6">
        <v>196</v>
      </c>
      <c r="K502" s="6">
        <v>196</v>
      </c>
      <c r="L502" s="6">
        <v>6.157</v>
      </c>
      <c r="M502" s="6">
        <v>6.157</v>
      </c>
      <c r="N502" s="6">
        <v>6.157</v>
      </c>
      <c r="O502" s="6">
        <v>6.157</v>
      </c>
      <c r="P502" s="6">
        <v>0</v>
      </c>
      <c r="Q502" s="4" t="s">
        <v>26</v>
      </c>
      <c r="R502" s="4">
        <v>0</v>
      </c>
      <c r="S502" s="6">
        <v>21</v>
      </c>
      <c r="T502" s="6">
        <v>23</v>
      </c>
      <c r="U502" s="6">
        <v>78</v>
      </c>
      <c r="V502" s="6">
        <f>IF(ISERROR(VLOOKUP($S$502,'TAR FIN'!$A$1:$O$116,15,0)),0,VLOOKUP($S$502,'TAR FIN'!$A$1:$O$116,15,0))</f>
        <v>65.599999999999994</v>
      </c>
      <c r="W502" s="6">
        <f>IF(ISERROR(VLOOKUP($T$502,'TAR FIN'!$A$1:$O$116,15,0)),0,VLOOKUP($T$502,'TAR FIN'!$A$1:$O$116,15,0))</f>
        <v>88.66</v>
      </c>
      <c r="X502" s="6">
        <f>IF(ISERROR(VLOOKUP($U$502,'TAR FIN'!$A$1:$O$116,15,0)),0,VLOOKUP($U$502,'TAR FIN'!$A$1:$O$116,15,0))</f>
        <v>496.15</v>
      </c>
      <c r="Y502" s="6">
        <f ca="1">('TUSD BE'!$AM$25+'TUSD BF'!$AM$25+'TUSD CVA'!$AM$25)*1</f>
        <v>75.407822945580492</v>
      </c>
      <c r="Z502" s="6">
        <f ca="1">('TUSD BE'!$AM$27+'TUSD BF'!$AM$27+'TUSD CVA'!$AM$27)*1</f>
        <v>137.4358543126599</v>
      </c>
      <c r="AA502" s="6">
        <f>('TE BE'!$AB$9+'TE BF'!$AB$9+'TE CVA'!$AB$9)*1</f>
        <v>510.04993331215127</v>
      </c>
      <c r="AB502" s="6">
        <f>$K$502*$V$502</f>
        <v>12857.599999999999</v>
      </c>
      <c r="AC502" s="6">
        <f>$M$502*$W$502</f>
        <v>545.87961999999993</v>
      </c>
      <c r="AD502" s="6">
        <f>$O$502*$X$502</f>
        <v>3054.7955499999998</v>
      </c>
      <c r="AE502" s="6">
        <f ca="1">$K$502*$Y$502</f>
        <v>14779.933297333777</v>
      </c>
      <c r="AF502" s="6">
        <f ca="1">$M$502*$Z$502</f>
        <v>846.192555003047</v>
      </c>
      <c r="AG502" s="6">
        <f>$O$502*$AA$502</f>
        <v>3140.3774394029156</v>
      </c>
    </row>
    <row r="503" spans="1:33" ht="11.25" customHeight="1" x14ac:dyDescent="0.25">
      <c r="A503" s="4" t="s">
        <v>58</v>
      </c>
      <c r="B503" s="4" t="s">
        <v>41</v>
      </c>
      <c r="C503" s="4" t="s">
        <v>40</v>
      </c>
      <c r="D503" s="4" t="s">
        <v>46</v>
      </c>
      <c r="E503" s="4" t="s">
        <v>25</v>
      </c>
      <c r="F503" s="4" t="s">
        <v>25</v>
      </c>
      <c r="G503" s="4" t="s">
        <v>25</v>
      </c>
      <c r="H503" s="4" t="s">
        <v>34</v>
      </c>
      <c r="I503" s="5">
        <v>44682</v>
      </c>
      <c r="J503" s="6">
        <v>290</v>
      </c>
      <c r="K503" s="6">
        <v>290</v>
      </c>
      <c r="L503" s="6">
        <v>12.62</v>
      </c>
      <c r="M503" s="6">
        <v>12.62</v>
      </c>
      <c r="N503" s="6">
        <v>12.62</v>
      </c>
      <c r="O503" s="6">
        <v>12.62</v>
      </c>
      <c r="P503" s="6">
        <v>0</v>
      </c>
      <c r="Q503" s="4" t="s">
        <v>26</v>
      </c>
      <c r="R503" s="4">
        <v>0</v>
      </c>
      <c r="S503" s="6">
        <v>21</v>
      </c>
      <c r="T503" s="6">
        <v>23</v>
      </c>
      <c r="U503" s="6">
        <v>78</v>
      </c>
      <c r="V503" s="6">
        <f>IF(ISERROR(VLOOKUP($S$503,'TAR FIN'!$A$1:$O$116,15,0)),0,VLOOKUP($S$503,'TAR FIN'!$A$1:$O$116,15,0))</f>
        <v>65.599999999999994</v>
      </c>
      <c r="W503" s="6">
        <f>IF(ISERROR(VLOOKUP($T$503,'TAR FIN'!$A$1:$O$116,15,0)),0,VLOOKUP($T$503,'TAR FIN'!$A$1:$O$116,15,0))</f>
        <v>88.66</v>
      </c>
      <c r="X503" s="6">
        <f>IF(ISERROR(VLOOKUP($U$503,'TAR FIN'!$A$1:$O$116,15,0)),0,VLOOKUP($U$503,'TAR FIN'!$A$1:$O$116,15,0))</f>
        <v>496.15</v>
      </c>
      <c r="Y503" s="6">
        <f ca="1">('TUSD BE'!$AM$25+'TUSD BF'!$AM$25+'TUSD CVA'!$AM$25)*1</f>
        <v>75.407822945580492</v>
      </c>
      <c r="Z503" s="6">
        <f ca="1">('TUSD BE'!$AM$27+'TUSD BF'!$AM$27+'TUSD CVA'!$AM$27)*1</f>
        <v>137.4358543126599</v>
      </c>
      <c r="AA503" s="6">
        <f>('TE BE'!$AB$9+'TE BF'!$AB$9+'TE CVA'!$AB$9)*1</f>
        <v>510.04993331215127</v>
      </c>
      <c r="AB503" s="6">
        <f>$K$503*$V$503</f>
        <v>19024</v>
      </c>
      <c r="AC503" s="6">
        <f>$M$503*$W$503</f>
        <v>1118.8891999999998</v>
      </c>
      <c r="AD503" s="6">
        <f>$O$503*$X$503</f>
        <v>6261.4129999999996</v>
      </c>
      <c r="AE503" s="6">
        <f ca="1">$K$503*$Y$503</f>
        <v>21868.268654218344</v>
      </c>
      <c r="AF503" s="6">
        <f ca="1">$M$503*$Z$503</f>
        <v>1734.4404814257678</v>
      </c>
      <c r="AG503" s="6">
        <f>$O$503*$AA$503</f>
        <v>6436.8301583993489</v>
      </c>
    </row>
    <row r="504" spans="1:33" ht="11.25" customHeight="1" x14ac:dyDescent="0.25">
      <c r="A504" s="4" t="s">
        <v>21</v>
      </c>
      <c r="B504" s="4" t="s">
        <v>41</v>
      </c>
      <c r="C504" s="4" t="s">
        <v>40</v>
      </c>
      <c r="D504" s="4" t="s">
        <v>45</v>
      </c>
      <c r="E504" s="4" t="s">
        <v>25</v>
      </c>
      <c r="F504" s="4" t="s">
        <v>25</v>
      </c>
      <c r="G504" s="4" t="s">
        <v>25</v>
      </c>
      <c r="H504" s="4" t="s">
        <v>35</v>
      </c>
      <c r="I504" s="5">
        <v>44348</v>
      </c>
      <c r="J504" s="6">
        <v>105</v>
      </c>
      <c r="K504" s="70">
        <v>105</v>
      </c>
      <c r="L504" s="6">
        <v>28.38</v>
      </c>
      <c r="M504" s="70">
        <v>28.38</v>
      </c>
      <c r="N504" s="6">
        <v>28.38</v>
      </c>
      <c r="O504" s="70">
        <v>28.38</v>
      </c>
      <c r="P504" s="6">
        <v>0</v>
      </c>
      <c r="Q504" s="4" t="s">
        <v>26</v>
      </c>
      <c r="R504" s="4">
        <v>0</v>
      </c>
      <c r="S504" s="6">
        <v>22</v>
      </c>
      <c r="T504" s="6">
        <v>23</v>
      </c>
      <c r="U504" s="6">
        <v>79</v>
      </c>
      <c r="V504" s="70">
        <f>IF(ISERROR(VLOOKUP($S$504,'TAR FIN'!$A$1:$O$116,15,0)),0,VLOOKUP($S$504,'TAR FIN'!$A$1:$O$116,15,0))*(1-0.04)</f>
        <v>24.489599999999999</v>
      </c>
      <c r="W504" s="70">
        <f>IF(ISERROR(VLOOKUP($T$504,'TAR FIN'!$A$1:$O$116,15,0)),0,VLOOKUP($T$504,'TAR FIN'!$A$1:$O$116,15,0))*(1-0.04)</f>
        <v>85.113599999999991</v>
      </c>
      <c r="X504" s="70">
        <f>IF(ISERROR(VLOOKUP($U$504,'TAR FIN'!$A$1:$O$116,15,0)),0,VLOOKUP($U$504,'TAR FIN'!$A$1:$O$116,15,0))*(1-0.04)</f>
        <v>298.59840000000003</v>
      </c>
      <c r="Y504" s="70">
        <f ca="1">('TUSD BE'!$AM$26+'TUSD BF'!$AM$26+'TUSD CVA'!$AM$26)*1*(1-0.02)</f>
        <v>29.207201461919809</v>
      </c>
      <c r="Z504" s="70">
        <f ca="1">('TUSD BE'!$AM$27+'TUSD BF'!$AM$27+'TUSD CVA'!$AM$27)*1*(1-0.02)</f>
        <v>134.68713722640669</v>
      </c>
      <c r="AA504" s="70">
        <f>('TE BE'!$AB$10+'TE BF'!$AB$10+'TE CVA'!$AB$10)*1*(1-0.02)</f>
        <v>306.96449101990191</v>
      </c>
      <c r="AB504" s="6">
        <f>$K$504*$V$504</f>
        <v>2571.4079999999999</v>
      </c>
      <c r="AC504" s="6">
        <f>$M$504*$W$504</f>
        <v>2415.5239679999995</v>
      </c>
      <c r="AD504" s="6">
        <f>$O$504*$X$504</f>
        <v>8474.2225920000001</v>
      </c>
      <c r="AE504" s="6">
        <f ca="1">$K$504*$Y$504</f>
        <v>3066.7561535015798</v>
      </c>
      <c r="AF504" s="6">
        <f ca="1">$M$504*$Z$504</f>
        <v>3822.4209544854216</v>
      </c>
      <c r="AG504" s="6">
        <f>$O$504*$AA$504</f>
        <v>8711.6522551448161</v>
      </c>
    </row>
    <row r="505" spans="1:33" ht="11.25" customHeight="1" x14ac:dyDescent="0.25">
      <c r="A505" s="4" t="s">
        <v>21</v>
      </c>
      <c r="B505" s="4" t="s">
        <v>41</v>
      </c>
      <c r="C505" s="4" t="s">
        <v>40</v>
      </c>
      <c r="D505" s="4" t="s">
        <v>45</v>
      </c>
      <c r="E505" s="4" t="s">
        <v>25</v>
      </c>
      <c r="F505" s="4" t="s">
        <v>25</v>
      </c>
      <c r="G505" s="4" t="s">
        <v>25</v>
      </c>
      <c r="H505" s="4" t="s">
        <v>35</v>
      </c>
      <c r="I505" s="5">
        <v>44378</v>
      </c>
      <c r="J505" s="6">
        <v>115</v>
      </c>
      <c r="K505" s="70">
        <v>115</v>
      </c>
      <c r="L505" s="6">
        <v>35.97</v>
      </c>
      <c r="M505" s="70">
        <v>35.97</v>
      </c>
      <c r="N505" s="6">
        <v>35.97</v>
      </c>
      <c r="O505" s="70">
        <v>35.97</v>
      </c>
      <c r="P505" s="6">
        <v>0</v>
      </c>
      <c r="Q505" s="4" t="s">
        <v>26</v>
      </c>
      <c r="R505" s="4">
        <v>0</v>
      </c>
      <c r="S505" s="6">
        <v>22</v>
      </c>
      <c r="T505" s="6">
        <v>23</v>
      </c>
      <c r="U505" s="6">
        <v>79</v>
      </c>
      <c r="V505" s="70">
        <f>IF(ISERROR(VLOOKUP($S$505,'TAR FIN'!$A$1:$O$116,15,0)),0,VLOOKUP($S$505,'TAR FIN'!$A$1:$O$116,15,0))*(1-0.04)</f>
        <v>24.489599999999999</v>
      </c>
      <c r="W505" s="70">
        <f>IF(ISERROR(VLOOKUP($T$505,'TAR FIN'!$A$1:$O$116,15,0)),0,VLOOKUP($T$505,'TAR FIN'!$A$1:$O$116,15,0))*(1-0.04)</f>
        <v>85.113599999999991</v>
      </c>
      <c r="X505" s="70">
        <f>IF(ISERROR(VLOOKUP($U$505,'TAR FIN'!$A$1:$O$116,15,0)),0,VLOOKUP($U$505,'TAR FIN'!$A$1:$O$116,15,0))*(1-0.04)</f>
        <v>298.59840000000003</v>
      </c>
      <c r="Y505" s="70">
        <f ca="1">('TUSD BE'!$AM$26+'TUSD BF'!$AM$26+'TUSD CVA'!$AM$26)*1*(1-0.02)</f>
        <v>29.207201461919809</v>
      </c>
      <c r="Z505" s="70">
        <f ca="1">('TUSD BE'!$AM$27+'TUSD BF'!$AM$27+'TUSD CVA'!$AM$27)*1*(1-0.02)</f>
        <v>134.68713722640669</v>
      </c>
      <c r="AA505" s="70">
        <f>('TE BE'!$AB$10+'TE BF'!$AB$10+'TE CVA'!$AB$10)*1*(1-0.02)</f>
        <v>306.96449101990191</v>
      </c>
      <c r="AB505" s="6">
        <f>$K$505*$V$505</f>
        <v>2816.3040000000001</v>
      </c>
      <c r="AC505" s="6">
        <f>$M$505*$W$505</f>
        <v>3061.5361919999996</v>
      </c>
      <c r="AD505" s="6">
        <f>$O$505*$X$505</f>
        <v>10740.584448000001</v>
      </c>
      <c r="AE505" s="6">
        <f ca="1">$K$505*$Y$505</f>
        <v>3358.8281681207782</v>
      </c>
      <c r="AF505" s="6">
        <f ca="1">$M$505*$Z$505</f>
        <v>4844.6963260338489</v>
      </c>
      <c r="AG505" s="6">
        <f>$O$505*$AA$505</f>
        <v>11041.512741985871</v>
      </c>
    </row>
    <row r="506" spans="1:33" ht="11.25" customHeight="1" x14ac:dyDescent="0.25">
      <c r="A506" s="4" t="s">
        <v>21</v>
      </c>
      <c r="B506" s="4" t="s">
        <v>41</v>
      </c>
      <c r="C506" s="4" t="s">
        <v>40</v>
      </c>
      <c r="D506" s="4" t="s">
        <v>45</v>
      </c>
      <c r="E506" s="4" t="s">
        <v>25</v>
      </c>
      <c r="F506" s="4" t="s">
        <v>25</v>
      </c>
      <c r="G506" s="4" t="s">
        <v>25</v>
      </c>
      <c r="H506" s="4" t="s">
        <v>35</v>
      </c>
      <c r="I506" s="5">
        <v>44409</v>
      </c>
      <c r="J506" s="6">
        <v>119</v>
      </c>
      <c r="K506" s="70">
        <v>119</v>
      </c>
      <c r="L506" s="6">
        <v>34.65</v>
      </c>
      <c r="M506" s="70">
        <v>34.65</v>
      </c>
      <c r="N506" s="6">
        <v>34.65</v>
      </c>
      <c r="O506" s="70">
        <v>34.65</v>
      </c>
      <c r="P506" s="6">
        <v>0</v>
      </c>
      <c r="Q506" s="4" t="s">
        <v>26</v>
      </c>
      <c r="R506" s="4">
        <v>0</v>
      </c>
      <c r="S506" s="6">
        <v>22</v>
      </c>
      <c r="T506" s="6">
        <v>23</v>
      </c>
      <c r="U506" s="6">
        <v>79</v>
      </c>
      <c r="V506" s="70">
        <f>IF(ISERROR(VLOOKUP($S$506,'TAR FIN'!$A$1:$O$116,15,0)),0,VLOOKUP($S$506,'TAR FIN'!$A$1:$O$116,15,0))*(1-0.04)</f>
        <v>24.489599999999999</v>
      </c>
      <c r="W506" s="70">
        <f>IF(ISERROR(VLOOKUP($T$506,'TAR FIN'!$A$1:$O$116,15,0)),0,VLOOKUP($T$506,'TAR FIN'!$A$1:$O$116,15,0))*(1-0.04)</f>
        <v>85.113599999999991</v>
      </c>
      <c r="X506" s="70">
        <f>IF(ISERROR(VLOOKUP($U$506,'TAR FIN'!$A$1:$O$116,15,0)),0,VLOOKUP($U$506,'TAR FIN'!$A$1:$O$116,15,0))*(1-0.04)</f>
        <v>298.59840000000003</v>
      </c>
      <c r="Y506" s="70">
        <f ca="1">('TUSD BE'!$AM$26+'TUSD BF'!$AM$26+'TUSD CVA'!$AM$26)*1*(1-0.02)</f>
        <v>29.207201461919809</v>
      </c>
      <c r="Z506" s="70">
        <f ca="1">('TUSD BE'!$AM$27+'TUSD BF'!$AM$27+'TUSD CVA'!$AM$27)*1*(1-0.02)</f>
        <v>134.68713722640669</v>
      </c>
      <c r="AA506" s="70">
        <f>('TE BE'!$AB$10+'TE BF'!$AB$10+'TE CVA'!$AB$10)*1*(1-0.02)</f>
        <v>306.96449101990191</v>
      </c>
      <c r="AB506" s="6">
        <f>$K$506*$V$506</f>
        <v>2914.2624000000001</v>
      </c>
      <c r="AC506" s="6">
        <f>$M$506*$W$506</f>
        <v>2949.1862399999995</v>
      </c>
      <c r="AD506" s="6">
        <f>$O$506*$X$506</f>
        <v>10346.43456</v>
      </c>
      <c r="AE506" s="6">
        <f ca="1">$K$506*$Y$506</f>
        <v>3475.6569739684574</v>
      </c>
      <c r="AF506" s="6">
        <f ca="1">$M$506*$Z$506</f>
        <v>4666.9093048949917</v>
      </c>
      <c r="AG506" s="6">
        <f>$O$506*$AA$506</f>
        <v>10636.319613839602</v>
      </c>
    </row>
    <row r="507" spans="1:33" ht="11.25" customHeight="1" x14ac:dyDescent="0.25">
      <c r="A507" s="4" t="s">
        <v>21</v>
      </c>
      <c r="B507" s="4" t="s">
        <v>41</v>
      </c>
      <c r="C507" s="4" t="s">
        <v>40</v>
      </c>
      <c r="D507" s="4" t="s">
        <v>45</v>
      </c>
      <c r="E507" s="4" t="s">
        <v>25</v>
      </c>
      <c r="F507" s="4" t="s">
        <v>25</v>
      </c>
      <c r="G507" s="4" t="s">
        <v>25</v>
      </c>
      <c r="H507" s="4" t="s">
        <v>35</v>
      </c>
      <c r="I507" s="5">
        <v>44440</v>
      </c>
      <c r="J507" s="6">
        <v>124</v>
      </c>
      <c r="K507" s="70">
        <v>124</v>
      </c>
      <c r="L507" s="6">
        <v>31.79</v>
      </c>
      <c r="M507" s="70">
        <v>31.79</v>
      </c>
      <c r="N507" s="6">
        <v>31.79</v>
      </c>
      <c r="O507" s="70">
        <v>31.79</v>
      </c>
      <c r="P507" s="6">
        <v>0</v>
      </c>
      <c r="Q507" s="4" t="s">
        <v>26</v>
      </c>
      <c r="R507" s="4">
        <v>0</v>
      </c>
      <c r="S507" s="6">
        <v>22</v>
      </c>
      <c r="T507" s="6">
        <v>23</v>
      </c>
      <c r="U507" s="6">
        <v>79</v>
      </c>
      <c r="V507" s="70">
        <f>IF(ISERROR(VLOOKUP($S$507,'TAR FIN'!$A$1:$O$116,15,0)),0,VLOOKUP($S$507,'TAR FIN'!$A$1:$O$116,15,0))*(1-0.04)</f>
        <v>24.489599999999999</v>
      </c>
      <c r="W507" s="70">
        <f>IF(ISERROR(VLOOKUP($T$507,'TAR FIN'!$A$1:$O$116,15,0)),0,VLOOKUP($T$507,'TAR FIN'!$A$1:$O$116,15,0))*(1-0.04)</f>
        <v>85.113599999999991</v>
      </c>
      <c r="X507" s="70">
        <f>IF(ISERROR(VLOOKUP($U$507,'TAR FIN'!$A$1:$O$116,15,0)),0,VLOOKUP($U$507,'TAR FIN'!$A$1:$O$116,15,0))*(1-0.04)</f>
        <v>298.59840000000003</v>
      </c>
      <c r="Y507" s="70">
        <f ca="1">('TUSD BE'!$AM$26+'TUSD BF'!$AM$26+'TUSD CVA'!$AM$26)*1*(1-0.02)</f>
        <v>29.207201461919809</v>
      </c>
      <c r="Z507" s="70">
        <f ca="1">('TUSD BE'!$AM$27+'TUSD BF'!$AM$27+'TUSD CVA'!$AM$27)*1*(1-0.02)</f>
        <v>134.68713722640669</v>
      </c>
      <c r="AA507" s="70">
        <f>('TE BE'!$AB$10+'TE BF'!$AB$10+'TE CVA'!$AB$10)*1*(1-0.02)</f>
        <v>306.96449101990191</v>
      </c>
      <c r="AB507" s="6">
        <f>$K$507*$V$507</f>
        <v>3036.7103999999999</v>
      </c>
      <c r="AC507" s="6">
        <f>$M$507*$W$507</f>
        <v>2705.7613439999996</v>
      </c>
      <c r="AD507" s="6">
        <f>$O$507*$X$507</f>
        <v>9492.4431359999999</v>
      </c>
      <c r="AE507" s="6">
        <f ca="1">$K$507*$Y$507</f>
        <v>3621.6929812780563</v>
      </c>
      <c r="AF507" s="6">
        <f ca="1">$M$507*$Z$507</f>
        <v>4281.7040924274688</v>
      </c>
      <c r="AG507" s="6">
        <f>$O$507*$AA$507</f>
        <v>9758.4011695226818</v>
      </c>
    </row>
    <row r="508" spans="1:33" ht="11.25" customHeight="1" x14ac:dyDescent="0.25">
      <c r="A508" s="4" t="s">
        <v>21</v>
      </c>
      <c r="B508" s="4" t="s">
        <v>41</v>
      </c>
      <c r="C508" s="4" t="s">
        <v>40</v>
      </c>
      <c r="D508" s="4" t="s">
        <v>45</v>
      </c>
      <c r="E508" s="4" t="s">
        <v>25</v>
      </c>
      <c r="F508" s="4" t="s">
        <v>25</v>
      </c>
      <c r="G508" s="4" t="s">
        <v>25</v>
      </c>
      <c r="H508" s="4" t="s">
        <v>35</v>
      </c>
      <c r="I508" s="5">
        <v>44470</v>
      </c>
      <c r="J508" s="6">
        <v>133</v>
      </c>
      <c r="K508" s="70">
        <v>133</v>
      </c>
      <c r="L508" s="6">
        <v>31.35</v>
      </c>
      <c r="M508" s="70">
        <v>31.35</v>
      </c>
      <c r="N508" s="6">
        <v>31.35</v>
      </c>
      <c r="O508" s="70">
        <v>31.35</v>
      </c>
      <c r="P508" s="6">
        <v>0</v>
      </c>
      <c r="Q508" s="4" t="s">
        <v>26</v>
      </c>
      <c r="R508" s="4">
        <v>0</v>
      </c>
      <c r="S508" s="6">
        <v>22</v>
      </c>
      <c r="T508" s="6">
        <v>23</v>
      </c>
      <c r="U508" s="6">
        <v>79</v>
      </c>
      <c r="V508" s="70">
        <f>IF(ISERROR(VLOOKUP($S$508,'TAR FIN'!$A$1:$O$116,15,0)),0,VLOOKUP($S$508,'TAR FIN'!$A$1:$O$116,15,0))*(1-0.04)</f>
        <v>24.489599999999999</v>
      </c>
      <c r="W508" s="70">
        <f>IF(ISERROR(VLOOKUP($T$508,'TAR FIN'!$A$1:$O$116,15,0)),0,VLOOKUP($T$508,'TAR FIN'!$A$1:$O$116,15,0))*(1-0.04)</f>
        <v>85.113599999999991</v>
      </c>
      <c r="X508" s="70">
        <f>IF(ISERROR(VLOOKUP($U$508,'TAR FIN'!$A$1:$O$116,15,0)),0,VLOOKUP($U$508,'TAR FIN'!$A$1:$O$116,15,0))*(1-0.04)</f>
        <v>298.59840000000003</v>
      </c>
      <c r="Y508" s="70">
        <f ca="1">('TUSD BE'!$AM$26+'TUSD BF'!$AM$26+'TUSD CVA'!$AM$26)*1*(1-0.02)</f>
        <v>29.207201461919809</v>
      </c>
      <c r="Z508" s="70">
        <f ca="1">('TUSD BE'!$AM$27+'TUSD BF'!$AM$27+'TUSD CVA'!$AM$27)*1*(1-0.02)</f>
        <v>134.68713722640669</v>
      </c>
      <c r="AA508" s="70">
        <f>('TE BE'!$AB$10+'TE BF'!$AB$10+'TE CVA'!$AB$10)*1*(1-0.02)</f>
        <v>306.96449101990191</v>
      </c>
      <c r="AB508" s="6">
        <f>$K$508*$V$508</f>
        <v>3257.1167999999998</v>
      </c>
      <c r="AC508" s="6">
        <f>$M$508*$W$508</f>
        <v>2668.3113599999997</v>
      </c>
      <c r="AD508" s="6">
        <f>$O$508*$X$508</f>
        <v>9361.0598400000017</v>
      </c>
      <c r="AE508" s="6">
        <f ca="1">$K$508*$Y$508</f>
        <v>3884.5577944353345</v>
      </c>
      <c r="AF508" s="6">
        <f ca="1">$M$508*$Z$508</f>
        <v>4222.4417520478501</v>
      </c>
      <c r="AG508" s="6">
        <f>$O$508*$AA$508</f>
        <v>9623.3367934739254</v>
      </c>
    </row>
    <row r="509" spans="1:33" ht="11.25" customHeight="1" x14ac:dyDescent="0.25">
      <c r="A509" s="4" t="s">
        <v>21</v>
      </c>
      <c r="B509" s="4" t="s">
        <v>41</v>
      </c>
      <c r="C509" s="4" t="s">
        <v>40</v>
      </c>
      <c r="D509" s="4" t="s">
        <v>45</v>
      </c>
      <c r="E509" s="4" t="s">
        <v>25</v>
      </c>
      <c r="F509" s="4" t="s">
        <v>25</v>
      </c>
      <c r="G509" s="4" t="s">
        <v>25</v>
      </c>
      <c r="H509" s="4" t="s">
        <v>35</v>
      </c>
      <c r="I509" s="5">
        <v>44501</v>
      </c>
      <c r="J509" s="6">
        <v>13</v>
      </c>
      <c r="K509" s="70">
        <v>13</v>
      </c>
      <c r="L509" s="6">
        <v>31.02</v>
      </c>
      <c r="M509" s="70">
        <v>31.02</v>
      </c>
      <c r="N509" s="6">
        <v>31.02</v>
      </c>
      <c r="O509" s="70">
        <v>31.02</v>
      </c>
      <c r="P509" s="6">
        <v>0</v>
      </c>
      <c r="Q509" s="4" t="s">
        <v>26</v>
      </c>
      <c r="R509" s="4">
        <v>0</v>
      </c>
      <c r="S509" s="6">
        <v>22</v>
      </c>
      <c r="T509" s="6">
        <v>23</v>
      </c>
      <c r="U509" s="6">
        <v>79</v>
      </c>
      <c r="V509" s="70">
        <f>IF(ISERROR(VLOOKUP($S$509,'TAR FIN'!$A$1:$O$116,15,0)),0,VLOOKUP($S$509,'TAR FIN'!$A$1:$O$116,15,0))*(1-0.04)</f>
        <v>24.489599999999999</v>
      </c>
      <c r="W509" s="70">
        <f>IF(ISERROR(VLOOKUP($T$509,'TAR FIN'!$A$1:$O$116,15,0)),0,VLOOKUP($T$509,'TAR FIN'!$A$1:$O$116,15,0))*(1-0.04)</f>
        <v>85.113599999999991</v>
      </c>
      <c r="X509" s="70">
        <f>IF(ISERROR(VLOOKUP($U$509,'TAR FIN'!$A$1:$O$116,15,0)),0,VLOOKUP($U$509,'TAR FIN'!$A$1:$O$116,15,0))*(1-0.04)</f>
        <v>298.59840000000003</v>
      </c>
      <c r="Y509" s="70">
        <f ca="1">('TUSD BE'!$AM$26+'TUSD BF'!$AM$26+'TUSD CVA'!$AM$26)*1*(1-0.02)</f>
        <v>29.207201461919809</v>
      </c>
      <c r="Z509" s="70">
        <f ca="1">('TUSD BE'!$AM$27+'TUSD BF'!$AM$27+'TUSD CVA'!$AM$27)*1*(1-0.02)</f>
        <v>134.68713722640669</v>
      </c>
      <c r="AA509" s="70">
        <f>('TE BE'!$AB$10+'TE BF'!$AB$10+'TE CVA'!$AB$10)*1*(1-0.02)</f>
        <v>306.96449101990191</v>
      </c>
      <c r="AB509" s="6">
        <f>$K$509*$V$509</f>
        <v>318.3648</v>
      </c>
      <c r="AC509" s="6">
        <f>$M$509*$W$509</f>
        <v>2640.2238719999996</v>
      </c>
      <c r="AD509" s="6">
        <f>$O$509*$X$509</f>
        <v>9262.5223679999999</v>
      </c>
      <c r="AE509" s="6">
        <f ca="1">$K$509*$Y$509</f>
        <v>379.6936190049575</v>
      </c>
      <c r="AF509" s="6">
        <f ca="1">$M$509*$Z$509</f>
        <v>4177.9949967631355</v>
      </c>
      <c r="AG509" s="6">
        <f>$O$509*$AA$509</f>
        <v>9522.0385114373566</v>
      </c>
    </row>
    <row r="510" spans="1:33" ht="11.25" customHeight="1" x14ac:dyDescent="0.25">
      <c r="A510" s="4" t="s">
        <v>21</v>
      </c>
      <c r="B510" s="4" t="s">
        <v>41</v>
      </c>
      <c r="C510" s="4" t="s">
        <v>40</v>
      </c>
      <c r="D510" s="4" t="s">
        <v>45</v>
      </c>
      <c r="E510" s="4" t="s">
        <v>25</v>
      </c>
      <c r="F510" s="4" t="s">
        <v>25</v>
      </c>
      <c r="G510" s="4" t="s">
        <v>25</v>
      </c>
      <c r="H510" s="4" t="s">
        <v>35</v>
      </c>
      <c r="I510" s="5">
        <v>44531</v>
      </c>
      <c r="J510" s="6">
        <v>13</v>
      </c>
      <c r="K510" s="70">
        <v>13</v>
      </c>
      <c r="L510" s="6">
        <v>30.69</v>
      </c>
      <c r="M510" s="70">
        <v>30.69</v>
      </c>
      <c r="N510" s="6">
        <v>30.69</v>
      </c>
      <c r="O510" s="70">
        <v>30.69</v>
      </c>
      <c r="P510" s="6">
        <v>0</v>
      </c>
      <c r="Q510" s="4" t="s">
        <v>26</v>
      </c>
      <c r="R510" s="4">
        <v>0</v>
      </c>
      <c r="S510" s="6">
        <v>22</v>
      </c>
      <c r="T510" s="6">
        <v>23</v>
      </c>
      <c r="U510" s="6">
        <v>79</v>
      </c>
      <c r="V510" s="70">
        <f>IF(ISERROR(VLOOKUP($S$510,'TAR FIN'!$A$1:$O$116,15,0)),0,VLOOKUP($S$510,'TAR FIN'!$A$1:$O$116,15,0))*(1-0.04)</f>
        <v>24.489599999999999</v>
      </c>
      <c r="W510" s="70">
        <f>IF(ISERROR(VLOOKUP($T$510,'TAR FIN'!$A$1:$O$116,15,0)),0,VLOOKUP($T$510,'TAR FIN'!$A$1:$O$116,15,0))*(1-0.04)</f>
        <v>85.113599999999991</v>
      </c>
      <c r="X510" s="70">
        <f>IF(ISERROR(VLOOKUP($U$510,'TAR FIN'!$A$1:$O$116,15,0)),0,VLOOKUP($U$510,'TAR FIN'!$A$1:$O$116,15,0))*(1-0.04)</f>
        <v>298.59840000000003</v>
      </c>
      <c r="Y510" s="70">
        <f ca="1">('TUSD BE'!$AM$26+'TUSD BF'!$AM$26+'TUSD CVA'!$AM$26)*1*(1-0.02)</f>
        <v>29.207201461919809</v>
      </c>
      <c r="Z510" s="70">
        <f ca="1">('TUSD BE'!$AM$27+'TUSD BF'!$AM$27+'TUSD CVA'!$AM$27)*1*(1-0.02)</f>
        <v>134.68713722640669</v>
      </c>
      <c r="AA510" s="70">
        <f>('TE BE'!$AB$10+'TE BF'!$AB$10+'TE CVA'!$AB$10)*1*(1-0.02)</f>
        <v>306.96449101990191</v>
      </c>
      <c r="AB510" s="6">
        <f>$K$510*$V$510</f>
        <v>318.3648</v>
      </c>
      <c r="AC510" s="6">
        <f>$M$510*$W$510</f>
        <v>2612.1363839999999</v>
      </c>
      <c r="AD510" s="6">
        <f>$O$510*$X$510</f>
        <v>9163.9848960000018</v>
      </c>
      <c r="AE510" s="6">
        <f ca="1">$K$510*$Y$510</f>
        <v>379.6936190049575</v>
      </c>
      <c r="AF510" s="6">
        <f ca="1">$M$510*$Z$510</f>
        <v>4133.5482414784219</v>
      </c>
      <c r="AG510" s="6">
        <f>$O$510*$AA$510</f>
        <v>9420.7402294007898</v>
      </c>
    </row>
    <row r="511" spans="1:33" ht="11.25" customHeight="1" x14ac:dyDescent="0.25">
      <c r="A511" s="4" t="s">
        <v>21</v>
      </c>
      <c r="B511" s="4" t="s">
        <v>41</v>
      </c>
      <c r="C511" s="4" t="s">
        <v>40</v>
      </c>
      <c r="D511" s="4" t="s">
        <v>45</v>
      </c>
      <c r="E511" s="4" t="s">
        <v>25</v>
      </c>
      <c r="F511" s="4" t="s">
        <v>25</v>
      </c>
      <c r="G511" s="4" t="s">
        <v>25</v>
      </c>
      <c r="H511" s="4" t="s">
        <v>35</v>
      </c>
      <c r="I511" s="5">
        <v>44562</v>
      </c>
      <c r="J511" s="6">
        <v>13</v>
      </c>
      <c r="K511" s="70">
        <v>13</v>
      </c>
      <c r="L511" s="6">
        <v>30.672000000000001</v>
      </c>
      <c r="M511" s="70">
        <v>30.672000000000001</v>
      </c>
      <c r="N511" s="6">
        <v>30.672000000000001</v>
      </c>
      <c r="O511" s="70">
        <v>30.672000000000001</v>
      </c>
      <c r="P511" s="6">
        <v>0</v>
      </c>
      <c r="Q511" s="4" t="s">
        <v>26</v>
      </c>
      <c r="R511" s="4">
        <v>0</v>
      </c>
      <c r="S511" s="6">
        <v>22</v>
      </c>
      <c r="T511" s="6">
        <v>23</v>
      </c>
      <c r="U511" s="6">
        <v>79</v>
      </c>
      <c r="V511" s="70">
        <f>IF(ISERROR(VLOOKUP($S$511,'TAR FIN'!$A$1:$O$116,15,0)),0,VLOOKUP($S$511,'TAR FIN'!$A$1:$O$116,15,0))*(1-0.04)</f>
        <v>24.489599999999999</v>
      </c>
      <c r="W511" s="70">
        <f>IF(ISERROR(VLOOKUP($T$511,'TAR FIN'!$A$1:$O$116,15,0)),0,VLOOKUP($T$511,'TAR FIN'!$A$1:$O$116,15,0))*(1-0.04)</f>
        <v>85.113599999999991</v>
      </c>
      <c r="X511" s="70">
        <f>IF(ISERROR(VLOOKUP($U$511,'TAR FIN'!$A$1:$O$116,15,0)),0,VLOOKUP($U$511,'TAR FIN'!$A$1:$O$116,15,0))*(1-0.04)</f>
        <v>298.59840000000003</v>
      </c>
      <c r="Y511" s="70">
        <f ca="1">('TUSD BE'!$AM$26+'TUSD BF'!$AM$26+'TUSD CVA'!$AM$26)*1*(1-0.02)</f>
        <v>29.207201461919809</v>
      </c>
      <c r="Z511" s="70">
        <f ca="1">('TUSD BE'!$AM$27+'TUSD BF'!$AM$27+'TUSD CVA'!$AM$27)*1*(1-0.02)</f>
        <v>134.68713722640669</v>
      </c>
      <c r="AA511" s="70">
        <f>('TE BE'!$AB$10+'TE BF'!$AB$10+'TE CVA'!$AB$10)*1*(1-0.02)</f>
        <v>306.96449101990191</v>
      </c>
      <c r="AB511" s="6">
        <f>$K$511*$V$511</f>
        <v>318.3648</v>
      </c>
      <c r="AC511" s="6">
        <f>$M$511*$W$511</f>
        <v>2610.6043391999997</v>
      </c>
      <c r="AD511" s="6">
        <f>$O$511*$X$511</f>
        <v>9158.6101248000014</v>
      </c>
      <c r="AE511" s="6">
        <f ca="1">$K$511*$Y$511</f>
        <v>379.6936190049575</v>
      </c>
      <c r="AF511" s="6">
        <f ca="1">$M$511*$Z$511</f>
        <v>4131.123873008346</v>
      </c>
      <c r="AG511" s="6">
        <f>$O$511*$AA$511</f>
        <v>9415.2148685624325</v>
      </c>
    </row>
    <row r="512" spans="1:33" ht="11.25" customHeight="1" x14ac:dyDescent="0.25">
      <c r="A512" s="4" t="s">
        <v>21</v>
      </c>
      <c r="B512" s="4" t="s">
        <v>41</v>
      </c>
      <c r="C512" s="4" t="s">
        <v>40</v>
      </c>
      <c r="D512" s="4" t="s">
        <v>45</v>
      </c>
      <c r="E512" s="4" t="s">
        <v>25</v>
      </c>
      <c r="F512" s="4" t="s">
        <v>25</v>
      </c>
      <c r="G512" s="4" t="s">
        <v>25</v>
      </c>
      <c r="H512" s="4" t="s">
        <v>35</v>
      </c>
      <c r="I512" s="5">
        <v>44593</v>
      </c>
      <c r="J512" s="6">
        <v>13</v>
      </c>
      <c r="K512" s="70">
        <v>13</v>
      </c>
      <c r="L512" s="6">
        <v>31.605</v>
      </c>
      <c r="M512" s="70">
        <v>31.605</v>
      </c>
      <c r="N512" s="6">
        <v>31.605</v>
      </c>
      <c r="O512" s="70">
        <v>31.605</v>
      </c>
      <c r="P512" s="6">
        <v>0</v>
      </c>
      <c r="Q512" s="4" t="s">
        <v>26</v>
      </c>
      <c r="R512" s="4">
        <v>0</v>
      </c>
      <c r="S512" s="6">
        <v>22</v>
      </c>
      <c r="T512" s="6">
        <v>23</v>
      </c>
      <c r="U512" s="6">
        <v>79</v>
      </c>
      <c r="V512" s="70">
        <f>IF(ISERROR(VLOOKUP($S$512,'TAR FIN'!$A$1:$O$116,15,0)),0,VLOOKUP($S$512,'TAR FIN'!$A$1:$O$116,15,0))*(1-0.04)</f>
        <v>24.489599999999999</v>
      </c>
      <c r="W512" s="70">
        <f>IF(ISERROR(VLOOKUP($T$512,'TAR FIN'!$A$1:$O$116,15,0)),0,VLOOKUP($T$512,'TAR FIN'!$A$1:$O$116,15,0))*(1-0.04)</f>
        <v>85.113599999999991</v>
      </c>
      <c r="X512" s="70">
        <f>IF(ISERROR(VLOOKUP($U$512,'TAR FIN'!$A$1:$O$116,15,0)),0,VLOOKUP($U$512,'TAR FIN'!$A$1:$O$116,15,0))*(1-0.04)</f>
        <v>298.59840000000003</v>
      </c>
      <c r="Y512" s="70">
        <f ca="1">('TUSD BE'!$AM$26+'TUSD BF'!$AM$26+'TUSD CVA'!$AM$26)*1*(1-0.02)</f>
        <v>29.207201461919809</v>
      </c>
      <c r="Z512" s="70">
        <f ca="1">('TUSD BE'!$AM$27+'TUSD BF'!$AM$27+'TUSD CVA'!$AM$27)*1*(1-0.02)</f>
        <v>134.68713722640669</v>
      </c>
      <c r="AA512" s="70">
        <f>('TE BE'!$AB$10+'TE BF'!$AB$10+'TE CVA'!$AB$10)*1*(1-0.02)</f>
        <v>306.96449101990191</v>
      </c>
      <c r="AB512" s="6">
        <f>$K$512*$V$512</f>
        <v>318.3648</v>
      </c>
      <c r="AC512" s="6">
        <f>$M$512*$W$512</f>
        <v>2690.015328</v>
      </c>
      <c r="AD512" s="6">
        <f>$O$512*$X$512</f>
        <v>9437.2024320000019</v>
      </c>
      <c r="AE512" s="6">
        <f ca="1">$K$512*$Y$512</f>
        <v>379.6936190049575</v>
      </c>
      <c r="AF512" s="6">
        <f ca="1">$M$512*$Z$512</f>
        <v>4256.7869720405834</v>
      </c>
      <c r="AG512" s="6">
        <f>$O$512*$AA$512</f>
        <v>9701.6127386839999</v>
      </c>
    </row>
    <row r="513" spans="1:33" ht="11.25" customHeight="1" x14ac:dyDescent="0.25">
      <c r="A513" s="4" t="s">
        <v>21</v>
      </c>
      <c r="B513" s="4" t="s">
        <v>41</v>
      </c>
      <c r="C513" s="4" t="s">
        <v>40</v>
      </c>
      <c r="D513" s="4" t="s">
        <v>45</v>
      </c>
      <c r="E513" s="4" t="s">
        <v>25</v>
      </c>
      <c r="F513" s="4" t="s">
        <v>25</v>
      </c>
      <c r="G513" s="4" t="s">
        <v>25</v>
      </c>
      <c r="H513" s="4" t="s">
        <v>35</v>
      </c>
      <c r="I513" s="5">
        <v>44621</v>
      </c>
      <c r="J513" s="6">
        <v>116</v>
      </c>
      <c r="K513" s="70">
        <v>116</v>
      </c>
      <c r="L513" s="6">
        <v>36.561</v>
      </c>
      <c r="M513" s="70">
        <v>36.561</v>
      </c>
      <c r="N513" s="6">
        <v>36.561</v>
      </c>
      <c r="O513" s="70">
        <v>36.561</v>
      </c>
      <c r="P513" s="6">
        <v>0</v>
      </c>
      <c r="Q513" s="4" t="s">
        <v>26</v>
      </c>
      <c r="R513" s="4">
        <v>0</v>
      </c>
      <c r="S513" s="6">
        <v>22</v>
      </c>
      <c r="T513" s="6">
        <v>23</v>
      </c>
      <c r="U513" s="6">
        <v>79</v>
      </c>
      <c r="V513" s="70">
        <f>IF(ISERROR(VLOOKUP($S$513,'TAR FIN'!$A$1:$O$116,15,0)),0,VLOOKUP($S$513,'TAR FIN'!$A$1:$O$116,15,0))*(1-0.04)</f>
        <v>24.489599999999999</v>
      </c>
      <c r="W513" s="70">
        <f>IF(ISERROR(VLOOKUP($T$513,'TAR FIN'!$A$1:$O$116,15,0)),0,VLOOKUP($T$513,'TAR FIN'!$A$1:$O$116,15,0))*(1-0.04)</f>
        <v>85.113599999999991</v>
      </c>
      <c r="X513" s="70">
        <f>IF(ISERROR(VLOOKUP($U$513,'TAR FIN'!$A$1:$O$116,15,0)),0,VLOOKUP($U$513,'TAR FIN'!$A$1:$O$116,15,0))*(1-0.04)</f>
        <v>298.59840000000003</v>
      </c>
      <c r="Y513" s="70">
        <f ca="1">('TUSD BE'!$AM$26+'TUSD BF'!$AM$26+'TUSD CVA'!$AM$26)*1*(1-0.02)</f>
        <v>29.207201461919809</v>
      </c>
      <c r="Z513" s="70">
        <f ca="1">('TUSD BE'!$AM$27+'TUSD BF'!$AM$27+'TUSD CVA'!$AM$27)*1*(1-0.02)</f>
        <v>134.68713722640669</v>
      </c>
      <c r="AA513" s="70">
        <f>('TE BE'!$AB$10+'TE BF'!$AB$10+'TE CVA'!$AB$10)*1*(1-0.02)</f>
        <v>306.96449101990191</v>
      </c>
      <c r="AB513" s="6">
        <f>$K$513*$V$513</f>
        <v>2840.7936</v>
      </c>
      <c r="AC513" s="6">
        <f>$M$513*$W$513</f>
        <v>3111.8383295999997</v>
      </c>
      <c r="AD513" s="6">
        <f>$O$513*$X$513</f>
        <v>10917.056102400002</v>
      </c>
      <c r="AE513" s="6">
        <f ca="1">$K$513*$Y$513</f>
        <v>3388.035369582698</v>
      </c>
      <c r="AF513" s="6">
        <f ca="1">$M$513*$Z$513</f>
        <v>4924.2964241346554</v>
      </c>
      <c r="AG513" s="6">
        <f>$O$513*$AA$513</f>
        <v>11222.928756178633</v>
      </c>
    </row>
    <row r="514" spans="1:33" ht="11.25" customHeight="1" x14ac:dyDescent="0.25">
      <c r="A514" s="4" t="s">
        <v>21</v>
      </c>
      <c r="B514" s="4" t="s">
        <v>41</v>
      </c>
      <c r="C514" s="4" t="s">
        <v>40</v>
      </c>
      <c r="D514" s="4" t="s">
        <v>45</v>
      </c>
      <c r="E514" s="4" t="s">
        <v>25</v>
      </c>
      <c r="F514" s="4" t="s">
        <v>25</v>
      </c>
      <c r="G514" s="4" t="s">
        <v>25</v>
      </c>
      <c r="H514" s="4" t="s">
        <v>35</v>
      </c>
      <c r="I514" s="5">
        <v>44652</v>
      </c>
      <c r="J514" s="6">
        <v>125</v>
      </c>
      <c r="K514" s="70">
        <v>125</v>
      </c>
      <c r="L514" s="6">
        <v>31.76</v>
      </c>
      <c r="M514" s="70">
        <v>31.76</v>
      </c>
      <c r="N514" s="6">
        <v>31.76</v>
      </c>
      <c r="O514" s="70">
        <v>31.76</v>
      </c>
      <c r="P514" s="6">
        <v>0</v>
      </c>
      <c r="Q514" s="4" t="s">
        <v>26</v>
      </c>
      <c r="R514" s="4">
        <v>0</v>
      </c>
      <c r="S514" s="6">
        <v>22</v>
      </c>
      <c r="T514" s="6">
        <v>23</v>
      </c>
      <c r="U514" s="6">
        <v>79</v>
      </c>
      <c r="V514" s="70">
        <f>IF(ISERROR(VLOOKUP($S$514,'TAR FIN'!$A$1:$O$116,15,0)),0,VLOOKUP($S$514,'TAR FIN'!$A$1:$O$116,15,0))*(1-0.04)</f>
        <v>24.489599999999999</v>
      </c>
      <c r="W514" s="70">
        <f>IF(ISERROR(VLOOKUP($T$514,'TAR FIN'!$A$1:$O$116,15,0)),0,VLOOKUP($T$514,'TAR FIN'!$A$1:$O$116,15,0))*(1-0.04)</f>
        <v>85.113599999999991</v>
      </c>
      <c r="X514" s="70">
        <f>IF(ISERROR(VLOOKUP($U$514,'TAR FIN'!$A$1:$O$116,15,0)),0,VLOOKUP($U$514,'TAR FIN'!$A$1:$O$116,15,0))*(1-0.04)</f>
        <v>298.59840000000003</v>
      </c>
      <c r="Y514" s="70">
        <f ca="1">('TUSD BE'!$AM$26+'TUSD BF'!$AM$26+'TUSD CVA'!$AM$26)*1*(1-0.02)</f>
        <v>29.207201461919809</v>
      </c>
      <c r="Z514" s="70">
        <f ca="1">('TUSD BE'!$AM$27+'TUSD BF'!$AM$27+'TUSD CVA'!$AM$27)*1*(1-0.02)</f>
        <v>134.68713722640669</v>
      </c>
      <c r="AA514" s="70">
        <f>('TE BE'!$AB$10+'TE BF'!$AB$10+'TE CVA'!$AB$10)*1*(1-0.02)</f>
        <v>306.96449101990191</v>
      </c>
      <c r="AB514" s="6">
        <f>$K$514*$V$514</f>
        <v>3061.2</v>
      </c>
      <c r="AC514" s="6">
        <f>$M$514*$W$514</f>
        <v>2703.2079359999998</v>
      </c>
      <c r="AD514" s="6">
        <f>$O$514*$X$514</f>
        <v>9483.485184000001</v>
      </c>
      <c r="AE514" s="6">
        <f ca="1">$K$514*$Y$514</f>
        <v>3650.9001827399761</v>
      </c>
      <c r="AF514" s="6">
        <f ca="1">$M$514*$Z$514</f>
        <v>4277.6634783106765</v>
      </c>
      <c r="AG514" s="6">
        <f>$O$514*$AA$514</f>
        <v>9749.1922347920845</v>
      </c>
    </row>
    <row r="515" spans="1:33" ht="11.25" customHeight="1" x14ac:dyDescent="0.25">
      <c r="A515" s="4" t="s">
        <v>58</v>
      </c>
      <c r="B515" s="4" t="s">
        <v>41</v>
      </c>
      <c r="C515" s="4" t="s">
        <v>40</v>
      </c>
      <c r="D515" s="4" t="s">
        <v>45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44682</v>
      </c>
      <c r="J515" s="6">
        <v>125</v>
      </c>
      <c r="K515" s="70">
        <v>125</v>
      </c>
      <c r="L515" s="6">
        <v>31.76</v>
      </c>
      <c r="M515" s="70">
        <v>31.76</v>
      </c>
      <c r="N515" s="6">
        <v>31.76</v>
      </c>
      <c r="O515" s="70">
        <v>31.76</v>
      </c>
      <c r="P515" s="6">
        <v>0</v>
      </c>
      <c r="Q515" s="4" t="s">
        <v>26</v>
      </c>
      <c r="R515" s="4">
        <v>0</v>
      </c>
      <c r="S515" s="6">
        <v>22</v>
      </c>
      <c r="T515" s="6">
        <v>23</v>
      </c>
      <c r="U515" s="6">
        <v>79</v>
      </c>
      <c r="V515" s="70">
        <f>IF(ISERROR(VLOOKUP($S$515,'TAR FIN'!$A$1:$O$116,15,0)),0,VLOOKUP($S$515,'TAR FIN'!$A$1:$O$116,15,0))*(1-0.04)</f>
        <v>24.489599999999999</v>
      </c>
      <c r="W515" s="70">
        <f>IF(ISERROR(VLOOKUP($T$515,'TAR FIN'!$A$1:$O$116,15,0)),0,VLOOKUP($T$515,'TAR FIN'!$A$1:$O$116,15,0))*(1-0.04)</f>
        <v>85.113599999999991</v>
      </c>
      <c r="X515" s="70">
        <f>IF(ISERROR(VLOOKUP($U$515,'TAR FIN'!$A$1:$O$116,15,0)),0,VLOOKUP($U$515,'TAR FIN'!$A$1:$O$116,15,0))*(1-0.04)</f>
        <v>298.59840000000003</v>
      </c>
      <c r="Y515" s="70">
        <f ca="1">('TUSD BE'!$AM$26+'TUSD BF'!$AM$26+'TUSD CVA'!$AM$26)*1*(1-0.02)</f>
        <v>29.207201461919809</v>
      </c>
      <c r="Z515" s="70">
        <f ca="1">('TUSD BE'!$AM$27+'TUSD BF'!$AM$27+'TUSD CVA'!$AM$27)*1*(1-0.02)</f>
        <v>134.68713722640669</v>
      </c>
      <c r="AA515" s="70">
        <f>('TE BE'!$AB$10+'TE BF'!$AB$10+'TE CVA'!$AB$10)*1*(1-0.02)</f>
        <v>306.96449101990191</v>
      </c>
      <c r="AB515" s="6">
        <f>$K$515*$V$515</f>
        <v>3061.2</v>
      </c>
      <c r="AC515" s="6">
        <f>$M$515*$W$515</f>
        <v>2703.2079359999998</v>
      </c>
      <c r="AD515" s="6">
        <f>$O$515*$X$515</f>
        <v>9483.485184000001</v>
      </c>
      <c r="AE515" s="6">
        <f ca="1">$K$515*$Y$515</f>
        <v>3650.9001827399761</v>
      </c>
      <c r="AF515" s="6">
        <f ca="1">$M$515*$Z$515</f>
        <v>4277.6634783106765</v>
      </c>
      <c r="AG515" s="6">
        <f>$O$515*$AA$515</f>
        <v>9749.1922347920845</v>
      </c>
    </row>
    <row r="516" spans="1:33" ht="11.25" customHeight="1" x14ac:dyDescent="0.25">
      <c r="A516" s="4" t="s">
        <v>21</v>
      </c>
      <c r="B516" s="4" t="s">
        <v>41</v>
      </c>
      <c r="C516" s="4" t="s">
        <v>40</v>
      </c>
      <c r="D516" s="4" t="s">
        <v>45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44348</v>
      </c>
      <c r="J516" s="6">
        <v>52</v>
      </c>
      <c r="K516" s="70">
        <v>52</v>
      </c>
      <c r="L516" s="6">
        <v>2.97</v>
      </c>
      <c r="M516" s="70">
        <v>2.97</v>
      </c>
      <c r="N516" s="6">
        <v>2.97</v>
      </c>
      <c r="O516" s="70">
        <v>2.97</v>
      </c>
      <c r="P516" s="6">
        <v>0</v>
      </c>
      <c r="Q516" s="4" t="s">
        <v>26</v>
      </c>
      <c r="R516" s="4">
        <v>0</v>
      </c>
      <c r="S516" s="6">
        <v>21</v>
      </c>
      <c r="T516" s="6">
        <v>23</v>
      </c>
      <c r="U516" s="6">
        <v>78</v>
      </c>
      <c r="V516" s="70">
        <f>IF(ISERROR(VLOOKUP($S$516,'TAR FIN'!$A$1:$O$116,15,0)),0,VLOOKUP($S$516,'TAR FIN'!$A$1:$O$116,15,0))*(1-0.04)</f>
        <v>62.975999999999992</v>
      </c>
      <c r="W516" s="70">
        <f>IF(ISERROR(VLOOKUP($T$516,'TAR FIN'!$A$1:$O$116,15,0)),0,VLOOKUP($T$516,'TAR FIN'!$A$1:$O$116,15,0))*(1-0.04)</f>
        <v>85.113599999999991</v>
      </c>
      <c r="X516" s="70">
        <f>IF(ISERROR(VLOOKUP($U$516,'TAR FIN'!$A$1:$O$116,15,0)),0,VLOOKUP($U$516,'TAR FIN'!$A$1:$O$116,15,0))*(1-0.04)</f>
        <v>476.30399999999997</v>
      </c>
      <c r="Y516" s="70">
        <f ca="1">('TUSD BE'!$AM$25+'TUSD BF'!$AM$25+'TUSD CVA'!$AM$25)*1*(1-0.02)</f>
        <v>73.899666486668877</v>
      </c>
      <c r="Z516" s="70">
        <f ca="1">('TUSD BE'!$AM$27+'TUSD BF'!$AM$27+'TUSD CVA'!$AM$27)*1*(1-0.02)</f>
        <v>134.68713722640669</v>
      </c>
      <c r="AA516" s="70">
        <f>('TE BE'!$AB$9+'TE BF'!$AB$9+'TE CVA'!$AB$9)*1*(1-0.02)</f>
        <v>499.84893464590823</v>
      </c>
      <c r="AB516" s="6">
        <f>$K$516*$V$516</f>
        <v>3274.7519999999995</v>
      </c>
      <c r="AC516" s="6">
        <f>$M$516*$W$516</f>
        <v>252.78739199999998</v>
      </c>
      <c r="AD516" s="6">
        <f>$O$516*$X$516</f>
        <v>1414.6228800000001</v>
      </c>
      <c r="AE516" s="6">
        <f ca="1">$K$516*$Y$516</f>
        <v>3842.7826573067814</v>
      </c>
      <c r="AF516" s="6">
        <f ca="1">$M$516*$Z$516</f>
        <v>400.0207975624279</v>
      </c>
      <c r="AG516" s="6">
        <f>$O$516*$AA$516</f>
        <v>1484.5513358983476</v>
      </c>
    </row>
    <row r="517" spans="1:33" ht="11.25" customHeight="1" x14ac:dyDescent="0.25">
      <c r="A517" s="4" t="s">
        <v>21</v>
      </c>
      <c r="B517" s="4" t="s">
        <v>41</v>
      </c>
      <c r="C517" s="4" t="s">
        <v>40</v>
      </c>
      <c r="D517" s="4" t="s">
        <v>45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44378</v>
      </c>
      <c r="J517" s="6">
        <v>55</v>
      </c>
      <c r="K517" s="70">
        <v>55</v>
      </c>
      <c r="L517" s="6">
        <v>2.42</v>
      </c>
      <c r="M517" s="70">
        <v>2.42</v>
      </c>
      <c r="N517" s="6">
        <v>2.42</v>
      </c>
      <c r="O517" s="70">
        <v>2.42</v>
      </c>
      <c r="P517" s="6">
        <v>0</v>
      </c>
      <c r="Q517" s="4" t="s">
        <v>26</v>
      </c>
      <c r="R517" s="4">
        <v>0</v>
      </c>
      <c r="S517" s="6">
        <v>21</v>
      </c>
      <c r="T517" s="6">
        <v>23</v>
      </c>
      <c r="U517" s="6">
        <v>78</v>
      </c>
      <c r="V517" s="70">
        <f>IF(ISERROR(VLOOKUP($S$517,'TAR FIN'!$A$1:$O$116,15,0)),0,VLOOKUP($S$517,'TAR FIN'!$A$1:$O$116,15,0))*(1-0.04)</f>
        <v>62.975999999999992</v>
      </c>
      <c r="W517" s="70">
        <f>IF(ISERROR(VLOOKUP($T$517,'TAR FIN'!$A$1:$O$116,15,0)),0,VLOOKUP($T$517,'TAR FIN'!$A$1:$O$116,15,0))*(1-0.04)</f>
        <v>85.113599999999991</v>
      </c>
      <c r="X517" s="70">
        <f>IF(ISERROR(VLOOKUP($U$517,'TAR FIN'!$A$1:$O$116,15,0)),0,VLOOKUP($U$517,'TAR FIN'!$A$1:$O$116,15,0))*(1-0.04)</f>
        <v>476.30399999999997</v>
      </c>
      <c r="Y517" s="70">
        <f ca="1">('TUSD BE'!$AM$25+'TUSD BF'!$AM$25+'TUSD CVA'!$AM$25)*1*(1-0.02)</f>
        <v>73.899666486668877</v>
      </c>
      <c r="Z517" s="70">
        <f ca="1">('TUSD BE'!$AM$27+'TUSD BF'!$AM$27+'TUSD CVA'!$AM$27)*1*(1-0.02)</f>
        <v>134.68713722640669</v>
      </c>
      <c r="AA517" s="70">
        <f>('TE BE'!$AB$9+'TE BF'!$AB$9+'TE CVA'!$AB$9)*1*(1-0.02)</f>
        <v>499.84893464590823</v>
      </c>
      <c r="AB517" s="6">
        <f>$K$517*$V$517</f>
        <v>3463.6799999999994</v>
      </c>
      <c r="AC517" s="6">
        <f>$M$517*$W$517</f>
        <v>205.97491199999996</v>
      </c>
      <c r="AD517" s="6">
        <f>$O$517*$X$517</f>
        <v>1152.6556799999998</v>
      </c>
      <c r="AE517" s="6">
        <f ca="1">$K$517*$Y$517</f>
        <v>4064.4816567667881</v>
      </c>
      <c r="AF517" s="6">
        <f ca="1">$M$517*$Z$517</f>
        <v>325.94287208790416</v>
      </c>
      <c r="AG517" s="6">
        <f>$O$517*$AA$517</f>
        <v>1209.6344218430979</v>
      </c>
    </row>
    <row r="518" spans="1:33" ht="11.25" customHeight="1" x14ac:dyDescent="0.25">
      <c r="A518" s="4" t="s">
        <v>21</v>
      </c>
      <c r="B518" s="4" t="s">
        <v>41</v>
      </c>
      <c r="C518" s="4" t="s">
        <v>40</v>
      </c>
      <c r="D518" s="4" t="s">
        <v>45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44409</v>
      </c>
      <c r="J518" s="6">
        <v>55</v>
      </c>
      <c r="K518" s="70">
        <v>55</v>
      </c>
      <c r="L518" s="6">
        <v>2.42</v>
      </c>
      <c r="M518" s="70">
        <v>2.42</v>
      </c>
      <c r="N518" s="6">
        <v>2.42</v>
      </c>
      <c r="O518" s="70">
        <v>2.42</v>
      </c>
      <c r="P518" s="6">
        <v>0</v>
      </c>
      <c r="Q518" s="4" t="s">
        <v>26</v>
      </c>
      <c r="R518" s="4">
        <v>0</v>
      </c>
      <c r="S518" s="6">
        <v>21</v>
      </c>
      <c r="T518" s="6">
        <v>23</v>
      </c>
      <c r="U518" s="6">
        <v>78</v>
      </c>
      <c r="V518" s="70">
        <f>IF(ISERROR(VLOOKUP($S$518,'TAR FIN'!$A$1:$O$116,15,0)),0,VLOOKUP($S$518,'TAR FIN'!$A$1:$O$116,15,0))*(1-0.04)</f>
        <v>62.975999999999992</v>
      </c>
      <c r="W518" s="70">
        <f>IF(ISERROR(VLOOKUP($T$518,'TAR FIN'!$A$1:$O$116,15,0)),0,VLOOKUP($T$518,'TAR FIN'!$A$1:$O$116,15,0))*(1-0.04)</f>
        <v>85.113599999999991</v>
      </c>
      <c r="X518" s="70">
        <f>IF(ISERROR(VLOOKUP($U$518,'TAR FIN'!$A$1:$O$116,15,0)),0,VLOOKUP($U$518,'TAR FIN'!$A$1:$O$116,15,0))*(1-0.04)</f>
        <v>476.30399999999997</v>
      </c>
      <c r="Y518" s="70">
        <f ca="1">('TUSD BE'!$AM$25+'TUSD BF'!$AM$25+'TUSD CVA'!$AM$25)*1*(1-0.02)</f>
        <v>73.899666486668877</v>
      </c>
      <c r="Z518" s="70">
        <f ca="1">('TUSD BE'!$AM$27+'TUSD BF'!$AM$27+'TUSD CVA'!$AM$27)*1*(1-0.02)</f>
        <v>134.68713722640669</v>
      </c>
      <c r="AA518" s="70">
        <f>('TE BE'!$AB$9+'TE BF'!$AB$9+'TE CVA'!$AB$9)*1*(1-0.02)</f>
        <v>499.84893464590823</v>
      </c>
      <c r="AB518" s="6">
        <f>$K$518*$V$518</f>
        <v>3463.6799999999994</v>
      </c>
      <c r="AC518" s="6">
        <f>$M$518*$W$518</f>
        <v>205.97491199999996</v>
      </c>
      <c r="AD518" s="6">
        <f>$O$518*$X$518</f>
        <v>1152.6556799999998</v>
      </c>
      <c r="AE518" s="6">
        <f ca="1">$K$518*$Y$518</f>
        <v>4064.4816567667881</v>
      </c>
      <c r="AF518" s="6">
        <f ca="1">$M$518*$Z$518</f>
        <v>325.94287208790416</v>
      </c>
      <c r="AG518" s="6">
        <f>$O$518*$AA$518</f>
        <v>1209.6344218430979</v>
      </c>
    </row>
    <row r="519" spans="1:33" ht="11.25" customHeight="1" x14ac:dyDescent="0.25">
      <c r="A519" s="4" t="s">
        <v>21</v>
      </c>
      <c r="B519" s="4" t="s">
        <v>41</v>
      </c>
      <c r="C519" s="4" t="s">
        <v>40</v>
      </c>
      <c r="D519" s="4" t="s">
        <v>45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44440</v>
      </c>
      <c r="J519" s="6">
        <v>55</v>
      </c>
      <c r="K519" s="70">
        <v>55</v>
      </c>
      <c r="L519" s="6">
        <v>2.09</v>
      </c>
      <c r="M519" s="70">
        <v>2.09</v>
      </c>
      <c r="N519" s="6">
        <v>2.09</v>
      </c>
      <c r="O519" s="70">
        <v>2.09</v>
      </c>
      <c r="P519" s="6">
        <v>0</v>
      </c>
      <c r="Q519" s="4" t="s">
        <v>26</v>
      </c>
      <c r="R519" s="4">
        <v>0</v>
      </c>
      <c r="S519" s="6">
        <v>21</v>
      </c>
      <c r="T519" s="6">
        <v>23</v>
      </c>
      <c r="U519" s="6">
        <v>78</v>
      </c>
      <c r="V519" s="70">
        <f>IF(ISERROR(VLOOKUP($S$519,'TAR FIN'!$A$1:$O$116,15,0)),0,VLOOKUP($S$519,'TAR FIN'!$A$1:$O$116,15,0))*(1-0.04)</f>
        <v>62.975999999999992</v>
      </c>
      <c r="W519" s="70">
        <f>IF(ISERROR(VLOOKUP($T$519,'TAR FIN'!$A$1:$O$116,15,0)),0,VLOOKUP($T$519,'TAR FIN'!$A$1:$O$116,15,0))*(1-0.04)</f>
        <v>85.113599999999991</v>
      </c>
      <c r="X519" s="70">
        <f>IF(ISERROR(VLOOKUP($U$519,'TAR FIN'!$A$1:$O$116,15,0)),0,VLOOKUP($U$519,'TAR FIN'!$A$1:$O$116,15,0))*(1-0.04)</f>
        <v>476.30399999999997</v>
      </c>
      <c r="Y519" s="70">
        <f ca="1">('TUSD BE'!$AM$25+'TUSD BF'!$AM$25+'TUSD CVA'!$AM$25)*1*(1-0.02)</f>
        <v>73.899666486668877</v>
      </c>
      <c r="Z519" s="70">
        <f ca="1">('TUSD BE'!$AM$27+'TUSD BF'!$AM$27+'TUSD CVA'!$AM$27)*1*(1-0.02)</f>
        <v>134.68713722640669</v>
      </c>
      <c r="AA519" s="70">
        <f>('TE BE'!$AB$9+'TE BF'!$AB$9+'TE CVA'!$AB$9)*1*(1-0.02)</f>
        <v>499.84893464590823</v>
      </c>
      <c r="AB519" s="6">
        <f>$K$519*$V$519</f>
        <v>3463.6799999999994</v>
      </c>
      <c r="AC519" s="6">
        <f>$M$519*$W$519</f>
        <v>177.88742399999998</v>
      </c>
      <c r="AD519" s="6">
        <f>$O$519*$X$519</f>
        <v>995.47535999999991</v>
      </c>
      <c r="AE519" s="6">
        <f ca="1">$K$519*$Y$519</f>
        <v>4064.4816567667881</v>
      </c>
      <c r="AF519" s="6">
        <f ca="1">$M$519*$Z$519</f>
        <v>281.49611680318998</v>
      </c>
      <c r="AG519" s="6">
        <f>$O$519*$AA$519</f>
        <v>1044.6842734099482</v>
      </c>
    </row>
    <row r="520" spans="1:33" ht="11.25" customHeight="1" x14ac:dyDescent="0.25">
      <c r="A520" s="4" t="s">
        <v>21</v>
      </c>
      <c r="B520" s="4" t="s">
        <v>41</v>
      </c>
      <c r="C520" s="4" t="s">
        <v>40</v>
      </c>
      <c r="D520" s="4" t="s">
        <v>45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44470</v>
      </c>
      <c r="J520" s="6">
        <v>60</v>
      </c>
      <c r="K520" s="70">
        <v>60</v>
      </c>
      <c r="L520" s="6">
        <v>1.98</v>
      </c>
      <c r="M520" s="70">
        <v>1.98</v>
      </c>
      <c r="N520" s="6">
        <v>1.98</v>
      </c>
      <c r="O520" s="70">
        <v>1.98</v>
      </c>
      <c r="P520" s="6">
        <v>0</v>
      </c>
      <c r="Q520" s="4" t="s">
        <v>26</v>
      </c>
      <c r="R520" s="4">
        <v>0</v>
      </c>
      <c r="S520" s="6">
        <v>21</v>
      </c>
      <c r="T520" s="6">
        <v>23</v>
      </c>
      <c r="U520" s="6">
        <v>78</v>
      </c>
      <c r="V520" s="70">
        <f>IF(ISERROR(VLOOKUP($S$520,'TAR FIN'!$A$1:$O$116,15,0)),0,VLOOKUP($S$520,'TAR FIN'!$A$1:$O$116,15,0))*(1-0.04)</f>
        <v>62.975999999999992</v>
      </c>
      <c r="W520" s="70">
        <f>IF(ISERROR(VLOOKUP($T$520,'TAR FIN'!$A$1:$O$116,15,0)),0,VLOOKUP($T$520,'TAR FIN'!$A$1:$O$116,15,0))*(1-0.04)</f>
        <v>85.113599999999991</v>
      </c>
      <c r="X520" s="70">
        <f>IF(ISERROR(VLOOKUP($U$520,'TAR FIN'!$A$1:$O$116,15,0)),0,VLOOKUP($U$520,'TAR FIN'!$A$1:$O$116,15,0))*(1-0.04)</f>
        <v>476.30399999999997</v>
      </c>
      <c r="Y520" s="70">
        <f ca="1">('TUSD BE'!$AM$25+'TUSD BF'!$AM$25+'TUSD CVA'!$AM$25)*1*(1-0.02)</f>
        <v>73.899666486668877</v>
      </c>
      <c r="Z520" s="70">
        <f ca="1">('TUSD BE'!$AM$27+'TUSD BF'!$AM$27+'TUSD CVA'!$AM$27)*1*(1-0.02)</f>
        <v>134.68713722640669</v>
      </c>
      <c r="AA520" s="70">
        <f>('TE BE'!$AB$9+'TE BF'!$AB$9+'TE CVA'!$AB$9)*1*(1-0.02)</f>
        <v>499.84893464590823</v>
      </c>
      <c r="AB520" s="6">
        <f>$K$520*$V$520</f>
        <v>3778.5599999999995</v>
      </c>
      <c r="AC520" s="6">
        <f>$M$520*$W$520</f>
        <v>168.52492799999999</v>
      </c>
      <c r="AD520" s="6">
        <f>$O$520*$X$520</f>
        <v>943.08191999999997</v>
      </c>
      <c r="AE520" s="6">
        <f ca="1">$K$520*$Y$520</f>
        <v>4433.9799892001329</v>
      </c>
      <c r="AF520" s="6">
        <f ca="1">$M$520*$Z$520</f>
        <v>266.68053170828523</v>
      </c>
      <c r="AG520" s="6">
        <f>$O$520*$AA$520</f>
        <v>989.70089059889824</v>
      </c>
    </row>
    <row r="521" spans="1:33" ht="11.25" customHeight="1" x14ac:dyDescent="0.25">
      <c r="A521" s="4" t="s">
        <v>21</v>
      </c>
      <c r="B521" s="4" t="s">
        <v>41</v>
      </c>
      <c r="C521" s="4" t="s">
        <v>40</v>
      </c>
      <c r="D521" s="4" t="s">
        <v>45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44501</v>
      </c>
      <c r="J521" s="6">
        <v>6</v>
      </c>
      <c r="K521" s="70">
        <v>6</v>
      </c>
      <c r="L521" s="6">
        <v>1.98</v>
      </c>
      <c r="M521" s="70">
        <v>1.98</v>
      </c>
      <c r="N521" s="6">
        <v>1.98</v>
      </c>
      <c r="O521" s="70">
        <v>1.98</v>
      </c>
      <c r="P521" s="6">
        <v>0</v>
      </c>
      <c r="Q521" s="4" t="s">
        <v>26</v>
      </c>
      <c r="R521" s="4">
        <v>0</v>
      </c>
      <c r="S521" s="6">
        <v>21</v>
      </c>
      <c r="T521" s="6">
        <v>23</v>
      </c>
      <c r="U521" s="6">
        <v>78</v>
      </c>
      <c r="V521" s="70">
        <f>IF(ISERROR(VLOOKUP($S$521,'TAR FIN'!$A$1:$O$116,15,0)),0,VLOOKUP($S$521,'TAR FIN'!$A$1:$O$116,15,0))*(1-0.04)</f>
        <v>62.975999999999992</v>
      </c>
      <c r="W521" s="70">
        <f>IF(ISERROR(VLOOKUP($T$521,'TAR FIN'!$A$1:$O$116,15,0)),0,VLOOKUP($T$521,'TAR FIN'!$A$1:$O$116,15,0))*(1-0.04)</f>
        <v>85.113599999999991</v>
      </c>
      <c r="X521" s="70">
        <f>IF(ISERROR(VLOOKUP($U$521,'TAR FIN'!$A$1:$O$116,15,0)),0,VLOOKUP($U$521,'TAR FIN'!$A$1:$O$116,15,0))*(1-0.04)</f>
        <v>476.30399999999997</v>
      </c>
      <c r="Y521" s="70">
        <f ca="1">('TUSD BE'!$AM$25+'TUSD BF'!$AM$25+'TUSD CVA'!$AM$25)*1*(1-0.02)</f>
        <v>73.899666486668877</v>
      </c>
      <c r="Z521" s="70">
        <f ca="1">('TUSD BE'!$AM$27+'TUSD BF'!$AM$27+'TUSD CVA'!$AM$27)*1*(1-0.02)</f>
        <v>134.68713722640669</v>
      </c>
      <c r="AA521" s="70">
        <f>('TE BE'!$AB$9+'TE BF'!$AB$9+'TE CVA'!$AB$9)*1*(1-0.02)</f>
        <v>499.84893464590823</v>
      </c>
      <c r="AB521" s="6">
        <f>$K$521*$V$521</f>
        <v>377.85599999999994</v>
      </c>
      <c r="AC521" s="6">
        <f>$M$521*$W$521</f>
        <v>168.52492799999999</v>
      </c>
      <c r="AD521" s="6">
        <f>$O$521*$X$521</f>
        <v>943.08191999999997</v>
      </c>
      <c r="AE521" s="6">
        <f ca="1">$K$521*$Y$521</f>
        <v>443.39799892001326</v>
      </c>
      <c r="AF521" s="6">
        <f ca="1">$M$521*$Z$521</f>
        <v>266.68053170828523</v>
      </c>
      <c r="AG521" s="6">
        <f>$O$521*$AA$521</f>
        <v>989.70089059889824</v>
      </c>
    </row>
    <row r="522" spans="1:33" ht="11.25" customHeight="1" x14ac:dyDescent="0.25">
      <c r="A522" s="4" t="s">
        <v>21</v>
      </c>
      <c r="B522" s="4" t="s">
        <v>41</v>
      </c>
      <c r="C522" s="4" t="s">
        <v>40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44531</v>
      </c>
      <c r="J522" s="6">
        <v>6</v>
      </c>
      <c r="K522" s="70">
        <v>6</v>
      </c>
      <c r="L522" s="6">
        <v>1.98</v>
      </c>
      <c r="M522" s="70">
        <v>1.98</v>
      </c>
      <c r="N522" s="6">
        <v>1.98</v>
      </c>
      <c r="O522" s="70">
        <v>1.98</v>
      </c>
      <c r="P522" s="6">
        <v>0</v>
      </c>
      <c r="Q522" s="4" t="s">
        <v>26</v>
      </c>
      <c r="R522" s="4">
        <v>0</v>
      </c>
      <c r="S522" s="6">
        <v>21</v>
      </c>
      <c r="T522" s="6">
        <v>23</v>
      </c>
      <c r="U522" s="6">
        <v>78</v>
      </c>
      <c r="V522" s="70">
        <f>IF(ISERROR(VLOOKUP($S$522,'TAR FIN'!$A$1:$O$116,15,0)),0,VLOOKUP($S$522,'TAR FIN'!$A$1:$O$116,15,0))*(1-0.04)</f>
        <v>62.975999999999992</v>
      </c>
      <c r="W522" s="70">
        <f>IF(ISERROR(VLOOKUP($T$522,'TAR FIN'!$A$1:$O$116,15,0)),0,VLOOKUP($T$522,'TAR FIN'!$A$1:$O$116,15,0))*(1-0.04)</f>
        <v>85.113599999999991</v>
      </c>
      <c r="X522" s="70">
        <f>IF(ISERROR(VLOOKUP($U$522,'TAR FIN'!$A$1:$O$116,15,0)),0,VLOOKUP($U$522,'TAR FIN'!$A$1:$O$116,15,0))*(1-0.04)</f>
        <v>476.30399999999997</v>
      </c>
      <c r="Y522" s="70">
        <f ca="1">('TUSD BE'!$AM$25+'TUSD BF'!$AM$25+'TUSD CVA'!$AM$25)*1*(1-0.02)</f>
        <v>73.899666486668877</v>
      </c>
      <c r="Z522" s="70">
        <f ca="1">('TUSD BE'!$AM$27+'TUSD BF'!$AM$27+'TUSD CVA'!$AM$27)*1*(1-0.02)</f>
        <v>134.68713722640669</v>
      </c>
      <c r="AA522" s="70">
        <f>('TE BE'!$AB$9+'TE BF'!$AB$9+'TE CVA'!$AB$9)*1*(1-0.02)</f>
        <v>499.84893464590823</v>
      </c>
      <c r="AB522" s="6">
        <f>$K$522*$V$522</f>
        <v>377.85599999999994</v>
      </c>
      <c r="AC522" s="6">
        <f>$M$522*$W$522</f>
        <v>168.52492799999999</v>
      </c>
      <c r="AD522" s="6">
        <f>$O$522*$X$522</f>
        <v>943.08191999999997</v>
      </c>
      <c r="AE522" s="6">
        <f ca="1">$K$522*$Y$522</f>
        <v>443.39799892001326</v>
      </c>
      <c r="AF522" s="6">
        <f ca="1">$M$522*$Z$522</f>
        <v>266.68053170828523</v>
      </c>
      <c r="AG522" s="6">
        <f>$O$522*$AA$522</f>
        <v>989.70089059889824</v>
      </c>
    </row>
    <row r="523" spans="1:33" ht="11.25" customHeight="1" x14ac:dyDescent="0.25">
      <c r="A523" s="4" t="s">
        <v>21</v>
      </c>
      <c r="B523" s="4" t="s">
        <v>41</v>
      </c>
      <c r="C523" s="4" t="s">
        <v>40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44562</v>
      </c>
      <c r="J523" s="6">
        <v>6</v>
      </c>
      <c r="K523" s="70">
        <v>6</v>
      </c>
      <c r="L523" s="6">
        <v>2.016</v>
      </c>
      <c r="M523" s="70">
        <v>2.016</v>
      </c>
      <c r="N523" s="6">
        <v>2.016</v>
      </c>
      <c r="O523" s="70">
        <v>2.016</v>
      </c>
      <c r="P523" s="6">
        <v>0</v>
      </c>
      <c r="Q523" s="4" t="s">
        <v>26</v>
      </c>
      <c r="R523" s="4">
        <v>0</v>
      </c>
      <c r="S523" s="6">
        <v>21</v>
      </c>
      <c r="T523" s="6">
        <v>23</v>
      </c>
      <c r="U523" s="6">
        <v>78</v>
      </c>
      <c r="V523" s="70">
        <f>IF(ISERROR(VLOOKUP($S$523,'TAR FIN'!$A$1:$O$116,15,0)),0,VLOOKUP($S$523,'TAR FIN'!$A$1:$O$116,15,0))*(1-0.04)</f>
        <v>62.975999999999992</v>
      </c>
      <c r="W523" s="70">
        <f>IF(ISERROR(VLOOKUP($T$523,'TAR FIN'!$A$1:$O$116,15,0)),0,VLOOKUP($T$523,'TAR FIN'!$A$1:$O$116,15,0))*(1-0.04)</f>
        <v>85.113599999999991</v>
      </c>
      <c r="X523" s="70">
        <f>IF(ISERROR(VLOOKUP($U$523,'TAR FIN'!$A$1:$O$116,15,0)),0,VLOOKUP($U$523,'TAR FIN'!$A$1:$O$116,15,0))*(1-0.04)</f>
        <v>476.30399999999997</v>
      </c>
      <c r="Y523" s="70">
        <f ca="1">('TUSD BE'!$AM$25+'TUSD BF'!$AM$25+'TUSD CVA'!$AM$25)*1*(1-0.02)</f>
        <v>73.899666486668877</v>
      </c>
      <c r="Z523" s="70">
        <f ca="1">('TUSD BE'!$AM$27+'TUSD BF'!$AM$27+'TUSD CVA'!$AM$27)*1*(1-0.02)</f>
        <v>134.68713722640669</v>
      </c>
      <c r="AA523" s="70">
        <f>('TE BE'!$AB$9+'TE BF'!$AB$9+'TE CVA'!$AB$9)*1*(1-0.02)</f>
        <v>499.84893464590823</v>
      </c>
      <c r="AB523" s="6">
        <f>$K$523*$V$523</f>
        <v>377.85599999999994</v>
      </c>
      <c r="AC523" s="6">
        <f>$M$523*$W$523</f>
        <v>171.58901759999998</v>
      </c>
      <c r="AD523" s="6">
        <f>$O$523*$X$523</f>
        <v>960.22886399999993</v>
      </c>
      <c r="AE523" s="6">
        <f ca="1">$K$523*$Y$523</f>
        <v>443.39799892001326</v>
      </c>
      <c r="AF523" s="6">
        <f ca="1">$M$523*$Z$523</f>
        <v>271.5292686484359</v>
      </c>
      <c r="AG523" s="6">
        <f>$O$523*$AA$523</f>
        <v>1007.695452246151</v>
      </c>
    </row>
    <row r="524" spans="1:33" ht="11.25" customHeight="1" x14ac:dyDescent="0.25">
      <c r="A524" s="4" t="s">
        <v>21</v>
      </c>
      <c r="B524" s="4" t="s">
        <v>41</v>
      </c>
      <c r="C524" s="4" t="s">
        <v>40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44593</v>
      </c>
      <c r="J524" s="6">
        <v>6</v>
      </c>
      <c r="K524" s="70">
        <v>6</v>
      </c>
      <c r="L524" s="6">
        <v>2.1019999999999999</v>
      </c>
      <c r="M524" s="70">
        <v>2.1019999999999999</v>
      </c>
      <c r="N524" s="6">
        <v>2.1019999999999999</v>
      </c>
      <c r="O524" s="70">
        <v>2.1019999999999999</v>
      </c>
      <c r="P524" s="6">
        <v>0</v>
      </c>
      <c r="Q524" s="4" t="s">
        <v>26</v>
      </c>
      <c r="R524" s="4">
        <v>0</v>
      </c>
      <c r="S524" s="6">
        <v>21</v>
      </c>
      <c r="T524" s="6">
        <v>23</v>
      </c>
      <c r="U524" s="6">
        <v>78</v>
      </c>
      <c r="V524" s="70">
        <f>IF(ISERROR(VLOOKUP($S$524,'TAR FIN'!$A$1:$O$116,15,0)),0,VLOOKUP($S$524,'TAR FIN'!$A$1:$O$116,15,0))*(1-0.04)</f>
        <v>62.975999999999992</v>
      </c>
      <c r="W524" s="70">
        <f>IF(ISERROR(VLOOKUP($T$524,'TAR FIN'!$A$1:$O$116,15,0)),0,VLOOKUP($T$524,'TAR FIN'!$A$1:$O$116,15,0))*(1-0.04)</f>
        <v>85.113599999999991</v>
      </c>
      <c r="X524" s="70">
        <f>IF(ISERROR(VLOOKUP($U$524,'TAR FIN'!$A$1:$O$116,15,0)),0,VLOOKUP($U$524,'TAR FIN'!$A$1:$O$116,15,0))*(1-0.04)</f>
        <v>476.30399999999997</v>
      </c>
      <c r="Y524" s="70">
        <f ca="1">('TUSD BE'!$AM$25+'TUSD BF'!$AM$25+'TUSD CVA'!$AM$25)*1*(1-0.02)</f>
        <v>73.899666486668877</v>
      </c>
      <c r="Z524" s="70">
        <f ca="1">('TUSD BE'!$AM$27+'TUSD BF'!$AM$27+'TUSD CVA'!$AM$27)*1*(1-0.02)</f>
        <v>134.68713722640669</v>
      </c>
      <c r="AA524" s="70">
        <f>('TE BE'!$AB$9+'TE BF'!$AB$9+'TE CVA'!$AB$9)*1*(1-0.02)</f>
        <v>499.84893464590823</v>
      </c>
      <c r="AB524" s="6">
        <f>$K$524*$V$524</f>
        <v>377.85599999999994</v>
      </c>
      <c r="AC524" s="6">
        <f>$M$524*$W$524</f>
        <v>178.90878719999998</v>
      </c>
      <c r="AD524" s="6">
        <f>$O$524*$X$524</f>
        <v>1001.1910079999999</v>
      </c>
      <c r="AE524" s="6">
        <f ca="1">$K$524*$Y$524</f>
        <v>443.39799892001326</v>
      </c>
      <c r="AF524" s="6">
        <f ca="1">$M$524*$Z$524</f>
        <v>283.11236244990687</v>
      </c>
      <c r="AG524" s="6">
        <f>$O$524*$AA$524</f>
        <v>1050.6824606256989</v>
      </c>
    </row>
    <row r="525" spans="1:33" ht="11.25" customHeight="1" x14ac:dyDescent="0.25">
      <c r="A525" s="4" t="s">
        <v>21</v>
      </c>
      <c r="B525" s="4" t="s">
        <v>41</v>
      </c>
      <c r="C525" s="4" t="s">
        <v>40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44621</v>
      </c>
      <c r="J525" s="6">
        <v>50</v>
      </c>
      <c r="K525" s="70">
        <v>50</v>
      </c>
      <c r="L525" s="6">
        <v>2.7410000000000001</v>
      </c>
      <c r="M525" s="70">
        <v>2.7410000000000001</v>
      </c>
      <c r="N525" s="6">
        <v>2.7410000000000001</v>
      </c>
      <c r="O525" s="70">
        <v>2.7410000000000001</v>
      </c>
      <c r="P525" s="6">
        <v>0</v>
      </c>
      <c r="Q525" s="4" t="s">
        <v>26</v>
      </c>
      <c r="R525" s="4">
        <v>0</v>
      </c>
      <c r="S525" s="6">
        <v>21</v>
      </c>
      <c r="T525" s="6">
        <v>23</v>
      </c>
      <c r="U525" s="6">
        <v>78</v>
      </c>
      <c r="V525" s="70">
        <f>IF(ISERROR(VLOOKUP($S$525,'TAR FIN'!$A$1:$O$116,15,0)),0,VLOOKUP($S$525,'TAR FIN'!$A$1:$O$116,15,0))*(1-0.04)</f>
        <v>62.975999999999992</v>
      </c>
      <c r="W525" s="70">
        <f>IF(ISERROR(VLOOKUP($T$525,'TAR FIN'!$A$1:$O$116,15,0)),0,VLOOKUP($T$525,'TAR FIN'!$A$1:$O$116,15,0))*(1-0.04)</f>
        <v>85.113599999999991</v>
      </c>
      <c r="X525" s="70">
        <f>IF(ISERROR(VLOOKUP($U$525,'TAR FIN'!$A$1:$O$116,15,0)),0,VLOOKUP($U$525,'TAR FIN'!$A$1:$O$116,15,0))*(1-0.04)</f>
        <v>476.30399999999997</v>
      </c>
      <c r="Y525" s="70">
        <f ca="1">('TUSD BE'!$AM$25+'TUSD BF'!$AM$25+'TUSD CVA'!$AM$25)*1*(1-0.02)</f>
        <v>73.899666486668877</v>
      </c>
      <c r="Z525" s="70">
        <f ca="1">('TUSD BE'!$AM$27+'TUSD BF'!$AM$27+'TUSD CVA'!$AM$27)*1*(1-0.02)</f>
        <v>134.68713722640669</v>
      </c>
      <c r="AA525" s="70">
        <f>('TE BE'!$AB$9+'TE BF'!$AB$9+'TE CVA'!$AB$9)*1*(1-0.02)</f>
        <v>499.84893464590823</v>
      </c>
      <c r="AB525" s="6">
        <f>$K$525*$V$525</f>
        <v>3148.7999999999997</v>
      </c>
      <c r="AC525" s="6">
        <f>$M$525*$W$525</f>
        <v>233.29637759999997</v>
      </c>
      <c r="AD525" s="6">
        <f>$O$525*$X$525</f>
        <v>1305.549264</v>
      </c>
      <c r="AE525" s="6">
        <f ca="1">$K$525*$Y$525</f>
        <v>3694.9833243334438</v>
      </c>
      <c r="AF525" s="6">
        <f ca="1">$M$525*$Z$525</f>
        <v>369.17744313758078</v>
      </c>
      <c r="AG525" s="6">
        <f>$O$525*$AA$525</f>
        <v>1370.0859298644345</v>
      </c>
    </row>
    <row r="526" spans="1:33" ht="11.25" customHeight="1" x14ac:dyDescent="0.25">
      <c r="A526" s="4" t="s">
        <v>21</v>
      </c>
      <c r="B526" s="4" t="s">
        <v>41</v>
      </c>
      <c r="C526" s="4" t="s">
        <v>40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44652</v>
      </c>
      <c r="J526" s="6">
        <v>48</v>
      </c>
      <c r="K526" s="70">
        <v>48</v>
      </c>
      <c r="L526" s="6">
        <v>2.1459999999999999</v>
      </c>
      <c r="M526" s="70">
        <v>2.1459999999999999</v>
      </c>
      <c r="N526" s="6">
        <v>2.1459999999999999</v>
      </c>
      <c r="O526" s="70">
        <v>2.1459999999999999</v>
      </c>
      <c r="P526" s="6">
        <v>0</v>
      </c>
      <c r="Q526" s="4" t="s">
        <v>26</v>
      </c>
      <c r="R526" s="4">
        <v>0</v>
      </c>
      <c r="S526" s="6">
        <v>21</v>
      </c>
      <c r="T526" s="6">
        <v>23</v>
      </c>
      <c r="U526" s="6">
        <v>78</v>
      </c>
      <c r="V526" s="70">
        <f>IF(ISERROR(VLOOKUP($S$526,'TAR FIN'!$A$1:$O$116,15,0)),0,VLOOKUP($S$526,'TAR FIN'!$A$1:$O$116,15,0))*(1-0.04)</f>
        <v>62.975999999999992</v>
      </c>
      <c r="W526" s="70">
        <f>IF(ISERROR(VLOOKUP($T$526,'TAR FIN'!$A$1:$O$116,15,0)),0,VLOOKUP($T$526,'TAR FIN'!$A$1:$O$116,15,0))*(1-0.04)</f>
        <v>85.113599999999991</v>
      </c>
      <c r="X526" s="70">
        <f>IF(ISERROR(VLOOKUP($U$526,'TAR FIN'!$A$1:$O$116,15,0)),0,VLOOKUP($U$526,'TAR FIN'!$A$1:$O$116,15,0))*(1-0.04)</f>
        <v>476.30399999999997</v>
      </c>
      <c r="Y526" s="70">
        <f ca="1">('TUSD BE'!$AM$25+'TUSD BF'!$AM$25+'TUSD CVA'!$AM$25)*1*(1-0.02)</f>
        <v>73.899666486668877</v>
      </c>
      <c r="Z526" s="70">
        <f ca="1">('TUSD BE'!$AM$27+'TUSD BF'!$AM$27+'TUSD CVA'!$AM$27)*1*(1-0.02)</f>
        <v>134.68713722640669</v>
      </c>
      <c r="AA526" s="70">
        <f>('TE BE'!$AB$9+'TE BF'!$AB$9+'TE CVA'!$AB$9)*1*(1-0.02)</f>
        <v>499.84893464590823</v>
      </c>
      <c r="AB526" s="6">
        <f>$K$526*$V$526</f>
        <v>3022.8479999999995</v>
      </c>
      <c r="AC526" s="6">
        <f>$M$526*$W$526</f>
        <v>182.65378559999996</v>
      </c>
      <c r="AD526" s="6">
        <f>$O$526*$X$526</f>
        <v>1022.1483839999999</v>
      </c>
      <c r="AE526" s="6">
        <f ca="1">$K$526*$Y$526</f>
        <v>3547.1839913601061</v>
      </c>
      <c r="AF526" s="6">
        <f ca="1">$M$526*$Z$526</f>
        <v>289.03859648786874</v>
      </c>
      <c r="AG526" s="6">
        <f>$O$526*$AA$526</f>
        <v>1072.675813750119</v>
      </c>
    </row>
    <row r="527" spans="1:33" ht="11.25" customHeight="1" x14ac:dyDescent="0.25">
      <c r="A527" s="4" t="s">
        <v>58</v>
      </c>
      <c r="B527" s="4" t="s">
        <v>41</v>
      </c>
      <c r="C527" s="4" t="s">
        <v>40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44682</v>
      </c>
      <c r="J527" s="6">
        <v>48</v>
      </c>
      <c r="K527" s="70">
        <v>48</v>
      </c>
      <c r="L527" s="6">
        <v>2.1459999999999999</v>
      </c>
      <c r="M527" s="70">
        <v>2.1459999999999999</v>
      </c>
      <c r="N527" s="6">
        <v>2.1459999999999999</v>
      </c>
      <c r="O527" s="70">
        <v>2.1459999999999999</v>
      </c>
      <c r="P527" s="6">
        <v>0</v>
      </c>
      <c r="Q527" s="4" t="s">
        <v>26</v>
      </c>
      <c r="R527" s="4">
        <v>0</v>
      </c>
      <c r="S527" s="6">
        <v>21</v>
      </c>
      <c r="T527" s="6">
        <v>23</v>
      </c>
      <c r="U527" s="6">
        <v>78</v>
      </c>
      <c r="V527" s="70">
        <f>IF(ISERROR(VLOOKUP($S$527,'TAR FIN'!$A$1:$O$116,15,0)),0,VLOOKUP($S$527,'TAR FIN'!$A$1:$O$116,15,0))*(1-0.04)</f>
        <v>62.975999999999992</v>
      </c>
      <c r="W527" s="70">
        <f>IF(ISERROR(VLOOKUP($T$527,'TAR FIN'!$A$1:$O$116,15,0)),0,VLOOKUP($T$527,'TAR FIN'!$A$1:$O$116,15,0))*(1-0.04)</f>
        <v>85.113599999999991</v>
      </c>
      <c r="X527" s="70">
        <f>IF(ISERROR(VLOOKUP($U$527,'TAR FIN'!$A$1:$O$116,15,0)),0,VLOOKUP($U$527,'TAR FIN'!$A$1:$O$116,15,0))*(1-0.04)</f>
        <v>476.30399999999997</v>
      </c>
      <c r="Y527" s="70">
        <f ca="1">('TUSD BE'!$AM$25+'TUSD BF'!$AM$25+'TUSD CVA'!$AM$25)*1*(1-0.02)</f>
        <v>73.899666486668877</v>
      </c>
      <c r="Z527" s="70">
        <f ca="1">('TUSD BE'!$AM$27+'TUSD BF'!$AM$27+'TUSD CVA'!$AM$27)*1*(1-0.02)</f>
        <v>134.68713722640669</v>
      </c>
      <c r="AA527" s="70">
        <f>('TE BE'!$AB$9+'TE BF'!$AB$9+'TE CVA'!$AB$9)*1*(1-0.02)</f>
        <v>499.84893464590823</v>
      </c>
      <c r="AB527" s="6">
        <f>$K$527*$V$527</f>
        <v>3022.8479999999995</v>
      </c>
      <c r="AC527" s="6">
        <f>$M$527*$W$527</f>
        <v>182.65378559999996</v>
      </c>
      <c r="AD527" s="6">
        <f>$O$527*$X$527</f>
        <v>1022.1483839999999</v>
      </c>
      <c r="AE527" s="6">
        <f ca="1">$K$527*$Y$527</f>
        <v>3547.1839913601061</v>
      </c>
      <c r="AF527" s="6">
        <f ca="1">$M$527*$Z$527</f>
        <v>289.03859648786874</v>
      </c>
      <c r="AG527" s="6">
        <f>$O$527*$AA$527</f>
        <v>1072.675813750119</v>
      </c>
    </row>
    <row r="528" spans="1:33" ht="11.25" customHeight="1" x14ac:dyDescent="0.25">
      <c r="A528" s="4" t="s">
        <v>21</v>
      </c>
      <c r="B528" s="4" t="s">
        <v>41</v>
      </c>
      <c r="C528" s="4" t="s">
        <v>40</v>
      </c>
      <c r="D528" s="4" t="s">
        <v>51</v>
      </c>
      <c r="E528" s="4" t="s">
        <v>52</v>
      </c>
      <c r="F528" s="4" t="s">
        <v>25</v>
      </c>
      <c r="G528" s="4" t="s">
        <v>25</v>
      </c>
      <c r="H528" s="4" t="s">
        <v>35</v>
      </c>
      <c r="I528" s="5">
        <v>44348</v>
      </c>
      <c r="J528" s="6">
        <v>560</v>
      </c>
      <c r="K528" s="71">
        <v>560</v>
      </c>
      <c r="L528" s="6">
        <v>218.70099999999999</v>
      </c>
      <c r="M528" s="70">
        <v>218.70099999999999</v>
      </c>
      <c r="N528" s="6">
        <v>218.70099999999999</v>
      </c>
      <c r="O528" s="70">
        <v>218.70099999999999</v>
      </c>
      <c r="P528" s="6">
        <v>0</v>
      </c>
      <c r="Q528" s="4" t="s">
        <v>26</v>
      </c>
      <c r="R528" s="4">
        <v>0</v>
      </c>
      <c r="S528" s="6">
        <v>22</v>
      </c>
      <c r="T528" s="6">
        <v>23</v>
      </c>
      <c r="U528" s="6">
        <v>79</v>
      </c>
      <c r="V528" s="70">
        <f>IF(ISERROR(VLOOKUP($S$528,'TAR FIN'!$A$1:$O$116,15,0)),0,VLOOKUP($S$528,'TAR FIN'!$A$1:$O$116,15,0))*(1-0.06)</f>
        <v>23.979400000000002</v>
      </c>
      <c r="W528" s="70">
        <f>IF(ISERROR(VLOOKUP($T$528,'TAR FIN'!$A$1:$O$116,15,0)),0,VLOOKUP($T$528,'TAR FIN'!$A$1:$O$116,15,0))*(1-0.06)</f>
        <v>83.340399999999988</v>
      </c>
      <c r="X528" s="70">
        <f>IF(ISERROR(VLOOKUP($U$528,'TAR FIN'!$A$1:$O$116,15,0)),0,VLOOKUP($U$528,'TAR FIN'!$A$1:$O$116,15,0))*(1-0.06)</f>
        <v>292.37760000000003</v>
      </c>
      <c r="Y528" s="70">
        <f ca="1">('TUSD BE'!$AM$26+'TUSD BF'!$AM$26+'TUSD CVA'!$AM$26)*1*(1-0.03)</f>
        <v>28.909168793941035</v>
      </c>
      <c r="Z528" s="70">
        <f ca="1">('TUSD BE'!$AM$27+'TUSD BF'!$AM$27+'TUSD CVA'!$AM$27)*1*(1-0.03)</f>
        <v>133.3127786832801</v>
      </c>
      <c r="AA528" s="70">
        <f>('TE BE'!$AB$10+'TE BF'!$AB$10+'TE CVA'!$AB$10)*1*(1-0.03)</f>
        <v>303.83220029520902</v>
      </c>
      <c r="AB528" s="6">
        <f>$K$528*$V$528</f>
        <v>13428.464000000002</v>
      </c>
      <c r="AC528" s="6">
        <f>$M$528*$W$528</f>
        <v>18226.628820399997</v>
      </c>
      <c r="AD528" s="6">
        <f>$O$528*$X$528</f>
        <v>63943.273497600007</v>
      </c>
      <c r="AE528" s="6">
        <f ca="1">$K$528*$Y$528</f>
        <v>16189.13452460698</v>
      </c>
      <c r="AF528" s="6">
        <f ca="1">$M$528*$Z$528</f>
        <v>29155.638010812039</v>
      </c>
      <c r="AG528" s="6">
        <f>$O$528*$AA$528</f>
        <v>66448.406036762506</v>
      </c>
    </row>
    <row r="529" spans="1:33" ht="11.25" customHeight="1" x14ac:dyDescent="0.25">
      <c r="A529" s="4" t="s">
        <v>27</v>
      </c>
      <c r="B529" s="4" t="s">
        <v>41</v>
      </c>
      <c r="C529" s="4" t="s">
        <v>40</v>
      </c>
      <c r="D529" s="4" t="s">
        <v>51</v>
      </c>
      <c r="E529" s="4" t="s">
        <v>52</v>
      </c>
      <c r="F529" s="4" t="s">
        <v>25</v>
      </c>
      <c r="G529" s="4" t="s">
        <v>25</v>
      </c>
      <c r="H529" s="4" t="s">
        <v>35</v>
      </c>
      <c r="I529" s="5">
        <v>44348</v>
      </c>
      <c r="J529" s="6">
        <v>36</v>
      </c>
      <c r="K529" s="71">
        <v>36</v>
      </c>
      <c r="L529" s="6">
        <v>-2.16</v>
      </c>
      <c r="M529" s="70">
        <v>-2.16</v>
      </c>
      <c r="N529" s="6">
        <v>-2.16</v>
      </c>
      <c r="O529" s="70">
        <v>-2.16</v>
      </c>
      <c r="P529" s="6">
        <v>0</v>
      </c>
      <c r="Q529" s="4" t="s">
        <v>26</v>
      </c>
      <c r="R529" s="4">
        <v>0</v>
      </c>
      <c r="S529" s="6">
        <v>22</v>
      </c>
      <c r="T529" s="6">
        <v>23</v>
      </c>
      <c r="U529" s="6">
        <v>79</v>
      </c>
      <c r="V529" s="70">
        <f>IF(ISERROR(VLOOKUP($S$529,'TAR FIN'!$A$1:$O$116,15,0)),0,VLOOKUP($S$529,'TAR FIN'!$A$1:$O$116,15,0))*(1-0.06)</f>
        <v>23.979400000000002</v>
      </c>
      <c r="W529" s="70">
        <f>IF(ISERROR(VLOOKUP($T$529,'TAR FIN'!$A$1:$O$116,15,0)),0,VLOOKUP($T$529,'TAR FIN'!$A$1:$O$116,15,0))*(1-0.06)</f>
        <v>83.340399999999988</v>
      </c>
      <c r="X529" s="70">
        <f>IF(ISERROR(VLOOKUP($U$529,'TAR FIN'!$A$1:$O$116,15,0)),0,VLOOKUP($U$529,'TAR FIN'!$A$1:$O$116,15,0))*(1-0.06)</f>
        <v>292.37760000000003</v>
      </c>
      <c r="Y529" s="70">
        <f ca="1">('TUSD BE'!$AM$26+'TUSD BF'!$AM$26+'TUSD CVA'!$AM$26)*1*(1-0.03)</f>
        <v>28.909168793941035</v>
      </c>
      <c r="Z529" s="70">
        <f ca="1">('TUSD BE'!$AM$27+'TUSD BF'!$AM$27+'TUSD CVA'!$AM$27)*1*(1-0.03)</f>
        <v>133.3127786832801</v>
      </c>
      <c r="AA529" s="70">
        <f>('TE BE'!$AB$10+'TE BF'!$AB$10+'TE CVA'!$AB$10)*1*(1-0.03)</f>
        <v>303.83220029520902</v>
      </c>
      <c r="AB529" s="6">
        <f>$K$529*$V$529</f>
        <v>863.25840000000005</v>
      </c>
      <c r="AC529" s="6">
        <f>$M$529*$W$529</f>
        <v>-180.01526399999997</v>
      </c>
      <c r="AD529" s="6">
        <f>$O$529*$X$529</f>
        <v>-631.53561600000012</v>
      </c>
      <c r="AE529" s="6">
        <f ca="1">$K$529*$Y$529</f>
        <v>1040.7300765818773</v>
      </c>
      <c r="AF529" s="6">
        <f ca="1">$M$529*$Z$529</f>
        <v>-287.95560195588502</v>
      </c>
      <c r="AG529" s="6">
        <f>$O$529*$AA$529</f>
        <v>-656.27755263765152</v>
      </c>
    </row>
    <row r="530" spans="1:33" ht="11.25" customHeight="1" x14ac:dyDescent="0.25">
      <c r="A530" s="4" t="s">
        <v>21</v>
      </c>
      <c r="B530" s="4" t="s">
        <v>41</v>
      </c>
      <c r="C530" s="4" t="s">
        <v>40</v>
      </c>
      <c r="D530" s="4" t="s">
        <v>51</v>
      </c>
      <c r="E530" s="4" t="s">
        <v>52</v>
      </c>
      <c r="F530" s="4" t="s">
        <v>25</v>
      </c>
      <c r="G530" s="4" t="s">
        <v>25</v>
      </c>
      <c r="H530" s="4" t="s">
        <v>35</v>
      </c>
      <c r="I530" s="5">
        <v>44378</v>
      </c>
      <c r="J530" s="6">
        <v>577</v>
      </c>
      <c r="K530" s="71">
        <v>577</v>
      </c>
      <c r="L530" s="6">
        <v>214.874</v>
      </c>
      <c r="M530" s="70">
        <v>214.874</v>
      </c>
      <c r="N530" s="6">
        <v>214.874</v>
      </c>
      <c r="O530" s="70">
        <v>214.874</v>
      </c>
      <c r="P530" s="6">
        <v>0</v>
      </c>
      <c r="Q530" s="4" t="s">
        <v>26</v>
      </c>
      <c r="R530" s="4">
        <v>0</v>
      </c>
      <c r="S530" s="6">
        <v>22</v>
      </c>
      <c r="T530" s="6">
        <v>23</v>
      </c>
      <c r="U530" s="6">
        <v>79</v>
      </c>
      <c r="V530" s="70">
        <f>IF(ISERROR(VLOOKUP($S$530,'TAR FIN'!$A$1:$O$116,15,0)),0,VLOOKUP($S$530,'TAR FIN'!$A$1:$O$116,15,0))*(1-0.06)</f>
        <v>23.979400000000002</v>
      </c>
      <c r="W530" s="70">
        <f>IF(ISERROR(VLOOKUP($T$530,'TAR FIN'!$A$1:$O$116,15,0)),0,VLOOKUP($T$530,'TAR FIN'!$A$1:$O$116,15,0))*(1-0.06)</f>
        <v>83.340399999999988</v>
      </c>
      <c r="X530" s="70">
        <f>IF(ISERROR(VLOOKUP($U$530,'TAR FIN'!$A$1:$O$116,15,0)),0,VLOOKUP($U$530,'TAR FIN'!$A$1:$O$116,15,0))*(1-0.06)</f>
        <v>292.37760000000003</v>
      </c>
      <c r="Y530" s="70">
        <f ca="1">('TUSD BE'!$AM$26+'TUSD BF'!$AM$26+'TUSD CVA'!$AM$26)*1*(1-0.03)</f>
        <v>28.909168793941035</v>
      </c>
      <c r="Z530" s="70">
        <f ca="1">('TUSD BE'!$AM$27+'TUSD BF'!$AM$27+'TUSD CVA'!$AM$27)*1*(1-0.03)</f>
        <v>133.3127786832801</v>
      </c>
      <c r="AA530" s="70">
        <f>('TE BE'!$AB$10+'TE BF'!$AB$10+'TE CVA'!$AB$10)*1*(1-0.03)</f>
        <v>303.83220029520902</v>
      </c>
      <c r="AB530" s="6">
        <f>$K$530*$V$530</f>
        <v>13836.113800000001</v>
      </c>
      <c r="AC530" s="6">
        <f>$M$530*$W$530</f>
        <v>17907.685109599995</v>
      </c>
      <c r="AD530" s="6">
        <f>$O$530*$X$530</f>
        <v>62824.344422400005</v>
      </c>
      <c r="AE530" s="6">
        <f ca="1">$K$530*$Y$530</f>
        <v>16680.590394103976</v>
      </c>
      <c r="AF530" s="6">
        <f ca="1">$M$530*$Z$530</f>
        <v>28645.450006791129</v>
      </c>
      <c r="AG530" s="6">
        <f>$O$530*$AA$530</f>
        <v>65285.64020623274</v>
      </c>
    </row>
    <row r="531" spans="1:33" ht="11.25" customHeight="1" x14ac:dyDescent="0.25">
      <c r="A531" s="4" t="s">
        <v>27</v>
      </c>
      <c r="B531" s="4" t="s">
        <v>41</v>
      </c>
      <c r="C531" s="4" t="s">
        <v>40</v>
      </c>
      <c r="D531" s="4" t="s">
        <v>51</v>
      </c>
      <c r="E531" s="4" t="s">
        <v>52</v>
      </c>
      <c r="F531" s="4" t="s">
        <v>25</v>
      </c>
      <c r="G531" s="4" t="s">
        <v>25</v>
      </c>
      <c r="H531" s="4" t="s">
        <v>35</v>
      </c>
      <c r="I531" s="5">
        <v>44378</v>
      </c>
      <c r="J531" s="6">
        <v>15</v>
      </c>
      <c r="K531" s="71">
        <v>15</v>
      </c>
      <c r="L531" s="6">
        <v>-6.3780000000000001</v>
      </c>
      <c r="M531" s="70">
        <v>-6.3780000000000001</v>
      </c>
      <c r="N531" s="6">
        <v>-6.3780000000000001</v>
      </c>
      <c r="O531" s="70">
        <v>-6.3780000000000001</v>
      </c>
      <c r="P531" s="6">
        <v>0</v>
      </c>
      <c r="Q531" s="4" t="s">
        <v>26</v>
      </c>
      <c r="R531" s="4">
        <v>0</v>
      </c>
      <c r="S531" s="6">
        <v>22</v>
      </c>
      <c r="T531" s="6">
        <v>23</v>
      </c>
      <c r="U531" s="6">
        <v>79</v>
      </c>
      <c r="V531" s="70">
        <f>IF(ISERROR(VLOOKUP($S$531,'TAR FIN'!$A$1:$O$116,15,0)),0,VLOOKUP($S$531,'TAR FIN'!$A$1:$O$116,15,0))*(1-0.06)</f>
        <v>23.979400000000002</v>
      </c>
      <c r="W531" s="70">
        <f>IF(ISERROR(VLOOKUP($T$531,'TAR FIN'!$A$1:$O$116,15,0)),0,VLOOKUP($T$531,'TAR FIN'!$A$1:$O$116,15,0))*(1-0.06)</f>
        <v>83.340399999999988</v>
      </c>
      <c r="X531" s="70">
        <f>IF(ISERROR(VLOOKUP($U$531,'TAR FIN'!$A$1:$O$116,15,0)),0,VLOOKUP($U$531,'TAR FIN'!$A$1:$O$116,15,0))*(1-0.06)</f>
        <v>292.37760000000003</v>
      </c>
      <c r="Y531" s="70">
        <f ca="1">('TUSD BE'!$AM$26+'TUSD BF'!$AM$26+'TUSD CVA'!$AM$26)*1*(1-0.03)</f>
        <v>28.909168793941035</v>
      </c>
      <c r="Z531" s="70">
        <f ca="1">('TUSD BE'!$AM$27+'TUSD BF'!$AM$27+'TUSD CVA'!$AM$27)*1*(1-0.03)</f>
        <v>133.3127786832801</v>
      </c>
      <c r="AA531" s="70">
        <f>('TE BE'!$AB$10+'TE BF'!$AB$10+'TE CVA'!$AB$10)*1*(1-0.03)</f>
        <v>303.83220029520902</v>
      </c>
      <c r="AB531" s="6">
        <f>$K$531*$V$531</f>
        <v>359.69100000000003</v>
      </c>
      <c r="AC531" s="6">
        <f>$M$531*$W$531</f>
        <v>-531.54507119999994</v>
      </c>
      <c r="AD531" s="6">
        <f>$O$531*$X$531</f>
        <v>-1864.7843328000001</v>
      </c>
      <c r="AE531" s="6">
        <f ca="1">$K$531*$Y$531</f>
        <v>433.63753190911552</v>
      </c>
      <c r="AF531" s="6">
        <f ca="1">$M$531*$Z$531</f>
        <v>-850.26890244196045</v>
      </c>
      <c r="AG531" s="6">
        <f>$O$531*$AA$531</f>
        <v>-1937.8417734828431</v>
      </c>
    </row>
    <row r="532" spans="1:33" ht="11.25" customHeight="1" x14ac:dyDescent="0.25">
      <c r="A532" s="4" t="s">
        <v>21</v>
      </c>
      <c r="B532" s="4" t="s">
        <v>41</v>
      </c>
      <c r="C532" s="4" t="s">
        <v>40</v>
      </c>
      <c r="D532" s="4" t="s">
        <v>51</v>
      </c>
      <c r="E532" s="4" t="s">
        <v>52</v>
      </c>
      <c r="F532" s="4" t="s">
        <v>25</v>
      </c>
      <c r="G532" s="4" t="s">
        <v>25</v>
      </c>
      <c r="H532" s="4" t="s">
        <v>35</v>
      </c>
      <c r="I532" s="5">
        <v>44409</v>
      </c>
      <c r="J532" s="6">
        <v>572</v>
      </c>
      <c r="K532" s="71">
        <v>572</v>
      </c>
      <c r="L532" s="6">
        <v>219.011</v>
      </c>
      <c r="M532" s="70">
        <v>219.011</v>
      </c>
      <c r="N532" s="6">
        <v>219.011</v>
      </c>
      <c r="O532" s="70">
        <v>219.011</v>
      </c>
      <c r="P532" s="6">
        <v>0</v>
      </c>
      <c r="Q532" s="4" t="s">
        <v>26</v>
      </c>
      <c r="R532" s="4">
        <v>0</v>
      </c>
      <c r="S532" s="6">
        <v>22</v>
      </c>
      <c r="T532" s="6">
        <v>23</v>
      </c>
      <c r="U532" s="6">
        <v>79</v>
      </c>
      <c r="V532" s="70">
        <f>IF(ISERROR(VLOOKUP($S$532,'TAR FIN'!$A$1:$O$116,15,0)),0,VLOOKUP($S$532,'TAR FIN'!$A$1:$O$116,15,0))*(1-0.06)</f>
        <v>23.979400000000002</v>
      </c>
      <c r="W532" s="70">
        <f>IF(ISERROR(VLOOKUP($T$532,'TAR FIN'!$A$1:$O$116,15,0)),0,VLOOKUP($T$532,'TAR FIN'!$A$1:$O$116,15,0))*(1-0.06)</f>
        <v>83.340399999999988</v>
      </c>
      <c r="X532" s="70">
        <f>IF(ISERROR(VLOOKUP($U$532,'TAR FIN'!$A$1:$O$116,15,0)),0,VLOOKUP($U$532,'TAR FIN'!$A$1:$O$116,15,0))*(1-0.06)</f>
        <v>292.37760000000003</v>
      </c>
      <c r="Y532" s="70">
        <f ca="1">('TUSD BE'!$AM$26+'TUSD BF'!$AM$26+'TUSD CVA'!$AM$26)*1*(1-0.03)</f>
        <v>28.909168793941035</v>
      </c>
      <c r="Z532" s="70">
        <f ca="1">('TUSD BE'!$AM$27+'TUSD BF'!$AM$27+'TUSD CVA'!$AM$27)*1*(1-0.03)</f>
        <v>133.3127786832801</v>
      </c>
      <c r="AA532" s="70">
        <f>('TE BE'!$AB$10+'TE BF'!$AB$10+'TE CVA'!$AB$10)*1*(1-0.03)</f>
        <v>303.83220029520902</v>
      </c>
      <c r="AB532" s="6">
        <f>$K$532*$V$532</f>
        <v>13716.2168</v>
      </c>
      <c r="AC532" s="6">
        <f>$M$532*$W$532</f>
        <v>18252.464344399996</v>
      </c>
      <c r="AD532" s="6">
        <f>$O$532*$X$532</f>
        <v>64033.910553600006</v>
      </c>
      <c r="AE532" s="6">
        <f ca="1">$K$532*$Y$532</f>
        <v>16536.044550134273</v>
      </c>
      <c r="AF532" s="6">
        <f ca="1">$M$532*$Z$532</f>
        <v>29196.964972203859</v>
      </c>
      <c r="AG532" s="6">
        <f>$O$532*$AA$532</f>
        <v>66542.594018854026</v>
      </c>
    </row>
    <row r="533" spans="1:33" ht="11.25" customHeight="1" x14ac:dyDescent="0.25">
      <c r="A533" s="4" t="s">
        <v>21</v>
      </c>
      <c r="B533" s="4" t="s">
        <v>41</v>
      </c>
      <c r="C533" s="4" t="s">
        <v>40</v>
      </c>
      <c r="D533" s="4" t="s">
        <v>51</v>
      </c>
      <c r="E533" s="4" t="s">
        <v>52</v>
      </c>
      <c r="F533" s="4" t="s">
        <v>25</v>
      </c>
      <c r="G533" s="4" t="s">
        <v>25</v>
      </c>
      <c r="H533" s="4" t="s">
        <v>35</v>
      </c>
      <c r="I533" s="5">
        <v>44440</v>
      </c>
      <c r="J533" s="6">
        <v>578</v>
      </c>
      <c r="K533" s="71">
        <v>578</v>
      </c>
      <c r="L533" s="6">
        <v>220.649</v>
      </c>
      <c r="M533" s="70">
        <v>220.649</v>
      </c>
      <c r="N533" s="6">
        <v>220.649</v>
      </c>
      <c r="O533" s="70">
        <v>220.649</v>
      </c>
      <c r="P533" s="6">
        <v>0</v>
      </c>
      <c r="Q533" s="4" t="s">
        <v>26</v>
      </c>
      <c r="R533" s="4">
        <v>0</v>
      </c>
      <c r="S533" s="6">
        <v>22</v>
      </c>
      <c r="T533" s="6">
        <v>23</v>
      </c>
      <c r="U533" s="6">
        <v>79</v>
      </c>
      <c r="V533" s="70">
        <f>IF(ISERROR(VLOOKUP($S$533,'TAR FIN'!$A$1:$O$116,15,0)),0,VLOOKUP($S$533,'TAR FIN'!$A$1:$O$116,15,0))*(1-0.06)</f>
        <v>23.979400000000002</v>
      </c>
      <c r="W533" s="70">
        <f>IF(ISERROR(VLOOKUP($T$533,'TAR FIN'!$A$1:$O$116,15,0)),0,VLOOKUP($T$533,'TAR FIN'!$A$1:$O$116,15,0))*(1-0.06)</f>
        <v>83.340399999999988</v>
      </c>
      <c r="X533" s="70">
        <f>IF(ISERROR(VLOOKUP($U$533,'TAR FIN'!$A$1:$O$116,15,0)),0,VLOOKUP($U$533,'TAR FIN'!$A$1:$O$116,15,0))*(1-0.06)</f>
        <v>292.37760000000003</v>
      </c>
      <c r="Y533" s="70">
        <f ca="1">('TUSD BE'!$AM$26+'TUSD BF'!$AM$26+'TUSD CVA'!$AM$26)*1*(1-0.03)</f>
        <v>28.909168793941035</v>
      </c>
      <c r="Z533" s="70">
        <f ca="1">('TUSD BE'!$AM$27+'TUSD BF'!$AM$27+'TUSD CVA'!$AM$27)*1*(1-0.03)</f>
        <v>133.3127786832801</v>
      </c>
      <c r="AA533" s="70">
        <f>('TE BE'!$AB$10+'TE BF'!$AB$10+'TE CVA'!$AB$10)*1*(1-0.03)</f>
        <v>303.83220029520902</v>
      </c>
      <c r="AB533" s="6">
        <f>$K$533*$V$533</f>
        <v>13860.093200000001</v>
      </c>
      <c r="AC533" s="6">
        <f>$M$533*$W$533</f>
        <v>18388.975919599998</v>
      </c>
      <c r="AD533" s="6">
        <f>$O$533*$X$533</f>
        <v>64512.825062400007</v>
      </c>
      <c r="AE533" s="6">
        <f ca="1">$K$533*$Y$533</f>
        <v>16709.49956289792</v>
      </c>
      <c r="AF533" s="6">
        <f ca="1">$M$533*$Z$533</f>
        <v>29415.331303687071</v>
      </c>
      <c r="AG533" s="6">
        <f>$O$533*$AA$533</f>
        <v>67040.27116293757</v>
      </c>
    </row>
    <row r="534" spans="1:33" ht="11.25" customHeight="1" x14ac:dyDescent="0.25">
      <c r="A534" s="4" t="s">
        <v>21</v>
      </c>
      <c r="B534" s="4" t="s">
        <v>41</v>
      </c>
      <c r="C534" s="4" t="s">
        <v>40</v>
      </c>
      <c r="D534" s="4" t="s">
        <v>51</v>
      </c>
      <c r="E534" s="4" t="s">
        <v>52</v>
      </c>
      <c r="F534" s="4" t="s">
        <v>25</v>
      </c>
      <c r="G534" s="4" t="s">
        <v>25</v>
      </c>
      <c r="H534" s="4" t="s">
        <v>35</v>
      </c>
      <c r="I534" s="5">
        <v>44470</v>
      </c>
      <c r="J534" s="6">
        <v>278</v>
      </c>
      <c r="K534" s="71">
        <v>278</v>
      </c>
      <c r="L534" s="6">
        <v>114.20699999999999</v>
      </c>
      <c r="M534" s="70">
        <v>114.20699999999999</v>
      </c>
      <c r="N534" s="6">
        <v>114.20699999999999</v>
      </c>
      <c r="O534" s="70">
        <v>114.20699999999999</v>
      </c>
      <c r="P534" s="6">
        <v>0</v>
      </c>
      <c r="Q534" s="4" t="s">
        <v>26</v>
      </c>
      <c r="R534" s="4">
        <v>0</v>
      </c>
      <c r="S534" s="6">
        <v>22</v>
      </c>
      <c r="T534" s="6">
        <v>23</v>
      </c>
      <c r="U534" s="6">
        <v>79</v>
      </c>
      <c r="V534" s="70">
        <f>IF(ISERROR(VLOOKUP($S$534,'TAR FIN'!$A$1:$O$116,15,0)),0,VLOOKUP($S$534,'TAR FIN'!$A$1:$O$116,15,0))*(1-0.06)</f>
        <v>23.979400000000002</v>
      </c>
      <c r="W534" s="70">
        <f>IF(ISERROR(VLOOKUP($T$534,'TAR FIN'!$A$1:$O$116,15,0)),0,VLOOKUP($T$534,'TAR FIN'!$A$1:$O$116,15,0))*(1-0.06)</f>
        <v>83.340399999999988</v>
      </c>
      <c r="X534" s="70">
        <f>IF(ISERROR(VLOOKUP($U$534,'TAR FIN'!$A$1:$O$116,15,0)),0,VLOOKUP($U$534,'TAR FIN'!$A$1:$O$116,15,0))*(1-0.06)</f>
        <v>292.37760000000003</v>
      </c>
      <c r="Y534" s="70">
        <f ca="1">('TUSD BE'!$AM$26+'TUSD BF'!$AM$26+'TUSD CVA'!$AM$26)*1*(1-0.03)</f>
        <v>28.909168793941035</v>
      </c>
      <c r="Z534" s="70">
        <f ca="1">('TUSD BE'!$AM$27+'TUSD BF'!$AM$27+'TUSD CVA'!$AM$27)*1*(1-0.03)</f>
        <v>133.3127786832801</v>
      </c>
      <c r="AA534" s="70">
        <f>('TE BE'!$AB$10+'TE BF'!$AB$10+'TE CVA'!$AB$10)*1*(1-0.03)</f>
        <v>303.83220029520902</v>
      </c>
      <c r="AB534" s="6">
        <f>$K$534*$V$534</f>
        <v>6666.2732000000005</v>
      </c>
      <c r="AC534" s="6">
        <f>$M$534*$W$534</f>
        <v>9518.0570627999987</v>
      </c>
      <c r="AD534" s="6">
        <f>$O$534*$X$534</f>
        <v>33391.568563200002</v>
      </c>
      <c r="AE534" s="6">
        <f ca="1">$K$534*$Y$534</f>
        <v>8036.7489247156082</v>
      </c>
      <c r="AF534" s="6">
        <f ca="1">$M$534*$Z$534</f>
        <v>15225.252515081369</v>
      </c>
      <c r="AG534" s="6">
        <f>$O$534*$AA$534</f>
        <v>34699.764099114931</v>
      </c>
    </row>
    <row r="535" spans="1:33" ht="11.25" customHeight="1" x14ac:dyDescent="0.25">
      <c r="A535" s="4" t="s">
        <v>21</v>
      </c>
      <c r="B535" s="4" t="s">
        <v>41</v>
      </c>
      <c r="C535" s="4" t="s">
        <v>40</v>
      </c>
      <c r="D535" s="4" t="s">
        <v>51</v>
      </c>
      <c r="E535" s="4" t="s">
        <v>52</v>
      </c>
      <c r="F535" s="4" t="s">
        <v>25</v>
      </c>
      <c r="G535" s="4" t="s">
        <v>25</v>
      </c>
      <c r="H535" s="4" t="s">
        <v>35</v>
      </c>
      <c r="I535" s="5">
        <v>44501</v>
      </c>
      <c r="J535" s="6">
        <v>256</v>
      </c>
      <c r="K535" s="71">
        <v>256</v>
      </c>
      <c r="L535" s="6">
        <v>91.694999999999993</v>
      </c>
      <c r="M535" s="70">
        <v>91.694999999999993</v>
      </c>
      <c r="N535" s="6">
        <v>91.694999999999993</v>
      </c>
      <c r="O535" s="70">
        <v>91.694999999999993</v>
      </c>
      <c r="P535" s="6">
        <v>0</v>
      </c>
      <c r="Q535" s="4" t="s">
        <v>26</v>
      </c>
      <c r="R535" s="4">
        <v>0</v>
      </c>
      <c r="S535" s="6">
        <v>22</v>
      </c>
      <c r="T535" s="6">
        <v>23</v>
      </c>
      <c r="U535" s="6">
        <v>79</v>
      </c>
      <c r="V535" s="70">
        <f>IF(ISERROR(VLOOKUP($S$535,'TAR FIN'!$A$1:$O$116,15,0)),0,VLOOKUP($S$535,'TAR FIN'!$A$1:$O$116,15,0))*(1-0.06)</f>
        <v>23.979400000000002</v>
      </c>
      <c r="W535" s="70">
        <f>IF(ISERROR(VLOOKUP($T$535,'TAR FIN'!$A$1:$O$116,15,0)),0,VLOOKUP($T$535,'TAR FIN'!$A$1:$O$116,15,0))*(1-0.06)</f>
        <v>83.340399999999988</v>
      </c>
      <c r="X535" s="70">
        <f>IF(ISERROR(VLOOKUP($U$535,'TAR FIN'!$A$1:$O$116,15,0)),0,VLOOKUP($U$535,'TAR FIN'!$A$1:$O$116,15,0))*(1-0.06)</f>
        <v>292.37760000000003</v>
      </c>
      <c r="Y535" s="70">
        <f ca="1">('TUSD BE'!$AM$26+'TUSD BF'!$AM$26+'TUSD CVA'!$AM$26)*1*(1-0.03)</f>
        <v>28.909168793941035</v>
      </c>
      <c r="Z535" s="70">
        <f ca="1">('TUSD BE'!$AM$27+'TUSD BF'!$AM$27+'TUSD CVA'!$AM$27)*1*(1-0.03)</f>
        <v>133.3127786832801</v>
      </c>
      <c r="AA535" s="70">
        <f>('TE BE'!$AB$10+'TE BF'!$AB$10+'TE CVA'!$AB$10)*1*(1-0.03)</f>
        <v>303.83220029520902</v>
      </c>
      <c r="AB535" s="6">
        <f>$K$535*$V$535</f>
        <v>6138.7264000000005</v>
      </c>
      <c r="AC535" s="6">
        <f>$M$535*$W$535</f>
        <v>7641.8979779999981</v>
      </c>
      <c r="AD535" s="6">
        <f>$O$535*$X$535</f>
        <v>26809.564032000002</v>
      </c>
      <c r="AE535" s="6">
        <f ca="1">$K$535*$Y$535</f>
        <v>7400.7472112489049</v>
      </c>
      <c r="AF535" s="6">
        <f ca="1">$M$535*$Z$535</f>
        <v>12224.115241363368</v>
      </c>
      <c r="AG535" s="6">
        <f>$O$535*$AA$535</f>
        <v>27859.893606069189</v>
      </c>
    </row>
    <row r="536" spans="1:33" ht="11.25" customHeight="1" x14ac:dyDescent="0.25">
      <c r="A536" s="4" t="s">
        <v>21</v>
      </c>
      <c r="B536" s="4" t="s">
        <v>41</v>
      </c>
      <c r="C536" s="4" t="s">
        <v>40</v>
      </c>
      <c r="D536" s="4" t="s">
        <v>51</v>
      </c>
      <c r="E536" s="4" t="s">
        <v>52</v>
      </c>
      <c r="F536" s="4" t="s">
        <v>25</v>
      </c>
      <c r="G536" s="4" t="s">
        <v>25</v>
      </c>
      <c r="H536" s="4" t="s">
        <v>35</v>
      </c>
      <c r="I536" s="5">
        <v>44531</v>
      </c>
      <c r="J536" s="6">
        <v>257</v>
      </c>
      <c r="K536" s="71">
        <v>257</v>
      </c>
      <c r="L536" s="6">
        <v>96.444000000000003</v>
      </c>
      <c r="M536" s="70">
        <v>96.444000000000003</v>
      </c>
      <c r="N536" s="6">
        <v>96.444000000000003</v>
      </c>
      <c r="O536" s="70">
        <v>96.444000000000003</v>
      </c>
      <c r="P536" s="6">
        <v>0</v>
      </c>
      <c r="Q536" s="4" t="s">
        <v>26</v>
      </c>
      <c r="R536" s="4">
        <v>0</v>
      </c>
      <c r="S536" s="6">
        <v>22</v>
      </c>
      <c r="T536" s="6">
        <v>23</v>
      </c>
      <c r="U536" s="6">
        <v>79</v>
      </c>
      <c r="V536" s="70">
        <f>IF(ISERROR(VLOOKUP($S$536,'TAR FIN'!$A$1:$O$116,15,0)),0,VLOOKUP($S$536,'TAR FIN'!$A$1:$O$116,15,0))*(1-0.06)</f>
        <v>23.979400000000002</v>
      </c>
      <c r="W536" s="70">
        <f>IF(ISERROR(VLOOKUP($T$536,'TAR FIN'!$A$1:$O$116,15,0)),0,VLOOKUP($T$536,'TAR FIN'!$A$1:$O$116,15,0))*(1-0.06)</f>
        <v>83.340399999999988</v>
      </c>
      <c r="X536" s="70">
        <f>IF(ISERROR(VLOOKUP($U$536,'TAR FIN'!$A$1:$O$116,15,0)),0,VLOOKUP($U$536,'TAR FIN'!$A$1:$O$116,15,0))*(1-0.06)</f>
        <v>292.37760000000003</v>
      </c>
      <c r="Y536" s="70">
        <f ca="1">('TUSD BE'!$AM$26+'TUSD BF'!$AM$26+'TUSD CVA'!$AM$26)*1*(1-0.03)</f>
        <v>28.909168793941035</v>
      </c>
      <c r="Z536" s="70">
        <f ca="1">('TUSD BE'!$AM$27+'TUSD BF'!$AM$27+'TUSD CVA'!$AM$27)*1*(1-0.03)</f>
        <v>133.3127786832801</v>
      </c>
      <c r="AA536" s="70">
        <f>('TE BE'!$AB$10+'TE BF'!$AB$10+'TE CVA'!$AB$10)*1*(1-0.03)</f>
        <v>303.83220029520902</v>
      </c>
      <c r="AB536" s="6">
        <f>$K$536*$V$536</f>
        <v>6162.7058000000006</v>
      </c>
      <c r="AC536" s="6">
        <f>$M$536*$W$536</f>
        <v>8037.6815375999995</v>
      </c>
      <c r="AD536" s="6">
        <f>$O$536*$X$536</f>
        <v>28198.065254400004</v>
      </c>
      <c r="AE536" s="6">
        <f ca="1">$K$536*$Y$536</f>
        <v>7429.6563800428457</v>
      </c>
      <c r="AF536" s="6">
        <f ca="1">$M$536*$Z$536</f>
        <v>12857.217627330267</v>
      </c>
      <c r="AG536" s="6">
        <f>$O$536*$AA$536</f>
        <v>29302.792725271138</v>
      </c>
    </row>
    <row r="537" spans="1:33" ht="11.25" customHeight="1" x14ac:dyDescent="0.25">
      <c r="A537" s="4" t="s">
        <v>21</v>
      </c>
      <c r="B537" s="4" t="s">
        <v>41</v>
      </c>
      <c r="C537" s="4" t="s">
        <v>40</v>
      </c>
      <c r="D537" s="4" t="s">
        <v>51</v>
      </c>
      <c r="E537" s="4" t="s">
        <v>52</v>
      </c>
      <c r="F537" s="4" t="s">
        <v>25</v>
      </c>
      <c r="G537" s="4" t="s">
        <v>25</v>
      </c>
      <c r="H537" s="4" t="s">
        <v>35</v>
      </c>
      <c r="I537" s="5">
        <v>44562</v>
      </c>
      <c r="J537" s="6">
        <v>257</v>
      </c>
      <c r="K537" s="71">
        <v>257</v>
      </c>
      <c r="L537" s="6">
        <v>99.897000000000006</v>
      </c>
      <c r="M537" s="70">
        <v>99.897000000000006</v>
      </c>
      <c r="N537" s="6">
        <v>99.897000000000006</v>
      </c>
      <c r="O537" s="70">
        <v>99.897000000000006</v>
      </c>
      <c r="P537" s="6">
        <v>0</v>
      </c>
      <c r="Q537" s="4" t="s">
        <v>26</v>
      </c>
      <c r="R537" s="4">
        <v>0</v>
      </c>
      <c r="S537" s="6">
        <v>22</v>
      </c>
      <c r="T537" s="6">
        <v>23</v>
      </c>
      <c r="U537" s="6">
        <v>79</v>
      </c>
      <c r="V537" s="70">
        <f>IF(ISERROR(VLOOKUP($S$537,'TAR FIN'!$A$1:$O$116,15,0)),0,VLOOKUP($S$537,'TAR FIN'!$A$1:$O$116,15,0))*(1-0.06)</f>
        <v>23.979400000000002</v>
      </c>
      <c r="W537" s="70">
        <f>IF(ISERROR(VLOOKUP($T$537,'TAR FIN'!$A$1:$O$116,15,0)),0,VLOOKUP($T$537,'TAR FIN'!$A$1:$O$116,15,0))*(1-0.06)</f>
        <v>83.340399999999988</v>
      </c>
      <c r="X537" s="70">
        <f>IF(ISERROR(VLOOKUP($U$537,'TAR FIN'!$A$1:$O$116,15,0)),0,VLOOKUP($U$537,'TAR FIN'!$A$1:$O$116,15,0))*(1-0.06)</f>
        <v>292.37760000000003</v>
      </c>
      <c r="Y537" s="70">
        <f ca="1">('TUSD BE'!$AM$26+'TUSD BF'!$AM$26+'TUSD CVA'!$AM$26)*1*(1-0.03)</f>
        <v>28.909168793941035</v>
      </c>
      <c r="Z537" s="70">
        <f ca="1">('TUSD BE'!$AM$27+'TUSD BF'!$AM$27+'TUSD CVA'!$AM$27)*1*(1-0.03)</f>
        <v>133.3127786832801</v>
      </c>
      <c r="AA537" s="70">
        <f>('TE BE'!$AB$10+'TE BF'!$AB$10+'TE CVA'!$AB$10)*1*(1-0.03)</f>
        <v>303.83220029520902</v>
      </c>
      <c r="AB537" s="6">
        <f>$K$537*$V$537</f>
        <v>6162.7058000000006</v>
      </c>
      <c r="AC537" s="6">
        <f>$M$537*$W$537</f>
        <v>8325.4559387999998</v>
      </c>
      <c r="AD537" s="6">
        <f>$O$537*$X$537</f>
        <v>29207.645107200005</v>
      </c>
      <c r="AE537" s="6">
        <f ca="1">$K$537*$Y$537</f>
        <v>7429.6563800428457</v>
      </c>
      <c r="AF537" s="6">
        <f ca="1">$M$537*$Z$537</f>
        <v>13317.546652123632</v>
      </c>
      <c r="AG537" s="6">
        <f>$O$537*$AA$537</f>
        <v>30351.925312890497</v>
      </c>
    </row>
    <row r="538" spans="1:33" ht="11.25" customHeight="1" x14ac:dyDescent="0.25">
      <c r="A538" s="4" t="s">
        <v>21</v>
      </c>
      <c r="B538" s="4" t="s">
        <v>41</v>
      </c>
      <c r="C538" s="4" t="s">
        <v>40</v>
      </c>
      <c r="D538" s="4" t="s">
        <v>51</v>
      </c>
      <c r="E538" s="4" t="s">
        <v>52</v>
      </c>
      <c r="F538" s="4" t="s">
        <v>25</v>
      </c>
      <c r="G538" s="4" t="s">
        <v>25</v>
      </c>
      <c r="H538" s="4" t="s">
        <v>35</v>
      </c>
      <c r="I538" s="5">
        <v>44593</v>
      </c>
      <c r="J538" s="6">
        <v>265</v>
      </c>
      <c r="K538" s="71">
        <v>265</v>
      </c>
      <c r="L538" s="6">
        <v>95.162000000000006</v>
      </c>
      <c r="M538" s="70">
        <v>95.162000000000006</v>
      </c>
      <c r="N538" s="6">
        <v>95.162000000000006</v>
      </c>
      <c r="O538" s="70">
        <v>95.162000000000006</v>
      </c>
      <c r="P538" s="6">
        <v>0</v>
      </c>
      <c r="Q538" s="4" t="s">
        <v>26</v>
      </c>
      <c r="R538" s="4">
        <v>0</v>
      </c>
      <c r="S538" s="6">
        <v>22</v>
      </c>
      <c r="T538" s="6">
        <v>23</v>
      </c>
      <c r="U538" s="6">
        <v>79</v>
      </c>
      <c r="V538" s="70">
        <f>IF(ISERROR(VLOOKUP($S$538,'TAR FIN'!$A$1:$O$116,15,0)),0,VLOOKUP($S$538,'TAR FIN'!$A$1:$O$116,15,0))*(1-0.06)</f>
        <v>23.979400000000002</v>
      </c>
      <c r="W538" s="70">
        <f>IF(ISERROR(VLOOKUP($T$538,'TAR FIN'!$A$1:$O$116,15,0)),0,VLOOKUP($T$538,'TAR FIN'!$A$1:$O$116,15,0))*(1-0.06)</f>
        <v>83.340399999999988</v>
      </c>
      <c r="X538" s="70">
        <f>IF(ISERROR(VLOOKUP($U$538,'TAR FIN'!$A$1:$O$116,15,0)),0,VLOOKUP($U$538,'TAR FIN'!$A$1:$O$116,15,0))*(1-0.06)</f>
        <v>292.37760000000003</v>
      </c>
      <c r="Y538" s="70">
        <f ca="1">('TUSD BE'!$AM$26+'TUSD BF'!$AM$26+'TUSD CVA'!$AM$26)*1*(1-0.03)</f>
        <v>28.909168793941035</v>
      </c>
      <c r="Z538" s="70">
        <f ca="1">('TUSD BE'!$AM$27+'TUSD BF'!$AM$27+'TUSD CVA'!$AM$27)*1*(1-0.03)</f>
        <v>133.3127786832801</v>
      </c>
      <c r="AA538" s="70">
        <f>('TE BE'!$AB$10+'TE BF'!$AB$10+'TE CVA'!$AB$10)*1*(1-0.03)</f>
        <v>303.83220029520902</v>
      </c>
      <c r="AB538" s="6">
        <f>$K$538*$V$538</f>
        <v>6354.5410000000002</v>
      </c>
      <c r="AC538" s="6">
        <f>$M$538*$W$538</f>
        <v>7930.8391447999993</v>
      </c>
      <c r="AD538" s="6">
        <f>$O$538*$X$538</f>
        <v>27823.237171200006</v>
      </c>
      <c r="AE538" s="6">
        <f ca="1">$K$538*$Y$538</f>
        <v>7660.929730394374</v>
      </c>
      <c r="AF538" s="6">
        <f ca="1">$M$538*$Z$538</f>
        <v>12686.310645058302</v>
      </c>
      <c r="AG538" s="6">
        <f>$O$538*$AA$538</f>
        <v>28913.279844492681</v>
      </c>
    </row>
    <row r="539" spans="1:33" ht="11.25" customHeight="1" x14ac:dyDescent="0.25">
      <c r="A539" s="4" t="s">
        <v>21</v>
      </c>
      <c r="B539" s="4" t="s">
        <v>41</v>
      </c>
      <c r="C539" s="4" t="s">
        <v>40</v>
      </c>
      <c r="D539" s="4" t="s">
        <v>51</v>
      </c>
      <c r="E539" s="4" t="s">
        <v>52</v>
      </c>
      <c r="F539" s="4" t="s">
        <v>25</v>
      </c>
      <c r="G539" s="4" t="s">
        <v>25</v>
      </c>
      <c r="H539" s="4" t="s">
        <v>35</v>
      </c>
      <c r="I539" s="5">
        <v>44621</v>
      </c>
      <c r="J539" s="6">
        <v>260</v>
      </c>
      <c r="K539" s="71">
        <v>260</v>
      </c>
      <c r="L539" s="6">
        <v>97.099000000000004</v>
      </c>
      <c r="M539" s="70">
        <v>97.099000000000004</v>
      </c>
      <c r="N539" s="6">
        <v>97.099000000000004</v>
      </c>
      <c r="O539" s="70">
        <v>97.099000000000004</v>
      </c>
      <c r="P539" s="6">
        <v>0</v>
      </c>
      <c r="Q539" s="4" t="s">
        <v>26</v>
      </c>
      <c r="R539" s="4">
        <v>0</v>
      </c>
      <c r="S539" s="6">
        <v>22</v>
      </c>
      <c r="T539" s="6">
        <v>23</v>
      </c>
      <c r="U539" s="6">
        <v>79</v>
      </c>
      <c r="V539" s="70">
        <f>IF(ISERROR(VLOOKUP($S$539,'TAR FIN'!$A$1:$O$116,15,0)),0,VLOOKUP($S$539,'TAR FIN'!$A$1:$O$116,15,0))*(1-0.06)</f>
        <v>23.979400000000002</v>
      </c>
      <c r="W539" s="70">
        <f>IF(ISERROR(VLOOKUP($T$539,'TAR FIN'!$A$1:$O$116,15,0)),0,VLOOKUP($T$539,'TAR FIN'!$A$1:$O$116,15,0))*(1-0.06)</f>
        <v>83.340399999999988</v>
      </c>
      <c r="X539" s="70">
        <f>IF(ISERROR(VLOOKUP($U$539,'TAR FIN'!$A$1:$O$116,15,0)),0,VLOOKUP($U$539,'TAR FIN'!$A$1:$O$116,15,0))*(1-0.06)</f>
        <v>292.37760000000003</v>
      </c>
      <c r="Y539" s="70">
        <f ca="1">('TUSD BE'!$AM$26+'TUSD BF'!$AM$26+'TUSD CVA'!$AM$26)*1*(1-0.03)</f>
        <v>28.909168793941035</v>
      </c>
      <c r="Z539" s="70">
        <f ca="1">('TUSD BE'!$AM$27+'TUSD BF'!$AM$27+'TUSD CVA'!$AM$27)*1*(1-0.03)</f>
        <v>133.3127786832801</v>
      </c>
      <c r="AA539" s="70">
        <f>('TE BE'!$AB$10+'TE BF'!$AB$10+'TE CVA'!$AB$10)*1*(1-0.03)</f>
        <v>303.83220029520902</v>
      </c>
      <c r="AB539" s="6">
        <f>$K$539*$V$539</f>
        <v>6234.6440000000002</v>
      </c>
      <c r="AC539" s="6">
        <f>$M$539*$W$539</f>
        <v>8092.2694995999991</v>
      </c>
      <c r="AD539" s="6">
        <f>$O$539*$X$539</f>
        <v>28389.572582400004</v>
      </c>
      <c r="AE539" s="6">
        <f ca="1">$K$539*$Y$539</f>
        <v>7516.3838864246691</v>
      </c>
      <c r="AF539" s="6">
        <f ca="1">$M$539*$Z$539</f>
        <v>12944.537497367815</v>
      </c>
      <c r="AG539" s="6">
        <f>$O$539*$AA$539</f>
        <v>29501.8028164645</v>
      </c>
    </row>
    <row r="540" spans="1:33" ht="11.25" customHeight="1" x14ac:dyDescent="0.25">
      <c r="A540" s="4" t="s">
        <v>21</v>
      </c>
      <c r="B540" s="4" t="s">
        <v>41</v>
      </c>
      <c r="C540" s="4" t="s">
        <v>40</v>
      </c>
      <c r="D540" s="4" t="s">
        <v>51</v>
      </c>
      <c r="E540" s="4" t="s">
        <v>52</v>
      </c>
      <c r="F540" s="4" t="s">
        <v>25</v>
      </c>
      <c r="G540" s="4" t="s">
        <v>25</v>
      </c>
      <c r="H540" s="4" t="s">
        <v>35</v>
      </c>
      <c r="I540" s="5">
        <v>44652</v>
      </c>
      <c r="J540" s="6">
        <v>258</v>
      </c>
      <c r="K540" s="71">
        <v>258</v>
      </c>
      <c r="L540" s="6">
        <v>101.884</v>
      </c>
      <c r="M540" s="70">
        <v>101.884</v>
      </c>
      <c r="N540" s="6">
        <v>101.884</v>
      </c>
      <c r="O540" s="70">
        <v>101.884</v>
      </c>
      <c r="P540" s="6">
        <v>0</v>
      </c>
      <c r="Q540" s="4" t="s">
        <v>26</v>
      </c>
      <c r="R540" s="4">
        <v>0</v>
      </c>
      <c r="S540" s="6">
        <v>22</v>
      </c>
      <c r="T540" s="6">
        <v>23</v>
      </c>
      <c r="U540" s="6">
        <v>79</v>
      </c>
      <c r="V540" s="70">
        <f>IF(ISERROR(VLOOKUP($S$540,'TAR FIN'!$A$1:$O$116,15,0)),0,VLOOKUP($S$540,'TAR FIN'!$A$1:$O$116,15,0))*(1-0.06)</f>
        <v>23.979400000000002</v>
      </c>
      <c r="W540" s="70">
        <f>IF(ISERROR(VLOOKUP($T$540,'TAR FIN'!$A$1:$O$116,15,0)),0,VLOOKUP($T$540,'TAR FIN'!$A$1:$O$116,15,0))*(1-0.06)</f>
        <v>83.340399999999988</v>
      </c>
      <c r="X540" s="70">
        <f>IF(ISERROR(VLOOKUP($U$540,'TAR FIN'!$A$1:$O$116,15,0)),0,VLOOKUP($U$540,'TAR FIN'!$A$1:$O$116,15,0))*(1-0.06)</f>
        <v>292.37760000000003</v>
      </c>
      <c r="Y540" s="70">
        <f ca="1">('TUSD BE'!$AM$26+'TUSD BF'!$AM$26+'TUSD CVA'!$AM$26)*1*(1-0.03)</f>
        <v>28.909168793941035</v>
      </c>
      <c r="Z540" s="70">
        <f ca="1">('TUSD BE'!$AM$27+'TUSD BF'!$AM$27+'TUSD CVA'!$AM$27)*1*(1-0.03)</f>
        <v>133.3127786832801</v>
      </c>
      <c r="AA540" s="70">
        <f>('TE BE'!$AB$10+'TE BF'!$AB$10+'TE CVA'!$AB$10)*1*(1-0.03)</f>
        <v>303.83220029520902</v>
      </c>
      <c r="AB540" s="6">
        <f>$K$540*$V$540</f>
        <v>6186.6852000000008</v>
      </c>
      <c r="AC540" s="6">
        <f>$M$540*$W$540</f>
        <v>8491.0533135999995</v>
      </c>
      <c r="AD540" s="6">
        <f>$O$540*$X$540</f>
        <v>29788.599398400002</v>
      </c>
      <c r="AE540" s="6">
        <f ca="1">$K$540*$Y$540</f>
        <v>7458.5655488367865</v>
      </c>
      <c r="AF540" s="6">
        <f ca="1">$M$540*$Z$540</f>
        <v>13582.43914336731</v>
      </c>
      <c r="AG540" s="6">
        <f>$O$540*$AA$540</f>
        <v>30955.639894877077</v>
      </c>
    </row>
    <row r="541" spans="1:33" ht="11.25" customHeight="1" x14ac:dyDescent="0.25">
      <c r="A541" s="4" t="s">
        <v>58</v>
      </c>
      <c r="B541" s="4" t="s">
        <v>41</v>
      </c>
      <c r="C541" s="4" t="s">
        <v>40</v>
      </c>
      <c r="D541" s="4" t="s">
        <v>51</v>
      </c>
      <c r="E541" s="4" t="s">
        <v>52</v>
      </c>
      <c r="F541" s="4" t="s">
        <v>25</v>
      </c>
      <c r="G541" s="4" t="s">
        <v>25</v>
      </c>
      <c r="H541" s="4" t="s">
        <v>35</v>
      </c>
      <c r="I541" s="5">
        <v>44682</v>
      </c>
      <c r="J541" s="6">
        <v>258</v>
      </c>
      <c r="K541" s="71">
        <v>258</v>
      </c>
      <c r="L541" s="6">
        <v>101.884</v>
      </c>
      <c r="M541" s="70">
        <v>101.884</v>
      </c>
      <c r="N541" s="6">
        <v>101.884</v>
      </c>
      <c r="O541" s="70">
        <v>101.884</v>
      </c>
      <c r="P541" s="6">
        <v>0</v>
      </c>
      <c r="Q541" s="4" t="s">
        <v>26</v>
      </c>
      <c r="R541" s="4">
        <v>0</v>
      </c>
      <c r="S541" s="6">
        <v>22</v>
      </c>
      <c r="T541" s="6">
        <v>23</v>
      </c>
      <c r="U541" s="6">
        <v>79</v>
      </c>
      <c r="V541" s="70">
        <f>IF(ISERROR(VLOOKUP($S$541,'TAR FIN'!$A$1:$O$116,15,0)),0,VLOOKUP($S$541,'TAR FIN'!$A$1:$O$116,15,0))*(1-0.06)</f>
        <v>23.979400000000002</v>
      </c>
      <c r="W541" s="70">
        <f>IF(ISERROR(VLOOKUP($T$541,'TAR FIN'!$A$1:$O$116,15,0)),0,VLOOKUP($T$541,'TAR FIN'!$A$1:$O$116,15,0))*(1-0.06)</f>
        <v>83.340399999999988</v>
      </c>
      <c r="X541" s="70">
        <f>IF(ISERROR(VLOOKUP($U$541,'TAR FIN'!$A$1:$O$116,15,0)),0,VLOOKUP($U$541,'TAR FIN'!$A$1:$O$116,15,0))*(1-0.06)</f>
        <v>292.37760000000003</v>
      </c>
      <c r="Y541" s="70">
        <f ca="1">('TUSD BE'!$AM$26+'TUSD BF'!$AM$26+'TUSD CVA'!$AM$26)*1*(1-0.03)</f>
        <v>28.909168793941035</v>
      </c>
      <c r="Z541" s="70">
        <f ca="1">('TUSD BE'!$AM$27+'TUSD BF'!$AM$27+'TUSD CVA'!$AM$27)*1*(1-0.03)</f>
        <v>133.3127786832801</v>
      </c>
      <c r="AA541" s="70">
        <f>('TE BE'!$AB$10+'TE BF'!$AB$10+'TE CVA'!$AB$10)*1*(1-0.03)</f>
        <v>303.83220029520902</v>
      </c>
      <c r="AB541" s="6">
        <f>$K$541*$V$541</f>
        <v>6186.6852000000008</v>
      </c>
      <c r="AC541" s="6">
        <f>$M$541*$W$541</f>
        <v>8491.0533135999995</v>
      </c>
      <c r="AD541" s="6">
        <f>$O$541*$X$541</f>
        <v>29788.599398400002</v>
      </c>
      <c r="AE541" s="6">
        <f ca="1">$K$541*$Y$541</f>
        <v>7458.5655488367865</v>
      </c>
      <c r="AF541" s="6">
        <f ca="1">$M$541*$Z$541</f>
        <v>13582.43914336731</v>
      </c>
      <c r="AG541" s="6">
        <f>$O$541*$AA$541</f>
        <v>30955.639894877077</v>
      </c>
    </row>
    <row r="542" spans="1:33" ht="11.25" customHeight="1" x14ac:dyDescent="0.25">
      <c r="A542" s="4" t="s">
        <v>21</v>
      </c>
      <c r="B542" s="4" t="s">
        <v>41</v>
      </c>
      <c r="C542" s="4" t="s">
        <v>40</v>
      </c>
      <c r="D542" s="4" t="s">
        <v>51</v>
      </c>
      <c r="E542" s="4" t="s">
        <v>52</v>
      </c>
      <c r="F542" s="4" t="s">
        <v>25</v>
      </c>
      <c r="G542" s="4" t="s">
        <v>25</v>
      </c>
      <c r="H542" s="4" t="s">
        <v>34</v>
      </c>
      <c r="I542" s="5">
        <v>44348</v>
      </c>
      <c r="J542" s="6">
        <v>537</v>
      </c>
      <c r="K542" s="71">
        <v>537</v>
      </c>
      <c r="L542" s="6">
        <v>23.594999999999999</v>
      </c>
      <c r="M542" s="70">
        <v>23.594999999999999</v>
      </c>
      <c r="N542" s="6">
        <v>23.594999999999999</v>
      </c>
      <c r="O542" s="70">
        <v>23.594999999999999</v>
      </c>
      <c r="P542" s="6">
        <v>0</v>
      </c>
      <c r="Q542" s="4" t="s">
        <v>26</v>
      </c>
      <c r="R542" s="4">
        <v>0</v>
      </c>
      <c r="S542" s="6">
        <v>21</v>
      </c>
      <c r="T542" s="6">
        <v>23</v>
      </c>
      <c r="U542" s="6">
        <v>78</v>
      </c>
      <c r="V542" s="70">
        <f>IF(ISERROR(VLOOKUP($S$542,'TAR FIN'!$A$1:$O$116,15,0)),0,VLOOKUP($S$542,'TAR FIN'!$A$1:$O$116,15,0))*(1-0.06)</f>
        <v>61.663999999999994</v>
      </c>
      <c r="W542" s="70">
        <f>IF(ISERROR(VLOOKUP($T$542,'TAR FIN'!$A$1:$O$116,15,0)),0,VLOOKUP($T$542,'TAR FIN'!$A$1:$O$116,15,0))*(1-0.06)</f>
        <v>83.340399999999988</v>
      </c>
      <c r="X542" s="70">
        <f>IF(ISERROR(VLOOKUP($U$542,'TAR FIN'!$A$1:$O$116,15,0)),0,VLOOKUP($U$542,'TAR FIN'!$A$1:$O$116,15,0))*(1-0.06)</f>
        <v>466.38099999999997</v>
      </c>
      <c r="Y542" s="70">
        <f ca="1">('TUSD BE'!$AM$25+'TUSD BF'!$AM$25+'TUSD CVA'!$AM$25)*1*(1-0.03)</f>
        <v>73.145588257213078</v>
      </c>
      <c r="Z542" s="70">
        <f ca="1">('TUSD BE'!$AM$27+'TUSD BF'!$AM$27+'TUSD CVA'!$AM$27)*1*(1-0.03)</f>
        <v>133.3127786832801</v>
      </c>
      <c r="AA542" s="70">
        <f>('TE BE'!$AB$9+'TE BF'!$AB$9+'TE CVA'!$AB$9)*1*(1-0.03)</f>
        <v>494.74843531278674</v>
      </c>
      <c r="AB542" s="6">
        <f>$K$542*$V$542</f>
        <v>33113.567999999999</v>
      </c>
      <c r="AC542" s="6">
        <f>$M$542*$W$542</f>
        <v>1966.4167379999997</v>
      </c>
      <c r="AD542" s="6">
        <f>$O$542*$X$542</f>
        <v>11004.259694999999</v>
      </c>
      <c r="AE542" s="6">
        <f ca="1">$K$542*$Y$542</f>
        <v>39279.180894123419</v>
      </c>
      <c r="AF542" s="6">
        <f ca="1">$M$542*$Z$542</f>
        <v>3145.5150130319939</v>
      </c>
      <c r="AG542" s="6">
        <f>$O$542*$AA$542</f>
        <v>11673.589331205203</v>
      </c>
    </row>
    <row r="543" spans="1:33" ht="11.25" customHeight="1" x14ac:dyDescent="0.25">
      <c r="A543" s="4" t="s">
        <v>27</v>
      </c>
      <c r="B543" s="4" t="s">
        <v>41</v>
      </c>
      <c r="C543" s="4" t="s">
        <v>40</v>
      </c>
      <c r="D543" s="4" t="s">
        <v>51</v>
      </c>
      <c r="E543" s="4" t="s">
        <v>52</v>
      </c>
      <c r="F543" s="4" t="s">
        <v>25</v>
      </c>
      <c r="G543" s="4" t="s">
        <v>25</v>
      </c>
      <c r="H543" s="4" t="s">
        <v>34</v>
      </c>
      <c r="I543" s="5">
        <v>44348</v>
      </c>
      <c r="J543" s="6">
        <v>32</v>
      </c>
      <c r="K543" s="71">
        <v>32</v>
      </c>
      <c r="L543" s="6">
        <v>0</v>
      </c>
      <c r="M543" s="70">
        <v>0</v>
      </c>
      <c r="N543" s="6">
        <v>0</v>
      </c>
      <c r="O543" s="70">
        <v>0</v>
      </c>
      <c r="P543" s="6">
        <v>0</v>
      </c>
      <c r="Q543" s="4" t="s">
        <v>26</v>
      </c>
      <c r="R543" s="4">
        <v>0</v>
      </c>
      <c r="S543" s="6">
        <v>21</v>
      </c>
      <c r="T543" s="6">
        <v>0</v>
      </c>
      <c r="U543" s="6">
        <v>0</v>
      </c>
      <c r="V543" s="70">
        <f>IF(ISERROR(VLOOKUP($S$543,'TAR FIN'!$A$1:$O$116,15,0)),0,VLOOKUP($S$543,'TAR FIN'!$A$1:$O$116,15,0))*(1-0.06)</f>
        <v>61.663999999999994</v>
      </c>
      <c r="W543" s="70">
        <f>IF(ISERROR(VLOOKUP($T$543,'TAR FIN'!$A$1:$O$116,15,0)),0,VLOOKUP($T$543,'TAR FIN'!$A$1:$O$116,15,0))*(1-0.06)</f>
        <v>0</v>
      </c>
      <c r="X543" s="70">
        <f>IF(ISERROR(VLOOKUP($U$543,'TAR FIN'!$A$1:$O$116,15,0)),0,VLOOKUP($U$543,'TAR FIN'!$A$1:$O$116,15,0))*(1-0.06)</f>
        <v>0</v>
      </c>
      <c r="Y543" s="70">
        <f ca="1">('TUSD BE'!$AM$25+'TUSD BF'!$AM$25+'TUSD CVA'!$AM$25)*1*(1-0.03)</f>
        <v>73.145588257213078</v>
      </c>
      <c r="Z543" s="70">
        <f ca="1">('TUSD BE'!$AM$27+'TUSD BF'!$AM$27+'TUSD CVA'!$AM$27)*1*(1-0.03)</f>
        <v>133.3127786832801</v>
      </c>
      <c r="AA543" s="70">
        <f>('TE BE'!$AB$9+'TE BF'!$AB$9+'TE CVA'!$AB$9)*1*(1-0.03)</f>
        <v>494.74843531278674</v>
      </c>
      <c r="AB543" s="6">
        <f>$K$543*$V$543</f>
        <v>1973.2479999999998</v>
      </c>
      <c r="AC543" s="6">
        <f>$M$543*$W$543</f>
        <v>0</v>
      </c>
      <c r="AD543" s="6">
        <f>$O$543*$X$543</f>
        <v>0</v>
      </c>
      <c r="AE543" s="6">
        <f ca="1">$K$543*$Y$543</f>
        <v>2340.6588242308185</v>
      </c>
      <c r="AF543" s="6">
        <f ca="1">$M$543*$Z$543</f>
        <v>0</v>
      </c>
      <c r="AG543" s="6">
        <f>$O$543*$AA$543</f>
        <v>0</v>
      </c>
    </row>
    <row r="544" spans="1:33" ht="11.25" customHeight="1" x14ac:dyDescent="0.25">
      <c r="A544" s="4" t="s">
        <v>21</v>
      </c>
      <c r="B544" s="4" t="s">
        <v>41</v>
      </c>
      <c r="C544" s="4" t="s">
        <v>40</v>
      </c>
      <c r="D544" s="4" t="s">
        <v>51</v>
      </c>
      <c r="E544" s="4" t="s">
        <v>52</v>
      </c>
      <c r="F544" s="4" t="s">
        <v>25</v>
      </c>
      <c r="G544" s="4" t="s">
        <v>25</v>
      </c>
      <c r="H544" s="4" t="s">
        <v>34</v>
      </c>
      <c r="I544" s="5">
        <v>44378</v>
      </c>
      <c r="J544" s="6">
        <v>550</v>
      </c>
      <c r="K544" s="71">
        <v>550</v>
      </c>
      <c r="L544" s="6">
        <v>23.18</v>
      </c>
      <c r="M544" s="70">
        <v>23.18</v>
      </c>
      <c r="N544" s="6">
        <v>23.18</v>
      </c>
      <c r="O544" s="70">
        <v>23.18</v>
      </c>
      <c r="P544" s="6">
        <v>0</v>
      </c>
      <c r="Q544" s="4" t="s">
        <v>26</v>
      </c>
      <c r="R544" s="4">
        <v>0</v>
      </c>
      <c r="S544" s="6">
        <v>21</v>
      </c>
      <c r="T544" s="6">
        <v>23</v>
      </c>
      <c r="U544" s="6">
        <v>78</v>
      </c>
      <c r="V544" s="70">
        <f>IF(ISERROR(VLOOKUP($S$544,'TAR FIN'!$A$1:$O$116,15,0)),0,VLOOKUP($S$544,'TAR FIN'!$A$1:$O$116,15,0))*(1-0.06)</f>
        <v>61.663999999999994</v>
      </c>
      <c r="W544" s="70">
        <f>IF(ISERROR(VLOOKUP($T$544,'TAR FIN'!$A$1:$O$116,15,0)),0,VLOOKUP($T$544,'TAR FIN'!$A$1:$O$116,15,0))*(1-0.06)</f>
        <v>83.340399999999988</v>
      </c>
      <c r="X544" s="70">
        <f>IF(ISERROR(VLOOKUP($U$544,'TAR FIN'!$A$1:$O$116,15,0)),0,VLOOKUP($U$544,'TAR FIN'!$A$1:$O$116,15,0))*(1-0.06)</f>
        <v>466.38099999999997</v>
      </c>
      <c r="Y544" s="70">
        <f ca="1">('TUSD BE'!$AM$25+'TUSD BF'!$AM$25+'TUSD CVA'!$AM$25)*1*(1-0.03)</f>
        <v>73.145588257213078</v>
      </c>
      <c r="Z544" s="70">
        <f ca="1">('TUSD BE'!$AM$27+'TUSD BF'!$AM$27+'TUSD CVA'!$AM$27)*1*(1-0.03)</f>
        <v>133.3127786832801</v>
      </c>
      <c r="AA544" s="70">
        <f>('TE BE'!$AB$9+'TE BF'!$AB$9+'TE CVA'!$AB$9)*1*(1-0.03)</f>
        <v>494.74843531278674</v>
      </c>
      <c r="AB544" s="6">
        <f>$K$544*$V$544</f>
        <v>33915.199999999997</v>
      </c>
      <c r="AC544" s="6">
        <f>$M$544*$W$544</f>
        <v>1931.8304719999996</v>
      </c>
      <c r="AD544" s="6">
        <f>$O$544*$X$544</f>
        <v>10810.711579999999</v>
      </c>
      <c r="AE544" s="6">
        <f ca="1">$K$544*$Y$544</f>
        <v>40230.073541467194</v>
      </c>
      <c r="AF544" s="6">
        <f ca="1">$M$544*$Z$544</f>
        <v>3090.1902098784326</v>
      </c>
      <c r="AG544" s="6">
        <f>$O$544*$AA$544</f>
        <v>11468.268730550397</v>
      </c>
    </row>
    <row r="545" spans="1:33" ht="11.25" customHeight="1" x14ac:dyDescent="0.25">
      <c r="A545" s="4" t="s">
        <v>27</v>
      </c>
      <c r="B545" s="4" t="s">
        <v>41</v>
      </c>
      <c r="C545" s="4" t="s">
        <v>40</v>
      </c>
      <c r="D545" s="4" t="s">
        <v>51</v>
      </c>
      <c r="E545" s="4" t="s">
        <v>52</v>
      </c>
      <c r="F545" s="4" t="s">
        <v>25</v>
      </c>
      <c r="G545" s="4" t="s">
        <v>25</v>
      </c>
      <c r="H545" s="4" t="s">
        <v>34</v>
      </c>
      <c r="I545" s="5">
        <v>44378</v>
      </c>
      <c r="J545" s="6">
        <v>14</v>
      </c>
      <c r="K545" s="71">
        <v>14</v>
      </c>
      <c r="L545" s="6">
        <v>-0.438</v>
      </c>
      <c r="M545" s="70">
        <v>-0.438</v>
      </c>
      <c r="N545" s="6">
        <v>-0.438</v>
      </c>
      <c r="O545" s="70">
        <v>-0.438</v>
      </c>
      <c r="P545" s="6">
        <v>0</v>
      </c>
      <c r="Q545" s="4" t="s">
        <v>26</v>
      </c>
      <c r="R545" s="4">
        <v>0</v>
      </c>
      <c r="S545" s="6">
        <v>21</v>
      </c>
      <c r="T545" s="6">
        <v>23</v>
      </c>
      <c r="U545" s="6">
        <v>78</v>
      </c>
      <c r="V545" s="70">
        <f>IF(ISERROR(VLOOKUP($S$545,'TAR FIN'!$A$1:$O$116,15,0)),0,VLOOKUP($S$545,'TAR FIN'!$A$1:$O$116,15,0))*(1-0.06)</f>
        <v>61.663999999999994</v>
      </c>
      <c r="W545" s="70">
        <f>IF(ISERROR(VLOOKUP($T$545,'TAR FIN'!$A$1:$O$116,15,0)),0,VLOOKUP($T$545,'TAR FIN'!$A$1:$O$116,15,0))*(1-0.06)</f>
        <v>83.340399999999988</v>
      </c>
      <c r="X545" s="70">
        <f>IF(ISERROR(VLOOKUP($U$545,'TAR FIN'!$A$1:$O$116,15,0)),0,VLOOKUP($U$545,'TAR FIN'!$A$1:$O$116,15,0))*(1-0.06)</f>
        <v>466.38099999999997</v>
      </c>
      <c r="Y545" s="70">
        <f ca="1">('TUSD BE'!$AM$25+'TUSD BF'!$AM$25+'TUSD CVA'!$AM$25)*1*(1-0.03)</f>
        <v>73.145588257213078</v>
      </c>
      <c r="Z545" s="70">
        <f ca="1">('TUSD BE'!$AM$27+'TUSD BF'!$AM$27+'TUSD CVA'!$AM$27)*1*(1-0.03)</f>
        <v>133.3127786832801</v>
      </c>
      <c r="AA545" s="70">
        <f>('TE BE'!$AB$9+'TE BF'!$AB$9+'TE CVA'!$AB$9)*1*(1-0.03)</f>
        <v>494.74843531278674</v>
      </c>
      <c r="AB545" s="6">
        <f>$K$545*$V$545</f>
        <v>863.29599999999994</v>
      </c>
      <c r="AC545" s="6">
        <f>$M$545*$W$545</f>
        <v>-36.503095199999997</v>
      </c>
      <c r="AD545" s="6">
        <f>$O$545*$X$545</f>
        <v>-204.274878</v>
      </c>
      <c r="AE545" s="6">
        <f ca="1">$K$545*$Y$545</f>
        <v>1024.0382356009832</v>
      </c>
      <c r="AF545" s="6">
        <f ca="1">$M$545*$Z$545</f>
        <v>-58.390997063276686</v>
      </c>
      <c r="AG545" s="6">
        <f>$O$545*$AA$545</f>
        <v>-216.6998146670006</v>
      </c>
    </row>
    <row r="546" spans="1:33" ht="11.25" customHeight="1" x14ac:dyDescent="0.25">
      <c r="A546" s="4" t="s">
        <v>21</v>
      </c>
      <c r="B546" s="4" t="s">
        <v>41</v>
      </c>
      <c r="C546" s="4" t="s">
        <v>40</v>
      </c>
      <c r="D546" s="4" t="s">
        <v>51</v>
      </c>
      <c r="E546" s="4" t="s">
        <v>52</v>
      </c>
      <c r="F546" s="4" t="s">
        <v>25</v>
      </c>
      <c r="G546" s="4" t="s">
        <v>25</v>
      </c>
      <c r="H546" s="4" t="s">
        <v>34</v>
      </c>
      <c r="I546" s="5">
        <v>44409</v>
      </c>
      <c r="J546" s="6">
        <v>546</v>
      </c>
      <c r="K546" s="71">
        <v>546</v>
      </c>
      <c r="L546" s="6">
        <v>22.675999999999998</v>
      </c>
      <c r="M546" s="70">
        <v>22.675999999999998</v>
      </c>
      <c r="N546" s="6">
        <v>22.675999999999998</v>
      </c>
      <c r="O546" s="70">
        <v>22.675999999999998</v>
      </c>
      <c r="P546" s="6">
        <v>0</v>
      </c>
      <c r="Q546" s="4" t="s">
        <v>26</v>
      </c>
      <c r="R546" s="4">
        <v>0</v>
      </c>
      <c r="S546" s="6">
        <v>21</v>
      </c>
      <c r="T546" s="6">
        <v>23</v>
      </c>
      <c r="U546" s="6">
        <v>78</v>
      </c>
      <c r="V546" s="70">
        <f>IF(ISERROR(VLOOKUP($S$546,'TAR FIN'!$A$1:$O$116,15,0)),0,VLOOKUP($S$546,'TAR FIN'!$A$1:$O$116,15,0))*(1-0.06)</f>
        <v>61.663999999999994</v>
      </c>
      <c r="W546" s="70">
        <f>IF(ISERROR(VLOOKUP($T$546,'TAR FIN'!$A$1:$O$116,15,0)),0,VLOOKUP($T$546,'TAR FIN'!$A$1:$O$116,15,0))*(1-0.06)</f>
        <v>83.340399999999988</v>
      </c>
      <c r="X546" s="70">
        <f>IF(ISERROR(VLOOKUP($U$546,'TAR FIN'!$A$1:$O$116,15,0)),0,VLOOKUP($U$546,'TAR FIN'!$A$1:$O$116,15,0))*(1-0.06)</f>
        <v>466.38099999999997</v>
      </c>
      <c r="Y546" s="70">
        <f ca="1">('TUSD BE'!$AM$25+'TUSD BF'!$AM$25+'TUSD CVA'!$AM$25)*1*(1-0.03)</f>
        <v>73.145588257213078</v>
      </c>
      <c r="Z546" s="70">
        <f ca="1">('TUSD BE'!$AM$27+'TUSD BF'!$AM$27+'TUSD CVA'!$AM$27)*1*(1-0.03)</f>
        <v>133.3127786832801</v>
      </c>
      <c r="AA546" s="70">
        <f>('TE BE'!$AB$9+'TE BF'!$AB$9+'TE CVA'!$AB$9)*1*(1-0.03)</f>
        <v>494.74843531278674</v>
      </c>
      <c r="AB546" s="6">
        <f>$K$546*$V$546</f>
        <v>33668.543999999994</v>
      </c>
      <c r="AC546" s="6">
        <f>$M$546*$W$546</f>
        <v>1889.8269103999996</v>
      </c>
      <c r="AD546" s="6">
        <f>$O$546*$X$546</f>
        <v>10575.655555999998</v>
      </c>
      <c r="AE546" s="6">
        <f ca="1">$K$546*$Y$546</f>
        <v>39937.49118843834</v>
      </c>
      <c r="AF546" s="6">
        <f ca="1">$M$546*$Z$546</f>
        <v>3023.0005694220595</v>
      </c>
      <c r="AG546" s="6">
        <f>$O$546*$AA$546</f>
        <v>11218.915519152752</v>
      </c>
    </row>
    <row r="547" spans="1:33" ht="11.25" customHeight="1" x14ac:dyDescent="0.25">
      <c r="A547" s="4" t="s">
        <v>21</v>
      </c>
      <c r="B547" s="4" t="s">
        <v>41</v>
      </c>
      <c r="C547" s="4" t="s">
        <v>40</v>
      </c>
      <c r="D547" s="4" t="s">
        <v>51</v>
      </c>
      <c r="E547" s="4" t="s">
        <v>52</v>
      </c>
      <c r="F547" s="4" t="s">
        <v>25</v>
      </c>
      <c r="G547" s="4" t="s">
        <v>25</v>
      </c>
      <c r="H547" s="4" t="s">
        <v>34</v>
      </c>
      <c r="I547" s="5">
        <v>44440</v>
      </c>
      <c r="J547" s="6">
        <v>545</v>
      </c>
      <c r="K547" s="71">
        <v>545</v>
      </c>
      <c r="L547" s="6">
        <v>22.198</v>
      </c>
      <c r="M547" s="70">
        <v>22.198</v>
      </c>
      <c r="N547" s="6">
        <v>22.198</v>
      </c>
      <c r="O547" s="70">
        <v>22.198</v>
      </c>
      <c r="P547" s="6">
        <v>0</v>
      </c>
      <c r="Q547" s="4" t="s">
        <v>26</v>
      </c>
      <c r="R547" s="4">
        <v>0</v>
      </c>
      <c r="S547" s="6">
        <v>21</v>
      </c>
      <c r="T547" s="6">
        <v>23</v>
      </c>
      <c r="U547" s="6">
        <v>78</v>
      </c>
      <c r="V547" s="70">
        <f>IF(ISERROR(VLOOKUP($S$547,'TAR FIN'!$A$1:$O$116,15,0)),0,VLOOKUP($S$547,'TAR FIN'!$A$1:$O$116,15,0))*(1-0.06)</f>
        <v>61.663999999999994</v>
      </c>
      <c r="W547" s="70">
        <f>IF(ISERROR(VLOOKUP($T$547,'TAR FIN'!$A$1:$O$116,15,0)),0,VLOOKUP($T$547,'TAR FIN'!$A$1:$O$116,15,0))*(1-0.06)</f>
        <v>83.340399999999988</v>
      </c>
      <c r="X547" s="70">
        <f>IF(ISERROR(VLOOKUP($U$547,'TAR FIN'!$A$1:$O$116,15,0)),0,VLOOKUP($U$547,'TAR FIN'!$A$1:$O$116,15,0))*(1-0.06)</f>
        <v>466.38099999999997</v>
      </c>
      <c r="Y547" s="70">
        <f ca="1">('TUSD BE'!$AM$25+'TUSD BF'!$AM$25+'TUSD CVA'!$AM$25)*1*(1-0.03)</f>
        <v>73.145588257213078</v>
      </c>
      <c r="Z547" s="70">
        <f ca="1">('TUSD BE'!$AM$27+'TUSD BF'!$AM$27+'TUSD CVA'!$AM$27)*1*(1-0.03)</f>
        <v>133.3127786832801</v>
      </c>
      <c r="AA547" s="70">
        <f>('TE BE'!$AB$9+'TE BF'!$AB$9+'TE CVA'!$AB$9)*1*(1-0.03)</f>
        <v>494.74843531278674</v>
      </c>
      <c r="AB547" s="6">
        <f>$K$547*$V$547</f>
        <v>33606.879999999997</v>
      </c>
      <c r="AC547" s="6">
        <f>$M$547*$W$547</f>
        <v>1849.9901991999998</v>
      </c>
      <c r="AD547" s="6">
        <f>$O$547*$X$547</f>
        <v>10352.725437999999</v>
      </c>
      <c r="AE547" s="6">
        <f ca="1">$K$547*$Y$547</f>
        <v>39864.345600181128</v>
      </c>
      <c r="AF547" s="6">
        <f ca="1">$M$547*$Z$547</f>
        <v>2959.2770612114518</v>
      </c>
      <c r="AG547" s="6">
        <f>$O$547*$AA$547</f>
        <v>10982.42576707324</v>
      </c>
    </row>
    <row r="548" spans="1:33" ht="11.25" customHeight="1" x14ac:dyDescent="0.25">
      <c r="A548" s="4" t="s">
        <v>21</v>
      </c>
      <c r="B548" s="4" t="s">
        <v>41</v>
      </c>
      <c r="C548" s="4" t="s">
        <v>40</v>
      </c>
      <c r="D548" s="4" t="s">
        <v>51</v>
      </c>
      <c r="E548" s="4" t="s">
        <v>52</v>
      </c>
      <c r="F548" s="4" t="s">
        <v>25</v>
      </c>
      <c r="G548" s="4" t="s">
        <v>25</v>
      </c>
      <c r="H548" s="4" t="s">
        <v>34</v>
      </c>
      <c r="I548" s="5">
        <v>44470</v>
      </c>
      <c r="J548" s="6">
        <v>254</v>
      </c>
      <c r="K548" s="71">
        <v>254</v>
      </c>
      <c r="L548" s="6">
        <v>8.6609999999999996</v>
      </c>
      <c r="M548" s="70">
        <v>8.6609999999999996</v>
      </c>
      <c r="N548" s="6">
        <v>8.6609999999999996</v>
      </c>
      <c r="O548" s="70">
        <v>8.6609999999999996</v>
      </c>
      <c r="P548" s="6">
        <v>0</v>
      </c>
      <c r="Q548" s="4" t="s">
        <v>26</v>
      </c>
      <c r="R548" s="4">
        <v>0</v>
      </c>
      <c r="S548" s="6">
        <v>21</v>
      </c>
      <c r="T548" s="6">
        <v>23</v>
      </c>
      <c r="U548" s="6">
        <v>78</v>
      </c>
      <c r="V548" s="70">
        <f>IF(ISERROR(VLOOKUP($S$548,'TAR FIN'!$A$1:$O$116,15,0)),0,VLOOKUP($S$548,'TAR FIN'!$A$1:$O$116,15,0))*(1-0.06)</f>
        <v>61.663999999999994</v>
      </c>
      <c r="W548" s="70">
        <f>IF(ISERROR(VLOOKUP($T$548,'TAR FIN'!$A$1:$O$116,15,0)),0,VLOOKUP($T$548,'TAR FIN'!$A$1:$O$116,15,0))*(1-0.06)</f>
        <v>83.340399999999988</v>
      </c>
      <c r="X548" s="70">
        <f>IF(ISERROR(VLOOKUP($U$548,'TAR FIN'!$A$1:$O$116,15,0)),0,VLOOKUP($U$548,'TAR FIN'!$A$1:$O$116,15,0))*(1-0.06)</f>
        <v>466.38099999999997</v>
      </c>
      <c r="Y548" s="70">
        <f ca="1">('TUSD BE'!$AM$25+'TUSD BF'!$AM$25+'TUSD CVA'!$AM$25)*1*(1-0.03)</f>
        <v>73.145588257213078</v>
      </c>
      <c r="Z548" s="70">
        <f ca="1">('TUSD BE'!$AM$27+'TUSD BF'!$AM$27+'TUSD CVA'!$AM$27)*1*(1-0.03)</f>
        <v>133.3127786832801</v>
      </c>
      <c r="AA548" s="70">
        <f>('TE BE'!$AB$9+'TE BF'!$AB$9+'TE CVA'!$AB$9)*1*(1-0.03)</f>
        <v>494.74843531278674</v>
      </c>
      <c r="AB548" s="6">
        <f>$K$548*$V$548</f>
        <v>15662.655999999999</v>
      </c>
      <c r="AC548" s="6">
        <f>$M$548*$W$548</f>
        <v>721.81120439999984</v>
      </c>
      <c r="AD548" s="6">
        <f>$O$548*$X$548</f>
        <v>4039.3258409999994</v>
      </c>
      <c r="AE548" s="6">
        <f ca="1">$K$548*$Y$548</f>
        <v>18578.979417332121</v>
      </c>
      <c r="AF548" s="6">
        <f ca="1">$M$548*$Z$548</f>
        <v>1154.6219761758889</v>
      </c>
      <c r="AG548" s="6">
        <f>$O$548*$AA$548</f>
        <v>4285.0161982440459</v>
      </c>
    </row>
    <row r="549" spans="1:33" ht="11.25" customHeight="1" x14ac:dyDescent="0.25">
      <c r="A549" s="4" t="s">
        <v>21</v>
      </c>
      <c r="B549" s="4" t="s">
        <v>41</v>
      </c>
      <c r="C549" s="4" t="s">
        <v>40</v>
      </c>
      <c r="D549" s="4" t="s">
        <v>51</v>
      </c>
      <c r="E549" s="4" t="s">
        <v>52</v>
      </c>
      <c r="F549" s="4" t="s">
        <v>25</v>
      </c>
      <c r="G549" s="4" t="s">
        <v>25</v>
      </c>
      <c r="H549" s="4" t="s">
        <v>34</v>
      </c>
      <c r="I549" s="5">
        <v>44501</v>
      </c>
      <c r="J549" s="6">
        <v>224</v>
      </c>
      <c r="K549" s="71">
        <v>224</v>
      </c>
      <c r="L549" s="6">
        <v>7.1050000000000004</v>
      </c>
      <c r="M549" s="70">
        <v>7.1050000000000004</v>
      </c>
      <c r="N549" s="6">
        <v>7.1050000000000004</v>
      </c>
      <c r="O549" s="70">
        <v>7.1050000000000004</v>
      </c>
      <c r="P549" s="6">
        <v>0</v>
      </c>
      <c r="Q549" s="4" t="s">
        <v>26</v>
      </c>
      <c r="R549" s="4">
        <v>0</v>
      </c>
      <c r="S549" s="6">
        <v>21</v>
      </c>
      <c r="T549" s="6">
        <v>23</v>
      </c>
      <c r="U549" s="6">
        <v>78</v>
      </c>
      <c r="V549" s="70">
        <f>IF(ISERROR(VLOOKUP($S$549,'TAR FIN'!$A$1:$O$116,15,0)),0,VLOOKUP($S$549,'TAR FIN'!$A$1:$O$116,15,0))*(1-0.06)</f>
        <v>61.663999999999994</v>
      </c>
      <c r="W549" s="70">
        <f>IF(ISERROR(VLOOKUP($T$549,'TAR FIN'!$A$1:$O$116,15,0)),0,VLOOKUP($T$549,'TAR FIN'!$A$1:$O$116,15,0))*(1-0.06)</f>
        <v>83.340399999999988</v>
      </c>
      <c r="X549" s="70">
        <f>IF(ISERROR(VLOOKUP($U$549,'TAR FIN'!$A$1:$O$116,15,0)),0,VLOOKUP($U$549,'TAR FIN'!$A$1:$O$116,15,0))*(1-0.06)</f>
        <v>466.38099999999997</v>
      </c>
      <c r="Y549" s="70">
        <f ca="1">('TUSD BE'!$AM$25+'TUSD BF'!$AM$25+'TUSD CVA'!$AM$25)*1*(1-0.03)</f>
        <v>73.145588257213078</v>
      </c>
      <c r="Z549" s="70">
        <f ca="1">('TUSD BE'!$AM$27+'TUSD BF'!$AM$27+'TUSD CVA'!$AM$27)*1*(1-0.03)</f>
        <v>133.3127786832801</v>
      </c>
      <c r="AA549" s="70">
        <f>('TE BE'!$AB$9+'TE BF'!$AB$9+'TE CVA'!$AB$9)*1*(1-0.03)</f>
        <v>494.74843531278674</v>
      </c>
      <c r="AB549" s="6">
        <f>$K$549*$V$549</f>
        <v>13812.735999999999</v>
      </c>
      <c r="AC549" s="6">
        <f>$M$549*$W$549</f>
        <v>592.13354199999992</v>
      </c>
      <c r="AD549" s="6">
        <f>$O$549*$X$549</f>
        <v>3313.637005</v>
      </c>
      <c r="AE549" s="6">
        <f ca="1">$K$549*$Y$549</f>
        <v>16384.611769615731</v>
      </c>
      <c r="AF549" s="6">
        <f ca="1">$M$549*$Z$549</f>
        <v>947.1872925447052</v>
      </c>
      <c r="AG549" s="6">
        <f>$O$549*$AA$549</f>
        <v>3515.1876328973499</v>
      </c>
    </row>
    <row r="550" spans="1:33" ht="11.25" customHeight="1" x14ac:dyDescent="0.25">
      <c r="A550" s="4" t="s">
        <v>21</v>
      </c>
      <c r="B550" s="4" t="s">
        <v>41</v>
      </c>
      <c r="C550" s="4" t="s">
        <v>40</v>
      </c>
      <c r="D550" s="4" t="s">
        <v>51</v>
      </c>
      <c r="E550" s="4" t="s">
        <v>52</v>
      </c>
      <c r="F550" s="4" t="s">
        <v>25</v>
      </c>
      <c r="G550" s="4" t="s">
        <v>25</v>
      </c>
      <c r="H550" s="4" t="s">
        <v>34</v>
      </c>
      <c r="I550" s="5">
        <v>44531</v>
      </c>
      <c r="J550" s="6">
        <v>225</v>
      </c>
      <c r="K550" s="71">
        <v>225</v>
      </c>
      <c r="L550" s="6">
        <v>8.4120000000000008</v>
      </c>
      <c r="M550" s="70">
        <v>8.4120000000000008</v>
      </c>
      <c r="N550" s="6">
        <v>8.4120000000000008</v>
      </c>
      <c r="O550" s="70">
        <v>8.4120000000000008</v>
      </c>
      <c r="P550" s="6">
        <v>0</v>
      </c>
      <c r="Q550" s="4" t="s">
        <v>26</v>
      </c>
      <c r="R550" s="4">
        <v>0</v>
      </c>
      <c r="S550" s="6">
        <v>21</v>
      </c>
      <c r="T550" s="6">
        <v>23</v>
      </c>
      <c r="U550" s="6">
        <v>78</v>
      </c>
      <c r="V550" s="70">
        <f>IF(ISERROR(VLOOKUP($S$550,'TAR FIN'!$A$1:$O$116,15,0)),0,VLOOKUP($S$550,'TAR FIN'!$A$1:$O$116,15,0))*(1-0.06)</f>
        <v>61.663999999999994</v>
      </c>
      <c r="W550" s="70">
        <f>IF(ISERROR(VLOOKUP($T$550,'TAR FIN'!$A$1:$O$116,15,0)),0,VLOOKUP($T$550,'TAR FIN'!$A$1:$O$116,15,0))*(1-0.06)</f>
        <v>83.340399999999988</v>
      </c>
      <c r="X550" s="70">
        <f>IF(ISERROR(VLOOKUP($U$550,'TAR FIN'!$A$1:$O$116,15,0)),0,VLOOKUP($U$550,'TAR FIN'!$A$1:$O$116,15,0))*(1-0.06)</f>
        <v>466.38099999999997</v>
      </c>
      <c r="Y550" s="70">
        <f ca="1">('TUSD BE'!$AM$25+'TUSD BF'!$AM$25+'TUSD CVA'!$AM$25)*1*(1-0.03)</f>
        <v>73.145588257213078</v>
      </c>
      <c r="Z550" s="70">
        <f ca="1">('TUSD BE'!$AM$27+'TUSD BF'!$AM$27+'TUSD CVA'!$AM$27)*1*(1-0.03)</f>
        <v>133.3127786832801</v>
      </c>
      <c r="AA550" s="70">
        <f>('TE BE'!$AB$9+'TE BF'!$AB$9+'TE CVA'!$AB$9)*1*(1-0.03)</f>
        <v>494.74843531278674</v>
      </c>
      <c r="AB550" s="6">
        <f>$K$550*$V$550</f>
        <v>13874.4</v>
      </c>
      <c r="AC550" s="6">
        <f>$M$550*$W$550</f>
        <v>701.05944479999994</v>
      </c>
      <c r="AD550" s="6">
        <f>$O$550*$X$550</f>
        <v>3923.1969720000002</v>
      </c>
      <c r="AE550" s="6">
        <f ca="1">$K$550*$Y$550</f>
        <v>16457.757357872943</v>
      </c>
      <c r="AF550" s="6">
        <f ca="1">$M$550*$Z$550</f>
        <v>1121.4270942837522</v>
      </c>
      <c r="AG550" s="6">
        <f>$O$550*$AA$550</f>
        <v>4161.8238378511624</v>
      </c>
    </row>
    <row r="551" spans="1:33" ht="11.25" customHeight="1" x14ac:dyDescent="0.25">
      <c r="A551" s="4" t="s">
        <v>21</v>
      </c>
      <c r="B551" s="4" t="s">
        <v>41</v>
      </c>
      <c r="C551" s="4" t="s">
        <v>40</v>
      </c>
      <c r="D551" s="4" t="s">
        <v>51</v>
      </c>
      <c r="E551" s="4" t="s">
        <v>52</v>
      </c>
      <c r="F551" s="4" t="s">
        <v>25</v>
      </c>
      <c r="G551" s="4" t="s">
        <v>25</v>
      </c>
      <c r="H551" s="4" t="s">
        <v>34</v>
      </c>
      <c r="I551" s="5">
        <v>44562</v>
      </c>
      <c r="J551" s="6">
        <v>231</v>
      </c>
      <c r="K551" s="71">
        <v>231</v>
      </c>
      <c r="L551" s="6">
        <v>8.6790000000000003</v>
      </c>
      <c r="M551" s="70">
        <v>8.6790000000000003</v>
      </c>
      <c r="N551" s="6">
        <v>8.6790000000000003</v>
      </c>
      <c r="O551" s="70">
        <v>8.6790000000000003</v>
      </c>
      <c r="P551" s="6">
        <v>0</v>
      </c>
      <c r="Q551" s="4" t="s">
        <v>26</v>
      </c>
      <c r="R551" s="4">
        <v>0</v>
      </c>
      <c r="S551" s="6">
        <v>21</v>
      </c>
      <c r="T551" s="6">
        <v>23</v>
      </c>
      <c r="U551" s="6">
        <v>78</v>
      </c>
      <c r="V551" s="70">
        <f>IF(ISERROR(VLOOKUP($S$551,'TAR FIN'!$A$1:$O$116,15,0)),0,VLOOKUP($S$551,'TAR FIN'!$A$1:$O$116,15,0))*(1-0.06)</f>
        <v>61.663999999999994</v>
      </c>
      <c r="W551" s="70">
        <f>IF(ISERROR(VLOOKUP($T$551,'TAR FIN'!$A$1:$O$116,15,0)),0,VLOOKUP($T$551,'TAR FIN'!$A$1:$O$116,15,0))*(1-0.06)</f>
        <v>83.340399999999988</v>
      </c>
      <c r="X551" s="70">
        <f>IF(ISERROR(VLOOKUP($U$551,'TAR FIN'!$A$1:$O$116,15,0)),0,VLOOKUP($U$551,'TAR FIN'!$A$1:$O$116,15,0))*(1-0.06)</f>
        <v>466.38099999999997</v>
      </c>
      <c r="Y551" s="70">
        <f ca="1">('TUSD BE'!$AM$25+'TUSD BF'!$AM$25+'TUSD CVA'!$AM$25)*1*(1-0.03)</f>
        <v>73.145588257213078</v>
      </c>
      <c r="Z551" s="70">
        <f ca="1">('TUSD BE'!$AM$27+'TUSD BF'!$AM$27+'TUSD CVA'!$AM$27)*1*(1-0.03)</f>
        <v>133.3127786832801</v>
      </c>
      <c r="AA551" s="70">
        <f>('TE BE'!$AB$9+'TE BF'!$AB$9+'TE CVA'!$AB$9)*1*(1-0.03)</f>
        <v>494.74843531278674</v>
      </c>
      <c r="AB551" s="6">
        <f>$K$551*$V$551</f>
        <v>14244.383999999998</v>
      </c>
      <c r="AC551" s="6">
        <f>$M$551*$W$551</f>
        <v>723.3113315999999</v>
      </c>
      <c r="AD551" s="6">
        <f>$O$551*$X$551</f>
        <v>4047.720699</v>
      </c>
      <c r="AE551" s="6">
        <f ca="1">$K$551*$Y$551</f>
        <v>16896.630887416221</v>
      </c>
      <c r="AF551" s="6">
        <f ca="1">$M$551*$Z$551</f>
        <v>1157.0216061921881</v>
      </c>
      <c r="AG551" s="6">
        <f>$O$551*$AA$551</f>
        <v>4293.921670079676</v>
      </c>
    </row>
    <row r="552" spans="1:33" ht="11.25" customHeight="1" x14ac:dyDescent="0.25">
      <c r="A552" s="4" t="s">
        <v>21</v>
      </c>
      <c r="B552" s="4" t="s">
        <v>41</v>
      </c>
      <c r="C552" s="4" t="s">
        <v>40</v>
      </c>
      <c r="D552" s="4" t="s">
        <v>51</v>
      </c>
      <c r="E552" s="4" t="s">
        <v>52</v>
      </c>
      <c r="F552" s="4" t="s">
        <v>25</v>
      </c>
      <c r="G552" s="4" t="s">
        <v>25</v>
      </c>
      <c r="H552" s="4" t="s">
        <v>34</v>
      </c>
      <c r="I552" s="5">
        <v>44593</v>
      </c>
      <c r="J552" s="6">
        <v>236</v>
      </c>
      <c r="K552" s="71">
        <v>236</v>
      </c>
      <c r="L552" s="6">
        <v>9.5060000000000002</v>
      </c>
      <c r="M552" s="70">
        <v>9.5060000000000002</v>
      </c>
      <c r="N552" s="6">
        <v>9.5060000000000002</v>
      </c>
      <c r="O552" s="70">
        <v>9.5060000000000002</v>
      </c>
      <c r="P552" s="6">
        <v>0</v>
      </c>
      <c r="Q552" s="4" t="s">
        <v>26</v>
      </c>
      <c r="R552" s="4">
        <v>0</v>
      </c>
      <c r="S552" s="6">
        <v>21</v>
      </c>
      <c r="T552" s="6">
        <v>23</v>
      </c>
      <c r="U552" s="6">
        <v>78</v>
      </c>
      <c r="V552" s="70">
        <f>IF(ISERROR(VLOOKUP($S$552,'TAR FIN'!$A$1:$O$116,15,0)),0,VLOOKUP($S$552,'TAR FIN'!$A$1:$O$116,15,0))*(1-0.06)</f>
        <v>61.663999999999994</v>
      </c>
      <c r="W552" s="70">
        <f>IF(ISERROR(VLOOKUP($T$552,'TAR FIN'!$A$1:$O$116,15,0)),0,VLOOKUP($T$552,'TAR FIN'!$A$1:$O$116,15,0))*(1-0.06)</f>
        <v>83.340399999999988</v>
      </c>
      <c r="X552" s="70">
        <f>IF(ISERROR(VLOOKUP($U$552,'TAR FIN'!$A$1:$O$116,15,0)),0,VLOOKUP($U$552,'TAR FIN'!$A$1:$O$116,15,0))*(1-0.06)</f>
        <v>466.38099999999997</v>
      </c>
      <c r="Y552" s="70">
        <f ca="1">('TUSD BE'!$AM$25+'TUSD BF'!$AM$25+'TUSD CVA'!$AM$25)*1*(1-0.03)</f>
        <v>73.145588257213078</v>
      </c>
      <c r="Z552" s="70">
        <f ca="1">('TUSD BE'!$AM$27+'TUSD BF'!$AM$27+'TUSD CVA'!$AM$27)*1*(1-0.03)</f>
        <v>133.3127786832801</v>
      </c>
      <c r="AA552" s="70">
        <f>('TE BE'!$AB$9+'TE BF'!$AB$9+'TE CVA'!$AB$9)*1*(1-0.03)</f>
        <v>494.74843531278674</v>
      </c>
      <c r="AB552" s="6">
        <f>$K$552*$V$552</f>
        <v>14552.703999999998</v>
      </c>
      <c r="AC552" s="6">
        <f>$M$552*$W$552</f>
        <v>792.23384239999996</v>
      </c>
      <c r="AD552" s="6">
        <f>$O$552*$X$552</f>
        <v>4433.417786</v>
      </c>
      <c r="AE552" s="6">
        <f ca="1">$K$552*$Y$552</f>
        <v>17262.358828702287</v>
      </c>
      <c r="AF552" s="6">
        <f ca="1">$M$552*$Z$552</f>
        <v>1267.2712741632606</v>
      </c>
      <c r="AG552" s="6">
        <f>$O$552*$AA$552</f>
        <v>4703.0786260833511</v>
      </c>
    </row>
    <row r="553" spans="1:33" ht="11.25" customHeight="1" x14ac:dyDescent="0.25">
      <c r="A553" s="4" t="s">
        <v>21</v>
      </c>
      <c r="B553" s="4" t="s">
        <v>41</v>
      </c>
      <c r="C553" s="4" t="s">
        <v>40</v>
      </c>
      <c r="D553" s="4" t="s">
        <v>51</v>
      </c>
      <c r="E553" s="4" t="s">
        <v>52</v>
      </c>
      <c r="F553" s="4" t="s">
        <v>25</v>
      </c>
      <c r="G553" s="4" t="s">
        <v>25</v>
      </c>
      <c r="H553" s="4" t="s">
        <v>34</v>
      </c>
      <c r="I553" s="5">
        <v>44621</v>
      </c>
      <c r="J553" s="6">
        <v>235</v>
      </c>
      <c r="K553" s="71">
        <v>235</v>
      </c>
      <c r="L553" s="6">
        <v>10.074</v>
      </c>
      <c r="M553" s="70">
        <v>10.074</v>
      </c>
      <c r="N553" s="6">
        <v>10.074</v>
      </c>
      <c r="O553" s="70">
        <v>10.074</v>
      </c>
      <c r="P553" s="6">
        <v>0</v>
      </c>
      <c r="Q553" s="4" t="s">
        <v>26</v>
      </c>
      <c r="R553" s="4">
        <v>0</v>
      </c>
      <c r="S553" s="6">
        <v>21</v>
      </c>
      <c r="T553" s="6">
        <v>23</v>
      </c>
      <c r="U553" s="6">
        <v>78</v>
      </c>
      <c r="V553" s="70">
        <f>IF(ISERROR(VLOOKUP($S$553,'TAR FIN'!$A$1:$O$116,15,0)),0,VLOOKUP($S$553,'TAR FIN'!$A$1:$O$116,15,0))*(1-0.06)</f>
        <v>61.663999999999994</v>
      </c>
      <c r="W553" s="70">
        <f>IF(ISERROR(VLOOKUP($T$553,'TAR FIN'!$A$1:$O$116,15,0)),0,VLOOKUP($T$553,'TAR FIN'!$A$1:$O$116,15,0))*(1-0.06)</f>
        <v>83.340399999999988</v>
      </c>
      <c r="X553" s="70">
        <f>IF(ISERROR(VLOOKUP($U$553,'TAR FIN'!$A$1:$O$116,15,0)),0,VLOOKUP($U$553,'TAR FIN'!$A$1:$O$116,15,0))*(1-0.06)</f>
        <v>466.38099999999997</v>
      </c>
      <c r="Y553" s="70">
        <f ca="1">('TUSD BE'!$AM$25+'TUSD BF'!$AM$25+'TUSD CVA'!$AM$25)*1*(1-0.03)</f>
        <v>73.145588257213078</v>
      </c>
      <c r="Z553" s="70">
        <f ca="1">('TUSD BE'!$AM$27+'TUSD BF'!$AM$27+'TUSD CVA'!$AM$27)*1*(1-0.03)</f>
        <v>133.3127786832801</v>
      </c>
      <c r="AA553" s="70">
        <f>('TE BE'!$AB$9+'TE BF'!$AB$9+'TE CVA'!$AB$9)*1*(1-0.03)</f>
        <v>494.74843531278674</v>
      </c>
      <c r="AB553" s="6">
        <f>$K$553*$V$553</f>
        <v>14491.039999999999</v>
      </c>
      <c r="AC553" s="6">
        <f>$M$553*$W$553</f>
        <v>839.57118959999991</v>
      </c>
      <c r="AD553" s="6">
        <f>$O$553*$X$553</f>
        <v>4698.3221939999994</v>
      </c>
      <c r="AE553" s="6">
        <f ca="1">$K$553*$Y$553</f>
        <v>17189.213240445075</v>
      </c>
      <c r="AF553" s="6">
        <f ca="1">$M$553*$Z$553</f>
        <v>1342.9929324553636</v>
      </c>
      <c r="AG553" s="6">
        <f>$O$553*$AA$553</f>
        <v>4984.0957373410138</v>
      </c>
    </row>
    <row r="554" spans="1:33" ht="11.25" customHeight="1" x14ac:dyDescent="0.25">
      <c r="A554" s="4" t="s">
        <v>21</v>
      </c>
      <c r="B554" s="4" t="s">
        <v>41</v>
      </c>
      <c r="C554" s="4" t="s">
        <v>40</v>
      </c>
      <c r="D554" s="4" t="s">
        <v>51</v>
      </c>
      <c r="E554" s="4" t="s">
        <v>52</v>
      </c>
      <c r="F554" s="4" t="s">
        <v>25</v>
      </c>
      <c r="G554" s="4" t="s">
        <v>25</v>
      </c>
      <c r="H554" s="4" t="s">
        <v>34</v>
      </c>
      <c r="I554" s="5">
        <v>44652</v>
      </c>
      <c r="J554" s="6">
        <v>229</v>
      </c>
      <c r="K554" s="71">
        <v>229</v>
      </c>
      <c r="L554" s="6">
        <v>11.121</v>
      </c>
      <c r="M554" s="70">
        <v>11.121</v>
      </c>
      <c r="N554" s="6">
        <v>11.121</v>
      </c>
      <c r="O554" s="70">
        <v>11.121</v>
      </c>
      <c r="P554" s="6">
        <v>0</v>
      </c>
      <c r="Q554" s="4" t="s">
        <v>26</v>
      </c>
      <c r="R554" s="4">
        <v>0</v>
      </c>
      <c r="S554" s="6">
        <v>21</v>
      </c>
      <c r="T554" s="6">
        <v>23</v>
      </c>
      <c r="U554" s="6">
        <v>78</v>
      </c>
      <c r="V554" s="70">
        <f>IF(ISERROR(VLOOKUP($S$554,'TAR FIN'!$A$1:$O$116,15,0)),0,VLOOKUP($S$554,'TAR FIN'!$A$1:$O$116,15,0))*(1-0.06)</f>
        <v>61.663999999999994</v>
      </c>
      <c r="W554" s="70">
        <f>IF(ISERROR(VLOOKUP($T$554,'TAR FIN'!$A$1:$O$116,15,0)),0,VLOOKUP($T$554,'TAR FIN'!$A$1:$O$116,15,0))*(1-0.06)</f>
        <v>83.340399999999988</v>
      </c>
      <c r="X554" s="70">
        <f>IF(ISERROR(VLOOKUP($U$554,'TAR FIN'!$A$1:$O$116,15,0)),0,VLOOKUP($U$554,'TAR FIN'!$A$1:$O$116,15,0))*(1-0.06)</f>
        <v>466.38099999999997</v>
      </c>
      <c r="Y554" s="70">
        <f ca="1">('TUSD BE'!$AM$25+'TUSD BF'!$AM$25+'TUSD CVA'!$AM$25)*1*(1-0.03)</f>
        <v>73.145588257213078</v>
      </c>
      <c r="Z554" s="70">
        <f ca="1">('TUSD BE'!$AM$27+'TUSD BF'!$AM$27+'TUSD CVA'!$AM$27)*1*(1-0.03)</f>
        <v>133.3127786832801</v>
      </c>
      <c r="AA554" s="70">
        <f>('TE BE'!$AB$9+'TE BF'!$AB$9+'TE CVA'!$AB$9)*1*(1-0.03)</f>
        <v>494.74843531278674</v>
      </c>
      <c r="AB554" s="6">
        <f>$K$554*$V$554</f>
        <v>14121.055999999999</v>
      </c>
      <c r="AC554" s="6">
        <f>$M$554*$W$554</f>
        <v>926.82858839999994</v>
      </c>
      <c r="AD554" s="6">
        <f>$O$554*$X$554</f>
        <v>5186.6231010000001</v>
      </c>
      <c r="AE554" s="6">
        <f ca="1">$K$554*$Y$554</f>
        <v>16750.339710901793</v>
      </c>
      <c r="AF554" s="6">
        <f ca="1">$M$554*$Z$554</f>
        <v>1482.5714117367581</v>
      </c>
      <c r="AG554" s="6">
        <f>$O$554*$AA$554</f>
        <v>5502.0973491135019</v>
      </c>
    </row>
    <row r="555" spans="1:33" ht="11.25" customHeight="1" x14ac:dyDescent="0.25">
      <c r="A555" s="4" t="s">
        <v>58</v>
      </c>
      <c r="B555" s="4" t="s">
        <v>41</v>
      </c>
      <c r="C555" s="4" t="s">
        <v>40</v>
      </c>
      <c r="D555" s="4" t="s">
        <v>51</v>
      </c>
      <c r="E555" s="4" t="s">
        <v>52</v>
      </c>
      <c r="F555" s="4" t="s">
        <v>25</v>
      </c>
      <c r="G555" s="4" t="s">
        <v>25</v>
      </c>
      <c r="H555" s="4" t="s">
        <v>34</v>
      </c>
      <c r="I555" s="5">
        <v>44682</v>
      </c>
      <c r="J555" s="6">
        <v>229</v>
      </c>
      <c r="K555" s="71">
        <v>229</v>
      </c>
      <c r="L555" s="6">
        <v>11.121</v>
      </c>
      <c r="M555" s="70">
        <v>11.121</v>
      </c>
      <c r="N555" s="6">
        <v>11.121</v>
      </c>
      <c r="O555" s="70">
        <v>11.121</v>
      </c>
      <c r="P555" s="6">
        <v>0</v>
      </c>
      <c r="Q555" s="4" t="s">
        <v>26</v>
      </c>
      <c r="R555" s="4">
        <v>0</v>
      </c>
      <c r="S555" s="6">
        <v>21</v>
      </c>
      <c r="T555" s="6">
        <v>23</v>
      </c>
      <c r="U555" s="6">
        <v>78</v>
      </c>
      <c r="V555" s="70">
        <f>IF(ISERROR(VLOOKUP($S$555,'TAR FIN'!$A$1:$O$116,15,0)),0,VLOOKUP($S$555,'TAR FIN'!$A$1:$O$116,15,0))*(1-0.06)</f>
        <v>61.663999999999994</v>
      </c>
      <c r="W555" s="70">
        <f>IF(ISERROR(VLOOKUP($T$555,'TAR FIN'!$A$1:$O$116,15,0)),0,VLOOKUP($T$555,'TAR FIN'!$A$1:$O$116,15,0))*(1-0.06)</f>
        <v>83.340399999999988</v>
      </c>
      <c r="X555" s="70">
        <f>IF(ISERROR(VLOOKUP($U$555,'TAR FIN'!$A$1:$O$116,15,0)),0,VLOOKUP($U$555,'TAR FIN'!$A$1:$O$116,15,0))*(1-0.06)</f>
        <v>466.38099999999997</v>
      </c>
      <c r="Y555" s="70">
        <f ca="1">('TUSD BE'!$AM$25+'TUSD BF'!$AM$25+'TUSD CVA'!$AM$25)*1*(1-0.03)</f>
        <v>73.145588257213078</v>
      </c>
      <c r="Z555" s="70">
        <f ca="1">('TUSD BE'!$AM$27+'TUSD BF'!$AM$27+'TUSD CVA'!$AM$27)*1*(1-0.03)</f>
        <v>133.3127786832801</v>
      </c>
      <c r="AA555" s="70">
        <f>('TE BE'!$AB$9+'TE BF'!$AB$9+'TE CVA'!$AB$9)*1*(1-0.03)</f>
        <v>494.74843531278674</v>
      </c>
      <c r="AB555" s="6">
        <f>$K$555*$V$555</f>
        <v>14121.055999999999</v>
      </c>
      <c r="AC555" s="6">
        <f>$M$555*$W$555</f>
        <v>926.82858839999994</v>
      </c>
      <c r="AD555" s="6">
        <f>$O$555*$X$555</f>
        <v>5186.6231010000001</v>
      </c>
      <c r="AE555" s="6">
        <f ca="1">$K$555*$Y$555</f>
        <v>16750.339710901793</v>
      </c>
      <c r="AF555" s="6">
        <f ca="1">$M$555*$Z$555</f>
        <v>1482.5714117367581</v>
      </c>
      <c r="AG555" s="6">
        <f>$O$555*$AA$555</f>
        <v>5502.0973491135019</v>
      </c>
    </row>
    <row r="556" spans="1:33" ht="11.25" customHeight="1" x14ac:dyDescent="0.25">
      <c r="A556" s="4" t="s">
        <v>21</v>
      </c>
      <c r="B556" s="4" t="s">
        <v>41</v>
      </c>
      <c r="C556" s="4" t="s">
        <v>81</v>
      </c>
      <c r="D556" s="4" t="s">
        <v>25</v>
      </c>
      <c r="E556" s="4" t="s">
        <v>25</v>
      </c>
      <c r="F556" s="4" t="s">
        <v>25</v>
      </c>
      <c r="G556" s="4" t="s">
        <v>82</v>
      </c>
      <c r="H556" s="4" t="s">
        <v>35</v>
      </c>
      <c r="I556" s="5">
        <v>44348</v>
      </c>
      <c r="J556" s="6">
        <v>3500</v>
      </c>
      <c r="K556" s="6">
        <v>3500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4" t="s">
        <v>83</v>
      </c>
      <c r="R556" s="4">
        <v>4950</v>
      </c>
      <c r="S556" s="6">
        <v>26</v>
      </c>
      <c r="T556" s="6">
        <v>0</v>
      </c>
      <c r="U556" s="6">
        <v>0</v>
      </c>
      <c r="V556" s="6">
        <f>IF(ISERROR(VLOOKUP($S$556,'TAR FIN'!$A$1:$O$116,15,0)),0,VLOOKUP($S$556,'TAR FIN'!$A$1:$O$116,15,0))</f>
        <v>12.99</v>
      </c>
      <c r="W556" s="6">
        <f>IF(ISERROR(VLOOKUP($T$556,'TAR FIN'!$A$1:$O$116,15,0)),0,VLOOKUP($T$556,'TAR FIN'!$A$1:$O$116,15,0))</f>
        <v>0</v>
      </c>
      <c r="X556" s="6">
        <f>IF(ISERROR(VLOOKUP($U$556,'TAR FIN'!$A$1:$O$116,15,0)),0,VLOOKUP($U$556,'TAR FIN'!$A$1:$O$116,15,0))</f>
        <v>0</v>
      </c>
      <c r="Y556" s="6">
        <f ca="1">('TUSD BE'!$AM$30+'TUSD BF'!$AM$30+'TUSD CVA'!$AM$30)*1</f>
        <v>15.731413873893612</v>
      </c>
      <c r="Z556" s="6">
        <f ca="1">('TUSD BE'!$AM$31+'TUSD BF'!$AM$31+'TUSD CVA'!$AM$31)*1</f>
        <v>20.832189514791409</v>
      </c>
      <c r="AA556" s="6"/>
      <c r="AB556" s="6">
        <f>$K$556*$V$556</f>
        <v>45465</v>
      </c>
      <c r="AC556" s="6">
        <f>$M$556*$W$556</f>
        <v>0</v>
      </c>
      <c r="AD556" s="6">
        <f>$O$556*$X$556</f>
        <v>0</v>
      </c>
      <c r="AE556" s="6">
        <f ca="1">$K$556*$Y$556</f>
        <v>55059.948558627642</v>
      </c>
      <c r="AF556" s="6">
        <f ca="1">$M$556*$Z$556</f>
        <v>0</v>
      </c>
      <c r="AG556" s="6">
        <f>$O$556*$AA$556</f>
        <v>0</v>
      </c>
    </row>
    <row r="557" spans="1:33" ht="11.25" customHeight="1" x14ac:dyDescent="0.25">
      <c r="A557" s="4" t="s">
        <v>21</v>
      </c>
      <c r="B557" s="4" t="s">
        <v>41</v>
      </c>
      <c r="C557" s="4" t="s">
        <v>81</v>
      </c>
      <c r="D557" s="4" t="s">
        <v>25</v>
      </c>
      <c r="E557" s="4" t="s">
        <v>25</v>
      </c>
      <c r="F557" s="4" t="s">
        <v>25</v>
      </c>
      <c r="G557" s="4" t="s">
        <v>82</v>
      </c>
      <c r="H557" s="4" t="s">
        <v>35</v>
      </c>
      <c r="I557" s="5">
        <v>44378</v>
      </c>
      <c r="J557" s="6">
        <v>3500</v>
      </c>
      <c r="K557" s="6">
        <v>3500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4" t="s">
        <v>83</v>
      </c>
      <c r="R557" s="4">
        <v>4950</v>
      </c>
      <c r="S557" s="6">
        <v>26</v>
      </c>
      <c r="T557" s="6">
        <v>0</v>
      </c>
      <c r="U557" s="6">
        <v>0</v>
      </c>
      <c r="V557" s="6">
        <f>IF(ISERROR(VLOOKUP($S$557,'TAR FIN'!$A$1:$O$116,15,0)),0,VLOOKUP($S$557,'TAR FIN'!$A$1:$O$116,15,0))</f>
        <v>12.99</v>
      </c>
      <c r="W557" s="6">
        <f>IF(ISERROR(VLOOKUP($T$557,'TAR FIN'!$A$1:$O$116,15,0)),0,VLOOKUP($T$557,'TAR FIN'!$A$1:$O$116,15,0))</f>
        <v>0</v>
      </c>
      <c r="X557" s="6">
        <f>IF(ISERROR(VLOOKUP($U$557,'TAR FIN'!$A$1:$O$116,15,0)),0,VLOOKUP($U$557,'TAR FIN'!$A$1:$O$116,15,0))</f>
        <v>0</v>
      </c>
      <c r="Y557" s="6">
        <f ca="1">('TUSD BE'!$AM$30+'TUSD BF'!$AM$30+'TUSD CVA'!$AM$30)*1</f>
        <v>15.731413873893612</v>
      </c>
      <c r="Z557" s="6">
        <f ca="1">('TUSD BE'!$AM$31+'TUSD BF'!$AM$31+'TUSD CVA'!$AM$31)*1</f>
        <v>20.832189514791409</v>
      </c>
      <c r="AA557" s="6"/>
      <c r="AB557" s="6">
        <f>$K$557*$V$557</f>
        <v>45465</v>
      </c>
      <c r="AC557" s="6">
        <f>$M$557*$W$557</f>
        <v>0</v>
      </c>
      <c r="AD557" s="6">
        <f>$O$557*$X$557</f>
        <v>0</v>
      </c>
      <c r="AE557" s="6">
        <f ca="1">$K$557*$Y$557</f>
        <v>55059.948558627642</v>
      </c>
      <c r="AF557" s="6">
        <f ca="1">$M$557*$Z$557</f>
        <v>0</v>
      </c>
      <c r="AG557" s="6">
        <f>$O$557*$AA$557</f>
        <v>0</v>
      </c>
    </row>
    <row r="558" spans="1:33" ht="11.25" customHeight="1" x14ac:dyDescent="0.25">
      <c r="A558" s="4" t="s">
        <v>21</v>
      </c>
      <c r="B558" s="4" t="s">
        <v>41</v>
      </c>
      <c r="C558" s="4" t="s">
        <v>81</v>
      </c>
      <c r="D558" s="4" t="s">
        <v>25</v>
      </c>
      <c r="E558" s="4" t="s">
        <v>25</v>
      </c>
      <c r="F558" s="4" t="s">
        <v>25</v>
      </c>
      <c r="G558" s="4" t="s">
        <v>82</v>
      </c>
      <c r="H558" s="4" t="s">
        <v>35</v>
      </c>
      <c r="I558" s="5">
        <v>44409</v>
      </c>
      <c r="J558" s="6">
        <v>3500</v>
      </c>
      <c r="K558" s="6">
        <v>3500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4" t="s">
        <v>83</v>
      </c>
      <c r="R558" s="4">
        <v>4950</v>
      </c>
      <c r="S558" s="6">
        <v>26</v>
      </c>
      <c r="T558" s="6">
        <v>0</v>
      </c>
      <c r="U558" s="6">
        <v>0</v>
      </c>
      <c r="V558" s="6">
        <f>IF(ISERROR(VLOOKUP($S$558,'TAR FIN'!$A$1:$O$116,15,0)),0,VLOOKUP($S$558,'TAR FIN'!$A$1:$O$116,15,0))</f>
        <v>12.99</v>
      </c>
      <c r="W558" s="6">
        <f>IF(ISERROR(VLOOKUP($T$558,'TAR FIN'!$A$1:$O$116,15,0)),0,VLOOKUP($T$558,'TAR FIN'!$A$1:$O$116,15,0))</f>
        <v>0</v>
      </c>
      <c r="X558" s="6">
        <f>IF(ISERROR(VLOOKUP($U$558,'TAR FIN'!$A$1:$O$116,15,0)),0,VLOOKUP($U$558,'TAR FIN'!$A$1:$O$116,15,0))</f>
        <v>0</v>
      </c>
      <c r="Y558" s="6">
        <f ca="1">('TUSD BE'!$AM$30+'TUSD BF'!$AM$30+'TUSD CVA'!$AM$30)*1</f>
        <v>15.731413873893612</v>
      </c>
      <c r="Z558" s="6">
        <f ca="1">('TUSD BE'!$AM$31+'TUSD BF'!$AM$31+'TUSD CVA'!$AM$31)*1</f>
        <v>20.832189514791409</v>
      </c>
      <c r="AA558" s="6"/>
      <c r="AB558" s="6">
        <f>$K$558*$V$558</f>
        <v>45465</v>
      </c>
      <c r="AC558" s="6">
        <f>$M$558*$W$558</f>
        <v>0</v>
      </c>
      <c r="AD558" s="6">
        <f>$O$558*$X$558</f>
        <v>0</v>
      </c>
      <c r="AE558" s="6">
        <f ca="1">$K$558*$Y$558</f>
        <v>55059.948558627642</v>
      </c>
      <c r="AF558" s="6">
        <f ca="1">$M$558*$Z$558</f>
        <v>0</v>
      </c>
      <c r="AG558" s="6">
        <f>$O$558*$AA$558</f>
        <v>0</v>
      </c>
    </row>
    <row r="559" spans="1:33" ht="11.25" customHeight="1" x14ac:dyDescent="0.25">
      <c r="A559" s="4" t="s">
        <v>21</v>
      </c>
      <c r="B559" s="4" t="s">
        <v>41</v>
      </c>
      <c r="C559" s="4" t="s">
        <v>81</v>
      </c>
      <c r="D559" s="4" t="s">
        <v>25</v>
      </c>
      <c r="E559" s="4" t="s">
        <v>25</v>
      </c>
      <c r="F559" s="4" t="s">
        <v>25</v>
      </c>
      <c r="G559" s="4" t="s">
        <v>82</v>
      </c>
      <c r="H559" s="4" t="s">
        <v>35</v>
      </c>
      <c r="I559" s="5">
        <v>44440</v>
      </c>
      <c r="J559" s="6">
        <v>3500</v>
      </c>
      <c r="K559" s="6">
        <v>3500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4" t="s">
        <v>83</v>
      </c>
      <c r="R559" s="4">
        <v>4950</v>
      </c>
      <c r="S559" s="6">
        <v>26</v>
      </c>
      <c r="T559" s="6">
        <v>0</v>
      </c>
      <c r="U559" s="6">
        <v>0</v>
      </c>
      <c r="V559" s="6">
        <f>IF(ISERROR(VLOOKUP($S$559,'TAR FIN'!$A$1:$O$116,15,0)),0,VLOOKUP($S$559,'TAR FIN'!$A$1:$O$116,15,0))</f>
        <v>12.99</v>
      </c>
      <c r="W559" s="6">
        <f>IF(ISERROR(VLOOKUP($T$559,'TAR FIN'!$A$1:$O$116,15,0)),0,VLOOKUP($T$559,'TAR FIN'!$A$1:$O$116,15,0))</f>
        <v>0</v>
      </c>
      <c r="X559" s="6">
        <f>IF(ISERROR(VLOOKUP($U$559,'TAR FIN'!$A$1:$O$116,15,0)),0,VLOOKUP($U$559,'TAR FIN'!$A$1:$O$116,15,0))</f>
        <v>0</v>
      </c>
      <c r="Y559" s="6">
        <f ca="1">('TUSD BE'!$AM$30+'TUSD BF'!$AM$30+'TUSD CVA'!$AM$30)*1</f>
        <v>15.731413873893612</v>
      </c>
      <c r="Z559" s="6">
        <f ca="1">('TUSD BE'!$AM$31+'TUSD BF'!$AM$31+'TUSD CVA'!$AM$31)*1</f>
        <v>20.832189514791409</v>
      </c>
      <c r="AA559" s="6"/>
      <c r="AB559" s="6">
        <f>$K$559*$V$559</f>
        <v>45465</v>
      </c>
      <c r="AC559" s="6">
        <f>$M$559*$W$559</f>
        <v>0</v>
      </c>
      <c r="AD559" s="6">
        <f>$O$559*$X$559</f>
        <v>0</v>
      </c>
      <c r="AE559" s="6">
        <f ca="1">$K$559*$Y$559</f>
        <v>55059.948558627642</v>
      </c>
      <c r="AF559" s="6">
        <f ca="1">$M$559*$Z$559</f>
        <v>0</v>
      </c>
      <c r="AG559" s="6">
        <f>$O$559*$AA$559</f>
        <v>0</v>
      </c>
    </row>
    <row r="560" spans="1:33" ht="11.25" customHeight="1" x14ac:dyDescent="0.25">
      <c r="A560" s="4" t="s">
        <v>21</v>
      </c>
      <c r="B560" s="4" t="s">
        <v>41</v>
      </c>
      <c r="C560" s="4" t="s">
        <v>81</v>
      </c>
      <c r="D560" s="4" t="s">
        <v>25</v>
      </c>
      <c r="E560" s="4" t="s">
        <v>25</v>
      </c>
      <c r="F560" s="4" t="s">
        <v>25</v>
      </c>
      <c r="G560" s="4" t="s">
        <v>82</v>
      </c>
      <c r="H560" s="4" t="s">
        <v>35</v>
      </c>
      <c r="I560" s="5">
        <v>44470</v>
      </c>
      <c r="J560" s="6">
        <v>3500</v>
      </c>
      <c r="K560" s="6">
        <v>3500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4" t="s">
        <v>83</v>
      </c>
      <c r="R560" s="4">
        <v>4950</v>
      </c>
      <c r="S560" s="6">
        <v>26</v>
      </c>
      <c r="T560" s="6">
        <v>0</v>
      </c>
      <c r="U560" s="6">
        <v>0</v>
      </c>
      <c r="V560" s="6">
        <f>IF(ISERROR(VLOOKUP($S$560,'TAR FIN'!$A$1:$O$116,15,0)),0,VLOOKUP($S$560,'TAR FIN'!$A$1:$O$116,15,0))</f>
        <v>12.99</v>
      </c>
      <c r="W560" s="6">
        <f>IF(ISERROR(VLOOKUP($T$560,'TAR FIN'!$A$1:$O$116,15,0)),0,VLOOKUP($T$560,'TAR FIN'!$A$1:$O$116,15,0))</f>
        <v>0</v>
      </c>
      <c r="X560" s="6">
        <f>IF(ISERROR(VLOOKUP($U$560,'TAR FIN'!$A$1:$O$116,15,0)),0,VLOOKUP($U$560,'TAR FIN'!$A$1:$O$116,15,0))</f>
        <v>0</v>
      </c>
      <c r="Y560" s="6">
        <f ca="1">('TUSD BE'!$AM$30+'TUSD BF'!$AM$30+'TUSD CVA'!$AM$30)*1</f>
        <v>15.731413873893612</v>
      </c>
      <c r="Z560" s="6">
        <f ca="1">('TUSD BE'!$AM$31+'TUSD BF'!$AM$31+'TUSD CVA'!$AM$31)*1</f>
        <v>20.832189514791409</v>
      </c>
      <c r="AA560" s="6"/>
      <c r="AB560" s="6">
        <f>$K$560*$V$560</f>
        <v>45465</v>
      </c>
      <c r="AC560" s="6">
        <f>$M$560*$W$560</f>
        <v>0</v>
      </c>
      <c r="AD560" s="6">
        <f>$O$560*$X$560</f>
        <v>0</v>
      </c>
      <c r="AE560" s="6">
        <f ca="1">$K$560*$Y$560</f>
        <v>55059.948558627642</v>
      </c>
      <c r="AF560" s="6">
        <f ca="1">$M$560*$Z$560</f>
        <v>0</v>
      </c>
      <c r="AG560" s="6">
        <f>$O$560*$AA$560</f>
        <v>0</v>
      </c>
    </row>
    <row r="561" spans="1:33" ht="11.25" customHeight="1" x14ac:dyDescent="0.25">
      <c r="A561" s="4" t="s">
        <v>21</v>
      </c>
      <c r="B561" s="4" t="s">
        <v>41</v>
      </c>
      <c r="C561" s="4" t="s">
        <v>81</v>
      </c>
      <c r="D561" s="4" t="s">
        <v>25</v>
      </c>
      <c r="E561" s="4" t="s">
        <v>25</v>
      </c>
      <c r="F561" s="4" t="s">
        <v>25</v>
      </c>
      <c r="G561" s="4" t="s">
        <v>82</v>
      </c>
      <c r="H561" s="4" t="s">
        <v>35</v>
      </c>
      <c r="I561" s="5">
        <v>44501</v>
      </c>
      <c r="J561" s="6">
        <v>3500</v>
      </c>
      <c r="K561" s="6">
        <v>3500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4" t="s">
        <v>83</v>
      </c>
      <c r="R561" s="4">
        <v>4950</v>
      </c>
      <c r="S561" s="6">
        <v>26</v>
      </c>
      <c r="T561" s="6">
        <v>0</v>
      </c>
      <c r="U561" s="6">
        <v>0</v>
      </c>
      <c r="V561" s="6">
        <f>IF(ISERROR(VLOOKUP($S$561,'TAR FIN'!$A$1:$O$116,15,0)),0,VLOOKUP($S$561,'TAR FIN'!$A$1:$O$116,15,0))</f>
        <v>12.99</v>
      </c>
      <c r="W561" s="6">
        <f>IF(ISERROR(VLOOKUP($T$561,'TAR FIN'!$A$1:$O$116,15,0)),0,VLOOKUP($T$561,'TAR FIN'!$A$1:$O$116,15,0))</f>
        <v>0</v>
      </c>
      <c r="X561" s="6">
        <f>IF(ISERROR(VLOOKUP($U$561,'TAR FIN'!$A$1:$O$116,15,0)),0,VLOOKUP($U$561,'TAR FIN'!$A$1:$O$116,15,0))</f>
        <v>0</v>
      </c>
      <c r="Y561" s="6">
        <f ca="1">('TUSD BE'!$AM$30+'TUSD BF'!$AM$30+'TUSD CVA'!$AM$30)*1</f>
        <v>15.731413873893612</v>
      </c>
      <c r="Z561" s="6">
        <f ca="1">('TUSD BE'!$AM$31+'TUSD BF'!$AM$31+'TUSD CVA'!$AM$31)*1</f>
        <v>20.832189514791409</v>
      </c>
      <c r="AA561" s="6"/>
      <c r="AB561" s="6">
        <f>$K$561*$V$561</f>
        <v>45465</v>
      </c>
      <c r="AC561" s="6">
        <f>$M$561*$W$561</f>
        <v>0</v>
      </c>
      <c r="AD561" s="6">
        <f>$O$561*$X$561</f>
        <v>0</v>
      </c>
      <c r="AE561" s="6">
        <f ca="1">$K$561*$Y$561</f>
        <v>55059.948558627642</v>
      </c>
      <c r="AF561" s="6">
        <f ca="1">$M$561*$Z$561</f>
        <v>0</v>
      </c>
      <c r="AG561" s="6">
        <f>$O$561*$AA$561</f>
        <v>0</v>
      </c>
    </row>
    <row r="562" spans="1:33" ht="11.25" customHeight="1" x14ac:dyDescent="0.25">
      <c r="A562" s="4" t="s">
        <v>21</v>
      </c>
      <c r="B562" s="4" t="s">
        <v>41</v>
      </c>
      <c r="C562" s="4" t="s">
        <v>81</v>
      </c>
      <c r="D562" s="4" t="s">
        <v>25</v>
      </c>
      <c r="E562" s="4" t="s">
        <v>25</v>
      </c>
      <c r="F562" s="4" t="s">
        <v>25</v>
      </c>
      <c r="G562" s="4" t="s">
        <v>82</v>
      </c>
      <c r="H562" s="4" t="s">
        <v>35</v>
      </c>
      <c r="I562" s="5">
        <v>44531</v>
      </c>
      <c r="J562" s="6">
        <v>3500</v>
      </c>
      <c r="K562" s="6">
        <v>3500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4" t="s">
        <v>83</v>
      </c>
      <c r="R562" s="4">
        <v>4950</v>
      </c>
      <c r="S562" s="6">
        <v>26</v>
      </c>
      <c r="T562" s="6">
        <v>0</v>
      </c>
      <c r="U562" s="6">
        <v>0</v>
      </c>
      <c r="V562" s="6">
        <f>IF(ISERROR(VLOOKUP($S$562,'TAR FIN'!$A$1:$O$116,15,0)),0,VLOOKUP($S$562,'TAR FIN'!$A$1:$O$116,15,0))</f>
        <v>12.99</v>
      </c>
      <c r="W562" s="6">
        <f>IF(ISERROR(VLOOKUP($T$562,'TAR FIN'!$A$1:$O$116,15,0)),0,VLOOKUP($T$562,'TAR FIN'!$A$1:$O$116,15,0))</f>
        <v>0</v>
      </c>
      <c r="X562" s="6">
        <f>IF(ISERROR(VLOOKUP($U$562,'TAR FIN'!$A$1:$O$116,15,0)),0,VLOOKUP($U$562,'TAR FIN'!$A$1:$O$116,15,0))</f>
        <v>0</v>
      </c>
      <c r="Y562" s="6">
        <f ca="1">('TUSD BE'!$AM$30+'TUSD BF'!$AM$30+'TUSD CVA'!$AM$30)*1</f>
        <v>15.731413873893612</v>
      </c>
      <c r="Z562" s="6">
        <f ca="1">('TUSD BE'!$AM$31+'TUSD BF'!$AM$31+'TUSD CVA'!$AM$31)*1</f>
        <v>20.832189514791409</v>
      </c>
      <c r="AA562" s="6"/>
      <c r="AB562" s="6">
        <f>$K$562*$V$562</f>
        <v>45465</v>
      </c>
      <c r="AC562" s="6">
        <f>$M$562*$W$562</f>
        <v>0</v>
      </c>
      <c r="AD562" s="6">
        <f>$O$562*$X$562</f>
        <v>0</v>
      </c>
      <c r="AE562" s="6">
        <f ca="1">$K$562*$Y$562</f>
        <v>55059.948558627642</v>
      </c>
      <c r="AF562" s="6">
        <f ca="1">$M$562*$Z$562</f>
        <v>0</v>
      </c>
      <c r="AG562" s="6">
        <f>$O$562*$AA$562</f>
        <v>0</v>
      </c>
    </row>
    <row r="563" spans="1:33" ht="11.25" customHeight="1" x14ac:dyDescent="0.25">
      <c r="A563" s="4" t="s">
        <v>21</v>
      </c>
      <c r="B563" s="4" t="s">
        <v>41</v>
      </c>
      <c r="C563" s="4" t="s">
        <v>81</v>
      </c>
      <c r="D563" s="4" t="s">
        <v>25</v>
      </c>
      <c r="E563" s="4" t="s">
        <v>25</v>
      </c>
      <c r="F563" s="4" t="s">
        <v>25</v>
      </c>
      <c r="G563" s="4" t="s">
        <v>82</v>
      </c>
      <c r="H563" s="4" t="s">
        <v>35</v>
      </c>
      <c r="I563" s="5">
        <v>44562</v>
      </c>
      <c r="J563" s="6">
        <v>3500</v>
      </c>
      <c r="K563" s="6">
        <v>3500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4" t="s">
        <v>83</v>
      </c>
      <c r="R563" s="4">
        <v>4950</v>
      </c>
      <c r="S563" s="6">
        <v>26</v>
      </c>
      <c r="T563" s="6">
        <v>0</v>
      </c>
      <c r="U563" s="6">
        <v>0</v>
      </c>
      <c r="V563" s="6">
        <f>IF(ISERROR(VLOOKUP($S$563,'TAR FIN'!$A$1:$O$116,15,0)),0,VLOOKUP($S$563,'TAR FIN'!$A$1:$O$116,15,0))</f>
        <v>12.99</v>
      </c>
      <c r="W563" s="6">
        <f>IF(ISERROR(VLOOKUP($T$563,'TAR FIN'!$A$1:$O$116,15,0)),0,VLOOKUP($T$563,'TAR FIN'!$A$1:$O$116,15,0))</f>
        <v>0</v>
      </c>
      <c r="X563" s="6">
        <f>IF(ISERROR(VLOOKUP($U$563,'TAR FIN'!$A$1:$O$116,15,0)),0,VLOOKUP($U$563,'TAR FIN'!$A$1:$O$116,15,0))</f>
        <v>0</v>
      </c>
      <c r="Y563" s="6">
        <f ca="1">('TUSD BE'!$AM$30+'TUSD BF'!$AM$30+'TUSD CVA'!$AM$30)*1</f>
        <v>15.731413873893612</v>
      </c>
      <c r="Z563" s="6">
        <f ca="1">('TUSD BE'!$AM$31+'TUSD BF'!$AM$31+'TUSD CVA'!$AM$31)*1</f>
        <v>20.832189514791409</v>
      </c>
      <c r="AA563" s="6"/>
      <c r="AB563" s="6">
        <f>$K$563*$V$563</f>
        <v>45465</v>
      </c>
      <c r="AC563" s="6">
        <f>$M$563*$W$563</f>
        <v>0</v>
      </c>
      <c r="AD563" s="6">
        <f>$O$563*$X$563</f>
        <v>0</v>
      </c>
      <c r="AE563" s="6">
        <f ca="1">$K$563*$Y$563</f>
        <v>55059.948558627642</v>
      </c>
      <c r="AF563" s="6">
        <f ca="1">$M$563*$Z$563</f>
        <v>0</v>
      </c>
      <c r="AG563" s="6">
        <f>$O$563*$AA$563</f>
        <v>0</v>
      </c>
    </row>
    <row r="564" spans="1:33" ht="11.25" customHeight="1" x14ac:dyDescent="0.25">
      <c r="A564" s="4" t="s">
        <v>21</v>
      </c>
      <c r="B564" s="4" t="s">
        <v>41</v>
      </c>
      <c r="C564" s="4" t="s">
        <v>81</v>
      </c>
      <c r="D564" s="4" t="s">
        <v>25</v>
      </c>
      <c r="E564" s="4" t="s">
        <v>25</v>
      </c>
      <c r="F564" s="4" t="s">
        <v>25</v>
      </c>
      <c r="G564" s="4" t="s">
        <v>82</v>
      </c>
      <c r="H564" s="4" t="s">
        <v>35</v>
      </c>
      <c r="I564" s="5">
        <v>44593</v>
      </c>
      <c r="J564" s="6">
        <v>3500</v>
      </c>
      <c r="K564" s="6">
        <v>3500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4" t="s">
        <v>83</v>
      </c>
      <c r="R564" s="4">
        <v>4950</v>
      </c>
      <c r="S564" s="6">
        <v>26</v>
      </c>
      <c r="T564" s="6">
        <v>0</v>
      </c>
      <c r="U564" s="6">
        <v>0</v>
      </c>
      <c r="V564" s="6">
        <f>IF(ISERROR(VLOOKUP($S$564,'TAR FIN'!$A$1:$O$116,15,0)),0,VLOOKUP($S$564,'TAR FIN'!$A$1:$O$116,15,0))</f>
        <v>12.99</v>
      </c>
      <c r="W564" s="6">
        <f>IF(ISERROR(VLOOKUP($T$564,'TAR FIN'!$A$1:$O$116,15,0)),0,VLOOKUP($T$564,'TAR FIN'!$A$1:$O$116,15,0))</f>
        <v>0</v>
      </c>
      <c r="X564" s="6">
        <f>IF(ISERROR(VLOOKUP($U$564,'TAR FIN'!$A$1:$O$116,15,0)),0,VLOOKUP($U$564,'TAR FIN'!$A$1:$O$116,15,0))</f>
        <v>0</v>
      </c>
      <c r="Y564" s="6">
        <f ca="1">('TUSD BE'!$AM$30+'TUSD BF'!$AM$30+'TUSD CVA'!$AM$30)*1</f>
        <v>15.731413873893612</v>
      </c>
      <c r="Z564" s="6">
        <f ca="1">('TUSD BE'!$AM$31+'TUSD BF'!$AM$31+'TUSD CVA'!$AM$31)*1</f>
        <v>20.832189514791409</v>
      </c>
      <c r="AA564" s="6"/>
      <c r="AB564" s="6">
        <f>$K$564*$V$564</f>
        <v>45465</v>
      </c>
      <c r="AC564" s="6">
        <f>$M$564*$W$564</f>
        <v>0</v>
      </c>
      <c r="AD564" s="6">
        <f>$O$564*$X$564</f>
        <v>0</v>
      </c>
      <c r="AE564" s="6">
        <f ca="1">$K$564*$Y$564</f>
        <v>55059.948558627642</v>
      </c>
      <c r="AF564" s="6">
        <f ca="1">$M$564*$Z$564</f>
        <v>0</v>
      </c>
      <c r="AG564" s="6">
        <f>$O$564*$AA$564</f>
        <v>0</v>
      </c>
    </row>
    <row r="565" spans="1:33" ht="11.25" customHeight="1" x14ac:dyDescent="0.25">
      <c r="A565" s="4" t="s">
        <v>21</v>
      </c>
      <c r="B565" s="4" t="s">
        <v>41</v>
      </c>
      <c r="C565" s="4" t="s">
        <v>81</v>
      </c>
      <c r="D565" s="4" t="s">
        <v>25</v>
      </c>
      <c r="E565" s="4" t="s">
        <v>25</v>
      </c>
      <c r="F565" s="4" t="s">
        <v>25</v>
      </c>
      <c r="G565" s="4" t="s">
        <v>82</v>
      </c>
      <c r="H565" s="4" t="s">
        <v>35</v>
      </c>
      <c r="I565" s="5">
        <v>44621</v>
      </c>
      <c r="J565" s="6">
        <v>3500</v>
      </c>
      <c r="K565" s="6">
        <v>3500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4" t="s">
        <v>83</v>
      </c>
      <c r="R565" s="4">
        <v>4950</v>
      </c>
      <c r="S565" s="6">
        <v>26</v>
      </c>
      <c r="T565" s="6">
        <v>0</v>
      </c>
      <c r="U565" s="6">
        <v>0</v>
      </c>
      <c r="V565" s="6">
        <f>IF(ISERROR(VLOOKUP($S$565,'TAR FIN'!$A$1:$O$116,15,0)),0,VLOOKUP($S$565,'TAR FIN'!$A$1:$O$116,15,0))</f>
        <v>12.99</v>
      </c>
      <c r="W565" s="6">
        <f>IF(ISERROR(VLOOKUP($T$565,'TAR FIN'!$A$1:$O$116,15,0)),0,VLOOKUP($T$565,'TAR FIN'!$A$1:$O$116,15,0))</f>
        <v>0</v>
      </c>
      <c r="X565" s="6">
        <f>IF(ISERROR(VLOOKUP($U$565,'TAR FIN'!$A$1:$O$116,15,0)),0,VLOOKUP($U$565,'TAR FIN'!$A$1:$O$116,15,0))</f>
        <v>0</v>
      </c>
      <c r="Y565" s="6">
        <f ca="1">('TUSD BE'!$AM$30+'TUSD BF'!$AM$30+'TUSD CVA'!$AM$30)*1</f>
        <v>15.731413873893612</v>
      </c>
      <c r="Z565" s="6">
        <f ca="1">('TUSD BE'!$AM$31+'TUSD BF'!$AM$31+'TUSD CVA'!$AM$31)*1</f>
        <v>20.832189514791409</v>
      </c>
      <c r="AA565" s="6"/>
      <c r="AB565" s="6">
        <f>$K$565*$V$565</f>
        <v>45465</v>
      </c>
      <c r="AC565" s="6">
        <f>$M$565*$W$565</f>
        <v>0</v>
      </c>
      <c r="AD565" s="6">
        <f>$O$565*$X$565</f>
        <v>0</v>
      </c>
      <c r="AE565" s="6">
        <f ca="1">$K$565*$Y$565</f>
        <v>55059.948558627642</v>
      </c>
      <c r="AF565" s="6">
        <f ca="1">$M$565*$Z$565</f>
        <v>0</v>
      </c>
      <c r="AG565" s="6">
        <f>$O$565*$AA$565</f>
        <v>0</v>
      </c>
    </row>
    <row r="566" spans="1:33" ht="11.25" customHeight="1" x14ac:dyDescent="0.25">
      <c r="A566" s="4" t="s">
        <v>21</v>
      </c>
      <c r="B566" s="4" t="s">
        <v>41</v>
      </c>
      <c r="C566" s="4" t="s">
        <v>81</v>
      </c>
      <c r="D566" s="4" t="s">
        <v>25</v>
      </c>
      <c r="E566" s="4" t="s">
        <v>25</v>
      </c>
      <c r="F566" s="4" t="s">
        <v>25</v>
      </c>
      <c r="G566" s="4" t="s">
        <v>82</v>
      </c>
      <c r="H566" s="4" t="s">
        <v>35</v>
      </c>
      <c r="I566" s="5">
        <v>44652</v>
      </c>
      <c r="J566" s="6">
        <v>3500</v>
      </c>
      <c r="K566" s="6">
        <v>3500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4" t="s">
        <v>83</v>
      </c>
      <c r="R566" s="4">
        <v>4950</v>
      </c>
      <c r="S566" s="6">
        <v>26</v>
      </c>
      <c r="T566" s="6">
        <v>0</v>
      </c>
      <c r="U566" s="6">
        <v>0</v>
      </c>
      <c r="V566" s="6">
        <f>IF(ISERROR(VLOOKUP($S$566,'TAR FIN'!$A$1:$O$116,15,0)),0,VLOOKUP($S$566,'TAR FIN'!$A$1:$O$116,15,0))</f>
        <v>12.99</v>
      </c>
      <c r="W566" s="6">
        <f>IF(ISERROR(VLOOKUP($T$566,'TAR FIN'!$A$1:$O$116,15,0)),0,VLOOKUP($T$566,'TAR FIN'!$A$1:$O$116,15,0))</f>
        <v>0</v>
      </c>
      <c r="X566" s="6">
        <f>IF(ISERROR(VLOOKUP($U$566,'TAR FIN'!$A$1:$O$116,15,0)),0,VLOOKUP($U$566,'TAR FIN'!$A$1:$O$116,15,0))</f>
        <v>0</v>
      </c>
      <c r="Y566" s="6">
        <f ca="1">('TUSD BE'!$AM$30+'TUSD BF'!$AM$30+'TUSD CVA'!$AM$30)*1</f>
        <v>15.731413873893612</v>
      </c>
      <c r="Z566" s="6">
        <f ca="1">('TUSD BE'!$AM$31+'TUSD BF'!$AM$31+'TUSD CVA'!$AM$31)*1</f>
        <v>20.832189514791409</v>
      </c>
      <c r="AA566" s="6"/>
      <c r="AB566" s="6">
        <f>$K$566*$V$566</f>
        <v>45465</v>
      </c>
      <c r="AC566" s="6">
        <f>$M$566*$W$566</f>
        <v>0</v>
      </c>
      <c r="AD566" s="6">
        <f>$O$566*$X$566</f>
        <v>0</v>
      </c>
      <c r="AE566" s="6">
        <f ca="1">$K$566*$Y$566</f>
        <v>55059.948558627642</v>
      </c>
      <c r="AF566" s="6">
        <f ca="1">$M$566*$Z$566</f>
        <v>0</v>
      </c>
      <c r="AG566" s="6">
        <f>$O$566*$AA$566</f>
        <v>0</v>
      </c>
    </row>
    <row r="567" spans="1:33" ht="11.25" customHeight="1" x14ac:dyDescent="0.25">
      <c r="A567" s="4" t="s">
        <v>58</v>
      </c>
      <c r="B567" s="4" t="s">
        <v>41</v>
      </c>
      <c r="C567" s="4" t="s">
        <v>81</v>
      </c>
      <c r="D567" s="4" t="s">
        <v>25</v>
      </c>
      <c r="E567" s="4" t="s">
        <v>25</v>
      </c>
      <c r="F567" s="4" t="s">
        <v>25</v>
      </c>
      <c r="G567" s="4" t="s">
        <v>82</v>
      </c>
      <c r="H567" s="4" t="s">
        <v>35</v>
      </c>
      <c r="I567" s="5">
        <v>44682</v>
      </c>
      <c r="J567" s="6">
        <v>3500</v>
      </c>
      <c r="K567" s="6">
        <v>3500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4" t="s">
        <v>83</v>
      </c>
      <c r="R567" s="4">
        <v>4950</v>
      </c>
      <c r="S567" s="6">
        <v>26</v>
      </c>
      <c r="T567" s="6">
        <v>0</v>
      </c>
      <c r="U567" s="6">
        <v>0</v>
      </c>
      <c r="V567" s="6">
        <f>IF(ISERROR(VLOOKUP($S$567,'TAR FIN'!$A$1:$O$116,15,0)),0,VLOOKUP($S$567,'TAR FIN'!$A$1:$O$116,15,0))</f>
        <v>12.99</v>
      </c>
      <c r="W567" s="6">
        <f>IF(ISERROR(VLOOKUP($T$567,'TAR FIN'!$A$1:$O$116,15,0)),0,VLOOKUP($T$567,'TAR FIN'!$A$1:$O$116,15,0))</f>
        <v>0</v>
      </c>
      <c r="X567" s="6">
        <f>IF(ISERROR(VLOOKUP($U$567,'TAR FIN'!$A$1:$O$116,15,0)),0,VLOOKUP($U$567,'TAR FIN'!$A$1:$O$116,15,0))</f>
        <v>0</v>
      </c>
      <c r="Y567" s="6">
        <f ca="1">('TUSD BE'!$AM$30+'TUSD BF'!$AM$30+'TUSD CVA'!$AM$30)*1</f>
        <v>15.731413873893612</v>
      </c>
      <c r="Z567" s="6">
        <f ca="1">('TUSD BE'!$AM$31+'TUSD BF'!$AM$31+'TUSD CVA'!$AM$31)*1</f>
        <v>20.832189514791409</v>
      </c>
      <c r="AA567" s="6"/>
      <c r="AB567" s="6">
        <f>$K$567*$V$567</f>
        <v>45465</v>
      </c>
      <c r="AC567" s="6">
        <f>$M$567*$W$567</f>
        <v>0</v>
      </c>
      <c r="AD567" s="6">
        <f>$O$567*$X$567</f>
        <v>0</v>
      </c>
      <c r="AE567" s="6">
        <f ca="1">$K$567*$Y$567</f>
        <v>55059.948558627642</v>
      </c>
      <c r="AF567" s="6">
        <f ca="1">$M$567*$Z$567</f>
        <v>0</v>
      </c>
      <c r="AG567" s="6">
        <f>$O$567*$AA$567</f>
        <v>0</v>
      </c>
    </row>
    <row r="568" spans="1:33" ht="11.25" customHeight="1" x14ac:dyDescent="0.25">
      <c r="A568" s="4" t="s">
        <v>21</v>
      </c>
      <c r="B568" s="4" t="s">
        <v>41</v>
      </c>
      <c r="C568" s="4" t="s">
        <v>81</v>
      </c>
      <c r="D568" s="4" t="s">
        <v>25</v>
      </c>
      <c r="E568" s="4" t="s">
        <v>25</v>
      </c>
      <c r="F568" s="4" t="s">
        <v>25</v>
      </c>
      <c r="G568" s="4" t="s">
        <v>82</v>
      </c>
      <c r="H568" s="4" t="s">
        <v>25</v>
      </c>
      <c r="I568" s="5">
        <v>44348</v>
      </c>
      <c r="J568" s="6">
        <v>0</v>
      </c>
      <c r="K568" s="6">
        <v>0</v>
      </c>
      <c r="L568" s="6">
        <v>823.99800000000005</v>
      </c>
      <c r="M568" s="6">
        <v>823.99800000000005</v>
      </c>
      <c r="N568" s="6">
        <v>0</v>
      </c>
      <c r="O568" s="6">
        <v>0</v>
      </c>
      <c r="P568" s="6">
        <v>0</v>
      </c>
      <c r="Q568" s="4" t="s">
        <v>83</v>
      </c>
      <c r="R568" s="4">
        <v>4950</v>
      </c>
      <c r="S568" s="6">
        <v>0</v>
      </c>
      <c r="T568" s="6">
        <v>27</v>
      </c>
      <c r="U568" s="6">
        <v>0</v>
      </c>
      <c r="V568" s="6">
        <f>IF(ISERROR(VLOOKUP($S$568,'TAR FIN'!$A$1:$O$116,15,0)),0,VLOOKUP($S$568,'TAR FIN'!$A$1:$O$116,15,0))</f>
        <v>0</v>
      </c>
      <c r="W568" s="6">
        <f>IF(ISERROR(VLOOKUP($T$568,'TAR FIN'!$A$1:$O$116,15,0)),0,VLOOKUP($T$568,'TAR FIN'!$A$1:$O$116,15,0))</f>
        <v>19.28</v>
      </c>
      <c r="X568" s="6">
        <f>IF(ISERROR(VLOOKUP($U$568,'TAR FIN'!$A$1:$O$116,15,0)),0,VLOOKUP($U$568,'TAR FIN'!$A$1:$O$116,15,0))</f>
        <v>0</v>
      </c>
      <c r="Y568" s="6">
        <f ca="1">0.72*('TUSD BE'!$AM$29+'TUSD BF'!$AM$29+'TUSD CVA'!$AM$29)*1+('TUSD BE'!$AM$30+'TUSD BF'!$AM$30+'TUSD CVA'!$AM$30)*1</f>
        <v>39.494470360941079</v>
      </c>
      <c r="Z568" s="6">
        <f ca="1">('TUSD BE'!$AM$31+'TUSD BF'!$AM$31+'TUSD CVA'!$AM$31)*1</f>
        <v>20.832189514791409</v>
      </c>
      <c r="AA568" s="6"/>
      <c r="AB568" s="6">
        <f>$K$568*$V$568</f>
        <v>0</v>
      </c>
      <c r="AC568" s="6">
        <f>$M$568*$W$568</f>
        <v>15886.681440000002</v>
      </c>
      <c r="AD568" s="6">
        <f>$O$568*$X$568</f>
        <v>0</v>
      </c>
      <c r="AE568" s="6">
        <f ca="1">$K$568*$Y$568</f>
        <v>0</v>
      </c>
      <c r="AF568" s="6">
        <f ca="1">$M$568*$Z$568</f>
        <v>17165.682495809091</v>
      </c>
      <c r="AG568" s="6">
        <f>$O$568*$AA$568</f>
        <v>0</v>
      </c>
    </row>
    <row r="569" spans="1:33" ht="11.25" customHeight="1" x14ac:dyDescent="0.25">
      <c r="A569" s="4" t="s">
        <v>21</v>
      </c>
      <c r="B569" s="4" t="s">
        <v>41</v>
      </c>
      <c r="C569" s="4" t="s">
        <v>81</v>
      </c>
      <c r="D569" s="4" t="s">
        <v>25</v>
      </c>
      <c r="E569" s="4" t="s">
        <v>25</v>
      </c>
      <c r="F569" s="4" t="s">
        <v>25</v>
      </c>
      <c r="G569" s="4" t="s">
        <v>82</v>
      </c>
      <c r="H569" s="4" t="s">
        <v>25</v>
      </c>
      <c r="I569" s="5">
        <v>44378</v>
      </c>
      <c r="J569" s="6">
        <v>0</v>
      </c>
      <c r="K569" s="6">
        <v>0</v>
      </c>
      <c r="L569" s="6">
        <v>766.38300000000004</v>
      </c>
      <c r="M569" s="6">
        <v>766.38300000000004</v>
      </c>
      <c r="N569" s="6">
        <v>0</v>
      </c>
      <c r="O569" s="6">
        <v>0</v>
      </c>
      <c r="P569" s="6">
        <v>0</v>
      </c>
      <c r="Q569" s="4" t="s">
        <v>83</v>
      </c>
      <c r="R569" s="4">
        <v>4950</v>
      </c>
      <c r="S569" s="6">
        <v>0</v>
      </c>
      <c r="T569" s="6">
        <v>27</v>
      </c>
      <c r="U569" s="6">
        <v>0</v>
      </c>
      <c r="V569" s="6">
        <f>IF(ISERROR(VLOOKUP($S$569,'TAR FIN'!$A$1:$O$116,15,0)),0,VLOOKUP($S$569,'TAR FIN'!$A$1:$O$116,15,0))</f>
        <v>0</v>
      </c>
      <c r="W569" s="6">
        <f>IF(ISERROR(VLOOKUP($T$569,'TAR FIN'!$A$1:$O$116,15,0)),0,VLOOKUP($T$569,'TAR FIN'!$A$1:$O$116,15,0))</f>
        <v>19.28</v>
      </c>
      <c r="X569" s="6">
        <f>IF(ISERROR(VLOOKUP($U$569,'TAR FIN'!$A$1:$O$116,15,0)),0,VLOOKUP($U$569,'TAR FIN'!$A$1:$O$116,15,0))</f>
        <v>0</v>
      </c>
      <c r="Y569" s="6">
        <f ca="1">0.72*('TUSD BE'!$AM$29+'TUSD BF'!$AM$29+'TUSD CVA'!$AM$29)*1+('TUSD BE'!$AM$30+'TUSD BF'!$AM$30+'TUSD CVA'!$AM$30)*1</f>
        <v>39.494470360941079</v>
      </c>
      <c r="Z569" s="6">
        <f ca="1">('TUSD BE'!$AM$31+'TUSD BF'!$AM$31+'TUSD CVA'!$AM$31)*1</f>
        <v>20.832189514791409</v>
      </c>
      <c r="AA569" s="6"/>
      <c r="AB569" s="6">
        <f>$K$569*$V$569</f>
        <v>0</v>
      </c>
      <c r="AC569" s="6">
        <f>$M$569*$W$569</f>
        <v>14775.864240000001</v>
      </c>
      <c r="AD569" s="6">
        <f>$O$569*$X$569</f>
        <v>0</v>
      </c>
      <c r="AE569" s="6">
        <f ca="1">$K$569*$Y$569</f>
        <v>0</v>
      </c>
      <c r="AF569" s="6">
        <f ca="1">$M$569*$Z$569</f>
        <v>15965.435896914385</v>
      </c>
      <c r="AG569" s="6">
        <f>$O$569*$AA$569</f>
        <v>0</v>
      </c>
    </row>
    <row r="570" spans="1:33" ht="11.25" customHeight="1" x14ac:dyDescent="0.25">
      <c r="A570" s="4" t="s">
        <v>21</v>
      </c>
      <c r="B570" s="4" t="s">
        <v>41</v>
      </c>
      <c r="C570" s="4" t="s">
        <v>81</v>
      </c>
      <c r="D570" s="4" t="s">
        <v>25</v>
      </c>
      <c r="E570" s="4" t="s">
        <v>25</v>
      </c>
      <c r="F570" s="4" t="s">
        <v>25</v>
      </c>
      <c r="G570" s="4" t="s">
        <v>82</v>
      </c>
      <c r="H570" s="4" t="s">
        <v>25</v>
      </c>
      <c r="I570" s="5">
        <v>44409</v>
      </c>
      <c r="J570" s="6">
        <v>0</v>
      </c>
      <c r="K570" s="6">
        <v>0</v>
      </c>
      <c r="L570" s="6">
        <v>760.92100000000005</v>
      </c>
      <c r="M570" s="6">
        <v>760.92100000000005</v>
      </c>
      <c r="N570" s="6">
        <v>0</v>
      </c>
      <c r="O570" s="6">
        <v>0</v>
      </c>
      <c r="P570" s="6">
        <v>0</v>
      </c>
      <c r="Q570" s="4" t="s">
        <v>83</v>
      </c>
      <c r="R570" s="4">
        <v>4950</v>
      </c>
      <c r="S570" s="6">
        <v>0</v>
      </c>
      <c r="T570" s="6">
        <v>27</v>
      </c>
      <c r="U570" s="6">
        <v>0</v>
      </c>
      <c r="V570" s="6">
        <f>IF(ISERROR(VLOOKUP($S$570,'TAR FIN'!$A$1:$O$116,15,0)),0,VLOOKUP($S$570,'TAR FIN'!$A$1:$O$116,15,0))</f>
        <v>0</v>
      </c>
      <c r="W570" s="6">
        <f>IF(ISERROR(VLOOKUP($T$570,'TAR FIN'!$A$1:$O$116,15,0)),0,VLOOKUP($T$570,'TAR FIN'!$A$1:$O$116,15,0))</f>
        <v>19.28</v>
      </c>
      <c r="X570" s="6">
        <f>IF(ISERROR(VLOOKUP($U$570,'TAR FIN'!$A$1:$O$116,15,0)),0,VLOOKUP($U$570,'TAR FIN'!$A$1:$O$116,15,0))</f>
        <v>0</v>
      </c>
      <c r="Y570" s="6">
        <f ca="1">0.72*('TUSD BE'!$AM$29+'TUSD BF'!$AM$29+'TUSD CVA'!$AM$29)*1+('TUSD BE'!$AM$30+'TUSD BF'!$AM$30+'TUSD CVA'!$AM$30)*1</f>
        <v>39.494470360941079</v>
      </c>
      <c r="Z570" s="6">
        <f ca="1">('TUSD BE'!$AM$31+'TUSD BF'!$AM$31+'TUSD CVA'!$AM$31)*1</f>
        <v>20.832189514791409</v>
      </c>
      <c r="AA570" s="6"/>
      <c r="AB570" s="6">
        <f>$K$570*$V$570</f>
        <v>0</v>
      </c>
      <c r="AC570" s="6">
        <f>$M$570*$W$570</f>
        <v>14670.556880000002</v>
      </c>
      <c r="AD570" s="6">
        <f>$O$570*$X$570</f>
        <v>0</v>
      </c>
      <c r="AE570" s="6">
        <f ca="1">$K$570*$Y$570</f>
        <v>0</v>
      </c>
      <c r="AF570" s="6">
        <f ca="1">$M$570*$Z$570</f>
        <v>15851.650477784595</v>
      </c>
      <c r="AG570" s="6">
        <f>$O$570*$AA$570</f>
        <v>0</v>
      </c>
    </row>
    <row r="571" spans="1:33" ht="11.25" customHeight="1" x14ac:dyDescent="0.25">
      <c r="A571" s="4" t="s">
        <v>21</v>
      </c>
      <c r="B571" s="4" t="s">
        <v>41</v>
      </c>
      <c r="C571" s="4" t="s">
        <v>81</v>
      </c>
      <c r="D571" s="4" t="s">
        <v>25</v>
      </c>
      <c r="E571" s="4" t="s">
        <v>25</v>
      </c>
      <c r="F571" s="4" t="s">
        <v>25</v>
      </c>
      <c r="G571" s="4" t="s">
        <v>82</v>
      </c>
      <c r="H571" s="4" t="s">
        <v>25</v>
      </c>
      <c r="I571" s="5">
        <v>44440</v>
      </c>
      <c r="J571" s="6">
        <v>0</v>
      </c>
      <c r="K571" s="6">
        <v>0</v>
      </c>
      <c r="L571" s="6">
        <v>794.83</v>
      </c>
      <c r="M571" s="6">
        <v>794.83</v>
      </c>
      <c r="N571" s="6">
        <v>0</v>
      </c>
      <c r="O571" s="6">
        <v>0</v>
      </c>
      <c r="P571" s="6">
        <v>0</v>
      </c>
      <c r="Q571" s="4" t="s">
        <v>83</v>
      </c>
      <c r="R571" s="4">
        <v>4950</v>
      </c>
      <c r="S571" s="6">
        <v>0</v>
      </c>
      <c r="T571" s="6">
        <v>27</v>
      </c>
      <c r="U571" s="6">
        <v>0</v>
      </c>
      <c r="V571" s="6">
        <f>IF(ISERROR(VLOOKUP($S$571,'TAR FIN'!$A$1:$O$116,15,0)),0,VLOOKUP($S$571,'TAR FIN'!$A$1:$O$116,15,0))</f>
        <v>0</v>
      </c>
      <c r="W571" s="6">
        <f>IF(ISERROR(VLOOKUP($T$571,'TAR FIN'!$A$1:$O$116,15,0)),0,VLOOKUP($T$571,'TAR FIN'!$A$1:$O$116,15,0))</f>
        <v>19.28</v>
      </c>
      <c r="X571" s="6">
        <f>IF(ISERROR(VLOOKUP($U$571,'TAR FIN'!$A$1:$O$116,15,0)),0,VLOOKUP($U$571,'TAR FIN'!$A$1:$O$116,15,0))</f>
        <v>0</v>
      </c>
      <c r="Y571" s="6">
        <f ca="1">0.72*('TUSD BE'!$AM$29+'TUSD BF'!$AM$29+'TUSD CVA'!$AM$29)*1+('TUSD BE'!$AM$30+'TUSD BF'!$AM$30+'TUSD CVA'!$AM$30)*1</f>
        <v>39.494470360941079</v>
      </c>
      <c r="Z571" s="6">
        <f ca="1">('TUSD BE'!$AM$31+'TUSD BF'!$AM$31+'TUSD CVA'!$AM$31)*1</f>
        <v>20.832189514791409</v>
      </c>
      <c r="AA571" s="6"/>
      <c r="AB571" s="6">
        <f>$K$571*$V$571</f>
        <v>0</v>
      </c>
      <c r="AC571" s="6">
        <f>$M$571*$W$571</f>
        <v>15324.322400000001</v>
      </c>
      <c r="AD571" s="6">
        <f>$O$571*$X$571</f>
        <v>0</v>
      </c>
      <c r="AE571" s="6">
        <f ca="1">$K$571*$Y$571</f>
        <v>0</v>
      </c>
      <c r="AF571" s="6">
        <f ca="1">$M$571*$Z$571</f>
        <v>16558.049192041657</v>
      </c>
      <c r="AG571" s="6">
        <f>$O$571*$AA$571</f>
        <v>0</v>
      </c>
    </row>
    <row r="572" spans="1:33" ht="11.25" customHeight="1" x14ac:dyDescent="0.25">
      <c r="A572" s="4" t="s">
        <v>21</v>
      </c>
      <c r="B572" s="4" t="s">
        <v>41</v>
      </c>
      <c r="C572" s="4" t="s">
        <v>81</v>
      </c>
      <c r="D572" s="4" t="s">
        <v>25</v>
      </c>
      <c r="E572" s="4" t="s">
        <v>25</v>
      </c>
      <c r="F572" s="4" t="s">
        <v>25</v>
      </c>
      <c r="G572" s="4" t="s">
        <v>82</v>
      </c>
      <c r="H572" s="4" t="s">
        <v>25</v>
      </c>
      <c r="I572" s="5">
        <v>44470</v>
      </c>
      <c r="J572" s="6">
        <v>0</v>
      </c>
      <c r="K572" s="6">
        <v>0</v>
      </c>
      <c r="L572" s="6">
        <v>855.04399999999998</v>
      </c>
      <c r="M572" s="6">
        <v>855.04399999999998</v>
      </c>
      <c r="N572" s="6">
        <v>0</v>
      </c>
      <c r="O572" s="6">
        <v>0</v>
      </c>
      <c r="P572" s="6">
        <v>0</v>
      </c>
      <c r="Q572" s="4" t="s">
        <v>83</v>
      </c>
      <c r="R572" s="4">
        <v>4950</v>
      </c>
      <c r="S572" s="6">
        <v>0</v>
      </c>
      <c r="T572" s="6">
        <v>27</v>
      </c>
      <c r="U572" s="6">
        <v>0</v>
      </c>
      <c r="V572" s="6">
        <f>IF(ISERROR(VLOOKUP($S$572,'TAR FIN'!$A$1:$O$116,15,0)),0,VLOOKUP($S$572,'TAR FIN'!$A$1:$O$116,15,0))</f>
        <v>0</v>
      </c>
      <c r="W572" s="6">
        <f>IF(ISERROR(VLOOKUP($T$572,'TAR FIN'!$A$1:$O$116,15,0)),0,VLOOKUP($T$572,'TAR FIN'!$A$1:$O$116,15,0))</f>
        <v>19.28</v>
      </c>
      <c r="X572" s="6">
        <f>IF(ISERROR(VLOOKUP($U$572,'TAR FIN'!$A$1:$O$116,15,0)),0,VLOOKUP($U$572,'TAR FIN'!$A$1:$O$116,15,0))</f>
        <v>0</v>
      </c>
      <c r="Y572" s="6">
        <f ca="1">0.72*('TUSD BE'!$AM$29+'TUSD BF'!$AM$29+'TUSD CVA'!$AM$29)*1+('TUSD BE'!$AM$30+'TUSD BF'!$AM$30+'TUSD CVA'!$AM$30)*1</f>
        <v>39.494470360941079</v>
      </c>
      <c r="Z572" s="6">
        <f ca="1">('TUSD BE'!$AM$31+'TUSD BF'!$AM$31+'TUSD CVA'!$AM$31)*1</f>
        <v>20.832189514791409</v>
      </c>
      <c r="AA572" s="6"/>
      <c r="AB572" s="6">
        <f>$K$572*$V$572</f>
        <v>0</v>
      </c>
      <c r="AC572" s="6">
        <f>$M$572*$W$572</f>
        <v>16485.248320000002</v>
      </c>
      <c r="AD572" s="6">
        <f>$O$572*$X$572</f>
        <v>0</v>
      </c>
      <c r="AE572" s="6">
        <f ca="1">$K$572*$Y$572</f>
        <v>0</v>
      </c>
      <c r="AF572" s="6">
        <f ca="1">$M$572*$Z$572</f>
        <v>17812.438651485307</v>
      </c>
      <c r="AG572" s="6">
        <f>$O$572*$AA$572</f>
        <v>0</v>
      </c>
    </row>
    <row r="573" spans="1:33" ht="11.25" customHeight="1" x14ac:dyDescent="0.25">
      <c r="A573" s="4" t="s">
        <v>21</v>
      </c>
      <c r="B573" s="4" t="s">
        <v>41</v>
      </c>
      <c r="C573" s="4" t="s">
        <v>81</v>
      </c>
      <c r="D573" s="4" t="s">
        <v>25</v>
      </c>
      <c r="E573" s="4" t="s">
        <v>25</v>
      </c>
      <c r="F573" s="4" t="s">
        <v>25</v>
      </c>
      <c r="G573" s="4" t="s">
        <v>82</v>
      </c>
      <c r="H573" s="4" t="s">
        <v>25</v>
      </c>
      <c r="I573" s="5">
        <v>44501</v>
      </c>
      <c r="J573" s="6">
        <v>0</v>
      </c>
      <c r="K573" s="6">
        <v>0</v>
      </c>
      <c r="L573" s="6">
        <v>827.68399999999997</v>
      </c>
      <c r="M573" s="6">
        <v>827.68399999999997</v>
      </c>
      <c r="N573" s="6">
        <v>0</v>
      </c>
      <c r="O573" s="6">
        <v>0</v>
      </c>
      <c r="P573" s="6">
        <v>0</v>
      </c>
      <c r="Q573" s="4" t="s">
        <v>83</v>
      </c>
      <c r="R573" s="4">
        <v>4950</v>
      </c>
      <c r="S573" s="6">
        <v>0</v>
      </c>
      <c r="T573" s="6">
        <v>27</v>
      </c>
      <c r="U573" s="6">
        <v>0</v>
      </c>
      <c r="V573" s="6">
        <f>IF(ISERROR(VLOOKUP($S$573,'TAR FIN'!$A$1:$O$116,15,0)),0,VLOOKUP($S$573,'TAR FIN'!$A$1:$O$116,15,0))</f>
        <v>0</v>
      </c>
      <c r="W573" s="6">
        <f>IF(ISERROR(VLOOKUP($T$573,'TAR FIN'!$A$1:$O$116,15,0)),0,VLOOKUP($T$573,'TAR FIN'!$A$1:$O$116,15,0))</f>
        <v>19.28</v>
      </c>
      <c r="X573" s="6">
        <f>IF(ISERROR(VLOOKUP($U$573,'TAR FIN'!$A$1:$O$116,15,0)),0,VLOOKUP($U$573,'TAR FIN'!$A$1:$O$116,15,0))</f>
        <v>0</v>
      </c>
      <c r="Y573" s="6">
        <f ca="1">0.72*('TUSD BE'!$AM$29+'TUSD BF'!$AM$29+'TUSD CVA'!$AM$29)*1+('TUSD BE'!$AM$30+'TUSD BF'!$AM$30+'TUSD CVA'!$AM$30)*1</f>
        <v>39.494470360941079</v>
      </c>
      <c r="Z573" s="6">
        <f ca="1">('TUSD BE'!$AM$31+'TUSD BF'!$AM$31+'TUSD CVA'!$AM$31)*1</f>
        <v>20.832189514791409</v>
      </c>
      <c r="AA573" s="6"/>
      <c r="AB573" s="6">
        <f>$K$573*$V$573</f>
        <v>0</v>
      </c>
      <c r="AC573" s="6">
        <f>$M$573*$W$573</f>
        <v>15957.747520000001</v>
      </c>
      <c r="AD573" s="6">
        <f>$O$573*$X$573</f>
        <v>0</v>
      </c>
      <c r="AE573" s="6">
        <f ca="1">$K$573*$Y$573</f>
        <v>0</v>
      </c>
      <c r="AF573" s="6">
        <f ca="1">$M$573*$Z$573</f>
        <v>17242.469946360612</v>
      </c>
      <c r="AG573" s="6">
        <f>$O$573*$AA$573</f>
        <v>0</v>
      </c>
    </row>
    <row r="574" spans="1:33" ht="11.25" customHeight="1" x14ac:dyDescent="0.25">
      <c r="A574" s="4" t="s">
        <v>21</v>
      </c>
      <c r="B574" s="4" t="s">
        <v>41</v>
      </c>
      <c r="C574" s="4" t="s">
        <v>81</v>
      </c>
      <c r="D574" s="4" t="s">
        <v>25</v>
      </c>
      <c r="E574" s="4" t="s">
        <v>25</v>
      </c>
      <c r="F574" s="4" t="s">
        <v>25</v>
      </c>
      <c r="G574" s="4" t="s">
        <v>82</v>
      </c>
      <c r="H574" s="4" t="s">
        <v>25</v>
      </c>
      <c r="I574" s="5">
        <v>44531</v>
      </c>
      <c r="J574" s="6">
        <v>0</v>
      </c>
      <c r="K574" s="6">
        <v>0</v>
      </c>
      <c r="L574" s="6">
        <v>811.846</v>
      </c>
      <c r="M574" s="6">
        <v>811.846</v>
      </c>
      <c r="N574" s="6">
        <v>0</v>
      </c>
      <c r="O574" s="6">
        <v>0</v>
      </c>
      <c r="P574" s="6">
        <v>0</v>
      </c>
      <c r="Q574" s="4" t="s">
        <v>83</v>
      </c>
      <c r="R574" s="4">
        <v>4950</v>
      </c>
      <c r="S574" s="6">
        <v>0</v>
      </c>
      <c r="T574" s="6">
        <v>27</v>
      </c>
      <c r="U574" s="6">
        <v>0</v>
      </c>
      <c r="V574" s="6">
        <f>IF(ISERROR(VLOOKUP($S$574,'TAR FIN'!$A$1:$O$116,15,0)),0,VLOOKUP($S$574,'TAR FIN'!$A$1:$O$116,15,0))</f>
        <v>0</v>
      </c>
      <c r="W574" s="6">
        <f>IF(ISERROR(VLOOKUP($T$574,'TAR FIN'!$A$1:$O$116,15,0)),0,VLOOKUP($T$574,'TAR FIN'!$A$1:$O$116,15,0))</f>
        <v>19.28</v>
      </c>
      <c r="X574" s="6">
        <f>IF(ISERROR(VLOOKUP($U$574,'TAR FIN'!$A$1:$O$116,15,0)),0,VLOOKUP($U$574,'TAR FIN'!$A$1:$O$116,15,0))</f>
        <v>0</v>
      </c>
      <c r="Y574" s="6">
        <f ca="1">0.72*('TUSD BE'!$AM$29+'TUSD BF'!$AM$29+'TUSD CVA'!$AM$29)*1+('TUSD BE'!$AM$30+'TUSD BF'!$AM$30+'TUSD CVA'!$AM$30)*1</f>
        <v>39.494470360941079</v>
      </c>
      <c r="Z574" s="6">
        <f ca="1">('TUSD BE'!$AM$31+'TUSD BF'!$AM$31+'TUSD CVA'!$AM$31)*1</f>
        <v>20.832189514791409</v>
      </c>
      <c r="AA574" s="6"/>
      <c r="AB574" s="6">
        <f>$K$574*$V$574</f>
        <v>0</v>
      </c>
      <c r="AC574" s="6">
        <f>$M$574*$W$574</f>
        <v>15652.390880000001</v>
      </c>
      <c r="AD574" s="6">
        <f>$O$574*$X$574</f>
        <v>0</v>
      </c>
      <c r="AE574" s="6">
        <f ca="1">$K$574*$Y$574</f>
        <v>0</v>
      </c>
      <c r="AF574" s="6">
        <f ca="1">$M$574*$Z$574</f>
        <v>16912.529728825346</v>
      </c>
      <c r="AG574" s="6">
        <f>$O$574*$AA$574</f>
        <v>0</v>
      </c>
    </row>
    <row r="575" spans="1:33" ht="11.25" customHeight="1" x14ac:dyDescent="0.25">
      <c r="A575" s="4" t="s">
        <v>21</v>
      </c>
      <c r="B575" s="4" t="s">
        <v>41</v>
      </c>
      <c r="C575" s="4" t="s">
        <v>81</v>
      </c>
      <c r="D575" s="4" t="s">
        <v>25</v>
      </c>
      <c r="E575" s="4" t="s">
        <v>25</v>
      </c>
      <c r="F575" s="4" t="s">
        <v>25</v>
      </c>
      <c r="G575" s="4" t="s">
        <v>82</v>
      </c>
      <c r="H575" s="4" t="s">
        <v>25</v>
      </c>
      <c r="I575" s="5">
        <v>44562</v>
      </c>
      <c r="J575" s="6">
        <v>0</v>
      </c>
      <c r="K575" s="6">
        <v>0</v>
      </c>
      <c r="L575" s="6">
        <v>898.20899999999995</v>
      </c>
      <c r="M575" s="6">
        <v>898.20899999999995</v>
      </c>
      <c r="N575" s="6">
        <v>0</v>
      </c>
      <c r="O575" s="6">
        <v>0</v>
      </c>
      <c r="P575" s="6">
        <v>0</v>
      </c>
      <c r="Q575" s="4" t="s">
        <v>83</v>
      </c>
      <c r="R575" s="4">
        <v>4950</v>
      </c>
      <c r="S575" s="6">
        <v>0</v>
      </c>
      <c r="T575" s="6">
        <v>27</v>
      </c>
      <c r="U575" s="6">
        <v>0</v>
      </c>
      <c r="V575" s="6">
        <f>IF(ISERROR(VLOOKUP($S$575,'TAR FIN'!$A$1:$O$116,15,0)),0,VLOOKUP($S$575,'TAR FIN'!$A$1:$O$116,15,0))</f>
        <v>0</v>
      </c>
      <c r="W575" s="6">
        <f>IF(ISERROR(VLOOKUP($T$575,'TAR FIN'!$A$1:$O$116,15,0)),0,VLOOKUP($T$575,'TAR FIN'!$A$1:$O$116,15,0))</f>
        <v>19.28</v>
      </c>
      <c r="X575" s="6">
        <f>IF(ISERROR(VLOOKUP($U$575,'TAR FIN'!$A$1:$O$116,15,0)),0,VLOOKUP($U$575,'TAR FIN'!$A$1:$O$116,15,0))</f>
        <v>0</v>
      </c>
      <c r="Y575" s="6">
        <f ca="1">0.72*('TUSD BE'!$AM$29+'TUSD BF'!$AM$29+'TUSD CVA'!$AM$29)*1+('TUSD BE'!$AM$30+'TUSD BF'!$AM$30+'TUSD CVA'!$AM$30)*1</f>
        <v>39.494470360941079</v>
      </c>
      <c r="Z575" s="6">
        <f ca="1">('TUSD BE'!$AM$31+'TUSD BF'!$AM$31+'TUSD CVA'!$AM$31)*1</f>
        <v>20.832189514791409</v>
      </c>
      <c r="AA575" s="6"/>
      <c r="AB575" s="6">
        <f>$K$575*$V$575</f>
        <v>0</v>
      </c>
      <c r="AC575" s="6">
        <f>$M$575*$W$575</f>
        <v>17317.469519999999</v>
      </c>
      <c r="AD575" s="6">
        <f>$O$575*$X$575</f>
        <v>0</v>
      </c>
      <c r="AE575" s="6">
        <f ca="1">$K$575*$Y$575</f>
        <v>0</v>
      </c>
      <c r="AF575" s="6">
        <f ca="1">$M$575*$Z$575</f>
        <v>18711.660111891277</v>
      </c>
      <c r="AG575" s="6">
        <f>$O$575*$AA$575</f>
        <v>0</v>
      </c>
    </row>
    <row r="576" spans="1:33" ht="11.25" customHeight="1" x14ac:dyDescent="0.25">
      <c r="A576" s="4" t="s">
        <v>21</v>
      </c>
      <c r="B576" s="4" t="s">
        <v>41</v>
      </c>
      <c r="C576" s="4" t="s">
        <v>81</v>
      </c>
      <c r="D576" s="4" t="s">
        <v>25</v>
      </c>
      <c r="E576" s="4" t="s">
        <v>25</v>
      </c>
      <c r="F576" s="4" t="s">
        <v>25</v>
      </c>
      <c r="G576" s="4" t="s">
        <v>82</v>
      </c>
      <c r="H576" s="4" t="s">
        <v>25</v>
      </c>
      <c r="I576" s="5">
        <v>44593</v>
      </c>
      <c r="J576" s="6">
        <v>0</v>
      </c>
      <c r="K576" s="6">
        <v>0</v>
      </c>
      <c r="L576" s="6">
        <v>934.46799999999996</v>
      </c>
      <c r="M576" s="6">
        <v>934.46799999999996</v>
      </c>
      <c r="N576" s="6">
        <v>0</v>
      </c>
      <c r="O576" s="6">
        <v>0</v>
      </c>
      <c r="P576" s="6">
        <v>0</v>
      </c>
      <c r="Q576" s="4" t="s">
        <v>83</v>
      </c>
      <c r="R576" s="4">
        <v>4950</v>
      </c>
      <c r="S576" s="6">
        <v>0</v>
      </c>
      <c r="T576" s="6">
        <v>27</v>
      </c>
      <c r="U576" s="6">
        <v>0</v>
      </c>
      <c r="V576" s="6">
        <f>IF(ISERROR(VLOOKUP($S$576,'TAR FIN'!$A$1:$O$116,15,0)),0,VLOOKUP($S$576,'TAR FIN'!$A$1:$O$116,15,0))</f>
        <v>0</v>
      </c>
      <c r="W576" s="6">
        <f>IF(ISERROR(VLOOKUP($T$576,'TAR FIN'!$A$1:$O$116,15,0)),0,VLOOKUP($T$576,'TAR FIN'!$A$1:$O$116,15,0))</f>
        <v>19.28</v>
      </c>
      <c r="X576" s="6">
        <f>IF(ISERROR(VLOOKUP($U$576,'TAR FIN'!$A$1:$O$116,15,0)),0,VLOOKUP($U$576,'TAR FIN'!$A$1:$O$116,15,0))</f>
        <v>0</v>
      </c>
      <c r="Y576" s="6">
        <f ca="1">0.72*('TUSD BE'!$AM$29+'TUSD BF'!$AM$29+'TUSD CVA'!$AM$29)*1+('TUSD BE'!$AM$30+'TUSD BF'!$AM$30+'TUSD CVA'!$AM$30)*1</f>
        <v>39.494470360941079</v>
      </c>
      <c r="Z576" s="6">
        <f ca="1">('TUSD BE'!$AM$31+'TUSD BF'!$AM$31+'TUSD CVA'!$AM$31)*1</f>
        <v>20.832189514791409</v>
      </c>
      <c r="AA576" s="6"/>
      <c r="AB576" s="6">
        <f>$K$576*$V$576</f>
        <v>0</v>
      </c>
      <c r="AC576" s="6">
        <f>$M$576*$W$576</f>
        <v>18016.54304</v>
      </c>
      <c r="AD576" s="6">
        <f>$O$576*$X$576</f>
        <v>0</v>
      </c>
      <c r="AE576" s="6">
        <f ca="1">$K$576*$Y$576</f>
        <v>0</v>
      </c>
      <c r="AF576" s="6">
        <f ca="1">$M$576*$Z$576</f>
        <v>19467.014471508097</v>
      </c>
      <c r="AG576" s="6">
        <f>$O$576*$AA$576</f>
        <v>0</v>
      </c>
    </row>
    <row r="577" spans="1:33" ht="11.25" customHeight="1" x14ac:dyDescent="0.25">
      <c r="A577" s="4" t="s">
        <v>21</v>
      </c>
      <c r="B577" s="4" t="s">
        <v>41</v>
      </c>
      <c r="C577" s="4" t="s">
        <v>81</v>
      </c>
      <c r="D577" s="4" t="s">
        <v>25</v>
      </c>
      <c r="E577" s="4" t="s">
        <v>25</v>
      </c>
      <c r="F577" s="4" t="s">
        <v>25</v>
      </c>
      <c r="G577" s="4" t="s">
        <v>82</v>
      </c>
      <c r="H577" s="4" t="s">
        <v>25</v>
      </c>
      <c r="I577" s="5">
        <v>44621</v>
      </c>
      <c r="J577" s="6">
        <v>0</v>
      </c>
      <c r="K577" s="6">
        <v>0</v>
      </c>
      <c r="L577" s="6">
        <v>832.11099999999999</v>
      </c>
      <c r="M577" s="6">
        <v>832.11099999999999</v>
      </c>
      <c r="N577" s="6">
        <v>0</v>
      </c>
      <c r="O577" s="6">
        <v>0</v>
      </c>
      <c r="P577" s="6">
        <v>0</v>
      </c>
      <c r="Q577" s="4" t="s">
        <v>83</v>
      </c>
      <c r="R577" s="4">
        <v>4950</v>
      </c>
      <c r="S577" s="6">
        <v>0</v>
      </c>
      <c r="T577" s="6">
        <v>27</v>
      </c>
      <c r="U577" s="6">
        <v>0</v>
      </c>
      <c r="V577" s="6">
        <f>IF(ISERROR(VLOOKUP($S$577,'TAR FIN'!$A$1:$O$116,15,0)),0,VLOOKUP($S$577,'TAR FIN'!$A$1:$O$116,15,0))</f>
        <v>0</v>
      </c>
      <c r="W577" s="6">
        <f>IF(ISERROR(VLOOKUP($T$577,'TAR FIN'!$A$1:$O$116,15,0)),0,VLOOKUP($T$577,'TAR FIN'!$A$1:$O$116,15,0))</f>
        <v>19.28</v>
      </c>
      <c r="X577" s="6">
        <f>IF(ISERROR(VLOOKUP($U$577,'TAR FIN'!$A$1:$O$116,15,0)),0,VLOOKUP($U$577,'TAR FIN'!$A$1:$O$116,15,0))</f>
        <v>0</v>
      </c>
      <c r="Y577" s="6">
        <f ca="1">0.72*('TUSD BE'!$AM$29+'TUSD BF'!$AM$29+'TUSD CVA'!$AM$29)*1+('TUSD BE'!$AM$30+'TUSD BF'!$AM$30+'TUSD CVA'!$AM$30)*1</f>
        <v>39.494470360941079</v>
      </c>
      <c r="Z577" s="6">
        <f ca="1">('TUSD BE'!$AM$31+'TUSD BF'!$AM$31+'TUSD CVA'!$AM$31)*1</f>
        <v>20.832189514791409</v>
      </c>
      <c r="AA577" s="6"/>
      <c r="AB577" s="6">
        <f>$K$577*$V$577</f>
        <v>0</v>
      </c>
      <c r="AC577" s="6">
        <f>$M$577*$W$577</f>
        <v>16043.10008</v>
      </c>
      <c r="AD577" s="6">
        <f>$O$577*$X$577</f>
        <v>0</v>
      </c>
      <c r="AE577" s="6">
        <f ca="1">$K$577*$Y$577</f>
        <v>0</v>
      </c>
      <c r="AF577" s="6">
        <f ca="1">$M$577*$Z$577</f>
        <v>17334.694049342594</v>
      </c>
      <c r="AG577" s="6">
        <f>$O$577*$AA$577</f>
        <v>0</v>
      </c>
    </row>
    <row r="578" spans="1:33" ht="11.25" customHeight="1" x14ac:dyDescent="0.25">
      <c r="A578" s="4" t="s">
        <v>21</v>
      </c>
      <c r="B578" s="4" t="s">
        <v>41</v>
      </c>
      <c r="C578" s="4" t="s">
        <v>81</v>
      </c>
      <c r="D578" s="4" t="s">
        <v>25</v>
      </c>
      <c r="E578" s="4" t="s">
        <v>25</v>
      </c>
      <c r="F578" s="4" t="s">
        <v>25</v>
      </c>
      <c r="G578" s="4" t="s">
        <v>82</v>
      </c>
      <c r="H578" s="4" t="s">
        <v>25</v>
      </c>
      <c r="I578" s="5">
        <v>44652</v>
      </c>
      <c r="J578" s="6">
        <v>0</v>
      </c>
      <c r="K578" s="6">
        <v>0</v>
      </c>
      <c r="L578" s="6">
        <v>991.36300000000006</v>
      </c>
      <c r="M578" s="6">
        <v>991.36300000000006</v>
      </c>
      <c r="N578" s="6">
        <v>0</v>
      </c>
      <c r="O578" s="6">
        <v>0</v>
      </c>
      <c r="P578" s="6">
        <v>0</v>
      </c>
      <c r="Q578" s="4" t="s">
        <v>83</v>
      </c>
      <c r="R578" s="4">
        <v>4950</v>
      </c>
      <c r="S578" s="6">
        <v>0</v>
      </c>
      <c r="T578" s="6">
        <v>27</v>
      </c>
      <c r="U578" s="6">
        <v>0</v>
      </c>
      <c r="V578" s="6">
        <f>IF(ISERROR(VLOOKUP($S$578,'TAR FIN'!$A$1:$O$116,15,0)),0,VLOOKUP($S$578,'TAR FIN'!$A$1:$O$116,15,0))</f>
        <v>0</v>
      </c>
      <c r="W578" s="6">
        <f>IF(ISERROR(VLOOKUP($T$578,'TAR FIN'!$A$1:$O$116,15,0)),0,VLOOKUP($T$578,'TAR FIN'!$A$1:$O$116,15,0))</f>
        <v>19.28</v>
      </c>
      <c r="X578" s="6">
        <f>IF(ISERROR(VLOOKUP($U$578,'TAR FIN'!$A$1:$O$116,15,0)),0,VLOOKUP($U$578,'TAR FIN'!$A$1:$O$116,15,0))</f>
        <v>0</v>
      </c>
      <c r="Y578" s="6">
        <f ca="1">0.72*('TUSD BE'!$AM$29+'TUSD BF'!$AM$29+'TUSD CVA'!$AM$29)*1+('TUSD BE'!$AM$30+'TUSD BF'!$AM$30+'TUSD CVA'!$AM$30)*1</f>
        <v>39.494470360941079</v>
      </c>
      <c r="Z578" s="6">
        <f ca="1">('TUSD BE'!$AM$31+'TUSD BF'!$AM$31+'TUSD CVA'!$AM$31)*1</f>
        <v>20.832189514791409</v>
      </c>
      <c r="AA578" s="6"/>
      <c r="AB578" s="6">
        <f>$K$578*$V$578</f>
        <v>0</v>
      </c>
      <c r="AC578" s="6">
        <f>$M$578*$W$578</f>
        <v>19113.478640000001</v>
      </c>
      <c r="AD578" s="6">
        <f>$O$578*$X$578</f>
        <v>0</v>
      </c>
      <c r="AE578" s="6">
        <f ca="1">$K$578*$Y$578</f>
        <v>0</v>
      </c>
      <c r="AF578" s="6">
        <f ca="1">$M$578*$Z$578</f>
        <v>20652.261893952156</v>
      </c>
      <c r="AG578" s="6">
        <f>$O$578*$AA$578</f>
        <v>0</v>
      </c>
    </row>
    <row r="579" spans="1:33" ht="11.25" customHeight="1" x14ac:dyDescent="0.25">
      <c r="A579" s="4" t="s">
        <v>58</v>
      </c>
      <c r="B579" s="4" t="s">
        <v>41</v>
      </c>
      <c r="C579" s="4" t="s">
        <v>81</v>
      </c>
      <c r="D579" s="4" t="s">
        <v>25</v>
      </c>
      <c r="E579" s="4" t="s">
        <v>25</v>
      </c>
      <c r="F579" s="4" t="s">
        <v>25</v>
      </c>
      <c r="G579" s="4" t="s">
        <v>82</v>
      </c>
      <c r="H579" s="4" t="s">
        <v>25</v>
      </c>
      <c r="I579" s="5">
        <v>44682</v>
      </c>
      <c r="J579" s="6">
        <v>0</v>
      </c>
      <c r="K579" s="6">
        <v>0</v>
      </c>
      <c r="L579" s="6">
        <v>991.36300000000006</v>
      </c>
      <c r="M579" s="6">
        <v>991.36300000000006</v>
      </c>
      <c r="N579" s="6">
        <v>0</v>
      </c>
      <c r="O579" s="6">
        <v>0</v>
      </c>
      <c r="P579" s="6">
        <v>0</v>
      </c>
      <c r="Q579" s="4" t="s">
        <v>83</v>
      </c>
      <c r="R579" s="4">
        <v>4950</v>
      </c>
      <c r="S579" s="6">
        <v>0</v>
      </c>
      <c r="T579" s="6">
        <v>27</v>
      </c>
      <c r="U579" s="6">
        <v>0</v>
      </c>
      <c r="V579" s="6">
        <f>IF(ISERROR(VLOOKUP($S$579,'TAR FIN'!$A$1:$O$116,15,0)),0,VLOOKUP($S$579,'TAR FIN'!$A$1:$O$116,15,0))</f>
        <v>0</v>
      </c>
      <c r="W579" s="6">
        <f>IF(ISERROR(VLOOKUP($T$579,'TAR FIN'!$A$1:$O$116,15,0)),0,VLOOKUP($T$579,'TAR FIN'!$A$1:$O$116,15,0))</f>
        <v>19.28</v>
      </c>
      <c r="X579" s="6">
        <f>IF(ISERROR(VLOOKUP($U$579,'TAR FIN'!$A$1:$O$116,15,0)),0,VLOOKUP($U$579,'TAR FIN'!$A$1:$O$116,15,0))</f>
        <v>0</v>
      </c>
      <c r="Y579" s="6">
        <f ca="1">0.72*('TUSD BE'!$AM$29+'TUSD BF'!$AM$29+'TUSD CVA'!$AM$29)*1+('TUSD BE'!$AM$30+'TUSD BF'!$AM$30+'TUSD CVA'!$AM$30)*1</f>
        <v>39.494470360941079</v>
      </c>
      <c r="Z579" s="6">
        <f ca="1">('TUSD BE'!$AM$31+'TUSD BF'!$AM$31+'TUSD CVA'!$AM$31)*1</f>
        <v>20.832189514791409</v>
      </c>
      <c r="AA579" s="6"/>
      <c r="AB579" s="6">
        <f>$K$579*$V$579</f>
        <v>0</v>
      </c>
      <c r="AC579" s="6">
        <f>$M$579*$W$579</f>
        <v>19113.478640000001</v>
      </c>
      <c r="AD579" s="6">
        <f>$O$579*$X$579</f>
        <v>0</v>
      </c>
      <c r="AE579" s="6">
        <f ca="1">$K$579*$Y$579</f>
        <v>0</v>
      </c>
      <c r="AF579" s="6">
        <f ca="1">$M$579*$Z$579</f>
        <v>20652.261893952156</v>
      </c>
      <c r="AG579" s="6">
        <f>$O$579*$AA$579</f>
        <v>0</v>
      </c>
    </row>
    <row r="580" spans="1:33" ht="11.25" customHeight="1" x14ac:dyDescent="0.25">
      <c r="A580" s="4" t="s">
        <v>21</v>
      </c>
      <c r="B580" s="4" t="s">
        <v>41</v>
      </c>
      <c r="C580" s="4" t="s">
        <v>81</v>
      </c>
      <c r="D580" s="4" t="s">
        <v>25</v>
      </c>
      <c r="E580" s="4" t="s">
        <v>25</v>
      </c>
      <c r="F580" s="4" t="s">
        <v>25</v>
      </c>
      <c r="G580" s="4" t="s">
        <v>82</v>
      </c>
      <c r="H580" s="4" t="s">
        <v>34</v>
      </c>
      <c r="I580" s="5">
        <v>44348</v>
      </c>
      <c r="J580" s="6">
        <v>3500</v>
      </c>
      <c r="K580" s="6">
        <v>3500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4" t="s">
        <v>83</v>
      </c>
      <c r="R580" s="4">
        <v>4950</v>
      </c>
      <c r="S580" s="6">
        <v>25</v>
      </c>
      <c r="T580" s="6">
        <v>0</v>
      </c>
      <c r="U580" s="6">
        <v>0</v>
      </c>
      <c r="V580" s="6">
        <f>IF(ISERROR(VLOOKUP($S$580,'TAR FIN'!$A$1:$O$116,15,0)),0,VLOOKUP($S$580,'TAR FIN'!$A$1:$O$116,15,0))</f>
        <v>27.87</v>
      </c>
      <c r="W580" s="6">
        <f>IF(ISERROR(VLOOKUP($T$580,'TAR FIN'!$A$1:$O$116,15,0)),0,VLOOKUP($T$580,'TAR FIN'!$A$1:$O$116,15,0))</f>
        <v>0</v>
      </c>
      <c r="X580" s="6">
        <f>IF(ISERROR(VLOOKUP($U$580,'TAR FIN'!$A$1:$O$116,15,0)),0,VLOOKUP($U$580,'TAR FIN'!$A$1:$O$116,15,0))</f>
        <v>0</v>
      </c>
      <c r="Y580" s="6">
        <f ca="1">('TUSD BE'!$AM$29+'TUSD BF'!$AM$29+'TUSD CVA'!$AM$29)*1</f>
        <v>33.004245120899263</v>
      </c>
      <c r="Z580" s="6">
        <f ca="1">('TUSD BE'!$AM$31+'TUSD BF'!$AM$31+'TUSD CVA'!$AM$31)*1</f>
        <v>20.832189514791409</v>
      </c>
      <c r="AA580" s="6"/>
      <c r="AB580" s="6">
        <f>$K$580*$V$580</f>
        <v>97545</v>
      </c>
      <c r="AC580" s="6">
        <f>$M$580*$W$580</f>
        <v>0</v>
      </c>
      <c r="AD580" s="6">
        <f>$O$580*$X$580</f>
        <v>0</v>
      </c>
      <c r="AE580" s="6">
        <f ca="1">$K$580*$Y$580</f>
        <v>115514.85792314741</v>
      </c>
      <c r="AF580" s="6">
        <f ca="1">$M$580*$Z$580</f>
        <v>0</v>
      </c>
      <c r="AG580" s="6">
        <f>$O$580*$AA$580</f>
        <v>0</v>
      </c>
    </row>
    <row r="581" spans="1:33" ht="11.25" customHeight="1" x14ac:dyDescent="0.25">
      <c r="A581" s="4" t="s">
        <v>21</v>
      </c>
      <c r="B581" s="4" t="s">
        <v>41</v>
      </c>
      <c r="C581" s="4" t="s">
        <v>81</v>
      </c>
      <c r="D581" s="4" t="s">
        <v>25</v>
      </c>
      <c r="E581" s="4" t="s">
        <v>25</v>
      </c>
      <c r="F581" s="4" t="s">
        <v>25</v>
      </c>
      <c r="G581" s="4" t="s">
        <v>82</v>
      </c>
      <c r="H581" s="4" t="s">
        <v>34</v>
      </c>
      <c r="I581" s="5">
        <v>44378</v>
      </c>
      <c r="J581" s="6">
        <v>3500</v>
      </c>
      <c r="K581" s="6">
        <v>3500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4" t="s">
        <v>83</v>
      </c>
      <c r="R581" s="4">
        <v>4950</v>
      </c>
      <c r="S581" s="6">
        <v>25</v>
      </c>
      <c r="T581" s="6">
        <v>0</v>
      </c>
      <c r="U581" s="6">
        <v>0</v>
      </c>
      <c r="V581" s="6">
        <f>IF(ISERROR(VLOOKUP($S$581,'TAR FIN'!$A$1:$O$116,15,0)),0,VLOOKUP($S$581,'TAR FIN'!$A$1:$O$116,15,0))</f>
        <v>27.87</v>
      </c>
      <c r="W581" s="6">
        <f>IF(ISERROR(VLOOKUP($T$581,'TAR FIN'!$A$1:$O$116,15,0)),0,VLOOKUP($T$581,'TAR FIN'!$A$1:$O$116,15,0))</f>
        <v>0</v>
      </c>
      <c r="X581" s="6">
        <f>IF(ISERROR(VLOOKUP($U$581,'TAR FIN'!$A$1:$O$116,15,0)),0,VLOOKUP($U$581,'TAR FIN'!$A$1:$O$116,15,0))</f>
        <v>0</v>
      </c>
      <c r="Y581" s="6">
        <f ca="1">('TUSD BE'!$AM$29+'TUSD BF'!$AM$29+'TUSD CVA'!$AM$29)*1</f>
        <v>33.004245120899263</v>
      </c>
      <c r="Z581" s="6">
        <f ca="1">('TUSD BE'!$AM$31+'TUSD BF'!$AM$31+'TUSD CVA'!$AM$31)*1</f>
        <v>20.832189514791409</v>
      </c>
      <c r="AA581" s="6"/>
      <c r="AB581" s="6">
        <f>$K$581*$V$581</f>
        <v>97545</v>
      </c>
      <c r="AC581" s="6">
        <f>$M$581*$W$581</f>
        <v>0</v>
      </c>
      <c r="AD581" s="6">
        <f>$O$581*$X$581</f>
        <v>0</v>
      </c>
      <c r="AE581" s="6">
        <f ca="1">$K$581*$Y$581</f>
        <v>115514.85792314741</v>
      </c>
      <c r="AF581" s="6">
        <f ca="1">$M$581*$Z$581</f>
        <v>0</v>
      </c>
      <c r="AG581" s="6">
        <f>$O$581*$AA$581</f>
        <v>0</v>
      </c>
    </row>
    <row r="582" spans="1:33" ht="11.25" customHeight="1" x14ac:dyDescent="0.25">
      <c r="A582" s="4" t="s">
        <v>21</v>
      </c>
      <c r="B582" s="4" t="s">
        <v>41</v>
      </c>
      <c r="C582" s="4" t="s">
        <v>81</v>
      </c>
      <c r="D582" s="4" t="s">
        <v>25</v>
      </c>
      <c r="E582" s="4" t="s">
        <v>25</v>
      </c>
      <c r="F582" s="4" t="s">
        <v>25</v>
      </c>
      <c r="G582" s="4" t="s">
        <v>82</v>
      </c>
      <c r="H582" s="4" t="s">
        <v>34</v>
      </c>
      <c r="I582" s="5">
        <v>44409</v>
      </c>
      <c r="J582" s="6">
        <v>3500</v>
      </c>
      <c r="K582" s="6">
        <v>3500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4" t="s">
        <v>83</v>
      </c>
      <c r="R582" s="4">
        <v>4950</v>
      </c>
      <c r="S582" s="6">
        <v>25</v>
      </c>
      <c r="T582" s="6">
        <v>0</v>
      </c>
      <c r="U582" s="6">
        <v>0</v>
      </c>
      <c r="V582" s="6">
        <f>IF(ISERROR(VLOOKUP($S$582,'TAR FIN'!$A$1:$O$116,15,0)),0,VLOOKUP($S$582,'TAR FIN'!$A$1:$O$116,15,0))</f>
        <v>27.87</v>
      </c>
      <c r="W582" s="6">
        <f>IF(ISERROR(VLOOKUP($T$582,'TAR FIN'!$A$1:$O$116,15,0)),0,VLOOKUP($T$582,'TAR FIN'!$A$1:$O$116,15,0))</f>
        <v>0</v>
      </c>
      <c r="X582" s="6">
        <f>IF(ISERROR(VLOOKUP($U$582,'TAR FIN'!$A$1:$O$116,15,0)),0,VLOOKUP($U$582,'TAR FIN'!$A$1:$O$116,15,0))</f>
        <v>0</v>
      </c>
      <c r="Y582" s="6">
        <f ca="1">('TUSD BE'!$AM$29+'TUSD BF'!$AM$29+'TUSD CVA'!$AM$29)*1</f>
        <v>33.004245120899263</v>
      </c>
      <c r="Z582" s="6">
        <f ca="1">('TUSD BE'!$AM$31+'TUSD BF'!$AM$31+'TUSD CVA'!$AM$31)*1</f>
        <v>20.832189514791409</v>
      </c>
      <c r="AA582" s="6"/>
      <c r="AB582" s="6">
        <f>$K$582*$V$582</f>
        <v>97545</v>
      </c>
      <c r="AC582" s="6">
        <f>$M$582*$W$582</f>
        <v>0</v>
      </c>
      <c r="AD582" s="6">
        <f>$O$582*$X$582</f>
        <v>0</v>
      </c>
      <c r="AE582" s="6">
        <f ca="1">$K$582*$Y$582</f>
        <v>115514.85792314741</v>
      </c>
      <c r="AF582" s="6">
        <f ca="1">$M$582*$Z$582</f>
        <v>0</v>
      </c>
      <c r="AG582" s="6">
        <f>$O$582*$AA$582</f>
        <v>0</v>
      </c>
    </row>
    <row r="583" spans="1:33" ht="11.25" customHeight="1" x14ac:dyDescent="0.25">
      <c r="A583" s="4" t="s">
        <v>21</v>
      </c>
      <c r="B583" s="4" t="s">
        <v>41</v>
      </c>
      <c r="C583" s="4" t="s">
        <v>81</v>
      </c>
      <c r="D583" s="4" t="s">
        <v>25</v>
      </c>
      <c r="E583" s="4" t="s">
        <v>25</v>
      </c>
      <c r="F583" s="4" t="s">
        <v>25</v>
      </c>
      <c r="G583" s="4" t="s">
        <v>82</v>
      </c>
      <c r="H583" s="4" t="s">
        <v>34</v>
      </c>
      <c r="I583" s="5">
        <v>44440</v>
      </c>
      <c r="J583" s="6">
        <v>3500</v>
      </c>
      <c r="K583" s="6">
        <v>3500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4" t="s">
        <v>83</v>
      </c>
      <c r="R583" s="4">
        <v>4950</v>
      </c>
      <c r="S583" s="6">
        <v>25</v>
      </c>
      <c r="T583" s="6">
        <v>0</v>
      </c>
      <c r="U583" s="6">
        <v>0</v>
      </c>
      <c r="V583" s="6">
        <f>IF(ISERROR(VLOOKUP($S$583,'TAR FIN'!$A$1:$O$116,15,0)),0,VLOOKUP($S$583,'TAR FIN'!$A$1:$O$116,15,0))</f>
        <v>27.87</v>
      </c>
      <c r="W583" s="6">
        <f>IF(ISERROR(VLOOKUP($T$583,'TAR FIN'!$A$1:$O$116,15,0)),0,VLOOKUP($T$583,'TAR FIN'!$A$1:$O$116,15,0))</f>
        <v>0</v>
      </c>
      <c r="X583" s="6">
        <f>IF(ISERROR(VLOOKUP($U$583,'TAR FIN'!$A$1:$O$116,15,0)),0,VLOOKUP($U$583,'TAR FIN'!$A$1:$O$116,15,0))</f>
        <v>0</v>
      </c>
      <c r="Y583" s="6">
        <f ca="1">('TUSD BE'!$AM$29+'TUSD BF'!$AM$29+'TUSD CVA'!$AM$29)*1</f>
        <v>33.004245120899263</v>
      </c>
      <c r="Z583" s="6">
        <f ca="1">('TUSD BE'!$AM$31+'TUSD BF'!$AM$31+'TUSD CVA'!$AM$31)*1</f>
        <v>20.832189514791409</v>
      </c>
      <c r="AA583" s="6"/>
      <c r="AB583" s="6">
        <f>$K$583*$V$583</f>
        <v>97545</v>
      </c>
      <c r="AC583" s="6">
        <f>$M$583*$W$583</f>
        <v>0</v>
      </c>
      <c r="AD583" s="6">
        <f>$O$583*$X$583</f>
        <v>0</v>
      </c>
      <c r="AE583" s="6">
        <f ca="1">$K$583*$Y$583</f>
        <v>115514.85792314741</v>
      </c>
      <c r="AF583" s="6">
        <f ca="1">$M$583*$Z$583</f>
        <v>0</v>
      </c>
      <c r="AG583" s="6">
        <f>$O$583*$AA$583</f>
        <v>0</v>
      </c>
    </row>
    <row r="584" spans="1:33" ht="11.25" customHeight="1" x14ac:dyDescent="0.25">
      <c r="A584" s="4" t="s">
        <v>21</v>
      </c>
      <c r="B584" s="4" t="s">
        <v>41</v>
      </c>
      <c r="C584" s="4" t="s">
        <v>81</v>
      </c>
      <c r="D584" s="4" t="s">
        <v>25</v>
      </c>
      <c r="E584" s="4" t="s">
        <v>25</v>
      </c>
      <c r="F584" s="4" t="s">
        <v>25</v>
      </c>
      <c r="G584" s="4" t="s">
        <v>82</v>
      </c>
      <c r="H584" s="4" t="s">
        <v>34</v>
      </c>
      <c r="I584" s="5">
        <v>44470</v>
      </c>
      <c r="J584" s="6">
        <v>3500</v>
      </c>
      <c r="K584" s="6">
        <v>3500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4" t="s">
        <v>83</v>
      </c>
      <c r="R584" s="4">
        <v>4950</v>
      </c>
      <c r="S584" s="6">
        <v>25</v>
      </c>
      <c r="T584" s="6">
        <v>0</v>
      </c>
      <c r="U584" s="6">
        <v>0</v>
      </c>
      <c r="V584" s="6">
        <f>IF(ISERROR(VLOOKUP($S$584,'TAR FIN'!$A$1:$O$116,15,0)),0,VLOOKUP($S$584,'TAR FIN'!$A$1:$O$116,15,0))</f>
        <v>27.87</v>
      </c>
      <c r="W584" s="6">
        <f>IF(ISERROR(VLOOKUP($T$584,'TAR FIN'!$A$1:$O$116,15,0)),0,VLOOKUP($T$584,'TAR FIN'!$A$1:$O$116,15,0))</f>
        <v>0</v>
      </c>
      <c r="X584" s="6">
        <f>IF(ISERROR(VLOOKUP($U$584,'TAR FIN'!$A$1:$O$116,15,0)),0,VLOOKUP($U$584,'TAR FIN'!$A$1:$O$116,15,0))</f>
        <v>0</v>
      </c>
      <c r="Y584" s="6">
        <f ca="1">('TUSD BE'!$AM$29+'TUSD BF'!$AM$29+'TUSD CVA'!$AM$29)*1</f>
        <v>33.004245120899263</v>
      </c>
      <c r="Z584" s="6">
        <f ca="1">('TUSD BE'!$AM$31+'TUSD BF'!$AM$31+'TUSD CVA'!$AM$31)*1</f>
        <v>20.832189514791409</v>
      </c>
      <c r="AA584" s="6"/>
      <c r="AB584" s="6">
        <f>$K$584*$V$584</f>
        <v>97545</v>
      </c>
      <c r="AC584" s="6">
        <f>$M$584*$W$584</f>
        <v>0</v>
      </c>
      <c r="AD584" s="6">
        <f>$O$584*$X$584</f>
        <v>0</v>
      </c>
      <c r="AE584" s="6">
        <f ca="1">$K$584*$Y$584</f>
        <v>115514.85792314741</v>
      </c>
      <c r="AF584" s="6">
        <f ca="1">$M$584*$Z$584</f>
        <v>0</v>
      </c>
      <c r="AG584" s="6">
        <f>$O$584*$AA$584</f>
        <v>0</v>
      </c>
    </row>
    <row r="585" spans="1:33" ht="11.25" customHeight="1" x14ac:dyDescent="0.25">
      <c r="A585" s="4" t="s">
        <v>21</v>
      </c>
      <c r="B585" s="4" t="s">
        <v>41</v>
      </c>
      <c r="C585" s="4" t="s">
        <v>81</v>
      </c>
      <c r="D585" s="4" t="s">
        <v>25</v>
      </c>
      <c r="E585" s="4" t="s">
        <v>25</v>
      </c>
      <c r="F585" s="4" t="s">
        <v>25</v>
      </c>
      <c r="G585" s="4" t="s">
        <v>82</v>
      </c>
      <c r="H585" s="4" t="s">
        <v>34</v>
      </c>
      <c r="I585" s="5">
        <v>44501</v>
      </c>
      <c r="J585" s="6">
        <v>3500</v>
      </c>
      <c r="K585" s="6">
        <v>3500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4" t="s">
        <v>83</v>
      </c>
      <c r="R585" s="4">
        <v>4950</v>
      </c>
      <c r="S585" s="6">
        <v>25</v>
      </c>
      <c r="T585" s="6">
        <v>0</v>
      </c>
      <c r="U585" s="6">
        <v>0</v>
      </c>
      <c r="V585" s="6">
        <f>IF(ISERROR(VLOOKUP($S$585,'TAR FIN'!$A$1:$O$116,15,0)),0,VLOOKUP($S$585,'TAR FIN'!$A$1:$O$116,15,0))</f>
        <v>27.87</v>
      </c>
      <c r="W585" s="6">
        <f>IF(ISERROR(VLOOKUP($T$585,'TAR FIN'!$A$1:$O$116,15,0)),0,VLOOKUP($T$585,'TAR FIN'!$A$1:$O$116,15,0))</f>
        <v>0</v>
      </c>
      <c r="X585" s="6">
        <f>IF(ISERROR(VLOOKUP($U$585,'TAR FIN'!$A$1:$O$116,15,0)),0,VLOOKUP($U$585,'TAR FIN'!$A$1:$O$116,15,0))</f>
        <v>0</v>
      </c>
      <c r="Y585" s="6">
        <f ca="1">('TUSD BE'!$AM$29+'TUSD BF'!$AM$29+'TUSD CVA'!$AM$29)*1</f>
        <v>33.004245120899263</v>
      </c>
      <c r="Z585" s="6">
        <f ca="1">('TUSD BE'!$AM$31+'TUSD BF'!$AM$31+'TUSD CVA'!$AM$31)*1</f>
        <v>20.832189514791409</v>
      </c>
      <c r="AA585" s="6"/>
      <c r="AB585" s="6">
        <f>$K$585*$V$585</f>
        <v>97545</v>
      </c>
      <c r="AC585" s="6">
        <f>$M$585*$W$585</f>
        <v>0</v>
      </c>
      <c r="AD585" s="6">
        <f>$O$585*$X$585</f>
        <v>0</v>
      </c>
      <c r="AE585" s="6">
        <f ca="1">$K$585*$Y$585</f>
        <v>115514.85792314741</v>
      </c>
      <c r="AF585" s="6">
        <f ca="1">$M$585*$Z$585</f>
        <v>0</v>
      </c>
      <c r="AG585" s="6">
        <f>$O$585*$AA$585</f>
        <v>0</v>
      </c>
    </row>
    <row r="586" spans="1:33" ht="11.25" customHeight="1" x14ac:dyDescent="0.25">
      <c r="A586" s="4" t="s">
        <v>21</v>
      </c>
      <c r="B586" s="4" t="s">
        <v>41</v>
      </c>
      <c r="C586" s="4" t="s">
        <v>81</v>
      </c>
      <c r="D586" s="4" t="s">
        <v>25</v>
      </c>
      <c r="E586" s="4" t="s">
        <v>25</v>
      </c>
      <c r="F586" s="4" t="s">
        <v>25</v>
      </c>
      <c r="G586" s="4" t="s">
        <v>82</v>
      </c>
      <c r="H586" s="4" t="s">
        <v>34</v>
      </c>
      <c r="I586" s="5">
        <v>44531</v>
      </c>
      <c r="J586" s="6">
        <v>3500</v>
      </c>
      <c r="K586" s="6">
        <v>3500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4" t="s">
        <v>83</v>
      </c>
      <c r="R586" s="4">
        <v>4950</v>
      </c>
      <c r="S586" s="6">
        <v>25</v>
      </c>
      <c r="T586" s="6">
        <v>0</v>
      </c>
      <c r="U586" s="6">
        <v>0</v>
      </c>
      <c r="V586" s="6">
        <f>IF(ISERROR(VLOOKUP($S$586,'TAR FIN'!$A$1:$O$116,15,0)),0,VLOOKUP($S$586,'TAR FIN'!$A$1:$O$116,15,0))</f>
        <v>27.87</v>
      </c>
      <c r="W586" s="6">
        <f>IF(ISERROR(VLOOKUP($T$586,'TAR FIN'!$A$1:$O$116,15,0)),0,VLOOKUP($T$586,'TAR FIN'!$A$1:$O$116,15,0))</f>
        <v>0</v>
      </c>
      <c r="X586" s="6">
        <f>IF(ISERROR(VLOOKUP($U$586,'TAR FIN'!$A$1:$O$116,15,0)),0,VLOOKUP($U$586,'TAR FIN'!$A$1:$O$116,15,0))</f>
        <v>0</v>
      </c>
      <c r="Y586" s="6">
        <f ca="1">('TUSD BE'!$AM$29+'TUSD BF'!$AM$29+'TUSD CVA'!$AM$29)*1</f>
        <v>33.004245120899263</v>
      </c>
      <c r="Z586" s="6">
        <f ca="1">('TUSD BE'!$AM$31+'TUSD BF'!$AM$31+'TUSD CVA'!$AM$31)*1</f>
        <v>20.832189514791409</v>
      </c>
      <c r="AA586" s="6"/>
      <c r="AB586" s="6">
        <f>$K$586*$V$586</f>
        <v>97545</v>
      </c>
      <c r="AC586" s="6">
        <f>$M$586*$W$586</f>
        <v>0</v>
      </c>
      <c r="AD586" s="6">
        <f>$O$586*$X$586</f>
        <v>0</v>
      </c>
      <c r="AE586" s="6">
        <f ca="1">$K$586*$Y$586</f>
        <v>115514.85792314741</v>
      </c>
      <c r="AF586" s="6">
        <f ca="1">$M$586*$Z$586</f>
        <v>0</v>
      </c>
      <c r="AG586" s="6">
        <f>$O$586*$AA$586</f>
        <v>0</v>
      </c>
    </row>
    <row r="587" spans="1:33" ht="11.25" customHeight="1" x14ac:dyDescent="0.25">
      <c r="A587" s="4" t="s">
        <v>21</v>
      </c>
      <c r="B587" s="4" t="s">
        <v>41</v>
      </c>
      <c r="C587" s="4" t="s">
        <v>81</v>
      </c>
      <c r="D587" s="4" t="s">
        <v>25</v>
      </c>
      <c r="E587" s="4" t="s">
        <v>25</v>
      </c>
      <c r="F587" s="4" t="s">
        <v>25</v>
      </c>
      <c r="G587" s="4" t="s">
        <v>82</v>
      </c>
      <c r="H587" s="4" t="s">
        <v>34</v>
      </c>
      <c r="I587" s="5">
        <v>44562</v>
      </c>
      <c r="J587" s="6">
        <v>3500</v>
      </c>
      <c r="K587" s="6">
        <v>3500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4" t="s">
        <v>83</v>
      </c>
      <c r="R587" s="4">
        <v>4950</v>
      </c>
      <c r="S587" s="6">
        <v>25</v>
      </c>
      <c r="T587" s="6">
        <v>0</v>
      </c>
      <c r="U587" s="6">
        <v>0</v>
      </c>
      <c r="V587" s="6">
        <f>IF(ISERROR(VLOOKUP($S$587,'TAR FIN'!$A$1:$O$116,15,0)),0,VLOOKUP($S$587,'TAR FIN'!$A$1:$O$116,15,0))</f>
        <v>27.87</v>
      </c>
      <c r="W587" s="6">
        <f>IF(ISERROR(VLOOKUP($T$587,'TAR FIN'!$A$1:$O$116,15,0)),0,VLOOKUP($T$587,'TAR FIN'!$A$1:$O$116,15,0))</f>
        <v>0</v>
      </c>
      <c r="X587" s="6">
        <f>IF(ISERROR(VLOOKUP($U$587,'TAR FIN'!$A$1:$O$116,15,0)),0,VLOOKUP($U$587,'TAR FIN'!$A$1:$O$116,15,0))</f>
        <v>0</v>
      </c>
      <c r="Y587" s="6">
        <f ca="1">('TUSD BE'!$AM$29+'TUSD BF'!$AM$29+'TUSD CVA'!$AM$29)*1</f>
        <v>33.004245120899263</v>
      </c>
      <c r="Z587" s="6">
        <f ca="1">('TUSD BE'!$AM$31+'TUSD BF'!$AM$31+'TUSD CVA'!$AM$31)*1</f>
        <v>20.832189514791409</v>
      </c>
      <c r="AA587" s="6"/>
      <c r="AB587" s="6">
        <f>$K$587*$V$587</f>
        <v>97545</v>
      </c>
      <c r="AC587" s="6">
        <f>$M$587*$W$587</f>
        <v>0</v>
      </c>
      <c r="AD587" s="6">
        <f>$O$587*$X$587</f>
        <v>0</v>
      </c>
      <c r="AE587" s="6">
        <f ca="1">$K$587*$Y$587</f>
        <v>115514.85792314741</v>
      </c>
      <c r="AF587" s="6">
        <f ca="1">$M$587*$Z$587</f>
        <v>0</v>
      </c>
      <c r="AG587" s="6">
        <f>$O$587*$AA$587</f>
        <v>0</v>
      </c>
    </row>
    <row r="588" spans="1:33" ht="11.25" customHeight="1" x14ac:dyDescent="0.25">
      <c r="A588" s="4" t="s">
        <v>21</v>
      </c>
      <c r="B588" s="4" t="s">
        <v>41</v>
      </c>
      <c r="C588" s="4" t="s">
        <v>81</v>
      </c>
      <c r="D588" s="4" t="s">
        <v>25</v>
      </c>
      <c r="E588" s="4" t="s">
        <v>25</v>
      </c>
      <c r="F588" s="4" t="s">
        <v>25</v>
      </c>
      <c r="G588" s="4" t="s">
        <v>82</v>
      </c>
      <c r="H588" s="4" t="s">
        <v>34</v>
      </c>
      <c r="I588" s="5">
        <v>44593</v>
      </c>
      <c r="J588" s="6">
        <v>3500</v>
      </c>
      <c r="K588" s="6">
        <v>3500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4" t="s">
        <v>83</v>
      </c>
      <c r="R588" s="4">
        <v>4950</v>
      </c>
      <c r="S588" s="6">
        <v>25</v>
      </c>
      <c r="T588" s="6">
        <v>0</v>
      </c>
      <c r="U588" s="6">
        <v>0</v>
      </c>
      <c r="V588" s="6">
        <f>IF(ISERROR(VLOOKUP($S$588,'TAR FIN'!$A$1:$O$116,15,0)),0,VLOOKUP($S$588,'TAR FIN'!$A$1:$O$116,15,0))</f>
        <v>27.87</v>
      </c>
      <c r="W588" s="6">
        <f>IF(ISERROR(VLOOKUP($T$588,'TAR FIN'!$A$1:$O$116,15,0)),0,VLOOKUP($T$588,'TAR FIN'!$A$1:$O$116,15,0))</f>
        <v>0</v>
      </c>
      <c r="X588" s="6">
        <f>IF(ISERROR(VLOOKUP($U$588,'TAR FIN'!$A$1:$O$116,15,0)),0,VLOOKUP($U$588,'TAR FIN'!$A$1:$O$116,15,0))</f>
        <v>0</v>
      </c>
      <c r="Y588" s="6">
        <f ca="1">('TUSD BE'!$AM$29+'TUSD BF'!$AM$29+'TUSD CVA'!$AM$29)*1</f>
        <v>33.004245120899263</v>
      </c>
      <c r="Z588" s="6">
        <f ca="1">('TUSD BE'!$AM$31+'TUSD BF'!$AM$31+'TUSD CVA'!$AM$31)*1</f>
        <v>20.832189514791409</v>
      </c>
      <c r="AA588" s="6"/>
      <c r="AB588" s="6">
        <f>$K$588*$V$588</f>
        <v>97545</v>
      </c>
      <c r="AC588" s="6">
        <f>$M$588*$W$588</f>
        <v>0</v>
      </c>
      <c r="AD588" s="6">
        <f>$O$588*$X$588</f>
        <v>0</v>
      </c>
      <c r="AE588" s="6">
        <f ca="1">$K$588*$Y$588</f>
        <v>115514.85792314741</v>
      </c>
      <c r="AF588" s="6">
        <f ca="1">$M$588*$Z$588</f>
        <v>0</v>
      </c>
      <c r="AG588" s="6">
        <f>$O$588*$AA$588</f>
        <v>0</v>
      </c>
    </row>
    <row r="589" spans="1:33" ht="11.25" customHeight="1" x14ac:dyDescent="0.25">
      <c r="A589" s="4" t="s">
        <v>21</v>
      </c>
      <c r="B589" s="4" t="s">
        <v>41</v>
      </c>
      <c r="C589" s="4" t="s">
        <v>81</v>
      </c>
      <c r="D589" s="4" t="s">
        <v>25</v>
      </c>
      <c r="E589" s="4" t="s">
        <v>25</v>
      </c>
      <c r="F589" s="4" t="s">
        <v>25</v>
      </c>
      <c r="G589" s="4" t="s">
        <v>82</v>
      </c>
      <c r="H589" s="4" t="s">
        <v>34</v>
      </c>
      <c r="I589" s="5">
        <v>44621</v>
      </c>
      <c r="J589" s="6">
        <v>3500</v>
      </c>
      <c r="K589" s="6">
        <v>3500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4" t="s">
        <v>83</v>
      </c>
      <c r="R589" s="4">
        <v>4950</v>
      </c>
      <c r="S589" s="6">
        <v>25</v>
      </c>
      <c r="T589" s="6">
        <v>0</v>
      </c>
      <c r="U589" s="6">
        <v>0</v>
      </c>
      <c r="V589" s="6">
        <f>IF(ISERROR(VLOOKUP($S$589,'TAR FIN'!$A$1:$O$116,15,0)),0,VLOOKUP($S$589,'TAR FIN'!$A$1:$O$116,15,0))</f>
        <v>27.87</v>
      </c>
      <c r="W589" s="6">
        <f>IF(ISERROR(VLOOKUP($T$589,'TAR FIN'!$A$1:$O$116,15,0)),0,VLOOKUP($T$589,'TAR FIN'!$A$1:$O$116,15,0))</f>
        <v>0</v>
      </c>
      <c r="X589" s="6">
        <f>IF(ISERROR(VLOOKUP($U$589,'TAR FIN'!$A$1:$O$116,15,0)),0,VLOOKUP($U$589,'TAR FIN'!$A$1:$O$116,15,0))</f>
        <v>0</v>
      </c>
      <c r="Y589" s="6">
        <f ca="1">('TUSD BE'!$AM$29+'TUSD BF'!$AM$29+'TUSD CVA'!$AM$29)*1</f>
        <v>33.004245120899263</v>
      </c>
      <c r="Z589" s="6">
        <f ca="1">('TUSD BE'!$AM$31+'TUSD BF'!$AM$31+'TUSD CVA'!$AM$31)*1</f>
        <v>20.832189514791409</v>
      </c>
      <c r="AA589" s="6"/>
      <c r="AB589" s="6">
        <f>$K$589*$V$589</f>
        <v>97545</v>
      </c>
      <c r="AC589" s="6">
        <f>$M$589*$W$589</f>
        <v>0</v>
      </c>
      <c r="AD589" s="6">
        <f>$O$589*$X$589</f>
        <v>0</v>
      </c>
      <c r="AE589" s="6">
        <f ca="1">$K$589*$Y$589</f>
        <v>115514.85792314741</v>
      </c>
      <c r="AF589" s="6">
        <f ca="1">$M$589*$Z$589</f>
        <v>0</v>
      </c>
      <c r="AG589" s="6">
        <f>$O$589*$AA$589</f>
        <v>0</v>
      </c>
    </row>
    <row r="590" spans="1:33" ht="11.25" customHeight="1" x14ac:dyDescent="0.25">
      <c r="A590" s="4" t="s">
        <v>21</v>
      </c>
      <c r="B590" s="4" t="s">
        <v>41</v>
      </c>
      <c r="C590" s="4" t="s">
        <v>81</v>
      </c>
      <c r="D590" s="4" t="s">
        <v>25</v>
      </c>
      <c r="E590" s="4" t="s">
        <v>25</v>
      </c>
      <c r="F590" s="4" t="s">
        <v>25</v>
      </c>
      <c r="G590" s="4" t="s">
        <v>82</v>
      </c>
      <c r="H590" s="4" t="s">
        <v>34</v>
      </c>
      <c r="I590" s="5">
        <v>44652</v>
      </c>
      <c r="J590" s="6">
        <v>3500</v>
      </c>
      <c r="K590" s="6">
        <v>3500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4" t="s">
        <v>83</v>
      </c>
      <c r="R590" s="4">
        <v>4950</v>
      </c>
      <c r="S590" s="6">
        <v>25</v>
      </c>
      <c r="T590" s="6">
        <v>0</v>
      </c>
      <c r="U590" s="6">
        <v>0</v>
      </c>
      <c r="V590" s="6">
        <f>IF(ISERROR(VLOOKUP($S$590,'TAR FIN'!$A$1:$O$116,15,0)),0,VLOOKUP($S$590,'TAR FIN'!$A$1:$O$116,15,0))</f>
        <v>27.87</v>
      </c>
      <c r="W590" s="6">
        <f>IF(ISERROR(VLOOKUP($T$590,'TAR FIN'!$A$1:$O$116,15,0)),0,VLOOKUP($T$590,'TAR FIN'!$A$1:$O$116,15,0))</f>
        <v>0</v>
      </c>
      <c r="X590" s="6">
        <f>IF(ISERROR(VLOOKUP($U$590,'TAR FIN'!$A$1:$O$116,15,0)),0,VLOOKUP($U$590,'TAR FIN'!$A$1:$O$116,15,0))</f>
        <v>0</v>
      </c>
      <c r="Y590" s="6">
        <f ca="1">('TUSD BE'!$AM$29+'TUSD BF'!$AM$29+'TUSD CVA'!$AM$29)*1</f>
        <v>33.004245120899263</v>
      </c>
      <c r="Z590" s="6">
        <f ca="1">('TUSD BE'!$AM$31+'TUSD BF'!$AM$31+'TUSD CVA'!$AM$31)*1</f>
        <v>20.832189514791409</v>
      </c>
      <c r="AA590" s="6"/>
      <c r="AB590" s="6">
        <f>$K$590*$V$590</f>
        <v>97545</v>
      </c>
      <c r="AC590" s="6">
        <f>$M$590*$W$590</f>
        <v>0</v>
      </c>
      <c r="AD590" s="6">
        <f>$O$590*$X$590</f>
        <v>0</v>
      </c>
      <c r="AE590" s="6">
        <f ca="1">$K$590*$Y$590</f>
        <v>115514.85792314741</v>
      </c>
      <c r="AF590" s="6">
        <f ca="1">$M$590*$Z$590</f>
        <v>0</v>
      </c>
      <c r="AG590" s="6">
        <f>$O$590*$AA$590</f>
        <v>0</v>
      </c>
    </row>
    <row r="591" spans="1:33" ht="11.25" customHeight="1" x14ac:dyDescent="0.25">
      <c r="A591" s="4" t="s">
        <v>58</v>
      </c>
      <c r="B591" s="4" t="s">
        <v>41</v>
      </c>
      <c r="C591" s="4" t="s">
        <v>81</v>
      </c>
      <c r="D591" s="4" t="s">
        <v>25</v>
      </c>
      <c r="E591" s="4" t="s">
        <v>25</v>
      </c>
      <c r="F591" s="4" t="s">
        <v>25</v>
      </c>
      <c r="G591" s="4" t="s">
        <v>82</v>
      </c>
      <c r="H591" s="4" t="s">
        <v>34</v>
      </c>
      <c r="I591" s="5">
        <v>44682</v>
      </c>
      <c r="J591" s="6">
        <v>3500</v>
      </c>
      <c r="K591" s="6">
        <v>3500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4" t="s">
        <v>83</v>
      </c>
      <c r="R591" s="4">
        <v>4950</v>
      </c>
      <c r="S591" s="6">
        <v>25</v>
      </c>
      <c r="T591" s="6">
        <v>0</v>
      </c>
      <c r="U591" s="6">
        <v>0</v>
      </c>
      <c r="V591" s="6">
        <f>IF(ISERROR(VLOOKUP($S$591,'TAR FIN'!$A$1:$O$116,15,0)),0,VLOOKUP($S$591,'TAR FIN'!$A$1:$O$116,15,0))</f>
        <v>27.87</v>
      </c>
      <c r="W591" s="6">
        <f>IF(ISERROR(VLOOKUP($T$591,'TAR FIN'!$A$1:$O$116,15,0)),0,VLOOKUP($T$591,'TAR FIN'!$A$1:$O$116,15,0))</f>
        <v>0</v>
      </c>
      <c r="X591" s="6">
        <f>IF(ISERROR(VLOOKUP($U$591,'TAR FIN'!$A$1:$O$116,15,0)),0,VLOOKUP($U$591,'TAR FIN'!$A$1:$O$116,15,0))</f>
        <v>0</v>
      </c>
      <c r="Y591" s="6">
        <f ca="1">('TUSD BE'!$AM$29+'TUSD BF'!$AM$29+'TUSD CVA'!$AM$29)*1</f>
        <v>33.004245120899263</v>
      </c>
      <c r="Z591" s="6">
        <f ca="1">('TUSD BE'!$AM$31+'TUSD BF'!$AM$31+'TUSD CVA'!$AM$31)*1</f>
        <v>20.832189514791409</v>
      </c>
      <c r="AA591" s="6"/>
      <c r="AB591" s="6">
        <f>$K$591*$V$591</f>
        <v>97545</v>
      </c>
      <c r="AC591" s="6">
        <f>$M$591*$W$591</f>
        <v>0</v>
      </c>
      <c r="AD591" s="6">
        <f>$O$591*$X$591</f>
        <v>0</v>
      </c>
      <c r="AE591" s="6">
        <f ca="1">$K$591*$Y$591</f>
        <v>115514.85792314741</v>
      </c>
      <c r="AF591" s="6">
        <f ca="1">$M$591*$Z$591</f>
        <v>0</v>
      </c>
      <c r="AG591" s="6">
        <f>$O$591*$AA$591</f>
        <v>0</v>
      </c>
    </row>
    <row r="592" spans="1:33" ht="11.25" customHeight="1" x14ac:dyDescent="0.25">
      <c r="A592" s="4" t="s">
        <v>21</v>
      </c>
      <c r="B592" s="4" t="s">
        <v>41</v>
      </c>
      <c r="C592" s="4" t="s">
        <v>64</v>
      </c>
      <c r="D592" s="4" t="s">
        <v>25</v>
      </c>
      <c r="E592" s="4" t="s">
        <v>25</v>
      </c>
      <c r="F592" s="4" t="s">
        <v>25</v>
      </c>
      <c r="G592" s="4" t="s">
        <v>68</v>
      </c>
      <c r="H592" s="4" t="s">
        <v>25</v>
      </c>
      <c r="I592" s="5">
        <v>44348</v>
      </c>
      <c r="J592" s="6">
        <v>302</v>
      </c>
      <c r="K592" s="6">
        <v>302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4" t="s">
        <v>66</v>
      </c>
      <c r="R592" s="4">
        <v>404</v>
      </c>
      <c r="S592" s="6">
        <v>28</v>
      </c>
      <c r="T592" s="6">
        <v>0</v>
      </c>
      <c r="U592" s="6">
        <v>0</v>
      </c>
      <c r="V592" s="6">
        <f>IF(ISERROR(VLOOKUP($S$592,'TAR FIN'!$A$1:$O$116,15,0)),0,VLOOKUP($S$592,'TAR FIN'!$A$1:$O$116,15,0))</f>
        <v>15.24</v>
      </c>
      <c r="W592" s="6">
        <f>IF(ISERROR(VLOOKUP($T$592,'TAR FIN'!$A$1:$O$116,15,0)),0,VLOOKUP($T$592,'TAR FIN'!$A$1:$O$116,15,0))</f>
        <v>0</v>
      </c>
      <c r="X592" s="6">
        <f>IF(ISERROR(VLOOKUP($U$592,'TAR FIN'!$A$1:$O$116,15,0)),0,VLOOKUP($U$592,'TAR FIN'!$A$1:$O$116,15,0))</f>
        <v>0</v>
      </c>
      <c r="Y592" s="6">
        <f ca="1">('TUSD BE'!$AM$32+'TUSD BF'!$AM$32+'TUSD CVA'!$AM$32)*1</f>
        <v>17.138874075124019</v>
      </c>
      <c r="Z592" s="6"/>
      <c r="AA592" s="6"/>
      <c r="AB592" s="6">
        <f>$K$592*$V$592</f>
        <v>4602.4800000000005</v>
      </c>
      <c r="AC592" s="6">
        <f>$M$592*$W$592</f>
        <v>0</v>
      </c>
      <c r="AD592" s="6">
        <f>$O$592*$X$592</f>
        <v>0</v>
      </c>
      <c r="AE592" s="6">
        <f ca="1">$K$592*$Y$592</f>
        <v>5175.9399706874538</v>
      </c>
      <c r="AF592" s="6">
        <f>$M$592*$Z$592</f>
        <v>0</v>
      </c>
      <c r="AG592" s="6">
        <f>$O$592*$AA$592</f>
        <v>0</v>
      </c>
    </row>
    <row r="593" spans="1:33" ht="11.25" customHeight="1" x14ac:dyDescent="0.25">
      <c r="A593" s="4" t="s">
        <v>21</v>
      </c>
      <c r="B593" s="4" t="s">
        <v>41</v>
      </c>
      <c r="C593" s="4" t="s">
        <v>64</v>
      </c>
      <c r="D593" s="4" t="s">
        <v>25</v>
      </c>
      <c r="E593" s="4" t="s">
        <v>25</v>
      </c>
      <c r="F593" s="4" t="s">
        <v>25</v>
      </c>
      <c r="G593" s="4" t="s">
        <v>70</v>
      </c>
      <c r="H593" s="4" t="s">
        <v>25</v>
      </c>
      <c r="I593" s="5">
        <v>44348</v>
      </c>
      <c r="J593" s="6">
        <v>5040</v>
      </c>
      <c r="K593" s="6">
        <v>5040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4" t="s">
        <v>66</v>
      </c>
      <c r="R593" s="4">
        <v>838</v>
      </c>
      <c r="S593" s="6">
        <v>28</v>
      </c>
      <c r="T593" s="6">
        <v>0</v>
      </c>
      <c r="U593" s="6">
        <v>0</v>
      </c>
      <c r="V593" s="6">
        <f>IF(ISERROR(VLOOKUP($S$593,'TAR FIN'!$A$1:$O$116,15,0)),0,VLOOKUP($S$593,'TAR FIN'!$A$1:$O$116,15,0))</f>
        <v>15.24</v>
      </c>
      <c r="W593" s="6">
        <f>IF(ISERROR(VLOOKUP($T$593,'TAR FIN'!$A$1:$O$116,15,0)),0,VLOOKUP($T$593,'TAR FIN'!$A$1:$O$116,15,0))</f>
        <v>0</v>
      </c>
      <c r="X593" s="6">
        <f>IF(ISERROR(VLOOKUP($U$593,'TAR FIN'!$A$1:$O$116,15,0)),0,VLOOKUP($U$593,'TAR FIN'!$A$1:$O$116,15,0))</f>
        <v>0</v>
      </c>
      <c r="Y593" s="6">
        <f ca="1">('TUSD BE'!$AM$32+'TUSD BF'!$AM$32+'TUSD CVA'!$AM$32)*1</f>
        <v>17.138874075124019</v>
      </c>
      <c r="Z593" s="6"/>
      <c r="AA593" s="6"/>
      <c r="AB593" s="6">
        <f>$K$593*$V$593</f>
        <v>76809.600000000006</v>
      </c>
      <c r="AC593" s="6">
        <f>$M$593*$W$593</f>
        <v>0</v>
      </c>
      <c r="AD593" s="6">
        <f>$O$593*$X$593</f>
        <v>0</v>
      </c>
      <c r="AE593" s="6">
        <f ca="1">$K$593*$Y$593</f>
        <v>86379.925338625049</v>
      </c>
      <c r="AF593" s="6">
        <f>$M$593*$Z$593</f>
        <v>0</v>
      </c>
      <c r="AG593" s="6">
        <f>$O$593*$AA$593</f>
        <v>0</v>
      </c>
    </row>
    <row r="594" spans="1:33" ht="11.25" customHeight="1" x14ac:dyDescent="0.25">
      <c r="A594" s="4" t="s">
        <v>21</v>
      </c>
      <c r="B594" s="4" t="s">
        <v>41</v>
      </c>
      <c r="C594" s="4" t="s">
        <v>64</v>
      </c>
      <c r="D594" s="4" t="s">
        <v>25</v>
      </c>
      <c r="E594" s="4" t="s">
        <v>25</v>
      </c>
      <c r="F594" s="4" t="s">
        <v>25</v>
      </c>
      <c r="G594" s="4" t="s">
        <v>74</v>
      </c>
      <c r="H594" s="4" t="s">
        <v>25</v>
      </c>
      <c r="I594" s="5">
        <v>44348</v>
      </c>
      <c r="J594" s="6">
        <v>3800</v>
      </c>
      <c r="K594" s="6">
        <v>1900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4" t="s">
        <v>66</v>
      </c>
      <c r="R594" s="4">
        <v>1192</v>
      </c>
      <c r="S594" s="6">
        <v>28</v>
      </c>
      <c r="T594" s="6">
        <v>0</v>
      </c>
      <c r="U594" s="6">
        <v>0</v>
      </c>
      <c r="V594" s="6">
        <f>IF(ISERROR(VLOOKUP($S$594,'TAR FIN'!$A$1:$O$116,15,0)),0,VLOOKUP($S$594,'TAR FIN'!$A$1:$O$116,15,0))</f>
        <v>15.24</v>
      </c>
      <c r="W594" s="6">
        <f>IF(ISERROR(VLOOKUP($T$594,'TAR FIN'!$A$1:$O$116,15,0)),0,VLOOKUP($T$594,'TAR FIN'!$A$1:$O$116,15,0))</f>
        <v>0</v>
      </c>
      <c r="X594" s="6">
        <f>IF(ISERROR(VLOOKUP($U$594,'TAR FIN'!$A$1:$O$116,15,0)),0,VLOOKUP($U$594,'TAR FIN'!$A$1:$O$116,15,0))</f>
        <v>0</v>
      </c>
      <c r="Y594" s="6">
        <f ca="1">('TUSD BE'!$AM$32+'TUSD BF'!$AM$32+'TUSD CVA'!$AM$32)*1</f>
        <v>17.138874075124019</v>
      </c>
      <c r="Z594" s="6"/>
      <c r="AA594" s="6"/>
      <c r="AB594" s="6">
        <f>$K$594*$V$594</f>
        <v>28956</v>
      </c>
      <c r="AC594" s="6">
        <f>$M$594*$W$594</f>
        <v>0</v>
      </c>
      <c r="AD594" s="6">
        <f>$O$594*$X$594</f>
        <v>0</v>
      </c>
      <c r="AE594" s="6">
        <f ca="1">$K$594*$Y$594</f>
        <v>32563.860742735636</v>
      </c>
      <c r="AF594" s="6">
        <f>$M$594*$Z$594</f>
        <v>0</v>
      </c>
      <c r="AG594" s="6">
        <f>$O$594*$AA$594</f>
        <v>0</v>
      </c>
    </row>
    <row r="595" spans="1:33" ht="11.25" customHeight="1" x14ac:dyDescent="0.25">
      <c r="A595" s="4" t="s">
        <v>21</v>
      </c>
      <c r="B595" s="4" t="s">
        <v>41</v>
      </c>
      <c r="C595" s="4" t="s">
        <v>64</v>
      </c>
      <c r="D595" s="4" t="s">
        <v>25</v>
      </c>
      <c r="E595" s="4" t="s">
        <v>25</v>
      </c>
      <c r="F595" s="4" t="s">
        <v>25</v>
      </c>
      <c r="G595" s="4" t="s">
        <v>76</v>
      </c>
      <c r="H595" s="4" t="s">
        <v>25</v>
      </c>
      <c r="I595" s="5">
        <v>44348</v>
      </c>
      <c r="J595" s="6">
        <v>480</v>
      </c>
      <c r="K595" s="6">
        <v>480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4" t="s">
        <v>66</v>
      </c>
      <c r="R595" s="4">
        <v>1438</v>
      </c>
      <c r="S595" s="6">
        <v>28</v>
      </c>
      <c r="T595" s="6">
        <v>0</v>
      </c>
      <c r="U595" s="6">
        <v>0</v>
      </c>
      <c r="V595" s="6">
        <f>IF(ISERROR(VLOOKUP($S$595,'TAR FIN'!$A$1:$O$116,15,0)),0,VLOOKUP($S$595,'TAR FIN'!$A$1:$O$116,15,0))</f>
        <v>15.24</v>
      </c>
      <c r="W595" s="6">
        <f>IF(ISERROR(VLOOKUP($T$595,'TAR FIN'!$A$1:$O$116,15,0)),0,VLOOKUP($T$595,'TAR FIN'!$A$1:$O$116,15,0))</f>
        <v>0</v>
      </c>
      <c r="X595" s="6">
        <f>IF(ISERROR(VLOOKUP($U$595,'TAR FIN'!$A$1:$O$116,15,0)),0,VLOOKUP($U$595,'TAR FIN'!$A$1:$O$116,15,0))</f>
        <v>0</v>
      </c>
      <c r="Y595" s="6">
        <f ca="1">('TUSD BE'!$AM$32+'TUSD BF'!$AM$32+'TUSD CVA'!$AM$32)*1</f>
        <v>17.138874075124019</v>
      </c>
      <c r="Z595" s="6"/>
      <c r="AA595" s="6"/>
      <c r="AB595" s="6">
        <f>$K$595*$V$595</f>
        <v>7315.2</v>
      </c>
      <c r="AC595" s="6">
        <f>$M$595*$W$595</f>
        <v>0</v>
      </c>
      <c r="AD595" s="6">
        <f>$O$595*$X$595</f>
        <v>0</v>
      </c>
      <c r="AE595" s="6">
        <f ca="1">$K$595*$Y$595</f>
        <v>8226.6595560595288</v>
      </c>
      <c r="AF595" s="6">
        <f>$M$595*$Z$595</f>
        <v>0</v>
      </c>
      <c r="AG595" s="6">
        <f>$O$595*$AA$595</f>
        <v>0</v>
      </c>
    </row>
    <row r="596" spans="1:33" ht="11.25" customHeight="1" x14ac:dyDescent="0.25">
      <c r="A596" s="4" t="s">
        <v>21</v>
      </c>
      <c r="B596" s="4" t="s">
        <v>41</v>
      </c>
      <c r="C596" s="4" t="s">
        <v>64</v>
      </c>
      <c r="D596" s="4" t="s">
        <v>25</v>
      </c>
      <c r="E596" s="4" t="s">
        <v>25</v>
      </c>
      <c r="F596" s="4" t="s">
        <v>25</v>
      </c>
      <c r="G596" s="4" t="s">
        <v>77</v>
      </c>
      <c r="H596" s="4" t="s">
        <v>25</v>
      </c>
      <c r="I596" s="5">
        <v>44348</v>
      </c>
      <c r="J596" s="6">
        <v>736</v>
      </c>
      <c r="K596" s="6">
        <v>736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4" t="s">
        <v>66</v>
      </c>
      <c r="R596" s="4">
        <v>1462</v>
      </c>
      <c r="S596" s="6">
        <v>28</v>
      </c>
      <c r="T596" s="6">
        <v>0</v>
      </c>
      <c r="U596" s="6">
        <v>0</v>
      </c>
      <c r="V596" s="6">
        <f>IF(ISERROR(VLOOKUP($S$596,'TAR FIN'!$A$1:$O$116,15,0)),0,VLOOKUP($S$596,'TAR FIN'!$A$1:$O$116,15,0))</f>
        <v>15.24</v>
      </c>
      <c r="W596" s="6">
        <f>IF(ISERROR(VLOOKUP($T$596,'TAR FIN'!$A$1:$O$116,15,0)),0,VLOOKUP($T$596,'TAR FIN'!$A$1:$O$116,15,0))</f>
        <v>0</v>
      </c>
      <c r="X596" s="6">
        <f>IF(ISERROR(VLOOKUP($U$596,'TAR FIN'!$A$1:$O$116,15,0)),0,VLOOKUP($U$596,'TAR FIN'!$A$1:$O$116,15,0))</f>
        <v>0</v>
      </c>
      <c r="Y596" s="6">
        <f ca="1">('TUSD BE'!$AM$32+'TUSD BF'!$AM$32+'TUSD CVA'!$AM$32)*1</f>
        <v>17.138874075124019</v>
      </c>
      <c r="Z596" s="6"/>
      <c r="AA596" s="6"/>
      <c r="AB596" s="6">
        <f>$K$596*$V$596</f>
        <v>11216.64</v>
      </c>
      <c r="AC596" s="6">
        <f>$M$596*$W$596</f>
        <v>0</v>
      </c>
      <c r="AD596" s="6">
        <f>$O$596*$X$596</f>
        <v>0</v>
      </c>
      <c r="AE596" s="6">
        <f ca="1">$K$596*$Y$596</f>
        <v>12614.211319291278</v>
      </c>
      <c r="AF596" s="6">
        <f>$M$596*$Z$596</f>
        <v>0</v>
      </c>
      <c r="AG596" s="6">
        <f>$O$596*$AA$596</f>
        <v>0</v>
      </c>
    </row>
    <row r="597" spans="1:33" ht="11.25" customHeight="1" x14ac:dyDescent="0.25">
      <c r="A597" s="4" t="s">
        <v>21</v>
      </c>
      <c r="B597" s="4" t="s">
        <v>41</v>
      </c>
      <c r="C597" s="4" t="s">
        <v>64</v>
      </c>
      <c r="D597" s="4" t="s">
        <v>25</v>
      </c>
      <c r="E597" s="4" t="s">
        <v>25</v>
      </c>
      <c r="F597" s="4" t="s">
        <v>25</v>
      </c>
      <c r="G597" s="4" t="s">
        <v>78</v>
      </c>
      <c r="H597" s="4" t="s">
        <v>25</v>
      </c>
      <c r="I597" s="5">
        <v>44348</v>
      </c>
      <c r="J597" s="6">
        <v>6460</v>
      </c>
      <c r="K597" s="6">
        <v>6460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4" t="s">
        <v>66</v>
      </c>
      <c r="R597" s="4">
        <v>1533</v>
      </c>
      <c r="S597" s="6">
        <v>28</v>
      </c>
      <c r="T597" s="6">
        <v>0</v>
      </c>
      <c r="U597" s="6">
        <v>0</v>
      </c>
      <c r="V597" s="6">
        <f>IF(ISERROR(VLOOKUP($S$597,'TAR FIN'!$A$1:$O$116,15,0)),0,VLOOKUP($S$597,'TAR FIN'!$A$1:$O$116,15,0))</f>
        <v>15.24</v>
      </c>
      <c r="W597" s="6">
        <f>IF(ISERROR(VLOOKUP($T$597,'TAR FIN'!$A$1:$O$116,15,0)),0,VLOOKUP($T$597,'TAR FIN'!$A$1:$O$116,15,0))</f>
        <v>0</v>
      </c>
      <c r="X597" s="6">
        <f>IF(ISERROR(VLOOKUP($U$597,'TAR FIN'!$A$1:$O$116,15,0)),0,VLOOKUP($U$597,'TAR FIN'!$A$1:$O$116,15,0))</f>
        <v>0</v>
      </c>
      <c r="Y597" s="6">
        <f ca="1">('TUSD BE'!$AM$32+'TUSD BF'!$AM$32+'TUSD CVA'!$AM$32)*1</f>
        <v>17.138874075124019</v>
      </c>
      <c r="Z597" s="6"/>
      <c r="AA597" s="6"/>
      <c r="AB597" s="6">
        <f>$K$597*$V$597</f>
        <v>98450.4</v>
      </c>
      <c r="AC597" s="6">
        <f>$M$597*$W$597</f>
        <v>0</v>
      </c>
      <c r="AD597" s="6">
        <f>$O$597*$X$597</f>
        <v>0</v>
      </c>
      <c r="AE597" s="6">
        <f ca="1">$K$597*$Y$597</f>
        <v>110717.12652530117</v>
      </c>
      <c r="AF597" s="6">
        <f>$M$597*$Z$597</f>
        <v>0</v>
      </c>
      <c r="AG597" s="6">
        <f>$O$597*$AA$597</f>
        <v>0</v>
      </c>
    </row>
    <row r="598" spans="1:33" ht="11.25" customHeight="1" x14ac:dyDescent="0.25">
      <c r="A598" s="4" t="s">
        <v>21</v>
      </c>
      <c r="B598" s="4" t="s">
        <v>41</v>
      </c>
      <c r="C598" s="4" t="s">
        <v>64</v>
      </c>
      <c r="D598" s="4" t="s">
        <v>25</v>
      </c>
      <c r="E598" s="4" t="s">
        <v>25</v>
      </c>
      <c r="F598" s="4" t="s">
        <v>25</v>
      </c>
      <c r="G598" s="4" t="s">
        <v>79</v>
      </c>
      <c r="H598" s="4" t="s">
        <v>25</v>
      </c>
      <c r="I598" s="5">
        <v>44348</v>
      </c>
      <c r="J598" s="6">
        <v>770</v>
      </c>
      <c r="K598" s="6">
        <v>770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4" t="s">
        <v>66</v>
      </c>
      <c r="R598" s="4">
        <v>2535</v>
      </c>
      <c r="S598" s="6">
        <v>28</v>
      </c>
      <c r="T598" s="6">
        <v>0</v>
      </c>
      <c r="U598" s="6">
        <v>0</v>
      </c>
      <c r="V598" s="6">
        <f>IF(ISERROR(VLOOKUP($S$598,'TAR FIN'!$A$1:$O$116,15,0)),0,VLOOKUP($S$598,'TAR FIN'!$A$1:$O$116,15,0))</f>
        <v>15.24</v>
      </c>
      <c r="W598" s="6">
        <f>IF(ISERROR(VLOOKUP($T$598,'TAR FIN'!$A$1:$O$116,15,0)),0,VLOOKUP($T$598,'TAR FIN'!$A$1:$O$116,15,0))</f>
        <v>0</v>
      </c>
      <c r="X598" s="6">
        <f>IF(ISERROR(VLOOKUP($U$598,'TAR FIN'!$A$1:$O$116,15,0)),0,VLOOKUP($U$598,'TAR FIN'!$A$1:$O$116,15,0))</f>
        <v>0</v>
      </c>
      <c r="Y598" s="6">
        <f ca="1">('TUSD BE'!$AM$32+'TUSD BF'!$AM$32+'TUSD CVA'!$AM$32)*1</f>
        <v>17.138874075124019</v>
      </c>
      <c r="Z598" s="6"/>
      <c r="AA598" s="6"/>
      <c r="AB598" s="6">
        <f>$K$598*$V$598</f>
        <v>11734.8</v>
      </c>
      <c r="AC598" s="6">
        <f>$M$598*$W$598</f>
        <v>0</v>
      </c>
      <c r="AD598" s="6">
        <f>$O$598*$X$598</f>
        <v>0</v>
      </c>
      <c r="AE598" s="6">
        <f ca="1">$K$598*$Y$598</f>
        <v>13196.933037845494</v>
      </c>
      <c r="AF598" s="6">
        <f>$M$598*$Z$598</f>
        <v>0</v>
      </c>
      <c r="AG598" s="6">
        <f>$O$598*$AA$598</f>
        <v>0</v>
      </c>
    </row>
    <row r="599" spans="1:33" ht="11.25" customHeight="1" x14ac:dyDescent="0.25">
      <c r="A599" s="4" t="s">
        <v>21</v>
      </c>
      <c r="B599" s="4" t="s">
        <v>41</v>
      </c>
      <c r="C599" s="4" t="s">
        <v>64</v>
      </c>
      <c r="D599" s="4" t="s">
        <v>25</v>
      </c>
      <c r="E599" s="4" t="s">
        <v>25</v>
      </c>
      <c r="F599" s="4" t="s">
        <v>25</v>
      </c>
      <c r="G599" s="4" t="s">
        <v>80</v>
      </c>
      <c r="H599" s="4" t="s">
        <v>25</v>
      </c>
      <c r="I599" s="5">
        <v>44348</v>
      </c>
      <c r="J599" s="6">
        <v>1416</v>
      </c>
      <c r="K599" s="6">
        <v>1416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4" t="s">
        <v>66</v>
      </c>
      <c r="R599" s="4">
        <v>2751</v>
      </c>
      <c r="S599" s="6">
        <v>28</v>
      </c>
      <c r="T599" s="6">
        <v>0</v>
      </c>
      <c r="U599" s="6">
        <v>0</v>
      </c>
      <c r="V599" s="6">
        <f>IF(ISERROR(VLOOKUP($S$599,'TAR FIN'!$A$1:$O$116,15,0)),0,VLOOKUP($S$599,'TAR FIN'!$A$1:$O$116,15,0))</f>
        <v>15.24</v>
      </c>
      <c r="W599" s="6">
        <f>IF(ISERROR(VLOOKUP($T$599,'TAR FIN'!$A$1:$O$116,15,0)),0,VLOOKUP($T$599,'TAR FIN'!$A$1:$O$116,15,0))</f>
        <v>0</v>
      </c>
      <c r="X599" s="6">
        <f>IF(ISERROR(VLOOKUP($U$599,'TAR FIN'!$A$1:$O$116,15,0)),0,VLOOKUP($U$599,'TAR FIN'!$A$1:$O$116,15,0))</f>
        <v>0</v>
      </c>
      <c r="Y599" s="6">
        <f ca="1">('TUSD BE'!$AM$32+'TUSD BF'!$AM$32+'TUSD CVA'!$AM$32)*1</f>
        <v>17.138874075124019</v>
      </c>
      <c r="Z599" s="6"/>
      <c r="AA599" s="6"/>
      <c r="AB599" s="6">
        <f>$K$599*$V$599</f>
        <v>21579.84</v>
      </c>
      <c r="AC599" s="6">
        <f>$M$599*$W$599</f>
        <v>0</v>
      </c>
      <c r="AD599" s="6">
        <f>$O$599*$X$599</f>
        <v>0</v>
      </c>
      <c r="AE599" s="6">
        <f ca="1">$K$599*$Y$599</f>
        <v>24268.645690375612</v>
      </c>
      <c r="AF599" s="6">
        <f>$M$599*$Z$599</f>
        <v>0</v>
      </c>
      <c r="AG599" s="6">
        <f>$O$599*$AA$599</f>
        <v>0</v>
      </c>
    </row>
    <row r="600" spans="1:33" ht="11.25" customHeight="1" x14ac:dyDescent="0.25">
      <c r="A600" s="4" t="s">
        <v>21</v>
      </c>
      <c r="B600" s="4" t="s">
        <v>41</v>
      </c>
      <c r="C600" s="4" t="s">
        <v>64</v>
      </c>
      <c r="D600" s="4" t="s">
        <v>25</v>
      </c>
      <c r="E600" s="4" t="s">
        <v>25</v>
      </c>
      <c r="F600" s="4" t="s">
        <v>25</v>
      </c>
      <c r="G600" s="4" t="s">
        <v>88</v>
      </c>
      <c r="H600" s="4" t="s">
        <v>25</v>
      </c>
      <c r="I600" s="5">
        <v>44348</v>
      </c>
      <c r="J600" s="6">
        <v>9500</v>
      </c>
      <c r="K600" s="6">
        <v>4750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4" t="s">
        <v>66</v>
      </c>
      <c r="R600" s="4">
        <v>27722</v>
      </c>
      <c r="S600" s="6">
        <v>28</v>
      </c>
      <c r="T600" s="6">
        <v>0</v>
      </c>
      <c r="U600" s="6">
        <v>0</v>
      </c>
      <c r="V600" s="6">
        <f>IF(ISERROR(VLOOKUP($S$600,'TAR FIN'!$A$1:$O$116,15,0)),0,VLOOKUP($S$600,'TAR FIN'!$A$1:$O$116,15,0))</f>
        <v>15.24</v>
      </c>
      <c r="W600" s="6">
        <f>IF(ISERROR(VLOOKUP($T$600,'TAR FIN'!$A$1:$O$116,15,0)),0,VLOOKUP($T$600,'TAR FIN'!$A$1:$O$116,15,0))</f>
        <v>0</v>
      </c>
      <c r="X600" s="6">
        <f>IF(ISERROR(VLOOKUP($U$600,'TAR FIN'!$A$1:$O$116,15,0)),0,VLOOKUP($U$600,'TAR FIN'!$A$1:$O$116,15,0))</f>
        <v>0</v>
      </c>
      <c r="Y600" s="6">
        <f ca="1">('TUSD BE'!$AM$32+'TUSD BF'!$AM$32+'TUSD CVA'!$AM$32)*1</f>
        <v>17.138874075124019</v>
      </c>
      <c r="Z600" s="6"/>
      <c r="AA600" s="6"/>
      <c r="AB600" s="6">
        <f>$K$600*$V$600</f>
        <v>72390</v>
      </c>
      <c r="AC600" s="6">
        <f>$M$600*$W$600</f>
        <v>0</v>
      </c>
      <c r="AD600" s="6">
        <f>$O$600*$X$600</f>
        <v>0</v>
      </c>
      <c r="AE600" s="6">
        <f ca="1">$K$600*$Y$600</f>
        <v>81409.651856839089</v>
      </c>
      <c r="AF600" s="6">
        <f>$M$600*$Z$600</f>
        <v>0</v>
      </c>
      <c r="AG600" s="6">
        <f>$O$600*$AA$600</f>
        <v>0</v>
      </c>
    </row>
    <row r="601" spans="1:33" ht="11.25" customHeight="1" x14ac:dyDescent="0.25">
      <c r="A601" s="4" t="s">
        <v>21</v>
      </c>
      <c r="B601" s="4" t="s">
        <v>41</v>
      </c>
      <c r="C601" s="4" t="s">
        <v>64</v>
      </c>
      <c r="D601" s="4" t="s">
        <v>25</v>
      </c>
      <c r="E601" s="4" t="s">
        <v>25</v>
      </c>
      <c r="F601" s="4" t="s">
        <v>25</v>
      </c>
      <c r="G601" s="4" t="s">
        <v>90</v>
      </c>
      <c r="H601" s="4" t="s">
        <v>25</v>
      </c>
      <c r="I601" s="5">
        <v>44348</v>
      </c>
      <c r="J601" s="6">
        <v>420</v>
      </c>
      <c r="K601" s="6">
        <v>420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4" t="s">
        <v>66</v>
      </c>
      <c r="R601" s="4">
        <v>27928</v>
      </c>
      <c r="S601" s="6">
        <v>28</v>
      </c>
      <c r="T601" s="6">
        <v>0</v>
      </c>
      <c r="U601" s="6">
        <v>0</v>
      </c>
      <c r="V601" s="6">
        <f>IF(ISERROR(VLOOKUP($S$601,'TAR FIN'!$A$1:$O$116,15,0)),0,VLOOKUP($S$601,'TAR FIN'!$A$1:$O$116,15,0))</f>
        <v>15.24</v>
      </c>
      <c r="W601" s="6">
        <f>IF(ISERROR(VLOOKUP($T$601,'TAR FIN'!$A$1:$O$116,15,0)),0,VLOOKUP($T$601,'TAR FIN'!$A$1:$O$116,15,0))</f>
        <v>0</v>
      </c>
      <c r="X601" s="6">
        <f>IF(ISERROR(VLOOKUP($U$601,'TAR FIN'!$A$1:$O$116,15,0)),0,VLOOKUP($U$601,'TAR FIN'!$A$1:$O$116,15,0))</f>
        <v>0</v>
      </c>
      <c r="Y601" s="6">
        <f ca="1">('TUSD BE'!$AM$32+'TUSD BF'!$AM$32+'TUSD CVA'!$AM$32)*1</f>
        <v>17.138874075124019</v>
      </c>
      <c r="Z601" s="6"/>
      <c r="AA601" s="6"/>
      <c r="AB601" s="6">
        <f>$K$601*$V$601</f>
        <v>6400.8</v>
      </c>
      <c r="AC601" s="6">
        <f>$M$601*$W$601</f>
        <v>0</v>
      </c>
      <c r="AD601" s="6">
        <f>$O$601*$X$601</f>
        <v>0</v>
      </c>
      <c r="AE601" s="6">
        <f ca="1">$K$601*$Y$601</f>
        <v>7198.3271115520874</v>
      </c>
      <c r="AF601" s="6">
        <f>$M$601*$Z$601</f>
        <v>0</v>
      </c>
      <c r="AG601" s="6">
        <f>$O$601*$AA$601</f>
        <v>0</v>
      </c>
    </row>
    <row r="602" spans="1:33" ht="11.25" customHeight="1" x14ac:dyDescent="0.25">
      <c r="A602" s="4" t="s">
        <v>21</v>
      </c>
      <c r="B602" s="4" t="s">
        <v>41</v>
      </c>
      <c r="C602" s="4" t="s">
        <v>64</v>
      </c>
      <c r="D602" s="4" t="s">
        <v>25</v>
      </c>
      <c r="E602" s="4" t="s">
        <v>25</v>
      </c>
      <c r="F602" s="4" t="s">
        <v>25</v>
      </c>
      <c r="G602" s="4" t="s">
        <v>93</v>
      </c>
      <c r="H602" s="4" t="s">
        <v>25</v>
      </c>
      <c r="I602" s="5">
        <v>44348</v>
      </c>
      <c r="J602" s="6">
        <v>1300</v>
      </c>
      <c r="K602" s="6">
        <v>650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4" t="s">
        <v>66</v>
      </c>
      <c r="R602" s="4">
        <v>30847</v>
      </c>
      <c r="S602" s="6">
        <v>28</v>
      </c>
      <c r="T602" s="6">
        <v>0</v>
      </c>
      <c r="U602" s="6">
        <v>0</v>
      </c>
      <c r="V602" s="6">
        <f>IF(ISERROR(VLOOKUP($S$602,'TAR FIN'!$A$1:$O$116,15,0)),0,VLOOKUP($S$602,'TAR FIN'!$A$1:$O$116,15,0))</f>
        <v>15.24</v>
      </c>
      <c r="W602" s="6">
        <f>IF(ISERROR(VLOOKUP($T$602,'TAR FIN'!$A$1:$O$116,15,0)),0,VLOOKUP($T$602,'TAR FIN'!$A$1:$O$116,15,0))</f>
        <v>0</v>
      </c>
      <c r="X602" s="6">
        <f>IF(ISERROR(VLOOKUP($U$602,'TAR FIN'!$A$1:$O$116,15,0)),0,VLOOKUP($U$602,'TAR FIN'!$A$1:$O$116,15,0))</f>
        <v>0</v>
      </c>
      <c r="Y602" s="6">
        <f ca="1">('TUSD BE'!$AM$32+'TUSD BF'!$AM$32+'TUSD CVA'!$AM$32)*1</f>
        <v>17.138874075124019</v>
      </c>
      <c r="Z602" s="6"/>
      <c r="AA602" s="6"/>
      <c r="AB602" s="6">
        <f>$K$602*$V$602</f>
        <v>9906</v>
      </c>
      <c r="AC602" s="6">
        <f>$M$602*$W$602</f>
        <v>0</v>
      </c>
      <c r="AD602" s="6">
        <f>$O$602*$X$602</f>
        <v>0</v>
      </c>
      <c r="AE602" s="6">
        <f ca="1">$K$602*$Y$602</f>
        <v>11140.268148830612</v>
      </c>
      <c r="AF602" s="6">
        <f>$M$602*$Z$602</f>
        <v>0</v>
      </c>
      <c r="AG602" s="6">
        <f>$O$602*$AA$602</f>
        <v>0</v>
      </c>
    </row>
    <row r="603" spans="1:33" ht="11.25" customHeight="1" x14ac:dyDescent="0.25">
      <c r="A603" s="4" t="s">
        <v>21</v>
      </c>
      <c r="B603" s="4" t="s">
        <v>41</v>
      </c>
      <c r="C603" s="4" t="s">
        <v>64</v>
      </c>
      <c r="D603" s="4" t="s">
        <v>25</v>
      </c>
      <c r="E603" s="4" t="s">
        <v>25</v>
      </c>
      <c r="F603" s="4" t="s">
        <v>25</v>
      </c>
      <c r="G603" s="4" t="s">
        <v>94</v>
      </c>
      <c r="H603" s="4" t="s">
        <v>25</v>
      </c>
      <c r="I603" s="5">
        <v>44348</v>
      </c>
      <c r="J603" s="6">
        <v>1180</v>
      </c>
      <c r="K603" s="6">
        <v>590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4" t="s">
        <v>66</v>
      </c>
      <c r="R603" s="4">
        <v>30866</v>
      </c>
      <c r="S603" s="6">
        <v>28</v>
      </c>
      <c r="T603" s="6">
        <v>0</v>
      </c>
      <c r="U603" s="6">
        <v>0</v>
      </c>
      <c r="V603" s="6">
        <f>IF(ISERROR(VLOOKUP($S$603,'TAR FIN'!$A$1:$O$116,15,0)),0,VLOOKUP($S$603,'TAR FIN'!$A$1:$O$116,15,0))</f>
        <v>15.24</v>
      </c>
      <c r="W603" s="6">
        <f>IF(ISERROR(VLOOKUP($T$603,'TAR FIN'!$A$1:$O$116,15,0)),0,VLOOKUP($T$603,'TAR FIN'!$A$1:$O$116,15,0))</f>
        <v>0</v>
      </c>
      <c r="X603" s="6">
        <f>IF(ISERROR(VLOOKUP($U$603,'TAR FIN'!$A$1:$O$116,15,0)),0,VLOOKUP($U$603,'TAR FIN'!$A$1:$O$116,15,0))</f>
        <v>0</v>
      </c>
      <c r="Y603" s="6">
        <f ca="1">('TUSD BE'!$AM$32+'TUSD BF'!$AM$32+'TUSD CVA'!$AM$32)*1</f>
        <v>17.138874075124019</v>
      </c>
      <c r="Z603" s="6"/>
      <c r="AA603" s="6"/>
      <c r="AB603" s="6">
        <f>$K$603*$V$603</f>
        <v>8991.6</v>
      </c>
      <c r="AC603" s="6">
        <f>$M$603*$W$603</f>
        <v>0</v>
      </c>
      <c r="AD603" s="6">
        <f>$O$603*$X$603</f>
        <v>0</v>
      </c>
      <c r="AE603" s="6">
        <f ca="1">$K$603*$Y$603</f>
        <v>10111.93570432317</v>
      </c>
      <c r="AF603" s="6">
        <f>$M$603*$Z$603</f>
        <v>0</v>
      </c>
      <c r="AG603" s="6">
        <f>$O$603*$AA$603</f>
        <v>0</v>
      </c>
    </row>
    <row r="604" spans="1:33" ht="11.25" customHeight="1" x14ac:dyDescent="0.25">
      <c r="A604" s="4" t="s">
        <v>21</v>
      </c>
      <c r="B604" s="4" t="s">
        <v>41</v>
      </c>
      <c r="C604" s="4" t="s">
        <v>64</v>
      </c>
      <c r="D604" s="4" t="s">
        <v>25</v>
      </c>
      <c r="E604" s="4" t="s">
        <v>25</v>
      </c>
      <c r="F604" s="4" t="s">
        <v>25</v>
      </c>
      <c r="G604" s="4" t="s">
        <v>95</v>
      </c>
      <c r="H604" s="4" t="s">
        <v>25</v>
      </c>
      <c r="I604" s="5">
        <v>44348</v>
      </c>
      <c r="J604" s="6">
        <v>1180</v>
      </c>
      <c r="K604" s="6">
        <v>590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4" t="s">
        <v>66</v>
      </c>
      <c r="R604" s="4">
        <v>31051</v>
      </c>
      <c r="S604" s="6">
        <v>28</v>
      </c>
      <c r="T604" s="6">
        <v>0</v>
      </c>
      <c r="U604" s="6">
        <v>0</v>
      </c>
      <c r="V604" s="6">
        <f>IF(ISERROR(VLOOKUP($S$604,'TAR FIN'!$A$1:$O$116,15,0)),0,VLOOKUP($S$604,'TAR FIN'!$A$1:$O$116,15,0))</f>
        <v>15.24</v>
      </c>
      <c r="W604" s="6">
        <f>IF(ISERROR(VLOOKUP($T$604,'TAR FIN'!$A$1:$O$116,15,0)),0,VLOOKUP($T$604,'TAR FIN'!$A$1:$O$116,15,0))</f>
        <v>0</v>
      </c>
      <c r="X604" s="6">
        <f>IF(ISERROR(VLOOKUP($U$604,'TAR FIN'!$A$1:$O$116,15,0)),0,VLOOKUP($U$604,'TAR FIN'!$A$1:$O$116,15,0))</f>
        <v>0</v>
      </c>
      <c r="Y604" s="6">
        <f ca="1">('TUSD BE'!$AM$32+'TUSD BF'!$AM$32+'TUSD CVA'!$AM$32)*1</f>
        <v>17.138874075124019</v>
      </c>
      <c r="Z604" s="6"/>
      <c r="AA604" s="6"/>
      <c r="AB604" s="6">
        <f>$K$604*$V$604</f>
        <v>8991.6</v>
      </c>
      <c r="AC604" s="6">
        <f>$M$604*$W$604</f>
        <v>0</v>
      </c>
      <c r="AD604" s="6">
        <f>$O$604*$X$604</f>
        <v>0</v>
      </c>
      <c r="AE604" s="6">
        <f ca="1">$K$604*$Y$604</f>
        <v>10111.93570432317</v>
      </c>
      <c r="AF604" s="6">
        <f>$M$604*$Z$604</f>
        <v>0</v>
      </c>
      <c r="AG604" s="6">
        <f>$O$604*$AA$604</f>
        <v>0</v>
      </c>
    </row>
    <row r="605" spans="1:33" ht="11.25" customHeight="1" x14ac:dyDescent="0.25">
      <c r="A605" s="4" t="s">
        <v>21</v>
      </c>
      <c r="B605" s="4" t="s">
        <v>41</v>
      </c>
      <c r="C605" s="4" t="s">
        <v>64</v>
      </c>
      <c r="D605" s="4" t="s">
        <v>25</v>
      </c>
      <c r="E605" s="4" t="s">
        <v>25</v>
      </c>
      <c r="F605" s="4" t="s">
        <v>25</v>
      </c>
      <c r="G605" s="4" t="s">
        <v>96</v>
      </c>
      <c r="H605" s="4" t="s">
        <v>25</v>
      </c>
      <c r="I605" s="5">
        <v>44348</v>
      </c>
      <c r="J605" s="6">
        <v>1000</v>
      </c>
      <c r="K605" s="6">
        <v>500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4" t="s">
        <v>66</v>
      </c>
      <c r="R605" s="4">
        <v>31277</v>
      </c>
      <c r="S605" s="6">
        <v>28</v>
      </c>
      <c r="T605" s="6">
        <v>0</v>
      </c>
      <c r="U605" s="6">
        <v>0</v>
      </c>
      <c r="V605" s="6">
        <f>IF(ISERROR(VLOOKUP($S$605,'TAR FIN'!$A$1:$O$116,15,0)),0,VLOOKUP($S$605,'TAR FIN'!$A$1:$O$116,15,0))</f>
        <v>15.24</v>
      </c>
      <c r="W605" s="6">
        <f>IF(ISERROR(VLOOKUP($T$605,'TAR FIN'!$A$1:$O$116,15,0)),0,VLOOKUP($T$605,'TAR FIN'!$A$1:$O$116,15,0))</f>
        <v>0</v>
      </c>
      <c r="X605" s="6">
        <f>IF(ISERROR(VLOOKUP($U$605,'TAR FIN'!$A$1:$O$116,15,0)),0,VLOOKUP($U$605,'TAR FIN'!$A$1:$O$116,15,0))</f>
        <v>0</v>
      </c>
      <c r="Y605" s="6">
        <f ca="1">('TUSD BE'!$AM$32+'TUSD BF'!$AM$32+'TUSD CVA'!$AM$32)*1</f>
        <v>17.138874075124019</v>
      </c>
      <c r="Z605" s="6"/>
      <c r="AA605" s="6"/>
      <c r="AB605" s="6">
        <f>$K$605*$V$605</f>
        <v>7620</v>
      </c>
      <c r="AC605" s="6">
        <f>$M$605*$W$605</f>
        <v>0</v>
      </c>
      <c r="AD605" s="6">
        <f>$O$605*$X$605</f>
        <v>0</v>
      </c>
      <c r="AE605" s="6">
        <f ca="1">$K$605*$Y$605</f>
        <v>8569.4370375620092</v>
      </c>
      <c r="AF605" s="6">
        <f>$M$605*$Z$605</f>
        <v>0</v>
      </c>
      <c r="AG605" s="6">
        <f>$O$605*$AA$605</f>
        <v>0</v>
      </c>
    </row>
    <row r="606" spans="1:33" ht="11.25" customHeight="1" x14ac:dyDescent="0.25">
      <c r="A606" s="4" t="s">
        <v>21</v>
      </c>
      <c r="B606" s="4" t="s">
        <v>41</v>
      </c>
      <c r="C606" s="4" t="s">
        <v>64</v>
      </c>
      <c r="D606" s="4" t="s">
        <v>25</v>
      </c>
      <c r="E606" s="4" t="s">
        <v>25</v>
      </c>
      <c r="F606" s="4" t="s">
        <v>25</v>
      </c>
      <c r="G606" s="4" t="s">
        <v>97</v>
      </c>
      <c r="H606" s="4" t="s">
        <v>25</v>
      </c>
      <c r="I606" s="5">
        <v>44348</v>
      </c>
      <c r="J606" s="6">
        <v>1180</v>
      </c>
      <c r="K606" s="6">
        <v>590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4" t="s">
        <v>66</v>
      </c>
      <c r="R606" s="4">
        <v>31318</v>
      </c>
      <c r="S606" s="6">
        <v>28</v>
      </c>
      <c r="T606" s="6">
        <v>0</v>
      </c>
      <c r="U606" s="6">
        <v>0</v>
      </c>
      <c r="V606" s="6">
        <f>IF(ISERROR(VLOOKUP($S$606,'TAR FIN'!$A$1:$O$116,15,0)),0,VLOOKUP($S$606,'TAR FIN'!$A$1:$O$116,15,0))</f>
        <v>15.24</v>
      </c>
      <c r="W606" s="6">
        <f>IF(ISERROR(VLOOKUP($T$606,'TAR FIN'!$A$1:$O$116,15,0)),0,VLOOKUP($T$606,'TAR FIN'!$A$1:$O$116,15,0))</f>
        <v>0</v>
      </c>
      <c r="X606" s="6">
        <f>IF(ISERROR(VLOOKUP($U$606,'TAR FIN'!$A$1:$O$116,15,0)),0,VLOOKUP($U$606,'TAR FIN'!$A$1:$O$116,15,0))</f>
        <v>0</v>
      </c>
      <c r="Y606" s="6">
        <f ca="1">('TUSD BE'!$AM$32+'TUSD BF'!$AM$32+'TUSD CVA'!$AM$32)*1</f>
        <v>17.138874075124019</v>
      </c>
      <c r="Z606" s="6"/>
      <c r="AA606" s="6"/>
      <c r="AB606" s="6">
        <f>$K$606*$V$606</f>
        <v>8991.6</v>
      </c>
      <c r="AC606" s="6">
        <f>$M$606*$W$606</f>
        <v>0</v>
      </c>
      <c r="AD606" s="6">
        <f>$O$606*$X$606</f>
        <v>0</v>
      </c>
      <c r="AE606" s="6">
        <f ca="1">$K$606*$Y$606</f>
        <v>10111.93570432317</v>
      </c>
      <c r="AF606" s="6">
        <f>$M$606*$Z$606</f>
        <v>0</v>
      </c>
      <c r="AG606" s="6">
        <f>$O$606*$AA$606</f>
        <v>0</v>
      </c>
    </row>
    <row r="607" spans="1:33" ht="11.25" customHeight="1" x14ac:dyDescent="0.25">
      <c r="A607" s="4" t="s">
        <v>21</v>
      </c>
      <c r="B607" s="4" t="s">
        <v>41</v>
      </c>
      <c r="C607" s="4" t="s">
        <v>64</v>
      </c>
      <c r="D607" s="4" t="s">
        <v>25</v>
      </c>
      <c r="E607" s="4" t="s">
        <v>25</v>
      </c>
      <c r="F607" s="4" t="s">
        <v>25</v>
      </c>
      <c r="G607" s="4" t="s">
        <v>98</v>
      </c>
      <c r="H607" s="4" t="s">
        <v>25</v>
      </c>
      <c r="I607" s="5">
        <v>44348</v>
      </c>
      <c r="J607" s="6">
        <v>3000</v>
      </c>
      <c r="K607" s="6">
        <v>1500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4" t="s">
        <v>66</v>
      </c>
      <c r="R607" s="4">
        <v>31334</v>
      </c>
      <c r="S607" s="6">
        <v>28</v>
      </c>
      <c r="T607" s="6">
        <v>0</v>
      </c>
      <c r="U607" s="6">
        <v>0</v>
      </c>
      <c r="V607" s="6">
        <f>IF(ISERROR(VLOOKUP($S$607,'TAR FIN'!$A$1:$O$116,15,0)),0,VLOOKUP($S$607,'TAR FIN'!$A$1:$O$116,15,0))</f>
        <v>15.24</v>
      </c>
      <c r="W607" s="6">
        <f>IF(ISERROR(VLOOKUP($T$607,'TAR FIN'!$A$1:$O$116,15,0)),0,VLOOKUP($T$607,'TAR FIN'!$A$1:$O$116,15,0))</f>
        <v>0</v>
      </c>
      <c r="X607" s="6">
        <f>IF(ISERROR(VLOOKUP($U$607,'TAR FIN'!$A$1:$O$116,15,0)),0,VLOOKUP($U$607,'TAR FIN'!$A$1:$O$116,15,0))</f>
        <v>0</v>
      </c>
      <c r="Y607" s="6">
        <f ca="1">('TUSD BE'!$AM$32+'TUSD BF'!$AM$32+'TUSD CVA'!$AM$32)*1</f>
        <v>17.138874075124019</v>
      </c>
      <c r="Z607" s="6"/>
      <c r="AA607" s="6"/>
      <c r="AB607" s="6">
        <f>$K$607*$V$607</f>
        <v>22860</v>
      </c>
      <c r="AC607" s="6">
        <f>$M$607*$W$607</f>
        <v>0</v>
      </c>
      <c r="AD607" s="6">
        <f>$O$607*$X$607</f>
        <v>0</v>
      </c>
      <c r="AE607" s="6">
        <f ca="1">$K$607*$Y$607</f>
        <v>25708.311112686028</v>
      </c>
      <c r="AF607" s="6">
        <f>$M$607*$Z$607</f>
        <v>0</v>
      </c>
      <c r="AG607" s="6">
        <f>$O$607*$AA$607</f>
        <v>0</v>
      </c>
    </row>
    <row r="608" spans="1:33" ht="11.25" customHeight="1" x14ac:dyDescent="0.25">
      <c r="A608" s="4" t="s">
        <v>21</v>
      </c>
      <c r="B608" s="4" t="s">
        <v>41</v>
      </c>
      <c r="C608" s="4" t="s">
        <v>64</v>
      </c>
      <c r="D608" s="4" t="s">
        <v>25</v>
      </c>
      <c r="E608" s="4" t="s">
        <v>25</v>
      </c>
      <c r="F608" s="4" t="s">
        <v>25</v>
      </c>
      <c r="G608" s="4" t="s">
        <v>99</v>
      </c>
      <c r="H608" s="4" t="s">
        <v>25</v>
      </c>
      <c r="I608" s="5">
        <v>44348</v>
      </c>
      <c r="J608" s="6">
        <v>1180</v>
      </c>
      <c r="K608" s="6">
        <v>590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4" t="s">
        <v>66</v>
      </c>
      <c r="R608" s="4">
        <v>31618</v>
      </c>
      <c r="S608" s="6">
        <v>28</v>
      </c>
      <c r="T608" s="6">
        <v>0</v>
      </c>
      <c r="U608" s="6">
        <v>0</v>
      </c>
      <c r="V608" s="6">
        <f>IF(ISERROR(VLOOKUP($S$608,'TAR FIN'!$A$1:$O$116,15,0)),0,VLOOKUP($S$608,'TAR FIN'!$A$1:$O$116,15,0))</f>
        <v>15.24</v>
      </c>
      <c r="W608" s="6">
        <f>IF(ISERROR(VLOOKUP($T$608,'TAR FIN'!$A$1:$O$116,15,0)),0,VLOOKUP($T$608,'TAR FIN'!$A$1:$O$116,15,0))</f>
        <v>0</v>
      </c>
      <c r="X608" s="6">
        <f>IF(ISERROR(VLOOKUP($U$608,'TAR FIN'!$A$1:$O$116,15,0)),0,VLOOKUP($U$608,'TAR FIN'!$A$1:$O$116,15,0))</f>
        <v>0</v>
      </c>
      <c r="Y608" s="6">
        <f ca="1">('TUSD BE'!$AM$32+'TUSD BF'!$AM$32+'TUSD CVA'!$AM$32)*1</f>
        <v>17.138874075124019</v>
      </c>
      <c r="Z608" s="6"/>
      <c r="AA608" s="6"/>
      <c r="AB608" s="6">
        <f>$K$608*$V$608</f>
        <v>8991.6</v>
      </c>
      <c r="AC608" s="6">
        <f>$M$608*$W$608</f>
        <v>0</v>
      </c>
      <c r="AD608" s="6">
        <f>$O$608*$X$608</f>
        <v>0</v>
      </c>
      <c r="AE608" s="6">
        <f ca="1">$K$608*$Y$608</f>
        <v>10111.93570432317</v>
      </c>
      <c r="AF608" s="6">
        <f>$M$608*$Z$608</f>
        <v>0</v>
      </c>
      <c r="AG608" s="6">
        <f>$O$608*$AA$608</f>
        <v>0</v>
      </c>
    </row>
    <row r="609" spans="1:33" ht="11.25" customHeight="1" x14ac:dyDescent="0.25">
      <c r="A609" s="4" t="s">
        <v>21</v>
      </c>
      <c r="B609" s="4" t="s">
        <v>41</v>
      </c>
      <c r="C609" s="4" t="s">
        <v>64</v>
      </c>
      <c r="D609" s="4" t="s">
        <v>25</v>
      </c>
      <c r="E609" s="4" t="s">
        <v>25</v>
      </c>
      <c r="F609" s="4" t="s">
        <v>25</v>
      </c>
      <c r="G609" s="4" t="s">
        <v>100</v>
      </c>
      <c r="H609" s="4" t="s">
        <v>25</v>
      </c>
      <c r="I609" s="5">
        <v>44348</v>
      </c>
      <c r="J609" s="6">
        <v>1180</v>
      </c>
      <c r="K609" s="6">
        <v>590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4" t="s">
        <v>66</v>
      </c>
      <c r="R609" s="4">
        <v>31677</v>
      </c>
      <c r="S609" s="6">
        <v>28</v>
      </c>
      <c r="T609" s="6">
        <v>0</v>
      </c>
      <c r="U609" s="6">
        <v>0</v>
      </c>
      <c r="V609" s="6">
        <f>IF(ISERROR(VLOOKUP($S$609,'TAR FIN'!$A$1:$O$116,15,0)),0,VLOOKUP($S$609,'TAR FIN'!$A$1:$O$116,15,0))</f>
        <v>15.24</v>
      </c>
      <c r="W609" s="6">
        <f>IF(ISERROR(VLOOKUP($T$609,'TAR FIN'!$A$1:$O$116,15,0)),0,VLOOKUP($T$609,'TAR FIN'!$A$1:$O$116,15,0))</f>
        <v>0</v>
      </c>
      <c r="X609" s="6">
        <f>IF(ISERROR(VLOOKUP($U$609,'TAR FIN'!$A$1:$O$116,15,0)),0,VLOOKUP($U$609,'TAR FIN'!$A$1:$O$116,15,0))</f>
        <v>0</v>
      </c>
      <c r="Y609" s="6">
        <f ca="1">('TUSD BE'!$AM$32+'TUSD BF'!$AM$32+'TUSD CVA'!$AM$32)*1</f>
        <v>17.138874075124019</v>
      </c>
      <c r="Z609" s="6"/>
      <c r="AA609" s="6"/>
      <c r="AB609" s="6">
        <f>$K$609*$V$609</f>
        <v>8991.6</v>
      </c>
      <c r="AC609" s="6">
        <f>$M$609*$W$609</f>
        <v>0</v>
      </c>
      <c r="AD609" s="6">
        <f>$O$609*$X$609</f>
        <v>0</v>
      </c>
      <c r="AE609" s="6">
        <f ca="1">$K$609*$Y$609</f>
        <v>10111.93570432317</v>
      </c>
      <c r="AF609" s="6">
        <f>$M$609*$Z$609</f>
        <v>0</v>
      </c>
      <c r="AG609" s="6">
        <f>$O$609*$AA$609</f>
        <v>0</v>
      </c>
    </row>
    <row r="610" spans="1:33" ht="11.25" customHeight="1" x14ac:dyDescent="0.25">
      <c r="A610" s="4" t="s">
        <v>21</v>
      </c>
      <c r="B610" s="4" t="s">
        <v>41</v>
      </c>
      <c r="C610" s="4" t="s">
        <v>64</v>
      </c>
      <c r="D610" s="4" t="s">
        <v>25</v>
      </c>
      <c r="E610" s="4" t="s">
        <v>25</v>
      </c>
      <c r="F610" s="4" t="s">
        <v>25</v>
      </c>
      <c r="G610" s="4" t="s">
        <v>68</v>
      </c>
      <c r="H610" s="4" t="s">
        <v>25</v>
      </c>
      <c r="I610" s="5">
        <v>44378</v>
      </c>
      <c r="J610" s="6">
        <v>302</v>
      </c>
      <c r="K610" s="6">
        <v>302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4" t="s">
        <v>66</v>
      </c>
      <c r="R610" s="4">
        <v>404</v>
      </c>
      <c r="S610" s="6">
        <v>28</v>
      </c>
      <c r="T610" s="6">
        <v>0</v>
      </c>
      <c r="U610" s="6">
        <v>0</v>
      </c>
      <c r="V610" s="6">
        <f>IF(ISERROR(VLOOKUP($S$610,'TAR FIN'!$A$1:$O$116,15,0)),0,VLOOKUP($S$610,'TAR FIN'!$A$1:$O$116,15,0))</f>
        <v>15.24</v>
      </c>
      <c r="W610" s="6">
        <f>IF(ISERROR(VLOOKUP($T$610,'TAR FIN'!$A$1:$O$116,15,0)),0,VLOOKUP($T$610,'TAR FIN'!$A$1:$O$116,15,0))</f>
        <v>0</v>
      </c>
      <c r="X610" s="6">
        <f>IF(ISERROR(VLOOKUP($U$610,'TAR FIN'!$A$1:$O$116,15,0)),0,VLOOKUP($U$610,'TAR FIN'!$A$1:$O$116,15,0))</f>
        <v>0</v>
      </c>
      <c r="Y610" s="6">
        <f ca="1">('TUSD BE'!$AM$32+'TUSD BF'!$AM$32+'TUSD CVA'!$AM$32)*1</f>
        <v>17.138874075124019</v>
      </c>
      <c r="Z610" s="6"/>
      <c r="AA610" s="6"/>
      <c r="AB610" s="6">
        <f>$K$610*$V$610</f>
        <v>4602.4800000000005</v>
      </c>
      <c r="AC610" s="6">
        <f>$M$610*$W$610</f>
        <v>0</v>
      </c>
      <c r="AD610" s="6">
        <f>$O$610*$X$610</f>
        <v>0</v>
      </c>
      <c r="AE610" s="6">
        <f ca="1">$K$610*$Y$610</f>
        <v>5175.9399706874538</v>
      </c>
      <c r="AF610" s="6">
        <f>$M$610*$Z$610</f>
        <v>0</v>
      </c>
      <c r="AG610" s="6">
        <f>$O$610*$AA$610</f>
        <v>0</v>
      </c>
    </row>
    <row r="611" spans="1:33" ht="11.25" customHeight="1" x14ac:dyDescent="0.25">
      <c r="A611" s="4" t="s">
        <v>21</v>
      </c>
      <c r="B611" s="4" t="s">
        <v>41</v>
      </c>
      <c r="C611" s="4" t="s">
        <v>64</v>
      </c>
      <c r="D611" s="4" t="s">
        <v>25</v>
      </c>
      <c r="E611" s="4" t="s">
        <v>25</v>
      </c>
      <c r="F611" s="4" t="s">
        <v>25</v>
      </c>
      <c r="G611" s="4" t="s">
        <v>70</v>
      </c>
      <c r="H611" s="4" t="s">
        <v>25</v>
      </c>
      <c r="I611" s="5">
        <v>44378</v>
      </c>
      <c r="J611" s="6">
        <v>5040</v>
      </c>
      <c r="K611" s="6">
        <v>5040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4" t="s">
        <v>66</v>
      </c>
      <c r="R611" s="4">
        <v>838</v>
      </c>
      <c r="S611" s="6">
        <v>28</v>
      </c>
      <c r="T611" s="6">
        <v>0</v>
      </c>
      <c r="U611" s="6">
        <v>0</v>
      </c>
      <c r="V611" s="6">
        <f>IF(ISERROR(VLOOKUP($S$611,'TAR FIN'!$A$1:$O$116,15,0)),0,VLOOKUP($S$611,'TAR FIN'!$A$1:$O$116,15,0))</f>
        <v>15.24</v>
      </c>
      <c r="W611" s="6">
        <f>IF(ISERROR(VLOOKUP($T$611,'TAR FIN'!$A$1:$O$116,15,0)),0,VLOOKUP($T$611,'TAR FIN'!$A$1:$O$116,15,0))</f>
        <v>0</v>
      </c>
      <c r="X611" s="6">
        <f>IF(ISERROR(VLOOKUP($U$611,'TAR FIN'!$A$1:$O$116,15,0)),0,VLOOKUP($U$611,'TAR FIN'!$A$1:$O$116,15,0))</f>
        <v>0</v>
      </c>
      <c r="Y611" s="6">
        <f ca="1">('TUSD BE'!$AM$32+'TUSD BF'!$AM$32+'TUSD CVA'!$AM$32)*1</f>
        <v>17.138874075124019</v>
      </c>
      <c r="Z611" s="6"/>
      <c r="AA611" s="6"/>
      <c r="AB611" s="6">
        <f>$K$611*$V$611</f>
        <v>76809.600000000006</v>
      </c>
      <c r="AC611" s="6">
        <f>$M$611*$W$611</f>
        <v>0</v>
      </c>
      <c r="AD611" s="6">
        <f>$O$611*$X$611</f>
        <v>0</v>
      </c>
      <c r="AE611" s="6">
        <f ca="1">$K$611*$Y$611</f>
        <v>86379.925338625049</v>
      </c>
      <c r="AF611" s="6">
        <f>$M$611*$Z$611</f>
        <v>0</v>
      </c>
      <c r="AG611" s="6">
        <f>$O$611*$AA$611</f>
        <v>0</v>
      </c>
    </row>
    <row r="612" spans="1:33" ht="11.25" customHeight="1" x14ac:dyDescent="0.25">
      <c r="A612" s="4" t="s">
        <v>21</v>
      </c>
      <c r="B612" s="4" t="s">
        <v>41</v>
      </c>
      <c r="C612" s="4" t="s">
        <v>64</v>
      </c>
      <c r="D612" s="4" t="s">
        <v>25</v>
      </c>
      <c r="E612" s="4" t="s">
        <v>25</v>
      </c>
      <c r="F612" s="4" t="s">
        <v>25</v>
      </c>
      <c r="G612" s="4" t="s">
        <v>74</v>
      </c>
      <c r="H612" s="4" t="s">
        <v>25</v>
      </c>
      <c r="I612" s="5">
        <v>44378</v>
      </c>
      <c r="J612" s="6">
        <v>3800</v>
      </c>
      <c r="K612" s="6">
        <v>1900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4" t="s">
        <v>66</v>
      </c>
      <c r="R612" s="4">
        <v>1192</v>
      </c>
      <c r="S612" s="6">
        <v>28</v>
      </c>
      <c r="T612" s="6">
        <v>0</v>
      </c>
      <c r="U612" s="6">
        <v>0</v>
      </c>
      <c r="V612" s="6">
        <f>IF(ISERROR(VLOOKUP($S$612,'TAR FIN'!$A$1:$O$116,15,0)),0,VLOOKUP($S$612,'TAR FIN'!$A$1:$O$116,15,0))</f>
        <v>15.24</v>
      </c>
      <c r="W612" s="6">
        <f>IF(ISERROR(VLOOKUP($T$612,'TAR FIN'!$A$1:$O$116,15,0)),0,VLOOKUP($T$612,'TAR FIN'!$A$1:$O$116,15,0))</f>
        <v>0</v>
      </c>
      <c r="X612" s="6">
        <f>IF(ISERROR(VLOOKUP($U$612,'TAR FIN'!$A$1:$O$116,15,0)),0,VLOOKUP($U$612,'TAR FIN'!$A$1:$O$116,15,0))</f>
        <v>0</v>
      </c>
      <c r="Y612" s="6">
        <f ca="1">('TUSD BE'!$AM$32+'TUSD BF'!$AM$32+'TUSD CVA'!$AM$32)*1</f>
        <v>17.138874075124019</v>
      </c>
      <c r="Z612" s="6"/>
      <c r="AA612" s="6"/>
      <c r="AB612" s="6">
        <f>$K$612*$V$612</f>
        <v>28956</v>
      </c>
      <c r="AC612" s="6">
        <f>$M$612*$W$612</f>
        <v>0</v>
      </c>
      <c r="AD612" s="6">
        <f>$O$612*$X$612</f>
        <v>0</v>
      </c>
      <c r="AE612" s="6">
        <f ca="1">$K$612*$Y$612</f>
        <v>32563.860742735636</v>
      </c>
      <c r="AF612" s="6">
        <f>$M$612*$Z$612</f>
        <v>0</v>
      </c>
      <c r="AG612" s="6">
        <f>$O$612*$AA$612</f>
        <v>0</v>
      </c>
    </row>
    <row r="613" spans="1:33" ht="11.25" customHeight="1" x14ac:dyDescent="0.25">
      <c r="A613" s="4" t="s">
        <v>21</v>
      </c>
      <c r="B613" s="4" t="s">
        <v>41</v>
      </c>
      <c r="C613" s="4" t="s">
        <v>64</v>
      </c>
      <c r="D613" s="4" t="s">
        <v>25</v>
      </c>
      <c r="E613" s="4" t="s">
        <v>25</v>
      </c>
      <c r="F613" s="4" t="s">
        <v>25</v>
      </c>
      <c r="G613" s="4" t="s">
        <v>76</v>
      </c>
      <c r="H613" s="4" t="s">
        <v>25</v>
      </c>
      <c r="I613" s="5">
        <v>44378</v>
      </c>
      <c r="J613" s="6">
        <v>480</v>
      </c>
      <c r="K613" s="6">
        <v>480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4" t="s">
        <v>66</v>
      </c>
      <c r="R613" s="4">
        <v>1438</v>
      </c>
      <c r="S613" s="6">
        <v>28</v>
      </c>
      <c r="T613" s="6">
        <v>0</v>
      </c>
      <c r="U613" s="6">
        <v>0</v>
      </c>
      <c r="V613" s="6">
        <f>IF(ISERROR(VLOOKUP($S$613,'TAR FIN'!$A$1:$O$116,15,0)),0,VLOOKUP($S$613,'TAR FIN'!$A$1:$O$116,15,0))</f>
        <v>15.24</v>
      </c>
      <c r="W613" s="6">
        <f>IF(ISERROR(VLOOKUP($T$613,'TAR FIN'!$A$1:$O$116,15,0)),0,VLOOKUP($T$613,'TAR FIN'!$A$1:$O$116,15,0))</f>
        <v>0</v>
      </c>
      <c r="X613" s="6">
        <f>IF(ISERROR(VLOOKUP($U$613,'TAR FIN'!$A$1:$O$116,15,0)),0,VLOOKUP($U$613,'TAR FIN'!$A$1:$O$116,15,0))</f>
        <v>0</v>
      </c>
      <c r="Y613" s="6">
        <f ca="1">('TUSD BE'!$AM$32+'TUSD BF'!$AM$32+'TUSD CVA'!$AM$32)*1</f>
        <v>17.138874075124019</v>
      </c>
      <c r="Z613" s="6"/>
      <c r="AA613" s="6"/>
      <c r="AB613" s="6">
        <f>$K$613*$V$613</f>
        <v>7315.2</v>
      </c>
      <c r="AC613" s="6">
        <f>$M$613*$W$613</f>
        <v>0</v>
      </c>
      <c r="AD613" s="6">
        <f>$O$613*$X$613</f>
        <v>0</v>
      </c>
      <c r="AE613" s="6">
        <f ca="1">$K$613*$Y$613</f>
        <v>8226.6595560595288</v>
      </c>
      <c r="AF613" s="6">
        <f>$M$613*$Z$613</f>
        <v>0</v>
      </c>
      <c r="AG613" s="6">
        <f>$O$613*$AA$613</f>
        <v>0</v>
      </c>
    </row>
    <row r="614" spans="1:33" ht="11.25" customHeight="1" x14ac:dyDescent="0.25">
      <c r="A614" s="4" t="s">
        <v>21</v>
      </c>
      <c r="B614" s="4" t="s">
        <v>41</v>
      </c>
      <c r="C614" s="4" t="s">
        <v>64</v>
      </c>
      <c r="D614" s="4" t="s">
        <v>25</v>
      </c>
      <c r="E614" s="4" t="s">
        <v>25</v>
      </c>
      <c r="F614" s="4" t="s">
        <v>25</v>
      </c>
      <c r="G614" s="4" t="s">
        <v>77</v>
      </c>
      <c r="H614" s="4" t="s">
        <v>25</v>
      </c>
      <c r="I614" s="5">
        <v>44378</v>
      </c>
      <c r="J614" s="6">
        <v>736</v>
      </c>
      <c r="K614" s="6">
        <v>736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4" t="s">
        <v>66</v>
      </c>
      <c r="R614" s="4">
        <v>1462</v>
      </c>
      <c r="S614" s="6">
        <v>28</v>
      </c>
      <c r="T614" s="6">
        <v>0</v>
      </c>
      <c r="U614" s="6">
        <v>0</v>
      </c>
      <c r="V614" s="6">
        <f>IF(ISERROR(VLOOKUP($S$614,'TAR FIN'!$A$1:$O$116,15,0)),0,VLOOKUP($S$614,'TAR FIN'!$A$1:$O$116,15,0))</f>
        <v>15.24</v>
      </c>
      <c r="W614" s="6">
        <f>IF(ISERROR(VLOOKUP($T$614,'TAR FIN'!$A$1:$O$116,15,0)),0,VLOOKUP($T$614,'TAR FIN'!$A$1:$O$116,15,0))</f>
        <v>0</v>
      </c>
      <c r="X614" s="6">
        <f>IF(ISERROR(VLOOKUP($U$614,'TAR FIN'!$A$1:$O$116,15,0)),0,VLOOKUP($U$614,'TAR FIN'!$A$1:$O$116,15,0))</f>
        <v>0</v>
      </c>
      <c r="Y614" s="6">
        <f ca="1">('TUSD BE'!$AM$32+'TUSD BF'!$AM$32+'TUSD CVA'!$AM$32)*1</f>
        <v>17.138874075124019</v>
      </c>
      <c r="Z614" s="6"/>
      <c r="AA614" s="6"/>
      <c r="AB614" s="6">
        <f>$K$614*$V$614</f>
        <v>11216.64</v>
      </c>
      <c r="AC614" s="6">
        <f>$M$614*$W$614</f>
        <v>0</v>
      </c>
      <c r="AD614" s="6">
        <f>$O$614*$X$614</f>
        <v>0</v>
      </c>
      <c r="AE614" s="6">
        <f ca="1">$K$614*$Y$614</f>
        <v>12614.211319291278</v>
      </c>
      <c r="AF614" s="6">
        <f>$M$614*$Z$614</f>
        <v>0</v>
      </c>
      <c r="AG614" s="6">
        <f>$O$614*$AA$614</f>
        <v>0</v>
      </c>
    </row>
    <row r="615" spans="1:33" ht="11.25" customHeight="1" x14ac:dyDescent="0.25">
      <c r="A615" s="4" t="s">
        <v>21</v>
      </c>
      <c r="B615" s="4" t="s">
        <v>41</v>
      </c>
      <c r="C615" s="4" t="s">
        <v>64</v>
      </c>
      <c r="D615" s="4" t="s">
        <v>25</v>
      </c>
      <c r="E615" s="4" t="s">
        <v>25</v>
      </c>
      <c r="F615" s="4" t="s">
        <v>25</v>
      </c>
      <c r="G615" s="4" t="s">
        <v>78</v>
      </c>
      <c r="H615" s="4" t="s">
        <v>25</v>
      </c>
      <c r="I615" s="5">
        <v>44378</v>
      </c>
      <c r="J615" s="6">
        <v>6460</v>
      </c>
      <c r="K615" s="6">
        <v>6460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4" t="s">
        <v>66</v>
      </c>
      <c r="R615" s="4">
        <v>1533</v>
      </c>
      <c r="S615" s="6">
        <v>28</v>
      </c>
      <c r="T615" s="6">
        <v>0</v>
      </c>
      <c r="U615" s="6">
        <v>0</v>
      </c>
      <c r="V615" s="6">
        <f>IF(ISERROR(VLOOKUP($S$615,'TAR FIN'!$A$1:$O$116,15,0)),0,VLOOKUP($S$615,'TAR FIN'!$A$1:$O$116,15,0))</f>
        <v>15.24</v>
      </c>
      <c r="W615" s="6">
        <f>IF(ISERROR(VLOOKUP($T$615,'TAR FIN'!$A$1:$O$116,15,0)),0,VLOOKUP($T$615,'TAR FIN'!$A$1:$O$116,15,0))</f>
        <v>0</v>
      </c>
      <c r="X615" s="6">
        <f>IF(ISERROR(VLOOKUP($U$615,'TAR FIN'!$A$1:$O$116,15,0)),0,VLOOKUP($U$615,'TAR FIN'!$A$1:$O$116,15,0))</f>
        <v>0</v>
      </c>
      <c r="Y615" s="6">
        <f ca="1">('TUSD BE'!$AM$32+'TUSD BF'!$AM$32+'TUSD CVA'!$AM$32)*1</f>
        <v>17.138874075124019</v>
      </c>
      <c r="Z615" s="6"/>
      <c r="AA615" s="6"/>
      <c r="AB615" s="6">
        <f>$K$615*$V$615</f>
        <v>98450.4</v>
      </c>
      <c r="AC615" s="6">
        <f>$M$615*$W$615</f>
        <v>0</v>
      </c>
      <c r="AD615" s="6">
        <f>$O$615*$X$615</f>
        <v>0</v>
      </c>
      <c r="AE615" s="6">
        <f ca="1">$K$615*$Y$615</f>
        <v>110717.12652530117</v>
      </c>
      <c r="AF615" s="6">
        <f>$M$615*$Z$615</f>
        <v>0</v>
      </c>
      <c r="AG615" s="6">
        <f>$O$615*$AA$615</f>
        <v>0</v>
      </c>
    </row>
    <row r="616" spans="1:33" ht="11.25" customHeight="1" x14ac:dyDescent="0.25">
      <c r="A616" s="4" t="s">
        <v>21</v>
      </c>
      <c r="B616" s="4" t="s">
        <v>41</v>
      </c>
      <c r="C616" s="4" t="s">
        <v>64</v>
      </c>
      <c r="D616" s="4" t="s">
        <v>25</v>
      </c>
      <c r="E616" s="4" t="s">
        <v>25</v>
      </c>
      <c r="F616" s="4" t="s">
        <v>25</v>
      </c>
      <c r="G616" s="4" t="s">
        <v>79</v>
      </c>
      <c r="H616" s="4" t="s">
        <v>25</v>
      </c>
      <c r="I616" s="5">
        <v>44378</v>
      </c>
      <c r="J616" s="6">
        <v>770</v>
      </c>
      <c r="K616" s="6">
        <v>770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4" t="s">
        <v>66</v>
      </c>
      <c r="R616" s="4">
        <v>2535</v>
      </c>
      <c r="S616" s="6">
        <v>28</v>
      </c>
      <c r="T616" s="6">
        <v>0</v>
      </c>
      <c r="U616" s="6">
        <v>0</v>
      </c>
      <c r="V616" s="6">
        <f>IF(ISERROR(VLOOKUP($S$616,'TAR FIN'!$A$1:$O$116,15,0)),0,VLOOKUP($S$616,'TAR FIN'!$A$1:$O$116,15,0))</f>
        <v>15.24</v>
      </c>
      <c r="W616" s="6">
        <f>IF(ISERROR(VLOOKUP($T$616,'TAR FIN'!$A$1:$O$116,15,0)),0,VLOOKUP($T$616,'TAR FIN'!$A$1:$O$116,15,0))</f>
        <v>0</v>
      </c>
      <c r="X616" s="6">
        <f>IF(ISERROR(VLOOKUP($U$616,'TAR FIN'!$A$1:$O$116,15,0)),0,VLOOKUP($U$616,'TAR FIN'!$A$1:$O$116,15,0))</f>
        <v>0</v>
      </c>
      <c r="Y616" s="6">
        <f ca="1">('TUSD BE'!$AM$32+'TUSD BF'!$AM$32+'TUSD CVA'!$AM$32)*1</f>
        <v>17.138874075124019</v>
      </c>
      <c r="Z616" s="6"/>
      <c r="AA616" s="6"/>
      <c r="AB616" s="6">
        <f>$K$616*$V$616</f>
        <v>11734.8</v>
      </c>
      <c r="AC616" s="6">
        <f>$M$616*$W$616</f>
        <v>0</v>
      </c>
      <c r="AD616" s="6">
        <f>$O$616*$X$616</f>
        <v>0</v>
      </c>
      <c r="AE616" s="6">
        <f ca="1">$K$616*$Y$616</f>
        <v>13196.933037845494</v>
      </c>
      <c r="AF616" s="6">
        <f>$M$616*$Z$616</f>
        <v>0</v>
      </c>
      <c r="AG616" s="6">
        <f>$O$616*$AA$616</f>
        <v>0</v>
      </c>
    </row>
    <row r="617" spans="1:33" ht="11.25" customHeight="1" x14ac:dyDescent="0.25">
      <c r="A617" s="4" t="s">
        <v>21</v>
      </c>
      <c r="B617" s="4" t="s">
        <v>41</v>
      </c>
      <c r="C617" s="4" t="s">
        <v>64</v>
      </c>
      <c r="D617" s="4" t="s">
        <v>25</v>
      </c>
      <c r="E617" s="4" t="s">
        <v>25</v>
      </c>
      <c r="F617" s="4" t="s">
        <v>25</v>
      </c>
      <c r="G617" s="4" t="s">
        <v>80</v>
      </c>
      <c r="H617" s="4" t="s">
        <v>25</v>
      </c>
      <c r="I617" s="5">
        <v>44378</v>
      </c>
      <c r="J617" s="6">
        <v>1416</v>
      </c>
      <c r="K617" s="6">
        <v>1416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4" t="s">
        <v>66</v>
      </c>
      <c r="R617" s="4">
        <v>2751</v>
      </c>
      <c r="S617" s="6">
        <v>28</v>
      </c>
      <c r="T617" s="6">
        <v>0</v>
      </c>
      <c r="U617" s="6">
        <v>0</v>
      </c>
      <c r="V617" s="6">
        <f>IF(ISERROR(VLOOKUP($S$617,'TAR FIN'!$A$1:$O$116,15,0)),0,VLOOKUP($S$617,'TAR FIN'!$A$1:$O$116,15,0))</f>
        <v>15.24</v>
      </c>
      <c r="W617" s="6">
        <f>IF(ISERROR(VLOOKUP($T$617,'TAR FIN'!$A$1:$O$116,15,0)),0,VLOOKUP($T$617,'TAR FIN'!$A$1:$O$116,15,0))</f>
        <v>0</v>
      </c>
      <c r="X617" s="6">
        <f>IF(ISERROR(VLOOKUP($U$617,'TAR FIN'!$A$1:$O$116,15,0)),0,VLOOKUP($U$617,'TAR FIN'!$A$1:$O$116,15,0))</f>
        <v>0</v>
      </c>
      <c r="Y617" s="6">
        <f ca="1">('TUSD BE'!$AM$32+'TUSD BF'!$AM$32+'TUSD CVA'!$AM$32)*1</f>
        <v>17.138874075124019</v>
      </c>
      <c r="Z617" s="6"/>
      <c r="AA617" s="6"/>
      <c r="AB617" s="6">
        <f>$K$617*$V$617</f>
        <v>21579.84</v>
      </c>
      <c r="AC617" s="6">
        <f>$M$617*$W$617</f>
        <v>0</v>
      </c>
      <c r="AD617" s="6">
        <f>$O$617*$X$617</f>
        <v>0</v>
      </c>
      <c r="AE617" s="6">
        <f ca="1">$K$617*$Y$617</f>
        <v>24268.645690375612</v>
      </c>
      <c r="AF617" s="6">
        <f>$M$617*$Z$617</f>
        <v>0</v>
      </c>
      <c r="AG617" s="6">
        <f>$O$617*$AA$617</f>
        <v>0</v>
      </c>
    </row>
    <row r="618" spans="1:33" ht="11.25" customHeight="1" x14ac:dyDescent="0.25">
      <c r="A618" s="4" t="s">
        <v>21</v>
      </c>
      <c r="B618" s="4" t="s">
        <v>41</v>
      </c>
      <c r="C618" s="4" t="s">
        <v>64</v>
      </c>
      <c r="D618" s="4" t="s">
        <v>25</v>
      </c>
      <c r="E618" s="4" t="s">
        <v>25</v>
      </c>
      <c r="F618" s="4" t="s">
        <v>25</v>
      </c>
      <c r="G618" s="4" t="s">
        <v>88</v>
      </c>
      <c r="H618" s="4" t="s">
        <v>25</v>
      </c>
      <c r="I618" s="5">
        <v>44378</v>
      </c>
      <c r="J618" s="6">
        <v>9500</v>
      </c>
      <c r="K618" s="6">
        <v>4750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4" t="s">
        <v>66</v>
      </c>
      <c r="R618" s="4">
        <v>27722</v>
      </c>
      <c r="S618" s="6">
        <v>28</v>
      </c>
      <c r="T618" s="6">
        <v>0</v>
      </c>
      <c r="U618" s="6">
        <v>0</v>
      </c>
      <c r="V618" s="6">
        <f>IF(ISERROR(VLOOKUP($S$618,'TAR FIN'!$A$1:$O$116,15,0)),0,VLOOKUP($S$618,'TAR FIN'!$A$1:$O$116,15,0))</f>
        <v>15.24</v>
      </c>
      <c r="W618" s="6">
        <f>IF(ISERROR(VLOOKUP($T$618,'TAR FIN'!$A$1:$O$116,15,0)),0,VLOOKUP($T$618,'TAR FIN'!$A$1:$O$116,15,0))</f>
        <v>0</v>
      </c>
      <c r="X618" s="6">
        <f>IF(ISERROR(VLOOKUP($U$618,'TAR FIN'!$A$1:$O$116,15,0)),0,VLOOKUP($U$618,'TAR FIN'!$A$1:$O$116,15,0))</f>
        <v>0</v>
      </c>
      <c r="Y618" s="6">
        <f ca="1">('TUSD BE'!$AM$32+'TUSD BF'!$AM$32+'TUSD CVA'!$AM$32)*1</f>
        <v>17.138874075124019</v>
      </c>
      <c r="Z618" s="6"/>
      <c r="AA618" s="6"/>
      <c r="AB618" s="6">
        <f>$K$618*$V$618</f>
        <v>72390</v>
      </c>
      <c r="AC618" s="6">
        <f>$M$618*$W$618</f>
        <v>0</v>
      </c>
      <c r="AD618" s="6">
        <f>$O$618*$X$618</f>
        <v>0</v>
      </c>
      <c r="AE618" s="6">
        <f ca="1">$K$618*$Y$618</f>
        <v>81409.651856839089</v>
      </c>
      <c r="AF618" s="6">
        <f>$M$618*$Z$618</f>
        <v>0</v>
      </c>
      <c r="AG618" s="6">
        <f>$O$618*$AA$618</f>
        <v>0</v>
      </c>
    </row>
    <row r="619" spans="1:33" ht="11.25" customHeight="1" x14ac:dyDescent="0.25">
      <c r="A619" s="4" t="s">
        <v>21</v>
      </c>
      <c r="B619" s="4" t="s">
        <v>41</v>
      </c>
      <c r="C619" s="4" t="s">
        <v>64</v>
      </c>
      <c r="D619" s="4" t="s">
        <v>25</v>
      </c>
      <c r="E619" s="4" t="s">
        <v>25</v>
      </c>
      <c r="F619" s="4" t="s">
        <v>25</v>
      </c>
      <c r="G619" s="4" t="s">
        <v>90</v>
      </c>
      <c r="H619" s="4" t="s">
        <v>25</v>
      </c>
      <c r="I619" s="5">
        <v>44378</v>
      </c>
      <c r="J619" s="6">
        <v>420</v>
      </c>
      <c r="K619" s="6">
        <v>420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4" t="s">
        <v>66</v>
      </c>
      <c r="R619" s="4">
        <v>27928</v>
      </c>
      <c r="S619" s="6">
        <v>28</v>
      </c>
      <c r="T619" s="6">
        <v>0</v>
      </c>
      <c r="U619" s="6">
        <v>0</v>
      </c>
      <c r="V619" s="6">
        <f>IF(ISERROR(VLOOKUP($S$619,'TAR FIN'!$A$1:$O$116,15,0)),0,VLOOKUP($S$619,'TAR FIN'!$A$1:$O$116,15,0))</f>
        <v>15.24</v>
      </c>
      <c r="W619" s="6">
        <f>IF(ISERROR(VLOOKUP($T$619,'TAR FIN'!$A$1:$O$116,15,0)),0,VLOOKUP($T$619,'TAR FIN'!$A$1:$O$116,15,0))</f>
        <v>0</v>
      </c>
      <c r="X619" s="6">
        <f>IF(ISERROR(VLOOKUP($U$619,'TAR FIN'!$A$1:$O$116,15,0)),0,VLOOKUP($U$619,'TAR FIN'!$A$1:$O$116,15,0))</f>
        <v>0</v>
      </c>
      <c r="Y619" s="6">
        <f ca="1">('TUSD BE'!$AM$32+'TUSD BF'!$AM$32+'TUSD CVA'!$AM$32)*1</f>
        <v>17.138874075124019</v>
      </c>
      <c r="Z619" s="6"/>
      <c r="AA619" s="6"/>
      <c r="AB619" s="6">
        <f>$K$619*$V$619</f>
        <v>6400.8</v>
      </c>
      <c r="AC619" s="6">
        <f>$M$619*$W$619</f>
        <v>0</v>
      </c>
      <c r="AD619" s="6">
        <f>$O$619*$X$619</f>
        <v>0</v>
      </c>
      <c r="AE619" s="6">
        <f ca="1">$K$619*$Y$619</f>
        <v>7198.3271115520874</v>
      </c>
      <c r="AF619" s="6">
        <f>$M$619*$Z$619</f>
        <v>0</v>
      </c>
      <c r="AG619" s="6">
        <f>$O$619*$AA$619</f>
        <v>0</v>
      </c>
    </row>
    <row r="620" spans="1:33" ht="11.25" customHeight="1" x14ac:dyDescent="0.25">
      <c r="A620" s="4" t="s">
        <v>21</v>
      </c>
      <c r="B620" s="4" t="s">
        <v>41</v>
      </c>
      <c r="C620" s="4" t="s">
        <v>64</v>
      </c>
      <c r="D620" s="4" t="s">
        <v>25</v>
      </c>
      <c r="E620" s="4" t="s">
        <v>25</v>
      </c>
      <c r="F620" s="4" t="s">
        <v>25</v>
      </c>
      <c r="G620" s="4" t="s">
        <v>93</v>
      </c>
      <c r="H620" s="4" t="s">
        <v>25</v>
      </c>
      <c r="I620" s="5">
        <v>44378</v>
      </c>
      <c r="J620" s="6">
        <v>1300</v>
      </c>
      <c r="K620" s="6">
        <v>650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4" t="s">
        <v>66</v>
      </c>
      <c r="R620" s="4">
        <v>30847</v>
      </c>
      <c r="S620" s="6">
        <v>28</v>
      </c>
      <c r="T620" s="6">
        <v>0</v>
      </c>
      <c r="U620" s="6">
        <v>0</v>
      </c>
      <c r="V620" s="6">
        <f>IF(ISERROR(VLOOKUP($S$620,'TAR FIN'!$A$1:$O$116,15,0)),0,VLOOKUP($S$620,'TAR FIN'!$A$1:$O$116,15,0))</f>
        <v>15.24</v>
      </c>
      <c r="W620" s="6">
        <f>IF(ISERROR(VLOOKUP($T$620,'TAR FIN'!$A$1:$O$116,15,0)),0,VLOOKUP($T$620,'TAR FIN'!$A$1:$O$116,15,0))</f>
        <v>0</v>
      </c>
      <c r="X620" s="6">
        <f>IF(ISERROR(VLOOKUP($U$620,'TAR FIN'!$A$1:$O$116,15,0)),0,VLOOKUP($U$620,'TAR FIN'!$A$1:$O$116,15,0))</f>
        <v>0</v>
      </c>
      <c r="Y620" s="6">
        <f ca="1">('TUSD BE'!$AM$32+'TUSD BF'!$AM$32+'TUSD CVA'!$AM$32)*1</f>
        <v>17.138874075124019</v>
      </c>
      <c r="Z620" s="6"/>
      <c r="AA620" s="6"/>
      <c r="AB620" s="6">
        <f>$K$620*$V$620</f>
        <v>9906</v>
      </c>
      <c r="AC620" s="6">
        <f>$M$620*$W$620</f>
        <v>0</v>
      </c>
      <c r="AD620" s="6">
        <f>$O$620*$X$620</f>
        <v>0</v>
      </c>
      <c r="AE620" s="6">
        <f ca="1">$K$620*$Y$620</f>
        <v>11140.268148830612</v>
      </c>
      <c r="AF620" s="6">
        <f>$M$620*$Z$620</f>
        <v>0</v>
      </c>
      <c r="AG620" s="6">
        <f>$O$620*$AA$620</f>
        <v>0</v>
      </c>
    </row>
    <row r="621" spans="1:33" ht="11.25" customHeight="1" x14ac:dyDescent="0.25">
      <c r="A621" s="4" t="s">
        <v>21</v>
      </c>
      <c r="B621" s="4" t="s">
        <v>41</v>
      </c>
      <c r="C621" s="4" t="s">
        <v>64</v>
      </c>
      <c r="D621" s="4" t="s">
        <v>25</v>
      </c>
      <c r="E621" s="4" t="s">
        <v>25</v>
      </c>
      <c r="F621" s="4" t="s">
        <v>25</v>
      </c>
      <c r="G621" s="4" t="s">
        <v>94</v>
      </c>
      <c r="H621" s="4" t="s">
        <v>25</v>
      </c>
      <c r="I621" s="5">
        <v>44378</v>
      </c>
      <c r="J621" s="6">
        <v>1180</v>
      </c>
      <c r="K621" s="6">
        <v>590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4" t="s">
        <v>66</v>
      </c>
      <c r="R621" s="4">
        <v>30866</v>
      </c>
      <c r="S621" s="6">
        <v>28</v>
      </c>
      <c r="T621" s="6">
        <v>0</v>
      </c>
      <c r="U621" s="6">
        <v>0</v>
      </c>
      <c r="V621" s="6">
        <f>IF(ISERROR(VLOOKUP($S$621,'TAR FIN'!$A$1:$O$116,15,0)),0,VLOOKUP($S$621,'TAR FIN'!$A$1:$O$116,15,0))</f>
        <v>15.24</v>
      </c>
      <c r="W621" s="6">
        <f>IF(ISERROR(VLOOKUP($T$621,'TAR FIN'!$A$1:$O$116,15,0)),0,VLOOKUP($T$621,'TAR FIN'!$A$1:$O$116,15,0))</f>
        <v>0</v>
      </c>
      <c r="X621" s="6">
        <f>IF(ISERROR(VLOOKUP($U$621,'TAR FIN'!$A$1:$O$116,15,0)),0,VLOOKUP($U$621,'TAR FIN'!$A$1:$O$116,15,0))</f>
        <v>0</v>
      </c>
      <c r="Y621" s="6">
        <f ca="1">('TUSD BE'!$AM$32+'TUSD BF'!$AM$32+'TUSD CVA'!$AM$32)*1</f>
        <v>17.138874075124019</v>
      </c>
      <c r="Z621" s="6"/>
      <c r="AA621" s="6"/>
      <c r="AB621" s="6">
        <f>$K$621*$V$621</f>
        <v>8991.6</v>
      </c>
      <c r="AC621" s="6">
        <f>$M$621*$W$621</f>
        <v>0</v>
      </c>
      <c r="AD621" s="6">
        <f>$O$621*$X$621</f>
        <v>0</v>
      </c>
      <c r="AE621" s="6">
        <f ca="1">$K$621*$Y$621</f>
        <v>10111.93570432317</v>
      </c>
      <c r="AF621" s="6">
        <f>$M$621*$Z$621</f>
        <v>0</v>
      </c>
      <c r="AG621" s="6">
        <f>$O$621*$AA$621</f>
        <v>0</v>
      </c>
    </row>
    <row r="622" spans="1:33" ht="11.25" customHeight="1" x14ac:dyDescent="0.25">
      <c r="A622" s="4" t="s">
        <v>21</v>
      </c>
      <c r="B622" s="4" t="s">
        <v>41</v>
      </c>
      <c r="C622" s="4" t="s">
        <v>64</v>
      </c>
      <c r="D622" s="4" t="s">
        <v>25</v>
      </c>
      <c r="E622" s="4" t="s">
        <v>25</v>
      </c>
      <c r="F622" s="4" t="s">
        <v>25</v>
      </c>
      <c r="G622" s="4" t="s">
        <v>95</v>
      </c>
      <c r="H622" s="4" t="s">
        <v>25</v>
      </c>
      <c r="I622" s="5">
        <v>44378</v>
      </c>
      <c r="J622" s="6">
        <v>1180</v>
      </c>
      <c r="K622" s="6">
        <v>590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4" t="s">
        <v>66</v>
      </c>
      <c r="R622" s="4">
        <v>31051</v>
      </c>
      <c r="S622" s="6">
        <v>28</v>
      </c>
      <c r="T622" s="6">
        <v>0</v>
      </c>
      <c r="U622" s="6">
        <v>0</v>
      </c>
      <c r="V622" s="6">
        <f>IF(ISERROR(VLOOKUP($S$622,'TAR FIN'!$A$1:$O$116,15,0)),0,VLOOKUP($S$622,'TAR FIN'!$A$1:$O$116,15,0))</f>
        <v>15.24</v>
      </c>
      <c r="W622" s="6">
        <f>IF(ISERROR(VLOOKUP($T$622,'TAR FIN'!$A$1:$O$116,15,0)),0,VLOOKUP($T$622,'TAR FIN'!$A$1:$O$116,15,0))</f>
        <v>0</v>
      </c>
      <c r="X622" s="6">
        <f>IF(ISERROR(VLOOKUP($U$622,'TAR FIN'!$A$1:$O$116,15,0)),0,VLOOKUP($U$622,'TAR FIN'!$A$1:$O$116,15,0))</f>
        <v>0</v>
      </c>
      <c r="Y622" s="6">
        <f ca="1">('TUSD BE'!$AM$32+'TUSD BF'!$AM$32+'TUSD CVA'!$AM$32)*1</f>
        <v>17.138874075124019</v>
      </c>
      <c r="Z622" s="6"/>
      <c r="AA622" s="6"/>
      <c r="AB622" s="6">
        <f>$K$622*$V$622</f>
        <v>8991.6</v>
      </c>
      <c r="AC622" s="6">
        <f>$M$622*$W$622</f>
        <v>0</v>
      </c>
      <c r="AD622" s="6">
        <f>$O$622*$X$622</f>
        <v>0</v>
      </c>
      <c r="AE622" s="6">
        <f ca="1">$K$622*$Y$622</f>
        <v>10111.93570432317</v>
      </c>
      <c r="AF622" s="6">
        <f>$M$622*$Z$622</f>
        <v>0</v>
      </c>
      <c r="AG622" s="6">
        <f>$O$622*$AA$622</f>
        <v>0</v>
      </c>
    </row>
    <row r="623" spans="1:33" ht="11.25" customHeight="1" x14ac:dyDescent="0.25">
      <c r="A623" s="4" t="s">
        <v>21</v>
      </c>
      <c r="B623" s="4" t="s">
        <v>41</v>
      </c>
      <c r="C623" s="4" t="s">
        <v>64</v>
      </c>
      <c r="D623" s="4" t="s">
        <v>25</v>
      </c>
      <c r="E623" s="4" t="s">
        <v>25</v>
      </c>
      <c r="F623" s="4" t="s">
        <v>25</v>
      </c>
      <c r="G623" s="4" t="s">
        <v>96</v>
      </c>
      <c r="H623" s="4" t="s">
        <v>25</v>
      </c>
      <c r="I623" s="5">
        <v>44378</v>
      </c>
      <c r="J623" s="6">
        <v>1000</v>
      </c>
      <c r="K623" s="6">
        <v>500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4" t="s">
        <v>66</v>
      </c>
      <c r="R623" s="4">
        <v>31277</v>
      </c>
      <c r="S623" s="6">
        <v>28</v>
      </c>
      <c r="T623" s="6">
        <v>0</v>
      </c>
      <c r="U623" s="6">
        <v>0</v>
      </c>
      <c r="V623" s="6">
        <f>IF(ISERROR(VLOOKUP($S$623,'TAR FIN'!$A$1:$O$116,15,0)),0,VLOOKUP($S$623,'TAR FIN'!$A$1:$O$116,15,0))</f>
        <v>15.24</v>
      </c>
      <c r="W623" s="6">
        <f>IF(ISERROR(VLOOKUP($T$623,'TAR FIN'!$A$1:$O$116,15,0)),0,VLOOKUP($T$623,'TAR FIN'!$A$1:$O$116,15,0))</f>
        <v>0</v>
      </c>
      <c r="X623" s="6">
        <f>IF(ISERROR(VLOOKUP($U$623,'TAR FIN'!$A$1:$O$116,15,0)),0,VLOOKUP($U$623,'TAR FIN'!$A$1:$O$116,15,0))</f>
        <v>0</v>
      </c>
      <c r="Y623" s="6">
        <f ca="1">('TUSD BE'!$AM$32+'TUSD BF'!$AM$32+'TUSD CVA'!$AM$32)*1</f>
        <v>17.138874075124019</v>
      </c>
      <c r="Z623" s="6"/>
      <c r="AA623" s="6"/>
      <c r="AB623" s="6">
        <f>$K$623*$V$623</f>
        <v>7620</v>
      </c>
      <c r="AC623" s="6">
        <f>$M$623*$W$623</f>
        <v>0</v>
      </c>
      <c r="AD623" s="6">
        <f>$O$623*$X$623</f>
        <v>0</v>
      </c>
      <c r="AE623" s="6">
        <f ca="1">$K$623*$Y$623</f>
        <v>8569.4370375620092</v>
      </c>
      <c r="AF623" s="6">
        <f>$M$623*$Z$623</f>
        <v>0</v>
      </c>
      <c r="AG623" s="6">
        <f>$O$623*$AA$623</f>
        <v>0</v>
      </c>
    </row>
    <row r="624" spans="1:33" ht="11.25" customHeight="1" x14ac:dyDescent="0.25">
      <c r="A624" s="4" t="s">
        <v>21</v>
      </c>
      <c r="B624" s="4" t="s">
        <v>41</v>
      </c>
      <c r="C624" s="4" t="s">
        <v>64</v>
      </c>
      <c r="D624" s="4" t="s">
        <v>25</v>
      </c>
      <c r="E624" s="4" t="s">
        <v>25</v>
      </c>
      <c r="F624" s="4" t="s">
        <v>25</v>
      </c>
      <c r="G624" s="4" t="s">
        <v>97</v>
      </c>
      <c r="H624" s="4" t="s">
        <v>25</v>
      </c>
      <c r="I624" s="5">
        <v>44378</v>
      </c>
      <c r="J624" s="6">
        <v>1180</v>
      </c>
      <c r="K624" s="6">
        <v>590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4" t="s">
        <v>66</v>
      </c>
      <c r="R624" s="4">
        <v>31318</v>
      </c>
      <c r="S624" s="6">
        <v>28</v>
      </c>
      <c r="T624" s="6">
        <v>0</v>
      </c>
      <c r="U624" s="6">
        <v>0</v>
      </c>
      <c r="V624" s="6">
        <f>IF(ISERROR(VLOOKUP($S$624,'TAR FIN'!$A$1:$O$116,15,0)),0,VLOOKUP($S$624,'TAR FIN'!$A$1:$O$116,15,0))</f>
        <v>15.24</v>
      </c>
      <c r="W624" s="6">
        <f>IF(ISERROR(VLOOKUP($T$624,'TAR FIN'!$A$1:$O$116,15,0)),0,VLOOKUP($T$624,'TAR FIN'!$A$1:$O$116,15,0))</f>
        <v>0</v>
      </c>
      <c r="X624" s="6">
        <f>IF(ISERROR(VLOOKUP($U$624,'TAR FIN'!$A$1:$O$116,15,0)),0,VLOOKUP($U$624,'TAR FIN'!$A$1:$O$116,15,0))</f>
        <v>0</v>
      </c>
      <c r="Y624" s="6">
        <f ca="1">('TUSD BE'!$AM$32+'TUSD BF'!$AM$32+'TUSD CVA'!$AM$32)*1</f>
        <v>17.138874075124019</v>
      </c>
      <c r="Z624" s="6"/>
      <c r="AA624" s="6"/>
      <c r="AB624" s="6">
        <f>$K$624*$V$624</f>
        <v>8991.6</v>
      </c>
      <c r="AC624" s="6">
        <f>$M$624*$W$624</f>
        <v>0</v>
      </c>
      <c r="AD624" s="6">
        <f>$O$624*$X$624</f>
        <v>0</v>
      </c>
      <c r="AE624" s="6">
        <f ca="1">$K$624*$Y$624</f>
        <v>10111.93570432317</v>
      </c>
      <c r="AF624" s="6">
        <f>$M$624*$Z$624</f>
        <v>0</v>
      </c>
      <c r="AG624" s="6">
        <f>$O$624*$AA$624</f>
        <v>0</v>
      </c>
    </row>
    <row r="625" spans="1:33" ht="11.25" customHeight="1" x14ac:dyDescent="0.25">
      <c r="A625" s="4" t="s">
        <v>21</v>
      </c>
      <c r="B625" s="4" t="s">
        <v>41</v>
      </c>
      <c r="C625" s="4" t="s">
        <v>64</v>
      </c>
      <c r="D625" s="4" t="s">
        <v>25</v>
      </c>
      <c r="E625" s="4" t="s">
        <v>25</v>
      </c>
      <c r="F625" s="4" t="s">
        <v>25</v>
      </c>
      <c r="G625" s="4" t="s">
        <v>98</v>
      </c>
      <c r="H625" s="4" t="s">
        <v>25</v>
      </c>
      <c r="I625" s="5">
        <v>44378</v>
      </c>
      <c r="J625" s="6">
        <v>3000</v>
      </c>
      <c r="K625" s="6">
        <v>1500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4" t="s">
        <v>66</v>
      </c>
      <c r="R625" s="4">
        <v>31334</v>
      </c>
      <c r="S625" s="6">
        <v>28</v>
      </c>
      <c r="T625" s="6">
        <v>0</v>
      </c>
      <c r="U625" s="6">
        <v>0</v>
      </c>
      <c r="V625" s="6">
        <f>IF(ISERROR(VLOOKUP($S$625,'TAR FIN'!$A$1:$O$116,15,0)),0,VLOOKUP($S$625,'TAR FIN'!$A$1:$O$116,15,0))</f>
        <v>15.24</v>
      </c>
      <c r="W625" s="6">
        <f>IF(ISERROR(VLOOKUP($T$625,'TAR FIN'!$A$1:$O$116,15,0)),0,VLOOKUP($T$625,'TAR FIN'!$A$1:$O$116,15,0))</f>
        <v>0</v>
      </c>
      <c r="X625" s="6">
        <f>IF(ISERROR(VLOOKUP($U$625,'TAR FIN'!$A$1:$O$116,15,0)),0,VLOOKUP($U$625,'TAR FIN'!$A$1:$O$116,15,0))</f>
        <v>0</v>
      </c>
      <c r="Y625" s="6">
        <f ca="1">('TUSD BE'!$AM$32+'TUSD BF'!$AM$32+'TUSD CVA'!$AM$32)*1</f>
        <v>17.138874075124019</v>
      </c>
      <c r="Z625" s="6"/>
      <c r="AA625" s="6"/>
      <c r="AB625" s="6">
        <f>$K$625*$V$625</f>
        <v>22860</v>
      </c>
      <c r="AC625" s="6">
        <f>$M$625*$W$625</f>
        <v>0</v>
      </c>
      <c r="AD625" s="6">
        <f>$O$625*$X$625</f>
        <v>0</v>
      </c>
      <c r="AE625" s="6">
        <f ca="1">$K$625*$Y$625</f>
        <v>25708.311112686028</v>
      </c>
      <c r="AF625" s="6">
        <f>$M$625*$Z$625</f>
        <v>0</v>
      </c>
      <c r="AG625" s="6">
        <f>$O$625*$AA$625</f>
        <v>0</v>
      </c>
    </row>
    <row r="626" spans="1:33" ht="11.25" customHeight="1" x14ac:dyDescent="0.25">
      <c r="A626" s="4" t="s">
        <v>21</v>
      </c>
      <c r="B626" s="4" t="s">
        <v>41</v>
      </c>
      <c r="C626" s="4" t="s">
        <v>64</v>
      </c>
      <c r="D626" s="4" t="s">
        <v>25</v>
      </c>
      <c r="E626" s="4" t="s">
        <v>25</v>
      </c>
      <c r="F626" s="4" t="s">
        <v>25</v>
      </c>
      <c r="G626" s="4" t="s">
        <v>99</v>
      </c>
      <c r="H626" s="4" t="s">
        <v>25</v>
      </c>
      <c r="I626" s="5">
        <v>44378</v>
      </c>
      <c r="J626" s="6">
        <v>1180</v>
      </c>
      <c r="K626" s="6">
        <v>590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4" t="s">
        <v>66</v>
      </c>
      <c r="R626" s="4">
        <v>31618</v>
      </c>
      <c r="S626" s="6">
        <v>28</v>
      </c>
      <c r="T626" s="6">
        <v>0</v>
      </c>
      <c r="U626" s="6">
        <v>0</v>
      </c>
      <c r="V626" s="6">
        <f>IF(ISERROR(VLOOKUP($S$626,'TAR FIN'!$A$1:$O$116,15,0)),0,VLOOKUP($S$626,'TAR FIN'!$A$1:$O$116,15,0))</f>
        <v>15.24</v>
      </c>
      <c r="W626" s="6">
        <f>IF(ISERROR(VLOOKUP($T$626,'TAR FIN'!$A$1:$O$116,15,0)),0,VLOOKUP($T$626,'TAR FIN'!$A$1:$O$116,15,0))</f>
        <v>0</v>
      </c>
      <c r="X626" s="6">
        <f>IF(ISERROR(VLOOKUP($U$626,'TAR FIN'!$A$1:$O$116,15,0)),0,VLOOKUP($U$626,'TAR FIN'!$A$1:$O$116,15,0))</f>
        <v>0</v>
      </c>
      <c r="Y626" s="6">
        <f ca="1">('TUSD BE'!$AM$32+'TUSD BF'!$AM$32+'TUSD CVA'!$AM$32)*1</f>
        <v>17.138874075124019</v>
      </c>
      <c r="Z626" s="6"/>
      <c r="AA626" s="6"/>
      <c r="AB626" s="6">
        <f>$K$626*$V$626</f>
        <v>8991.6</v>
      </c>
      <c r="AC626" s="6">
        <f>$M$626*$W$626</f>
        <v>0</v>
      </c>
      <c r="AD626" s="6">
        <f>$O$626*$X$626</f>
        <v>0</v>
      </c>
      <c r="AE626" s="6">
        <f ca="1">$K$626*$Y$626</f>
        <v>10111.93570432317</v>
      </c>
      <c r="AF626" s="6">
        <f>$M$626*$Z$626</f>
        <v>0</v>
      </c>
      <c r="AG626" s="6">
        <f>$O$626*$AA$626</f>
        <v>0</v>
      </c>
    </row>
    <row r="627" spans="1:33" ht="11.25" customHeight="1" x14ac:dyDescent="0.25">
      <c r="A627" s="4" t="s">
        <v>21</v>
      </c>
      <c r="B627" s="4" t="s">
        <v>41</v>
      </c>
      <c r="C627" s="4" t="s">
        <v>64</v>
      </c>
      <c r="D627" s="4" t="s">
        <v>25</v>
      </c>
      <c r="E627" s="4" t="s">
        <v>25</v>
      </c>
      <c r="F627" s="4" t="s">
        <v>25</v>
      </c>
      <c r="G627" s="4" t="s">
        <v>100</v>
      </c>
      <c r="H627" s="4" t="s">
        <v>25</v>
      </c>
      <c r="I627" s="5">
        <v>44378</v>
      </c>
      <c r="J627" s="6">
        <v>1180</v>
      </c>
      <c r="K627" s="6">
        <v>590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4" t="s">
        <v>66</v>
      </c>
      <c r="R627" s="4">
        <v>31677</v>
      </c>
      <c r="S627" s="6">
        <v>28</v>
      </c>
      <c r="T627" s="6">
        <v>0</v>
      </c>
      <c r="U627" s="6">
        <v>0</v>
      </c>
      <c r="V627" s="6">
        <f>IF(ISERROR(VLOOKUP($S$627,'TAR FIN'!$A$1:$O$116,15,0)),0,VLOOKUP($S$627,'TAR FIN'!$A$1:$O$116,15,0))</f>
        <v>15.24</v>
      </c>
      <c r="W627" s="6">
        <f>IF(ISERROR(VLOOKUP($T$627,'TAR FIN'!$A$1:$O$116,15,0)),0,VLOOKUP($T$627,'TAR FIN'!$A$1:$O$116,15,0))</f>
        <v>0</v>
      </c>
      <c r="X627" s="6">
        <f>IF(ISERROR(VLOOKUP($U$627,'TAR FIN'!$A$1:$O$116,15,0)),0,VLOOKUP($U$627,'TAR FIN'!$A$1:$O$116,15,0))</f>
        <v>0</v>
      </c>
      <c r="Y627" s="6">
        <f ca="1">('TUSD BE'!$AM$32+'TUSD BF'!$AM$32+'TUSD CVA'!$AM$32)*1</f>
        <v>17.138874075124019</v>
      </c>
      <c r="Z627" s="6"/>
      <c r="AA627" s="6"/>
      <c r="AB627" s="6">
        <f>$K$627*$V$627</f>
        <v>8991.6</v>
      </c>
      <c r="AC627" s="6">
        <f>$M$627*$W$627</f>
        <v>0</v>
      </c>
      <c r="AD627" s="6">
        <f>$O$627*$X$627</f>
        <v>0</v>
      </c>
      <c r="AE627" s="6">
        <f ca="1">$K$627*$Y$627</f>
        <v>10111.93570432317</v>
      </c>
      <c r="AF627" s="6">
        <f>$M$627*$Z$627</f>
        <v>0</v>
      </c>
      <c r="AG627" s="6">
        <f>$O$627*$AA$627</f>
        <v>0</v>
      </c>
    </row>
    <row r="628" spans="1:33" ht="11.25" customHeight="1" x14ac:dyDescent="0.25">
      <c r="A628" s="4" t="s">
        <v>21</v>
      </c>
      <c r="B628" s="4" t="s">
        <v>41</v>
      </c>
      <c r="C628" s="4" t="s">
        <v>64</v>
      </c>
      <c r="D628" s="4" t="s">
        <v>25</v>
      </c>
      <c r="E628" s="4" t="s">
        <v>25</v>
      </c>
      <c r="F628" s="4" t="s">
        <v>25</v>
      </c>
      <c r="G628" s="4" t="s">
        <v>68</v>
      </c>
      <c r="H628" s="4" t="s">
        <v>25</v>
      </c>
      <c r="I628" s="5">
        <v>44409</v>
      </c>
      <c r="J628" s="6">
        <v>302</v>
      </c>
      <c r="K628" s="6">
        <v>302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4" t="s">
        <v>66</v>
      </c>
      <c r="R628" s="4">
        <v>404</v>
      </c>
      <c r="S628" s="6">
        <v>28</v>
      </c>
      <c r="T628" s="6">
        <v>0</v>
      </c>
      <c r="U628" s="6">
        <v>0</v>
      </c>
      <c r="V628" s="6">
        <f>IF(ISERROR(VLOOKUP($S$628,'TAR FIN'!$A$1:$O$116,15,0)),0,VLOOKUP($S$628,'TAR FIN'!$A$1:$O$116,15,0))</f>
        <v>15.24</v>
      </c>
      <c r="W628" s="6">
        <f>IF(ISERROR(VLOOKUP($T$628,'TAR FIN'!$A$1:$O$116,15,0)),0,VLOOKUP($T$628,'TAR FIN'!$A$1:$O$116,15,0))</f>
        <v>0</v>
      </c>
      <c r="X628" s="6">
        <f>IF(ISERROR(VLOOKUP($U$628,'TAR FIN'!$A$1:$O$116,15,0)),0,VLOOKUP($U$628,'TAR FIN'!$A$1:$O$116,15,0))</f>
        <v>0</v>
      </c>
      <c r="Y628" s="6">
        <f ca="1">('TUSD BE'!$AM$32+'TUSD BF'!$AM$32+'TUSD CVA'!$AM$32)*1</f>
        <v>17.138874075124019</v>
      </c>
      <c r="Z628" s="6"/>
      <c r="AA628" s="6"/>
      <c r="AB628" s="6">
        <f>$K$628*$V$628</f>
        <v>4602.4800000000005</v>
      </c>
      <c r="AC628" s="6">
        <f>$M$628*$W$628</f>
        <v>0</v>
      </c>
      <c r="AD628" s="6">
        <f>$O$628*$X$628</f>
        <v>0</v>
      </c>
      <c r="AE628" s="6">
        <f ca="1">$K$628*$Y$628</f>
        <v>5175.9399706874538</v>
      </c>
      <c r="AF628" s="6">
        <f>$M$628*$Z$628</f>
        <v>0</v>
      </c>
      <c r="AG628" s="6">
        <f>$O$628*$AA$628</f>
        <v>0</v>
      </c>
    </row>
    <row r="629" spans="1:33" ht="11.25" customHeight="1" x14ac:dyDescent="0.25">
      <c r="A629" s="4" t="s">
        <v>21</v>
      </c>
      <c r="B629" s="4" t="s">
        <v>41</v>
      </c>
      <c r="C629" s="4" t="s">
        <v>64</v>
      </c>
      <c r="D629" s="4" t="s">
        <v>25</v>
      </c>
      <c r="E629" s="4" t="s">
        <v>25</v>
      </c>
      <c r="F629" s="4" t="s">
        <v>25</v>
      </c>
      <c r="G629" s="4" t="s">
        <v>70</v>
      </c>
      <c r="H629" s="4" t="s">
        <v>25</v>
      </c>
      <c r="I629" s="5">
        <v>44409</v>
      </c>
      <c r="J629" s="6">
        <v>5040</v>
      </c>
      <c r="K629" s="6">
        <v>5040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4" t="s">
        <v>66</v>
      </c>
      <c r="R629" s="4">
        <v>838</v>
      </c>
      <c r="S629" s="6">
        <v>28</v>
      </c>
      <c r="T629" s="6">
        <v>0</v>
      </c>
      <c r="U629" s="6">
        <v>0</v>
      </c>
      <c r="V629" s="6">
        <f>IF(ISERROR(VLOOKUP($S$629,'TAR FIN'!$A$1:$O$116,15,0)),0,VLOOKUP($S$629,'TAR FIN'!$A$1:$O$116,15,0))</f>
        <v>15.24</v>
      </c>
      <c r="W629" s="6">
        <f>IF(ISERROR(VLOOKUP($T$629,'TAR FIN'!$A$1:$O$116,15,0)),0,VLOOKUP($T$629,'TAR FIN'!$A$1:$O$116,15,0))</f>
        <v>0</v>
      </c>
      <c r="X629" s="6">
        <f>IF(ISERROR(VLOOKUP($U$629,'TAR FIN'!$A$1:$O$116,15,0)),0,VLOOKUP($U$629,'TAR FIN'!$A$1:$O$116,15,0))</f>
        <v>0</v>
      </c>
      <c r="Y629" s="6">
        <f ca="1">('TUSD BE'!$AM$32+'TUSD BF'!$AM$32+'TUSD CVA'!$AM$32)*1</f>
        <v>17.138874075124019</v>
      </c>
      <c r="Z629" s="6"/>
      <c r="AA629" s="6"/>
      <c r="AB629" s="6">
        <f>$K$629*$V$629</f>
        <v>76809.600000000006</v>
      </c>
      <c r="AC629" s="6">
        <f>$M$629*$W$629</f>
        <v>0</v>
      </c>
      <c r="AD629" s="6">
        <f>$O$629*$X$629</f>
        <v>0</v>
      </c>
      <c r="AE629" s="6">
        <f ca="1">$K$629*$Y$629</f>
        <v>86379.925338625049</v>
      </c>
      <c r="AF629" s="6">
        <f>$M$629*$Z$629</f>
        <v>0</v>
      </c>
      <c r="AG629" s="6">
        <f>$O$629*$AA$629</f>
        <v>0</v>
      </c>
    </row>
    <row r="630" spans="1:33" ht="11.25" customHeight="1" x14ac:dyDescent="0.25">
      <c r="A630" s="4" t="s">
        <v>21</v>
      </c>
      <c r="B630" s="4" t="s">
        <v>41</v>
      </c>
      <c r="C630" s="4" t="s">
        <v>64</v>
      </c>
      <c r="D630" s="4" t="s">
        <v>25</v>
      </c>
      <c r="E630" s="4" t="s">
        <v>25</v>
      </c>
      <c r="F630" s="4" t="s">
        <v>25</v>
      </c>
      <c r="G630" s="4" t="s">
        <v>74</v>
      </c>
      <c r="H630" s="4" t="s">
        <v>25</v>
      </c>
      <c r="I630" s="5">
        <v>44409</v>
      </c>
      <c r="J630" s="6">
        <v>3800</v>
      </c>
      <c r="K630" s="6">
        <v>1900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4" t="s">
        <v>66</v>
      </c>
      <c r="R630" s="4">
        <v>1192</v>
      </c>
      <c r="S630" s="6">
        <v>28</v>
      </c>
      <c r="T630" s="6">
        <v>0</v>
      </c>
      <c r="U630" s="6">
        <v>0</v>
      </c>
      <c r="V630" s="6">
        <f>IF(ISERROR(VLOOKUP($S$630,'TAR FIN'!$A$1:$O$116,15,0)),0,VLOOKUP($S$630,'TAR FIN'!$A$1:$O$116,15,0))</f>
        <v>15.24</v>
      </c>
      <c r="W630" s="6">
        <f>IF(ISERROR(VLOOKUP($T$630,'TAR FIN'!$A$1:$O$116,15,0)),0,VLOOKUP($T$630,'TAR FIN'!$A$1:$O$116,15,0))</f>
        <v>0</v>
      </c>
      <c r="X630" s="6">
        <f>IF(ISERROR(VLOOKUP($U$630,'TAR FIN'!$A$1:$O$116,15,0)),0,VLOOKUP($U$630,'TAR FIN'!$A$1:$O$116,15,0))</f>
        <v>0</v>
      </c>
      <c r="Y630" s="6">
        <f ca="1">('TUSD BE'!$AM$32+'TUSD BF'!$AM$32+'TUSD CVA'!$AM$32)*1</f>
        <v>17.138874075124019</v>
      </c>
      <c r="Z630" s="6"/>
      <c r="AA630" s="6"/>
      <c r="AB630" s="6">
        <f>$K$630*$V$630</f>
        <v>28956</v>
      </c>
      <c r="AC630" s="6">
        <f>$M$630*$W$630</f>
        <v>0</v>
      </c>
      <c r="AD630" s="6">
        <f>$O$630*$X$630</f>
        <v>0</v>
      </c>
      <c r="AE630" s="6">
        <f ca="1">$K$630*$Y$630</f>
        <v>32563.860742735636</v>
      </c>
      <c r="AF630" s="6">
        <f>$M$630*$Z$630</f>
        <v>0</v>
      </c>
      <c r="AG630" s="6">
        <f>$O$630*$AA$630</f>
        <v>0</v>
      </c>
    </row>
    <row r="631" spans="1:33" ht="11.25" customHeight="1" x14ac:dyDescent="0.25">
      <c r="A631" s="4" t="s">
        <v>21</v>
      </c>
      <c r="B631" s="4" t="s">
        <v>41</v>
      </c>
      <c r="C631" s="4" t="s">
        <v>64</v>
      </c>
      <c r="D631" s="4" t="s">
        <v>25</v>
      </c>
      <c r="E631" s="4" t="s">
        <v>25</v>
      </c>
      <c r="F631" s="4" t="s">
        <v>25</v>
      </c>
      <c r="G631" s="4" t="s">
        <v>76</v>
      </c>
      <c r="H631" s="4" t="s">
        <v>25</v>
      </c>
      <c r="I631" s="5">
        <v>44409</v>
      </c>
      <c r="J631" s="6">
        <v>480</v>
      </c>
      <c r="K631" s="6">
        <v>480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4" t="s">
        <v>66</v>
      </c>
      <c r="R631" s="4">
        <v>1438</v>
      </c>
      <c r="S631" s="6">
        <v>28</v>
      </c>
      <c r="T631" s="6">
        <v>0</v>
      </c>
      <c r="U631" s="6">
        <v>0</v>
      </c>
      <c r="V631" s="6">
        <f>IF(ISERROR(VLOOKUP($S$631,'TAR FIN'!$A$1:$O$116,15,0)),0,VLOOKUP($S$631,'TAR FIN'!$A$1:$O$116,15,0))</f>
        <v>15.24</v>
      </c>
      <c r="W631" s="6">
        <f>IF(ISERROR(VLOOKUP($T$631,'TAR FIN'!$A$1:$O$116,15,0)),0,VLOOKUP($T$631,'TAR FIN'!$A$1:$O$116,15,0))</f>
        <v>0</v>
      </c>
      <c r="X631" s="6">
        <f>IF(ISERROR(VLOOKUP($U$631,'TAR FIN'!$A$1:$O$116,15,0)),0,VLOOKUP($U$631,'TAR FIN'!$A$1:$O$116,15,0))</f>
        <v>0</v>
      </c>
      <c r="Y631" s="6">
        <f ca="1">('TUSD BE'!$AM$32+'TUSD BF'!$AM$32+'TUSD CVA'!$AM$32)*1</f>
        <v>17.138874075124019</v>
      </c>
      <c r="Z631" s="6"/>
      <c r="AA631" s="6"/>
      <c r="AB631" s="6">
        <f>$K$631*$V$631</f>
        <v>7315.2</v>
      </c>
      <c r="AC631" s="6">
        <f>$M$631*$W$631</f>
        <v>0</v>
      </c>
      <c r="AD631" s="6">
        <f>$O$631*$X$631</f>
        <v>0</v>
      </c>
      <c r="AE631" s="6">
        <f ca="1">$K$631*$Y$631</f>
        <v>8226.6595560595288</v>
      </c>
      <c r="AF631" s="6">
        <f>$M$631*$Z$631</f>
        <v>0</v>
      </c>
      <c r="AG631" s="6">
        <f>$O$631*$AA$631</f>
        <v>0</v>
      </c>
    </row>
    <row r="632" spans="1:33" ht="11.25" customHeight="1" x14ac:dyDescent="0.25">
      <c r="A632" s="4" t="s">
        <v>21</v>
      </c>
      <c r="B632" s="4" t="s">
        <v>41</v>
      </c>
      <c r="C632" s="4" t="s">
        <v>64</v>
      </c>
      <c r="D632" s="4" t="s">
        <v>25</v>
      </c>
      <c r="E632" s="4" t="s">
        <v>25</v>
      </c>
      <c r="F632" s="4" t="s">
        <v>25</v>
      </c>
      <c r="G632" s="4" t="s">
        <v>77</v>
      </c>
      <c r="H632" s="4" t="s">
        <v>25</v>
      </c>
      <c r="I632" s="5">
        <v>44409</v>
      </c>
      <c r="J632" s="6">
        <v>736</v>
      </c>
      <c r="K632" s="6">
        <v>736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4" t="s">
        <v>66</v>
      </c>
      <c r="R632" s="4">
        <v>1462</v>
      </c>
      <c r="S632" s="6">
        <v>28</v>
      </c>
      <c r="T632" s="6">
        <v>0</v>
      </c>
      <c r="U632" s="6">
        <v>0</v>
      </c>
      <c r="V632" s="6">
        <f>IF(ISERROR(VLOOKUP($S$632,'TAR FIN'!$A$1:$O$116,15,0)),0,VLOOKUP($S$632,'TAR FIN'!$A$1:$O$116,15,0))</f>
        <v>15.24</v>
      </c>
      <c r="W632" s="6">
        <f>IF(ISERROR(VLOOKUP($T$632,'TAR FIN'!$A$1:$O$116,15,0)),0,VLOOKUP($T$632,'TAR FIN'!$A$1:$O$116,15,0))</f>
        <v>0</v>
      </c>
      <c r="X632" s="6">
        <f>IF(ISERROR(VLOOKUP($U$632,'TAR FIN'!$A$1:$O$116,15,0)),0,VLOOKUP($U$632,'TAR FIN'!$A$1:$O$116,15,0))</f>
        <v>0</v>
      </c>
      <c r="Y632" s="6">
        <f ca="1">('TUSD BE'!$AM$32+'TUSD BF'!$AM$32+'TUSD CVA'!$AM$32)*1</f>
        <v>17.138874075124019</v>
      </c>
      <c r="Z632" s="6"/>
      <c r="AA632" s="6"/>
      <c r="AB632" s="6">
        <f>$K$632*$V$632</f>
        <v>11216.64</v>
      </c>
      <c r="AC632" s="6">
        <f>$M$632*$W$632</f>
        <v>0</v>
      </c>
      <c r="AD632" s="6">
        <f>$O$632*$X$632</f>
        <v>0</v>
      </c>
      <c r="AE632" s="6">
        <f ca="1">$K$632*$Y$632</f>
        <v>12614.211319291278</v>
      </c>
      <c r="AF632" s="6">
        <f>$M$632*$Z$632</f>
        <v>0</v>
      </c>
      <c r="AG632" s="6">
        <f>$O$632*$AA$632</f>
        <v>0</v>
      </c>
    </row>
    <row r="633" spans="1:33" ht="11.25" customHeight="1" x14ac:dyDescent="0.25">
      <c r="A633" s="4" t="s">
        <v>21</v>
      </c>
      <c r="B633" s="4" t="s">
        <v>41</v>
      </c>
      <c r="C633" s="4" t="s">
        <v>64</v>
      </c>
      <c r="D633" s="4" t="s">
        <v>25</v>
      </c>
      <c r="E633" s="4" t="s">
        <v>25</v>
      </c>
      <c r="F633" s="4" t="s">
        <v>25</v>
      </c>
      <c r="G633" s="4" t="s">
        <v>78</v>
      </c>
      <c r="H633" s="4" t="s">
        <v>25</v>
      </c>
      <c r="I633" s="5">
        <v>44409</v>
      </c>
      <c r="J633" s="6">
        <v>6460</v>
      </c>
      <c r="K633" s="6">
        <v>6460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4" t="s">
        <v>66</v>
      </c>
      <c r="R633" s="4">
        <v>1533</v>
      </c>
      <c r="S633" s="6">
        <v>28</v>
      </c>
      <c r="T633" s="6">
        <v>0</v>
      </c>
      <c r="U633" s="6">
        <v>0</v>
      </c>
      <c r="V633" s="6">
        <f>IF(ISERROR(VLOOKUP($S$633,'TAR FIN'!$A$1:$O$116,15,0)),0,VLOOKUP($S$633,'TAR FIN'!$A$1:$O$116,15,0))</f>
        <v>15.24</v>
      </c>
      <c r="W633" s="6">
        <f>IF(ISERROR(VLOOKUP($T$633,'TAR FIN'!$A$1:$O$116,15,0)),0,VLOOKUP($T$633,'TAR FIN'!$A$1:$O$116,15,0))</f>
        <v>0</v>
      </c>
      <c r="X633" s="6">
        <f>IF(ISERROR(VLOOKUP($U$633,'TAR FIN'!$A$1:$O$116,15,0)),0,VLOOKUP($U$633,'TAR FIN'!$A$1:$O$116,15,0))</f>
        <v>0</v>
      </c>
      <c r="Y633" s="6">
        <f ca="1">('TUSD BE'!$AM$32+'TUSD BF'!$AM$32+'TUSD CVA'!$AM$32)*1</f>
        <v>17.138874075124019</v>
      </c>
      <c r="Z633" s="6"/>
      <c r="AA633" s="6"/>
      <c r="AB633" s="6">
        <f>$K$633*$V$633</f>
        <v>98450.4</v>
      </c>
      <c r="AC633" s="6">
        <f>$M$633*$W$633</f>
        <v>0</v>
      </c>
      <c r="AD633" s="6">
        <f>$O$633*$X$633</f>
        <v>0</v>
      </c>
      <c r="AE633" s="6">
        <f ca="1">$K$633*$Y$633</f>
        <v>110717.12652530117</v>
      </c>
      <c r="AF633" s="6">
        <f>$M$633*$Z$633</f>
        <v>0</v>
      </c>
      <c r="AG633" s="6">
        <f>$O$633*$AA$633</f>
        <v>0</v>
      </c>
    </row>
    <row r="634" spans="1:33" ht="11.25" customHeight="1" x14ac:dyDescent="0.25">
      <c r="A634" s="4" t="s">
        <v>21</v>
      </c>
      <c r="B634" s="4" t="s">
        <v>41</v>
      </c>
      <c r="C634" s="4" t="s">
        <v>64</v>
      </c>
      <c r="D634" s="4" t="s">
        <v>25</v>
      </c>
      <c r="E634" s="4" t="s">
        <v>25</v>
      </c>
      <c r="F634" s="4" t="s">
        <v>25</v>
      </c>
      <c r="G634" s="4" t="s">
        <v>79</v>
      </c>
      <c r="H634" s="4" t="s">
        <v>25</v>
      </c>
      <c r="I634" s="5">
        <v>44409</v>
      </c>
      <c r="J634" s="6">
        <v>770</v>
      </c>
      <c r="K634" s="6">
        <v>770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4" t="s">
        <v>66</v>
      </c>
      <c r="R634" s="4">
        <v>2535</v>
      </c>
      <c r="S634" s="6">
        <v>28</v>
      </c>
      <c r="T634" s="6">
        <v>0</v>
      </c>
      <c r="U634" s="6">
        <v>0</v>
      </c>
      <c r="V634" s="6">
        <f>IF(ISERROR(VLOOKUP($S$634,'TAR FIN'!$A$1:$O$116,15,0)),0,VLOOKUP($S$634,'TAR FIN'!$A$1:$O$116,15,0))</f>
        <v>15.24</v>
      </c>
      <c r="W634" s="6">
        <f>IF(ISERROR(VLOOKUP($T$634,'TAR FIN'!$A$1:$O$116,15,0)),0,VLOOKUP($T$634,'TAR FIN'!$A$1:$O$116,15,0))</f>
        <v>0</v>
      </c>
      <c r="X634" s="6">
        <f>IF(ISERROR(VLOOKUP($U$634,'TAR FIN'!$A$1:$O$116,15,0)),0,VLOOKUP($U$634,'TAR FIN'!$A$1:$O$116,15,0))</f>
        <v>0</v>
      </c>
      <c r="Y634" s="6">
        <f ca="1">('TUSD BE'!$AM$32+'TUSD BF'!$AM$32+'TUSD CVA'!$AM$32)*1</f>
        <v>17.138874075124019</v>
      </c>
      <c r="Z634" s="6"/>
      <c r="AA634" s="6"/>
      <c r="AB634" s="6">
        <f>$K$634*$V$634</f>
        <v>11734.8</v>
      </c>
      <c r="AC634" s="6">
        <f>$M$634*$W$634</f>
        <v>0</v>
      </c>
      <c r="AD634" s="6">
        <f>$O$634*$X$634</f>
        <v>0</v>
      </c>
      <c r="AE634" s="6">
        <f ca="1">$K$634*$Y$634</f>
        <v>13196.933037845494</v>
      </c>
      <c r="AF634" s="6">
        <f>$M$634*$Z$634</f>
        <v>0</v>
      </c>
      <c r="AG634" s="6">
        <f>$O$634*$AA$634</f>
        <v>0</v>
      </c>
    </row>
    <row r="635" spans="1:33" ht="11.25" customHeight="1" x14ac:dyDescent="0.25">
      <c r="A635" s="4" t="s">
        <v>21</v>
      </c>
      <c r="B635" s="4" t="s">
        <v>41</v>
      </c>
      <c r="C635" s="4" t="s">
        <v>64</v>
      </c>
      <c r="D635" s="4" t="s">
        <v>25</v>
      </c>
      <c r="E635" s="4" t="s">
        <v>25</v>
      </c>
      <c r="F635" s="4" t="s">
        <v>25</v>
      </c>
      <c r="G635" s="4" t="s">
        <v>80</v>
      </c>
      <c r="H635" s="4" t="s">
        <v>25</v>
      </c>
      <c r="I635" s="5">
        <v>44409</v>
      </c>
      <c r="J635" s="6">
        <v>1416</v>
      </c>
      <c r="K635" s="6">
        <v>1416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4" t="s">
        <v>66</v>
      </c>
      <c r="R635" s="4">
        <v>2751</v>
      </c>
      <c r="S635" s="6">
        <v>28</v>
      </c>
      <c r="T635" s="6">
        <v>0</v>
      </c>
      <c r="U635" s="6">
        <v>0</v>
      </c>
      <c r="V635" s="6">
        <f>IF(ISERROR(VLOOKUP($S$635,'TAR FIN'!$A$1:$O$116,15,0)),0,VLOOKUP($S$635,'TAR FIN'!$A$1:$O$116,15,0))</f>
        <v>15.24</v>
      </c>
      <c r="W635" s="6">
        <f>IF(ISERROR(VLOOKUP($T$635,'TAR FIN'!$A$1:$O$116,15,0)),0,VLOOKUP($T$635,'TAR FIN'!$A$1:$O$116,15,0))</f>
        <v>0</v>
      </c>
      <c r="X635" s="6">
        <f>IF(ISERROR(VLOOKUP($U$635,'TAR FIN'!$A$1:$O$116,15,0)),0,VLOOKUP($U$635,'TAR FIN'!$A$1:$O$116,15,0))</f>
        <v>0</v>
      </c>
      <c r="Y635" s="6">
        <f ca="1">('TUSD BE'!$AM$32+'TUSD BF'!$AM$32+'TUSD CVA'!$AM$32)*1</f>
        <v>17.138874075124019</v>
      </c>
      <c r="Z635" s="6"/>
      <c r="AA635" s="6"/>
      <c r="AB635" s="6">
        <f>$K$635*$V$635</f>
        <v>21579.84</v>
      </c>
      <c r="AC635" s="6">
        <f>$M$635*$W$635</f>
        <v>0</v>
      </c>
      <c r="AD635" s="6">
        <f>$O$635*$X$635</f>
        <v>0</v>
      </c>
      <c r="AE635" s="6">
        <f ca="1">$K$635*$Y$635</f>
        <v>24268.645690375612</v>
      </c>
      <c r="AF635" s="6">
        <f>$M$635*$Z$635</f>
        <v>0</v>
      </c>
      <c r="AG635" s="6">
        <f>$O$635*$AA$635</f>
        <v>0</v>
      </c>
    </row>
    <row r="636" spans="1:33" ht="11.25" customHeight="1" x14ac:dyDescent="0.25">
      <c r="A636" s="4" t="s">
        <v>21</v>
      </c>
      <c r="B636" s="4" t="s">
        <v>41</v>
      </c>
      <c r="C636" s="4" t="s">
        <v>64</v>
      </c>
      <c r="D636" s="4" t="s">
        <v>25</v>
      </c>
      <c r="E636" s="4" t="s">
        <v>25</v>
      </c>
      <c r="F636" s="4" t="s">
        <v>25</v>
      </c>
      <c r="G636" s="4" t="s">
        <v>88</v>
      </c>
      <c r="H636" s="4" t="s">
        <v>25</v>
      </c>
      <c r="I636" s="5">
        <v>44409</v>
      </c>
      <c r="J636" s="6">
        <v>9500</v>
      </c>
      <c r="K636" s="6">
        <v>4750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4" t="s">
        <v>66</v>
      </c>
      <c r="R636" s="4">
        <v>27722</v>
      </c>
      <c r="S636" s="6">
        <v>28</v>
      </c>
      <c r="T636" s="6">
        <v>0</v>
      </c>
      <c r="U636" s="6">
        <v>0</v>
      </c>
      <c r="V636" s="6">
        <f>IF(ISERROR(VLOOKUP($S$636,'TAR FIN'!$A$1:$O$116,15,0)),0,VLOOKUP($S$636,'TAR FIN'!$A$1:$O$116,15,0))</f>
        <v>15.24</v>
      </c>
      <c r="W636" s="6">
        <f>IF(ISERROR(VLOOKUP($T$636,'TAR FIN'!$A$1:$O$116,15,0)),0,VLOOKUP($T$636,'TAR FIN'!$A$1:$O$116,15,0))</f>
        <v>0</v>
      </c>
      <c r="X636" s="6">
        <f>IF(ISERROR(VLOOKUP($U$636,'TAR FIN'!$A$1:$O$116,15,0)),0,VLOOKUP($U$636,'TAR FIN'!$A$1:$O$116,15,0))</f>
        <v>0</v>
      </c>
      <c r="Y636" s="6">
        <f ca="1">('TUSD BE'!$AM$32+'TUSD BF'!$AM$32+'TUSD CVA'!$AM$32)*1</f>
        <v>17.138874075124019</v>
      </c>
      <c r="Z636" s="6"/>
      <c r="AA636" s="6"/>
      <c r="AB636" s="6">
        <f>$K$636*$V$636</f>
        <v>72390</v>
      </c>
      <c r="AC636" s="6">
        <f>$M$636*$W$636</f>
        <v>0</v>
      </c>
      <c r="AD636" s="6">
        <f>$O$636*$X$636</f>
        <v>0</v>
      </c>
      <c r="AE636" s="6">
        <f ca="1">$K$636*$Y$636</f>
        <v>81409.651856839089</v>
      </c>
      <c r="AF636" s="6">
        <f>$M$636*$Z$636</f>
        <v>0</v>
      </c>
      <c r="AG636" s="6">
        <f>$O$636*$AA$636</f>
        <v>0</v>
      </c>
    </row>
    <row r="637" spans="1:33" ht="11.25" customHeight="1" x14ac:dyDescent="0.25">
      <c r="A637" s="4" t="s">
        <v>21</v>
      </c>
      <c r="B637" s="4" t="s">
        <v>41</v>
      </c>
      <c r="C637" s="4" t="s">
        <v>64</v>
      </c>
      <c r="D637" s="4" t="s">
        <v>25</v>
      </c>
      <c r="E637" s="4" t="s">
        <v>25</v>
      </c>
      <c r="F637" s="4" t="s">
        <v>25</v>
      </c>
      <c r="G637" s="4" t="s">
        <v>90</v>
      </c>
      <c r="H637" s="4" t="s">
        <v>25</v>
      </c>
      <c r="I637" s="5">
        <v>44409</v>
      </c>
      <c r="J637" s="6">
        <v>420</v>
      </c>
      <c r="K637" s="6">
        <v>420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4" t="s">
        <v>66</v>
      </c>
      <c r="R637" s="4">
        <v>27928</v>
      </c>
      <c r="S637" s="6">
        <v>28</v>
      </c>
      <c r="T637" s="6">
        <v>0</v>
      </c>
      <c r="U637" s="6">
        <v>0</v>
      </c>
      <c r="V637" s="6">
        <f>IF(ISERROR(VLOOKUP($S$637,'TAR FIN'!$A$1:$O$116,15,0)),0,VLOOKUP($S$637,'TAR FIN'!$A$1:$O$116,15,0))</f>
        <v>15.24</v>
      </c>
      <c r="W637" s="6">
        <f>IF(ISERROR(VLOOKUP($T$637,'TAR FIN'!$A$1:$O$116,15,0)),0,VLOOKUP($T$637,'TAR FIN'!$A$1:$O$116,15,0))</f>
        <v>0</v>
      </c>
      <c r="X637" s="6">
        <f>IF(ISERROR(VLOOKUP($U$637,'TAR FIN'!$A$1:$O$116,15,0)),0,VLOOKUP($U$637,'TAR FIN'!$A$1:$O$116,15,0))</f>
        <v>0</v>
      </c>
      <c r="Y637" s="6">
        <f ca="1">('TUSD BE'!$AM$32+'TUSD BF'!$AM$32+'TUSD CVA'!$AM$32)*1</f>
        <v>17.138874075124019</v>
      </c>
      <c r="Z637" s="6"/>
      <c r="AA637" s="6"/>
      <c r="AB637" s="6">
        <f>$K$637*$V$637</f>
        <v>6400.8</v>
      </c>
      <c r="AC637" s="6">
        <f>$M$637*$W$637</f>
        <v>0</v>
      </c>
      <c r="AD637" s="6">
        <f>$O$637*$X$637</f>
        <v>0</v>
      </c>
      <c r="AE637" s="6">
        <f ca="1">$K$637*$Y$637</f>
        <v>7198.3271115520874</v>
      </c>
      <c r="AF637" s="6">
        <f>$M$637*$Z$637</f>
        <v>0</v>
      </c>
      <c r="AG637" s="6">
        <f>$O$637*$AA$637</f>
        <v>0</v>
      </c>
    </row>
    <row r="638" spans="1:33" ht="11.25" customHeight="1" x14ac:dyDescent="0.25">
      <c r="A638" s="4" t="s">
        <v>21</v>
      </c>
      <c r="B638" s="4" t="s">
        <v>41</v>
      </c>
      <c r="C638" s="4" t="s">
        <v>64</v>
      </c>
      <c r="D638" s="4" t="s">
        <v>25</v>
      </c>
      <c r="E638" s="4" t="s">
        <v>25</v>
      </c>
      <c r="F638" s="4" t="s">
        <v>25</v>
      </c>
      <c r="G638" s="4" t="s">
        <v>93</v>
      </c>
      <c r="H638" s="4" t="s">
        <v>25</v>
      </c>
      <c r="I638" s="5">
        <v>44409</v>
      </c>
      <c r="J638" s="6">
        <v>1300</v>
      </c>
      <c r="K638" s="6">
        <v>650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4" t="s">
        <v>66</v>
      </c>
      <c r="R638" s="4">
        <v>30847</v>
      </c>
      <c r="S638" s="6">
        <v>28</v>
      </c>
      <c r="T638" s="6">
        <v>0</v>
      </c>
      <c r="U638" s="6">
        <v>0</v>
      </c>
      <c r="V638" s="6">
        <f>IF(ISERROR(VLOOKUP($S$638,'TAR FIN'!$A$1:$O$116,15,0)),0,VLOOKUP($S$638,'TAR FIN'!$A$1:$O$116,15,0))</f>
        <v>15.24</v>
      </c>
      <c r="W638" s="6">
        <f>IF(ISERROR(VLOOKUP($T$638,'TAR FIN'!$A$1:$O$116,15,0)),0,VLOOKUP($T$638,'TAR FIN'!$A$1:$O$116,15,0))</f>
        <v>0</v>
      </c>
      <c r="X638" s="6">
        <f>IF(ISERROR(VLOOKUP($U$638,'TAR FIN'!$A$1:$O$116,15,0)),0,VLOOKUP($U$638,'TAR FIN'!$A$1:$O$116,15,0))</f>
        <v>0</v>
      </c>
      <c r="Y638" s="6">
        <f ca="1">('TUSD BE'!$AM$32+'TUSD BF'!$AM$32+'TUSD CVA'!$AM$32)*1</f>
        <v>17.138874075124019</v>
      </c>
      <c r="Z638" s="6"/>
      <c r="AA638" s="6"/>
      <c r="AB638" s="6">
        <f>$K$638*$V$638</f>
        <v>9906</v>
      </c>
      <c r="AC638" s="6">
        <f>$M$638*$W$638</f>
        <v>0</v>
      </c>
      <c r="AD638" s="6">
        <f>$O$638*$X$638</f>
        <v>0</v>
      </c>
      <c r="AE638" s="6">
        <f ca="1">$K$638*$Y$638</f>
        <v>11140.268148830612</v>
      </c>
      <c r="AF638" s="6">
        <f>$M$638*$Z$638</f>
        <v>0</v>
      </c>
      <c r="AG638" s="6">
        <f>$O$638*$AA$638</f>
        <v>0</v>
      </c>
    </row>
    <row r="639" spans="1:33" ht="11.25" customHeight="1" x14ac:dyDescent="0.25">
      <c r="A639" s="4" t="s">
        <v>21</v>
      </c>
      <c r="B639" s="4" t="s">
        <v>41</v>
      </c>
      <c r="C639" s="4" t="s">
        <v>64</v>
      </c>
      <c r="D639" s="4" t="s">
        <v>25</v>
      </c>
      <c r="E639" s="4" t="s">
        <v>25</v>
      </c>
      <c r="F639" s="4" t="s">
        <v>25</v>
      </c>
      <c r="G639" s="4" t="s">
        <v>94</v>
      </c>
      <c r="H639" s="4" t="s">
        <v>25</v>
      </c>
      <c r="I639" s="5">
        <v>44409</v>
      </c>
      <c r="J639" s="6">
        <v>1180</v>
      </c>
      <c r="K639" s="6">
        <v>590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4" t="s">
        <v>66</v>
      </c>
      <c r="R639" s="4">
        <v>30866</v>
      </c>
      <c r="S639" s="6">
        <v>28</v>
      </c>
      <c r="T639" s="6">
        <v>0</v>
      </c>
      <c r="U639" s="6">
        <v>0</v>
      </c>
      <c r="V639" s="6">
        <f>IF(ISERROR(VLOOKUP($S$639,'TAR FIN'!$A$1:$O$116,15,0)),0,VLOOKUP($S$639,'TAR FIN'!$A$1:$O$116,15,0))</f>
        <v>15.24</v>
      </c>
      <c r="W639" s="6">
        <f>IF(ISERROR(VLOOKUP($T$639,'TAR FIN'!$A$1:$O$116,15,0)),0,VLOOKUP($T$639,'TAR FIN'!$A$1:$O$116,15,0))</f>
        <v>0</v>
      </c>
      <c r="X639" s="6">
        <f>IF(ISERROR(VLOOKUP($U$639,'TAR FIN'!$A$1:$O$116,15,0)),0,VLOOKUP($U$639,'TAR FIN'!$A$1:$O$116,15,0))</f>
        <v>0</v>
      </c>
      <c r="Y639" s="6">
        <f ca="1">('TUSD BE'!$AM$32+'TUSD BF'!$AM$32+'TUSD CVA'!$AM$32)*1</f>
        <v>17.138874075124019</v>
      </c>
      <c r="Z639" s="6"/>
      <c r="AA639" s="6"/>
      <c r="AB639" s="6">
        <f>$K$639*$V$639</f>
        <v>8991.6</v>
      </c>
      <c r="AC639" s="6">
        <f>$M$639*$W$639</f>
        <v>0</v>
      </c>
      <c r="AD639" s="6">
        <f>$O$639*$X$639</f>
        <v>0</v>
      </c>
      <c r="AE639" s="6">
        <f ca="1">$K$639*$Y$639</f>
        <v>10111.93570432317</v>
      </c>
      <c r="AF639" s="6">
        <f>$M$639*$Z$639</f>
        <v>0</v>
      </c>
      <c r="AG639" s="6">
        <f>$O$639*$AA$639</f>
        <v>0</v>
      </c>
    </row>
    <row r="640" spans="1:33" ht="11.25" customHeight="1" x14ac:dyDescent="0.25">
      <c r="A640" s="4" t="s">
        <v>21</v>
      </c>
      <c r="B640" s="4" t="s">
        <v>41</v>
      </c>
      <c r="C640" s="4" t="s">
        <v>64</v>
      </c>
      <c r="D640" s="4" t="s">
        <v>25</v>
      </c>
      <c r="E640" s="4" t="s">
        <v>25</v>
      </c>
      <c r="F640" s="4" t="s">
        <v>25</v>
      </c>
      <c r="G640" s="4" t="s">
        <v>95</v>
      </c>
      <c r="H640" s="4" t="s">
        <v>25</v>
      </c>
      <c r="I640" s="5">
        <v>44409</v>
      </c>
      <c r="J640" s="6">
        <v>1180</v>
      </c>
      <c r="K640" s="6">
        <v>590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4" t="s">
        <v>66</v>
      </c>
      <c r="R640" s="4">
        <v>31051</v>
      </c>
      <c r="S640" s="6">
        <v>28</v>
      </c>
      <c r="T640" s="6">
        <v>0</v>
      </c>
      <c r="U640" s="6">
        <v>0</v>
      </c>
      <c r="V640" s="6">
        <f>IF(ISERROR(VLOOKUP($S$640,'TAR FIN'!$A$1:$O$116,15,0)),0,VLOOKUP($S$640,'TAR FIN'!$A$1:$O$116,15,0))</f>
        <v>15.24</v>
      </c>
      <c r="W640" s="6">
        <f>IF(ISERROR(VLOOKUP($T$640,'TAR FIN'!$A$1:$O$116,15,0)),0,VLOOKUP($T$640,'TAR FIN'!$A$1:$O$116,15,0))</f>
        <v>0</v>
      </c>
      <c r="X640" s="6">
        <f>IF(ISERROR(VLOOKUP($U$640,'TAR FIN'!$A$1:$O$116,15,0)),0,VLOOKUP($U$640,'TAR FIN'!$A$1:$O$116,15,0))</f>
        <v>0</v>
      </c>
      <c r="Y640" s="6">
        <f ca="1">('TUSD BE'!$AM$32+'TUSD BF'!$AM$32+'TUSD CVA'!$AM$32)*1</f>
        <v>17.138874075124019</v>
      </c>
      <c r="Z640" s="6"/>
      <c r="AA640" s="6"/>
      <c r="AB640" s="6">
        <f>$K$640*$V$640</f>
        <v>8991.6</v>
      </c>
      <c r="AC640" s="6">
        <f>$M$640*$W$640</f>
        <v>0</v>
      </c>
      <c r="AD640" s="6">
        <f>$O$640*$X$640</f>
        <v>0</v>
      </c>
      <c r="AE640" s="6">
        <f ca="1">$K$640*$Y$640</f>
        <v>10111.93570432317</v>
      </c>
      <c r="AF640" s="6">
        <f>$M$640*$Z$640</f>
        <v>0</v>
      </c>
      <c r="AG640" s="6">
        <f>$O$640*$AA$640</f>
        <v>0</v>
      </c>
    </row>
    <row r="641" spans="1:33" ht="11.25" customHeight="1" x14ac:dyDescent="0.25">
      <c r="A641" s="4" t="s">
        <v>21</v>
      </c>
      <c r="B641" s="4" t="s">
        <v>41</v>
      </c>
      <c r="C641" s="4" t="s">
        <v>64</v>
      </c>
      <c r="D641" s="4" t="s">
        <v>25</v>
      </c>
      <c r="E641" s="4" t="s">
        <v>25</v>
      </c>
      <c r="F641" s="4" t="s">
        <v>25</v>
      </c>
      <c r="G641" s="4" t="s">
        <v>96</v>
      </c>
      <c r="H641" s="4" t="s">
        <v>25</v>
      </c>
      <c r="I641" s="5">
        <v>44409</v>
      </c>
      <c r="J641" s="6">
        <v>1000</v>
      </c>
      <c r="K641" s="6">
        <v>500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4" t="s">
        <v>66</v>
      </c>
      <c r="R641" s="4">
        <v>31277</v>
      </c>
      <c r="S641" s="6">
        <v>28</v>
      </c>
      <c r="T641" s="6">
        <v>0</v>
      </c>
      <c r="U641" s="6">
        <v>0</v>
      </c>
      <c r="V641" s="6">
        <f>IF(ISERROR(VLOOKUP($S$641,'TAR FIN'!$A$1:$O$116,15,0)),0,VLOOKUP($S$641,'TAR FIN'!$A$1:$O$116,15,0))</f>
        <v>15.24</v>
      </c>
      <c r="W641" s="6">
        <f>IF(ISERROR(VLOOKUP($T$641,'TAR FIN'!$A$1:$O$116,15,0)),0,VLOOKUP($T$641,'TAR FIN'!$A$1:$O$116,15,0))</f>
        <v>0</v>
      </c>
      <c r="X641" s="6">
        <f>IF(ISERROR(VLOOKUP($U$641,'TAR FIN'!$A$1:$O$116,15,0)),0,VLOOKUP($U$641,'TAR FIN'!$A$1:$O$116,15,0))</f>
        <v>0</v>
      </c>
      <c r="Y641" s="6">
        <f ca="1">('TUSD BE'!$AM$32+'TUSD BF'!$AM$32+'TUSD CVA'!$AM$32)*1</f>
        <v>17.138874075124019</v>
      </c>
      <c r="Z641" s="6"/>
      <c r="AA641" s="6"/>
      <c r="AB641" s="6">
        <f>$K$641*$V$641</f>
        <v>7620</v>
      </c>
      <c r="AC641" s="6">
        <f>$M$641*$W$641</f>
        <v>0</v>
      </c>
      <c r="AD641" s="6">
        <f>$O$641*$X$641</f>
        <v>0</v>
      </c>
      <c r="AE641" s="6">
        <f ca="1">$K$641*$Y$641</f>
        <v>8569.4370375620092</v>
      </c>
      <c r="AF641" s="6">
        <f>$M$641*$Z$641</f>
        <v>0</v>
      </c>
      <c r="AG641" s="6">
        <f>$O$641*$AA$641</f>
        <v>0</v>
      </c>
    </row>
    <row r="642" spans="1:33" ht="11.25" customHeight="1" x14ac:dyDescent="0.25">
      <c r="A642" s="4" t="s">
        <v>21</v>
      </c>
      <c r="B642" s="4" t="s">
        <v>41</v>
      </c>
      <c r="C642" s="4" t="s">
        <v>64</v>
      </c>
      <c r="D642" s="4" t="s">
        <v>25</v>
      </c>
      <c r="E642" s="4" t="s">
        <v>25</v>
      </c>
      <c r="F642" s="4" t="s">
        <v>25</v>
      </c>
      <c r="G642" s="4" t="s">
        <v>97</v>
      </c>
      <c r="H642" s="4" t="s">
        <v>25</v>
      </c>
      <c r="I642" s="5">
        <v>44409</v>
      </c>
      <c r="J642" s="6">
        <v>1180</v>
      </c>
      <c r="K642" s="6">
        <v>590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4" t="s">
        <v>66</v>
      </c>
      <c r="R642" s="4">
        <v>31318</v>
      </c>
      <c r="S642" s="6">
        <v>28</v>
      </c>
      <c r="T642" s="6">
        <v>0</v>
      </c>
      <c r="U642" s="6">
        <v>0</v>
      </c>
      <c r="V642" s="6">
        <f>IF(ISERROR(VLOOKUP($S$642,'TAR FIN'!$A$1:$O$116,15,0)),0,VLOOKUP($S$642,'TAR FIN'!$A$1:$O$116,15,0))</f>
        <v>15.24</v>
      </c>
      <c r="W642" s="6">
        <f>IF(ISERROR(VLOOKUP($T$642,'TAR FIN'!$A$1:$O$116,15,0)),0,VLOOKUP($T$642,'TAR FIN'!$A$1:$O$116,15,0))</f>
        <v>0</v>
      </c>
      <c r="X642" s="6">
        <f>IF(ISERROR(VLOOKUP($U$642,'TAR FIN'!$A$1:$O$116,15,0)),0,VLOOKUP($U$642,'TAR FIN'!$A$1:$O$116,15,0))</f>
        <v>0</v>
      </c>
      <c r="Y642" s="6">
        <f ca="1">('TUSD BE'!$AM$32+'TUSD BF'!$AM$32+'TUSD CVA'!$AM$32)*1</f>
        <v>17.138874075124019</v>
      </c>
      <c r="Z642" s="6"/>
      <c r="AA642" s="6"/>
      <c r="AB642" s="6">
        <f>$K$642*$V$642</f>
        <v>8991.6</v>
      </c>
      <c r="AC642" s="6">
        <f>$M$642*$W$642</f>
        <v>0</v>
      </c>
      <c r="AD642" s="6">
        <f>$O$642*$X$642</f>
        <v>0</v>
      </c>
      <c r="AE642" s="6">
        <f ca="1">$K$642*$Y$642</f>
        <v>10111.93570432317</v>
      </c>
      <c r="AF642" s="6">
        <f>$M$642*$Z$642</f>
        <v>0</v>
      </c>
      <c r="AG642" s="6">
        <f>$O$642*$AA$642</f>
        <v>0</v>
      </c>
    </row>
    <row r="643" spans="1:33" ht="11.25" customHeight="1" x14ac:dyDescent="0.25">
      <c r="A643" s="4" t="s">
        <v>21</v>
      </c>
      <c r="B643" s="4" t="s">
        <v>41</v>
      </c>
      <c r="C643" s="4" t="s">
        <v>64</v>
      </c>
      <c r="D643" s="4" t="s">
        <v>25</v>
      </c>
      <c r="E643" s="4" t="s">
        <v>25</v>
      </c>
      <c r="F643" s="4" t="s">
        <v>25</v>
      </c>
      <c r="G643" s="4" t="s">
        <v>98</v>
      </c>
      <c r="H643" s="4" t="s">
        <v>25</v>
      </c>
      <c r="I643" s="5">
        <v>44409</v>
      </c>
      <c r="J643" s="6">
        <v>3000</v>
      </c>
      <c r="K643" s="6">
        <v>1500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4" t="s">
        <v>66</v>
      </c>
      <c r="R643" s="4">
        <v>31334</v>
      </c>
      <c r="S643" s="6">
        <v>28</v>
      </c>
      <c r="T643" s="6">
        <v>0</v>
      </c>
      <c r="U643" s="6">
        <v>0</v>
      </c>
      <c r="V643" s="6">
        <f>IF(ISERROR(VLOOKUP($S$643,'TAR FIN'!$A$1:$O$116,15,0)),0,VLOOKUP($S$643,'TAR FIN'!$A$1:$O$116,15,0))</f>
        <v>15.24</v>
      </c>
      <c r="W643" s="6">
        <f>IF(ISERROR(VLOOKUP($T$643,'TAR FIN'!$A$1:$O$116,15,0)),0,VLOOKUP($T$643,'TAR FIN'!$A$1:$O$116,15,0))</f>
        <v>0</v>
      </c>
      <c r="X643" s="6">
        <f>IF(ISERROR(VLOOKUP($U$643,'TAR FIN'!$A$1:$O$116,15,0)),0,VLOOKUP($U$643,'TAR FIN'!$A$1:$O$116,15,0))</f>
        <v>0</v>
      </c>
      <c r="Y643" s="6">
        <f ca="1">('TUSD BE'!$AM$32+'TUSD BF'!$AM$32+'TUSD CVA'!$AM$32)*1</f>
        <v>17.138874075124019</v>
      </c>
      <c r="Z643" s="6"/>
      <c r="AA643" s="6"/>
      <c r="AB643" s="6">
        <f>$K$643*$V$643</f>
        <v>22860</v>
      </c>
      <c r="AC643" s="6">
        <f>$M$643*$W$643</f>
        <v>0</v>
      </c>
      <c r="AD643" s="6">
        <f>$O$643*$X$643</f>
        <v>0</v>
      </c>
      <c r="AE643" s="6">
        <f ca="1">$K$643*$Y$643</f>
        <v>25708.311112686028</v>
      </c>
      <c r="AF643" s="6">
        <f>$M$643*$Z$643</f>
        <v>0</v>
      </c>
      <c r="AG643" s="6">
        <f>$O$643*$AA$643</f>
        <v>0</v>
      </c>
    </row>
    <row r="644" spans="1:33" ht="11.25" customHeight="1" x14ac:dyDescent="0.25">
      <c r="A644" s="4" t="s">
        <v>21</v>
      </c>
      <c r="B644" s="4" t="s">
        <v>41</v>
      </c>
      <c r="C644" s="4" t="s">
        <v>64</v>
      </c>
      <c r="D644" s="4" t="s">
        <v>25</v>
      </c>
      <c r="E644" s="4" t="s">
        <v>25</v>
      </c>
      <c r="F644" s="4" t="s">
        <v>25</v>
      </c>
      <c r="G644" s="4" t="s">
        <v>99</v>
      </c>
      <c r="H644" s="4" t="s">
        <v>25</v>
      </c>
      <c r="I644" s="5">
        <v>44409</v>
      </c>
      <c r="J644" s="6">
        <v>1180</v>
      </c>
      <c r="K644" s="6">
        <v>590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4" t="s">
        <v>66</v>
      </c>
      <c r="R644" s="4">
        <v>31618</v>
      </c>
      <c r="S644" s="6">
        <v>28</v>
      </c>
      <c r="T644" s="6">
        <v>0</v>
      </c>
      <c r="U644" s="6">
        <v>0</v>
      </c>
      <c r="V644" s="6">
        <f>IF(ISERROR(VLOOKUP($S$644,'TAR FIN'!$A$1:$O$116,15,0)),0,VLOOKUP($S$644,'TAR FIN'!$A$1:$O$116,15,0))</f>
        <v>15.24</v>
      </c>
      <c r="W644" s="6">
        <f>IF(ISERROR(VLOOKUP($T$644,'TAR FIN'!$A$1:$O$116,15,0)),0,VLOOKUP($T$644,'TAR FIN'!$A$1:$O$116,15,0))</f>
        <v>0</v>
      </c>
      <c r="X644" s="6">
        <f>IF(ISERROR(VLOOKUP($U$644,'TAR FIN'!$A$1:$O$116,15,0)),0,VLOOKUP($U$644,'TAR FIN'!$A$1:$O$116,15,0))</f>
        <v>0</v>
      </c>
      <c r="Y644" s="6">
        <f ca="1">('TUSD BE'!$AM$32+'TUSD BF'!$AM$32+'TUSD CVA'!$AM$32)*1</f>
        <v>17.138874075124019</v>
      </c>
      <c r="Z644" s="6"/>
      <c r="AA644" s="6"/>
      <c r="AB644" s="6">
        <f>$K$644*$V$644</f>
        <v>8991.6</v>
      </c>
      <c r="AC644" s="6">
        <f>$M$644*$W$644</f>
        <v>0</v>
      </c>
      <c r="AD644" s="6">
        <f>$O$644*$X$644</f>
        <v>0</v>
      </c>
      <c r="AE644" s="6">
        <f ca="1">$K$644*$Y$644</f>
        <v>10111.93570432317</v>
      </c>
      <c r="AF644" s="6">
        <f>$M$644*$Z$644</f>
        <v>0</v>
      </c>
      <c r="AG644" s="6">
        <f>$O$644*$AA$644</f>
        <v>0</v>
      </c>
    </row>
    <row r="645" spans="1:33" ht="11.25" customHeight="1" x14ac:dyDescent="0.25">
      <c r="A645" s="4" t="s">
        <v>21</v>
      </c>
      <c r="B645" s="4" t="s">
        <v>41</v>
      </c>
      <c r="C645" s="4" t="s">
        <v>64</v>
      </c>
      <c r="D645" s="4" t="s">
        <v>25</v>
      </c>
      <c r="E645" s="4" t="s">
        <v>25</v>
      </c>
      <c r="F645" s="4" t="s">
        <v>25</v>
      </c>
      <c r="G645" s="4" t="s">
        <v>100</v>
      </c>
      <c r="H645" s="4" t="s">
        <v>25</v>
      </c>
      <c r="I645" s="5">
        <v>44409</v>
      </c>
      <c r="J645" s="6">
        <v>1180</v>
      </c>
      <c r="K645" s="6">
        <v>590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4" t="s">
        <v>66</v>
      </c>
      <c r="R645" s="4">
        <v>31677</v>
      </c>
      <c r="S645" s="6">
        <v>28</v>
      </c>
      <c r="T645" s="6">
        <v>0</v>
      </c>
      <c r="U645" s="6">
        <v>0</v>
      </c>
      <c r="V645" s="6">
        <f>IF(ISERROR(VLOOKUP($S$645,'TAR FIN'!$A$1:$O$116,15,0)),0,VLOOKUP($S$645,'TAR FIN'!$A$1:$O$116,15,0))</f>
        <v>15.24</v>
      </c>
      <c r="W645" s="6">
        <f>IF(ISERROR(VLOOKUP($T$645,'TAR FIN'!$A$1:$O$116,15,0)),0,VLOOKUP($T$645,'TAR FIN'!$A$1:$O$116,15,0))</f>
        <v>0</v>
      </c>
      <c r="X645" s="6">
        <f>IF(ISERROR(VLOOKUP($U$645,'TAR FIN'!$A$1:$O$116,15,0)),0,VLOOKUP($U$645,'TAR FIN'!$A$1:$O$116,15,0))</f>
        <v>0</v>
      </c>
      <c r="Y645" s="6">
        <f ca="1">('TUSD BE'!$AM$32+'TUSD BF'!$AM$32+'TUSD CVA'!$AM$32)*1</f>
        <v>17.138874075124019</v>
      </c>
      <c r="Z645" s="6"/>
      <c r="AA645" s="6"/>
      <c r="AB645" s="6">
        <f>$K$645*$V$645</f>
        <v>8991.6</v>
      </c>
      <c r="AC645" s="6">
        <f>$M$645*$W$645</f>
        <v>0</v>
      </c>
      <c r="AD645" s="6">
        <f>$O$645*$X$645</f>
        <v>0</v>
      </c>
      <c r="AE645" s="6">
        <f ca="1">$K$645*$Y$645</f>
        <v>10111.93570432317</v>
      </c>
      <c r="AF645" s="6">
        <f>$M$645*$Z$645</f>
        <v>0</v>
      </c>
      <c r="AG645" s="6">
        <f>$O$645*$AA$645</f>
        <v>0</v>
      </c>
    </row>
    <row r="646" spans="1:33" ht="11.25" customHeight="1" x14ac:dyDescent="0.25">
      <c r="A646" s="4" t="s">
        <v>21</v>
      </c>
      <c r="B646" s="4" t="s">
        <v>41</v>
      </c>
      <c r="C646" s="4" t="s">
        <v>64</v>
      </c>
      <c r="D646" s="4" t="s">
        <v>25</v>
      </c>
      <c r="E646" s="4" t="s">
        <v>25</v>
      </c>
      <c r="F646" s="4" t="s">
        <v>25</v>
      </c>
      <c r="G646" s="4" t="s">
        <v>68</v>
      </c>
      <c r="H646" s="4" t="s">
        <v>25</v>
      </c>
      <c r="I646" s="5">
        <v>44440</v>
      </c>
      <c r="J646" s="6">
        <v>302</v>
      </c>
      <c r="K646" s="6">
        <v>302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4" t="s">
        <v>66</v>
      </c>
      <c r="R646" s="4">
        <v>404</v>
      </c>
      <c r="S646" s="6">
        <v>28</v>
      </c>
      <c r="T646" s="6">
        <v>0</v>
      </c>
      <c r="U646" s="6">
        <v>0</v>
      </c>
      <c r="V646" s="6">
        <f>IF(ISERROR(VLOOKUP($S$646,'TAR FIN'!$A$1:$O$116,15,0)),0,VLOOKUP($S$646,'TAR FIN'!$A$1:$O$116,15,0))</f>
        <v>15.24</v>
      </c>
      <c r="W646" s="6">
        <f>IF(ISERROR(VLOOKUP($T$646,'TAR FIN'!$A$1:$O$116,15,0)),0,VLOOKUP($T$646,'TAR FIN'!$A$1:$O$116,15,0))</f>
        <v>0</v>
      </c>
      <c r="X646" s="6">
        <f>IF(ISERROR(VLOOKUP($U$646,'TAR FIN'!$A$1:$O$116,15,0)),0,VLOOKUP($U$646,'TAR FIN'!$A$1:$O$116,15,0))</f>
        <v>0</v>
      </c>
      <c r="Y646" s="6">
        <f ca="1">('TUSD BE'!$AM$32+'TUSD BF'!$AM$32+'TUSD CVA'!$AM$32)*1</f>
        <v>17.138874075124019</v>
      </c>
      <c r="Z646" s="6"/>
      <c r="AA646" s="6"/>
      <c r="AB646" s="6">
        <f>$K$646*$V$646</f>
        <v>4602.4800000000005</v>
      </c>
      <c r="AC646" s="6">
        <f>$M$646*$W$646</f>
        <v>0</v>
      </c>
      <c r="AD646" s="6">
        <f>$O$646*$X$646</f>
        <v>0</v>
      </c>
      <c r="AE646" s="6">
        <f ca="1">$K$646*$Y$646</f>
        <v>5175.9399706874538</v>
      </c>
      <c r="AF646" s="6">
        <f>$M$646*$Z$646</f>
        <v>0</v>
      </c>
      <c r="AG646" s="6">
        <f>$O$646*$AA$646</f>
        <v>0</v>
      </c>
    </row>
    <row r="647" spans="1:33" ht="11.25" customHeight="1" x14ac:dyDescent="0.25">
      <c r="A647" s="4" t="s">
        <v>21</v>
      </c>
      <c r="B647" s="4" t="s">
        <v>41</v>
      </c>
      <c r="C647" s="4" t="s">
        <v>64</v>
      </c>
      <c r="D647" s="4" t="s">
        <v>25</v>
      </c>
      <c r="E647" s="4" t="s">
        <v>25</v>
      </c>
      <c r="F647" s="4" t="s">
        <v>25</v>
      </c>
      <c r="G647" s="4" t="s">
        <v>70</v>
      </c>
      <c r="H647" s="4" t="s">
        <v>25</v>
      </c>
      <c r="I647" s="5">
        <v>44440</v>
      </c>
      <c r="J647" s="6">
        <v>5040</v>
      </c>
      <c r="K647" s="6">
        <v>5040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4" t="s">
        <v>66</v>
      </c>
      <c r="R647" s="4">
        <v>838</v>
      </c>
      <c r="S647" s="6">
        <v>28</v>
      </c>
      <c r="T647" s="6">
        <v>0</v>
      </c>
      <c r="U647" s="6">
        <v>0</v>
      </c>
      <c r="V647" s="6">
        <f>IF(ISERROR(VLOOKUP($S$647,'TAR FIN'!$A$1:$O$116,15,0)),0,VLOOKUP($S$647,'TAR FIN'!$A$1:$O$116,15,0))</f>
        <v>15.24</v>
      </c>
      <c r="W647" s="6">
        <f>IF(ISERROR(VLOOKUP($T$647,'TAR FIN'!$A$1:$O$116,15,0)),0,VLOOKUP($T$647,'TAR FIN'!$A$1:$O$116,15,0))</f>
        <v>0</v>
      </c>
      <c r="X647" s="6">
        <f>IF(ISERROR(VLOOKUP($U$647,'TAR FIN'!$A$1:$O$116,15,0)),0,VLOOKUP($U$647,'TAR FIN'!$A$1:$O$116,15,0))</f>
        <v>0</v>
      </c>
      <c r="Y647" s="6">
        <f ca="1">('TUSD BE'!$AM$32+'TUSD BF'!$AM$32+'TUSD CVA'!$AM$32)*1</f>
        <v>17.138874075124019</v>
      </c>
      <c r="Z647" s="6"/>
      <c r="AA647" s="6"/>
      <c r="AB647" s="6">
        <f>$K$647*$V$647</f>
        <v>76809.600000000006</v>
      </c>
      <c r="AC647" s="6">
        <f>$M$647*$W$647</f>
        <v>0</v>
      </c>
      <c r="AD647" s="6">
        <f>$O$647*$X$647</f>
        <v>0</v>
      </c>
      <c r="AE647" s="6">
        <f ca="1">$K$647*$Y$647</f>
        <v>86379.925338625049</v>
      </c>
      <c r="AF647" s="6">
        <f>$M$647*$Z$647</f>
        <v>0</v>
      </c>
      <c r="AG647" s="6">
        <f>$O$647*$AA$647</f>
        <v>0</v>
      </c>
    </row>
    <row r="648" spans="1:33" ht="11.25" customHeight="1" x14ac:dyDescent="0.25">
      <c r="A648" s="4" t="s">
        <v>21</v>
      </c>
      <c r="B648" s="4" t="s">
        <v>41</v>
      </c>
      <c r="C648" s="4" t="s">
        <v>64</v>
      </c>
      <c r="D648" s="4" t="s">
        <v>25</v>
      </c>
      <c r="E648" s="4" t="s">
        <v>25</v>
      </c>
      <c r="F648" s="4" t="s">
        <v>25</v>
      </c>
      <c r="G648" s="4" t="s">
        <v>74</v>
      </c>
      <c r="H648" s="4" t="s">
        <v>25</v>
      </c>
      <c r="I648" s="5">
        <v>44440</v>
      </c>
      <c r="J648" s="6">
        <v>3800</v>
      </c>
      <c r="K648" s="6">
        <v>1900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4" t="s">
        <v>66</v>
      </c>
      <c r="R648" s="4">
        <v>1192</v>
      </c>
      <c r="S648" s="6">
        <v>28</v>
      </c>
      <c r="T648" s="6">
        <v>0</v>
      </c>
      <c r="U648" s="6">
        <v>0</v>
      </c>
      <c r="V648" s="6">
        <f>IF(ISERROR(VLOOKUP($S$648,'TAR FIN'!$A$1:$O$116,15,0)),0,VLOOKUP($S$648,'TAR FIN'!$A$1:$O$116,15,0))</f>
        <v>15.24</v>
      </c>
      <c r="W648" s="6">
        <f>IF(ISERROR(VLOOKUP($T$648,'TAR FIN'!$A$1:$O$116,15,0)),0,VLOOKUP($T$648,'TAR FIN'!$A$1:$O$116,15,0))</f>
        <v>0</v>
      </c>
      <c r="X648" s="6">
        <f>IF(ISERROR(VLOOKUP($U$648,'TAR FIN'!$A$1:$O$116,15,0)),0,VLOOKUP($U$648,'TAR FIN'!$A$1:$O$116,15,0))</f>
        <v>0</v>
      </c>
      <c r="Y648" s="6">
        <f ca="1">('TUSD BE'!$AM$32+'TUSD BF'!$AM$32+'TUSD CVA'!$AM$32)*1</f>
        <v>17.138874075124019</v>
      </c>
      <c r="Z648" s="6"/>
      <c r="AA648" s="6"/>
      <c r="AB648" s="6">
        <f>$K$648*$V$648</f>
        <v>28956</v>
      </c>
      <c r="AC648" s="6">
        <f>$M$648*$W$648</f>
        <v>0</v>
      </c>
      <c r="AD648" s="6">
        <f>$O$648*$X$648</f>
        <v>0</v>
      </c>
      <c r="AE648" s="6">
        <f ca="1">$K$648*$Y$648</f>
        <v>32563.860742735636</v>
      </c>
      <c r="AF648" s="6">
        <f>$M$648*$Z$648</f>
        <v>0</v>
      </c>
      <c r="AG648" s="6">
        <f>$O$648*$AA$648</f>
        <v>0</v>
      </c>
    </row>
    <row r="649" spans="1:33" ht="11.25" customHeight="1" x14ac:dyDescent="0.25">
      <c r="A649" s="4" t="s">
        <v>21</v>
      </c>
      <c r="B649" s="4" t="s">
        <v>41</v>
      </c>
      <c r="C649" s="4" t="s">
        <v>64</v>
      </c>
      <c r="D649" s="4" t="s">
        <v>25</v>
      </c>
      <c r="E649" s="4" t="s">
        <v>25</v>
      </c>
      <c r="F649" s="4" t="s">
        <v>25</v>
      </c>
      <c r="G649" s="4" t="s">
        <v>76</v>
      </c>
      <c r="H649" s="4" t="s">
        <v>25</v>
      </c>
      <c r="I649" s="5">
        <v>44440</v>
      </c>
      <c r="J649" s="6">
        <v>480</v>
      </c>
      <c r="K649" s="6">
        <v>480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4" t="s">
        <v>66</v>
      </c>
      <c r="R649" s="4">
        <v>1438</v>
      </c>
      <c r="S649" s="6">
        <v>28</v>
      </c>
      <c r="T649" s="6">
        <v>0</v>
      </c>
      <c r="U649" s="6">
        <v>0</v>
      </c>
      <c r="V649" s="6">
        <f>IF(ISERROR(VLOOKUP($S$649,'TAR FIN'!$A$1:$O$116,15,0)),0,VLOOKUP($S$649,'TAR FIN'!$A$1:$O$116,15,0))</f>
        <v>15.24</v>
      </c>
      <c r="W649" s="6">
        <f>IF(ISERROR(VLOOKUP($T$649,'TAR FIN'!$A$1:$O$116,15,0)),0,VLOOKUP($T$649,'TAR FIN'!$A$1:$O$116,15,0))</f>
        <v>0</v>
      </c>
      <c r="X649" s="6">
        <f>IF(ISERROR(VLOOKUP($U$649,'TAR FIN'!$A$1:$O$116,15,0)),0,VLOOKUP($U$649,'TAR FIN'!$A$1:$O$116,15,0))</f>
        <v>0</v>
      </c>
      <c r="Y649" s="6">
        <f ca="1">('TUSD BE'!$AM$32+'TUSD BF'!$AM$32+'TUSD CVA'!$AM$32)*1</f>
        <v>17.138874075124019</v>
      </c>
      <c r="Z649" s="6"/>
      <c r="AA649" s="6"/>
      <c r="AB649" s="6">
        <f>$K$649*$V$649</f>
        <v>7315.2</v>
      </c>
      <c r="AC649" s="6">
        <f>$M$649*$W$649</f>
        <v>0</v>
      </c>
      <c r="AD649" s="6">
        <f>$O$649*$X$649</f>
        <v>0</v>
      </c>
      <c r="AE649" s="6">
        <f ca="1">$K$649*$Y$649</f>
        <v>8226.6595560595288</v>
      </c>
      <c r="AF649" s="6">
        <f>$M$649*$Z$649</f>
        <v>0</v>
      </c>
      <c r="AG649" s="6">
        <f>$O$649*$AA$649</f>
        <v>0</v>
      </c>
    </row>
    <row r="650" spans="1:33" ht="11.25" customHeight="1" x14ac:dyDescent="0.25">
      <c r="A650" s="4" t="s">
        <v>21</v>
      </c>
      <c r="B650" s="4" t="s">
        <v>41</v>
      </c>
      <c r="C650" s="4" t="s">
        <v>64</v>
      </c>
      <c r="D650" s="4" t="s">
        <v>25</v>
      </c>
      <c r="E650" s="4" t="s">
        <v>25</v>
      </c>
      <c r="F650" s="4" t="s">
        <v>25</v>
      </c>
      <c r="G650" s="4" t="s">
        <v>77</v>
      </c>
      <c r="H650" s="4" t="s">
        <v>25</v>
      </c>
      <c r="I650" s="5">
        <v>44440</v>
      </c>
      <c r="J650" s="6">
        <v>736</v>
      </c>
      <c r="K650" s="6">
        <v>736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4" t="s">
        <v>66</v>
      </c>
      <c r="R650" s="4">
        <v>1462</v>
      </c>
      <c r="S650" s="6">
        <v>28</v>
      </c>
      <c r="T650" s="6">
        <v>0</v>
      </c>
      <c r="U650" s="6">
        <v>0</v>
      </c>
      <c r="V650" s="6">
        <f>IF(ISERROR(VLOOKUP($S$650,'TAR FIN'!$A$1:$O$116,15,0)),0,VLOOKUP($S$650,'TAR FIN'!$A$1:$O$116,15,0))</f>
        <v>15.24</v>
      </c>
      <c r="W650" s="6">
        <f>IF(ISERROR(VLOOKUP($T$650,'TAR FIN'!$A$1:$O$116,15,0)),0,VLOOKUP($T$650,'TAR FIN'!$A$1:$O$116,15,0))</f>
        <v>0</v>
      </c>
      <c r="X650" s="6">
        <f>IF(ISERROR(VLOOKUP($U$650,'TAR FIN'!$A$1:$O$116,15,0)),0,VLOOKUP($U$650,'TAR FIN'!$A$1:$O$116,15,0))</f>
        <v>0</v>
      </c>
      <c r="Y650" s="6">
        <f ca="1">('TUSD BE'!$AM$32+'TUSD BF'!$AM$32+'TUSD CVA'!$AM$32)*1</f>
        <v>17.138874075124019</v>
      </c>
      <c r="Z650" s="6"/>
      <c r="AA650" s="6"/>
      <c r="AB650" s="6">
        <f>$K$650*$V$650</f>
        <v>11216.64</v>
      </c>
      <c r="AC650" s="6">
        <f>$M$650*$W$650</f>
        <v>0</v>
      </c>
      <c r="AD650" s="6">
        <f>$O$650*$X$650</f>
        <v>0</v>
      </c>
      <c r="AE650" s="6">
        <f ca="1">$K$650*$Y$650</f>
        <v>12614.211319291278</v>
      </c>
      <c r="AF650" s="6">
        <f>$M$650*$Z$650</f>
        <v>0</v>
      </c>
      <c r="AG650" s="6">
        <f>$O$650*$AA$650</f>
        <v>0</v>
      </c>
    </row>
    <row r="651" spans="1:33" ht="11.25" customHeight="1" x14ac:dyDescent="0.25">
      <c r="A651" s="4" t="s">
        <v>21</v>
      </c>
      <c r="B651" s="4" t="s">
        <v>41</v>
      </c>
      <c r="C651" s="4" t="s">
        <v>64</v>
      </c>
      <c r="D651" s="4" t="s">
        <v>25</v>
      </c>
      <c r="E651" s="4" t="s">
        <v>25</v>
      </c>
      <c r="F651" s="4" t="s">
        <v>25</v>
      </c>
      <c r="G651" s="4" t="s">
        <v>78</v>
      </c>
      <c r="H651" s="4" t="s">
        <v>25</v>
      </c>
      <c r="I651" s="5">
        <v>44440</v>
      </c>
      <c r="J651" s="6">
        <v>6460</v>
      </c>
      <c r="K651" s="6">
        <v>6460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4" t="s">
        <v>66</v>
      </c>
      <c r="R651" s="4">
        <v>1533</v>
      </c>
      <c r="S651" s="6">
        <v>28</v>
      </c>
      <c r="T651" s="6">
        <v>0</v>
      </c>
      <c r="U651" s="6">
        <v>0</v>
      </c>
      <c r="V651" s="6">
        <f>IF(ISERROR(VLOOKUP($S$651,'TAR FIN'!$A$1:$O$116,15,0)),0,VLOOKUP($S$651,'TAR FIN'!$A$1:$O$116,15,0))</f>
        <v>15.24</v>
      </c>
      <c r="W651" s="6">
        <f>IF(ISERROR(VLOOKUP($T$651,'TAR FIN'!$A$1:$O$116,15,0)),0,VLOOKUP($T$651,'TAR FIN'!$A$1:$O$116,15,0))</f>
        <v>0</v>
      </c>
      <c r="X651" s="6">
        <f>IF(ISERROR(VLOOKUP($U$651,'TAR FIN'!$A$1:$O$116,15,0)),0,VLOOKUP($U$651,'TAR FIN'!$A$1:$O$116,15,0))</f>
        <v>0</v>
      </c>
      <c r="Y651" s="6">
        <f ca="1">('TUSD BE'!$AM$32+'TUSD BF'!$AM$32+'TUSD CVA'!$AM$32)*1</f>
        <v>17.138874075124019</v>
      </c>
      <c r="Z651" s="6"/>
      <c r="AA651" s="6"/>
      <c r="AB651" s="6">
        <f>$K$651*$V$651</f>
        <v>98450.4</v>
      </c>
      <c r="AC651" s="6">
        <f>$M$651*$W$651</f>
        <v>0</v>
      </c>
      <c r="AD651" s="6">
        <f>$O$651*$X$651</f>
        <v>0</v>
      </c>
      <c r="AE651" s="6">
        <f ca="1">$K$651*$Y$651</f>
        <v>110717.12652530117</v>
      </c>
      <c r="AF651" s="6">
        <f>$M$651*$Z$651</f>
        <v>0</v>
      </c>
      <c r="AG651" s="6">
        <f>$O$651*$AA$651</f>
        <v>0</v>
      </c>
    </row>
    <row r="652" spans="1:33" ht="11.25" customHeight="1" x14ac:dyDescent="0.25">
      <c r="A652" s="4" t="s">
        <v>21</v>
      </c>
      <c r="B652" s="4" t="s">
        <v>41</v>
      </c>
      <c r="C652" s="4" t="s">
        <v>64</v>
      </c>
      <c r="D652" s="4" t="s">
        <v>25</v>
      </c>
      <c r="E652" s="4" t="s">
        <v>25</v>
      </c>
      <c r="F652" s="4" t="s">
        <v>25</v>
      </c>
      <c r="G652" s="4" t="s">
        <v>79</v>
      </c>
      <c r="H652" s="4" t="s">
        <v>25</v>
      </c>
      <c r="I652" s="5">
        <v>44440</v>
      </c>
      <c r="J652" s="6">
        <v>770</v>
      </c>
      <c r="K652" s="6">
        <v>770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4" t="s">
        <v>66</v>
      </c>
      <c r="R652" s="4">
        <v>2535</v>
      </c>
      <c r="S652" s="6">
        <v>28</v>
      </c>
      <c r="T652" s="6">
        <v>0</v>
      </c>
      <c r="U652" s="6">
        <v>0</v>
      </c>
      <c r="V652" s="6">
        <f>IF(ISERROR(VLOOKUP($S$652,'TAR FIN'!$A$1:$O$116,15,0)),0,VLOOKUP($S$652,'TAR FIN'!$A$1:$O$116,15,0))</f>
        <v>15.24</v>
      </c>
      <c r="W652" s="6">
        <f>IF(ISERROR(VLOOKUP($T$652,'TAR FIN'!$A$1:$O$116,15,0)),0,VLOOKUP($T$652,'TAR FIN'!$A$1:$O$116,15,0))</f>
        <v>0</v>
      </c>
      <c r="X652" s="6">
        <f>IF(ISERROR(VLOOKUP($U$652,'TAR FIN'!$A$1:$O$116,15,0)),0,VLOOKUP($U$652,'TAR FIN'!$A$1:$O$116,15,0))</f>
        <v>0</v>
      </c>
      <c r="Y652" s="6">
        <f ca="1">('TUSD BE'!$AM$32+'TUSD BF'!$AM$32+'TUSD CVA'!$AM$32)*1</f>
        <v>17.138874075124019</v>
      </c>
      <c r="Z652" s="6"/>
      <c r="AA652" s="6"/>
      <c r="AB652" s="6">
        <f>$K$652*$V$652</f>
        <v>11734.8</v>
      </c>
      <c r="AC652" s="6">
        <f>$M$652*$W$652</f>
        <v>0</v>
      </c>
      <c r="AD652" s="6">
        <f>$O$652*$X$652</f>
        <v>0</v>
      </c>
      <c r="AE652" s="6">
        <f ca="1">$K$652*$Y$652</f>
        <v>13196.933037845494</v>
      </c>
      <c r="AF652" s="6">
        <f>$M$652*$Z$652</f>
        <v>0</v>
      </c>
      <c r="AG652" s="6">
        <f>$O$652*$AA$652</f>
        <v>0</v>
      </c>
    </row>
    <row r="653" spans="1:33" ht="11.25" customHeight="1" x14ac:dyDescent="0.25">
      <c r="A653" s="4" t="s">
        <v>21</v>
      </c>
      <c r="B653" s="4" t="s">
        <v>41</v>
      </c>
      <c r="C653" s="4" t="s">
        <v>64</v>
      </c>
      <c r="D653" s="4" t="s">
        <v>25</v>
      </c>
      <c r="E653" s="4" t="s">
        <v>25</v>
      </c>
      <c r="F653" s="4" t="s">
        <v>25</v>
      </c>
      <c r="G653" s="4" t="s">
        <v>80</v>
      </c>
      <c r="H653" s="4" t="s">
        <v>25</v>
      </c>
      <c r="I653" s="5">
        <v>44440</v>
      </c>
      <c r="J653" s="6">
        <v>1416</v>
      </c>
      <c r="K653" s="6">
        <v>1416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4" t="s">
        <v>66</v>
      </c>
      <c r="R653" s="4">
        <v>2751</v>
      </c>
      <c r="S653" s="6">
        <v>28</v>
      </c>
      <c r="T653" s="6">
        <v>0</v>
      </c>
      <c r="U653" s="6">
        <v>0</v>
      </c>
      <c r="V653" s="6">
        <f>IF(ISERROR(VLOOKUP($S$653,'TAR FIN'!$A$1:$O$116,15,0)),0,VLOOKUP($S$653,'TAR FIN'!$A$1:$O$116,15,0))</f>
        <v>15.24</v>
      </c>
      <c r="W653" s="6">
        <f>IF(ISERROR(VLOOKUP($T$653,'TAR FIN'!$A$1:$O$116,15,0)),0,VLOOKUP($T$653,'TAR FIN'!$A$1:$O$116,15,0))</f>
        <v>0</v>
      </c>
      <c r="X653" s="6">
        <f>IF(ISERROR(VLOOKUP($U$653,'TAR FIN'!$A$1:$O$116,15,0)),0,VLOOKUP($U$653,'TAR FIN'!$A$1:$O$116,15,0))</f>
        <v>0</v>
      </c>
      <c r="Y653" s="6">
        <f ca="1">('TUSD BE'!$AM$32+'TUSD BF'!$AM$32+'TUSD CVA'!$AM$32)*1</f>
        <v>17.138874075124019</v>
      </c>
      <c r="Z653" s="6"/>
      <c r="AA653" s="6"/>
      <c r="AB653" s="6">
        <f>$K$653*$V$653</f>
        <v>21579.84</v>
      </c>
      <c r="AC653" s="6">
        <f>$M$653*$W$653</f>
        <v>0</v>
      </c>
      <c r="AD653" s="6">
        <f>$O$653*$X$653</f>
        <v>0</v>
      </c>
      <c r="AE653" s="6">
        <f ca="1">$K$653*$Y$653</f>
        <v>24268.645690375612</v>
      </c>
      <c r="AF653" s="6">
        <f>$M$653*$Z$653</f>
        <v>0</v>
      </c>
      <c r="AG653" s="6">
        <f>$O$653*$AA$653</f>
        <v>0</v>
      </c>
    </row>
    <row r="654" spans="1:33" ht="11.25" customHeight="1" x14ac:dyDescent="0.25">
      <c r="A654" s="4" t="s">
        <v>21</v>
      </c>
      <c r="B654" s="4" t="s">
        <v>41</v>
      </c>
      <c r="C654" s="4" t="s">
        <v>64</v>
      </c>
      <c r="D654" s="4" t="s">
        <v>25</v>
      </c>
      <c r="E654" s="4" t="s">
        <v>25</v>
      </c>
      <c r="F654" s="4" t="s">
        <v>25</v>
      </c>
      <c r="G654" s="4" t="s">
        <v>88</v>
      </c>
      <c r="H654" s="4" t="s">
        <v>25</v>
      </c>
      <c r="I654" s="5">
        <v>44440</v>
      </c>
      <c r="J654" s="6">
        <v>9500</v>
      </c>
      <c r="K654" s="6">
        <v>4750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4" t="s">
        <v>66</v>
      </c>
      <c r="R654" s="4">
        <v>27722</v>
      </c>
      <c r="S654" s="6">
        <v>28</v>
      </c>
      <c r="T654" s="6">
        <v>0</v>
      </c>
      <c r="U654" s="6">
        <v>0</v>
      </c>
      <c r="V654" s="6">
        <f>IF(ISERROR(VLOOKUP($S$654,'TAR FIN'!$A$1:$O$116,15,0)),0,VLOOKUP($S$654,'TAR FIN'!$A$1:$O$116,15,0))</f>
        <v>15.24</v>
      </c>
      <c r="W654" s="6">
        <f>IF(ISERROR(VLOOKUP($T$654,'TAR FIN'!$A$1:$O$116,15,0)),0,VLOOKUP($T$654,'TAR FIN'!$A$1:$O$116,15,0))</f>
        <v>0</v>
      </c>
      <c r="X654" s="6">
        <f>IF(ISERROR(VLOOKUP($U$654,'TAR FIN'!$A$1:$O$116,15,0)),0,VLOOKUP($U$654,'TAR FIN'!$A$1:$O$116,15,0))</f>
        <v>0</v>
      </c>
      <c r="Y654" s="6">
        <f ca="1">('TUSD BE'!$AM$32+'TUSD BF'!$AM$32+'TUSD CVA'!$AM$32)*1</f>
        <v>17.138874075124019</v>
      </c>
      <c r="Z654" s="6"/>
      <c r="AA654" s="6"/>
      <c r="AB654" s="6">
        <f>$K$654*$V$654</f>
        <v>72390</v>
      </c>
      <c r="AC654" s="6">
        <f>$M$654*$W$654</f>
        <v>0</v>
      </c>
      <c r="AD654" s="6">
        <f>$O$654*$X$654</f>
        <v>0</v>
      </c>
      <c r="AE654" s="6">
        <f ca="1">$K$654*$Y$654</f>
        <v>81409.651856839089</v>
      </c>
      <c r="AF654" s="6">
        <f>$M$654*$Z$654</f>
        <v>0</v>
      </c>
      <c r="AG654" s="6">
        <f>$O$654*$AA$654</f>
        <v>0</v>
      </c>
    </row>
    <row r="655" spans="1:33" ht="11.25" customHeight="1" x14ac:dyDescent="0.25">
      <c r="A655" s="4" t="s">
        <v>21</v>
      </c>
      <c r="B655" s="4" t="s">
        <v>41</v>
      </c>
      <c r="C655" s="4" t="s">
        <v>64</v>
      </c>
      <c r="D655" s="4" t="s">
        <v>25</v>
      </c>
      <c r="E655" s="4" t="s">
        <v>25</v>
      </c>
      <c r="F655" s="4" t="s">
        <v>25</v>
      </c>
      <c r="G655" s="4" t="s">
        <v>90</v>
      </c>
      <c r="H655" s="4" t="s">
        <v>25</v>
      </c>
      <c r="I655" s="5">
        <v>44440</v>
      </c>
      <c r="J655" s="6">
        <v>420</v>
      </c>
      <c r="K655" s="6">
        <v>420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4" t="s">
        <v>66</v>
      </c>
      <c r="R655" s="4">
        <v>27928</v>
      </c>
      <c r="S655" s="6">
        <v>28</v>
      </c>
      <c r="T655" s="6">
        <v>0</v>
      </c>
      <c r="U655" s="6">
        <v>0</v>
      </c>
      <c r="V655" s="6">
        <f>IF(ISERROR(VLOOKUP($S$655,'TAR FIN'!$A$1:$O$116,15,0)),0,VLOOKUP($S$655,'TAR FIN'!$A$1:$O$116,15,0))</f>
        <v>15.24</v>
      </c>
      <c r="W655" s="6">
        <f>IF(ISERROR(VLOOKUP($T$655,'TAR FIN'!$A$1:$O$116,15,0)),0,VLOOKUP($T$655,'TAR FIN'!$A$1:$O$116,15,0))</f>
        <v>0</v>
      </c>
      <c r="X655" s="6">
        <f>IF(ISERROR(VLOOKUP($U$655,'TAR FIN'!$A$1:$O$116,15,0)),0,VLOOKUP($U$655,'TAR FIN'!$A$1:$O$116,15,0))</f>
        <v>0</v>
      </c>
      <c r="Y655" s="6">
        <f ca="1">('TUSD BE'!$AM$32+'TUSD BF'!$AM$32+'TUSD CVA'!$AM$32)*1</f>
        <v>17.138874075124019</v>
      </c>
      <c r="Z655" s="6"/>
      <c r="AA655" s="6"/>
      <c r="AB655" s="6">
        <f>$K$655*$V$655</f>
        <v>6400.8</v>
      </c>
      <c r="AC655" s="6">
        <f>$M$655*$W$655</f>
        <v>0</v>
      </c>
      <c r="AD655" s="6">
        <f>$O$655*$X$655</f>
        <v>0</v>
      </c>
      <c r="AE655" s="6">
        <f ca="1">$K$655*$Y$655</f>
        <v>7198.3271115520874</v>
      </c>
      <c r="AF655" s="6">
        <f>$M$655*$Z$655</f>
        <v>0</v>
      </c>
      <c r="AG655" s="6">
        <f>$O$655*$AA$655</f>
        <v>0</v>
      </c>
    </row>
    <row r="656" spans="1:33" ht="11.25" customHeight="1" x14ac:dyDescent="0.25">
      <c r="A656" s="4" t="s">
        <v>21</v>
      </c>
      <c r="B656" s="4" t="s">
        <v>41</v>
      </c>
      <c r="C656" s="4" t="s">
        <v>64</v>
      </c>
      <c r="D656" s="4" t="s">
        <v>25</v>
      </c>
      <c r="E656" s="4" t="s">
        <v>25</v>
      </c>
      <c r="F656" s="4" t="s">
        <v>25</v>
      </c>
      <c r="G656" s="4" t="s">
        <v>93</v>
      </c>
      <c r="H656" s="4" t="s">
        <v>25</v>
      </c>
      <c r="I656" s="5">
        <v>44440</v>
      </c>
      <c r="J656" s="6">
        <v>1300</v>
      </c>
      <c r="K656" s="6">
        <v>650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4" t="s">
        <v>66</v>
      </c>
      <c r="R656" s="4">
        <v>30847</v>
      </c>
      <c r="S656" s="6">
        <v>28</v>
      </c>
      <c r="T656" s="6">
        <v>0</v>
      </c>
      <c r="U656" s="6">
        <v>0</v>
      </c>
      <c r="V656" s="6">
        <f>IF(ISERROR(VLOOKUP($S$656,'TAR FIN'!$A$1:$O$116,15,0)),0,VLOOKUP($S$656,'TAR FIN'!$A$1:$O$116,15,0))</f>
        <v>15.24</v>
      </c>
      <c r="W656" s="6">
        <f>IF(ISERROR(VLOOKUP($T$656,'TAR FIN'!$A$1:$O$116,15,0)),0,VLOOKUP($T$656,'TAR FIN'!$A$1:$O$116,15,0))</f>
        <v>0</v>
      </c>
      <c r="X656" s="6">
        <f>IF(ISERROR(VLOOKUP($U$656,'TAR FIN'!$A$1:$O$116,15,0)),0,VLOOKUP($U$656,'TAR FIN'!$A$1:$O$116,15,0))</f>
        <v>0</v>
      </c>
      <c r="Y656" s="6">
        <f ca="1">('TUSD BE'!$AM$32+'TUSD BF'!$AM$32+'TUSD CVA'!$AM$32)*1</f>
        <v>17.138874075124019</v>
      </c>
      <c r="Z656" s="6"/>
      <c r="AA656" s="6"/>
      <c r="AB656" s="6">
        <f>$K$656*$V$656</f>
        <v>9906</v>
      </c>
      <c r="AC656" s="6">
        <f>$M$656*$W$656</f>
        <v>0</v>
      </c>
      <c r="AD656" s="6">
        <f>$O$656*$X$656</f>
        <v>0</v>
      </c>
      <c r="AE656" s="6">
        <f ca="1">$K$656*$Y$656</f>
        <v>11140.268148830612</v>
      </c>
      <c r="AF656" s="6">
        <f>$M$656*$Z$656</f>
        <v>0</v>
      </c>
      <c r="AG656" s="6">
        <f>$O$656*$AA$656</f>
        <v>0</v>
      </c>
    </row>
    <row r="657" spans="1:33" ht="11.25" customHeight="1" x14ac:dyDescent="0.25">
      <c r="A657" s="4" t="s">
        <v>21</v>
      </c>
      <c r="B657" s="4" t="s">
        <v>41</v>
      </c>
      <c r="C657" s="4" t="s">
        <v>64</v>
      </c>
      <c r="D657" s="4" t="s">
        <v>25</v>
      </c>
      <c r="E657" s="4" t="s">
        <v>25</v>
      </c>
      <c r="F657" s="4" t="s">
        <v>25</v>
      </c>
      <c r="G657" s="4" t="s">
        <v>94</v>
      </c>
      <c r="H657" s="4" t="s">
        <v>25</v>
      </c>
      <c r="I657" s="5">
        <v>44440</v>
      </c>
      <c r="J657" s="6">
        <v>1180</v>
      </c>
      <c r="K657" s="6">
        <v>590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4" t="s">
        <v>66</v>
      </c>
      <c r="R657" s="4">
        <v>30866</v>
      </c>
      <c r="S657" s="6">
        <v>28</v>
      </c>
      <c r="T657" s="6">
        <v>0</v>
      </c>
      <c r="U657" s="6">
        <v>0</v>
      </c>
      <c r="V657" s="6">
        <f>IF(ISERROR(VLOOKUP($S$657,'TAR FIN'!$A$1:$O$116,15,0)),0,VLOOKUP($S$657,'TAR FIN'!$A$1:$O$116,15,0))</f>
        <v>15.24</v>
      </c>
      <c r="W657" s="6">
        <f>IF(ISERROR(VLOOKUP($T$657,'TAR FIN'!$A$1:$O$116,15,0)),0,VLOOKUP($T$657,'TAR FIN'!$A$1:$O$116,15,0))</f>
        <v>0</v>
      </c>
      <c r="X657" s="6">
        <f>IF(ISERROR(VLOOKUP($U$657,'TAR FIN'!$A$1:$O$116,15,0)),0,VLOOKUP($U$657,'TAR FIN'!$A$1:$O$116,15,0))</f>
        <v>0</v>
      </c>
      <c r="Y657" s="6">
        <f ca="1">('TUSD BE'!$AM$32+'TUSD BF'!$AM$32+'TUSD CVA'!$AM$32)*1</f>
        <v>17.138874075124019</v>
      </c>
      <c r="Z657" s="6"/>
      <c r="AA657" s="6"/>
      <c r="AB657" s="6">
        <f>$K$657*$V$657</f>
        <v>8991.6</v>
      </c>
      <c r="AC657" s="6">
        <f>$M$657*$W$657</f>
        <v>0</v>
      </c>
      <c r="AD657" s="6">
        <f>$O$657*$X$657</f>
        <v>0</v>
      </c>
      <c r="AE657" s="6">
        <f ca="1">$K$657*$Y$657</f>
        <v>10111.93570432317</v>
      </c>
      <c r="AF657" s="6">
        <f>$M$657*$Z$657</f>
        <v>0</v>
      </c>
      <c r="AG657" s="6">
        <f>$O$657*$AA$657</f>
        <v>0</v>
      </c>
    </row>
    <row r="658" spans="1:33" ht="11.25" customHeight="1" x14ac:dyDescent="0.25">
      <c r="A658" s="4" t="s">
        <v>21</v>
      </c>
      <c r="B658" s="4" t="s">
        <v>41</v>
      </c>
      <c r="C658" s="4" t="s">
        <v>64</v>
      </c>
      <c r="D658" s="4" t="s">
        <v>25</v>
      </c>
      <c r="E658" s="4" t="s">
        <v>25</v>
      </c>
      <c r="F658" s="4" t="s">
        <v>25</v>
      </c>
      <c r="G658" s="4" t="s">
        <v>95</v>
      </c>
      <c r="H658" s="4" t="s">
        <v>25</v>
      </c>
      <c r="I658" s="5">
        <v>44440</v>
      </c>
      <c r="J658" s="6">
        <v>1180</v>
      </c>
      <c r="K658" s="6">
        <v>590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4" t="s">
        <v>66</v>
      </c>
      <c r="R658" s="4">
        <v>31051</v>
      </c>
      <c r="S658" s="6">
        <v>28</v>
      </c>
      <c r="T658" s="6">
        <v>0</v>
      </c>
      <c r="U658" s="6">
        <v>0</v>
      </c>
      <c r="V658" s="6">
        <f>IF(ISERROR(VLOOKUP($S$658,'TAR FIN'!$A$1:$O$116,15,0)),0,VLOOKUP($S$658,'TAR FIN'!$A$1:$O$116,15,0))</f>
        <v>15.24</v>
      </c>
      <c r="W658" s="6">
        <f>IF(ISERROR(VLOOKUP($T$658,'TAR FIN'!$A$1:$O$116,15,0)),0,VLOOKUP($T$658,'TAR FIN'!$A$1:$O$116,15,0))</f>
        <v>0</v>
      </c>
      <c r="X658" s="6">
        <f>IF(ISERROR(VLOOKUP($U$658,'TAR FIN'!$A$1:$O$116,15,0)),0,VLOOKUP($U$658,'TAR FIN'!$A$1:$O$116,15,0))</f>
        <v>0</v>
      </c>
      <c r="Y658" s="6">
        <f ca="1">('TUSD BE'!$AM$32+'TUSD BF'!$AM$32+'TUSD CVA'!$AM$32)*1</f>
        <v>17.138874075124019</v>
      </c>
      <c r="Z658" s="6"/>
      <c r="AA658" s="6"/>
      <c r="AB658" s="6">
        <f>$K$658*$V$658</f>
        <v>8991.6</v>
      </c>
      <c r="AC658" s="6">
        <f>$M$658*$W$658</f>
        <v>0</v>
      </c>
      <c r="AD658" s="6">
        <f>$O$658*$X$658</f>
        <v>0</v>
      </c>
      <c r="AE658" s="6">
        <f ca="1">$K$658*$Y$658</f>
        <v>10111.93570432317</v>
      </c>
      <c r="AF658" s="6">
        <f>$M$658*$Z$658</f>
        <v>0</v>
      </c>
      <c r="AG658" s="6">
        <f>$O$658*$AA$658</f>
        <v>0</v>
      </c>
    </row>
    <row r="659" spans="1:33" ht="11.25" customHeight="1" x14ac:dyDescent="0.25">
      <c r="A659" s="4" t="s">
        <v>21</v>
      </c>
      <c r="B659" s="4" t="s">
        <v>41</v>
      </c>
      <c r="C659" s="4" t="s">
        <v>64</v>
      </c>
      <c r="D659" s="4" t="s">
        <v>25</v>
      </c>
      <c r="E659" s="4" t="s">
        <v>25</v>
      </c>
      <c r="F659" s="4" t="s">
        <v>25</v>
      </c>
      <c r="G659" s="4" t="s">
        <v>96</v>
      </c>
      <c r="H659" s="4" t="s">
        <v>25</v>
      </c>
      <c r="I659" s="5">
        <v>44440</v>
      </c>
      <c r="J659" s="6">
        <v>1000</v>
      </c>
      <c r="K659" s="6">
        <v>500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4" t="s">
        <v>66</v>
      </c>
      <c r="R659" s="4">
        <v>31277</v>
      </c>
      <c r="S659" s="6">
        <v>28</v>
      </c>
      <c r="T659" s="6">
        <v>0</v>
      </c>
      <c r="U659" s="6">
        <v>0</v>
      </c>
      <c r="V659" s="6">
        <f>IF(ISERROR(VLOOKUP($S$659,'TAR FIN'!$A$1:$O$116,15,0)),0,VLOOKUP($S$659,'TAR FIN'!$A$1:$O$116,15,0))</f>
        <v>15.24</v>
      </c>
      <c r="W659" s="6">
        <f>IF(ISERROR(VLOOKUP($T$659,'TAR FIN'!$A$1:$O$116,15,0)),0,VLOOKUP($T$659,'TAR FIN'!$A$1:$O$116,15,0))</f>
        <v>0</v>
      </c>
      <c r="X659" s="6">
        <f>IF(ISERROR(VLOOKUP($U$659,'TAR FIN'!$A$1:$O$116,15,0)),0,VLOOKUP($U$659,'TAR FIN'!$A$1:$O$116,15,0))</f>
        <v>0</v>
      </c>
      <c r="Y659" s="6">
        <f ca="1">('TUSD BE'!$AM$32+'TUSD BF'!$AM$32+'TUSD CVA'!$AM$32)*1</f>
        <v>17.138874075124019</v>
      </c>
      <c r="Z659" s="6"/>
      <c r="AA659" s="6"/>
      <c r="AB659" s="6">
        <f>$K$659*$V$659</f>
        <v>7620</v>
      </c>
      <c r="AC659" s="6">
        <f>$M$659*$W$659</f>
        <v>0</v>
      </c>
      <c r="AD659" s="6">
        <f>$O$659*$X$659</f>
        <v>0</v>
      </c>
      <c r="AE659" s="6">
        <f ca="1">$K$659*$Y$659</f>
        <v>8569.4370375620092</v>
      </c>
      <c r="AF659" s="6">
        <f>$M$659*$Z$659</f>
        <v>0</v>
      </c>
      <c r="AG659" s="6">
        <f>$O$659*$AA$659</f>
        <v>0</v>
      </c>
    </row>
    <row r="660" spans="1:33" ht="11.25" customHeight="1" x14ac:dyDescent="0.25">
      <c r="A660" s="4" t="s">
        <v>21</v>
      </c>
      <c r="B660" s="4" t="s">
        <v>41</v>
      </c>
      <c r="C660" s="4" t="s">
        <v>64</v>
      </c>
      <c r="D660" s="4" t="s">
        <v>25</v>
      </c>
      <c r="E660" s="4" t="s">
        <v>25</v>
      </c>
      <c r="F660" s="4" t="s">
        <v>25</v>
      </c>
      <c r="G660" s="4" t="s">
        <v>97</v>
      </c>
      <c r="H660" s="4" t="s">
        <v>25</v>
      </c>
      <c r="I660" s="5">
        <v>44440</v>
      </c>
      <c r="J660" s="6">
        <v>1180</v>
      </c>
      <c r="K660" s="6">
        <v>590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4" t="s">
        <v>66</v>
      </c>
      <c r="R660" s="4">
        <v>31318</v>
      </c>
      <c r="S660" s="6">
        <v>28</v>
      </c>
      <c r="T660" s="6">
        <v>0</v>
      </c>
      <c r="U660" s="6">
        <v>0</v>
      </c>
      <c r="V660" s="6">
        <f>IF(ISERROR(VLOOKUP($S$660,'TAR FIN'!$A$1:$O$116,15,0)),0,VLOOKUP($S$660,'TAR FIN'!$A$1:$O$116,15,0))</f>
        <v>15.24</v>
      </c>
      <c r="W660" s="6">
        <f>IF(ISERROR(VLOOKUP($T$660,'TAR FIN'!$A$1:$O$116,15,0)),0,VLOOKUP($T$660,'TAR FIN'!$A$1:$O$116,15,0))</f>
        <v>0</v>
      </c>
      <c r="X660" s="6">
        <f>IF(ISERROR(VLOOKUP($U$660,'TAR FIN'!$A$1:$O$116,15,0)),0,VLOOKUP($U$660,'TAR FIN'!$A$1:$O$116,15,0))</f>
        <v>0</v>
      </c>
      <c r="Y660" s="6">
        <f ca="1">('TUSD BE'!$AM$32+'TUSD BF'!$AM$32+'TUSD CVA'!$AM$32)*1</f>
        <v>17.138874075124019</v>
      </c>
      <c r="Z660" s="6"/>
      <c r="AA660" s="6"/>
      <c r="AB660" s="6">
        <f>$K$660*$V$660</f>
        <v>8991.6</v>
      </c>
      <c r="AC660" s="6">
        <f>$M$660*$W$660</f>
        <v>0</v>
      </c>
      <c r="AD660" s="6">
        <f>$O$660*$X$660</f>
        <v>0</v>
      </c>
      <c r="AE660" s="6">
        <f ca="1">$K$660*$Y$660</f>
        <v>10111.93570432317</v>
      </c>
      <c r="AF660" s="6">
        <f>$M$660*$Z$660</f>
        <v>0</v>
      </c>
      <c r="AG660" s="6">
        <f>$O$660*$AA$660</f>
        <v>0</v>
      </c>
    </row>
    <row r="661" spans="1:33" ht="11.25" customHeight="1" x14ac:dyDescent="0.25">
      <c r="A661" s="4" t="s">
        <v>21</v>
      </c>
      <c r="B661" s="4" t="s">
        <v>41</v>
      </c>
      <c r="C661" s="4" t="s">
        <v>64</v>
      </c>
      <c r="D661" s="4" t="s">
        <v>25</v>
      </c>
      <c r="E661" s="4" t="s">
        <v>25</v>
      </c>
      <c r="F661" s="4" t="s">
        <v>25</v>
      </c>
      <c r="G661" s="4" t="s">
        <v>98</v>
      </c>
      <c r="H661" s="4" t="s">
        <v>25</v>
      </c>
      <c r="I661" s="5">
        <v>44440</v>
      </c>
      <c r="J661" s="6">
        <v>3000</v>
      </c>
      <c r="K661" s="6">
        <v>1500</v>
      </c>
      <c r="L661" s="6">
        <v>0</v>
      </c>
      <c r="M661" s="6">
        <v>0</v>
      </c>
      <c r="N661" s="6">
        <v>0</v>
      </c>
      <c r="O661" s="6">
        <v>0</v>
      </c>
      <c r="P661" s="6">
        <v>0</v>
      </c>
      <c r="Q661" s="4" t="s">
        <v>66</v>
      </c>
      <c r="R661" s="4">
        <v>31334</v>
      </c>
      <c r="S661" s="6">
        <v>28</v>
      </c>
      <c r="T661" s="6">
        <v>0</v>
      </c>
      <c r="U661" s="6">
        <v>0</v>
      </c>
      <c r="V661" s="6">
        <f>IF(ISERROR(VLOOKUP($S$661,'TAR FIN'!$A$1:$O$116,15,0)),0,VLOOKUP($S$661,'TAR FIN'!$A$1:$O$116,15,0))</f>
        <v>15.24</v>
      </c>
      <c r="W661" s="6">
        <f>IF(ISERROR(VLOOKUP($T$661,'TAR FIN'!$A$1:$O$116,15,0)),0,VLOOKUP($T$661,'TAR FIN'!$A$1:$O$116,15,0))</f>
        <v>0</v>
      </c>
      <c r="X661" s="6">
        <f>IF(ISERROR(VLOOKUP($U$661,'TAR FIN'!$A$1:$O$116,15,0)),0,VLOOKUP($U$661,'TAR FIN'!$A$1:$O$116,15,0))</f>
        <v>0</v>
      </c>
      <c r="Y661" s="6">
        <f ca="1">('TUSD BE'!$AM$32+'TUSD BF'!$AM$32+'TUSD CVA'!$AM$32)*1</f>
        <v>17.138874075124019</v>
      </c>
      <c r="Z661" s="6"/>
      <c r="AA661" s="6"/>
      <c r="AB661" s="6">
        <f>$K$661*$V$661</f>
        <v>22860</v>
      </c>
      <c r="AC661" s="6">
        <f>$M$661*$W$661</f>
        <v>0</v>
      </c>
      <c r="AD661" s="6">
        <f>$O$661*$X$661</f>
        <v>0</v>
      </c>
      <c r="AE661" s="6">
        <f ca="1">$K$661*$Y$661</f>
        <v>25708.311112686028</v>
      </c>
      <c r="AF661" s="6">
        <f>$M$661*$Z$661</f>
        <v>0</v>
      </c>
      <c r="AG661" s="6">
        <f>$O$661*$AA$661</f>
        <v>0</v>
      </c>
    </row>
    <row r="662" spans="1:33" ht="11.25" customHeight="1" x14ac:dyDescent="0.25">
      <c r="A662" s="4" t="s">
        <v>21</v>
      </c>
      <c r="B662" s="4" t="s">
        <v>41</v>
      </c>
      <c r="C662" s="4" t="s">
        <v>64</v>
      </c>
      <c r="D662" s="4" t="s">
        <v>25</v>
      </c>
      <c r="E662" s="4" t="s">
        <v>25</v>
      </c>
      <c r="F662" s="4" t="s">
        <v>25</v>
      </c>
      <c r="G662" s="4" t="s">
        <v>99</v>
      </c>
      <c r="H662" s="4" t="s">
        <v>25</v>
      </c>
      <c r="I662" s="5">
        <v>44440</v>
      </c>
      <c r="J662" s="6">
        <v>1180</v>
      </c>
      <c r="K662" s="6">
        <v>590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4" t="s">
        <v>66</v>
      </c>
      <c r="R662" s="4">
        <v>31618</v>
      </c>
      <c r="S662" s="6">
        <v>28</v>
      </c>
      <c r="T662" s="6">
        <v>0</v>
      </c>
      <c r="U662" s="6">
        <v>0</v>
      </c>
      <c r="V662" s="6">
        <f>IF(ISERROR(VLOOKUP($S$662,'TAR FIN'!$A$1:$O$116,15,0)),0,VLOOKUP($S$662,'TAR FIN'!$A$1:$O$116,15,0))</f>
        <v>15.24</v>
      </c>
      <c r="W662" s="6">
        <f>IF(ISERROR(VLOOKUP($T$662,'TAR FIN'!$A$1:$O$116,15,0)),0,VLOOKUP($T$662,'TAR FIN'!$A$1:$O$116,15,0))</f>
        <v>0</v>
      </c>
      <c r="X662" s="6">
        <f>IF(ISERROR(VLOOKUP($U$662,'TAR FIN'!$A$1:$O$116,15,0)),0,VLOOKUP($U$662,'TAR FIN'!$A$1:$O$116,15,0))</f>
        <v>0</v>
      </c>
      <c r="Y662" s="6">
        <f ca="1">('TUSD BE'!$AM$32+'TUSD BF'!$AM$32+'TUSD CVA'!$AM$32)*1</f>
        <v>17.138874075124019</v>
      </c>
      <c r="Z662" s="6"/>
      <c r="AA662" s="6"/>
      <c r="AB662" s="6">
        <f>$K$662*$V$662</f>
        <v>8991.6</v>
      </c>
      <c r="AC662" s="6">
        <f>$M$662*$W$662</f>
        <v>0</v>
      </c>
      <c r="AD662" s="6">
        <f>$O$662*$X$662</f>
        <v>0</v>
      </c>
      <c r="AE662" s="6">
        <f ca="1">$K$662*$Y$662</f>
        <v>10111.93570432317</v>
      </c>
      <c r="AF662" s="6">
        <f>$M$662*$Z$662</f>
        <v>0</v>
      </c>
      <c r="AG662" s="6">
        <f>$O$662*$AA$662</f>
        <v>0</v>
      </c>
    </row>
    <row r="663" spans="1:33" ht="11.25" customHeight="1" x14ac:dyDescent="0.25">
      <c r="A663" s="4" t="s">
        <v>21</v>
      </c>
      <c r="B663" s="4" t="s">
        <v>41</v>
      </c>
      <c r="C663" s="4" t="s">
        <v>64</v>
      </c>
      <c r="D663" s="4" t="s">
        <v>25</v>
      </c>
      <c r="E663" s="4" t="s">
        <v>25</v>
      </c>
      <c r="F663" s="4" t="s">
        <v>25</v>
      </c>
      <c r="G663" s="4" t="s">
        <v>100</v>
      </c>
      <c r="H663" s="4" t="s">
        <v>25</v>
      </c>
      <c r="I663" s="5">
        <v>44440</v>
      </c>
      <c r="J663" s="6">
        <v>1180</v>
      </c>
      <c r="K663" s="6">
        <v>590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4" t="s">
        <v>66</v>
      </c>
      <c r="R663" s="4">
        <v>31677</v>
      </c>
      <c r="S663" s="6">
        <v>28</v>
      </c>
      <c r="T663" s="6">
        <v>0</v>
      </c>
      <c r="U663" s="6">
        <v>0</v>
      </c>
      <c r="V663" s="6">
        <f>IF(ISERROR(VLOOKUP($S$663,'TAR FIN'!$A$1:$O$116,15,0)),0,VLOOKUP($S$663,'TAR FIN'!$A$1:$O$116,15,0))</f>
        <v>15.24</v>
      </c>
      <c r="W663" s="6">
        <f>IF(ISERROR(VLOOKUP($T$663,'TAR FIN'!$A$1:$O$116,15,0)),0,VLOOKUP($T$663,'TAR FIN'!$A$1:$O$116,15,0))</f>
        <v>0</v>
      </c>
      <c r="X663" s="6">
        <f>IF(ISERROR(VLOOKUP($U$663,'TAR FIN'!$A$1:$O$116,15,0)),0,VLOOKUP($U$663,'TAR FIN'!$A$1:$O$116,15,0))</f>
        <v>0</v>
      </c>
      <c r="Y663" s="6">
        <f ca="1">('TUSD BE'!$AM$32+'TUSD BF'!$AM$32+'TUSD CVA'!$AM$32)*1</f>
        <v>17.138874075124019</v>
      </c>
      <c r="Z663" s="6"/>
      <c r="AA663" s="6"/>
      <c r="AB663" s="6">
        <f>$K$663*$V$663</f>
        <v>8991.6</v>
      </c>
      <c r="AC663" s="6">
        <f>$M$663*$W$663</f>
        <v>0</v>
      </c>
      <c r="AD663" s="6">
        <f>$O$663*$X$663</f>
        <v>0</v>
      </c>
      <c r="AE663" s="6">
        <f ca="1">$K$663*$Y$663</f>
        <v>10111.93570432317</v>
      </c>
      <c r="AF663" s="6">
        <f>$M$663*$Z$663</f>
        <v>0</v>
      </c>
      <c r="AG663" s="6">
        <f>$O$663*$AA$663</f>
        <v>0</v>
      </c>
    </row>
    <row r="664" spans="1:33" ht="11.25" customHeight="1" x14ac:dyDescent="0.25">
      <c r="A664" s="4" t="s">
        <v>21</v>
      </c>
      <c r="B664" s="4" t="s">
        <v>41</v>
      </c>
      <c r="C664" s="4" t="s">
        <v>64</v>
      </c>
      <c r="D664" s="4" t="s">
        <v>25</v>
      </c>
      <c r="E664" s="4" t="s">
        <v>25</v>
      </c>
      <c r="F664" s="4" t="s">
        <v>25</v>
      </c>
      <c r="G664" s="4" t="s">
        <v>68</v>
      </c>
      <c r="H664" s="4" t="s">
        <v>25</v>
      </c>
      <c r="I664" s="5">
        <v>44470</v>
      </c>
      <c r="J664" s="6">
        <v>302</v>
      </c>
      <c r="K664" s="6">
        <v>302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4" t="s">
        <v>66</v>
      </c>
      <c r="R664" s="4">
        <v>404</v>
      </c>
      <c r="S664" s="6">
        <v>28</v>
      </c>
      <c r="T664" s="6">
        <v>0</v>
      </c>
      <c r="U664" s="6">
        <v>0</v>
      </c>
      <c r="V664" s="6">
        <f>IF(ISERROR(VLOOKUP($S$664,'TAR FIN'!$A$1:$O$116,15,0)),0,VLOOKUP($S$664,'TAR FIN'!$A$1:$O$116,15,0))</f>
        <v>15.24</v>
      </c>
      <c r="W664" s="6">
        <f>IF(ISERROR(VLOOKUP($T$664,'TAR FIN'!$A$1:$O$116,15,0)),0,VLOOKUP($T$664,'TAR FIN'!$A$1:$O$116,15,0))</f>
        <v>0</v>
      </c>
      <c r="X664" s="6">
        <f>IF(ISERROR(VLOOKUP($U$664,'TAR FIN'!$A$1:$O$116,15,0)),0,VLOOKUP($U$664,'TAR FIN'!$A$1:$O$116,15,0))</f>
        <v>0</v>
      </c>
      <c r="Y664" s="6">
        <f ca="1">('TUSD BE'!$AM$32+'TUSD BF'!$AM$32+'TUSD CVA'!$AM$32)*1</f>
        <v>17.138874075124019</v>
      </c>
      <c r="Z664" s="6"/>
      <c r="AA664" s="6"/>
      <c r="AB664" s="6">
        <f>$K$664*$V$664</f>
        <v>4602.4800000000005</v>
      </c>
      <c r="AC664" s="6">
        <f>$M$664*$W$664</f>
        <v>0</v>
      </c>
      <c r="AD664" s="6">
        <f>$O$664*$X$664</f>
        <v>0</v>
      </c>
      <c r="AE664" s="6">
        <f ca="1">$K$664*$Y$664</f>
        <v>5175.9399706874538</v>
      </c>
      <c r="AF664" s="6">
        <f>$M$664*$Z$664</f>
        <v>0</v>
      </c>
      <c r="AG664" s="6">
        <f>$O$664*$AA$664</f>
        <v>0</v>
      </c>
    </row>
    <row r="665" spans="1:33" ht="11.25" customHeight="1" x14ac:dyDescent="0.25">
      <c r="A665" s="4" t="s">
        <v>21</v>
      </c>
      <c r="B665" s="4" t="s">
        <v>41</v>
      </c>
      <c r="C665" s="4" t="s">
        <v>64</v>
      </c>
      <c r="D665" s="4" t="s">
        <v>25</v>
      </c>
      <c r="E665" s="4" t="s">
        <v>25</v>
      </c>
      <c r="F665" s="4" t="s">
        <v>25</v>
      </c>
      <c r="G665" s="4" t="s">
        <v>70</v>
      </c>
      <c r="H665" s="4" t="s">
        <v>25</v>
      </c>
      <c r="I665" s="5">
        <v>44470</v>
      </c>
      <c r="J665" s="6">
        <v>5040</v>
      </c>
      <c r="K665" s="6">
        <v>5040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4" t="s">
        <v>66</v>
      </c>
      <c r="R665" s="4">
        <v>838</v>
      </c>
      <c r="S665" s="6">
        <v>28</v>
      </c>
      <c r="T665" s="6">
        <v>0</v>
      </c>
      <c r="U665" s="6">
        <v>0</v>
      </c>
      <c r="V665" s="6">
        <f>IF(ISERROR(VLOOKUP($S$665,'TAR FIN'!$A$1:$O$116,15,0)),0,VLOOKUP($S$665,'TAR FIN'!$A$1:$O$116,15,0))</f>
        <v>15.24</v>
      </c>
      <c r="W665" s="6">
        <f>IF(ISERROR(VLOOKUP($T$665,'TAR FIN'!$A$1:$O$116,15,0)),0,VLOOKUP($T$665,'TAR FIN'!$A$1:$O$116,15,0))</f>
        <v>0</v>
      </c>
      <c r="X665" s="6">
        <f>IF(ISERROR(VLOOKUP($U$665,'TAR FIN'!$A$1:$O$116,15,0)),0,VLOOKUP($U$665,'TAR FIN'!$A$1:$O$116,15,0))</f>
        <v>0</v>
      </c>
      <c r="Y665" s="6">
        <f ca="1">('TUSD BE'!$AM$32+'TUSD BF'!$AM$32+'TUSD CVA'!$AM$32)*1</f>
        <v>17.138874075124019</v>
      </c>
      <c r="Z665" s="6"/>
      <c r="AA665" s="6"/>
      <c r="AB665" s="6">
        <f>$K$665*$V$665</f>
        <v>76809.600000000006</v>
      </c>
      <c r="AC665" s="6">
        <f>$M$665*$W$665</f>
        <v>0</v>
      </c>
      <c r="AD665" s="6">
        <f>$O$665*$X$665</f>
        <v>0</v>
      </c>
      <c r="AE665" s="6">
        <f ca="1">$K$665*$Y$665</f>
        <v>86379.925338625049</v>
      </c>
      <c r="AF665" s="6">
        <f>$M$665*$Z$665</f>
        <v>0</v>
      </c>
      <c r="AG665" s="6">
        <f>$O$665*$AA$665</f>
        <v>0</v>
      </c>
    </row>
    <row r="666" spans="1:33" ht="11.25" customHeight="1" x14ac:dyDescent="0.25">
      <c r="A666" s="4" t="s">
        <v>21</v>
      </c>
      <c r="B666" s="4" t="s">
        <v>41</v>
      </c>
      <c r="C666" s="4" t="s">
        <v>64</v>
      </c>
      <c r="D666" s="4" t="s">
        <v>25</v>
      </c>
      <c r="E666" s="4" t="s">
        <v>25</v>
      </c>
      <c r="F666" s="4" t="s">
        <v>25</v>
      </c>
      <c r="G666" s="4" t="s">
        <v>74</v>
      </c>
      <c r="H666" s="4" t="s">
        <v>25</v>
      </c>
      <c r="I666" s="5">
        <v>44470</v>
      </c>
      <c r="J666" s="6">
        <v>3800</v>
      </c>
      <c r="K666" s="6">
        <v>1900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4" t="s">
        <v>66</v>
      </c>
      <c r="R666" s="4">
        <v>1192</v>
      </c>
      <c r="S666" s="6">
        <v>28</v>
      </c>
      <c r="T666" s="6">
        <v>0</v>
      </c>
      <c r="U666" s="6">
        <v>0</v>
      </c>
      <c r="V666" s="6">
        <f>IF(ISERROR(VLOOKUP($S$666,'TAR FIN'!$A$1:$O$116,15,0)),0,VLOOKUP($S$666,'TAR FIN'!$A$1:$O$116,15,0))</f>
        <v>15.24</v>
      </c>
      <c r="W666" s="6">
        <f>IF(ISERROR(VLOOKUP($T$666,'TAR FIN'!$A$1:$O$116,15,0)),0,VLOOKUP($T$666,'TAR FIN'!$A$1:$O$116,15,0))</f>
        <v>0</v>
      </c>
      <c r="X666" s="6">
        <f>IF(ISERROR(VLOOKUP($U$666,'TAR FIN'!$A$1:$O$116,15,0)),0,VLOOKUP($U$666,'TAR FIN'!$A$1:$O$116,15,0))</f>
        <v>0</v>
      </c>
      <c r="Y666" s="6">
        <f ca="1">('TUSD BE'!$AM$32+'TUSD BF'!$AM$32+'TUSD CVA'!$AM$32)*1</f>
        <v>17.138874075124019</v>
      </c>
      <c r="Z666" s="6"/>
      <c r="AA666" s="6"/>
      <c r="AB666" s="6">
        <f>$K$666*$V$666</f>
        <v>28956</v>
      </c>
      <c r="AC666" s="6">
        <f>$M$666*$W$666</f>
        <v>0</v>
      </c>
      <c r="AD666" s="6">
        <f>$O$666*$X$666</f>
        <v>0</v>
      </c>
      <c r="AE666" s="6">
        <f ca="1">$K$666*$Y$666</f>
        <v>32563.860742735636</v>
      </c>
      <c r="AF666" s="6">
        <f>$M$666*$Z$666</f>
        <v>0</v>
      </c>
      <c r="AG666" s="6">
        <f>$O$666*$AA$666</f>
        <v>0</v>
      </c>
    </row>
    <row r="667" spans="1:33" ht="11.25" customHeight="1" x14ac:dyDescent="0.25">
      <c r="A667" s="4" t="s">
        <v>21</v>
      </c>
      <c r="B667" s="4" t="s">
        <v>41</v>
      </c>
      <c r="C667" s="4" t="s">
        <v>64</v>
      </c>
      <c r="D667" s="4" t="s">
        <v>25</v>
      </c>
      <c r="E667" s="4" t="s">
        <v>25</v>
      </c>
      <c r="F667" s="4" t="s">
        <v>25</v>
      </c>
      <c r="G667" s="4" t="s">
        <v>76</v>
      </c>
      <c r="H667" s="4" t="s">
        <v>25</v>
      </c>
      <c r="I667" s="5">
        <v>44470</v>
      </c>
      <c r="J667" s="6">
        <v>480</v>
      </c>
      <c r="K667" s="6">
        <v>480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4" t="s">
        <v>66</v>
      </c>
      <c r="R667" s="4">
        <v>1438</v>
      </c>
      <c r="S667" s="6">
        <v>28</v>
      </c>
      <c r="T667" s="6">
        <v>0</v>
      </c>
      <c r="U667" s="6">
        <v>0</v>
      </c>
      <c r="V667" s="6">
        <f>IF(ISERROR(VLOOKUP($S$667,'TAR FIN'!$A$1:$O$116,15,0)),0,VLOOKUP($S$667,'TAR FIN'!$A$1:$O$116,15,0))</f>
        <v>15.24</v>
      </c>
      <c r="W667" s="6">
        <f>IF(ISERROR(VLOOKUP($T$667,'TAR FIN'!$A$1:$O$116,15,0)),0,VLOOKUP($T$667,'TAR FIN'!$A$1:$O$116,15,0))</f>
        <v>0</v>
      </c>
      <c r="X667" s="6">
        <f>IF(ISERROR(VLOOKUP($U$667,'TAR FIN'!$A$1:$O$116,15,0)),0,VLOOKUP($U$667,'TAR FIN'!$A$1:$O$116,15,0))</f>
        <v>0</v>
      </c>
      <c r="Y667" s="6">
        <f ca="1">('TUSD BE'!$AM$32+'TUSD BF'!$AM$32+'TUSD CVA'!$AM$32)*1</f>
        <v>17.138874075124019</v>
      </c>
      <c r="Z667" s="6"/>
      <c r="AA667" s="6"/>
      <c r="AB667" s="6">
        <f>$K$667*$V$667</f>
        <v>7315.2</v>
      </c>
      <c r="AC667" s="6">
        <f>$M$667*$W$667</f>
        <v>0</v>
      </c>
      <c r="AD667" s="6">
        <f>$O$667*$X$667</f>
        <v>0</v>
      </c>
      <c r="AE667" s="6">
        <f ca="1">$K$667*$Y$667</f>
        <v>8226.6595560595288</v>
      </c>
      <c r="AF667" s="6">
        <f>$M$667*$Z$667</f>
        <v>0</v>
      </c>
      <c r="AG667" s="6">
        <f>$O$667*$AA$667</f>
        <v>0</v>
      </c>
    </row>
    <row r="668" spans="1:33" ht="11.25" customHeight="1" x14ac:dyDescent="0.25">
      <c r="A668" s="4" t="s">
        <v>21</v>
      </c>
      <c r="B668" s="4" t="s">
        <v>41</v>
      </c>
      <c r="C668" s="4" t="s">
        <v>64</v>
      </c>
      <c r="D668" s="4" t="s">
        <v>25</v>
      </c>
      <c r="E668" s="4" t="s">
        <v>25</v>
      </c>
      <c r="F668" s="4" t="s">
        <v>25</v>
      </c>
      <c r="G668" s="4" t="s">
        <v>77</v>
      </c>
      <c r="H668" s="4" t="s">
        <v>25</v>
      </c>
      <c r="I668" s="5">
        <v>44470</v>
      </c>
      <c r="J668" s="6">
        <v>736</v>
      </c>
      <c r="K668" s="6">
        <v>736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4" t="s">
        <v>66</v>
      </c>
      <c r="R668" s="4">
        <v>1462</v>
      </c>
      <c r="S668" s="6">
        <v>28</v>
      </c>
      <c r="T668" s="6">
        <v>0</v>
      </c>
      <c r="U668" s="6">
        <v>0</v>
      </c>
      <c r="V668" s="6">
        <f>IF(ISERROR(VLOOKUP($S$668,'TAR FIN'!$A$1:$O$116,15,0)),0,VLOOKUP($S$668,'TAR FIN'!$A$1:$O$116,15,0))</f>
        <v>15.24</v>
      </c>
      <c r="W668" s="6">
        <f>IF(ISERROR(VLOOKUP($T$668,'TAR FIN'!$A$1:$O$116,15,0)),0,VLOOKUP($T$668,'TAR FIN'!$A$1:$O$116,15,0))</f>
        <v>0</v>
      </c>
      <c r="X668" s="6">
        <f>IF(ISERROR(VLOOKUP($U$668,'TAR FIN'!$A$1:$O$116,15,0)),0,VLOOKUP($U$668,'TAR FIN'!$A$1:$O$116,15,0))</f>
        <v>0</v>
      </c>
      <c r="Y668" s="6">
        <f ca="1">('TUSD BE'!$AM$32+'TUSD BF'!$AM$32+'TUSD CVA'!$AM$32)*1</f>
        <v>17.138874075124019</v>
      </c>
      <c r="Z668" s="6"/>
      <c r="AA668" s="6"/>
      <c r="AB668" s="6">
        <f>$K$668*$V$668</f>
        <v>11216.64</v>
      </c>
      <c r="AC668" s="6">
        <f>$M$668*$W$668</f>
        <v>0</v>
      </c>
      <c r="AD668" s="6">
        <f>$O$668*$X$668</f>
        <v>0</v>
      </c>
      <c r="AE668" s="6">
        <f ca="1">$K$668*$Y$668</f>
        <v>12614.211319291278</v>
      </c>
      <c r="AF668" s="6">
        <f>$M$668*$Z$668</f>
        <v>0</v>
      </c>
      <c r="AG668" s="6">
        <f>$O$668*$AA$668</f>
        <v>0</v>
      </c>
    </row>
    <row r="669" spans="1:33" ht="11.25" customHeight="1" x14ac:dyDescent="0.25">
      <c r="A669" s="4" t="s">
        <v>21</v>
      </c>
      <c r="B669" s="4" t="s">
        <v>41</v>
      </c>
      <c r="C669" s="4" t="s">
        <v>64</v>
      </c>
      <c r="D669" s="4" t="s">
        <v>25</v>
      </c>
      <c r="E669" s="4" t="s">
        <v>25</v>
      </c>
      <c r="F669" s="4" t="s">
        <v>25</v>
      </c>
      <c r="G669" s="4" t="s">
        <v>78</v>
      </c>
      <c r="H669" s="4" t="s">
        <v>25</v>
      </c>
      <c r="I669" s="5">
        <v>44470</v>
      </c>
      <c r="J669" s="6">
        <v>6460</v>
      </c>
      <c r="K669" s="6">
        <v>6460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4" t="s">
        <v>66</v>
      </c>
      <c r="R669" s="4">
        <v>1533</v>
      </c>
      <c r="S669" s="6">
        <v>28</v>
      </c>
      <c r="T669" s="6">
        <v>0</v>
      </c>
      <c r="U669" s="6">
        <v>0</v>
      </c>
      <c r="V669" s="6">
        <f>IF(ISERROR(VLOOKUP($S$669,'TAR FIN'!$A$1:$O$116,15,0)),0,VLOOKUP($S$669,'TAR FIN'!$A$1:$O$116,15,0))</f>
        <v>15.24</v>
      </c>
      <c r="W669" s="6">
        <f>IF(ISERROR(VLOOKUP($T$669,'TAR FIN'!$A$1:$O$116,15,0)),0,VLOOKUP($T$669,'TAR FIN'!$A$1:$O$116,15,0))</f>
        <v>0</v>
      </c>
      <c r="X669" s="6">
        <f>IF(ISERROR(VLOOKUP($U$669,'TAR FIN'!$A$1:$O$116,15,0)),0,VLOOKUP($U$669,'TAR FIN'!$A$1:$O$116,15,0))</f>
        <v>0</v>
      </c>
      <c r="Y669" s="6">
        <f ca="1">('TUSD BE'!$AM$32+'TUSD BF'!$AM$32+'TUSD CVA'!$AM$32)*1</f>
        <v>17.138874075124019</v>
      </c>
      <c r="Z669" s="6"/>
      <c r="AA669" s="6"/>
      <c r="AB669" s="6">
        <f>$K$669*$V$669</f>
        <v>98450.4</v>
      </c>
      <c r="AC669" s="6">
        <f>$M$669*$W$669</f>
        <v>0</v>
      </c>
      <c r="AD669" s="6">
        <f>$O$669*$X$669</f>
        <v>0</v>
      </c>
      <c r="AE669" s="6">
        <f ca="1">$K$669*$Y$669</f>
        <v>110717.12652530117</v>
      </c>
      <c r="AF669" s="6">
        <f>$M$669*$Z$669</f>
        <v>0</v>
      </c>
      <c r="AG669" s="6">
        <f>$O$669*$AA$669</f>
        <v>0</v>
      </c>
    </row>
    <row r="670" spans="1:33" ht="11.25" customHeight="1" x14ac:dyDescent="0.25">
      <c r="A670" s="4" t="s">
        <v>21</v>
      </c>
      <c r="B670" s="4" t="s">
        <v>41</v>
      </c>
      <c r="C670" s="4" t="s">
        <v>64</v>
      </c>
      <c r="D670" s="4" t="s">
        <v>25</v>
      </c>
      <c r="E670" s="4" t="s">
        <v>25</v>
      </c>
      <c r="F670" s="4" t="s">
        <v>25</v>
      </c>
      <c r="G670" s="4" t="s">
        <v>79</v>
      </c>
      <c r="H670" s="4" t="s">
        <v>25</v>
      </c>
      <c r="I670" s="5">
        <v>44470</v>
      </c>
      <c r="J670" s="6">
        <v>770</v>
      </c>
      <c r="K670" s="6">
        <v>770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4" t="s">
        <v>66</v>
      </c>
      <c r="R670" s="4">
        <v>2535</v>
      </c>
      <c r="S670" s="6">
        <v>28</v>
      </c>
      <c r="T670" s="6">
        <v>0</v>
      </c>
      <c r="U670" s="6">
        <v>0</v>
      </c>
      <c r="V670" s="6">
        <f>IF(ISERROR(VLOOKUP($S$670,'TAR FIN'!$A$1:$O$116,15,0)),0,VLOOKUP($S$670,'TAR FIN'!$A$1:$O$116,15,0))</f>
        <v>15.24</v>
      </c>
      <c r="W670" s="6">
        <f>IF(ISERROR(VLOOKUP($T$670,'TAR FIN'!$A$1:$O$116,15,0)),0,VLOOKUP($T$670,'TAR FIN'!$A$1:$O$116,15,0))</f>
        <v>0</v>
      </c>
      <c r="X670" s="6">
        <f>IF(ISERROR(VLOOKUP($U$670,'TAR FIN'!$A$1:$O$116,15,0)),0,VLOOKUP($U$670,'TAR FIN'!$A$1:$O$116,15,0))</f>
        <v>0</v>
      </c>
      <c r="Y670" s="6">
        <f ca="1">('TUSD BE'!$AM$32+'TUSD BF'!$AM$32+'TUSD CVA'!$AM$32)*1</f>
        <v>17.138874075124019</v>
      </c>
      <c r="Z670" s="6"/>
      <c r="AA670" s="6"/>
      <c r="AB670" s="6">
        <f>$K$670*$V$670</f>
        <v>11734.8</v>
      </c>
      <c r="AC670" s="6">
        <f>$M$670*$W$670</f>
        <v>0</v>
      </c>
      <c r="AD670" s="6">
        <f>$O$670*$X$670</f>
        <v>0</v>
      </c>
      <c r="AE670" s="6">
        <f ca="1">$K$670*$Y$670</f>
        <v>13196.933037845494</v>
      </c>
      <c r="AF670" s="6">
        <f>$M$670*$Z$670</f>
        <v>0</v>
      </c>
      <c r="AG670" s="6">
        <f>$O$670*$AA$670</f>
        <v>0</v>
      </c>
    </row>
    <row r="671" spans="1:33" ht="11.25" customHeight="1" x14ac:dyDescent="0.25">
      <c r="A671" s="4" t="s">
        <v>21</v>
      </c>
      <c r="B671" s="4" t="s">
        <v>41</v>
      </c>
      <c r="C671" s="4" t="s">
        <v>64</v>
      </c>
      <c r="D671" s="4" t="s">
        <v>25</v>
      </c>
      <c r="E671" s="4" t="s">
        <v>25</v>
      </c>
      <c r="F671" s="4" t="s">
        <v>25</v>
      </c>
      <c r="G671" s="4" t="s">
        <v>80</v>
      </c>
      <c r="H671" s="4" t="s">
        <v>25</v>
      </c>
      <c r="I671" s="5">
        <v>44470</v>
      </c>
      <c r="J671" s="6">
        <v>1416</v>
      </c>
      <c r="K671" s="6">
        <v>1416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4" t="s">
        <v>66</v>
      </c>
      <c r="R671" s="4">
        <v>2751</v>
      </c>
      <c r="S671" s="6">
        <v>28</v>
      </c>
      <c r="T671" s="6">
        <v>0</v>
      </c>
      <c r="U671" s="6">
        <v>0</v>
      </c>
      <c r="V671" s="6">
        <f>IF(ISERROR(VLOOKUP($S$671,'TAR FIN'!$A$1:$O$116,15,0)),0,VLOOKUP($S$671,'TAR FIN'!$A$1:$O$116,15,0))</f>
        <v>15.24</v>
      </c>
      <c r="W671" s="6">
        <f>IF(ISERROR(VLOOKUP($T$671,'TAR FIN'!$A$1:$O$116,15,0)),0,VLOOKUP($T$671,'TAR FIN'!$A$1:$O$116,15,0))</f>
        <v>0</v>
      </c>
      <c r="X671" s="6">
        <f>IF(ISERROR(VLOOKUP($U$671,'TAR FIN'!$A$1:$O$116,15,0)),0,VLOOKUP($U$671,'TAR FIN'!$A$1:$O$116,15,0))</f>
        <v>0</v>
      </c>
      <c r="Y671" s="6">
        <f ca="1">('TUSD BE'!$AM$32+'TUSD BF'!$AM$32+'TUSD CVA'!$AM$32)*1</f>
        <v>17.138874075124019</v>
      </c>
      <c r="Z671" s="6"/>
      <c r="AA671" s="6"/>
      <c r="AB671" s="6">
        <f>$K$671*$V$671</f>
        <v>21579.84</v>
      </c>
      <c r="AC671" s="6">
        <f>$M$671*$W$671</f>
        <v>0</v>
      </c>
      <c r="AD671" s="6">
        <f>$O$671*$X$671</f>
        <v>0</v>
      </c>
      <c r="AE671" s="6">
        <f ca="1">$K$671*$Y$671</f>
        <v>24268.645690375612</v>
      </c>
      <c r="AF671" s="6">
        <f>$M$671*$Z$671</f>
        <v>0</v>
      </c>
      <c r="AG671" s="6">
        <f>$O$671*$AA$671</f>
        <v>0</v>
      </c>
    </row>
    <row r="672" spans="1:33" ht="11.25" customHeight="1" x14ac:dyDescent="0.25">
      <c r="A672" s="4" t="s">
        <v>21</v>
      </c>
      <c r="B672" s="4" t="s">
        <v>41</v>
      </c>
      <c r="C672" s="4" t="s">
        <v>64</v>
      </c>
      <c r="D672" s="4" t="s">
        <v>25</v>
      </c>
      <c r="E672" s="4" t="s">
        <v>25</v>
      </c>
      <c r="F672" s="4" t="s">
        <v>25</v>
      </c>
      <c r="G672" s="4" t="s">
        <v>88</v>
      </c>
      <c r="H672" s="4" t="s">
        <v>25</v>
      </c>
      <c r="I672" s="5">
        <v>44470</v>
      </c>
      <c r="J672" s="6">
        <v>9500</v>
      </c>
      <c r="K672" s="6">
        <v>4750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4" t="s">
        <v>66</v>
      </c>
      <c r="R672" s="4">
        <v>27722</v>
      </c>
      <c r="S672" s="6">
        <v>28</v>
      </c>
      <c r="T672" s="6">
        <v>0</v>
      </c>
      <c r="U672" s="6">
        <v>0</v>
      </c>
      <c r="V672" s="6">
        <f>IF(ISERROR(VLOOKUP($S$672,'TAR FIN'!$A$1:$O$116,15,0)),0,VLOOKUP($S$672,'TAR FIN'!$A$1:$O$116,15,0))</f>
        <v>15.24</v>
      </c>
      <c r="W672" s="6">
        <f>IF(ISERROR(VLOOKUP($T$672,'TAR FIN'!$A$1:$O$116,15,0)),0,VLOOKUP($T$672,'TAR FIN'!$A$1:$O$116,15,0))</f>
        <v>0</v>
      </c>
      <c r="X672" s="6">
        <f>IF(ISERROR(VLOOKUP($U$672,'TAR FIN'!$A$1:$O$116,15,0)),0,VLOOKUP($U$672,'TAR FIN'!$A$1:$O$116,15,0))</f>
        <v>0</v>
      </c>
      <c r="Y672" s="6">
        <f ca="1">('TUSD BE'!$AM$32+'TUSD BF'!$AM$32+'TUSD CVA'!$AM$32)*1</f>
        <v>17.138874075124019</v>
      </c>
      <c r="Z672" s="6"/>
      <c r="AA672" s="6"/>
      <c r="AB672" s="6">
        <f>$K$672*$V$672</f>
        <v>72390</v>
      </c>
      <c r="AC672" s="6">
        <f>$M$672*$W$672</f>
        <v>0</v>
      </c>
      <c r="AD672" s="6">
        <f>$O$672*$X$672</f>
        <v>0</v>
      </c>
      <c r="AE672" s="6">
        <f ca="1">$K$672*$Y$672</f>
        <v>81409.651856839089</v>
      </c>
      <c r="AF672" s="6">
        <f>$M$672*$Z$672</f>
        <v>0</v>
      </c>
      <c r="AG672" s="6">
        <f>$O$672*$AA$672</f>
        <v>0</v>
      </c>
    </row>
    <row r="673" spans="1:33" ht="11.25" customHeight="1" x14ac:dyDescent="0.25">
      <c r="A673" s="4" t="s">
        <v>21</v>
      </c>
      <c r="B673" s="4" t="s">
        <v>41</v>
      </c>
      <c r="C673" s="4" t="s">
        <v>64</v>
      </c>
      <c r="D673" s="4" t="s">
        <v>25</v>
      </c>
      <c r="E673" s="4" t="s">
        <v>25</v>
      </c>
      <c r="F673" s="4" t="s">
        <v>25</v>
      </c>
      <c r="G673" s="4" t="s">
        <v>90</v>
      </c>
      <c r="H673" s="4" t="s">
        <v>25</v>
      </c>
      <c r="I673" s="5">
        <v>44470</v>
      </c>
      <c r="J673" s="6">
        <v>420</v>
      </c>
      <c r="K673" s="6">
        <v>420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4" t="s">
        <v>66</v>
      </c>
      <c r="R673" s="4">
        <v>27928</v>
      </c>
      <c r="S673" s="6">
        <v>28</v>
      </c>
      <c r="T673" s="6">
        <v>0</v>
      </c>
      <c r="U673" s="6">
        <v>0</v>
      </c>
      <c r="V673" s="6">
        <f>IF(ISERROR(VLOOKUP($S$673,'TAR FIN'!$A$1:$O$116,15,0)),0,VLOOKUP($S$673,'TAR FIN'!$A$1:$O$116,15,0))</f>
        <v>15.24</v>
      </c>
      <c r="W673" s="6">
        <f>IF(ISERROR(VLOOKUP($T$673,'TAR FIN'!$A$1:$O$116,15,0)),0,VLOOKUP($T$673,'TAR FIN'!$A$1:$O$116,15,0))</f>
        <v>0</v>
      </c>
      <c r="X673" s="6">
        <f>IF(ISERROR(VLOOKUP($U$673,'TAR FIN'!$A$1:$O$116,15,0)),0,VLOOKUP($U$673,'TAR FIN'!$A$1:$O$116,15,0))</f>
        <v>0</v>
      </c>
      <c r="Y673" s="6">
        <f ca="1">('TUSD BE'!$AM$32+'TUSD BF'!$AM$32+'TUSD CVA'!$AM$32)*1</f>
        <v>17.138874075124019</v>
      </c>
      <c r="Z673" s="6"/>
      <c r="AA673" s="6"/>
      <c r="AB673" s="6">
        <f>$K$673*$V$673</f>
        <v>6400.8</v>
      </c>
      <c r="AC673" s="6">
        <f>$M$673*$W$673</f>
        <v>0</v>
      </c>
      <c r="AD673" s="6">
        <f>$O$673*$X$673</f>
        <v>0</v>
      </c>
      <c r="AE673" s="6">
        <f ca="1">$K$673*$Y$673</f>
        <v>7198.3271115520874</v>
      </c>
      <c r="AF673" s="6">
        <f>$M$673*$Z$673</f>
        <v>0</v>
      </c>
      <c r="AG673" s="6">
        <f>$O$673*$AA$673</f>
        <v>0</v>
      </c>
    </row>
    <row r="674" spans="1:33" ht="11.25" customHeight="1" x14ac:dyDescent="0.25">
      <c r="A674" s="4" t="s">
        <v>21</v>
      </c>
      <c r="B674" s="4" t="s">
        <v>41</v>
      </c>
      <c r="C674" s="4" t="s">
        <v>64</v>
      </c>
      <c r="D674" s="4" t="s">
        <v>25</v>
      </c>
      <c r="E674" s="4" t="s">
        <v>25</v>
      </c>
      <c r="F674" s="4" t="s">
        <v>25</v>
      </c>
      <c r="G674" s="4" t="s">
        <v>93</v>
      </c>
      <c r="H674" s="4" t="s">
        <v>25</v>
      </c>
      <c r="I674" s="5">
        <v>44470</v>
      </c>
      <c r="J674" s="6">
        <v>1300</v>
      </c>
      <c r="K674" s="6">
        <v>650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4" t="s">
        <v>66</v>
      </c>
      <c r="R674" s="4">
        <v>30847</v>
      </c>
      <c r="S674" s="6">
        <v>28</v>
      </c>
      <c r="T674" s="6">
        <v>0</v>
      </c>
      <c r="U674" s="6">
        <v>0</v>
      </c>
      <c r="V674" s="6">
        <f>IF(ISERROR(VLOOKUP($S$674,'TAR FIN'!$A$1:$O$116,15,0)),0,VLOOKUP($S$674,'TAR FIN'!$A$1:$O$116,15,0))</f>
        <v>15.24</v>
      </c>
      <c r="W674" s="6">
        <f>IF(ISERROR(VLOOKUP($T$674,'TAR FIN'!$A$1:$O$116,15,0)),0,VLOOKUP($T$674,'TAR FIN'!$A$1:$O$116,15,0))</f>
        <v>0</v>
      </c>
      <c r="X674" s="6">
        <f>IF(ISERROR(VLOOKUP($U$674,'TAR FIN'!$A$1:$O$116,15,0)),0,VLOOKUP($U$674,'TAR FIN'!$A$1:$O$116,15,0))</f>
        <v>0</v>
      </c>
      <c r="Y674" s="6">
        <f ca="1">('TUSD BE'!$AM$32+'TUSD BF'!$AM$32+'TUSD CVA'!$AM$32)*1</f>
        <v>17.138874075124019</v>
      </c>
      <c r="Z674" s="6"/>
      <c r="AA674" s="6"/>
      <c r="AB674" s="6">
        <f>$K$674*$V$674</f>
        <v>9906</v>
      </c>
      <c r="AC674" s="6">
        <f>$M$674*$W$674</f>
        <v>0</v>
      </c>
      <c r="AD674" s="6">
        <f>$O$674*$X$674</f>
        <v>0</v>
      </c>
      <c r="AE674" s="6">
        <f ca="1">$K$674*$Y$674</f>
        <v>11140.268148830612</v>
      </c>
      <c r="AF674" s="6">
        <f>$M$674*$Z$674</f>
        <v>0</v>
      </c>
      <c r="AG674" s="6">
        <f>$O$674*$AA$674</f>
        <v>0</v>
      </c>
    </row>
    <row r="675" spans="1:33" ht="11.25" customHeight="1" x14ac:dyDescent="0.25">
      <c r="A675" s="4" t="s">
        <v>21</v>
      </c>
      <c r="B675" s="4" t="s">
        <v>41</v>
      </c>
      <c r="C675" s="4" t="s">
        <v>64</v>
      </c>
      <c r="D675" s="4" t="s">
        <v>25</v>
      </c>
      <c r="E675" s="4" t="s">
        <v>25</v>
      </c>
      <c r="F675" s="4" t="s">
        <v>25</v>
      </c>
      <c r="G675" s="4" t="s">
        <v>94</v>
      </c>
      <c r="H675" s="4" t="s">
        <v>25</v>
      </c>
      <c r="I675" s="5">
        <v>44470</v>
      </c>
      <c r="J675" s="6">
        <v>1180</v>
      </c>
      <c r="K675" s="6">
        <v>590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4" t="s">
        <v>66</v>
      </c>
      <c r="R675" s="4">
        <v>30866</v>
      </c>
      <c r="S675" s="6">
        <v>28</v>
      </c>
      <c r="T675" s="6">
        <v>0</v>
      </c>
      <c r="U675" s="6">
        <v>0</v>
      </c>
      <c r="V675" s="6">
        <f>IF(ISERROR(VLOOKUP($S$675,'TAR FIN'!$A$1:$O$116,15,0)),0,VLOOKUP($S$675,'TAR FIN'!$A$1:$O$116,15,0))</f>
        <v>15.24</v>
      </c>
      <c r="W675" s="6">
        <f>IF(ISERROR(VLOOKUP($T$675,'TAR FIN'!$A$1:$O$116,15,0)),0,VLOOKUP($T$675,'TAR FIN'!$A$1:$O$116,15,0))</f>
        <v>0</v>
      </c>
      <c r="X675" s="6">
        <f>IF(ISERROR(VLOOKUP($U$675,'TAR FIN'!$A$1:$O$116,15,0)),0,VLOOKUP($U$675,'TAR FIN'!$A$1:$O$116,15,0))</f>
        <v>0</v>
      </c>
      <c r="Y675" s="6">
        <f ca="1">('TUSD BE'!$AM$32+'TUSD BF'!$AM$32+'TUSD CVA'!$AM$32)*1</f>
        <v>17.138874075124019</v>
      </c>
      <c r="Z675" s="6"/>
      <c r="AA675" s="6"/>
      <c r="AB675" s="6">
        <f>$K$675*$V$675</f>
        <v>8991.6</v>
      </c>
      <c r="AC675" s="6">
        <f>$M$675*$W$675</f>
        <v>0</v>
      </c>
      <c r="AD675" s="6">
        <f>$O$675*$X$675</f>
        <v>0</v>
      </c>
      <c r="AE675" s="6">
        <f ca="1">$K$675*$Y$675</f>
        <v>10111.93570432317</v>
      </c>
      <c r="AF675" s="6">
        <f>$M$675*$Z$675</f>
        <v>0</v>
      </c>
      <c r="AG675" s="6">
        <f>$O$675*$AA$675</f>
        <v>0</v>
      </c>
    </row>
    <row r="676" spans="1:33" ht="11.25" customHeight="1" x14ac:dyDescent="0.25">
      <c r="A676" s="4" t="s">
        <v>21</v>
      </c>
      <c r="B676" s="4" t="s">
        <v>41</v>
      </c>
      <c r="C676" s="4" t="s">
        <v>64</v>
      </c>
      <c r="D676" s="4" t="s">
        <v>25</v>
      </c>
      <c r="E676" s="4" t="s">
        <v>25</v>
      </c>
      <c r="F676" s="4" t="s">
        <v>25</v>
      </c>
      <c r="G676" s="4" t="s">
        <v>95</v>
      </c>
      <c r="H676" s="4" t="s">
        <v>25</v>
      </c>
      <c r="I676" s="5">
        <v>44470</v>
      </c>
      <c r="J676" s="6">
        <v>1180</v>
      </c>
      <c r="K676" s="6">
        <v>590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4" t="s">
        <v>66</v>
      </c>
      <c r="R676" s="4">
        <v>31051</v>
      </c>
      <c r="S676" s="6">
        <v>28</v>
      </c>
      <c r="T676" s="6">
        <v>0</v>
      </c>
      <c r="U676" s="6">
        <v>0</v>
      </c>
      <c r="V676" s="6">
        <f>IF(ISERROR(VLOOKUP($S$676,'TAR FIN'!$A$1:$O$116,15,0)),0,VLOOKUP($S$676,'TAR FIN'!$A$1:$O$116,15,0))</f>
        <v>15.24</v>
      </c>
      <c r="W676" s="6">
        <f>IF(ISERROR(VLOOKUP($T$676,'TAR FIN'!$A$1:$O$116,15,0)),0,VLOOKUP($T$676,'TAR FIN'!$A$1:$O$116,15,0))</f>
        <v>0</v>
      </c>
      <c r="X676" s="6">
        <f>IF(ISERROR(VLOOKUP($U$676,'TAR FIN'!$A$1:$O$116,15,0)),0,VLOOKUP($U$676,'TAR FIN'!$A$1:$O$116,15,0))</f>
        <v>0</v>
      </c>
      <c r="Y676" s="6">
        <f ca="1">('TUSD BE'!$AM$32+'TUSD BF'!$AM$32+'TUSD CVA'!$AM$32)*1</f>
        <v>17.138874075124019</v>
      </c>
      <c r="Z676" s="6"/>
      <c r="AA676" s="6"/>
      <c r="AB676" s="6">
        <f>$K$676*$V$676</f>
        <v>8991.6</v>
      </c>
      <c r="AC676" s="6">
        <f>$M$676*$W$676</f>
        <v>0</v>
      </c>
      <c r="AD676" s="6">
        <f>$O$676*$X$676</f>
        <v>0</v>
      </c>
      <c r="AE676" s="6">
        <f ca="1">$K$676*$Y$676</f>
        <v>10111.93570432317</v>
      </c>
      <c r="AF676" s="6">
        <f>$M$676*$Z$676</f>
        <v>0</v>
      </c>
      <c r="AG676" s="6">
        <f>$O$676*$AA$676</f>
        <v>0</v>
      </c>
    </row>
    <row r="677" spans="1:33" ht="11.25" customHeight="1" x14ac:dyDescent="0.25">
      <c r="A677" s="4" t="s">
        <v>21</v>
      </c>
      <c r="B677" s="4" t="s">
        <v>41</v>
      </c>
      <c r="C677" s="4" t="s">
        <v>64</v>
      </c>
      <c r="D677" s="4" t="s">
        <v>25</v>
      </c>
      <c r="E677" s="4" t="s">
        <v>25</v>
      </c>
      <c r="F677" s="4" t="s">
        <v>25</v>
      </c>
      <c r="G677" s="4" t="s">
        <v>96</v>
      </c>
      <c r="H677" s="4" t="s">
        <v>25</v>
      </c>
      <c r="I677" s="5">
        <v>44470</v>
      </c>
      <c r="J677" s="6">
        <v>1000</v>
      </c>
      <c r="K677" s="6">
        <v>500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4" t="s">
        <v>66</v>
      </c>
      <c r="R677" s="4">
        <v>31277</v>
      </c>
      <c r="S677" s="6">
        <v>28</v>
      </c>
      <c r="T677" s="6">
        <v>0</v>
      </c>
      <c r="U677" s="6">
        <v>0</v>
      </c>
      <c r="V677" s="6">
        <f>IF(ISERROR(VLOOKUP($S$677,'TAR FIN'!$A$1:$O$116,15,0)),0,VLOOKUP($S$677,'TAR FIN'!$A$1:$O$116,15,0))</f>
        <v>15.24</v>
      </c>
      <c r="W677" s="6">
        <f>IF(ISERROR(VLOOKUP($T$677,'TAR FIN'!$A$1:$O$116,15,0)),0,VLOOKUP($T$677,'TAR FIN'!$A$1:$O$116,15,0))</f>
        <v>0</v>
      </c>
      <c r="X677" s="6">
        <f>IF(ISERROR(VLOOKUP($U$677,'TAR FIN'!$A$1:$O$116,15,0)),0,VLOOKUP($U$677,'TAR FIN'!$A$1:$O$116,15,0))</f>
        <v>0</v>
      </c>
      <c r="Y677" s="6">
        <f ca="1">('TUSD BE'!$AM$32+'TUSD BF'!$AM$32+'TUSD CVA'!$AM$32)*1</f>
        <v>17.138874075124019</v>
      </c>
      <c r="Z677" s="6"/>
      <c r="AA677" s="6"/>
      <c r="AB677" s="6">
        <f>$K$677*$V$677</f>
        <v>7620</v>
      </c>
      <c r="AC677" s="6">
        <f>$M$677*$W$677</f>
        <v>0</v>
      </c>
      <c r="AD677" s="6">
        <f>$O$677*$X$677</f>
        <v>0</v>
      </c>
      <c r="AE677" s="6">
        <f ca="1">$K$677*$Y$677</f>
        <v>8569.4370375620092</v>
      </c>
      <c r="AF677" s="6">
        <f>$M$677*$Z$677</f>
        <v>0</v>
      </c>
      <c r="AG677" s="6">
        <f>$O$677*$AA$677</f>
        <v>0</v>
      </c>
    </row>
    <row r="678" spans="1:33" ht="11.25" customHeight="1" x14ac:dyDescent="0.25">
      <c r="A678" s="4" t="s">
        <v>21</v>
      </c>
      <c r="B678" s="4" t="s">
        <v>41</v>
      </c>
      <c r="C678" s="4" t="s">
        <v>64</v>
      </c>
      <c r="D678" s="4" t="s">
        <v>25</v>
      </c>
      <c r="E678" s="4" t="s">
        <v>25</v>
      </c>
      <c r="F678" s="4" t="s">
        <v>25</v>
      </c>
      <c r="G678" s="4" t="s">
        <v>97</v>
      </c>
      <c r="H678" s="4" t="s">
        <v>25</v>
      </c>
      <c r="I678" s="5">
        <v>44470</v>
      </c>
      <c r="J678" s="6">
        <v>1180</v>
      </c>
      <c r="K678" s="6">
        <v>590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4" t="s">
        <v>66</v>
      </c>
      <c r="R678" s="4">
        <v>31318</v>
      </c>
      <c r="S678" s="6">
        <v>28</v>
      </c>
      <c r="T678" s="6">
        <v>0</v>
      </c>
      <c r="U678" s="6">
        <v>0</v>
      </c>
      <c r="V678" s="6">
        <f>IF(ISERROR(VLOOKUP($S$678,'TAR FIN'!$A$1:$O$116,15,0)),0,VLOOKUP($S$678,'TAR FIN'!$A$1:$O$116,15,0))</f>
        <v>15.24</v>
      </c>
      <c r="W678" s="6">
        <f>IF(ISERROR(VLOOKUP($T$678,'TAR FIN'!$A$1:$O$116,15,0)),0,VLOOKUP($T$678,'TAR FIN'!$A$1:$O$116,15,0))</f>
        <v>0</v>
      </c>
      <c r="X678" s="6">
        <f>IF(ISERROR(VLOOKUP($U$678,'TAR FIN'!$A$1:$O$116,15,0)),0,VLOOKUP($U$678,'TAR FIN'!$A$1:$O$116,15,0))</f>
        <v>0</v>
      </c>
      <c r="Y678" s="6">
        <f ca="1">('TUSD BE'!$AM$32+'TUSD BF'!$AM$32+'TUSD CVA'!$AM$32)*1</f>
        <v>17.138874075124019</v>
      </c>
      <c r="Z678" s="6"/>
      <c r="AA678" s="6"/>
      <c r="AB678" s="6">
        <f>$K$678*$V$678</f>
        <v>8991.6</v>
      </c>
      <c r="AC678" s="6">
        <f>$M$678*$W$678</f>
        <v>0</v>
      </c>
      <c r="AD678" s="6">
        <f>$O$678*$X$678</f>
        <v>0</v>
      </c>
      <c r="AE678" s="6">
        <f ca="1">$K$678*$Y$678</f>
        <v>10111.93570432317</v>
      </c>
      <c r="AF678" s="6">
        <f>$M$678*$Z$678</f>
        <v>0</v>
      </c>
      <c r="AG678" s="6">
        <f>$O$678*$AA$678</f>
        <v>0</v>
      </c>
    </row>
    <row r="679" spans="1:33" ht="11.25" customHeight="1" x14ac:dyDescent="0.25">
      <c r="A679" s="4" t="s">
        <v>21</v>
      </c>
      <c r="B679" s="4" t="s">
        <v>41</v>
      </c>
      <c r="C679" s="4" t="s">
        <v>64</v>
      </c>
      <c r="D679" s="4" t="s">
        <v>25</v>
      </c>
      <c r="E679" s="4" t="s">
        <v>25</v>
      </c>
      <c r="F679" s="4" t="s">
        <v>25</v>
      </c>
      <c r="G679" s="4" t="s">
        <v>98</v>
      </c>
      <c r="H679" s="4" t="s">
        <v>25</v>
      </c>
      <c r="I679" s="5">
        <v>44470</v>
      </c>
      <c r="J679" s="6">
        <v>3000</v>
      </c>
      <c r="K679" s="6">
        <v>1500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4" t="s">
        <v>66</v>
      </c>
      <c r="R679" s="4">
        <v>31334</v>
      </c>
      <c r="S679" s="6">
        <v>28</v>
      </c>
      <c r="T679" s="6">
        <v>0</v>
      </c>
      <c r="U679" s="6">
        <v>0</v>
      </c>
      <c r="V679" s="6">
        <f>IF(ISERROR(VLOOKUP($S$679,'TAR FIN'!$A$1:$O$116,15,0)),0,VLOOKUP($S$679,'TAR FIN'!$A$1:$O$116,15,0))</f>
        <v>15.24</v>
      </c>
      <c r="W679" s="6">
        <f>IF(ISERROR(VLOOKUP($T$679,'TAR FIN'!$A$1:$O$116,15,0)),0,VLOOKUP($T$679,'TAR FIN'!$A$1:$O$116,15,0))</f>
        <v>0</v>
      </c>
      <c r="X679" s="6">
        <f>IF(ISERROR(VLOOKUP($U$679,'TAR FIN'!$A$1:$O$116,15,0)),0,VLOOKUP($U$679,'TAR FIN'!$A$1:$O$116,15,0))</f>
        <v>0</v>
      </c>
      <c r="Y679" s="6">
        <f ca="1">('TUSD BE'!$AM$32+'TUSD BF'!$AM$32+'TUSD CVA'!$AM$32)*1</f>
        <v>17.138874075124019</v>
      </c>
      <c r="Z679" s="6"/>
      <c r="AA679" s="6"/>
      <c r="AB679" s="6">
        <f>$K$679*$V$679</f>
        <v>22860</v>
      </c>
      <c r="AC679" s="6">
        <f>$M$679*$W$679</f>
        <v>0</v>
      </c>
      <c r="AD679" s="6">
        <f>$O$679*$X$679</f>
        <v>0</v>
      </c>
      <c r="AE679" s="6">
        <f ca="1">$K$679*$Y$679</f>
        <v>25708.311112686028</v>
      </c>
      <c r="AF679" s="6">
        <f>$M$679*$Z$679</f>
        <v>0</v>
      </c>
      <c r="AG679" s="6">
        <f>$O$679*$AA$679</f>
        <v>0</v>
      </c>
    </row>
    <row r="680" spans="1:33" ht="11.25" customHeight="1" x14ac:dyDescent="0.25">
      <c r="A680" s="4" t="s">
        <v>21</v>
      </c>
      <c r="B680" s="4" t="s">
        <v>41</v>
      </c>
      <c r="C680" s="4" t="s">
        <v>64</v>
      </c>
      <c r="D680" s="4" t="s">
        <v>25</v>
      </c>
      <c r="E680" s="4" t="s">
        <v>25</v>
      </c>
      <c r="F680" s="4" t="s">
        <v>25</v>
      </c>
      <c r="G680" s="4" t="s">
        <v>99</v>
      </c>
      <c r="H680" s="4" t="s">
        <v>25</v>
      </c>
      <c r="I680" s="5">
        <v>44470</v>
      </c>
      <c r="J680" s="6">
        <v>1180</v>
      </c>
      <c r="K680" s="6">
        <v>590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4" t="s">
        <v>66</v>
      </c>
      <c r="R680" s="4">
        <v>31618</v>
      </c>
      <c r="S680" s="6">
        <v>28</v>
      </c>
      <c r="T680" s="6">
        <v>0</v>
      </c>
      <c r="U680" s="6">
        <v>0</v>
      </c>
      <c r="V680" s="6">
        <f>IF(ISERROR(VLOOKUP($S$680,'TAR FIN'!$A$1:$O$116,15,0)),0,VLOOKUP($S$680,'TAR FIN'!$A$1:$O$116,15,0))</f>
        <v>15.24</v>
      </c>
      <c r="W680" s="6">
        <f>IF(ISERROR(VLOOKUP($T$680,'TAR FIN'!$A$1:$O$116,15,0)),0,VLOOKUP($T$680,'TAR FIN'!$A$1:$O$116,15,0))</f>
        <v>0</v>
      </c>
      <c r="X680" s="6">
        <f>IF(ISERROR(VLOOKUP($U$680,'TAR FIN'!$A$1:$O$116,15,0)),0,VLOOKUP($U$680,'TAR FIN'!$A$1:$O$116,15,0))</f>
        <v>0</v>
      </c>
      <c r="Y680" s="6">
        <f ca="1">('TUSD BE'!$AM$32+'TUSD BF'!$AM$32+'TUSD CVA'!$AM$32)*1</f>
        <v>17.138874075124019</v>
      </c>
      <c r="Z680" s="6"/>
      <c r="AA680" s="6"/>
      <c r="AB680" s="6">
        <f>$K$680*$V$680</f>
        <v>8991.6</v>
      </c>
      <c r="AC680" s="6">
        <f>$M$680*$W$680</f>
        <v>0</v>
      </c>
      <c r="AD680" s="6">
        <f>$O$680*$X$680</f>
        <v>0</v>
      </c>
      <c r="AE680" s="6">
        <f ca="1">$K$680*$Y$680</f>
        <v>10111.93570432317</v>
      </c>
      <c r="AF680" s="6">
        <f>$M$680*$Z$680</f>
        <v>0</v>
      </c>
      <c r="AG680" s="6">
        <f>$O$680*$AA$680</f>
        <v>0</v>
      </c>
    </row>
    <row r="681" spans="1:33" ht="11.25" customHeight="1" x14ac:dyDescent="0.25">
      <c r="A681" s="4" t="s">
        <v>21</v>
      </c>
      <c r="B681" s="4" t="s">
        <v>41</v>
      </c>
      <c r="C681" s="4" t="s">
        <v>64</v>
      </c>
      <c r="D681" s="4" t="s">
        <v>25</v>
      </c>
      <c r="E681" s="4" t="s">
        <v>25</v>
      </c>
      <c r="F681" s="4" t="s">
        <v>25</v>
      </c>
      <c r="G681" s="4" t="s">
        <v>100</v>
      </c>
      <c r="H681" s="4" t="s">
        <v>25</v>
      </c>
      <c r="I681" s="5">
        <v>44470</v>
      </c>
      <c r="J681" s="6">
        <v>1180</v>
      </c>
      <c r="K681" s="6">
        <v>590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4" t="s">
        <v>66</v>
      </c>
      <c r="R681" s="4">
        <v>31677</v>
      </c>
      <c r="S681" s="6">
        <v>28</v>
      </c>
      <c r="T681" s="6">
        <v>0</v>
      </c>
      <c r="U681" s="6">
        <v>0</v>
      </c>
      <c r="V681" s="6">
        <f>IF(ISERROR(VLOOKUP($S$681,'TAR FIN'!$A$1:$O$116,15,0)),0,VLOOKUP($S$681,'TAR FIN'!$A$1:$O$116,15,0))</f>
        <v>15.24</v>
      </c>
      <c r="W681" s="6">
        <f>IF(ISERROR(VLOOKUP($T$681,'TAR FIN'!$A$1:$O$116,15,0)),0,VLOOKUP($T$681,'TAR FIN'!$A$1:$O$116,15,0))</f>
        <v>0</v>
      </c>
      <c r="X681" s="6">
        <f>IF(ISERROR(VLOOKUP($U$681,'TAR FIN'!$A$1:$O$116,15,0)),0,VLOOKUP($U$681,'TAR FIN'!$A$1:$O$116,15,0))</f>
        <v>0</v>
      </c>
      <c r="Y681" s="6">
        <f ca="1">('TUSD BE'!$AM$32+'TUSD BF'!$AM$32+'TUSD CVA'!$AM$32)*1</f>
        <v>17.138874075124019</v>
      </c>
      <c r="Z681" s="6"/>
      <c r="AA681" s="6"/>
      <c r="AB681" s="6">
        <f>$K$681*$V$681</f>
        <v>8991.6</v>
      </c>
      <c r="AC681" s="6">
        <f>$M$681*$W$681</f>
        <v>0</v>
      </c>
      <c r="AD681" s="6">
        <f>$O$681*$X$681</f>
        <v>0</v>
      </c>
      <c r="AE681" s="6">
        <f ca="1">$K$681*$Y$681</f>
        <v>10111.93570432317</v>
      </c>
      <c r="AF681" s="6">
        <f>$M$681*$Z$681</f>
        <v>0</v>
      </c>
      <c r="AG681" s="6">
        <f>$O$681*$AA$681</f>
        <v>0</v>
      </c>
    </row>
    <row r="682" spans="1:33" ht="11.25" customHeight="1" x14ac:dyDescent="0.25">
      <c r="A682" s="4" t="s">
        <v>21</v>
      </c>
      <c r="B682" s="4" t="s">
        <v>41</v>
      </c>
      <c r="C682" s="4" t="s">
        <v>64</v>
      </c>
      <c r="D682" s="4" t="s">
        <v>25</v>
      </c>
      <c r="E682" s="4" t="s">
        <v>25</v>
      </c>
      <c r="F682" s="4" t="s">
        <v>25</v>
      </c>
      <c r="G682" s="4" t="s">
        <v>68</v>
      </c>
      <c r="H682" s="4" t="s">
        <v>25</v>
      </c>
      <c r="I682" s="5">
        <v>44501</v>
      </c>
      <c r="J682" s="6">
        <v>302</v>
      </c>
      <c r="K682" s="6">
        <v>302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4" t="s">
        <v>66</v>
      </c>
      <c r="R682" s="4">
        <v>404</v>
      </c>
      <c r="S682" s="6">
        <v>28</v>
      </c>
      <c r="T682" s="6">
        <v>0</v>
      </c>
      <c r="U682" s="6">
        <v>0</v>
      </c>
      <c r="V682" s="6">
        <f>IF(ISERROR(VLOOKUP($S$682,'TAR FIN'!$A$1:$O$116,15,0)),0,VLOOKUP($S$682,'TAR FIN'!$A$1:$O$116,15,0))</f>
        <v>15.24</v>
      </c>
      <c r="W682" s="6">
        <f>IF(ISERROR(VLOOKUP($T$682,'TAR FIN'!$A$1:$O$116,15,0)),0,VLOOKUP($T$682,'TAR FIN'!$A$1:$O$116,15,0))</f>
        <v>0</v>
      </c>
      <c r="X682" s="6">
        <f>IF(ISERROR(VLOOKUP($U$682,'TAR FIN'!$A$1:$O$116,15,0)),0,VLOOKUP($U$682,'TAR FIN'!$A$1:$O$116,15,0))</f>
        <v>0</v>
      </c>
      <c r="Y682" s="6">
        <f ca="1">('TUSD BE'!$AM$32+'TUSD BF'!$AM$32+'TUSD CVA'!$AM$32)*1</f>
        <v>17.138874075124019</v>
      </c>
      <c r="Z682" s="6"/>
      <c r="AA682" s="6"/>
      <c r="AB682" s="6">
        <f>$K$682*$V$682</f>
        <v>4602.4800000000005</v>
      </c>
      <c r="AC682" s="6">
        <f>$M$682*$W$682</f>
        <v>0</v>
      </c>
      <c r="AD682" s="6">
        <f>$O$682*$X$682</f>
        <v>0</v>
      </c>
      <c r="AE682" s="6">
        <f ca="1">$K$682*$Y$682</f>
        <v>5175.9399706874538</v>
      </c>
      <c r="AF682" s="6">
        <f>$M$682*$Z$682</f>
        <v>0</v>
      </c>
      <c r="AG682" s="6">
        <f>$O$682*$AA$682</f>
        <v>0</v>
      </c>
    </row>
    <row r="683" spans="1:33" ht="11.25" customHeight="1" x14ac:dyDescent="0.25">
      <c r="A683" s="4" t="s">
        <v>21</v>
      </c>
      <c r="B683" s="4" t="s">
        <v>41</v>
      </c>
      <c r="C683" s="4" t="s">
        <v>64</v>
      </c>
      <c r="D683" s="4" t="s">
        <v>25</v>
      </c>
      <c r="E683" s="4" t="s">
        <v>25</v>
      </c>
      <c r="F683" s="4" t="s">
        <v>25</v>
      </c>
      <c r="G683" s="4" t="s">
        <v>70</v>
      </c>
      <c r="H683" s="4" t="s">
        <v>25</v>
      </c>
      <c r="I683" s="5">
        <v>44501</v>
      </c>
      <c r="J683" s="6">
        <v>5040</v>
      </c>
      <c r="K683" s="6">
        <v>5040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4" t="s">
        <v>66</v>
      </c>
      <c r="R683" s="4">
        <v>838</v>
      </c>
      <c r="S683" s="6">
        <v>28</v>
      </c>
      <c r="T683" s="6">
        <v>0</v>
      </c>
      <c r="U683" s="6">
        <v>0</v>
      </c>
      <c r="V683" s="6">
        <f>IF(ISERROR(VLOOKUP($S$683,'TAR FIN'!$A$1:$O$116,15,0)),0,VLOOKUP($S$683,'TAR FIN'!$A$1:$O$116,15,0))</f>
        <v>15.24</v>
      </c>
      <c r="W683" s="6">
        <f>IF(ISERROR(VLOOKUP($T$683,'TAR FIN'!$A$1:$O$116,15,0)),0,VLOOKUP($T$683,'TAR FIN'!$A$1:$O$116,15,0))</f>
        <v>0</v>
      </c>
      <c r="X683" s="6">
        <f>IF(ISERROR(VLOOKUP($U$683,'TAR FIN'!$A$1:$O$116,15,0)),0,VLOOKUP($U$683,'TAR FIN'!$A$1:$O$116,15,0))</f>
        <v>0</v>
      </c>
      <c r="Y683" s="6">
        <f ca="1">('TUSD BE'!$AM$32+'TUSD BF'!$AM$32+'TUSD CVA'!$AM$32)*1</f>
        <v>17.138874075124019</v>
      </c>
      <c r="Z683" s="6"/>
      <c r="AA683" s="6"/>
      <c r="AB683" s="6">
        <f>$K$683*$V$683</f>
        <v>76809.600000000006</v>
      </c>
      <c r="AC683" s="6">
        <f>$M$683*$W$683</f>
        <v>0</v>
      </c>
      <c r="AD683" s="6">
        <f>$O$683*$X$683</f>
        <v>0</v>
      </c>
      <c r="AE683" s="6">
        <f ca="1">$K$683*$Y$683</f>
        <v>86379.925338625049</v>
      </c>
      <c r="AF683" s="6">
        <f>$M$683*$Z$683</f>
        <v>0</v>
      </c>
      <c r="AG683" s="6">
        <f>$O$683*$AA$683</f>
        <v>0</v>
      </c>
    </row>
    <row r="684" spans="1:33" ht="11.25" customHeight="1" x14ac:dyDescent="0.25">
      <c r="A684" s="4" t="s">
        <v>21</v>
      </c>
      <c r="B684" s="4" t="s">
        <v>41</v>
      </c>
      <c r="C684" s="4" t="s">
        <v>64</v>
      </c>
      <c r="D684" s="4" t="s">
        <v>25</v>
      </c>
      <c r="E684" s="4" t="s">
        <v>25</v>
      </c>
      <c r="F684" s="4" t="s">
        <v>25</v>
      </c>
      <c r="G684" s="4" t="s">
        <v>74</v>
      </c>
      <c r="H684" s="4" t="s">
        <v>25</v>
      </c>
      <c r="I684" s="5">
        <v>44501</v>
      </c>
      <c r="J684" s="6">
        <v>3800</v>
      </c>
      <c r="K684" s="6">
        <v>1900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4" t="s">
        <v>66</v>
      </c>
      <c r="R684" s="4">
        <v>1192</v>
      </c>
      <c r="S684" s="6">
        <v>28</v>
      </c>
      <c r="T684" s="6">
        <v>0</v>
      </c>
      <c r="U684" s="6">
        <v>0</v>
      </c>
      <c r="V684" s="6">
        <f>IF(ISERROR(VLOOKUP($S$684,'TAR FIN'!$A$1:$O$116,15,0)),0,VLOOKUP($S$684,'TAR FIN'!$A$1:$O$116,15,0))</f>
        <v>15.24</v>
      </c>
      <c r="W684" s="6">
        <f>IF(ISERROR(VLOOKUP($T$684,'TAR FIN'!$A$1:$O$116,15,0)),0,VLOOKUP($T$684,'TAR FIN'!$A$1:$O$116,15,0))</f>
        <v>0</v>
      </c>
      <c r="X684" s="6">
        <f>IF(ISERROR(VLOOKUP($U$684,'TAR FIN'!$A$1:$O$116,15,0)),0,VLOOKUP($U$684,'TAR FIN'!$A$1:$O$116,15,0))</f>
        <v>0</v>
      </c>
      <c r="Y684" s="6">
        <f ca="1">('TUSD BE'!$AM$32+'TUSD BF'!$AM$32+'TUSD CVA'!$AM$32)*1</f>
        <v>17.138874075124019</v>
      </c>
      <c r="Z684" s="6"/>
      <c r="AA684" s="6"/>
      <c r="AB684" s="6">
        <f>$K$684*$V$684</f>
        <v>28956</v>
      </c>
      <c r="AC684" s="6">
        <f>$M$684*$W$684</f>
        <v>0</v>
      </c>
      <c r="AD684" s="6">
        <f>$O$684*$X$684</f>
        <v>0</v>
      </c>
      <c r="AE684" s="6">
        <f ca="1">$K$684*$Y$684</f>
        <v>32563.860742735636</v>
      </c>
      <c r="AF684" s="6">
        <f>$M$684*$Z$684</f>
        <v>0</v>
      </c>
      <c r="AG684" s="6">
        <f>$O$684*$AA$684</f>
        <v>0</v>
      </c>
    </row>
    <row r="685" spans="1:33" ht="11.25" customHeight="1" x14ac:dyDescent="0.25">
      <c r="A685" s="4" t="s">
        <v>21</v>
      </c>
      <c r="B685" s="4" t="s">
        <v>41</v>
      </c>
      <c r="C685" s="4" t="s">
        <v>64</v>
      </c>
      <c r="D685" s="4" t="s">
        <v>25</v>
      </c>
      <c r="E685" s="4" t="s">
        <v>25</v>
      </c>
      <c r="F685" s="4" t="s">
        <v>25</v>
      </c>
      <c r="G685" s="4" t="s">
        <v>76</v>
      </c>
      <c r="H685" s="4" t="s">
        <v>25</v>
      </c>
      <c r="I685" s="5">
        <v>44501</v>
      </c>
      <c r="J685" s="6">
        <v>480</v>
      </c>
      <c r="K685" s="6">
        <v>480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4" t="s">
        <v>66</v>
      </c>
      <c r="R685" s="4">
        <v>1438</v>
      </c>
      <c r="S685" s="6">
        <v>28</v>
      </c>
      <c r="T685" s="6">
        <v>0</v>
      </c>
      <c r="U685" s="6">
        <v>0</v>
      </c>
      <c r="V685" s="6">
        <f>IF(ISERROR(VLOOKUP($S$685,'TAR FIN'!$A$1:$O$116,15,0)),0,VLOOKUP($S$685,'TAR FIN'!$A$1:$O$116,15,0))</f>
        <v>15.24</v>
      </c>
      <c r="W685" s="6">
        <f>IF(ISERROR(VLOOKUP($T$685,'TAR FIN'!$A$1:$O$116,15,0)),0,VLOOKUP($T$685,'TAR FIN'!$A$1:$O$116,15,0))</f>
        <v>0</v>
      </c>
      <c r="X685" s="6">
        <f>IF(ISERROR(VLOOKUP($U$685,'TAR FIN'!$A$1:$O$116,15,0)),0,VLOOKUP($U$685,'TAR FIN'!$A$1:$O$116,15,0))</f>
        <v>0</v>
      </c>
      <c r="Y685" s="6">
        <f ca="1">('TUSD BE'!$AM$32+'TUSD BF'!$AM$32+'TUSD CVA'!$AM$32)*1</f>
        <v>17.138874075124019</v>
      </c>
      <c r="Z685" s="6"/>
      <c r="AA685" s="6"/>
      <c r="AB685" s="6">
        <f>$K$685*$V$685</f>
        <v>7315.2</v>
      </c>
      <c r="AC685" s="6">
        <f>$M$685*$W$685</f>
        <v>0</v>
      </c>
      <c r="AD685" s="6">
        <f>$O$685*$X$685</f>
        <v>0</v>
      </c>
      <c r="AE685" s="6">
        <f ca="1">$K$685*$Y$685</f>
        <v>8226.6595560595288</v>
      </c>
      <c r="AF685" s="6">
        <f>$M$685*$Z$685</f>
        <v>0</v>
      </c>
      <c r="AG685" s="6">
        <f>$O$685*$AA$685</f>
        <v>0</v>
      </c>
    </row>
    <row r="686" spans="1:33" ht="11.25" customHeight="1" x14ac:dyDescent="0.25">
      <c r="A686" s="4" t="s">
        <v>21</v>
      </c>
      <c r="B686" s="4" t="s">
        <v>41</v>
      </c>
      <c r="C686" s="4" t="s">
        <v>64</v>
      </c>
      <c r="D686" s="4" t="s">
        <v>25</v>
      </c>
      <c r="E686" s="4" t="s">
        <v>25</v>
      </c>
      <c r="F686" s="4" t="s">
        <v>25</v>
      </c>
      <c r="G686" s="4" t="s">
        <v>77</v>
      </c>
      <c r="H686" s="4" t="s">
        <v>25</v>
      </c>
      <c r="I686" s="5">
        <v>44501</v>
      </c>
      <c r="J686" s="6">
        <v>736</v>
      </c>
      <c r="K686" s="6">
        <v>736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4" t="s">
        <v>66</v>
      </c>
      <c r="R686" s="4">
        <v>1462</v>
      </c>
      <c r="S686" s="6">
        <v>28</v>
      </c>
      <c r="T686" s="6">
        <v>0</v>
      </c>
      <c r="U686" s="6">
        <v>0</v>
      </c>
      <c r="V686" s="6">
        <f>IF(ISERROR(VLOOKUP($S$686,'TAR FIN'!$A$1:$O$116,15,0)),0,VLOOKUP($S$686,'TAR FIN'!$A$1:$O$116,15,0))</f>
        <v>15.24</v>
      </c>
      <c r="W686" s="6">
        <f>IF(ISERROR(VLOOKUP($T$686,'TAR FIN'!$A$1:$O$116,15,0)),0,VLOOKUP($T$686,'TAR FIN'!$A$1:$O$116,15,0))</f>
        <v>0</v>
      </c>
      <c r="X686" s="6">
        <f>IF(ISERROR(VLOOKUP($U$686,'TAR FIN'!$A$1:$O$116,15,0)),0,VLOOKUP($U$686,'TAR FIN'!$A$1:$O$116,15,0))</f>
        <v>0</v>
      </c>
      <c r="Y686" s="6">
        <f ca="1">('TUSD BE'!$AM$32+'TUSD BF'!$AM$32+'TUSD CVA'!$AM$32)*1</f>
        <v>17.138874075124019</v>
      </c>
      <c r="Z686" s="6"/>
      <c r="AA686" s="6"/>
      <c r="AB686" s="6">
        <f>$K$686*$V$686</f>
        <v>11216.64</v>
      </c>
      <c r="AC686" s="6">
        <f>$M$686*$W$686</f>
        <v>0</v>
      </c>
      <c r="AD686" s="6">
        <f>$O$686*$X$686</f>
        <v>0</v>
      </c>
      <c r="AE686" s="6">
        <f ca="1">$K$686*$Y$686</f>
        <v>12614.211319291278</v>
      </c>
      <c r="AF686" s="6">
        <f>$M$686*$Z$686</f>
        <v>0</v>
      </c>
      <c r="AG686" s="6">
        <f>$O$686*$AA$686</f>
        <v>0</v>
      </c>
    </row>
    <row r="687" spans="1:33" ht="11.25" customHeight="1" x14ac:dyDescent="0.25">
      <c r="A687" s="4" t="s">
        <v>21</v>
      </c>
      <c r="B687" s="4" t="s">
        <v>41</v>
      </c>
      <c r="C687" s="4" t="s">
        <v>64</v>
      </c>
      <c r="D687" s="4" t="s">
        <v>25</v>
      </c>
      <c r="E687" s="4" t="s">
        <v>25</v>
      </c>
      <c r="F687" s="4" t="s">
        <v>25</v>
      </c>
      <c r="G687" s="4" t="s">
        <v>78</v>
      </c>
      <c r="H687" s="4" t="s">
        <v>25</v>
      </c>
      <c r="I687" s="5">
        <v>44501</v>
      </c>
      <c r="J687" s="6">
        <v>6460</v>
      </c>
      <c r="K687" s="6">
        <v>6460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4" t="s">
        <v>66</v>
      </c>
      <c r="R687" s="4">
        <v>1533</v>
      </c>
      <c r="S687" s="6">
        <v>28</v>
      </c>
      <c r="T687" s="6">
        <v>0</v>
      </c>
      <c r="U687" s="6">
        <v>0</v>
      </c>
      <c r="V687" s="6">
        <f>IF(ISERROR(VLOOKUP($S$687,'TAR FIN'!$A$1:$O$116,15,0)),0,VLOOKUP($S$687,'TAR FIN'!$A$1:$O$116,15,0))</f>
        <v>15.24</v>
      </c>
      <c r="W687" s="6">
        <f>IF(ISERROR(VLOOKUP($T$687,'TAR FIN'!$A$1:$O$116,15,0)),0,VLOOKUP($T$687,'TAR FIN'!$A$1:$O$116,15,0))</f>
        <v>0</v>
      </c>
      <c r="X687" s="6">
        <f>IF(ISERROR(VLOOKUP($U$687,'TAR FIN'!$A$1:$O$116,15,0)),0,VLOOKUP($U$687,'TAR FIN'!$A$1:$O$116,15,0))</f>
        <v>0</v>
      </c>
      <c r="Y687" s="6">
        <f ca="1">('TUSD BE'!$AM$32+'TUSD BF'!$AM$32+'TUSD CVA'!$AM$32)*1</f>
        <v>17.138874075124019</v>
      </c>
      <c r="Z687" s="6"/>
      <c r="AA687" s="6"/>
      <c r="AB687" s="6">
        <f>$K$687*$V$687</f>
        <v>98450.4</v>
      </c>
      <c r="AC687" s="6">
        <f>$M$687*$W$687</f>
        <v>0</v>
      </c>
      <c r="AD687" s="6">
        <f>$O$687*$X$687</f>
        <v>0</v>
      </c>
      <c r="AE687" s="6">
        <f ca="1">$K$687*$Y$687</f>
        <v>110717.12652530117</v>
      </c>
      <c r="AF687" s="6">
        <f>$M$687*$Z$687</f>
        <v>0</v>
      </c>
      <c r="AG687" s="6">
        <f>$O$687*$AA$687</f>
        <v>0</v>
      </c>
    </row>
    <row r="688" spans="1:33" ht="11.25" customHeight="1" x14ac:dyDescent="0.25">
      <c r="A688" s="4" t="s">
        <v>21</v>
      </c>
      <c r="B688" s="4" t="s">
        <v>41</v>
      </c>
      <c r="C688" s="4" t="s">
        <v>64</v>
      </c>
      <c r="D688" s="4" t="s">
        <v>25</v>
      </c>
      <c r="E688" s="4" t="s">
        <v>25</v>
      </c>
      <c r="F688" s="4" t="s">
        <v>25</v>
      </c>
      <c r="G688" s="4" t="s">
        <v>79</v>
      </c>
      <c r="H688" s="4" t="s">
        <v>25</v>
      </c>
      <c r="I688" s="5">
        <v>44501</v>
      </c>
      <c r="J688" s="6">
        <v>770</v>
      </c>
      <c r="K688" s="6">
        <v>770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4" t="s">
        <v>66</v>
      </c>
      <c r="R688" s="4">
        <v>2535</v>
      </c>
      <c r="S688" s="6">
        <v>28</v>
      </c>
      <c r="T688" s="6">
        <v>0</v>
      </c>
      <c r="U688" s="6">
        <v>0</v>
      </c>
      <c r="V688" s="6">
        <f>IF(ISERROR(VLOOKUP($S$688,'TAR FIN'!$A$1:$O$116,15,0)),0,VLOOKUP($S$688,'TAR FIN'!$A$1:$O$116,15,0))</f>
        <v>15.24</v>
      </c>
      <c r="W688" s="6">
        <f>IF(ISERROR(VLOOKUP($T$688,'TAR FIN'!$A$1:$O$116,15,0)),0,VLOOKUP($T$688,'TAR FIN'!$A$1:$O$116,15,0))</f>
        <v>0</v>
      </c>
      <c r="X688" s="6">
        <f>IF(ISERROR(VLOOKUP($U$688,'TAR FIN'!$A$1:$O$116,15,0)),0,VLOOKUP($U$688,'TAR FIN'!$A$1:$O$116,15,0))</f>
        <v>0</v>
      </c>
      <c r="Y688" s="6">
        <f ca="1">('TUSD BE'!$AM$32+'TUSD BF'!$AM$32+'TUSD CVA'!$AM$32)*1</f>
        <v>17.138874075124019</v>
      </c>
      <c r="Z688" s="6"/>
      <c r="AA688" s="6"/>
      <c r="AB688" s="6">
        <f>$K$688*$V$688</f>
        <v>11734.8</v>
      </c>
      <c r="AC688" s="6">
        <f>$M$688*$W$688</f>
        <v>0</v>
      </c>
      <c r="AD688" s="6">
        <f>$O$688*$X$688</f>
        <v>0</v>
      </c>
      <c r="AE688" s="6">
        <f ca="1">$K$688*$Y$688</f>
        <v>13196.933037845494</v>
      </c>
      <c r="AF688" s="6">
        <f>$M$688*$Z$688</f>
        <v>0</v>
      </c>
      <c r="AG688" s="6">
        <f>$O$688*$AA$688</f>
        <v>0</v>
      </c>
    </row>
    <row r="689" spans="1:33" ht="11.25" customHeight="1" x14ac:dyDescent="0.25">
      <c r="A689" s="4" t="s">
        <v>21</v>
      </c>
      <c r="B689" s="4" t="s">
        <v>41</v>
      </c>
      <c r="C689" s="4" t="s">
        <v>64</v>
      </c>
      <c r="D689" s="4" t="s">
        <v>25</v>
      </c>
      <c r="E689" s="4" t="s">
        <v>25</v>
      </c>
      <c r="F689" s="4" t="s">
        <v>25</v>
      </c>
      <c r="G689" s="4" t="s">
        <v>80</v>
      </c>
      <c r="H689" s="4" t="s">
        <v>25</v>
      </c>
      <c r="I689" s="5">
        <v>44501</v>
      </c>
      <c r="J689" s="6">
        <v>1416</v>
      </c>
      <c r="K689" s="6">
        <v>1416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4" t="s">
        <v>66</v>
      </c>
      <c r="R689" s="4">
        <v>2751</v>
      </c>
      <c r="S689" s="6">
        <v>28</v>
      </c>
      <c r="T689" s="6">
        <v>0</v>
      </c>
      <c r="U689" s="6">
        <v>0</v>
      </c>
      <c r="V689" s="6">
        <f>IF(ISERROR(VLOOKUP($S$689,'TAR FIN'!$A$1:$O$116,15,0)),0,VLOOKUP($S$689,'TAR FIN'!$A$1:$O$116,15,0))</f>
        <v>15.24</v>
      </c>
      <c r="W689" s="6">
        <f>IF(ISERROR(VLOOKUP($T$689,'TAR FIN'!$A$1:$O$116,15,0)),0,VLOOKUP($T$689,'TAR FIN'!$A$1:$O$116,15,0))</f>
        <v>0</v>
      </c>
      <c r="X689" s="6">
        <f>IF(ISERROR(VLOOKUP($U$689,'TAR FIN'!$A$1:$O$116,15,0)),0,VLOOKUP($U$689,'TAR FIN'!$A$1:$O$116,15,0))</f>
        <v>0</v>
      </c>
      <c r="Y689" s="6">
        <f ca="1">('TUSD BE'!$AM$32+'TUSD BF'!$AM$32+'TUSD CVA'!$AM$32)*1</f>
        <v>17.138874075124019</v>
      </c>
      <c r="Z689" s="6"/>
      <c r="AA689" s="6"/>
      <c r="AB689" s="6">
        <f>$K$689*$V$689</f>
        <v>21579.84</v>
      </c>
      <c r="AC689" s="6">
        <f>$M$689*$W$689</f>
        <v>0</v>
      </c>
      <c r="AD689" s="6">
        <f>$O$689*$X$689</f>
        <v>0</v>
      </c>
      <c r="AE689" s="6">
        <f ca="1">$K$689*$Y$689</f>
        <v>24268.645690375612</v>
      </c>
      <c r="AF689" s="6">
        <f>$M$689*$Z$689</f>
        <v>0</v>
      </c>
      <c r="AG689" s="6">
        <f>$O$689*$AA$689</f>
        <v>0</v>
      </c>
    </row>
    <row r="690" spans="1:33" ht="11.25" customHeight="1" x14ac:dyDescent="0.25">
      <c r="A690" s="4" t="s">
        <v>21</v>
      </c>
      <c r="B690" s="4" t="s">
        <v>41</v>
      </c>
      <c r="C690" s="4" t="s">
        <v>64</v>
      </c>
      <c r="D690" s="4" t="s">
        <v>25</v>
      </c>
      <c r="E690" s="4" t="s">
        <v>25</v>
      </c>
      <c r="F690" s="4" t="s">
        <v>25</v>
      </c>
      <c r="G690" s="4" t="s">
        <v>88</v>
      </c>
      <c r="H690" s="4" t="s">
        <v>25</v>
      </c>
      <c r="I690" s="5">
        <v>44501</v>
      </c>
      <c r="J690" s="6">
        <v>9500</v>
      </c>
      <c r="K690" s="6">
        <v>4750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4" t="s">
        <v>66</v>
      </c>
      <c r="R690" s="4">
        <v>27722</v>
      </c>
      <c r="S690" s="6">
        <v>28</v>
      </c>
      <c r="T690" s="6">
        <v>0</v>
      </c>
      <c r="U690" s="6">
        <v>0</v>
      </c>
      <c r="V690" s="6">
        <f>IF(ISERROR(VLOOKUP($S$690,'TAR FIN'!$A$1:$O$116,15,0)),0,VLOOKUP($S$690,'TAR FIN'!$A$1:$O$116,15,0))</f>
        <v>15.24</v>
      </c>
      <c r="W690" s="6">
        <f>IF(ISERROR(VLOOKUP($T$690,'TAR FIN'!$A$1:$O$116,15,0)),0,VLOOKUP($T$690,'TAR FIN'!$A$1:$O$116,15,0))</f>
        <v>0</v>
      </c>
      <c r="X690" s="6">
        <f>IF(ISERROR(VLOOKUP($U$690,'TAR FIN'!$A$1:$O$116,15,0)),0,VLOOKUP($U$690,'TAR FIN'!$A$1:$O$116,15,0))</f>
        <v>0</v>
      </c>
      <c r="Y690" s="6">
        <f ca="1">('TUSD BE'!$AM$32+'TUSD BF'!$AM$32+'TUSD CVA'!$AM$32)*1</f>
        <v>17.138874075124019</v>
      </c>
      <c r="Z690" s="6"/>
      <c r="AA690" s="6"/>
      <c r="AB690" s="6">
        <f>$K$690*$V$690</f>
        <v>72390</v>
      </c>
      <c r="AC690" s="6">
        <f>$M$690*$W$690</f>
        <v>0</v>
      </c>
      <c r="AD690" s="6">
        <f>$O$690*$X$690</f>
        <v>0</v>
      </c>
      <c r="AE690" s="6">
        <f ca="1">$K$690*$Y$690</f>
        <v>81409.651856839089</v>
      </c>
      <c r="AF690" s="6">
        <f>$M$690*$Z$690</f>
        <v>0</v>
      </c>
      <c r="AG690" s="6">
        <f>$O$690*$AA$690</f>
        <v>0</v>
      </c>
    </row>
    <row r="691" spans="1:33" ht="11.25" customHeight="1" x14ac:dyDescent="0.25">
      <c r="A691" s="4" t="s">
        <v>21</v>
      </c>
      <c r="B691" s="4" t="s">
        <v>41</v>
      </c>
      <c r="C691" s="4" t="s">
        <v>64</v>
      </c>
      <c r="D691" s="4" t="s">
        <v>25</v>
      </c>
      <c r="E691" s="4" t="s">
        <v>25</v>
      </c>
      <c r="F691" s="4" t="s">
        <v>25</v>
      </c>
      <c r="G691" s="4" t="s">
        <v>90</v>
      </c>
      <c r="H691" s="4" t="s">
        <v>25</v>
      </c>
      <c r="I691" s="5">
        <v>44501</v>
      </c>
      <c r="J691" s="6">
        <v>420</v>
      </c>
      <c r="K691" s="6">
        <v>420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4" t="s">
        <v>66</v>
      </c>
      <c r="R691" s="4">
        <v>27928</v>
      </c>
      <c r="S691" s="6">
        <v>28</v>
      </c>
      <c r="T691" s="6">
        <v>0</v>
      </c>
      <c r="U691" s="6">
        <v>0</v>
      </c>
      <c r="V691" s="6">
        <f>IF(ISERROR(VLOOKUP($S$691,'TAR FIN'!$A$1:$O$116,15,0)),0,VLOOKUP($S$691,'TAR FIN'!$A$1:$O$116,15,0))</f>
        <v>15.24</v>
      </c>
      <c r="W691" s="6">
        <f>IF(ISERROR(VLOOKUP($T$691,'TAR FIN'!$A$1:$O$116,15,0)),0,VLOOKUP($T$691,'TAR FIN'!$A$1:$O$116,15,0))</f>
        <v>0</v>
      </c>
      <c r="X691" s="6">
        <f>IF(ISERROR(VLOOKUP($U$691,'TAR FIN'!$A$1:$O$116,15,0)),0,VLOOKUP($U$691,'TAR FIN'!$A$1:$O$116,15,0))</f>
        <v>0</v>
      </c>
      <c r="Y691" s="6">
        <f ca="1">('TUSD BE'!$AM$32+'TUSD BF'!$AM$32+'TUSD CVA'!$AM$32)*1</f>
        <v>17.138874075124019</v>
      </c>
      <c r="Z691" s="6"/>
      <c r="AA691" s="6"/>
      <c r="AB691" s="6">
        <f>$K$691*$V$691</f>
        <v>6400.8</v>
      </c>
      <c r="AC691" s="6">
        <f>$M$691*$W$691</f>
        <v>0</v>
      </c>
      <c r="AD691" s="6">
        <f>$O$691*$X$691</f>
        <v>0</v>
      </c>
      <c r="AE691" s="6">
        <f ca="1">$K$691*$Y$691</f>
        <v>7198.3271115520874</v>
      </c>
      <c r="AF691" s="6">
        <f>$M$691*$Z$691</f>
        <v>0</v>
      </c>
      <c r="AG691" s="6">
        <f>$O$691*$AA$691</f>
        <v>0</v>
      </c>
    </row>
    <row r="692" spans="1:33" ht="11.25" customHeight="1" x14ac:dyDescent="0.25">
      <c r="A692" s="4" t="s">
        <v>21</v>
      </c>
      <c r="B692" s="4" t="s">
        <v>41</v>
      </c>
      <c r="C692" s="4" t="s">
        <v>64</v>
      </c>
      <c r="D692" s="4" t="s">
        <v>25</v>
      </c>
      <c r="E692" s="4" t="s">
        <v>25</v>
      </c>
      <c r="F692" s="4" t="s">
        <v>25</v>
      </c>
      <c r="G692" s="4" t="s">
        <v>93</v>
      </c>
      <c r="H692" s="4" t="s">
        <v>25</v>
      </c>
      <c r="I692" s="5">
        <v>44501</v>
      </c>
      <c r="J692" s="6">
        <v>1300</v>
      </c>
      <c r="K692" s="6">
        <v>650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4" t="s">
        <v>66</v>
      </c>
      <c r="R692" s="4">
        <v>30847</v>
      </c>
      <c r="S692" s="6">
        <v>28</v>
      </c>
      <c r="T692" s="6">
        <v>0</v>
      </c>
      <c r="U692" s="6">
        <v>0</v>
      </c>
      <c r="V692" s="6">
        <f>IF(ISERROR(VLOOKUP($S$692,'TAR FIN'!$A$1:$O$116,15,0)),0,VLOOKUP($S$692,'TAR FIN'!$A$1:$O$116,15,0))</f>
        <v>15.24</v>
      </c>
      <c r="W692" s="6">
        <f>IF(ISERROR(VLOOKUP($T$692,'TAR FIN'!$A$1:$O$116,15,0)),0,VLOOKUP($T$692,'TAR FIN'!$A$1:$O$116,15,0))</f>
        <v>0</v>
      </c>
      <c r="X692" s="6">
        <f>IF(ISERROR(VLOOKUP($U$692,'TAR FIN'!$A$1:$O$116,15,0)),0,VLOOKUP($U$692,'TAR FIN'!$A$1:$O$116,15,0))</f>
        <v>0</v>
      </c>
      <c r="Y692" s="6">
        <f ca="1">('TUSD BE'!$AM$32+'TUSD BF'!$AM$32+'TUSD CVA'!$AM$32)*1</f>
        <v>17.138874075124019</v>
      </c>
      <c r="Z692" s="6"/>
      <c r="AA692" s="6"/>
      <c r="AB692" s="6">
        <f>$K$692*$V$692</f>
        <v>9906</v>
      </c>
      <c r="AC692" s="6">
        <f>$M$692*$W$692</f>
        <v>0</v>
      </c>
      <c r="AD692" s="6">
        <f>$O$692*$X$692</f>
        <v>0</v>
      </c>
      <c r="AE692" s="6">
        <f ca="1">$K$692*$Y$692</f>
        <v>11140.268148830612</v>
      </c>
      <c r="AF692" s="6">
        <f>$M$692*$Z$692</f>
        <v>0</v>
      </c>
      <c r="AG692" s="6">
        <f>$O$692*$AA$692</f>
        <v>0</v>
      </c>
    </row>
    <row r="693" spans="1:33" ht="11.25" customHeight="1" x14ac:dyDescent="0.25">
      <c r="A693" s="4" t="s">
        <v>21</v>
      </c>
      <c r="B693" s="4" t="s">
        <v>41</v>
      </c>
      <c r="C693" s="4" t="s">
        <v>64</v>
      </c>
      <c r="D693" s="4" t="s">
        <v>25</v>
      </c>
      <c r="E693" s="4" t="s">
        <v>25</v>
      </c>
      <c r="F693" s="4" t="s">
        <v>25</v>
      </c>
      <c r="G693" s="4" t="s">
        <v>94</v>
      </c>
      <c r="H693" s="4" t="s">
        <v>25</v>
      </c>
      <c r="I693" s="5">
        <v>44501</v>
      </c>
      <c r="J693" s="6">
        <v>1180</v>
      </c>
      <c r="K693" s="6">
        <v>590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4" t="s">
        <v>66</v>
      </c>
      <c r="R693" s="4">
        <v>30866</v>
      </c>
      <c r="S693" s="6">
        <v>28</v>
      </c>
      <c r="T693" s="6">
        <v>0</v>
      </c>
      <c r="U693" s="6">
        <v>0</v>
      </c>
      <c r="V693" s="6">
        <f>IF(ISERROR(VLOOKUP($S$693,'TAR FIN'!$A$1:$O$116,15,0)),0,VLOOKUP($S$693,'TAR FIN'!$A$1:$O$116,15,0))</f>
        <v>15.24</v>
      </c>
      <c r="W693" s="6">
        <f>IF(ISERROR(VLOOKUP($T$693,'TAR FIN'!$A$1:$O$116,15,0)),0,VLOOKUP($T$693,'TAR FIN'!$A$1:$O$116,15,0))</f>
        <v>0</v>
      </c>
      <c r="X693" s="6">
        <f>IF(ISERROR(VLOOKUP($U$693,'TAR FIN'!$A$1:$O$116,15,0)),0,VLOOKUP($U$693,'TAR FIN'!$A$1:$O$116,15,0))</f>
        <v>0</v>
      </c>
      <c r="Y693" s="6">
        <f ca="1">('TUSD BE'!$AM$32+'TUSD BF'!$AM$32+'TUSD CVA'!$AM$32)*1</f>
        <v>17.138874075124019</v>
      </c>
      <c r="Z693" s="6"/>
      <c r="AA693" s="6"/>
      <c r="AB693" s="6">
        <f>$K$693*$V$693</f>
        <v>8991.6</v>
      </c>
      <c r="AC693" s="6">
        <f>$M$693*$W$693</f>
        <v>0</v>
      </c>
      <c r="AD693" s="6">
        <f>$O$693*$X$693</f>
        <v>0</v>
      </c>
      <c r="AE693" s="6">
        <f ca="1">$K$693*$Y$693</f>
        <v>10111.93570432317</v>
      </c>
      <c r="AF693" s="6">
        <f>$M$693*$Z$693</f>
        <v>0</v>
      </c>
      <c r="AG693" s="6">
        <f>$O$693*$AA$693</f>
        <v>0</v>
      </c>
    </row>
    <row r="694" spans="1:33" ht="11.25" customHeight="1" x14ac:dyDescent="0.25">
      <c r="A694" s="4" t="s">
        <v>21</v>
      </c>
      <c r="B694" s="4" t="s">
        <v>41</v>
      </c>
      <c r="C694" s="4" t="s">
        <v>64</v>
      </c>
      <c r="D694" s="4" t="s">
        <v>25</v>
      </c>
      <c r="E694" s="4" t="s">
        <v>25</v>
      </c>
      <c r="F694" s="4" t="s">
        <v>25</v>
      </c>
      <c r="G694" s="4" t="s">
        <v>95</v>
      </c>
      <c r="H694" s="4" t="s">
        <v>25</v>
      </c>
      <c r="I694" s="5">
        <v>44501</v>
      </c>
      <c r="J694" s="6">
        <v>1180</v>
      </c>
      <c r="K694" s="6">
        <v>590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4" t="s">
        <v>66</v>
      </c>
      <c r="R694" s="4">
        <v>31051</v>
      </c>
      <c r="S694" s="6">
        <v>28</v>
      </c>
      <c r="T694" s="6">
        <v>0</v>
      </c>
      <c r="U694" s="6">
        <v>0</v>
      </c>
      <c r="V694" s="6">
        <f>IF(ISERROR(VLOOKUP($S$694,'TAR FIN'!$A$1:$O$116,15,0)),0,VLOOKUP($S$694,'TAR FIN'!$A$1:$O$116,15,0))</f>
        <v>15.24</v>
      </c>
      <c r="W694" s="6">
        <f>IF(ISERROR(VLOOKUP($T$694,'TAR FIN'!$A$1:$O$116,15,0)),0,VLOOKUP($T$694,'TAR FIN'!$A$1:$O$116,15,0))</f>
        <v>0</v>
      </c>
      <c r="X694" s="6">
        <f>IF(ISERROR(VLOOKUP($U$694,'TAR FIN'!$A$1:$O$116,15,0)),0,VLOOKUP($U$694,'TAR FIN'!$A$1:$O$116,15,0))</f>
        <v>0</v>
      </c>
      <c r="Y694" s="6">
        <f ca="1">('TUSD BE'!$AM$32+'TUSD BF'!$AM$32+'TUSD CVA'!$AM$32)*1</f>
        <v>17.138874075124019</v>
      </c>
      <c r="Z694" s="6"/>
      <c r="AA694" s="6"/>
      <c r="AB694" s="6">
        <f>$K$694*$V$694</f>
        <v>8991.6</v>
      </c>
      <c r="AC694" s="6">
        <f>$M$694*$W$694</f>
        <v>0</v>
      </c>
      <c r="AD694" s="6">
        <f>$O$694*$X$694</f>
        <v>0</v>
      </c>
      <c r="AE694" s="6">
        <f ca="1">$K$694*$Y$694</f>
        <v>10111.93570432317</v>
      </c>
      <c r="AF694" s="6">
        <f>$M$694*$Z$694</f>
        <v>0</v>
      </c>
      <c r="AG694" s="6">
        <f>$O$694*$AA$694</f>
        <v>0</v>
      </c>
    </row>
    <row r="695" spans="1:33" ht="11.25" customHeight="1" x14ac:dyDescent="0.25">
      <c r="A695" s="4" t="s">
        <v>21</v>
      </c>
      <c r="B695" s="4" t="s">
        <v>41</v>
      </c>
      <c r="C695" s="4" t="s">
        <v>64</v>
      </c>
      <c r="D695" s="4" t="s">
        <v>25</v>
      </c>
      <c r="E695" s="4" t="s">
        <v>25</v>
      </c>
      <c r="F695" s="4" t="s">
        <v>25</v>
      </c>
      <c r="G695" s="4" t="s">
        <v>96</v>
      </c>
      <c r="H695" s="4" t="s">
        <v>25</v>
      </c>
      <c r="I695" s="5">
        <v>44501</v>
      </c>
      <c r="J695" s="6">
        <v>1000</v>
      </c>
      <c r="K695" s="6">
        <v>500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4" t="s">
        <v>66</v>
      </c>
      <c r="R695" s="4">
        <v>31277</v>
      </c>
      <c r="S695" s="6">
        <v>28</v>
      </c>
      <c r="T695" s="6">
        <v>0</v>
      </c>
      <c r="U695" s="6">
        <v>0</v>
      </c>
      <c r="V695" s="6">
        <f>IF(ISERROR(VLOOKUP($S$695,'TAR FIN'!$A$1:$O$116,15,0)),0,VLOOKUP($S$695,'TAR FIN'!$A$1:$O$116,15,0))</f>
        <v>15.24</v>
      </c>
      <c r="W695" s="6">
        <f>IF(ISERROR(VLOOKUP($T$695,'TAR FIN'!$A$1:$O$116,15,0)),0,VLOOKUP($T$695,'TAR FIN'!$A$1:$O$116,15,0))</f>
        <v>0</v>
      </c>
      <c r="X695" s="6">
        <f>IF(ISERROR(VLOOKUP($U$695,'TAR FIN'!$A$1:$O$116,15,0)),0,VLOOKUP($U$695,'TAR FIN'!$A$1:$O$116,15,0))</f>
        <v>0</v>
      </c>
      <c r="Y695" s="6">
        <f ca="1">('TUSD BE'!$AM$32+'TUSD BF'!$AM$32+'TUSD CVA'!$AM$32)*1</f>
        <v>17.138874075124019</v>
      </c>
      <c r="Z695" s="6"/>
      <c r="AA695" s="6"/>
      <c r="AB695" s="6">
        <f>$K$695*$V$695</f>
        <v>7620</v>
      </c>
      <c r="AC695" s="6">
        <f>$M$695*$W$695</f>
        <v>0</v>
      </c>
      <c r="AD695" s="6">
        <f>$O$695*$X$695</f>
        <v>0</v>
      </c>
      <c r="AE695" s="6">
        <f ca="1">$K$695*$Y$695</f>
        <v>8569.4370375620092</v>
      </c>
      <c r="AF695" s="6">
        <f>$M$695*$Z$695</f>
        <v>0</v>
      </c>
      <c r="AG695" s="6">
        <f>$O$695*$AA$695</f>
        <v>0</v>
      </c>
    </row>
    <row r="696" spans="1:33" ht="11.25" customHeight="1" x14ac:dyDescent="0.25">
      <c r="A696" s="4" t="s">
        <v>21</v>
      </c>
      <c r="B696" s="4" t="s">
        <v>41</v>
      </c>
      <c r="C696" s="4" t="s">
        <v>64</v>
      </c>
      <c r="D696" s="4" t="s">
        <v>25</v>
      </c>
      <c r="E696" s="4" t="s">
        <v>25</v>
      </c>
      <c r="F696" s="4" t="s">
        <v>25</v>
      </c>
      <c r="G696" s="4" t="s">
        <v>97</v>
      </c>
      <c r="H696" s="4" t="s">
        <v>25</v>
      </c>
      <c r="I696" s="5">
        <v>44501</v>
      </c>
      <c r="J696" s="6">
        <v>1180</v>
      </c>
      <c r="K696" s="6">
        <v>590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4" t="s">
        <v>66</v>
      </c>
      <c r="R696" s="4">
        <v>31318</v>
      </c>
      <c r="S696" s="6">
        <v>28</v>
      </c>
      <c r="T696" s="6">
        <v>0</v>
      </c>
      <c r="U696" s="6">
        <v>0</v>
      </c>
      <c r="V696" s="6">
        <f>IF(ISERROR(VLOOKUP($S$696,'TAR FIN'!$A$1:$O$116,15,0)),0,VLOOKUP($S$696,'TAR FIN'!$A$1:$O$116,15,0))</f>
        <v>15.24</v>
      </c>
      <c r="W696" s="6">
        <f>IF(ISERROR(VLOOKUP($T$696,'TAR FIN'!$A$1:$O$116,15,0)),0,VLOOKUP($T$696,'TAR FIN'!$A$1:$O$116,15,0))</f>
        <v>0</v>
      </c>
      <c r="X696" s="6">
        <f>IF(ISERROR(VLOOKUP($U$696,'TAR FIN'!$A$1:$O$116,15,0)),0,VLOOKUP($U$696,'TAR FIN'!$A$1:$O$116,15,0))</f>
        <v>0</v>
      </c>
      <c r="Y696" s="6">
        <f ca="1">('TUSD BE'!$AM$32+'TUSD BF'!$AM$32+'TUSD CVA'!$AM$32)*1</f>
        <v>17.138874075124019</v>
      </c>
      <c r="Z696" s="6"/>
      <c r="AA696" s="6"/>
      <c r="AB696" s="6">
        <f>$K$696*$V$696</f>
        <v>8991.6</v>
      </c>
      <c r="AC696" s="6">
        <f>$M$696*$W$696</f>
        <v>0</v>
      </c>
      <c r="AD696" s="6">
        <f>$O$696*$X$696</f>
        <v>0</v>
      </c>
      <c r="AE696" s="6">
        <f ca="1">$K$696*$Y$696</f>
        <v>10111.93570432317</v>
      </c>
      <c r="AF696" s="6">
        <f>$M$696*$Z$696</f>
        <v>0</v>
      </c>
      <c r="AG696" s="6">
        <f>$O$696*$AA$696</f>
        <v>0</v>
      </c>
    </row>
    <row r="697" spans="1:33" ht="11.25" customHeight="1" x14ac:dyDescent="0.25">
      <c r="A697" s="4" t="s">
        <v>21</v>
      </c>
      <c r="B697" s="4" t="s">
        <v>41</v>
      </c>
      <c r="C697" s="4" t="s">
        <v>64</v>
      </c>
      <c r="D697" s="4" t="s">
        <v>25</v>
      </c>
      <c r="E697" s="4" t="s">
        <v>25</v>
      </c>
      <c r="F697" s="4" t="s">
        <v>25</v>
      </c>
      <c r="G697" s="4" t="s">
        <v>98</v>
      </c>
      <c r="H697" s="4" t="s">
        <v>25</v>
      </c>
      <c r="I697" s="5">
        <v>44501</v>
      </c>
      <c r="J697" s="6">
        <v>3000</v>
      </c>
      <c r="K697" s="6">
        <v>1500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4" t="s">
        <v>66</v>
      </c>
      <c r="R697" s="4">
        <v>31334</v>
      </c>
      <c r="S697" s="6">
        <v>28</v>
      </c>
      <c r="T697" s="6">
        <v>0</v>
      </c>
      <c r="U697" s="6">
        <v>0</v>
      </c>
      <c r="V697" s="6">
        <f>IF(ISERROR(VLOOKUP($S$697,'TAR FIN'!$A$1:$O$116,15,0)),0,VLOOKUP($S$697,'TAR FIN'!$A$1:$O$116,15,0))</f>
        <v>15.24</v>
      </c>
      <c r="W697" s="6">
        <f>IF(ISERROR(VLOOKUP($T$697,'TAR FIN'!$A$1:$O$116,15,0)),0,VLOOKUP($T$697,'TAR FIN'!$A$1:$O$116,15,0))</f>
        <v>0</v>
      </c>
      <c r="X697" s="6">
        <f>IF(ISERROR(VLOOKUP($U$697,'TAR FIN'!$A$1:$O$116,15,0)),0,VLOOKUP($U$697,'TAR FIN'!$A$1:$O$116,15,0))</f>
        <v>0</v>
      </c>
      <c r="Y697" s="6">
        <f ca="1">('TUSD BE'!$AM$32+'TUSD BF'!$AM$32+'TUSD CVA'!$AM$32)*1</f>
        <v>17.138874075124019</v>
      </c>
      <c r="Z697" s="6"/>
      <c r="AA697" s="6"/>
      <c r="AB697" s="6">
        <f>$K$697*$V$697</f>
        <v>22860</v>
      </c>
      <c r="AC697" s="6">
        <f>$M$697*$W$697</f>
        <v>0</v>
      </c>
      <c r="AD697" s="6">
        <f>$O$697*$X$697</f>
        <v>0</v>
      </c>
      <c r="AE697" s="6">
        <f ca="1">$K$697*$Y$697</f>
        <v>25708.311112686028</v>
      </c>
      <c r="AF697" s="6">
        <f>$M$697*$Z$697</f>
        <v>0</v>
      </c>
      <c r="AG697" s="6">
        <f>$O$697*$AA$697</f>
        <v>0</v>
      </c>
    </row>
    <row r="698" spans="1:33" ht="11.25" customHeight="1" x14ac:dyDescent="0.25">
      <c r="A698" s="4" t="s">
        <v>21</v>
      </c>
      <c r="B698" s="4" t="s">
        <v>41</v>
      </c>
      <c r="C698" s="4" t="s">
        <v>64</v>
      </c>
      <c r="D698" s="4" t="s">
        <v>25</v>
      </c>
      <c r="E698" s="4" t="s">
        <v>25</v>
      </c>
      <c r="F698" s="4" t="s">
        <v>25</v>
      </c>
      <c r="G698" s="4" t="s">
        <v>99</v>
      </c>
      <c r="H698" s="4" t="s">
        <v>25</v>
      </c>
      <c r="I698" s="5">
        <v>44501</v>
      </c>
      <c r="J698" s="6">
        <v>1180</v>
      </c>
      <c r="K698" s="6">
        <v>590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4" t="s">
        <v>66</v>
      </c>
      <c r="R698" s="4">
        <v>31618</v>
      </c>
      <c r="S698" s="6">
        <v>28</v>
      </c>
      <c r="T698" s="6">
        <v>0</v>
      </c>
      <c r="U698" s="6">
        <v>0</v>
      </c>
      <c r="V698" s="6">
        <f>IF(ISERROR(VLOOKUP($S$698,'TAR FIN'!$A$1:$O$116,15,0)),0,VLOOKUP($S$698,'TAR FIN'!$A$1:$O$116,15,0))</f>
        <v>15.24</v>
      </c>
      <c r="W698" s="6">
        <f>IF(ISERROR(VLOOKUP($T$698,'TAR FIN'!$A$1:$O$116,15,0)),0,VLOOKUP($T$698,'TAR FIN'!$A$1:$O$116,15,0))</f>
        <v>0</v>
      </c>
      <c r="X698" s="6">
        <f>IF(ISERROR(VLOOKUP($U$698,'TAR FIN'!$A$1:$O$116,15,0)),0,VLOOKUP($U$698,'TAR FIN'!$A$1:$O$116,15,0))</f>
        <v>0</v>
      </c>
      <c r="Y698" s="6">
        <f ca="1">('TUSD BE'!$AM$32+'TUSD BF'!$AM$32+'TUSD CVA'!$AM$32)*1</f>
        <v>17.138874075124019</v>
      </c>
      <c r="Z698" s="6"/>
      <c r="AA698" s="6"/>
      <c r="AB698" s="6">
        <f>$K$698*$V$698</f>
        <v>8991.6</v>
      </c>
      <c r="AC698" s="6">
        <f>$M$698*$W$698</f>
        <v>0</v>
      </c>
      <c r="AD698" s="6">
        <f>$O$698*$X$698</f>
        <v>0</v>
      </c>
      <c r="AE698" s="6">
        <f ca="1">$K$698*$Y$698</f>
        <v>10111.93570432317</v>
      </c>
      <c r="AF698" s="6">
        <f>$M$698*$Z$698</f>
        <v>0</v>
      </c>
      <c r="AG698" s="6">
        <f>$O$698*$AA$698</f>
        <v>0</v>
      </c>
    </row>
    <row r="699" spans="1:33" ht="11.25" customHeight="1" x14ac:dyDescent="0.25">
      <c r="A699" s="4" t="s">
        <v>21</v>
      </c>
      <c r="B699" s="4" t="s">
        <v>41</v>
      </c>
      <c r="C699" s="4" t="s">
        <v>64</v>
      </c>
      <c r="D699" s="4" t="s">
        <v>25</v>
      </c>
      <c r="E699" s="4" t="s">
        <v>25</v>
      </c>
      <c r="F699" s="4" t="s">
        <v>25</v>
      </c>
      <c r="G699" s="4" t="s">
        <v>100</v>
      </c>
      <c r="H699" s="4" t="s">
        <v>25</v>
      </c>
      <c r="I699" s="5">
        <v>44501</v>
      </c>
      <c r="J699" s="6">
        <v>1180</v>
      </c>
      <c r="K699" s="6">
        <v>590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4" t="s">
        <v>66</v>
      </c>
      <c r="R699" s="4">
        <v>31677</v>
      </c>
      <c r="S699" s="6">
        <v>28</v>
      </c>
      <c r="T699" s="6">
        <v>0</v>
      </c>
      <c r="U699" s="6">
        <v>0</v>
      </c>
      <c r="V699" s="6">
        <f>IF(ISERROR(VLOOKUP($S$699,'TAR FIN'!$A$1:$O$116,15,0)),0,VLOOKUP($S$699,'TAR FIN'!$A$1:$O$116,15,0))</f>
        <v>15.24</v>
      </c>
      <c r="W699" s="6">
        <f>IF(ISERROR(VLOOKUP($T$699,'TAR FIN'!$A$1:$O$116,15,0)),0,VLOOKUP($T$699,'TAR FIN'!$A$1:$O$116,15,0))</f>
        <v>0</v>
      </c>
      <c r="X699" s="6">
        <f>IF(ISERROR(VLOOKUP($U$699,'TAR FIN'!$A$1:$O$116,15,0)),0,VLOOKUP($U$699,'TAR FIN'!$A$1:$O$116,15,0))</f>
        <v>0</v>
      </c>
      <c r="Y699" s="6">
        <f ca="1">('TUSD BE'!$AM$32+'TUSD BF'!$AM$32+'TUSD CVA'!$AM$32)*1</f>
        <v>17.138874075124019</v>
      </c>
      <c r="Z699" s="6"/>
      <c r="AA699" s="6"/>
      <c r="AB699" s="6">
        <f>$K$699*$V$699</f>
        <v>8991.6</v>
      </c>
      <c r="AC699" s="6">
        <f>$M$699*$W$699</f>
        <v>0</v>
      </c>
      <c r="AD699" s="6">
        <f>$O$699*$X$699</f>
        <v>0</v>
      </c>
      <c r="AE699" s="6">
        <f ca="1">$K$699*$Y$699</f>
        <v>10111.93570432317</v>
      </c>
      <c r="AF699" s="6">
        <f>$M$699*$Z$699</f>
        <v>0</v>
      </c>
      <c r="AG699" s="6">
        <f>$O$699*$AA$699</f>
        <v>0</v>
      </c>
    </row>
    <row r="700" spans="1:33" ht="11.25" customHeight="1" x14ac:dyDescent="0.25">
      <c r="A700" s="4" t="s">
        <v>21</v>
      </c>
      <c r="B700" s="4" t="s">
        <v>41</v>
      </c>
      <c r="C700" s="4" t="s">
        <v>64</v>
      </c>
      <c r="D700" s="4" t="s">
        <v>25</v>
      </c>
      <c r="E700" s="4" t="s">
        <v>25</v>
      </c>
      <c r="F700" s="4" t="s">
        <v>25</v>
      </c>
      <c r="G700" s="4" t="s">
        <v>68</v>
      </c>
      <c r="H700" s="4" t="s">
        <v>25</v>
      </c>
      <c r="I700" s="5">
        <v>44531</v>
      </c>
      <c r="J700" s="6">
        <v>302</v>
      </c>
      <c r="K700" s="6">
        <v>302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4" t="s">
        <v>66</v>
      </c>
      <c r="R700" s="4">
        <v>404</v>
      </c>
      <c r="S700" s="6">
        <v>28</v>
      </c>
      <c r="T700" s="6">
        <v>0</v>
      </c>
      <c r="U700" s="6">
        <v>0</v>
      </c>
      <c r="V700" s="6">
        <f>IF(ISERROR(VLOOKUP($S$700,'TAR FIN'!$A$1:$O$116,15,0)),0,VLOOKUP($S$700,'TAR FIN'!$A$1:$O$116,15,0))</f>
        <v>15.24</v>
      </c>
      <c r="W700" s="6">
        <f>IF(ISERROR(VLOOKUP($T$700,'TAR FIN'!$A$1:$O$116,15,0)),0,VLOOKUP($T$700,'TAR FIN'!$A$1:$O$116,15,0))</f>
        <v>0</v>
      </c>
      <c r="X700" s="6">
        <f>IF(ISERROR(VLOOKUP($U$700,'TAR FIN'!$A$1:$O$116,15,0)),0,VLOOKUP($U$700,'TAR FIN'!$A$1:$O$116,15,0))</f>
        <v>0</v>
      </c>
      <c r="Y700" s="6">
        <f ca="1">('TUSD BE'!$AM$32+'TUSD BF'!$AM$32+'TUSD CVA'!$AM$32)*1</f>
        <v>17.138874075124019</v>
      </c>
      <c r="Z700" s="6"/>
      <c r="AA700" s="6"/>
      <c r="AB700" s="6">
        <f>$K$700*$V$700</f>
        <v>4602.4800000000005</v>
      </c>
      <c r="AC700" s="6">
        <f>$M$700*$W$700</f>
        <v>0</v>
      </c>
      <c r="AD700" s="6">
        <f>$O$700*$X$700</f>
        <v>0</v>
      </c>
      <c r="AE700" s="6">
        <f ca="1">$K$700*$Y$700</f>
        <v>5175.9399706874538</v>
      </c>
      <c r="AF700" s="6">
        <f>$M$700*$Z$700</f>
        <v>0</v>
      </c>
      <c r="AG700" s="6">
        <f>$O$700*$AA$700</f>
        <v>0</v>
      </c>
    </row>
    <row r="701" spans="1:33" ht="11.25" customHeight="1" x14ac:dyDescent="0.25">
      <c r="A701" s="4" t="s">
        <v>21</v>
      </c>
      <c r="B701" s="4" t="s">
        <v>41</v>
      </c>
      <c r="C701" s="4" t="s">
        <v>64</v>
      </c>
      <c r="D701" s="4" t="s">
        <v>25</v>
      </c>
      <c r="E701" s="4" t="s">
        <v>25</v>
      </c>
      <c r="F701" s="4" t="s">
        <v>25</v>
      </c>
      <c r="G701" s="4" t="s">
        <v>70</v>
      </c>
      <c r="H701" s="4" t="s">
        <v>25</v>
      </c>
      <c r="I701" s="5">
        <v>44531</v>
      </c>
      <c r="J701" s="6">
        <v>5040</v>
      </c>
      <c r="K701" s="6">
        <v>5040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4" t="s">
        <v>66</v>
      </c>
      <c r="R701" s="4">
        <v>838</v>
      </c>
      <c r="S701" s="6">
        <v>28</v>
      </c>
      <c r="T701" s="6">
        <v>0</v>
      </c>
      <c r="U701" s="6">
        <v>0</v>
      </c>
      <c r="V701" s="6">
        <f>IF(ISERROR(VLOOKUP($S$701,'TAR FIN'!$A$1:$O$116,15,0)),0,VLOOKUP($S$701,'TAR FIN'!$A$1:$O$116,15,0))</f>
        <v>15.24</v>
      </c>
      <c r="W701" s="6">
        <f>IF(ISERROR(VLOOKUP($T$701,'TAR FIN'!$A$1:$O$116,15,0)),0,VLOOKUP($T$701,'TAR FIN'!$A$1:$O$116,15,0))</f>
        <v>0</v>
      </c>
      <c r="X701" s="6">
        <f>IF(ISERROR(VLOOKUP($U$701,'TAR FIN'!$A$1:$O$116,15,0)),0,VLOOKUP($U$701,'TAR FIN'!$A$1:$O$116,15,0))</f>
        <v>0</v>
      </c>
      <c r="Y701" s="6">
        <f ca="1">('TUSD BE'!$AM$32+'TUSD BF'!$AM$32+'TUSD CVA'!$AM$32)*1</f>
        <v>17.138874075124019</v>
      </c>
      <c r="Z701" s="6"/>
      <c r="AA701" s="6"/>
      <c r="AB701" s="6">
        <f>$K$701*$V$701</f>
        <v>76809.600000000006</v>
      </c>
      <c r="AC701" s="6">
        <f>$M$701*$W$701</f>
        <v>0</v>
      </c>
      <c r="AD701" s="6">
        <f>$O$701*$X$701</f>
        <v>0</v>
      </c>
      <c r="AE701" s="6">
        <f ca="1">$K$701*$Y$701</f>
        <v>86379.925338625049</v>
      </c>
      <c r="AF701" s="6">
        <f>$M$701*$Z$701</f>
        <v>0</v>
      </c>
      <c r="AG701" s="6">
        <f>$O$701*$AA$701</f>
        <v>0</v>
      </c>
    </row>
    <row r="702" spans="1:33" ht="11.25" customHeight="1" x14ac:dyDescent="0.25">
      <c r="A702" s="4" t="s">
        <v>21</v>
      </c>
      <c r="B702" s="4" t="s">
        <v>41</v>
      </c>
      <c r="C702" s="4" t="s">
        <v>64</v>
      </c>
      <c r="D702" s="4" t="s">
        <v>25</v>
      </c>
      <c r="E702" s="4" t="s">
        <v>25</v>
      </c>
      <c r="F702" s="4" t="s">
        <v>25</v>
      </c>
      <c r="G702" s="4" t="s">
        <v>74</v>
      </c>
      <c r="H702" s="4" t="s">
        <v>25</v>
      </c>
      <c r="I702" s="5">
        <v>44531</v>
      </c>
      <c r="J702" s="6">
        <v>3800</v>
      </c>
      <c r="K702" s="6">
        <v>1900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4" t="s">
        <v>66</v>
      </c>
      <c r="R702" s="4">
        <v>1192</v>
      </c>
      <c r="S702" s="6">
        <v>28</v>
      </c>
      <c r="T702" s="6">
        <v>0</v>
      </c>
      <c r="U702" s="6">
        <v>0</v>
      </c>
      <c r="V702" s="6">
        <f>IF(ISERROR(VLOOKUP($S$702,'TAR FIN'!$A$1:$O$116,15,0)),0,VLOOKUP($S$702,'TAR FIN'!$A$1:$O$116,15,0))</f>
        <v>15.24</v>
      </c>
      <c r="W702" s="6">
        <f>IF(ISERROR(VLOOKUP($T$702,'TAR FIN'!$A$1:$O$116,15,0)),0,VLOOKUP($T$702,'TAR FIN'!$A$1:$O$116,15,0))</f>
        <v>0</v>
      </c>
      <c r="X702" s="6">
        <f>IF(ISERROR(VLOOKUP($U$702,'TAR FIN'!$A$1:$O$116,15,0)),0,VLOOKUP($U$702,'TAR FIN'!$A$1:$O$116,15,0))</f>
        <v>0</v>
      </c>
      <c r="Y702" s="6">
        <f ca="1">('TUSD BE'!$AM$32+'TUSD BF'!$AM$32+'TUSD CVA'!$AM$32)*1</f>
        <v>17.138874075124019</v>
      </c>
      <c r="Z702" s="6"/>
      <c r="AA702" s="6"/>
      <c r="AB702" s="6">
        <f>$K$702*$V$702</f>
        <v>28956</v>
      </c>
      <c r="AC702" s="6">
        <f>$M$702*$W$702</f>
        <v>0</v>
      </c>
      <c r="AD702" s="6">
        <f>$O$702*$X$702</f>
        <v>0</v>
      </c>
      <c r="AE702" s="6">
        <f ca="1">$K$702*$Y$702</f>
        <v>32563.860742735636</v>
      </c>
      <c r="AF702" s="6">
        <f>$M$702*$Z$702</f>
        <v>0</v>
      </c>
      <c r="AG702" s="6">
        <f>$O$702*$AA$702</f>
        <v>0</v>
      </c>
    </row>
    <row r="703" spans="1:33" ht="11.25" customHeight="1" x14ac:dyDescent="0.25">
      <c r="A703" s="4" t="s">
        <v>21</v>
      </c>
      <c r="B703" s="4" t="s">
        <v>41</v>
      </c>
      <c r="C703" s="4" t="s">
        <v>64</v>
      </c>
      <c r="D703" s="4" t="s">
        <v>25</v>
      </c>
      <c r="E703" s="4" t="s">
        <v>25</v>
      </c>
      <c r="F703" s="4" t="s">
        <v>25</v>
      </c>
      <c r="G703" s="4" t="s">
        <v>76</v>
      </c>
      <c r="H703" s="4" t="s">
        <v>25</v>
      </c>
      <c r="I703" s="5">
        <v>44531</v>
      </c>
      <c r="J703" s="6">
        <v>480</v>
      </c>
      <c r="K703" s="6">
        <v>480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4" t="s">
        <v>66</v>
      </c>
      <c r="R703" s="4">
        <v>1438</v>
      </c>
      <c r="S703" s="6">
        <v>28</v>
      </c>
      <c r="T703" s="6">
        <v>0</v>
      </c>
      <c r="U703" s="6">
        <v>0</v>
      </c>
      <c r="V703" s="6">
        <f>IF(ISERROR(VLOOKUP($S$703,'TAR FIN'!$A$1:$O$116,15,0)),0,VLOOKUP($S$703,'TAR FIN'!$A$1:$O$116,15,0))</f>
        <v>15.24</v>
      </c>
      <c r="W703" s="6">
        <f>IF(ISERROR(VLOOKUP($T$703,'TAR FIN'!$A$1:$O$116,15,0)),0,VLOOKUP($T$703,'TAR FIN'!$A$1:$O$116,15,0))</f>
        <v>0</v>
      </c>
      <c r="X703" s="6">
        <f>IF(ISERROR(VLOOKUP($U$703,'TAR FIN'!$A$1:$O$116,15,0)),0,VLOOKUP($U$703,'TAR FIN'!$A$1:$O$116,15,0))</f>
        <v>0</v>
      </c>
      <c r="Y703" s="6">
        <f ca="1">('TUSD BE'!$AM$32+'TUSD BF'!$AM$32+'TUSD CVA'!$AM$32)*1</f>
        <v>17.138874075124019</v>
      </c>
      <c r="Z703" s="6"/>
      <c r="AA703" s="6"/>
      <c r="AB703" s="6">
        <f>$K$703*$V$703</f>
        <v>7315.2</v>
      </c>
      <c r="AC703" s="6">
        <f>$M$703*$W$703</f>
        <v>0</v>
      </c>
      <c r="AD703" s="6">
        <f>$O$703*$X$703</f>
        <v>0</v>
      </c>
      <c r="AE703" s="6">
        <f ca="1">$K$703*$Y$703</f>
        <v>8226.6595560595288</v>
      </c>
      <c r="AF703" s="6">
        <f>$M$703*$Z$703</f>
        <v>0</v>
      </c>
      <c r="AG703" s="6">
        <f>$O$703*$AA$703</f>
        <v>0</v>
      </c>
    </row>
    <row r="704" spans="1:33" ht="11.25" customHeight="1" x14ac:dyDescent="0.25">
      <c r="A704" s="4" t="s">
        <v>21</v>
      </c>
      <c r="B704" s="4" t="s">
        <v>41</v>
      </c>
      <c r="C704" s="4" t="s">
        <v>64</v>
      </c>
      <c r="D704" s="4" t="s">
        <v>25</v>
      </c>
      <c r="E704" s="4" t="s">
        <v>25</v>
      </c>
      <c r="F704" s="4" t="s">
        <v>25</v>
      </c>
      <c r="G704" s="4" t="s">
        <v>77</v>
      </c>
      <c r="H704" s="4" t="s">
        <v>25</v>
      </c>
      <c r="I704" s="5">
        <v>44531</v>
      </c>
      <c r="J704" s="6">
        <v>736</v>
      </c>
      <c r="K704" s="6">
        <v>736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4" t="s">
        <v>66</v>
      </c>
      <c r="R704" s="4">
        <v>1462</v>
      </c>
      <c r="S704" s="6">
        <v>28</v>
      </c>
      <c r="T704" s="6">
        <v>0</v>
      </c>
      <c r="U704" s="6">
        <v>0</v>
      </c>
      <c r="V704" s="6">
        <f>IF(ISERROR(VLOOKUP($S$704,'TAR FIN'!$A$1:$O$116,15,0)),0,VLOOKUP($S$704,'TAR FIN'!$A$1:$O$116,15,0))</f>
        <v>15.24</v>
      </c>
      <c r="W704" s="6">
        <f>IF(ISERROR(VLOOKUP($T$704,'TAR FIN'!$A$1:$O$116,15,0)),0,VLOOKUP($T$704,'TAR FIN'!$A$1:$O$116,15,0))</f>
        <v>0</v>
      </c>
      <c r="X704" s="6">
        <f>IF(ISERROR(VLOOKUP($U$704,'TAR FIN'!$A$1:$O$116,15,0)),0,VLOOKUP($U$704,'TAR FIN'!$A$1:$O$116,15,0))</f>
        <v>0</v>
      </c>
      <c r="Y704" s="6">
        <f ca="1">('TUSD BE'!$AM$32+'TUSD BF'!$AM$32+'TUSD CVA'!$AM$32)*1</f>
        <v>17.138874075124019</v>
      </c>
      <c r="Z704" s="6"/>
      <c r="AA704" s="6"/>
      <c r="AB704" s="6">
        <f>$K$704*$V$704</f>
        <v>11216.64</v>
      </c>
      <c r="AC704" s="6">
        <f>$M$704*$W$704</f>
        <v>0</v>
      </c>
      <c r="AD704" s="6">
        <f>$O$704*$X$704</f>
        <v>0</v>
      </c>
      <c r="AE704" s="6">
        <f ca="1">$K$704*$Y$704</f>
        <v>12614.211319291278</v>
      </c>
      <c r="AF704" s="6">
        <f>$M$704*$Z$704</f>
        <v>0</v>
      </c>
      <c r="AG704" s="6">
        <f>$O$704*$AA$704</f>
        <v>0</v>
      </c>
    </row>
    <row r="705" spans="1:33" ht="11.25" customHeight="1" x14ac:dyDescent="0.25">
      <c r="A705" s="4" t="s">
        <v>21</v>
      </c>
      <c r="B705" s="4" t="s">
        <v>41</v>
      </c>
      <c r="C705" s="4" t="s">
        <v>64</v>
      </c>
      <c r="D705" s="4" t="s">
        <v>25</v>
      </c>
      <c r="E705" s="4" t="s">
        <v>25</v>
      </c>
      <c r="F705" s="4" t="s">
        <v>25</v>
      </c>
      <c r="G705" s="4" t="s">
        <v>78</v>
      </c>
      <c r="H705" s="4" t="s">
        <v>25</v>
      </c>
      <c r="I705" s="5">
        <v>44531</v>
      </c>
      <c r="J705" s="6">
        <v>6460</v>
      </c>
      <c r="K705" s="6">
        <v>6460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4" t="s">
        <v>66</v>
      </c>
      <c r="R705" s="4">
        <v>1533</v>
      </c>
      <c r="S705" s="6">
        <v>28</v>
      </c>
      <c r="T705" s="6">
        <v>0</v>
      </c>
      <c r="U705" s="6">
        <v>0</v>
      </c>
      <c r="V705" s="6">
        <f>IF(ISERROR(VLOOKUP($S$705,'TAR FIN'!$A$1:$O$116,15,0)),0,VLOOKUP($S$705,'TAR FIN'!$A$1:$O$116,15,0))</f>
        <v>15.24</v>
      </c>
      <c r="W705" s="6">
        <f>IF(ISERROR(VLOOKUP($T$705,'TAR FIN'!$A$1:$O$116,15,0)),0,VLOOKUP($T$705,'TAR FIN'!$A$1:$O$116,15,0))</f>
        <v>0</v>
      </c>
      <c r="X705" s="6">
        <f>IF(ISERROR(VLOOKUP($U$705,'TAR FIN'!$A$1:$O$116,15,0)),0,VLOOKUP($U$705,'TAR FIN'!$A$1:$O$116,15,0))</f>
        <v>0</v>
      </c>
      <c r="Y705" s="6">
        <f ca="1">('TUSD BE'!$AM$32+'TUSD BF'!$AM$32+'TUSD CVA'!$AM$32)*1</f>
        <v>17.138874075124019</v>
      </c>
      <c r="Z705" s="6"/>
      <c r="AA705" s="6"/>
      <c r="AB705" s="6">
        <f>$K$705*$V$705</f>
        <v>98450.4</v>
      </c>
      <c r="AC705" s="6">
        <f>$M$705*$W$705</f>
        <v>0</v>
      </c>
      <c r="AD705" s="6">
        <f>$O$705*$X$705</f>
        <v>0</v>
      </c>
      <c r="AE705" s="6">
        <f ca="1">$K$705*$Y$705</f>
        <v>110717.12652530117</v>
      </c>
      <c r="AF705" s="6">
        <f>$M$705*$Z$705</f>
        <v>0</v>
      </c>
      <c r="AG705" s="6">
        <f>$O$705*$AA$705</f>
        <v>0</v>
      </c>
    </row>
    <row r="706" spans="1:33" ht="11.25" customHeight="1" x14ac:dyDescent="0.25">
      <c r="A706" s="4" t="s">
        <v>21</v>
      </c>
      <c r="B706" s="4" t="s">
        <v>41</v>
      </c>
      <c r="C706" s="4" t="s">
        <v>64</v>
      </c>
      <c r="D706" s="4" t="s">
        <v>25</v>
      </c>
      <c r="E706" s="4" t="s">
        <v>25</v>
      </c>
      <c r="F706" s="4" t="s">
        <v>25</v>
      </c>
      <c r="G706" s="4" t="s">
        <v>79</v>
      </c>
      <c r="H706" s="4" t="s">
        <v>25</v>
      </c>
      <c r="I706" s="5">
        <v>44531</v>
      </c>
      <c r="J706" s="6">
        <v>770</v>
      </c>
      <c r="K706" s="6">
        <v>770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4" t="s">
        <v>66</v>
      </c>
      <c r="R706" s="4">
        <v>2535</v>
      </c>
      <c r="S706" s="6">
        <v>28</v>
      </c>
      <c r="T706" s="6">
        <v>0</v>
      </c>
      <c r="U706" s="6">
        <v>0</v>
      </c>
      <c r="V706" s="6">
        <f>IF(ISERROR(VLOOKUP($S$706,'TAR FIN'!$A$1:$O$116,15,0)),0,VLOOKUP($S$706,'TAR FIN'!$A$1:$O$116,15,0))</f>
        <v>15.24</v>
      </c>
      <c r="W706" s="6">
        <f>IF(ISERROR(VLOOKUP($T$706,'TAR FIN'!$A$1:$O$116,15,0)),0,VLOOKUP($T$706,'TAR FIN'!$A$1:$O$116,15,0))</f>
        <v>0</v>
      </c>
      <c r="X706" s="6">
        <f>IF(ISERROR(VLOOKUP($U$706,'TAR FIN'!$A$1:$O$116,15,0)),0,VLOOKUP($U$706,'TAR FIN'!$A$1:$O$116,15,0))</f>
        <v>0</v>
      </c>
      <c r="Y706" s="6">
        <f ca="1">('TUSD BE'!$AM$32+'TUSD BF'!$AM$32+'TUSD CVA'!$AM$32)*1</f>
        <v>17.138874075124019</v>
      </c>
      <c r="Z706" s="6"/>
      <c r="AA706" s="6"/>
      <c r="AB706" s="6">
        <f>$K$706*$V$706</f>
        <v>11734.8</v>
      </c>
      <c r="AC706" s="6">
        <f>$M$706*$W$706</f>
        <v>0</v>
      </c>
      <c r="AD706" s="6">
        <f>$O$706*$X$706</f>
        <v>0</v>
      </c>
      <c r="AE706" s="6">
        <f ca="1">$K$706*$Y$706</f>
        <v>13196.933037845494</v>
      </c>
      <c r="AF706" s="6">
        <f>$M$706*$Z$706</f>
        <v>0</v>
      </c>
      <c r="AG706" s="6">
        <f>$O$706*$AA$706</f>
        <v>0</v>
      </c>
    </row>
    <row r="707" spans="1:33" ht="11.25" customHeight="1" x14ac:dyDescent="0.25">
      <c r="A707" s="4" t="s">
        <v>21</v>
      </c>
      <c r="B707" s="4" t="s">
        <v>41</v>
      </c>
      <c r="C707" s="4" t="s">
        <v>64</v>
      </c>
      <c r="D707" s="4" t="s">
        <v>25</v>
      </c>
      <c r="E707" s="4" t="s">
        <v>25</v>
      </c>
      <c r="F707" s="4" t="s">
        <v>25</v>
      </c>
      <c r="G707" s="4" t="s">
        <v>80</v>
      </c>
      <c r="H707" s="4" t="s">
        <v>25</v>
      </c>
      <c r="I707" s="5">
        <v>44531</v>
      </c>
      <c r="J707" s="6">
        <v>1416</v>
      </c>
      <c r="K707" s="6">
        <v>1416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4" t="s">
        <v>66</v>
      </c>
      <c r="R707" s="4">
        <v>2751</v>
      </c>
      <c r="S707" s="6">
        <v>28</v>
      </c>
      <c r="T707" s="6">
        <v>0</v>
      </c>
      <c r="U707" s="6">
        <v>0</v>
      </c>
      <c r="V707" s="6">
        <f>IF(ISERROR(VLOOKUP($S$707,'TAR FIN'!$A$1:$O$116,15,0)),0,VLOOKUP($S$707,'TAR FIN'!$A$1:$O$116,15,0))</f>
        <v>15.24</v>
      </c>
      <c r="W707" s="6">
        <f>IF(ISERROR(VLOOKUP($T$707,'TAR FIN'!$A$1:$O$116,15,0)),0,VLOOKUP($T$707,'TAR FIN'!$A$1:$O$116,15,0))</f>
        <v>0</v>
      </c>
      <c r="X707" s="6">
        <f>IF(ISERROR(VLOOKUP($U$707,'TAR FIN'!$A$1:$O$116,15,0)),0,VLOOKUP($U$707,'TAR FIN'!$A$1:$O$116,15,0))</f>
        <v>0</v>
      </c>
      <c r="Y707" s="6">
        <f ca="1">('TUSD BE'!$AM$32+'TUSD BF'!$AM$32+'TUSD CVA'!$AM$32)*1</f>
        <v>17.138874075124019</v>
      </c>
      <c r="Z707" s="6"/>
      <c r="AA707" s="6"/>
      <c r="AB707" s="6">
        <f>$K$707*$V$707</f>
        <v>21579.84</v>
      </c>
      <c r="AC707" s="6">
        <f>$M$707*$W$707</f>
        <v>0</v>
      </c>
      <c r="AD707" s="6">
        <f>$O$707*$X$707</f>
        <v>0</v>
      </c>
      <c r="AE707" s="6">
        <f ca="1">$K$707*$Y$707</f>
        <v>24268.645690375612</v>
      </c>
      <c r="AF707" s="6">
        <f>$M$707*$Z$707</f>
        <v>0</v>
      </c>
      <c r="AG707" s="6">
        <f>$O$707*$AA$707</f>
        <v>0</v>
      </c>
    </row>
    <row r="708" spans="1:33" ht="11.25" customHeight="1" x14ac:dyDescent="0.25">
      <c r="A708" s="4" t="s">
        <v>21</v>
      </c>
      <c r="B708" s="4" t="s">
        <v>41</v>
      </c>
      <c r="C708" s="4" t="s">
        <v>64</v>
      </c>
      <c r="D708" s="4" t="s">
        <v>25</v>
      </c>
      <c r="E708" s="4" t="s">
        <v>25</v>
      </c>
      <c r="F708" s="4" t="s">
        <v>25</v>
      </c>
      <c r="G708" s="4" t="s">
        <v>88</v>
      </c>
      <c r="H708" s="4" t="s">
        <v>25</v>
      </c>
      <c r="I708" s="5">
        <v>44531</v>
      </c>
      <c r="J708" s="6">
        <v>9500</v>
      </c>
      <c r="K708" s="6">
        <v>4750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4" t="s">
        <v>66</v>
      </c>
      <c r="R708" s="4">
        <v>27722</v>
      </c>
      <c r="S708" s="6">
        <v>28</v>
      </c>
      <c r="T708" s="6">
        <v>0</v>
      </c>
      <c r="U708" s="6">
        <v>0</v>
      </c>
      <c r="V708" s="6">
        <f>IF(ISERROR(VLOOKUP($S$708,'TAR FIN'!$A$1:$O$116,15,0)),0,VLOOKUP($S$708,'TAR FIN'!$A$1:$O$116,15,0))</f>
        <v>15.24</v>
      </c>
      <c r="W708" s="6">
        <f>IF(ISERROR(VLOOKUP($T$708,'TAR FIN'!$A$1:$O$116,15,0)),0,VLOOKUP($T$708,'TAR FIN'!$A$1:$O$116,15,0))</f>
        <v>0</v>
      </c>
      <c r="X708" s="6">
        <f>IF(ISERROR(VLOOKUP($U$708,'TAR FIN'!$A$1:$O$116,15,0)),0,VLOOKUP($U$708,'TAR FIN'!$A$1:$O$116,15,0))</f>
        <v>0</v>
      </c>
      <c r="Y708" s="6">
        <f ca="1">('TUSD BE'!$AM$32+'TUSD BF'!$AM$32+'TUSD CVA'!$AM$32)*1</f>
        <v>17.138874075124019</v>
      </c>
      <c r="Z708" s="6"/>
      <c r="AA708" s="6"/>
      <c r="AB708" s="6">
        <f>$K$708*$V$708</f>
        <v>72390</v>
      </c>
      <c r="AC708" s="6">
        <f>$M$708*$W$708</f>
        <v>0</v>
      </c>
      <c r="AD708" s="6">
        <f>$O$708*$X$708</f>
        <v>0</v>
      </c>
      <c r="AE708" s="6">
        <f ca="1">$K$708*$Y$708</f>
        <v>81409.651856839089</v>
      </c>
      <c r="AF708" s="6">
        <f>$M$708*$Z$708</f>
        <v>0</v>
      </c>
      <c r="AG708" s="6">
        <f>$O$708*$AA$708</f>
        <v>0</v>
      </c>
    </row>
    <row r="709" spans="1:33" ht="11.25" customHeight="1" x14ac:dyDescent="0.25">
      <c r="A709" s="4" t="s">
        <v>21</v>
      </c>
      <c r="B709" s="4" t="s">
        <v>41</v>
      </c>
      <c r="C709" s="4" t="s">
        <v>64</v>
      </c>
      <c r="D709" s="4" t="s">
        <v>25</v>
      </c>
      <c r="E709" s="4" t="s">
        <v>25</v>
      </c>
      <c r="F709" s="4" t="s">
        <v>25</v>
      </c>
      <c r="G709" s="4" t="s">
        <v>90</v>
      </c>
      <c r="H709" s="4" t="s">
        <v>25</v>
      </c>
      <c r="I709" s="5">
        <v>44531</v>
      </c>
      <c r="J709" s="6">
        <v>420</v>
      </c>
      <c r="K709" s="6">
        <v>420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4" t="s">
        <v>66</v>
      </c>
      <c r="R709" s="4">
        <v>27928</v>
      </c>
      <c r="S709" s="6">
        <v>28</v>
      </c>
      <c r="T709" s="6">
        <v>0</v>
      </c>
      <c r="U709" s="6">
        <v>0</v>
      </c>
      <c r="V709" s="6">
        <f>IF(ISERROR(VLOOKUP($S$709,'TAR FIN'!$A$1:$O$116,15,0)),0,VLOOKUP($S$709,'TAR FIN'!$A$1:$O$116,15,0))</f>
        <v>15.24</v>
      </c>
      <c r="W709" s="6">
        <f>IF(ISERROR(VLOOKUP($T$709,'TAR FIN'!$A$1:$O$116,15,0)),0,VLOOKUP($T$709,'TAR FIN'!$A$1:$O$116,15,0))</f>
        <v>0</v>
      </c>
      <c r="X709" s="6">
        <f>IF(ISERROR(VLOOKUP($U$709,'TAR FIN'!$A$1:$O$116,15,0)),0,VLOOKUP($U$709,'TAR FIN'!$A$1:$O$116,15,0))</f>
        <v>0</v>
      </c>
      <c r="Y709" s="6">
        <f ca="1">('TUSD BE'!$AM$32+'TUSD BF'!$AM$32+'TUSD CVA'!$AM$32)*1</f>
        <v>17.138874075124019</v>
      </c>
      <c r="Z709" s="6"/>
      <c r="AA709" s="6"/>
      <c r="AB709" s="6">
        <f>$K$709*$V$709</f>
        <v>6400.8</v>
      </c>
      <c r="AC709" s="6">
        <f>$M$709*$W$709</f>
        <v>0</v>
      </c>
      <c r="AD709" s="6">
        <f>$O$709*$X$709</f>
        <v>0</v>
      </c>
      <c r="AE709" s="6">
        <f ca="1">$K$709*$Y$709</f>
        <v>7198.3271115520874</v>
      </c>
      <c r="AF709" s="6">
        <f>$M$709*$Z$709</f>
        <v>0</v>
      </c>
      <c r="AG709" s="6">
        <f>$O$709*$AA$709</f>
        <v>0</v>
      </c>
    </row>
    <row r="710" spans="1:33" ht="11.25" customHeight="1" x14ac:dyDescent="0.25">
      <c r="A710" s="4" t="s">
        <v>21</v>
      </c>
      <c r="B710" s="4" t="s">
        <v>41</v>
      </c>
      <c r="C710" s="4" t="s">
        <v>64</v>
      </c>
      <c r="D710" s="4" t="s">
        <v>25</v>
      </c>
      <c r="E710" s="4" t="s">
        <v>25</v>
      </c>
      <c r="F710" s="4" t="s">
        <v>25</v>
      </c>
      <c r="G710" s="4" t="s">
        <v>93</v>
      </c>
      <c r="H710" s="4" t="s">
        <v>25</v>
      </c>
      <c r="I710" s="5">
        <v>44531</v>
      </c>
      <c r="J710" s="6">
        <v>1300</v>
      </c>
      <c r="K710" s="6">
        <v>650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4" t="s">
        <v>66</v>
      </c>
      <c r="R710" s="4">
        <v>30847</v>
      </c>
      <c r="S710" s="6">
        <v>28</v>
      </c>
      <c r="T710" s="6">
        <v>0</v>
      </c>
      <c r="U710" s="6">
        <v>0</v>
      </c>
      <c r="V710" s="6">
        <f>IF(ISERROR(VLOOKUP($S$710,'TAR FIN'!$A$1:$O$116,15,0)),0,VLOOKUP($S$710,'TAR FIN'!$A$1:$O$116,15,0))</f>
        <v>15.24</v>
      </c>
      <c r="W710" s="6">
        <f>IF(ISERROR(VLOOKUP($T$710,'TAR FIN'!$A$1:$O$116,15,0)),0,VLOOKUP($T$710,'TAR FIN'!$A$1:$O$116,15,0))</f>
        <v>0</v>
      </c>
      <c r="X710" s="6">
        <f>IF(ISERROR(VLOOKUP($U$710,'TAR FIN'!$A$1:$O$116,15,0)),0,VLOOKUP($U$710,'TAR FIN'!$A$1:$O$116,15,0))</f>
        <v>0</v>
      </c>
      <c r="Y710" s="6">
        <f ca="1">('TUSD BE'!$AM$32+'TUSD BF'!$AM$32+'TUSD CVA'!$AM$32)*1</f>
        <v>17.138874075124019</v>
      </c>
      <c r="Z710" s="6"/>
      <c r="AA710" s="6"/>
      <c r="AB710" s="6">
        <f>$K$710*$V$710</f>
        <v>9906</v>
      </c>
      <c r="AC710" s="6">
        <f>$M$710*$W$710</f>
        <v>0</v>
      </c>
      <c r="AD710" s="6">
        <f>$O$710*$X$710</f>
        <v>0</v>
      </c>
      <c r="AE710" s="6">
        <f ca="1">$K$710*$Y$710</f>
        <v>11140.268148830612</v>
      </c>
      <c r="AF710" s="6">
        <f>$M$710*$Z$710</f>
        <v>0</v>
      </c>
      <c r="AG710" s="6">
        <f>$O$710*$AA$710</f>
        <v>0</v>
      </c>
    </row>
    <row r="711" spans="1:33" ht="11.25" customHeight="1" x14ac:dyDescent="0.25">
      <c r="A711" s="4" t="s">
        <v>21</v>
      </c>
      <c r="B711" s="4" t="s">
        <v>41</v>
      </c>
      <c r="C711" s="4" t="s">
        <v>64</v>
      </c>
      <c r="D711" s="4" t="s">
        <v>25</v>
      </c>
      <c r="E711" s="4" t="s">
        <v>25</v>
      </c>
      <c r="F711" s="4" t="s">
        <v>25</v>
      </c>
      <c r="G711" s="4" t="s">
        <v>94</v>
      </c>
      <c r="H711" s="4" t="s">
        <v>25</v>
      </c>
      <c r="I711" s="5">
        <v>44531</v>
      </c>
      <c r="J711" s="6">
        <v>1180</v>
      </c>
      <c r="K711" s="6">
        <v>590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4" t="s">
        <v>66</v>
      </c>
      <c r="R711" s="4">
        <v>30866</v>
      </c>
      <c r="S711" s="6">
        <v>28</v>
      </c>
      <c r="T711" s="6">
        <v>0</v>
      </c>
      <c r="U711" s="6">
        <v>0</v>
      </c>
      <c r="V711" s="6">
        <f>IF(ISERROR(VLOOKUP($S$711,'TAR FIN'!$A$1:$O$116,15,0)),0,VLOOKUP($S$711,'TAR FIN'!$A$1:$O$116,15,0))</f>
        <v>15.24</v>
      </c>
      <c r="W711" s="6">
        <f>IF(ISERROR(VLOOKUP($T$711,'TAR FIN'!$A$1:$O$116,15,0)),0,VLOOKUP($T$711,'TAR FIN'!$A$1:$O$116,15,0))</f>
        <v>0</v>
      </c>
      <c r="X711" s="6">
        <f>IF(ISERROR(VLOOKUP($U$711,'TAR FIN'!$A$1:$O$116,15,0)),0,VLOOKUP($U$711,'TAR FIN'!$A$1:$O$116,15,0))</f>
        <v>0</v>
      </c>
      <c r="Y711" s="6">
        <f ca="1">('TUSD BE'!$AM$32+'TUSD BF'!$AM$32+'TUSD CVA'!$AM$32)*1</f>
        <v>17.138874075124019</v>
      </c>
      <c r="Z711" s="6"/>
      <c r="AA711" s="6"/>
      <c r="AB711" s="6">
        <f>$K$711*$V$711</f>
        <v>8991.6</v>
      </c>
      <c r="AC711" s="6">
        <f>$M$711*$W$711</f>
        <v>0</v>
      </c>
      <c r="AD711" s="6">
        <f>$O$711*$X$711</f>
        <v>0</v>
      </c>
      <c r="AE711" s="6">
        <f ca="1">$K$711*$Y$711</f>
        <v>10111.93570432317</v>
      </c>
      <c r="AF711" s="6">
        <f>$M$711*$Z$711</f>
        <v>0</v>
      </c>
      <c r="AG711" s="6">
        <f>$O$711*$AA$711</f>
        <v>0</v>
      </c>
    </row>
    <row r="712" spans="1:33" ht="11.25" customHeight="1" x14ac:dyDescent="0.25">
      <c r="A712" s="4" t="s">
        <v>21</v>
      </c>
      <c r="B712" s="4" t="s">
        <v>41</v>
      </c>
      <c r="C712" s="4" t="s">
        <v>64</v>
      </c>
      <c r="D712" s="4" t="s">
        <v>25</v>
      </c>
      <c r="E712" s="4" t="s">
        <v>25</v>
      </c>
      <c r="F712" s="4" t="s">
        <v>25</v>
      </c>
      <c r="G712" s="4" t="s">
        <v>95</v>
      </c>
      <c r="H712" s="4" t="s">
        <v>25</v>
      </c>
      <c r="I712" s="5">
        <v>44531</v>
      </c>
      <c r="J712" s="6">
        <v>1180</v>
      </c>
      <c r="K712" s="6">
        <v>590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4" t="s">
        <v>66</v>
      </c>
      <c r="R712" s="4">
        <v>31051</v>
      </c>
      <c r="S712" s="6">
        <v>28</v>
      </c>
      <c r="T712" s="6">
        <v>0</v>
      </c>
      <c r="U712" s="6">
        <v>0</v>
      </c>
      <c r="V712" s="6">
        <f>IF(ISERROR(VLOOKUP($S$712,'TAR FIN'!$A$1:$O$116,15,0)),0,VLOOKUP($S$712,'TAR FIN'!$A$1:$O$116,15,0))</f>
        <v>15.24</v>
      </c>
      <c r="W712" s="6">
        <f>IF(ISERROR(VLOOKUP($T$712,'TAR FIN'!$A$1:$O$116,15,0)),0,VLOOKUP($T$712,'TAR FIN'!$A$1:$O$116,15,0))</f>
        <v>0</v>
      </c>
      <c r="X712" s="6">
        <f>IF(ISERROR(VLOOKUP($U$712,'TAR FIN'!$A$1:$O$116,15,0)),0,VLOOKUP($U$712,'TAR FIN'!$A$1:$O$116,15,0))</f>
        <v>0</v>
      </c>
      <c r="Y712" s="6">
        <f ca="1">('TUSD BE'!$AM$32+'TUSD BF'!$AM$32+'TUSD CVA'!$AM$32)*1</f>
        <v>17.138874075124019</v>
      </c>
      <c r="Z712" s="6"/>
      <c r="AA712" s="6"/>
      <c r="AB712" s="6">
        <f>$K$712*$V$712</f>
        <v>8991.6</v>
      </c>
      <c r="AC712" s="6">
        <f>$M$712*$W$712</f>
        <v>0</v>
      </c>
      <c r="AD712" s="6">
        <f>$O$712*$X$712</f>
        <v>0</v>
      </c>
      <c r="AE712" s="6">
        <f ca="1">$K$712*$Y$712</f>
        <v>10111.93570432317</v>
      </c>
      <c r="AF712" s="6">
        <f>$M$712*$Z$712</f>
        <v>0</v>
      </c>
      <c r="AG712" s="6">
        <f>$O$712*$AA$712</f>
        <v>0</v>
      </c>
    </row>
    <row r="713" spans="1:33" ht="11.25" customHeight="1" x14ac:dyDescent="0.25">
      <c r="A713" s="4" t="s">
        <v>21</v>
      </c>
      <c r="B713" s="4" t="s">
        <v>41</v>
      </c>
      <c r="C713" s="4" t="s">
        <v>64</v>
      </c>
      <c r="D713" s="4" t="s">
        <v>25</v>
      </c>
      <c r="E713" s="4" t="s">
        <v>25</v>
      </c>
      <c r="F713" s="4" t="s">
        <v>25</v>
      </c>
      <c r="G713" s="4" t="s">
        <v>96</v>
      </c>
      <c r="H713" s="4" t="s">
        <v>25</v>
      </c>
      <c r="I713" s="5">
        <v>44531</v>
      </c>
      <c r="J713" s="6">
        <v>1000</v>
      </c>
      <c r="K713" s="6">
        <v>500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4" t="s">
        <v>66</v>
      </c>
      <c r="R713" s="4">
        <v>31277</v>
      </c>
      <c r="S713" s="6">
        <v>28</v>
      </c>
      <c r="T713" s="6">
        <v>0</v>
      </c>
      <c r="U713" s="6">
        <v>0</v>
      </c>
      <c r="V713" s="6">
        <f>IF(ISERROR(VLOOKUP($S$713,'TAR FIN'!$A$1:$O$116,15,0)),0,VLOOKUP($S$713,'TAR FIN'!$A$1:$O$116,15,0))</f>
        <v>15.24</v>
      </c>
      <c r="W713" s="6">
        <f>IF(ISERROR(VLOOKUP($T$713,'TAR FIN'!$A$1:$O$116,15,0)),0,VLOOKUP($T$713,'TAR FIN'!$A$1:$O$116,15,0))</f>
        <v>0</v>
      </c>
      <c r="X713" s="6">
        <f>IF(ISERROR(VLOOKUP($U$713,'TAR FIN'!$A$1:$O$116,15,0)),0,VLOOKUP($U$713,'TAR FIN'!$A$1:$O$116,15,0))</f>
        <v>0</v>
      </c>
      <c r="Y713" s="6">
        <f ca="1">('TUSD BE'!$AM$32+'TUSD BF'!$AM$32+'TUSD CVA'!$AM$32)*1</f>
        <v>17.138874075124019</v>
      </c>
      <c r="Z713" s="6"/>
      <c r="AA713" s="6"/>
      <c r="AB713" s="6">
        <f>$K$713*$V$713</f>
        <v>7620</v>
      </c>
      <c r="AC713" s="6">
        <f>$M$713*$W$713</f>
        <v>0</v>
      </c>
      <c r="AD713" s="6">
        <f>$O$713*$X$713</f>
        <v>0</v>
      </c>
      <c r="AE713" s="6">
        <f ca="1">$K$713*$Y$713</f>
        <v>8569.4370375620092</v>
      </c>
      <c r="AF713" s="6">
        <f>$M$713*$Z$713</f>
        <v>0</v>
      </c>
      <c r="AG713" s="6">
        <f>$O$713*$AA$713</f>
        <v>0</v>
      </c>
    </row>
    <row r="714" spans="1:33" ht="11.25" customHeight="1" x14ac:dyDescent="0.25">
      <c r="A714" s="4" t="s">
        <v>21</v>
      </c>
      <c r="B714" s="4" t="s">
        <v>41</v>
      </c>
      <c r="C714" s="4" t="s">
        <v>64</v>
      </c>
      <c r="D714" s="4" t="s">
        <v>25</v>
      </c>
      <c r="E714" s="4" t="s">
        <v>25</v>
      </c>
      <c r="F714" s="4" t="s">
        <v>25</v>
      </c>
      <c r="G714" s="4" t="s">
        <v>97</v>
      </c>
      <c r="H714" s="4" t="s">
        <v>25</v>
      </c>
      <c r="I714" s="5">
        <v>44531</v>
      </c>
      <c r="J714" s="6">
        <v>1180</v>
      </c>
      <c r="K714" s="6">
        <v>590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4" t="s">
        <v>66</v>
      </c>
      <c r="R714" s="4">
        <v>31318</v>
      </c>
      <c r="S714" s="6">
        <v>28</v>
      </c>
      <c r="T714" s="6">
        <v>0</v>
      </c>
      <c r="U714" s="6">
        <v>0</v>
      </c>
      <c r="V714" s="6">
        <f>IF(ISERROR(VLOOKUP($S$714,'TAR FIN'!$A$1:$O$116,15,0)),0,VLOOKUP($S$714,'TAR FIN'!$A$1:$O$116,15,0))</f>
        <v>15.24</v>
      </c>
      <c r="W714" s="6">
        <f>IF(ISERROR(VLOOKUP($T$714,'TAR FIN'!$A$1:$O$116,15,0)),0,VLOOKUP($T$714,'TAR FIN'!$A$1:$O$116,15,0))</f>
        <v>0</v>
      </c>
      <c r="X714" s="6">
        <f>IF(ISERROR(VLOOKUP($U$714,'TAR FIN'!$A$1:$O$116,15,0)),0,VLOOKUP($U$714,'TAR FIN'!$A$1:$O$116,15,0))</f>
        <v>0</v>
      </c>
      <c r="Y714" s="6">
        <f ca="1">('TUSD BE'!$AM$32+'TUSD BF'!$AM$32+'TUSD CVA'!$AM$32)*1</f>
        <v>17.138874075124019</v>
      </c>
      <c r="Z714" s="6"/>
      <c r="AA714" s="6"/>
      <c r="AB714" s="6">
        <f>$K$714*$V$714</f>
        <v>8991.6</v>
      </c>
      <c r="AC714" s="6">
        <f>$M$714*$W$714</f>
        <v>0</v>
      </c>
      <c r="AD714" s="6">
        <f>$O$714*$X$714</f>
        <v>0</v>
      </c>
      <c r="AE714" s="6">
        <f ca="1">$K$714*$Y$714</f>
        <v>10111.93570432317</v>
      </c>
      <c r="AF714" s="6">
        <f>$M$714*$Z$714</f>
        <v>0</v>
      </c>
      <c r="AG714" s="6">
        <f>$O$714*$AA$714</f>
        <v>0</v>
      </c>
    </row>
    <row r="715" spans="1:33" ht="11.25" customHeight="1" x14ac:dyDescent="0.25">
      <c r="A715" s="4" t="s">
        <v>21</v>
      </c>
      <c r="B715" s="4" t="s">
        <v>41</v>
      </c>
      <c r="C715" s="4" t="s">
        <v>64</v>
      </c>
      <c r="D715" s="4" t="s">
        <v>25</v>
      </c>
      <c r="E715" s="4" t="s">
        <v>25</v>
      </c>
      <c r="F715" s="4" t="s">
        <v>25</v>
      </c>
      <c r="G715" s="4" t="s">
        <v>98</v>
      </c>
      <c r="H715" s="4" t="s">
        <v>25</v>
      </c>
      <c r="I715" s="5">
        <v>44531</v>
      </c>
      <c r="J715" s="6">
        <v>3011</v>
      </c>
      <c r="K715" s="6">
        <v>1505.5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4" t="s">
        <v>66</v>
      </c>
      <c r="R715" s="4">
        <v>31334</v>
      </c>
      <c r="S715" s="6">
        <v>28</v>
      </c>
      <c r="T715" s="6">
        <v>0</v>
      </c>
      <c r="U715" s="6">
        <v>0</v>
      </c>
      <c r="V715" s="6">
        <f>IF(ISERROR(VLOOKUP($S$715,'TAR FIN'!$A$1:$O$116,15,0)),0,VLOOKUP($S$715,'TAR FIN'!$A$1:$O$116,15,0))</f>
        <v>15.24</v>
      </c>
      <c r="W715" s="6">
        <f>IF(ISERROR(VLOOKUP($T$715,'TAR FIN'!$A$1:$O$116,15,0)),0,VLOOKUP($T$715,'TAR FIN'!$A$1:$O$116,15,0))</f>
        <v>0</v>
      </c>
      <c r="X715" s="6">
        <f>IF(ISERROR(VLOOKUP($U$715,'TAR FIN'!$A$1:$O$116,15,0)),0,VLOOKUP($U$715,'TAR FIN'!$A$1:$O$116,15,0))</f>
        <v>0</v>
      </c>
      <c r="Y715" s="6">
        <f ca="1">('TUSD BE'!$AM$32+'TUSD BF'!$AM$32+'TUSD CVA'!$AM$32)*1</f>
        <v>17.138874075124019</v>
      </c>
      <c r="Z715" s="6"/>
      <c r="AA715" s="6"/>
      <c r="AB715" s="6">
        <f>$K$715*$V$715</f>
        <v>22943.82</v>
      </c>
      <c r="AC715" s="6">
        <f>$M$715*$W$715</f>
        <v>0</v>
      </c>
      <c r="AD715" s="6">
        <f>$O$715*$X$715</f>
        <v>0</v>
      </c>
      <c r="AE715" s="6">
        <f ca="1">$K$715*$Y$715</f>
        <v>25802.57492009921</v>
      </c>
      <c r="AF715" s="6">
        <f>$M$715*$Z$715</f>
        <v>0</v>
      </c>
      <c r="AG715" s="6">
        <f>$O$715*$AA$715</f>
        <v>0</v>
      </c>
    </row>
    <row r="716" spans="1:33" ht="11.25" customHeight="1" x14ac:dyDescent="0.25">
      <c r="A716" s="4" t="s">
        <v>21</v>
      </c>
      <c r="B716" s="4" t="s">
        <v>41</v>
      </c>
      <c r="C716" s="4" t="s">
        <v>64</v>
      </c>
      <c r="D716" s="4" t="s">
        <v>25</v>
      </c>
      <c r="E716" s="4" t="s">
        <v>25</v>
      </c>
      <c r="F716" s="4" t="s">
        <v>25</v>
      </c>
      <c r="G716" s="4" t="s">
        <v>99</v>
      </c>
      <c r="H716" s="4" t="s">
        <v>25</v>
      </c>
      <c r="I716" s="5">
        <v>44531</v>
      </c>
      <c r="J716" s="6">
        <v>1180</v>
      </c>
      <c r="K716" s="6">
        <v>590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4" t="s">
        <v>66</v>
      </c>
      <c r="R716" s="4">
        <v>31618</v>
      </c>
      <c r="S716" s="6">
        <v>28</v>
      </c>
      <c r="T716" s="6">
        <v>0</v>
      </c>
      <c r="U716" s="6">
        <v>0</v>
      </c>
      <c r="V716" s="6">
        <f>IF(ISERROR(VLOOKUP($S$716,'TAR FIN'!$A$1:$O$116,15,0)),0,VLOOKUP($S$716,'TAR FIN'!$A$1:$O$116,15,0))</f>
        <v>15.24</v>
      </c>
      <c r="W716" s="6">
        <f>IF(ISERROR(VLOOKUP($T$716,'TAR FIN'!$A$1:$O$116,15,0)),0,VLOOKUP($T$716,'TAR FIN'!$A$1:$O$116,15,0))</f>
        <v>0</v>
      </c>
      <c r="X716" s="6">
        <f>IF(ISERROR(VLOOKUP($U$716,'TAR FIN'!$A$1:$O$116,15,0)),0,VLOOKUP($U$716,'TAR FIN'!$A$1:$O$116,15,0))</f>
        <v>0</v>
      </c>
      <c r="Y716" s="6">
        <f ca="1">('TUSD BE'!$AM$32+'TUSD BF'!$AM$32+'TUSD CVA'!$AM$32)*1</f>
        <v>17.138874075124019</v>
      </c>
      <c r="Z716" s="6"/>
      <c r="AA716" s="6"/>
      <c r="AB716" s="6">
        <f>$K$716*$V$716</f>
        <v>8991.6</v>
      </c>
      <c r="AC716" s="6">
        <f>$M$716*$W$716</f>
        <v>0</v>
      </c>
      <c r="AD716" s="6">
        <f>$O$716*$X$716</f>
        <v>0</v>
      </c>
      <c r="AE716" s="6">
        <f ca="1">$K$716*$Y$716</f>
        <v>10111.93570432317</v>
      </c>
      <c r="AF716" s="6">
        <f>$M$716*$Z$716</f>
        <v>0</v>
      </c>
      <c r="AG716" s="6">
        <f>$O$716*$AA$716</f>
        <v>0</v>
      </c>
    </row>
    <row r="717" spans="1:33" ht="11.25" customHeight="1" x14ac:dyDescent="0.25">
      <c r="A717" s="4" t="s">
        <v>21</v>
      </c>
      <c r="B717" s="4" t="s">
        <v>41</v>
      </c>
      <c r="C717" s="4" t="s">
        <v>64</v>
      </c>
      <c r="D717" s="4" t="s">
        <v>25</v>
      </c>
      <c r="E717" s="4" t="s">
        <v>25</v>
      </c>
      <c r="F717" s="4" t="s">
        <v>25</v>
      </c>
      <c r="G717" s="4" t="s">
        <v>100</v>
      </c>
      <c r="H717" s="4" t="s">
        <v>25</v>
      </c>
      <c r="I717" s="5">
        <v>44531</v>
      </c>
      <c r="J717" s="6">
        <v>1180</v>
      </c>
      <c r="K717" s="6">
        <v>590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4" t="s">
        <v>66</v>
      </c>
      <c r="R717" s="4">
        <v>31677</v>
      </c>
      <c r="S717" s="6">
        <v>28</v>
      </c>
      <c r="T717" s="6">
        <v>0</v>
      </c>
      <c r="U717" s="6">
        <v>0</v>
      </c>
      <c r="V717" s="6">
        <f>IF(ISERROR(VLOOKUP($S$717,'TAR FIN'!$A$1:$O$116,15,0)),0,VLOOKUP($S$717,'TAR FIN'!$A$1:$O$116,15,0))</f>
        <v>15.24</v>
      </c>
      <c r="W717" s="6">
        <f>IF(ISERROR(VLOOKUP($T$717,'TAR FIN'!$A$1:$O$116,15,0)),0,VLOOKUP($T$717,'TAR FIN'!$A$1:$O$116,15,0))</f>
        <v>0</v>
      </c>
      <c r="X717" s="6">
        <f>IF(ISERROR(VLOOKUP($U$717,'TAR FIN'!$A$1:$O$116,15,0)),0,VLOOKUP($U$717,'TAR FIN'!$A$1:$O$116,15,0))</f>
        <v>0</v>
      </c>
      <c r="Y717" s="6">
        <f ca="1">('TUSD BE'!$AM$32+'TUSD BF'!$AM$32+'TUSD CVA'!$AM$32)*1</f>
        <v>17.138874075124019</v>
      </c>
      <c r="Z717" s="6"/>
      <c r="AA717" s="6"/>
      <c r="AB717" s="6">
        <f>$K$717*$V$717</f>
        <v>8991.6</v>
      </c>
      <c r="AC717" s="6">
        <f>$M$717*$W$717</f>
        <v>0</v>
      </c>
      <c r="AD717" s="6">
        <f>$O$717*$X$717</f>
        <v>0</v>
      </c>
      <c r="AE717" s="6">
        <f ca="1">$K$717*$Y$717</f>
        <v>10111.93570432317</v>
      </c>
      <c r="AF717" s="6">
        <f>$M$717*$Z$717</f>
        <v>0</v>
      </c>
      <c r="AG717" s="6">
        <f>$O$717*$AA$717</f>
        <v>0</v>
      </c>
    </row>
    <row r="718" spans="1:33" ht="11.25" customHeight="1" x14ac:dyDescent="0.25">
      <c r="A718" s="4" t="s">
        <v>21</v>
      </c>
      <c r="B718" s="4" t="s">
        <v>41</v>
      </c>
      <c r="C718" s="4" t="s">
        <v>64</v>
      </c>
      <c r="D718" s="4" t="s">
        <v>25</v>
      </c>
      <c r="E718" s="4" t="s">
        <v>25</v>
      </c>
      <c r="F718" s="4" t="s">
        <v>25</v>
      </c>
      <c r="G718" s="4" t="s">
        <v>68</v>
      </c>
      <c r="H718" s="4" t="s">
        <v>25</v>
      </c>
      <c r="I718" s="5">
        <v>44562</v>
      </c>
      <c r="J718" s="6">
        <v>302</v>
      </c>
      <c r="K718" s="6">
        <v>302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4" t="s">
        <v>66</v>
      </c>
      <c r="R718" s="4">
        <v>404</v>
      </c>
      <c r="S718" s="6">
        <v>28</v>
      </c>
      <c r="T718" s="6">
        <v>0</v>
      </c>
      <c r="U718" s="6">
        <v>0</v>
      </c>
      <c r="V718" s="6">
        <f>IF(ISERROR(VLOOKUP($S$718,'TAR FIN'!$A$1:$O$116,15,0)),0,VLOOKUP($S$718,'TAR FIN'!$A$1:$O$116,15,0))</f>
        <v>15.24</v>
      </c>
      <c r="W718" s="6">
        <f>IF(ISERROR(VLOOKUP($T$718,'TAR FIN'!$A$1:$O$116,15,0)),0,VLOOKUP($T$718,'TAR FIN'!$A$1:$O$116,15,0))</f>
        <v>0</v>
      </c>
      <c r="X718" s="6">
        <f>IF(ISERROR(VLOOKUP($U$718,'TAR FIN'!$A$1:$O$116,15,0)),0,VLOOKUP($U$718,'TAR FIN'!$A$1:$O$116,15,0))</f>
        <v>0</v>
      </c>
      <c r="Y718" s="6">
        <f ca="1">('TUSD BE'!$AM$32+'TUSD BF'!$AM$32+'TUSD CVA'!$AM$32)*1</f>
        <v>17.138874075124019</v>
      </c>
      <c r="Z718" s="6"/>
      <c r="AA718" s="6"/>
      <c r="AB718" s="6">
        <f>$K$718*$V$718</f>
        <v>4602.4800000000005</v>
      </c>
      <c r="AC718" s="6">
        <f>$M$718*$W$718</f>
        <v>0</v>
      </c>
      <c r="AD718" s="6">
        <f>$O$718*$X$718</f>
        <v>0</v>
      </c>
      <c r="AE718" s="6">
        <f ca="1">$K$718*$Y$718</f>
        <v>5175.9399706874538</v>
      </c>
      <c r="AF718" s="6">
        <f>$M$718*$Z$718</f>
        <v>0</v>
      </c>
      <c r="AG718" s="6">
        <f>$O$718*$AA$718</f>
        <v>0</v>
      </c>
    </row>
    <row r="719" spans="1:33" ht="11.25" customHeight="1" x14ac:dyDescent="0.25">
      <c r="A719" s="4" t="s">
        <v>21</v>
      </c>
      <c r="B719" s="4" t="s">
        <v>41</v>
      </c>
      <c r="C719" s="4" t="s">
        <v>64</v>
      </c>
      <c r="D719" s="4" t="s">
        <v>25</v>
      </c>
      <c r="E719" s="4" t="s">
        <v>25</v>
      </c>
      <c r="F719" s="4" t="s">
        <v>25</v>
      </c>
      <c r="G719" s="4" t="s">
        <v>70</v>
      </c>
      <c r="H719" s="4" t="s">
        <v>25</v>
      </c>
      <c r="I719" s="5">
        <v>44562</v>
      </c>
      <c r="J719" s="6">
        <v>5040</v>
      </c>
      <c r="K719" s="6">
        <v>5040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4" t="s">
        <v>66</v>
      </c>
      <c r="R719" s="4">
        <v>838</v>
      </c>
      <c r="S719" s="6">
        <v>28</v>
      </c>
      <c r="T719" s="6">
        <v>0</v>
      </c>
      <c r="U719" s="6">
        <v>0</v>
      </c>
      <c r="V719" s="6">
        <f>IF(ISERROR(VLOOKUP($S$719,'TAR FIN'!$A$1:$O$116,15,0)),0,VLOOKUP($S$719,'TAR FIN'!$A$1:$O$116,15,0))</f>
        <v>15.24</v>
      </c>
      <c r="W719" s="6">
        <f>IF(ISERROR(VLOOKUP($T$719,'TAR FIN'!$A$1:$O$116,15,0)),0,VLOOKUP($T$719,'TAR FIN'!$A$1:$O$116,15,0))</f>
        <v>0</v>
      </c>
      <c r="X719" s="6">
        <f>IF(ISERROR(VLOOKUP($U$719,'TAR FIN'!$A$1:$O$116,15,0)),0,VLOOKUP($U$719,'TAR FIN'!$A$1:$O$116,15,0))</f>
        <v>0</v>
      </c>
      <c r="Y719" s="6">
        <f ca="1">('TUSD BE'!$AM$32+'TUSD BF'!$AM$32+'TUSD CVA'!$AM$32)*1</f>
        <v>17.138874075124019</v>
      </c>
      <c r="Z719" s="6"/>
      <c r="AA719" s="6"/>
      <c r="AB719" s="6">
        <f>$K$719*$V$719</f>
        <v>76809.600000000006</v>
      </c>
      <c r="AC719" s="6">
        <f>$M$719*$W$719</f>
        <v>0</v>
      </c>
      <c r="AD719" s="6">
        <f>$O$719*$X$719</f>
        <v>0</v>
      </c>
      <c r="AE719" s="6">
        <f ca="1">$K$719*$Y$719</f>
        <v>86379.925338625049</v>
      </c>
      <c r="AF719" s="6">
        <f>$M$719*$Z$719</f>
        <v>0</v>
      </c>
      <c r="AG719" s="6">
        <f>$O$719*$AA$719</f>
        <v>0</v>
      </c>
    </row>
    <row r="720" spans="1:33" ht="11.25" customHeight="1" x14ac:dyDescent="0.25">
      <c r="A720" s="4" t="s">
        <v>21</v>
      </c>
      <c r="B720" s="4" t="s">
        <v>41</v>
      </c>
      <c r="C720" s="4" t="s">
        <v>64</v>
      </c>
      <c r="D720" s="4" t="s">
        <v>25</v>
      </c>
      <c r="E720" s="4" t="s">
        <v>25</v>
      </c>
      <c r="F720" s="4" t="s">
        <v>25</v>
      </c>
      <c r="G720" s="4" t="s">
        <v>74</v>
      </c>
      <c r="H720" s="4" t="s">
        <v>25</v>
      </c>
      <c r="I720" s="5">
        <v>44562</v>
      </c>
      <c r="J720" s="6">
        <v>3859</v>
      </c>
      <c r="K720" s="6">
        <v>1929.5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4" t="s">
        <v>66</v>
      </c>
      <c r="R720" s="4">
        <v>1192</v>
      </c>
      <c r="S720" s="6">
        <v>28</v>
      </c>
      <c r="T720" s="6">
        <v>0</v>
      </c>
      <c r="U720" s="6">
        <v>0</v>
      </c>
      <c r="V720" s="6">
        <f>IF(ISERROR(VLOOKUP($S$720,'TAR FIN'!$A$1:$O$116,15,0)),0,VLOOKUP($S$720,'TAR FIN'!$A$1:$O$116,15,0))</f>
        <v>15.24</v>
      </c>
      <c r="W720" s="6">
        <f>IF(ISERROR(VLOOKUP($T$720,'TAR FIN'!$A$1:$O$116,15,0)),0,VLOOKUP($T$720,'TAR FIN'!$A$1:$O$116,15,0))</f>
        <v>0</v>
      </c>
      <c r="X720" s="6">
        <f>IF(ISERROR(VLOOKUP($U$720,'TAR FIN'!$A$1:$O$116,15,0)),0,VLOOKUP($U$720,'TAR FIN'!$A$1:$O$116,15,0))</f>
        <v>0</v>
      </c>
      <c r="Y720" s="6">
        <f ca="1">('TUSD BE'!$AM$32+'TUSD BF'!$AM$32+'TUSD CVA'!$AM$32)*1</f>
        <v>17.138874075124019</v>
      </c>
      <c r="Z720" s="6"/>
      <c r="AA720" s="6"/>
      <c r="AB720" s="6">
        <f>$K$720*$V$720</f>
        <v>29405.58</v>
      </c>
      <c r="AC720" s="6">
        <f>$M$720*$W$720</f>
        <v>0</v>
      </c>
      <c r="AD720" s="6">
        <f>$O$720*$X$720</f>
        <v>0</v>
      </c>
      <c r="AE720" s="6">
        <f ca="1">$K$720*$Y$720</f>
        <v>33069.457527951796</v>
      </c>
      <c r="AF720" s="6">
        <f>$M$720*$Z$720</f>
        <v>0</v>
      </c>
      <c r="AG720" s="6">
        <f>$O$720*$AA$720</f>
        <v>0</v>
      </c>
    </row>
    <row r="721" spans="1:33" ht="11.25" customHeight="1" x14ac:dyDescent="0.25">
      <c r="A721" s="4" t="s">
        <v>21</v>
      </c>
      <c r="B721" s="4" t="s">
        <v>41</v>
      </c>
      <c r="C721" s="4" t="s">
        <v>64</v>
      </c>
      <c r="D721" s="4" t="s">
        <v>25</v>
      </c>
      <c r="E721" s="4" t="s">
        <v>25</v>
      </c>
      <c r="F721" s="4" t="s">
        <v>25</v>
      </c>
      <c r="G721" s="4" t="s">
        <v>76</v>
      </c>
      <c r="H721" s="4" t="s">
        <v>25</v>
      </c>
      <c r="I721" s="5">
        <v>44562</v>
      </c>
      <c r="J721" s="6">
        <v>480</v>
      </c>
      <c r="K721" s="6">
        <v>480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4" t="s">
        <v>66</v>
      </c>
      <c r="R721" s="4">
        <v>1438</v>
      </c>
      <c r="S721" s="6">
        <v>28</v>
      </c>
      <c r="T721" s="6">
        <v>0</v>
      </c>
      <c r="U721" s="6">
        <v>0</v>
      </c>
      <c r="V721" s="6">
        <f>IF(ISERROR(VLOOKUP($S$721,'TAR FIN'!$A$1:$O$116,15,0)),0,VLOOKUP($S$721,'TAR FIN'!$A$1:$O$116,15,0))</f>
        <v>15.24</v>
      </c>
      <c r="W721" s="6">
        <f>IF(ISERROR(VLOOKUP($T$721,'TAR FIN'!$A$1:$O$116,15,0)),0,VLOOKUP($T$721,'TAR FIN'!$A$1:$O$116,15,0))</f>
        <v>0</v>
      </c>
      <c r="X721" s="6">
        <f>IF(ISERROR(VLOOKUP($U$721,'TAR FIN'!$A$1:$O$116,15,0)),0,VLOOKUP($U$721,'TAR FIN'!$A$1:$O$116,15,0))</f>
        <v>0</v>
      </c>
      <c r="Y721" s="6">
        <f ca="1">('TUSD BE'!$AM$32+'TUSD BF'!$AM$32+'TUSD CVA'!$AM$32)*1</f>
        <v>17.138874075124019</v>
      </c>
      <c r="Z721" s="6"/>
      <c r="AA721" s="6"/>
      <c r="AB721" s="6">
        <f>$K$721*$V$721</f>
        <v>7315.2</v>
      </c>
      <c r="AC721" s="6">
        <f>$M$721*$W$721</f>
        <v>0</v>
      </c>
      <c r="AD721" s="6">
        <f>$O$721*$X$721</f>
        <v>0</v>
      </c>
      <c r="AE721" s="6">
        <f ca="1">$K$721*$Y$721</f>
        <v>8226.6595560595288</v>
      </c>
      <c r="AF721" s="6">
        <f>$M$721*$Z$721</f>
        <v>0</v>
      </c>
      <c r="AG721" s="6">
        <f>$O$721*$AA$721</f>
        <v>0</v>
      </c>
    </row>
    <row r="722" spans="1:33" ht="11.25" customHeight="1" x14ac:dyDescent="0.25">
      <c r="A722" s="4" t="s">
        <v>21</v>
      </c>
      <c r="B722" s="4" t="s">
        <v>41</v>
      </c>
      <c r="C722" s="4" t="s">
        <v>64</v>
      </c>
      <c r="D722" s="4" t="s">
        <v>25</v>
      </c>
      <c r="E722" s="4" t="s">
        <v>25</v>
      </c>
      <c r="F722" s="4" t="s">
        <v>25</v>
      </c>
      <c r="G722" s="4" t="s">
        <v>77</v>
      </c>
      <c r="H722" s="4" t="s">
        <v>25</v>
      </c>
      <c r="I722" s="5">
        <v>44562</v>
      </c>
      <c r="J722" s="6">
        <v>736</v>
      </c>
      <c r="K722" s="6">
        <v>736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4" t="s">
        <v>66</v>
      </c>
      <c r="R722" s="4">
        <v>1462</v>
      </c>
      <c r="S722" s="6">
        <v>28</v>
      </c>
      <c r="T722" s="6">
        <v>0</v>
      </c>
      <c r="U722" s="6">
        <v>0</v>
      </c>
      <c r="V722" s="6">
        <f>IF(ISERROR(VLOOKUP($S$722,'TAR FIN'!$A$1:$O$116,15,0)),0,VLOOKUP($S$722,'TAR FIN'!$A$1:$O$116,15,0))</f>
        <v>15.24</v>
      </c>
      <c r="W722" s="6">
        <f>IF(ISERROR(VLOOKUP($T$722,'TAR FIN'!$A$1:$O$116,15,0)),0,VLOOKUP($T$722,'TAR FIN'!$A$1:$O$116,15,0))</f>
        <v>0</v>
      </c>
      <c r="X722" s="6">
        <f>IF(ISERROR(VLOOKUP($U$722,'TAR FIN'!$A$1:$O$116,15,0)),0,VLOOKUP($U$722,'TAR FIN'!$A$1:$O$116,15,0))</f>
        <v>0</v>
      </c>
      <c r="Y722" s="6">
        <f ca="1">('TUSD BE'!$AM$32+'TUSD BF'!$AM$32+'TUSD CVA'!$AM$32)*1</f>
        <v>17.138874075124019</v>
      </c>
      <c r="Z722" s="6"/>
      <c r="AA722" s="6"/>
      <c r="AB722" s="6">
        <f>$K$722*$V$722</f>
        <v>11216.64</v>
      </c>
      <c r="AC722" s="6">
        <f>$M$722*$W$722</f>
        <v>0</v>
      </c>
      <c r="AD722" s="6">
        <f>$O$722*$X$722</f>
        <v>0</v>
      </c>
      <c r="AE722" s="6">
        <f ca="1">$K$722*$Y$722</f>
        <v>12614.211319291278</v>
      </c>
      <c r="AF722" s="6">
        <f>$M$722*$Z$722</f>
        <v>0</v>
      </c>
      <c r="AG722" s="6">
        <f>$O$722*$AA$722</f>
        <v>0</v>
      </c>
    </row>
    <row r="723" spans="1:33" ht="11.25" customHeight="1" x14ac:dyDescent="0.25">
      <c r="A723" s="4" t="s">
        <v>21</v>
      </c>
      <c r="B723" s="4" t="s">
        <v>41</v>
      </c>
      <c r="C723" s="4" t="s">
        <v>64</v>
      </c>
      <c r="D723" s="4" t="s">
        <v>25</v>
      </c>
      <c r="E723" s="4" t="s">
        <v>25</v>
      </c>
      <c r="F723" s="4" t="s">
        <v>25</v>
      </c>
      <c r="G723" s="4" t="s">
        <v>78</v>
      </c>
      <c r="H723" s="4" t="s">
        <v>25</v>
      </c>
      <c r="I723" s="5">
        <v>44562</v>
      </c>
      <c r="J723" s="6">
        <v>6460</v>
      </c>
      <c r="K723" s="6">
        <v>6460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4" t="s">
        <v>66</v>
      </c>
      <c r="R723" s="4">
        <v>1533</v>
      </c>
      <c r="S723" s="6">
        <v>28</v>
      </c>
      <c r="T723" s="6">
        <v>0</v>
      </c>
      <c r="U723" s="6">
        <v>0</v>
      </c>
      <c r="V723" s="6">
        <f>IF(ISERROR(VLOOKUP($S$723,'TAR FIN'!$A$1:$O$116,15,0)),0,VLOOKUP($S$723,'TAR FIN'!$A$1:$O$116,15,0))</f>
        <v>15.24</v>
      </c>
      <c r="W723" s="6">
        <f>IF(ISERROR(VLOOKUP($T$723,'TAR FIN'!$A$1:$O$116,15,0)),0,VLOOKUP($T$723,'TAR FIN'!$A$1:$O$116,15,0))</f>
        <v>0</v>
      </c>
      <c r="X723" s="6">
        <f>IF(ISERROR(VLOOKUP($U$723,'TAR FIN'!$A$1:$O$116,15,0)),0,VLOOKUP($U$723,'TAR FIN'!$A$1:$O$116,15,0))</f>
        <v>0</v>
      </c>
      <c r="Y723" s="6">
        <f ca="1">('TUSD BE'!$AM$32+'TUSD BF'!$AM$32+'TUSD CVA'!$AM$32)*1</f>
        <v>17.138874075124019</v>
      </c>
      <c r="Z723" s="6"/>
      <c r="AA723" s="6"/>
      <c r="AB723" s="6">
        <f>$K$723*$V$723</f>
        <v>98450.4</v>
      </c>
      <c r="AC723" s="6">
        <f>$M$723*$W$723</f>
        <v>0</v>
      </c>
      <c r="AD723" s="6">
        <f>$O$723*$X$723</f>
        <v>0</v>
      </c>
      <c r="AE723" s="6">
        <f ca="1">$K$723*$Y$723</f>
        <v>110717.12652530117</v>
      </c>
      <c r="AF723" s="6">
        <f>$M$723*$Z$723</f>
        <v>0</v>
      </c>
      <c r="AG723" s="6">
        <f>$O$723*$AA$723</f>
        <v>0</v>
      </c>
    </row>
    <row r="724" spans="1:33" ht="11.25" customHeight="1" x14ac:dyDescent="0.25">
      <c r="A724" s="4" t="s">
        <v>21</v>
      </c>
      <c r="B724" s="4" t="s">
        <v>41</v>
      </c>
      <c r="C724" s="4" t="s">
        <v>64</v>
      </c>
      <c r="D724" s="4" t="s">
        <v>25</v>
      </c>
      <c r="E724" s="4" t="s">
        <v>25</v>
      </c>
      <c r="F724" s="4" t="s">
        <v>25</v>
      </c>
      <c r="G724" s="4" t="s">
        <v>79</v>
      </c>
      <c r="H724" s="4" t="s">
        <v>25</v>
      </c>
      <c r="I724" s="5">
        <v>44562</v>
      </c>
      <c r="J724" s="6">
        <v>770</v>
      </c>
      <c r="K724" s="6">
        <v>770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4" t="s">
        <v>66</v>
      </c>
      <c r="R724" s="4">
        <v>2535</v>
      </c>
      <c r="S724" s="6">
        <v>28</v>
      </c>
      <c r="T724" s="6">
        <v>0</v>
      </c>
      <c r="U724" s="6">
        <v>0</v>
      </c>
      <c r="V724" s="6">
        <f>IF(ISERROR(VLOOKUP($S$724,'TAR FIN'!$A$1:$O$116,15,0)),0,VLOOKUP($S$724,'TAR FIN'!$A$1:$O$116,15,0))</f>
        <v>15.24</v>
      </c>
      <c r="W724" s="6">
        <f>IF(ISERROR(VLOOKUP($T$724,'TAR FIN'!$A$1:$O$116,15,0)),0,VLOOKUP($T$724,'TAR FIN'!$A$1:$O$116,15,0))</f>
        <v>0</v>
      </c>
      <c r="X724" s="6">
        <f>IF(ISERROR(VLOOKUP($U$724,'TAR FIN'!$A$1:$O$116,15,0)),0,VLOOKUP($U$724,'TAR FIN'!$A$1:$O$116,15,0))</f>
        <v>0</v>
      </c>
      <c r="Y724" s="6">
        <f ca="1">('TUSD BE'!$AM$32+'TUSD BF'!$AM$32+'TUSD CVA'!$AM$32)*1</f>
        <v>17.138874075124019</v>
      </c>
      <c r="Z724" s="6"/>
      <c r="AA724" s="6"/>
      <c r="AB724" s="6">
        <f>$K$724*$V$724</f>
        <v>11734.8</v>
      </c>
      <c r="AC724" s="6">
        <f>$M$724*$W$724</f>
        <v>0</v>
      </c>
      <c r="AD724" s="6">
        <f>$O$724*$X$724</f>
        <v>0</v>
      </c>
      <c r="AE724" s="6">
        <f ca="1">$K$724*$Y$724</f>
        <v>13196.933037845494</v>
      </c>
      <c r="AF724" s="6">
        <f>$M$724*$Z$724</f>
        <v>0</v>
      </c>
      <c r="AG724" s="6">
        <f>$O$724*$AA$724</f>
        <v>0</v>
      </c>
    </row>
    <row r="725" spans="1:33" ht="11.25" customHeight="1" x14ac:dyDescent="0.25">
      <c r="A725" s="4" t="s">
        <v>21</v>
      </c>
      <c r="B725" s="4" t="s">
        <v>41</v>
      </c>
      <c r="C725" s="4" t="s">
        <v>64</v>
      </c>
      <c r="D725" s="4" t="s">
        <v>25</v>
      </c>
      <c r="E725" s="4" t="s">
        <v>25</v>
      </c>
      <c r="F725" s="4" t="s">
        <v>25</v>
      </c>
      <c r="G725" s="4" t="s">
        <v>80</v>
      </c>
      <c r="H725" s="4" t="s">
        <v>25</v>
      </c>
      <c r="I725" s="5">
        <v>44562</v>
      </c>
      <c r="J725" s="6">
        <v>1416</v>
      </c>
      <c r="K725" s="6">
        <v>1416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4" t="s">
        <v>66</v>
      </c>
      <c r="R725" s="4">
        <v>2751</v>
      </c>
      <c r="S725" s="6">
        <v>28</v>
      </c>
      <c r="T725" s="6">
        <v>0</v>
      </c>
      <c r="U725" s="6">
        <v>0</v>
      </c>
      <c r="V725" s="6">
        <f>IF(ISERROR(VLOOKUP($S$725,'TAR FIN'!$A$1:$O$116,15,0)),0,VLOOKUP($S$725,'TAR FIN'!$A$1:$O$116,15,0))</f>
        <v>15.24</v>
      </c>
      <c r="W725" s="6">
        <f>IF(ISERROR(VLOOKUP($T$725,'TAR FIN'!$A$1:$O$116,15,0)),0,VLOOKUP($T$725,'TAR FIN'!$A$1:$O$116,15,0))</f>
        <v>0</v>
      </c>
      <c r="X725" s="6">
        <f>IF(ISERROR(VLOOKUP($U$725,'TAR FIN'!$A$1:$O$116,15,0)),0,VLOOKUP($U$725,'TAR FIN'!$A$1:$O$116,15,0))</f>
        <v>0</v>
      </c>
      <c r="Y725" s="6">
        <f ca="1">('TUSD BE'!$AM$32+'TUSD BF'!$AM$32+'TUSD CVA'!$AM$32)*1</f>
        <v>17.138874075124019</v>
      </c>
      <c r="Z725" s="6"/>
      <c r="AA725" s="6"/>
      <c r="AB725" s="6">
        <f>$K$725*$V$725</f>
        <v>21579.84</v>
      </c>
      <c r="AC725" s="6">
        <f>$M$725*$W$725</f>
        <v>0</v>
      </c>
      <c r="AD725" s="6">
        <f>$O$725*$X$725</f>
        <v>0</v>
      </c>
      <c r="AE725" s="6">
        <f ca="1">$K$725*$Y$725</f>
        <v>24268.645690375612</v>
      </c>
      <c r="AF725" s="6">
        <f>$M$725*$Z$725</f>
        <v>0</v>
      </c>
      <c r="AG725" s="6">
        <f>$O$725*$AA$725</f>
        <v>0</v>
      </c>
    </row>
    <row r="726" spans="1:33" ht="11.25" customHeight="1" x14ac:dyDescent="0.25">
      <c r="A726" s="4" t="s">
        <v>21</v>
      </c>
      <c r="B726" s="4" t="s">
        <v>41</v>
      </c>
      <c r="C726" s="4" t="s">
        <v>64</v>
      </c>
      <c r="D726" s="4" t="s">
        <v>25</v>
      </c>
      <c r="E726" s="4" t="s">
        <v>25</v>
      </c>
      <c r="F726" s="4" t="s">
        <v>25</v>
      </c>
      <c r="G726" s="4" t="s">
        <v>88</v>
      </c>
      <c r="H726" s="4" t="s">
        <v>25</v>
      </c>
      <c r="I726" s="5">
        <v>44562</v>
      </c>
      <c r="J726" s="6">
        <v>9500</v>
      </c>
      <c r="K726" s="6">
        <v>4750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4" t="s">
        <v>66</v>
      </c>
      <c r="R726" s="4">
        <v>27722</v>
      </c>
      <c r="S726" s="6">
        <v>28</v>
      </c>
      <c r="T726" s="6">
        <v>0</v>
      </c>
      <c r="U726" s="6">
        <v>0</v>
      </c>
      <c r="V726" s="6">
        <f>IF(ISERROR(VLOOKUP($S$726,'TAR FIN'!$A$1:$O$116,15,0)),0,VLOOKUP($S$726,'TAR FIN'!$A$1:$O$116,15,0))</f>
        <v>15.24</v>
      </c>
      <c r="W726" s="6">
        <f>IF(ISERROR(VLOOKUP($T$726,'TAR FIN'!$A$1:$O$116,15,0)),0,VLOOKUP($T$726,'TAR FIN'!$A$1:$O$116,15,0))</f>
        <v>0</v>
      </c>
      <c r="X726" s="6">
        <f>IF(ISERROR(VLOOKUP($U$726,'TAR FIN'!$A$1:$O$116,15,0)),0,VLOOKUP($U$726,'TAR FIN'!$A$1:$O$116,15,0))</f>
        <v>0</v>
      </c>
      <c r="Y726" s="6">
        <f ca="1">('TUSD BE'!$AM$32+'TUSD BF'!$AM$32+'TUSD CVA'!$AM$32)*1</f>
        <v>17.138874075124019</v>
      </c>
      <c r="Z726" s="6"/>
      <c r="AA726" s="6"/>
      <c r="AB726" s="6">
        <f>$K$726*$V$726</f>
        <v>72390</v>
      </c>
      <c r="AC726" s="6">
        <f>$M$726*$W$726</f>
        <v>0</v>
      </c>
      <c r="AD726" s="6">
        <f>$O$726*$X$726</f>
        <v>0</v>
      </c>
      <c r="AE726" s="6">
        <f ca="1">$K$726*$Y$726</f>
        <v>81409.651856839089</v>
      </c>
      <c r="AF726" s="6">
        <f>$M$726*$Z$726</f>
        <v>0</v>
      </c>
      <c r="AG726" s="6">
        <f>$O$726*$AA$726</f>
        <v>0</v>
      </c>
    </row>
    <row r="727" spans="1:33" ht="11.25" customHeight="1" x14ac:dyDescent="0.25">
      <c r="A727" s="4" t="s">
        <v>21</v>
      </c>
      <c r="B727" s="4" t="s">
        <v>41</v>
      </c>
      <c r="C727" s="4" t="s">
        <v>64</v>
      </c>
      <c r="D727" s="4" t="s">
        <v>25</v>
      </c>
      <c r="E727" s="4" t="s">
        <v>25</v>
      </c>
      <c r="F727" s="4" t="s">
        <v>25</v>
      </c>
      <c r="G727" s="4" t="s">
        <v>90</v>
      </c>
      <c r="H727" s="4" t="s">
        <v>25</v>
      </c>
      <c r="I727" s="5">
        <v>44562</v>
      </c>
      <c r="J727" s="6">
        <v>420</v>
      </c>
      <c r="K727" s="6">
        <v>420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4" t="s">
        <v>66</v>
      </c>
      <c r="R727" s="4">
        <v>27928</v>
      </c>
      <c r="S727" s="6">
        <v>28</v>
      </c>
      <c r="T727" s="6">
        <v>0</v>
      </c>
      <c r="U727" s="6">
        <v>0</v>
      </c>
      <c r="V727" s="6">
        <f>IF(ISERROR(VLOOKUP($S$727,'TAR FIN'!$A$1:$O$116,15,0)),0,VLOOKUP($S$727,'TAR FIN'!$A$1:$O$116,15,0))</f>
        <v>15.24</v>
      </c>
      <c r="W727" s="6">
        <f>IF(ISERROR(VLOOKUP($T$727,'TAR FIN'!$A$1:$O$116,15,0)),0,VLOOKUP($T$727,'TAR FIN'!$A$1:$O$116,15,0))</f>
        <v>0</v>
      </c>
      <c r="X727" s="6">
        <f>IF(ISERROR(VLOOKUP($U$727,'TAR FIN'!$A$1:$O$116,15,0)),0,VLOOKUP($U$727,'TAR FIN'!$A$1:$O$116,15,0))</f>
        <v>0</v>
      </c>
      <c r="Y727" s="6">
        <f ca="1">('TUSD BE'!$AM$32+'TUSD BF'!$AM$32+'TUSD CVA'!$AM$32)*1</f>
        <v>17.138874075124019</v>
      </c>
      <c r="Z727" s="6"/>
      <c r="AA727" s="6"/>
      <c r="AB727" s="6">
        <f>$K$727*$V$727</f>
        <v>6400.8</v>
      </c>
      <c r="AC727" s="6">
        <f>$M$727*$W$727</f>
        <v>0</v>
      </c>
      <c r="AD727" s="6">
        <f>$O$727*$X$727</f>
        <v>0</v>
      </c>
      <c r="AE727" s="6">
        <f ca="1">$K$727*$Y$727</f>
        <v>7198.3271115520874</v>
      </c>
      <c r="AF727" s="6">
        <f>$M$727*$Z$727</f>
        <v>0</v>
      </c>
      <c r="AG727" s="6">
        <f>$O$727*$AA$727</f>
        <v>0</v>
      </c>
    </row>
    <row r="728" spans="1:33" ht="11.25" customHeight="1" x14ac:dyDescent="0.25">
      <c r="A728" s="4" t="s">
        <v>21</v>
      </c>
      <c r="B728" s="4" t="s">
        <v>41</v>
      </c>
      <c r="C728" s="4" t="s">
        <v>64</v>
      </c>
      <c r="D728" s="4" t="s">
        <v>25</v>
      </c>
      <c r="E728" s="4" t="s">
        <v>25</v>
      </c>
      <c r="F728" s="4" t="s">
        <v>25</v>
      </c>
      <c r="G728" s="4" t="s">
        <v>93</v>
      </c>
      <c r="H728" s="4" t="s">
        <v>25</v>
      </c>
      <c r="I728" s="5">
        <v>44562</v>
      </c>
      <c r="J728" s="6">
        <v>1300</v>
      </c>
      <c r="K728" s="6">
        <v>650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4" t="s">
        <v>66</v>
      </c>
      <c r="R728" s="4">
        <v>30847</v>
      </c>
      <c r="S728" s="6">
        <v>28</v>
      </c>
      <c r="T728" s="6">
        <v>0</v>
      </c>
      <c r="U728" s="6">
        <v>0</v>
      </c>
      <c r="V728" s="6">
        <f>IF(ISERROR(VLOOKUP($S$728,'TAR FIN'!$A$1:$O$116,15,0)),0,VLOOKUP($S$728,'TAR FIN'!$A$1:$O$116,15,0))</f>
        <v>15.24</v>
      </c>
      <c r="W728" s="6">
        <f>IF(ISERROR(VLOOKUP($T$728,'TAR FIN'!$A$1:$O$116,15,0)),0,VLOOKUP($T$728,'TAR FIN'!$A$1:$O$116,15,0))</f>
        <v>0</v>
      </c>
      <c r="X728" s="6">
        <f>IF(ISERROR(VLOOKUP($U$728,'TAR FIN'!$A$1:$O$116,15,0)),0,VLOOKUP($U$728,'TAR FIN'!$A$1:$O$116,15,0))</f>
        <v>0</v>
      </c>
      <c r="Y728" s="6">
        <f ca="1">('TUSD BE'!$AM$32+'TUSD BF'!$AM$32+'TUSD CVA'!$AM$32)*1</f>
        <v>17.138874075124019</v>
      </c>
      <c r="Z728" s="6"/>
      <c r="AA728" s="6"/>
      <c r="AB728" s="6">
        <f>$K$728*$V$728</f>
        <v>9906</v>
      </c>
      <c r="AC728" s="6">
        <f>$M$728*$W$728</f>
        <v>0</v>
      </c>
      <c r="AD728" s="6">
        <f>$O$728*$X$728</f>
        <v>0</v>
      </c>
      <c r="AE728" s="6">
        <f ca="1">$K$728*$Y$728</f>
        <v>11140.268148830612</v>
      </c>
      <c r="AF728" s="6">
        <f>$M$728*$Z$728</f>
        <v>0</v>
      </c>
      <c r="AG728" s="6">
        <f>$O$728*$AA$728</f>
        <v>0</v>
      </c>
    </row>
    <row r="729" spans="1:33" ht="11.25" customHeight="1" x14ac:dyDescent="0.25">
      <c r="A729" s="4" t="s">
        <v>21</v>
      </c>
      <c r="B729" s="4" t="s">
        <v>41</v>
      </c>
      <c r="C729" s="4" t="s">
        <v>64</v>
      </c>
      <c r="D729" s="4" t="s">
        <v>25</v>
      </c>
      <c r="E729" s="4" t="s">
        <v>25</v>
      </c>
      <c r="F729" s="4" t="s">
        <v>25</v>
      </c>
      <c r="G729" s="4" t="s">
        <v>94</v>
      </c>
      <c r="H729" s="4" t="s">
        <v>25</v>
      </c>
      <c r="I729" s="5">
        <v>44562</v>
      </c>
      <c r="J729" s="6">
        <v>1180</v>
      </c>
      <c r="K729" s="6">
        <v>590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4" t="s">
        <v>66</v>
      </c>
      <c r="R729" s="4">
        <v>30866</v>
      </c>
      <c r="S729" s="6">
        <v>28</v>
      </c>
      <c r="T729" s="6">
        <v>0</v>
      </c>
      <c r="U729" s="6">
        <v>0</v>
      </c>
      <c r="V729" s="6">
        <f>IF(ISERROR(VLOOKUP($S$729,'TAR FIN'!$A$1:$O$116,15,0)),0,VLOOKUP($S$729,'TAR FIN'!$A$1:$O$116,15,0))</f>
        <v>15.24</v>
      </c>
      <c r="W729" s="6">
        <f>IF(ISERROR(VLOOKUP($T$729,'TAR FIN'!$A$1:$O$116,15,0)),0,VLOOKUP($T$729,'TAR FIN'!$A$1:$O$116,15,0))</f>
        <v>0</v>
      </c>
      <c r="X729" s="6">
        <f>IF(ISERROR(VLOOKUP($U$729,'TAR FIN'!$A$1:$O$116,15,0)),0,VLOOKUP($U$729,'TAR FIN'!$A$1:$O$116,15,0))</f>
        <v>0</v>
      </c>
      <c r="Y729" s="6">
        <f ca="1">('TUSD BE'!$AM$32+'TUSD BF'!$AM$32+'TUSD CVA'!$AM$32)*1</f>
        <v>17.138874075124019</v>
      </c>
      <c r="Z729" s="6"/>
      <c r="AA729" s="6"/>
      <c r="AB729" s="6">
        <f>$K$729*$V$729</f>
        <v>8991.6</v>
      </c>
      <c r="AC729" s="6">
        <f>$M$729*$W$729</f>
        <v>0</v>
      </c>
      <c r="AD729" s="6">
        <f>$O$729*$X$729</f>
        <v>0</v>
      </c>
      <c r="AE729" s="6">
        <f ca="1">$K$729*$Y$729</f>
        <v>10111.93570432317</v>
      </c>
      <c r="AF729" s="6">
        <f>$M$729*$Z$729</f>
        <v>0</v>
      </c>
      <c r="AG729" s="6">
        <f>$O$729*$AA$729</f>
        <v>0</v>
      </c>
    </row>
    <row r="730" spans="1:33" ht="11.25" customHeight="1" x14ac:dyDescent="0.25">
      <c r="A730" s="4" t="s">
        <v>21</v>
      </c>
      <c r="B730" s="4" t="s">
        <v>41</v>
      </c>
      <c r="C730" s="4" t="s">
        <v>64</v>
      </c>
      <c r="D730" s="4" t="s">
        <v>25</v>
      </c>
      <c r="E730" s="4" t="s">
        <v>25</v>
      </c>
      <c r="F730" s="4" t="s">
        <v>25</v>
      </c>
      <c r="G730" s="4" t="s">
        <v>95</v>
      </c>
      <c r="H730" s="4" t="s">
        <v>25</v>
      </c>
      <c r="I730" s="5">
        <v>44562</v>
      </c>
      <c r="J730" s="6">
        <v>1180</v>
      </c>
      <c r="K730" s="6">
        <v>590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4" t="s">
        <v>66</v>
      </c>
      <c r="R730" s="4">
        <v>31051</v>
      </c>
      <c r="S730" s="6">
        <v>28</v>
      </c>
      <c r="T730" s="6">
        <v>0</v>
      </c>
      <c r="U730" s="6">
        <v>0</v>
      </c>
      <c r="V730" s="6">
        <f>IF(ISERROR(VLOOKUP($S$730,'TAR FIN'!$A$1:$O$116,15,0)),0,VLOOKUP($S$730,'TAR FIN'!$A$1:$O$116,15,0))</f>
        <v>15.24</v>
      </c>
      <c r="W730" s="6">
        <f>IF(ISERROR(VLOOKUP($T$730,'TAR FIN'!$A$1:$O$116,15,0)),0,VLOOKUP($T$730,'TAR FIN'!$A$1:$O$116,15,0))</f>
        <v>0</v>
      </c>
      <c r="X730" s="6">
        <f>IF(ISERROR(VLOOKUP($U$730,'TAR FIN'!$A$1:$O$116,15,0)),0,VLOOKUP($U$730,'TAR FIN'!$A$1:$O$116,15,0))</f>
        <v>0</v>
      </c>
      <c r="Y730" s="6">
        <f ca="1">('TUSD BE'!$AM$32+'TUSD BF'!$AM$32+'TUSD CVA'!$AM$32)*1</f>
        <v>17.138874075124019</v>
      </c>
      <c r="Z730" s="6"/>
      <c r="AA730" s="6"/>
      <c r="AB730" s="6">
        <f>$K$730*$V$730</f>
        <v>8991.6</v>
      </c>
      <c r="AC730" s="6">
        <f>$M$730*$W$730</f>
        <v>0</v>
      </c>
      <c r="AD730" s="6">
        <f>$O$730*$X$730</f>
        <v>0</v>
      </c>
      <c r="AE730" s="6">
        <f ca="1">$K$730*$Y$730</f>
        <v>10111.93570432317</v>
      </c>
      <c r="AF730" s="6">
        <f>$M$730*$Z$730</f>
        <v>0</v>
      </c>
      <c r="AG730" s="6">
        <f>$O$730*$AA$730</f>
        <v>0</v>
      </c>
    </row>
    <row r="731" spans="1:33" ht="11.25" customHeight="1" x14ac:dyDescent="0.25">
      <c r="A731" s="4" t="s">
        <v>21</v>
      </c>
      <c r="B731" s="4" t="s">
        <v>41</v>
      </c>
      <c r="C731" s="4" t="s">
        <v>64</v>
      </c>
      <c r="D731" s="4" t="s">
        <v>25</v>
      </c>
      <c r="E731" s="4" t="s">
        <v>25</v>
      </c>
      <c r="F731" s="4" t="s">
        <v>25</v>
      </c>
      <c r="G731" s="4" t="s">
        <v>96</v>
      </c>
      <c r="H731" s="4" t="s">
        <v>25</v>
      </c>
      <c r="I731" s="5">
        <v>44562</v>
      </c>
      <c r="J731" s="6">
        <v>1000</v>
      </c>
      <c r="K731" s="6">
        <v>500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4" t="s">
        <v>66</v>
      </c>
      <c r="R731" s="4">
        <v>31277</v>
      </c>
      <c r="S731" s="6">
        <v>28</v>
      </c>
      <c r="T731" s="6">
        <v>0</v>
      </c>
      <c r="U731" s="6">
        <v>0</v>
      </c>
      <c r="V731" s="6">
        <f>IF(ISERROR(VLOOKUP($S$731,'TAR FIN'!$A$1:$O$116,15,0)),0,VLOOKUP($S$731,'TAR FIN'!$A$1:$O$116,15,0))</f>
        <v>15.24</v>
      </c>
      <c r="W731" s="6">
        <f>IF(ISERROR(VLOOKUP($T$731,'TAR FIN'!$A$1:$O$116,15,0)),0,VLOOKUP($T$731,'TAR FIN'!$A$1:$O$116,15,0))</f>
        <v>0</v>
      </c>
      <c r="X731" s="6">
        <f>IF(ISERROR(VLOOKUP($U$731,'TAR FIN'!$A$1:$O$116,15,0)),0,VLOOKUP($U$731,'TAR FIN'!$A$1:$O$116,15,0))</f>
        <v>0</v>
      </c>
      <c r="Y731" s="6">
        <f ca="1">('TUSD BE'!$AM$32+'TUSD BF'!$AM$32+'TUSD CVA'!$AM$32)*1</f>
        <v>17.138874075124019</v>
      </c>
      <c r="Z731" s="6"/>
      <c r="AA731" s="6"/>
      <c r="AB731" s="6">
        <f>$K$731*$V$731</f>
        <v>7620</v>
      </c>
      <c r="AC731" s="6">
        <f>$M$731*$W$731</f>
        <v>0</v>
      </c>
      <c r="AD731" s="6">
        <f>$O$731*$X$731</f>
        <v>0</v>
      </c>
      <c r="AE731" s="6">
        <f ca="1">$K$731*$Y$731</f>
        <v>8569.4370375620092</v>
      </c>
      <c r="AF731" s="6">
        <f>$M$731*$Z$731</f>
        <v>0</v>
      </c>
      <c r="AG731" s="6">
        <f>$O$731*$AA$731</f>
        <v>0</v>
      </c>
    </row>
    <row r="732" spans="1:33" ht="11.25" customHeight="1" x14ac:dyDescent="0.25">
      <c r="A732" s="4" t="s">
        <v>21</v>
      </c>
      <c r="B732" s="4" t="s">
        <v>41</v>
      </c>
      <c r="C732" s="4" t="s">
        <v>64</v>
      </c>
      <c r="D732" s="4" t="s">
        <v>25</v>
      </c>
      <c r="E732" s="4" t="s">
        <v>25</v>
      </c>
      <c r="F732" s="4" t="s">
        <v>25</v>
      </c>
      <c r="G732" s="4" t="s">
        <v>97</v>
      </c>
      <c r="H732" s="4" t="s">
        <v>25</v>
      </c>
      <c r="I732" s="5">
        <v>44562</v>
      </c>
      <c r="J732" s="6">
        <v>1180</v>
      </c>
      <c r="K732" s="6">
        <v>590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4" t="s">
        <v>66</v>
      </c>
      <c r="R732" s="4">
        <v>31318</v>
      </c>
      <c r="S732" s="6">
        <v>28</v>
      </c>
      <c r="T732" s="6">
        <v>0</v>
      </c>
      <c r="U732" s="6">
        <v>0</v>
      </c>
      <c r="V732" s="6">
        <f>IF(ISERROR(VLOOKUP($S$732,'TAR FIN'!$A$1:$O$116,15,0)),0,VLOOKUP($S$732,'TAR FIN'!$A$1:$O$116,15,0))</f>
        <v>15.24</v>
      </c>
      <c r="W732" s="6">
        <f>IF(ISERROR(VLOOKUP($T$732,'TAR FIN'!$A$1:$O$116,15,0)),0,VLOOKUP($T$732,'TAR FIN'!$A$1:$O$116,15,0))</f>
        <v>0</v>
      </c>
      <c r="X732" s="6">
        <f>IF(ISERROR(VLOOKUP($U$732,'TAR FIN'!$A$1:$O$116,15,0)),0,VLOOKUP($U$732,'TAR FIN'!$A$1:$O$116,15,0))</f>
        <v>0</v>
      </c>
      <c r="Y732" s="6">
        <f ca="1">('TUSD BE'!$AM$32+'TUSD BF'!$AM$32+'TUSD CVA'!$AM$32)*1</f>
        <v>17.138874075124019</v>
      </c>
      <c r="Z732" s="6"/>
      <c r="AA732" s="6"/>
      <c r="AB732" s="6">
        <f>$K$732*$V$732</f>
        <v>8991.6</v>
      </c>
      <c r="AC732" s="6">
        <f>$M$732*$W$732</f>
        <v>0</v>
      </c>
      <c r="AD732" s="6">
        <f>$O$732*$X$732</f>
        <v>0</v>
      </c>
      <c r="AE732" s="6">
        <f ca="1">$K$732*$Y$732</f>
        <v>10111.93570432317</v>
      </c>
      <c r="AF732" s="6">
        <f>$M$732*$Z$732</f>
        <v>0</v>
      </c>
      <c r="AG732" s="6">
        <f>$O$732*$AA$732</f>
        <v>0</v>
      </c>
    </row>
    <row r="733" spans="1:33" ht="11.25" customHeight="1" x14ac:dyDescent="0.25">
      <c r="A733" s="4" t="s">
        <v>21</v>
      </c>
      <c r="B733" s="4" t="s">
        <v>41</v>
      </c>
      <c r="C733" s="4" t="s">
        <v>64</v>
      </c>
      <c r="D733" s="4" t="s">
        <v>25</v>
      </c>
      <c r="E733" s="4" t="s">
        <v>25</v>
      </c>
      <c r="F733" s="4" t="s">
        <v>25</v>
      </c>
      <c r="G733" s="4" t="s">
        <v>98</v>
      </c>
      <c r="H733" s="4" t="s">
        <v>25</v>
      </c>
      <c r="I733" s="5">
        <v>44562</v>
      </c>
      <c r="J733" s="6">
        <v>3025</v>
      </c>
      <c r="K733" s="6">
        <v>1512.5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4" t="s">
        <v>66</v>
      </c>
      <c r="R733" s="4">
        <v>31334</v>
      </c>
      <c r="S733" s="6">
        <v>28</v>
      </c>
      <c r="T733" s="6">
        <v>0</v>
      </c>
      <c r="U733" s="6">
        <v>0</v>
      </c>
      <c r="V733" s="6">
        <f>IF(ISERROR(VLOOKUP($S$733,'TAR FIN'!$A$1:$O$116,15,0)),0,VLOOKUP($S$733,'TAR FIN'!$A$1:$O$116,15,0))</f>
        <v>15.24</v>
      </c>
      <c r="W733" s="6">
        <f>IF(ISERROR(VLOOKUP($T$733,'TAR FIN'!$A$1:$O$116,15,0)),0,VLOOKUP($T$733,'TAR FIN'!$A$1:$O$116,15,0))</f>
        <v>0</v>
      </c>
      <c r="X733" s="6">
        <f>IF(ISERROR(VLOOKUP($U$733,'TAR FIN'!$A$1:$O$116,15,0)),0,VLOOKUP($U$733,'TAR FIN'!$A$1:$O$116,15,0))</f>
        <v>0</v>
      </c>
      <c r="Y733" s="6">
        <f ca="1">('TUSD BE'!$AM$32+'TUSD BF'!$AM$32+'TUSD CVA'!$AM$32)*1</f>
        <v>17.138874075124019</v>
      </c>
      <c r="Z733" s="6"/>
      <c r="AA733" s="6"/>
      <c r="AB733" s="6">
        <f>$K$733*$V$733</f>
        <v>23050.5</v>
      </c>
      <c r="AC733" s="6">
        <f>$M$733*$W$733</f>
        <v>0</v>
      </c>
      <c r="AD733" s="6">
        <f>$O$733*$X$733</f>
        <v>0</v>
      </c>
      <c r="AE733" s="6">
        <f ca="1">$K$733*$Y$733</f>
        <v>25922.547038625078</v>
      </c>
      <c r="AF733" s="6">
        <f>$M$733*$Z$733</f>
        <v>0</v>
      </c>
      <c r="AG733" s="6">
        <f>$O$733*$AA$733</f>
        <v>0</v>
      </c>
    </row>
    <row r="734" spans="1:33" ht="11.25" customHeight="1" x14ac:dyDescent="0.25">
      <c r="A734" s="4" t="s">
        <v>21</v>
      </c>
      <c r="B734" s="4" t="s">
        <v>41</v>
      </c>
      <c r="C734" s="4" t="s">
        <v>64</v>
      </c>
      <c r="D734" s="4" t="s">
        <v>25</v>
      </c>
      <c r="E734" s="4" t="s">
        <v>25</v>
      </c>
      <c r="F734" s="4" t="s">
        <v>25</v>
      </c>
      <c r="G734" s="4" t="s">
        <v>99</v>
      </c>
      <c r="H734" s="4" t="s">
        <v>25</v>
      </c>
      <c r="I734" s="5">
        <v>44562</v>
      </c>
      <c r="J734" s="6">
        <v>1180</v>
      </c>
      <c r="K734" s="6">
        <v>590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4" t="s">
        <v>66</v>
      </c>
      <c r="R734" s="4">
        <v>31618</v>
      </c>
      <c r="S734" s="6">
        <v>28</v>
      </c>
      <c r="T734" s="6">
        <v>0</v>
      </c>
      <c r="U734" s="6">
        <v>0</v>
      </c>
      <c r="V734" s="6">
        <f>IF(ISERROR(VLOOKUP($S$734,'TAR FIN'!$A$1:$O$116,15,0)),0,VLOOKUP($S$734,'TAR FIN'!$A$1:$O$116,15,0))</f>
        <v>15.24</v>
      </c>
      <c r="W734" s="6">
        <f>IF(ISERROR(VLOOKUP($T$734,'TAR FIN'!$A$1:$O$116,15,0)),0,VLOOKUP($T$734,'TAR FIN'!$A$1:$O$116,15,0))</f>
        <v>0</v>
      </c>
      <c r="X734" s="6">
        <f>IF(ISERROR(VLOOKUP($U$734,'TAR FIN'!$A$1:$O$116,15,0)),0,VLOOKUP($U$734,'TAR FIN'!$A$1:$O$116,15,0))</f>
        <v>0</v>
      </c>
      <c r="Y734" s="6">
        <f ca="1">('TUSD BE'!$AM$32+'TUSD BF'!$AM$32+'TUSD CVA'!$AM$32)*1</f>
        <v>17.138874075124019</v>
      </c>
      <c r="Z734" s="6"/>
      <c r="AA734" s="6"/>
      <c r="AB734" s="6">
        <f>$K$734*$V$734</f>
        <v>8991.6</v>
      </c>
      <c r="AC734" s="6">
        <f>$M$734*$W$734</f>
        <v>0</v>
      </c>
      <c r="AD734" s="6">
        <f>$O$734*$X$734</f>
        <v>0</v>
      </c>
      <c r="AE734" s="6">
        <f ca="1">$K$734*$Y$734</f>
        <v>10111.93570432317</v>
      </c>
      <c r="AF734" s="6">
        <f>$M$734*$Z$734</f>
        <v>0</v>
      </c>
      <c r="AG734" s="6">
        <f>$O$734*$AA$734</f>
        <v>0</v>
      </c>
    </row>
    <row r="735" spans="1:33" ht="11.25" customHeight="1" x14ac:dyDescent="0.25">
      <c r="A735" s="4" t="s">
        <v>21</v>
      </c>
      <c r="B735" s="4" t="s">
        <v>41</v>
      </c>
      <c r="C735" s="4" t="s">
        <v>64</v>
      </c>
      <c r="D735" s="4" t="s">
        <v>25</v>
      </c>
      <c r="E735" s="4" t="s">
        <v>25</v>
      </c>
      <c r="F735" s="4" t="s">
        <v>25</v>
      </c>
      <c r="G735" s="4" t="s">
        <v>100</v>
      </c>
      <c r="H735" s="4" t="s">
        <v>25</v>
      </c>
      <c r="I735" s="5">
        <v>44562</v>
      </c>
      <c r="J735" s="6">
        <v>1180</v>
      </c>
      <c r="K735" s="6">
        <v>590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4" t="s">
        <v>66</v>
      </c>
      <c r="R735" s="4">
        <v>31677</v>
      </c>
      <c r="S735" s="6">
        <v>28</v>
      </c>
      <c r="T735" s="6">
        <v>0</v>
      </c>
      <c r="U735" s="6">
        <v>0</v>
      </c>
      <c r="V735" s="6">
        <f>IF(ISERROR(VLOOKUP($S$735,'TAR FIN'!$A$1:$O$116,15,0)),0,VLOOKUP($S$735,'TAR FIN'!$A$1:$O$116,15,0))</f>
        <v>15.24</v>
      </c>
      <c r="W735" s="6">
        <f>IF(ISERROR(VLOOKUP($T$735,'TAR FIN'!$A$1:$O$116,15,0)),0,VLOOKUP($T$735,'TAR FIN'!$A$1:$O$116,15,0))</f>
        <v>0</v>
      </c>
      <c r="X735" s="6">
        <f>IF(ISERROR(VLOOKUP($U$735,'TAR FIN'!$A$1:$O$116,15,0)),0,VLOOKUP($U$735,'TAR FIN'!$A$1:$O$116,15,0))</f>
        <v>0</v>
      </c>
      <c r="Y735" s="6">
        <f ca="1">('TUSD BE'!$AM$32+'TUSD BF'!$AM$32+'TUSD CVA'!$AM$32)*1</f>
        <v>17.138874075124019</v>
      </c>
      <c r="Z735" s="6"/>
      <c r="AA735" s="6"/>
      <c r="AB735" s="6">
        <f>$K$735*$V$735</f>
        <v>8991.6</v>
      </c>
      <c r="AC735" s="6">
        <f>$M$735*$W$735</f>
        <v>0</v>
      </c>
      <c r="AD735" s="6">
        <f>$O$735*$X$735</f>
        <v>0</v>
      </c>
      <c r="AE735" s="6">
        <f ca="1">$K$735*$Y$735</f>
        <v>10111.93570432317</v>
      </c>
      <c r="AF735" s="6">
        <f>$M$735*$Z$735</f>
        <v>0</v>
      </c>
      <c r="AG735" s="6">
        <f>$O$735*$AA$735</f>
        <v>0</v>
      </c>
    </row>
    <row r="736" spans="1:33" ht="11.25" customHeight="1" x14ac:dyDescent="0.25">
      <c r="A736" s="4" t="s">
        <v>21</v>
      </c>
      <c r="B736" s="4" t="s">
        <v>41</v>
      </c>
      <c r="C736" s="4" t="s">
        <v>64</v>
      </c>
      <c r="D736" s="4" t="s">
        <v>25</v>
      </c>
      <c r="E736" s="4" t="s">
        <v>25</v>
      </c>
      <c r="F736" s="4" t="s">
        <v>25</v>
      </c>
      <c r="G736" s="4" t="s">
        <v>68</v>
      </c>
      <c r="H736" s="4" t="s">
        <v>25</v>
      </c>
      <c r="I736" s="5">
        <v>44593</v>
      </c>
      <c r="J736" s="6">
        <v>302</v>
      </c>
      <c r="K736" s="6">
        <v>302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4" t="s">
        <v>66</v>
      </c>
      <c r="R736" s="4">
        <v>404</v>
      </c>
      <c r="S736" s="6">
        <v>28</v>
      </c>
      <c r="T736" s="6">
        <v>0</v>
      </c>
      <c r="U736" s="6">
        <v>0</v>
      </c>
      <c r="V736" s="6">
        <f>IF(ISERROR(VLOOKUP($S$736,'TAR FIN'!$A$1:$O$116,15,0)),0,VLOOKUP($S$736,'TAR FIN'!$A$1:$O$116,15,0))</f>
        <v>15.24</v>
      </c>
      <c r="W736" s="6">
        <f>IF(ISERROR(VLOOKUP($T$736,'TAR FIN'!$A$1:$O$116,15,0)),0,VLOOKUP($T$736,'TAR FIN'!$A$1:$O$116,15,0))</f>
        <v>0</v>
      </c>
      <c r="X736" s="6">
        <f>IF(ISERROR(VLOOKUP($U$736,'TAR FIN'!$A$1:$O$116,15,0)),0,VLOOKUP($U$736,'TAR FIN'!$A$1:$O$116,15,0))</f>
        <v>0</v>
      </c>
      <c r="Y736" s="6">
        <f ca="1">('TUSD BE'!$AM$32+'TUSD BF'!$AM$32+'TUSD CVA'!$AM$32)*1</f>
        <v>17.138874075124019</v>
      </c>
      <c r="Z736" s="6"/>
      <c r="AA736" s="6"/>
      <c r="AB736" s="6">
        <f>$K$736*$V$736</f>
        <v>4602.4800000000005</v>
      </c>
      <c r="AC736" s="6">
        <f>$M$736*$W$736</f>
        <v>0</v>
      </c>
      <c r="AD736" s="6">
        <f>$O$736*$X$736</f>
        <v>0</v>
      </c>
      <c r="AE736" s="6">
        <f ca="1">$K$736*$Y$736</f>
        <v>5175.9399706874538</v>
      </c>
      <c r="AF736" s="6">
        <f>$M$736*$Z$736</f>
        <v>0</v>
      </c>
      <c r="AG736" s="6">
        <f>$O$736*$AA$736</f>
        <v>0</v>
      </c>
    </row>
    <row r="737" spans="1:33" ht="11.25" customHeight="1" x14ac:dyDescent="0.25">
      <c r="A737" s="4" t="s">
        <v>21</v>
      </c>
      <c r="B737" s="4" t="s">
        <v>41</v>
      </c>
      <c r="C737" s="4" t="s">
        <v>64</v>
      </c>
      <c r="D737" s="4" t="s">
        <v>25</v>
      </c>
      <c r="E737" s="4" t="s">
        <v>25</v>
      </c>
      <c r="F737" s="4" t="s">
        <v>25</v>
      </c>
      <c r="G737" s="4" t="s">
        <v>70</v>
      </c>
      <c r="H737" s="4" t="s">
        <v>25</v>
      </c>
      <c r="I737" s="5">
        <v>44593</v>
      </c>
      <c r="J737" s="6">
        <v>5040</v>
      </c>
      <c r="K737" s="6">
        <v>5040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4" t="s">
        <v>66</v>
      </c>
      <c r="R737" s="4">
        <v>838</v>
      </c>
      <c r="S737" s="6">
        <v>28</v>
      </c>
      <c r="T737" s="6">
        <v>0</v>
      </c>
      <c r="U737" s="6">
        <v>0</v>
      </c>
      <c r="V737" s="6">
        <f>IF(ISERROR(VLOOKUP($S$737,'TAR FIN'!$A$1:$O$116,15,0)),0,VLOOKUP($S$737,'TAR FIN'!$A$1:$O$116,15,0))</f>
        <v>15.24</v>
      </c>
      <c r="W737" s="6">
        <f>IF(ISERROR(VLOOKUP($T$737,'TAR FIN'!$A$1:$O$116,15,0)),0,VLOOKUP($T$737,'TAR FIN'!$A$1:$O$116,15,0))</f>
        <v>0</v>
      </c>
      <c r="X737" s="6">
        <f>IF(ISERROR(VLOOKUP($U$737,'TAR FIN'!$A$1:$O$116,15,0)),0,VLOOKUP($U$737,'TAR FIN'!$A$1:$O$116,15,0))</f>
        <v>0</v>
      </c>
      <c r="Y737" s="6">
        <f ca="1">('TUSD BE'!$AM$32+'TUSD BF'!$AM$32+'TUSD CVA'!$AM$32)*1</f>
        <v>17.138874075124019</v>
      </c>
      <c r="Z737" s="6"/>
      <c r="AA737" s="6"/>
      <c r="AB737" s="6">
        <f>$K$737*$V$737</f>
        <v>76809.600000000006</v>
      </c>
      <c r="AC737" s="6">
        <f>$M$737*$W$737</f>
        <v>0</v>
      </c>
      <c r="AD737" s="6">
        <f>$O$737*$X$737</f>
        <v>0</v>
      </c>
      <c r="AE737" s="6">
        <f ca="1">$K$737*$Y$737</f>
        <v>86379.925338625049</v>
      </c>
      <c r="AF737" s="6">
        <f>$M$737*$Z$737</f>
        <v>0</v>
      </c>
      <c r="AG737" s="6">
        <f>$O$737*$AA$737</f>
        <v>0</v>
      </c>
    </row>
    <row r="738" spans="1:33" ht="11.25" customHeight="1" x14ac:dyDescent="0.25">
      <c r="A738" s="4" t="s">
        <v>21</v>
      </c>
      <c r="B738" s="4" t="s">
        <v>41</v>
      </c>
      <c r="C738" s="4" t="s">
        <v>64</v>
      </c>
      <c r="D738" s="4" t="s">
        <v>25</v>
      </c>
      <c r="E738" s="4" t="s">
        <v>25</v>
      </c>
      <c r="F738" s="4" t="s">
        <v>25</v>
      </c>
      <c r="G738" s="4" t="s">
        <v>74</v>
      </c>
      <c r="H738" s="4" t="s">
        <v>25</v>
      </c>
      <c r="I738" s="5">
        <v>44593</v>
      </c>
      <c r="J738" s="6">
        <v>3800</v>
      </c>
      <c r="K738" s="6">
        <v>1900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4" t="s">
        <v>66</v>
      </c>
      <c r="R738" s="4">
        <v>1192</v>
      </c>
      <c r="S738" s="6">
        <v>28</v>
      </c>
      <c r="T738" s="6">
        <v>0</v>
      </c>
      <c r="U738" s="6">
        <v>0</v>
      </c>
      <c r="V738" s="6">
        <f>IF(ISERROR(VLOOKUP($S$738,'TAR FIN'!$A$1:$O$116,15,0)),0,VLOOKUP($S$738,'TAR FIN'!$A$1:$O$116,15,0))</f>
        <v>15.24</v>
      </c>
      <c r="W738" s="6">
        <f>IF(ISERROR(VLOOKUP($T$738,'TAR FIN'!$A$1:$O$116,15,0)),0,VLOOKUP($T$738,'TAR FIN'!$A$1:$O$116,15,0))</f>
        <v>0</v>
      </c>
      <c r="X738" s="6">
        <f>IF(ISERROR(VLOOKUP($U$738,'TAR FIN'!$A$1:$O$116,15,0)),0,VLOOKUP($U$738,'TAR FIN'!$A$1:$O$116,15,0))</f>
        <v>0</v>
      </c>
      <c r="Y738" s="6">
        <f ca="1">('TUSD BE'!$AM$32+'TUSD BF'!$AM$32+'TUSD CVA'!$AM$32)*1</f>
        <v>17.138874075124019</v>
      </c>
      <c r="Z738" s="6"/>
      <c r="AA738" s="6"/>
      <c r="AB738" s="6">
        <f>$K$738*$V$738</f>
        <v>28956</v>
      </c>
      <c r="AC738" s="6">
        <f>$M$738*$W$738</f>
        <v>0</v>
      </c>
      <c r="AD738" s="6">
        <f>$O$738*$X$738</f>
        <v>0</v>
      </c>
      <c r="AE738" s="6">
        <f ca="1">$K$738*$Y$738</f>
        <v>32563.860742735636</v>
      </c>
      <c r="AF738" s="6">
        <f>$M$738*$Z$738</f>
        <v>0</v>
      </c>
      <c r="AG738" s="6">
        <f>$O$738*$AA$738</f>
        <v>0</v>
      </c>
    </row>
    <row r="739" spans="1:33" ht="11.25" customHeight="1" x14ac:dyDescent="0.25">
      <c r="A739" s="4" t="s">
        <v>21</v>
      </c>
      <c r="B739" s="4" t="s">
        <v>41</v>
      </c>
      <c r="C739" s="4" t="s">
        <v>64</v>
      </c>
      <c r="D739" s="4" t="s">
        <v>25</v>
      </c>
      <c r="E739" s="4" t="s">
        <v>25</v>
      </c>
      <c r="F739" s="4" t="s">
        <v>25</v>
      </c>
      <c r="G739" s="4" t="s">
        <v>76</v>
      </c>
      <c r="H739" s="4" t="s">
        <v>25</v>
      </c>
      <c r="I739" s="5">
        <v>44593</v>
      </c>
      <c r="J739" s="6">
        <v>480</v>
      </c>
      <c r="K739" s="6">
        <v>480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4" t="s">
        <v>66</v>
      </c>
      <c r="R739" s="4">
        <v>1438</v>
      </c>
      <c r="S739" s="6">
        <v>28</v>
      </c>
      <c r="T739" s="6">
        <v>0</v>
      </c>
      <c r="U739" s="6">
        <v>0</v>
      </c>
      <c r="V739" s="6">
        <f>IF(ISERROR(VLOOKUP($S$739,'TAR FIN'!$A$1:$O$116,15,0)),0,VLOOKUP($S$739,'TAR FIN'!$A$1:$O$116,15,0))</f>
        <v>15.24</v>
      </c>
      <c r="W739" s="6">
        <f>IF(ISERROR(VLOOKUP($T$739,'TAR FIN'!$A$1:$O$116,15,0)),0,VLOOKUP($T$739,'TAR FIN'!$A$1:$O$116,15,0))</f>
        <v>0</v>
      </c>
      <c r="X739" s="6">
        <f>IF(ISERROR(VLOOKUP($U$739,'TAR FIN'!$A$1:$O$116,15,0)),0,VLOOKUP($U$739,'TAR FIN'!$A$1:$O$116,15,0))</f>
        <v>0</v>
      </c>
      <c r="Y739" s="6">
        <f ca="1">('TUSD BE'!$AM$32+'TUSD BF'!$AM$32+'TUSD CVA'!$AM$32)*1</f>
        <v>17.138874075124019</v>
      </c>
      <c r="Z739" s="6"/>
      <c r="AA739" s="6"/>
      <c r="AB739" s="6">
        <f>$K$739*$V$739</f>
        <v>7315.2</v>
      </c>
      <c r="AC739" s="6">
        <f>$M$739*$W$739</f>
        <v>0</v>
      </c>
      <c r="AD739" s="6">
        <f>$O$739*$X$739</f>
        <v>0</v>
      </c>
      <c r="AE739" s="6">
        <f ca="1">$K$739*$Y$739</f>
        <v>8226.6595560595288</v>
      </c>
      <c r="AF739" s="6">
        <f>$M$739*$Z$739</f>
        <v>0</v>
      </c>
      <c r="AG739" s="6">
        <f>$O$739*$AA$739</f>
        <v>0</v>
      </c>
    </row>
    <row r="740" spans="1:33" ht="11.25" customHeight="1" x14ac:dyDescent="0.25">
      <c r="A740" s="4" t="s">
        <v>21</v>
      </c>
      <c r="B740" s="4" t="s">
        <v>41</v>
      </c>
      <c r="C740" s="4" t="s">
        <v>64</v>
      </c>
      <c r="D740" s="4" t="s">
        <v>25</v>
      </c>
      <c r="E740" s="4" t="s">
        <v>25</v>
      </c>
      <c r="F740" s="4" t="s">
        <v>25</v>
      </c>
      <c r="G740" s="4" t="s">
        <v>77</v>
      </c>
      <c r="H740" s="4" t="s">
        <v>25</v>
      </c>
      <c r="I740" s="5">
        <v>44593</v>
      </c>
      <c r="J740" s="6">
        <v>736</v>
      </c>
      <c r="K740" s="6">
        <v>736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4" t="s">
        <v>66</v>
      </c>
      <c r="R740" s="4">
        <v>1462</v>
      </c>
      <c r="S740" s="6">
        <v>28</v>
      </c>
      <c r="T740" s="6">
        <v>0</v>
      </c>
      <c r="U740" s="6">
        <v>0</v>
      </c>
      <c r="V740" s="6">
        <f>IF(ISERROR(VLOOKUP($S$740,'TAR FIN'!$A$1:$O$116,15,0)),0,VLOOKUP($S$740,'TAR FIN'!$A$1:$O$116,15,0))</f>
        <v>15.24</v>
      </c>
      <c r="W740" s="6">
        <f>IF(ISERROR(VLOOKUP($T$740,'TAR FIN'!$A$1:$O$116,15,0)),0,VLOOKUP($T$740,'TAR FIN'!$A$1:$O$116,15,0))</f>
        <v>0</v>
      </c>
      <c r="X740" s="6">
        <f>IF(ISERROR(VLOOKUP($U$740,'TAR FIN'!$A$1:$O$116,15,0)),0,VLOOKUP($U$740,'TAR FIN'!$A$1:$O$116,15,0))</f>
        <v>0</v>
      </c>
      <c r="Y740" s="6">
        <f ca="1">('TUSD BE'!$AM$32+'TUSD BF'!$AM$32+'TUSD CVA'!$AM$32)*1</f>
        <v>17.138874075124019</v>
      </c>
      <c r="Z740" s="6"/>
      <c r="AA740" s="6"/>
      <c r="AB740" s="6">
        <f>$K$740*$V$740</f>
        <v>11216.64</v>
      </c>
      <c r="AC740" s="6">
        <f>$M$740*$W$740</f>
        <v>0</v>
      </c>
      <c r="AD740" s="6">
        <f>$O$740*$X$740</f>
        <v>0</v>
      </c>
      <c r="AE740" s="6">
        <f ca="1">$K$740*$Y$740</f>
        <v>12614.211319291278</v>
      </c>
      <c r="AF740" s="6">
        <f>$M$740*$Z$740</f>
        <v>0</v>
      </c>
      <c r="AG740" s="6">
        <f>$O$740*$AA$740</f>
        <v>0</v>
      </c>
    </row>
    <row r="741" spans="1:33" ht="11.25" customHeight="1" x14ac:dyDescent="0.25">
      <c r="A741" s="4" t="s">
        <v>21</v>
      </c>
      <c r="B741" s="4" t="s">
        <v>41</v>
      </c>
      <c r="C741" s="4" t="s">
        <v>64</v>
      </c>
      <c r="D741" s="4" t="s">
        <v>25</v>
      </c>
      <c r="E741" s="4" t="s">
        <v>25</v>
      </c>
      <c r="F741" s="4" t="s">
        <v>25</v>
      </c>
      <c r="G741" s="4" t="s">
        <v>78</v>
      </c>
      <c r="H741" s="4" t="s">
        <v>25</v>
      </c>
      <c r="I741" s="5">
        <v>44593</v>
      </c>
      <c r="J741" s="6">
        <v>6460</v>
      </c>
      <c r="K741" s="6">
        <v>6460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4" t="s">
        <v>66</v>
      </c>
      <c r="R741" s="4">
        <v>1533</v>
      </c>
      <c r="S741" s="6">
        <v>28</v>
      </c>
      <c r="T741" s="6">
        <v>0</v>
      </c>
      <c r="U741" s="6">
        <v>0</v>
      </c>
      <c r="V741" s="6">
        <f>IF(ISERROR(VLOOKUP($S$741,'TAR FIN'!$A$1:$O$116,15,0)),0,VLOOKUP($S$741,'TAR FIN'!$A$1:$O$116,15,0))</f>
        <v>15.24</v>
      </c>
      <c r="W741" s="6">
        <f>IF(ISERROR(VLOOKUP($T$741,'TAR FIN'!$A$1:$O$116,15,0)),0,VLOOKUP($T$741,'TAR FIN'!$A$1:$O$116,15,0))</f>
        <v>0</v>
      </c>
      <c r="X741" s="6">
        <f>IF(ISERROR(VLOOKUP($U$741,'TAR FIN'!$A$1:$O$116,15,0)),0,VLOOKUP($U$741,'TAR FIN'!$A$1:$O$116,15,0))</f>
        <v>0</v>
      </c>
      <c r="Y741" s="6">
        <f ca="1">('TUSD BE'!$AM$32+'TUSD BF'!$AM$32+'TUSD CVA'!$AM$32)*1</f>
        <v>17.138874075124019</v>
      </c>
      <c r="Z741" s="6"/>
      <c r="AA741" s="6"/>
      <c r="AB741" s="6">
        <f>$K$741*$V$741</f>
        <v>98450.4</v>
      </c>
      <c r="AC741" s="6">
        <f>$M$741*$W$741</f>
        <v>0</v>
      </c>
      <c r="AD741" s="6">
        <f>$O$741*$X$741</f>
        <v>0</v>
      </c>
      <c r="AE741" s="6">
        <f ca="1">$K$741*$Y$741</f>
        <v>110717.12652530117</v>
      </c>
      <c r="AF741" s="6">
        <f>$M$741*$Z$741</f>
        <v>0</v>
      </c>
      <c r="AG741" s="6">
        <f>$O$741*$AA$741</f>
        <v>0</v>
      </c>
    </row>
    <row r="742" spans="1:33" ht="11.25" customHeight="1" x14ac:dyDescent="0.25">
      <c r="A742" s="4" t="s">
        <v>21</v>
      </c>
      <c r="B742" s="4" t="s">
        <v>41</v>
      </c>
      <c r="C742" s="4" t="s">
        <v>64</v>
      </c>
      <c r="D742" s="4" t="s">
        <v>25</v>
      </c>
      <c r="E742" s="4" t="s">
        <v>25</v>
      </c>
      <c r="F742" s="4" t="s">
        <v>25</v>
      </c>
      <c r="G742" s="4" t="s">
        <v>79</v>
      </c>
      <c r="H742" s="4" t="s">
        <v>25</v>
      </c>
      <c r="I742" s="5">
        <v>44593</v>
      </c>
      <c r="J742" s="6">
        <v>770</v>
      </c>
      <c r="K742" s="6">
        <v>770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4" t="s">
        <v>66</v>
      </c>
      <c r="R742" s="4">
        <v>2535</v>
      </c>
      <c r="S742" s="6">
        <v>28</v>
      </c>
      <c r="T742" s="6">
        <v>0</v>
      </c>
      <c r="U742" s="6">
        <v>0</v>
      </c>
      <c r="V742" s="6">
        <f>IF(ISERROR(VLOOKUP($S$742,'TAR FIN'!$A$1:$O$116,15,0)),0,VLOOKUP($S$742,'TAR FIN'!$A$1:$O$116,15,0))</f>
        <v>15.24</v>
      </c>
      <c r="W742" s="6">
        <f>IF(ISERROR(VLOOKUP($T$742,'TAR FIN'!$A$1:$O$116,15,0)),0,VLOOKUP($T$742,'TAR FIN'!$A$1:$O$116,15,0))</f>
        <v>0</v>
      </c>
      <c r="X742" s="6">
        <f>IF(ISERROR(VLOOKUP($U$742,'TAR FIN'!$A$1:$O$116,15,0)),0,VLOOKUP($U$742,'TAR FIN'!$A$1:$O$116,15,0))</f>
        <v>0</v>
      </c>
      <c r="Y742" s="6">
        <f ca="1">('TUSD BE'!$AM$32+'TUSD BF'!$AM$32+'TUSD CVA'!$AM$32)*1</f>
        <v>17.138874075124019</v>
      </c>
      <c r="Z742" s="6"/>
      <c r="AA742" s="6"/>
      <c r="AB742" s="6">
        <f>$K$742*$V$742</f>
        <v>11734.8</v>
      </c>
      <c r="AC742" s="6">
        <f>$M$742*$W$742</f>
        <v>0</v>
      </c>
      <c r="AD742" s="6">
        <f>$O$742*$X$742</f>
        <v>0</v>
      </c>
      <c r="AE742" s="6">
        <f ca="1">$K$742*$Y$742</f>
        <v>13196.933037845494</v>
      </c>
      <c r="AF742" s="6">
        <f>$M$742*$Z$742</f>
        <v>0</v>
      </c>
      <c r="AG742" s="6">
        <f>$O$742*$AA$742</f>
        <v>0</v>
      </c>
    </row>
    <row r="743" spans="1:33" ht="11.25" customHeight="1" x14ac:dyDescent="0.25">
      <c r="A743" s="4" t="s">
        <v>21</v>
      </c>
      <c r="B743" s="4" t="s">
        <v>41</v>
      </c>
      <c r="C743" s="4" t="s">
        <v>64</v>
      </c>
      <c r="D743" s="4" t="s">
        <v>25</v>
      </c>
      <c r="E743" s="4" t="s">
        <v>25</v>
      </c>
      <c r="F743" s="4" t="s">
        <v>25</v>
      </c>
      <c r="G743" s="4" t="s">
        <v>80</v>
      </c>
      <c r="H743" s="4" t="s">
        <v>25</v>
      </c>
      <c r="I743" s="5">
        <v>44593</v>
      </c>
      <c r="J743" s="6">
        <v>1416</v>
      </c>
      <c r="K743" s="6">
        <v>1416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4" t="s">
        <v>66</v>
      </c>
      <c r="R743" s="4">
        <v>2751</v>
      </c>
      <c r="S743" s="6">
        <v>28</v>
      </c>
      <c r="T743" s="6">
        <v>0</v>
      </c>
      <c r="U743" s="6">
        <v>0</v>
      </c>
      <c r="V743" s="6">
        <f>IF(ISERROR(VLOOKUP($S$743,'TAR FIN'!$A$1:$O$116,15,0)),0,VLOOKUP($S$743,'TAR FIN'!$A$1:$O$116,15,0))</f>
        <v>15.24</v>
      </c>
      <c r="W743" s="6">
        <f>IF(ISERROR(VLOOKUP($T$743,'TAR FIN'!$A$1:$O$116,15,0)),0,VLOOKUP($T$743,'TAR FIN'!$A$1:$O$116,15,0))</f>
        <v>0</v>
      </c>
      <c r="X743" s="6">
        <f>IF(ISERROR(VLOOKUP($U$743,'TAR FIN'!$A$1:$O$116,15,0)),0,VLOOKUP($U$743,'TAR FIN'!$A$1:$O$116,15,0))</f>
        <v>0</v>
      </c>
      <c r="Y743" s="6">
        <f ca="1">('TUSD BE'!$AM$32+'TUSD BF'!$AM$32+'TUSD CVA'!$AM$32)*1</f>
        <v>17.138874075124019</v>
      </c>
      <c r="Z743" s="6"/>
      <c r="AA743" s="6"/>
      <c r="AB743" s="6">
        <f>$K$743*$V$743</f>
        <v>21579.84</v>
      </c>
      <c r="AC743" s="6">
        <f>$M$743*$W$743</f>
        <v>0</v>
      </c>
      <c r="AD743" s="6">
        <f>$O$743*$X$743</f>
        <v>0</v>
      </c>
      <c r="AE743" s="6">
        <f ca="1">$K$743*$Y$743</f>
        <v>24268.645690375612</v>
      </c>
      <c r="AF743" s="6">
        <f>$M$743*$Z$743</f>
        <v>0</v>
      </c>
      <c r="AG743" s="6">
        <f>$O$743*$AA$743</f>
        <v>0</v>
      </c>
    </row>
    <row r="744" spans="1:33" ht="11.25" customHeight="1" x14ac:dyDescent="0.25">
      <c r="A744" s="4" t="s">
        <v>21</v>
      </c>
      <c r="B744" s="4" t="s">
        <v>41</v>
      </c>
      <c r="C744" s="4" t="s">
        <v>64</v>
      </c>
      <c r="D744" s="4" t="s">
        <v>25</v>
      </c>
      <c r="E744" s="4" t="s">
        <v>25</v>
      </c>
      <c r="F744" s="4" t="s">
        <v>25</v>
      </c>
      <c r="G744" s="4" t="s">
        <v>88</v>
      </c>
      <c r="H744" s="4" t="s">
        <v>25</v>
      </c>
      <c r="I744" s="5">
        <v>44593</v>
      </c>
      <c r="J744" s="6">
        <v>9500</v>
      </c>
      <c r="K744" s="6">
        <v>4750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4" t="s">
        <v>66</v>
      </c>
      <c r="R744" s="4">
        <v>27722</v>
      </c>
      <c r="S744" s="6">
        <v>28</v>
      </c>
      <c r="T744" s="6">
        <v>0</v>
      </c>
      <c r="U744" s="6">
        <v>0</v>
      </c>
      <c r="V744" s="6">
        <f>IF(ISERROR(VLOOKUP($S$744,'TAR FIN'!$A$1:$O$116,15,0)),0,VLOOKUP($S$744,'TAR FIN'!$A$1:$O$116,15,0))</f>
        <v>15.24</v>
      </c>
      <c r="W744" s="6">
        <f>IF(ISERROR(VLOOKUP($T$744,'TAR FIN'!$A$1:$O$116,15,0)),0,VLOOKUP($T$744,'TAR FIN'!$A$1:$O$116,15,0))</f>
        <v>0</v>
      </c>
      <c r="X744" s="6">
        <f>IF(ISERROR(VLOOKUP($U$744,'TAR FIN'!$A$1:$O$116,15,0)),0,VLOOKUP($U$744,'TAR FIN'!$A$1:$O$116,15,0))</f>
        <v>0</v>
      </c>
      <c r="Y744" s="6">
        <f ca="1">('TUSD BE'!$AM$32+'TUSD BF'!$AM$32+'TUSD CVA'!$AM$32)*1</f>
        <v>17.138874075124019</v>
      </c>
      <c r="Z744" s="6"/>
      <c r="AA744" s="6"/>
      <c r="AB744" s="6">
        <f>$K$744*$V$744</f>
        <v>72390</v>
      </c>
      <c r="AC744" s="6">
        <f>$M$744*$W$744</f>
        <v>0</v>
      </c>
      <c r="AD744" s="6">
        <f>$O$744*$X$744</f>
        <v>0</v>
      </c>
      <c r="AE744" s="6">
        <f ca="1">$K$744*$Y$744</f>
        <v>81409.651856839089</v>
      </c>
      <c r="AF744" s="6">
        <f>$M$744*$Z$744</f>
        <v>0</v>
      </c>
      <c r="AG744" s="6">
        <f>$O$744*$AA$744</f>
        <v>0</v>
      </c>
    </row>
    <row r="745" spans="1:33" ht="11.25" customHeight="1" x14ac:dyDescent="0.25">
      <c r="A745" s="4" t="s">
        <v>21</v>
      </c>
      <c r="B745" s="4" t="s">
        <v>41</v>
      </c>
      <c r="C745" s="4" t="s">
        <v>64</v>
      </c>
      <c r="D745" s="4" t="s">
        <v>25</v>
      </c>
      <c r="E745" s="4" t="s">
        <v>25</v>
      </c>
      <c r="F745" s="4" t="s">
        <v>25</v>
      </c>
      <c r="G745" s="4" t="s">
        <v>90</v>
      </c>
      <c r="H745" s="4" t="s">
        <v>25</v>
      </c>
      <c r="I745" s="5">
        <v>44593</v>
      </c>
      <c r="J745" s="6">
        <v>420</v>
      </c>
      <c r="K745" s="6">
        <v>420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4" t="s">
        <v>66</v>
      </c>
      <c r="R745" s="4">
        <v>27928</v>
      </c>
      <c r="S745" s="6">
        <v>28</v>
      </c>
      <c r="T745" s="6">
        <v>0</v>
      </c>
      <c r="U745" s="6">
        <v>0</v>
      </c>
      <c r="V745" s="6">
        <f>IF(ISERROR(VLOOKUP($S$745,'TAR FIN'!$A$1:$O$116,15,0)),0,VLOOKUP($S$745,'TAR FIN'!$A$1:$O$116,15,0))</f>
        <v>15.24</v>
      </c>
      <c r="W745" s="6">
        <f>IF(ISERROR(VLOOKUP($T$745,'TAR FIN'!$A$1:$O$116,15,0)),0,VLOOKUP($T$745,'TAR FIN'!$A$1:$O$116,15,0))</f>
        <v>0</v>
      </c>
      <c r="X745" s="6">
        <f>IF(ISERROR(VLOOKUP($U$745,'TAR FIN'!$A$1:$O$116,15,0)),0,VLOOKUP($U$745,'TAR FIN'!$A$1:$O$116,15,0))</f>
        <v>0</v>
      </c>
      <c r="Y745" s="6">
        <f ca="1">('TUSD BE'!$AM$32+'TUSD BF'!$AM$32+'TUSD CVA'!$AM$32)*1</f>
        <v>17.138874075124019</v>
      </c>
      <c r="Z745" s="6"/>
      <c r="AA745" s="6"/>
      <c r="AB745" s="6">
        <f>$K$745*$V$745</f>
        <v>6400.8</v>
      </c>
      <c r="AC745" s="6">
        <f>$M$745*$W$745</f>
        <v>0</v>
      </c>
      <c r="AD745" s="6">
        <f>$O$745*$X$745</f>
        <v>0</v>
      </c>
      <c r="AE745" s="6">
        <f ca="1">$K$745*$Y$745</f>
        <v>7198.3271115520874</v>
      </c>
      <c r="AF745" s="6">
        <f>$M$745*$Z$745</f>
        <v>0</v>
      </c>
      <c r="AG745" s="6">
        <f>$O$745*$AA$745</f>
        <v>0</v>
      </c>
    </row>
    <row r="746" spans="1:33" ht="11.25" customHeight="1" x14ac:dyDescent="0.25">
      <c r="A746" s="4" t="s">
        <v>21</v>
      </c>
      <c r="B746" s="4" t="s">
        <v>41</v>
      </c>
      <c r="C746" s="4" t="s">
        <v>64</v>
      </c>
      <c r="D746" s="4" t="s">
        <v>25</v>
      </c>
      <c r="E746" s="4" t="s">
        <v>25</v>
      </c>
      <c r="F746" s="4" t="s">
        <v>25</v>
      </c>
      <c r="G746" s="4" t="s">
        <v>93</v>
      </c>
      <c r="H746" s="4" t="s">
        <v>25</v>
      </c>
      <c r="I746" s="5">
        <v>44593</v>
      </c>
      <c r="J746" s="6">
        <v>1300</v>
      </c>
      <c r="K746" s="6">
        <v>650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4" t="s">
        <v>66</v>
      </c>
      <c r="R746" s="4">
        <v>30847</v>
      </c>
      <c r="S746" s="6">
        <v>28</v>
      </c>
      <c r="T746" s="6">
        <v>0</v>
      </c>
      <c r="U746" s="6">
        <v>0</v>
      </c>
      <c r="V746" s="6">
        <f>IF(ISERROR(VLOOKUP($S$746,'TAR FIN'!$A$1:$O$116,15,0)),0,VLOOKUP($S$746,'TAR FIN'!$A$1:$O$116,15,0))</f>
        <v>15.24</v>
      </c>
      <c r="W746" s="6">
        <f>IF(ISERROR(VLOOKUP($T$746,'TAR FIN'!$A$1:$O$116,15,0)),0,VLOOKUP($T$746,'TAR FIN'!$A$1:$O$116,15,0))</f>
        <v>0</v>
      </c>
      <c r="X746" s="6">
        <f>IF(ISERROR(VLOOKUP($U$746,'TAR FIN'!$A$1:$O$116,15,0)),0,VLOOKUP($U$746,'TAR FIN'!$A$1:$O$116,15,0))</f>
        <v>0</v>
      </c>
      <c r="Y746" s="6">
        <f ca="1">('TUSD BE'!$AM$32+'TUSD BF'!$AM$32+'TUSD CVA'!$AM$32)*1</f>
        <v>17.138874075124019</v>
      </c>
      <c r="Z746" s="6"/>
      <c r="AA746" s="6"/>
      <c r="AB746" s="6">
        <f>$K$746*$V$746</f>
        <v>9906</v>
      </c>
      <c r="AC746" s="6">
        <f>$M$746*$W$746</f>
        <v>0</v>
      </c>
      <c r="AD746" s="6">
        <f>$O$746*$X$746</f>
        <v>0</v>
      </c>
      <c r="AE746" s="6">
        <f ca="1">$K$746*$Y$746</f>
        <v>11140.268148830612</v>
      </c>
      <c r="AF746" s="6">
        <f>$M$746*$Z$746</f>
        <v>0</v>
      </c>
      <c r="AG746" s="6">
        <f>$O$746*$AA$746</f>
        <v>0</v>
      </c>
    </row>
    <row r="747" spans="1:33" ht="11.25" customHeight="1" x14ac:dyDescent="0.25">
      <c r="A747" s="4" t="s">
        <v>21</v>
      </c>
      <c r="B747" s="4" t="s">
        <v>41</v>
      </c>
      <c r="C747" s="4" t="s">
        <v>64</v>
      </c>
      <c r="D747" s="4" t="s">
        <v>25</v>
      </c>
      <c r="E747" s="4" t="s">
        <v>25</v>
      </c>
      <c r="F747" s="4" t="s">
        <v>25</v>
      </c>
      <c r="G747" s="4" t="s">
        <v>94</v>
      </c>
      <c r="H747" s="4" t="s">
        <v>25</v>
      </c>
      <c r="I747" s="5">
        <v>44593</v>
      </c>
      <c r="J747" s="6">
        <v>1180</v>
      </c>
      <c r="K747" s="6">
        <v>590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4" t="s">
        <v>66</v>
      </c>
      <c r="R747" s="4">
        <v>30866</v>
      </c>
      <c r="S747" s="6">
        <v>28</v>
      </c>
      <c r="T747" s="6">
        <v>0</v>
      </c>
      <c r="U747" s="6">
        <v>0</v>
      </c>
      <c r="V747" s="6">
        <f>IF(ISERROR(VLOOKUP($S$747,'TAR FIN'!$A$1:$O$116,15,0)),0,VLOOKUP($S$747,'TAR FIN'!$A$1:$O$116,15,0))</f>
        <v>15.24</v>
      </c>
      <c r="W747" s="6">
        <f>IF(ISERROR(VLOOKUP($T$747,'TAR FIN'!$A$1:$O$116,15,0)),0,VLOOKUP($T$747,'TAR FIN'!$A$1:$O$116,15,0))</f>
        <v>0</v>
      </c>
      <c r="X747" s="6">
        <f>IF(ISERROR(VLOOKUP($U$747,'TAR FIN'!$A$1:$O$116,15,0)),0,VLOOKUP($U$747,'TAR FIN'!$A$1:$O$116,15,0))</f>
        <v>0</v>
      </c>
      <c r="Y747" s="6">
        <f ca="1">('TUSD BE'!$AM$32+'TUSD BF'!$AM$32+'TUSD CVA'!$AM$32)*1</f>
        <v>17.138874075124019</v>
      </c>
      <c r="Z747" s="6"/>
      <c r="AA747" s="6"/>
      <c r="AB747" s="6">
        <f>$K$747*$V$747</f>
        <v>8991.6</v>
      </c>
      <c r="AC747" s="6">
        <f>$M$747*$W$747</f>
        <v>0</v>
      </c>
      <c r="AD747" s="6">
        <f>$O$747*$X$747</f>
        <v>0</v>
      </c>
      <c r="AE747" s="6">
        <f ca="1">$K$747*$Y$747</f>
        <v>10111.93570432317</v>
      </c>
      <c r="AF747" s="6">
        <f>$M$747*$Z$747</f>
        <v>0</v>
      </c>
      <c r="AG747" s="6">
        <f>$O$747*$AA$747</f>
        <v>0</v>
      </c>
    </row>
    <row r="748" spans="1:33" ht="11.25" customHeight="1" x14ac:dyDescent="0.25">
      <c r="A748" s="4" t="s">
        <v>21</v>
      </c>
      <c r="B748" s="4" t="s">
        <v>41</v>
      </c>
      <c r="C748" s="4" t="s">
        <v>64</v>
      </c>
      <c r="D748" s="4" t="s">
        <v>25</v>
      </c>
      <c r="E748" s="4" t="s">
        <v>25</v>
      </c>
      <c r="F748" s="4" t="s">
        <v>25</v>
      </c>
      <c r="G748" s="4" t="s">
        <v>95</v>
      </c>
      <c r="H748" s="4" t="s">
        <v>25</v>
      </c>
      <c r="I748" s="5">
        <v>44593</v>
      </c>
      <c r="J748" s="6">
        <v>1180</v>
      </c>
      <c r="K748" s="6">
        <v>590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4" t="s">
        <v>66</v>
      </c>
      <c r="R748" s="4">
        <v>31051</v>
      </c>
      <c r="S748" s="6">
        <v>28</v>
      </c>
      <c r="T748" s="6">
        <v>0</v>
      </c>
      <c r="U748" s="6">
        <v>0</v>
      </c>
      <c r="V748" s="6">
        <f>IF(ISERROR(VLOOKUP($S$748,'TAR FIN'!$A$1:$O$116,15,0)),0,VLOOKUP($S$748,'TAR FIN'!$A$1:$O$116,15,0))</f>
        <v>15.24</v>
      </c>
      <c r="W748" s="6">
        <f>IF(ISERROR(VLOOKUP($T$748,'TAR FIN'!$A$1:$O$116,15,0)),0,VLOOKUP($T$748,'TAR FIN'!$A$1:$O$116,15,0))</f>
        <v>0</v>
      </c>
      <c r="X748" s="6">
        <f>IF(ISERROR(VLOOKUP($U$748,'TAR FIN'!$A$1:$O$116,15,0)),0,VLOOKUP($U$748,'TAR FIN'!$A$1:$O$116,15,0))</f>
        <v>0</v>
      </c>
      <c r="Y748" s="6">
        <f ca="1">('TUSD BE'!$AM$32+'TUSD BF'!$AM$32+'TUSD CVA'!$AM$32)*1</f>
        <v>17.138874075124019</v>
      </c>
      <c r="Z748" s="6"/>
      <c r="AA748" s="6"/>
      <c r="AB748" s="6">
        <f>$K$748*$V$748</f>
        <v>8991.6</v>
      </c>
      <c r="AC748" s="6">
        <f>$M$748*$W$748</f>
        <v>0</v>
      </c>
      <c r="AD748" s="6">
        <f>$O$748*$X$748</f>
        <v>0</v>
      </c>
      <c r="AE748" s="6">
        <f ca="1">$K$748*$Y$748</f>
        <v>10111.93570432317</v>
      </c>
      <c r="AF748" s="6">
        <f>$M$748*$Z$748</f>
        <v>0</v>
      </c>
      <c r="AG748" s="6">
        <f>$O$748*$AA$748</f>
        <v>0</v>
      </c>
    </row>
    <row r="749" spans="1:33" ht="11.25" customHeight="1" x14ac:dyDescent="0.25">
      <c r="A749" s="4" t="s">
        <v>21</v>
      </c>
      <c r="B749" s="4" t="s">
        <v>41</v>
      </c>
      <c r="C749" s="4" t="s">
        <v>64</v>
      </c>
      <c r="D749" s="4" t="s">
        <v>25</v>
      </c>
      <c r="E749" s="4" t="s">
        <v>25</v>
      </c>
      <c r="F749" s="4" t="s">
        <v>25</v>
      </c>
      <c r="G749" s="4" t="s">
        <v>96</v>
      </c>
      <c r="H749" s="4" t="s">
        <v>25</v>
      </c>
      <c r="I749" s="5">
        <v>44593</v>
      </c>
      <c r="J749" s="6">
        <v>1000</v>
      </c>
      <c r="K749" s="6">
        <v>500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4" t="s">
        <v>66</v>
      </c>
      <c r="R749" s="4">
        <v>31277</v>
      </c>
      <c r="S749" s="6">
        <v>28</v>
      </c>
      <c r="T749" s="6">
        <v>0</v>
      </c>
      <c r="U749" s="6">
        <v>0</v>
      </c>
      <c r="V749" s="6">
        <f>IF(ISERROR(VLOOKUP($S$749,'TAR FIN'!$A$1:$O$116,15,0)),0,VLOOKUP($S$749,'TAR FIN'!$A$1:$O$116,15,0))</f>
        <v>15.24</v>
      </c>
      <c r="W749" s="6">
        <f>IF(ISERROR(VLOOKUP($T$749,'TAR FIN'!$A$1:$O$116,15,0)),0,VLOOKUP($T$749,'TAR FIN'!$A$1:$O$116,15,0))</f>
        <v>0</v>
      </c>
      <c r="X749" s="6">
        <f>IF(ISERROR(VLOOKUP($U$749,'TAR FIN'!$A$1:$O$116,15,0)),0,VLOOKUP($U$749,'TAR FIN'!$A$1:$O$116,15,0))</f>
        <v>0</v>
      </c>
      <c r="Y749" s="6">
        <f ca="1">('TUSD BE'!$AM$32+'TUSD BF'!$AM$32+'TUSD CVA'!$AM$32)*1</f>
        <v>17.138874075124019</v>
      </c>
      <c r="Z749" s="6"/>
      <c r="AA749" s="6"/>
      <c r="AB749" s="6">
        <f>$K$749*$V$749</f>
        <v>7620</v>
      </c>
      <c r="AC749" s="6">
        <f>$M$749*$W$749</f>
        <v>0</v>
      </c>
      <c r="AD749" s="6">
        <f>$O$749*$X$749</f>
        <v>0</v>
      </c>
      <c r="AE749" s="6">
        <f ca="1">$K$749*$Y$749</f>
        <v>8569.4370375620092</v>
      </c>
      <c r="AF749" s="6">
        <f>$M$749*$Z$749</f>
        <v>0</v>
      </c>
      <c r="AG749" s="6">
        <f>$O$749*$AA$749</f>
        <v>0</v>
      </c>
    </row>
    <row r="750" spans="1:33" ht="11.25" customHeight="1" x14ac:dyDescent="0.25">
      <c r="A750" s="4" t="s">
        <v>21</v>
      </c>
      <c r="B750" s="4" t="s">
        <v>41</v>
      </c>
      <c r="C750" s="4" t="s">
        <v>64</v>
      </c>
      <c r="D750" s="4" t="s">
        <v>25</v>
      </c>
      <c r="E750" s="4" t="s">
        <v>25</v>
      </c>
      <c r="F750" s="4" t="s">
        <v>25</v>
      </c>
      <c r="G750" s="4" t="s">
        <v>97</v>
      </c>
      <c r="H750" s="4" t="s">
        <v>25</v>
      </c>
      <c r="I750" s="5">
        <v>44593</v>
      </c>
      <c r="J750" s="6">
        <v>1180</v>
      </c>
      <c r="K750" s="6">
        <v>590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4" t="s">
        <v>66</v>
      </c>
      <c r="R750" s="4">
        <v>31318</v>
      </c>
      <c r="S750" s="6">
        <v>28</v>
      </c>
      <c r="T750" s="6">
        <v>0</v>
      </c>
      <c r="U750" s="6">
        <v>0</v>
      </c>
      <c r="V750" s="6">
        <f>IF(ISERROR(VLOOKUP($S$750,'TAR FIN'!$A$1:$O$116,15,0)),0,VLOOKUP($S$750,'TAR FIN'!$A$1:$O$116,15,0))</f>
        <v>15.24</v>
      </c>
      <c r="W750" s="6">
        <f>IF(ISERROR(VLOOKUP($T$750,'TAR FIN'!$A$1:$O$116,15,0)),0,VLOOKUP($T$750,'TAR FIN'!$A$1:$O$116,15,0))</f>
        <v>0</v>
      </c>
      <c r="X750" s="6">
        <f>IF(ISERROR(VLOOKUP($U$750,'TAR FIN'!$A$1:$O$116,15,0)),0,VLOOKUP($U$750,'TAR FIN'!$A$1:$O$116,15,0))</f>
        <v>0</v>
      </c>
      <c r="Y750" s="6">
        <f ca="1">('TUSD BE'!$AM$32+'TUSD BF'!$AM$32+'TUSD CVA'!$AM$32)*1</f>
        <v>17.138874075124019</v>
      </c>
      <c r="Z750" s="6"/>
      <c r="AA750" s="6"/>
      <c r="AB750" s="6">
        <f>$K$750*$V$750</f>
        <v>8991.6</v>
      </c>
      <c r="AC750" s="6">
        <f>$M$750*$W$750</f>
        <v>0</v>
      </c>
      <c r="AD750" s="6">
        <f>$O$750*$X$750</f>
        <v>0</v>
      </c>
      <c r="AE750" s="6">
        <f ca="1">$K$750*$Y$750</f>
        <v>10111.93570432317</v>
      </c>
      <c r="AF750" s="6">
        <f>$M$750*$Z$750</f>
        <v>0</v>
      </c>
      <c r="AG750" s="6">
        <f>$O$750*$AA$750</f>
        <v>0</v>
      </c>
    </row>
    <row r="751" spans="1:33" ht="11.25" customHeight="1" x14ac:dyDescent="0.25">
      <c r="A751" s="4" t="s">
        <v>21</v>
      </c>
      <c r="B751" s="4" t="s">
        <v>41</v>
      </c>
      <c r="C751" s="4" t="s">
        <v>64</v>
      </c>
      <c r="D751" s="4" t="s">
        <v>25</v>
      </c>
      <c r="E751" s="4" t="s">
        <v>25</v>
      </c>
      <c r="F751" s="4" t="s">
        <v>25</v>
      </c>
      <c r="G751" s="4" t="s">
        <v>98</v>
      </c>
      <c r="H751" s="4" t="s">
        <v>25</v>
      </c>
      <c r="I751" s="5">
        <v>44593</v>
      </c>
      <c r="J751" s="6">
        <v>3032</v>
      </c>
      <c r="K751" s="6">
        <v>1516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4" t="s">
        <v>66</v>
      </c>
      <c r="R751" s="4">
        <v>31334</v>
      </c>
      <c r="S751" s="6">
        <v>28</v>
      </c>
      <c r="T751" s="6">
        <v>0</v>
      </c>
      <c r="U751" s="6">
        <v>0</v>
      </c>
      <c r="V751" s="6">
        <f>IF(ISERROR(VLOOKUP($S$751,'TAR FIN'!$A$1:$O$116,15,0)),0,VLOOKUP($S$751,'TAR FIN'!$A$1:$O$116,15,0))</f>
        <v>15.24</v>
      </c>
      <c r="W751" s="6">
        <f>IF(ISERROR(VLOOKUP($T$751,'TAR FIN'!$A$1:$O$116,15,0)),0,VLOOKUP($T$751,'TAR FIN'!$A$1:$O$116,15,0))</f>
        <v>0</v>
      </c>
      <c r="X751" s="6">
        <f>IF(ISERROR(VLOOKUP($U$751,'TAR FIN'!$A$1:$O$116,15,0)),0,VLOOKUP($U$751,'TAR FIN'!$A$1:$O$116,15,0))</f>
        <v>0</v>
      </c>
      <c r="Y751" s="6">
        <f ca="1">('TUSD BE'!$AM$32+'TUSD BF'!$AM$32+'TUSD CVA'!$AM$32)*1</f>
        <v>17.138874075124019</v>
      </c>
      <c r="Z751" s="6"/>
      <c r="AA751" s="6"/>
      <c r="AB751" s="6">
        <f>$K$751*$V$751</f>
        <v>23103.84</v>
      </c>
      <c r="AC751" s="6">
        <f>$M$751*$W$751</f>
        <v>0</v>
      </c>
      <c r="AD751" s="6">
        <f>$O$751*$X$751</f>
        <v>0</v>
      </c>
      <c r="AE751" s="6">
        <f ca="1">$K$751*$Y$751</f>
        <v>25982.533097888012</v>
      </c>
      <c r="AF751" s="6">
        <f>$M$751*$Z$751</f>
        <v>0</v>
      </c>
      <c r="AG751" s="6">
        <f>$O$751*$AA$751</f>
        <v>0</v>
      </c>
    </row>
    <row r="752" spans="1:33" ht="11.25" customHeight="1" x14ac:dyDescent="0.25">
      <c r="A752" s="4" t="s">
        <v>21</v>
      </c>
      <c r="B752" s="4" t="s">
        <v>41</v>
      </c>
      <c r="C752" s="4" t="s">
        <v>64</v>
      </c>
      <c r="D752" s="4" t="s">
        <v>25</v>
      </c>
      <c r="E752" s="4" t="s">
        <v>25</v>
      </c>
      <c r="F752" s="4" t="s">
        <v>25</v>
      </c>
      <c r="G752" s="4" t="s">
        <v>99</v>
      </c>
      <c r="H752" s="4" t="s">
        <v>25</v>
      </c>
      <c r="I752" s="5">
        <v>44593</v>
      </c>
      <c r="J752" s="6">
        <v>1180</v>
      </c>
      <c r="K752" s="6">
        <v>590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4" t="s">
        <v>66</v>
      </c>
      <c r="R752" s="4">
        <v>31618</v>
      </c>
      <c r="S752" s="6">
        <v>28</v>
      </c>
      <c r="T752" s="6">
        <v>0</v>
      </c>
      <c r="U752" s="6">
        <v>0</v>
      </c>
      <c r="V752" s="6">
        <f>IF(ISERROR(VLOOKUP($S$752,'TAR FIN'!$A$1:$O$116,15,0)),0,VLOOKUP($S$752,'TAR FIN'!$A$1:$O$116,15,0))</f>
        <v>15.24</v>
      </c>
      <c r="W752" s="6">
        <f>IF(ISERROR(VLOOKUP($T$752,'TAR FIN'!$A$1:$O$116,15,0)),0,VLOOKUP($T$752,'TAR FIN'!$A$1:$O$116,15,0))</f>
        <v>0</v>
      </c>
      <c r="X752" s="6">
        <f>IF(ISERROR(VLOOKUP($U$752,'TAR FIN'!$A$1:$O$116,15,0)),0,VLOOKUP($U$752,'TAR FIN'!$A$1:$O$116,15,0))</f>
        <v>0</v>
      </c>
      <c r="Y752" s="6">
        <f ca="1">('TUSD BE'!$AM$32+'TUSD BF'!$AM$32+'TUSD CVA'!$AM$32)*1</f>
        <v>17.138874075124019</v>
      </c>
      <c r="Z752" s="6"/>
      <c r="AA752" s="6"/>
      <c r="AB752" s="6">
        <f>$K$752*$V$752</f>
        <v>8991.6</v>
      </c>
      <c r="AC752" s="6">
        <f>$M$752*$W$752</f>
        <v>0</v>
      </c>
      <c r="AD752" s="6">
        <f>$O$752*$X$752</f>
        <v>0</v>
      </c>
      <c r="AE752" s="6">
        <f ca="1">$K$752*$Y$752</f>
        <v>10111.93570432317</v>
      </c>
      <c r="AF752" s="6">
        <f>$M$752*$Z$752</f>
        <v>0</v>
      </c>
      <c r="AG752" s="6">
        <f>$O$752*$AA$752</f>
        <v>0</v>
      </c>
    </row>
    <row r="753" spans="1:33" ht="11.25" customHeight="1" x14ac:dyDescent="0.25">
      <c r="A753" s="4" t="s">
        <v>21</v>
      </c>
      <c r="B753" s="4" t="s">
        <v>41</v>
      </c>
      <c r="C753" s="4" t="s">
        <v>64</v>
      </c>
      <c r="D753" s="4" t="s">
        <v>25</v>
      </c>
      <c r="E753" s="4" t="s">
        <v>25</v>
      </c>
      <c r="F753" s="4" t="s">
        <v>25</v>
      </c>
      <c r="G753" s="4" t="s">
        <v>100</v>
      </c>
      <c r="H753" s="4" t="s">
        <v>25</v>
      </c>
      <c r="I753" s="5">
        <v>44593</v>
      </c>
      <c r="J753" s="6">
        <v>1180</v>
      </c>
      <c r="K753" s="6">
        <v>590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4" t="s">
        <v>66</v>
      </c>
      <c r="R753" s="4">
        <v>31677</v>
      </c>
      <c r="S753" s="6">
        <v>28</v>
      </c>
      <c r="T753" s="6">
        <v>0</v>
      </c>
      <c r="U753" s="6">
        <v>0</v>
      </c>
      <c r="V753" s="6">
        <f>IF(ISERROR(VLOOKUP($S$753,'TAR FIN'!$A$1:$O$116,15,0)),0,VLOOKUP($S$753,'TAR FIN'!$A$1:$O$116,15,0))</f>
        <v>15.24</v>
      </c>
      <c r="W753" s="6">
        <f>IF(ISERROR(VLOOKUP($T$753,'TAR FIN'!$A$1:$O$116,15,0)),0,VLOOKUP($T$753,'TAR FIN'!$A$1:$O$116,15,0))</f>
        <v>0</v>
      </c>
      <c r="X753" s="6">
        <f>IF(ISERROR(VLOOKUP($U$753,'TAR FIN'!$A$1:$O$116,15,0)),0,VLOOKUP($U$753,'TAR FIN'!$A$1:$O$116,15,0))</f>
        <v>0</v>
      </c>
      <c r="Y753" s="6">
        <f ca="1">('TUSD BE'!$AM$32+'TUSD BF'!$AM$32+'TUSD CVA'!$AM$32)*1</f>
        <v>17.138874075124019</v>
      </c>
      <c r="Z753" s="6"/>
      <c r="AA753" s="6"/>
      <c r="AB753" s="6">
        <f>$K$753*$V$753</f>
        <v>8991.6</v>
      </c>
      <c r="AC753" s="6">
        <f>$M$753*$W$753</f>
        <v>0</v>
      </c>
      <c r="AD753" s="6">
        <f>$O$753*$X$753</f>
        <v>0</v>
      </c>
      <c r="AE753" s="6">
        <f ca="1">$K$753*$Y$753</f>
        <v>10111.93570432317</v>
      </c>
      <c r="AF753" s="6">
        <f>$M$753*$Z$753</f>
        <v>0</v>
      </c>
      <c r="AG753" s="6">
        <f>$O$753*$AA$753</f>
        <v>0</v>
      </c>
    </row>
    <row r="754" spans="1:33" ht="11.25" customHeight="1" x14ac:dyDescent="0.25">
      <c r="A754" s="4" t="s">
        <v>21</v>
      </c>
      <c r="B754" s="4" t="s">
        <v>41</v>
      </c>
      <c r="C754" s="4" t="s">
        <v>64</v>
      </c>
      <c r="D754" s="4" t="s">
        <v>25</v>
      </c>
      <c r="E754" s="4" t="s">
        <v>25</v>
      </c>
      <c r="F754" s="4" t="s">
        <v>25</v>
      </c>
      <c r="G754" s="4" t="s">
        <v>68</v>
      </c>
      <c r="H754" s="4" t="s">
        <v>25</v>
      </c>
      <c r="I754" s="5">
        <v>44621</v>
      </c>
      <c r="J754" s="6">
        <v>302</v>
      </c>
      <c r="K754" s="6">
        <v>302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4" t="s">
        <v>66</v>
      </c>
      <c r="R754" s="4">
        <v>404</v>
      </c>
      <c r="S754" s="6">
        <v>28</v>
      </c>
      <c r="T754" s="6">
        <v>0</v>
      </c>
      <c r="U754" s="6">
        <v>0</v>
      </c>
      <c r="V754" s="6">
        <f>IF(ISERROR(VLOOKUP($S$754,'TAR FIN'!$A$1:$O$116,15,0)),0,VLOOKUP($S$754,'TAR FIN'!$A$1:$O$116,15,0))</f>
        <v>15.24</v>
      </c>
      <c r="W754" s="6">
        <f>IF(ISERROR(VLOOKUP($T$754,'TAR FIN'!$A$1:$O$116,15,0)),0,VLOOKUP($T$754,'TAR FIN'!$A$1:$O$116,15,0))</f>
        <v>0</v>
      </c>
      <c r="X754" s="6">
        <f>IF(ISERROR(VLOOKUP($U$754,'TAR FIN'!$A$1:$O$116,15,0)),0,VLOOKUP($U$754,'TAR FIN'!$A$1:$O$116,15,0))</f>
        <v>0</v>
      </c>
      <c r="Y754" s="6">
        <f ca="1">('TUSD BE'!$AM$32+'TUSD BF'!$AM$32+'TUSD CVA'!$AM$32)*1</f>
        <v>17.138874075124019</v>
      </c>
      <c r="Z754" s="6"/>
      <c r="AA754" s="6"/>
      <c r="AB754" s="6">
        <f>$K$754*$V$754</f>
        <v>4602.4800000000005</v>
      </c>
      <c r="AC754" s="6">
        <f>$M$754*$W$754</f>
        <v>0</v>
      </c>
      <c r="AD754" s="6">
        <f>$O$754*$X$754</f>
        <v>0</v>
      </c>
      <c r="AE754" s="6">
        <f ca="1">$K$754*$Y$754</f>
        <v>5175.9399706874538</v>
      </c>
      <c r="AF754" s="6">
        <f>$M$754*$Z$754</f>
        <v>0</v>
      </c>
      <c r="AG754" s="6">
        <f>$O$754*$AA$754</f>
        <v>0</v>
      </c>
    </row>
    <row r="755" spans="1:33" ht="11.25" customHeight="1" x14ac:dyDescent="0.25">
      <c r="A755" s="4" t="s">
        <v>21</v>
      </c>
      <c r="B755" s="4" t="s">
        <v>41</v>
      </c>
      <c r="C755" s="4" t="s">
        <v>64</v>
      </c>
      <c r="D755" s="4" t="s">
        <v>25</v>
      </c>
      <c r="E755" s="4" t="s">
        <v>25</v>
      </c>
      <c r="F755" s="4" t="s">
        <v>25</v>
      </c>
      <c r="G755" s="4" t="s">
        <v>70</v>
      </c>
      <c r="H755" s="4" t="s">
        <v>25</v>
      </c>
      <c r="I755" s="5">
        <v>44621</v>
      </c>
      <c r="J755" s="6">
        <v>5040</v>
      </c>
      <c r="K755" s="6">
        <v>5040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4" t="s">
        <v>66</v>
      </c>
      <c r="R755" s="4">
        <v>838</v>
      </c>
      <c r="S755" s="6">
        <v>28</v>
      </c>
      <c r="T755" s="6">
        <v>0</v>
      </c>
      <c r="U755" s="6">
        <v>0</v>
      </c>
      <c r="V755" s="6">
        <f>IF(ISERROR(VLOOKUP($S$755,'TAR FIN'!$A$1:$O$116,15,0)),0,VLOOKUP($S$755,'TAR FIN'!$A$1:$O$116,15,0))</f>
        <v>15.24</v>
      </c>
      <c r="W755" s="6">
        <f>IF(ISERROR(VLOOKUP($T$755,'TAR FIN'!$A$1:$O$116,15,0)),0,VLOOKUP($T$755,'TAR FIN'!$A$1:$O$116,15,0))</f>
        <v>0</v>
      </c>
      <c r="X755" s="6">
        <f>IF(ISERROR(VLOOKUP($U$755,'TAR FIN'!$A$1:$O$116,15,0)),0,VLOOKUP($U$755,'TAR FIN'!$A$1:$O$116,15,0))</f>
        <v>0</v>
      </c>
      <c r="Y755" s="6">
        <f ca="1">('TUSD BE'!$AM$32+'TUSD BF'!$AM$32+'TUSD CVA'!$AM$32)*1</f>
        <v>17.138874075124019</v>
      </c>
      <c r="Z755" s="6"/>
      <c r="AA755" s="6"/>
      <c r="AB755" s="6">
        <f>$K$755*$V$755</f>
        <v>76809.600000000006</v>
      </c>
      <c r="AC755" s="6">
        <f>$M$755*$W$755</f>
        <v>0</v>
      </c>
      <c r="AD755" s="6">
        <f>$O$755*$X$755</f>
        <v>0</v>
      </c>
      <c r="AE755" s="6">
        <f ca="1">$K$755*$Y$755</f>
        <v>86379.925338625049</v>
      </c>
      <c r="AF755" s="6">
        <f>$M$755*$Z$755</f>
        <v>0</v>
      </c>
      <c r="AG755" s="6">
        <f>$O$755*$AA$755</f>
        <v>0</v>
      </c>
    </row>
    <row r="756" spans="1:33" ht="11.25" customHeight="1" x14ac:dyDescent="0.25">
      <c r="A756" s="4" t="s">
        <v>21</v>
      </c>
      <c r="B756" s="4" t="s">
        <v>41</v>
      </c>
      <c r="C756" s="4" t="s">
        <v>64</v>
      </c>
      <c r="D756" s="4" t="s">
        <v>25</v>
      </c>
      <c r="E756" s="4" t="s">
        <v>25</v>
      </c>
      <c r="F756" s="4" t="s">
        <v>25</v>
      </c>
      <c r="G756" s="4" t="s">
        <v>74</v>
      </c>
      <c r="H756" s="4" t="s">
        <v>25</v>
      </c>
      <c r="I756" s="5">
        <v>44621</v>
      </c>
      <c r="J756" s="6">
        <v>3832</v>
      </c>
      <c r="K756" s="6">
        <v>1916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4" t="s">
        <v>66</v>
      </c>
      <c r="R756" s="4">
        <v>1192</v>
      </c>
      <c r="S756" s="6">
        <v>28</v>
      </c>
      <c r="T756" s="6">
        <v>0</v>
      </c>
      <c r="U756" s="6">
        <v>0</v>
      </c>
      <c r="V756" s="6">
        <f>IF(ISERROR(VLOOKUP($S$756,'TAR FIN'!$A$1:$O$116,15,0)),0,VLOOKUP($S$756,'TAR FIN'!$A$1:$O$116,15,0))</f>
        <v>15.24</v>
      </c>
      <c r="W756" s="6">
        <f>IF(ISERROR(VLOOKUP($T$756,'TAR FIN'!$A$1:$O$116,15,0)),0,VLOOKUP($T$756,'TAR FIN'!$A$1:$O$116,15,0))</f>
        <v>0</v>
      </c>
      <c r="X756" s="6">
        <f>IF(ISERROR(VLOOKUP($U$756,'TAR FIN'!$A$1:$O$116,15,0)),0,VLOOKUP($U$756,'TAR FIN'!$A$1:$O$116,15,0))</f>
        <v>0</v>
      </c>
      <c r="Y756" s="6">
        <f ca="1">('TUSD BE'!$AM$32+'TUSD BF'!$AM$32+'TUSD CVA'!$AM$32)*1</f>
        <v>17.138874075124019</v>
      </c>
      <c r="Z756" s="6"/>
      <c r="AA756" s="6"/>
      <c r="AB756" s="6">
        <f>$K$756*$V$756</f>
        <v>29199.84</v>
      </c>
      <c r="AC756" s="6">
        <f>$M$756*$W$756</f>
        <v>0</v>
      </c>
      <c r="AD756" s="6">
        <f>$O$756*$X$756</f>
        <v>0</v>
      </c>
      <c r="AE756" s="6">
        <f ca="1">$K$756*$Y$756</f>
        <v>32838.082727937617</v>
      </c>
      <c r="AF756" s="6">
        <f>$M$756*$Z$756</f>
        <v>0</v>
      </c>
      <c r="AG756" s="6">
        <f>$O$756*$AA$756</f>
        <v>0</v>
      </c>
    </row>
    <row r="757" spans="1:33" ht="11.25" customHeight="1" x14ac:dyDescent="0.25">
      <c r="A757" s="4" t="s">
        <v>21</v>
      </c>
      <c r="B757" s="4" t="s">
        <v>41</v>
      </c>
      <c r="C757" s="4" t="s">
        <v>64</v>
      </c>
      <c r="D757" s="4" t="s">
        <v>25</v>
      </c>
      <c r="E757" s="4" t="s">
        <v>25</v>
      </c>
      <c r="F757" s="4" t="s">
        <v>25</v>
      </c>
      <c r="G757" s="4" t="s">
        <v>76</v>
      </c>
      <c r="H757" s="4" t="s">
        <v>25</v>
      </c>
      <c r="I757" s="5">
        <v>44621</v>
      </c>
      <c r="J757" s="6">
        <v>480</v>
      </c>
      <c r="K757" s="6">
        <v>480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4" t="s">
        <v>66</v>
      </c>
      <c r="R757" s="4">
        <v>1438</v>
      </c>
      <c r="S757" s="6">
        <v>28</v>
      </c>
      <c r="T757" s="6">
        <v>0</v>
      </c>
      <c r="U757" s="6">
        <v>0</v>
      </c>
      <c r="V757" s="6">
        <f>IF(ISERROR(VLOOKUP($S$757,'TAR FIN'!$A$1:$O$116,15,0)),0,VLOOKUP($S$757,'TAR FIN'!$A$1:$O$116,15,0))</f>
        <v>15.24</v>
      </c>
      <c r="W757" s="6">
        <f>IF(ISERROR(VLOOKUP($T$757,'TAR FIN'!$A$1:$O$116,15,0)),0,VLOOKUP($T$757,'TAR FIN'!$A$1:$O$116,15,0))</f>
        <v>0</v>
      </c>
      <c r="X757" s="6">
        <f>IF(ISERROR(VLOOKUP($U$757,'TAR FIN'!$A$1:$O$116,15,0)),0,VLOOKUP($U$757,'TAR FIN'!$A$1:$O$116,15,0))</f>
        <v>0</v>
      </c>
      <c r="Y757" s="6">
        <f ca="1">('TUSD BE'!$AM$32+'TUSD BF'!$AM$32+'TUSD CVA'!$AM$32)*1</f>
        <v>17.138874075124019</v>
      </c>
      <c r="Z757" s="6"/>
      <c r="AA757" s="6"/>
      <c r="AB757" s="6">
        <f>$K$757*$V$757</f>
        <v>7315.2</v>
      </c>
      <c r="AC757" s="6">
        <f>$M$757*$W$757</f>
        <v>0</v>
      </c>
      <c r="AD757" s="6">
        <f>$O$757*$X$757</f>
        <v>0</v>
      </c>
      <c r="AE757" s="6">
        <f ca="1">$K$757*$Y$757</f>
        <v>8226.6595560595288</v>
      </c>
      <c r="AF757" s="6">
        <f>$M$757*$Z$757</f>
        <v>0</v>
      </c>
      <c r="AG757" s="6">
        <f>$O$757*$AA$757</f>
        <v>0</v>
      </c>
    </row>
    <row r="758" spans="1:33" ht="11.25" customHeight="1" x14ac:dyDescent="0.25">
      <c r="A758" s="4" t="s">
        <v>21</v>
      </c>
      <c r="B758" s="4" t="s">
        <v>41</v>
      </c>
      <c r="C758" s="4" t="s">
        <v>64</v>
      </c>
      <c r="D758" s="4" t="s">
        <v>25</v>
      </c>
      <c r="E758" s="4" t="s">
        <v>25</v>
      </c>
      <c r="F758" s="4" t="s">
        <v>25</v>
      </c>
      <c r="G758" s="4" t="s">
        <v>77</v>
      </c>
      <c r="H758" s="4" t="s">
        <v>25</v>
      </c>
      <c r="I758" s="5">
        <v>44621</v>
      </c>
      <c r="J758" s="6">
        <v>736</v>
      </c>
      <c r="K758" s="6">
        <v>736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4" t="s">
        <v>66</v>
      </c>
      <c r="R758" s="4">
        <v>1462</v>
      </c>
      <c r="S758" s="6">
        <v>28</v>
      </c>
      <c r="T758" s="6">
        <v>0</v>
      </c>
      <c r="U758" s="6">
        <v>0</v>
      </c>
      <c r="V758" s="6">
        <f>IF(ISERROR(VLOOKUP($S$758,'TAR FIN'!$A$1:$O$116,15,0)),0,VLOOKUP($S$758,'TAR FIN'!$A$1:$O$116,15,0))</f>
        <v>15.24</v>
      </c>
      <c r="W758" s="6">
        <f>IF(ISERROR(VLOOKUP($T$758,'TAR FIN'!$A$1:$O$116,15,0)),0,VLOOKUP($T$758,'TAR FIN'!$A$1:$O$116,15,0))</f>
        <v>0</v>
      </c>
      <c r="X758" s="6">
        <f>IF(ISERROR(VLOOKUP($U$758,'TAR FIN'!$A$1:$O$116,15,0)),0,VLOOKUP($U$758,'TAR FIN'!$A$1:$O$116,15,0))</f>
        <v>0</v>
      </c>
      <c r="Y758" s="6">
        <f ca="1">('TUSD BE'!$AM$32+'TUSD BF'!$AM$32+'TUSD CVA'!$AM$32)*1</f>
        <v>17.138874075124019</v>
      </c>
      <c r="Z758" s="6"/>
      <c r="AA758" s="6"/>
      <c r="AB758" s="6">
        <f>$K$758*$V$758</f>
        <v>11216.64</v>
      </c>
      <c r="AC758" s="6">
        <f>$M$758*$W$758</f>
        <v>0</v>
      </c>
      <c r="AD758" s="6">
        <f>$O$758*$X$758</f>
        <v>0</v>
      </c>
      <c r="AE758" s="6">
        <f ca="1">$K$758*$Y$758</f>
        <v>12614.211319291278</v>
      </c>
      <c r="AF758" s="6">
        <f>$M$758*$Z$758</f>
        <v>0</v>
      </c>
      <c r="AG758" s="6">
        <f>$O$758*$AA$758</f>
        <v>0</v>
      </c>
    </row>
    <row r="759" spans="1:33" ht="11.25" customHeight="1" x14ac:dyDescent="0.25">
      <c r="A759" s="4" t="s">
        <v>21</v>
      </c>
      <c r="B759" s="4" t="s">
        <v>41</v>
      </c>
      <c r="C759" s="4" t="s">
        <v>64</v>
      </c>
      <c r="D759" s="4" t="s">
        <v>25</v>
      </c>
      <c r="E759" s="4" t="s">
        <v>25</v>
      </c>
      <c r="F759" s="4" t="s">
        <v>25</v>
      </c>
      <c r="G759" s="4" t="s">
        <v>78</v>
      </c>
      <c r="H759" s="4" t="s">
        <v>25</v>
      </c>
      <c r="I759" s="5">
        <v>44621</v>
      </c>
      <c r="J759" s="6">
        <v>6460</v>
      </c>
      <c r="K759" s="6">
        <v>6460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4" t="s">
        <v>66</v>
      </c>
      <c r="R759" s="4">
        <v>1533</v>
      </c>
      <c r="S759" s="6">
        <v>28</v>
      </c>
      <c r="T759" s="6">
        <v>0</v>
      </c>
      <c r="U759" s="6">
        <v>0</v>
      </c>
      <c r="V759" s="6">
        <f>IF(ISERROR(VLOOKUP($S$759,'TAR FIN'!$A$1:$O$116,15,0)),0,VLOOKUP($S$759,'TAR FIN'!$A$1:$O$116,15,0))</f>
        <v>15.24</v>
      </c>
      <c r="W759" s="6">
        <f>IF(ISERROR(VLOOKUP($T$759,'TAR FIN'!$A$1:$O$116,15,0)),0,VLOOKUP($T$759,'TAR FIN'!$A$1:$O$116,15,0))</f>
        <v>0</v>
      </c>
      <c r="X759" s="6">
        <f>IF(ISERROR(VLOOKUP($U$759,'TAR FIN'!$A$1:$O$116,15,0)),0,VLOOKUP($U$759,'TAR FIN'!$A$1:$O$116,15,0))</f>
        <v>0</v>
      </c>
      <c r="Y759" s="6">
        <f ca="1">('TUSD BE'!$AM$32+'TUSD BF'!$AM$32+'TUSD CVA'!$AM$32)*1</f>
        <v>17.138874075124019</v>
      </c>
      <c r="Z759" s="6"/>
      <c r="AA759" s="6"/>
      <c r="AB759" s="6">
        <f>$K$759*$V$759</f>
        <v>98450.4</v>
      </c>
      <c r="AC759" s="6">
        <f>$M$759*$W$759</f>
        <v>0</v>
      </c>
      <c r="AD759" s="6">
        <f>$O$759*$X$759</f>
        <v>0</v>
      </c>
      <c r="AE759" s="6">
        <f ca="1">$K$759*$Y$759</f>
        <v>110717.12652530117</v>
      </c>
      <c r="AF759" s="6">
        <f>$M$759*$Z$759</f>
        <v>0</v>
      </c>
      <c r="AG759" s="6">
        <f>$O$759*$AA$759</f>
        <v>0</v>
      </c>
    </row>
    <row r="760" spans="1:33" ht="11.25" customHeight="1" x14ac:dyDescent="0.25">
      <c r="A760" s="4" t="s">
        <v>21</v>
      </c>
      <c r="B760" s="4" t="s">
        <v>41</v>
      </c>
      <c r="C760" s="4" t="s">
        <v>64</v>
      </c>
      <c r="D760" s="4" t="s">
        <v>25</v>
      </c>
      <c r="E760" s="4" t="s">
        <v>25</v>
      </c>
      <c r="F760" s="4" t="s">
        <v>25</v>
      </c>
      <c r="G760" s="4" t="s">
        <v>79</v>
      </c>
      <c r="H760" s="4" t="s">
        <v>25</v>
      </c>
      <c r="I760" s="5">
        <v>44621</v>
      </c>
      <c r="J760" s="6">
        <v>770</v>
      </c>
      <c r="K760" s="6">
        <v>770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4" t="s">
        <v>66</v>
      </c>
      <c r="R760" s="4">
        <v>2535</v>
      </c>
      <c r="S760" s="6">
        <v>28</v>
      </c>
      <c r="T760" s="6">
        <v>0</v>
      </c>
      <c r="U760" s="6">
        <v>0</v>
      </c>
      <c r="V760" s="6">
        <f>IF(ISERROR(VLOOKUP($S$760,'TAR FIN'!$A$1:$O$116,15,0)),0,VLOOKUP($S$760,'TAR FIN'!$A$1:$O$116,15,0))</f>
        <v>15.24</v>
      </c>
      <c r="W760" s="6">
        <f>IF(ISERROR(VLOOKUP($T$760,'TAR FIN'!$A$1:$O$116,15,0)),0,VLOOKUP($T$760,'TAR FIN'!$A$1:$O$116,15,0))</f>
        <v>0</v>
      </c>
      <c r="X760" s="6">
        <f>IF(ISERROR(VLOOKUP($U$760,'TAR FIN'!$A$1:$O$116,15,0)),0,VLOOKUP($U$760,'TAR FIN'!$A$1:$O$116,15,0))</f>
        <v>0</v>
      </c>
      <c r="Y760" s="6">
        <f ca="1">('TUSD BE'!$AM$32+'TUSD BF'!$AM$32+'TUSD CVA'!$AM$32)*1</f>
        <v>17.138874075124019</v>
      </c>
      <c r="Z760" s="6"/>
      <c r="AA760" s="6"/>
      <c r="AB760" s="6">
        <f>$K$760*$V$760</f>
        <v>11734.8</v>
      </c>
      <c r="AC760" s="6">
        <f>$M$760*$W$760</f>
        <v>0</v>
      </c>
      <c r="AD760" s="6">
        <f>$O$760*$X$760</f>
        <v>0</v>
      </c>
      <c r="AE760" s="6">
        <f ca="1">$K$760*$Y$760</f>
        <v>13196.933037845494</v>
      </c>
      <c r="AF760" s="6">
        <f>$M$760*$Z$760</f>
        <v>0</v>
      </c>
      <c r="AG760" s="6">
        <f>$O$760*$AA$760</f>
        <v>0</v>
      </c>
    </row>
    <row r="761" spans="1:33" ht="11.25" customHeight="1" x14ac:dyDescent="0.25">
      <c r="A761" s="4" t="s">
        <v>21</v>
      </c>
      <c r="B761" s="4" t="s">
        <v>41</v>
      </c>
      <c r="C761" s="4" t="s">
        <v>64</v>
      </c>
      <c r="D761" s="4" t="s">
        <v>25</v>
      </c>
      <c r="E761" s="4" t="s">
        <v>25</v>
      </c>
      <c r="F761" s="4" t="s">
        <v>25</v>
      </c>
      <c r="G761" s="4" t="s">
        <v>80</v>
      </c>
      <c r="H761" s="4" t="s">
        <v>25</v>
      </c>
      <c r="I761" s="5">
        <v>44621</v>
      </c>
      <c r="J761" s="6">
        <v>1416</v>
      </c>
      <c r="K761" s="6">
        <v>1416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4" t="s">
        <v>66</v>
      </c>
      <c r="R761" s="4">
        <v>2751</v>
      </c>
      <c r="S761" s="6">
        <v>28</v>
      </c>
      <c r="T761" s="6">
        <v>0</v>
      </c>
      <c r="U761" s="6">
        <v>0</v>
      </c>
      <c r="V761" s="6">
        <f>IF(ISERROR(VLOOKUP($S$761,'TAR FIN'!$A$1:$O$116,15,0)),0,VLOOKUP($S$761,'TAR FIN'!$A$1:$O$116,15,0))</f>
        <v>15.24</v>
      </c>
      <c r="W761" s="6">
        <f>IF(ISERROR(VLOOKUP($T$761,'TAR FIN'!$A$1:$O$116,15,0)),0,VLOOKUP($T$761,'TAR FIN'!$A$1:$O$116,15,0))</f>
        <v>0</v>
      </c>
      <c r="X761" s="6">
        <f>IF(ISERROR(VLOOKUP($U$761,'TAR FIN'!$A$1:$O$116,15,0)),0,VLOOKUP($U$761,'TAR FIN'!$A$1:$O$116,15,0))</f>
        <v>0</v>
      </c>
      <c r="Y761" s="6">
        <f ca="1">('TUSD BE'!$AM$32+'TUSD BF'!$AM$32+'TUSD CVA'!$AM$32)*1</f>
        <v>17.138874075124019</v>
      </c>
      <c r="Z761" s="6"/>
      <c r="AA761" s="6"/>
      <c r="AB761" s="6">
        <f>$K$761*$V$761</f>
        <v>21579.84</v>
      </c>
      <c r="AC761" s="6">
        <f>$M$761*$W$761</f>
        <v>0</v>
      </c>
      <c r="AD761" s="6">
        <f>$O$761*$X$761</f>
        <v>0</v>
      </c>
      <c r="AE761" s="6">
        <f ca="1">$K$761*$Y$761</f>
        <v>24268.645690375612</v>
      </c>
      <c r="AF761" s="6">
        <f>$M$761*$Z$761</f>
        <v>0</v>
      </c>
      <c r="AG761" s="6">
        <f>$O$761*$AA$761</f>
        <v>0</v>
      </c>
    </row>
    <row r="762" spans="1:33" ht="11.25" customHeight="1" x14ac:dyDescent="0.25">
      <c r="A762" s="4" t="s">
        <v>21</v>
      </c>
      <c r="B762" s="4" t="s">
        <v>41</v>
      </c>
      <c r="C762" s="4" t="s">
        <v>64</v>
      </c>
      <c r="D762" s="4" t="s">
        <v>25</v>
      </c>
      <c r="E762" s="4" t="s">
        <v>25</v>
      </c>
      <c r="F762" s="4" t="s">
        <v>25</v>
      </c>
      <c r="G762" s="4" t="s">
        <v>88</v>
      </c>
      <c r="H762" s="4" t="s">
        <v>25</v>
      </c>
      <c r="I762" s="5">
        <v>44621</v>
      </c>
      <c r="J762" s="6">
        <v>9500</v>
      </c>
      <c r="K762" s="6">
        <v>4750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4" t="s">
        <v>66</v>
      </c>
      <c r="R762" s="4">
        <v>27722</v>
      </c>
      <c r="S762" s="6">
        <v>28</v>
      </c>
      <c r="T762" s="6">
        <v>0</v>
      </c>
      <c r="U762" s="6">
        <v>0</v>
      </c>
      <c r="V762" s="6">
        <f>IF(ISERROR(VLOOKUP($S$762,'TAR FIN'!$A$1:$O$116,15,0)),0,VLOOKUP($S$762,'TAR FIN'!$A$1:$O$116,15,0))</f>
        <v>15.24</v>
      </c>
      <c r="W762" s="6">
        <f>IF(ISERROR(VLOOKUP($T$762,'TAR FIN'!$A$1:$O$116,15,0)),0,VLOOKUP($T$762,'TAR FIN'!$A$1:$O$116,15,0))</f>
        <v>0</v>
      </c>
      <c r="X762" s="6">
        <f>IF(ISERROR(VLOOKUP($U$762,'TAR FIN'!$A$1:$O$116,15,0)),0,VLOOKUP($U$762,'TAR FIN'!$A$1:$O$116,15,0))</f>
        <v>0</v>
      </c>
      <c r="Y762" s="6">
        <f ca="1">('TUSD BE'!$AM$32+'TUSD BF'!$AM$32+'TUSD CVA'!$AM$32)*1</f>
        <v>17.138874075124019</v>
      </c>
      <c r="Z762" s="6"/>
      <c r="AA762" s="6"/>
      <c r="AB762" s="6">
        <f>$K$762*$V$762</f>
        <v>72390</v>
      </c>
      <c r="AC762" s="6">
        <f>$M$762*$W$762</f>
        <v>0</v>
      </c>
      <c r="AD762" s="6">
        <f>$O$762*$X$762</f>
        <v>0</v>
      </c>
      <c r="AE762" s="6">
        <f ca="1">$K$762*$Y$762</f>
        <v>81409.651856839089</v>
      </c>
      <c r="AF762" s="6">
        <f>$M$762*$Z$762</f>
        <v>0</v>
      </c>
      <c r="AG762" s="6">
        <f>$O$762*$AA$762</f>
        <v>0</v>
      </c>
    </row>
    <row r="763" spans="1:33" ht="11.25" customHeight="1" x14ac:dyDescent="0.25">
      <c r="A763" s="4" t="s">
        <v>21</v>
      </c>
      <c r="B763" s="4" t="s">
        <v>41</v>
      </c>
      <c r="C763" s="4" t="s">
        <v>64</v>
      </c>
      <c r="D763" s="4" t="s">
        <v>25</v>
      </c>
      <c r="E763" s="4" t="s">
        <v>25</v>
      </c>
      <c r="F763" s="4" t="s">
        <v>25</v>
      </c>
      <c r="G763" s="4" t="s">
        <v>90</v>
      </c>
      <c r="H763" s="4" t="s">
        <v>25</v>
      </c>
      <c r="I763" s="5">
        <v>44621</v>
      </c>
      <c r="J763" s="6">
        <v>420</v>
      </c>
      <c r="K763" s="6">
        <v>420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4" t="s">
        <v>66</v>
      </c>
      <c r="R763" s="4">
        <v>27928</v>
      </c>
      <c r="S763" s="6">
        <v>28</v>
      </c>
      <c r="T763" s="6">
        <v>0</v>
      </c>
      <c r="U763" s="6">
        <v>0</v>
      </c>
      <c r="V763" s="6">
        <f>IF(ISERROR(VLOOKUP($S$763,'TAR FIN'!$A$1:$O$116,15,0)),0,VLOOKUP($S$763,'TAR FIN'!$A$1:$O$116,15,0))</f>
        <v>15.24</v>
      </c>
      <c r="W763" s="6">
        <f>IF(ISERROR(VLOOKUP($T$763,'TAR FIN'!$A$1:$O$116,15,0)),0,VLOOKUP($T$763,'TAR FIN'!$A$1:$O$116,15,0))</f>
        <v>0</v>
      </c>
      <c r="X763" s="6">
        <f>IF(ISERROR(VLOOKUP($U$763,'TAR FIN'!$A$1:$O$116,15,0)),0,VLOOKUP($U$763,'TAR FIN'!$A$1:$O$116,15,0))</f>
        <v>0</v>
      </c>
      <c r="Y763" s="6">
        <f ca="1">('TUSD BE'!$AM$32+'TUSD BF'!$AM$32+'TUSD CVA'!$AM$32)*1</f>
        <v>17.138874075124019</v>
      </c>
      <c r="Z763" s="6"/>
      <c r="AA763" s="6"/>
      <c r="AB763" s="6">
        <f>$K$763*$V$763</f>
        <v>6400.8</v>
      </c>
      <c r="AC763" s="6">
        <f>$M$763*$W$763</f>
        <v>0</v>
      </c>
      <c r="AD763" s="6">
        <f>$O$763*$X$763</f>
        <v>0</v>
      </c>
      <c r="AE763" s="6">
        <f ca="1">$K$763*$Y$763</f>
        <v>7198.3271115520874</v>
      </c>
      <c r="AF763" s="6">
        <f>$M$763*$Z$763</f>
        <v>0</v>
      </c>
      <c r="AG763" s="6">
        <f>$O$763*$AA$763</f>
        <v>0</v>
      </c>
    </row>
    <row r="764" spans="1:33" ht="11.25" customHeight="1" x14ac:dyDescent="0.25">
      <c r="A764" s="4" t="s">
        <v>21</v>
      </c>
      <c r="B764" s="4" t="s">
        <v>41</v>
      </c>
      <c r="C764" s="4" t="s">
        <v>64</v>
      </c>
      <c r="D764" s="4" t="s">
        <v>25</v>
      </c>
      <c r="E764" s="4" t="s">
        <v>25</v>
      </c>
      <c r="F764" s="4" t="s">
        <v>25</v>
      </c>
      <c r="G764" s="4" t="s">
        <v>93</v>
      </c>
      <c r="H764" s="4" t="s">
        <v>25</v>
      </c>
      <c r="I764" s="5">
        <v>44621</v>
      </c>
      <c r="J764" s="6">
        <v>1300</v>
      </c>
      <c r="K764" s="6">
        <v>650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4" t="s">
        <v>66</v>
      </c>
      <c r="R764" s="4">
        <v>30847</v>
      </c>
      <c r="S764" s="6">
        <v>28</v>
      </c>
      <c r="T764" s="6">
        <v>0</v>
      </c>
      <c r="U764" s="6">
        <v>0</v>
      </c>
      <c r="V764" s="6">
        <f>IF(ISERROR(VLOOKUP($S$764,'TAR FIN'!$A$1:$O$116,15,0)),0,VLOOKUP($S$764,'TAR FIN'!$A$1:$O$116,15,0))</f>
        <v>15.24</v>
      </c>
      <c r="W764" s="6">
        <f>IF(ISERROR(VLOOKUP($T$764,'TAR FIN'!$A$1:$O$116,15,0)),0,VLOOKUP($T$764,'TAR FIN'!$A$1:$O$116,15,0))</f>
        <v>0</v>
      </c>
      <c r="X764" s="6">
        <f>IF(ISERROR(VLOOKUP($U$764,'TAR FIN'!$A$1:$O$116,15,0)),0,VLOOKUP($U$764,'TAR FIN'!$A$1:$O$116,15,0))</f>
        <v>0</v>
      </c>
      <c r="Y764" s="6">
        <f ca="1">('TUSD BE'!$AM$32+'TUSD BF'!$AM$32+'TUSD CVA'!$AM$32)*1</f>
        <v>17.138874075124019</v>
      </c>
      <c r="Z764" s="6"/>
      <c r="AA764" s="6"/>
      <c r="AB764" s="6">
        <f>$K$764*$V$764</f>
        <v>9906</v>
      </c>
      <c r="AC764" s="6">
        <f>$M$764*$W$764</f>
        <v>0</v>
      </c>
      <c r="AD764" s="6">
        <f>$O$764*$X$764</f>
        <v>0</v>
      </c>
      <c r="AE764" s="6">
        <f ca="1">$K$764*$Y$764</f>
        <v>11140.268148830612</v>
      </c>
      <c r="AF764" s="6">
        <f>$M$764*$Z$764</f>
        <v>0</v>
      </c>
      <c r="AG764" s="6">
        <f>$O$764*$AA$764</f>
        <v>0</v>
      </c>
    </row>
    <row r="765" spans="1:33" ht="11.25" customHeight="1" x14ac:dyDescent="0.25">
      <c r="A765" s="4" t="s">
        <v>21</v>
      </c>
      <c r="B765" s="4" t="s">
        <v>41</v>
      </c>
      <c r="C765" s="4" t="s">
        <v>64</v>
      </c>
      <c r="D765" s="4" t="s">
        <v>25</v>
      </c>
      <c r="E765" s="4" t="s">
        <v>25</v>
      </c>
      <c r="F765" s="4" t="s">
        <v>25</v>
      </c>
      <c r="G765" s="4" t="s">
        <v>94</v>
      </c>
      <c r="H765" s="4" t="s">
        <v>25</v>
      </c>
      <c r="I765" s="5">
        <v>44621</v>
      </c>
      <c r="J765" s="6">
        <v>1180</v>
      </c>
      <c r="K765" s="6">
        <v>590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4" t="s">
        <v>66</v>
      </c>
      <c r="R765" s="4">
        <v>30866</v>
      </c>
      <c r="S765" s="6">
        <v>28</v>
      </c>
      <c r="T765" s="6">
        <v>0</v>
      </c>
      <c r="U765" s="6">
        <v>0</v>
      </c>
      <c r="V765" s="6">
        <f>IF(ISERROR(VLOOKUP($S$765,'TAR FIN'!$A$1:$O$116,15,0)),0,VLOOKUP($S$765,'TAR FIN'!$A$1:$O$116,15,0))</f>
        <v>15.24</v>
      </c>
      <c r="W765" s="6">
        <f>IF(ISERROR(VLOOKUP($T$765,'TAR FIN'!$A$1:$O$116,15,0)),0,VLOOKUP($T$765,'TAR FIN'!$A$1:$O$116,15,0))</f>
        <v>0</v>
      </c>
      <c r="X765" s="6">
        <f>IF(ISERROR(VLOOKUP($U$765,'TAR FIN'!$A$1:$O$116,15,0)),0,VLOOKUP($U$765,'TAR FIN'!$A$1:$O$116,15,0))</f>
        <v>0</v>
      </c>
      <c r="Y765" s="6">
        <f ca="1">('TUSD BE'!$AM$32+'TUSD BF'!$AM$32+'TUSD CVA'!$AM$32)*1</f>
        <v>17.138874075124019</v>
      </c>
      <c r="Z765" s="6"/>
      <c r="AA765" s="6"/>
      <c r="AB765" s="6">
        <f>$K$765*$V$765</f>
        <v>8991.6</v>
      </c>
      <c r="AC765" s="6">
        <f>$M$765*$W$765</f>
        <v>0</v>
      </c>
      <c r="AD765" s="6">
        <f>$O$765*$X$765</f>
        <v>0</v>
      </c>
      <c r="AE765" s="6">
        <f ca="1">$K$765*$Y$765</f>
        <v>10111.93570432317</v>
      </c>
      <c r="AF765" s="6">
        <f>$M$765*$Z$765</f>
        <v>0</v>
      </c>
      <c r="AG765" s="6">
        <f>$O$765*$AA$765</f>
        <v>0</v>
      </c>
    </row>
    <row r="766" spans="1:33" ht="11.25" customHeight="1" x14ac:dyDescent="0.25">
      <c r="A766" s="4" t="s">
        <v>21</v>
      </c>
      <c r="B766" s="4" t="s">
        <v>41</v>
      </c>
      <c r="C766" s="4" t="s">
        <v>64</v>
      </c>
      <c r="D766" s="4" t="s">
        <v>25</v>
      </c>
      <c r="E766" s="4" t="s">
        <v>25</v>
      </c>
      <c r="F766" s="4" t="s">
        <v>25</v>
      </c>
      <c r="G766" s="4" t="s">
        <v>95</v>
      </c>
      <c r="H766" s="4" t="s">
        <v>25</v>
      </c>
      <c r="I766" s="5">
        <v>44621</v>
      </c>
      <c r="J766" s="6">
        <v>1180</v>
      </c>
      <c r="K766" s="6">
        <v>590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4" t="s">
        <v>66</v>
      </c>
      <c r="R766" s="4">
        <v>31051</v>
      </c>
      <c r="S766" s="6">
        <v>28</v>
      </c>
      <c r="T766" s="6">
        <v>0</v>
      </c>
      <c r="U766" s="6">
        <v>0</v>
      </c>
      <c r="V766" s="6">
        <f>IF(ISERROR(VLOOKUP($S$766,'TAR FIN'!$A$1:$O$116,15,0)),0,VLOOKUP($S$766,'TAR FIN'!$A$1:$O$116,15,0))</f>
        <v>15.24</v>
      </c>
      <c r="W766" s="6">
        <f>IF(ISERROR(VLOOKUP($T$766,'TAR FIN'!$A$1:$O$116,15,0)),0,VLOOKUP($T$766,'TAR FIN'!$A$1:$O$116,15,0))</f>
        <v>0</v>
      </c>
      <c r="X766" s="6">
        <f>IF(ISERROR(VLOOKUP($U$766,'TAR FIN'!$A$1:$O$116,15,0)),0,VLOOKUP($U$766,'TAR FIN'!$A$1:$O$116,15,0))</f>
        <v>0</v>
      </c>
      <c r="Y766" s="6">
        <f ca="1">('TUSD BE'!$AM$32+'TUSD BF'!$AM$32+'TUSD CVA'!$AM$32)*1</f>
        <v>17.138874075124019</v>
      </c>
      <c r="Z766" s="6"/>
      <c r="AA766" s="6"/>
      <c r="AB766" s="6">
        <f>$K$766*$V$766</f>
        <v>8991.6</v>
      </c>
      <c r="AC766" s="6">
        <f>$M$766*$W$766</f>
        <v>0</v>
      </c>
      <c r="AD766" s="6">
        <f>$O$766*$X$766</f>
        <v>0</v>
      </c>
      <c r="AE766" s="6">
        <f ca="1">$K$766*$Y$766</f>
        <v>10111.93570432317</v>
      </c>
      <c r="AF766" s="6">
        <f>$M$766*$Z$766</f>
        <v>0</v>
      </c>
      <c r="AG766" s="6">
        <f>$O$766*$AA$766</f>
        <v>0</v>
      </c>
    </row>
    <row r="767" spans="1:33" ht="11.25" customHeight="1" x14ac:dyDescent="0.25">
      <c r="A767" s="4" t="s">
        <v>21</v>
      </c>
      <c r="B767" s="4" t="s">
        <v>41</v>
      </c>
      <c r="C767" s="4" t="s">
        <v>64</v>
      </c>
      <c r="D767" s="4" t="s">
        <v>25</v>
      </c>
      <c r="E767" s="4" t="s">
        <v>25</v>
      </c>
      <c r="F767" s="4" t="s">
        <v>25</v>
      </c>
      <c r="G767" s="4" t="s">
        <v>96</v>
      </c>
      <c r="H767" s="4" t="s">
        <v>25</v>
      </c>
      <c r="I767" s="5">
        <v>44621</v>
      </c>
      <c r="J767" s="6">
        <v>1000</v>
      </c>
      <c r="K767" s="6">
        <v>500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4" t="s">
        <v>66</v>
      </c>
      <c r="R767" s="4">
        <v>31277</v>
      </c>
      <c r="S767" s="6">
        <v>28</v>
      </c>
      <c r="T767" s="6">
        <v>0</v>
      </c>
      <c r="U767" s="6">
        <v>0</v>
      </c>
      <c r="V767" s="6">
        <f>IF(ISERROR(VLOOKUP($S$767,'TAR FIN'!$A$1:$O$116,15,0)),0,VLOOKUP($S$767,'TAR FIN'!$A$1:$O$116,15,0))</f>
        <v>15.24</v>
      </c>
      <c r="W767" s="6">
        <f>IF(ISERROR(VLOOKUP($T$767,'TAR FIN'!$A$1:$O$116,15,0)),0,VLOOKUP($T$767,'TAR FIN'!$A$1:$O$116,15,0))</f>
        <v>0</v>
      </c>
      <c r="X767" s="6">
        <f>IF(ISERROR(VLOOKUP($U$767,'TAR FIN'!$A$1:$O$116,15,0)),0,VLOOKUP($U$767,'TAR FIN'!$A$1:$O$116,15,0))</f>
        <v>0</v>
      </c>
      <c r="Y767" s="6">
        <f ca="1">('TUSD BE'!$AM$32+'TUSD BF'!$AM$32+'TUSD CVA'!$AM$32)*1</f>
        <v>17.138874075124019</v>
      </c>
      <c r="Z767" s="6"/>
      <c r="AA767" s="6"/>
      <c r="AB767" s="6">
        <f>$K$767*$V$767</f>
        <v>7620</v>
      </c>
      <c r="AC767" s="6">
        <f>$M$767*$W$767</f>
        <v>0</v>
      </c>
      <c r="AD767" s="6">
        <f>$O$767*$X$767</f>
        <v>0</v>
      </c>
      <c r="AE767" s="6">
        <f ca="1">$K$767*$Y$767</f>
        <v>8569.4370375620092</v>
      </c>
      <c r="AF767" s="6">
        <f>$M$767*$Z$767</f>
        <v>0</v>
      </c>
      <c r="AG767" s="6">
        <f>$O$767*$AA$767</f>
        <v>0</v>
      </c>
    </row>
    <row r="768" spans="1:33" ht="11.25" customHeight="1" x14ac:dyDescent="0.25">
      <c r="A768" s="4" t="s">
        <v>21</v>
      </c>
      <c r="B768" s="4" t="s">
        <v>41</v>
      </c>
      <c r="C768" s="4" t="s">
        <v>64</v>
      </c>
      <c r="D768" s="4" t="s">
        <v>25</v>
      </c>
      <c r="E768" s="4" t="s">
        <v>25</v>
      </c>
      <c r="F768" s="4" t="s">
        <v>25</v>
      </c>
      <c r="G768" s="4" t="s">
        <v>97</v>
      </c>
      <c r="H768" s="4" t="s">
        <v>25</v>
      </c>
      <c r="I768" s="5">
        <v>44621</v>
      </c>
      <c r="J768" s="6">
        <v>1180</v>
      </c>
      <c r="K768" s="6">
        <v>590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4" t="s">
        <v>66</v>
      </c>
      <c r="R768" s="4">
        <v>31318</v>
      </c>
      <c r="S768" s="6">
        <v>28</v>
      </c>
      <c r="T768" s="6">
        <v>0</v>
      </c>
      <c r="U768" s="6">
        <v>0</v>
      </c>
      <c r="V768" s="6">
        <f>IF(ISERROR(VLOOKUP($S$768,'TAR FIN'!$A$1:$O$116,15,0)),0,VLOOKUP($S$768,'TAR FIN'!$A$1:$O$116,15,0))</f>
        <v>15.24</v>
      </c>
      <c r="W768" s="6">
        <f>IF(ISERROR(VLOOKUP($T$768,'TAR FIN'!$A$1:$O$116,15,0)),0,VLOOKUP($T$768,'TAR FIN'!$A$1:$O$116,15,0))</f>
        <v>0</v>
      </c>
      <c r="X768" s="6">
        <f>IF(ISERROR(VLOOKUP($U$768,'TAR FIN'!$A$1:$O$116,15,0)),0,VLOOKUP($U$768,'TAR FIN'!$A$1:$O$116,15,0))</f>
        <v>0</v>
      </c>
      <c r="Y768" s="6">
        <f ca="1">('TUSD BE'!$AM$32+'TUSD BF'!$AM$32+'TUSD CVA'!$AM$32)*1</f>
        <v>17.138874075124019</v>
      </c>
      <c r="Z768" s="6"/>
      <c r="AA768" s="6"/>
      <c r="AB768" s="6">
        <f>$K$768*$V$768</f>
        <v>8991.6</v>
      </c>
      <c r="AC768" s="6">
        <f>$M$768*$W$768</f>
        <v>0</v>
      </c>
      <c r="AD768" s="6">
        <f>$O$768*$X$768</f>
        <v>0</v>
      </c>
      <c r="AE768" s="6">
        <f ca="1">$K$768*$Y$768</f>
        <v>10111.93570432317</v>
      </c>
      <c r="AF768" s="6">
        <f>$M$768*$Z$768</f>
        <v>0</v>
      </c>
      <c r="AG768" s="6">
        <f>$O$768*$AA$768</f>
        <v>0</v>
      </c>
    </row>
    <row r="769" spans="1:33" ht="11.25" customHeight="1" x14ac:dyDescent="0.25">
      <c r="A769" s="4" t="s">
        <v>21</v>
      </c>
      <c r="B769" s="4" t="s">
        <v>41</v>
      </c>
      <c r="C769" s="4" t="s">
        <v>64</v>
      </c>
      <c r="D769" s="4" t="s">
        <v>25</v>
      </c>
      <c r="E769" s="4" t="s">
        <v>25</v>
      </c>
      <c r="F769" s="4" t="s">
        <v>25</v>
      </c>
      <c r="G769" s="4" t="s">
        <v>98</v>
      </c>
      <c r="H769" s="4" t="s">
        <v>25</v>
      </c>
      <c r="I769" s="5">
        <v>44621</v>
      </c>
      <c r="J769" s="6">
        <v>3000</v>
      </c>
      <c r="K769" s="6">
        <v>1500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4" t="s">
        <v>66</v>
      </c>
      <c r="R769" s="4">
        <v>31334</v>
      </c>
      <c r="S769" s="6">
        <v>28</v>
      </c>
      <c r="T769" s="6">
        <v>0</v>
      </c>
      <c r="U769" s="6">
        <v>0</v>
      </c>
      <c r="V769" s="6">
        <f>IF(ISERROR(VLOOKUP($S$769,'TAR FIN'!$A$1:$O$116,15,0)),0,VLOOKUP($S$769,'TAR FIN'!$A$1:$O$116,15,0))</f>
        <v>15.24</v>
      </c>
      <c r="W769" s="6">
        <f>IF(ISERROR(VLOOKUP($T$769,'TAR FIN'!$A$1:$O$116,15,0)),0,VLOOKUP($T$769,'TAR FIN'!$A$1:$O$116,15,0))</f>
        <v>0</v>
      </c>
      <c r="X769" s="6">
        <f>IF(ISERROR(VLOOKUP($U$769,'TAR FIN'!$A$1:$O$116,15,0)),0,VLOOKUP($U$769,'TAR FIN'!$A$1:$O$116,15,0))</f>
        <v>0</v>
      </c>
      <c r="Y769" s="6">
        <f ca="1">('TUSD BE'!$AM$32+'TUSD BF'!$AM$32+'TUSD CVA'!$AM$32)*1</f>
        <v>17.138874075124019</v>
      </c>
      <c r="Z769" s="6"/>
      <c r="AA769" s="6"/>
      <c r="AB769" s="6">
        <f>$K$769*$V$769</f>
        <v>22860</v>
      </c>
      <c r="AC769" s="6">
        <f>$M$769*$W$769</f>
        <v>0</v>
      </c>
      <c r="AD769" s="6">
        <f>$O$769*$X$769</f>
        <v>0</v>
      </c>
      <c r="AE769" s="6">
        <f ca="1">$K$769*$Y$769</f>
        <v>25708.311112686028</v>
      </c>
      <c r="AF769" s="6">
        <f>$M$769*$Z$769</f>
        <v>0</v>
      </c>
      <c r="AG769" s="6">
        <f>$O$769*$AA$769</f>
        <v>0</v>
      </c>
    </row>
    <row r="770" spans="1:33" ht="11.25" customHeight="1" x14ac:dyDescent="0.25">
      <c r="A770" s="4" t="s">
        <v>21</v>
      </c>
      <c r="B770" s="4" t="s">
        <v>41</v>
      </c>
      <c r="C770" s="4" t="s">
        <v>64</v>
      </c>
      <c r="D770" s="4" t="s">
        <v>25</v>
      </c>
      <c r="E770" s="4" t="s">
        <v>25</v>
      </c>
      <c r="F770" s="4" t="s">
        <v>25</v>
      </c>
      <c r="G770" s="4" t="s">
        <v>99</v>
      </c>
      <c r="H770" s="4" t="s">
        <v>25</v>
      </c>
      <c r="I770" s="5">
        <v>44621</v>
      </c>
      <c r="J770" s="6">
        <v>1208</v>
      </c>
      <c r="K770" s="6">
        <v>604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4" t="s">
        <v>66</v>
      </c>
      <c r="R770" s="4">
        <v>31618</v>
      </c>
      <c r="S770" s="6">
        <v>28</v>
      </c>
      <c r="T770" s="6">
        <v>0</v>
      </c>
      <c r="U770" s="6">
        <v>0</v>
      </c>
      <c r="V770" s="6">
        <f>IF(ISERROR(VLOOKUP($S$770,'TAR FIN'!$A$1:$O$116,15,0)),0,VLOOKUP($S$770,'TAR FIN'!$A$1:$O$116,15,0))</f>
        <v>15.24</v>
      </c>
      <c r="W770" s="6">
        <f>IF(ISERROR(VLOOKUP($T$770,'TAR FIN'!$A$1:$O$116,15,0)),0,VLOOKUP($T$770,'TAR FIN'!$A$1:$O$116,15,0))</f>
        <v>0</v>
      </c>
      <c r="X770" s="6">
        <f>IF(ISERROR(VLOOKUP($U$770,'TAR FIN'!$A$1:$O$116,15,0)),0,VLOOKUP($U$770,'TAR FIN'!$A$1:$O$116,15,0))</f>
        <v>0</v>
      </c>
      <c r="Y770" s="6">
        <f ca="1">('TUSD BE'!$AM$32+'TUSD BF'!$AM$32+'TUSD CVA'!$AM$32)*1</f>
        <v>17.138874075124019</v>
      </c>
      <c r="Z770" s="6"/>
      <c r="AA770" s="6"/>
      <c r="AB770" s="6">
        <f>$K$770*$V$770</f>
        <v>9204.9600000000009</v>
      </c>
      <c r="AC770" s="6">
        <f>$M$770*$W$770</f>
        <v>0</v>
      </c>
      <c r="AD770" s="6">
        <f>$O$770*$X$770</f>
        <v>0</v>
      </c>
      <c r="AE770" s="6">
        <f ca="1">$K$770*$Y$770</f>
        <v>10351.879941374908</v>
      </c>
      <c r="AF770" s="6">
        <f>$M$770*$Z$770</f>
        <v>0</v>
      </c>
      <c r="AG770" s="6">
        <f>$O$770*$AA$770</f>
        <v>0</v>
      </c>
    </row>
    <row r="771" spans="1:33" ht="11.25" customHeight="1" x14ac:dyDescent="0.25">
      <c r="A771" s="4" t="s">
        <v>21</v>
      </c>
      <c r="B771" s="4" t="s">
        <v>41</v>
      </c>
      <c r="C771" s="4" t="s">
        <v>64</v>
      </c>
      <c r="D771" s="4" t="s">
        <v>25</v>
      </c>
      <c r="E771" s="4" t="s">
        <v>25</v>
      </c>
      <c r="F771" s="4" t="s">
        <v>25</v>
      </c>
      <c r="G771" s="4" t="s">
        <v>100</v>
      </c>
      <c r="H771" s="4" t="s">
        <v>25</v>
      </c>
      <c r="I771" s="5">
        <v>44621</v>
      </c>
      <c r="J771" s="6">
        <v>1180</v>
      </c>
      <c r="K771" s="6">
        <v>590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4" t="s">
        <v>66</v>
      </c>
      <c r="R771" s="4">
        <v>31677</v>
      </c>
      <c r="S771" s="6">
        <v>28</v>
      </c>
      <c r="T771" s="6">
        <v>0</v>
      </c>
      <c r="U771" s="6">
        <v>0</v>
      </c>
      <c r="V771" s="6">
        <f>IF(ISERROR(VLOOKUP($S$771,'TAR FIN'!$A$1:$O$116,15,0)),0,VLOOKUP($S$771,'TAR FIN'!$A$1:$O$116,15,0))</f>
        <v>15.24</v>
      </c>
      <c r="W771" s="6">
        <f>IF(ISERROR(VLOOKUP($T$771,'TAR FIN'!$A$1:$O$116,15,0)),0,VLOOKUP($T$771,'TAR FIN'!$A$1:$O$116,15,0))</f>
        <v>0</v>
      </c>
      <c r="X771" s="6">
        <f>IF(ISERROR(VLOOKUP($U$771,'TAR FIN'!$A$1:$O$116,15,0)),0,VLOOKUP($U$771,'TAR FIN'!$A$1:$O$116,15,0))</f>
        <v>0</v>
      </c>
      <c r="Y771" s="6">
        <f ca="1">('TUSD BE'!$AM$32+'TUSD BF'!$AM$32+'TUSD CVA'!$AM$32)*1</f>
        <v>17.138874075124019</v>
      </c>
      <c r="Z771" s="6"/>
      <c r="AA771" s="6"/>
      <c r="AB771" s="6">
        <f>$K$771*$V$771</f>
        <v>8991.6</v>
      </c>
      <c r="AC771" s="6">
        <f>$M$771*$W$771</f>
        <v>0</v>
      </c>
      <c r="AD771" s="6">
        <f>$O$771*$X$771</f>
        <v>0</v>
      </c>
      <c r="AE771" s="6">
        <f ca="1">$K$771*$Y$771</f>
        <v>10111.93570432317</v>
      </c>
      <c r="AF771" s="6">
        <f>$M$771*$Z$771</f>
        <v>0</v>
      </c>
      <c r="AG771" s="6">
        <f>$O$771*$AA$771</f>
        <v>0</v>
      </c>
    </row>
    <row r="772" spans="1:33" ht="11.25" customHeight="1" x14ac:dyDescent="0.25">
      <c r="A772" s="4" t="s">
        <v>21</v>
      </c>
      <c r="B772" s="4" t="s">
        <v>41</v>
      </c>
      <c r="C772" s="4" t="s">
        <v>64</v>
      </c>
      <c r="D772" s="4" t="s">
        <v>25</v>
      </c>
      <c r="E772" s="4" t="s">
        <v>25</v>
      </c>
      <c r="F772" s="4" t="s">
        <v>25</v>
      </c>
      <c r="G772" s="4" t="s">
        <v>68</v>
      </c>
      <c r="H772" s="4" t="s">
        <v>25</v>
      </c>
      <c r="I772" s="5">
        <v>44652</v>
      </c>
      <c r="J772" s="6">
        <v>302</v>
      </c>
      <c r="K772" s="6">
        <v>302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4" t="s">
        <v>66</v>
      </c>
      <c r="R772" s="4">
        <v>404</v>
      </c>
      <c r="S772" s="6">
        <v>28</v>
      </c>
      <c r="T772" s="6">
        <v>0</v>
      </c>
      <c r="U772" s="6">
        <v>0</v>
      </c>
      <c r="V772" s="6">
        <f>IF(ISERROR(VLOOKUP($S$772,'TAR FIN'!$A$1:$O$116,15,0)),0,VLOOKUP($S$772,'TAR FIN'!$A$1:$O$116,15,0))</f>
        <v>15.24</v>
      </c>
      <c r="W772" s="6">
        <f>IF(ISERROR(VLOOKUP($T$772,'TAR FIN'!$A$1:$O$116,15,0)),0,VLOOKUP($T$772,'TAR FIN'!$A$1:$O$116,15,0))</f>
        <v>0</v>
      </c>
      <c r="X772" s="6">
        <f>IF(ISERROR(VLOOKUP($U$772,'TAR FIN'!$A$1:$O$116,15,0)),0,VLOOKUP($U$772,'TAR FIN'!$A$1:$O$116,15,0))</f>
        <v>0</v>
      </c>
      <c r="Y772" s="6">
        <f ca="1">('TUSD BE'!$AM$32+'TUSD BF'!$AM$32+'TUSD CVA'!$AM$32)*1</f>
        <v>17.138874075124019</v>
      </c>
      <c r="Z772" s="6"/>
      <c r="AA772" s="6"/>
      <c r="AB772" s="6">
        <f>$K$772*$V$772</f>
        <v>4602.4800000000005</v>
      </c>
      <c r="AC772" s="6">
        <f>$M$772*$W$772</f>
        <v>0</v>
      </c>
      <c r="AD772" s="6">
        <f>$O$772*$X$772</f>
        <v>0</v>
      </c>
      <c r="AE772" s="6">
        <f ca="1">$K$772*$Y$772</f>
        <v>5175.9399706874538</v>
      </c>
      <c r="AF772" s="6">
        <f>$M$772*$Z$772</f>
        <v>0</v>
      </c>
      <c r="AG772" s="6">
        <f>$O$772*$AA$772</f>
        <v>0</v>
      </c>
    </row>
    <row r="773" spans="1:33" ht="11.25" customHeight="1" x14ac:dyDescent="0.25">
      <c r="A773" s="4" t="s">
        <v>21</v>
      </c>
      <c r="B773" s="4" t="s">
        <v>41</v>
      </c>
      <c r="C773" s="4" t="s">
        <v>64</v>
      </c>
      <c r="D773" s="4" t="s">
        <v>25</v>
      </c>
      <c r="E773" s="4" t="s">
        <v>25</v>
      </c>
      <c r="F773" s="4" t="s">
        <v>25</v>
      </c>
      <c r="G773" s="4" t="s">
        <v>70</v>
      </c>
      <c r="H773" s="4" t="s">
        <v>25</v>
      </c>
      <c r="I773" s="5">
        <v>44652</v>
      </c>
      <c r="J773" s="6">
        <v>5040</v>
      </c>
      <c r="K773" s="6">
        <v>5040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4" t="s">
        <v>66</v>
      </c>
      <c r="R773" s="4">
        <v>838</v>
      </c>
      <c r="S773" s="6">
        <v>28</v>
      </c>
      <c r="T773" s="6">
        <v>0</v>
      </c>
      <c r="U773" s="6">
        <v>0</v>
      </c>
      <c r="V773" s="6">
        <f>IF(ISERROR(VLOOKUP($S$773,'TAR FIN'!$A$1:$O$116,15,0)),0,VLOOKUP($S$773,'TAR FIN'!$A$1:$O$116,15,0))</f>
        <v>15.24</v>
      </c>
      <c r="W773" s="6">
        <f>IF(ISERROR(VLOOKUP($T$773,'TAR FIN'!$A$1:$O$116,15,0)),0,VLOOKUP($T$773,'TAR FIN'!$A$1:$O$116,15,0))</f>
        <v>0</v>
      </c>
      <c r="X773" s="6">
        <f>IF(ISERROR(VLOOKUP($U$773,'TAR FIN'!$A$1:$O$116,15,0)),0,VLOOKUP($U$773,'TAR FIN'!$A$1:$O$116,15,0))</f>
        <v>0</v>
      </c>
      <c r="Y773" s="6">
        <f ca="1">('TUSD BE'!$AM$32+'TUSD BF'!$AM$32+'TUSD CVA'!$AM$32)*1</f>
        <v>17.138874075124019</v>
      </c>
      <c r="Z773" s="6"/>
      <c r="AA773" s="6"/>
      <c r="AB773" s="6">
        <f>$K$773*$V$773</f>
        <v>76809.600000000006</v>
      </c>
      <c r="AC773" s="6">
        <f>$M$773*$W$773</f>
        <v>0</v>
      </c>
      <c r="AD773" s="6">
        <f>$O$773*$X$773</f>
        <v>0</v>
      </c>
      <c r="AE773" s="6">
        <f ca="1">$K$773*$Y$773</f>
        <v>86379.925338625049</v>
      </c>
      <c r="AF773" s="6">
        <f>$M$773*$Z$773</f>
        <v>0</v>
      </c>
      <c r="AG773" s="6">
        <f>$O$773*$AA$773</f>
        <v>0</v>
      </c>
    </row>
    <row r="774" spans="1:33" ht="11.25" customHeight="1" x14ac:dyDescent="0.25">
      <c r="A774" s="4" t="s">
        <v>21</v>
      </c>
      <c r="B774" s="4" t="s">
        <v>41</v>
      </c>
      <c r="C774" s="4" t="s">
        <v>64</v>
      </c>
      <c r="D774" s="4" t="s">
        <v>25</v>
      </c>
      <c r="E774" s="4" t="s">
        <v>25</v>
      </c>
      <c r="F774" s="4" t="s">
        <v>25</v>
      </c>
      <c r="G774" s="4" t="s">
        <v>74</v>
      </c>
      <c r="H774" s="4" t="s">
        <v>25</v>
      </c>
      <c r="I774" s="5">
        <v>44652</v>
      </c>
      <c r="J774" s="6">
        <v>3800</v>
      </c>
      <c r="K774" s="6">
        <v>1900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4" t="s">
        <v>66</v>
      </c>
      <c r="R774" s="4">
        <v>1192</v>
      </c>
      <c r="S774" s="6">
        <v>28</v>
      </c>
      <c r="T774" s="6">
        <v>0</v>
      </c>
      <c r="U774" s="6">
        <v>0</v>
      </c>
      <c r="V774" s="6">
        <f>IF(ISERROR(VLOOKUP($S$774,'TAR FIN'!$A$1:$O$116,15,0)),0,VLOOKUP($S$774,'TAR FIN'!$A$1:$O$116,15,0))</f>
        <v>15.24</v>
      </c>
      <c r="W774" s="6">
        <f>IF(ISERROR(VLOOKUP($T$774,'TAR FIN'!$A$1:$O$116,15,0)),0,VLOOKUP($T$774,'TAR FIN'!$A$1:$O$116,15,0))</f>
        <v>0</v>
      </c>
      <c r="X774" s="6">
        <f>IF(ISERROR(VLOOKUP($U$774,'TAR FIN'!$A$1:$O$116,15,0)),0,VLOOKUP($U$774,'TAR FIN'!$A$1:$O$116,15,0))</f>
        <v>0</v>
      </c>
      <c r="Y774" s="6">
        <f ca="1">('TUSD BE'!$AM$32+'TUSD BF'!$AM$32+'TUSD CVA'!$AM$32)*1</f>
        <v>17.138874075124019</v>
      </c>
      <c r="Z774" s="6"/>
      <c r="AA774" s="6"/>
      <c r="AB774" s="6">
        <f>$K$774*$V$774</f>
        <v>28956</v>
      </c>
      <c r="AC774" s="6">
        <f>$M$774*$W$774</f>
        <v>0</v>
      </c>
      <c r="AD774" s="6">
        <f>$O$774*$X$774</f>
        <v>0</v>
      </c>
      <c r="AE774" s="6">
        <f ca="1">$K$774*$Y$774</f>
        <v>32563.860742735636</v>
      </c>
      <c r="AF774" s="6">
        <f>$M$774*$Z$774</f>
        <v>0</v>
      </c>
      <c r="AG774" s="6">
        <f>$O$774*$AA$774</f>
        <v>0</v>
      </c>
    </row>
    <row r="775" spans="1:33" ht="11.25" customHeight="1" x14ac:dyDescent="0.25">
      <c r="A775" s="4" t="s">
        <v>21</v>
      </c>
      <c r="B775" s="4" t="s">
        <v>41</v>
      </c>
      <c r="C775" s="4" t="s">
        <v>64</v>
      </c>
      <c r="D775" s="4" t="s">
        <v>25</v>
      </c>
      <c r="E775" s="4" t="s">
        <v>25</v>
      </c>
      <c r="F775" s="4" t="s">
        <v>25</v>
      </c>
      <c r="G775" s="4" t="s">
        <v>76</v>
      </c>
      <c r="H775" s="4" t="s">
        <v>25</v>
      </c>
      <c r="I775" s="5">
        <v>44652</v>
      </c>
      <c r="J775" s="6">
        <v>480</v>
      </c>
      <c r="K775" s="6">
        <v>480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4" t="s">
        <v>66</v>
      </c>
      <c r="R775" s="4">
        <v>1438</v>
      </c>
      <c r="S775" s="6">
        <v>28</v>
      </c>
      <c r="T775" s="6">
        <v>0</v>
      </c>
      <c r="U775" s="6">
        <v>0</v>
      </c>
      <c r="V775" s="6">
        <f>IF(ISERROR(VLOOKUP($S$775,'TAR FIN'!$A$1:$O$116,15,0)),0,VLOOKUP($S$775,'TAR FIN'!$A$1:$O$116,15,0))</f>
        <v>15.24</v>
      </c>
      <c r="W775" s="6">
        <f>IF(ISERROR(VLOOKUP($T$775,'TAR FIN'!$A$1:$O$116,15,0)),0,VLOOKUP($T$775,'TAR FIN'!$A$1:$O$116,15,0))</f>
        <v>0</v>
      </c>
      <c r="X775" s="6">
        <f>IF(ISERROR(VLOOKUP($U$775,'TAR FIN'!$A$1:$O$116,15,0)),0,VLOOKUP($U$775,'TAR FIN'!$A$1:$O$116,15,0))</f>
        <v>0</v>
      </c>
      <c r="Y775" s="6">
        <f ca="1">('TUSD BE'!$AM$32+'TUSD BF'!$AM$32+'TUSD CVA'!$AM$32)*1</f>
        <v>17.138874075124019</v>
      </c>
      <c r="Z775" s="6"/>
      <c r="AA775" s="6"/>
      <c r="AB775" s="6">
        <f>$K$775*$V$775</f>
        <v>7315.2</v>
      </c>
      <c r="AC775" s="6">
        <f>$M$775*$W$775</f>
        <v>0</v>
      </c>
      <c r="AD775" s="6">
        <f>$O$775*$X$775</f>
        <v>0</v>
      </c>
      <c r="AE775" s="6">
        <f ca="1">$K$775*$Y$775</f>
        <v>8226.6595560595288</v>
      </c>
      <c r="AF775" s="6">
        <f>$M$775*$Z$775</f>
        <v>0</v>
      </c>
      <c r="AG775" s="6">
        <f>$O$775*$AA$775</f>
        <v>0</v>
      </c>
    </row>
    <row r="776" spans="1:33" ht="11.25" customHeight="1" x14ac:dyDescent="0.25">
      <c r="A776" s="4" t="s">
        <v>21</v>
      </c>
      <c r="B776" s="4" t="s">
        <v>41</v>
      </c>
      <c r="C776" s="4" t="s">
        <v>64</v>
      </c>
      <c r="D776" s="4" t="s">
        <v>25</v>
      </c>
      <c r="E776" s="4" t="s">
        <v>25</v>
      </c>
      <c r="F776" s="4" t="s">
        <v>25</v>
      </c>
      <c r="G776" s="4" t="s">
        <v>77</v>
      </c>
      <c r="H776" s="4" t="s">
        <v>25</v>
      </c>
      <c r="I776" s="5">
        <v>44652</v>
      </c>
      <c r="J776" s="6">
        <v>736</v>
      </c>
      <c r="K776" s="6">
        <v>736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4" t="s">
        <v>66</v>
      </c>
      <c r="R776" s="4">
        <v>1462</v>
      </c>
      <c r="S776" s="6">
        <v>28</v>
      </c>
      <c r="T776" s="6">
        <v>0</v>
      </c>
      <c r="U776" s="6">
        <v>0</v>
      </c>
      <c r="V776" s="6">
        <f>IF(ISERROR(VLOOKUP($S$776,'TAR FIN'!$A$1:$O$116,15,0)),0,VLOOKUP($S$776,'TAR FIN'!$A$1:$O$116,15,0))</f>
        <v>15.24</v>
      </c>
      <c r="W776" s="6">
        <f>IF(ISERROR(VLOOKUP($T$776,'TAR FIN'!$A$1:$O$116,15,0)),0,VLOOKUP($T$776,'TAR FIN'!$A$1:$O$116,15,0))</f>
        <v>0</v>
      </c>
      <c r="X776" s="6">
        <f>IF(ISERROR(VLOOKUP($U$776,'TAR FIN'!$A$1:$O$116,15,0)),0,VLOOKUP($U$776,'TAR FIN'!$A$1:$O$116,15,0))</f>
        <v>0</v>
      </c>
      <c r="Y776" s="6">
        <f ca="1">('TUSD BE'!$AM$32+'TUSD BF'!$AM$32+'TUSD CVA'!$AM$32)*1</f>
        <v>17.138874075124019</v>
      </c>
      <c r="Z776" s="6"/>
      <c r="AA776" s="6"/>
      <c r="AB776" s="6">
        <f>$K$776*$V$776</f>
        <v>11216.64</v>
      </c>
      <c r="AC776" s="6">
        <f>$M$776*$W$776</f>
        <v>0</v>
      </c>
      <c r="AD776" s="6">
        <f>$O$776*$X$776</f>
        <v>0</v>
      </c>
      <c r="AE776" s="6">
        <f ca="1">$K$776*$Y$776</f>
        <v>12614.211319291278</v>
      </c>
      <c r="AF776" s="6">
        <f>$M$776*$Z$776</f>
        <v>0</v>
      </c>
      <c r="AG776" s="6">
        <f>$O$776*$AA$776</f>
        <v>0</v>
      </c>
    </row>
    <row r="777" spans="1:33" ht="11.25" customHeight="1" x14ac:dyDescent="0.25">
      <c r="A777" s="4" t="s">
        <v>21</v>
      </c>
      <c r="B777" s="4" t="s">
        <v>41</v>
      </c>
      <c r="C777" s="4" t="s">
        <v>64</v>
      </c>
      <c r="D777" s="4" t="s">
        <v>25</v>
      </c>
      <c r="E777" s="4" t="s">
        <v>25</v>
      </c>
      <c r="F777" s="4" t="s">
        <v>25</v>
      </c>
      <c r="G777" s="4" t="s">
        <v>78</v>
      </c>
      <c r="H777" s="4" t="s">
        <v>25</v>
      </c>
      <c r="I777" s="5">
        <v>44652</v>
      </c>
      <c r="J777" s="6">
        <v>6460</v>
      </c>
      <c r="K777" s="6">
        <v>6460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4" t="s">
        <v>66</v>
      </c>
      <c r="R777" s="4">
        <v>1533</v>
      </c>
      <c r="S777" s="6">
        <v>28</v>
      </c>
      <c r="T777" s="6">
        <v>0</v>
      </c>
      <c r="U777" s="6">
        <v>0</v>
      </c>
      <c r="V777" s="6">
        <f>IF(ISERROR(VLOOKUP($S$777,'TAR FIN'!$A$1:$O$116,15,0)),0,VLOOKUP($S$777,'TAR FIN'!$A$1:$O$116,15,0))</f>
        <v>15.24</v>
      </c>
      <c r="W777" s="6">
        <f>IF(ISERROR(VLOOKUP($T$777,'TAR FIN'!$A$1:$O$116,15,0)),0,VLOOKUP($T$777,'TAR FIN'!$A$1:$O$116,15,0))</f>
        <v>0</v>
      </c>
      <c r="X777" s="6">
        <f>IF(ISERROR(VLOOKUP($U$777,'TAR FIN'!$A$1:$O$116,15,0)),0,VLOOKUP($U$777,'TAR FIN'!$A$1:$O$116,15,0))</f>
        <v>0</v>
      </c>
      <c r="Y777" s="6">
        <f ca="1">('TUSD BE'!$AM$32+'TUSD BF'!$AM$32+'TUSD CVA'!$AM$32)*1</f>
        <v>17.138874075124019</v>
      </c>
      <c r="Z777" s="6"/>
      <c r="AA777" s="6"/>
      <c r="AB777" s="6">
        <f>$K$777*$V$777</f>
        <v>98450.4</v>
      </c>
      <c r="AC777" s="6">
        <f>$M$777*$W$777</f>
        <v>0</v>
      </c>
      <c r="AD777" s="6">
        <f>$O$777*$X$777</f>
        <v>0</v>
      </c>
      <c r="AE777" s="6">
        <f ca="1">$K$777*$Y$777</f>
        <v>110717.12652530117</v>
      </c>
      <c r="AF777" s="6">
        <f>$M$777*$Z$777</f>
        <v>0</v>
      </c>
      <c r="AG777" s="6">
        <f>$O$777*$AA$777</f>
        <v>0</v>
      </c>
    </row>
    <row r="778" spans="1:33" ht="11.25" customHeight="1" x14ac:dyDescent="0.25">
      <c r="A778" s="4" t="s">
        <v>21</v>
      </c>
      <c r="B778" s="4" t="s">
        <v>41</v>
      </c>
      <c r="C778" s="4" t="s">
        <v>64</v>
      </c>
      <c r="D778" s="4" t="s">
        <v>25</v>
      </c>
      <c r="E778" s="4" t="s">
        <v>25</v>
      </c>
      <c r="F778" s="4" t="s">
        <v>25</v>
      </c>
      <c r="G778" s="4" t="s">
        <v>79</v>
      </c>
      <c r="H778" s="4" t="s">
        <v>25</v>
      </c>
      <c r="I778" s="5">
        <v>44652</v>
      </c>
      <c r="J778" s="6">
        <v>770</v>
      </c>
      <c r="K778" s="6">
        <v>770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4" t="s">
        <v>66</v>
      </c>
      <c r="R778" s="4">
        <v>2535</v>
      </c>
      <c r="S778" s="6">
        <v>28</v>
      </c>
      <c r="T778" s="6">
        <v>0</v>
      </c>
      <c r="U778" s="6">
        <v>0</v>
      </c>
      <c r="V778" s="6">
        <f>IF(ISERROR(VLOOKUP($S$778,'TAR FIN'!$A$1:$O$116,15,0)),0,VLOOKUP($S$778,'TAR FIN'!$A$1:$O$116,15,0))</f>
        <v>15.24</v>
      </c>
      <c r="W778" s="6">
        <f>IF(ISERROR(VLOOKUP($T$778,'TAR FIN'!$A$1:$O$116,15,0)),0,VLOOKUP($T$778,'TAR FIN'!$A$1:$O$116,15,0))</f>
        <v>0</v>
      </c>
      <c r="X778" s="6">
        <f>IF(ISERROR(VLOOKUP($U$778,'TAR FIN'!$A$1:$O$116,15,0)),0,VLOOKUP($U$778,'TAR FIN'!$A$1:$O$116,15,0))</f>
        <v>0</v>
      </c>
      <c r="Y778" s="6">
        <f ca="1">('TUSD BE'!$AM$32+'TUSD BF'!$AM$32+'TUSD CVA'!$AM$32)*1</f>
        <v>17.138874075124019</v>
      </c>
      <c r="Z778" s="6"/>
      <c r="AA778" s="6"/>
      <c r="AB778" s="6">
        <f>$K$778*$V$778</f>
        <v>11734.8</v>
      </c>
      <c r="AC778" s="6">
        <f>$M$778*$W$778</f>
        <v>0</v>
      </c>
      <c r="AD778" s="6">
        <f>$O$778*$X$778</f>
        <v>0</v>
      </c>
      <c r="AE778" s="6">
        <f ca="1">$K$778*$Y$778</f>
        <v>13196.933037845494</v>
      </c>
      <c r="AF778" s="6">
        <f>$M$778*$Z$778</f>
        <v>0</v>
      </c>
      <c r="AG778" s="6">
        <f>$O$778*$AA$778</f>
        <v>0</v>
      </c>
    </row>
    <row r="779" spans="1:33" ht="11.25" customHeight="1" x14ac:dyDescent="0.25">
      <c r="A779" s="4" t="s">
        <v>21</v>
      </c>
      <c r="B779" s="4" t="s">
        <v>41</v>
      </c>
      <c r="C779" s="4" t="s">
        <v>64</v>
      </c>
      <c r="D779" s="4" t="s">
        <v>25</v>
      </c>
      <c r="E779" s="4" t="s">
        <v>25</v>
      </c>
      <c r="F779" s="4" t="s">
        <v>25</v>
      </c>
      <c r="G779" s="4" t="s">
        <v>80</v>
      </c>
      <c r="H779" s="4" t="s">
        <v>25</v>
      </c>
      <c r="I779" s="5">
        <v>44652</v>
      </c>
      <c r="J779" s="6">
        <v>1416</v>
      </c>
      <c r="K779" s="6">
        <v>1416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4" t="s">
        <v>66</v>
      </c>
      <c r="R779" s="4">
        <v>2751</v>
      </c>
      <c r="S779" s="6">
        <v>28</v>
      </c>
      <c r="T779" s="6">
        <v>0</v>
      </c>
      <c r="U779" s="6">
        <v>0</v>
      </c>
      <c r="V779" s="6">
        <f>IF(ISERROR(VLOOKUP($S$779,'TAR FIN'!$A$1:$O$116,15,0)),0,VLOOKUP($S$779,'TAR FIN'!$A$1:$O$116,15,0))</f>
        <v>15.24</v>
      </c>
      <c r="W779" s="6">
        <f>IF(ISERROR(VLOOKUP($T$779,'TAR FIN'!$A$1:$O$116,15,0)),0,VLOOKUP($T$779,'TAR FIN'!$A$1:$O$116,15,0))</f>
        <v>0</v>
      </c>
      <c r="X779" s="6">
        <f>IF(ISERROR(VLOOKUP($U$779,'TAR FIN'!$A$1:$O$116,15,0)),0,VLOOKUP($U$779,'TAR FIN'!$A$1:$O$116,15,0))</f>
        <v>0</v>
      </c>
      <c r="Y779" s="6">
        <f ca="1">('TUSD BE'!$AM$32+'TUSD BF'!$AM$32+'TUSD CVA'!$AM$32)*1</f>
        <v>17.138874075124019</v>
      </c>
      <c r="Z779" s="6"/>
      <c r="AA779" s="6"/>
      <c r="AB779" s="6">
        <f>$K$779*$V$779</f>
        <v>21579.84</v>
      </c>
      <c r="AC779" s="6">
        <f>$M$779*$W$779</f>
        <v>0</v>
      </c>
      <c r="AD779" s="6">
        <f>$O$779*$X$779</f>
        <v>0</v>
      </c>
      <c r="AE779" s="6">
        <f ca="1">$K$779*$Y$779</f>
        <v>24268.645690375612</v>
      </c>
      <c r="AF779" s="6">
        <f>$M$779*$Z$779</f>
        <v>0</v>
      </c>
      <c r="AG779" s="6">
        <f>$O$779*$AA$779</f>
        <v>0</v>
      </c>
    </row>
    <row r="780" spans="1:33" ht="11.25" customHeight="1" x14ac:dyDescent="0.25">
      <c r="A780" s="4" t="s">
        <v>21</v>
      </c>
      <c r="B780" s="4" t="s">
        <v>41</v>
      </c>
      <c r="C780" s="4" t="s">
        <v>64</v>
      </c>
      <c r="D780" s="4" t="s">
        <v>25</v>
      </c>
      <c r="E780" s="4" t="s">
        <v>25</v>
      </c>
      <c r="F780" s="4" t="s">
        <v>25</v>
      </c>
      <c r="G780" s="4" t="s">
        <v>88</v>
      </c>
      <c r="H780" s="4" t="s">
        <v>25</v>
      </c>
      <c r="I780" s="5">
        <v>44652</v>
      </c>
      <c r="J780" s="6">
        <v>9500</v>
      </c>
      <c r="K780" s="6">
        <v>4750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4" t="s">
        <v>66</v>
      </c>
      <c r="R780" s="4">
        <v>27722</v>
      </c>
      <c r="S780" s="6">
        <v>28</v>
      </c>
      <c r="T780" s="6">
        <v>0</v>
      </c>
      <c r="U780" s="6">
        <v>0</v>
      </c>
      <c r="V780" s="6">
        <f>IF(ISERROR(VLOOKUP($S$780,'TAR FIN'!$A$1:$O$116,15,0)),0,VLOOKUP($S$780,'TAR FIN'!$A$1:$O$116,15,0))</f>
        <v>15.24</v>
      </c>
      <c r="W780" s="6">
        <f>IF(ISERROR(VLOOKUP($T$780,'TAR FIN'!$A$1:$O$116,15,0)),0,VLOOKUP($T$780,'TAR FIN'!$A$1:$O$116,15,0))</f>
        <v>0</v>
      </c>
      <c r="X780" s="6">
        <f>IF(ISERROR(VLOOKUP($U$780,'TAR FIN'!$A$1:$O$116,15,0)),0,VLOOKUP($U$780,'TAR FIN'!$A$1:$O$116,15,0))</f>
        <v>0</v>
      </c>
      <c r="Y780" s="6">
        <f ca="1">('TUSD BE'!$AM$32+'TUSD BF'!$AM$32+'TUSD CVA'!$AM$32)*1</f>
        <v>17.138874075124019</v>
      </c>
      <c r="Z780" s="6"/>
      <c r="AA780" s="6"/>
      <c r="AB780" s="6">
        <f>$K$780*$V$780</f>
        <v>72390</v>
      </c>
      <c r="AC780" s="6">
        <f>$M$780*$W$780</f>
        <v>0</v>
      </c>
      <c r="AD780" s="6">
        <f>$O$780*$X$780</f>
        <v>0</v>
      </c>
      <c r="AE780" s="6">
        <f ca="1">$K$780*$Y$780</f>
        <v>81409.651856839089</v>
      </c>
      <c r="AF780" s="6">
        <f>$M$780*$Z$780</f>
        <v>0</v>
      </c>
      <c r="AG780" s="6">
        <f>$O$780*$AA$780</f>
        <v>0</v>
      </c>
    </row>
    <row r="781" spans="1:33" ht="11.25" customHeight="1" x14ac:dyDescent="0.25">
      <c r="A781" s="4" t="s">
        <v>21</v>
      </c>
      <c r="B781" s="4" t="s">
        <v>41</v>
      </c>
      <c r="C781" s="4" t="s">
        <v>64</v>
      </c>
      <c r="D781" s="4" t="s">
        <v>25</v>
      </c>
      <c r="E781" s="4" t="s">
        <v>25</v>
      </c>
      <c r="F781" s="4" t="s">
        <v>25</v>
      </c>
      <c r="G781" s="4" t="s">
        <v>90</v>
      </c>
      <c r="H781" s="4" t="s">
        <v>25</v>
      </c>
      <c r="I781" s="5">
        <v>44652</v>
      </c>
      <c r="J781" s="6">
        <v>420</v>
      </c>
      <c r="K781" s="6">
        <v>420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4" t="s">
        <v>66</v>
      </c>
      <c r="R781" s="4">
        <v>27928</v>
      </c>
      <c r="S781" s="6">
        <v>28</v>
      </c>
      <c r="T781" s="6">
        <v>0</v>
      </c>
      <c r="U781" s="6">
        <v>0</v>
      </c>
      <c r="V781" s="6">
        <f>IF(ISERROR(VLOOKUP($S$781,'TAR FIN'!$A$1:$O$116,15,0)),0,VLOOKUP($S$781,'TAR FIN'!$A$1:$O$116,15,0))</f>
        <v>15.24</v>
      </c>
      <c r="W781" s="6">
        <f>IF(ISERROR(VLOOKUP($T$781,'TAR FIN'!$A$1:$O$116,15,0)),0,VLOOKUP($T$781,'TAR FIN'!$A$1:$O$116,15,0))</f>
        <v>0</v>
      </c>
      <c r="X781" s="6">
        <f>IF(ISERROR(VLOOKUP($U$781,'TAR FIN'!$A$1:$O$116,15,0)),0,VLOOKUP($U$781,'TAR FIN'!$A$1:$O$116,15,0))</f>
        <v>0</v>
      </c>
      <c r="Y781" s="6">
        <f ca="1">('TUSD BE'!$AM$32+'TUSD BF'!$AM$32+'TUSD CVA'!$AM$32)*1</f>
        <v>17.138874075124019</v>
      </c>
      <c r="Z781" s="6"/>
      <c r="AA781" s="6"/>
      <c r="AB781" s="6">
        <f>$K$781*$V$781</f>
        <v>6400.8</v>
      </c>
      <c r="AC781" s="6">
        <f>$M$781*$W$781</f>
        <v>0</v>
      </c>
      <c r="AD781" s="6">
        <f>$O$781*$X$781</f>
        <v>0</v>
      </c>
      <c r="AE781" s="6">
        <f ca="1">$K$781*$Y$781</f>
        <v>7198.3271115520874</v>
      </c>
      <c r="AF781" s="6">
        <f>$M$781*$Z$781</f>
        <v>0</v>
      </c>
      <c r="AG781" s="6">
        <f>$O$781*$AA$781</f>
        <v>0</v>
      </c>
    </row>
    <row r="782" spans="1:33" ht="11.25" customHeight="1" x14ac:dyDescent="0.25">
      <c r="A782" s="4" t="s">
        <v>21</v>
      </c>
      <c r="B782" s="4" t="s">
        <v>41</v>
      </c>
      <c r="C782" s="4" t="s">
        <v>64</v>
      </c>
      <c r="D782" s="4" t="s">
        <v>25</v>
      </c>
      <c r="E782" s="4" t="s">
        <v>25</v>
      </c>
      <c r="F782" s="4" t="s">
        <v>25</v>
      </c>
      <c r="G782" s="4" t="s">
        <v>93</v>
      </c>
      <c r="H782" s="4" t="s">
        <v>25</v>
      </c>
      <c r="I782" s="5">
        <v>44652</v>
      </c>
      <c r="J782" s="6">
        <v>1300</v>
      </c>
      <c r="K782" s="6">
        <v>650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4" t="s">
        <v>66</v>
      </c>
      <c r="R782" s="4">
        <v>30847</v>
      </c>
      <c r="S782" s="6">
        <v>28</v>
      </c>
      <c r="T782" s="6">
        <v>0</v>
      </c>
      <c r="U782" s="6">
        <v>0</v>
      </c>
      <c r="V782" s="6">
        <f>IF(ISERROR(VLOOKUP($S$782,'TAR FIN'!$A$1:$O$116,15,0)),0,VLOOKUP($S$782,'TAR FIN'!$A$1:$O$116,15,0))</f>
        <v>15.24</v>
      </c>
      <c r="W782" s="6">
        <f>IF(ISERROR(VLOOKUP($T$782,'TAR FIN'!$A$1:$O$116,15,0)),0,VLOOKUP($T$782,'TAR FIN'!$A$1:$O$116,15,0))</f>
        <v>0</v>
      </c>
      <c r="X782" s="6">
        <f>IF(ISERROR(VLOOKUP($U$782,'TAR FIN'!$A$1:$O$116,15,0)),0,VLOOKUP($U$782,'TAR FIN'!$A$1:$O$116,15,0))</f>
        <v>0</v>
      </c>
      <c r="Y782" s="6">
        <f ca="1">('TUSD BE'!$AM$32+'TUSD BF'!$AM$32+'TUSD CVA'!$AM$32)*1</f>
        <v>17.138874075124019</v>
      </c>
      <c r="Z782" s="6"/>
      <c r="AA782" s="6"/>
      <c r="AB782" s="6">
        <f>$K$782*$V$782</f>
        <v>9906</v>
      </c>
      <c r="AC782" s="6">
        <f>$M$782*$W$782</f>
        <v>0</v>
      </c>
      <c r="AD782" s="6">
        <f>$O$782*$X$782</f>
        <v>0</v>
      </c>
      <c r="AE782" s="6">
        <f ca="1">$K$782*$Y$782</f>
        <v>11140.268148830612</v>
      </c>
      <c r="AF782" s="6">
        <f>$M$782*$Z$782</f>
        <v>0</v>
      </c>
      <c r="AG782" s="6">
        <f>$O$782*$AA$782</f>
        <v>0</v>
      </c>
    </row>
    <row r="783" spans="1:33" ht="11.25" customHeight="1" x14ac:dyDescent="0.25">
      <c r="A783" s="4" t="s">
        <v>21</v>
      </c>
      <c r="B783" s="4" t="s">
        <v>41</v>
      </c>
      <c r="C783" s="4" t="s">
        <v>64</v>
      </c>
      <c r="D783" s="4" t="s">
        <v>25</v>
      </c>
      <c r="E783" s="4" t="s">
        <v>25</v>
      </c>
      <c r="F783" s="4" t="s">
        <v>25</v>
      </c>
      <c r="G783" s="4" t="s">
        <v>94</v>
      </c>
      <c r="H783" s="4" t="s">
        <v>25</v>
      </c>
      <c r="I783" s="5">
        <v>44652</v>
      </c>
      <c r="J783" s="6">
        <v>1180</v>
      </c>
      <c r="K783" s="6">
        <v>590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4" t="s">
        <v>66</v>
      </c>
      <c r="R783" s="4">
        <v>30866</v>
      </c>
      <c r="S783" s="6">
        <v>28</v>
      </c>
      <c r="T783" s="6">
        <v>0</v>
      </c>
      <c r="U783" s="6">
        <v>0</v>
      </c>
      <c r="V783" s="6">
        <f>IF(ISERROR(VLOOKUP($S$783,'TAR FIN'!$A$1:$O$116,15,0)),0,VLOOKUP($S$783,'TAR FIN'!$A$1:$O$116,15,0))</f>
        <v>15.24</v>
      </c>
      <c r="W783" s="6">
        <f>IF(ISERROR(VLOOKUP($T$783,'TAR FIN'!$A$1:$O$116,15,0)),0,VLOOKUP($T$783,'TAR FIN'!$A$1:$O$116,15,0))</f>
        <v>0</v>
      </c>
      <c r="X783" s="6">
        <f>IF(ISERROR(VLOOKUP($U$783,'TAR FIN'!$A$1:$O$116,15,0)),0,VLOOKUP($U$783,'TAR FIN'!$A$1:$O$116,15,0))</f>
        <v>0</v>
      </c>
      <c r="Y783" s="6">
        <f ca="1">('TUSD BE'!$AM$32+'TUSD BF'!$AM$32+'TUSD CVA'!$AM$32)*1</f>
        <v>17.138874075124019</v>
      </c>
      <c r="Z783" s="6"/>
      <c r="AA783" s="6"/>
      <c r="AB783" s="6">
        <f>$K$783*$V$783</f>
        <v>8991.6</v>
      </c>
      <c r="AC783" s="6">
        <f>$M$783*$W$783</f>
        <v>0</v>
      </c>
      <c r="AD783" s="6">
        <f>$O$783*$X$783</f>
        <v>0</v>
      </c>
      <c r="AE783" s="6">
        <f ca="1">$K$783*$Y$783</f>
        <v>10111.93570432317</v>
      </c>
      <c r="AF783" s="6">
        <f>$M$783*$Z$783</f>
        <v>0</v>
      </c>
      <c r="AG783" s="6">
        <f>$O$783*$AA$783</f>
        <v>0</v>
      </c>
    </row>
    <row r="784" spans="1:33" ht="11.25" customHeight="1" x14ac:dyDescent="0.25">
      <c r="A784" s="4" t="s">
        <v>21</v>
      </c>
      <c r="B784" s="4" t="s">
        <v>41</v>
      </c>
      <c r="C784" s="4" t="s">
        <v>64</v>
      </c>
      <c r="D784" s="4" t="s">
        <v>25</v>
      </c>
      <c r="E784" s="4" t="s">
        <v>25</v>
      </c>
      <c r="F784" s="4" t="s">
        <v>25</v>
      </c>
      <c r="G784" s="4" t="s">
        <v>95</v>
      </c>
      <c r="H784" s="4" t="s">
        <v>25</v>
      </c>
      <c r="I784" s="5">
        <v>44652</v>
      </c>
      <c r="J784" s="6">
        <v>1180</v>
      </c>
      <c r="K784" s="6">
        <v>590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4" t="s">
        <v>66</v>
      </c>
      <c r="R784" s="4">
        <v>31051</v>
      </c>
      <c r="S784" s="6">
        <v>28</v>
      </c>
      <c r="T784" s="6">
        <v>0</v>
      </c>
      <c r="U784" s="6">
        <v>0</v>
      </c>
      <c r="V784" s="6">
        <f>IF(ISERROR(VLOOKUP($S$784,'TAR FIN'!$A$1:$O$116,15,0)),0,VLOOKUP($S$784,'TAR FIN'!$A$1:$O$116,15,0))</f>
        <v>15.24</v>
      </c>
      <c r="W784" s="6">
        <f>IF(ISERROR(VLOOKUP($T$784,'TAR FIN'!$A$1:$O$116,15,0)),0,VLOOKUP($T$784,'TAR FIN'!$A$1:$O$116,15,0))</f>
        <v>0</v>
      </c>
      <c r="X784" s="6">
        <f>IF(ISERROR(VLOOKUP($U$784,'TAR FIN'!$A$1:$O$116,15,0)),0,VLOOKUP($U$784,'TAR FIN'!$A$1:$O$116,15,0))</f>
        <v>0</v>
      </c>
      <c r="Y784" s="6">
        <f ca="1">('TUSD BE'!$AM$32+'TUSD BF'!$AM$32+'TUSD CVA'!$AM$32)*1</f>
        <v>17.138874075124019</v>
      </c>
      <c r="Z784" s="6"/>
      <c r="AA784" s="6"/>
      <c r="AB784" s="6">
        <f>$K$784*$V$784</f>
        <v>8991.6</v>
      </c>
      <c r="AC784" s="6">
        <f>$M$784*$W$784</f>
        <v>0</v>
      </c>
      <c r="AD784" s="6">
        <f>$O$784*$X$784</f>
        <v>0</v>
      </c>
      <c r="AE784" s="6">
        <f ca="1">$K$784*$Y$784</f>
        <v>10111.93570432317</v>
      </c>
      <c r="AF784" s="6">
        <f>$M$784*$Z$784</f>
        <v>0</v>
      </c>
      <c r="AG784" s="6">
        <f>$O$784*$AA$784</f>
        <v>0</v>
      </c>
    </row>
    <row r="785" spans="1:33" ht="11.25" customHeight="1" x14ac:dyDescent="0.25">
      <c r="A785" s="4" t="s">
        <v>21</v>
      </c>
      <c r="B785" s="4" t="s">
        <v>41</v>
      </c>
      <c r="C785" s="4" t="s">
        <v>64</v>
      </c>
      <c r="D785" s="4" t="s">
        <v>25</v>
      </c>
      <c r="E785" s="4" t="s">
        <v>25</v>
      </c>
      <c r="F785" s="4" t="s">
        <v>25</v>
      </c>
      <c r="G785" s="4" t="s">
        <v>96</v>
      </c>
      <c r="H785" s="4" t="s">
        <v>25</v>
      </c>
      <c r="I785" s="5">
        <v>44652</v>
      </c>
      <c r="J785" s="6">
        <v>1000</v>
      </c>
      <c r="K785" s="6">
        <v>500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4" t="s">
        <v>66</v>
      </c>
      <c r="R785" s="4">
        <v>31277</v>
      </c>
      <c r="S785" s="6">
        <v>28</v>
      </c>
      <c r="T785" s="6">
        <v>0</v>
      </c>
      <c r="U785" s="6">
        <v>0</v>
      </c>
      <c r="V785" s="6">
        <f>IF(ISERROR(VLOOKUP($S$785,'TAR FIN'!$A$1:$O$116,15,0)),0,VLOOKUP($S$785,'TAR FIN'!$A$1:$O$116,15,0))</f>
        <v>15.24</v>
      </c>
      <c r="W785" s="6">
        <f>IF(ISERROR(VLOOKUP($T$785,'TAR FIN'!$A$1:$O$116,15,0)),0,VLOOKUP($T$785,'TAR FIN'!$A$1:$O$116,15,0))</f>
        <v>0</v>
      </c>
      <c r="X785" s="6">
        <f>IF(ISERROR(VLOOKUP($U$785,'TAR FIN'!$A$1:$O$116,15,0)),0,VLOOKUP($U$785,'TAR FIN'!$A$1:$O$116,15,0))</f>
        <v>0</v>
      </c>
      <c r="Y785" s="6">
        <f ca="1">('TUSD BE'!$AM$32+'TUSD BF'!$AM$32+'TUSD CVA'!$AM$32)*1</f>
        <v>17.138874075124019</v>
      </c>
      <c r="Z785" s="6"/>
      <c r="AA785" s="6"/>
      <c r="AB785" s="6">
        <f>$K$785*$V$785</f>
        <v>7620</v>
      </c>
      <c r="AC785" s="6">
        <f>$M$785*$W$785</f>
        <v>0</v>
      </c>
      <c r="AD785" s="6">
        <f>$O$785*$X$785</f>
        <v>0</v>
      </c>
      <c r="AE785" s="6">
        <f ca="1">$K$785*$Y$785</f>
        <v>8569.4370375620092</v>
      </c>
      <c r="AF785" s="6">
        <f>$M$785*$Z$785</f>
        <v>0</v>
      </c>
      <c r="AG785" s="6">
        <f>$O$785*$AA$785</f>
        <v>0</v>
      </c>
    </row>
    <row r="786" spans="1:33" ht="11.25" customHeight="1" x14ac:dyDescent="0.25">
      <c r="A786" s="4" t="s">
        <v>21</v>
      </c>
      <c r="B786" s="4" t="s">
        <v>41</v>
      </c>
      <c r="C786" s="4" t="s">
        <v>64</v>
      </c>
      <c r="D786" s="4" t="s">
        <v>25</v>
      </c>
      <c r="E786" s="4" t="s">
        <v>25</v>
      </c>
      <c r="F786" s="4" t="s">
        <v>25</v>
      </c>
      <c r="G786" s="4" t="s">
        <v>97</v>
      </c>
      <c r="H786" s="4" t="s">
        <v>25</v>
      </c>
      <c r="I786" s="5">
        <v>44652</v>
      </c>
      <c r="J786" s="6">
        <v>1180</v>
      </c>
      <c r="K786" s="6">
        <v>590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4" t="s">
        <v>66</v>
      </c>
      <c r="R786" s="4">
        <v>31318</v>
      </c>
      <c r="S786" s="6">
        <v>28</v>
      </c>
      <c r="T786" s="6">
        <v>0</v>
      </c>
      <c r="U786" s="6">
        <v>0</v>
      </c>
      <c r="V786" s="6">
        <f>IF(ISERROR(VLOOKUP($S$786,'TAR FIN'!$A$1:$O$116,15,0)),0,VLOOKUP($S$786,'TAR FIN'!$A$1:$O$116,15,0))</f>
        <v>15.24</v>
      </c>
      <c r="W786" s="6">
        <f>IF(ISERROR(VLOOKUP($T$786,'TAR FIN'!$A$1:$O$116,15,0)),0,VLOOKUP($T$786,'TAR FIN'!$A$1:$O$116,15,0))</f>
        <v>0</v>
      </c>
      <c r="X786" s="6">
        <f>IF(ISERROR(VLOOKUP($U$786,'TAR FIN'!$A$1:$O$116,15,0)),0,VLOOKUP($U$786,'TAR FIN'!$A$1:$O$116,15,0))</f>
        <v>0</v>
      </c>
      <c r="Y786" s="6">
        <f ca="1">('TUSD BE'!$AM$32+'TUSD BF'!$AM$32+'TUSD CVA'!$AM$32)*1</f>
        <v>17.138874075124019</v>
      </c>
      <c r="Z786" s="6"/>
      <c r="AA786" s="6"/>
      <c r="AB786" s="6">
        <f>$K$786*$V$786</f>
        <v>8991.6</v>
      </c>
      <c r="AC786" s="6">
        <f>$M$786*$W$786</f>
        <v>0</v>
      </c>
      <c r="AD786" s="6">
        <f>$O$786*$X$786</f>
        <v>0</v>
      </c>
      <c r="AE786" s="6">
        <f ca="1">$K$786*$Y$786</f>
        <v>10111.93570432317</v>
      </c>
      <c r="AF786" s="6">
        <f>$M$786*$Z$786</f>
        <v>0</v>
      </c>
      <c r="AG786" s="6">
        <f>$O$786*$AA$786</f>
        <v>0</v>
      </c>
    </row>
    <row r="787" spans="1:33" ht="11.25" customHeight="1" x14ac:dyDescent="0.25">
      <c r="A787" s="4" t="s">
        <v>21</v>
      </c>
      <c r="B787" s="4" t="s">
        <v>41</v>
      </c>
      <c r="C787" s="4" t="s">
        <v>64</v>
      </c>
      <c r="D787" s="4" t="s">
        <v>25</v>
      </c>
      <c r="E787" s="4" t="s">
        <v>25</v>
      </c>
      <c r="F787" s="4" t="s">
        <v>25</v>
      </c>
      <c r="G787" s="4" t="s">
        <v>98</v>
      </c>
      <c r="H787" s="4" t="s">
        <v>25</v>
      </c>
      <c r="I787" s="5">
        <v>44652</v>
      </c>
      <c r="J787" s="6">
        <v>3000</v>
      </c>
      <c r="K787" s="6">
        <v>1500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4" t="s">
        <v>66</v>
      </c>
      <c r="R787" s="4">
        <v>31334</v>
      </c>
      <c r="S787" s="6">
        <v>28</v>
      </c>
      <c r="T787" s="6">
        <v>0</v>
      </c>
      <c r="U787" s="6">
        <v>0</v>
      </c>
      <c r="V787" s="6">
        <f>IF(ISERROR(VLOOKUP($S$787,'TAR FIN'!$A$1:$O$116,15,0)),0,VLOOKUP($S$787,'TAR FIN'!$A$1:$O$116,15,0))</f>
        <v>15.24</v>
      </c>
      <c r="W787" s="6">
        <f>IF(ISERROR(VLOOKUP($T$787,'TAR FIN'!$A$1:$O$116,15,0)),0,VLOOKUP($T$787,'TAR FIN'!$A$1:$O$116,15,0))</f>
        <v>0</v>
      </c>
      <c r="X787" s="6">
        <f>IF(ISERROR(VLOOKUP($U$787,'TAR FIN'!$A$1:$O$116,15,0)),0,VLOOKUP($U$787,'TAR FIN'!$A$1:$O$116,15,0))</f>
        <v>0</v>
      </c>
      <c r="Y787" s="6">
        <f ca="1">('TUSD BE'!$AM$32+'TUSD BF'!$AM$32+'TUSD CVA'!$AM$32)*1</f>
        <v>17.138874075124019</v>
      </c>
      <c r="Z787" s="6"/>
      <c r="AA787" s="6"/>
      <c r="AB787" s="6">
        <f>$K$787*$V$787</f>
        <v>22860</v>
      </c>
      <c r="AC787" s="6">
        <f>$M$787*$W$787</f>
        <v>0</v>
      </c>
      <c r="AD787" s="6">
        <f>$O$787*$X$787</f>
        <v>0</v>
      </c>
      <c r="AE787" s="6">
        <f ca="1">$K$787*$Y$787</f>
        <v>25708.311112686028</v>
      </c>
      <c r="AF787" s="6">
        <f>$M$787*$Z$787</f>
        <v>0</v>
      </c>
      <c r="AG787" s="6">
        <f>$O$787*$AA$787</f>
        <v>0</v>
      </c>
    </row>
    <row r="788" spans="1:33" ht="11.25" customHeight="1" x14ac:dyDescent="0.25">
      <c r="A788" s="4" t="s">
        <v>21</v>
      </c>
      <c r="B788" s="4" t="s">
        <v>41</v>
      </c>
      <c r="C788" s="4" t="s">
        <v>64</v>
      </c>
      <c r="D788" s="4" t="s">
        <v>25</v>
      </c>
      <c r="E788" s="4" t="s">
        <v>25</v>
      </c>
      <c r="F788" s="4" t="s">
        <v>25</v>
      </c>
      <c r="G788" s="4" t="s">
        <v>99</v>
      </c>
      <c r="H788" s="4" t="s">
        <v>25</v>
      </c>
      <c r="I788" s="5">
        <v>44652</v>
      </c>
      <c r="J788" s="6">
        <v>1180</v>
      </c>
      <c r="K788" s="6">
        <v>590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4" t="s">
        <v>66</v>
      </c>
      <c r="R788" s="4">
        <v>31618</v>
      </c>
      <c r="S788" s="6">
        <v>28</v>
      </c>
      <c r="T788" s="6">
        <v>0</v>
      </c>
      <c r="U788" s="6">
        <v>0</v>
      </c>
      <c r="V788" s="6">
        <f>IF(ISERROR(VLOOKUP($S$788,'TAR FIN'!$A$1:$O$116,15,0)),0,VLOOKUP($S$788,'TAR FIN'!$A$1:$O$116,15,0))</f>
        <v>15.24</v>
      </c>
      <c r="W788" s="6">
        <f>IF(ISERROR(VLOOKUP($T$788,'TAR FIN'!$A$1:$O$116,15,0)),0,VLOOKUP($T$788,'TAR FIN'!$A$1:$O$116,15,0))</f>
        <v>0</v>
      </c>
      <c r="X788" s="6">
        <f>IF(ISERROR(VLOOKUP($U$788,'TAR FIN'!$A$1:$O$116,15,0)),0,VLOOKUP($U$788,'TAR FIN'!$A$1:$O$116,15,0))</f>
        <v>0</v>
      </c>
      <c r="Y788" s="6">
        <f ca="1">('TUSD BE'!$AM$32+'TUSD BF'!$AM$32+'TUSD CVA'!$AM$32)*1</f>
        <v>17.138874075124019</v>
      </c>
      <c r="Z788" s="6"/>
      <c r="AA788" s="6"/>
      <c r="AB788" s="6">
        <f>$K$788*$V$788</f>
        <v>8991.6</v>
      </c>
      <c r="AC788" s="6">
        <f>$M$788*$W$788</f>
        <v>0</v>
      </c>
      <c r="AD788" s="6">
        <f>$O$788*$X$788</f>
        <v>0</v>
      </c>
      <c r="AE788" s="6">
        <f ca="1">$K$788*$Y$788</f>
        <v>10111.93570432317</v>
      </c>
      <c r="AF788" s="6">
        <f>$M$788*$Z$788</f>
        <v>0</v>
      </c>
      <c r="AG788" s="6">
        <f>$O$788*$AA$788</f>
        <v>0</v>
      </c>
    </row>
    <row r="789" spans="1:33" ht="11.25" customHeight="1" x14ac:dyDescent="0.25">
      <c r="A789" s="4" t="s">
        <v>21</v>
      </c>
      <c r="B789" s="4" t="s">
        <v>41</v>
      </c>
      <c r="C789" s="4" t="s">
        <v>64</v>
      </c>
      <c r="D789" s="4" t="s">
        <v>25</v>
      </c>
      <c r="E789" s="4" t="s">
        <v>25</v>
      </c>
      <c r="F789" s="4" t="s">
        <v>25</v>
      </c>
      <c r="G789" s="4" t="s">
        <v>100</v>
      </c>
      <c r="H789" s="4" t="s">
        <v>25</v>
      </c>
      <c r="I789" s="5">
        <v>44652</v>
      </c>
      <c r="J789" s="6">
        <v>1180</v>
      </c>
      <c r="K789" s="6">
        <v>590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4" t="s">
        <v>66</v>
      </c>
      <c r="R789" s="4">
        <v>31677</v>
      </c>
      <c r="S789" s="6">
        <v>28</v>
      </c>
      <c r="T789" s="6">
        <v>0</v>
      </c>
      <c r="U789" s="6">
        <v>0</v>
      </c>
      <c r="V789" s="6">
        <f>IF(ISERROR(VLOOKUP($S$789,'TAR FIN'!$A$1:$O$116,15,0)),0,VLOOKUP($S$789,'TAR FIN'!$A$1:$O$116,15,0))</f>
        <v>15.24</v>
      </c>
      <c r="W789" s="6">
        <f>IF(ISERROR(VLOOKUP($T$789,'TAR FIN'!$A$1:$O$116,15,0)),0,VLOOKUP($T$789,'TAR FIN'!$A$1:$O$116,15,0))</f>
        <v>0</v>
      </c>
      <c r="X789" s="6">
        <f>IF(ISERROR(VLOOKUP($U$789,'TAR FIN'!$A$1:$O$116,15,0)),0,VLOOKUP($U$789,'TAR FIN'!$A$1:$O$116,15,0))</f>
        <v>0</v>
      </c>
      <c r="Y789" s="6">
        <f ca="1">('TUSD BE'!$AM$32+'TUSD BF'!$AM$32+'TUSD CVA'!$AM$32)*1</f>
        <v>17.138874075124019</v>
      </c>
      <c r="Z789" s="6"/>
      <c r="AA789" s="6"/>
      <c r="AB789" s="6">
        <f>$K$789*$V$789</f>
        <v>8991.6</v>
      </c>
      <c r="AC789" s="6">
        <f>$M$789*$W$789</f>
        <v>0</v>
      </c>
      <c r="AD789" s="6">
        <f>$O$789*$X$789</f>
        <v>0</v>
      </c>
      <c r="AE789" s="6">
        <f ca="1">$K$789*$Y$789</f>
        <v>10111.93570432317</v>
      </c>
      <c r="AF789" s="6">
        <f>$M$789*$Z$789</f>
        <v>0</v>
      </c>
      <c r="AG789" s="6">
        <f>$O$789*$AA$789</f>
        <v>0</v>
      </c>
    </row>
    <row r="790" spans="1:33" ht="11.25" customHeight="1" x14ac:dyDescent="0.25">
      <c r="A790" s="4" t="s">
        <v>58</v>
      </c>
      <c r="B790" s="4" t="s">
        <v>41</v>
      </c>
      <c r="C790" s="4" t="s">
        <v>64</v>
      </c>
      <c r="D790" s="4" t="s">
        <v>25</v>
      </c>
      <c r="E790" s="4" t="s">
        <v>25</v>
      </c>
      <c r="F790" s="4" t="s">
        <v>25</v>
      </c>
      <c r="G790" s="4" t="s">
        <v>68</v>
      </c>
      <c r="H790" s="4" t="s">
        <v>25</v>
      </c>
      <c r="I790" s="5">
        <v>44682</v>
      </c>
      <c r="J790" s="6">
        <v>302</v>
      </c>
      <c r="K790" s="6">
        <v>302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4" t="s">
        <v>66</v>
      </c>
      <c r="R790" s="4">
        <v>404</v>
      </c>
      <c r="S790" s="6">
        <v>28</v>
      </c>
      <c r="T790" s="6">
        <v>0</v>
      </c>
      <c r="U790" s="6">
        <v>0</v>
      </c>
      <c r="V790" s="6">
        <f>IF(ISERROR(VLOOKUP($S$790,'TAR FIN'!$A$1:$O$116,15,0)),0,VLOOKUP($S$790,'TAR FIN'!$A$1:$O$116,15,0))</f>
        <v>15.24</v>
      </c>
      <c r="W790" s="6">
        <f>IF(ISERROR(VLOOKUP($T$790,'TAR FIN'!$A$1:$O$116,15,0)),0,VLOOKUP($T$790,'TAR FIN'!$A$1:$O$116,15,0))</f>
        <v>0</v>
      </c>
      <c r="X790" s="6">
        <f>IF(ISERROR(VLOOKUP($U$790,'TAR FIN'!$A$1:$O$116,15,0)),0,VLOOKUP($U$790,'TAR FIN'!$A$1:$O$116,15,0))</f>
        <v>0</v>
      </c>
      <c r="Y790" s="6">
        <f ca="1">('TUSD BE'!$AM$32+'TUSD BF'!$AM$32+'TUSD CVA'!$AM$32)*1</f>
        <v>17.138874075124019</v>
      </c>
      <c r="Z790" s="6"/>
      <c r="AA790" s="6"/>
      <c r="AB790" s="6">
        <f>$K$790*$V$790</f>
        <v>4602.4800000000005</v>
      </c>
      <c r="AC790" s="6">
        <f>$M$790*$W$790</f>
        <v>0</v>
      </c>
      <c r="AD790" s="6">
        <f>$O$790*$X$790</f>
        <v>0</v>
      </c>
      <c r="AE790" s="6">
        <f ca="1">$K$790*$Y$790</f>
        <v>5175.9399706874538</v>
      </c>
      <c r="AF790" s="6">
        <f>$M$790*$Z$790</f>
        <v>0</v>
      </c>
      <c r="AG790" s="6">
        <f>$O$790*$AA$790</f>
        <v>0</v>
      </c>
    </row>
    <row r="791" spans="1:33" ht="11.25" customHeight="1" x14ac:dyDescent="0.25">
      <c r="A791" s="4" t="s">
        <v>58</v>
      </c>
      <c r="B791" s="4" t="s">
        <v>41</v>
      </c>
      <c r="C791" s="4" t="s">
        <v>64</v>
      </c>
      <c r="D791" s="4" t="s">
        <v>25</v>
      </c>
      <c r="E791" s="4" t="s">
        <v>25</v>
      </c>
      <c r="F791" s="4" t="s">
        <v>25</v>
      </c>
      <c r="G791" s="4" t="s">
        <v>70</v>
      </c>
      <c r="H791" s="4" t="s">
        <v>25</v>
      </c>
      <c r="I791" s="5">
        <v>44682</v>
      </c>
      <c r="J791" s="6">
        <v>5040</v>
      </c>
      <c r="K791" s="6">
        <v>5040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4" t="s">
        <v>66</v>
      </c>
      <c r="R791" s="4">
        <v>838</v>
      </c>
      <c r="S791" s="6">
        <v>28</v>
      </c>
      <c r="T791" s="6">
        <v>0</v>
      </c>
      <c r="U791" s="6">
        <v>0</v>
      </c>
      <c r="V791" s="6">
        <f>IF(ISERROR(VLOOKUP($S$791,'TAR FIN'!$A$1:$O$116,15,0)),0,VLOOKUP($S$791,'TAR FIN'!$A$1:$O$116,15,0))</f>
        <v>15.24</v>
      </c>
      <c r="W791" s="6">
        <f>IF(ISERROR(VLOOKUP($T$791,'TAR FIN'!$A$1:$O$116,15,0)),0,VLOOKUP($T$791,'TAR FIN'!$A$1:$O$116,15,0))</f>
        <v>0</v>
      </c>
      <c r="X791" s="6">
        <f>IF(ISERROR(VLOOKUP($U$791,'TAR FIN'!$A$1:$O$116,15,0)),0,VLOOKUP($U$791,'TAR FIN'!$A$1:$O$116,15,0))</f>
        <v>0</v>
      </c>
      <c r="Y791" s="6">
        <f ca="1">('TUSD BE'!$AM$32+'TUSD BF'!$AM$32+'TUSD CVA'!$AM$32)*1</f>
        <v>17.138874075124019</v>
      </c>
      <c r="Z791" s="6"/>
      <c r="AA791" s="6"/>
      <c r="AB791" s="6">
        <f>$K$791*$V$791</f>
        <v>76809.600000000006</v>
      </c>
      <c r="AC791" s="6">
        <f>$M$791*$W$791</f>
        <v>0</v>
      </c>
      <c r="AD791" s="6">
        <f>$O$791*$X$791</f>
        <v>0</v>
      </c>
      <c r="AE791" s="6">
        <f ca="1">$K$791*$Y$791</f>
        <v>86379.925338625049</v>
      </c>
      <c r="AF791" s="6">
        <f>$M$791*$Z$791</f>
        <v>0</v>
      </c>
      <c r="AG791" s="6">
        <f>$O$791*$AA$791</f>
        <v>0</v>
      </c>
    </row>
    <row r="792" spans="1:33" ht="11.25" customHeight="1" x14ac:dyDescent="0.25">
      <c r="A792" s="4" t="s">
        <v>58</v>
      </c>
      <c r="B792" s="4" t="s">
        <v>41</v>
      </c>
      <c r="C792" s="4" t="s">
        <v>64</v>
      </c>
      <c r="D792" s="4" t="s">
        <v>25</v>
      </c>
      <c r="E792" s="4" t="s">
        <v>25</v>
      </c>
      <c r="F792" s="4" t="s">
        <v>25</v>
      </c>
      <c r="G792" s="4" t="s">
        <v>74</v>
      </c>
      <c r="H792" s="4" t="s">
        <v>25</v>
      </c>
      <c r="I792" s="5">
        <v>44682</v>
      </c>
      <c r="J792" s="6">
        <v>3800</v>
      </c>
      <c r="K792" s="6">
        <v>1900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4" t="s">
        <v>66</v>
      </c>
      <c r="R792" s="4">
        <v>1192</v>
      </c>
      <c r="S792" s="6">
        <v>28</v>
      </c>
      <c r="T792" s="6">
        <v>0</v>
      </c>
      <c r="U792" s="6">
        <v>0</v>
      </c>
      <c r="V792" s="6">
        <f>IF(ISERROR(VLOOKUP($S$792,'TAR FIN'!$A$1:$O$116,15,0)),0,VLOOKUP($S$792,'TAR FIN'!$A$1:$O$116,15,0))</f>
        <v>15.24</v>
      </c>
      <c r="W792" s="6">
        <f>IF(ISERROR(VLOOKUP($T$792,'TAR FIN'!$A$1:$O$116,15,0)),0,VLOOKUP($T$792,'TAR FIN'!$A$1:$O$116,15,0))</f>
        <v>0</v>
      </c>
      <c r="X792" s="6">
        <f>IF(ISERROR(VLOOKUP($U$792,'TAR FIN'!$A$1:$O$116,15,0)),0,VLOOKUP($U$792,'TAR FIN'!$A$1:$O$116,15,0))</f>
        <v>0</v>
      </c>
      <c r="Y792" s="6">
        <f ca="1">('TUSD BE'!$AM$32+'TUSD BF'!$AM$32+'TUSD CVA'!$AM$32)*1</f>
        <v>17.138874075124019</v>
      </c>
      <c r="Z792" s="6"/>
      <c r="AA792" s="6"/>
      <c r="AB792" s="6">
        <f>$K$792*$V$792</f>
        <v>28956</v>
      </c>
      <c r="AC792" s="6">
        <f>$M$792*$W$792</f>
        <v>0</v>
      </c>
      <c r="AD792" s="6">
        <f>$O$792*$X$792</f>
        <v>0</v>
      </c>
      <c r="AE792" s="6">
        <f ca="1">$K$792*$Y$792</f>
        <v>32563.860742735636</v>
      </c>
      <c r="AF792" s="6">
        <f>$M$792*$Z$792</f>
        <v>0</v>
      </c>
      <c r="AG792" s="6">
        <f>$O$792*$AA$792</f>
        <v>0</v>
      </c>
    </row>
    <row r="793" spans="1:33" ht="11.25" customHeight="1" x14ac:dyDescent="0.25">
      <c r="A793" s="4" t="s">
        <v>58</v>
      </c>
      <c r="B793" s="4" t="s">
        <v>41</v>
      </c>
      <c r="C793" s="4" t="s">
        <v>64</v>
      </c>
      <c r="D793" s="4" t="s">
        <v>25</v>
      </c>
      <c r="E793" s="4" t="s">
        <v>25</v>
      </c>
      <c r="F793" s="4" t="s">
        <v>25</v>
      </c>
      <c r="G793" s="4" t="s">
        <v>76</v>
      </c>
      <c r="H793" s="4" t="s">
        <v>25</v>
      </c>
      <c r="I793" s="5">
        <v>44682</v>
      </c>
      <c r="J793" s="6">
        <v>480</v>
      </c>
      <c r="K793" s="6">
        <v>480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4" t="s">
        <v>66</v>
      </c>
      <c r="R793" s="4">
        <v>1438</v>
      </c>
      <c r="S793" s="6">
        <v>28</v>
      </c>
      <c r="T793" s="6">
        <v>0</v>
      </c>
      <c r="U793" s="6">
        <v>0</v>
      </c>
      <c r="V793" s="6">
        <f>IF(ISERROR(VLOOKUP($S$793,'TAR FIN'!$A$1:$O$116,15,0)),0,VLOOKUP($S$793,'TAR FIN'!$A$1:$O$116,15,0))</f>
        <v>15.24</v>
      </c>
      <c r="W793" s="6">
        <f>IF(ISERROR(VLOOKUP($T$793,'TAR FIN'!$A$1:$O$116,15,0)),0,VLOOKUP($T$793,'TAR FIN'!$A$1:$O$116,15,0))</f>
        <v>0</v>
      </c>
      <c r="X793" s="6">
        <f>IF(ISERROR(VLOOKUP($U$793,'TAR FIN'!$A$1:$O$116,15,0)),0,VLOOKUP($U$793,'TAR FIN'!$A$1:$O$116,15,0))</f>
        <v>0</v>
      </c>
      <c r="Y793" s="6">
        <f ca="1">('TUSD BE'!$AM$32+'TUSD BF'!$AM$32+'TUSD CVA'!$AM$32)*1</f>
        <v>17.138874075124019</v>
      </c>
      <c r="Z793" s="6"/>
      <c r="AA793" s="6"/>
      <c r="AB793" s="6">
        <f>$K$793*$V$793</f>
        <v>7315.2</v>
      </c>
      <c r="AC793" s="6">
        <f>$M$793*$W$793</f>
        <v>0</v>
      </c>
      <c r="AD793" s="6">
        <f>$O$793*$X$793</f>
        <v>0</v>
      </c>
      <c r="AE793" s="6">
        <f ca="1">$K$793*$Y$793</f>
        <v>8226.6595560595288</v>
      </c>
      <c r="AF793" s="6">
        <f>$M$793*$Z$793</f>
        <v>0</v>
      </c>
      <c r="AG793" s="6">
        <f>$O$793*$AA$793</f>
        <v>0</v>
      </c>
    </row>
    <row r="794" spans="1:33" ht="11.25" customHeight="1" x14ac:dyDescent="0.25">
      <c r="A794" s="4" t="s">
        <v>58</v>
      </c>
      <c r="B794" s="4" t="s">
        <v>41</v>
      </c>
      <c r="C794" s="4" t="s">
        <v>64</v>
      </c>
      <c r="D794" s="4" t="s">
        <v>25</v>
      </c>
      <c r="E794" s="4" t="s">
        <v>25</v>
      </c>
      <c r="F794" s="4" t="s">
        <v>25</v>
      </c>
      <c r="G794" s="4" t="s">
        <v>77</v>
      </c>
      <c r="H794" s="4" t="s">
        <v>25</v>
      </c>
      <c r="I794" s="5">
        <v>44682</v>
      </c>
      <c r="J794" s="6">
        <v>736</v>
      </c>
      <c r="K794" s="6">
        <v>736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4" t="s">
        <v>66</v>
      </c>
      <c r="R794" s="4">
        <v>1462</v>
      </c>
      <c r="S794" s="6">
        <v>28</v>
      </c>
      <c r="T794" s="6">
        <v>0</v>
      </c>
      <c r="U794" s="6">
        <v>0</v>
      </c>
      <c r="V794" s="6">
        <f>IF(ISERROR(VLOOKUP($S$794,'TAR FIN'!$A$1:$O$116,15,0)),0,VLOOKUP($S$794,'TAR FIN'!$A$1:$O$116,15,0))</f>
        <v>15.24</v>
      </c>
      <c r="W794" s="6">
        <f>IF(ISERROR(VLOOKUP($T$794,'TAR FIN'!$A$1:$O$116,15,0)),0,VLOOKUP($T$794,'TAR FIN'!$A$1:$O$116,15,0))</f>
        <v>0</v>
      </c>
      <c r="X794" s="6">
        <f>IF(ISERROR(VLOOKUP($U$794,'TAR FIN'!$A$1:$O$116,15,0)),0,VLOOKUP($U$794,'TAR FIN'!$A$1:$O$116,15,0))</f>
        <v>0</v>
      </c>
      <c r="Y794" s="6">
        <f ca="1">('TUSD BE'!$AM$32+'TUSD BF'!$AM$32+'TUSD CVA'!$AM$32)*1</f>
        <v>17.138874075124019</v>
      </c>
      <c r="Z794" s="6"/>
      <c r="AA794" s="6"/>
      <c r="AB794" s="6">
        <f>$K$794*$V$794</f>
        <v>11216.64</v>
      </c>
      <c r="AC794" s="6">
        <f>$M$794*$W$794</f>
        <v>0</v>
      </c>
      <c r="AD794" s="6">
        <f>$O$794*$X$794</f>
        <v>0</v>
      </c>
      <c r="AE794" s="6">
        <f ca="1">$K$794*$Y$794</f>
        <v>12614.211319291278</v>
      </c>
      <c r="AF794" s="6">
        <f>$M$794*$Z$794</f>
        <v>0</v>
      </c>
      <c r="AG794" s="6">
        <f>$O$794*$AA$794</f>
        <v>0</v>
      </c>
    </row>
    <row r="795" spans="1:33" ht="11.25" customHeight="1" x14ac:dyDescent="0.25">
      <c r="A795" s="4" t="s">
        <v>58</v>
      </c>
      <c r="B795" s="4" t="s">
        <v>41</v>
      </c>
      <c r="C795" s="4" t="s">
        <v>64</v>
      </c>
      <c r="D795" s="4" t="s">
        <v>25</v>
      </c>
      <c r="E795" s="4" t="s">
        <v>25</v>
      </c>
      <c r="F795" s="4" t="s">
        <v>25</v>
      </c>
      <c r="G795" s="4" t="s">
        <v>78</v>
      </c>
      <c r="H795" s="4" t="s">
        <v>25</v>
      </c>
      <c r="I795" s="5">
        <v>44682</v>
      </c>
      <c r="J795" s="6">
        <v>6460</v>
      </c>
      <c r="K795" s="6">
        <v>6460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4" t="s">
        <v>66</v>
      </c>
      <c r="R795" s="4">
        <v>1533</v>
      </c>
      <c r="S795" s="6">
        <v>28</v>
      </c>
      <c r="T795" s="6">
        <v>0</v>
      </c>
      <c r="U795" s="6">
        <v>0</v>
      </c>
      <c r="V795" s="6">
        <f>IF(ISERROR(VLOOKUP($S$795,'TAR FIN'!$A$1:$O$116,15,0)),0,VLOOKUP($S$795,'TAR FIN'!$A$1:$O$116,15,0))</f>
        <v>15.24</v>
      </c>
      <c r="W795" s="6">
        <f>IF(ISERROR(VLOOKUP($T$795,'TAR FIN'!$A$1:$O$116,15,0)),0,VLOOKUP($T$795,'TAR FIN'!$A$1:$O$116,15,0))</f>
        <v>0</v>
      </c>
      <c r="X795" s="6">
        <f>IF(ISERROR(VLOOKUP($U$795,'TAR FIN'!$A$1:$O$116,15,0)),0,VLOOKUP($U$795,'TAR FIN'!$A$1:$O$116,15,0))</f>
        <v>0</v>
      </c>
      <c r="Y795" s="6">
        <f ca="1">('TUSD BE'!$AM$32+'TUSD BF'!$AM$32+'TUSD CVA'!$AM$32)*1</f>
        <v>17.138874075124019</v>
      </c>
      <c r="Z795" s="6"/>
      <c r="AA795" s="6"/>
      <c r="AB795" s="6">
        <f>$K$795*$V$795</f>
        <v>98450.4</v>
      </c>
      <c r="AC795" s="6">
        <f>$M$795*$W$795</f>
        <v>0</v>
      </c>
      <c r="AD795" s="6">
        <f>$O$795*$X$795</f>
        <v>0</v>
      </c>
      <c r="AE795" s="6">
        <f ca="1">$K$795*$Y$795</f>
        <v>110717.12652530117</v>
      </c>
      <c r="AF795" s="6">
        <f>$M$795*$Z$795</f>
        <v>0</v>
      </c>
      <c r="AG795" s="6">
        <f>$O$795*$AA$795</f>
        <v>0</v>
      </c>
    </row>
    <row r="796" spans="1:33" ht="11.25" customHeight="1" x14ac:dyDescent="0.25">
      <c r="A796" s="4" t="s">
        <v>58</v>
      </c>
      <c r="B796" s="4" t="s">
        <v>41</v>
      </c>
      <c r="C796" s="4" t="s">
        <v>64</v>
      </c>
      <c r="D796" s="4" t="s">
        <v>25</v>
      </c>
      <c r="E796" s="4" t="s">
        <v>25</v>
      </c>
      <c r="F796" s="4" t="s">
        <v>25</v>
      </c>
      <c r="G796" s="4" t="s">
        <v>79</v>
      </c>
      <c r="H796" s="4" t="s">
        <v>25</v>
      </c>
      <c r="I796" s="5">
        <v>44682</v>
      </c>
      <c r="J796" s="6">
        <v>770</v>
      </c>
      <c r="K796" s="6">
        <v>770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4" t="s">
        <v>66</v>
      </c>
      <c r="R796" s="4">
        <v>2535</v>
      </c>
      <c r="S796" s="6">
        <v>28</v>
      </c>
      <c r="T796" s="6">
        <v>0</v>
      </c>
      <c r="U796" s="6">
        <v>0</v>
      </c>
      <c r="V796" s="6">
        <f>IF(ISERROR(VLOOKUP($S$796,'TAR FIN'!$A$1:$O$116,15,0)),0,VLOOKUP($S$796,'TAR FIN'!$A$1:$O$116,15,0))</f>
        <v>15.24</v>
      </c>
      <c r="W796" s="6">
        <f>IF(ISERROR(VLOOKUP($T$796,'TAR FIN'!$A$1:$O$116,15,0)),0,VLOOKUP($T$796,'TAR FIN'!$A$1:$O$116,15,0))</f>
        <v>0</v>
      </c>
      <c r="X796" s="6">
        <f>IF(ISERROR(VLOOKUP($U$796,'TAR FIN'!$A$1:$O$116,15,0)),0,VLOOKUP($U$796,'TAR FIN'!$A$1:$O$116,15,0))</f>
        <v>0</v>
      </c>
      <c r="Y796" s="6">
        <f ca="1">('TUSD BE'!$AM$32+'TUSD BF'!$AM$32+'TUSD CVA'!$AM$32)*1</f>
        <v>17.138874075124019</v>
      </c>
      <c r="Z796" s="6"/>
      <c r="AA796" s="6"/>
      <c r="AB796" s="6">
        <f>$K$796*$V$796</f>
        <v>11734.8</v>
      </c>
      <c r="AC796" s="6">
        <f>$M$796*$W$796</f>
        <v>0</v>
      </c>
      <c r="AD796" s="6">
        <f>$O$796*$X$796</f>
        <v>0</v>
      </c>
      <c r="AE796" s="6">
        <f ca="1">$K$796*$Y$796</f>
        <v>13196.933037845494</v>
      </c>
      <c r="AF796" s="6">
        <f>$M$796*$Z$796</f>
        <v>0</v>
      </c>
      <c r="AG796" s="6">
        <f>$O$796*$AA$796</f>
        <v>0</v>
      </c>
    </row>
    <row r="797" spans="1:33" ht="11.25" customHeight="1" x14ac:dyDescent="0.25">
      <c r="A797" s="4" t="s">
        <v>58</v>
      </c>
      <c r="B797" s="4" t="s">
        <v>41</v>
      </c>
      <c r="C797" s="4" t="s">
        <v>64</v>
      </c>
      <c r="D797" s="4" t="s">
        <v>25</v>
      </c>
      <c r="E797" s="4" t="s">
        <v>25</v>
      </c>
      <c r="F797" s="4" t="s">
        <v>25</v>
      </c>
      <c r="G797" s="4" t="s">
        <v>80</v>
      </c>
      <c r="H797" s="4" t="s">
        <v>25</v>
      </c>
      <c r="I797" s="5">
        <v>44682</v>
      </c>
      <c r="J797" s="6">
        <v>1416</v>
      </c>
      <c r="K797" s="6">
        <v>1416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4" t="s">
        <v>66</v>
      </c>
      <c r="R797" s="4">
        <v>2751</v>
      </c>
      <c r="S797" s="6">
        <v>28</v>
      </c>
      <c r="T797" s="6">
        <v>0</v>
      </c>
      <c r="U797" s="6">
        <v>0</v>
      </c>
      <c r="V797" s="6">
        <f>IF(ISERROR(VLOOKUP($S$797,'TAR FIN'!$A$1:$O$116,15,0)),0,VLOOKUP($S$797,'TAR FIN'!$A$1:$O$116,15,0))</f>
        <v>15.24</v>
      </c>
      <c r="W797" s="6">
        <f>IF(ISERROR(VLOOKUP($T$797,'TAR FIN'!$A$1:$O$116,15,0)),0,VLOOKUP($T$797,'TAR FIN'!$A$1:$O$116,15,0))</f>
        <v>0</v>
      </c>
      <c r="X797" s="6">
        <f>IF(ISERROR(VLOOKUP($U$797,'TAR FIN'!$A$1:$O$116,15,0)),0,VLOOKUP($U$797,'TAR FIN'!$A$1:$O$116,15,0))</f>
        <v>0</v>
      </c>
      <c r="Y797" s="6">
        <f ca="1">('TUSD BE'!$AM$32+'TUSD BF'!$AM$32+'TUSD CVA'!$AM$32)*1</f>
        <v>17.138874075124019</v>
      </c>
      <c r="Z797" s="6"/>
      <c r="AA797" s="6"/>
      <c r="AB797" s="6">
        <f>$K$797*$V$797</f>
        <v>21579.84</v>
      </c>
      <c r="AC797" s="6">
        <f>$M$797*$W$797</f>
        <v>0</v>
      </c>
      <c r="AD797" s="6">
        <f>$O$797*$X$797</f>
        <v>0</v>
      </c>
      <c r="AE797" s="6">
        <f ca="1">$K$797*$Y$797</f>
        <v>24268.645690375612</v>
      </c>
      <c r="AF797" s="6">
        <f>$M$797*$Z$797</f>
        <v>0</v>
      </c>
      <c r="AG797" s="6">
        <f>$O$797*$AA$797</f>
        <v>0</v>
      </c>
    </row>
    <row r="798" spans="1:33" ht="11.25" customHeight="1" x14ac:dyDescent="0.25">
      <c r="A798" s="4" t="s">
        <v>58</v>
      </c>
      <c r="B798" s="4" t="s">
        <v>41</v>
      </c>
      <c r="C798" s="4" t="s">
        <v>64</v>
      </c>
      <c r="D798" s="4" t="s">
        <v>25</v>
      </c>
      <c r="E798" s="4" t="s">
        <v>25</v>
      </c>
      <c r="F798" s="4" t="s">
        <v>25</v>
      </c>
      <c r="G798" s="4" t="s">
        <v>88</v>
      </c>
      <c r="H798" s="4" t="s">
        <v>25</v>
      </c>
      <c r="I798" s="5">
        <v>44682</v>
      </c>
      <c r="J798" s="6">
        <v>9500</v>
      </c>
      <c r="K798" s="6">
        <v>4750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4" t="s">
        <v>66</v>
      </c>
      <c r="R798" s="4">
        <v>27722</v>
      </c>
      <c r="S798" s="6">
        <v>28</v>
      </c>
      <c r="T798" s="6">
        <v>0</v>
      </c>
      <c r="U798" s="6">
        <v>0</v>
      </c>
      <c r="V798" s="6">
        <f>IF(ISERROR(VLOOKUP($S$798,'TAR FIN'!$A$1:$O$116,15,0)),0,VLOOKUP($S$798,'TAR FIN'!$A$1:$O$116,15,0))</f>
        <v>15.24</v>
      </c>
      <c r="W798" s="6">
        <f>IF(ISERROR(VLOOKUP($T$798,'TAR FIN'!$A$1:$O$116,15,0)),0,VLOOKUP($T$798,'TAR FIN'!$A$1:$O$116,15,0))</f>
        <v>0</v>
      </c>
      <c r="X798" s="6">
        <f>IF(ISERROR(VLOOKUP($U$798,'TAR FIN'!$A$1:$O$116,15,0)),0,VLOOKUP($U$798,'TAR FIN'!$A$1:$O$116,15,0))</f>
        <v>0</v>
      </c>
      <c r="Y798" s="6">
        <f ca="1">('TUSD BE'!$AM$32+'TUSD BF'!$AM$32+'TUSD CVA'!$AM$32)*1</f>
        <v>17.138874075124019</v>
      </c>
      <c r="Z798" s="6"/>
      <c r="AA798" s="6"/>
      <c r="AB798" s="6">
        <f>$K$798*$V$798</f>
        <v>72390</v>
      </c>
      <c r="AC798" s="6">
        <f>$M$798*$W$798</f>
        <v>0</v>
      </c>
      <c r="AD798" s="6">
        <f>$O$798*$X$798</f>
        <v>0</v>
      </c>
      <c r="AE798" s="6">
        <f ca="1">$K$798*$Y$798</f>
        <v>81409.651856839089</v>
      </c>
      <c r="AF798" s="6">
        <f>$M$798*$Z$798</f>
        <v>0</v>
      </c>
      <c r="AG798" s="6">
        <f>$O$798*$AA$798</f>
        <v>0</v>
      </c>
    </row>
    <row r="799" spans="1:33" ht="11.25" customHeight="1" x14ac:dyDescent="0.25">
      <c r="A799" s="4" t="s">
        <v>58</v>
      </c>
      <c r="B799" s="4" t="s">
        <v>41</v>
      </c>
      <c r="C799" s="4" t="s">
        <v>64</v>
      </c>
      <c r="D799" s="4" t="s">
        <v>25</v>
      </c>
      <c r="E799" s="4" t="s">
        <v>25</v>
      </c>
      <c r="F799" s="4" t="s">
        <v>25</v>
      </c>
      <c r="G799" s="4" t="s">
        <v>90</v>
      </c>
      <c r="H799" s="4" t="s">
        <v>25</v>
      </c>
      <c r="I799" s="5">
        <v>44682</v>
      </c>
      <c r="J799" s="6">
        <v>420</v>
      </c>
      <c r="K799" s="6">
        <v>420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4" t="s">
        <v>66</v>
      </c>
      <c r="R799" s="4">
        <v>27928</v>
      </c>
      <c r="S799" s="6">
        <v>28</v>
      </c>
      <c r="T799" s="6">
        <v>0</v>
      </c>
      <c r="U799" s="6">
        <v>0</v>
      </c>
      <c r="V799" s="6">
        <f>IF(ISERROR(VLOOKUP($S$799,'TAR FIN'!$A$1:$O$116,15,0)),0,VLOOKUP($S$799,'TAR FIN'!$A$1:$O$116,15,0))</f>
        <v>15.24</v>
      </c>
      <c r="W799" s="6">
        <f>IF(ISERROR(VLOOKUP($T$799,'TAR FIN'!$A$1:$O$116,15,0)),0,VLOOKUP($T$799,'TAR FIN'!$A$1:$O$116,15,0))</f>
        <v>0</v>
      </c>
      <c r="X799" s="6">
        <f>IF(ISERROR(VLOOKUP($U$799,'TAR FIN'!$A$1:$O$116,15,0)),0,VLOOKUP($U$799,'TAR FIN'!$A$1:$O$116,15,0))</f>
        <v>0</v>
      </c>
      <c r="Y799" s="6">
        <f ca="1">('TUSD BE'!$AM$32+'TUSD BF'!$AM$32+'TUSD CVA'!$AM$32)*1</f>
        <v>17.138874075124019</v>
      </c>
      <c r="Z799" s="6"/>
      <c r="AA799" s="6"/>
      <c r="AB799" s="6">
        <f>$K$799*$V$799</f>
        <v>6400.8</v>
      </c>
      <c r="AC799" s="6">
        <f>$M$799*$W$799</f>
        <v>0</v>
      </c>
      <c r="AD799" s="6">
        <f>$O$799*$X$799</f>
        <v>0</v>
      </c>
      <c r="AE799" s="6">
        <f ca="1">$K$799*$Y$799</f>
        <v>7198.3271115520874</v>
      </c>
      <c r="AF799" s="6">
        <f>$M$799*$Z$799</f>
        <v>0</v>
      </c>
      <c r="AG799" s="6">
        <f>$O$799*$AA$799</f>
        <v>0</v>
      </c>
    </row>
    <row r="800" spans="1:33" ht="11.25" customHeight="1" x14ac:dyDescent="0.25">
      <c r="A800" s="4" t="s">
        <v>58</v>
      </c>
      <c r="B800" s="4" t="s">
        <v>41</v>
      </c>
      <c r="C800" s="4" t="s">
        <v>64</v>
      </c>
      <c r="D800" s="4" t="s">
        <v>25</v>
      </c>
      <c r="E800" s="4" t="s">
        <v>25</v>
      </c>
      <c r="F800" s="4" t="s">
        <v>25</v>
      </c>
      <c r="G800" s="4" t="s">
        <v>93</v>
      </c>
      <c r="H800" s="4" t="s">
        <v>25</v>
      </c>
      <c r="I800" s="5">
        <v>44682</v>
      </c>
      <c r="J800" s="6">
        <v>1300</v>
      </c>
      <c r="K800" s="6">
        <v>650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4" t="s">
        <v>66</v>
      </c>
      <c r="R800" s="4">
        <v>30847</v>
      </c>
      <c r="S800" s="6">
        <v>28</v>
      </c>
      <c r="T800" s="6">
        <v>0</v>
      </c>
      <c r="U800" s="6">
        <v>0</v>
      </c>
      <c r="V800" s="6">
        <f>IF(ISERROR(VLOOKUP($S$800,'TAR FIN'!$A$1:$O$116,15,0)),0,VLOOKUP($S$800,'TAR FIN'!$A$1:$O$116,15,0))</f>
        <v>15.24</v>
      </c>
      <c r="W800" s="6">
        <f>IF(ISERROR(VLOOKUP($T$800,'TAR FIN'!$A$1:$O$116,15,0)),0,VLOOKUP($T$800,'TAR FIN'!$A$1:$O$116,15,0))</f>
        <v>0</v>
      </c>
      <c r="X800" s="6">
        <f>IF(ISERROR(VLOOKUP($U$800,'TAR FIN'!$A$1:$O$116,15,0)),0,VLOOKUP($U$800,'TAR FIN'!$A$1:$O$116,15,0))</f>
        <v>0</v>
      </c>
      <c r="Y800" s="6">
        <f ca="1">('TUSD BE'!$AM$32+'TUSD BF'!$AM$32+'TUSD CVA'!$AM$32)*1</f>
        <v>17.138874075124019</v>
      </c>
      <c r="Z800" s="6"/>
      <c r="AA800" s="6"/>
      <c r="AB800" s="6">
        <f>$K$800*$V$800</f>
        <v>9906</v>
      </c>
      <c r="AC800" s="6">
        <f>$M$800*$W$800</f>
        <v>0</v>
      </c>
      <c r="AD800" s="6">
        <f>$O$800*$X$800</f>
        <v>0</v>
      </c>
      <c r="AE800" s="6">
        <f ca="1">$K$800*$Y$800</f>
        <v>11140.268148830612</v>
      </c>
      <c r="AF800" s="6">
        <f>$M$800*$Z$800</f>
        <v>0</v>
      </c>
      <c r="AG800" s="6">
        <f>$O$800*$AA$800</f>
        <v>0</v>
      </c>
    </row>
    <row r="801" spans="1:33" ht="11.25" customHeight="1" x14ac:dyDescent="0.25">
      <c r="A801" s="4" t="s">
        <v>58</v>
      </c>
      <c r="B801" s="4" t="s">
        <v>41</v>
      </c>
      <c r="C801" s="4" t="s">
        <v>64</v>
      </c>
      <c r="D801" s="4" t="s">
        <v>25</v>
      </c>
      <c r="E801" s="4" t="s">
        <v>25</v>
      </c>
      <c r="F801" s="4" t="s">
        <v>25</v>
      </c>
      <c r="G801" s="4" t="s">
        <v>94</v>
      </c>
      <c r="H801" s="4" t="s">
        <v>25</v>
      </c>
      <c r="I801" s="5">
        <v>44682</v>
      </c>
      <c r="J801" s="6">
        <v>1180</v>
      </c>
      <c r="K801" s="6">
        <v>590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4" t="s">
        <v>66</v>
      </c>
      <c r="R801" s="4">
        <v>30866</v>
      </c>
      <c r="S801" s="6">
        <v>28</v>
      </c>
      <c r="T801" s="6">
        <v>0</v>
      </c>
      <c r="U801" s="6">
        <v>0</v>
      </c>
      <c r="V801" s="6">
        <f>IF(ISERROR(VLOOKUP($S$801,'TAR FIN'!$A$1:$O$116,15,0)),0,VLOOKUP($S$801,'TAR FIN'!$A$1:$O$116,15,0))</f>
        <v>15.24</v>
      </c>
      <c r="W801" s="6">
        <f>IF(ISERROR(VLOOKUP($T$801,'TAR FIN'!$A$1:$O$116,15,0)),0,VLOOKUP($T$801,'TAR FIN'!$A$1:$O$116,15,0))</f>
        <v>0</v>
      </c>
      <c r="X801" s="6">
        <f>IF(ISERROR(VLOOKUP($U$801,'TAR FIN'!$A$1:$O$116,15,0)),0,VLOOKUP($U$801,'TAR FIN'!$A$1:$O$116,15,0))</f>
        <v>0</v>
      </c>
      <c r="Y801" s="6">
        <f ca="1">('TUSD BE'!$AM$32+'TUSD BF'!$AM$32+'TUSD CVA'!$AM$32)*1</f>
        <v>17.138874075124019</v>
      </c>
      <c r="Z801" s="6"/>
      <c r="AA801" s="6"/>
      <c r="AB801" s="6">
        <f>$K$801*$V$801</f>
        <v>8991.6</v>
      </c>
      <c r="AC801" s="6">
        <f>$M$801*$W$801</f>
        <v>0</v>
      </c>
      <c r="AD801" s="6">
        <f>$O$801*$X$801</f>
        <v>0</v>
      </c>
      <c r="AE801" s="6">
        <f ca="1">$K$801*$Y$801</f>
        <v>10111.93570432317</v>
      </c>
      <c r="AF801" s="6">
        <f>$M$801*$Z$801</f>
        <v>0</v>
      </c>
      <c r="AG801" s="6">
        <f>$O$801*$AA$801</f>
        <v>0</v>
      </c>
    </row>
    <row r="802" spans="1:33" ht="11.25" customHeight="1" x14ac:dyDescent="0.25">
      <c r="A802" s="4" t="s">
        <v>58</v>
      </c>
      <c r="B802" s="4" t="s">
        <v>41</v>
      </c>
      <c r="C802" s="4" t="s">
        <v>64</v>
      </c>
      <c r="D802" s="4" t="s">
        <v>25</v>
      </c>
      <c r="E802" s="4" t="s">
        <v>25</v>
      </c>
      <c r="F802" s="4" t="s">
        <v>25</v>
      </c>
      <c r="G802" s="4" t="s">
        <v>95</v>
      </c>
      <c r="H802" s="4" t="s">
        <v>25</v>
      </c>
      <c r="I802" s="5">
        <v>44682</v>
      </c>
      <c r="J802" s="6">
        <v>1180</v>
      </c>
      <c r="K802" s="6">
        <v>590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4" t="s">
        <v>66</v>
      </c>
      <c r="R802" s="4">
        <v>31051</v>
      </c>
      <c r="S802" s="6">
        <v>28</v>
      </c>
      <c r="T802" s="6">
        <v>0</v>
      </c>
      <c r="U802" s="6">
        <v>0</v>
      </c>
      <c r="V802" s="6">
        <f>IF(ISERROR(VLOOKUP($S$802,'TAR FIN'!$A$1:$O$116,15,0)),0,VLOOKUP($S$802,'TAR FIN'!$A$1:$O$116,15,0))</f>
        <v>15.24</v>
      </c>
      <c r="W802" s="6">
        <f>IF(ISERROR(VLOOKUP($T$802,'TAR FIN'!$A$1:$O$116,15,0)),0,VLOOKUP($T$802,'TAR FIN'!$A$1:$O$116,15,0))</f>
        <v>0</v>
      </c>
      <c r="X802" s="6">
        <f>IF(ISERROR(VLOOKUP($U$802,'TAR FIN'!$A$1:$O$116,15,0)),0,VLOOKUP($U$802,'TAR FIN'!$A$1:$O$116,15,0))</f>
        <v>0</v>
      </c>
      <c r="Y802" s="6">
        <f ca="1">('TUSD BE'!$AM$32+'TUSD BF'!$AM$32+'TUSD CVA'!$AM$32)*1</f>
        <v>17.138874075124019</v>
      </c>
      <c r="Z802" s="6"/>
      <c r="AA802" s="6"/>
      <c r="AB802" s="6">
        <f>$K$802*$V$802</f>
        <v>8991.6</v>
      </c>
      <c r="AC802" s="6">
        <f>$M$802*$W$802</f>
        <v>0</v>
      </c>
      <c r="AD802" s="6">
        <f>$O$802*$X$802</f>
        <v>0</v>
      </c>
      <c r="AE802" s="6">
        <f ca="1">$K$802*$Y$802</f>
        <v>10111.93570432317</v>
      </c>
      <c r="AF802" s="6">
        <f>$M$802*$Z$802</f>
        <v>0</v>
      </c>
      <c r="AG802" s="6">
        <f>$O$802*$AA$802</f>
        <v>0</v>
      </c>
    </row>
    <row r="803" spans="1:33" ht="11.25" customHeight="1" x14ac:dyDescent="0.25">
      <c r="A803" s="4" t="s">
        <v>58</v>
      </c>
      <c r="B803" s="4" t="s">
        <v>41</v>
      </c>
      <c r="C803" s="4" t="s">
        <v>64</v>
      </c>
      <c r="D803" s="4" t="s">
        <v>25</v>
      </c>
      <c r="E803" s="4" t="s">
        <v>25</v>
      </c>
      <c r="F803" s="4" t="s">
        <v>25</v>
      </c>
      <c r="G803" s="4" t="s">
        <v>96</v>
      </c>
      <c r="H803" s="4" t="s">
        <v>25</v>
      </c>
      <c r="I803" s="5">
        <v>44682</v>
      </c>
      <c r="J803" s="6">
        <v>1000</v>
      </c>
      <c r="K803" s="6">
        <v>500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4" t="s">
        <v>66</v>
      </c>
      <c r="R803" s="4">
        <v>31277</v>
      </c>
      <c r="S803" s="6">
        <v>28</v>
      </c>
      <c r="T803" s="6">
        <v>0</v>
      </c>
      <c r="U803" s="6">
        <v>0</v>
      </c>
      <c r="V803" s="6">
        <f>IF(ISERROR(VLOOKUP($S$803,'TAR FIN'!$A$1:$O$116,15,0)),0,VLOOKUP($S$803,'TAR FIN'!$A$1:$O$116,15,0))</f>
        <v>15.24</v>
      </c>
      <c r="W803" s="6">
        <f>IF(ISERROR(VLOOKUP($T$803,'TAR FIN'!$A$1:$O$116,15,0)),0,VLOOKUP($T$803,'TAR FIN'!$A$1:$O$116,15,0))</f>
        <v>0</v>
      </c>
      <c r="X803" s="6">
        <f>IF(ISERROR(VLOOKUP($U$803,'TAR FIN'!$A$1:$O$116,15,0)),0,VLOOKUP($U$803,'TAR FIN'!$A$1:$O$116,15,0))</f>
        <v>0</v>
      </c>
      <c r="Y803" s="6">
        <f ca="1">('TUSD BE'!$AM$32+'TUSD BF'!$AM$32+'TUSD CVA'!$AM$32)*1</f>
        <v>17.138874075124019</v>
      </c>
      <c r="Z803" s="6"/>
      <c r="AA803" s="6"/>
      <c r="AB803" s="6">
        <f>$K$803*$V$803</f>
        <v>7620</v>
      </c>
      <c r="AC803" s="6">
        <f>$M$803*$W$803</f>
        <v>0</v>
      </c>
      <c r="AD803" s="6">
        <f>$O$803*$X$803</f>
        <v>0</v>
      </c>
      <c r="AE803" s="6">
        <f ca="1">$K$803*$Y$803</f>
        <v>8569.4370375620092</v>
      </c>
      <c r="AF803" s="6">
        <f>$M$803*$Z$803</f>
        <v>0</v>
      </c>
      <c r="AG803" s="6">
        <f>$O$803*$AA$803</f>
        <v>0</v>
      </c>
    </row>
    <row r="804" spans="1:33" ht="11.25" customHeight="1" x14ac:dyDescent="0.25">
      <c r="A804" s="4" t="s">
        <v>58</v>
      </c>
      <c r="B804" s="4" t="s">
        <v>41</v>
      </c>
      <c r="C804" s="4" t="s">
        <v>64</v>
      </c>
      <c r="D804" s="4" t="s">
        <v>25</v>
      </c>
      <c r="E804" s="4" t="s">
        <v>25</v>
      </c>
      <c r="F804" s="4" t="s">
        <v>25</v>
      </c>
      <c r="G804" s="4" t="s">
        <v>97</v>
      </c>
      <c r="H804" s="4" t="s">
        <v>25</v>
      </c>
      <c r="I804" s="5">
        <v>44682</v>
      </c>
      <c r="J804" s="6">
        <v>1180</v>
      </c>
      <c r="K804" s="6">
        <v>590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4" t="s">
        <v>66</v>
      </c>
      <c r="R804" s="4">
        <v>31318</v>
      </c>
      <c r="S804" s="6">
        <v>28</v>
      </c>
      <c r="T804" s="6">
        <v>0</v>
      </c>
      <c r="U804" s="6">
        <v>0</v>
      </c>
      <c r="V804" s="6">
        <f>IF(ISERROR(VLOOKUP($S$804,'TAR FIN'!$A$1:$O$116,15,0)),0,VLOOKUP($S$804,'TAR FIN'!$A$1:$O$116,15,0))</f>
        <v>15.24</v>
      </c>
      <c r="W804" s="6">
        <f>IF(ISERROR(VLOOKUP($T$804,'TAR FIN'!$A$1:$O$116,15,0)),0,VLOOKUP($T$804,'TAR FIN'!$A$1:$O$116,15,0))</f>
        <v>0</v>
      </c>
      <c r="X804" s="6">
        <f>IF(ISERROR(VLOOKUP($U$804,'TAR FIN'!$A$1:$O$116,15,0)),0,VLOOKUP($U$804,'TAR FIN'!$A$1:$O$116,15,0))</f>
        <v>0</v>
      </c>
      <c r="Y804" s="6">
        <f ca="1">('TUSD BE'!$AM$32+'TUSD BF'!$AM$32+'TUSD CVA'!$AM$32)*1</f>
        <v>17.138874075124019</v>
      </c>
      <c r="Z804" s="6"/>
      <c r="AA804" s="6"/>
      <c r="AB804" s="6">
        <f>$K$804*$V$804</f>
        <v>8991.6</v>
      </c>
      <c r="AC804" s="6">
        <f>$M$804*$W$804</f>
        <v>0</v>
      </c>
      <c r="AD804" s="6">
        <f>$O$804*$X$804</f>
        <v>0</v>
      </c>
      <c r="AE804" s="6">
        <f ca="1">$K$804*$Y$804</f>
        <v>10111.93570432317</v>
      </c>
      <c r="AF804" s="6">
        <f>$M$804*$Z$804</f>
        <v>0</v>
      </c>
      <c r="AG804" s="6">
        <f>$O$804*$AA$804</f>
        <v>0</v>
      </c>
    </row>
    <row r="805" spans="1:33" ht="11.25" customHeight="1" x14ac:dyDescent="0.25">
      <c r="A805" s="4" t="s">
        <v>58</v>
      </c>
      <c r="B805" s="4" t="s">
        <v>41</v>
      </c>
      <c r="C805" s="4" t="s">
        <v>64</v>
      </c>
      <c r="D805" s="4" t="s">
        <v>25</v>
      </c>
      <c r="E805" s="4" t="s">
        <v>25</v>
      </c>
      <c r="F805" s="4" t="s">
        <v>25</v>
      </c>
      <c r="G805" s="4" t="s">
        <v>98</v>
      </c>
      <c r="H805" s="4" t="s">
        <v>25</v>
      </c>
      <c r="I805" s="5">
        <v>44682</v>
      </c>
      <c r="J805" s="6">
        <v>3000</v>
      </c>
      <c r="K805" s="6">
        <v>1500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4" t="s">
        <v>66</v>
      </c>
      <c r="R805" s="4">
        <v>31334</v>
      </c>
      <c r="S805" s="6">
        <v>28</v>
      </c>
      <c r="T805" s="6">
        <v>0</v>
      </c>
      <c r="U805" s="6">
        <v>0</v>
      </c>
      <c r="V805" s="6">
        <f>IF(ISERROR(VLOOKUP($S$805,'TAR FIN'!$A$1:$O$116,15,0)),0,VLOOKUP($S$805,'TAR FIN'!$A$1:$O$116,15,0))</f>
        <v>15.24</v>
      </c>
      <c r="W805" s="6">
        <f>IF(ISERROR(VLOOKUP($T$805,'TAR FIN'!$A$1:$O$116,15,0)),0,VLOOKUP($T$805,'TAR FIN'!$A$1:$O$116,15,0))</f>
        <v>0</v>
      </c>
      <c r="X805" s="6">
        <f>IF(ISERROR(VLOOKUP($U$805,'TAR FIN'!$A$1:$O$116,15,0)),0,VLOOKUP($U$805,'TAR FIN'!$A$1:$O$116,15,0))</f>
        <v>0</v>
      </c>
      <c r="Y805" s="6">
        <f ca="1">('TUSD BE'!$AM$32+'TUSD BF'!$AM$32+'TUSD CVA'!$AM$32)*1</f>
        <v>17.138874075124019</v>
      </c>
      <c r="Z805" s="6"/>
      <c r="AA805" s="6"/>
      <c r="AB805" s="6">
        <f>$K$805*$V$805</f>
        <v>22860</v>
      </c>
      <c r="AC805" s="6">
        <f>$M$805*$W$805</f>
        <v>0</v>
      </c>
      <c r="AD805" s="6">
        <f>$O$805*$X$805</f>
        <v>0</v>
      </c>
      <c r="AE805" s="6">
        <f ca="1">$K$805*$Y$805</f>
        <v>25708.311112686028</v>
      </c>
      <c r="AF805" s="6">
        <f>$M$805*$Z$805</f>
        <v>0</v>
      </c>
      <c r="AG805" s="6">
        <f>$O$805*$AA$805</f>
        <v>0</v>
      </c>
    </row>
    <row r="806" spans="1:33" ht="11.25" customHeight="1" x14ac:dyDescent="0.25">
      <c r="A806" s="4" t="s">
        <v>58</v>
      </c>
      <c r="B806" s="4" t="s">
        <v>41</v>
      </c>
      <c r="C806" s="4" t="s">
        <v>64</v>
      </c>
      <c r="D806" s="4" t="s">
        <v>25</v>
      </c>
      <c r="E806" s="4" t="s">
        <v>25</v>
      </c>
      <c r="F806" s="4" t="s">
        <v>25</v>
      </c>
      <c r="G806" s="4" t="s">
        <v>99</v>
      </c>
      <c r="H806" s="4" t="s">
        <v>25</v>
      </c>
      <c r="I806" s="5">
        <v>44682</v>
      </c>
      <c r="J806" s="6">
        <v>1180</v>
      </c>
      <c r="K806" s="6">
        <v>590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4" t="s">
        <v>66</v>
      </c>
      <c r="R806" s="4">
        <v>31618</v>
      </c>
      <c r="S806" s="6">
        <v>28</v>
      </c>
      <c r="T806" s="6">
        <v>0</v>
      </c>
      <c r="U806" s="6">
        <v>0</v>
      </c>
      <c r="V806" s="6">
        <f>IF(ISERROR(VLOOKUP($S$806,'TAR FIN'!$A$1:$O$116,15,0)),0,VLOOKUP($S$806,'TAR FIN'!$A$1:$O$116,15,0))</f>
        <v>15.24</v>
      </c>
      <c r="W806" s="6">
        <f>IF(ISERROR(VLOOKUP($T$806,'TAR FIN'!$A$1:$O$116,15,0)),0,VLOOKUP($T$806,'TAR FIN'!$A$1:$O$116,15,0))</f>
        <v>0</v>
      </c>
      <c r="X806" s="6">
        <f>IF(ISERROR(VLOOKUP($U$806,'TAR FIN'!$A$1:$O$116,15,0)),0,VLOOKUP($U$806,'TAR FIN'!$A$1:$O$116,15,0))</f>
        <v>0</v>
      </c>
      <c r="Y806" s="6">
        <f ca="1">('TUSD BE'!$AM$32+'TUSD BF'!$AM$32+'TUSD CVA'!$AM$32)*1</f>
        <v>17.138874075124019</v>
      </c>
      <c r="Z806" s="6"/>
      <c r="AA806" s="6"/>
      <c r="AB806" s="6">
        <f>$K$806*$V$806</f>
        <v>8991.6</v>
      </c>
      <c r="AC806" s="6">
        <f>$M$806*$W$806</f>
        <v>0</v>
      </c>
      <c r="AD806" s="6">
        <f>$O$806*$X$806</f>
        <v>0</v>
      </c>
      <c r="AE806" s="6">
        <f ca="1">$K$806*$Y$806</f>
        <v>10111.93570432317</v>
      </c>
      <c r="AF806" s="6">
        <f>$M$806*$Z$806</f>
        <v>0</v>
      </c>
      <c r="AG806" s="6">
        <f>$O$806*$AA$806</f>
        <v>0</v>
      </c>
    </row>
    <row r="807" spans="1:33" ht="11.25" customHeight="1" x14ac:dyDescent="0.25">
      <c r="A807" s="4" t="s">
        <v>58</v>
      </c>
      <c r="B807" s="4" t="s">
        <v>41</v>
      </c>
      <c r="C807" s="4" t="s">
        <v>64</v>
      </c>
      <c r="D807" s="4" t="s">
        <v>25</v>
      </c>
      <c r="E807" s="4" t="s">
        <v>25</v>
      </c>
      <c r="F807" s="4" t="s">
        <v>25</v>
      </c>
      <c r="G807" s="4" t="s">
        <v>100</v>
      </c>
      <c r="H807" s="4" t="s">
        <v>25</v>
      </c>
      <c r="I807" s="5">
        <v>44682</v>
      </c>
      <c r="J807" s="6">
        <v>1180</v>
      </c>
      <c r="K807" s="6">
        <v>590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4" t="s">
        <v>66</v>
      </c>
      <c r="R807" s="4">
        <v>31677</v>
      </c>
      <c r="S807" s="6">
        <v>28</v>
      </c>
      <c r="T807" s="6">
        <v>0</v>
      </c>
      <c r="U807" s="6">
        <v>0</v>
      </c>
      <c r="V807" s="6">
        <f>IF(ISERROR(VLOOKUP($S$807,'TAR FIN'!$A$1:$O$116,15,0)),0,VLOOKUP($S$807,'TAR FIN'!$A$1:$O$116,15,0))</f>
        <v>15.24</v>
      </c>
      <c r="W807" s="6">
        <f>IF(ISERROR(VLOOKUP($T$807,'TAR FIN'!$A$1:$O$116,15,0)),0,VLOOKUP($T$807,'TAR FIN'!$A$1:$O$116,15,0))</f>
        <v>0</v>
      </c>
      <c r="X807" s="6">
        <f>IF(ISERROR(VLOOKUP($U$807,'TAR FIN'!$A$1:$O$116,15,0)),0,VLOOKUP($U$807,'TAR FIN'!$A$1:$O$116,15,0))</f>
        <v>0</v>
      </c>
      <c r="Y807" s="6">
        <f ca="1">('TUSD BE'!$AM$32+'TUSD BF'!$AM$32+'TUSD CVA'!$AM$32)*1</f>
        <v>17.138874075124019</v>
      </c>
      <c r="Z807" s="6"/>
      <c r="AA807" s="6"/>
      <c r="AB807" s="6">
        <f>$K$807*$V$807</f>
        <v>8991.6</v>
      </c>
      <c r="AC807" s="6">
        <f>$M$807*$W$807</f>
        <v>0</v>
      </c>
      <c r="AD807" s="6">
        <f>$O$807*$X$807</f>
        <v>0</v>
      </c>
      <c r="AE807" s="6">
        <f ca="1">$K$807*$Y$807</f>
        <v>10111.93570432317</v>
      </c>
      <c r="AF807" s="6">
        <f>$M$807*$Z$807</f>
        <v>0</v>
      </c>
      <c r="AG807" s="6">
        <f>$O$807*$AA$807</f>
        <v>0</v>
      </c>
    </row>
    <row r="808" spans="1:33" ht="11.25" customHeight="1" x14ac:dyDescent="0.25">
      <c r="A808" s="4" t="s">
        <v>21</v>
      </c>
      <c r="B808" s="4" t="s">
        <v>41</v>
      </c>
      <c r="C808" s="4" t="s">
        <v>42</v>
      </c>
      <c r="D808" s="4" t="s">
        <v>43</v>
      </c>
      <c r="E808" s="4" t="s">
        <v>25</v>
      </c>
      <c r="F808" s="4" t="s">
        <v>25</v>
      </c>
      <c r="G808" s="4" t="s">
        <v>25</v>
      </c>
      <c r="H808" s="4" t="s">
        <v>35</v>
      </c>
      <c r="I808" s="5">
        <v>44348</v>
      </c>
      <c r="J808" s="6">
        <v>0</v>
      </c>
      <c r="K808" s="6">
        <v>0</v>
      </c>
      <c r="L808" s="6">
        <v>2545.0259999999998</v>
      </c>
      <c r="M808" s="6">
        <v>2545.0259999999998</v>
      </c>
      <c r="N808" s="6">
        <v>2545.0259999999998</v>
      </c>
      <c r="O808" s="6">
        <v>2545.0259999999998</v>
      </c>
      <c r="P808" s="6">
        <v>0</v>
      </c>
      <c r="Q808" s="4" t="s">
        <v>26</v>
      </c>
      <c r="R808" s="4">
        <v>0</v>
      </c>
      <c r="S808" s="6">
        <v>0</v>
      </c>
      <c r="T808" s="6">
        <v>31</v>
      </c>
      <c r="U808" s="6">
        <v>79</v>
      </c>
      <c r="V808" s="6">
        <f>IF(ISERROR(VLOOKUP($S$808,'TAR FIN'!$A$1:$O$116,15,0)),0,VLOOKUP($S$808,'TAR FIN'!$A$1:$O$116,15,0))</f>
        <v>0</v>
      </c>
      <c r="W808" s="6">
        <f>IF(ISERROR(VLOOKUP($T$808,'TAR FIN'!$A$1:$O$116,15,0)),0,VLOOKUP($T$808,'TAR FIN'!$A$1:$O$116,15,0))</f>
        <v>88.66</v>
      </c>
      <c r="X808" s="6">
        <f>IF(ISERROR(VLOOKUP($U$808,'TAR FIN'!$A$1:$O$116,15,0)),0,VLOOKUP($U$808,'TAR FIN'!$A$1:$O$116,15,0))</f>
        <v>311.04000000000002</v>
      </c>
      <c r="Y808" s="6"/>
      <c r="Z808" s="6">
        <f ca="1">('TUSD BE'!$AM$35+'TUSD BF'!$AM$35+'TUSD CVA'!$AM$35)*1</f>
        <v>137.4358543126599</v>
      </c>
      <c r="AA808" s="6">
        <f>('TE BE'!$AB$10+'TE BF'!$AB$10+'TE CVA'!$AB$10)*1</f>
        <v>313.22907246928764</v>
      </c>
      <c r="AB808" s="6">
        <f>$K$808*$V$808</f>
        <v>0</v>
      </c>
      <c r="AC808" s="6">
        <f>$M$808*$W$808</f>
        <v>225642.00515999997</v>
      </c>
      <c r="AD808" s="6">
        <f>$O$808*$X$808</f>
        <v>791604.88704000006</v>
      </c>
      <c r="AE808" s="6">
        <f>$K$808*$Y$808</f>
        <v>0</v>
      </c>
      <c r="AF808" s="6">
        <f ca="1">$M$808*$Z$808</f>
        <v>349777.82255793153</v>
      </c>
      <c r="AG808" s="6">
        <f>$O$808*$AA$808</f>
        <v>797176.13339022116</v>
      </c>
    </row>
    <row r="809" spans="1:33" ht="11.25" customHeight="1" x14ac:dyDescent="0.25">
      <c r="A809" s="4" t="s">
        <v>27</v>
      </c>
      <c r="B809" s="4" t="s">
        <v>41</v>
      </c>
      <c r="C809" s="4" t="s">
        <v>42</v>
      </c>
      <c r="D809" s="4" t="s">
        <v>43</v>
      </c>
      <c r="E809" s="4" t="s">
        <v>25</v>
      </c>
      <c r="F809" s="4" t="s">
        <v>25</v>
      </c>
      <c r="G809" s="4" t="s">
        <v>25</v>
      </c>
      <c r="H809" s="4" t="s">
        <v>35</v>
      </c>
      <c r="I809" s="5">
        <v>44348</v>
      </c>
      <c r="J809" s="6">
        <v>0</v>
      </c>
      <c r="K809" s="6">
        <v>0</v>
      </c>
      <c r="L809" s="6">
        <v>-26.4</v>
      </c>
      <c r="M809" s="6">
        <v>-26.4</v>
      </c>
      <c r="N809" s="6">
        <v>-26.4</v>
      </c>
      <c r="O809" s="6">
        <v>-26.4</v>
      </c>
      <c r="P809" s="6">
        <v>0</v>
      </c>
      <c r="Q809" s="4" t="s">
        <v>26</v>
      </c>
      <c r="R809" s="4">
        <v>0</v>
      </c>
      <c r="S809" s="6">
        <v>0</v>
      </c>
      <c r="T809" s="6">
        <v>31</v>
      </c>
      <c r="U809" s="6">
        <v>79</v>
      </c>
      <c r="V809" s="6">
        <f>IF(ISERROR(VLOOKUP($S$809,'TAR FIN'!$A$1:$O$116,15,0)),0,VLOOKUP($S$809,'TAR FIN'!$A$1:$O$116,15,0))</f>
        <v>0</v>
      </c>
      <c r="W809" s="6">
        <f>IF(ISERROR(VLOOKUP($T$809,'TAR FIN'!$A$1:$O$116,15,0)),0,VLOOKUP($T$809,'TAR FIN'!$A$1:$O$116,15,0))</f>
        <v>88.66</v>
      </c>
      <c r="X809" s="6">
        <f>IF(ISERROR(VLOOKUP($U$809,'TAR FIN'!$A$1:$O$116,15,0)),0,VLOOKUP($U$809,'TAR FIN'!$A$1:$O$116,15,0))</f>
        <v>311.04000000000002</v>
      </c>
      <c r="Y809" s="6"/>
      <c r="Z809" s="6">
        <f ca="1">('TUSD BE'!$AM$35+'TUSD BF'!$AM$35+'TUSD CVA'!$AM$35)*1</f>
        <v>137.4358543126599</v>
      </c>
      <c r="AA809" s="6">
        <f>('TE BE'!$AB$10+'TE BF'!$AB$10+'TE CVA'!$AB$10)*1</f>
        <v>313.22907246928764</v>
      </c>
      <c r="AB809" s="6">
        <f>$K$809*$V$809</f>
        <v>0</v>
      </c>
      <c r="AC809" s="6">
        <f>$M$809*$W$809</f>
        <v>-2340.6239999999998</v>
      </c>
      <c r="AD809" s="6">
        <f>$O$809*$X$809</f>
        <v>-8211.4560000000001</v>
      </c>
      <c r="AE809" s="6">
        <f>$K$809*$Y$809</f>
        <v>0</v>
      </c>
      <c r="AF809" s="6">
        <f ca="1">$M$809*$Z$809</f>
        <v>-3628.306553854221</v>
      </c>
      <c r="AG809" s="6">
        <f>$O$809*$AA$809</f>
        <v>-8269.2475131891933</v>
      </c>
    </row>
    <row r="810" spans="1:33" ht="11.25" customHeight="1" x14ac:dyDescent="0.25">
      <c r="A810" s="4" t="s">
        <v>28</v>
      </c>
      <c r="B810" s="4" t="s">
        <v>41</v>
      </c>
      <c r="C810" s="4" t="s">
        <v>42</v>
      </c>
      <c r="D810" s="4" t="s">
        <v>43</v>
      </c>
      <c r="E810" s="4" t="s">
        <v>25</v>
      </c>
      <c r="F810" s="4" t="s">
        <v>25</v>
      </c>
      <c r="G810" s="4" t="s">
        <v>25</v>
      </c>
      <c r="H810" s="4" t="s">
        <v>35</v>
      </c>
      <c r="I810" s="5">
        <v>44348</v>
      </c>
      <c r="J810" s="6">
        <v>0</v>
      </c>
      <c r="K810" s="6">
        <v>0</v>
      </c>
      <c r="L810" s="6">
        <v>148.38999999999999</v>
      </c>
      <c r="M810" s="6">
        <v>148.38999999999999</v>
      </c>
      <c r="N810" s="6">
        <v>148.38999999999999</v>
      </c>
      <c r="O810" s="6">
        <v>148.38999999999999</v>
      </c>
      <c r="P810" s="6">
        <v>0</v>
      </c>
      <c r="Q810" s="4" t="s">
        <v>26</v>
      </c>
      <c r="R810" s="4">
        <v>0</v>
      </c>
      <c r="S810" s="6">
        <v>0</v>
      </c>
      <c r="T810" s="6">
        <v>31</v>
      </c>
      <c r="U810" s="6">
        <v>79</v>
      </c>
      <c r="V810" s="6">
        <f>IF(ISERROR(VLOOKUP($S$810,'TAR FIN'!$A$1:$O$116,15,0)),0,VLOOKUP($S$810,'TAR FIN'!$A$1:$O$116,15,0))</f>
        <v>0</v>
      </c>
      <c r="W810" s="6">
        <f>IF(ISERROR(VLOOKUP($T$810,'TAR FIN'!$A$1:$O$116,15,0)),0,VLOOKUP($T$810,'TAR FIN'!$A$1:$O$116,15,0))</f>
        <v>88.66</v>
      </c>
      <c r="X810" s="6">
        <f>IF(ISERROR(VLOOKUP($U$810,'TAR FIN'!$A$1:$O$116,15,0)),0,VLOOKUP($U$810,'TAR FIN'!$A$1:$O$116,15,0))</f>
        <v>311.04000000000002</v>
      </c>
      <c r="Y810" s="6"/>
      <c r="Z810" s="6">
        <f ca="1">('TUSD BE'!$AM$35+'TUSD BF'!$AM$35+'TUSD CVA'!$AM$35)*1</f>
        <v>137.4358543126599</v>
      </c>
      <c r="AA810" s="6">
        <f>('TE BE'!$AB$10+'TE BF'!$AB$10+'TE CVA'!$AB$10)*1</f>
        <v>313.22907246928764</v>
      </c>
      <c r="AB810" s="6">
        <f>$K$810*$V$810</f>
        <v>0</v>
      </c>
      <c r="AC810" s="6">
        <f>$M$810*$W$810</f>
        <v>13156.257399999999</v>
      </c>
      <c r="AD810" s="6">
        <f>$O$810*$X$810</f>
        <v>46155.225599999998</v>
      </c>
      <c r="AE810" s="6">
        <f>$K$810*$Y$810</f>
        <v>0</v>
      </c>
      <c r="AF810" s="6">
        <f ca="1">$M$810*$Z$810</f>
        <v>20394.106421455599</v>
      </c>
      <c r="AG810" s="6">
        <f>$O$810*$AA$810</f>
        <v>46480.062063717589</v>
      </c>
    </row>
    <row r="811" spans="1:33" ht="11.25" customHeight="1" x14ac:dyDescent="0.25">
      <c r="A811" s="4" t="s">
        <v>28</v>
      </c>
      <c r="B811" s="4" t="s">
        <v>41</v>
      </c>
      <c r="C811" s="4" t="s">
        <v>42</v>
      </c>
      <c r="D811" s="4" t="s">
        <v>43</v>
      </c>
      <c r="E811" s="4" t="s">
        <v>25</v>
      </c>
      <c r="F811" s="4" t="s">
        <v>25</v>
      </c>
      <c r="G811" s="4" t="s">
        <v>25</v>
      </c>
      <c r="H811" s="4" t="s">
        <v>35</v>
      </c>
      <c r="I811" s="5">
        <v>44348</v>
      </c>
      <c r="J811" s="6">
        <v>0</v>
      </c>
      <c r="K811" s="6">
        <v>0</v>
      </c>
      <c r="L811" s="6">
        <v>15.856999999999999</v>
      </c>
      <c r="M811" s="6">
        <v>15.856999999999999</v>
      </c>
      <c r="N811" s="6">
        <v>15.856999999999999</v>
      </c>
      <c r="O811" s="6">
        <v>15.856999999999999</v>
      </c>
      <c r="P811" s="6">
        <v>0</v>
      </c>
      <c r="Q811" s="4" t="s">
        <v>26</v>
      </c>
      <c r="R811" s="4">
        <v>0</v>
      </c>
      <c r="S811" s="6">
        <v>0</v>
      </c>
      <c r="T811" s="6">
        <v>31</v>
      </c>
      <c r="U811" s="6">
        <v>79</v>
      </c>
      <c r="V811" s="6">
        <f>IF(ISERROR(VLOOKUP($S$811,'TAR FIN'!$A$1:$O$116,15,0)),0,VLOOKUP($S$811,'TAR FIN'!$A$1:$O$116,15,0))</f>
        <v>0</v>
      </c>
      <c r="W811" s="6">
        <f>IF(ISERROR(VLOOKUP($T$811,'TAR FIN'!$A$1:$O$116,15,0)),0,VLOOKUP($T$811,'TAR FIN'!$A$1:$O$116,15,0))</f>
        <v>88.66</v>
      </c>
      <c r="X811" s="6">
        <f>IF(ISERROR(VLOOKUP($U$811,'TAR FIN'!$A$1:$O$116,15,0)),0,VLOOKUP($U$811,'TAR FIN'!$A$1:$O$116,15,0))</f>
        <v>311.04000000000002</v>
      </c>
      <c r="Y811" s="6"/>
      <c r="Z811" s="6">
        <f ca="1">('TUSD BE'!$AM$35+'TUSD BF'!$AM$35+'TUSD CVA'!$AM$35)*1</f>
        <v>137.4358543126599</v>
      </c>
      <c r="AA811" s="6">
        <f>('TE BE'!$AB$10+'TE BF'!$AB$10+'TE CVA'!$AB$10)*1</f>
        <v>313.22907246928764</v>
      </c>
      <c r="AB811" s="6">
        <f>$K$811*$V$811</f>
        <v>0</v>
      </c>
      <c r="AC811" s="6">
        <f>$M$811*$W$811</f>
        <v>1405.8816199999999</v>
      </c>
      <c r="AD811" s="6">
        <f>$O$811*$X$811</f>
        <v>4932.1612800000003</v>
      </c>
      <c r="AE811" s="6">
        <f>$K$811*$Y$811</f>
        <v>0</v>
      </c>
      <c r="AF811" s="6">
        <f ca="1">$M$811*$Z$811</f>
        <v>2179.320341835848</v>
      </c>
      <c r="AG811" s="6">
        <f>$O$811*$AA$811</f>
        <v>4966.8734021454939</v>
      </c>
    </row>
    <row r="812" spans="1:33" ht="11.25" customHeight="1" x14ac:dyDescent="0.25">
      <c r="A812" s="4" t="s">
        <v>21</v>
      </c>
      <c r="B812" s="4" t="s">
        <v>41</v>
      </c>
      <c r="C812" s="4" t="s">
        <v>42</v>
      </c>
      <c r="D812" s="4" t="s">
        <v>43</v>
      </c>
      <c r="E812" s="4" t="s">
        <v>25</v>
      </c>
      <c r="F812" s="4" t="s">
        <v>25</v>
      </c>
      <c r="G812" s="4" t="s">
        <v>25</v>
      </c>
      <c r="H812" s="4" t="s">
        <v>35</v>
      </c>
      <c r="I812" s="5">
        <v>44378</v>
      </c>
      <c r="J812" s="6">
        <v>0</v>
      </c>
      <c r="K812" s="6">
        <v>0</v>
      </c>
      <c r="L812" s="6">
        <v>2309.2550000000001</v>
      </c>
      <c r="M812" s="6">
        <v>2309.2550000000001</v>
      </c>
      <c r="N812" s="6">
        <v>2309.2550000000001</v>
      </c>
      <c r="O812" s="6">
        <v>2309.2550000000001</v>
      </c>
      <c r="P812" s="6">
        <v>0</v>
      </c>
      <c r="Q812" s="4" t="s">
        <v>26</v>
      </c>
      <c r="R812" s="4">
        <v>0</v>
      </c>
      <c r="S812" s="6">
        <v>0</v>
      </c>
      <c r="T812" s="6">
        <v>31</v>
      </c>
      <c r="U812" s="6">
        <v>79</v>
      </c>
      <c r="V812" s="6">
        <f>IF(ISERROR(VLOOKUP($S$812,'TAR FIN'!$A$1:$O$116,15,0)),0,VLOOKUP($S$812,'TAR FIN'!$A$1:$O$116,15,0))</f>
        <v>0</v>
      </c>
      <c r="W812" s="6">
        <f>IF(ISERROR(VLOOKUP($T$812,'TAR FIN'!$A$1:$O$116,15,0)),0,VLOOKUP($T$812,'TAR FIN'!$A$1:$O$116,15,0))</f>
        <v>88.66</v>
      </c>
      <c r="X812" s="6">
        <f>IF(ISERROR(VLOOKUP($U$812,'TAR FIN'!$A$1:$O$116,15,0)),0,VLOOKUP($U$812,'TAR FIN'!$A$1:$O$116,15,0))</f>
        <v>311.04000000000002</v>
      </c>
      <c r="Y812" s="6"/>
      <c r="Z812" s="6">
        <f ca="1">('TUSD BE'!$AM$35+'TUSD BF'!$AM$35+'TUSD CVA'!$AM$35)*1</f>
        <v>137.4358543126599</v>
      </c>
      <c r="AA812" s="6">
        <f>('TE BE'!$AB$10+'TE BF'!$AB$10+'TE CVA'!$AB$10)*1</f>
        <v>313.22907246928764</v>
      </c>
      <c r="AB812" s="6">
        <f>$K$812*$V$812</f>
        <v>0</v>
      </c>
      <c r="AC812" s="6">
        <f>$M$812*$W$812</f>
        <v>204738.54829999999</v>
      </c>
      <c r="AD812" s="6">
        <f>$O$812*$X$812</f>
        <v>718270.67520000006</v>
      </c>
      <c r="AE812" s="6">
        <f>$K$812*$Y$812</f>
        <v>0</v>
      </c>
      <c r="AF812" s="6">
        <f ca="1">$M$812*$Z$812</f>
        <v>317374.43375078146</v>
      </c>
      <c r="AG812" s="6">
        <f>$O$812*$AA$812</f>
        <v>723325.80174506491</v>
      </c>
    </row>
    <row r="813" spans="1:33" ht="11.25" customHeight="1" x14ac:dyDescent="0.25">
      <c r="A813" s="4" t="s">
        <v>27</v>
      </c>
      <c r="B813" s="4" t="s">
        <v>41</v>
      </c>
      <c r="C813" s="4" t="s">
        <v>42</v>
      </c>
      <c r="D813" s="4" t="s">
        <v>43</v>
      </c>
      <c r="E813" s="4" t="s">
        <v>25</v>
      </c>
      <c r="F813" s="4" t="s">
        <v>25</v>
      </c>
      <c r="G813" s="4" t="s">
        <v>25</v>
      </c>
      <c r="H813" s="4" t="s">
        <v>35</v>
      </c>
      <c r="I813" s="5">
        <v>44378</v>
      </c>
      <c r="J813" s="6">
        <v>0</v>
      </c>
      <c r="K813" s="6">
        <v>0</v>
      </c>
      <c r="L813" s="6">
        <v>1.08</v>
      </c>
      <c r="M813" s="6">
        <v>1.08</v>
      </c>
      <c r="N813" s="6">
        <v>1.08</v>
      </c>
      <c r="O813" s="6">
        <v>1.08</v>
      </c>
      <c r="P813" s="6">
        <v>0</v>
      </c>
      <c r="Q813" s="4" t="s">
        <v>26</v>
      </c>
      <c r="R813" s="4">
        <v>0</v>
      </c>
      <c r="S813" s="6">
        <v>0</v>
      </c>
      <c r="T813" s="6">
        <v>31</v>
      </c>
      <c r="U813" s="6">
        <v>79</v>
      </c>
      <c r="V813" s="6">
        <f>IF(ISERROR(VLOOKUP($S$813,'TAR FIN'!$A$1:$O$116,15,0)),0,VLOOKUP($S$813,'TAR FIN'!$A$1:$O$116,15,0))</f>
        <v>0</v>
      </c>
      <c r="W813" s="6">
        <f>IF(ISERROR(VLOOKUP($T$813,'TAR FIN'!$A$1:$O$116,15,0)),0,VLOOKUP($T$813,'TAR FIN'!$A$1:$O$116,15,0))</f>
        <v>88.66</v>
      </c>
      <c r="X813" s="6">
        <f>IF(ISERROR(VLOOKUP($U$813,'TAR FIN'!$A$1:$O$116,15,0)),0,VLOOKUP($U$813,'TAR FIN'!$A$1:$O$116,15,0))</f>
        <v>311.04000000000002</v>
      </c>
      <c r="Y813" s="6"/>
      <c r="Z813" s="6">
        <f ca="1">('TUSD BE'!$AM$35+'TUSD BF'!$AM$35+'TUSD CVA'!$AM$35)*1</f>
        <v>137.4358543126599</v>
      </c>
      <c r="AA813" s="6">
        <f>('TE BE'!$AB$10+'TE BF'!$AB$10+'TE CVA'!$AB$10)*1</f>
        <v>313.22907246928764</v>
      </c>
      <c r="AB813" s="6">
        <f>$K$813*$V$813</f>
        <v>0</v>
      </c>
      <c r="AC813" s="6">
        <f>$M$813*$W$813</f>
        <v>95.752800000000008</v>
      </c>
      <c r="AD813" s="6">
        <f>$O$813*$X$813</f>
        <v>335.92320000000007</v>
      </c>
      <c r="AE813" s="6">
        <f>$K$813*$Y$813</f>
        <v>0</v>
      </c>
      <c r="AF813" s="6">
        <f ca="1">$M$813*$Z$813</f>
        <v>148.4307226576727</v>
      </c>
      <c r="AG813" s="6">
        <f>$O$813*$AA$813</f>
        <v>338.28739826683068</v>
      </c>
    </row>
    <row r="814" spans="1:33" ht="11.25" customHeight="1" x14ac:dyDescent="0.25">
      <c r="A814" s="4" t="s">
        <v>28</v>
      </c>
      <c r="B814" s="4" t="s">
        <v>41</v>
      </c>
      <c r="C814" s="4" t="s">
        <v>42</v>
      </c>
      <c r="D814" s="4" t="s">
        <v>43</v>
      </c>
      <c r="E814" s="4" t="s">
        <v>25</v>
      </c>
      <c r="F814" s="4" t="s">
        <v>25</v>
      </c>
      <c r="G814" s="4" t="s">
        <v>25</v>
      </c>
      <c r="H814" s="4" t="s">
        <v>35</v>
      </c>
      <c r="I814" s="5">
        <v>44378</v>
      </c>
      <c r="J814" s="6">
        <v>0</v>
      </c>
      <c r="K814" s="6">
        <v>0</v>
      </c>
      <c r="L814" s="6">
        <v>211.88800000000001</v>
      </c>
      <c r="M814" s="6">
        <v>211.88800000000001</v>
      </c>
      <c r="N814" s="6">
        <v>211.88800000000001</v>
      </c>
      <c r="O814" s="6">
        <v>211.88800000000001</v>
      </c>
      <c r="P814" s="6">
        <v>0</v>
      </c>
      <c r="Q814" s="4" t="s">
        <v>26</v>
      </c>
      <c r="R814" s="4">
        <v>0</v>
      </c>
      <c r="S814" s="6">
        <v>0</v>
      </c>
      <c r="T814" s="6">
        <v>31</v>
      </c>
      <c r="U814" s="6">
        <v>79</v>
      </c>
      <c r="V814" s="6">
        <f>IF(ISERROR(VLOOKUP($S$814,'TAR FIN'!$A$1:$O$116,15,0)),0,VLOOKUP($S$814,'TAR FIN'!$A$1:$O$116,15,0))</f>
        <v>0</v>
      </c>
      <c r="W814" s="6">
        <f>IF(ISERROR(VLOOKUP($T$814,'TAR FIN'!$A$1:$O$116,15,0)),0,VLOOKUP($T$814,'TAR FIN'!$A$1:$O$116,15,0))</f>
        <v>88.66</v>
      </c>
      <c r="X814" s="6">
        <f>IF(ISERROR(VLOOKUP($U$814,'TAR FIN'!$A$1:$O$116,15,0)),0,VLOOKUP($U$814,'TAR FIN'!$A$1:$O$116,15,0))</f>
        <v>311.04000000000002</v>
      </c>
      <c r="Y814" s="6"/>
      <c r="Z814" s="6">
        <f ca="1">('TUSD BE'!$AM$35+'TUSD BF'!$AM$35+'TUSD CVA'!$AM$35)*1</f>
        <v>137.4358543126599</v>
      </c>
      <c r="AA814" s="6">
        <f>('TE BE'!$AB$10+'TE BF'!$AB$10+'TE CVA'!$AB$10)*1</f>
        <v>313.22907246928764</v>
      </c>
      <c r="AB814" s="6">
        <f>$K$814*$V$814</f>
        <v>0</v>
      </c>
      <c r="AC814" s="6">
        <f>$M$814*$W$814</f>
        <v>18785.99008</v>
      </c>
      <c r="AD814" s="6">
        <f>$O$814*$X$814</f>
        <v>65905.643520000012</v>
      </c>
      <c r="AE814" s="6">
        <f>$K$814*$Y$814</f>
        <v>0</v>
      </c>
      <c r="AF814" s="6">
        <f ca="1">$M$814*$Z$814</f>
        <v>29121.008298600882</v>
      </c>
      <c r="AG814" s="6">
        <f>$O$814*$AA$814</f>
        <v>66369.481707372426</v>
      </c>
    </row>
    <row r="815" spans="1:33" ht="11.25" customHeight="1" x14ac:dyDescent="0.25">
      <c r="A815" s="4" t="s">
        <v>21</v>
      </c>
      <c r="B815" s="4" t="s">
        <v>41</v>
      </c>
      <c r="C815" s="4" t="s">
        <v>42</v>
      </c>
      <c r="D815" s="4" t="s">
        <v>43</v>
      </c>
      <c r="E815" s="4" t="s">
        <v>25</v>
      </c>
      <c r="F815" s="4" t="s">
        <v>25</v>
      </c>
      <c r="G815" s="4" t="s">
        <v>25</v>
      </c>
      <c r="H815" s="4" t="s">
        <v>35</v>
      </c>
      <c r="I815" s="5">
        <v>44409</v>
      </c>
      <c r="J815" s="6">
        <v>0</v>
      </c>
      <c r="K815" s="6">
        <v>0</v>
      </c>
      <c r="L815" s="6">
        <v>2631.7710000000002</v>
      </c>
      <c r="M815" s="6">
        <v>2631.7710000000002</v>
      </c>
      <c r="N815" s="6">
        <v>2631.7710000000002</v>
      </c>
      <c r="O815" s="6">
        <v>2631.7710000000002</v>
      </c>
      <c r="P815" s="6">
        <v>0</v>
      </c>
      <c r="Q815" s="4" t="s">
        <v>26</v>
      </c>
      <c r="R815" s="4">
        <v>0</v>
      </c>
      <c r="S815" s="6">
        <v>0</v>
      </c>
      <c r="T815" s="6">
        <v>31</v>
      </c>
      <c r="U815" s="6">
        <v>79</v>
      </c>
      <c r="V815" s="6">
        <f>IF(ISERROR(VLOOKUP($S$815,'TAR FIN'!$A$1:$O$116,15,0)),0,VLOOKUP($S$815,'TAR FIN'!$A$1:$O$116,15,0))</f>
        <v>0</v>
      </c>
      <c r="W815" s="6">
        <f>IF(ISERROR(VLOOKUP($T$815,'TAR FIN'!$A$1:$O$116,15,0)),0,VLOOKUP($T$815,'TAR FIN'!$A$1:$O$116,15,0))</f>
        <v>88.66</v>
      </c>
      <c r="X815" s="6">
        <f>IF(ISERROR(VLOOKUP($U$815,'TAR FIN'!$A$1:$O$116,15,0)),0,VLOOKUP($U$815,'TAR FIN'!$A$1:$O$116,15,0))</f>
        <v>311.04000000000002</v>
      </c>
      <c r="Y815" s="6"/>
      <c r="Z815" s="6">
        <f ca="1">('TUSD BE'!$AM$35+'TUSD BF'!$AM$35+'TUSD CVA'!$AM$35)*1</f>
        <v>137.4358543126599</v>
      </c>
      <c r="AA815" s="6">
        <f>('TE BE'!$AB$10+'TE BF'!$AB$10+'TE CVA'!$AB$10)*1</f>
        <v>313.22907246928764</v>
      </c>
      <c r="AB815" s="6">
        <f>$K$815*$V$815</f>
        <v>0</v>
      </c>
      <c r="AC815" s="6">
        <f>$M$815*$W$815</f>
        <v>233332.81686000002</v>
      </c>
      <c r="AD815" s="6">
        <f>$O$815*$X$815</f>
        <v>818586.05184000009</v>
      </c>
      <c r="AE815" s="6">
        <f>$K$815*$Y$815</f>
        <v>0</v>
      </c>
      <c r="AF815" s="6">
        <f ca="1">$M$815*$Z$815</f>
        <v>361699.69574028329</v>
      </c>
      <c r="AG815" s="6">
        <f>$O$815*$AA$815</f>
        <v>824347.18928156968</v>
      </c>
    </row>
    <row r="816" spans="1:33" ht="11.25" customHeight="1" x14ac:dyDescent="0.25">
      <c r="A816" s="4" t="s">
        <v>27</v>
      </c>
      <c r="B816" s="4" t="s">
        <v>41</v>
      </c>
      <c r="C816" s="4" t="s">
        <v>42</v>
      </c>
      <c r="D816" s="4" t="s">
        <v>43</v>
      </c>
      <c r="E816" s="4" t="s">
        <v>25</v>
      </c>
      <c r="F816" s="4" t="s">
        <v>25</v>
      </c>
      <c r="G816" s="4" t="s">
        <v>25</v>
      </c>
      <c r="H816" s="4" t="s">
        <v>35</v>
      </c>
      <c r="I816" s="5">
        <v>44409</v>
      </c>
      <c r="J816" s="6">
        <v>0</v>
      </c>
      <c r="K816" s="6">
        <v>0</v>
      </c>
      <c r="L816" s="6">
        <v>-9.9</v>
      </c>
      <c r="M816" s="6">
        <v>-9.9</v>
      </c>
      <c r="N816" s="6">
        <v>-9.9</v>
      </c>
      <c r="O816" s="6">
        <v>-9.9</v>
      </c>
      <c r="P816" s="6">
        <v>0</v>
      </c>
      <c r="Q816" s="4" t="s">
        <v>26</v>
      </c>
      <c r="R816" s="4">
        <v>0</v>
      </c>
      <c r="S816" s="6">
        <v>0</v>
      </c>
      <c r="T816" s="6">
        <v>31</v>
      </c>
      <c r="U816" s="6">
        <v>79</v>
      </c>
      <c r="V816" s="6">
        <f>IF(ISERROR(VLOOKUP($S$816,'TAR FIN'!$A$1:$O$116,15,0)),0,VLOOKUP($S$816,'TAR FIN'!$A$1:$O$116,15,0))</f>
        <v>0</v>
      </c>
      <c r="W816" s="6">
        <f>IF(ISERROR(VLOOKUP($T$816,'TAR FIN'!$A$1:$O$116,15,0)),0,VLOOKUP($T$816,'TAR FIN'!$A$1:$O$116,15,0))</f>
        <v>88.66</v>
      </c>
      <c r="X816" s="6">
        <f>IF(ISERROR(VLOOKUP($U$816,'TAR FIN'!$A$1:$O$116,15,0)),0,VLOOKUP($U$816,'TAR FIN'!$A$1:$O$116,15,0))</f>
        <v>311.04000000000002</v>
      </c>
      <c r="Y816" s="6"/>
      <c r="Z816" s="6">
        <f ca="1">('TUSD BE'!$AM$35+'TUSD BF'!$AM$35+'TUSD CVA'!$AM$35)*1</f>
        <v>137.4358543126599</v>
      </c>
      <c r="AA816" s="6">
        <f>('TE BE'!$AB$10+'TE BF'!$AB$10+'TE CVA'!$AB$10)*1</f>
        <v>313.22907246928764</v>
      </c>
      <c r="AB816" s="6">
        <f>$K$816*$V$816</f>
        <v>0</v>
      </c>
      <c r="AC816" s="6">
        <f>$M$816*$W$816</f>
        <v>-877.73400000000004</v>
      </c>
      <c r="AD816" s="6">
        <f>$O$816*$X$816</f>
        <v>-3079.2960000000003</v>
      </c>
      <c r="AE816" s="6">
        <f>$K$816*$Y$816</f>
        <v>0</v>
      </c>
      <c r="AF816" s="6">
        <f ca="1">$M$816*$Z$816</f>
        <v>-1360.614957695333</v>
      </c>
      <c r="AG816" s="6">
        <f>$O$816*$AA$816</f>
        <v>-3100.9678174459477</v>
      </c>
    </row>
    <row r="817" spans="1:33" ht="11.25" customHeight="1" x14ac:dyDescent="0.25">
      <c r="A817" s="4" t="s">
        <v>28</v>
      </c>
      <c r="B817" s="4" t="s">
        <v>41</v>
      </c>
      <c r="C817" s="4" t="s">
        <v>42</v>
      </c>
      <c r="D817" s="4" t="s">
        <v>43</v>
      </c>
      <c r="E817" s="4" t="s">
        <v>25</v>
      </c>
      <c r="F817" s="4" t="s">
        <v>25</v>
      </c>
      <c r="G817" s="4" t="s">
        <v>25</v>
      </c>
      <c r="H817" s="4" t="s">
        <v>35</v>
      </c>
      <c r="I817" s="5">
        <v>44409</v>
      </c>
      <c r="J817" s="6">
        <v>0</v>
      </c>
      <c r="K817" s="6">
        <v>0</v>
      </c>
      <c r="L817" s="6">
        <v>205.245</v>
      </c>
      <c r="M817" s="6">
        <v>205.245</v>
      </c>
      <c r="N817" s="6">
        <v>205.245</v>
      </c>
      <c r="O817" s="6">
        <v>205.245</v>
      </c>
      <c r="P817" s="6">
        <v>0</v>
      </c>
      <c r="Q817" s="4" t="s">
        <v>26</v>
      </c>
      <c r="R817" s="4">
        <v>0</v>
      </c>
      <c r="S817" s="6">
        <v>0</v>
      </c>
      <c r="T817" s="6">
        <v>31</v>
      </c>
      <c r="U817" s="6">
        <v>79</v>
      </c>
      <c r="V817" s="6">
        <f>IF(ISERROR(VLOOKUP($S$817,'TAR FIN'!$A$1:$O$116,15,0)),0,VLOOKUP($S$817,'TAR FIN'!$A$1:$O$116,15,0))</f>
        <v>0</v>
      </c>
      <c r="W817" s="6">
        <f>IF(ISERROR(VLOOKUP($T$817,'TAR FIN'!$A$1:$O$116,15,0)),0,VLOOKUP($T$817,'TAR FIN'!$A$1:$O$116,15,0))</f>
        <v>88.66</v>
      </c>
      <c r="X817" s="6">
        <f>IF(ISERROR(VLOOKUP($U$817,'TAR FIN'!$A$1:$O$116,15,0)),0,VLOOKUP($U$817,'TAR FIN'!$A$1:$O$116,15,0))</f>
        <v>311.04000000000002</v>
      </c>
      <c r="Y817" s="6"/>
      <c r="Z817" s="6">
        <f ca="1">('TUSD BE'!$AM$35+'TUSD BF'!$AM$35+'TUSD CVA'!$AM$35)*1</f>
        <v>137.4358543126599</v>
      </c>
      <c r="AA817" s="6">
        <f>('TE BE'!$AB$10+'TE BF'!$AB$10+'TE CVA'!$AB$10)*1</f>
        <v>313.22907246928764</v>
      </c>
      <c r="AB817" s="6">
        <f>$K$817*$V$817</f>
        <v>0</v>
      </c>
      <c r="AC817" s="6">
        <f>$M$817*$W$817</f>
        <v>18197.021700000001</v>
      </c>
      <c r="AD817" s="6">
        <f>$O$817*$X$817</f>
        <v>63839.404800000004</v>
      </c>
      <c r="AE817" s="6">
        <f>$K$817*$Y$817</f>
        <v>0</v>
      </c>
      <c r="AF817" s="6">
        <f ca="1">$M$817*$Z$817</f>
        <v>28208.021918401882</v>
      </c>
      <c r="AG817" s="6">
        <f>$O$817*$AA$817</f>
        <v>64288.700978958943</v>
      </c>
    </row>
    <row r="818" spans="1:33" ht="11.25" customHeight="1" x14ac:dyDescent="0.25">
      <c r="A818" s="4" t="s">
        <v>21</v>
      </c>
      <c r="B818" s="4" t="s">
        <v>41</v>
      </c>
      <c r="C818" s="4" t="s">
        <v>42</v>
      </c>
      <c r="D818" s="4" t="s">
        <v>43</v>
      </c>
      <c r="E818" s="4" t="s">
        <v>25</v>
      </c>
      <c r="F818" s="4" t="s">
        <v>25</v>
      </c>
      <c r="G818" s="4" t="s">
        <v>25</v>
      </c>
      <c r="H818" s="4" t="s">
        <v>35</v>
      </c>
      <c r="I818" s="5">
        <v>44440</v>
      </c>
      <c r="J818" s="6">
        <v>0</v>
      </c>
      <c r="K818" s="6">
        <v>0</v>
      </c>
      <c r="L818" s="6">
        <v>2762.9679999999998</v>
      </c>
      <c r="M818" s="6">
        <v>2762.9679999999998</v>
      </c>
      <c r="N818" s="6">
        <v>2762.9679999999998</v>
      </c>
      <c r="O818" s="6">
        <v>2762.9679999999998</v>
      </c>
      <c r="P818" s="6">
        <v>0</v>
      </c>
      <c r="Q818" s="4" t="s">
        <v>26</v>
      </c>
      <c r="R818" s="4">
        <v>0</v>
      </c>
      <c r="S818" s="6">
        <v>0</v>
      </c>
      <c r="T818" s="6">
        <v>31</v>
      </c>
      <c r="U818" s="6">
        <v>79</v>
      </c>
      <c r="V818" s="6">
        <f>IF(ISERROR(VLOOKUP($S$818,'TAR FIN'!$A$1:$O$116,15,0)),0,VLOOKUP($S$818,'TAR FIN'!$A$1:$O$116,15,0))</f>
        <v>0</v>
      </c>
      <c r="W818" s="6">
        <f>IF(ISERROR(VLOOKUP($T$818,'TAR FIN'!$A$1:$O$116,15,0)),0,VLOOKUP($T$818,'TAR FIN'!$A$1:$O$116,15,0))</f>
        <v>88.66</v>
      </c>
      <c r="X818" s="6">
        <f>IF(ISERROR(VLOOKUP($U$818,'TAR FIN'!$A$1:$O$116,15,0)),0,VLOOKUP($U$818,'TAR FIN'!$A$1:$O$116,15,0))</f>
        <v>311.04000000000002</v>
      </c>
      <c r="Y818" s="6"/>
      <c r="Z818" s="6">
        <f ca="1">('TUSD BE'!$AM$35+'TUSD BF'!$AM$35+'TUSD CVA'!$AM$35)*1</f>
        <v>137.4358543126599</v>
      </c>
      <c r="AA818" s="6">
        <f>('TE BE'!$AB$10+'TE BF'!$AB$10+'TE CVA'!$AB$10)*1</f>
        <v>313.22907246928764</v>
      </c>
      <c r="AB818" s="6">
        <f>$K$818*$V$818</f>
        <v>0</v>
      </c>
      <c r="AC818" s="6">
        <f>$M$818*$W$818</f>
        <v>244964.74287999998</v>
      </c>
      <c r="AD818" s="6">
        <f>$O$818*$X$818</f>
        <v>859393.56672</v>
      </c>
      <c r="AE818" s="6">
        <f>$K$818*$Y$818</f>
        <v>0</v>
      </c>
      <c r="AF818" s="6">
        <f ca="1">$M$818*$Z$818</f>
        <v>379730.86751854129</v>
      </c>
      <c r="AG818" s="6">
        <f>$O$818*$AA$818</f>
        <v>865441.90390232275</v>
      </c>
    </row>
    <row r="819" spans="1:33" ht="11.25" customHeight="1" x14ac:dyDescent="0.25">
      <c r="A819" s="4" t="s">
        <v>28</v>
      </c>
      <c r="B819" s="4" t="s">
        <v>41</v>
      </c>
      <c r="C819" s="4" t="s">
        <v>42</v>
      </c>
      <c r="D819" s="4" t="s">
        <v>43</v>
      </c>
      <c r="E819" s="4" t="s">
        <v>25</v>
      </c>
      <c r="F819" s="4" t="s">
        <v>25</v>
      </c>
      <c r="G819" s="4" t="s">
        <v>25</v>
      </c>
      <c r="H819" s="4" t="s">
        <v>35</v>
      </c>
      <c r="I819" s="5">
        <v>44440</v>
      </c>
      <c r="J819" s="6">
        <v>0</v>
      </c>
      <c r="K819" s="6">
        <v>0</v>
      </c>
      <c r="L819" s="6">
        <v>253.541</v>
      </c>
      <c r="M819" s="6">
        <v>253.541</v>
      </c>
      <c r="N819" s="6">
        <v>253.541</v>
      </c>
      <c r="O819" s="6">
        <v>253.541</v>
      </c>
      <c r="P819" s="6">
        <v>0</v>
      </c>
      <c r="Q819" s="4" t="s">
        <v>26</v>
      </c>
      <c r="R819" s="4">
        <v>0</v>
      </c>
      <c r="S819" s="6">
        <v>0</v>
      </c>
      <c r="T819" s="6">
        <v>31</v>
      </c>
      <c r="U819" s="6">
        <v>79</v>
      </c>
      <c r="V819" s="6">
        <f>IF(ISERROR(VLOOKUP($S$819,'TAR FIN'!$A$1:$O$116,15,0)),0,VLOOKUP($S$819,'TAR FIN'!$A$1:$O$116,15,0))</f>
        <v>0</v>
      </c>
      <c r="W819" s="6">
        <f>IF(ISERROR(VLOOKUP($T$819,'TAR FIN'!$A$1:$O$116,15,0)),0,VLOOKUP($T$819,'TAR FIN'!$A$1:$O$116,15,0))</f>
        <v>88.66</v>
      </c>
      <c r="X819" s="6">
        <f>IF(ISERROR(VLOOKUP($U$819,'TAR FIN'!$A$1:$O$116,15,0)),0,VLOOKUP($U$819,'TAR FIN'!$A$1:$O$116,15,0))</f>
        <v>311.04000000000002</v>
      </c>
      <c r="Y819" s="6"/>
      <c r="Z819" s="6">
        <f ca="1">('TUSD BE'!$AM$35+'TUSD BF'!$AM$35+'TUSD CVA'!$AM$35)*1</f>
        <v>137.4358543126599</v>
      </c>
      <c r="AA819" s="6">
        <f>('TE BE'!$AB$10+'TE BF'!$AB$10+'TE CVA'!$AB$10)*1</f>
        <v>313.22907246928764</v>
      </c>
      <c r="AB819" s="6">
        <f>$K$819*$V$819</f>
        <v>0</v>
      </c>
      <c r="AC819" s="6">
        <f>$M$819*$W$819</f>
        <v>22478.945059999998</v>
      </c>
      <c r="AD819" s="6">
        <f>$O$819*$X$819</f>
        <v>78861.392640000005</v>
      </c>
      <c r="AE819" s="6">
        <f>$K$819*$Y$819</f>
        <v>0</v>
      </c>
      <c r="AF819" s="6">
        <f ca="1">$M$819*$Z$819</f>
        <v>34845.623938286102</v>
      </c>
      <c r="AG819" s="6">
        <f>$O$819*$AA$819</f>
        <v>79416.412262935657</v>
      </c>
    </row>
    <row r="820" spans="1:33" ht="11.25" customHeight="1" x14ac:dyDescent="0.25">
      <c r="A820" s="4" t="s">
        <v>21</v>
      </c>
      <c r="B820" s="4" t="s">
        <v>41</v>
      </c>
      <c r="C820" s="4" t="s">
        <v>42</v>
      </c>
      <c r="D820" s="4" t="s">
        <v>43</v>
      </c>
      <c r="E820" s="4" t="s">
        <v>25</v>
      </c>
      <c r="F820" s="4" t="s">
        <v>25</v>
      </c>
      <c r="G820" s="4" t="s">
        <v>25</v>
      </c>
      <c r="H820" s="4" t="s">
        <v>35</v>
      </c>
      <c r="I820" s="5">
        <v>44470</v>
      </c>
      <c r="J820" s="6">
        <v>0</v>
      </c>
      <c r="K820" s="6">
        <v>0</v>
      </c>
      <c r="L820" s="6">
        <v>2824.0230000000001</v>
      </c>
      <c r="M820" s="6">
        <v>2824.0230000000001</v>
      </c>
      <c r="N820" s="6">
        <v>2824.0230000000001</v>
      </c>
      <c r="O820" s="6">
        <v>2824.0230000000001</v>
      </c>
      <c r="P820" s="6">
        <v>0</v>
      </c>
      <c r="Q820" s="4" t="s">
        <v>26</v>
      </c>
      <c r="R820" s="4">
        <v>0</v>
      </c>
      <c r="S820" s="6">
        <v>0</v>
      </c>
      <c r="T820" s="6">
        <v>31</v>
      </c>
      <c r="U820" s="6">
        <v>79</v>
      </c>
      <c r="V820" s="6">
        <f>IF(ISERROR(VLOOKUP($S$820,'TAR FIN'!$A$1:$O$116,15,0)),0,VLOOKUP($S$820,'TAR FIN'!$A$1:$O$116,15,0))</f>
        <v>0</v>
      </c>
      <c r="W820" s="6">
        <f>IF(ISERROR(VLOOKUP($T$820,'TAR FIN'!$A$1:$O$116,15,0)),0,VLOOKUP($T$820,'TAR FIN'!$A$1:$O$116,15,0))</f>
        <v>88.66</v>
      </c>
      <c r="X820" s="6">
        <f>IF(ISERROR(VLOOKUP($U$820,'TAR FIN'!$A$1:$O$116,15,0)),0,VLOOKUP($U$820,'TAR FIN'!$A$1:$O$116,15,0))</f>
        <v>311.04000000000002</v>
      </c>
      <c r="Y820" s="6"/>
      <c r="Z820" s="6">
        <f ca="1">('TUSD BE'!$AM$35+'TUSD BF'!$AM$35+'TUSD CVA'!$AM$35)*1</f>
        <v>137.4358543126599</v>
      </c>
      <c r="AA820" s="6">
        <f>('TE BE'!$AB$10+'TE BF'!$AB$10+'TE CVA'!$AB$10)*1</f>
        <v>313.22907246928764</v>
      </c>
      <c r="AB820" s="6">
        <f>$K$820*$V$820</f>
        <v>0</v>
      </c>
      <c r="AC820" s="6">
        <f>$M$820*$W$820</f>
        <v>250377.87917999999</v>
      </c>
      <c r="AD820" s="6">
        <f>$O$820*$X$820</f>
        <v>878384.11392000015</v>
      </c>
      <c r="AE820" s="6">
        <f>$K$820*$Y$820</f>
        <v>0</v>
      </c>
      <c r="AF820" s="6">
        <f ca="1">$M$820*$Z$820</f>
        <v>388122.01360360079</v>
      </c>
      <c r="AG820" s="6">
        <f>$O$820*$AA$820</f>
        <v>884566.10492193513</v>
      </c>
    </row>
    <row r="821" spans="1:33" ht="11.25" customHeight="1" x14ac:dyDescent="0.25">
      <c r="A821" s="4" t="s">
        <v>27</v>
      </c>
      <c r="B821" s="4" t="s">
        <v>41</v>
      </c>
      <c r="C821" s="4" t="s">
        <v>42</v>
      </c>
      <c r="D821" s="4" t="s">
        <v>43</v>
      </c>
      <c r="E821" s="4" t="s">
        <v>25</v>
      </c>
      <c r="F821" s="4" t="s">
        <v>25</v>
      </c>
      <c r="G821" s="4" t="s">
        <v>25</v>
      </c>
      <c r="H821" s="4" t="s">
        <v>35</v>
      </c>
      <c r="I821" s="5">
        <v>44470</v>
      </c>
      <c r="J821" s="6">
        <v>0</v>
      </c>
      <c r="K821" s="6">
        <v>0</v>
      </c>
      <c r="L821" s="6">
        <v>47.887999999999998</v>
      </c>
      <c r="M821" s="6">
        <v>47.887999999999998</v>
      </c>
      <c r="N821" s="6">
        <v>47.887999999999998</v>
      </c>
      <c r="O821" s="6">
        <v>47.887999999999998</v>
      </c>
      <c r="P821" s="6">
        <v>0</v>
      </c>
      <c r="Q821" s="4" t="s">
        <v>26</v>
      </c>
      <c r="R821" s="4">
        <v>0</v>
      </c>
      <c r="S821" s="6">
        <v>0</v>
      </c>
      <c r="T821" s="6">
        <v>31</v>
      </c>
      <c r="U821" s="6">
        <v>79</v>
      </c>
      <c r="V821" s="6">
        <f>IF(ISERROR(VLOOKUP($S$821,'TAR FIN'!$A$1:$O$116,15,0)),0,VLOOKUP($S$821,'TAR FIN'!$A$1:$O$116,15,0))</f>
        <v>0</v>
      </c>
      <c r="W821" s="6">
        <f>IF(ISERROR(VLOOKUP($T$821,'TAR FIN'!$A$1:$O$116,15,0)),0,VLOOKUP($T$821,'TAR FIN'!$A$1:$O$116,15,0))</f>
        <v>88.66</v>
      </c>
      <c r="X821" s="6">
        <f>IF(ISERROR(VLOOKUP($U$821,'TAR FIN'!$A$1:$O$116,15,0)),0,VLOOKUP($U$821,'TAR FIN'!$A$1:$O$116,15,0))</f>
        <v>311.04000000000002</v>
      </c>
      <c r="Y821" s="6"/>
      <c r="Z821" s="6">
        <f ca="1">('TUSD BE'!$AM$35+'TUSD BF'!$AM$35+'TUSD CVA'!$AM$35)*1</f>
        <v>137.4358543126599</v>
      </c>
      <c r="AA821" s="6">
        <f>('TE BE'!$AB$10+'TE BF'!$AB$10+'TE CVA'!$AB$10)*1</f>
        <v>313.22907246928764</v>
      </c>
      <c r="AB821" s="6">
        <f>$K$821*$V$821</f>
        <v>0</v>
      </c>
      <c r="AC821" s="6">
        <f>$M$821*$W$821</f>
        <v>4245.7500799999998</v>
      </c>
      <c r="AD821" s="6">
        <f>$O$821*$X$821</f>
        <v>14895.08352</v>
      </c>
      <c r="AE821" s="6">
        <f>$K$821*$Y$821</f>
        <v>0</v>
      </c>
      <c r="AF821" s="6">
        <f ca="1">$M$821*$Z$821</f>
        <v>6581.5281913246572</v>
      </c>
      <c r="AG821" s="6">
        <f>$O$821*$AA$821</f>
        <v>14999.913822409246</v>
      </c>
    </row>
    <row r="822" spans="1:33" ht="11.25" customHeight="1" x14ac:dyDescent="0.25">
      <c r="A822" s="4" t="s">
        <v>28</v>
      </c>
      <c r="B822" s="4" t="s">
        <v>41</v>
      </c>
      <c r="C822" s="4" t="s">
        <v>42</v>
      </c>
      <c r="D822" s="4" t="s">
        <v>43</v>
      </c>
      <c r="E822" s="4" t="s">
        <v>25</v>
      </c>
      <c r="F822" s="4" t="s">
        <v>25</v>
      </c>
      <c r="G822" s="4" t="s">
        <v>25</v>
      </c>
      <c r="H822" s="4" t="s">
        <v>35</v>
      </c>
      <c r="I822" s="5">
        <v>44470</v>
      </c>
      <c r="J822" s="6">
        <v>0</v>
      </c>
      <c r="K822" s="6">
        <v>0</v>
      </c>
      <c r="L822" s="6">
        <v>206.09200000000001</v>
      </c>
      <c r="M822" s="6">
        <v>206.09200000000001</v>
      </c>
      <c r="N822" s="6">
        <v>206.09200000000001</v>
      </c>
      <c r="O822" s="6">
        <v>206.09200000000001</v>
      </c>
      <c r="P822" s="6">
        <v>0</v>
      </c>
      <c r="Q822" s="4" t="s">
        <v>26</v>
      </c>
      <c r="R822" s="4">
        <v>0</v>
      </c>
      <c r="S822" s="6">
        <v>0</v>
      </c>
      <c r="T822" s="6">
        <v>31</v>
      </c>
      <c r="U822" s="6">
        <v>79</v>
      </c>
      <c r="V822" s="6">
        <f>IF(ISERROR(VLOOKUP($S$822,'TAR FIN'!$A$1:$O$116,15,0)),0,VLOOKUP($S$822,'TAR FIN'!$A$1:$O$116,15,0))</f>
        <v>0</v>
      </c>
      <c r="W822" s="6">
        <f>IF(ISERROR(VLOOKUP($T$822,'TAR FIN'!$A$1:$O$116,15,0)),0,VLOOKUP($T$822,'TAR FIN'!$A$1:$O$116,15,0))</f>
        <v>88.66</v>
      </c>
      <c r="X822" s="6">
        <f>IF(ISERROR(VLOOKUP($U$822,'TAR FIN'!$A$1:$O$116,15,0)),0,VLOOKUP($U$822,'TAR FIN'!$A$1:$O$116,15,0))</f>
        <v>311.04000000000002</v>
      </c>
      <c r="Y822" s="6"/>
      <c r="Z822" s="6">
        <f ca="1">('TUSD BE'!$AM$35+'TUSD BF'!$AM$35+'TUSD CVA'!$AM$35)*1</f>
        <v>137.4358543126599</v>
      </c>
      <c r="AA822" s="6">
        <f>('TE BE'!$AB$10+'TE BF'!$AB$10+'TE CVA'!$AB$10)*1</f>
        <v>313.22907246928764</v>
      </c>
      <c r="AB822" s="6">
        <f>$K$822*$V$822</f>
        <v>0</v>
      </c>
      <c r="AC822" s="6">
        <f>$M$822*$W$822</f>
        <v>18272.116720000002</v>
      </c>
      <c r="AD822" s="6">
        <f>$O$822*$X$822</f>
        <v>64102.855680000008</v>
      </c>
      <c r="AE822" s="6">
        <f>$K$822*$Y$822</f>
        <v>0</v>
      </c>
      <c r="AF822" s="6">
        <f ca="1">$M$822*$Z$822</f>
        <v>28324.430087004705</v>
      </c>
      <c r="AG822" s="6">
        <f>$O$822*$AA$822</f>
        <v>64554.00600334043</v>
      </c>
    </row>
    <row r="823" spans="1:33" ht="11.25" customHeight="1" x14ac:dyDescent="0.25">
      <c r="A823" s="4" t="s">
        <v>21</v>
      </c>
      <c r="B823" s="4" t="s">
        <v>41</v>
      </c>
      <c r="C823" s="4" t="s">
        <v>42</v>
      </c>
      <c r="D823" s="4" t="s">
        <v>43</v>
      </c>
      <c r="E823" s="4" t="s">
        <v>25</v>
      </c>
      <c r="F823" s="4" t="s">
        <v>25</v>
      </c>
      <c r="G823" s="4" t="s">
        <v>25</v>
      </c>
      <c r="H823" s="4" t="s">
        <v>35</v>
      </c>
      <c r="I823" s="5">
        <v>44501</v>
      </c>
      <c r="J823" s="6">
        <v>0</v>
      </c>
      <c r="K823" s="6">
        <v>0</v>
      </c>
      <c r="L823" s="6">
        <v>2775.433</v>
      </c>
      <c r="M823" s="6">
        <v>2775.433</v>
      </c>
      <c r="N823" s="6">
        <v>2775.433</v>
      </c>
      <c r="O823" s="6">
        <v>2775.433</v>
      </c>
      <c r="P823" s="6">
        <v>0</v>
      </c>
      <c r="Q823" s="4" t="s">
        <v>26</v>
      </c>
      <c r="R823" s="4">
        <v>0</v>
      </c>
      <c r="S823" s="6">
        <v>0</v>
      </c>
      <c r="T823" s="6">
        <v>31</v>
      </c>
      <c r="U823" s="6">
        <v>79</v>
      </c>
      <c r="V823" s="6">
        <f>IF(ISERROR(VLOOKUP($S$823,'TAR FIN'!$A$1:$O$116,15,0)),0,VLOOKUP($S$823,'TAR FIN'!$A$1:$O$116,15,0))</f>
        <v>0</v>
      </c>
      <c r="W823" s="6">
        <f>IF(ISERROR(VLOOKUP($T$823,'TAR FIN'!$A$1:$O$116,15,0)),0,VLOOKUP($T$823,'TAR FIN'!$A$1:$O$116,15,0))</f>
        <v>88.66</v>
      </c>
      <c r="X823" s="6">
        <f>IF(ISERROR(VLOOKUP($U$823,'TAR FIN'!$A$1:$O$116,15,0)),0,VLOOKUP($U$823,'TAR FIN'!$A$1:$O$116,15,0))</f>
        <v>311.04000000000002</v>
      </c>
      <c r="Y823" s="6"/>
      <c r="Z823" s="6">
        <f ca="1">('TUSD BE'!$AM$35+'TUSD BF'!$AM$35+'TUSD CVA'!$AM$35)*1</f>
        <v>137.4358543126599</v>
      </c>
      <c r="AA823" s="6">
        <f>('TE BE'!$AB$10+'TE BF'!$AB$10+'TE CVA'!$AB$10)*1</f>
        <v>313.22907246928764</v>
      </c>
      <c r="AB823" s="6">
        <f>$K$823*$V$823</f>
        <v>0</v>
      </c>
      <c r="AC823" s="6">
        <f>$M$823*$W$823</f>
        <v>246069.88978</v>
      </c>
      <c r="AD823" s="6">
        <f>$O$823*$X$823</f>
        <v>863270.68032000004</v>
      </c>
      <c r="AE823" s="6">
        <f>$K$823*$Y$823</f>
        <v>0</v>
      </c>
      <c r="AF823" s="6">
        <f ca="1">$M$823*$Z$823</f>
        <v>381444.0054425486</v>
      </c>
      <c r="AG823" s="6">
        <f>$O$823*$AA$823</f>
        <v>869346.30429065239</v>
      </c>
    </row>
    <row r="824" spans="1:33" ht="11.25" customHeight="1" x14ac:dyDescent="0.25">
      <c r="A824" s="4" t="s">
        <v>28</v>
      </c>
      <c r="B824" s="4" t="s">
        <v>41</v>
      </c>
      <c r="C824" s="4" t="s">
        <v>42</v>
      </c>
      <c r="D824" s="4" t="s">
        <v>43</v>
      </c>
      <c r="E824" s="4" t="s">
        <v>25</v>
      </c>
      <c r="F824" s="4" t="s">
        <v>25</v>
      </c>
      <c r="G824" s="4" t="s">
        <v>25</v>
      </c>
      <c r="H824" s="4" t="s">
        <v>35</v>
      </c>
      <c r="I824" s="5">
        <v>44501</v>
      </c>
      <c r="J824" s="6">
        <v>0</v>
      </c>
      <c r="K824" s="6">
        <v>0</v>
      </c>
      <c r="L824" s="6">
        <v>234.851</v>
      </c>
      <c r="M824" s="6">
        <v>234.851</v>
      </c>
      <c r="N824" s="6">
        <v>234.851</v>
      </c>
      <c r="O824" s="6">
        <v>234.851</v>
      </c>
      <c r="P824" s="6">
        <v>0</v>
      </c>
      <c r="Q824" s="4" t="s">
        <v>26</v>
      </c>
      <c r="R824" s="4">
        <v>0</v>
      </c>
      <c r="S824" s="6">
        <v>0</v>
      </c>
      <c r="T824" s="6">
        <v>31</v>
      </c>
      <c r="U824" s="6">
        <v>79</v>
      </c>
      <c r="V824" s="6">
        <f>IF(ISERROR(VLOOKUP($S$824,'TAR FIN'!$A$1:$O$116,15,0)),0,VLOOKUP($S$824,'TAR FIN'!$A$1:$O$116,15,0))</f>
        <v>0</v>
      </c>
      <c r="W824" s="6">
        <f>IF(ISERROR(VLOOKUP($T$824,'TAR FIN'!$A$1:$O$116,15,0)),0,VLOOKUP($T$824,'TAR FIN'!$A$1:$O$116,15,0))</f>
        <v>88.66</v>
      </c>
      <c r="X824" s="6">
        <f>IF(ISERROR(VLOOKUP($U$824,'TAR FIN'!$A$1:$O$116,15,0)),0,VLOOKUP($U$824,'TAR FIN'!$A$1:$O$116,15,0))</f>
        <v>311.04000000000002</v>
      </c>
      <c r="Y824" s="6"/>
      <c r="Z824" s="6">
        <f ca="1">('TUSD BE'!$AM$35+'TUSD BF'!$AM$35+'TUSD CVA'!$AM$35)*1</f>
        <v>137.4358543126599</v>
      </c>
      <c r="AA824" s="6">
        <f>('TE BE'!$AB$10+'TE BF'!$AB$10+'TE CVA'!$AB$10)*1</f>
        <v>313.22907246928764</v>
      </c>
      <c r="AB824" s="6">
        <f>$K$824*$V$824</f>
        <v>0</v>
      </c>
      <c r="AC824" s="6">
        <f>$M$824*$W$824</f>
        <v>20821.889660000001</v>
      </c>
      <c r="AD824" s="6">
        <f>$O$824*$X$824</f>
        <v>73048.055040000007</v>
      </c>
      <c r="AE824" s="6">
        <f>$K$824*$Y$824</f>
        <v>0</v>
      </c>
      <c r="AF824" s="6">
        <f ca="1">$M$824*$Z$824</f>
        <v>32276.94782118249</v>
      </c>
      <c r="AG824" s="6">
        <f>$O$824*$AA$824</f>
        <v>73562.160898484668</v>
      </c>
    </row>
    <row r="825" spans="1:33" ht="11.25" customHeight="1" x14ac:dyDescent="0.25">
      <c r="A825" s="4" t="s">
        <v>21</v>
      </c>
      <c r="B825" s="4" t="s">
        <v>41</v>
      </c>
      <c r="C825" s="4" t="s">
        <v>42</v>
      </c>
      <c r="D825" s="4" t="s">
        <v>43</v>
      </c>
      <c r="E825" s="4" t="s">
        <v>25</v>
      </c>
      <c r="F825" s="4" t="s">
        <v>25</v>
      </c>
      <c r="G825" s="4" t="s">
        <v>25</v>
      </c>
      <c r="H825" s="4" t="s">
        <v>35</v>
      </c>
      <c r="I825" s="5">
        <v>44531</v>
      </c>
      <c r="J825" s="6">
        <v>0</v>
      </c>
      <c r="K825" s="6">
        <v>0</v>
      </c>
      <c r="L825" s="6">
        <v>2776.625</v>
      </c>
      <c r="M825" s="6">
        <v>2776.625</v>
      </c>
      <c r="N825" s="6">
        <v>2776.625</v>
      </c>
      <c r="O825" s="6">
        <v>2776.625</v>
      </c>
      <c r="P825" s="6">
        <v>0</v>
      </c>
      <c r="Q825" s="4" t="s">
        <v>26</v>
      </c>
      <c r="R825" s="4">
        <v>0</v>
      </c>
      <c r="S825" s="6">
        <v>0</v>
      </c>
      <c r="T825" s="6">
        <v>31</v>
      </c>
      <c r="U825" s="6">
        <v>79</v>
      </c>
      <c r="V825" s="6">
        <f>IF(ISERROR(VLOOKUP($S$825,'TAR FIN'!$A$1:$O$116,15,0)),0,VLOOKUP($S$825,'TAR FIN'!$A$1:$O$116,15,0))</f>
        <v>0</v>
      </c>
      <c r="W825" s="6">
        <f>IF(ISERROR(VLOOKUP($T$825,'TAR FIN'!$A$1:$O$116,15,0)),0,VLOOKUP($T$825,'TAR FIN'!$A$1:$O$116,15,0))</f>
        <v>88.66</v>
      </c>
      <c r="X825" s="6">
        <f>IF(ISERROR(VLOOKUP($U$825,'TAR FIN'!$A$1:$O$116,15,0)),0,VLOOKUP($U$825,'TAR FIN'!$A$1:$O$116,15,0))</f>
        <v>311.04000000000002</v>
      </c>
      <c r="Y825" s="6"/>
      <c r="Z825" s="6">
        <f ca="1">('TUSD BE'!$AM$35+'TUSD BF'!$AM$35+'TUSD CVA'!$AM$35)*1</f>
        <v>137.4358543126599</v>
      </c>
      <c r="AA825" s="6">
        <f>('TE BE'!$AB$10+'TE BF'!$AB$10+'TE CVA'!$AB$10)*1</f>
        <v>313.22907246928764</v>
      </c>
      <c r="AB825" s="6">
        <f>$K$825*$V$825</f>
        <v>0</v>
      </c>
      <c r="AC825" s="6">
        <f>$M$825*$W$825</f>
        <v>246175.57249999998</v>
      </c>
      <c r="AD825" s="6">
        <f>$O$825*$X$825</f>
        <v>863641.44000000006</v>
      </c>
      <c r="AE825" s="6">
        <f>$K$825*$Y$825</f>
        <v>0</v>
      </c>
      <c r="AF825" s="6">
        <f ca="1">$M$825*$Z$825</f>
        <v>381607.82898088929</v>
      </c>
      <c r="AG825" s="6">
        <f>$O$825*$AA$825</f>
        <v>869719.67334503576</v>
      </c>
    </row>
    <row r="826" spans="1:33" ht="11.25" customHeight="1" x14ac:dyDescent="0.25">
      <c r="A826" s="4" t="s">
        <v>27</v>
      </c>
      <c r="B826" s="4" t="s">
        <v>41</v>
      </c>
      <c r="C826" s="4" t="s">
        <v>42</v>
      </c>
      <c r="D826" s="4" t="s">
        <v>43</v>
      </c>
      <c r="E826" s="4" t="s">
        <v>25</v>
      </c>
      <c r="F826" s="4" t="s">
        <v>25</v>
      </c>
      <c r="G826" s="4" t="s">
        <v>25</v>
      </c>
      <c r="H826" s="4" t="s">
        <v>35</v>
      </c>
      <c r="I826" s="5">
        <v>44531</v>
      </c>
      <c r="J826" s="6">
        <v>0</v>
      </c>
      <c r="K826" s="6">
        <v>0</v>
      </c>
      <c r="L826" s="6">
        <v>4.08</v>
      </c>
      <c r="M826" s="6">
        <v>4.08</v>
      </c>
      <c r="N826" s="6">
        <v>4.08</v>
      </c>
      <c r="O826" s="6">
        <v>4.08</v>
      </c>
      <c r="P826" s="6">
        <v>0</v>
      </c>
      <c r="Q826" s="4" t="s">
        <v>26</v>
      </c>
      <c r="R826" s="4">
        <v>0</v>
      </c>
      <c r="S826" s="6">
        <v>0</v>
      </c>
      <c r="T826" s="6">
        <v>31</v>
      </c>
      <c r="U826" s="6">
        <v>79</v>
      </c>
      <c r="V826" s="6">
        <f>IF(ISERROR(VLOOKUP($S$826,'TAR FIN'!$A$1:$O$116,15,0)),0,VLOOKUP($S$826,'TAR FIN'!$A$1:$O$116,15,0))</f>
        <v>0</v>
      </c>
      <c r="W826" s="6">
        <f>IF(ISERROR(VLOOKUP($T$826,'TAR FIN'!$A$1:$O$116,15,0)),0,VLOOKUP($T$826,'TAR FIN'!$A$1:$O$116,15,0))</f>
        <v>88.66</v>
      </c>
      <c r="X826" s="6">
        <f>IF(ISERROR(VLOOKUP($U$826,'TAR FIN'!$A$1:$O$116,15,0)),0,VLOOKUP($U$826,'TAR FIN'!$A$1:$O$116,15,0))</f>
        <v>311.04000000000002</v>
      </c>
      <c r="Y826" s="6"/>
      <c r="Z826" s="6">
        <f ca="1">('TUSD BE'!$AM$35+'TUSD BF'!$AM$35+'TUSD CVA'!$AM$35)*1</f>
        <v>137.4358543126599</v>
      </c>
      <c r="AA826" s="6">
        <f>('TE BE'!$AB$10+'TE BF'!$AB$10+'TE CVA'!$AB$10)*1</f>
        <v>313.22907246928764</v>
      </c>
      <c r="AB826" s="6">
        <f>$K$826*$V$826</f>
        <v>0</v>
      </c>
      <c r="AC826" s="6">
        <f>$M$826*$W$826</f>
        <v>361.7328</v>
      </c>
      <c r="AD826" s="6">
        <f>$O$826*$X$826</f>
        <v>1269.0432000000001</v>
      </c>
      <c r="AE826" s="6">
        <f>$K$826*$Y$826</f>
        <v>0</v>
      </c>
      <c r="AF826" s="6">
        <f ca="1">$M$826*$Z$826</f>
        <v>560.73828559565243</v>
      </c>
      <c r="AG826" s="6">
        <f>$O$826*$AA$826</f>
        <v>1277.9746156746935</v>
      </c>
    </row>
    <row r="827" spans="1:33" ht="11.25" customHeight="1" x14ac:dyDescent="0.25">
      <c r="A827" s="4" t="s">
        <v>28</v>
      </c>
      <c r="B827" s="4" t="s">
        <v>41</v>
      </c>
      <c r="C827" s="4" t="s">
        <v>42</v>
      </c>
      <c r="D827" s="4" t="s">
        <v>43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44531</v>
      </c>
      <c r="J827" s="6">
        <v>0</v>
      </c>
      <c r="K827" s="6">
        <v>0</v>
      </c>
      <c r="L827" s="6">
        <v>287.18200000000002</v>
      </c>
      <c r="M827" s="6">
        <v>287.18200000000002</v>
      </c>
      <c r="N827" s="6">
        <v>287.18200000000002</v>
      </c>
      <c r="O827" s="6">
        <v>287.18200000000002</v>
      </c>
      <c r="P827" s="6">
        <v>0</v>
      </c>
      <c r="Q827" s="4" t="s">
        <v>26</v>
      </c>
      <c r="R827" s="4">
        <v>0</v>
      </c>
      <c r="S827" s="6">
        <v>0</v>
      </c>
      <c r="T827" s="6">
        <v>31</v>
      </c>
      <c r="U827" s="6">
        <v>79</v>
      </c>
      <c r="V827" s="6">
        <f>IF(ISERROR(VLOOKUP($S$827,'TAR FIN'!$A$1:$O$116,15,0)),0,VLOOKUP($S$827,'TAR FIN'!$A$1:$O$116,15,0))</f>
        <v>0</v>
      </c>
      <c r="W827" s="6">
        <f>IF(ISERROR(VLOOKUP($T$827,'TAR FIN'!$A$1:$O$116,15,0)),0,VLOOKUP($T$827,'TAR FIN'!$A$1:$O$116,15,0))</f>
        <v>88.66</v>
      </c>
      <c r="X827" s="6">
        <f>IF(ISERROR(VLOOKUP($U$827,'TAR FIN'!$A$1:$O$116,15,0)),0,VLOOKUP($U$827,'TAR FIN'!$A$1:$O$116,15,0))</f>
        <v>311.04000000000002</v>
      </c>
      <c r="Y827" s="6"/>
      <c r="Z827" s="6">
        <f ca="1">('TUSD BE'!$AM$35+'TUSD BF'!$AM$35+'TUSD CVA'!$AM$35)*1</f>
        <v>137.4358543126599</v>
      </c>
      <c r="AA827" s="6">
        <f>('TE BE'!$AB$10+'TE BF'!$AB$10+'TE CVA'!$AB$10)*1</f>
        <v>313.22907246928764</v>
      </c>
      <c r="AB827" s="6">
        <f>$K$827*$V$827</f>
        <v>0</v>
      </c>
      <c r="AC827" s="6">
        <f>$M$827*$W$827</f>
        <v>25461.556120000001</v>
      </c>
      <c r="AD827" s="6">
        <f>$O$827*$X$827</f>
        <v>89325.089280000015</v>
      </c>
      <c r="AE827" s="6">
        <f>$K$827*$Y$827</f>
        <v>0</v>
      </c>
      <c r="AF827" s="6">
        <f ca="1">$M$827*$Z$827</f>
        <v>39469.103513218295</v>
      </c>
      <c r="AG827" s="6">
        <f>$O$827*$AA$827</f>
        <v>89953.751489874965</v>
      </c>
    </row>
    <row r="828" spans="1:33" ht="11.25" customHeight="1" x14ac:dyDescent="0.25">
      <c r="A828" s="4" t="s">
        <v>21</v>
      </c>
      <c r="B828" s="4" t="s">
        <v>41</v>
      </c>
      <c r="C828" s="4" t="s">
        <v>42</v>
      </c>
      <c r="D828" s="4" t="s">
        <v>43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44562</v>
      </c>
      <c r="J828" s="6">
        <v>0</v>
      </c>
      <c r="K828" s="6">
        <v>0</v>
      </c>
      <c r="L828" s="6">
        <v>2774.9029999999998</v>
      </c>
      <c r="M828" s="6">
        <v>2774.9029999999998</v>
      </c>
      <c r="N828" s="6">
        <v>2774.9029999999998</v>
      </c>
      <c r="O828" s="6">
        <v>2774.9029999999998</v>
      </c>
      <c r="P828" s="6">
        <v>0</v>
      </c>
      <c r="Q828" s="4" t="s">
        <v>26</v>
      </c>
      <c r="R828" s="4">
        <v>0</v>
      </c>
      <c r="S828" s="6">
        <v>0</v>
      </c>
      <c r="T828" s="6">
        <v>31</v>
      </c>
      <c r="U828" s="6">
        <v>79</v>
      </c>
      <c r="V828" s="6">
        <f>IF(ISERROR(VLOOKUP($S$828,'TAR FIN'!$A$1:$O$116,15,0)),0,VLOOKUP($S$828,'TAR FIN'!$A$1:$O$116,15,0))</f>
        <v>0</v>
      </c>
      <c r="W828" s="6">
        <f>IF(ISERROR(VLOOKUP($T$828,'TAR FIN'!$A$1:$O$116,15,0)),0,VLOOKUP($T$828,'TAR FIN'!$A$1:$O$116,15,0))</f>
        <v>88.66</v>
      </c>
      <c r="X828" s="6">
        <f>IF(ISERROR(VLOOKUP($U$828,'TAR FIN'!$A$1:$O$116,15,0)),0,VLOOKUP($U$828,'TAR FIN'!$A$1:$O$116,15,0))</f>
        <v>311.04000000000002</v>
      </c>
      <c r="Y828" s="6"/>
      <c r="Z828" s="6">
        <f ca="1">('TUSD BE'!$AM$35+'TUSD BF'!$AM$35+'TUSD CVA'!$AM$35)*1</f>
        <v>137.4358543126599</v>
      </c>
      <c r="AA828" s="6">
        <f>('TE BE'!$AB$10+'TE BF'!$AB$10+'TE CVA'!$AB$10)*1</f>
        <v>313.22907246928764</v>
      </c>
      <c r="AB828" s="6">
        <f>$K$828*$V$828</f>
        <v>0</v>
      </c>
      <c r="AC828" s="6">
        <f>$M$828*$W$828</f>
        <v>246022.89997999996</v>
      </c>
      <c r="AD828" s="6">
        <f>$O$828*$X$828</f>
        <v>863105.82912000001</v>
      </c>
      <c r="AE828" s="6">
        <f>$K$828*$Y$828</f>
        <v>0</v>
      </c>
      <c r="AF828" s="6">
        <f ca="1">$M$828*$Z$828</f>
        <v>381371.16443976288</v>
      </c>
      <c r="AG828" s="6">
        <f>$O$828*$AA$828</f>
        <v>869180.29288224364</v>
      </c>
    </row>
    <row r="829" spans="1:33" ht="11.25" customHeight="1" x14ac:dyDescent="0.25">
      <c r="A829" s="4" t="s">
        <v>28</v>
      </c>
      <c r="B829" s="4" t="s">
        <v>41</v>
      </c>
      <c r="C829" s="4" t="s">
        <v>42</v>
      </c>
      <c r="D829" s="4" t="s">
        <v>43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44562</v>
      </c>
      <c r="J829" s="6">
        <v>0</v>
      </c>
      <c r="K829" s="6">
        <v>0</v>
      </c>
      <c r="L829" s="6">
        <v>216.43299999999999</v>
      </c>
      <c r="M829" s="6">
        <v>216.43299999999999</v>
      </c>
      <c r="N829" s="6">
        <v>216.43299999999999</v>
      </c>
      <c r="O829" s="6">
        <v>216.43299999999999</v>
      </c>
      <c r="P829" s="6">
        <v>0</v>
      </c>
      <c r="Q829" s="4" t="s">
        <v>26</v>
      </c>
      <c r="R829" s="4">
        <v>0</v>
      </c>
      <c r="S829" s="6">
        <v>0</v>
      </c>
      <c r="T829" s="6">
        <v>31</v>
      </c>
      <c r="U829" s="6">
        <v>79</v>
      </c>
      <c r="V829" s="6">
        <f>IF(ISERROR(VLOOKUP($S$829,'TAR FIN'!$A$1:$O$116,15,0)),0,VLOOKUP($S$829,'TAR FIN'!$A$1:$O$116,15,0))</f>
        <v>0</v>
      </c>
      <c r="W829" s="6">
        <f>IF(ISERROR(VLOOKUP($T$829,'TAR FIN'!$A$1:$O$116,15,0)),0,VLOOKUP($T$829,'TAR FIN'!$A$1:$O$116,15,0))</f>
        <v>88.66</v>
      </c>
      <c r="X829" s="6">
        <f>IF(ISERROR(VLOOKUP($U$829,'TAR FIN'!$A$1:$O$116,15,0)),0,VLOOKUP($U$829,'TAR FIN'!$A$1:$O$116,15,0))</f>
        <v>311.04000000000002</v>
      </c>
      <c r="Y829" s="6"/>
      <c r="Z829" s="6">
        <f ca="1">('TUSD BE'!$AM$35+'TUSD BF'!$AM$35+'TUSD CVA'!$AM$35)*1</f>
        <v>137.4358543126599</v>
      </c>
      <c r="AA829" s="6">
        <f>('TE BE'!$AB$10+'TE BF'!$AB$10+'TE CVA'!$AB$10)*1</f>
        <v>313.22907246928764</v>
      </c>
      <c r="AB829" s="6">
        <f>$K$829*$V$829</f>
        <v>0</v>
      </c>
      <c r="AC829" s="6">
        <f>$M$829*$W$829</f>
        <v>19188.949779999999</v>
      </c>
      <c r="AD829" s="6">
        <f>$O$829*$X$829</f>
        <v>67319.320319999999</v>
      </c>
      <c r="AE829" s="6">
        <f>$K$829*$Y$829</f>
        <v>0</v>
      </c>
      <c r="AF829" s="6">
        <f ca="1">$M$829*$Z$829</f>
        <v>29745.654256451919</v>
      </c>
      <c r="AG829" s="6">
        <f>$O$829*$AA$829</f>
        <v>67793.107841745325</v>
      </c>
    </row>
    <row r="830" spans="1:33" ht="11.25" customHeight="1" x14ac:dyDescent="0.25">
      <c r="A830" s="4" t="s">
        <v>21</v>
      </c>
      <c r="B830" s="4" t="s">
        <v>41</v>
      </c>
      <c r="C830" s="4" t="s">
        <v>42</v>
      </c>
      <c r="D830" s="4" t="s">
        <v>43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44593</v>
      </c>
      <c r="J830" s="6">
        <v>0</v>
      </c>
      <c r="K830" s="6">
        <v>0</v>
      </c>
      <c r="L830" s="6">
        <v>2552.3000000000002</v>
      </c>
      <c r="M830" s="6">
        <v>2552.3000000000002</v>
      </c>
      <c r="N830" s="6">
        <v>2552.3000000000002</v>
      </c>
      <c r="O830" s="6">
        <v>2552.3000000000002</v>
      </c>
      <c r="P830" s="6">
        <v>0</v>
      </c>
      <c r="Q830" s="4" t="s">
        <v>26</v>
      </c>
      <c r="R830" s="4">
        <v>0</v>
      </c>
      <c r="S830" s="6">
        <v>0</v>
      </c>
      <c r="T830" s="6">
        <v>31</v>
      </c>
      <c r="U830" s="6">
        <v>79</v>
      </c>
      <c r="V830" s="6">
        <f>IF(ISERROR(VLOOKUP($S$830,'TAR FIN'!$A$1:$O$116,15,0)),0,VLOOKUP($S$830,'TAR FIN'!$A$1:$O$116,15,0))</f>
        <v>0</v>
      </c>
      <c r="W830" s="6">
        <f>IF(ISERROR(VLOOKUP($T$830,'TAR FIN'!$A$1:$O$116,15,0)),0,VLOOKUP($T$830,'TAR FIN'!$A$1:$O$116,15,0))</f>
        <v>88.66</v>
      </c>
      <c r="X830" s="6">
        <f>IF(ISERROR(VLOOKUP($U$830,'TAR FIN'!$A$1:$O$116,15,0)),0,VLOOKUP($U$830,'TAR FIN'!$A$1:$O$116,15,0))</f>
        <v>311.04000000000002</v>
      </c>
      <c r="Y830" s="6"/>
      <c r="Z830" s="6">
        <f ca="1">('TUSD BE'!$AM$35+'TUSD BF'!$AM$35+'TUSD CVA'!$AM$35)*1</f>
        <v>137.4358543126599</v>
      </c>
      <c r="AA830" s="6">
        <f>('TE BE'!$AB$10+'TE BF'!$AB$10+'TE CVA'!$AB$10)*1</f>
        <v>313.22907246928764</v>
      </c>
      <c r="AB830" s="6">
        <f>$K$830*$V$830</f>
        <v>0</v>
      </c>
      <c r="AC830" s="6">
        <f>$M$830*$W$830</f>
        <v>226286.91800000001</v>
      </c>
      <c r="AD830" s="6">
        <f>$O$830*$X$830</f>
        <v>793867.39200000011</v>
      </c>
      <c r="AE830" s="6">
        <f>$K$830*$Y$830</f>
        <v>0</v>
      </c>
      <c r="AF830" s="6">
        <f ca="1">$M$830*$Z$830</f>
        <v>350777.53096220188</v>
      </c>
      <c r="AG830" s="6">
        <f>$O$830*$AA$830</f>
        <v>799454.5616633629</v>
      </c>
    </row>
    <row r="831" spans="1:33" ht="11.25" customHeight="1" x14ac:dyDescent="0.25">
      <c r="A831" s="4" t="s">
        <v>28</v>
      </c>
      <c r="B831" s="4" t="s">
        <v>41</v>
      </c>
      <c r="C831" s="4" t="s">
        <v>42</v>
      </c>
      <c r="D831" s="4" t="s">
        <v>43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44593</v>
      </c>
      <c r="J831" s="6">
        <v>0</v>
      </c>
      <c r="K831" s="6">
        <v>0</v>
      </c>
      <c r="L831" s="6">
        <v>222.78299999999999</v>
      </c>
      <c r="M831" s="6">
        <v>222.78299999999999</v>
      </c>
      <c r="N831" s="6">
        <v>222.78299999999999</v>
      </c>
      <c r="O831" s="6">
        <v>222.78299999999999</v>
      </c>
      <c r="P831" s="6">
        <v>0</v>
      </c>
      <c r="Q831" s="4" t="s">
        <v>26</v>
      </c>
      <c r="R831" s="4">
        <v>0</v>
      </c>
      <c r="S831" s="6">
        <v>0</v>
      </c>
      <c r="T831" s="6">
        <v>31</v>
      </c>
      <c r="U831" s="6">
        <v>79</v>
      </c>
      <c r="V831" s="6">
        <f>IF(ISERROR(VLOOKUP($S$831,'TAR FIN'!$A$1:$O$116,15,0)),0,VLOOKUP($S$831,'TAR FIN'!$A$1:$O$116,15,0))</f>
        <v>0</v>
      </c>
      <c r="W831" s="6">
        <f>IF(ISERROR(VLOOKUP($T$831,'TAR FIN'!$A$1:$O$116,15,0)),0,VLOOKUP($T$831,'TAR FIN'!$A$1:$O$116,15,0))</f>
        <v>88.66</v>
      </c>
      <c r="X831" s="6">
        <f>IF(ISERROR(VLOOKUP($U$831,'TAR FIN'!$A$1:$O$116,15,0)),0,VLOOKUP($U$831,'TAR FIN'!$A$1:$O$116,15,0))</f>
        <v>311.04000000000002</v>
      </c>
      <c r="Y831" s="6"/>
      <c r="Z831" s="6">
        <f ca="1">('TUSD BE'!$AM$35+'TUSD BF'!$AM$35+'TUSD CVA'!$AM$35)*1</f>
        <v>137.4358543126599</v>
      </c>
      <c r="AA831" s="6">
        <f>('TE BE'!$AB$10+'TE BF'!$AB$10+'TE CVA'!$AB$10)*1</f>
        <v>313.22907246928764</v>
      </c>
      <c r="AB831" s="6">
        <f>$K$831*$V$831</f>
        <v>0</v>
      </c>
      <c r="AC831" s="6">
        <f>$M$831*$W$831</f>
        <v>19751.940779999997</v>
      </c>
      <c r="AD831" s="6">
        <f>$O$831*$X$831</f>
        <v>69294.424320000006</v>
      </c>
      <c r="AE831" s="6">
        <f>$K$831*$Y$831</f>
        <v>0</v>
      </c>
      <c r="AF831" s="6">
        <f ca="1">$M$831*$Z$831</f>
        <v>30618.371931337308</v>
      </c>
      <c r="AG831" s="6">
        <f>$O$831*$AA$831</f>
        <v>69782.112451925306</v>
      </c>
    </row>
    <row r="832" spans="1:33" ht="11.25" customHeight="1" x14ac:dyDescent="0.25">
      <c r="A832" s="4" t="s">
        <v>21</v>
      </c>
      <c r="B832" s="4" t="s">
        <v>41</v>
      </c>
      <c r="C832" s="4" t="s">
        <v>42</v>
      </c>
      <c r="D832" s="4" t="s">
        <v>43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44621</v>
      </c>
      <c r="J832" s="6">
        <v>0</v>
      </c>
      <c r="K832" s="6">
        <v>0</v>
      </c>
      <c r="L832" s="6">
        <v>2524.9879999999998</v>
      </c>
      <c r="M832" s="6">
        <v>2524.9879999999998</v>
      </c>
      <c r="N832" s="6">
        <v>2524.9879999999998</v>
      </c>
      <c r="O832" s="6">
        <v>2524.9879999999998</v>
      </c>
      <c r="P832" s="6">
        <v>0</v>
      </c>
      <c r="Q832" s="4" t="s">
        <v>26</v>
      </c>
      <c r="R832" s="4">
        <v>0</v>
      </c>
      <c r="S832" s="6">
        <v>0</v>
      </c>
      <c r="T832" s="6">
        <v>31</v>
      </c>
      <c r="U832" s="6">
        <v>79</v>
      </c>
      <c r="V832" s="6">
        <f>IF(ISERROR(VLOOKUP($S$832,'TAR FIN'!$A$1:$O$116,15,0)),0,VLOOKUP($S$832,'TAR FIN'!$A$1:$O$116,15,0))</f>
        <v>0</v>
      </c>
      <c r="W832" s="6">
        <f>IF(ISERROR(VLOOKUP($T$832,'TAR FIN'!$A$1:$O$116,15,0)),0,VLOOKUP($T$832,'TAR FIN'!$A$1:$O$116,15,0))</f>
        <v>88.66</v>
      </c>
      <c r="X832" s="6">
        <f>IF(ISERROR(VLOOKUP($U$832,'TAR FIN'!$A$1:$O$116,15,0)),0,VLOOKUP($U$832,'TAR FIN'!$A$1:$O$116,15,0))</f>
        <v>311.04000000000002</v>
      </c>
      <c r="Y832" s="6"/>
      <c r="Z832" s="6">
        <f ca="1">('TUSD BE'!$AM$35+'TUSD BF'!$AM$35+'TUSD CVA'!$AM$35)*1</f>
        <v>137.4358543126599</v>
      </c>
      <c r="AA832" s="6">
        <f>('TE BE'!$AB$10+'TE BF'!$AB$10+'TE CVA'!$AB$10)*1</f>
        <v>313.22907246928764</v>
      </c>
      <c r="AB832" s="6">
        <f>$K$832*$V$832</f>
        <v>0</v>
      </c>
      <c r="AC832" s="6">
        <f>$M$832*$W$832</f>
        <v>223865.43607999998</v>
      </c>
      <c r="AD832" s="6">
        <f>$O$832*$X$832</f>
        <v>785372.26751999999</v>
      </c>
      <c r="AE832" s="6">
        <f>$K$832*$Y$832</f>
        <v>0</v>
      </c>
      <c r="AF832" s="6">
        <f ca="1">$M$832*$Z$832</f>
        <v>347023.88290921447</v>
      </c>
      <c r="AG832" s="6">
        <f>$O$832*$AA$832</f>
        <v>790899.64923608163</v>
      </c>
    </row>
    <row r="833" spans="1:33" ht="11.25" customHeight="1" x14ac:dyDescent="0.25">
      <c r="A833" s="4" t="s">
        <v>27</v>
      </c>
      <c r="B833" s="4" t="s">
        <v>41</v>
      </c>
      <c r="C833" s="4" t="s">
        <v>42</v>
      </c>
      <c r="D833" s="4" t="s">
        <v>43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44621</v>
      </c>
      <c r="J833" s="6">
        <v>0</v>
      </c>
      <c r="K833" s="6">
        <v>0</v>
      </c>
      <c r="L833" s="6">
        <v>-36.244</v>
      </c>
      <c r="M833" s="6">
        <v>-36.244</v>
      </c>
      <c r="N833" s="6">
        <v>-36.244</v>
      </c>
      <c r="O833" s="6">
        <v>-36.244</v>
      </c>
      <c r="P833" s="6">
        <v>0</v>
      </c>
      <c r="Q833" s="4" t="s">
        <v>26</v>
      </c>
      <c r="R833" s="4">
        <v>0</v>
      </c>
      <c r="S833" s="6">
        <v>0</v>
      </c>
      <c r="T833" s="6">
        <v>31</v>
      </c>
      <c r="U833" s="6">
        <v>79</v>
      </c>
      <c r="V833" s="6">
        <f>IF(ISERROR(VLOOKUP($S$833,'TAR FIN'!$A$1:$O$116,15,0)),0,VLOOKUP($S$833,'TAR FIN'!$A$1:$O$116,15,0))</f>
        <v>0</v>
      </c>
      <c r="W833" s="6">
        <f>IF(ISERROR(VLOOKUP($T$833,'TAR FIN'!$A$1:$O$116,15,0)),0,VLOOKUP($T$833,'TAR FIN'!$A$1:$O$116,15,0))</f>
        <v>88.66</v>
      </c>
      <c r="X833" s="6">
        <f>IF(ISERROR(VLOOKUP($U$833,'TAR FIN'!$A$1:$O$116,15,0)),0,VLOOKUP($U$833,'TAR FIN'!$A$1:$O$116,15,0))</f>
        <v>311.04000000000002</v>
      </c>
      <c r="Y833" s="6"/>
      <c r="Z833" s="6">
        <f ca="1">('TUSD BE'!$AM$35+'TUSD BF'!$AM$35+'TUSD CVA'!$AM$35)*1</f>
        <v>137.4358543126599</v>
      </c>
      <c r="AA833" s="6">
        <f>('TE BE'!$AB$10+'TE BF'!$AB$10+'TE CVA'!$AB$10)*1</f>
        <v>313.22907246928764</v>
      </c>
      <c r="AB833" s="6">
        <f>$K$833*$V$833</f>
        <v>0</v>
      </c>
      <c r="AC833" s="6">
        <f>$M$833*$W$833</f>
        <v>-3213.3930399999999</v>
      </c>
      <c r="AD833" s="6">
        <f>$O$833*$X$833</f>
        <v>-11273.333760000001</v>
      </c>
      <c r="AE833" s="6">
        <f>$K$833*$Y$833</f>
        <v>0</v>
      </c>
      <c r="AF833" s="6">
        <f ca="1">$M$833*$Z$833</f>
        <v>-4981.225103708045</v>
      </c>
      <c r="AG833" s="6">
        <f>$O$833*$AA$833</f>
        <v>-11352.674502576861</v>
      </c>
    </row>
    <row r="834" spans="1:33" ht="11.25" customHeight="1" x14ac:dyDescent="0.25">
      <c r="A834" s="4" t="s">
        <v>28</v>
      </c>
      <c r="B834" s="4" t="s">
        <v>41</v>
      </c>
      <c r="C834" s="4" t="s">
        <v>42</v>
      </c>
      <c r="D834" s="4" t="s">
        <v>43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44621</v>
      </c>
      <c r="J834" s="6">
        <v>0</v>
      </c>
      <c r="K834" s="6">
        <v>0</v>
      </c>
      <c r="L834" s="6">
        <v>308.76100000000002</v>
      </c>
      <c r="M834" s="6">
        <v>308.76100000000002</v>
      </c>
      <c r="N834" s="6">
        <v>308.76100000000002</v>
      </c>
      <c r="O834" s="6">
        <v>308.76100000000002</v>
      </c>
      <c r="P834" s="6">
        <v>0</v>
      </c>
      <c r="Q834" s="4" t="s">
        <v>26</v>
      </c>
      <c r="R834" s="4">
        <v>0</v>
      </c>
      <c r="S834" s="6">
        <v>0</v>
      </c>
      <c r="T834" s="6">
        <v>31</v>
      </c>
      <c r="U834" s="6">
        <v>79</v>
      </c>
      <c r="V834" s="6">
        <f>IF(ISERROR(VLOOKUP($S$834,'TAR FIN'!$A$1:$O$116,15,0)),0,VLOOKUP($S$834,'TAR FIN'!$A$1:$O$116,15,0))</f>
        <v>0</v>
      </c>
      <c r="W834" s="6">
        <f>IF(ISERROR(VLOOKUP($T$834,'TAR FIN'!$A$1:$O$116,15,0)),0,VLOOKUP($T$834,'TAR FIN'!$A$1:$O$116,15,0))</f>
        <v>88.66</v>
      </c>
      <c r="X834" s="6">
        <f>IF(ISERROR(VLOOKUP($U$834,'TAR FIN'!$A$1:$O$116,15,0)),0,VLOOKUP($U$834,'TAR FIN'!$A$1:$O$116,15,0))</f>
        <v>311.04000000000002</v>
      </c>
      <c r="Y834" s="6"/>
      <c r="Z834" s="6">
        <f ca="1">('TUSD BE'!$AM$35+'TUSD BF'!$AM$35+'TUSD CVA'!$AM$35)*1</f>
        <v>137.4358543126599</v>
      </c>
      <c r="AA834" s="6">
        <f>('TE BE'!$AB$10+'TE BF'!$AB$10+'TE CVA'!$AB$10)*1</f>
        <v>313.22907246928764</v>
      </c>
      <c r="AB834" s="6">
        <f>$K$834*$V$834</f>
        <v>0</v>
      </c>
      <c r="AC834" s="6">
        <f>$M$834*$W$834</f>
        <v>27374.750260000001</v>
      </c>
      <c r="AD834" s="6">
        <f>$O$834*$X$834</f>
        <v>96037.021440000011</v>
      </c>
      <c r="AE834" s="6">
        <f>$K$834*$Y$834</f>
        <v>0</v>
      </c>
      <c r="AF834" s="6">
        <f ca="1">$M$834*$Z$834</f>
        <v>42434.831813431185</v>
      </c>
      <c r="AG834" s="6">
        <f>$O$834*$AA$834</f>
        <v>96712.921644689734</v>
      </c>
    </row>
    <row r="835" spans="1:33" ht="11.25" customHeight="1" x14ac:dyDescent="0.25">
      <c r="A835" s="4" t="s">
        <v>21</v>
      </c>
      <c r="B835" s="4" t="s">
        <v>41</v>
      </c>
      <c r="C835" s="4" t="s">
        <v>42</v>
      </c>
      <c r="D835" s="4" t="s">
        <v>43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44652</v>
      </c>
      <c r="J835" s="6">
        <v>0</v>
      </c>
      <c r="K835" s="6">
        <v>0</v>
      </c>
      <c r="L835" s="6">
        <v>2412.4229999999998</v>
      </c>
      <c r="M835" s="6">
        <v>2412.4229999999998</v>
      </c>
      <c r="N835" s="6">
        <v>2412.4229999999998</v>
      </c>
      <c r="O835" s="6">
        <v>2412.4229999999998</v>
      </c>
      <c r="P835" s="6">
        <v>0</v>
      </c>
      <c r="Q835" s="4" t="s">
        <v>26</v>
      </c>
      <c r="R835" s="4">
        <v>0</v>
      </c>
      <c r="S835" s="6">
        <v>0</v>
      </c>
      <c r="T835" s="6">
        <v>31</v>
      </c>
      <c r="U835" s="6">
        <v>79</v>
      </c>
      <c r="V835" s="6">
        <f>IF(ISERROR(VLOOKUP($S$835,'TAR FIN'!$A$1:$O$116,15,0)),0,VLOOKUP($S$835,'TAR FIN'!$A$1:$O$116,15,0))</f>
        <v>0</v>
      </c>
      <c r="W835" s="6">
        <f>IF(ISERROR(VLOOKUP($T$835,'TAR FIN'!$A$1:$O$116,15,0)),0,VLOOKUP($T$835,'TAR FIN'!$A$1:$O$116,15,0))</f>
        <v>88.66</v>
      </c>
      <c r="X835" s="6">
        <f>IF(ISERROR(VLOOKUP($U$835,'TAR FIN'!$A$1:$O$116,15,0)),0,VLOOKUP($U$835,'TAR FIN'!$A$1:$O$116,15,0))</f>
        <v>311.04000000000002</v>
      </c>
      <c r="Y835" s="6"/>
      <c r="Z835" s="6">
        <f ca="1">('TUSD BE'!$AM$35+'TUSD BF'!$AM$35+'TUSD CVA'!$AM$35)*1</f>
        <v>137.4358543126599</v>
      </c>
      <c r="AA835" s="6">
        <f>('TE BE'!$AB$10+'TE BF'!$AB$10+'TE CVA'!$AB$10)*1</f>
        <v>313.22907246928764</v>
      </c>
      <c r="AB835" s="6">
        <f>$K$835*$V$835</f>
        <v>0</v>
      </c>
      <c r="AC835" s="6">
        <f>$M$835*$W$835</f>
        <v>213885.42317999998</v>
      </c>
      <c r="AD835" s="6">
        <f>$O$835*$X$835</f>
        <v>750360.04992000002</v>
      </c>
      <c r="AE835" s="6">
        <f>$K$835*$Y$835</f>
        <v>0</v>
      </c>
      <c r="AF835" s="6">
        <f ca="1">$M$835*$Z$835</f>
        <v>331553.41596850991</v>
      </c>
      <c r="AG835" s="6">
        <f>$O$835*$AA$835</f>
        <v>755641.01869357622</v>
      </c>
    </row>
    <row r="836" spans="1:33" ht="11.25" customHeight="1" x14ac:dyDescent="0.25">
      <c r="A836" s="4" t="s">
        <v>27</v>
      </c>
      <c r="B836" s="4" t="s">
        <v>41</v>
      </c>
      <c r="C836" s="4" t="s">
        <v>42</v>
      </c>
      <c r="D836" s="4" t="s">
        <v>43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44652</v>
      </c>
      <c r="J836" s="6">
        <v>0</v>
      </c>
      <c r="K836" s="6">
        <v>0</v>
      </c>
      <c r="L836" s="6">
        <v>11.64</v>
      </c>
      <c r="M836" s="6">
        <v>11.64</v>
      </c>
      <c r="N836" s="6">
        <v>11.64</v>
      </c>
      <c r="O836" s="6">
        <v>11.64</v>
      </c>
      <c r="P836" s="6">
        <v>0</v>
      </c>
      <c r="Q836" s="4" t="s">
        <v>26</v>
      </c>
      <c r="R836" s="4">
        <v>0</v>
      </c>
      <c r="S836" s="6">
        <v>0</v>
      </c>
      <c r="T836" s="6">
        <v>31</v>
      </c>
      <c r="U836" s="6">
        <v>79</v>
      </c>
      <c r="V836" s="6">
        <f>IF(ISERROR(VLOOKUP($S$836,'TAR FIN'!$A$1:$O$116,15,0)),0,VLOOKUP($S$836,'TAR FIN'!$A$1:$O$116,15,0))</f>
        <v>0</v>
      </c>
      <c r="W836" s="6">
        <f>IF(ISERROR(VLOOKUP($T$836,'TAR FIN'!$A$1:$O$116,15,0)),0,VLOOKUP($T$836,'TAR FIN'!$A$1:$O$116,15,0))</f>
        <v>88.66</v>
      </c>
      <c r="X836" s="6">
        <f>IF(ISERROR(VLOOKUP($U$836,'TAR FIN'!$A$1:$O$116,15,0)),0,VLOOKUP($U$836,'TAR FIN'!$A$1:$O$116,15,0))</f>
        <v>311.04000000000002</v>
      </c>
      <c r="Y836" s="6"/>
      <c r="Z836" s="6">
        <f ca="1">('TUSD BE'!$AM$35+'TUSD BF'!$AM$35+'TUSD CVA'!$AM$35)*1</f>
        <v>137.4358543126599</v>
      </c>
      <c r="AA836" s="6">
        <f>('TE BE'!$AB$10+'TE BF'!$AB$10+'TE CVA'!$AB$10)*1</f>
        <v>313.22907246928764</v>
      </c>
      <c r="AB836" s="6">
        <f>$K$836*$V$836</f>
        <v>0</v>
      </c>
      <c r="AC836" s="6">
        <f>$M$836*$W$836</f>
        <v>1032.0024000000001</v>
      </c>
      <c r="AD836" s="6">
        <f>$O$836*$X$836</f>
        <v>3620.5056000000004</v>
      </c>
      <c r="AE836" s="6">
        <f>$K$836*$Y$836</f>
        <v>0</v>
      </c>
      <c r="AF836" s="6">
        <f ca="1">$M$836*$Z$836</f>
        <v>1599.7533441993612</v>
      </c>
      <c r="AG836" s="6">
        <f>$O$836*$AA$836</f>
        <v>3645.9864035425085</v>
      </c>
    </row>
    <row r="837" spans="1:33" ht="11.25" customHeight="1" x14ac:dyDescent="0.25">
      <c r="A837" s="4" t="s">
        <v>28</v>
      </c>
      <c r="B837" s="4" t="s">
        <v>41</v>
      </c>
      <c r="C837" s="4" t="s">
        <v>42</v>
      </c>
      <c r="D837" s="4" t="s">
        <v>43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44652</v>
      </c>
      <c r="J837" s="6">
        <v>0</v>
      </c>
      <c r="K837" s="6">
        <v>0</v>
      </c>
      <c r="L837" s="6">
        <v>269.11500000000001</v>
      </c>
      <c r="M837" s="6">
        <v>269.11500000000001</v>
      </c>
      <c r="N837" s="6">
        <v>269.11500000000001</v>
      </c>
      <c r="O837" s="6">
        <v>269.11500000000001</v>
      </c>
      <c r="P837" s="6">
        <v>0</v>
      </c>
      <c r="Q837" s="4" t="s">
        <v>26</v>
      </c>
      <c r="R837" s="4">
        <v>0</v>
      </c>
      <c r="S837" s="6">
        <v>0</v>
      </c>
      <c r="T837" s="6">
        <v>31</v>
      </c>
      <c r="U837" s="6">
        <v>79</v>
      </c>
      <c r="V837" s="6">
        <f>IF(ISERROR(VLOOKUP($S$837,'TAR FIN'!$A$1:$O$116,15,0)),0,VLOOKUP($S$837,'TAR FIN'!$A$1:$O$116,15,0))</f>
        <v>0</v>
      </c>
      <c r="W837" s="6">
        <f>IF(ISERROR(VLOOKUP($T$837,'TAR FIN'!$A$1:$O$116,15,0)),0,VLOOKUP($T$837,'TAR FIN'!$A$1:$O$116,15,0))</f>
        <v>88.66</v>
      </c>
      <c r="X837" s="6">
        <f>IF(ISERROR(VLOOKUP($U$837,'TAR FIN'!$A$1:$O$116,15,0)),0,VLOOKUP($U$837,'TAR FIN'!$A$1:$O$116,15,0))</f>
        <v>311.04000000000002</v>
      </c>
      <c r="Y837" s="6"/>
      <c r="Z837" s="6">
        <f ca="1">('TUSD BE'!$AM$35+'TUSD BF'!$AM$35+'TUSD CVA'!$AM$35)*1</f>
        <v>137.4358543126599</v>
      </c>
      <c r="AA837" s="6">
        <f>('TE BE'!$AB$10+'TE BF'!$AB$10+'TE CVA'!$AB$10)*1</f>
        <v>313.22907246928764</v>
      </c>
      <c r="AB837" s="6">
        <f>$K$837*$V$837</f>
        <v>0</v>
      </c>
      <c r="AC837" s="6">
        <f>$M$837*$W$837</f>
        <v>23859.7359</v>
      </c>
      <c r="AD837" s="6">
        <f>$O$837*$X$837</f>
        <v>83705.529600000009</v>
      </c>
      <c r="AE837" s="6">
        <f>$K$837*$Y$837</f>
        <v>0</v>
      </c>
      <c r="AF837" s="6">
        <f ca="1">$M$837*$Z$837</f>
        <v>36986.049933351467</v>
      </c>
      <c r="AG837" s="6">
        <f>$O$837*$AA$837</f>
        <v>84294.641837572344</v>
      </c>
    </row>
    <row r="838" spans="1:33" ht="11.25" customHeight="1" x14ac:dyDescent="0.25">
      <c r="A838" s="4" t="s">
        <v>58</v>
      </c>
      <c r="B838" s="4" t="s">
        <v>41</v>
      </c>
      <c r="C838" s="4" t="s">
        <v>42</v>
      </c>
      <c r="D838" s="4" t="s">
        <v>43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44682</v>
      </c>
      <c r="J838" s="6">
        <v>0</v>
      </c>
      <c r="K838" s="6">
        <v>0</v>
      </c>
      <c r="L838" s="6">
        <v>2412.4229999999998</v>
      </c>
      <c r="M838" s="6">
        <v>2412.4229999999998</v>
      </c>
      <c r="N838" s="6">
        <v>2412.4229999999998</v>
      </c>
      <c r="O838" s="6">
        <v>2412.4229999999998</v>
      </c>
      <c r="P838" s="6">
        <v>0</v>
      </c>
      <c r="Q838" s="4" t="s">
        <v>26</v>
      </c>
      <c r="R838" s="4">
        <v>0</v>
      </c>
      <c r="S838" s="6">
        <v>0</v>
      </c>
      <c r="T838" s="6">
        <v>31</v>
      </c>
      <c r="U838" s="6">
        <v>79</v>
      </c>
      <c r="V838" s="6">
        <f>IF(ISERROR(VLOOKUP($S$838,'TAR FIN'!$A$1:$O$116,15,0)),0,VLOOKUP($S$838,'TAR FIN'!$A$1:$O$116,15,0))</f>
        <v>0</v>
      </c>
      <c r="W838" s="6">
        <f>IF(ISERROR(VLOOKUP($T$838,'TAR FIN'!$A$1:$O$116,15,0)),0,VLOOKUP($T$838,'TAR FIN'!$A$1:$O$116,15,0))</f>
        <v>88.66</v>
      </c>
      <c r="X838" s="6">
        <f>IF(ISERROR(VLOOKUP($U$838,'TAR FIN'!$A$1:$O$116,15,0)),0,VLOOKUP($U$838,'TAR FIN'!$A$1:$O$116,15,0))</f>
        <v>311.04000000000002</v>
      </c>
      <c r="Y838" s="6"/>
      <c r="Z838" s="6">
        <f ca="1">('TUSD BE'!$AM$35+'TUSD BF'!$AM$35+'TUSD CVA'!$AM$35)*1</f>
        <v>137.4358543126599</v>
      </c>
      <c r="AA838" s="6">
        <f>('TE BE'!$AB$10+'TE BF'!$AB$10+'TE CVA'!$AB$10)*1</f>
        <v>313.22907246928764</v>
      </c>
      <c r="AB838" s="6">
        <f>$K$838*$V$838</f>
        <v>0</v>
      </c>
      <c r="AC838" s="6">
        <f>$M$838*$W$838</f>
        <v>213885.42317999998</v>
      </c>
      <c r="AD838" s="6">
        <f>$O$838*$X$838</f>
        <v>750360.04992000002</v>
      </c>
      <c r="AE838" s="6">
        <f>$K$838*$Y$838</f>
        <v>0</v>
      </c>
      <c r="AF838" s="6">
        <f ca="1">$M$838*$Z$838</f>
        <v>331553.41596850991</v>
      </c>
      <c r="AG838" s="6">
        <f>$O$838*$AA$838</f>
        <v>755641.01869357622</v>
      </c>
    </row>
    <row r="839" spans="1:33" ht="11.25" customHeight="1" x14ac:dyDescent="0.25">
      <c r="A839" s="4" t="s">
        <v>58</v>
      </c>
      <c r="B839" s="4" t="s">
        <v>41</v>
      </c>
      <c r="C839" s="4" t="s">
        <v>42</v>
      </c>
      <c r="D839" s="4" t="s">
        <v>43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44682</v>
      </c>
      <c r="J839" s="6">
        <v>0</v>
      </c>
      <c r="K839" s="6">
        <v>0</v>
      </c>
      <c r="L839" s="6">
        <v>11.64</v>
      </c>
      <c r="M839" s="6">
        <v>11.64</v>
      </c>
      <c r="N839" s="6">
        <v>11.64</v>
      </c>
      <c r="O839" s="6">
        <v>11.64</v>
      </c>
      <c r="P839" s="6">
        <v>0</v>
      </c>
      <c r="Q839" s="4" t="s">
        <v>26</v>
      </c>
      <c r="R839" s="4">
        <v>0</v>
      </c>
      <c r="S839" s="6">
        <v>0</v>
      </c>
      <c r="T839" s="6">
        <v>31</v>
      </c>
      <c r="U839" s="6">
        <v>79</v>
      </c>
      <c r="V839" s="6">
        <f>IF(ISERROR(VLOOKUP($S$839,'TAR FIN'!$A$1:$O$116,15,0)),0,VLOOKUP($S$839,'TAR FIN'!$A$1:$O$116,15,0))</f>
        <v>0</v>
      </c>
      <c r="W839" s="6">
        <f>IF(ISERROR(VLOOKUP($T$839,'TAR FIN'!$A$1:$O$116,15,0)),0,VLOOKUP($T$839,'TAR FIN'!$A$1:$O$116,15,0))</f>
        <v>88.66</v>
      </c>
      <c r="X839" s="6">
        <f>IF(ISERROR(VLOOKUP($U$839,'TAR FIN'!$A$1:$O$116,15,0)),0,VLOOKUP($U$839,'TAR FIN'!$A$1:$O$116,15,0))</f>
        <v>311.04000000000002</v>
      </c>
      <c r="Y839" s="6"/>
      <c r="Z839" s="6">
        <f ca="1">('TUSD BE'!$AM$35+'TUSD BF'!$AM$35+'TUSD CVA'!$AM$35)*1</f>
        <v>137.4358543126599</v>
      </c>
      <c r="AA839" s="6">
        <f>('TE BE'!$AB$10+'TE BF'!$AB$10+'TE CVA'!$AB$10)*1</f>
        <v>313.22907246928764</v>
      </c>
      <c r="AB839" s="6">
        <f>$K$839*$V$839</f>
        <v>0</v>
      </c>
      <c r="AC839" s="6">
        <f>$M$839*$W$839</f>
        <v>1032.0024000000001</v>
      </c>
      <c r="AD839" s="6">
        <f>$O$839*$X$839</f>
        <v>3620.5056000000004</v>
      </c>
      <c r="AE839" s="6">
        <f>$K$839*$Y$839</f>
        <v>0</v>
      </c>
      <c r="AF839" s="6">
        <f ca="1">$M$839*$Z$839</f>
        <v>1599.7533441993612</v>
      </c>
      <c r="AG839" s="6">
        <f>$O$839*$AA$839</f>
        <v>3645.9864035425085</v>
      </c>
    </row>
    <row r="840" spans="1:33" ht="11.25" customHeight="1" x14ac:dyDescent="0.25">
      <c r="A840" s="4" t="s">
        <v>58</v>
      </c>
      <c r="B840" s="4" t="s">
        <v>41</v>
      </c>
      <c r="C840" s="4" t="s">
        <v>42</v>
      </c>
      <c r="D840" s="4" t="s">
        <v>43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44682</v>
      </c>
      <c r="J840" s="6">
        <v>0</v>
      </c>
      <c r="K840" s="6">
        <v>0</v>
      </c>
      <c r="L840" s="6">
        <v>269.11500000000001</v>
      </c>
      <c r="M840" s="6">
        <v>269.11500000000001</v>
      </c>
      <c r="N840" s="6">
        <v>269.11500000000001</v>
      </c>
      <c r="O840" s="6">
        <v>269.11500000000001</v>
      </c>
      <c r="P840" s="6">
        <v>0</v>
      </c>
      <c r="Q840" s="4" t="s">
        <v>26</v>
      </c>
      <c r="R840" s="4">
        <v>0</v>
      </c>
      <c r="S840" s="6">
        <v>0</v>
      </c>
      <c r="T840" s="6">
        <v>31</v>
      </c>
      <c r="U840" s="6">
        <v>79</v>
      </c>
      <c r="V840" s="6">
        <f>IF(ISERROR(VLOOKUP($S$840,'TAR FIN'!$A$1:$O$116,15,0)),0,VLOOKUP($S$840,'TAR FIN'!$A$1:$O$116,15,0))</f>
        <v>0</v>
      </c>
      <c r="W840" s="6">
        <f>IF(ISERROR(VLOOKUP($T$840,'TAR FIN'!$A$1:$O$116,15,0)),0,VLOOKUP($T$840,'TAR FIN'!$A$1:$O$116,15,0))</f>
        <v>88.66</v>
      </c>
      <c r="X840" s="6">
        <f>IF(ISERROR(VLOOKUP($U$840,'TAR FIN'!$A$1:$O$116,15,0)),0,VLOOKUP($U$840,'TAR FIN'!$A$1:$O$116,15,0))</f>
        <v>311.04000000000002</v>
      </c>
      <c r="Y840" s="6"/>
      <c r="Z840" s="6">
        <f ca="1">('TUSD BE'!$AM$35+'TUSD BF'!$AM$35+'TUSD CVA'!$AM$35)*1</f>
        <v>137.4358543126599</v>
      </c>
      <c r="AA840" s="6">
        <f>('TE BE'!$AB$10+'TE BF'!$AB$10+'TE CVA'!$AB$10)*1</f>
        <v>313.22907246928764</v>
      </c>
      <c r="AB840" s="6">
        <f>$K$840*$V$840</f>
        <v>0</v>
      </c>
      <c r="AC840" s="6">
        <f>$M$840*$W$840</f>
        <v>23859.7359</v>
      </c>
      <c r="AD840" s="6">
        <f>$O$840*$X$840</f>
        <v>83705.529600000009</v>
      </c>
      <c r="AE840" s="6">
        <f>$K$840*$Y$840</f>
        <v>0</v>
      </c>
      <c r="AF840" s="6">
        <f ca="1">$M$840*$Z$840</f>
        <v>36986.049933351467</v>
      </c>
      <c r="AG840" s="6">
        <f>$O$840*$AA$840</f>
        <v>84294.641837572344</v>
      </c>
    </row>
    <row r="841" spans="1:33" ht="11.25" customHeight="1" x14ac:dyDescent="0.25">
      <c r="A841" s="4" t="s">
        <v>21</v>
      </c>
      <c r="B841" s="4" t="s">
        <v>41</v>
      </c>
      <c r="C841" s="4" t="s">
        <v>42</v>
      </c>
      <c r="D841" s="4" t="s">
        <v>43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44348</v>
      </c>
      <c r="J841" s="6">
        <v>12342</v>
      </c>
      <c r="K841" s="6">
        <v>12342</v>
      </c>
      <c r="L841" s="6">
        <v>0</v>
      </c>
      <c r="M841" s="6">
        <v>0</v>
      </c>
      <c r="N841" s="6">
        <v>0</v>
      </c>
      <c r="O841" s="6">
        <v>0</v>
      </c>
      <c r="P841" s="6">
        <v>113</v>
      </c>
      <c r="Q841" s="4" t="s">
        <v>26</v>
      </c>
      <c r="R841" s="4">
        <v>0</v>
      </c>
      <c r="S841" s="6">
        <v>29</v>
      </c>
      <c r="T841" s="6">
        <v>0</v>
      </c>
      <c r="U841" s="6">
        <v>0</v>
      </c>
      <c r="V841" s="6">
        <f>IF(ISERROR(VLOOKUP($S$841,'TAR FIN'!$A$1:$O$116,15,0)),0,VLOOKUP($S$841,'TAR FIN'!$A$1:$O$116,15,0))</f>
        <v>25.51</v>
      </c>
      <c r="W841" s="6">
        <f>IF(ISERROR(VLOOKUP($T$841,'TAR FIN'!$A$1:$O$116,15,0)),0,VLOOKUP($T$841,'TAR FIN'!$A$1:$O$116,15,0))</f>
        <v>0</v>
      </c>
      <c r="X841" s="6">
        <f>IF(ISERROR(VLOOKUP($U$841,'TAR FIN'!$A$1:$O$116,15,0)),0,VLOOKUP($U$841,'TAR FIN'!$A$1:$O$116,15,0))</f>
        <v>0</v>
      </c>
      <c r="Y841" s="6">
        <f ca="1">('TUSD BE'!$AM$33+'TUSD BF'!$AM$33+'TUSD CVA'!$AM$33)*1</f>
        <v>29.803266797877356</v>
      </c>
      <c r="Z841" s="6"/>
      <c r="AA841" s="6"/>
      <c r="AB841" s="6">
        <f>$K$841*$V$841</f>
        <v>314844.42000000004</v>
      </c>
      <c r="AC841" s="6">
        <f>$M$841*$W$841</f>
        <v>0</v>
      </c>
      <c r="AD841" s="6">
        <f>$O$841*$X$841</f>
        <v>0</v>
      </c>
      <c r="AE841" s="6">
        <f ca="1">$K$841*$Y$841</f>
        <v>367831.91881940234</v>
      </c>
      <c r="AF841" s="6">
        <f>$M$841*$Z$841</f>
        <v>0</v>
      </c>
      <c r="AG841" s="6">
        <f>$O$841*$AA$841</f>
        <v>0</v>
      </c>
    </row>
    <row r="842" spans="1:33" ht="11.25" customHeight="1" x14ac:dyDescent="0.25">
      <c r="A842" s="4" t="s">
        <v>28</v>
      </c>
      <c r="B842" s="4" t="s">
        <v>41</v>
      </c>
      <c r="C842" s="4" t="s">
        <v>42</v>
      </c>
      <c r="D842" s="4" t="s">
        <v>43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44348</v>
      </c>
      <c r="J842" s="6">
        <v>2331</v>
      </c>
      <c r="K842" s="6">
        <v>2331</v>
      </c>
      <c r="L842" s="6">
        <v>0</v>
      </c>
      <c r="M842" s="6">
        <v>0</v>
      </c>
      <c r="N842" s="6">
        <v>0</v>
      </c>
      <c r="O842" s="6">
        <v>0</v>
      </c>
      <c r="P842" s="6">
        <v>15</v>
      </c>
      <c r="Q842" s="4" t="s">
        <v>26</v>
      </c>
      <c r="R842" s="4">
        <v>0</v>
      </c>
      <c r="S842" s="6">
        <v>29</v>
      </c>
      <c r="T842" s="6">
        <v>0</v>
      </c>
      <c r="U842" s="6">
        <v>0</v>
      </c>
      <c r="V842" s="6">
        <f>IF(ISERROR(VLOOKUP($S$842,'TAR FIN'!$A$1:$O$116,15,0)),0,VLOOKUP($S$842,'TAR FIN'!$A$1:$O$116,15,0))</f>
        <v>25.51</v>
      </c>
      <c r="W842" s="6">
        <f>IF(ISERROR(VLOOKUP($T$842,'TAR FIN'!$A$1:$O$116,15,0)),0,VLOOKUP($T$842,'TAR FIN'!$A$1:$O$116,15,0))</f>
        <v>0</v>
      </c>
      <c r="X842" s="6">
        <f>IF(ISERROR(VLOOKUP($U$842,'TAR FIN'!$A$1:$O$116,15,0)),0,VLOOKUP($U$842,'TAR FIN'!$A$1:$O$116,15,0))</f>
        <v>0</v>
      </c>
      <c r="Y842" s="6">
        <f ca="1">('TUSD BE'!$AM$33+'TUSD BF'!$AM$33+'TUSD CVA'!$AM$33)*1</f>
        <v>29.803266797877356</v>
      </c>
      <c r="Z842" s="6"/>
      <c r="AA842" s="6"/>
      <c r="AB842" s="6">
        <f>$K$842*$V$842</f>
        <v>59463.810000000005</v>
      </c>
      <c r="AC842" s="6">
        <f>$M$842*$W$842</f>
        <v>0</v>
      </c>
      <c r="AD842" s="6">
        <f>$O$842*$X$842</f>
        <v>0</v>
      </c>
      <c r="AE842" s="6">
        <f ca="1">$K$842*$Y$842</f>
        <v>69471.414905852114</v>
      </c>
      <c r="AF842" s="6">
        <f>$M$842*$Z$842</f>
        <v>0</v>
      </c>
      <c r="AG842" s="6">
        <f>$O$842*$AA$842</f>
        <v>0</v>
      </c>
    </row>
    <row r="843" spans="1:33" ht="11.25" customHeight="1" x14ac:dyDescent="0.25">
      <c r="A843" s="4" t="s">
        <v>28</v>
      </c>
      <c r="B843" s="4" t="s">
        <v>41</v>
      </c>
      <c r="C843" s="4" t="s">
        <v>42</v>
      </c>
      <c r="D843" s="4" t="s">
        <v>43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44348</v>
      </c>
      <c r="J843" s="6">
        <v>76</v>
      </c>
      <c r="K843" s="6">
        <v>76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4" t="s">
        <v>26</v>
      </c>
      <c r="R843" s="4">
        <v>0</v>
      </c>
      <c r="S843" s="6">
        <v>29</v>
      </c>
      <c r="T843" s="6">
        <v>0</v>
      </c>
      <c r="U843" s="6">
        <v>0</v>
      </c>
      <c r="V843" s="6">
        <f>IF(ISERROR(VLOOKUP($S$843,'TAR FIN'!$A$1:$O$116,15,0)),0,VLOOKUP($S$843,'TAR FIN'!$A$1:$O$116,15,0))</f>
        <v>25.51</v>
      </c>
      <c r="W843" s="6">
        <f>IF(ISERROR(VLOOKUP($T$843,'TAR FIN'!$A$1:$O$116,15,0)),0,VLOOKUP($T$843,'TAR FIN'!$A$1:$O$116,15,0))</f>
        <v>0</v>
      </c>
      <c r="X843" s="6">
        <f>IF(ISERROR(VLOOKUP($U$843,'TAR FIN'!$A$1:$O$116,15,0)),0,VLOOKUP($U$843,'TAR FIN'!$A$1:$O$116,15,0))</f>
        <v>0</v>
      </c>
      <c r="Y843" s="6">
        <f ca="1">('TUSD BE'!$AM$33+'TUSD BF'!$AM$33+'TUSD CVA'!$AM$33)*1</f>
        <v>29.803266797877356</v>
      </c>
      <c r="Z843" s="6"/>
      <c r="AA843" s="6"/>
      <c r="AB843" s="6">
        <f>$K$843*$V$843</f>
        <v>1938.7600000000002</v>
      </c>
      <c r="AC843" s="6">
        <f>$M$843*$W$843</f>
        <v>0</v>
      </c>
      <c r="AD843" s="6">
        <f>$O$843*$X$843</f>
        <v>0</v>
      </c>
      <c r="AE843" s="6">
        <f ca="1">$K$843*$Y$843</f>
        <v>2265.048276638679</v>
      </c>
      <c r="AF843" s="6">
        <f>$M$843*$Z$843</f>
        <v>0</v>
      </c>
      <c r="AG843" s="6">
        <f>$O$843*$AA$843</f>
        <v>0</v>
      </c>
    </row>
    <row r="844" spans="1:33" ht="11.25" customHeight="1" x14ac:dyDescent="0.25">
      <c r="A844" s="4" t="s">
        <v>21</v>
      </c>
      <c r="B844" s="4" t="s">
        <v>41</v>
      </c>
      <c r="C844" s="4" t="s">
        <v>42</v>
      </c>
      <c r="D844" s="4" t="s">
        <v>43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44378</v>
      </c>
      <c r="J844" s="6">
        <v>12049</v>
      </c>
      <c r="K844" s="6">
        <v>12049</v>
      </c>
      <c r="L844" s="6">
        <v>0</v>
      </c>
      <c r="M844" s="6">
        <v>0</v>
      </c>
      <c r="N844" s="6">
        <v>0</v>
      </c>
      <c r="O844" s="6">
        <v>0</v>
      </c>
      <c r="P844" s="6">
        <v>110</v>
      </c>
      <c r="Q844" s="4" t="s">
        <v>26</v>
      </c>
      <c r="R844" s="4">
        <v>0</v>
      </c>
      <c r="S844" s="6">
        <v>29</v>
      </c>
      <c r="T844" s="6">
        <v>0</v>
      </c>
      <c r="U844" s="6">
        <v>0</v>
      </c>
      <c r="V844" s="6">
        <f>IF(ISERROR(VLOOKUP($S$844,'TAR FIN'!$A$1:$O$116,15,0)),0,VLOOKUP($S$844,'TAR FIN'!$A$1:$O$116,15,0))</f>
        <v>25.51</v>
      </c>
      <c r="W844" s="6">
        <f>IF(ISERROR(VLOOKUP($T$844,'TAR FIN'!$A$1:$O$116,15,0)),0,VLOOKUP($T$844,'TAR FIN'!$A$1:$O$116,15,0))</f>
        <v>0</v>
      </c>
      <c r="X844" s="6">
        <f>IF(ISERROR(VLOOKUP($U$844,'TAR FIN'!$A$1:$O$116,15,0)),0,VLOOKUP($U$844,'TAR FIN'!$A$1:$O$116,15,0))</f>
        <v>0</v>
      </c>
      <c r="Y844" s="6">
        <f ca="1">('TUSD BE'!$AM$33+'TUSD BF'!$AM$33+'TUSD CVA'!$AM$33)*1</f>
        <v>29.803266797877356</v>
      </c>
      <c r="Z844" s="6"/>
      <c r="AA844" s="6"/>
      <c r="AB844" s="6">
        <f>$K$844*$V$844</f>
        <v>307369.99</v>
      </c>
      <c r="AC844" s="6">
        <f>$M$844*$W$844</f>
        <v>0</v>
      </c>
      <c r="AD844" s="6">
        <f>$O$844*$X$844</f>
        <v>0</v>
      </c>
      <c r="AE844" s="6">
        <f ca="1">$K$844*$Y$844</f>
        <v>359099.56164762424</v>
      </c>
      <c r="AF844" s="6">
        <f>$M$844*$Z$844</f>
        <v>0</v>
      </c>
      <c r="AG844" s="6">
        <f>$O$844*$AA$844</f>
        <v>0</v>
      </c>
    </row>
    <row r="845" spans="1:33" ht="11.25" customHeight="1" x14ac:dyDescent="0.25">
      <c r="A845" s="4" t="s">
        <v>28</v>
      </c>
      <c r="B845" s="4" t="s">
        <v>41</v>
      </c>
      <c r="C845" s="4" t="s">
        <v>42</v>
      </c>
      <c r="D845" s="4" t="s">
        <v>43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2603</v>
      </c>
      <c r="K845" s="6">
        <v>2603</v>
      </c>
      <c r="L845" s="6">
        <v>0</v>
      </c>
      <c r="M845" s="6">
        <v>0</v>
      </c>
      <c r="N845" s="6">
        <v>0</v>
      </c>
      <c r="O845" s="6">
        <v>0</v>
      </c>
      <c r="P845" s="6">
        <v>18</v>
      </c>
      <c r="Q845" s="4" t="s">
        <v>26</v>
      </c>
      <c r="R845" s="4">
        <v>0</v>
      </c>
      <c r="S845" s="6">
        <v>29</v>
      </c>
      <c r="T845" s="6">
        <v>0</v>
      </c>
      <c r="U845" s="6">
        <v>0</v>
      </c>
      <c r="V845" s="6">
        <f>IF(ISERROR(VLOOKUP($S$845,'TAR FIN'!$A$1:$O$116,15,0)),0,VLOOKUP($S$845,'TAR FIN'!$A$1:$O$116,15,0))</f>
        <v>25.51</v>
      </c>
      <c r="W845" s="6">
        <f>IF(ISERROR(VLOOKUP($T$845,'TAR FIN'!$A$1:$O$116,15,0)),0,VLOOKUP($T$845,'TAR FIN'!$A$1:$O$116,15,0))</f>
        <v>0</v>
      </c>
      <c r="X845" s="6">
        <f>IF(ISERROR(VLOOKUP($U$845,'TAR FIN'!$A$1:$O$116,15,0)),0,VLOOKUP($U$845,'TAR FIN'!$A$1:$O$116,15,0))</f>
        <v>0</v>
      </c>
      <c r="Y845" s="6">
        <f ca="1">('TUSD BE'!$AM$33+'TUSD BF'!$AM$33+'TUSD CVA'!$AM$33)*1</f>
        <v>29.803266797877356</v>
      </c>
      <c r="Z845" s="6"/>
      <c r="AA845" s="6"/>
      <c r="AB845" s="6">
        <f>$K$845*$V$845</f>
        <v>66402.53</v>
      </c>
      <c r="AC845" s="6">
        <f>$M$845*$W$845</f>
        <v>0</v>
      </c>
      <c r="AD845" s="6">
        <f>$O$845*$X$845</f>
        <v>0</v>
      </c>
      <c r="AE845" s="6">
        <f ca="1">$K$845*$Y$845</f>
        <v>77577.903474874751</v>
      </c>
      <c r="AF845" s="6">
        <f>$M$845*$Z$845</f>
        <v>0</v>
      </c>
      <c r="AG845" s="6">
        <f>$O$845*$AA$845</f>
        <v>0</v>
      </c>
    </row>
    <row r="846" spans="1:33" ht="11.25" customHeight="1" x14ac:dyDescent="0.25">
      <c r="A846" s="4" t="s">
        <v>21</v>
      </c>
      <c r="B846" s="4" t="s">
        <v>41</v>
      </c>
      <c r="C846" s="4" t="s">
        <v>42</v>
      </c>
      <c r="D846" s="4" t="s">
        <v>43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44409</v>
      </c>
      <c r="J846" s="6">
        <v>12014</v>
      </c>
      <c r="K846" s="6">
        <v>12014</v>
      </c>
      <c r="L846" s="6">
        <v>0</v>
      </c>
      <c r="M846" s="6">
        <v>0</v>
      </c>
      <c r="N846" s="6">
        <v>0</v>
      </c>
      <c r="O846" s="6">
        <v>0</v>
      </c>
      <c r="P846" s="6">
        <v>111</v>
      </c>
      <c r="Q846" s="4" t="s">
        <v>26</v>
      </c>
      <c r="R846" s="4">
        <v>0</v>
      </c>
      <c r="S846" s="6">
        <v>29</v>
      </c>
      <c r="T846" s="6">
        <v>0</v>
      </c>
      <c r="U846" s="6">
        <v>0</v>
      </c>
      <c r="V846" s="6">
        <f>IF(ISERROR(VLOOKUP($S$846,'TAR FIN'!$A$1:$O$116,15,0)),0,VLOOKUP($S$846,'TAR FIN'!$A$1:$O$116,15,0))</f>
        <v>25.51</v>
      </c>
      <c r="W846" s="6">
        <f>IF(ISERROR(VLOOKUP($T$846,'TAR FIN'!$A$1:$O$116,15,0)),0,VLOOKUP($T$846,'TAR FIN'!$A$1:$O$116,15,0))</f>
        <v>0</v>
      </c>
      <c r="X846" s="6">
        <f>IF(ISERROR(VLOOKUP($U$846,'TAR FIN'!$A$1:$O$116,15,0)),0,VLOOKUP($U$846,'TAR FIN'!$A$1:$O$116,15,0))</f>
        <v>0</v>
      </c>
      <c r="Y846" s="6">
        <f ca="1">('TUSD BE'!$AM$33+'TUSD BF'!$AM$33+'TUSD CVA'!$AM$33)*1</f>
        <v>29.803266797877356</v>
      </c>
      <c r="Z846" s="6"/>
      <c r="AA846" s="6"/>
      <c r="AB846" s="6">
        <f>$K$846*$V$846</f>
        <v>306477.14</v>
      </c>
      <c r="AC846" s="6">
        <f>$M$846*$W$846</f>
        <v>0</v>
      </c>
      <c r="AD846" s="6">
        <f>$O$846*$X$846</f>
        <v>0</v>
      </c>
      <c r="AE846" s="6">
        <f ca="1">$K$846*$Y$846</f>
        <v>358056.44730969856</v>
      </c>
      <c r="AF846" s="6">
        <f>$M$846*$Z$846</f>
        <v>0</v>
      </c>
      <c r="AG846" s="6">
        <f>$O$846*$AA$846</f>
        <v>0</v>
      </c>
    </row>
    <row r="847" spans="1:33" ht="11.25" customHeight="1" x14ac:dyDescent="0.25">
      <c r="A847" s="4" t="s">
        <v>27</v>
      </c>
      <c r="B847" s="4" t="s">
        <v>41</v>
      </c>
      <c r="C847" s="4" t="s">
        <v>42</v>
      </c>
      <c r="D847" s="4" t="s">
        <v>43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44409</v>
      </c>
      <c r="J847" s="6">
        <v>3</v>
      </c>
      <c r="K847" s="6">
        <v>3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4" t="s">
        <v>26</v>
      </c>
      <c r="R847" s="4">
        <v>0</v>
      </c>
      <c r="S847" s="6">
        <v>29</v>
      </c>
      <c r="T847" s="6">
        <v>0</v>
      </c>
      <c r="U847" s="6">
        <v>0</v>
      </c>
      <c r="V847" s="6">
        <f>IF(ISERROR(VLOOKUP($S$847,'TAR FIN'!$A$1:$O$116,15,0)),0,VLOOKUP($S$847,'TAR FIN'!$A$1:$O$116,15,0))</f>
        <v>25.51</v>
      </c>
      <c r="W847" s="6">
        <f>IF(ISERROR(VLOOKUP($T$847,'TAR FIN'!$A$1:$O$116,15,0)),0,VLOOKUP($T$847,'TAR FIN'!$A$1:$O$116,15,0))</f>
        <v>0</v>
      </c>
      <c r="X847" s="6">
        <f>IF(ISERROR(VLOOKUP($U$847,'TAR FIN'!$A$1:$O$116,15,0)),0,VLOOKUP($U$847,'TAR FIN'!$A$1:$O$116,15,0))</f>
        <v>0</v>
      </c>
      <c r="Y847" s="6">
        <f ca="1">('TUSD BE'!$AM$33+'TUSD BF'!$AM$33+'TUSD CVA'!$AM$33)*1</f>
        <v>29.803266797877356</v>
      </c>
      <c r="Z847" s="6"/>
      <c r="AA847" s="6"/>
      <c r="AB847" s="6">
        <f>$K$847*$V$847</f>
        <v>76.53</v>
      </c>
      <c r="AC847" s="6">
        <f>$M$847*$W$847</f>
        <v>0</v>
      </c>
      <c r="AD847" s="6">
        <f>$O$847*$X$847</f>
        <v>0</v>
      </c>
      <c r="AE847" s="6">
        <f ca="1">$K$847*$Y$847</f>
        <v>89.409800393632068</v>
      </c>
      <c r="AF847" s="6">
        <f>$M$847*$Z$847</f>
        <v>0</v>
      </c>
      <c r="AG847" s="6">
        <f>$O$847*$AA$847</f>
        <v>0</v>
      </c>
    </row>
    <row r="848" spans="1:33" ht="11.25" customHeight="1" x14ac:dyDescent="0.25">
      <c r="A848" s="4" t="s">
        <v>28</v>
      </c>
      <c r="B848" s="4" t="s">
        <v>41</v>
      </c>
      <c r="C848" s="4" t="s">
        <v>42</v>
      </c>
      <c r="D848" s="4" t="s">
        <v>43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44409</v>
      </c>
      <c r="J848" s="6">
        <v>2669</v>
      </c>
      <c r="K848" s="6">
        <v>2669</v>
      </c>
      <c r="L848" s="6">
        <v>0</v>
      </c>
      <c r="M848" s="6">
        <v>0</v>
      </c>
      <c r="N848" s="6">
        <v>0</v>
      </c>
      <c r="O848" s="6">
        <v>0</v>
      </c>
      <c r="P848" s="6">
        <v>19</v>
      </c>
      <c r="Q848" s="4" t="s">
        <v>26</v>
      </c>
      <c r="R848" s="4">
        <v>0</v>
      </c>
      <c r="S848" s="6">
        <v>29</v>
      </c>
      <c r="T848" s="6">
        <v>0</v>
      </c>
      <c r="U848" s="6">
        <v>0</v>
      </c>
      <c r="V848" s="6">
        <f>IF(ISERROR(VLOOKUP($S$848,'TAR FIN'!$A$1:$O$116,15,0)),0,VLOOKUP($S$848,'TAR FIN'!$A$1:$O$116,15,0))</f>
        <v>25.51</v>
      </c>
      <c r="W848" s="6">
        <f>IF(ISERROR(VLOOKUP($T$848,'TAR FIN'!$A$1:$O$116,15,0)),0,VLOOKUP($T$848,'TAR FIN'!$A$1:$O$116,15,0))</f>
        <v>0</v>
      </c>
      <c r="X848" s="6">
        <f>IF(ISERROR(VLOOKUP($U$848,'TAR FIN'!$A$1:$O$116,15,0)),0,VLOOKUP($U$848,'TAR FIN'!$A$1:$O$116,15,0))</f>
        <v>0</v>
      </c>
      <c r="Y848" s="6">
        <f ca="1">('TUSD BE'!$AM$33+'TUSD BF'!$AM$33+'TUSD CVA'!$AM$33)*1</f>
        <v>29.803266797877356</v>
      </c>
      <c r="Z848" s="6"/>
      <c r="AA848" s="6"/>
      <c r="AB848" s="6">
        <f>$K$848*$V$848</f>
        <v>68086.19</v>
      </c>
      <c r="AC848" s="6">
        <f>$M$848*$W$848</f>
        <v>0</v>
      </c>
      <c r="AD848" s="6">
        <f>$O$848*$X$848</f>
        <v>0</v>
      </c>
      <c r="AE848" s="6">
        <f ca="1">$K$848*$Y$848</f>
        <v>79544.919083534667</v>
      </c>
      <c r="AF848" s="6">
        <f>$M$848*$Z$848</f>
        <v>0</v>
      </c>
      <c r="AG848" s="6">
        <f>$O$848*$AA$848</f>
        <v>0</v>
      </c>
    </row>
    <row r="849" spans="1:33" ht="11.25" customHeight="1" x14ac:dyDescent="0.25">
      <c r="A849" s="4" t="s">
        <v>21</v>
      </c>
      <c r="B849" s="4" t="s">
        <v>41</v>
      </c>
      <c r="C849" s="4" t="s">
        <v>42</v>
      </c>
      <c r="D849" s="4" t="s">
        <v>43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44440</v>
      </c>
      <c r="J849" s="6">
        <v>12191</v>
      </c>
      <c r="K849" s="6">
        <v>12191</v>
      </c>
      <c r="L849" s="6">
        <v>0</v>
      </c>
      <c r="M849" s="6">
        <v>0</v>
      </c>
      <c r="N849" s="6">
        <v>0</v>
      </c>
      <c r="O849" s="6">
        <v>0</v>
      </c>
      <c r="P849" s="6">
        <v>107</v>
      </c>
      <c r="Q849" s="4" t="s">
        <v>26</v>
      </c>
      <c r="R849" s="4">
        <v>0</v>
      </c>
      <c r="S849" s="6">
        <v>29</v>
      </c>
      <c r="T849" s="6">
        <v>0</v>
      </c>
      <c r="U849" s="6">
        <v>0</v>
      </c>
      <c r="V849" s="6">
        <f>IF(ISERROR(VLOOKUP($S$849,'TAR FIN'!$A$1:$O$116,15,0)),0,VLOOKUP($S$849,'TAR FIN'!$A$1:$O$116,15,0))</f>
        <v>25.51</v>
      </c>
      <c r="W849" s="6">
        <f>IF(ISERROR(VLOOKUP($T$849,'TAR FIN'!$A$1:$O$116,15,0)),0,VLOOKUP($T$849,'TAR FIN'!$A$1:$O$116,15,0))</f>
        <v>0</v>
      </c>
      <c r="X849" s="6">
        <f>IF(ISERROR(VLOOKUP($U$849,'TAR FIN'!$A$1:$O$116,15,0)),0,VLOOKUP($U$849,'TAR FIN'!$A$1:$O$116,15,0))</f>
        <v>0</v>
      </c>
      <c r="Y849" s="6">
        <f ca="1">('TUSD BE'!$AM$33+'TUSD BF'!$AM$33+'TUSD CVA'!$AM$33)*1</f>
        <v>29.803266797877356</v>
      </c>
      <c r="Z849" s="6"/>
      <c r="AA849" s="6"/>
      <c r="AB849" s="6">
        <f>$K$849*$V$849</f>
        <v>310992.41000000003</v>
      </c>
      <c r="AC849" s="6">
        <f>$M$849*$W$849</f>
        <v>0</v>
      </c>
      <c r="AD849" s="6">
        <f>$O$849*$X$849</f>
        <v>0</v>
      </c>
      <c r="AE849" s="6">
        <f ca="1">$K$849*$Y$849</f>
        <v>363331.62553292286</v>
      </c>
      <c r="AF849" s="6">
        <f>$M$849*$Z$849</f>
        <v>0</v>
      </c>
      <c r="AG849" s="6">
        <f>$O$849*$AA$849</f>
        <v>0</v>
      </c>
    </row>
    <row r="850" spans="1:33" ht="11.25" customHeight="1" x14ac:dyDescent="0.25">
      <c r="A850" s="4" t="s">
        <v>28</v>
      </c>
      <c r="B850" s="4" t="s">
        <v>41</v>
      </c>
      <c r="C850" s="4" t="s">
        <v>42</v>
      </c>
      <c r="D850" s="4" t="s">
        <v>43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44440</v>
      </c>
      <c r="J850" s="6">
        <v>2969</v>
      </c>
      <c r="K850" s="6">
        <v>2969</v>
      </c>
      <c r="L850" s="6">
        <v>0</v>
      </c>
      <c r="M850" s="6">
        <v>0</v>
      </c>
      <c r="N850" s="6">
        <v>0</v>
      </c>
      <c r="O850" s="6">
        <v>0</v>
      </c>
      <c r="P850" s="6">
        <v>21</v>
      </c>
      <c r="Q850" s="4" t="s">
        <v>26</v>
      </c>
      <c r="R850" s="4">
        <v>0</v>
      </c>
      <c r="S850" s="6">
        <v>29</v>
      </c>
      <c r="T850" s="6">
        <v>0</v>
      </c>
      <c r="U850" s="6">
        <v>0</v>
      </c>
      <c r="V850" s="6">
        <f>IF(ISERROR(VLOOKUP($S$850,'TAR FIN'!$A$1:$O$116,15,0)),0,VLOOKUP($S$850,'TAR FIN'!$A$1:$O$116,15,0))</f>
        <v>25.51</v>
      </c>
      <c r="W850" s="6">
        <f>IF(ISERROR(VLOOKUP($T$850,'TAR FIN'!$A$1:$O$116,15,0)),0,VLOOKUP($T$850,'TAR FIN'!$A$1:$O$116,15,0))</f>
        <v>0</v>
      </c>
      <c r="X850" s="6">
        <f>IF(ISERROR(VLOOKUP($U$850,'TAR FIN'!$A$1:$O$116,15,0)),0,VLOOKUP($U$850,'TAR FIN'!$A$1:$O$116,15,0))</f>
        <v>0</v>
      </c>
      <c r="Y850" s="6">
        <f ca="1">('TUSD BE'!$AM$33+'TUSD BF'!$AM$33+'TUSD CVA'!$AM$33)*1</f>
        <v>29.803266797877356</v>
      </c>
      <c r="Z850" s="6"/>
      <c r="AA850" s="6"/>
      <c r="AB850" s="6">
        <f>$K$850*$V$850</f>
        <v>75739.19</v>
      </c>
      <c r="AC850" s="6">
        <f>$M$850*$W$850</f>
        <v>0</v>
      </c>
      <c r="AD850" s="6">
        <f>$O$850*$X$850</f>
        <v>0</v>
      </c>
      <c r="AE850" s="6">
        <f ca="1">$K$850*$Y$850</f>
        <v>88485.89912289787</v>
      </c>
      <c r="AF850" s="6">
        <f>$M$850*$Z$850</f>
        <v>0</v>
      </c>
      <c r="AG850" s="6">
        <f>$O$850*$AA$850</f>
        <v>0</v>
      </c>
    </row>
    <row r="851" spans="1:33" ht="11.25" customHeight="1" x14ac:dyDescent="0.25">
      <c r="A851" s="4" t="s">
        <v>21</v>
      </c>
      <c r="B851" s="4" t="s">
        <v>41</v>
      </c>
      <c r="C851" s="4" t="s">
        <v>42</v>
      </c>
      <c r="D851" s="4" t="s">
        <v>43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44470</v>
      </c>
      <c r="J851" s="6">
        <v>12052</v>
      </c>
      <c r="K851" s="6">
        <v>12052</v>
      </c>
      <c r="L851" s="6">
        <v>0</v>
      </c>
      <c r="M851" s="6">
        <v>0</v>
      </c>
      <c r="N851" s="6">
        <v>0</v>
      </c>
      <c r="O851" s="6">
        <v>0</v>
      </c>
      <c r="P851" s="6">
        <v>107</v>
      </c>
      <c r="Q851" s="4" t="s">
        <v>26</v>
      </c>
      <c r="R851" s="4">
        <v>0</v>
      </c>
      <c r="S851" s="6">
        <v>29</v>
      </c>
      <c r="T851" s="6">
        <v>0</v>
      </c>
      <c r="U851" s="6">
        <v>0</v>
      </c>
      <c r="V851" s="6">
        <f>IF(ISERROR(VLOOKUP($S$851,'TAR FIN'!$A$1:$O$116,15,0)),0,VLOOKUP($S$851,'TAR FIN'!$A$1:$O$116,15,0))</f>
        <v>25.51</v>
      </c>
      <c r="W851" s="6">
        <f>IF(ISERROR(VLOOKUP($T$851,'TAR FIN'!$A$1:$O$116,15,0)),0,VLOOKUP($T$851,'TAR FIN'!$A$1:$O$116,15,0))</f>
        <v>0</v>
      </c>
      <c r="X851" s="6">
        <f>IF(ISERROR(VLOOKUP($U$851,'TAR FIN'!$A$1:$O$116,15,0)),0,VLOOKUP($U$851,'TAR FIN'!$A$1:$O$116,15,0))</f>
        <v>0</v>
      </c>
      <c r="Y851" s="6">
        <f ca="1">('TUSD BE'!$AM$33+'TUSD BF'!$AM$33+'TUSD CVA'!$AM$33)*1</f>
        <v>29.803266797877356</v>
      </c>
      <c r="Z851" s="6"/>
      <c r="AA851" s="6"/>
      <c r="AB851" s="6">
        <f>$K$851*$V$851</f>
        <v>307446.52</v>
      </c>
      <c r="AC851" s="6">
        <f>$M$851*$W$851</f>
        <v>0</v>
      </c>
      <c r="AD851" s="6">
        <f>$O$851*$X$851</f>
        <v>0</v>
      </c>
      <c r="AE851" s="6">
        <f ca="1">$K$851*$Y$851</f>
        <v>359188.97144801787</v>
      </c>
      <c r="AF851" s="6">
        <f>$M$851*$Z$851</f>
        <v>0</v>
      </c>
      <c r="AG851" s="6">
        <f>$O$851*$AA$851</f>
        <v>0</v>
      </c>
    </row>
    <row r="852" spans="1:33" ht="11.25" customHeight="1" x14ac:dyDescent="0.25">
      <c r="A852" s="4" t="s">
        <v>27</v>
      </c>
      <c r="B852" s="4" t="s">
        <v>41</v>
      </c>
      <c r="C852" s="4" t="s">
        <v>42</v>
      </c>
      <c r="D852" s="4" t="s">
        <v>43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44470</v>
      </c>
      <c r="J852" s="6">
        <v>140</v>
      </c>
      <c r="K852" s="6">
        <v>140</v>
      </c>
      <c r="L852" s="6">
        <v>0</v>
      </c>
      <c r="M852" s="6">
        <v>0</v>
      </c>
      <c r="N852" s="6">
        <v>0</v>
      </c>
      <c r="O852" s="6">
        <v>0</v>
      </c>
      <c r="P852" s="6">
        <v>2</v>
      </c>
      <c r="Q852" s="4" t="s">
        <v>26</v>
      </c>
      <c r="R852" s="4">
        <v>0</v>
      </c>
      <c r="S852" s="6">
        <v>29</v>
      </c>
      <c r="T852" s="6">
        <v>0</v>
      </c>
      <c r="U852" s="6">
        <v>0</v>
      </c>
      <c r="V852" s="6">
        <f>IF(ISERROR(VLOOKUP($S$852,'TAR FIN'!$A$1:$O$116,15,0)),0,VLOOKUP($S$852,'TAR FIN'!$A$1:$O$116,15,0))</f>
        <v>25.51</v>
      </c>
      <c r="W852" s="6">
        <f>IF(ISERROR(VLOOKUP($T$852,'TAR FIN'!$A$1:$O$116,15,0)),0,VLOOKUP($T$852,'TAR FIN'!$A$1:$O$116,15,0))</f>
        <v>0</v>
      </c>
      <c r="X852" s="6">
        <f>IF(ISERROR(VLOOKUP($U$852,'TAR FIN'!$A$1:$O$116,15,0)),0,VLOOKUP($U$852,'TAR FIN'!$A$1:$O$116,15,0))</f>
        <v>0</v>
      </c>
      <c r="Y852" s="6">
        <f ca="1">('TUSD BE'!$AM$33+'TUSD BF'!$AM$33+'TUSD CVA'!$AM$33)*1</f>
        <v>29.803266797877356</v>
      </c>
      <c r="Z852" s="6"/>
      <c r="AA852" s="6"/>
      <c r="AB852" s="6">
        <f>$K$852*$V$852</f>
        <v>3571.4</v>
      </c>
      <c r="AC852" s="6">
        <f>$M$852*$W$852</f>
        <v>0</v>
      </c>
      <c r="AD852" s="6">
        <f>$O$852*$X$852</f>
        <v>0</v>
      </c>
      <c r="AE852" s="6">
        <f ca="1">$K$852*$Y$852</f>
        <v>4172.4573517028302</v>
      </c>
      <c r="AF852" s="6">
        <f>$M$852*$Z$852</f>
        <v>0</v>
      </c>
      <c r="AG852" s="6">
        <f>$O$852*$AA$852</f>
        <v>0</v>
      </c>
    </row>
    <row r="853" spans="1:33" ht="11.25" customHeight="1" x14ac:dyDescent="0.25">
      <c r="A853" s="4" t="s">
        <v>28</v>
      </c>
      <c r="B853" s="4" t="s">
        <v>41</v>
      </c>
      <c r="C853" s="4" t="s">
        <v>42</v>
      </c>
      <c r="D853" s="4" t="s">
        <v>43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44470</v>
      </c>
      <c r="J853" s="6">
        <v>3018</v>
      </c>
      <c r="K853" s="6">
        <v>3018</v>
      </c>
      <c r="L853" s="6">
        <v>0</v>
      </c>
      <c r="M853" s="6">
        <v>0</v>
      </c>
      <c r="N853" s="6">
        <v>0</v>
      </c>
      <c r="O853" s="6">
        <v>0</v>
      </c>
      <c r="P853" s="6">
        <v>21</v>
      </c>
      <c r="Q853" s="4" t="s">
        <v>26</v>
      </c>
      <c r="R853" s="4">
        <v>0</v>
      </c>
      <c r="S853" s="6">
        <v>29</v>
      </c>
      <c r="T853" s="6">
        <v>0</v>
      </c>
      <c r="U853" s="6">
        <v>0</v>
      </c>
      <c r="V853" s="6">
        <f>IF(ISERROR(VLOOKUP($S$853,'TAR FIN'!$A$1:$O$116,15,0)),0,VLOOKUP($S$853,'TAR FIN'!$A$1:$O$116,15,0))</f>
        <v>25.51</v>
      </c>
      <c r="W853" s="6">
        <f>IF(ISERROR(VLOOKUP($T$853,'TAR FIN'!$A$1:$O$116,15,0)),0,VLOOKUP($T$853,'TAR FIN'!$A$1:$O$116,15,0))</f>
        <v>0</v>
      </c>
      <c r="X853" s="6">
        <f>IF(ISERROR(VLOOKUP($U$853,'TAR FIN'!$A$1:$O$116,15,0)),0,VLOOKUP($U$853,'TAR FIN'!$A$1:$O$116,15,0))</f>
        <v>0</v>
      </c>
      <c r="Y853" s="6">
        <f ca="1">('TUSD BE'!$AM$33+'TUSD BF'!$AM$33+'TUSD CVA'!$AM$33)*1</f>
        <v>29.803266797877356</v>
      </c>
      <c r="Z853" s="6"/>
      <c r="AA853" s="6"/>
      <c r="AB853" s="6">
        <f>$K$853*$V$853</f>
        <v>76989.180000000008</v>
      </c>
      <c r="AC853" s="6">
        <f>$M$853*$W$853</f>
        <v>0</v>
      </c>
      <c r="AD853" s="6">
        <f>$O$853*$X$853</f>
        <v>0</v>
      </c>
      <c r="AE853" s="6">
        <f ca="1">$K$853*$Y$853</f>
        <v>89946.259195993858</v>
      </c>
      <c r="AF853" s="6">
        <f>$M$853*$Z$853</f>
        <v>0</v>
      </c>
      <c r="AG853" s="6">
        <f>$O$853*$AA$853</f>
        <v>0</v>
      </c>
    </row>
    <row r="854" spans="1:33" ht="11.25" customHeight="1" x14ac:dyDescent="0.25">
      <c r="A854" s="4" t="s">
        <v>21</v>
      </c>
      <c r="B854" s="4" t="s">
        <v>41</v>
      </c>
      <c r="C854" s="4" t="s">
        <v>42</v>
      </c>
      <c r="D854" s="4" t="s">
        <v>43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44501</v>
      </c>
      <c r="J854" s="6">
        <v>12080</v>
      </c>
      <c r="K854" s="6">
        <v>12080</v>
      </c>
      <c r="L854" s="6">
        <v>0</v>
      </c>
      <c r="M854" s="6">
        <v>0</v>
      </c>
      <c r="N854" s="6">
        <v>0</v>
      </c>
      <c r="O854" s="6">
        <v>0</v>
      </c>
      <c r="P854" s="6">
        <v>107</v>
      </c>
      <c r="Q854" s="4" t="s">
        <v>26</v>
      </c>
      <c r="R854" s="4">
        <v>0</v>
      </c>
      <c r="S854" s="6">
        <v>29</v>
      </c>
      <c r="T854" s="6">
        <v>0</v>
      </c>
      <c r="U854" s="6">
        <v>0</v>
      </c>
      <c r="V854" s="6">
        <f>IF(ISERROR(VLOOKUP($S$854,'TAR FIN'!$A$1:$O$116,15,0)),0,VLOOKUP($S$854,'TAR FIN'!$A$1:$O$116,15,0))</f>
        <v>25.51</v>
      </c>
      <c r="W854" s="6">
        <f>IF(ISERROR(VLOOKUP($T$854,'TAR FIN'!$A$1:$O$116,15,0)),0,VLOOKUP($T$854,'TAR FIN'!$A$1:$O$116,15,0))</f>
        <v>0</v>
      </c>
      <c r="X854" s="6">
        <f>IF(ISERROR(VLOOKUP($U$854,'TAR FIN'!$A$1:$O$116,15,0)),0,VLOOKUP($U$854,'TAR FIN'!$A$1:$O$116,15,0))</f>
        <v>0</v>
      </c>
      <c r="Y854" s="6">
        <f ca="1">('TUSD BE'!$AM$33+'TUSD BF'!$AM$33+'TUSD CVA'!$AM$33)*1</f>
        <v>29.803266797877356</v>
      </c>
      <c r="Z854" s="6"/>
      <c r="AA854" s="6"/>
      <c r="AB854" s="6">
        <f>$K$854*$V$854</f>
        <v>308160.80000000005</v>
      </c>
      <c r="AC854" s="6">
        <f>$M$854*$W$854</f>
        <v>0</v>
      </c>
      <c r="AD854" s="6">
        <f>$O$854*$X$854</f>
        <v>0</v>
      </c>
      <c r="AE854" s="6">
        <f ca="1">$K$854*$Y$854</f>
        <v>360023.46291835845</v>
      </c>
      <c r="AF854" s="6">
        <f>$M$854*$Z$854</f>
        <v>0</v>
      </c>
      <c r="AG854" s="6">
        <f>$O$854*$AA$854</f>
        <v>0</v>
      </c>
    </row>
    <row r="855" spans="1:33" ht="11.25" customHeight="1" x14ac:dyDescent="0.25">
      <c r="A855" s="4" t="s">
        <v>28</v>
      </c>
      <c r="B855" s="4" t="s">
        <v>41</v>
      </c>
      <c r="C855" s="4" t="s">
        <v>42</v>
      </c>
      <c r="D855" s="4" t="s">
        <v>43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44501</v>
      </c>
      <c r="J855" s="6">
        <v>3048</v>
      </c>
      <c r="K855" s="6">
        <v>3048</v>
      </c>
      <c r="L855" s="6">
        <v>0</v>
      </c>
      <c r="M855" s="6">
        <v>0</v>
      </c>
      <c r="N855" s="6">
        <v>0</v>
      </c>
      <c r="O855" s="6">
        <v>0</v>
      </c>
      <c r="P855" s="6">
        <v>23</v>
      </c>
      <c r="Q855" s="4" t="s">
        <v>26</v>
      </c>
      <c r="R855" s="4">
        <v>0</v>
      </c>
      <c r="S855" s="6">
        <v>29</v>
      </c>
      <c r="T855" s="6">
        <v>0</v>
      </c>
      <c r="U855" s="6">
        <v>0</v>
      </c>
      <c r="V855" s="6">
        <f>IF(ISERROR(VLOOKUP($S$855,'TAR FIN'!$A$1:$O$116,15,0)),0,VLOOKUP($S$855,'TAR FIN'!$A$1:$O$116,15,0))</f>
        <v>25.51</v>
      </c>
      <c r="W855" s="6">
        <f>IF(ISERROR(VLOOKUP($T$855,'TAR FIN'!$A$1:$O$116,15,0)),0,VLOOKUP($T$855,'TAR FIN'!$A$1:$O$116,15,0))</f>
        <v>0</v>
      </c>
      <c r="X855" s="6">
        <f>IF(ISERROR(VLOOKUP($U$855,'TAR FIN'!$A$1:$O$116,15,0)),0,VLOOKUP($U$855,'TAR FIN'!$A$1:$O$116,15,0))</f>
        <v>0</v>
      </c>
      <c r="Y855" s="6">
        <f ca="1">('TUSD BE'!$AM$33+'TUSD BF'!$AM$33+'TUSD CVA'!$AM$33)*1</f>
        <v>29.803266797877356</v>
      </c>
      <c r="Z855" s="6"/>
      <c r="AA855" s="6"/>
      <c r="AB855" s="6">
        <f>$K$855*$V$855</f>
        <v>77754.48000000001</v>
      </c>
      <c r="AC855" s="6">
        <f>$M$855*$W$855</f>
        <v>0</v>
      </c>
      <c r="AD855" s="6">
        <f>$O$855*$X$855</f>
        <v>0</v>
      </c>
      <c r="AE855" s="6">
        <f ca="1">$K$855*$Y$855</f>
        <v>90840.357199930178</v>
      </c>
      <c r="AF855" s="6">
        <f>$M$855*$Z$855</f>
        <v>0</v>
      </c>
      <c r="AG855" s="6">
        <f>$O$855*$AA$855</f>
        <v>0</v>
      </c>
    </row>
    <row r="856" spans="1:33" ht="11.25" customHeight="1" x14ac:dyDescent="0.25">
      <c r="A856" s="4" t="s">
        <v>21</v>
      </c>
      <c r="B856" s="4" t="s">
        <v>41</v>
      </c>
      <c r="C856" s="4" t="s">
        <v>42</v>
      </c>
      <c r="D856" s="4" t="s">
        <v>43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44531</v>
      </c>
      <c r="J856" s="6">
        <v>12018</v>
      </c>
      <c r="K856" s="6">
        <v>12018</v>
      </c>
      <c r="L856" s="6">
        <v>0</v>
      </c>
      <c r="M856" s="6">
        <v>0</v>
      </c>
      <c r="N856" s="6">
        <v>0</v>
      </c>
      <c r="O856" s="6">
        <v>0</v>
      </c>
      <c r="P856" s="6">
        <v>105</v>
      </c>
      <c r="Q856" s="4" t="s">
        <v>26</v>
      </c>
      <c r="R856" s="4">
        <v>0</v>
      </c>
      <c r="S856" s="6">
        <v>29</v>
      </c>
      <c r="T856" s="6">
        <v>0</v>
      </c>
      <c r="U856" s="6">
        <v>0</v>
      </c>
      <c r="V856" s="6">
        <f>IF(ISERROR(VLOOKUP($S$856,'TAR FIN'!$A$1:$O$116,15,0)),0,VLOOKUP($S$856,'TAR FIN'!$A$1:$O$116,15,0))</f>
        <v>25.51</v>
      </c>
      <c r="W856" s="6">
        <f>IF(ISERROR(VLOOKUP($T$856,'TAR FIN'!$A$1:$O$116,15,0)),0,VLOOKUP($T$856,'TAR FIN'!$A$1:$O$116,15,0))</f>
        <v>0</v>
      </c>
      <c r="X856" s="6">
        <f>IF(ISERROR(VLOOKUP($U$856,'TAR FIN'!$A$1:$O$116,15,0)),0,VLOOKUP($U$856,'TAR FIN'!$A$1:$O$116,15,0))</f>
        <v>0</v>
      </c>
      <c r="Y856" s="6">
        <f ca="1">('TUSD BE'!$AM$33+'TUSD BF'!$AM$33+'TUSD CVA'!$AM$33)*1</f>
        <v>29.803266797877356</v>
      </c>
      <c r="Z856" s="6"/>
      <c r="AA856" s="6"/>
      <c r="AB856" s="6">
        <f>$K$856*$V$856</f>
        <v>306579.18</v>
      </c>
      <c r="AC856" s="6">
        <f>$M$856*$W$856</f>
        <v>0</v>
      </c>
      <c r="AD856" s="6">
        <f>$O$856*$X$856</f>
        <v>0</v>
      </c>
      <c r="AE856" s="6">
        <f ca="1">$K$856*$Y$856</f>
        <v>358175.66037689004</v>
      </c>
      <c r="AF856" s="6">
        <f>$M$856*$Z$856</f>
        <v>0</v>
      </c>
      <c r="AG856" s="6">
        <f>$O$856*$AA$856</f>
        <v>0</v>
      </c>
    </row>
    <row r="857" spans="1:33" ht="11.25" customHeight="1" x14ac:dyDescent="0.25">
      <c r="A857" s="4" t="s">
        <v>28</v>
      </c>
      <c r="B857" s="4" t="s">
        <v>41</v>
      </c>
      <c r="C857" s="4" t="s">
        <v>42</v>
      </c>
      <c r="D857" s="4" t="s">
        <v>43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44531</v>
      </c>
      <c r="J857" s="6">
        <v>3344</v>
      </c>
      <c r="K857" s="6">
        <v>3344</v>
      </c>
      <c r="L857" s="6">
        <v>0</v>
      </c>
      <c r="M857" s="6">
        <v>0</v>
      </c>
      <c r="N857" s="6">
        <v>0</v>
      </c>
      <c r="O857" s="6">
        <v>0</v>
      </c>
      <c r="P857" s="6">
        <v>25</v>
      </c>
      <c r="Q857" s="4" t="s">
        <v>26</v>
      </c>
      <c r="R857" s="4">
        <v>0</v>
      </c>
      <c r="S857" s="6">
        <v>29</v>
      </c>
      <c r="T857" s="6">
        <v>0</v>
      </c>
      <c r="U857" s="6">
        <v>0</v>
      </c>
      <c r="V857" s="6">
        <f>IF(ISERROR(VLOOKUP($S$857,'TAR FIN'!$A$1:$O$116,15,0)),0,VLOOKUP($S$857,'TAR FIN'!$A$1:$O$116,15,0))</f>
        <v>25.51</v>
      </c>
      <c r="W857" s="6">
        <f>IF(ISERROR(VLOOKUP($T$857,'TAR FIN'!$A$1:$O$116,15,0)),0,VLOOKUP($T$857,'TAR FIN'!$A$1:$O$116,15,0))</f>
        <v>0</v>
      </c>
      <c r="X857" s="6">
        <f>IF(ISERROR(VLOOKUP($U$857,'TAR FIN'!$A$1:$O$116,15,0)),0,VLOOKUP($U$857,'TAR FIN'!$A$1:$O$116,15,0))</f>
        <v>0</v>
      </c>
      <c r="Y857" s="6">
        <f ca="1">('TUSD BE'!$AM$33+'TUSD BF'!$AM$33+'TUSD CVA'!$AM$33)*1</f>
        <v>29.803266797877356</v>
      </c>
      <c r="Z857" s="6"/>
      <c r="AA857" s="6"/>
      <c r="AB857" s="6">
        <f>$K$857*$V$857</f>
        <v>85305.44</v>
      </c>
      <c r="AC857" s="6">
        <f>$M$857*$W$857</f>
        <v>0</v>
      </c>
      <c r="AD857" s="6">
        <f>$O$857*$X$857</f>
        <v>0</v>
      </c>
      <c r="AE857" s="6">
        <f ca="1">$K$857*$Y$857</f>
        <v>99662.124172101874</v>
      </c>
      <c r="AF857" s="6">
        <f>$M$857*$Z$857</f>
        <v>0</v>
      </c>
      <c r="AG857" s="6">
        <f>$O$857*$AA$857</f>
        <v>0</v>
      </c>
    </row>
    <row r="858" spans="1:33" ht="11.25" customHeight="1" x14ac:dyDescent="0.25">
      <c r="A858" s="4" t="s">
        <v>21</v>
      </c>
      <c r="B858" s="4" t="s">
        <v>41</v>
      </c>
      <c r="C858" s="4" t="s">
        <v>42</v>
      </c>
      <c r="D858" s="4" t="s">
        <v>43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44562</v>
      </c>
      <c r="J858" s="6">
        <v>11491</v>
      </c>
      <c r="K858" s="6">
        <v>11491</v>
      </c>
      <c r="L858" s="6">
        <v>0</v>
      </c>
      <c r="M858" s="6">
        <v>0</v>
      </c>
      <c r="N858" s="6">
        <v>0</v>
      </c>
      <c r="O858" s="6">
        <v>0</v>
      </c>
      <c r="P858" s="6">
        <v>108</v>
      </c>
      <c r="Q858" s="4" t="s">
        <v>26</v>
      </c>
      <c r="R858" s="4">
        <v>0</v>
      </c>
      <c r="S858" s="6">
        <v>29</v>
      </c>
      <c r="T858" s="6">
        <v>0</v>
      </c>
      <c r="U858" s="6">
        <v>0</v>
      </c>
      <c r="V858" s="6">
        <f>IF(ISERROR(VLOOKUP($S$858,'TAR FIN'!$A$1:$O$116,15,0)),0,VLOOKUP($S$858,'TAR FIN'!$A$1:$O$116,15,0))</f>
        <v>25.51</v>
      </c>
      <c r="W858" s="6">
        <f>IF(ISERROR(VLOOKUP($T$858,'TAR FIN'!$A$1:$O$116,15,0)),0,VLOOKUP($T$858,'TAR FIN'!$A$1:$O$116,15,0))</f>
        <v>0</v>
      </c>
      <c r="X858" s="6">
        <f>IF(ISERROR(VLOOKUP($U$858,'TAR FIN'!$A$1:$O$116,15,0)),0,VLOOKUP($U$858,'TAR FIN'!$A$1:$O$116,15,0))</f>
        <v>0</v>
      </c>
      <c r="Y858" s="6">
        <f ca="1">('TUSD BE'!$AM$33+'TUSD BF'!$AM$33+'TUSD CVA'!$AM$33)*1</f>
        <v>29.803266797877356</v>
      </c>
      <c r="Z858" s="6"/>
      <c r="AA858" s="6"/>
      <c r="AB858" s="6">
        <f>$K$858*$V$858</f>
        <v>293135.41000000003</v>
      </c>
      <c r="AC858" s="6">
        <f>$M$858*$W$858</f>
        <v>0</v>
      </c>
      <c r="AD858" s="6">
        <f>$O$858*$X$858</f>
        <v>0</v>
      </c>
      <c r="AE858" s="6">
        <f ca="1">$K$858*$Y$858</f>
        <v>342469.33877440868</v>
      </c>
      <c r="AF858" s="6">
        <f>$M$858*$Z$858</f>
        <v>0</v>
      </c>
      <c r="AG858" s="6">
        <f>$O$858*$AA$858</f>
        <v>0</v>
      </c>
    </row>
    <row r="859" spans="1:33" ht="11.25" customHeight="1" x14ac:dyDescent="0.25">
      <c r="A859" s="4" t="s">
        <v>28</v>
      </c>
      <c r="B859" s="4" t="s">
        <v>41</v>
      </c>
      <c r="C859" s="4" t="s">
        <v>42</v>
      </c>
      <c r="D859" s="4" t="s">
        <v>43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44562</v>
      </c>
      <c r="J859" s="6">
        <v>3355</v>
      </c>
      <c r="K859" s="6">
        <v>3355</v>
      </c>
      <c r="L859" s="6">
        <v>0</v>
      </c>
      <c r="M859" s="6">
        <v>0</v>
      </c>
      <c r="N859" s="6">
        <v>0</v>
      </c>
      <c r="O859" s="6">
        <v>0</v>
      </c>
      <c r="P859" s="6">
        <v>25</v>
      </c>
      <c r="Q859" s="4" t="s">
        <v>26</v>
      </c>
      <c r="R859" s="4">
        <v>0</v>
      </c>
      <c r="S859" s="6">
        <v>29</v>
      </c>
      <c r="T859" s="6">
        <v>0</v>
      </c>
      <c r="U859" s="6">
        <v>0</v>
      </c>
      <c r="V859" s="6">
        <f>IF(ISERROR(VLOOKUP($S$859,'TAR FIN'!$A$1:$O$116,15,0)),0,VLOOKUP($S$859,'TAR FIN'!$A$1:$O$116,15,0))</f>
        <v>25.51</v>
      </c>
      <c r="W859" s="6">
        <f>IF(ISERROR(VLOOKUP($T$859,'TAR FIN'!$A$1:$O$116,15,0)),0,VLOOKUP($T$859,'TAR FIN'!$A$1:$O$116,15,0))</f>
        <v>0</v>
      </c>
      <c r="X859" s="6">
        <f>IF(ISERROR(VLOOKUP($U$859,'TAR FIN'!$A$1:$O$116,15,0)),0,VLOOKUP($U$859,'TAR FIN'!$A$1:$O$116,15,0))</f>
        <v>0</v>
      </c>
      <c r="Y859" s="6">
        <f ca="1">('TUSD BE'!$AM$33+'TUSD BF'!$AM$33+'TUSD CVA'!$AM$33)*1</f>
        <v>29.803266797877356</v>
      </c>
      <c r="Z859" s="6"/>
      <c r="AA859" s="6"/>
      <c r="AB859" s="6">
        <f>$K$859*$V$859</f>
        <v>85586.05</v>
      </c>
      <c r="AC859" s="6">
        <f>$M$859*$W$859</f>
        <v>0</v>
      </c>
      <c r="AD859" s="6">
        <f>$O$859*$X$859</f>
        <v>0</v>
      </c>
      <c r="AE859" s="6">
        <f ca="1">$K$859*$Y$859</f>
        <v>99989.960106878527</v>
      </c>
      <c r="AF859" s="6">
        <f>$M$859*$Z$859</f>
        <v>0</v>
      </c>
      <c r="AG859" s="6">
        <f>$O$859*$AA$859</f>
        <v>0</v>
      </c>
    </row>
    <row r="860" spans="1:33" ht="11.25" customHeight="1" x14ac:dyDescent="0.25">
      <c r="A860" s="4" t="s">
        <v>21</v>
      </c>
      <c r="B860" s="4" t="s">
        <v>41</v>
      </c>
      <c r="C860" s="4" t="s">
        <v>42</v>
      </c>
      <c r="D860" s="4" t="s">
        <v>43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44593</v>
      </c>
      <c r="J860" s="6">
        <v>11599</v>
      </c>
      <c r="K860" s="6">
        <v>11599</v>
      </c>
      <c r="L860" s="6">
        <v>0</v>
      </c>
      <c r="M860" s="6">
        <v>0</v>
      </c>
      <c r="N860" s="6">
        <v>0</v>
      </c>
      <c r="O860" s="6">
        <v>0</v>
      </c>
      <c r="P860" s="6">
        <v>105</v>
      </c>
      <c r="Q860" s="4" t="s">
        <v>26</v>
      </c>
      <c r="R860" s="4">
        <v>0</v>
      </c>
      <c r="S860" s="6">
        <v>29</v>
      </c>
      <c r="T860" s="6">
        <v>0</v>
      </c>
      <c r="U860" s="6">
        <v>0</v>
      </c>
      <c r="V860" s="6">
        <f>IF(ISERROR(VLOOKUP($S$860,'TAR FIN'!$A$1:$O$116,15,0)),0,VLOOKUP($S$860,'TAR FIN'!$A$1:$O$116,15,0))</f>
        <v>25.51</v>
      </c>
      <c r="W860" s="6">
        <f>IF(ISERROR(VLOOKUP($T$860,'TAR FIN'!$A$1:$O$116,15,0)),0,VLOOKUP($T$860,'TAR FIN'!$A$1:$O$116,15,0))</f>
        <v>0</v>
      </c>
      <c r="X860" s="6">
        <f>IF(ISERROR(VLOOKUP($U$860,'TAR FIN'!$A$1:$O$116,15,0)),0,VLOOKUP($U$860,'TAR FIN'!$A$1:$O$116,15,0))</f>
        <v>0</v>
      </c>
      <c r="Y860" s="6">
        <f ca="1">('TUSD BE'!$AM$33+'TUSD BF'!$AM$33+'TUSD CVA'!$AM$33)*1</f>
        <v>29.803266797877356</v>
      </c>
      <c r="Z860" s="6"/>
      <c r="AA860" s="6"/>
      <c r="AB860" s="6">
        <f>$K$860*$V$860</f>
        <v>295890.49</v>
      </c>
      <c r="AC860" s="6">
        <f>$M$860*$W$860</f>
        <v>0</v>
      </c>
      <c r="AD860" s="6">
        <f>$O$860*$X$860</f>
        <v>0</v>
      </c>
      <c r="AE860" s="6">
        <f ca="1">$K$860*$Y$860</f>
        <v>345688.09158857947</v>
      </c>
      <c r="AF860" s="6">
        <f>$M$860*$Z$860</f>
        <v>0</v>
      </c>
      <c r="AG860" s="6">
        <f>$O$860*$AA$860</f>
        <v>0</v>
      </c>
    </row>
    <row r="861" spans="1:33" ht="11.25" customHeight="1" x14ac:dyDescent="0.25">
      <c r="A861" s="4" t="s">
        <v>28</v>
      </c>
      <c r="B861" s="4" t="s">
        <v>41</v>
      </c>
      <c r="C861" s="4" t="s">
        <v>42</v>
      </c>
      <c r="D861" s="4" t="s">
        <v>43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44593</v>
      </c>
      <c r="J861" s="6">
        <v>3418</v>
      </c>
      <c r="K861" s="6">
        <v>3418</v>
      </c>
      <c r="L861" s="6">
        <v>0</v>
      </c>
      <c r="M861" s="6">
        <v>0</v>
      </c>
      <c r="N861" s="6">
        <v>0</v>
      </c>
      <c r="O861" s="6">
        <v>0</v>
      </c>
      <c r="P861" s="6">
        <v>26</v>
      </c>
      <c r="Q861" s="4" t="s">
        <v>26</v>
      </c>
      <c r="R861" s="4">
        <v>0</v>
      </c>
      <c r="S861" s="6">
        <v>29</v>
      </c>
      <c r="T861" s="6">
        <v>0</v>
      </c>
      <c r="U861" s="6">
        <v>0</v>
      </c>
      <c r="V861" s="6">
        <f>IF(ISERROR(VLOOKUP($S$861,'TAR FIN'!$A$1:$O$116,15,0)),0,VLOOKUP($S$861,'TAR FIN'!$A$1:$O$116,15,0))</f>
        <v>25.51</v>
      </c>
      <c r="W861" s="6">
        <f>IF(ISERROR(VLOOKUP($T$861,'TAR FIN'!$A$1:$O$116,15,0)),0,VLOOKUP($T$861,'TAR FIN'!$A$1:$O$116,15,0))</f>
        <v>0</v>
      </c>
      <c r="X861" s="6">
        <f>IF(ISERROR(VLOOKUP($U$861,'TAR FIN'!$A$1:$O$116,15,0)),0,VLOOKUP($U$861,'TAR FIN'!$A$1:$O$116,15,0))</f>
        <v>0</v>
      </c>
      <c r="Y861" s="6">
        <f ca="1">('TUSD BE'!$AM$33+'TUSD BF'!$AM$33+'TUSD CVA'!$AM$33)*1</f>
        <v>29.803266797877356</v>
      </c>
      <c r="Z861" s="6"/>
      <c r="AA861" s="6"/>
      <c r="AB861" s="6">
        <f>$K$861*$V$861</f>
        <v>87193.180000000008</v>
      </c>
      <c r="AC861" s="6">
        <f>$M$861*$W$861</f>
        <v>0</v>
      </c>
      <c r="AD861" s="6">
        <f>$O$861*$X$861</f>
        <v>0</v>
      </c>
      <c r="AE861" s="6">
        <f ca="1">$K$861*$Y$861</f>
        <v>101867.56591514481</v>
      </c>
      <c r="AF861" s="6">
        <f>$M$861*$Z$861</f>
        <v>0</v>
      </c>
      <c r="AG861" s="6">
        <f>$O$861*$AA$861</f>
        <v>0</v>
      </c>
    </row>
    <row r="862" spans="1:33" ht="11.25" customHeight="1" x14ac:dyDescent="0.25">
      <c r="A862" s="4" t="s">
        <v>21</v>
      </c>
      <c r="B862" s="4" t="s">
        <v>41</v>
      </c>
      <c r="C862" s="4" t="s">
        <v>42</v>
      </c>
      <c r="D862" s="4" t="s">
        <v>43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44621</v>
      </c>
      <c r="J862" s="6">
        <v>10912</v>
      </c>
      <c r="K862" s="6">
        <v>10912</v>
      </c>
      <c r="L862" s="6">
        <v>0</v>
      </c>
      <c r="M862" s="6">
        <v>0</v>
      </c>
      <c r="N862" s="6">
        <v>0</v>
      </c>
      <c r="O862" s="6">
        <v>0</v>
      </c>
      <c r="P862" s="6">
        <v>102</v>
      </c>
      <c r="Q862" s="4" t="s">
        <v>26</v>
      </c>
      <c r="R862" s="4">
        <v>0</v>
      </c>
      <c r="S862" s="6">
        <v>29</v>
      </c>
      <c r="T862" s="6">
        <v>0</v>
      </c>
      <c r="U862" s="6">
        <v>0</v>
      </c>
      <c r="V862" s="6">
        <f>IF(ISERROR(VLOOKUP($S$862,'TAR FIN'!$A$1:$O$116,15,0)),0,VLOOKUP($S$862,'TAR FIN'!$A$1:$O$116,15,0))</f>
        <v>25.51</v>
      </c>
      <c r="W862" s="6">
        <f>IF(ISERROR(VLOOKUP($T$862,'TAR FIN'!$A$1:$O$116,15,0)),0,VLOOKUP($T$862,'TAR FIN'!$A$1:$O$116,15,0))</f>
        <v>0</v>
      </c>
      <c r="X862" s="6">
        <f>IF(ISERROR(VLOOKUP($U$862,'TAR FIN'!$A$1:$O$116,15,0)),0,VLOOKUP($U$862,'TAR FIN'!$A$1:$O$116,15,0))</f>
        <v>0</v>
      </c>
      <c r="Y862" s="6">
        <f ca="1">('TUSD BE'!$AM$33+'TUSD BF'!$AM$33+'TUSD CVA'!$AM$33)*1</f>
        <v>29.803266797877356</v>
      </c>
      <c r="Z862" s="6"/>
      <c r="AA862" s="6"/>
      <c r="AB862" s="6">
        <f>$K$862*$V$862</f>
        <v>278365.12</v>
      </c>
      <c r="AC862" s="6">
        <f>$M$862*$W$862</f>
        <v>0</v>
      </c>
      <c r="AD862" s="6">
        <f>$O$862*$X$862</f>
        <v>0</v>
      </c>
      <c r="AE862" s="6">
        <f ca="1">$K$862*$Y$862</f>
        <v>325213.24729843769</v>
      </c>
      <c r="AF862" s="6">
        <f>$M$862*$Z$862</f>
        <v>0</v>
      </c>
      <c r="AG862" s="6">
        <f>$O$862*$AA$862</f>
        <v>0</v>
      </c>
    </row>
    <row r="863" spans="1:33" ht="11.25" customHeight="1" x14ac:dyDescent="0.25">
      <c r="A863" s="4" t="s">
        <v>27</v>
      </c>
      <c r="B863" s="4" t="s">
        <v>41</v>
      </c>
      <c r="C863" s="4" t="s">
        <v>42</v>
      </c>
      <c r="D863" s="4" t="s">
        <v>43</v>
      </c>
      <c r="E863" s="4" t="s">
        <v>25</v>
      </c>
      <c r="F863" s="4" t="s">
        <v>25</v>
      </c>
      <c r="G863" s="4" t="s">
        <v>25</v>
      </c>
      <c r="H863" s="4" t="s">
        <v>25</v>
      </c>
      <c r="I863" s="5">
        <v>44621</v>
      </c>
      <c r="J863" s="6">
        <v>-436</v>
      </c>
      <c r="K863" s="6">
        <v>-436</v>
      </c>
      <c r="L863" s="6">
        <v>0</v>
      </c>
      <c r="M863" s="6">
        <v>0</v>
      </c>
      <c r="N863" s="6">
        <v>0</v>
      </c>
      <c r="O863" s="6">
        <v>0</v>
      </c>
      <c r="P863" s="6">
        <v>-1</v>
      </c>
      <c r="Q863" s="4" t="s">
        <v>26</v>
      </c>
      <c r="R863" s="4">
        <v>0</v>
      </c>
      <c r="S863" s="6">
        <v>29</v>
      </c>
      <c r="T863" s="6">
        <v>0</v>
      </c>
      <c r="U863" s="6">
        <v>0</v>
      </c>
      <c r="V863" s="6">
        <f>IF(ISERROR(VLOOKUP($S$863,'TAR FIN'!$A$1:$O$116,15,0)),0,VLOOKUP($S$863,'TAR FIN'!$A$1:$O$116,15,0))</f>
        <v>25.51</v>
      </c>
      <c r="W863" s="6">
        <f>IF(ISERROR(VLOOKUP($T$863,'TAR FIN'!$A$1:$O$116,15,0)),0,VLOOKUP($T$863,'TAR FIN'!$A$1:$O$116,15,0))</f>
        <v>0</v>
      </c>
      <c r="X863" s="6">
        <f>IF(ISERROR(VLOOKUP($U$863,'TAR FIN'!$A$1:$O$116,15,0)),0,VLOOKUP($U$863,'TAR FIN'!$A$1:$O$116,15,0))</f>
        <v>0</v>
      </c>
      <c r="Y863" s="6">
        <f ca="1">('TUSD BE'!$AM$33+'TUSD BF'!$AM$33+'TUSD CVA'!$AM$33)*1</f>
        <v>29.803266797877356</v>
      </c>
      <c r="Z863" s="6"/>
      <c r="AA863" s="6"/>
      <c r="AB863" s="6">
        <f>$K$863*$V$863</f>
        <v>-11122.36</v>
      </c>
      <c r="AC863" s="6">
        <f>$M$863*$W$863</f>
        <v>0</v>
      </c>
      <c r="AD863" s="6">
        <f>$O$863*$X$863</f>
        <v>0</v>
      </c>
      <c r="AE863" s="6">
        <f ca="1">$K$863*$Y$863</f>
        <v>-12994.224323874527</v>
      </c>
      <c r="AF863" s="6">
        <f>$M$863*$Z$863</f>
        <v>0</v>
      </c>
      <c r="AG863" s="6">
        <f>$O$863*$AA$863</f>
        <v>0</v>
      </c>
    </row>
    <row r="864" spans="1:33" ht="11.25" customHeight="1" x14ac:dyDescent="0.25">
      <c r="A864" s="4" t="s">
        <v>28</v>
      </c>
      <c r="B864" s="4" t="s">
        <v>41</v>
      </c>
      <c r="C864" s="4" t="s">
        <v>42</v>
      </c>
      <c r="D864" s="4" t="s">
        <v>43</v>
      </c>
      <c r="E864" s="4" t="s">
        <v>25</v>
      </c>
      <c r="F864" s="4" t="s">
        <v>25</v>
      </c>
      <c r="G864" s="4" t="s">
        <v>25</v>
      </c>
      <c r="H864" s="4" t="s">
        <v>25</v>
      </c>
      <c r="I864" s="5">
        <v>44621</v>
      </c>
      <c r="J864" s="6">
        <v>3559</v>
      </c>
      <c r="K864" s="6">
        <v>3559</v>
      </c>
      <c r="L864" s="6">
        <v>0</v>
      </c>
      <c r="M864" s="6">
        <v>0</v>
      </c>
      <c r="N864" s="6">
        <v>0</v>
      </c>
      <c r="O864" s="6">
        <v>0</v>
      </c>
      <c r="P864" s="6">
        <v>27</v>
      </c>
      <c r="Q864" s="4" t="s">
        <v>26</v>
      </c>
      <c r="R864" s="4">
        <v>0</v>
      </c>
      <c r="S864" s="6">
        <v>29</v>
      </c>
      <c r="T864" s="6">
        <v>0</v>
      </c>
      <c r="U864" s="6">
        <v>0</v>
      </c>
      <c r="V864" s="6">
        <f>IF(ISERROR(VLOOKUP($S$864,'TAR FIN'!$A$1:$O$116,15,0)),0,VLOOKUP($S$864,'TAR FIN'!$A$1:$O$116,15,0))</f>
        <v>25.51</v>
      </c>
      <c r="W864" s="6">
        <f>IF(ISERROR(VLOOKUP($T$864,'TAR FIN'!$A$1:$O$116,15,0)),0,VLOOKUP($T$864,'TAR FIN'!$A$1:$O$116,15,0))</f>
        <v>0</v>
      </c>
      <c r="X864" s="6">
        <f>IF(ISERROR(VLOOKUP($U$864,'TAR FIN'!$A$1:$O$116,15,0)),0,VLOOKUP($U$864,'TAR FIN'!$A$1:$O$116,15,0))</f>
        <v>0</v>
      </c>
      <c r="Y864" s="6">
        <f ca="1">('TUSD BE'!$AM$33+'TUSD BF'!$AM$33+'TUSD CVA'!$AM$33)*1</f>
        <v>29.803266797877356</v>
      </c>
      <c r="Z864" s="6"/>
      <c r="AA864" s="6"/>
      <c r="AB864" s="6">
        <f>$K$864*$V$864</f>
        <v>90790.090000000011</v>
      </c>
      <c r="AC864" s="6">
        <f>$M$864*$W$864</f>
        <v>0</v>
      </c>
      <c r="AD864" s="6">
        <f>$O$864*$X$864</f>
        <v>0</v>
      </c>
      <c r="AE864" s="6">
        <f ca="1">$K$864*$Y$864</f>
        <v>106069.82653364551</v>
      </c>
      <c r="AF864" s="6">
        <f>$M$864*$Z$864</f>
        <v>0</v>
      </c>
      <c r="AG864" s="6">
        <f>$O$864*$AA$864</f>
        <v>0</v>
      </c>
    </row>
    <row r="865" spans="1:33" ht="11.25" customHeight="1" x14ac:dyDescent="0.25">
      <c r="A865" s="4" t="s">
        <v>21</v>
      </c>
      <c r="B865" s="4" t="s">
        <v>41</v>
      </c>
      <c r="C865" s="4" t="s">
        <v>42</v>
      </c>
      <c r="D865" s="4" t="s">
        <v>43</v>
      </c>
      <c r="E865" s="4" t="s">
        <v>25</v>
      </c>
      <c r="F865" s="4" t="s">
        <v>25</v>
      </c>
      <c r="G865" s="4" t="s">
        <v>25</v>
      </c>
      <c r="H865" s="4" t="s">
        <v>25</v>
      </c>
      <c r="I865" s="5">
        <v>44652</v>
      </c>
      <c r="J865" s="6">
        <v>10478</v>
      </c>
      <c r="K865" s="6">
        <v>10478</v>
      </c>
      <c r="L865" s="6">
        <v>0</v>
      </c>
      <c r="M865" s="6">
        <v>0</v>
      </c>
      <c r="N865" s="6">
        <v>0</v>
      </c>
      <c r="O865" s="6">
        <v>0</v>
      </c>
      <c r="P865" s="6">
        <v>103</v>
      </c>
      <c r="Q865" s="4" t="s">
        <v>26</v>
      </c>
      <c r="R865" s="4">
        <v>0</v>
      </c>
      <c r="S865" s="6">
        <v>29</v>
      </c>
      <c r="T865" s="6">
        <v>0</v>
      </c>
      <c r="U865" s="6">
        <v>0</v>
      </c>
      <c r="V865" s="6">
        <f>IF(ISERROR(VLOOKUP($S$865,'TAR FIN'!$A$1:$O$116,15,0)),0,VLOOKUP($S$865,'TAR FIN'!$A$1:$O$116,15,0))</f>
        <v>25.51</v>
      </c>
      <c r="W865" s="6">
        <f>IF(ISERROR(VLOOKUP($T$865,'TAR FIN'!$A$1:$O$116,15,0)),0,VLOOKUP($T$865,'TAR FIN'!$A$1:$O$116,15,0))</f>
        <v>0</v>
      </c>
      <c r="X865" s="6">
        <f>IF(ISERROR(VLOOKUP($U$865,'TAR FIN'!$A$1:$O$116,15,0)),0,VLOOKUP($U$865,'TAR FIN'!$A$1:$O$116,15,0))</f>
        <v>0</v>
      </c>
      <c r="Y865" s="6">
        <f ca="1">('TUSD BE'!$AM$33+'TUSD BF'!$AM$33+'TUSD CVA'!$AM$33)*1</f>
        <v>29.803266797877356</v>
      </c>
      <c r="Z865" s="6"/>
      <c r="AA865" s="6"/>
      <c r="AB865" s="6">
        <f>$K$865*$V$865</f>
        <v>267293.78000000003</v>
      </c>
      <c r="AC865" s="6">
        <f>$M$865*$W$865</f>
        <v>0</v>
      </c>
      <c r="AD865" s="6">
        <f>$O$865*$X$865</f>
        <v>0</v>
      </c>
      <c r="AE865" s="6">
        <f ca="1">$K$865*$Y$865</f>
        <v>312278.62950815895</v>
      </c>
      <c r="AF865" s="6">
        <f>$M$865*$Z$865</f>
        <v>0</v>
      </c>
      <c r="AG865" s="6">
        <f>$O$865*$AA$865</f>
        <v>0</v>
      </c>
    </row>
    <row r="866" spans="1:33" ht="11.25" customHeight="1" x14ac:dyDescent="0.25">
      <c r="A866" s="4" t="s">
        <v>28</v>
      </c>
      <c r="B866" s="4" t="s">
        <v>41</v>
      </c>
      <c r="C866" s="4" t="s">
        <v>42</v>
      </c>
      <c r="D866" s="4" t="s">
        <v>43</v>
      </c>
      <c r="E866" s="4" t="s">
        <v>25</v>
      </c>
      <c r="F866" s="4" t="s">
        <v>25</v>
      </c>
      <c r="G866" s="4" t="s">
        <v>25</v>
      </c>
      <c r="H866" s="4" t="s">
        <v>25</v>
      </c>
      <c r="I866" s="5">
        <v>44652</v>
      </c>
      <c r="J866" s="6">
        <v>3446</v>
      </c>
      <c r="K866" s="6">
        <v>3446</v>
      </c>
      <c r="L866" s="6">
        <v>0</v>
      </c>
      <c r="M866" s="6">
        <v>0</v>
      </c>
      <c r="N866" s="6">
        <v>0</v>
      </c>
      <c r="O866" s="6">
        <v>0</v>
      </c>
      <c r="P866" s="6">
        <v>26</v>
      </c>
      <c r="Q866" s="4" t="s">
        <v>26</v>
      </c>
      <c r="R866" s="4">
        <v>0</v>
      </c>
      <c r="S866" s="6">
        <v>29</v>
      </c>
      <c r="T866" s="6">
        <v>0</v>
      </c>
      <c r="U866" s="6">
        <v>0</v>
      </c>
      <c r="V866" s="6">
        <f>IF(ISERROR(VLOOKUP($S$866,'TAR FIN'!$A$1:$O$116,15,0)),0,VLOOKUP($S$866,'TAR FIN'!$A$1:$O$116,15,0))</f>
        <v>25.51</v>
      </c>
      <c r="W866" s="6">
        <f>IF(ISERROR(VLOOKUP($T$866,'TAR FIN'!$A$1:$O$116,15,0)),0,VLOOKUP($T$866,'TAR FIN'!$A$1:$O$116,15,0))</f>
        <v>0</v>
      </c>
      <c r="X866" s="6">
        <f>IF(ISERROR(VLOOKUP($U$866,'TAR FIN'!$A$1:$O$116,15,0)),0,VLOOKUP($U$866,'TAR FIN'!$A$1:$O$116,15,0))</f>
        <v>0</v>
      </c>
      <c r="Y866" s="6">
        <f ca="1">('TUSD BE'!$AM$33+'TUSD BF'!$AM$33+'TUSD CVA'!$AM$33)*1</f>
        <v>29.803266797877356</v>
      </c>
      <c r="Z866" s="6"/>
      <c r="AA866" s="6"/>
      <c r="AB866" s="6">
        <f>$K$866*$V$866</f>
        <v>87907.46</v>
      </c>
      <c r="AC866" s="6">
        <f>$M$866*$W$866</f>
        <v>0</v>
      </c>
      <c r="AD866" s="6">
        <f>$O$866*$X$866</f>
        <v>0</v>
      </c>
      <c r="AE866" s="6">
        <f ca="1">$K$866*$Y$866</f>
        <v>102702.05738548537</v>
      </c>
      <c r="AF866" s="6">
        <f>$M$866*$Z$866</f>
        <v>0</v>
      </c>
      <c r="AG866" s="6">
        <f>$O$866*$AA$866</f>
        <v>0</v>
      </c>
    </row>
    <row r="867" spans="1:33" ht="11.25" customHeight="1" x14ac:dyDescent="0.25">
      <c r="A867" s="4" t="s">
        <v>58</v>
      </c>
      <c r="B867" s="4" t="s">
        <v>41</v>
      </c>
      <c r="C867" s="4" t="s">
        <v>42</v>
      </c>
      <c r="D867" s="4" t="s">
        <v>43</v>
      </c>
      <c r="E867" s="4" t="s">
        <v>25</v>
      </c>
      <c r="F867" s="4" t="s">
        <v>25</v>
      </c>
      <c r="G867" s="4" t="s">
        <v>25</v>
      </c>
      <c r="H867" s="4" t="s">
        <v>25</v>
      </c>
      <c r="I867" s="5">
        <v>44682</v>
      </c>
      <c r="J867" s="6">
        <v>10478</v>
      </c>
      <c r="K867" s="6">
        <v>10478</v>
      </c>
      <c r="L867" s="6">
        <v>0</v>
      </c>
      <c r="M867" s="6">
        <v>0</v>
      </c>
      <c r="N867" s="6">
        <v>0</v>
      </c>
      <c r="O867" s="6">
        <v>0</v>
      </c>
      <c r="P867" s="6">
        <v>103</v>
      </c>
      <c r="Q867" s="4" t="s">
        <v>26</v>
      </c>
      <c r="R867" s="4">
        <v>0</v>
      </c>
      <c r="S867" s="6">
        <v>29</v>
      </c>
      <c r="T867" s="6">
        <v>0</v>
      </c>
      <c r="U867" s="6">
        <v>0</v>
      </c>
      <c r="V867" s="6">
        <f>IF(ISERROR(VLOOKUP($S$867,'TAR FIN'!$A$1:$O$116,15,0)),0,VLOOKUP($S$867,'TAR FIN'!$A$1:$O$116,15,0))</f>
        <v>25.51</v>
      </c>
      <c r="W867" s="6">
        <f>IF(ISERROR(VLOOKUP($T$867,'TAR FIN'!$A$1:$O$116,15,0)),0,VLOOKUP($T$867,'TAR FIN'!$A$1:$O$116,15,0))</f>
        <v>0</v>
      </c>
      <c r="X867" s="6">
        <f>IF(ISERROR(VLOOKUP($U$867,'TAR FIN'!$A$1:$O$116,15,0)),0,VLOOKUP($U$867,'TAR FIN'!$A$1:$O$116,15,0))</f>
        <v>0</v>
      </c>
      <c r="Y867" s="6">
        <f ca="1">('TUSD BE'!$AM$33+'TUSD BF'!$AM$33+'TUSD CVA'!$AM$33)*1</f>
        <v>29.803266797877356</v>
      </c>
      <c r="Z867" s="6"/>
      <c r="AA867" s="6"/>
      <c r="AB867" s="6">
        <f>$K$867*$V$867</f>
        <v>267293.78000000003</v>
      </c>
      <c r="AC867" s="6">
        <f>$M$867*$W$867</f>
        <v>0</v>
      </c>
      <c r="AD867" s="6">
        <f>$O$867*$X$867</f>
        <v>0</v>
      </c>
      <c r="AE867" s="6">
        <f ca="1">$K$867*$Y$867</f>
        <v>312278.62950815895</v>
      </c>
      <c r="AF867" s="6">
        <f>$M$867*$Z$867</f>
        <v>0</v>
      </c>
      <c r="AG867" s="6">
        <f>$O$867*$AA$867</f>
        <v>0</v>
      </c>
    </row>
    <row r="868" spans="1:33" ht="11.25" customHeight="1" x14ac:dyDescent="0.25">
      <c r="A868" s="4" t="s">
        <v>58</v>
      </c>
      <c r="B868" s="4" t="s">
        <v>41</v>
      </c>
      <c r="C868" s="4" t="s">
        <v>42</v>
      </c>
      <c r="D868" s="4" t="s">
        <v>43</v>
      </c>
      <c r="E868" s="4" t="s">
        <v>25</v>
      </c>
      <c r="F868" s="4" t="s">
        <v>25</v>
      </c>
      <c r="G868" s="4" t="s">
        <v>25</v>
      </c>
      <c r="H868" s="4" t="s">
        <v>25</v>
      </c>
      <c r="I868" s="5">
        <v>44682</v>
      </c>
      <c r="J868" s="6">
        <v>3446</v>
      </c>
      <c r="K868" s="6">
        <v>3446</v>
      </c>
      <c r="L868" s="6">
        <v>0</v>
      </c>
      <c r="M868" s="6">
        <v>0</v>
      </c>
      <c r="N868" s="6">
        <v>0</v>
      </c>
      <c r="O868" s="6">
        <v>0</v>
      </c>
      <c r="P868" s="6">
        <v>26</v>
      </c>
      <c r="Q868" s="4" t="s">
        <v>26</v>
      </c>
      <c r="R868" s="4">
        <v>0</v>
      </c>
      <c r="S868" s="6">
        <v>29</v>
      </c>
      <c r="T868" s="6">
        <v>0</v>
      </c>
      <c r="U868" s="6">
        <v>0</v>
      </c>
      <c r="V868" s="6">
        <f>IF(ISERROR(VLOOKUP($S$868,'TAR FIN'!$A$1:$O$116,15,0)),0,VLOOKUP($S$868,'TAR FIN'!$A$1:$O$116,15,0))</f>
        <v>25.51</v>
      </c>
      <c r="W868" s="6">
        <f>IF(ISERROR(VLOOKUP($T$868,'TAR FIN'!$A$1:$O$116,15,0)),0,VLOOKUP($T$868,'TAR FIN'!$A$1:$O$116,15,0))</f>
        <v>0</v>
      </c>
      <c r="X868" s="6">
        <f>IF(ISERROR(VLOOKUP($U$868,'TAR FIN'!$A$1:$O$116,15,0)),0,VLOOKUP($U$868,'TAR FIN'!$A$1:$O$116,15,0))</f>
        <v>0</v>
      </c>
      <c r="Y868" s="6">
        <f ca="1">('TUSD BE'!$AM$33+'TUSD BF'!$AM$33+'TUSD CVA'!$AM$33)*1</f>
        <v>29.803266797877356</v>
      </c>
      <c r="Z868" s="6"/>
      <c r="AA868" s="6"/>
      <c r="AB868" s="6">
        <f>$K$868*$V$868</f>
        <v>87907.46</v>
      </c>
      <c r="AC868" s="6">
        <f>$M$868*$W$868</f>
        <v>0</v>
      </c>
      <c r="AD868" s="6">
        <f>$O$868*$X$868</f>
        <v>0</v>
      </c>
      <c r="AE868" s="6">
        <f ca="1">$K$868*$Y$868</f>
        <v>102702.05738548537</v>
      </c>
      <c r="AF868" s="6">
        <f>$M$868*$Z$868</f>
        <v>0</v>
      </c>
      <c r="AG868" s="6">
        <f>$O$868*$AA$868</f>
        <v>0</v>
      </c>
    </row>
    <row r="869" spans="1:33" ht="11.25" customHeight="1" x14ac:dyDescent="0.25">
      <c r="A869" s="4" t="s">
        <v>21</v>
      </c>
      <c r="B869" s="4" t="s">
        <v>41</v>
      </c>
      <c r="C869" s="4" t="s">
        <v>42</v>
      </c>
      <c r="D869" s="4" t="s">
        <v>43</v>
      </c>
      <c r="E869" s="4" t="s">
        <v>25</v>
      </c>
      <c r="F869" s="4" t="s">
        <v>25</v>
      </c>
      <c r="G869" s="4" t="s">
        <v>25</v>
      </c>
      <c r="H869" s="4" t="s">
        <v>34</v>
      </c>
      <c r="I869" s="5">
        <v>44348</v>
      </c>
      <c r="J869" s="6">
        <v>0</v>
      </c>
      <c r="K869" s="6">
        <v>0</v>
      </c>
      <c r="L869" s="6">
        <v>153.61699999999999</v>
      </c>
      <c r="M869" s="6">
        <v>153.61699999999999</v>
      </c>
      <c r="N869" s="6">
        <v>153.61699999999999</v>
      </c>
      <c r="O869" s="6">
        <v>153.61699999999999</v>
      </c>
      <c r="P869" s="6">
        <v>0</v>
      </c>
      <c r="Q869" s="4" t="s">
        <v>26</v>
      </c>
      <c r="R869" s="4">
        <v>0</v>
      </c>
      <c r="S869" s="6">
        <v>0</v>
      </c>
      <c r="T869" s="6">
        <v>30</v>
      </c>
      <c r="U869" s="6">
        <v>78</v>
      </c>
      <c r="V869" s="6">
        <f>IF(ISERROR(VLOOKUP($S$869,'TAR FIN'!$A$1:$O$116,15,0)),0,VLOOKUP($S$869,'TAR FIN'!$A$1:$O$116,15,0))</f>
        <v>0</v>
      </c>
      <c r="W869" s="6">
        <f>IF(ISERROR(VLOOKUP($T$869,'TAR FIN'!$A$1:$O$116,15,0)),0,VLOOKUP($T$869,'TAR FIN'!$A$1:$O$116,15,0))</f>
        <v>1682.12</v>
      </c>
      <c r="X869" s="6">
        <f>IF(ISERROR(VLOOKUP($U$869,'TAR FIN'!$A$1:$O$116,15,0)),0,VLOOKUP($U$869,'TAR FIN'!$A$1:$O$116,15,0))</f>
        <v>496.15</v>
      </c>
      <c r="Y869" s="6"/>
      <c r="Z869" s="6">
        <f ca="1">('TUSD BE'!$AM$34+'TUSD BF'!$AM$34+'TUSD CVA'!$AM$34)*1</f>
        <v>1969.9199547802996</v>
      </c>
      <c r="AA869" s="6">
        <f>('TE BE'!$AB$9+'TE BF'!$AB$9+'TE CVA'!$AB$9)*1</f>
        <v>510.04993331215127</v>
      </c>
      <c r="AB869" s="6">
        <f>$K$869*$V$869</f>
        <v>0</v>
      </c>
      <c r="AC869" s="6">
        <f>$M$869*$W$869</f>
        <v>258402.22803999996</v>
      </c>
      <c r="AD869" s="6">
        <f>$O$869*$X$869</f>
        <v>76217.07454999999</v>
      </c>
      <c r="AE869" s="6">
        <f>$K$869*$Y$869</f>
        <v>0</v>
      </c>
      <c r="AF869" s="6">
        <f ca="1">$M$869*$Z$869</f>
        <v>302613.19369348529</v>
      </c>
      <c r="AG869" s="6">
        <f>$O$869*$AA$869</f>
        <v>78352.340605612742</v>
      </c>
    </row>
    <row r="870" spans="1:33" ht="11.25" customHeight="1" x14ac:dyDescent="0.25">
      <c r="A870" s="4" t="s">
        <v>27</v>
      </c>
      <c r="B870" s="4" t="s">
        <v>41</v>
      </c>
      <c r="C870" s="4" t="s">
        <v>42</v>
      </c>
      <c r="D870" s="4" t="s">
        <v>43</v>
      </c>
      <c r="E870" s="4" t="s">
        <v>25</v>
      </c>
      <c r="F870" s="4" t="s">
        <v>25</v>
      </c>
      <c r="G870" s="4" t="s">
        <v>25</v>
      </c>
      <c r="H870" s="4" t="s">
        <v>34</v>
      </c>
      <c r="I870" s="5">
        <v>44348</v>
      </c>
      <c r="J870" s="6">
        <v>0</v>
      </c>
      <c r="K870" s="6">
        <v>0</v>
      </c>
      <c r="L870" s="6">
        <v>-1.2</v>
      </c>
      <c r="M870" s="6">
        <v>-1.2</v>
      </c>
      <c r="N870" s="6">
        <v>-1.2</v>
      </c>
      <c r="O870" s="6">
        <v>-1.2</v>
      </c>
      <c r="P870" s="6">
        <v>0</v>
      </c>
      <c r="Q870" s="4" t="s">
        <v>26</v>
      </c>
      <c r="R870" s="4">
        <v>0</v>
      </c>
      <c r="S870" s="6">
        <v>0</v>
      </c>
      <c r="T870" s="6">
        <v>30</v>
      </c>
      <c r="U870" s="6">
        <v>78</v>
      </c>
      <c r="V870" s="6">
        <f>IF(ISERROR(VLOOKUP($S$870,'TAR FIN'!$A$1:$O$116,15,0)),0,VLOOKUP($S$870,'TAR FIN'!$A$1:$O$116,15,0))</f>
        <v>0</v>
      </c>
      <c r="W870" s="6">
        <f>IF(ISERROR(VLOOKUP($T$870,'TAR FIN'!$A$1:$O$116,15,0)),0,VLOOKUP($T$870,'TAR FIN'!$A$1:$O$116,15,0))</f>
        <v>1682.12</v>
      </c>
      <c r="X870" s="6">
        <f>IF(ISERROR(VLOOKUP($U$870,'TAR FIN'!$A$1:$O$116,15,0)),0,VLOOKUP($U$870,'TAR FIN'!$A$1:$O$116,15,0))</f>
        <v>496.15</v>
      </c>
      <c r="Y870" s="6"/>
      <c r="Z870" s="6">
        <f ca="1">('TUSD BE'!$AM$34+'TUSD BF'!$AM$34+'TUSD CVA'!$AM$34)*1</f>
        <v>1969.9199547802996</v>
      </c>
      <c r="AA870" s="6">
        <f>('TE BE'!$AB$9+'TE BF'!$AB$9+'TE CVA'!$AB$9)*1</f>
        <v>510.04993331215127</v>
      </c>
      <c r="AB870" s="6">
        <f>$K$870*$V$870</f>
        <v>0</v>
      </c>
      <c r="AC870" s="6">
        <f>$M$870*$W$870</f>
        <v>-2018.5439999999999</v>
      </c>
      <c r="AD870" s="6">
        <f>$O$870*$X$870</f>
        <v>-595.38</v>
      </c>
      <c r="AE870" s="6">
        <f>$K$870*$Y$870</f>
        <v>0</v>
      </c>
      <c r="AF870" s="6">
        <f ca="1">$M$870*$Z$870</f>
        <v>-2363.9039457363592</v>
      </c>
      <c r="AG870" s="6">
        <f>$O$870*$AA$870</f>
        <v>-612.05991997458148</v>
      </c>
    </row>
    <row r="871" spans="1:33" ht="11.25" customHeight="1" x14ac:dyDescent="0.25">
      <c r="A871" s="4" t="s">
        <v>28</v>
      </c>
      <c r="B871" s="4" t="s">
        <v>41</v>
      </c>
      <c r="C871" s="4" t="s">
        <v>42</v>
      </c>
      <c r="D871" s="4" t="s">
        <v>43</v>
      </c>
      <c r="E871" s="4" t="s">
        <v>25</v>
      </c>
      <c r="F871" s="4" t="s">
        <v>25</v>
      </c>
      <c r="G871" s="4" t="s">
        <v>25</v>
      </c>
      <c r="H871" s="4" t="s">
        <v>34</v>
      </c>
      <c r="I871" s="5">
        <v>44348</v>
      </c>
      <c r="J871" s="6">
        <v>0</v>
      </c>
      <c r="K871" s="6">
        <v>0</v>
      </c>
      <c r="L871" s="6">
        <v>14.44</v>
      </c>
      <c r="M871" s="6">
        <v>14.44</v>
      </c>
      <c r="N871" s="6">
        <v>14.44</v>
      </c>
      <c r="O871" s="6">
        <v>14.44</v>
      </c>
      <c r="P871" s="6">
        <v>0</v>
      </c>
      <c r="Q871" s="4" t="s">
        <v>26</v>
      </c>
      <c r="R871" s="4">
        <v>0</v>
      </c>
      <c r="S871" s="6">
        <v>0</v>
      </c>
      <c r="T871" s="6">
        <v>30</v>
      </c>
      <c r="U871" s="6">
        <v>78</v>
      </c>
      <c r="V871" s="6">
        <f>IF(ISERROR(VLOOKUP($S$871,'TAR FIN'!$A$1:$O$116,15,0)),0,VLOOKUP($S$871,'TAR FIN'!$A$1:$O$116,15,0))</f>
        <v>0</v>
      </c>
      <c r="W871" s="6">
        <f>IF(ISERROR(VLOOKUP($T$871,'TAR FIN'!$A$1:$O$116,15,0)),0,VLOOKUP($T$871,'TAR FIN'!$A$1:$O$116,15,0))</f>
        <v>1682.12</v>
      </c>
      <c r="X871" s="6">
        <f>IF(ISERROR(VLOOKUP($U$871,'TAR FIN'!$A$1:$O$116,15,0)),0,VLOOKUP($U$871,'TAR FIN'!$A$1:$O$116,15,0))</f>
        <v>496.15</v>
      </c>
      <c r="Y871" s="6"/>
      <c r="Z871" s="6">
        <f ca="1">('TUSD BE'!$AM$34+'TUSD BF'!$AM$34+'TUSD CVA'!$AM$34)*1</f>
        <v>1969.9199547802996</v>
      </c>
      <c r="AA871" s="6">
        <f>('TE BE'!$AB$9+'TE BF'!$AB$9+'TE CVA'!$AB$9)*1</f>
        <v>510.04993331215127</v>
      </c>
      <c r="AB871" s="6">
        <f>$K$871*$V$871</f>
        <v>0</v>
      </c>
      <c r="AC871" s="6">
        <f>$M$871*$W$871</f>
        <v>24289.812799999996</v>
      </c>
      <c r="AD871" s="6">
        <f>$O$871*$X$871</f>
        <v>7164.405999999999</v>
      </c>
      <c r="AE871" s="6">
        <f>$K$871*$Y$871</f>
        <v>0</v>
      </c>
      <c r="AF871" s="6">
        <f ca="1">$M$871*$Z$871</f>
        <v>28445.644147027524</v>
      </c>
      <c r="AG871" s="6">
        <f>$O$871*$AA$871</f>
        <v>7365.1210370274639</v>
      </c>
    </row>
    <row r="872" spans="1:33" ht="11.25" customHeight="1" x14ac:dyDescent="0.25">
      <c r="A872" s="4" t="s">
        <v>28</v>
      </c>
      <c r="B872" s="4" t="s">
        <v>41</v>
      </c>
      <c r="C872" s="4" t="s">
        <v>42</v>
      </c>
      <c r="D872" s="4" t="s">
        <v>43</v>
      </c>
      <c r="E872" s="4" t="s">
        <v>25</v>
      </c>
      <c r="F872" s="4" t="s">
        <v>25</v>
      </c>
      <c r="G872" s="4" t="s">
        <v>25</v>
      </c>
      <c r="H872" s="4" t="s">
        <v>34</v>
      </c>
      <c r="I872" s="5">
        <v>44348</v>
      </c>
      <c r="J872" s="6">
        <v>0</v>
      </c>
      <c r="K872" s="6">
        <v>0</v>
      </c>
      <c r="L872" s="6">
        <v>1.38</v>
      </c>
      <c r="M872" s="6">
        <v>1.38</v>
      </c>
      <c r="N872" s="6">
        <v>1.38</v>
      </c>
      <c r="O872" s="6">
        <v>1.38</v>
      </c>
      <c r="P872" s="6">
        <v>0</v>
      </c>
      <c r="Q872" s="4" t="s">
        <v>26</v>
      </c>
      <c r="R872" s="4">
        <v>0</v>
      </c>
      <c r="S872" s="6">
        <v>0</v>
      </c>
      <c r="T872" s="6">
        <v>30</v>
      </c>
      <c r="U872" s="6">
        <v>78</v>
      </c>
      <c r="V872" s="6">
        <f>IF(ISERROR(VLOOKUP($S$872,'TAR FIN'!$A$1:$O$116,15,0)),0,VLOOKUP($S$872,'TAR FIN'!$A$1:$O$116,15,0))</f>
        <v>0</v>
      </c>
      <c r="W872" s="6">
        <f>IF(ISERROR(VLOOKUP($T$872,'TAR FIN'!$A$1:$O$116,15,0)),0,VLOOKUP($T$872,'TAR FIN'!$A$1:$O$116,15,0))</f>
        <v>1682.12</v>
      </c>
      <c r="X872" s="6">
        <f>IF(ISERROR(VLOOKUP($U$872,'TAR FIN'!$A$1:$O$116,15,0)),0,VLOOKUP($U$872,'TAR FIN'!$A$1:$O$116,15,0))</f>
        <v>496.15</v>
      </c>
      <c r="Y872" s="6"/>
      <c r="Z872" s="6">
        <f ca="1">('TUSD BE'!$AM$34+'TUSD BF'!$AM$34+'TUSD CVA'!$AM$34)*1</f>
        <v>1969.9199547802996</v>
      </c>
      <c r="AA872" s="6">
        <f>('TE BE'!$AB$9+'TE BF'!$AB$9+'TE CVA'!$AB$9)*1</f>
        <v>510.04993331215127</v>
      </c>
      <c r="AB872" s="6">
        <f>$K$872*$V$872</f>
        <v>0</v>
      </c>
      <c r="AC872" s="6">
        <f>$M$872*$W$872</f>
        <v>2321.3255999999997</v>
      </c>
      <c r="AD872" s="6">
        <f>$O$872*$X$872</f>
        <v>684.6869999999999</v>
      </c>
      <c r="AE872" s="6">
        <f>$K$872*$Y$872</f>
        <v>0</v>
      </c>
      <c r="AF872" s="6">
        <f ca="1">$M$872*$Z$872</f>
        <v>2718.4895375968131</v>
      </c>
      <c r="AG872" s="6">
        <f>$O$872*$AA$872</f>
        <v>703.86890797076865</v>
      </c>
    </row>
    <row r="873" spans="1:33" ht="11.25" customHeight="1" x14ac:dyDescent="0.25">
      <c r="A873" s="4" t="s">
        <v>21</v>
      </c>
      <c r="B873" s="4" t="s">
        <v>41</v>
      </c>
      <c r="C873" s="4" t="s">
        <v>42</v>
      </c>
      <c r="D873" s="4" t="s">
        <v>43</v>
      </c>
      <c r="E873" s="4" t="s">
        <v>25</v>
      </c>
      <c r="F873" s="4" t="s">
        <v>25</v>
      </c>
      <c r="G873" s="4" t="s">
        <v>25</v>
      </c>
      <c r="H873" s="4" t="s">
        <v>34</v>
      </c>
      <c r="I873" s="5">
        <v>44378</v>
      </c>
      <c r="J873" s="6">
        <v>0</v>
      </c>
      <c r="K873" s="6">
        <v>0</v>
      </c>
      <c r="L873" s="6">
        <v>136.13900000000001</v>
      </c>
      <c r="M873" s="6">
        <v>136.13900000000001</v>
      </c>
      <c r="N873" s="6">
        <v>136.13900000000001</v>
      </c>
      <c r="O873" s="6">
        <v>136.13900000000001</v>
      </c>
      <c r="P873" s="6">
        <v>0</v>
      </c>
      <c r="Q873" s="4" t="s">
        <v>26</v>
      </c>
      <c r="R873" s="4">
        <v>0</v>
      </c>
      <c r="S873" s="6">
        <v>0</v>
      </c>
      <c r="T873" s="6">
        <v>30</v>
      </c>
      <c r="U873" s="6">
        <v>78</v>
      </c>
      <c r="V873" s="6">
        <f>IF(ISERROR(VLOOKUP($S$873,'TAR FIN'!$A$1:$O$116,15,0)),0,VLOOKUP($S$873,'TAR FIN'!$A$1:$O$116,15,0))</f>
        <v>0</v>
      </c>
      <c r="W873" s="6">
        <f>IF(ISERROR(VLOOKUP($T$873,'TAR FIN'!$A$1:$O$116,15,0)),0,VLOOKUP($T$873,'TAR FIN'!$A$1:$O$116,15,0))</f>
        <v>1682.12</v>
      </c>
      <c r="X873" s="6">
        <f>IF(ISERROR(VLOOKUP($U$873,'TAR FIN'!$A$1:$O$116,15,0)),0,VLOOKUP($U$873,'TAR FIN'!$A$1:$O$116,15,0))</f>
        <v>496.15</v>
      </c>
      <c r="Y873" s="6"/>
      <c r="Z873" s="6">
        <f ca="1">('TUSD BE'!$AM$34+'TUSD BF'!$AM$34+'TUSD CVA'!$AM$34)*1</f>
        <v>1969.9199547802996</v>
      </c>
      <c r="AA873" s="6">
        <f>('TE BE'!$AB$9+'TE BF'!$AB$9+'TE CVA'!$AB$9)*1</f>
        <v>510.04993331215127</v>
      </c>
      <c r="AB873" s="6">
        <f>$K$873*$V$873</f>
        <v>0</v>
      </c>
      <c r="AC873" s="6">
        <f>$M$873*$W$873</f>
        <v>229002.13467999999</v>
      </c>
      <c r="AD873" s="6">
        <f>$O$873*$X$873</f>
        <v>67545.364849999998</v>
      </c>
      <c r="AE873" s="6">
        <f>$K$873*$Y$873</f>
        <v>0</v>
      </c>
      <c r="AF873" s="6">
        <f ca="1">$M$873*$Z$873</f>
        <v>268182.93272383523</v>
      </c>
      <c r="AG873" s="6">
        <f>$O$873*$AA$873</f>
        <v>69437.687871182963</v>
      </c>
    </row>
    <row r="874" spans="1:33" ht="11.25" customHeight="1" x14ac:dyDescent="0.25">
      <c r="A874" s="4" t="s">
        <v>27</v>
      </c>
      <c r="B874" s="4" t="s">
        <v>41</v>
      </c>
      <c r="C874" s="4" t="s">
        <v>42</v>
      </c>
      <c r="D874" s="4" t="s">
        <v>43</v>
      </c>
      <c r="E874" s="4" t="s">
        <v>25</v>
      </c>
      <c r="F874" s="4" t="s">
        <v>25</v>
      </c>
      <c r="G874" s="4" t="s">
        <v>25</v>
      </c>
      <c r="H874" s="4" t="s">
        <v>34</v>
      </c>
      <c r="I874" s="5">
        <v>44378</v>
      </c>
      <c r="J874" s="6">
        <v>0</v>
      </c>
      <c r="K874" s="6">
        <v>0</v>
      </c>
      <c r="L874" s="6">
        <v>0.36</v>
      </c>
      <c r="M874" s="6">
        <v>0.36</v>
      </c>
      <c r="N874" s="6">
        <v>0.36</v>
      </c>
      <c r="O874" s="6">
        <v>0.36</v>
      </c>
      <c r="P874" s="6">
        <v>0</v>
      </c>
      <c r="Q874" s="4" t="s">
        <v>26</v>
      </c>
      <c r="R874" s="4">
        <v>0</v>
      </c>
      <c r="S874" s="6">
        <v>0</v>
      </c>
      <c r="T874" s="6">
        <v>30</v>
      </c>
      <c r="U874" s="6">
        <v>78</v>
      </c>
      <c r="V874" s="6">
        <f>IF(ISERROR(VLOOKUP($S$874,'TAR FIN'!$A$1:$O$116,15,0)),0,VLOOKUP($S$874,'TAR FIN'!$A$1:$O$116,15,0))</f>
        <v>0</v>
      </c>
      <c r="W874" s="6">
        <f>IF(ISERROR(VLOOKUP($T$874,'TAR FIN'!$A$1:$O$116,15,0)),0,VLOOKUP($T$874,'TAR FIN'!$A$1:$O$116,15,0))</f>
        <v>1682.12</v>
      </c>
      <c r="X874" s="6">
        <f>IF(ISERROR(VLOOKUP($U$874,'TAR FIN'!$A$1:$O$116,15,0)),0,VLOOKUP($U$874,'TAR FIN'!$A$1:$O$116,15,0))</f>
        <v>496.15</v>
      </c>
      <c r="Y874" s="6"/>
      <c r="Z874" s="6">
        <f ca="1">('TUSD BE'!$AM$34+'TUSD BF'!$AM$34+'TUSD CVA'!$AM$34)*1</f>
        <v>1969.9199547802996</v>
      </c>
      <c r="AA874" s="6">
        <f>('TE BE'!$AB$9+'TE BF'!$AB$9+'TE CVA'!$AB$9)*1</f>
        <v>510.04993331215127</v>
      </c>
      <c r="AB874" s="6">
        <f>$K$874*$V$874</f>
        <v>0</v>
      </c>
      <c r="AC874" s="6">
        <f>$M$874*$W$874</f>
        <v>605.56319999999994</v>
      </c>
      <c r="AD874" s="6">
        <f>$O$874*$X$874</f>
        <v>178.61399999999998</v>
      </c>
      <c r="AE874" s="6">
        <f>$K$874*$Y$874</f>
        <v>0</v>
      </c>
      <c r="AF874" s="6">
        <f ca="1">$M$874*$Z$874</f>
        <v>709.17118372090783</v>
      </c>
      <c r="AG874" s="6">
        <f>$O$874*$AA$874</f>
        <v>183.61797599237445</v>
      </c>
    </row>
    <row r="875" spans="1:33" ht="11.25" customHeight="1" x14ac:dyDescent="0.25">
      <c r="A875" s="4" t="s">
        <v>28</v>
      </c>
      <c r="B875" s="4" t="s">
        <v>41</v>
      </c>
      <c r="C875" s="4" t="s">
        <v>42</v>
      </c>
      <c r="D875" s="4" t="s">
        <v>43</v>
      </c>
      <c r="E875" s="4" t="s">
        <v>25</v>
      </c>
      <c r="F875" s="4" t="s">
        <v>25</v>
      </c>
      <c r="G875" s="4" t="s">
        <v>25</v>
      </c>
      <c r="H875" s="4" t="s">
        <v>34</v>
      </c>
      <c r="I875" s="5">
        <v>44378</v>
      </c>
      <c r="J875" s="6">
        <v>0</v>
      </c>
      <c r="K875" s="6">
        <v>0</v>
      </c>
      <c r="L875" s="6">
        <v>21.082000000000001</v>
      </c>
      <c r="M875" s="6">
        <v>21.082000000000001</v>
      </c>
      <c r="N875" s="6">
        <v>21.082000000000001</v>
      </c>
      <c r="O875" s="6">
        <v>21.082000000000001</v>
      </c>
      <c r="P875" s="6">
        <v>0</v>
      </c>
      <c r="Q875" s="4" t="s">
        <v>26</v>
      </c>
      <c r="R875" s="4">
        <v>0</v>
      </c>
      <c r="S875" s="6">
        <v>0</v>
      </c>
      <c r="T875" s="6">
        <v>30</v>
      </c>
      <c r="U875" s="6">
        <v>78</v>
      </c>
      <c r="V875" s="6">
        <f>IF(ISERROR(VLOOKUP($S$875,'TAR FIN'!$A$1:$O$116,15,0)),0,VLOOKUP($S$875,'TAR FIN'!$A$1:$O$116,15,0))</f>
        <v>0</v>
      </c>
      <c r="W875" s="6">
        <f>IF(ISERROR(VLOOKUP($T$875,'TAR FIN'!$A$1:$O$116,15,0)),0,VLOOKUP($T$875,'TAR FIN'!$A$1:$O$116,15,0))</f>
        <v>1682.12</v>
      </c>
      <c r="X875" s="6">
        <f>IF(ISERROR(VLOOKUP($U$875,'TAR FIN'!$A$1:$O$116,15,0)),0,VLOOKUP($U$875,'TAR FIN'!$A$1:$O$116,15,0))</f>
        <v>496.15</v>
      </c>
      <c r="Y875" s="6"/>
      <c r="Z875" s="6">
        <f ca="1">('TUSD BE'!$AM$34+'TUSD BF'!$AM$34+'TUSD CVA'!$AM$34)*1</f>
        <v>1969.9199547802996</v>
      </c>
      <c r="AA875" s="6">
        <f>('TE BE'!$AB$9+'TE BF'!$AB$9+'TE CVA'!$AB$9)*1</f>
        <v>510.04993331215127</v>
      </c>
      <c r="AB875" s="6">
        <f>$K$875*$V$875</f>
        <v>0</v>
      </c>
      <c r="AC875" s="6">
        <f>$M$875*$W$875</f>
        <v>35462.453840000002</v>
      </c>
      <c r="AD875" s="6">
        <f>$O$875*$X$875</f>
        <v>10459.8343</v>
      </c>
      <c r="AE875" s="6">
        <f>$K$875*$Y$875</f>
        <v>0</v>
      </c>
      <c r="AF875" s="6">
        <f ca="1">$M$875*$Z$875</f>
        <v>41529.852486678275</v>
      </c>
      <c r="AG875" s="6">
        <f>$O$875*$AA$875</f>
        <v>10752.872694086773</v>
      </c>
    </row>
    <row r="876" spans="1:33" ht="11.25" customHeight="1" x14ac:dyDescent="0.25">
      <c r="A876" s="4" t="s">
        <v>21</v>
      </c>
      <c r="B876" s="4" t="s">
        <v>41</v>
      </c>
      <c r="C876" s="4" t="s">
        <v>42</v>
      </c>
      <c r="D876" s="4" t="s">
        <v>43</v>
      </c>
      <c r="E876" s="4" t="s">
        <v>25</v>
      </c>
      <c r="F876" s="4" t="s">
        <v>25</v>
      </c>
      <c r="G876" s="4" t="s">
        <v>25</v>
      </c>
      <c r="H876" s="4" t="s">
        <v>34</v>
      </c>
      <c r="I876" s="5">
        <v>44409</v>
      </c>
      <c r="J876" s="6">
        <v>0</v>
      </c>
      <c r="K876" s="6">
        <v>0</v>
      </c>
      <c r="L876" s="6">
        <v>171.22900000000001</v>
      </c>
      <c r="M876" s="6">
        <v>171.22900000000001</v>
      </c>
      <c r="N876" s="6">
        <v>171.22900000000001</v>
      </c>
      <c r="O876" s="6">
        <v>171.22900000000001</v>
      </c>
      <c r="P876" s="6">
        <v>0</v>
      </c>
      <c r="Q876" s="4" t="s">
        <v>26</v>
      </c>
      <c r="R876" s="4">
        <v>0</v>
      </c>
      <c r="S876" s="6">
        <v>0</v>
      </c>
      <c r="T876" s="6">
        <v>30</v>
      </c>
      <c r="U876" s="6">
        <v>78</v>
      </c>
      <c r="V876" s="6">
        <f>IF(ISERROR(VLOOKUP($S$876,'TAR FIN'!$A$1:$O$116,15,0)),0,VLOOKUP($S$876,'TAR FIN'!$A$1:$O$116,15,0))</f>
        <v>0</v>
      </c>
      <c r="W876" s="6">
        <f>IF(ISERROR(VLOOKUP($T$876,'TAR FIN'!$A$1:$O$116,15,0)),0,VLOOKUP($T$876,'TAR FIN'!$A$1:$O$116,15,0))</f>
        <v>1682.12</v>
      </c>
      <c r="X876" s="6">
        <f>IF(ISERROR(VLOOKUP($U$876,'TAR FIN'!$A$1:$O$116,15,0)),0,VLOOKUP($U$876,'TAR FIN'!$A$1:$O$116,15,0))</f>
        <v>496.15</v>
      </c>
      <c r="Y876" s="6"/>
      <c r="Z876" s="6">
        <f ca="1">('TUSD BE'!$AM$34+'TUSD BF'!$AM$34+'TUSD CVA'!$AM$34)*1</f>
        <v>1969.9199547802996</v>
      </c>
      <c r="AA876" s="6">
        <f>('TE BE'!$AB$9+'TE BF'!$AB$9+'TE CVA'!$AB$9)*1</f>
        <v>510.04993331215127</v>
      </c>
      <c r="AB876" s="6">
        <f>$K$876*$V$876</f>
        <v>0</v>
      </c>
      <c r="AC876" s="6">
        <f>$M$876*$W$876</f>
        <v>288027.72548000002</v>
      </c>
      <c r="AD876" s="6">
        <f>$O$876*$X$876</f>
        <v>84955.268349999998</v>
      </c>
      <c r="AE876" s="6">
        <f>$K$876*$Y$876</f>
        <v>0</v>
      </c>
      <c r="AF876" s="6">
        <f ca="1">$M$876*$Z$876</f>
        <v>337307.42393707595</v>
      </c>
      <c r="AG876" s="6">
        <f>$O$876*$AA$876</f>
        <v>87335.34003110636</v>
      </c>
    </row>
    <row r="877" spans="1:33" ht="11.25" customHeight="1" x14ac:dyDescent="0.25">
      <c r="A877" s="4" t="s">
        <v>28</v>
      </c>
      <c r="B877" s="4" t="s">
        <v>41</v>
      </c>
      <c r="C877" s="4" t="s">
        <v>42</v>
      </c>
      <c r="D877" s="4" t="s">
        <v>43</v>
      </c>
      <c r="E877" s="4" t="s">
        <v>25</v>
      </c>
      <c r="F877" s="4" t="s">
        <v>25</v>
      </c>
      <c r="G877" s="4" t="s">
        <v>25</v>
      </c>
      <c r="H877" s="4" t="s">
        <v>34</v>
      </c>
      <c r="I877" s="5">
        <v>44409</v>
      </c>
      <c r="J877" s="6">
        <v>0</v>
      </c>
      <c r="K877" s="6">
        <v>0</v>
      </c>
      <c r="L877" s="6">
        <v>19.434000000000001</v>
      </c>
      <c r="M877" s="6">
        <v>19.434000000000001</v>
      </c>
      <c r="N877" s="6">
        <v>19.434000000000001</v>
      </c>
      <c r="O877" s="6">
        <v>19.434000000000001</v>
      </c>
      <c r="P877" s="6">
        <v>0</v>
      </c>
      <c r="Q877" s="4" t="s">
        <v>26</v>
      </c>
      <c r="R877" s="4">
        <v>0</v>
      </c>
      <c r="S877" s="6">
        <v>0</v>
      </c>
      <c r="T877" s="6">
        <v>30</v>
      </c>
      <c r="U877" s="6">
        <v>78</v>
      </c>
      <c r="V877" s="6">
        <f>IF(ISERROR(VLOOKUP($S$877,'TAR FIN'!$A$1:$O$116,15,0)),0,VLOOKUP($S$877,'TAR FIN'!$A$1:$O$116,15,0))</f>
        <v>0</v>
      </c>
      <c r="W877" s="6">
        <f>IF(ISERROR(VLOOKUP($T$877,'TAR FIN'!$A$1:$O$116,15,0)),0,VLOOKUP($T$877,'TAR FIN'!$A$1:$O$116,15,0))</f>
        <v>1682.12</v>
      </c>
      <c r="X877" s="6">
        <f>IF(ISERROR(VLOOKUP($U$877,'TAR FIN'!$A$1:$O$116,15,0)),0,VLOOKUP($U$877,'TAR FIN'!$A$1:$O$116,15,0))</f>
        <v>496.15</v>
      </c>
      <c r="Y877" s="6"/>
      <c r="Z877" s="6">
        <f ca="1">('TUSD BE'!$AM$34+'TUSD BF'!$AM$34+'TUSD CVA'!$AM$34)*1</f>
        <v>1969.9199547802996</v>
      </c>
      <c r="AA877" s="6">
        <f>('TE BE'!$AB$9+'TE BF'!$AB$9+'TE CVA'!$AB$9)*1</f>
        <v>510.04993331215127</v>
      </c>
      <c r="AB877" s="6">
        <f>$K$877*$V$877</f>
        <v>0</v>
      </c>
      <c r="AC877" s="6">
        <f>$M$877*$W$877</f>
        <v>32690.320080000001</v>
      </c>
      <c r="AD877" s="6">
        <f>$O$877*$X$877</f>
        <v>9642.1790999999994</v>
      </c>
      <c r="AE877" s="6">
        <f>$K$877*$Y$877</f>
        <v>0</v>
      </c>
      <c r="AF877" s="6">
        <f ca="1">$M$877*$Z$877</f>
        <v>38283.424401200347</v>
      </c>
      <c r="AG877" s="6">
        <f>$O$877*$AA$877</f>
        <v>9912.3104039883474</v>
      </c>
    </row>
    <row r="878" spans="1:33" ht="11.25" customHeight="1" x14ac:dyDescent="0.25">
      <c r="A878" s="4" t="s">
        <v>21</v>
      </c>
      <c r="B878" s="4" t="s">
        <v>41</v>
      </c>
      <c r="C878" s="4" t="s">
        <v>42</v>
      </c>
      <c r="D878" s="4" t="s">
        <v>43</v>
      </c>
      <c r="E878" s="4" t="s">
        <v>25</v>
      </c>
      <c r="F878" s="4" t="s">
        <v>25</v>
      </c>
      <c r="G878" s="4" t="s">
        <v>25</v>
      </c>
      <c r="H878" s="4" t="s">
        <v>34</v>
      </c>
      <c r="I878" s="5">
        <v>44440</v>
      </c>
      <c r="J878" s="6">
        <v>0</v>
      </c>
      <c r="K878" s="6">
        <v>0</v>
      </c>
      <c r="L878" s="6">
        <v>188.268</v>
      </c>
      <c r="M878" s="6">
        <v>188.268</v>
      </c>
      <c r="N878" s="6">
        <v>188.268</v>
      </c>
      <c r="O878" s="6">
        <v>188.268</v>
      </c>
      <c r="P878" s="6">
        <v>0</v>
      </c>
      <c r="Q878" s="4" t="s">
        <v>26</v>
      </c>
      <c r="R878" s="4">
        <v>0</v>
      </c>
      <c r="S878" s="6">
        <v>0</v>
      </c>
      <c r="T878" s="6">
        <v>30</v>
      </c>
      <c r="U878" s="6">
        <v>78</v>
      </c>
      <c r="V878" s="6">
        <f>IF(ISERROR(VLOOKUP($S$878,'TAR FIN'!$A$1:$O$116,15,0)),0,VLOOKUP($S$878,'TAR FIN'!$A$1:$O$116,15,0))</f>
        <v>0</v>
      </c>
      <c r="W878" s="6">
        <f>IF(ISERROR(VLOOKUP($T$878,'TAR FIN'!$A$1:$O$116,15,0)),0,VLOOKUP($T$878,'TAR FIN'!$A$1:$O$116,15,0))</f>
        <v>1682.12</v>
      </c>
      <c r="X878" s="6">
        <f>IF(ISERROR(VLOOKUP($U$878,'TAR FIN'!$A$1:$O$116,15,0)),0,VLOOKUP($U$878,'TAR FIN'!$A$1:$O$116,15,0))</f>
        <v>496.15</v>
      </c>
      <c r="Y878" s="6"/>
      <c r="Z878" s="6">
        <f ca="1">('TUSD BE'!$AM$34+'TUSD BF'!$AM$34+'TUSD CVA'!$AM$34)*1</f>
        <v>1969.9199547802996</v>
      </c>
      <c r="AA878" s="6">
        <f>('TE BE'!$AB$9+'TE BF'!$AB$9+'TE CVA'!$AB$9)*1</f>
        <v>510.04993331215127</v>
      </c>
      <c r="AB878" s="6">
        <f>$K$878*$V$878</f>
        <v>0</v>
      </c>
      <c r="AC878" s="6">
        <f>$M$878*$W$878</f>
        <v>316689.36815999995</v>
      </c>
      <c r="AD878" s="6">
        <f>$O$878*$X$878</f>
        <v>93409.1682</v>
      </c>
      <c r="AE878" s="6">
        <f>$K$878*$Y$878</f>
        <v>0</v>
      </c>
      <c r="AF878" s="6">
        <f ca="1">$M$878*$Z$878</f>
        <v>370872.89004657743</v>
      </c>
      <c r="AG878" s="6">
        <f>$O$878*$AA$878</f>
        <v>96026.080844812095</v>
      </c>
    </row>
    <row r="879" spans="1:33" ht="11.25" customHeight="1" x14ac:dyDescent="0.25">
      <c r="A879" s="4" t="s">
        <v>28</v>
      </c>
      <c r="B879" s="4" t="s">
        <v>41</v>
      </c>
      <c r="C879" s="4" t="s">
        <v>42</v>
      </c>
      <c r="D879" s="4" t="s">
        <v>43</v>
      </c>
      <c r="E879" s="4" t="s">
        <v>25</v>
      </c>
      <c r="F879" s="4" t="s">
        <v>25</v>
      </c>
      <c r="G879" s="4" t="s">
        <v>25</v>
      </c>
      <c r="H879" s="4" t="s">
        <v>34</v>
      </c>
      <c r="I879" s="5">
        <v>44440</v>
      </c>
      <c r="J879" s="6">
        <v>0</v>
      </c>
      <c r="K879" s="6">
        <v>0</v>
      </c>
      <c r="L879" s="6">
        <v>25.936</v>
      </c>
      <c r="M879" s="6">
        <v>25.936</v>
      </c>
      <c r="N879" s="6">
        <v>25.936</v>
      </c>
      <c r="O879" s="6">
        <v>25.936</v>
      </c>
      <c r="P879" s="6">
        <v>0</v>
      </c>
      <c r="Q879" s="4" t="s">
        <v>26</v>
      </c>
      <c r="R879" s="4">
        <v>0</v>
      </c>
      <c r="S879" s="6">
        <v>0</v>
      </c>
      <c r="T879" s="6">
        <v>30</v>
      </c>
      <c r="U879" s="6">
        <v>78</v>
      </c>
      <c r="V879" s="6">
        <f>IF(ISERROR(VLOOKUP($S$879,'TAR FIN'!$A$1:$O$116,15,0)),0,VLOOKUP($S$879,'TAR FIN'!$A$1:$O$116,15,0))</f>
        <v>0</v>
      </c>
      <c r="W879" s="6">
        <f>IF(ISERROR(VLOOKUP($T$879,'TAR FIN'!$A$1:$O$116,15,0)),0,VLOOKUP($T$879,'TAR FIN'!$A$1:$O$116,15,0))</f>
        <v>1682.12</v>
      </c>
      <c r="X879" s="6">
        <f>IF(ISERROR(VLOOKUP($U$879,'TAR FIN'!$A$1:$O$116,15,0)),0,VLOOKUP($U$879,'TAR FIN'!$A$1:$O$116,15,0))</f>
        <v>496.15</v>
      </c>
      <c r="Y879" s="6"/>
      <c r="Z879" s="6">
        <f ca="1">('TUSD BE'!$AM$34+'TUSD BF'!$AM$34+'TUSD CVA'!$AM$34)*1</f>
        <v>1969.9199547802996</v>
      </c>
      <c r="AA879" s="6">
        <f>('TE BE'!$AB$9+'TE BF'!$AB$9+'TE CVA'!$AB$9)*1</f>
        <v>510.04993331215127</v>
      </c>
      <c r="AB879" s="6">
        <f>$K$879*$V$879</f>
        <v>0</v>
      </c>
      <c r="AC879" s="6">
        <f>$M$879*$W$879</f>
        <v>43627.464319999999</v>
      </c>
      <c r="AD879" s="6">
        <f>$O$879*$X$879</f>
        <v>12868.1464</v>
      </c>
      <c r="AE879" s="6">
        <f>$K$879*$Y$879</f>
        <v>0</v>
      </c>
      <c r="AF879" s="6">
        <f ca="1">$M$879*$Z$879</f>
        <v>51091.843947181849</v>
      </c>
      <c r="AG879" s="6">
        <f>$O$879*$AA$879</f>
        <v>13228.655070383955</v>
      </c>
    </row>
    <row r="880" spans="1:33" ht="11.25" customHeight="1" x14ac:dyDescent="0.25">
      <c r="A880" s="4" t="s">
        <v>21</v>
      </c>
      <c r="B880" s="4" t="s">
        <v>41</v>
      </c>
      <c r="C880" s="4" t="s">
        <v>42</v>
      </c>
      <c r="D880" s="4" t="s">
        <v>43</v>
      </c>
      <c r="E880" s="4" t="s">
        <v>25</v>
      </c>
      <c r="F880" s="4" t="s">
        <v>25</v>
      </c>
      <c r="G880" s="4" t="s">
        <v>25</v>
      </c>
      <c r="H880" s="4" t="s">
        <v>34</v>
      </c>
      <c r="I880" s="5">
        <v>44470</v>
      </c>
      <c r="J880" s="6">
        <v>0</v>
      </c>
      <c r="K880" s="6">
        <v>0</v>
      </c>
      <c r="L880" s="6">
        <v>165.982</v>
      </c>
      <c r="M880" s="6">
        <v>165.982</v>
      </c>
      <c r="N880" s="6">
        <v>165.982</v>
      </c>
      <c r="O880" s="6">
        <v>165.982</v>
      </c>
      <c r="P880" s="6">
        <v>0</v>
      </c>
      <c r="Q880" s="4" t="s">
        <v>26</v>
      </c>
      <c r="R880" s="4">
        <v>0</v>
      </c>
      <c r="S880" s="6">
        <v>0</v>
      </c>
      <c r="T880" s="6">
        <v>30</v>
      </c>
      <c r="U880" s="6">
        <v>78</v>
      </c>
      <c r="V880" s="6">
        <f>IF(ISERROR(VLOOKUP($S$880,'TAR FIN'!$A$1:$O$116,15,0)),0,VLOOKUP($S$880,'TAR FIN'!$A$1:$O$116,15,0))</f>
        <v>0</v>
      </c>
      <c r="W880" s="6">
        <f>IF(ISERROR(VLOOKUP($T$880,'TAR FIN'!$A$1:$O$116,15,0)),0,VLOOKUP($T$880,'TAR FIN'!$A$1:$O$116,15,0))</f>
        <v>1682.12</v>
      </c>
      <c r="X880" s="6">
        <f>IF(ISERROR(VLOOKUP($U$880,'TAR FIN'!$A$1:$O$116,15,0)),0,VLOOKUP($U$880,'TAR FIN'!$A$1:$O$116,15,0))</f>
        <v>496.15</v>
      </c>
      <c r="Y880" s="6"/>
      <c r="Z880" s="6">
        <f ca="1">('TUSD BE'!$AM$34+'TUSD BF'!$AM$34+'TUSD CVA'!$AM$34)*1</f>
        <v>1969.9199547802996</v>
      </c>
      <c r="AA880" s="6">
        <f>('TE BE'!$AB$9+'TE BF'!$AB$9+'TE CVA'!$AB$9)*1</f>
        <v>510.04993331215127</v>
      </c>
      <c r="AB880" s="6">
        <f>$K$880*$V$880</f>
        <v>0</v>
      </c>
      <c r="AC880" s="6">
        <f>$M$880*$W$880</f>
        <v>279201.64184</v>
      </c>
      <c r="AD880" s="6">
        <f>$O$880*$X$880</f>
        <v>82351.969299999997</v>
      </c>
      <c r="AE880" s="6">
        <f>$K$880*$Y$880</f>
        <v>0</v>
      </c>
      <c r="AF880" s="6">
        <f ca="1">$M$880*$Z$880</f>
        <v>326971.25393434369</v>
      </c>
      <c r="AG880" s="6">
        <f>$O$880*$AA$880</f>
        <v>84659.108031017488</v>
      </c>
    </row>
    <row r="881" spans="1:33" ht="11.25" customHeight="1" x14ac:dyDescent="0.25">
      <c r="A881" s="4" t="s">
        <v>27</v>
      </c>
      <c r="B881" s="4" t="s">
        <v>41</v>
      </c>
      <c r="C881" s="4" t="s">
        <v>42</v>
      </c>
      <c r="D881" s="4" t="s">
        <v>43</v>
      </c>
      <c r="E881" s="4" t="s">
        <v>25</v>
      </c>
      <c r="F881" s="4" t="s">
        <v>25</v>
      </c>
      <c r="G881" s="4" t="s">
        <v>25</v>
      </c>
      <c r="H881" s="4" t="s">
        <v>34</v>
      </c>
      <c r="I881" s="5">
        <v>44470</v>
      </c>
      <c r="J881" s="6">
        <v>0</v>
      </c>
      <c r="K881" s="6">
        <v>0</v>
      </c>
      <c r="L881" s="6">
        <v>5.4530000000000003</v>
      </c>
      <c r="M881" s="6">
        <v>5.4530000000000003</v>
      </c>
      <c r="N881" s="6">
        <v>5.4530000000000003</v>
      </c>
      <c r="O881" s="6">
        <v>5.4530000000000003</v>
      </c>
      <c r="P881" s="6">
        <v>0</v>
      </c>
      <c r="Q881" s="4" t="s">
        <v>26</v>
      </c>
      <c r="R881" s="4">
        <v>0</v>
      </c>
      <c r="S881" s="6">
        <v>0</v>
      </c>
      <c r="T881" s="6">
        <v>30</v>
      </c>
      <c r="U881" s="6">
        <v>78</v>
      </c>
      <c r="V881" s="6">
        <f>IF(ISERROR(VLOOKUP($S$881,'TAR FIN'!$A$1:$O$116,15,0)),0,VLOOKUP($S$881,'TAR FIN'!$A$1:$O$116,15,0))</f>
        <v>0</v>
      </c>
      <c r="W881" s="6">
        <f>IF(ISERROR(VLOOKUP($T$881,'TAR FIN'!$A$1:$O$116,15,0)),0,VLOOKUP($T$881,'TAR FIN'!$A$1:$O$116,15,0))</f>
        <v>1682.12</v>
      </c>
      <c r="X881" s="6">
        <f>IF(ISERROR(VLOOKUP($U$881,'TAR FIN'!$A$1:$O$116,15,0)),0,VLOOKUP($U$881,'TAR FIN'!$A$1:$O$116,15,0))</f>
        <v>496.15</v>
      </c>
      <c r="Y881" s="6"/>
      <c r="Z881" s="6">
        <f ca="1">('TUSD BE'!$AM$34+'TUSD BF'!$AM$34+'TUSD CVA'!$AM$34)*1</f>
        <v>1969.9199547802996</v>
      </c>
      <c r="AA881" s="6">
        <f>('TE BE'!$AB$9+'TE BF'!$AB$9+'TE CVA'!$AB$9)*1</f>
        <v>510.04993331215127</v>
      </c>
      <c r="AB881" s="6">
        <f>$K$881*$V$881</f>
        <v>0</v>
      </c>
      <c r="AC881" s="6">
        <f>$M$881*$W$881</f>
        <v>9172.6003600000004</v>
      </c>
      <c r="AD881" s="6">
        <f>$O$881*$X$881</f>
        <v>2705.5059500000002</v>
      </c>
      <c r="AE881" s="6">
        <f>$K$881*$Y$881</f>
        <v>0</v>
      </c>
      <c r="AF881" s="6">
        <f ca="1">$M$881*$Z$881</f>
        <v>10741.973513416975</v>
      </c>
      <c r="AG881" s="6">
        <f>$O$881*$AA$881</f>
        <v>2781.302286351161</v>
      </c>
    </row>
    <row r="882" spans="1:33" ht="11.25" customHeight="1" x14ac:dyDescent="0.25">
      <c r="A882" s="4" t="s">
        <v>28</v>
      </c>
      <c r="B882" s="4" t="s">
        <v>41</v>
      </c>
      <c r="C882" s="4" t="s">
        <v>42</v>
      </c>
      <c r="D882" s="4" t="s">
        <v>43</v>
      </c>
      <c r="E882" s="4" t="s">
        <v>25</v>
      </c>
      <c r="F882" s="4" t="s">
        <v>25</v>
      </c>
      <c r="G882" s="4" t="s">
        <v>25</v>
      </c>
      <c r="H882" s="4" t="s">
        <v>34</v>
      </c>
      <c r="I882" s="5">
        <v>44470</v>
      </c>
      <c r="J882" s="6">
        <v>0</v>
      </c>
      <c r="K882" s="6">
        <v>0</v>
      </c>
      <c r="L882" s="6">
        <v>17.966000000000001</v>
      </c>
      <c r="M882" s="6">
        <v>17.966000000000001</v>
      </c>
      <c r="N882" s="6">
        <v>17.966000000000001</v>
      </c>
      <c r="O882" s="6">
        <v>17.966000000000001</v>
      </c>
      <c r="P882" s="6">
        <v>0</v>
      </c>
      <c r="Q882" s="4" t="s">
        <v>26</v>
      </c>
      <c r="R882" s="4">
        <v>0</v>
      </c>
      <c r="S882" s="6">
        <v>0</v>
      </c>
      <c r="T882" s="6">
        <v>30</v>
      </c>
      <c r="U882" s="6">
        <v>78</v>
      </c>
      <c r="V882" s="6">
        <f>IF(ISERROR(VLOOKUP($S$882,'TAR FIN'!$A$1:$O$116,15,0)),0,VLOOKUP($S$882,'TAR FIN'!$A$1:$O$116,15,0))</f>
        <v>0</v>
      </c>
      <c r="W882" s="6">
        <f>IF(ISERROR(VLOOKUP($T$882,'TAR FIN'!$A$1:$O$116,15,0)),0,VLOOKUP($T$882,'TAR FIN'!$A$1:$O$116,15,0))</f>
        <v>1682.12</v>
      </c>
      <c r="X882" s="6">
        <f>IF(ISERROR(VLOOKUP($U$882,'TAR FIN'!$A$1:$O$116,15,0)),0,VLOOKUP($U$882,'TAR FIN'!$A$1:$O$116,15,0))</f>
        <v>496.15</v>
      </c>
      <c r="Y882" s="6"/>
      <c r="Z882" s="6">
        <f ca="1">('TUSD BE'!$AM$34+'TUSD BF'!$AM$34+'TUSD CVA'!$AM$34)*1</f>
        <v>1969.9199547802996</v>
      </c>
      <c r="AA882" s="6">
        <f>('TE BE'!$AB$9+'TE BF'!$AB$9+'TE CVA'!$AB$9)*1</f>
        <v>510.04993331215127</v>
      </c>
      <c r="AB882" s="6">
        <f>$K$882*$V$882</f>
        <v>0</v>
      </c>
      <c r="AC882" s="6">
        <f>$M$882*$W$882</f>
        <v>30220.967919999999</v>
      </c>
      <c r="AD882" s="6">
        <f>$O$882*$X$882</f>
        <v>8913.8309000000008</v>
      </c>
      <c r="AE882" s="6">
        <f>$K$882*$Y$882</f>
        <v>0</v>
      </c>
      <c r="AF882" s="6">
        <f ca="1">$M$882*$Z$882</f>
        <v>35391.581907582862</v>
      </c>
      <c r="AG882" s="6">
        <f>$O$882*$AA$882</f>
        <v>9163.5571018861101</v>
      </c>
    </row>
    <row r="883" spans="1:33" ht="11.25" customHeight="1" x14ac:dyDescent="0.25">
      <c r="A883" s="4" t="s">
        <v>21</v>
      </c>
      <c r="B883" s="4" t="s">
        <v>41</v>
      </c>
      <c r="C883" s="4" t="s">
        <v>42</v>
      </c>
      <c r="D883" s="4" t="s">
        <v>43</v>
      </c>
      <c r="E883" s="4" t="s">
        <v>25</v>
      </c>
      <c r="F883" s="4" t="s">
        <v>25</v>
      </c>
      <c r="G883" s="4" t="s">
        <v>25</v>
      </c>
      <c r="H883" s="4" t="s">
        <v>34</v>
      </c>
      <c r="I883" s="5">
        <v>44501</v>
      </c>
      <c r="J883" s="6">
        <v>0</v>
      </c>
      <c r="K883" s="6">
        <v>0</v>
      </c>
      <c r="L883" s="6">
        <v>178.50800000000001</v>
      </c>
      <c r="M883" s="6">
        <v>178.50800000000001</v>
      </c>
      <c r="N883" s="6">
        <v>178.50800000000001</v>
      </c>
      <c r="O883" s="6">
        <v>178.50800000000001</v>
      </c>
      <c r="P883" s="6">
        <v>0</v>
      </c>
      <c r="Q883" s="4" t="s">
        <v>26</v>
      </c>
      <c r="R883" s="4">
        <v>0</v>
      </c>
      <c r="S883" s="6">
        <v>0</v>
      </c>
      <c r="T883" s="6">
        <v>30</v>
      </c>
      <c r="U883" s="6">
        <v>78</v>
      </c>
      <c r="V883" s="6">
        <f>IF(ISERROR(VLOOKUP($S$883,'TAR FIN'!$A$1:$O$116,15,0)),0,VLOOKUP($S$883,'TAR FIN'!$A$1:$O$116,15,0))</f>
        <v>0</v>
      </c>
      <c r="W883" s="6">
        <f>IF(ISERROR(VLOOKUP($T$883,'TAR FIN'!$A$1:$O$116,15,0)),0,VLOOKUP($T$883,'TAR FIN'!$A$1:$O$116,15,0))</f>
        <v>1682.12</v>
      </c>
      <c r="X883" s="6">
        <f>IF(ISERROR(VLOOKUP($U$883,'TAR FIN'!$A$1:$O$116,15,0)),0,VLOOKUP($U$883,'TAR FIN'!$A$1:$O$116,15,0))</f>
        <v>496.15</v>
      </c>
      <c r="Y883" s="6"/>
      <c r="Z883" s="6">
        <f ca="1">('TUSD BE'!$AM$34+'TUSD BF'!$AM$34+'TUSD CVA'!$AM$34)*1</f>
        <v>1969.9199547802996</v>
      </c>
      <c r="AA883" s="6">
        <f>('TE BE'!$AB$9+'TE BF'!$AB$9+'TE CVA'!$AB$9)*1</f>
        <v>510.04993331215127</v>
      </c>
      <c r="AB883" s="6">
        <f>$K$883*$V$883</f>
        <v>0</v>
      </c>
      <c r="AC883" s="6">
        <f>$M$883*$W$883</f>
        <v>300271.87696000002</v>
      </c>
      <c r="AD883" s="6">
        <f>$O$883*$X$883</f>
        <v>88566.744200000001</v>
      </c>
      <c r="AE883" s="6">
        <f>$K$883*$Y$883</f>
        <v>0</v>
      </c>
      <c r="AF883" s="6">
        <f ca="1">$M$883*$Z$883</f>
        <v>351646.47128792171</v>
      </c>
      <c r="AG883" s="6">
        <f>$O$883*$AA$883</f>
        <v>91047.9934956855</v>
      </c>
    </row>
    <row r="884" spans="1:33" ht="11.25" customHeight="1" x14ac:dyDescent="0.25">
      <c r="A884" s="4" t="s">
        <v>28</v>
      </c>
      <c r="B884" s="4" t="s">
        <v>41</v>
      </c>
      <c r="C884" s="4" t="s">
        <v>42</v>
      </c>
      <c r="D884" s="4" t="s">
        <v>43</v>
      </c>
      <c r="E884" s="4" t="s">
        <v>25</v>
      </c>
      <c r="F884" s="4" t="s">
        <v>25</v>
      </c>
      <c r="G884" s="4" t="s">
        <v>25</v>
      </c>
      <c r="H884" s="4" t="s">
        <v>34</v>
      </c>
      <c r="I884" s="5">
        <v>44501</v>
      </c>
      <c r="J884" s="6">
        <v>0</v>
      </c>
      <c r="K884" s="6">
        <v>0</v>
      </c>
      <c r="L884" s="6">
        <v>19.062999999999999</v>
      </c>
      <c r="M884" s="6">
        <v>19.062999999999999</v>
      </c>
      <c r="N884" s="6">
        <v>19.062999999999999</v>
      </c>
      <c r="O884" s="6">
        <v>19.062999999999999</v>
      </c>
      <c r="P884" s="6">
        <v>0</v>
      </c>
      <c r="Q884" s="4" t="s">
        <v>26</v>
      </c>
      <c r="R884" s="4">
        <v>0</v>
      </c>
      <c r="S884" s="6">
        <v>0</v>
      </c>
      <c r="T884" s="6">
        <v>30</v>
      </c>
      <c r="U884" s="6">
        <v>78</v>
      </c>
      <c r="V884" s="6">
        <f>IF(ISERROR(VLOOKUP($S$884,'TAR FIN'!$A$1:$O$116,15,0)),0,VLOOKUP($S$884,'TAR FIN'!$A$1:$O$116,15,0))</f>
        <v>0</v>
      </c>
      <c r="W884" s="6">
        <f>IF(ISERROR(VLOOKUP($T$884,'TAR FIN'!$A$1:$O$116,15,0)),0,VLOOKUP($T$884,'TAR FIN'!$A$1:$O$116,15,0))</f>
        <v>1682.12</v>
      </c>
      <c r="X884" s="6">
        <f>IF(ISERROR(VLOOKUP($U$884,'TAR FIN'!$A$1:$O$116,15,0)),0,VLOOKUP($U$884,'TAR FIN'!$A$1:$O$116,15,0))</f>
        <v>496.15</v>
      </c>
      <c r="Y884" s="6"/>
      <c r="Z884" s="6">
        <f ca="1">('TUSD BE'!$AM$34+'TUSD BF'!$AM$34+'TUSD CVA'!$AM$34)*1</f>
        <v>1969.9199547802996</v>
      </c>
      <c r="AA884" s="6">
        <f>('TE BE'!$AB$9+'TE BF'!$AB$9+'TE CVA'!$AB$9)*1</f>
        <v>510.04993331215127</v>
      </c>
      <c r="AB884" s="6">
        <f>$K$884*$V$884</f>
        <v>0</v>
      </c>
      <c r="AC884" s="6">
        <f>$M$884*$W$884</f>
        <v>32066.253559999997</v>
      </c>
      <c r="AD884" s="6">
        <f>$O$884*$X$884</f>
        <v>9458.1074499999995</v>
      </c>
      <c r="AE884" s="6">
        <f>$K$884*$Y$884</f>
        <v>0</v>
      </c>
      <c r="AF884" s="6">
        <f ca="1">$M$884*$Z$884</f>
        <v>37552.584097976847</v>
      </c>
      <c r="AG884" s="6">
        <f>$O$884*$AA$884</f>
        <v>9723.0818787295393</v>
      </c>
    </row>
    <row r="885" spans="1:33" ht="11.25" customHeight="1" x14ac:dyDescent="0.25">
      <c r="A885" s="4" t="s">
        <v>21</v>
      </c>
      <c r="B885" s="4" t="s">
        <v>41</v>
      </c>
      <c r="C885" s="4" t="s">
        <v>42</v>
      </c>
      <c r="D885" s="4" t="s">
        <v>43</v>
      </c>
      <c r="E885" s="4" t="s">
        <v>25</v>
      </c>
      <c r="F885" s="4" t="s">
        <v>25</v>
      </c>
      <c r="G885" s="4" t="s">
        <v>25</v>
      </c>
      <c r="H885" s="4" t="s">
        <v>34</v>
      </c>
      <c r="I885" s="5">
        <v>44531</v>
      </c>
      <c r="J885" s="6">
        <v>0</v>
      </c>
      <c r="K885" s="6">
        <v>0</v>
      </c>
      <c r="L885" s="6">
        <v>181.67500000000001</v>
      </c>
      <c r="M885" s="6">
        <v>181.67500000000001</v>
      </c>
      <c r="N885" s="6">
        <v>181.67500000000001</v>
      </c>
      <c r="O885" s="6">
        <v>181.67500000000001</v>
      </c>
      <c r="P885" s="6">
        <v>0</v>
      </c>
      <c r="Q885" s="4" t="s">
        <v>26</v>
      </c>
      <c r="R885" s="4">
        <v>0</v>
      </c>
      <c r="S885" s="6">
        <v>0</v>
      </c>
      <c r="T885" s="6">
        <v>30</v>
      </c>
      <c r="U885" s="6">
        <v>78</v>
      </c>
      <c r="V885" s="6">
        <f>IF(ISERROR(VLOOKUP($S$885,'TAR FIN'!$A$1:$O$116,15,0)),0,VLOOKUP($S$885,'TAR FIN'!$A$1:$O$116,15,0))</f>
        <v>0</v>
      </c>
      <c r="W885" s="6">
        <f>IF(ISERROR(VLOOKUP($T$885,'TAR FIN'!$A$1:$O$116,15,0)),0,VLOOKUP($T$885,'TAR FIN'!$A$1:$O$116,15,0))</f>
        <v>1682.12</v>
      </c>
      <c r="X885" s="6">
        <f>IF(ISERROR(VLOOKUP($U$885,'TAR FIN'!$A$1:$O$116,15,0)),0,VLOOKUP($U$885,'TAR FIN'!$A$1:$O$116,15,0))</f>
        <v>496.15</v>
      </c>
      <c r="Y885" s="6"/>
      <c r="Z885" s="6">
        <f ca="1">('TUSD BE'!$AM$34+'TUSD BF'!$AM$34+'TUSD CVA'!$AM$34)*1</f>
        <v>1969.9199547802996</v>
      </c>
      <c r="AA885" s="6">
        <f>('TE BE'!$AB$9+'TE BF'!$AB$9+'TE CVA'!$AB$9)*1</f>
        <v>510.04993331215127</v>
      </c>
      <c r="AB885" s="6">
        <f>$K$885*$V$885</f>
        <v>0</v>
      </c>
      <c r="AC885" s="6">
        <f>$M$885*$W$885</f>
        <v>305599.15100000001</v>
      </c>
      <c r="AD885" s="6">
        <f>$O$885*$X$885</f>
        <v>90138.051250000004</v>
      </c>
      <c r="AE885" s="6">
        <f>$K$885*$Y$885</f>
        <v>0</v>
      </c>
      <c r="AF885" s="6">
        <f ca="1">$M$885*$Z$885</f>
        <v>357885.20778471098</v>
      </c>
      <c r="AG885" s="6">
        <f>$O$885*$AA$885</f>
        <v>92663.321634485081</v>
      </c>
    </row>
    <row r="886" spans="1:33" ht="11.25" customHeight="1" x14ac:dyDescent="0.25">
      <c r="A886" s="4" t="s">
        <v>27</v>
      </c>
      <c r="B886" s="4" t="s">
        <v>41</v>
      </c>
      <c r="C886" s="4" t="s">
        <v>42</v>
      </c>
      <c r="D886" s="4" t="s">
        <v>43</v>
      </c>
      <c r="E886" s="4" t="s">
        <v>25</v>
      </c>
      <c r="F886" s="4" t="s">
        <v>25</v>
      </c>
      <c r="G886" s="4" t="s">
        <v>25</v>
      </c>
      <c r="H886" s="4" t="s">
        <v>34</v>
      </c>
      <c r="I886" s="5">
        <v>44531</v>
      </c>
      <c r="J886" s="6">
        <v>0</v>
      </c>
      <c r="K886" s="6">
        <v>0</v>
      </c>
      <c r="L886" s="6">
        <v>1.92</v>
      </c>
      <c r="M886" s="6">
        <v>1.92</v>
      </c>
      <c r="N886" s="6">
        <v>1.92</v>
      </c>
      <c r="O886" s="6">
        <v>1.92</v>
      </c>
      <c r="P886" s="6">
        <v>0</v>
      </c>
      <c r="Q886" s="4" t="s">
        <v>26</v>
      </c>
      <c r="R886" s="4">
        <v>0</v>
      </c>
      <c r="S886" s="6">
        <v>0</v>
      </c>
      <c r="T886" s="6">
        <v>30</v>
      </c>
      <c r="U886" s="6">
        <v>78</v>
      </c>
      <c r="V886" s="6">
        <f>IF(ISERROR(VLOOKUP($S$886,'TAR FIN'!$A$1:$O$116,15,0)),0,VLOOKUP($S$886,'TAR FIN'!$A$1:$O$116,15,0))</f>
        <v>0</v>
      </c>
      <c r="W886" s="6">
        <f>IF(ISERROR(VLOOKUP($T$886,'TAR FIN'!$A$1:$O$116,15,0)),0,VLOOKUP($T$886,'TAR FIN'!$A$1:$O$116,15,0))</f>
        <v>1682.12</v>
      </c>
      <c r="X886" s="6">
        <f>IF(ISERROR(VLOOKUP($U$886,'TAR FIN'!$A$1:$O$116,15,0)),0,VLOOKUP($U$886,'TAR FIN'!$A$1:$O$116,15,0))</f>
        <v>496.15</v>
      </c>
      <c r="Y886" s="6"/>
      <c r="Z886" s="6">
        <f ca="1">('TUSD BE'!$AM$34+'TUSD BF'!$AM$34+'TUSD CVA'!$AM$34)*1</f>
        <v>1969.9199547802996</v>
      </c>
      <c r="AA886" s="6">
        <f>('TE BE'!$AB$9+'TE BF'!$AB$9+'TE CVA'!$AB$9)*1</f>
        <v>510.04993331215127</v>
      </c>
      <c r="AB886" s="6">
        <f>$K$886*$V$886</f>
        <v>0</v>
      </c>
      <c r="AC886" s="6">
        <f>$M$886*$W$886</f>
        <v>3229.6703999999995</v>
      </c>
      <c r="AD886" s="6">
        <f>$O$886*$X$886</f>
        <v>952.60799999999995</v>
      </c>
      <c r="AE886" s="6">
        <f>$K$886*$Y$886</f>
        <v>0</v>
      </c>
      <c r="AF886" s="6">
        <f ca="1">$M$886*$Z$886</f>
        <v>3782.2463131781751</v>
      </c>
      <c r="AG886" s="6">
        <f>$O$886*$AA$886</f>
        <v>979.29587195933038</v>
      </c>
    </row>
    <row r="887" spans="1:33" ht="11.25" customHeight="1" x14ac:dyDescent="0.25">
      <c r="A887" s="4" t="s">
        <v>28</v>
      </c>
      <c r="B887" s="4" t="s">
        <v>41</v>
      </c>
      <c r="C887" s="4" t="s">
        <v>42</v>
      </c>
      <c r="D887" s="4" t="s">
        <v>43</v>
      </c>
      <c r="E887" s="4" t="s">
        <v>25</v>
      </c>
      <c r="F887" s="4" t="s">
        <v>25</v>
      </c>
      <c r="G887" s="4" t="s">
        <v>25</v>
      </c>
      <c r="H887" s="4" t="s">
        <v>34</v>
      </c>
      <c r="I887" s="5">
        <v>44531</v>
      </c>
      <c r="J887" s="6">
        <v>0</v>
      </c>
      <c r="K887" s="6">
        <v>0</v>
      </c>
      <c r="L887" s="6">
        <v>27.459</v>
      </c>
      <c r="M887" s="6">
        <v>27.459</v>
      </c>
      <c r="N887" s="6">
        <v>27.459</v>
      </c>
      <c r="O887" s="6">
        <v>27.459</v>
      </c>
      <c r="P887" s="6">
        <v>0</v>
      </c>
      <c r="Q887" s="4" t="s">
        <v>26</v>
      </c>
      <c r="R887" s="4">
        <v>0</v>
      </c>
      <c r="S887" s="6">
        <v>0</v>
      </c>
      <c r="T887" s="6">
        <v>30</v>
      </c>
      <c r="U887" s="6">
        <v>78</v>
      </c>
      <c r="V887" s="6">
        <f>IF(ISERROR(VLOOKUP($S$887,'TAR FIN'!$A$1:$O$116,15,0)),0,VLOOKUP($S$887,'TAR FIN'!$A$1:$O$116,15,0))</f>
        <v>0</v>
      </c>
      <c r="W887" s="6">
        <f>IF(ISERROR(VLOOKUP($T$887,'TAR FIN'!$A$1:$O$116,15,0)),0,VLOOKUP($T$887,'TAR FIN'!$A$1:$O$116,15,0))</f>
        <v>1682.12</v>
      </c>
      <c r="X887" s="6">
        <f>IF(ISERROR(VLOOKUP($U$887,'TAR FIN'!$A$1:$O$116,15,0)),0,VLOOKUP($U$887,'TAR FIN'!$A$1:$O$116,15,0))</f>
        <v>496.15</v>
      </c>
      <c r="Y887" s="6"/>
      <c r="Z887" s="6">
        <f ca="1">('TUSD BE'!$AM$34+'TUSD BF'!$AM$34+'TUSD CVA'!$AM$34)*1</f>
        <v>1969.9199547802996</v>
      </c>
      <c r="AA887" s="6">
        <f>('TE BE'!$AB$9+'TE BF'!$AB$9+'TE CVA'!$AB$9)*1</f>
        <v>510.04993331215127</v>
      </c>
      <c r="AB887" s="6">
        <f>$K$887*$V$887</f>
        <v>0</v>
      </c>
      <c r="AC887" s="6">
        <f>$M$887*$W$887</f>
        <v>46189.333079999997</v>
      </c>
      <c r="AD887" s="6">
        <f>$O$887*$X$887</f>
        <v>13623.78285</v>
      </c>
      <c r="AE887" s="6">
        <f>$K$887*$Y$887</f>
        <v>0</v>
      </c>
      <c r="AF887" s="6">
        <f ca="1">$M$887*$Z$887</f>
        <v>54092.032038312245</v>
      </c>
      <c r="AG887" s="6">
        <f>$O$887*$AA$887</f>
        <v>14005.461118818361</v>
      </c>
    </row>
    <row r="888" spans="1:33" ht="11.25" customHeight="1" x14ac:dyDescent="0.25">
      <c r="A888" s="4" t="s">
        <v>21</v>
      </c>
      <c r="B888" s="4" t="s">
        <v>41</v>
      </c>
      <c r="C888" s="4" t="s">
        <v>42</v>
      </c>
      <c r="D888" s="4" t="s">
        <v>43</v>
      </c>
      <c r="E888" s="4" t="s">
        <v>25</v>
      </c>
      <c r="F888" s="4" t="s">
        <v>25</v>
      </c>
      <c r="G888" s="4" t="s">
        <v>25</v>
      </c>
      <c r="H888" s="4" t="s">
        <v>34</v>
      </c>
      <c r="I888" s="5">
        <v>44562</v>
      </c>
      <c r="J888" s="6">
        <v>0</v>
      </c>
      <c r="K888" s="6">
        <v>0</v>
      </c>
      <c r="L888" s="6">
        <v>176.92400000000001</v>
      </c>
      <c r="M888" s="6">
        <v>176.92400000000001</v>
      </c>
      <c r="N888" s="6">
        <v>176.92400000000001</v>
      </c>
      <c r="O888" s="6">
        <v>176.92400000000001</v>
      </c>
      <c r="P888" s="6">
        <v>0</v>
      </c>
      <c r="Q888" s="4" t="s">
        <v>26</v>
      </c>
      <c r="R888" s="4">
        <v>0</v>
      </c>
      <c r="S888" s="6">
        <v>0</v>
      </c>
      <c r="T888" s="6">
        <v>30</v>
      </c>
      <c r="U888" s="6">
        <v>78</v>
      </c>
      <c r="V888" s="6">
        <f>IF(ISERROR(VLOOKUP($S$888,'TAR FIN'!$A$1:$O$116,15,0)),0,VLOOKUP($S$888,'TAR FIN'!$A$1:$O$116,15,0))</f>
        <v>0</v>
      </c>
      <c r="W888" s="6">
        <f>IF(ISERROR(VLOOKUP($T$888,'TAR FIN'!$A$1:$O$116,15,0)),0,VLOOKUP($T$888,'TAR FIN'!$A$1:$O$116,15,0))</f>
        <v>1682.12</v>
      </c>
      <c r="X888" s="6">
        <f>IF(ISERROR(VLOOKUP($U$888,'TAR FIN'!$A$1:$O$116,15,0)),0,VLOOKUP($U$888,'TAR FIN'!$A$1:$O$116,15,0))</f>
        <v>496.15</v>
      </c>
      <c r="Y888" s="6"/>
      <c r="Z888" s="6">
        <f ca="1">('TUSD BE'!$AM$34+'TUSD BF'!$AM$34+'TUSD CVA'!$AM$34)*1</f>
        <v>1969.9199547802996</v>
      </c>
      <c r="AA888" s="6">
        <f>('TE BE'!$AB$9+'TE BF'!$AB$9+'TE CVA'!$AB$9)*1</f>
        <v>510.04993331215127</v>
      </c>
      <c r="AB888" s="6">
        <f>$K$888*$V$888</f>
        <v>0</v>
      </c>
      <c r="AC888" s="6">
        <f>$M$888*$W$888</f>
        <v>297607.39887999999</v>
      </c>
      <c r="AD888" s="6">
        <f>$O$888*$X$888</f>
        <v>87780.842600000004</v>
      </c>
      <c r="AE888" s="6">
        <f>$K$888*$Y$888</f>
        <v>0</v>
      </c>
      <c r="AF888" s="6">
        <f ca="1">$M$888*$Z$888</f>
        <v>348526.11807954975</v>
      </c>
      <c r="AG888" s="6">
        <f>$O$888*$AA$888</f>
        <v>90240.074401319056</v>
      </c>
    </row>
    <row r="889" spans="1:33" ht="11.25" customHeight="1" x14ac:dyDescent="0.25">
      <c r="A889" s="4" t="s">
        <v>28</v>
      </c>
      <c r="B889" s="4" t="s">
        <v>41</v>
      </c>
      <c r="C889" s="4" t="s">
        <v>42</v>
      </c>
      <c r="D889" s="4" t="s">
        <v>43</v>
      </c>
      <c r="E889" s="4" t="s">
        <v>25</v>
      </c>
      <c r="F889" s="4" t="s">
        <v>25</v>
      </c>
      <c r="G889" s="4" t="s">
        <v>25</v>
      </c>
      <c r="H889" s="4" t="s">
        <v>34</v>
      </c>
      <c r="I889" s="5">
        <v>44562</v>
      </c>
      <c r="J889" s="6">
        <v>0</v>
      </c>
      <c r="K889" s="6">
        <v>0</v>
      </c>
      <c r="L889" s="6">
        <v>22.359000000000002</v>
      </c>
      <c r="M889" s="6">
        <v>22.359000000000002</v>
      </c>
      <c r="N889" s="6">
        <v>22.359000000000002</v>
      </c>
      <c r="O889" s="6">
        <v>22.359000000000002</v>
      </c>
      <c r="P889" s="6">
        <v>0</v>
      </c>
      <c r="Q889" s="4" t="s">
        <v>26</v>
      </c>
      <c r="R889" s="4">
        <v>0</v>
      </c>
      <c r="S889" s="6">
        <v>0</v>
      </c>
      <c r="T889" s="6">
        <v>30</v>
      </c>
      <c r="U889" s="6">
        <v>78</v>
      </c>
      <c r="V889" s="6">
        <f>IF(ISERROR(VLOOKUP($S$889,'TAR FIN'!$A$1:$O$116,15,0)),0,VLOOKUP($S$889,'TAR FIN'!$A$1:$O$116,15,0))</f>
        <v>0</v>
      </c>
      <c r="W889" s="6">
        <f>IF(ISERROR(VLOOKUP($T$889,'TAR FIN'!$A$1:$O$116,15,0)),0,VLOOKUP($T$889,'TAR FIN'!$A$1:$O$116,15,0))</f>
        <v>1682.12</v>
      </c>
      <c r="X889" s="6">
        <f>IF(ISERROR(VLOOKUP($U$889,'TAR FIN'!$A$1:$O$116,15,0)),0,VLOOKUP($U$889,'TAR FIN'!$A$1:$O$116,15,0))</f>
        <v>496.15</v>
      </c>
      <c r="Y889" s="6"/>
      <c r="Z889" s="6">
        <f ca="1">('TUSD BE'!$AM$34+'TUSD BF'!$AM$34+'TUSD CVA'!$AM$34)*1</f>
        <v>1969.9199547802996</v>
      </c>
      <c r="AA889" s="6">
        <f>('TE BE'!$AB$9+'TE BF'!$AB$9+'TE CVA'!$AB$9)*1</f>
        <v>510.04993331215127</v>
      </c>
      <c r="AB889" s="6">
        <f>$K$889*$V$889</f>
        <v>0</v>
      </c>
      <c r="AC889" s="6">
        <f>$M$889*$W$889</f>
        <v>37610.521079999999</v>
      </c>
      <c r="AD889" s="6">
        <f>$O$889*$X$889</f>
        <v>11093.41785</v>
      </c>
      <c r="AE889" s="6">
        <f>$K$889*$Y$889</f>
        <v>0</v>
      </c>
      <c r="AF889" s="6">
        <f ca="1">$M$889*$Z$889</f>
        <v>44045.440268932725</v>
      </c>
      <c r="AG889" s="6">
        <f>$O$889*$AA$889</f>
        <v>11404.206458926392</v>
      </c>
    </row>
    <row r="890" spans="1:33" ht="11.25" customHeight="1" x14ac:dyDescent="0.25">
      <c r="A890" s="4" t="s">
        <v>21</v>
      </c>
      <c r="B890" s="4" t="s">
        <v>41</v>
      </c>
      <c r="C890" s="4" t="s">
        <v>42</v>
      </c>
      <c r="D890" s="4" t="s">
        <v>43</v>
      </c>
      <c r="E890" s="4" t="s">
        <v>25</v>
      </c>
      <c r="F890" s="4" t="s">
        <v>25</v>
      </c>
      <c r="G890" s="4" t="s">
        <v>25</v>
      </c>
      <c r="H890" s="4" t="s">
        <v>34</v>
      </c>
      <c r="I890" s="5">
        <v>44593</v>
      </c>
      <c r="J890" s="6">
        <v>0</v>
      </c>
      <c r="K890" s="6">
        <v>0</v>
      </c>
      <c r="L890" s="6">
        <v>163.41800000000001</v>
      </c>
      <c r="M890" s="6">
        <v>163.41800000000001</v>
      </c>
      <c r="N890" s="6">
        <v>163.41800000000001</v>
      </c>
      <c r="O890" s="6">
        <v>163.41800000000001</v>
      </c>
      <c r="P890" s="6">
        <v>0</v>
      </c>
      <c r="Q890" s="4" t="s">
        <v>26</v>
      </c>
      <c r="R890" s="4">
        <v>0</v>
      </c>
      <c r="S890" s="6">
        <v>0</v>
      </c>
      <c r="T890" s="6">
        <v>30</v>
      </c>
      <c r="U890" s="6">
        <v>78</v>
      </c>
      <c r="V890" s="6">
        <f>IF(ISERROR(VLOOKUP($S$890,'TAR FIN'!$A$1:$O$116,15,0)),0,VLOOKUP($S$890,'TAR FIN'!$A$1:$O$116,15,0))</f>
        <v>0</v>
      </c>
      <c r="W890" s="6">
        <f>IF(ISERROR(VLOOKUP($T$890,'TAR FIN'!$A$1:$O$116,15,0)),0,VLOOKUP($T$890,'TAR FIN'!$A$1:$O$116,15,0))</f>
        <v>1682.12</v>
      </c>
      <c r="X890" s="6">
        <f>IF(ISERROR(VLOOKUP($U$890,'TAR FIN'!$A$1:$O$116,15,0)),0,VLOOKUP($U$890,'TAR FIN'!$A$1:$O$116,15,0))</f>
        <v>496.15</v>
      </c>
      <c r="Y890" s="6"/>
      <c r="Z890" s="6">
        <f ca="1">('TUSD BE'!$AM$34+'TUSD BF'!$AM$34+'TUSD CVA'!$AM$34)*1</f>
        <v>1969.9199547802996</v>
      </c>
      <c r="AA890" s="6">
        <f>('TE BE'!$AB$9+'TE BF'!$AB$9+'TE CVA'!$AB$9)*1</f>
        <v>510.04993331215127</v>
      </c>
      <c r="AB890" s="6">
        <f>$K$890*$V$890</f>
        <v>0</v>
      </c>
      <c r="AC890" s="6">
        <f>$M$890*$W$890</f>
        <v>274888.68615999998</v>
      </c>
      <c r="AD890" s="6">
        <f>$O$890*$X$890</f>
        <v>81079.840700000001</v>
      </c>
      <c r="AE890" s="6">
        <f>$K$890*$Y$890</f>
        <v>0</v>
      </c>
      <c r="AF890" s="6">
        <f ca="1">$M$890*$Z$890</f>
        <v>321920.37917028699</v>
      </c>
      <c r="AG890" s="6">
        <f>$O$890*$AA$890</f>
        <v>83351.340002005134</v>
      </c>
    </row>
    <row r="891" spans="1:33" ht="11.25" customHeight="1" x14ac:dyDescent="0.25">
      <c r="A891" s="4" t="s">
        <v>28</v>
      </c>
      <c r="B891" s="4" t="s">
        <v>41</v>
      </c>
      <c r="C891" s="4" t="s">
        <v>42</v>
      </c>
      <c r="D891" s="4" t="s">
        <v>43</v>
      </c>
      <c r="E891" s="4" t="s">
        <v>25</v>
      </c>
      <c r="F891" s="4" t="s">
        <v>25</v>
      </c>
      <c r="G891" s="4" t="s">
        <v>25</v>
      </c>
      <c r="H891" s="4" t="s">
        <v>34</v>
      </c>
      <c r="I891" s="5">
        <v>44593</v>
      </c>
      <c r="J891" s="6">
        <v>0</v>
      </c>
      <c r="K891" s="6">
        <v>0</v>
      </c>
      <c r="L891" s="6">
        <v>23.030999999999999</v>
      </c>
      <c r="M891" s="6">
        <v>23.030999999999999</v>
      </c>
      <c r="N891" s="6">
        <v>23.030999999999999</v>
      </c>
      <c r="O891" s="6">
        <v>23.030999999999999</v>
      </c>
      <c r="P891" s="6">
        <v>0</v>
      </c>
      <c r="Q891" s="4" t="s">
        <v>26</v>
      </c>
      <c r="R891" s="4">
        <v>0</v>
      </c>
      <c r="S891" s="6">
        <v>0</v>
      </c>
      <c r="T891" s="6">
        <v>30</v>
      </c>
      <c r="U891" s="6">
        <v>78</v>
      </c>
      <c r="V891" s="6">
        <f>IF(ISERROR(VLOOKUP($S$891,'TAR FIN'!$A$1:$O$116,15,0)),0,VLOOKUP($S$891,'TAR FIN'!$A$1:$O$116,15,0))</f>
        <v>0</v>
      </c>
      <c r="W891" s="6">
        <f>IF(ISERROR(VLOOKUP($T$891,'TAR FIN'!$A$1:$O$116,15,0)),0,VLOOKUP($T$891,'TAR FIN'!$A$1:$O$116,15,0))</f>
        <v>1682.12</v>
      </c>
      <c r="X891" s="6">
        <f>IF(ISERROR(VLOOKUP($U$891,'TAR FIN'!$A$1:$O$116,15,0)),0,VLOOKUP($U$891,'TAR FIN'!$A$1:$O$116,15,0))</f>
        <v>496.15</v>
      </c>
      <c r="Y891" s="6"/>
      <c r="Z891" s="6">
        <f ca="1">('TUSD BE'!$AM$34+'TUSD BF'!$AM$34+'TUSD CVA'!$AM$34)*1</f>
        <v>1969.9199547802996</v>
      </c>
      <c r="AA891" s="6">
        <f>('TE BE'!$AB$9+'TE BF'!$AB$9+'TE CVA'!$AB$9)*1</f>
        <v>510.04993331215127</v>
      </c>
      <c r="AB891" s="6">
        <f>$K$891*$V$891</f>
        <v>0</v>
      </c>
      <c r="AC891" s="6">
        <f>$M$891*$W$891</f>
        <v>38740.905719999995</v>
      </c>
      <c r="AD891" s="6">
        <f>$O$891*$X$891</f>
        <v>11426.830649999998</v>
      </c>
      <c r="AE891" s="6">
        <f>$K$891*$Y$891</f>
        <v>0</v>
      </c>
      <c r="AF891" s="6">
        <f ca="1">$M$891*$Z$891</f>
        <v>45369.226478545075</v>
      </c>
      <c r="AG891" s="6">
        <f>$O$891*$AA$891</f>
        <v>11746.960014112155</v>
      </c>
    </row>
    <row r="892" spans="1:33" ht="11.25" customHeight="1" x14ac:dyDescent="0.25">
      <c r="A892" s="4" t="s">
        <v>21</v>
      </c>
      <c r="B892" s="4" t="s">
        <v>41</v>
      </c>
      <c r="C892" s="4" t="s">
        <v>42</v>
      </c>
      <c r="D892" s="4" t="s">
        <v>43</v>
      </c>
      <c r="E892" s="4" t="s">
        <v>25</v>
      </c>
      <c r="F892" s="4" t="s">
        <v>25</v>
      </c>
      <c r="G892" s="4" t="s">
        <v>25</v>
      </c>
      <c r="H892" s="4" t="s">
        <v>34</v>
      </c>
      <c r="I892" s="5">
        <v>44621</v>
      </c>
      <c r="J892" s="6">
        <v>0</v>
      </c>
      <c r="K892" s="6">
        <v>0</v>
      </c>
      <c r="L892" s="6">
        <v>159.893</v>
      </c>
      <c r="M892" s="6">
        <v>159.893</v>
      </c>
      <c r="N892" s="6">
        <v>159.893</v>
      </c>
      <c r="O892" s="6">
        <v>159.893</v>
      </c>
      <c r="P892" s="6">
        <v>0</v>
      </c>
      <c r="Q892" s="4" t="s">
        <v>26</v>
      </c>
      <c r="R892" s="4">
        <v>0</v>
      </c>
      <c r="S892" s="6">
        <v>0</v>
      </c>
      <c r="T892" s="6">
        <v>30</v>
      </c>
      <c r="U892" s="6">
        <v>78</v>
      </c>
      <c r="V892" s="6">
        <f>IF(ISERROR(VLOOKUP($S$892,'TAR FIN'!$A$1:$O$116,15,0)),0,VLOOKUP($S$892,'TAR FIN'!$A$1:$O$116,15,0))</f>
        <v>0</v>
      </c>
      <c r="W892" s="6">
        <f>IF(ISERROR(VLOOKUP($T$892,'TAR FIN'!$A$1:$O$116,15,0)),0,VLOOKUP($T$892,'TAR FIN'!$A$1:$O$116,15,0))</f>
        <v>1682.12</v>
      </c>
      <c r="X892" s="6">
        <f>IF(ISERROR(VLOOKUP($U$892,'TAR FIN'!$A$1:$O$116,15,0)),0,VLOOKUP($U$892,'TAR FIN'!$A$1:$O$116,15,0))</f>
        <v>496.15</v>
      </c>
      <c r="Y892" s="6"/>
      <c r="Z892" s="6">
        <f ca="1">('TUSD BE'!$AM$34+'TUSD BF'!$AM$34+'TUSD CVA'!$AM$34)*1</f>
        <v>1969.9199547802996</v>
      </c>
      <c r="AA892" s="6">
        <f>('TE BE'!$AB$9+'TE BF'!$AB$9+'TE CVA'!$AB$9)*1</f>
        <v>510.04993331215127</v>
      </c>
      <c r="AB892" s="6">
        <f>$K$892*$V$892</f>
        <v>0</v>
      </c>
      <c r="AC892" s="6">
        <f>$M$892*$W$892</f>
        <v>268959.21315999998</v>
      </c>
      <c r="AD892" s="6">
        <f>$O$892*$X$892</f>
        <v>79330.911949999994</v>
      </c>
      <c r="AE892" s="6">
        <f>$K$892*$Y$892</f>
        <v>0</v>
      </c>
      <c r="AF892" s="6">
        <f ca="1">$M$892*$Z$892</f>
        <v>314976.41132968647</v>
      </c>
      <c r="AG892" s="6">
        <f>$O$892*$AA$892</f>
        <v>81553.41398707981</v>
      </c>
    </row>
    <row r="893" spans="1:33" ht="11.25" customHeight="1" x14ac:dyDescent="0.25">
      <c r="A893" s="4" t="s">
        <v>27</v>
      </c>
      <c r="B893" s="4" t="s">
        <v>41</v>
      </c>
      <c r="C893" s="4" t="s">
        <v>42</v>
      </c>
      <c r="D893" s="4" t="s">
        <v>43</v>
      </c>
      <c r="E893" s="4" t="s">
        <v>25</v>
      </c>
      <c r="F893" s="4" t="s">
        <v>25</v>
      </c>
      <c r="G893" s="4" t="s">
        <v>25</v>
      </c>
      <c r="H893" s="4" t="s">
        <v>34</v>
      </c>
      <c r="I893" s="5">
        <v>44621</v>
      </c>
      <c r="J893" s="6">
        <v>0</v>
      </c>
      <c r="K893" s="6">
        <v>0</v>
      </c>
      <c r="L893" s="6">
        <v>-3.9020000000000001</v>
      </c>
      <c r="M893" s="6">
        <v>-3.9020000000000001</v>
      </c>
      <c r="N893" s="6">
        <v>-3.9020000000000001</v>
      </c>
      <c r="O893" s="6">
        <v>-3.9020000000000001</v>
      </c>
      <c r="P893" s="6">
        <v>0</v>
      </c>
      <c r="Q893" s="4" t="s">
        <v>26</v>
      </c>
      <c r="R893" s="4">
        <v>0</v>
      </c>
      <c r="S893" s="6">
        <v>0</v>
      </c>
      <c r="T893" s="6">
        <v>30</v>
      </c>
      <c r="U893" s="6">
        <v>78</v>
      </c>
      <c r="V893" s="6">
        <f>IF(ISERROR(VLOOKUP($S$893,'TAR FIN'!$A$1:$O$116,15,0)),0,VLOOKUP($S$893,'TAR FIN'!$A$1:$O$116,15,0))</f>
        <v>0</v>
      </c>
      <c r="W893" s="6">
        <f>IF(ISERROR(VLOOKUP($T$893,'TAR FIN'!$A$1:$O$116,15,0)),0,VLOOKUP($T$893,'TAR FIN'!$A$1:$O$116,15,0))</f>
        <v>1682.12</v>
      </c>
      <c r="X893" s="6">
        <f>IF(ISERROR(VLOOKUP($U$893,'TAR FIN'!$A$1:$O$116,15,0)),0,VLOOKUP($U$893,'TAR FIN'!$A$1:$O$116,15,0))</f>
        <v>496.15</v>
      </c>
      <c r="Y893" s="6"/>
      <c r="Z893" s="6">
        <f ca="1">('TUSD BE'!$AM$34+'TUSD BF'!$AM$34+'TUSD CVA'!$AM$34)*1</f>
        <v>1969.9199547802996</v>
      </c>
      <c r="AA893" s="6">
        <f>('TE BE'!$AB$9+'TE BF'!$AB$9+'TE CVA'!$AB$9)*1</f>
        <v>510.04993331215127</v>
      </c>
      <c r="AB893" s="6">
        <f>$K$893*$V$893</f>
        <v>0</v>
      </c>
      <c r="AC893" s="6">
        <f>$M$893*$W$893</f>
        <v>-6563.6322399999999</v>
      </c>
      <c r="AD893" s="6">
        <f>$O$893*$X$893</f>
        <v>-1935.9773</v>
      </c>
      <c r="AE893" s="6">
        <f>$K$893*$Y$893</f>
        <v>0</v>
      </c>
      <c r="AF893" s="6">
        <f ca="1">$M$893*$Z$893</f>
        <v>-7686.6276635527292</v>
      </c>
      <c r="AG893" s="6">
        <f>$O$893*$AA$893</f>
        <v>-1990.2148397840142</v>
      </c>
    </row>
    <row r="894" spans="1:33" ht="11.25" customHeight="1" x14ac:dyDescent="0.25">
      <c r="A894" s="4" t="s">
        <v>28</v>
      </c>
      <c r="B894" s="4" t="s">
        <v>41</v>
      </c>
      <c r="C894" s="4" t="s">
        <v>42</v>
      </c>
      <c r="D894" s="4" t="s">
        <v>43</v>
      </c>
      <c r="E894" s="4" t="s">
        <v>25</v>
      </c>
      <c r="F894" s="4" t="s">
        <v>25</v>
      </c>
      <c r="G894" s="4" t="s">
        <v>25</v>
      </c>
      <c r="H894" s="4" t="s">
        <v>34</v>
      </c>
      <c r="I894" s="5">
        <v>44621</v>
      </c>
      <c r="J894" s="6">
        <v>0</v>
      </c>
      <c r="K894" s="6">
        <v>0</v>
      </c>
      <c r="L894" s="6">
        <v>27.92</v>
      </c>
      <c r="M894" s="6">
        <v>27.92</v>
      </c>
      <c r="N894" s="6">
        <v>27.92</v>
      </c>
      <c r="O894" s="6">
        <v>27.92</v>
      </c>
      <c r="P894" s="6">
        <v>0</v>
      </c>
      <c r="Q894" s="4" t="s">
        <v>26</v>
      </c>
      <c r="R894" s="4">
        <v>0</v>
      </c>
      <c r="S894" s="6">
        <v>0</v>
      </c>
      <c r="T894" s="6">
        <v>30</v>
      </c>
      <c r="U894" s="6">
        <v>78</v>
      </c>
      <c r="V894" s="6">
        <f>IF(ISERROR(VLOOKUP($S$894,'TAR FIN'!$A$1:$O$116,15,0)),0,VLOOKUP($S$894,'TAR FIN'!$A$1:$O$116,15,0))</f>
        <v>0</v>
      </c>
      <c r="W894" s="6">
        <f>IF(ISERROR(VLOOKUP($T$894,'TAR FIN'!$A$1:$O$116,15,0)),0,VLOOKUP($T$894,'TAR FIN'!$A$1:$O$116,15,0))</f>
        <v>1682.12</v>
      </c>
      <c r="X894" s="6">
        <f>IF(ISERROR(VLOOKUP($U$894,'TAR FIN'!$A$1:$O$116,15,0)),0,VLOOKUP($U$894,'TAR FIN'!$A$1:$O$116,15,0))</f>
        <v>496.15</v>
      </c>
      <c r="Y894" s="6"/>
      <c r="Z894" s="6">
        <f ca="1">('TUSD BE'!$AM$34+'TUSD BF'!$AM$34+'TUSD CVA'!$AM$34)*1</f>
        <v>1969.9199547802996</v>
      </c>
      <c r="AA894" s="6">
        <f>('TE BE'!$AB$9+'TE BF'!$AB$9+'TE CVA'!$AB$9)*1</f>
        <v>510.04993331215127</v>
      </c>
      <c r="AB894" s="6">
        <f>$K$894*$V$894</f>
        <v>0</v>
      </c>
      <c r="AC894" s="6">
        <f>$M$894*$W$894</f>
        <v>46964.790399999998</v>
      </c>
      <c r="AD894" s="6">
        <f>$O$894*$X$894</f>
        <v>13852.508</v>
      </c>
      <c r="AE894" s="6">
        <f>$K$894*$Y$894</f>
        <v>0</v>
      </c>
      <c r="AF894" s="6">
        <f ca="1">$M$894*$Z$894</f>
        <v>55000.16513746597</v>
      </c>
      <c r="AG894" s="6">
        <f>$O$894*$AA$894</f>
        <v>14240.594138075265</v>
      </c>
    </row>
    <row r="895" spans="1:33" ht="11.25" customHeight="1" x14ac:dyDescent="0.25">
      <c r="A895" s="4" t="s">
        <v>21</v>
      </c>
      <c r="B895" s="4" t="s">
        <v>41</v>
      </c>
      <c r="C895" s="4" t="s">
        <v>42</v>
      </c>
      <c r="D895" s="4" t="s">
        <v>43</v>
      </c>
      <c r="E895" s="4" t="s">
        <v>25</v>
      </c>
      <c r="F895" s="4" t="s">
        <v>25</v>
      </c>
      <c r="G895" s="4" t="s">
        <v>25</v>
      </c>
      <c r="H895" s="4" t="s">
        <v>34</v>
      </c>
      <c r="I895" s="5">
        <v>44652</v>
      </c>
      <c r="J895" s="6">
        <v>0</v>
      </c>
      <c r="K895" s="6">
        <v>0</v>
      </c>
      <c r="L895" s="6">
        <v>152.511</v>
      </c>
      <c r="M895" s="6">
        <v>152.511</v>
      </c>
      <c r="N895" s="6">
        <v>152.511</v>
      </c>
      <c r="O895" s="6">
        <v>152.511</v>
      </c>
      <c r="P895" s="6">
        <v>0</v>
      </c>
      <c r="Q895" s="4" t="s">
        <v>26</v>
      </c>
      <c r="R895" s="4">
        <v>0</v>
      </c>
      <c r="S895" s="6">
        <v>0</v>
      </c>
      <c r="T895" s="6">
        <v>30</v>
      </c>
      <c r="U895" s="6">
        <v>78</v>
      </c>
      <c r="V895" s="6">
        <f>IF(ISERROR(VLOOKUP($S$895,'TAR FIN'!$A$1:$O$116,15,0)),0,VLOOKUP($S$895,'TAR FIN'!$A$1:$O$116,15,0))</f>
        <v>0</v>
      </c>
      <c r="W895" s="6">
        <f>IF(ISERROR(VLOOKUP($T$895,'TAR FIN'!$A$1:$O$116,15,0)),0,VLOOKUP($T$895,'TAR FIN'!$A$1:$O$116,15,0))</f>
        <v>1682.12</v>
      </c>
      <c r="X895" s="6">
        <f>IF(ISERROR(VLOOKUP($U$895,'TAR FIN'!$A$1:$O$116,15,0)),0,VLOOKUP($U$895,'TAR FIN'!$A$1:$O$116,15,0))</f>
        <v>496.15</v>
      </c>
      <c r="Y895" s="6"/>
      <c r="Z895" s="6">
        <f ca="1">('TUSD BE'!$AM$34+'TUSD BF'!$AM$34+'TUSD CVA'!$AM$34)*1</f>
        <v>1969.9199547802996</v>
      </c>
      <c r="AA895" s="6">
        <f>('TE BE'!$AB$9+'TE BF'!$AB$9+'TE CVA'!$AB$9)*1</f>
        <v>510.04993331215127</v>
      </c>
      <c r="AB895" s="6">
        <f>$K$895*$V$895</f>
        <v>0</v>
      </c>
      <c r="AC895" s="6">
        <f>$M$895*$W$895</f>
        <v>256541.80331999998</v>
      </c>
      <c r="AD895" s="6">
        <f>$O$895*$X$895</f>
        <v>75668.332649999997</v>
      </c>
      <c r="AE895" s="6">
        <f>$K$895*$Y$895</f>
        <v>0</v>
      </c>
      <c r="AF895" s="6">
        <f ca="1">$M$895*$Z$895</f>
        <v>300434.46222349827</v>
      </c>
      <c r="AG895" s="6">
        <f>$O$895*$AA$895</f>
        <v>77788.225379369498</v>
      </c>
    </row>
    <row r="896" spans="1:33" ht="11.25" customHeight="1" x14ac:dyDescent="0.25">
      <c r="A896" s="4" t="s">
        <v>27</v>
      </c>
      <c r="B896" s="4" t="s">
        <v>41</v>
      </c>
      <c r="C896" s="4" t="s">
        <v>42</v>
      </c>
      <c r="D896" s="4" t="s">
        <v>43</v>
      </c>
      <c r="E896" s="4" t="s">
        <v>25</v>
      </c>
      <c r="F896" s="4" t="s">
        <v>25</v>
      </c>
      <c r="G896" s="4" t="s">
        <v>25</v>
      </c>
      <c r="H896" s="4" t="s">
        <v>34</v>
      </c>
      <c r="I896" s="5">
        <v>44652</v>
      </c>
      <c r="J896" s="6">
        <v>0</v>
      </c>
      <c r="K896" s="6">
        <v>0</v>
      </c>
      <c r="L896" s="6">
        <v>-1.6839999999999999</v>
      </c>
      <c r="M896" s="6">
        <v>-1.6839999999999999</v>
      </c>
      <c r="N896" s="6">
        <v>-1.6839999999999999</v>
      </c>
      <c r="O896" s="6">
        <v>-1.6839999999999999</v>
      </c>
      <c r="P896" s="6">
        <v>0</v>
      </c>
      <c r="Q896" s="4" t="s">
        <v>26</v>
      </c>
      <c r="R896" s="4">
        <v>0</v>
      </c>
      <c r="S896" s="6">
        <v>0</v>
      </c>
      <c r="T896" s="6">
        <v>30</v>
      </c>
      <c r="U896" s="6">
        <v>78</v>
      </c>
      <c r="V896" s="6">
        <f>IF(ISERROR(VLOOKUP($S$896,'TAR FIN'!$A$1:$O$116,15,0)),0,VLOOKUP($S$896,'TAR FIN'!$A$1:$O$116,15,0))</f>
        <v>0</v>
      </c>
      <c r="W896" s="6">
        <f>IF(ISERROR(VLOOKUP($T$896,'TAR FIN'!$A$1:$O$116,15,0)),0,VLOOKUP($T$896,'TAR FIN'!$A$1:$O$116,15,0))</f>
        <v>1682.12</v>
      </c>
      <c r="X896" s="6">
        <f>IF(ISERROR(VLOOKUP($U$896,'TAR FIN'!$A$1:$O$116,15,0)),0,VLOOKUP($U$896,'TAR FIN'!$A$1:$O$116,15,0))</f>
        <v>496.15</v>
      </c>
      <c r="Y896" s="6"/>
      <c r="Z896" s="6">
        <f ca="1">('TUSD BE'!$AM$34+'TUSD BF'!$AM$34+'TUSD CVA'!$AM$34)*1</f>
        <v>1969.9199547802996</v>
      </c>
      <c r="AA896" s="6">
        <f>('TE BE'!$AB$9+'TE BF'!$AB$9+'TE CVA'!$AB$9)*1</f>
        <v>510.04993331215127</v>
      </c>
      <c r="AB896" s="6">
        <f>$K$896*$V$896</f>
        <v>0</v>
      </c>
      <c r="AC896" s="6">
        <f>$M$896*$W$896</f>
        <v>-2832.6900799999999</v>
      </c>
      <c r="AD896" s="6">
        <f>$O$896*$X$896</f>
        <v>-835.51659999999993</v>
      </c>
      <c r="AE896" s="6">
        <f>$K$896*$Y$896</f>
        <v>0</v>
      </c>
      <c r="AF896" s="6">
        <f ca="1">$M$896*$Z$896</f>
        <v>-3317.3452038500245</v>
      </c>
      <c r="AG896" s="6">
        <f>$O$896*$AA$896</f>
        <v>-858.92408769766269</v>
      </c>
    </row>
    <row r="897" spans="1:33" ht="11.25" customHeight="1" x14ac:dyDescent="0.25">
      <c r="A897" s="4" t="s">
        <v>28</v>
      </c>
      <c r="B897" s="4" t="s">
        <v>41</v>
      </c>
      <c r="C897" s="4" t="s">
        <v>42</v>
      </c>
      <c r="D897" s="4" t="s">
        <v>43</v>
      </c>
      <c r="E897" s="4" t="s">
        <v>25</v>
      </c>
      <c r="F897" s="4" t="s">
        <v>25</v>
      </c>
      <c r="G897" s="4" t="s">
        <v>25</v>
      </c>
      <c r="H897" s="4" t="s">
        <v>34</v>
      </c>
      <c r="I897" s="5">
        <v>44652</v>
      </c>
      <c r="J897" s="6">
        <v>0</v>
      </c>
      <c r="K897" s="6">
        <v>0</v>
      </c>
      <c r="L897" s="6">
        <v>23.071999999999999</v>
      </c>
      <c r="M897" s="6">
        <v>23.071999999999999</v>
      </c>
      <c r="N897" s="6">
        <v>23.071999999999999</v>
      </c>
      <c r="O897" s="6">
        <v>23.071999999999999</v>
      </c>
      <c r="P897" s="6">
        <v>0</v>
      </c>
      <c r="Q897" s="4" t="s">
        <v>26</v>
      </c>
      <c r="R897" s="4">
        <v>0</v>
      </c>
      <c r="S897" s="6">
        <v>0</v>
      </c>
      <c r="T897" s="6">
        <v>30</v>
      </c>
      <c r="U897" s="6">
        <v>78</v>
      </c>
      <c r="V897" s="6">
        <f>IF(ISERROR(VLOOKUP($S$897,'TAR FIN'!$A$1:$O$116,15,0)),0,VLOOKUP($S$897,'TAR FIN'!$A$1:$O$116,15,0))</f>
        <v>0</v>
      </c>
      <c r="W897" s="6">
        <f>IF(ISERROR(VLOOKUP($T$897,'TAR FIN'!$A$1:$O$116,15,0)),0,VLOOKUP($T$897,'TAR FIN'!$A$1:$O$116,15,0))</f>
        <v>1682.12</v>
      </c>
      <c r="X897" s="6">
        <f>IF(ISERROR(VLOOKUP($U$897,'TAR FIN'!$A$1:$O$116,15,0)),0,VLOOKUP($U$897,'TAR FIN'!$A$1:$O$116,15,0))</f>
        <v>496.15</v>
      </c>
      <c r="Y897" s="6"/>
      <c r="Z897" s="6">
        <f ca="1">('TUSD BE'!$AM$34+'TUSD BF'!$AM$34+'TUSD CVA'!$AM$34)*1</f>
        <v>1969.9199547802996</v>
      </c>
      <c r="AA897" s="6">
        <f>('TE BE'!$AB$9+'TE BF'!$AB$9+'TE CVA'!$AB$9)*1</f>
        <v>510.04993331215127</v>
      </c>
      <c r="AB897" s="6">
        <f>$K$897*$V$897</f>
        <v>0</v>
      </c>
      <c r="AC897" s="6">
        <f>$M$897*$W$897</f>
        <v>38809.872639999994</v>
      </c>
      <c r="AD897" s="6">
        <f>$O$897*$X$897</f>
        <v>11447.172799999998</v>
      </c>
      <c r="AE897" s="6">
        <f>$K$897*$Y$897</f>
        <v>0</v>
      </c>
      <c r="AF897" s="6">
        <f ca="1">$M$897*$Z$897</f>
        <v>45449.993196691074</v>
      </c>
      <c r="AG897" s="6">
        <f>$O$897*$AA$897</f>
        <v>11767.872061377953</v>
      </c>
    </row>
    <row r="898" spans="1:33" ht="11.25" customHeight="1" x14ac:dyDescent="0.25">
      <c r="A898" s="4" t="s">
        <v>58</v>
      </c>
      <c r="B898" s="4" t="s">
        <v>41</v>
      </c>
      <c r="C898" s="4" t="s">
        <v>42</v>
      </c>
      <c r="D898" s="4" t="s">
        <v>43</v>
      </c>
      <c r="E898" s="4" t="s">
        <v>25</v>
      </c>
      <c r="F898" s="4" t="s">
        <v>25</v>
      </c>
      <c r="G898" s="4" t="s">
        <v>25</v>
      </c>
      <c r="H898" s="4" t="s">
        <v>34</v>
      </c>
      <c r="I898" s="5">
        <v>44682</v>
      </c>
      <c r="J898" s="6">
        <v>0</v>
      </c>
      <c r="K898" s="6">
        <v>0</v>
      </c>
      <c r="L898" s="6">
        <v>152.511</v>
      </c>
      <c r="M898" s="6">
        <v>152.511</v>
      </c>
      <c r="N898" s="6">
        <v>152.511</v>
      </c>
      <c r="O898" s="6">
        <v>152.511</v>
      </c>
      <c r="P898" s="6">
        <v>0</v>
      </c>
      <c r="Q898" s="4" t="s">
        <v>26</v>
      </c>
      <c r="R898" s="4">
        <v>0</v>
      </c>
      <c r="S898" s="6">
        <v>0</v>
      </c>
      <c r="T898" s="6">
        <v>30</v>
      </c>
      <c r="U898" s="6">
        <v>78</v>
      </c>
      <c r="V898" s="6">
        <f>IF(ISERROR(VLOOKUP($S$898,'TAR FIN'!$A$1:$O$116,15,0)),0,VLOOKUP($S$898,'TAR FIN'!$A$1:$O$116,15,0))</f>
        <v>0</v>
      </c>
      <c r="W898" s="6">
        <f>IF(ISERROR(VLOOKUP($T$898,'TAR FIN'!$A$1:$O$116,15,0)),0,VLOOKUP($T$898,'TAR FIN'!$A$1:$O$116,15,0))</f>
        <v>1682.12</v>
      </c>
      <c r="X898" s="6">
        <f>IF(ISERROR(VLOOKUP($U$898,'TAR FIN'!$A$1:$O$116,15,0)),0,VLOOKUP($U$898,'TAR FIN'!$A$1:$O$116,15,0))</f>
        <v>496.15</v>
      </c>
      <c r="Y898" s="6"/>
      <c r="Z898" s="6">
        <f ca="1">('TUSD BE'!$AM$34+'TUSD BF'!$AM$34+'TUSD CVA'!$AM$34)*1</f>
        <v>1969.9199547802996</v>
      </c>
      <c r="AA898" s="6">
        <f>('TE BE'!$AB$9+'TE BF'!$AB$9+'TE CVA'!$AB$9)*1</f>
        <v>510.04993331215127</v>
      </c>
      <c r="AB898" s="6">
        <f>$K$898*$V$898</f>
        <v>0</v>
      </c>
      <c r="AC898" s="6">
        <f>$M$898*$W$898</f>
        <v>256541.80331999998</v>
      </c>
      <c r="AD898" s="6">
        <f>$O$898*$X$898</f>
        <v>75668.332649999997</v>
      </c>
      <c r="AE898" s="6">
        <f>$K$898*$Y$898</f>
        <v>0</v>
      </c>
      <c r="AF898" s="6">
        <f ca="1">$M$898*$Z$898</f>
        <v>300434.46222349827</v>
      </c>
      <c r="AG898" s="6">
        <f>$O$898*$AA$898</f>
        <v>77788.225379369498</v>
      </c>
    </row>
    <row r="899" spans="1:33" ht="11.25" customHeight="1" x14ac:dyDescent="0.25">
      <c r="A899" s="4" t="s">
        <v>58</v>
      </c>
      <c r="B899" s="4" t="s">
        <v>41</v>
      </c>
      <c r="C899" s="4" t="s">
        <v>42</v>
      </c>
      <c r="D899" s="4" t="s">
        <v>43</v>
      </c>
      <c r="E899" s="4" t="s">
        <v>25</v>
      </c>
      <c r="F899" s="4" t="s">
        <v>25</v>
      </c>
      <c r="G899" s="4" t="s">
        <v>25</v>
      </c>
      <c r="H899" s="4" t="s">
        <v>34</v>
      </c>
      <c r="I899" s="5">
        <v>44682</v>
      </c>
      <c r="J899" s="6">
        <v>0</v>
      </c>
      <c r="K899" s="6">
        <v>0</v>
      </c>
      <c r="L899" s="6">
        <v>-1.6839999999999999</v>
      </c>
      <c r="M899" s="6">
        <v>-1.6839999999999999</v>
      </c>
      <c r="N899" s="6">
        <v>-1.6839999999999999</v>
      </c>
      <c r="O899" s="6">
        <v>-1.6839999999999999</v>
      </c>
      <c r="P899" s="6">
        <v>0</v>
      </c>
      <c r="Q899" s="4" t="s">
        <v>26</v>
      </c>
      <c r="R899" s="4">
        <v>0</v>
      </c>
      <c r="S899" s="6">
        <v>0</v>
      </c>
      <c r="T899" s="6">
        <v>30</v>
      </c>
      <c r="U899" s="6">
        <v>78</v>
      </c>
      <c r="V899" s="6">
        <f>IF(ISERROR(VLOOKUP($S$899,'TAR FIN'!$A$1:$O$116,15,0)),0,VLOOKUP($S$899,'TAR FIN'!$A$1:$O$116,15,0))</f>
        <v>0</v>
      </c>
      <c r="W899" s="6">
        <f>IF(ISERROR(VLOOKUP($T$899,'TAR FIN'!$A$1:$O$116,15,0)),0,VLOOKUP($T$899,'TAR FIN'!$A$1:$O$116,15,0))</f>
        <v>1682.12</v>
      </c>
      <c r="X899" s="6">
        <f>IF(ISERROR(VLOOKUP($U$899,'TAR FIN'!$A$1:$O$116,15,0)),0,VLOOKUP($U$899,'TAR FIN'!$A$1:$O$116,15,0))</f>
        <v>496.15</v>
      </c>
      <c r="Y899" s="6"/>
      <c r="Z899" s="6">
        <f ca="1">('TUSD BE'!$AM$34+'TUSD BF'!$AM$34+'TUSD CVA'!$AM$34)*1</f>
        <v>1969.9199547802996</v>
      </c>
      <c r="AA899" s="6">
        <f>('TE BE'!$AB$9+'TE BF'!$AB$9+'TE CVA'!$AB$9)*1</f>
        <v>510.04993331215127</v>
      </c>
      <c r="AB899" s="6">
        <f>$K$899*$V$899</f>
        <v>0</v>
      </c>
      <c r="AC899" s="6">
        <f>$M$899*$W$899</f>
        <v>-2832.6900799999999</v>
      </c>
      <c r="AD899" s="6">
        <f>$O$899*$X$899</f>
        <v>-835.51659999999993</v>
      </c>
      <c r="AE899" s="6">
        <f>$K$899*$Y$899</f>
        <v>0</v>
      </c>
      <c r="AF899" s="6">
        <f ca="1">$M$899*$Z$899</f>
        <v>-3317.3452038500245</v>
      </c>
      <c r="AG899" s="6">
        <f>$O$899*$AA$899</f>
        <v>-858.92408769766269</v>
      </c>
    </row>
    <row r="900" spans="1:33" ht="11.25" customHeight="1" x14ac:dyDescent="0.25">
      <c r="A900" s="4" t="s">
        <v>58</v>
      </c>
      <c r="B900" s="4" t="s">
        <v>41</v>
      </c>
      <c r="C900" s="4" t="s">
        <v>42</v>
      </c>
      <c r="D900" s="4" t="s">
        <v>43</v>
      </c>
      <c r="E900" s="4" t="s">
        <v>25</v>
      </c>
      <c r="F900" s="4" t="s">
        <v>25</v>
      </c>
      <c r="G900" s="4" t="s">
        <v>25</v>
      </c>
      <c r="H900" s="4" t="s">
        <v>34</v>
      </c>
      <c r="I900" s="5">
        <v>44682</v>
      </c>
      <c r="J900" s="6">
        <v>0</v>
      </c>
      <c r="K900" s="6">
        <v>0</v>
      </c>
      <c r="L900" s="6">
        <v>23.071999999999999</v>
      </c>
      <c r="M900" s="6">
        <v>23.071999999999999</v>
      </c>
      <c r="N900" s="6">
        <v>23.071999999999999</v>
      </c>
      <c r="O900" s="6">
        <v>23.071999999999999</v>
      </c>
      <c r="P900" s="6">
        <v>0</v>
      </c>
      <c r="Q900" s="4" t="s">
        <v>26</v>
      </c>
      <c r="R900" s="4">
        <v>0</v>
      </c>
      <c r="S900" s="6">
        <v>0</v>
      </c>
      <c r="T900" s="6">
        <v>30</v>
      </c>
      <c r="U900" s="6">
        <v>78</v>
      </c>
      <c r="V900" s="6">
        <f>IF(ISERROR(VLOOKUP($S$900,'TAR FIN'!$A$1:$O$116,15,0)),0,VLOOKUP($S$900,'TAR FIN'!$A$1:$O$116,15,0))</f>
        <v>0</v>
      </c>
      <c r="W900" s="6">
        <f>IF(ISERROR(VLOOKUP($T$900,'TAR FIN'!$A$1:$O$116,15,0)),0,VLOOKUP($T$900,'TAR FIN'!$A$1:$O$116,15,0))</f>
        <v>1682.12</v>
      </c>
      <c r="X900" s="6">
        <f>IF(ISERROR(VLOOKUP($U$900,'TAR FIN'!$A$1:$O$116,15,0)),0,VLOOKUP($U$900,'TAR FIN'!$A$1:$O$116,15,0))</f>
        <v>496.15</v>
      </c>
      <c r="Y900" s="6"/>
      <c r="Z900" s="6">
        <f ca="1">('TUSD BE'!$AM$34+'TUSD BF'!$AM$34+'TUSD CVA'!$AM$34)*1</f>
        <v>1969.9199547802996</v>
      </c>
      <c r="AA900" s="6">
        <f>('TE BE'!$AB$9+'TE BF'!$AB$9+'TE CVA'!$AB$9)*1</f>
        <v>510.04993331215127</v>
      </c>
      <c r="AB900" s="6">
        <f>$K$900*$V$900</f>
        <v>0</v>
      </c>
      <c r="AC900" s="6">
        <f>$M$900*$W$900</f>
        <v>38809.872639999994</v>
      </c>
      <c r="AD900" s="6">
        <f>$O$900*$X$900</f>
        <v>11447.172799999998</v>
      </c>
      <c r="AE900" s="6">
        <f>$K$900*$Y$900</f>
        <v>0</v>
      </c>
      <c r="AF900" s="6">
        <f ca="1">$M$900*$Z$900</f>
        <v>45449.993196691074</v>
      </c>
      <c r="AG900" s="6">
        <f>$O$900*$AA$900</f>
        <v>11767.872061377953</v>
      </c>
    </row>
    <row r="901" spans="1:33" ht="11.25" customHeight="1" x14ac:dyDescent="0.25">
      <c r="A901" s="4" t="s">
        <v>21</v>
      </c>
      <c r="B901" s="4" t="s">
        <v>41</v>
      </c>
      <c r="C901" s="4" t="s">
        <v>42</v>
      </c>
      <c r="D901" s="4" t="s">
        <v>53</v>
      </c>
      <c r="E901" s="4" t="s">
        <v>25</v>
      </c>
      <c r="F901" s="4" t="s">
        <v>25</v>
      </c>
      <c r="G901" s="4" t="s">
        <v>25</v>
      </c>
      <c r="H901" s="4" t="s">
        <v>35</v>
      </c>
      <c r="I901" s="5">
        <v>44348</v>
      </c>
      <c r="J901" s="6">
        <v>0</v>
      </c>
      <c r="K901" s="6">
        <v>0</v>
      </c>
      <c r="L901" s="6">
        <v>34.799999999999997</v>
      </c>
      <c r="M901" s="6">
        <v>34.799999999999997</v>
      </c>
      <c r="N901" s="6">
        <v>34.799999999999997</v>
      </c>
      <c r="O901" s="6">
        <v>34.799999999999997</v>
      </c>
      <c r="P901" s="6">
        <v>0</v>
      </c>
      <c r="Q901" s="4" t="s">
        <v>26</v>
      </c>
      <c r="R901" s="4">
        <v>0</v>
      </c>
      <c r="S901" s="6">
        <v>0</v>
      </c>
      <c r="T901" s="6">
        <v>31</v>
      </c>
      <c r="U901" s="6">
        <v>79</v>
      </c>
      <c r="V901" s="6">
        <f>IF(ISERROR(VLOOKUP($S$901,'TAR FIN'!$A$1:$O$116,15,0)),0,VLOOKUP($S$901,'TAR FIN'!$A$1:$O$116,15,0))</f>
        <v>0</v>
      </c>
      <c r="W901" s="6">
        <f>IF(ISERROR(VLOOKUP($T$901,'TAR FIN'!$A$1:$O$116,15,0)),0,VLOOKUP($T$901,'TAR FIN'!$A$1:$O$116,15,0))</f>
        <v>88.66</v>
      </c>
      <c r="X901" s="6">
        <f>IF(ISERROR(VLOOKUP($U$901,'TAR FIN'!$A$1:$O$116,15,0)),0,VLOOKUP($U$901,'TAR FIN'!$A$1:$O$116,15,0))</f>
        <v>311.04000000000002</v>
      </c>
      <c r="Y901" s="6"/>
      <c r="Z901" s="6">
        <f ca="1">('TUSD BE'!$AM$35+'TUSD BF'!$AM$35+'TUSD CVA'!$AM$35)*1</f>
        <v>137.4358543126599</v>
      </c>
      <c r="AA901" s="6">
        <f>('TE BE'!$AB$10+'TE BF'!$AB$10+'TE CVA'!$AB$10)*1</f>
        <v>313.22907246928764</v>
      </c>
      <c r="AB901" s="6">
        <f>$K$901*$V$901</f>
        <v>0</v>
      </c>
      <c r="AC901" s="6">
        <f>$M$901*$W$901</f>
        <v>3085.3679999999995</v>
      </c>
      <c r="AD901" s="6">
        <f>$O$901*$X$901</f>
        <v>10824.191999999999</v>
      </c>
      <c r="AE901" s="6">
        <f>$K$901*$Y$901</f>
        <v>0</v>
      </c>
      <c r="AF901" s="6">
        <f ca="1">$M$901*$Z$901</f>
        <v>4782.7677300805644</v>
      </c>
      <c r="AG901" s="6">
        <f>$O$901*$AA$901</f>
        <v>10900.371721931209</v>
      </c>
    </row>
    <row r="902" spans="1:33" ht="11.25" customHeight="1" x14ac:dyDescent="0.25">
      <c r="A902" s="4" t="s">
        <v>21</v>
      </c>
      <c r="B902" s="4" t="s">
        <v>41</v>
      </c>
      <c r="C902" s="4" t="s">
        <v>42</v>
      </c>
      <c r="D902" s="4" t="s">
        <v>53</v>
      </c>
      <c r="E902" s="4" t="s">
        <v>25</v>
      </c>
      <c r="F902" s="4" t="s">
        <v>25</v>
      </c>
      <c r="G902" s="4" t="s">
        <v>25</v>
      </c>
      <c r="H902" s="4" t="s">
        <v>35</v>
      </c>
      <c r="I902" s="5">
        <v>44378</v>
      </c>
      <c r="J902" s="6">
        <v>0</v>
      </c>
      <c r="K902" s="6">
        <v>0</v>
      </c>
      <c r="L902" s="6">
        <v>33.6</v>
      </c>
      <c r="M902" s="6">
        <v>33.6</v>
      </c>
      <c r="N902" s="6">
        <v>33.6</v>
      </c>
      <c r="O902" s="6">
        <v>33.6</v>
      </c>
      <c r="P902" s="6">
        <v>0</v>
      </c>
      <c r="Q902" s="4" t="s">
        <v>26</v>
      </c>
      <c r="R902" s="4">
        <v>0</v>
      </c>
      <c r="S902" s="6">
        <v>0</v>
      </c>
      <c r="T902" s="6">
        <v>31</v>
      </c>
      <c r="U902" s="6">
        <v>79</v>
      </c>
      <c r="V902" s="6">
        <f>IF(ISERROR(VLOOKUP($S$902,'TAR FIN'!$A$1:$O$116,15,0)),0,VLOOKUP($S$902,'TAR FIN'!$A$1:$O$116,15,0))</f>
        <v>0</v>
      </c>
      <c r="W902" s="6">
        <f>IF(ISERROR(VLOOKUP($T$902,'TAR FIN'!$A$1:$O$116,15,0)),0,VLOOKUP($T$902,'TAR FIN'!$A$1:$O$116,15,0))</f>
        <v>88.66</v>
      </c>
      <c r="X902" s="6">
        <f>IF(ISERROR(VLOOKUP($U$902,'TAR FIN'!$A$1:$O$116,15,0)),0,VLOOKUP($U$902,'TAR FIN'!$A$1:$O$116,15,0))</f>
        <v>311.04000000000002</v>
      </c>
      <c r="Y902" s="6"/>
      <c r="Z902" s="6">
        <f ca="1">('TUSD BE'!$AM$35+'TUSD BF'!$AM$35+'TUSD CVA'!$AM$35)*1</f>
        <v>137.4358543126599</v>
      </c>
      <c r="AA902" s="6">
        <f>('TE BE'!$AB$10+'TE BF'!$AB$10+'TE CVA'!$AB$10)*1</f>
        <v>313.22907246928764</v>
      </c>
      <c r="AB902" s="6">
        <f>$K$902*$V$902</f>
        <v>0</v>
      </c>
      <c r="AC902" s="6">
        <f>$M$902*$W$902</f>
        <v>2978.9760000000001</v>
      </c>
      <c r="AD902" s="6">
        <f>$O$902*$X$902</f>
        <v>10450.944000000001</v>
      </c>
      <c r="AE902" s="6">
        <f>$K$902*$Y$902</f>
        <v>0</v>
      </c>
      <c r="AF902" s="6">
        <f ca="1">$M$902*$Z$902</f>
        <v>4617.844704905373</v>
      </c>
      <c r="AG902" s="6">
        <f>$O$902*$AA$902</f>
        <v>10524.496834968066</v>
      </c>
    </row>
    <row r="903" spans="1:33" ht="11.25" customHeight="1" x14ac:dyDescent="0.25">
      <c r="A903" s="4" t="s">
        <v>21</v>
      </c>
      <c r="B903" s="4" t="s">
        <v>41</v>
      </c>
      <c r="C903" s="4" t="s">
        <v>42</v>
      </c>
      <c r="D903" s="4" t="s">
        <v>53</v>
      </c>
      <c r="E903" s="4" t="s">
        <v>25</v>
      </c>
      <c r="F903" s="4" t="s">
        <v>25</v>
      </c>
      <c r="G903" s="4" t="s">
        <v>25</v>
      </c>
      <c r="H903" s="4" t="s">
        <v>35</v>
      </c>
      <c r="I903" s="5">
        <v>44409</v>
      </c>
      <c r="J903" s="6">
        <v>0</v>
      </c>
      <c r="K903" s="6">
        <v>0</v>
      </c>
      <c r="L903" s="6">
        <v>38.4</v>
      </c>
      <c r="M903" s="6">
        <v>38.4</v>
      </c>
      <c r="N903" s="6">
        <v>38.4</v>
      </c>
      <c r="O903" s="6">
        <v>38.4</v>
      </c>
      <c r="P903" s="6">
        <v>0</v>
      </c>
      <c r="Q903" s="4" t="s">
        <v>26</v>
      </c>
      <c r="R903" s="4">
        <v>0</v>
      </c>
      <c r="S903" s="6">
        <v>0</v>
      </c>
      <c r="T903" s="6">
        <v>31</v>
      </c>
      <c r="U903" s="6">
        <v>79</v>
      </c>
      <c r="V903" s="6">
        <f>IF(ISERROR(VLOOKUP($S$903,'TAR FIN'!$A$1:$O$116,15,0)),0,VLOOKUP($S$903,'TAR FIN'!$A$1:$O$116,15,0))</f>
        <v>0</v>
      </c>
      <c r="W903" s="6">
        <f>IF(ISERROR(VLOOKUP($T$903,'TAR FIN'!$A$1:$O$116,15,0)),0,VLOOKUP($T$903,'TAR FIN'!$A$1:$O$116,15,0))</f>
        <v>88.66</v>
      </c>
      <c r="X903" s="6">
        <f>IF(ISERROR(VLOOKUP($U$903,'TAR FIN'!$A$1:$O$116,15,0)),0,VLOOKUP($U$903,'TAR FIN'!$A$1:$O$116,15,0))</f>
        <v>311.04000000000002</v>
      </c>
      <c r="Y903" s="6"/>
      <c r="Z903" s="6">
        <f ca="1">('TUSD BE'!$AM$35+'TUSD BF'!$AM$35+'TUSD CVA'!$AM$35)*1</f>
        <v>137.4358543126599</v>
      </c>
      <c r="AA903" s="6">
        <f>('TE BE'!$AB$10+'TE BF'!$AB$10+'TE CVA'!$AB$10)*1</f>
        <v>313.22907246928764</v>
      </c>
      <c r="AB903" s="6">
        <f>$K$903*$V$903</f>
        <v>0</v>
      </c>
      <c r="AC903" s="6">
        <f>$M$903*$W$903</f>
        <v>3404.5439999999999</v>
      </c>
      <c r="AD903" s="6">
        <f>$O$903*$X$903</f>
        <v>11943.936</v>
      </c>
      <c r="AE903" s="6">
        <f>$K$903*$Y$903</f>
        <v>0</v>
      </c>
      <c r="AF903" s="6">
        <f ca="1">$M$903*$Z$903</f>
        <v>5277.5368056061398</v>
      </c>
      <c r="AG903" s="6">
        <f>$O$903*$AA$903</f>
        <v>12027.996382820646</v>
      </c>
    </row>
    <row r="904" spans="1:33" ht="11.25" customHeight="1" x14ac:dyDescent="0.25">
      <c r="A904" s="4" t="s">
        <v>21</v>
      </c>
      <c r="B904" s="4" t="s">
        <v>41</v>
      </c>
      <c r="C904" s="4" t="s">
        <v>42</v>
      </c>
      <c r="D904" s="4" t="s">
        <v>53</v>
      </c>
      <c r="E904" s="4" t="s">
        <v>25</v>
      </c>
      <c r="F904" s="4" t="s">
        <v>25</v>
      </c>
      <c r="G904" s="4" t="s">
        <v>25</v>
      </c>
      <c r="H904" s="4" t="s">
        <v>35</v>
      </c>
      <c r="I904" s="5">
        <v>44440</v>
      </c>
      <c r="J904" s="6">
        <v>0</v>
      </c>
      <c r="K904" s="6">
        <v>0</v>
      </c>
      <c r="L904" s="6">
        <v>51.6</v>
      </c>
      <c r="M904" s="6">
        <v>51.6</v>
      </c>
      <c r="N904" s="6">
        <v>51.6</v>
      </c>
      <c r="O904" s="6">
        <v>51.6</v>
      </c>
      <c r="P904" s="6">
        <v>0</v>
      </c>
      <c r="Q904" s="4" t="s">
        <v>26</v>
      </c>
      <c r="R904" s="4">
        <v>0</v>
      </c>
      <c r="S904" s="6">
        <v>0</v>
      </c>
      <c r="T904" s="6">
        <v>31</v>
      </c>
      <c r="U904" s="6">
        <v>79</v>
      </c>
      <c r="V904" s="6">
        <f>IF(ISERROR(VLOOKUP($S$904,'TAR FIN'!$A$1:$O$116,15,0)),0,VLOOKUP($S$904,'TAR FIN'!$A$1:$O$116,15,0))</f>
        <v>0</v>
      </c>
      <c r="W904" s="6">
        <f>IF(ISERROR(VLOOKUP($T$904,'TAR FIN'!$A$1:$O$116,15,0)),0,VLOOKUP($T$904,'TAR FIN'!$A$1:$O$116,15,0))</f>
        <v>88.66</v>
      </c>
      <c r="X904" s="6">
        <f>IF(ISERROR(VLOOKUP($U$904,'TAR FIN'!$A$1:$O$116,15,0)),0,VLOOKUP($U$904,'TAR FIN'!$A$1:$O$116,15,0))</f>
        <v>311.04000000000002</v>
      </c>
      <c r="Y904" s="6"/>
      <c r="Z904" s="6">
        <f ca="1">('TUSD BE'!$AM$35+'TUSD BF'!$AM$35+'TUSD CVA'!$AM$35)*1</f>
        <v>137.4358543126599</v>
      </c>
      <c r="AA904" s="6">
        <f>('TE BE'!$AB$10+'TE BF'!$AB$10+'TE CVA'!$AB$10)*1</f>
        <v>313.22907246928764</v>
      </c>
      <c r="AB904" s="6">
        <f>$K$904*$V$904</f>
        <v>0</v>
      </c>
      <c r="AC904" s="6">
        <f>$M$904*$W$904</f>
        <v>4574.8559999999998</v>
      </c>
      <c r="AD904" s="6">
        <f>$O$904*$X$904</f>
        <v>16049.664000000001</v>
      </c>
      <c r="AE904" s="6">
        <f>$K$904*$Y$904</f>
        <v>0</v>
      </c>
      <c r="AF904" s="6">
        <f ca="1">$M$904*$Z$904</f>
        <v>7091.6900825332514</v>
      </c>
      <c r="AG904" s="6">
        <f>$O$904*$AA$904</f>
        <v>16162.620139415243</v>
      </c>
    </row>
    <row r="905" spans="1:33" ht="11.25" customHeight="1" x14ac:dyDescent="0.25">
      <c r="A905" s="4" t="s">
        <v>21</v>
      </c>
      <c r="B905" s="4" t="s">
        <v>41</v>
      </c>
      <c r="C905" s="4" t="s">
        <v>42</v>
      </c>
      <c r="D905" s="4" t="s">
        <v>53</v>
      </c>
      <c r="E905" s="4" t="s">
        <v>25</v>
      </c>
      <c r="F905" s="4" t="s">
        <v>25</v>
      </c>
      <c r="G905" s="4" t="s">
        <v>25</v>
      </c>
      <c r="H905" s="4" t="s">
        <v>35</v>
      </c>
      <c r="I905" s="5">
        <v>44470</v>
      </c>
      <c r="J905" s="6">
        <v>0</v>
      </c>
      <c r="K905" s="6">
        <v>0</v>
      </c>
      <c r="L905" s="6">
        <v>44.4</v>
      </c>
      <c r="M905" s="6">
        <v>44.4</v>
      </c>
      <c r="N905" s="6">
        <v>44.4</v>
      </c>
      <c r="O905" s="6">
        <v>44.4</v>
      </c>
      <c r="P905" s="6">
        <v>0</v>
      </c>
      <c r="Q905" s="4" t="s">
        <v>26</v>
      </c>
      <c r="R905" s="4">
        <v>0</v>
      </c>
      <c r="S905" s="6">
        <v>0</v>
      </c>
      <c r="T905" s="6">
        <v>31</v>
      </c>
      <c r="U905" s="6">
        <v>79</v>
      </c>
      <c r="V905" s="6">
        <f>IF(ISERROR(VLOOKUP($S$905,'TAR FIN'!$A$1:$O$116,15,0)),0,VLOOKUP($S$905,'TAR FIN'!$A$1:$O$116,15,0))</f>
        <v>0</v>
      </c>
      <c r="W905" s="6">
        <f>IF(ISERROR(VLOOKUP($T$905,'TAR FIN'!$A$1:$O$116,15,0)),0,VLOOKUP($T$905,'TAR FIN'!$A$1:$O$116,15,0))</f>
        <v>88.66</v>
      </c>
      <c r="X905" s="6">
        <f>IF(ISERROR(VLOOKUP($U$905,'TAR FIN'!$A$1:$O$116,15,0)),0,VLOOKUP($U$905,'TAR FIN'!$A$1:$O$116,15,0))</f>
        <v>311.04000000000002</v>
      </c>
      <c r="Y905" s="6"/>
      <c r="Z905" s="6">
        <f ca="1">('TUSD BE'!$AM$35+'TUSD BF'!$AM$35+'TUSD CVA'!$AM$35)*1</f>
        <v>137.4358543126599</v>
      </c>
      <c r="AA905" s="6">
        <f>('TE BE'!$AB$10+'TE BF'!$AB$10+'TE CVA'!$AB$10)*1</f>
        <v>313.22907246928764</v>
      </c>
      <c r="AB905" s="6">
        <f>$K$905*$V$905</f>
        <v>0</v>
      </c>
      <c r="AC905" s="6">
        <f>$M$905*$W$905</f>
        <v>3936.5039999999999</v>
      </c>
      <c r="AD905" s="6">
        <f>$O$905*$X$905</f>
        <v>13810.176000000001</v>
      </c>
      <c r="AE905" s="6">
        <f>$K$905*$Y$905</f>
        <v>0</v>
      </c>
      <c r="AF905" s="6">
        <f ca="1">$M$905*$Z$905</f>
        <v>6102.1519314820989</v>
      </c>
      <c r="AG905" s="6">
        <f>$O$905*$AA$905</f>
        <v>13907.370817636371</v>
      </c>
    </row>
    <row r="906" spans="1:33" ht="11.25" customHeight="1" x14ac:dyDescent="0.25">
      <c r="A906" s="4" t="s">
        <v>21</v>
      </c>
      <c r="B906" s="4" t="s">
        <v>41</v>
      </c>
      <c r="C906" s="4" t="s">
        <v>42</v>
      </c>
      <c r="D906" s="4" t="s">
        <v>53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44501</v>
      </c>
      <c r="J906" s="6">
        <v>0</v>
      </c>
      <c r="K906" s="6">
        <v>0</v>
      </c>
      <c r="L906" s="6">
        <v>44.4</v>
      </c>
      <c r="M906" s="6">
        <v>44.4</v>
      </c>
      <c r="N906" s="6">
        <v>44.4</v>
      </c>
      <c r="O906" s="6">
        <v>44.4</v>
      </c>
      <c r="P906" s="6">
        <v>0</v>
      </c>
      <c r="Q906" s="4" t="s">
        <v>26</v>
      </c>
      <c r="R906" s="4">
        <v>0</v>
      </c>
      <c r="S906" s="6">
        <v>0</v>
      </c>
      <c r="T906" s="6">
        <v>31</v>
      </c>
      <c r="U906" s="6">
        <v>79</v>
      </c>
      <c r="V906" s="6">
        <f>IF(ISERROR(VLOOKUP($S$906,'TAR FIN'!$A$1:$O$116,15,0)),0,VLOOKUP($S$906,'TAR FIN'!$A$1:$O$116,15,0))</f>
        <v>0</v>
      </c>
      <c r="W906" s="6">
        <f>IF(ISERROR(VLOOKUP($T$906,'TAR FIN'!$A$1:$O$116,15,0)),0,VLOOKUP($T$906,'TAR FIN'!$A$1:$O$116,15,0))</f>
        <v>88.66</v>
      </c>
      <c r="X906" s="6">
        <f>IF(ISERROR(VLOOKUP($U$906,'TAR FIN'!$A$1:$O$116,15,0)),0,VLOOKUP($U$906,'TAR FIN'!$A$1:$O$116,15,0))</f>
        <v>311.04000000000002</v>
      </c>
      <c r="Y906" s="6"/>
      <c r="Z906" s="6">
        <f ca="1">('TUSD BE'!$AM$35+'TUSD BF'!$AM$35+'TUSD CVA'!$AM$35)*1</f>
        <v>137.4358543126599</v>
      </c>
      <c r="AA906" s="6">
        <f>('TE BE'!$AB$10+'TE BF'!$AB$10+'TE CVA'!$AB$10)*1</f>
        <v>313.22907246928764</v>
      </c>
      <c r="AB906" s="6">
        <f>$K$906*$V$906</f>
        <v>0</v>
      </c>
      <c r="AC906" s="6">
        <f>$M$906*$W$906</f>
        <v>3936.5039999999999</v>
      </c>
      <c r="AD906" s="6">
        <f>$O$906*$X$906</f>
        <v>13810.176000000001</v>
      </c>
      <c r="AE906" s="6">
        <f>$K$906*$Y$906</f>
        <v>0</v>
      </c>
      <c r="AF906" s="6">
        <f ca="1">$M$906*$Z$906</f>
        <v>6102.1519314820989</v>
      </c>
      <c r="AG906" s="6">
        <f>$O$906*$AA$906</f>
        <v>13907.370817636371</v>
      </c>
    </row>
    <row r="907" spans="1:33" ht="11.25" customHeight="1" x14ac:dyDescent="0.25">
      <c r="A907" s="4" t="s">
        <v>21</v>
      </c>
      <c r="B907" s="4" t="s">
        <v>41</v>
      </c>
      <c r="C907" s="4" t="s">
        <v>42</v>
      </c>
      <c r="D907" s="4" t="s">
        <v>53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44531</v>
      </c>
      <c r="J907" s="6">
        <v>0</v>
      </c>
      <c r="K907" s="6">
        <v>0</v>
      </c>
      <c r="L907" s="6">
        <v>50.4</v>
      </c>
      <c r="M907" s="6">
        <v>50.4</v>
      </c>
      <c r="N907" s="6">
        <v>50.4</v>
      </c>
      <c r="O907" s="6">
        <v>50.4</v>
      </c>
      <c r="P907" s="6">
        <v>0</v>
      </c>
      <c r="Q907" s="4" t="s">
        <v>26</v>
      </c>
      <c r="R907" s="4">
        <v>0</v>
      </c>
      <c r="S907" s="6">
        <v>0</v>
      </c>
      <c r="T907" s="6">
        <v>31</v>
      </c>
      <c r="U907" s="6">
        <v>79</v>
      </c>
      <c r="V907" s="6">
        <f>IF(ISERROR(VLOOKUP($S$907,'TAR FIN'!$A$1:$O$116,15,0)),0,VLOOKUP($S$907,'TAR FIN'!$A$1:$O$116,15,0))</f>
        <v>0</v>
      </c>
      <c r="W907" s="6">
        <f>IF(ISERROR(VLOOKUP($T$907,'TAR FIN'!$A$1:$O$116,15,0)),0,VLOOKUP($T$907,'TAR FIN'!$A$1:$O$116,15,0))</f>
        <v>88.66</v>
      </c>
      <c r="X907" s="6">
        <f>IF(ISERROR(VLOOKUP($U$907,'TAR FIN'!$A$1:$O$116,15,0)),0,VLOOKUP($U$907,'TAR FIN'!$A$1:$O$116,15,0))</f>
        <v>311.04000000000002</v>
      </c>
      <c r="Y907" s="6"/>
      <c r="Z907" s="6">
        <f ca="1">('TUSD BE'!$AM$35+'TUSD BF'!$AM$35+'TUSD CVA'!$AM$35)*1</f>
        <v>137.4358543126599</v>
      </c>
      <c r="AA907" s="6">
        <f>('TE BE'!$AB$10+'TE BF'!$AB$10+'TE CVA'!$AB$10)*1</f>
        <v>313.22907246928764</v>
      </c>
      <c r="AB907" s="6">
        <f>$K$907*$V$907</f>
        <v>0</v>
      </c>
      <c r="AC907" s="6">
        <f>$M$907*$W$907</f>
        <v>4468.4639999999999</v>
      </c>
      <c r="AD907" s="6">
        <f>$O$907*$X$907</f>
        <v>15676.416000000001</v>
      </c>
      <c r="AE907" s="6">
        <f>$K$907*$Y$907</f>
        <v>0</v>
      </c>
      <c r="AF907" s="6">
        <f ca="1">$M$907*$Z$907</f>
        <v>6926.767057358059</v>
      </c>
      <c r="AG907" s="6">
        <f>$O$907*$AA$907</f>
        <v>15786.745252452098</v>
      </c>
    </row>
    <row r="908" spans="1:33" ht="11.25" customHeight="1" x14ac:dyDescent="0.25">
      <c r="A908" s="4" t="s">
        <v>21</v>
      </c>
      <c r="B908" s="4" t="s">
        <v>41</v>
      </c>
      <c r="C908" s="4" t="s">
        <v>42</v>
      </c>
      <c r="D908" s="4" t="s">
        <v>53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44562</v>
      </c>
      <c r="J908" s="6">
        <v>0</v>
      </c>
      <c r="K908" s="6">
        <v>0</v>
      </c>
      <c r="L908" s="6">
        <v>51.832999999999998</v>
      </c>
      <c r="M908" s="6">
        <v>51.832999999999998</v>
      </c>
      <c r="N908" s="6">
        <v>51.832999999999998</v>
      </c>
      <c r="O908" s="6">
        <v>51.832999999999998</v>
      </c>
      <c r="P908" s="6">
        <v>0</v>
      </c>
      <c r="Q908" s="4" t="s">
        <v>26</v>
      </c>
      <c r="R908" s="4">
        <v>0</v>
      </c>
      <c r="S908" s="6">
        <v>0</v>
      </c>
      <c r="T908" s="6">
        <v>31</v>
      </c>
      <c r="U908" s="6">
        <v>79</v>
      </c>
      <c r="V908" s="6">
        <f>IF(ISERROR(VLOOKUP($S$908,'TAR FIN'!$A$1:$O$116,15,0)),0,VLOOKUP($S$908,'TAR FIN'!$A$1:$O$116,15,0))</f>
        <v>0</v>
      </c>
      <c r="W908" s="6">
        <f>IF(ISERROR(VLOOKUP($T$908,'TAR FIN'!$A$1:$O$116,15,0)),0,VLOOKUP($T$908,'TAR FIN'!$A$1:$O$116,15,0))</f>
        <v>88.66</v>
      </c>
      <c r="X908" s="6">
        <f>IF(ISERROR(VLOOKUP($U$908,'TAR FIN'!$A$1:$O$116,15,0)),0,VLOOKUP($U$908,'TAR FIN'!$A$1:$O$116,15,0))</f>
        <v>311.04000000000002</v>
      </c>
      <c r="Y908" s="6"/>
      <c r="Z908" s="6">
        <f ca="1">('TUSD BE'!$AM$35+'TUSD BF'!$AM$35+'TUSD CVA'!$AM$35)*1</f>
        <v>137.4358543126599</v>
      </c>
      <c r="AA908" s="6">
        <f>('TE BE'!$AB$10+'TE BF'!$AB$10+'TE CVA'!$AB$10)*1</f>
        <v>313.22907246928764</v>
      </c>
      <c r="AB908" s="6">
        <f>$K$908*$V$908</f>
        <v>0</v>
      </c>
      <c r="AC908" s="6">
        <f>$M$908*$W$908</f>
        <v>4595.5137799999993</v>
      </c>
      <c r="AD908" s="6">
        <f>$O$908*$X$908</f>
        <v>16122.136320000001</v>
      </c>
      <c r="AE908" s="6">
        <f>$K$908*$Y$908</f>
        <v>0</v>
      </c>
      <c r="AF908" s="6">
        <f ca="1">$M$908*$Z$908</f>
        <v>7123.7126365881004</v>
      </c>
      <c r="AG908" s="6">
        <f>$O$908*$AA$908</f>
        <v>16235.602513300586</v>
      </c>
    </row>
    <row r="909" spans="1:33" ht="11.25" customHeight="1" x14ac:dyDescent="0.25">
      <c r="A909" s="4" t="s">
        <v>21</v>
      </c>
      <c r="B909" s="4" t="s">
        <v>41</v>
      </c>
      <c r="C909" s="4" t="s">
        <v>42</v>
      </c>
      <c r="D909" s="4" t="s">
        <v>53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44593</v>
      </c>
      <c r="J909" s="6">
        <v>0</v>
      </c>
      <c r="K909" s="6">
        <v>0</v>
      </c>
      <c r="L909" s="6">
        <v>48.14</v>
      </c>
      <c r="M909" s="6">
        <v>48.14</v>
      </c>
      <c r="N909" s="6">
        <v>48.14</v>
      </c>
      <c r="O909" s="6">
        <v>48.14</v>
      </c>
      <c r="P909" s="6">
        <v>0</v>
      </c>
      <c r="Q909" s="4" t="s">
        <v>26</v>
      </c>
      <c r="R909" s="4">
        <v>0</v>
      </c>
      <c r="S909" s="6">
        <v>0</v>
      </c>
      <c r="T909" s="6">
        <v>31</v>
      </c>
      <c r="U909" s="6">
        <v>79</v>
      </c>
      <c r="V909" s="6">
        <f>IF(ISERROR(VLOOKUP($S$909,'TAR FIN'!$A$1:$O$116,15,0)),0,VLOOKUP($S$909,'TAR FIN'!$A$1:$O$116,15,0))</f>
        <v>0</v>
      </c>
      <c r="W909" s="6">
        <f>IF(ISERROR(VLOOKUP($T$909,'TAR FIN'!$A$1:$O$116,15,0)),0,VLOOKUP($T$909,'TAR FIN'!$A$1:$O$116,15,0))</f>
        <v>88.66</v>
      </c>
      <c r="X909" s="6">
        <f>IF(ISERROR(VLOOKUP($U$909,'TAR FIN'!$A$1:$O$116,15,0)),0,VLOOKUP($U$909,'TAR FIN'!$A$1:$O$116,15,0))</f>
        <v>311.04000000000002</v>
      </c>
      <c r="Y909" s="6"/>
      <c r="Z909" s="6">
        <f ca="1">('TUSD BE'!$AM$35+'TUSD BF'!$AM$35+'TUSD CVA'!$AM$35)*1</f>
        <v>137.4358543126599</v>
      </c>
      <c r="AA909" s="6">
        <f>('TE BE'!$AB$10+'TE BF'!$AB$10+'TE CVA'!$AB$10)*1</f>
        <v>313.22907246928764</v>
      </c>
      <c r="AB909" s="6">
        <f>$K$909*$V$909</f>
        <v>0</v>
      </c>
      <c r="AC909" s="6">
        <f>$M$909*$W$909</f>
        <v>4268.0923999999995</v>
      </c>
      <c r="AD909" s="6">
        <f>$O$909*$X$909</f>
        <v>14973.465600000001</v>
      </c>
      <c r="AE909" s="6">
        <f>$K$909*$Y$909</f>
        <v>0</v>
      </c>
      <c r="AF909" s="6">
        <f ca="1">$M$909*$Z$909</f>
        <v>6616.1620266114478</v>
      </c>
      <c r="AG909" s="6">
        <f>$O$909*$AA$909</f>
        <v>15078.847548671507</v>
      </c>
    </row>
    <row r="910" spans="1:33" ht="11.25" customHeight="1" x14ac:dyDescent="0.25">
      <c r="A910" s="4" t="s">
        <v>21</v>
      </c>
      <c r="B910" s="4" t="s">
        <v>41</v>
      </c>
      <c r="C910" s="4" t="s">
        <v>42</v>
      </c>
      <c r="D910" s="4" t="s">
        <v>53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44621</v>
      </c>
      <c r="J910" s="6">
        <v>0</v>
      </c>
      <c r="K910" s="6">
        <v>0</v>
      </c>
      <c r="L910" s="6">
        <v>60.338000000000001</v>
      </c>
      <c r="M910" s="6">
        <v>60.338000000000001</v>
      </c>
      <c r="N910" s="6">
        <v>60.338000000000001</v>
      </c>
      <c r="O910" s="6">
        <v>60.338000000000001</v>
      </c>
      <c r="P910" s="6">
        <v>0</v>
      </c>
      <c r="Q910" s="4" t="s">
        <v>26</v>
      </c>
      <c r="R910" s="4">
        <v>0</v>
      </c>
      <c r="S910" s="6">
        <v>0</v>
      </c>
      <c r="T910" s="6">
        <v>31</v>
      </c>
      <c r="U910" s="6">
        <v>79</v>
      </c>
      <c r="V910" s="6">
        <f>IF(ISERROR(VLOOKUP($S$910,'TAR FIN'!$A$1:$O$116,15,0)),0,VLOOKUP($S$910,'TAR FIN'!$A$1:$O$116,15,0))</f>
        <v>0</v>
      </c>
      <c r="W910" s="6">
        <f>IF(ISERROR(VLOOKUP($T$910,'TAR FIN'!$A$1:$O$116,15,0)),0,VLOOKUP($T$910,'TAR FIN'!$A$1:$O$116,15,0))</f>
        <v>88.66</v>
      </c>
      <c r="X910" s="6">
        <f>IF(ISERROR(VLOOKUP($U$910,'TAR FIN'!$A$1:$O$116,15,0)),0,VLOOKUP($U$910,'TAR FIN'!$A$1:$O$116,15,0))</f>
        <v>311.04000000000002</v>
      </c>
      <c r="Y910" s="6"/>
      <c r="Z910" s="6">
        <f ca="1">('TUSD BE'!$AM$35+'TUSD BF'!$AM$35+'TUSD CVA'!$AM$35)*1</f>
        <v>137.4358543126599</v>
      </c>
      <c r="AA910" s="6">
        <f>('TE BE'!$AB$10+'TE BF'!$AB$10+'TE CVA'!$AB$10)*1</f>
        <v>313.22907246928764</v>
      </c>
      <c r="AB910" s="6">
        <f>$K$910*$V$910</f>
        <v>0</v>
      </c>
      <c r="AC910" s="6">
        <f>$M$910*$W$910</f>
        <v>5349.5670799999998</v>
      </c>
      <c r="AD910" s="6">
        <f>$O$910*$X$910</f>
        <v>18767.53152</v>
      </c>
      <c r="AE910" s="6">
        <f>$K$910*$Y$910</f>
        <v>0</v>
      </c>
      <c r="AF910" s="6">
        <f ca="1">$M$910*$Z$910</f>
        <v>8292.6045775172734</v>
      </c>
      <c r="AG910" s="6">
        <f>$O$910*$AA$910</f>
        <v>18899.615774651877</v>
      </c>
    </row>
    <row r="911" spans="1:33" ht="11.25" customHeight="1" x14ac:dyDescent="0.25">
      <c r="A911" s="4" t="s">
        <v>28</v>
      </c>
      <c r="B911" s="4" t="s">
        <v>41</v>
      </c>
      <c r="C911" s="4" t="s">
        <v>42</v>
      </c>
      <c r="D911" s="4" t="s">
        <v>53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44652</v>
      </c>
      <c r="J911" s="6">
        <v>0</v>
      </c>
      <c r="K911" s="6">
        <v>0</v>
      </c>
      <c r="L911" s="6">
        <v>48.17</v>
      </c>
      <c r="M911" s="6">
        <v>48.17</v>
      </c>
      <c r="N911" s="6">
        <v>48.17</v>
      </c>
      <c r="O911" s="6">
        <v>48.17</v>
      </c>
      <c r="P911" s="6">
        <v>0</v>
      </c>
      <c r="Q911" s="4" t="s">
        <v>26</v>
      </c>
      <c r="R911" s="4">
        <v>0</v>
      </c>
      <c r="S911" s="6">
        <v>0</v>
      </c>
      <c r="T911" s="6">
        <v>31</v>
      </c>
      <c r="U911" s="6">
        <v>79</v>
      </c>
      <c r="V911" s="6">
        <f>IF(ISERROR(VLOOKUP($S$911,'TAR FIN'!$A$1:$O$116,15,0)),0,VLOOKUP($S$911,'TAR FIN'!$A$1:$O$116,15,0))</f>
        <v>0</v>
      </c>
      <c r="W911" s="6">
        <f>IF(ISERROR(VLOOKUP($T$911,'TAR FIN'!$A$1:$O$116,15,0)),0,VLOOKUP($T$911,'TAR FIN'!$A$1:$O$116,15,0))</f>
        <v>88.66</v>
      </c>
      <c r="X911" s="6">
        <f>IF(ISERROR(VLOOKUP($U$911,'TAR FIN'!$A$1:$O$116,15,0)),0,VLOOKUP($U$911,'TAR FIN'!$A$1:$O$116,15,0))</f>
        <v>311.04000000000002</v>
      </c>
      <c r="Y911" s="6"/>
      <c r="Z911" s="6">
        <f ca="1">('TUSD BE'!$AM$35+'TUSD BF'!$AM$35+'TUSD CVA'!$AM$35)*1</f>
        <v>137.4358543126599</v>
      </c>
      <c r="AA911" s="6">
        <f>('TE BE'!$AB$10+'TE BF'!$AB$10+'TE CVA'!$AB$10)*1</f>
        <v>313.22907246928764</v>
      </c>
      <c r="AB911" s="6">
        <f>$K$911*$V$911</f>
        <v>0</v>
      </c>
      <c r="AC911" s="6">
        <f>$M$911*$W$911</f>
        <v>4270.7521999999999</v>
      </c>
      <c r="AD911" s="6">
        <f>$O$911*$X$911</f>
        <v>14982.796800000002</v>
      </c>
      <c r="AE911" s="6">
        <f>$K$911*$Y$911</f>
        <v>0</v>
      </c>
      <c r="AF911" s="6">
        <f ca="1">$M$911*$Z$911</f>
        <v>6620.2851022408277</v>
      </c>
      <c r="AG911" s="6">
        <f>$O$911*$AA$911</f>
        <v>15088.244420845587</v>
      </c>
    </row>
    <row r="912" spans="1:33" ht="11.25" customHeight="1" x14ac:dyDescent="0.25">
      <c r="A912" s="4" t="s">
        <v>58</v>
      </c>
      <c r="B912" s="4" t="s">
        <v>41</v>
      </c>
      <c r="C912" s="4" t="s">
        <v>42</v>
      </c>
      <c r="D912" s="4" t="s">
        <v>53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44682</v>
      </c>
      <c r="J912" s="6">
        <v>0</v>
      </c>
      <c r="K912" s="6">
        <v>0</v>
      </c>
      <c r="L912" s="6">
        <v>48.17</v>
      </c>
      <c r="M912" s="6">
        <v>48.17</v>
      </c>
      <c r="N912" s="6">
        <v>48.17</v>
      </c>
      <c r="O912" s="6">
        <v>48.17</v>
      </c>
      <c r="P912" s="6">
        <v>0</v>
      </c>
      <c r="Q912" s="4" t="s">
        <v>26</v>
      </c>
      <c r="R912" s="4">
        <v>0</v>
      </c>
      <c r="S912" s="6">
        <v>0</v>
      </c>
      <c r="T912" s="6">
        <v>31</v>
      </c>
      <c r="U912" s="6">
        <v>79</v>
      </c>
      <c r="V912" s="6">
        <f>IF(ISERROR(VLOOKUP($S$912,'TAR FIN'!$A$1:$O$116,15,0)),0,VLOOKUP($S$912,'TAR FIN'!$A$1:$O$116,15,0))</f>
        <v>0</v>
      </c>
      <c r="W912" s="6">
        <f>IF(ISERROR(VLOOKUP($T$912,'TAR FIN'!$A$1:$O$116,15,0)),0,VLOOKUP($T$912,'TAR FIN'!$A$1:$O$116,15,0))</f>
        <v>88.66</v>
      </c>
      <c r="X912" s="6">
        <f>IF(ISERROR(VLOOKUP($U$912,'TAR FIN'!$A$1:$O$116,15,0)),0,VLOOKUP($U$912,'TAR FIN'!$A$1:$O$116,15,0))</f>
        <v>311.04000000000002</v>
      </c>
      <c r="Y912" s="6"/>
      <c r="Z912" s="6">
        <f ca="1">('TUSD BE'!$AM$35+'TUSD BF'!$AM$35+'TUSD CVA'!$AM$35)*1</f>
        <v>137.4358543126599</v>
      </c>
      <c r="AA912" s="6">
        <f>('TE BE'!$AB$10+'TE BF'!$AB$10+'TE CVA'!$AB$10)*1</f>
        <v>313.22907246928764</v>
      </c>
      <c r="AB912" s="6">
        <f>$K$912*$V$912</f>
        <v>0</v>
      </c>
      <c r="AC912" s="6">
        <f>$M$912*$W$912</f>
        <v>4270.7521999999999</v>
      </c>
      <c r="AD912" s="6">
        <f>$O$912*$X$912</f>
        <v>14982.796800000002</v>
      </c>
      <c r="AE912" s="6">
        <f>$K$912*$Y$912</f>
        <v>0</v>
      </c>
      <c r="AF912" s="6">
        <f ca="1">$M$912*$Z$912</f>
        <v>6620.2851022408277</v>
      </c>
      <c r="AG912" s="6">
        <f>$O$912*$AA$912</f>
        <v>15088.244420845587</v>
      </c>
    </row>
    <row r="913" spans="1:33" ht="11.25" customHeight="1" x14ac:dyDescent="0.25">
      <c r="A913" s="4" t="s">
        <v>21</v>
      </c>
      <c r="B913" s="4" t="s">
        <v>41</v>
      </c>
      <c r="C913" s="4" t="s">
        <v>42</v>
      </c>
      <c r="D913" s="4" t="s">
        <v>53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44348</v>
      </c>
      <c r="J913" s="6">
        <v>160</v>
      </c>
      <c r="K913" s="6">
        <v>160</v>
      </c>
      <c r="L913" s="6">
        <v>0</v>
      </c>
      <c r="M913" s="6">
        <v>0</v>
      </c>
      <c r="N913" s="6">
        <v>0</v>
      </c>
      <c r="O913" s="6">
        <v>0</v>
      </c>
      <c r="P913" s="6">
        <v>1</v>
      </c>
      <c r="Q913" s="4" t="s">
        <v>26</v>
      </c>
      <c r="R913" s="4">
        <v>0</v>
      </c>
      <c r="S913" s="6">
        <v>29</v>
      </c>
      <c r="T913" s="6">
        <v>0</v>
      </c>
      <c r="U913" s="6">
        <v>0</v>
      </c>
      <c r="V913" s="6">
        <f>IF(ISERROR(VLOOKUP($S$913,'TAR FIN'!$A$1:$O$116,15,0)),0,VLOOKUP($S$913,'TAR FIN'!$A$1:$O$116,15,0))</f>
        <v>25.51</v>
      </c>
      <c r="W913" s="6">
        <f>IF(ISERROR(VLOOKUP($T$913,'TAR FIN'!$A$1:$O$116,15,0)),0,VLOOKUP($T$913,'TAR FIN'!$A$1:$O$116,15,0))</f>
        <v>0</v>
      </c>
      <c r="X913" s="6">
        <f>IF(ISERROR(VLOOKUP($U$913,'TAR FIN'!$A$1:$O$116,15,0)),0,VLOOKUP($U$913,'TAR FIN'!$A$1:$O$116,15,0))</f>
        <v>0</v>
      </c>
      <c r="Y913" s="6">
        <f ca="1">('TUSD BE'!$AM$33+'TUSD BF'!$AM$33+'TUSD CVA'!$AM$33)*1</f>
        <v>29.803266797877356</v>
      </c>
      <c r="Z913" s="6"/>
      <c r="AA913" s="6"/>
      <c r="AB913" s="6">
        <f>$K$913*$V$913</f>
        <v>4081.6000000000004</v>
      </c>
      <c r="AC913" s="6">
        <f>$M$913*$W$913</f>
        <v>0</v>
      </c>
      <c r="AD913" s="6">
        <f>$O$913*$X$913</f>
        <v>0</v>
      </c>
      <c r="AE913" s="6">
        <f ca="1">$K$913*$Y$913</f>
        <v>4768.5226876603774</v>
      </c>
      <c r="AF913" s="6">
        <f>$M$913*$Z$913</f>
        <v>0</v>
      </c>
      <c r="AG913" s="6">
        <f>$O$913*$AA$913</f>
        <v>0</v>
      </c>
    </row>
    <row r="914" spans="1:33" ht="11.25" customHeight="1" x14ac:dyDescent="0.25">
      <c r="A914" s="4" t="s">
        <v>21</v>
      </c>
      <c r="B914" s="4" t="s">
        <v>41</v>
      </c>
      <c r="C914" s="4" t="s">
        <v>42</v>
      </c>
      <c r="D914" s="4" t="s">
        <v>53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44378</v>
      </c>
      <c r="J914" s="6">
        <v>160</v>
      </c>
      <c r="K914" s="6">
        <v>160</v>
      </c>
      <c r="L914" s="6">
        <v>0</v>
      </c>
      <c r="M914" s="6">
        <v>0</v>
      </c>
      <c r="N914" s="6">
        <v>0</v>
      </c>
      <c r="O914" s="6">
        <v>0</v>
      </c>
      <c r="P914" s="6">
        <v>1</v>
      </c>
      <c r="Q914" s="4" t="s">
        <v>26</v>
      </c>
      <c r="R914" s="4">
        <v>0</v>
      </c>
      <c r="S914" s="6">
        <v>29</v>
      </c>
      <c r="T914" s="6">
        <v>0</v>
      </c>
      <c r="U914" s="6">
        <v>0</v>
      </c>
      <c r="V914" s="6">
        <f>IF(ISERROR(VLOOKUP($S$914,'TAR FIN'!$A$1:$O$116,15,0)),0,VLOOKUP($S$914,'TAR FIN'!$A$1:$O$116,15,0))</f>
        <v>25.51</v>
      </c>
      <c r="W914" s="6">
        <f>IF(ISERROR(VLOOKUP($T$914,'TAR FIN'!$A$1:$O$116,15,0)),0,VLOOKUP($T$914,'TAR FIN'!$A$1:$O$116,15,0))</f>
        <v>0</v>
      </c>
      <c r="X914" s="6">
        <f>IF(ISERROR(VLOOKUP($U$914,'TAR FIN'!$A$1:$O$116,15,0)),0,VLOOKUP($U$914,'TAR FIN'!$A$1:$O$116,15,0))</f>
        <v>0</v>
      </c>
      <c r="Y914" s="6">
        <f ca="1">('TUSD BE'!$AM$33+'TUSD BF'!$AM$33+'TUSD CVA'!$AM$33)*1</f>
        <v>29.803266797877356</v>
      </c>
      <c r="Z914" s="6"/>
      <c r="AA914" s="6"/>
      <c r="AB914" s="6">
        <f>$K$914*$V$914</f>
        <v>4081.6000000000004</v>
      </c>
      <c r="AC914" s="6">
        <f>$M$914*$W$914</f>
        <v>0</v>
      </c>
      <c r="AD914" s="6">
        <f>$O$914*$X$914</f>
        <v>0</v>
      </c>
      <c r="AE914" s="6">
        <f ca="1">$K$914*$Y$914</f>
        <v>4768.5226876603774</v>
      </c>
      <c r="AF914" s="6">
        <f>$M$914*$Z$914</f>
        <v>0</v>
      </c>
      <c r="AG914" s="6">
        <f>$O$914*$AA$914</f>
        <v>0</v>
      </c>
    </row>
    <row r="915" spans="1:33" ht="11.25" customHeight="1" x14ac:dyDescent="0.25">
      <c r="A915" s="4" t="s">
        <v>21</v>
      </c>
      <c r="B915" s="4" t="s">
        <v>41</v>
      </c>
      <c r="C915" s="4" t="s">
        <v>42</v>
      </c>
      <c r="D915" s="4" t="s">
        <v>53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44409</v>
      </c>
      <c r="J915" s="6">
        <v>160</v>
      </c>
      <c r="K915" s="6">
        <v>160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4" t="s">
        <v>26</v>
      </c>
      <c r="R915" s="4">
        <v>0</v>
      </c>
      <c r="S915" s="6">
        <v>29</v>
      </c>
      <c r="T915" s="6">
        <v>0</v>
      </c>
      <c r="U915" s="6">
        <v>0</v>
      </c>
      <c r="V915" s="6">
        <f>IF(ISERROR(VLOOKUP($S$915,'TAR FIN'!$A$1:$O$116,15,0)),0,VLOOKUP($S$915,'TAR FIN'!$A$1:$O$116,15,0))</f>
        <v>25.51</v>
      </c>
      <c r="W915" s="6">
        <f>IF(ISERROR(VLOOKUP($T$915,'TAR FIN'!$A$1:$O$116,15,0)),0,VLOOKUP($T$915,'TAR FIN'!$A$1:$O$116,15,0))</f>
        <v>0</v>
      </c>
      <c r="X915" s="6">
        <f>IF(ISERROR(VLOOKUP($U$915,'TAR FIN'!$A$1:$O$116,15,0)),0,VLOOKUP($U$915,'TAR FIN'!$A$1:$O$116,15,0))</f>
        <v>0</v>
      </c>
      <c r="Y915" s="6">
        <f ca="1">('TUSD BE'!$AM$33+'TUSD BF'!$AM$33+'TUSD CVA'!$AM$33)*1</f>
        <v>29.803266797877356</v>
      </c>
      <c r="Z915" s="6"/>
      <c r="AA915" s="6"/>
      <c r="AB915" s="6">
        <f>$K$915*$V$915</f>
        <v>4081.6000000000004</v>
      </c>
      <c r="AC915" s="6">
        <f>$M$915*$W$915</f>
        <v>0</v>
      </c>
      <c r="AD915" s="6">
        <f>$O$915*$X$915</f>
        <v>0</v>
      </c>
      <c r="AE915" s="6">
        <f ca="1">$K$915*$Y$915</f>
        <v>4768.5226876603774</v>
      </c>
      <c r="AF915" s="6">
        <f>$M$915*$Z$915</f>
        <v>0</v>
      </c>
      <c r="AG915" s="6">
        <f>$O$915*$AA$915</f>
        <v>0</v>
      </c>
    </row>
    <row r="916" spans="1:33" ht="11.25" customHeight="1" x14ac:dyDescent="0.25">
      <c r="A916" s="4" t="s">
        <v>21</v>
      </c>
      <c r="B916" s="4" t="s">
        <v>41</v>
      </c>
      <c r="C916" s="4" t="s">
        <v>42</v>
      </c>
      <c r="D916" s="4" t="s">
        <v>53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44440</v>
      </c>
      <c r="J916" s="6">
        <v>264</v>
      </c>
      <c r="K916" s="6">
        <v>264</v>
      </c>
      <c r="L916" s="6">
        <v>0</v>
      </c>
      <c r="M916" s="6">
        <v>0</v>
      </c>
      <c r="N916" s="6">
        <v>0</v>
      </c>
      <c r="O916" s="6">
        <v>0</v>
      </c>
      <c r="P916" s="6">
        <v>1</v>
      </c>
      <c r="Q916" s="4" t="s">
        <v>26</v>
      </c>
      <c r="R916" s="4">
        <v>0</v>
      </c>
      <c r="S916" s="6">
        <v>29</v>
      </c>
      <c r="T916" s="6">
        <v>0</v>
      </c>
      <c r="U916" s="6">
        <v>0</v>
      </c>
      <c r="V916" s="6">
        <f>IF(ISERROR(VLOOKUP($S$916,'TAR FIN'!$A$1:$O$116,15,0)),0,VLOOKUP($S$916,'TAR FIN'!$A$1:$O$116,15,0))</f>
        <v>25.51</v>
      </c>
      <c r="W916" s="6">
        <f>IF(ISERROR(VLOOKUP($T$916,'TAR FIN'!$A$1:$O$116,15,0)),0,VLOOKUP($T$916,'TAR FIN'!$A$1:$O$116,15,0))</f>
        <v>0</v>
      </c>
      <c r="X916" s="6">
        <f>IF(ISERROR(VLOOKUP($U$916,'TAR FIN'!$A$1:$O$116,15,0)),0,VLOOKUP($U$916,'TAR FIN'!$A$1:$O$116,15,0))</f>
        <v>0</v>
      </c>
      <c r="Y916" s="6">
        <f ca="1">('TUSD BE'!$AM$33+'TUSD BF'!$AM$33+'TUSD CVA'!$AM$33)*1</f>
        <v>29.803266797877356</v>
      </c>
      <c r="Z916" s="6"/>
      <c r="AA916" s="6"/>
      <c r="AB916" s="6">
        <f>$K$916*$V$916</f>
        <v>6734.64</v>
      </c>
      <c r="AC916" s="6">
        <f>$M$916*$W$916</f>
        <v>0</v>
      </c>
      <c r="AD916" s="6">
        <f>$O$916*$X$916</f>
        <v>0</v>
      </c>
      <c r="AE916" s="6">
        <f ca="1">$K$916*$Y$916</f>
        <v>7868.0624346396216</v>
      </c>
      <c r="AF916" s="6">
        <f>$M$916*$Z$916</f>
        <v>0</v>
      </c>
      <c r="AG916" s="6">
        <f>$O$916*$AA$916</f>
        <v>0</v>
      </c>
    </row>
    <row r="917" spans="1:33" ht="11.25" customHeight="1" x14ac:dyDescent="0.25">
      <c r="A917" s="4" t="s">
        <v>21</v>
      </c>
      <c r="B917" s="4" t="s">
        <v>41</v>
      </c>
      <c r="C917" s="4" t="s">
        <v>42</v>
      </c>
      <c r="D917" s="4" t="s">
        <v>53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44470</v>
      </c>
      <c r="J917" s="6">
        <v>204</v>
      </c>
      <c r="K917" s="6">
        <v>204</v>
      </c>
      <c r="L917" s="6">
        <v>0</v>
      </c>
      <c r="M917" s="6">
        <v>0</v>
      </c>
      <c r="N917" s="6">
        <v>0</v>
      </c>
      <c r="O917" s="6">
        <v>0</v>
      </c>
      <c r="P917" s="6">
        <v>1</v>
      </c>
      <c r="Q917" s="4" t="s">
        <v>26</v>
      </c>
      <c r="R917" s="4">
        <v>0</v>
      </c>
      <c r="S917" s="6">
        <v>29</v>
      </c>
      <c r="T917" s="6">
        <v>0</v>
      </c>
      <c r="U917" s="6">
        <v>0</v>
      </c>
      <c r="V917" s="6">
        <f>IF(ISERROR(VLOOKUP($S$917,'TAR FIN'!$A$1:$O$116,15,0)),0,VLOOKUP($S$917,'TAR FIN'!$A$1:$O$116,15,0))</f>
        <v>25.51</v>
      </c>
      <c r="W917" s="6">
        <f>IF(ISERROR(VLOOKUP($T$917,'TAR FIN'!$A$1:$O$116,15,0)),0,VLOOKUP($T$917,'TAR FIN'!$A$1:$O$116,15,0))</f>
        <v>0</v>
      </c>
      <c r="X917" s="6">
        <f>IF(ISERROR(VLOOKUP($U$917,'TAR FIN'!$A$1:$O$116,15,0)),0,VLOOKUP($U$917,'TAR FIN'!$A$1:$O$116,15,0))</f>
        <v>0</v>
      </c>
      <c r="Y917" s="6">
        <f ca="1">('TUSD BE'!$AM$33+'TUSD BF'!$AM$33+'TUSD CVA'!$AM$33)*1</f>
        <v>29.803266797877356</v>
      </c>
      <c r="Z917" s="6"/>
      <c r="AA917" s="6"/>
      <c r="AB917" s="6">
        <f>$K$917*$V$917</f>
        <v>5204.04</v>
      </c>
      <c r="AC917" s="6">
        <f>$M$917*$W$917</f>
        <v>0</v>
      </c>
      <c r="AD917" s="6">
        <f>$O$917*$X$917</f>
        <v>0</v>
      </c>
      <c r="AE917" s="6">
        <f ca="1">$K$917*$Y$917</f>
        <v>6079.866426766981</v>
      </c>
      <c r="AF917" s="6">
        <f>$M$917*$Z$917</f>
        <v>0</v>
      </c>
      <c r="AG917" s="6">
        <f>$O$917*$AA$917</f>
        <v>0</v>
      </c>
    </row>
    <row r="918" spans="1:33" ht="11.25" customHeight="1" x14ac:dyDescent="0.25">
      <c r="A918" s="4" t="s">
        <v>21</v>
      </c>
      <c r="B918" s="4" t="s">
        <v>41</v>
      </c>
      <c r="C918" s="4" t="s">
        <v>42</v>
      </c>
      <c r="D918" s="4" t="s">
        <v>53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44501</v>
      </c>
      <c r="J918" s="6">
        <v>240</v>
      </c>
      <c r="K918" s="6">
        <v>240</v>
      </c>
      <c r="L918" s="6">
        <v>0</v>
      </c>
      <c r="M918" s="6">
        <v>0</v>
      </c>
      <c r="N918" s="6">
        <v>0</v>
      </c>
      <c r="O918" s="6">
        <v>0</v>
      </c>
      <c r="P918" s="6">
        <v>1</v>
      </c>
      <c r="Q918" s="4" t="s">
        <v>26</v>
      </c>
      <c r="R918" s="4">
        <v>0</v>
      </c>
      <c r="S918" s="6">
        <v>29</v>
      </c>
      <c r="T918" s="6">
        <v>0</v>
      </c>
      <c r="U918" s="6">
        <v>0</v>
      </c>
      <c r="V918" s="6">
        <f>IF(ISERROR(VLOOKUP($S$918,'TAR FIN'!$A$1:$O$116,15,0)),0,VLOOKUP($S$918,'TAR FIN'!$A$1:$O$116,15,0))</f>
        <v>25.51</v>
      </c>
      <c r="W918" s="6">
        <f>IF(ISERROR(VLOOKUP($T$918,'TAR FIN'!$A$1:$O$116,15,0)),0,VLOOKUP($T$918,'TAR FIN'!$A$1:$O$116,15,0))</f>
        <v>0</v>
      </c>
      <c r="X918" s="6">
        <f>IF(ISERROR(VLOOKUP($U$918,'TAR FIN'!$A$1:$O$116,15,0)),0,VLOOKUP($U$918,'TAR FIN'!$A$1:$O$116,15,0))</f>
        <v>0</v>
      </c>
      <c r="Y918" s="6">
        <f ca="1">('TUSD BE'!$AM$33+'TUSD BF'!$AM$33+'TUSD CVA'!$AM$33)*1</f>
        <v>29.803266797877356</v>
      </c>
      <c r="Z918" s="6"/>
      <c r="AA918" s="6"/>
      <c r="AB918" s="6">
        <f>$K$918*$V$918</f>
        <v>6122.4000000000005</v>
      </c>
      <c r="AC918" s="6">
        <f>$M$918*$W$918</f>
        <v>0</v>
      </c>
      <c r="AD918" s="6">
        <f>$O$918*$X$918</f>
        <v>0</v>
      </c>
      <c r="AE918" s="6">
        <f ca="1">$K$918*$Y$918</f>
        <v>7152.7840314905652</v>
      </c>
      <c r="AF918" s="6">
        <f>$M$918*$Z$918</f>
        <v>0</v>
      </c>
      <c r="AG918" s="6">
        <f>$O$918*$AA$918</f>
        <v>0</v>
      </c>
    </row>
    <row r="919" spans="1:33" ht="11.25" customHeight="1" x14ac:dyDescent="0.25">
      <c r="A919" s="4" t="s">
        <v>21</v>
      </c>
      <c r="B919" s="4" t="s">
        <v>41</v>
      </c>
      <c r="C919" s="4" t="s">
        <v>42</v>
      </c>
      <c r="D919" s="4" t="s">
        <v>53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44531</v>
      </c>
      <c r="J919" s="6">
        <v>276</v>
      </c>
      <c r="K919" s="6">
        <v>276</v>
      </c>
      <c r="L919" s="6">
        <v>0</v>
      </c>
      <c r="M919" s="6">
        <v>0</v>
      </c>
      <c r="N919" s="6">
        <v>0</v>
      </c>
      <c r="O919" s="6">
        <v>0</v>
      </c>
      <c r="P919" s="6">
        <v>1</v>
      </c>
      <c r="Q919" s="4" t="s">
        <v>26</v>
      </c>
      <c r="R919" s="4">
        <v>0</v>
      </c>
      <c r="S919" s="6">
        <v>29</v>
      </c>
      <c r="T919" s="6">
        <v>0</v>
      </c>
      <c r="U919" s="6">
        <v>0</v>
      </c>
      <c r="V919" s="6">
        <f>IF(ISERROR(VLOOKUP($S$919,'TAR FIN'!$A$1:$O$116,15,0)),0,VLOOKUP($S$919,'TAR FIN'!$A$1:$O$116,15,0))</f>
        <v>25.51</v>
      </c>
      <c r="W919" s="6">
        <f>IF(ISERROR(VLOOKUP($T$919,'TAR FIN'!$A$1:$O$116,15,0)),0,VLOOKUP($T$919,'TAR FIN'!$A$1:$O$116,15,0))</f>
        <v>0</v>
      </c>
      <c r="X919" s="6">
        <f>IF(ISERROR(VLOOKUP($U$919,'TAR FIN'!$A$1:$O$116,15,0)),0,VLOOKUP($U$919,'TAR FIN'!$A$1:$O$116,15,0))</f>
        <v>0</v>
      </c>
      <c r="Y919" s="6">
        <f ca="1">('TUSD BE'!$AM$33+'TUSD BF'!$AM$33+'TUSD CVA'!$AM$33)*1</f>
        <v>29.803266797877356</v>
      </c>
      <c r="Z919" s="6"/>
      <c r="AA919" s="6"/>
      <c r="AB919" s="6">
        <f>$K$919*$V$919</f>
        <v>7040.76</v>
      </c>
      <c r="AC919" s="6">
        <f>$M$919*$W$919</f>
        <v>0</v>
      </c>
      <c r="AD919" s="6">
        <f>$O$919*$X$919</f>
        <v>0</v>
      </c>
      <c r="AE919" s="6">
        <f ca="1">$K$919*$Y$919</f>
        <v>8225.7016362141494</v>
      </c>
      <c r="AF919" s="6">
        <f>$M$919*$Z$919</f>
        <v>0</v>
      </c>
      <c r="AG919" s="6">
        <f>$O$919*$AA$919</f>
        <v>0</v>
      </c>
    </row>
    <row r="920" spans="1:33" ht="11.25" customHeight="1" x14ac:dyDescent="0.25">
      <c r="A920" s="4" t="s">
        <v>21</v>
      </c>
      <c r="B920" s="4" t="s">
        <v>41</v>
      </c>
      <c r="C920" s="4" t="s">
        <v>42</v>
      </c>
      <c r="D920" s="4" t="s">
        <v>53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44562</v>
      </c>
      <c r="J920" s="6">
        <v>208</v>
      </c>
      <c r="K920" s="6">
        <v>208</v>
      </c>
      <c r="L920" s="6">
        <v>0</v>
      </c>
      <c r="M920" s="6">
        <v>0</v>
      </c>
      <c r="N920" s="6">
        <v>0</v>
      </c>
      <c r="O920" s="6">
        <v>0</v>
      </c>
      <c r="P920" s="6">
        <v>1</v>
      </c>
      <c r="Q920" s="4" t="s">
        <v>26</v>
      </c>
      <c r="R920" s="4">
        <v>0</v>
      </c>
      <c r="S920" s="6">
        <v>29</v>
      </c>
      <c r="T920" s="6">
        <v>0</v>
      </c>
      <c r="U920" s="6">
        <v>0</v>
      </c>
      <c r="V920" s="6">
        <f>IF(ISERROR(VLOOKUP($S$920,'TAR FIN'!$A$1:$O$116,15,0)),0,VLOOKUP($S$920,'TAR FIN'!$A$1:$O$116,15,0))</f>
        <v>25.51</v>
      </c>
      <c r="W920" s="6">
        <f>IF(ISERROR(VLOOKUP($T$920,'TAR FIN'!$A$1:$O$116,15,0)),0,VLOOKUP($T$920,'TAR FIN'!$A$1:$O$116,15,0))</f>
        <v>0</v>
      </c>
      <c r="X920" s="6">
        <f>IF(ISERROR(VLOOKUP($U$920,'TAR FIN'!$A$1:$O$116,15,0)),0,VLOOKUP($U$920,'TAR FIN'!$A$1:$O$116,15,0))</f>
        <v>0</v>
      </c>
      <c r="Y920" s="6">
        <f ca="1">('TUSD BE'!$AM$33+'TUSD BF'!$AM$33+'TUSD CVA'!$AM$33)*1</f>
        <v>29.803266797877356</v>
      </c>
      <c r="Z920" s="6"/>
      <c r="AA920" s="6"/>
      <c r="AB920" s="6">
        <f>$K$920*$V$920</f>
        <v>5306.08</v>
      </c>
      <c r="AC920" s="6">
        <f>$M$920*$W$920</f>
        <v>0</v>
      </c>
      <c r="AD920" s="6">
        <f>$O$920*$X$920</f>
        <v>0</v>
      </c>
      <c r="AE920" s="6">
        <f ca="1">$K$920*$Y$920</f>
        <v>6199.0794939584903</v>
      </c>
      <c r="AF920" s="6">
        <f>$M$920*$Z$920</f>
        <v>0</v>
      </c>
      <c r="AG920" s="6">
        <f>$O$920*$AA$920</f>
        <v>0</v>
      </c>
    </row>
    <row r="921" spans="1:33" ht="11.25" customHeight="1" x14ac:dyDescent="0.25">
      <c r="A921" s="4" t="s">
        <v>21</v>
      </c>
      <c r="B921" s="4" t="s">
        <v>41</v>
      </c>
      <c r="C921" s="4" t="s">
        <v>42</v>
      </c>
      <c r="D921" s="4" t="s">
        <v>53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44593</v>
      </c>
      <c r="J921" s="6">
        <v>218</v>
      </c>
      <c r="K921" s="6">
        <v>218</v>
      </c>
      <c r="L921" s="6">
        <v>0</v>
      </c>
      <c r="M921" s="6">
        <v>0</v>
      </c>
      <c r="N921" s="6">
        <v>0</v>
      </c>
      <c r="O921" s="6">
        <v>0</v>
      </c>
      <c r="P921" s="6">
        <v>1</v>
      </c>
      <c r="Q921" s="4" t="s">
        <v>26</v>
      </c>
      <c r="R921" s="4">
        <v>0</v>
      </c>
      <c r="S921" s="6">
        <v>29</v>
      </c>
      <c r="T921" s="6">
        <v>0</v>
      </c>
      <c r="U921" s="6">
        <v>0</v>
      </c>
      <c r="V921" s="6">
        <f>IF(ISERROR(VLOOKUP($S$921,'TAR FIN'!$A$1:$O$116,15,0)),0,VLOOKUP($S$921,'TAR FIN'!$A$1:$O$116,15,0))</f>
        <v>25.51</v>
      </c>
      <c r="W921" s="6">
        <f>IF(ISERROR(VLOOKUP($T$921,'TAR FIN'!$A$1:$O$116,15,0)),0,VLOOKUP($T$921,'TAR FIN'!$A$1:$O$116,15,0))</f>
        <v>0</v>
      </c>
      <c r="X921" s="6">
        <f>IF(ISERROR(VLOOKUP($U$921,'TAR FIN'!$A$1:$O$116,15,0)),0,VLOOKUP($U$921,'TAR FIN'!$A$1:$O$116,15,0))</f>
        <v>0</v>
      </c>
      <c r="Y921" s="6">
        <f ca="1">('TUSD BE'!$AM$33+'TUSD BF'!$AM$33+'TUSD CVA'!$AM$33)*1</f>
        <v>29.803266797877356</v>
      </c>
      <c r="Z921" s="6"/>
      <c r="AA921" s="6"/>
      <c r="AB921" s="6">
        <f>$K$921*$V$921</f>
        <v>5561.18</v>
      </c>
      <c r="AC921" s="6">
        <f>$M$921*$W$921</f>
        <v>0</v>
      </c>
      <c r="AD921" s="6">
        <f>$O$921*$X$921</f>
        <v>0</v>
      </c>
      <c r="AE921" s="6">
        <f ca="1">$K$921*$Y$921</f>
        <v>6497.1121619372634</v>
      </c>
      <c r="AF921" s="6">
        <f>$M$921*$Z$921</f>
        <v>0</v>
      </c>
      <c r="AG921" s="6">
        <f>$O$921*$AA$921</f>
        <v>0</v>
      </c>
    </row>
    <row r="922" spans="1:33" ht="11.25" customHeight="1" x14ac:dyDescent="0.25">
      <c r="A922" s="4" t="s">
        <v>21</v>
      </c>
      <c r="B922" s="4" t="s">
        <v>41</v>
      </c>
      <c r="C922" s="4" t="s">
        <v>42</v>
      </c>
      <c r="D922" s="4" t="s">
        <v>53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44621</v>
      </c>
      <c r="J922" s="6">
        <v>241</v>
      </c>
      <c r="K922" s="6">
        <v>241</v>
      </c>
      <c r="L922" s="6">
        <v>0</v>
      </c>
      <c r="M922" s="6">
        <v>0</v>
      </c>
      <c r="N922" s="6">
        <v>0</v>
      </c>
      <c r="O922" s="6">
        <v>0</v>
      </c>
      <c r="P922" s="6">
        <v>1</v>
      </c>
      <c r="Q922" s="4" t="s">
        <v>26</v>
      </c>
      <c r="R922" s="4">
        <v>0</v>
      </c>
      <c r="S922" s="6">
        <v>29</v>
      </c>
      <c r="T922" s="6">
        <v>0</v>
      </c>
      <c r="U922" s="6">
        <v>0</v>
      </c>
      <c r="V922" s="6">
        <f>IF(ISERROR(VLOOKUP($S$922,'TAR FIN'!$A$1:$O$116,15,0)),0,VLOOKUP($S$922,'TAR FIN'!$A$1:$O$116,15,0))</f>
        <v>25.51</v>
      </c>
      <c r="W922" s="6">
        <f>IF(ISERROR(VLOOKUP($T$922,'TAR FIN'!$A$1:$O$116,15,0)),0,VLOOKUP($T$922,'TAR FIN'!$A$1:$O$116,15,0))</f>
        <v>0</v>
      </c>
      <c r="X922" s="6">
        <f>IF(ISERROR(VLOOKUP($U$922,'TAR FIN'!$A$1:$O$116,15,0)),0,VLOOKUP($U$922,'TAR FIN'!$A$1:$O$116,15,0))</f>
        <v>0</v>
      </c>
      <c r="Y922" s="6">
        <f ca="1">('TUSD BE'!$AM$33+'TUSD BF'!$AM$33+'TUSD CVA'!$AM$33)*1</f>
        <v>29.803266797877356</v>
      </c>
      <c r="Z922" s="6"/>
      <c r="AA922" s="6"/>
      <c r="AB922" s="6">
        <f>$K$922*$V$922</f>
        <v>6147.9100000000008</v>
      </c>
      <c r="AC922" s="6">
        <f>$M$922*$W$922</f>
        <v>0</v>
      </c>
      <c r="AD922" s="6">
        <f>$O$922*$X$922</f>
        <v>0</v>
      </c>
      <c r="AE922" s="6">
        <f ca="1">$K$922*$Y$922</f>
        <v>7182.587298288443</v>
      </c>
      <c r="AF922" s="6">
        <f>$M$922*$Z$922</f>
        <v>0</v>
      </c>
      <c r="AG922" s="6">
        <f>$O$922*$AA$922</f>
        <v>0</v>
      </c>
    </row>
    <row r="923" spans="1:33" ht="11.25" customHeight="1" x14ac:dyDescent="0.25">
      <c r="A923" s="4" t="s">
        <v>28</v>
      </c>
      <c r="B923" s="4" t="s">
        <v>41</v>
      </c>
      <c r="C923" s="4" t="s">
        <v>42</v>
      </c>
      <c r="D923" s="4" t="s">
        <v>53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44652</v>
      </c>
      <c r="J923" s="6">
        <v>205</v>
      </c>
      <c r="K923" s="6">
        <v>205</v>
      </c>
      <c r="L923" s="6">
        <v>0</v>
      </c>
      <c r="M923" s="6">
        <v>0</v>
      </c>
      <c r="N923" s="6">
        <v>0</v>
      </c>
      <c r="O923" s="6">
        <v>0</v>
      </c>
      <c r="P923" s="6">
        <v>1</v>
      </c>
      <c r="Q923" s="4" t="s">
        <v>26</v>
      </c>
      <c r="R923" s="4">
        <v>0</v>
      </c>
      <c r="S923" s="6">
        <v>29</v>
      </c>
      <c r="T923" s="6">
        <v>0</v>
      </c>
      <c r="U923" s="6">
        <v>0</v>
      </c>
      <c r="V923" s="6">
        <f>IF(ISERROR(VLOOKUP($S$923,'TAR FIN'!$A$1:$O$116,15,0)),0,VLOOKUP($S$923,'TAR FIN'!$A$1:$O$116,15,0))</f>
        <v>25.51</v>
      </c>
      <c r="W923" s="6">
        <f>IF(ISERROR(VLOOKUP($T$923,'TAR FIN'!$A$1:$O$116,15,0)),0,VLOOKUP($T$923,'TAR FIN'!$A$1:$O$116,15,0))</f>
        <v>0</v>
      </c>
      <c r="X923" s="6">
        <f>IF(ISERROR(VLOOKUP($U$923,'TAR FIN'!$A$1:$O$116,15,0)),0,VLOOKUP($U$923,'TAR FIN'!$A$1:$O$116,15,0))</f>
        <v>0</v>
      </c>
      <c r="Y923" s="6">
        <f ca="1">('TUSD BE'!$AM$33+'TUSD BF'!$AM$33+'TUSD CVA'!$AM$33)*1</f>
        <v>29.803266797877356</v>
      </c>
      <c r="Z923" s="6"/>
      <c r="AA923" s="6"/>
      <c r="AB923" s="6">
        <f>$K$923*$V$923</f>
        <v>5229.55</v>
      </c>
      <c r="AC923" s="6">
        <f>$M$923*$W$923</f>
        <v>0</v>
      </c>
      <c r="AD923" s="6">
        <f>$O$923*$X$923</f>
        <v>0</v>
      </c>
      <c r="AE923" s="6">
        <f ca="1">$K$923*$Y$923</f>
        <v>6109.6696935648579</v>
      </c>
      <c r="AF923" s="6">
        <f>$M$923*$Z$923</f>
        <v>0</v>
      </c>
      <c r="AG923" s="6">
        <f>$O$923*$AA$923</f>
        <v>0</v>
      </c>
    </row>
    <row r="924" spans="1:33" ht="11.25" customHeight="1" x14ac:dyDescent="0.25">
      <c r="A924" s="4" t="s">
        <v>58</v>
      </c>
      <c r="B924" s="4" t="s">
        <v>41</v>
      </c>
      <c r="C924" s="4" t="s">
        <v>42</v>
      </c>
      <c r="D924" s="4" t="s">
        <v>53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44682</v>
      </c>
      <c r="J924" s="6">
        <v>205</v>
      </c>
      <c r="K924" s="6">
        <v>205</v>
      </c>
      <c r="L924" s="6">
        <v>0</v>
      </c>
      <c r="M924" s="6">
        <v>0</v>
      </c>
      <c r="N924" s="6">
        <v>0</v>
      </c>
      <c r="O924" s="6">
        <v>0</v>
      </c>
      <c r="P924" s="6">
        <v>1</v>
      </c>
      <c r="Q924" s="4" t="s">
        <v>26</v>
      </c>
      <c r="R924" s="4">
        <v>0</v>
      </c>
      <c r="S924" s="6">
        <v>29</v>
      </c>
      <c r="T924" s="6">
        <v>0</v>
      </c>
      <c r="U924" s="6">
        <v>0</v>
      </c>
      <c r="V924" s="6">
        <f>IF(ISERROR(VLOOKUP($S$924,'TAR FIN'!$A$1:$O$116,15,0)),0,VLOOKUP($S$924,'TAR FIN'!$A$1:$O$116,15,0))</f>
        <v>25.51</v>
      </c>
      <c r="W924" s="6">
        <f>IF(ISERROR(VLOOKUP($T$924,'TAR FIN'!$A$1:$O$116,15,0)),0,VLOOKUP($T$924,'TAR FIN'!$A$1:$O$116,15,0))</f>
        <v>0</v>
      </c>
      <c r="X924" s="6">
        <f>IF(ISERROR(VLOOKUP($U$924,'TAR FIN'!$A$1:$O$116,15,0)),0,VLOOKUP($U$924,'TAR FIN'!$A$1:$O$116,15,0))</f>
        <v>0</v>
      </c>
      <c r="Y924" s="6">
        <f ca="1">('TUSD BE'!$AM$33+'TUSD BF'!$AM$33+'TUSD CVA'!$AM$33)*1</f>
        <v>29.803266797877356</v>
      </c>
      <c r="Z924" s="6"/>
      <c r="AA924" s="6"/>
      <c r="AB924" s="6">
        <f>$K$924*$V$924</f>
        <v>5229.55</v>
      </c>
      <c r="AC924" s="6">
        <f>$M$924*$W$924</f>
        <v>0</v>
      </c>
      <c r="AD924" s="6">
        <f>$O$924*$X$924</f>
        <v>0</v>
      </c>
      <c r="AE924" s="6">
        <f ca="1">$K$924*$Y$924</f>
        <v>6109.6696935648579</v>
      </c>
      <c r="AF924" s="6">
        <f>$M$924*$Z$924</f>
        <v>0</v>
      </c>
      <c r="AG924" s="6">
        <f>$O$924*$AA$924</f>
        <v>0</v>
      </c>
    </row>
    <row r="925" spans="1:33" ht="11.25" customHeight="1" x14ac:dyDescent="0.25">
      <c r="A925" s="4" t="s">
        <v>21</v>
      </c>
      <c r="B925" s="4" t="s">
        <v>41</v>
      </c>
      <c r="C925" s="4" t="s">
        <v>42</v>
      </c>
      <c r="D925" s="4" t="s">
        <v>53</v>
      </c>
      <c r="E925" s="4" t="s">
        <v>25</v>
      </c>
      <c r="F925" s="4" t="s">
        <v>25</v>
      </c>
      <c r="G925" s="4" t="s">
        <v>25</v>
      </c>
      <c r="H925" s="4" t="s">
        <v>34</v>
      </c>
      <c r="I925" s="5">
        <v>44348</v>
      </c>
      <c r="J925" s="6">
        <v>0</v>
      </c>
      <c r="K925" s="6">
        <v>0</v>
      </c>
      <c r="L925" s="6">
        <v>3.6</v>
      </c>
      <c r="M925" s="6">
        <v>3.6</v>
      </c>
      <c r="N925" s="6">
        <v>3.6</v>
      </c>
      <c r="O925" s="6">
        <v>3.6</v>
      </c>
      <c r="P925" s="6">
        <v>0</v>
      </c>
      <c r="Q925" s="4" t="s">
        <v>26</v>
      </c>
      <c r="R925" s="4">
        <v>0</v>
      </c>
      <c r="S925" s="6">
        <v>0</v>
      </c>
      <c r="T925" s="6">
        <v>30</v>
      </c>
      <c r="U925" s="6">
        <v>78</v>
      </c>
      <c r="V925" s="6">
        <f>IF(ISERROR(VLOOKUP($S$925,'TAR FIN'!$A$1:$O$116,15,0)),0,VLOOKUP($S$925,'TAR FIN'!$A$1:$O$116,15,0))</f>
        <v>0</v>
      </c>
      <c r="W925" s="6">
        <f>IF(ISERROR(VLOOKUP($T$925,'TAR FIN'!$A$1:$O$116,15,0)),0,VLOOKUP($T$925,'TAR FIN'!$A$1:$O$116,15,0))</f>
        <v>1682.12</v>
      </c>
      <c r="X925" s="6">
        <f>IF(ISERROR(VLOOKUP($U$925,'TAR FIN'!$A$1:$O$116,15,0)),0,VLOOKUP($U$925,'TAR FIN'!$A$1:$O$116,15,0))</f>
        <v>496.15</v>
      </c>
      <c r="Y925" s="6"/>
      <c r="Z925" s="6">
        <f ca="1">('TUSD BE'!$AM$34+'TUSD BF'!$AM$34+'TUSD CVA'!$AM$34)*1</f>
        <v>1969.9199547802996</v>
      </c>
      <c r="AA925" s="6">
        <f>('TE BE'!$AB$9+'TE BF'!$AB$9+'TE CVA'!$AB$9)*1</f>
        <v>510.04993331215127</v>
      </c>
      <c r="AB925" s="6">
        <f>$K$925*$V$925</f>
        <v>0</v>
      </c>
      <c r="AC925" s="6">
        <f>$M$925*$W$925</f>
        <v>6055.6319999999996</v>
      </c>
      <c r="AD925" s="6">
        <f>$O$925*$X$925</f>
        <v>1786.1399999999999</v>
      </c>
      <c r="AE925" s="6">
        <f>$K$925*$Y$925</f>
        <v>0</v>
      </c>
      <c r="AF925" s="6">
        <f ca="1">$M$925*$Z$925</f>
        <v>7091.711837209079</v>
      </c>
      <c r="AG925" s="6">
        <f>$O$925*$AA$925</f>
        <v>1836.1797599237445</v>
      </c>
    </row>
    <row r="926" spans="1:33" ht="11.25" customHeight="1" x14ac:dyDescent="0.25">
      <c r="A926" s="4" t="s">
        <v>21</v>
      </c>
      <c r="B926" s="4" t="s">
        <v>41</v>
      </c>
      <c r="C926" s="4" t="s">
        <v>42</v>
      </c>
      <c r="D926" s="4" t="s">
        <v>53</v>
      </c>
      <c r="E926" s="4" t="s">
        <v>25</v>
      </c>
      <c r="F926" s="4" t="s">
        <v>25</v>
      </c>
      <c r="G926" s="4" t="s">
        <v>25</v>
      </c>
      <c r="H926" s="4" t="s">
        <v>34</v>
      </c>
      <c r="I926" s="5">
        <v>44378</v>
      </c>
      <c r="J926" s="6">
        <v>0</v>
      </c>
      <c r="K926" s="6">
        <v>0</v>
      </c>
      <c r="L926" s="6">
        <v>3.6</v>
      </c>
      <c r="M926" s="6">
        <v>3.6</v>
      </c>
      <c r="N926" s="6">
        <v>3.6</v>
      </c>
      <c r="O926" s="6">
        <v>3.6</v>
      </c>
      <c r="P926" s="6">
        <v>0</v>
      </c>
      <c r="Q926" s="4" t="s">
        <v>26</v>
      </c>
      <c r="R926" s="4">
        <v>0</v>
      </c>
      <c r="S926" s="6">
        <v>0</v>
      </c>
      <c r="T926" s="6">
        <v>30</v>
      </c>
      <c r="U926" s="6">
        <v>78</v>
      </c>
      <c r="V926" s="6">
        <f>IF(ISERROR(VLOOKUP($S$926,'TAR FIN'!$A$1:$O$116,15,0)),0,VLOOKUP($S$926,'TAR FIN'!$A$1:$O$116,15,0))</f>
        <v>0</v>
      </c>
      <c r="W926" s="6">
        <f>IF(ISERROR(VLOOKUP($T$926,'TAR FIN'!$A$1:$O$116,15,0)),0,VLOOKUP($T$926,'TAR FIN'!$A$1:$O$116,15,0))</f>
        <v>1682.12</v>
      </c>
      <c r="X926" s="6">
        <f>IF(ISERROR(VLOOKUP($U$926,'TAR FIN'!$A$1:$O$116,15,0)),0,VLOOKUP($U$926,'TAR FIN'!$A$1:$O$116,15,0))</f>
        <v>496.15</v>
      </c>
      <c r="Y926" s="6"/>
      <c r="Z926" s="6">
        <f ca="1">('TUSD BE'!$AM$34+'TUSD BF'!$AM$34+'TUSD CVA'!$AM$34)*1</f>
        <v>1969.9199547802996</v>
      </c>
      <c r="AA926" s="6">
        <f>('TE BE'!$AB$9+'TE BF'!$AB$9+'TE CVA'!$AB$9)*1</f>
        <v>510.04993331215127</v>
      </c>
      <c r="AB926" s="6">
        <f>$K$926*$V$926</f>
        <v>0</v>
      </c>
      <c r="AC926" s="6">
        <f>$M$926*$W$926</f>
        <v>6055.6319999999996</v>
      </c>
      <c r="AD926" s="6">
        <f>$O$926*$X$926</f>
        <v>1786.1399999999999</v>
      </c>
      <c r="AE926" s="6">
        <f>$K$926*$Y$926</f>
        <v>0</v>
      </c>
      <c r="AF926" s="6">
        <f ca="1">$M$926*$Z$926</f>
        <v>7091.711837209079</v>
      </c>
      <c r="AG926" s="6">
        <f>$O$926*$AA$926</f>
        <v>1836.1797599237445</v>
      </c>
    </row>
    <row r="927" spans="1:33" ht="11.25" customHeight="1" x14ac:dyDescent="0.25">
      <c r="A927" s="4" t="s">
        <v>21</v>
      </c>
      <c r="B927" s="4" t="s">
        <v>41</v>
      </c>
      <c r="C927" s="4" t="s">
        <v>42</v>
      </c>
      <c r="D927" s="4" t="s">
        <v>53</v>
      </c>
      <c r="E927" s="4" t="s">
        <v>25</v>
      </c>
      <c r="F927" s="4" t="s">
        <v>25</v>
      </c>
      <c r="G927" s="4" t="s">
        <v>25</v>
      </c>
      <c r="H927" s="4" t="s">
        <v>34</v>
      </c>
      <c r="I927" s="5">
        <v>44409</v>
      </c>
      <c r="J927" s="6">
        <v>0</v>
      </c>
      <c r="K927" s="6">
        <v>0</v>
      </c>
      <c r="L927" s="6">
        <v>3.6</v>
      </c>
      <c r="M927" s="6">
        <v>3.6</v>
      </c>
      <c r="N927" s="6">
        <v>3.6</v>
      </c>
      <c r="O927" s="6">
        <v>3.6</v>
      </c>
      <c r="P927" s="6">
        <v>0</v>
      </c>
      <c r="Q927" s="4" t="s">
        <v>26</v>
      </c>
      <c r="R927" s="4">
        <v>0</v>
      </c>
      <c r="S927" s="6">
        <v>0</v>
      </c>
      <c r="T927" s="6">
        <v>30</v>
      </c>
      <c r="U927" s="6">
        <v>78</v>
      </c>
      <c r="V927" s="6">
        <f>IF(ISERROR(VLOOKUP($S$927,'TAR FIN'!$A$1:$O$116,15,0)),0,VLOOKUP($S$927,'TAR FIN'!$A$1:$O$116,15,0))</f>
        <v>0</v>
      </c>
      <c r="W927" s="6">
        <f>IF(ISERROR(VLOOKUP($T$927,'TAR FIN'!$A$1:$O$116,15,0)),0,VLOOKUP($T$927,'TAR FIN'!$A$1:$O$116,15,0))</f>
        <v>1682.12</v>
      </c>
      <c r="X927" s="6">
        <f>IF(ISERROR(VLOOKUP($U$927,'TAR FIN'!$A$1:$O$116,15,0)),0,VLOOKUP($U$927,'TAR FIN'!$A$1:$O$116,15,0))</f>
        <v>496.15</v>
      </c>
      <c r="Y927" s="6"/>
      <c r="Z927" s="6">
        <f ca="1">('TUSD BE'!$AM$34+'TUSD BF'!$AM$34+'TUSD CVA'!$AM$34)*1</f>
        <v>1969.9199547802996</v>
      </c>
      <c r="AA927" s="6">
        <f>('TE BE'!$AB$9+'TE BF'!$AB$9+'TE CVA'!$AB$9)*1</f>
        <v>510.04993331215127</v>
      </c>
      <c r="AB927" s="6">
        <f>$K$927*$V$927</f>
        <v>0</v>
      </c>
      <c r="AC927" s="6">
        <f>$M$927*$W$927</f>
        <v>6055.6319999999996</v>
      </c>
      <c r="AD927" s="6">
        <f>$O$927*$X$927</f>
        <v>1786.1399999999999</v>
      </c>
      <c r="AE927" s="6">
        <f>$K$927*$Y$927</f>
        <v>0</v>
      </c>
      <c r="AF927" s="6">
        <f ca="1">$M$927*$Z$927</f>
        <v>7091.711837209079</v>
      </c>
      <c r="AG927" s="6">
        <f>$O$927*$AA$927</f>
        <v>1836.1797599237445</v>
      </c>
    </row>
    <row r="928" spans="1:33" ht="11.25" customHeight="1" x14ac:dyDescent="0.25">
      <c r="A928" s="4" t="s">
        <v>21</v>
      </c>
      <c r="B928" s="4" t="s">
        <v>41</v>
      </c>
      <c r="C928" s="4" t="s">
        <v>42</v>
      </c>
      <c r="D928" s="4" t="s">
        <v>53</v>
      </c>
      <c r="E928" s="4" t="s">
        <v>25</v>
      </c>
      <c r="F928" s="4" t="s">
        <v>25</v>
      </c>
      <c r="G928" s="4" t="s">
        <v>25</v>
      </c>
      <c r="H928" s="4" t="s">
        <v>34</v>
      </c>
      <c r="I928" s="5">
        <v>44440</v>
      </c>
      <c r="J928" s="6">
        <v>0</v>
      </c>
      <c r="K928" s="6">
        <v>0</v>
      </c>
      <c r="L928" s="6">
        <v>4.8</v>
      </c>
      <c r="M928" s="6">
        <v>4.8</v>
      </c>
      <c r="N928" s="6">
        <v>4.8</v>
      </c>
      <c r="O928" s="6">
        <v>4.8</v>
      </c>
      <c r="P928" s="6">
        <v>0</v>
      </c>
      <c r="Q928" s="4" t="s">
        <v>26</v>
      </c>
      <c r="R928" s="4">
        <v>0</v>
      </c>
      <c r="S928" s="6">
        <v>0</v>
      </c>
      <c r="T928" s="6">
        <v>30</v>
      </c>
      <c r="U928" s="6">
        <v>78</v>
      </c>
      <c r="V928" s="6">
        <f>IF(ISERROR(VLOOKUP($S$928,'TAR FIN'!$A$1:$O$116,15,0)),0,VLOOKUP($S$928,'TAR FIN'!$A$1:$O$116,15,0))</f>
        <v>0</v>
      </c>
      <c r="W928" s="6">
        <f>IF(ISERROR(VLOOKUP($T$928,'TAR FIN'!$A$1:$O$116,15,0)),0,VLOOKUP($T$928,'TAR FIN'!$A$1:$O$116,15,0))</f>
        <v>1682.12</v>
      </c>
      <c r="X928" s="6">
        <f>IF(ISERROR(VLOOKUP($U$928,'TAR FIN'!$A$1:$O$116,15,0)),0,VLOOKUP($U$928,'TAR FIN'!$A$1:$O$116,15,0))</f>
        <v>496.15</v>
      </c>
      <c r="Y928" s="6"/>
      <c r="Z928" s="6">
        <f ca="1">('TUSD BE'!$AM$34+'TUSD BF'!$AM$34+'TUSD CVA'!$AM$34)*1</f>
        <v>1969.9199547802996</v>
      </c>
      <c r="AA928" s="6">
        <f>('TE BE'!$AB$9+'TE BF'!$AB$9+'TE CVA'!$AB$9)*1</f>
        <v>510.04993331215127</v>
      </c>
      <c r="AB928" s="6">
        <f>$K$928*$V$928</f>
        <v>0</v>
      </c>
      <c r="AC928" s="6">
        <f>$M$928*$W$928</f>
        <v>8074.1759999999995</v>
      </c>
      <c r="AD928" s="6">
        <f>$O$928*$X$928</f>
        <v>2381.52</v>
      </c>
      <c r="AE928" s="6">
        <f>$K$928*$Y$928</f>
        <v>0</v>
      </c>
      <c r="AF928" s="6">
        <f ca="1">$M$928*$Z$928</f>
        <v>9455.6157829454369</v>
      </c>
      <c r="AG928" s="6">
        <f>$O$928*$AA$928</f>
        <v>2448.2396798983259</v>
      </c>
    </row>
    <row r="929" spans="1:33" ht="11.25" customHeight="1" x14ac:dyDescent="0.25">
      <c r="A929" s="4" t="s">
        <v>21</v>
      </c>
      <c r="B929" s="4" t="s">
        <v>41</v>
      </c>
      <c r="C929" s="4" t="s">
        <v>42</v>
      </c>
      <c r="D929" s="4" t="s">
        <v>53</v>
      </c>
      <c r="E929" s="4" t="s">
        <v>25</v>
      </c>
      <c r="F929" s="4" t="s">
        <v>25</v>
      </c>
      <c r="G929" s="4" t="s">
        <v>25</v>
      </c>
      <c r="H929" s="4" t="s">
        <v>34</v>
      </c>
      <c r="I929" s="5">
        <v>44470</v>
      </c>
      <c r="J929" s="6">
        <v>0</v>
      </c>
      <c r="K929" s="6">
        <v>0</v>
      </c>
      <c r="L929" s="6">
        <v>3.6</v>
      </c>
      <c r="M929" s="6">
        <v>3.6</v>
      </c>
      <c r="N929" s="6">
        <v>3.6</v>
      </c>
      <c r="O929" s="6">
        <v>3.6</v>
      </c>
      <c r="P929" s="6">
        <v>0</v>
      </c>
      <c r="Q929" s="4" t="s">
        <v>26</v>
      </c>
      <c r="R929" s="4">
        <v>0</v>
      </c>
      <c r="S929" s="6">
        <v>0</v>
      </c>
      <c r="T929" s="6">
        <v>30</v>
      </c>
      <c r="U929" s="6">
        <v>78</v>
      </c>
      <c r="V929" s="6">
        <f>IF(ISERROR(VLOOKUP($S$929,'TAR FIN'!$A$1:$O$116,15,0)),0,VLOOKUP($S$929,'TAR FIN'!$A$1:$O$116,15,0))</f>
        <v>0</v>
      </c>
      <c r="W929" s="6">
        <f>IF(ISERROR(VLOOKUP($T$929,'TAR FIN'!$A$1:$O$116,15,0)),0,VLOOKUP($T$929,'TAR FIN'!$A$1:$O$116,15,0))</f>
        <v>1682.12</v>
      </c>
      <c r="X929" s="6">
        <f>IF(ISERROR(VLOOKUP($U$929,'TAR FIN'!$A$1:$O$116,15,0)),0,VLOOKUP($U$929,'TAR FIN'!$A$1:$O$116,15,0))</f>
        <v>496.15</v>
      </c>
      <c r="Y929" s="6"/>
      <c r="Z929" s="6">
        <f ca="1">('TUSD BE'!$AM$34+'TUSD BF'!$AM$34+'TUSD CVA'!$AM$34)*1</f>
        <v>1969.9199547802996</v>
      </c>
      <c r="AA929" s="6">
        <f>('TE BE'!$AB$9+'TE BF'!$AB$9+'TE CVA'!$AB$9)*1</f>
        <v>510.04993331215127</v>
      </c>
      <c r="AB929" s="6">
        <f>$K$929*$V$929</f>
        <v>0</v>
      </c>
      <c r="AC929" s="6">
        <f>$M$929*$W$929</f>
        <v>6055.6319999999996</v>
      </c>
      <c r="AD929" s="6">
        <f>$O$929*$X$929</f>
        <v>1786.1399999999999</v>
      </c>
      <c r="AE929" s="6">
        <f>$K$929*$Y$929</f>
        <v>0</v>
      </c>
      <c r="AF929" s="6">
        <f ca="1">$M$929*$Z$929</f>
        <v>7091.711837209079</v>
      </c>
      <c r="AG929" s="6">
        <f>$O$929*$AA$929</f>
        <v>1836.1797599237445</v>
      </c>
    </row>
    <row r="930" spans="1:33" ht="11.25" customHeight="1" x14ac:dyDescent="0.25">
      <c r="A930" s="4" t="s">
        <v>21</v>
      </c>
      <c r="B930" s="4" t="s">
        <v>41</v>
      </c>
      <c r="C930" s="4" t="s">
        <v>42</v>
      </c>
      <c r="D930" s="4" t="s">
        <v>53</v>
      </c>
      <c r="E930" s="4" t="s">
        <v>25</v>
      </c>
      <c r="F930" s="4" t="s">
        <v>25</v>
      </c>
      <c r="G930" s="4" t="s">
        <v>25</v>
      </c>
      <c r="H930" s="4" t="s">
        <v>34</v>
      </c>
      <c r="I930" s="5">
        <v>44501</v>
      </c>
      <c r="J930" s="6">
        <v>0</v>
      </c>
      <c r="K930" s="6">
        <v>0</v>
      </c>
      <c r="L930" s="6">
        <v>3.6</v>
      </c>
      <c r="M930" s="6">
        <v>3.6</v>
      </c>
      <c r="N930" s="6">
        <v>3.6</v>
      </c>
      <c r="O930" s="6">
        <v>3.6</v>
      </c>
      <c r="P930" s="6">
        <v>0</v>
      </c>
      <c r="Q930" s="4" t="s">
        <v>26</v>
      </c>
      <c r="R930" s="4">
        <v>0</v>
      </c>
      <c r="S930" s="6">
        <v>0</v>
      </c>
      <c r="T930" s="6">
        <v>30</v>
      </c>
      <c r="U930" s="6">
        <v>78</v>
      </c>
      <c r="V930" s="6">
        <f>IF(ISERROR(VLOOKUP($S$930,'TAR FIN'!$A$1:$O$116,15,0)),0,VLOOKUP($S$930,'TAR FIN'!$A$1:$O$116,15,0))</f>
        <v>0</v>
      </c>
      <c r="W930" s="6">
        <f>IF(ISERROR(VLOOKUP($T$930,'TAR FIN'!$A$1:$O$116,15,0)),0,VLOOKUP($T$930,'TAR FIN'!$A$1:$O$116,15,0))</f>
        <v>1682.12</v>
      </c>
      <c r="X930" s="6">
        <f>IF(ISERROR(VLOOKUP($U$930,'TAR FIN'!$A$1:$O$116,15,0)),0,VLOOKUP($U$930,'TAR FIN'!$A$1:$O$116,15,0))</f>
        <v>496.15</v>
      </c>
      <c r="Y930" s="6"/>
      <c r="Z930" s="6">
        <f ca="1">('TUSD BE'!$AM$34+'TUSD BF'!$AM$34+'TUSD CVA'!$AM$34)*1</f>
        <v>1969.9199547802996</v>
      </c>
      <c r="AA930" s="6">
        <f>('TE BE'!$AB$9+'TE BF'!$AB$9+'TE CVA'!$AB$9)*1</f>
        <v>510.04993331215127</v>
      </c>
      <c r="AB930" s="6">
        <f>$K$930*$V$930</f>
        <v>0</v>
      </c>
      <c r="AC930" s="6">
        <f>$M$930*$W$930</f>
        <v>6055.6319999999996</v>
      </c>
      <c r="AD930" s="6">
        <f>$O$930*$X$930</f>
        <v>1786.1399999999999</v>
      </c>
      <c r="AE930" s="6">
        <f>$K$930*$Y$930</f>
        <v>0</v>
      </c>
      <c r="AF930" s="6">
        <f ca="1">$M$930*$Z$930</f>
        <v>7091.711837209079</v>
      </c>
      <c r="AG930" s="6">
        <f>$O$930*$AA$930</f>
        <v>1836.1797599237445</v>
      </c>
    </row>
    <row r="931" spans="1:33" ht="11.25" customHeight="1" x14ac:dyDescent="0.25">
      <c r="A931" s="4" t="s">
        <v>21</v>
      </c>
      <c r="B931" s="4" t="s">
        <v>41</v>
      </c>
      <c r="C931" s="4" t="s">
        <v>42</v>
      </c>
      <c r="D931" s="4" t="s">
        <v>53</v>
      </c>
      <c r="E931" s="4" t="s">
        <v>25</v>
      </c>
      <c r="F931" s="4" t="s">
        <v>25</v>
      </c>
      <c r="G931" s="4" t="s">
        <v>25</v>
      </c>
      <c r="H931" s="4" t="s">
        <v>34</v>
      </c>
      <c r="I931" s="5">
        <v>44531</v>
      </c>
      <c r="J931" s="6">
        <v>0</v>
      </c>
      <c r="K931" s="6">
        <v>0</v>
      </c>
      <c r="L931" s="6">
        <v>3.6</v>
      </c>
      <c r="M931" s="6">
        <v>3.6</v>
      </c>
      <c r="N931" s="6">
        <v>3.6</v>
      </c>
      <c r="O931" s="6">
        <v>3.6</v>
      </c>
      <c r="P931" s="6">
        <v>0</v>
      </c>
      <c r="Q931" s="4" t="s">
        <v>26</v>
      </c>
      <c r="R931" s="4">
        <v>0</v>
      </c>
      <c r="S931" s="6">
        <v>0</v>
      </c>
      <c r="T931" s="6">
        <v>30</v>
      </c>
      <c r="U931" s="6">
        <v>78</v>
      </c>
      <c r="V931" s="6">
        <f>IF(ISERROR(VLOOKUP($S$931,'TAR FIN'!$A$1:$O$116,15,0)),0,VLOOKUP($S$931,'TAR FIN'!$A$1:$O$116,15,0))</f>
        <v>0</v>
      </c>
      <c r="W931" s="6">
        <f>IF(ISERROR(VLOOKUP($T$931,'TAR FIN'!$A$1:$O$116,15,0)),0,VLOOKUP($T$931,'TAR FIN'!$A$1:$O$116,15,0))</f>
        <v>1682.12</v>
      </c>
      <c r="X931" s="6">
        <f>IF(ISERROR(VLOOKUP($U$931,'TAR FIN'!$A$1:$O$116,15,0)),0,VLOOKUP($U$931,'TAR FIN'!$A$1:$O$116,15,0))</f>
        <v>496.15</v>
      </c>
      <c r="Y931" s="6"/>
      <c r="Z931" s="6">
        <f ca="1">('TUSD BE'!$AM$34+'TUSD BF'!$AM$34+'TUSD CVA'!$AM$34)*1</f>
        <v>1969.9199547802996</v>
      </c>
      <c r="AA931" s="6">
        <f>('TE BE'!$AB$9+'TE BF'!$AB$9+'TE CVA'!$AB$9)*1</f>
        <v>510.04993331215127</v>
      </c>
      <c r="AB931" s="6">
        <f>$K$931*$V$931</f>
        <v>0</v>
      </c>
      <c r="AC931" s="6">
        <f>$M$931*$W$931</f>
        <v>6055.6319999999996</v>
      </c>
      <c r="AD931" s="6">
        <f>$O$931*$X$931</f>
        <v>1786.1399999999999</v>
      </c>
      <c r="AE931" s="6">
        <f>$K$931*$Y$931</f>
        <v>0</v>
      </c>
      <c r="AF931" s="6">
        <f ca="1">$M$931*$Z$931</f>
        <v>7091.711837209079</v>
      </c>
      <c r="AG931" s="6">
        <f>$O$931*$AA$931</f>
        <v>1836.1797599237445</v>
      </c>
    </row>
    <row r="932" spans="1:33" ht="11.25" customHeight="1" x14ac:dyDescent="0.25">
      <c r="A932" s="4" t="s">
        <v>21</v>
      </c>
      <c r="B932" s="4" t="s">
        <v>41</v>
      </c>
      <c r="C932" s="4" t="s">
        <v>42</v>
      </c>
      <c r="D932" s="4" t="s">
        <v>53</v>
      </c>
      <c r="E932" s="4" t="s">
        <v>25</v>
      </c>
      <c r="F932" s="4" t="s">
        <v>25</v>
      </c>
      <c r="G932" s="4" t="s">
        <v>25</v>
      </c>
      <c r="H932" s="4" t="s">
        <v>34</v>
      </c>
      <c r="I932" s="5">
        <v>44562</v>
      </c>
      <c r="J932" s="6">
        <v>0</v>
      </c>
      <c r="K932" s="6">
        <v>0</v>
      </c>
      <c r="L932" s="6">
        <v>4.4610000000000003</v>
      </c>
      <c r="M932" s="6">
        <v>4.4610000000000003</v>
      </c>
      <c r="N932" s="6">
        <v>4.4610000000000003</v>
      </c>
      <c r="O932" s="6">
        <v>4.4610000000000003</v>
      </c>
      <c r="P932" s="6">
        <v>0</v>
      </c>
      <c r="Q932" s="4" t="s">
        <v>26</v>
      </c>
      <c r="R932" s="4">
        <v>0</v>
      </c>
      <c r="S932" s="6">
        <v>0</v>
      </c>
      <c r="T932" s="6">
        <v>30</v>
      </c>
      <c r="U932" s="6">
        <v>78</v>
      </c>
      <c r="V932" s="6">
        <f>IF(ISERROR(VLOOKUP($S$932,'TAR FIN'!$A$1:$O$116,15,0)),0,VLOOKUP($S$932,'TAR FIN'!$A$1:$O$116,15,0))</f>
        <v>0</v>
      </c>
      <c r="W932" s="6">
        <f>IF(ISERROR(VLOOKUP($T$932,'TAR FIN'!$A$1:$O$116,15,0)),0,VLOOKUP($T$932,'TAR FIN'!$A$1:$O$116,15,0))</f>
        <v>1682.12</v>
      </c>
      <c r="X932" s="6">
        <f>IF(ISERROR(VLOOKUP($U$932,'TAR FIN'!$A$1:$O$116,15,0)),0,VLOOKUP($U$932,'TAR FIN'!$A$1:$O$116,15,0))</f>
        <v>496.15</v>
      </c>
      <c r="Y932" s="6"/>
      <c r="Z932" s="6">
        <f ca="1">('TUSD BE'!$AM$34+'TUSD BF'!$AM$34+'TUSD CVA'!$AM$34)*1</f>
        <v>1969.9199547802996</v>
      </c>
      <c r="AA932" s="6">
        <f>('TE BE'!$AB$9+'TE BF'!$AB$9+'TE CVA'!$AB$9)*1</f>
        <v>510.04993331215127</v>
      </c>
      <c r="AB932" s="6">
        <f>$K$932*$V$932</f>
        <v>0</v>
      </c>
      <c r="AC932" s="6">
        <f>$M$932*$W$932</f>
        <v>7503.93732</v>
      </c>
      <c r="AD932" s="6">
        <f>$O$932*$X$932</f>
        <v>2213.3251500000001</v>
      </c>
      <c r="AE932" s="6">
        <f>$K$932*$Y$932</f>
        <v>0</v>
      </c>
      <c r="AF932" s="6">
        <f ca="1">$M$932*$Z$932</f>
        <v>8787.8129182749162</v>
      </c>
      <c r="AG932" s="6">
        <f>$O$932*$AA$932</f>
        <v>2275.332752505507</v>
      </c>
    </row>
    <row r="933" spans="1:33" ht="11.25" customHeight="1" x14ac:dyDescent="0.25">
      <c r="A933" s="4" t="s">
        <v>21</v>
      </c>
      <c r="B933" s="4" t="s">
        <v>41</v>
      </c>
      <c r="C933" s="4" t="s">
        <v>42</v>
      </c>
      <c r="D933" s="4" t="s">
        <v>53</v>
      </c>
      <c r="E933" s="4" t="s">
        <v>25</v>
      </c>
      <c r="F933" s="4" t="s">
        <v>25</v>
      </c>
      <c r="G933" s="4" t="s">
        <v>25</v>
      </c>
      <c r="H933" s="4" t="s">
        <v>34</v>
      </c>
      <c r="I933" s="5">
        <v>44593</v>
      </c>
      <c r="J933" s="6">
        <v>0</v>
      </c>
      <c r="K933" s="6">
        <v>0</v>
      </c>
      <c r="L933" s="6">
        <v>3.8260000000000001</v>
      </c>
      <c r="M933" s="6">
        <v>3.8260000000000001</v>
      </c>
      <c r="N933" s="6">
        <v>3.8260000000000001</v>
      </c>
      <c r="O933" s="6">
        <v>3.8260000000000001</v>
      </c>
      <c r="P933" s="6">
        <v>0</v>
      </c>
      <c r="Q933" s="4" t="s">
        <v>26</v>
      </c>
      <c r="R933" s="4">
        <v>0</v>
      </c>
      <c r="S933" s="6">
        <v>0</v>
      </c>
      <c r="T933" s="6">
        <v>30</v>
      </c>
      <c r="U933" s="6">
        <v>78</v>
      </c>
      <c r="V933" s="6">
        <f>IF(ISERROR(VLOOKUP($S$933,'TAR FIN'!$A$1:$O$116,15,0)),0,VLOOKUP($S$933,'TAR FIN'!$A$1:$O$116,15,0))</f>
        <v>0</v>
      </c>
      <c r="W933" s="6">
        <f>IF(ISERROR(VLOOKUP($T$933,'TAR FIN'!$A$1:$O$116,15,0)),0,VLOOKUP($T$933,'TAR FIN'!$A$1:$O$116,15,0))</f>
        <v>1682.12</v>
      </c>
      <c r="X933" s="6">
        <f>IF(ISERROR(VLOOKUP($U$933,'TAR FIN'!$A$1:$O$116,15,0)),0,VLOOKUP($U$933,'TAR FIN'!$A$1:$O$116,15,0))</f>
        <v>496.15</v>
      </c>
      <c r="Y933" s="6"/>
      <c r="Z933" s="6">
        <f ca="1">('TUSD BE'!$AM$34+'TUSD BF'!$AM$34+'TUSD CVA'!$AM$34)*1</f>
        <v>1969.9199547802996</v>
      </c>
      <c r="AA933" s="6">
        <f>('TE BE'!$AB$9+'TE BF'!$AB$9+'TE CVA'!$AB$9)*1</f>
        <v>510.04993331215127</v>
      </c>
      <c r="AB933" s="6">
        <f>$K$933*$V$933</f>
        <v>0</v>
      </c>
      <c r="AC933" s="6">
        <f>$M$933*$W$933</f>
        <v>6435.7911199999999</v>
      </c>
      <c r="AD933" s="6">
        <f>$O$933*$X$933</f>
        <v>1898.2699</v>
      </c>
      <c r="AE933" s="6">
        <f>$K$933*$Y$933</f>
        <v>0</v>
      </c>
      <c r="AF933" s="6">
        <f ca="1">$M$933*$Z$933</f>
        <v>7536.9137469894267</v>
      </c>
      <c r="AG933" s="6">
        <f>$O$933*$AA$933</f>
        <v>1951.4510448522908</v>
      </c>
    </row>
    <row r="934" spans="1:33" ht="11.25" customHeight="1" x14ac:dyDescent="0.25">
      <c r="A934" s="4" t="s">
        <v>21</v>
      </c>
      <c r="B934" s="4" t="s">
        <v>41</v>
      </c>
      <c r="C934" s="4" t="s">
        <v>42</v>
      </c>
      <c r="D934" s="4" t="s">
        <v>53</v>
      </c>
      <c r="E934" s="4" t="s">
        <v>25</v>
      </c>
      <c r="F934" s="4" t="s">
        <v>25</v>
      </c>
      <c r="G934" s="4" t="s">
        <v>25</v>
      </c>
      <c r="H934" s="4" t="s">
        <v>34</v>
      </c>
      <c r="I934" s="5">
        <v>44621</v>
      </c>
      <c r="J934" s="6">
        <v>0</v>
      </c>
      <c r="K934" s="6">
        <v>0</v>
      </c>
      <c r="L934" s="6">
        <v>4.8369999999999997</v>
      </c>
      <c r="M934" s="6">
        <v>4.8369999999999997</v>
      </c>
      <c r="N934" s="6">
        <v>4.8369999999999997</v>
      </c>
      <c r="O934" s="6">
        <v>4.8369999999999997</v>
      </c>
      <c r="P934" s="6">
        <v>0</v>
      </c>
      <c r="Q934" s="4" t="s">
        <v>26</v>
      </c>
      <c r="R934" s="4">
        <v>0</v>
      </c>
      <c r="S934" s="6">
        <v>0</v>
      </c>
      <c r="T934" s="6">
        <v>30</v>
      </c>
      <c r="U934" s="6">
        <v>78</v>
      </c>
      <c r="V934" s="6">
        <f>IF(ISERROR(VLOOKUP($S$934,'TAR FIN'!$A$1:$O$116,15,0)),0,VLOOKUP($S$934,'TAR FIN'!$A$1:$O$116,15,0))</f>
        <v>0</v>
      </c>
      <c r="W934" s="6">
        <f>IF(ISERROR(VLOOKUP($T$934,'TAR FIN'!$A$1:$O$116,15,0)),0,VLOOKUP($T$934,'TAR FIN'!$A$1:$O$116,15,0))</f>
        <v>1682.12</v>
      </c>
      <c r="X934" s="6">
        <f>IF(ISERROR(VLOOKUP($U$934,'TAR FIN'!$A$1:$O$116,15,0)),0,VLOOKUP($U$934,'TAR FIN'!$A$1:$O$116,15,0))</f>
        <v>496.15</v>
      </c>
      <c r="Y934" s="6"/>
      <c r="Z934" s="6">
        <f ca="1">('TUSD BE'!$AM$34+'TUSD BF'!$AM$34+'TUSD CVA'!$AM$34)*1</f>
        <v>1969.9199547802996</v>
      </c>
      <c r="AA934" s="6">
        <f>('TE BE'!$AB$9+'TE BF'!$AB$9+'TE CVA'!$AB$9)*1</f>
        <v>510.04993331215127</v>
      </c>
      <c r="AB934" s="6">
        <f>$K$934*$V$934</f>
        <v>0</v>
      </c>
      <c r="AC934" s="6">
        <f>$M$934*$W$934</f>
        <v>8136.4144399999986</v>
      </c>
      <c r="AD934" s="6">
        <f>$O$934*$X$934</f>
        <v>2399.8775499999997</v>
      </c>
      <c r="AE934" s="6">
        <f>$K$934*$Y$934</f>
        <v>0</v>
      </c>
      <c r="AF934" s="6">
        <f ca="1">$M$934*$Z$934</f>
        <v>9528.5028212723082</v>
      </c>
      <c r="AG934" s="6">
        <f>$O$934*$AA$934</f>
        <v>2467.1115274308754</v>
      </c>
    </row>
    <row r="935" spans="1:33" ht="11.25" customHeight="1" x14ac:dyDescent="0.25">
      <c r="A935" s="4" t="s">
        <v>28</v>
      </c>
      <c r="B935" s="4" t="s">
        <v>41</v>
      </c>
      <c r="C935" s="4" t="s">
        <v>42</v>
      </c>
      <c r="D935" s="4" t="s">
        <v>53</v>
      </c>
      <c r="E935" s="4" t="s">
        <v>25</v>
      </c>
      <c r="F935" s="4" t="s">
        <v>25</v>
      </c>
      <c r="G935" s="4" t="s">
        <v>25</v>
      </c>
      <c r="H935" s="4" t="s">
        <v>34</v>
      </c>
      <c r="I935" s="5">
        <v>44652</v>
      </c>
      <c r="J935" s="6">
        <v>0</v>
      </c>
      <c r="K935" s="6">
        <v>0</v>
      </c>
      <c r="L935" s="6">
        <v>3.4319999999999999</v>
      </c>
      <c r="M935" s="6">
        <v>3.4319999999999999</v>
      </c>
      <c r="N935" s="6">
        <v>3.4319999999999999</v>
      </c>
      <c r="O935" s="6">
        <v>3.4319999999999999</v>
      </c>
      <c r="P935" s="6">
        <v>0</v>
      </c>
      <c r="Q935" s="4" t="s">
        <v>26</v>
      </c>
      <c r="R935" s="4">
        <v>0</v>
      </c>
      <c r="S935" s="6">
        <v>0</v>
      </c>
      <c r="T935" s="6">
        <v>30</v>
      </c>
      <c r="U935" s="6">
        <v>78</v>
      </c>
      <c r="V935" s="6">
        <f>IF(ISERROR(VLOOKUP($S$935,'TAR FIN'!$A$1:$O$116,15,0)),0,VLOOKUP($S$935,'TAR FIN'!$A$1:$O$116,15,0))</f>
        <v>0</v>
      </c>
      <c r="W935" s="6">
        <f>IF(ISERROR(VLOOKUP($T$935,'TAR FIN'!$A$1:$O$116,15,0)),0,VLOOKUP($T$935,'TAR FIN'!$A$1:$O$116,15,0))</f>
        <v>1682.12</v>
      </c>
      <c r="X935" s="6">
        <f>IF(ISERROR(VLOOKUP($U$935,'TAR FIN'!$A$1:$O$116,15,0)),0,VLOOKUP($U$935,'TAR FIN'!$A$1:$O$116,15,0))</f>
        <v>496.15</v>
      </c>
      <c r="Y935" s="6"/>
      <c r="Z935" s="6">
        <f ca="1">('TUSD BE'!$AM$34+'TUSD BF'!$AM$34+'TUSD CVA'!$AM$34)*1</f>
        <v>1969.9199547802996</v>
      </c>
      <c r="AA935" s="6">
        <f>('TE BE'!$AB$9+'TE BF'!$AB$9+'TE CVA'!$AB$9)*1</f>
        <v>510.04993331215127</v>
      </c>
      <c r="AB935" s="6">
        <f>$K$935*$V$935</f>
        <v>0</v>
      </c>
      <c r="AC935" s="6">
        <f>$M$935*$W$935</f>
        <v>5773.0358399999996</v>
      </c>
      <c r="AD935" s="6">
        <f>$O$935*$X$935</f>
        <v>1702.7867999999999</v>
      </c>
      <c r="AE935" s="6">
        <f>$K$935*$Y$935</f>
        <v>0</v>
      </c>
      <c r="AF935" s="6">
        <f ca="1">$M$935*$Z$935</f>
        <v>6760.7652848059879</v>
      </c>
      <c r="AG935" s="6">
        <f>$O$935*$AA$935</f>
        <v>1750.4913711273032</v>
      </c>
    </row>
    <row r="936" spans="1:33" ht="11.25" customHeight="1" x14ac:dyDescent="0.25">
      <c r="A936" s="4" t="s">
        <v>58</v>
      </c>
      <c r="B936" s="4" t="s">
        <v>41</v>
      </c>
      <c r="C936" s="4" t="s">
        <v>42</v>
      </c>
      <c r="D936" s="4" t="s">
        <v>53</v>
      </c>
      <c r="E936" s="4" t="s">
        <v>25</v>
      </c>
      <c r="F936" s="4" t="s">
        <v>25</v>
      </c>
      <c r="G936" s="4" t="s">
        <v>25</v>
      </c>
      <c r="H936" s="4" t="s">
        <v>34</v>
      </c>
      <c r="I936" s="5">
        <v>44682</v>
      </c>
      <c r="J936" s="6">
        <v>0</v>
      </c>
      <c r="K936" s="6">
        <v>0</v>
      </c>
      <c r="L936" s="6">
        <v>3.4319999999999999</v>
      </c>
      <c r="M936" s="6">
        <v>3.4319999999999999</v>
      </c>
      <c r="N936" s="6">
        <v>3.4319999999999999</v>
      </c>
      <c r="O936" s="6">
        <v>3.4319999999999999</v>
      </c>
      <c r="P936" s="6">
        <v>0</v>
      </c>
      <c r="Q936" s="4" t="s">
        <v>26</v>
      </c>
      <c r="R936" s="4">
        <v>0</v>
      </c>
      <c r="S936" s="6">
        <v>0</v>
      </c>
      <c r="T936" s="6">
        <v>30</v>
      </c>
      <c r="U936" s="6">
        <v>78</v>
      </c>
      <c r="V936" s="6">
        <f>IF(ISERROR(VLOOKUP($S$936,'TAR FIN'!$A$1:$O$116,15,0)),0,VLOOKUP($S$936,'TAR FIN'!$A$1:$O$116,15,0))</f>
        <v>0</v>
      </c>
      <c r="W936" s="6">
        <f>IF(ISERROR(VLOOKUP($T$936,'TAR FIN'!$A$1:$O$116,15,0)),0,VLOOKUP($T$936,'TAR FIN'!$A$1:$O$116,15,0))</f>
        <v>1682.12</v>
      </c>
      <c r="X936" s="6">
        <f>IF(ISERROR(VLOOKUP($U$936,'TAR FIN'!$A$1:$O$116,15,0)),0,VLOOKUP($U$936,'TAR FIN'!$A$1:$O$116,15,0))</f>
        <v>496.15</v>
      </c>
      <c r="Y936" s="6"/>
      <c r="Z936" s="6">
        <f ca="1">('TUSD BE'!$AM$34+'TUSD BF'!$AM$34+'TUSD CVA'!$AM$34)*1</f>
        <v>1969.9199547802996</v>
      </c>
      <c r="AA936" s="6">
        <f>('TE BE'!$AB$9+'TE BF'!$AB$9+'TE CVA'!$AB$9)*1</f>
        <v>510.04993331215127</v>
      </c>
      <c r="AB936" s="6">
        <f>$K$936*$V$936</f>
        <v>0</v>
      </c>
      <c r="AC936" s="6">
        <f>$M$936*$W$936</f>
        <v>5773.0358399999996</v>
      </c>
      <c r="AD936" s="6">
        <f>$O$936*$X$936</f>
        <v>1702.7867999999999</v>
      </c>
      <c r="AE936" s="6">
        <f>$K$936*$Y$936</f>
        <v>0</v>
      </c>
      <c r="AF936" s="6">
        <f ca="1">$M$936*$Z$936</f>
        <v>6760.7652848059879</v>
      </c>
      <c r="AG936" s="6">
        <f>$O$936*$AA$936</f>
        <v>1750.4913711273032</v>
      </c>
    </row>
    <row r="937" spans="1:33" ht="11.25" customHeight="1" x14ac:dyDescent="0.25">
      <c r="A937" s="4" t="s">
        <v>21</v>
      </c>
      <c r="B937" s="4" t="s">
        <v>41</v>
      </c>
      <c r="C937" s="4" t="s">
        <v>42</v>
      </c>
      <c r="D937" s="4" t="s">
        <v>38</v>
      </c>
      <c r="E937" s="4" t="s">
        <v>25</v>
      </c>
      <c r="F937" s="4" t="s">
        <v>63</v>
      </c>
      <c r="G937" s="4" t="s">
        <v>25</v>
      </c>
      <c r="H937" s="4" t="s">
        <v>35</v>
      </c>
      <c r="I937" s="5">
        <v>44348</v>
      </c>
      <c r="J937" s="6">
        <v>0</v>
      </c>
      <c r="K937" s="6">
        <v>0</v>
      </c>
      <c r="L937" s="6">
        <v>8131.9930000000004</v>
      </c>
      <c r="M937" s="6">
        <v>8131.9930000000004</v>
      </c>
      <c r="N937" s="6">
        <v>0</v>
      </c>
      <c r="O937" s="6">
        <v>0</v>
      </c>
      <c r="P937" s="6">
        <v>0</v>
      </c>
      <c r="Q937" s="4" t="s">
        <v>60</v>
      </c>
      <c r="R937" s="4">
        <v>0</v>
      </c>
      <c r="S937" s="6">
        <v>0</v>
      </c>
      <c r="T937" s="6">
        <v>31</v>
      </c>
      <c r="U937" s="6">
        <v>0</v>
      </c>
      <c r="V937" s="6">
        <f>IF(ISERROR(VLOOKUP($S$937,'TAR FIN'!$A$1:$O$116,15,0)),0,VLOOKUP($S$937,'TAR FIN'!$A$1:$O$116,15,0))</f>
        <v>0</v>
      </c>
      <c r="W937" s="6">
        <f>IF(ISERROR(VLOOKUP($T$937,'TAR FIN'!$A$1:$O$116,15,0)),0,VLOOKUP($T$937,'TAR FIN'!$A$1:$O$116,15,0))</f>
        <v>88.66</v>
      </c>
      <c r="X937" s="6">
        <f>IF(ISERROR(VLOOKUP($U$937,'TAR FIN'!$A$1:$O$116,15,0)),0,VLOOKUP($U$937,'TAR FIN'!$A$1:$O$116,15,0))</f>
        <v>0</v>
      </c>
      <c r="Y937" s="6"/>
      <c r="Z937" s="6">
        <f ca="1">('TUSD BE'!$AM$35+'TUSD BF'!$AM$35+'TUSD CVA'!$AM$35)*1</f>
        <v>137.4358543126599</v>
      </c>
      <c r="AA937" s="6"/>
      <c r="AB937" s="6">
        <f>$K$937*$V$937</f>
        <v>0</v>
      </c>
      <c r="AC937" s="6">
        <f>$M$937*$W$937</f>
        <v>720982.49938000005</v>
      </c>
      <c r="AD937" s="6">
        <f>$O$937*$X$937</f>
        <v>0</v>
      </c>
      <c r="AE937" s="6">
        <f>$K$937*$Y$937</f>
        <v>0</v>
      </c>
      <c r="AF937" s="6">
        <f ca="1">$M$937*$Z$937</f>
        <v>1117627.4052195703</v>
      </c>
      <c r="AG937" s="6">
        <f>$O$937*$AA$937</f>
        <v>0</v>
      </c>
    </row>
    <row r="938" spans="1:33" ht="11.25" customHeight="1" x14ac:dyDescent="0.25">
      <c r="A938" s="4" t="s">
        <v>21</v>
      </c>
      <c r="B938" s="4" t="s">
        <v>41</v>
      </c>
      <c r="C938" s="4" t="s">
        <v>42</v>
      </c>
      <c r="D938" s="4" t="s">
        <v>38</v>
      </c>
      <c r="E938" s="4" t="s">
        <v>25</v>
      </c>
      <c r="F938" s="4" t="s">
        <v>63</v>
      </c>
      <c r="G938" s="4" t="s">
        <v>25</v>
      </c>
      <c r="H938" s="4" t="s">
        <v>35</v>
      </c>
      <c r="I938" s="5">
        <v>44378</v>
      </c>
      <c r="J938" s="6">
        <v>0</v>
      </c>
      <c r="K938" s="6">
        <v>0</v>
      </c>
      <c r="L938" s="6">
        <v>8315.268</v>
      </c>
      <c r="M938" s="6">
        <v>8315.268</v>
      </c>
      <c r="N938" s="6">
        <v>0</v>
      </c>
      <c r="O938" s="6">
        <v>0</v>
      </c>
      <c r="P938" s="6">
        <v>0</v>
      </c>
      <c r="Q938" s="4" t="s">
        <v>60</v>
      </c>
      <c r="R938" s="4">
        <v>0</v>
      </c>
      <c r="S938" s="6">
        <v>0</v>
      </c>
      <c r="T938" s="6">
        <v>31</v>
      </c>
      <c r="U938" s="6">
        <v>0</v>
      </c>
      <c r="V938" s="6">
        <f>IF(ISERROR(VLOOKUP($S$938,'TAR FIN'!$A$1:$O$116,15,0)),0,VLOOKUP($S$938,'TAR FIN'!$A$1:$O$116,15,0))</f>
        <v>0</v>
      </c>
      <c r="W938" s="6">
        <f>IF(ISERROR(VLOOKUP($T$938,'TAR FIN'!$A$1:$O$116,15,0)),0,VLOOKUP($T$938,'TAR FIN'!$A$1:$O$116,15,0))</f>
        <v>88.66</v>
      </c>
      <c r="X938" s="6">
        <f>IF(ISERROR(VLOOKUP($U$938,'TAR FIN'!$A$1:$O$116,15,0)),0,VLOOKUP($U$938,'TAR FIN'!$A$1:$O$116,15,0))</f>
        <v>0</v>
      </c>
      <c r="Y938" s="6"/>
      <c r="Z938" s="6">
        <f ca="1">('TUSD BE'!$AM$35+'TUSD BF'!$AM$35+'TUSD CVA'!$AM$35)*1</f>
        <v>137.4358543126599</v>
      </c>
      <c r="AA938" s="6"/>
      <c r="AB938" s="6">
        <f>$K$938*$V$938</f>
        <v>0</v>
      </c>
      <c r="AC938" s="6">
        <f>$M$938*$W$938</f>
        <v>737231.66087999998</v>
      </c>
      <c r="AD938" s="6">
        <f>$O$938*$X$938</f>
        <v>0</v>
      </c>
      <c r="AE938" s="6">
        <f>$K$938*$Y$938</f>
        <v>0</v>
      </c>
      <c r="AF938" s="6">
        <f ca="1">$M$938*$Z$938</f>
        <v>1142815.9614187228</v>
      </c>
      <c r="AG938" s="6">
        <f>$O$938*$AA$938</f>
        <v>0</v>
      </c>
    </row>
    <row r="939" spans="1:33" ht="11.25" customHeight="1" x14ac:dyDescent="0.25">
      <c r="A939" s="4" t="s">
        <v>21</v>
      </c>
      <c r="B939" s="4" t="s">
        <v>41</v>
      </c>
      <c r="C939" s="4" t="s">
        <v>42</v>
      </c>
      <c r="D939" s="4" t="s">
        <v>38</v>
      </c>
      <c r="E939" s="4" t="s">
        <v>25</v>
      </c>
      <c r="F939" s="4" t="s">
        <v>63</v>
      </c>
      <c r="G939" s="4" t="s">
        <v>25</v>
      </c>
      <c r="H939" s="4" t="s">
        <v>35</v>
      </c>
      <c r="I939" s="5">
        <v>44409</v>
      </c>
      <c r="J939" s="6">
        <v>0</v>
      </c>
      <c r="K939" s="6">
        <v>0</v>
      </c>
      <c r="L939" s="6">
        <v>9395.1239999999998</v>
      </c>
      <c r="M939" s="6">
        <v>9395.1239999999998</v>
      </c>
      <c r="N939" s="6">
        <v>0</v>
      </c>
      <c r="O939" s="6">
        <v>0</v>
      </c>
      <c r="P939" s="6">
        <v>0</v>
      </c>
      <c r="Q939" s="4" t="s">
        <v>60</v>
      </c>
      <c r="R939" s="4">
        <v>0</v>
      </c>
      <c r="S939" s="6">
        <v>0</v>
      </c>
      <c r="T939" s="6">
        <v>31</v>
      </c>
      <c r="U939" s="6">
        <v>0</v>
      </c>
      <c r="V939" s="6">
        <f>IF(ISERROR(VLOOKUP($S$939,'TAR FIN'!$A$1:$O$116,15,0)),0,VLOOKUP($S$939,'TAR FIN'!$A$1:$O$116,15,0))</f>
        <v>0</v>
      </c>
      <c r="W939" s="6">
        <f>IF(ISERROR(VLOOKUP($T$939,'TAR FIN'!$A$1:$O$116,15,0)),0,VLOOKUP($T$939,'TAR FIN'!$A$1:$O$116,15,0))</f>
        <v>88.66</v>
      </c>
      <c r="X939" s="6">
        <f>IF(ISERROR(VLOOKUP($U$939,'TAR FIN'!$A$1:$O$116,15,0)),0,VLOOKUP($U$939,'TAR FIN'!$A$1:$O$116,15,0))</f>
        <v>0</v>
      </c>
      <c r="Y939" s="6"/>
      <c r="Z939" s="6">
        <f ca="1">('TUSD BE'!$AM$35+'TUSD BF'!$AM$35+'TUSD CVA'!$AM$35)*1</f>
        <v>137.4358543126599</v>
      </c>
      <c r="AA939" s="6"/>
      <c r="AB939" s="6">
        <f>$K$939*$V$939</f>
        <v>0</v>
      </c>
      <c r="AC939" s="6">
        <f>$M$939*$W$939</f>
        <v>832971.69383999996</v>
      </c>
      <c r="AD939" s="6">
        <f>$O$939*$X$939</f>
        <v>0</v>
      </c>
      <c r="AE939" s="6">
        <f>$K$939*$Y$939</f>
        <v>0</v>
      </c>
      <c r="AF939" s="6">
        <f ca="1">$M$939*$Z$939</f>
        <v>1291226.8933133746</v>
      </c>
      <c r="AG939" s="6">
        <f>$O$939*$AA$939</f>
        <v>0</v>
      </c>
    </row>
    <row r="940" spans="1:33" ht="11.25" customHeight="1" x14ac:dyDescent="0.25">
      <c r="A940" s="4" t="s">
        <v>21</v>
      </c>
      <c r="B940" s="4" t="s">
        <v>41</v>
      </c>
      <c r="C940" s="4" t="s">
        <v>42</v>
      </c>
      <c r="D940" s="4" t="s">
        <v>38</v>
      </c>
      <c r="E940" s="4" t="s">
        <v>25</v>
      </c>
      <c r="F940" s="4" t="s">
        <v>63</v>
      </c>
      <c r="G940" s="4" t="s">
        <v>25</v>
      </c>
      <c r="H940" s="4" t="s">
        <v>35</v>
      </c>
      <c r="I940" s="5">
        <v>44440</v>
      </c>
      <c r="J940" s="6">
        <v>0</v>
      </c>
      <c r="K940" s="6">
        <v>0</v>
      </c>
      <c r="L940" s="6">
        <v>9668.259</v>
      </c>
      <c r="M940" s="6">
        <v>9668.259</v>
      </c>
      <c r="N940" s="6">
        <v>0</v>
      </c>
      <c r="O940" s="6">
        <v>0</v>
      </c>
      <c r="P940" s="6">
        <v>0</v>
      </c>
      <c r="Q940" s="4" t="s">
        <v>60</v>
      </c>
      <c r="R940" s="4">
        <v>0</v>
      </c>
      <c r="S940" s="6">
        <v>0</v>
      </c>
      <c r="T940" s="6">
        <v>31</v>
      </c>
      <c r="U940" s="6">
        <v>0</v>
      </c>
      <c r="V940" s="6">
        <f>IF(ISERROR(VLOOKUP($S$940,'TAR FIN'!$A$1:$O$116,15,0)),0,VLOOKUP($S$940,'TAR FIN'!$A$1:$O$116,15,0))</f>
        <v>0</v>
      </c>
      <c r="W940" s="6">
        <f>IF(ISERROR(VLOOKUP($T$940,'TAR FIN'!$A$1:$O$116,15,0)),0,VLOOKUP($T$940,'TAR FIN'!$A$1:$O$116,15,0))</f>
        <v>88.66</v>
      </c>
      <c r="X940" s="6">
        <f>IF(ISERROR(VLOOKUP($U$940,'TAR FIN'!$A$1:$O$116,15,0)),0,VLOOKUP($U$940,'TAR FIN'!$A$1:$O$116,15,0))</f>
        <v>0</v>
      </c>
      <c r="Y940" s="6"/>
      <c r="Z940" s="6">
        <f ca="1">('TUSD BE'!$AM$35+'TUSD BF'!$AM$35+'TUSD CVA'!$AM$35)*1</f>
        <v>137.4358543126599</v>
      </c>
      <c r="AA940" s="6"/>
      <c r="AB940" s="6">
        <f>$K$940*$V$940</f>
        <v>0</v>
      </c>
      <c r="AC940" s="6">
        <f>$M$940*$W$940</f>
        <v>857187.84294</v>
      </c>
      <c r="AD940" s="6">
        <f>$O$940*$X$940</f>
        <v>0</v>
      </c>
      <c r="AE940" s="6">
        <f>$K$940*$Y$940</f>
        <v>0</v>
      </c>
      <c r="AF940" s="6">
        <f ca="1">$M$940*$Z$940</f>
        <v>1328765.4353810628</v>
      </c>
      <c r="AG940" s="6">
        <f>$O$940*$AA$940</f>
        <v>0</v>
      </c>
    </row>
    <row r="941" spans="1:33" ht="11.25" customHeight="1" x14ac:dyDescent="0.25">
      <c r="A941" s="4" t="s">
        <v>21</v>
      </c>
      <c r="B941" s="4" t="s">
        <v>41</v>
      </c>
      <c r="C941" s="4" t="s">
        <v>42</v>
      </c>
      <c r="D941" s="4" t="s">
        <v>38</v>
      </c>
      <c r="E941" s="4" t="s">
        <v>25</v>
      </c>
      <c r="F941" s="4" t="s">
        <v>63</v>
      </c>
      <c r="G941" s="4" t="s">
        <v>25</v>
      </c>
      <c r="H941" s="4" t="s">
        <v>35</v>
      </c>
      <c r="I941" s="5">
        <v>44470</v>
      </c>
      <c r="J941" s="6">
        <v>0</v>
      </c>
      <c r="K941" s="6">
        <v>0</v>
      </c>
      <c r="L941" s="6">
        <v>9934.5319999999992</v>
      </c>
      <c r="M941" s="6">
        <v>9934.5319999999992</v>
      </c>
      <c r="N941" s="6">
        <v>0</v>
      </c>
      <c r="O941" s="6">
        <v>0</v>
      </c>
      <c r="P941" s="6">
        <v>0</v>
      </c>
      <c r="Q941" s="4" t="s">
        <v>60</v>
      </c>
      <c r="R941" s="4">
        <v>0</v>
      </c>
      <c r="S941" s="6">
        <v>0</v>
      </c>
      <c r="T941" s="6">
        <v>31</v>
      </c>
      <c r="U941" s="6">
        <v>0</v>
      </c>
      <c r="V941" s="6">
        <f>IF(ISERROR(VLOOKUP($S$941,'TAR FIN'!$A$1:$O$116,15,0)),0,VLOOKUP($S$941,'TAR FIN'!$A$1:$O$116,15,0))</f>
        <v>0</v>
      </c>
      <c r="W941" s="6">
        <f>IF(ISERROR(VLOOKUP($T$941,'TAR FIN'!$A$1:$O$116,15,0)),0,VLOOKUP($T$941,'TAR FIN'!$A$1:$O$116,15,0))</f>
        <v>88.66</v>
      </c>
      <c r="X941" s="6">
        <f>IF(ISERROR(VLOOKUP($U$941,'TAR FIN'!$A$1:$O$116,15,0)),0,VLOOKUP($U$941,'TAR FIN'!$A$1:$O$116,15,0))</f>
        <v>0</v>
      </c>
      <c r="Y941" s="6"/>
      <c r="Z941" s="6">
        <f ca="1">('TUSD BE'!$AM$35+'TUSD BF'!$AM$35+'TUSD CVA'!$AM$35)*1</f>
        <v>137.4358543126599</v>
      </c>
      <c r="AA941" s="6"/>
      <c r="AB941" s="6">
        <f>$K$941*$V$941</f>
        <v>0</v>
      </c>
      <c r="AC941" s="6">
        <f>$M$941*$W$941</f>
        <v>880795.60711999994</v>
      </c>
      <c r="AD941" s="6">
        <f>$O$941*$X$941</f>
        <v>0</v>
      </c>
      <c r="AE941" s="6">
        <f>$K$941*$Y$941</f>
        <v>0</v>
      </c>
      <c r="AF941" s="6">
        <f ca="1">$M$941*$Z$941</f>
        <v>1365360.8926164578</v>
      </c>
      <c r="AG941" s="6">
        <f>$O$941*$AA$941</f>
        <v>0</v>
      </c>
    </row>
    <row r="942" spans="1:33" ht="11.25" customHeight="1" x14ac:dyDescent="0.25">
      <c r="A942" s="4" t="s">
        <v>21</v>
      </c>
      <c r="B942" s="4" t="s">
        <v>41</v>
      </c>
      <c r="C942" s="4" t="s">
        <v>42</v>
      </c>
      <c r="D942" s="4" t="s">
        <v>38</v>
      </c>
      <c r="E942" s="4" t="s">
        <v>25</v>
      </c>
      <c r="F942" s="4" t="s">
        <v>63</v>
      </c>
      <c r="G942" s="4" t="s">
        <v>25</v>
      </c>
      <c r="H942" s="4" t="s">
        <v>35</v>
      </c>
      <c r="I942" s="5">
        <v>44501</v>
      </c>
      <c r="J942" s="6">
        <v>0</v>
      </c>
      <c r="K942" s="6">
        <v>0</v>
      </c>
      <c r="L942" s="6">
        <v>10098.861999999999</v>
      </c>
      <c r="M942" s="6">
        <v>10098.861999999999</v>
      </c>
      <c r="N942" s="6">
        <v>0</v>
      </c>
      <c r="O942" s="6">
        <v>0</v>
      </c>
      <c r="P942" s="6">
        <v>0</v>
      </c>
      <c r="Q942" s="4" t="s">
        <v>60</v>
      </c>
      <c r="R942" s="4">
        <v>0</v>
      </c>
      <c r="S942" s="6">
        <v>0</v>
      </c>
      <c r="T942" s="6">
        <v>31</v>
      </c>
      <c r="U942" s="6">
        <v>0</v>
      </c>
      <c r="V942" s="6">
        <f>IF(ISERROR(VLOOKUP($S$942,'TAR FIN'!$A$1:$O$116,15,0)),0,VLOOKUP($S$942,'TAR FIN'!$A$1:$O$116,15,0))</f>
        <v>0</v>
      </c>
      <c r="W942" s="6">
        <f>IF(ISERROR(VLOOKUP($T$942,'TAR FIN'!$A$1:$O$116,15,0)),0,VLOOKUP($T$942,'TAR FIN'!$A$1:$O$116,15,0))</f>
        <v>88.66</v>
      </c>
      <c r="X942" s="6">
        <f>IF(ISERROR(VLOOKUP($U$942,'TAR FIN'!$A$1:$O$116,15,0)),0,VLOOKUP($U$942,'TAR FIN'!$A$1:$O$116,15,0))</f>
        <v>0</v>
      </c>
      <c r="Y942" s="6"/>
      <c r="Z942" s="6">
        <f ca="1">('TUSD BE'!$AM$35+'TUSD BF'!$AM$35+'TUSD CVA'!$AM$35)*1</f>
        <v>137.4358543126599</v>
      </c>
      <c r="AA942" s="6"/>
      <c r="AB942" s="6">
        <f>$K$942*$V$942</f>
        <v>0</v>
      </c>
      <c r="AC942" s="6">
        <f>$M$942*$W$942</f>
        <v>895365.10491999984</v>
      </c>
      <c r="AD942" s="6">
        <f>$O$942*$X$942</f>
        <v>0</v>
      </c>
      <c r="AE942" s="6">
        <f>$K$942*$Y$942</f>
        <v>0</v>
      </c>
      <c r="AF942" s="6">
        <f ca="1">$M$942*$Z$942</f>
        <v>1387945.7265556571</v>
      </c>
      <c r="AG942" s="6">
        <f>$O$942*$AA$942</f>
        <v>0</v>
      </c>
    </row>
    <row r="943" spans="1:33" ht="11.25" customHeight="1" x14ac:dyDescent="0.25">
      <c r="A943" s="4" t="s">
        <v>21</v>
      </c>
      <c r="B943" s="4" t="s">
        <v>41</v>
      </c>
      <c r="C943" s="4" t="s">
        <v>42</v>
      </c>
      <c r="D943" s="4" t="s">
        <v>38</v>
      </c>
      <c r="E943" s="4" t="s">
        <v>25</v>
      </c>
      <c r="F943" s="4" t="s">
        <v>63</v>
      </c>
      <c r="G943" s="4" t="s">
        <v>25</v>
      </c>
      <c r="H943" s="4" t="s">
        <v>35</v>
      </c>
      <c r="I943" s="5">
        <v>44531</v>
      </c>
      <c r="J943" s="6">
        <v>0</v>
      </c>
      <c r="K943" s="6">
        <v>0</v>
      </c>
      <c r="L943" s="6">
        <v>9983.5329999999994</v>
      </c>
      <c r="M943" s="6">
        <v>9983.5329999999994</v>
      </c>
      <c r="N943" s="6">
        <v>0</v>
      </c>
      <c r="O943" s="6">
        <v>0</v>
      </c>
      <c r="P943" s="6">
        <v>0</v>
      </c>
      <c r="Q943" s="4" t="s">
        <v>60</v>
      </c>
      <c r="R943" s="4">
        <v>0</v>
      </c>
      <c r="S943" s="6">
        <v>0</v>
      </c>
      <c r="T943" s="6">
        <v>31</v>
      </c>
      <c r="U943" s="6">
        <v>0</v>
      </c>
      <c r="V943" s="6">
        <f>IF(ISERROR(VLOOKUP($S$943,'TAR FIN'!$A$1:$O$116,15,0)),0,VLOOKUP($S$943,'TAR FIN'!$A$1:$O$116,15,0))</f>
        <v>0</v>
      </c>
      <c r="W943" s="6">
        <f>IF(ISERROR(VLOOKUP($T$943,'TAR FIN'!$A$1:$O$116,15,0)),0,VLOOKUP($T$943,'TAR FIN'!$A$1:$O$116,15,0))</f>
        <v>88.66</v>
      </c>
      <c r="X943" s="6">
        <f>IF(ISERROR(VLOOKUP($U$943,'TAR FIN'!$A$1:$O$116,15,0)),0,VLOOKUP($U$943,'TAR FIN'!$A$1:$O$116,15,0))</f>
        <v>0</v>
      </c>
      <c r="Y943" s="6"/>
      <c r="Z943" s="6">
        <f ca="1">('TUSD BE'!$AM$35+'TUSD BF'!$AM$35+'TUSD CVA'!$AM$35)*1</f>
        <v>137.4358543126599</v>
      </c>
      <c r="AA943" s="6"/>
      <c r="AB943" s="6">
        <f>$K$943*$V$943</f>
        <v>0</v>
      </c>
      <c r="AC943" s="6">
        <f>$M$943*$W$943</f>
        <v>885140.03577999992</v>
      </c>
      <c r="AD943" s="6">
        <f>$O$943*$X$943</f>
        <v>0</v>
      </c>
      <c r="AE943" s="6">
        <f>$K$943*$Y$943</f>
        <v>0</v>
      </c>
      <c r="AF943" s="6">
        <f ca="1">$M$943*$Z$943</f>
        <v>1372095.3869136323</v>
      </c>
      <c r="AG943" s="6">
        <f>$O$943*$AA$943</f>
        <v>0</v>
      </c>
    </row>
    <row r="944" spans="1:33" ht="11.25" customHeight="1" x14ac:dyDescent="0.25">
      <c r="A944" s="4" t="s">
        <v>21</v>
      </c>
      <c r="B944" s="4" t="s">
        <v>41</v>
      </c>
      <c r="C944" s="4" t="s">
        <v>42</v>
      </c>
      <c r="D944" s="4" t="s">
        <v>38</v>
      </c>
      <c r="E944" s="4" t="s">
        <v>25</v>
      </c>
      <c r="F944" s="4" t="s">
        <v>63</v>
      </c>
      <c r="G944" s="4" t="s">
        <v>25</v>
      </c>
      <c r="H944" s="4" t="s">
        <v>35</v>
      </c>
      <c r="I944" s="5">
        <v>44562</v>
      </c>
      <c r="J944" s="6">
        <v>0</v>
      </c>
      <c r="K944" s="6">
        <v>0</v>
      </c>
      <c r="L944" s="6">
        <v>8848.39</v>
      </c>
      <c r="M944" s="6">
        <v>8848.39</v>
      </c>
      <c r="N944" s="6">
        <v>0</v>
      </c>
      <c r="O944" s="6">
        <v>0</v>
      </c>
      <c r="P944" s="6">
        <v>0</v>
      </c>
      <c r="Q944" s="4" t="s">
        <v>60</v>
      </c>
      <c r="R944" s="4">
        <v>0</v>
      </c>
      <c r="S944" s="6">
        <v>0</v>
      </c>
      <c r="T944" s="6">
        <v>31</v>
      </c>
      <c r="U944" s="6">
        <v>0</v>
      </c>
      <c r="V944" s="6">
        <f>IF(ISERROR(VLOOKUP($S$944,'TAR FIN'!$A$1:$O$116,15,0)),0,VLOOKUP($S$944,'TAR FIN'!$A$1:$O$116,15,0))</f>
        <v>0</v>
      </c>
      <c r="W944" s="6">
        <f>IF(ISERROR(VLOOKUP($T$944,'TAR FIN'!$A$1:$O$116,15,0)),0,VLOOKUP($T$944,'TAR FIN'!$A$1:$O$116,15,0))</f>
        <v>88.66</v>
      </c>
      <c r="X944" s="6">
        <f>IF(ISERROR(VLOOKUP($U$944,'TAR FIN'!$A$1:$O$116,15,0)),0,VLOOKUP($U$944,'TAR FIN'!$A$1:$O$116,15,0))</f>
        <v>0</v>
      </c>
      <c r="Y944" s="6"/>
      <c r="Z944" s="6">
        <f ca="1">('TUSD BE'!$AM$35+'TUSD BF'!$AM$35+'TUSD CVA'!$AM$35)*1</f>
        <v>137.4358543126599</v>
      </c>
      <c r="AA944" s="6"/>
      <c r="AB944" s="6">
        <f>$K$944*$V$944</f>
        <v>0</v>
      </c>
      <c r="AC944" s="6">
        <f>$M$944*$W$944</f>
        <v>784498.25739999989</v>
      </c>
      <c r="AD944" s="6">
        <f>$O$944*$X$944</f>
        <v>0</v>
      </c>
      <c r="AE944" s="6">
        <f>$K$944*$Y$944</f>
        <v>0</v>
      </c>
      <c r="AF944" s="6">
        <f ca="1">$M$944*$Z$944</f>
        <v>1216086.0389415966</v>
      </c>
      <c r="AG944" s="6">
        <f>$O$944*$AA$944</f>
        <v>0</v>
      </c>
    </row>
    <row r="945" spans="1:33" ht="11.25" customHeight="1" x14ac:dyDescent="0.25">
      <c r="A945" s="4" t="s">
        <v>21</v>
      </c>
      <c r="B945" s="4" t="s">
        <v>41</v>
      </c>
      <c r="C945" s="4" t="s">
        <v>42</v>
      </c>
      <c r="D945" s="4" t="s">
        <v>38</v>
      </c>
      <c r="E945" s="4" t="s">
        <v>25</v>
      </c>
      <c r="F945" s="4" t="s">
        <v>63</v>
      </c>
      <c r="G945" s="4" t="s">
        <v>25</v>
      </c>
      <c r="H945" s="4" t="s">
        <v>35</v>
      </c>
      <c r="I945" s="5">
        <v>44593</v>
      </c>
      <c r="J945" s="6">
        <v>0</v>
      </c>
      <c r="K945" s="6">
        <v>0</v>
      </c>
      <c r="L945" s="6">
        <v>10698.968999999999</v>
      </c>
      <c r="M945" s="6">
        <v>10698.968999999999</v>
      </c>
      <c r="N945" s="6">
        <v>0</v>
      </c>
      <c r="O945" s="6">
        <v>0</v>
      </c>
      <c r="P945" s="6">
        <v>0</v>
      </c>
      <c r="Q945" s="4" t="s">
        <v>60</v>
      </c>
      <c r="R945" s="4">
        <v>0</v>
      </c>
      <c r="S945" s="6">
        <v>0</v>
      </c>
      <c r="T945" s="6">
        <v>31</v>
      </c>
      <c r="U945" s="6">
        <v>0</v>
      </c>
      <c r="V945" s="6">
        <f>IF(ISERROR(VLOOKUP($S$945,'TAR FIN'!$A$1:$O$116,15,0)),0,VLOOKUP($S$945,'TAR FIN'!$A$1:$O$116,15,0))</f>
        <v>0</v>
      </c>
      <c r="W945" s="6">
        <f>IF(ISERROR(VLOOKUP($T$945,'TAR FIN'!$A$1:$O$116,15,0)),0,VLOOKUP($T$945,'TAR FIN'!$A$1:$O$116,15,0))</f>
        <v>88.66</v>
      </c>
      <c r="X945" s="6">
        <f>IF(ISERROR(VLOOKUP($U$945,'TAR FIN'!$A$1:$O$116,15,0)),0,VLOOKUP($U$945,'TAR FIN'!$A$1:$O$116,15,0))</f>
        <v>0</v>
      </c>
      <c r="Y945" s="6"/>
      <c r="Z945" s="6">
        <f ca="1">('TUSD BE'!$AM$35+'TUSD BF'!$AM$35+'TUSD CVA'!$AM$35)*1</f>
        <v>137.4358543126599</v>
      </c>
      <c r="AA945" s="6"/>
      <c r="AB945" s="6">
        <f>$K$945*$V$945</f>
        <v>0</v>
      </c>
      <c r="AC945" s="6">
        <f>$M$945*$W$945</f>
        <v>948570.59153999994</v>
      </c>
      <c r="AD945" s="6">
        <f>$O$945*$X$945</f>
        <v>0</v>
      </c>
      <c r="AE945" s="6">
        <f>$K$945*$Y$945</f>
        <v>0</v>
      </c>
      <c r="AF945" s="6">
        <f ca="1">$M$945*$Z$945</f>
        <v>1470421.9447796645</v>
      </c>
      <c r="AG945" s="6">
        <f>$O$945*$AA$945</f>
        <v>0</v>
      </c>
    </row>
    <row r="946" spans="1:33" ht="11.25" customHeight="1" x14ac:dyDescent="0.25">
      <c r="A946" s="4" t="s">
        <v>21</v>
      </c>
      <c r="B946" s="4" t="s">
        <v>41</v>
      </c>
      <c r="C946" s="4" t="s">
        <v>42</v>
      </c>
      <c r="D946" s="4" t="s">
        <v>38</v>
      </c>
      <c r="E946" s="4" t="s">
        <v>25</v>
      </c>
      <c r="F946" s="4" t="s">
        <v>63</v>
      </c>
      <c r="G946" s="4" t="s">
        <v>25</v>
      </c>
      <c r="H946" s="4" t="s">
        <v>35</v>
      </c>
      <c r="I946" s="5">
        <v>44621</v>
      </c>
      <c r="J946" s="6">
        <v>0</v>
      </c>
      <c r="K946" s="6">
        <v>0</v>
      </c>
      <c r="L946" s="6">
        <v>10571.866</v>
      </c>
      <c r="M946" s="6">
        <v>10571.866</v>
      </c>
      <c r="N946" s="6">
        <v>0</v>
      </c>
      <c r="O946" s="6">
        <v>0</v>
      </c>
      <c r="P946" s="6">
        <v>0</v>
      </c>
      <c r="Q946" s="4" t="s">
        <v>60</v>
      </c>
      <c r="R946" s="4">
        <v>0</v>
      </c>
      <c r="S946" s="6">
        <v>0</v>
      </c>
      <c r="T946" s="6">
        <v>31</v>
      </c>
      <c r="U946" s="6">
        <v>0</v>
      </c>
      <c r="V946" s="6">
        <f>IF(ISERROR(VLOOKUP($S$946,'TAR FIN'!$A$1:$O$116,15,0)),0,VLOOKUP($S$946,'TAR FIN'!$A$1:$O$116,15,0))</f>
        <v>0</v>
      </c>
      <c r="W946" s="6">
        <f>IF(ISERROR(VLOOKUP($T$946,'TAR FIN'!$A$1:$O$116,15,0)),0,VLOOKUP($T$946,'TAR FIN'!$A$1:$O$116,15,0))</f>
        <v>88.66</v>
      </c>
      <c r="X946" s="6">
        <f>IF(ISERROR(VLOOKUP($U$946,'TAR FIN'!$A$1:$O$116,15,0)),0,VLOOKUP($U$946,'TAR FIN'!$A$1:$O$116,15,0))</f>
        <v>0</v>
      </c>
      <c r="Y946" s="6"/>
      <c r="Z946" s="6">
        <f ca="1">('TUSD BE'!$AM$35+'TUSD BF'!$AM$35+'TUSD CVA'!$AM$35)*1</f>
        <v>137.4358543126599</v>
      </c>
      <c r="AA946" s="6"/>
      <c r="AB946" s="6">
        <f>$K$946*$V$946</f>
        <v>0</v>
      </c>
      <c r="AC946" s="6">
        <f>$M$946*$W$946</f>
        <v>937301.63955999992</v>
      </c>
      <c r="AD946" s="6">
        <f>$O$946*$X$946</f>
        <v>0</v>
      </c>
      <c r="AE946" s="6">
        <f>$K$946*$Y$946</f>
        <v>0</v>
      </c>
      <c r="AF946" s="6">
        <f ca="1">$M$946*$Z$946</f>
        <v>1452953.4353889625</v>
      </c>
      <c r="AG946" s="6">
        <f>$O$946*$AA$946</f>
        <v>0</v>
      </c>
    </row>
    <row r="947" spans="1:33" ht="11.25" customHeight="1" x14ac:dyDescent="0.25">
      <c r="A947" s="4" t="s">
        <v>21</v>
      </c>
      <c r="B947" s="4" t="s">
        <v>41</v>
      </c>
      <c r="C947" s="4" t="s">
        <v>42</v>
      </c>
      <c r="D947" s="4" t="s">
        <v>38</v>
      </c>
      <c r="E947" s="4" t="s">
        <v>25</v>
      </c>
      <c r="F947" s="4" t="s">
        <v>63</v>
      </c>
      <c r="G947" s="4" t="s">
        <v>25</v>
      </c>
      <c r="H947" s="4" t="s">
        <v>35</v>
      </c>
      <c r="I947" s="5">
        <v>44652</v>
      </c>
      <c r="J947" s="6">
        <v>0</v>
      </c>
      <c r="K947" s="6">
        <v>0</v>
      </c>
      <c r="L947" s="6">
        <v>12207.191999999999</v>
      </c>
      <c r="M947" s="6">
        <v>12207.191999999999</v>
      </c>
      <c r="N947" s="6">
        <v>0</v>
      </c>
      <c r="O947" s="6">
        <v>0</v>
      </c>
      <c r="P947" s="6">
        <v>0</v>
      </c>
      <c r="Q947" s="4" t="s">
        <v>60</v>
      </c>
      <c r="R947" s="4">
        <v>0</v>
      </c>
      <c r="S947" s="6">
        <v>0</v>
      </c>
      <c r="T947" s="6">
        <v>31</v>
      </c>
      <c r="U947" s="6">
        <v>0</v>
      </c>
      <c r="V947" s="6">
        <f>IF(ISERROR(VLOOKUP($S$947,'TAR FIN'!$A$1:$O$116,15,0)),0,VLOOKUP($S$947,'TAR FIN'!$A$1:$O$116,15,0))</f>
        <v>0</v>
      </c>
      <c r="W947" s="6">
        <f>IF(ISERROR(VLOOKUP($T$947,'TAR FIN'!$A$1:$O$116,15,0)),0,VLOOKUP($T$947,'TAR FIN'!$A$1:$O$116,15,0))</f>
        <v>88.66</v>
      </c>
      <c r="X947" s="6">
        <f>IF(ISERROR(VLOOKUP($U$947,'TAR FIN'!$A$1:$O$116,15,0)),0,VLOOKUP($U$947,'TAR FIN'!$A$1:$O$116,15,0))</f>
        <v>0</v>
      </c>
      <c r="Y947" s="6"/>
      <c r="Z947" s="6">
        <f ca="1">('TUSD BE'!$AM$35+'TUSD BF'!$AM$35+'TUSD CVA'!$AM$35)*1</f>
        <v>137.4358543126599</v>
      </c>
      <c r="AA947" s="6"/>
      <c r="AB947" s="6">
        <f>$K$947*$V$947</f>
        <v>0</v>
      </c>
      <c r="AC947" s="6">
        <f>$M$947*$W$947</f>
        <v>1082289.6427199999</v>
      </c>
      <c r="AD947" s="6">
        <f>$O$947*$X$947</f>
        <v>0</v>
      </c>
      <c r="AE947" s="6">
        <f>$K$947*$Y$947</f>
        <v>0</v>
      </c>
      <c r="AF947" s="6">
        <f ca="1">$M$947*$Z$947</f>
        <v>1677705.8612786673</v>
      </c>
      <c r="AG947" s="6">
        <f>$O$947*$AA$947</f>
        <v>0</v>
      </c>
    </row>
    <row r="948" spans="1:33" ht="11.25" customHeight="1" x14ac:dyDescent="0.25">
      <c r="A948" s="4" t="s">
        <v>58</v>
      </c>
      <c r="B948" s="4" t="s">
        <v>41</v>
      </c>
      <c r="C948" s="4" t="s">
        <v>42</v>
      </c>
      <c r="D948" s="4" t="s">
        <v>38</v>
      </c>
      <c r="E948" s="4" t="s">
        <v>25</v>
      </c>
      <c r="F948" s="4" t="s">
        <v>63</v>
      </c>
      <c r="G948" s="4" t="s">
        <v>25</v>
      </c>
      <c r="H948" s="4" t="s">
        <v>35</v>
      </c>
      <c r="I948" s="5">
        <v>44682</v>
      </c>
      <c r="J948" s="6">
        <v>0</v>
      </c>
      <c r="K948" s="6">
        <v>0</v>
      </c>
      <c r="L948" s="6">
        <v>12207.191999999999</v>
      </c>
      <c r="M948" s="6">
        <v>12207.191999999999</v>
      </c>
      <c r="N948" s="6">
        <v>0</v>
      </c>
      <c r="O948" s="6">
        <v>0</v>
      </c>
      <c r="P948" s="6">
        <v>0</v>
      </c>
      <c r="Q948" s="4" t="s">
        <v>60</v>
      </c>
      <c r="R948" s="4">
        <v>0</v>
      </c>
      <c r="S948" s="6">
        <v>0</v>
      </c>
      <c r="T948" s="6">
        <v>31</v>
      </c>
      <c r="U948" s="6">
        <v>0</v>
      </c>
      <c r="V948" s="6">
        <f>IF(ISERROR(VLOOKUP($S$948,'TAR FIN'!$A$1:$O$116,15,0)),0,VLOOKUP($S$948,'TAR FIN'!$A$1:$O$116,15,0))</f>
        <v>0</v>
      </c>
      <c r="W948" s="6">
        <f>IF(ISERROR(VLOOKUP($T$948,'TAR FIN'!$A$1:$O$116,15,0)),0,VLOOKUP($T$948,'TAR FIN'!$A$1:$O$116,15,0))</f>
        <v>88.66</v>
      </c>
      <c r="X948" s="6">
        <f>IF(ISERROR(VLOOKUP($U$948,'TAR FIN'!$A$1:$O$116,15,0)),0,VLOOKUP($U$948,'TAR FIN'!$A$1:$O$116,15,0))</f>
        <v>0</v>
      </c>
      <c r="Y948" s="6"/>
      <c r="Z948" s="6">
        <f ca="1">('TUSD BE'!$AM$35+'TUSD BF'!$AM$35+'TUSD CVA'!$AM$35)*1</f>
        <v>137.4358543126599</v>
      </c>
      <c r="AA948" s="6"/>
      <c r="AB948" s="6">
        <f>$K$948*$V$948</f>
        <v>0</v>
      </c>
      <c r="AC948" s="6">
        <f>$M$948*$W$948</f>
        <v>1082289.6427199999</v>
      </c>
      <c r="AD948" s="6">
        <f>$O$948*$X$948</f>
        <v>0</v>
      </c>
      <c r="AE948" s="6">
        <f>$K$948*$Y$948</f>
        <v>0</v>
      </c>
      <c r="AF948" s="6">
        <f ca="1">$M$948*$Z$948</f>
        <v>1677705.8612786673</v>
      </c>
      <c r="AG948" s="6">
        <f>$O$948*$AA$948</f>
        <v>0</v>
      </c>
    </row>
    <row r="949" spans="1:33" ht="11.25" customHeight="1" x14ac:dyDescent="0.25">
      <c r="A949" s="4" t="s">
        <v>21</v>
      </c>
      <c r="B949" s="4" t="s">
        <v>41</v>
      </c>
      <c r="C949" s="4" t="s">
        <v>42</v>
      </c>
      <c r="D949" s="4" t="s">
        <v>38</v>
      </c>
      <c r="E949" s="4" t="s">
        <v>25</v>
      </c>
      <c r="F949" s="4" t="s">
        <v>63</v>
      </c>
      <c r="G949" s="4" t="s">
        <v>25</v>
      </c>
      <c r="H949" s="4" t="s">
        <v>25</v>
      </c>
      <c r="I949" s="5">
        <v>44348</v>
      </c>
      <c r="J949" s="6">
        <v>41181</v>
      </c>
      <c r="K949" s="6">
        <v>19220.616505860002</v>
      </c>
      <c r="L949" s="6">
        <v>0</v>
      </c>
      <c r="M949" s="6">
        <v>0</v>
      </c>
      <c r="N949" s="6">
        <v>0</v>
      </c>
      <c r="O949" s="6">
        <v>0</v>
      </c>
      <c r="P949" s="6">
        <v>57</v>
      </c>
      <c r="Q949" s="4" t="s">
        <v>60</v>
      </c>
      <c r="R949" s="4">
        <v>0</v>
      </c>
      <c r="S949" s="6">
        <v>29</v>
      </c>
      <c r="T949" s="6">
        <v>0</v>
      </c>
      <c r="U949" s="6">
        <v>0</v>
      </c>
      <c r="V949" s="6">
        <f>IF(ISERROR(VLOOKUP($S$949,'TAR FIN'!$A$1:$O$116,15,0)),0,VLOOKUP($S$949,'TAR FIN'!$A$1:$O$116,15,0))</f>
        <v>25.51</v>
      </c>
      <c r="W949" s="6">
        <f>IF(ISERROR(VLOOKUP($T$949,'TAR FIN'!$A$1:$O$116,15,0)),0,VLOOKUP($T$949,'TAR FIN'!$A$1:$O$116,15,0))</f>
        <v>0</v>
      </c>
      <c r="X949" s="6">
        <f>IF(ISERROR(VLOOKUP($U$949,'TAR FIN'!$A$1:$O$116,15,0)),0,VLOOKUP($U$949,'TAR FIN'!$A$1:$O$116,15,0))</f>
        <v>0</v>
      </c>
      <c r="Y949" s="6">
        <f ca="1">('TUSD BE'!$AM$33+'TUSD BF'!$AM$33+'TUSD CVA'!$AM$33)*1</f>
        <v>29.803266797877356</v>
      </c>
      <c r="Z949" s="6"/>
      <c r="AA949" s="6"/>
      <c r="AB949" s="6">
        <f>$K$949*$V$949</f>
        <v>490317.9270644887</v>
      </c>
      <c r="AC949" s="6">
        <f>$M$949*$W$949</f>
        <v>0</v>
      </c>
      <c r="AD949" s="6">
        <f>$O$949*$X$949</f>
        <v>0</v>
      </c>
      <c r="AE949" s="6">
        <f ca="1">$K$949*$Y$949</f>
        <v>572837.16174383089</v>
      </c>
      <c r="AF949" s="6">
        <f>$M$949*$Z$949</f>
        <v>0</v>
      </c>
      <c r="AG949" s="6">
        <f>$O$949*$AA$949</f>
        <v>0</v>
      </c>
    </row>
    <row r="950" spans="1:33" ht="11.25" customHeight="1" x14ac:dyDescent="0.25">
      <c r="A950" s="4" t="s">
        <v>21</v>
      </c>
      <c r="B950" s="4" t="s">
        <v>41</v>
      </c>
      <c r="C950" s="4" t="s">
        <v>42</v>
      </c>
      <c r="D950" s="4" t="s">
        <v>38</v>
      </c>
      <c r="E950" s="4" t="s">
        <v>25</v>
      </c>
      <c r="F950" s="4" t="s">
        <v>63</v>
      </c>
      <c r="G950" s="4" t="s">
        <v>25</v>
      </c>
      <c r="H950" s="4" t="s">
        <v>25</v>
      </c>
      <c r="I950" s="5">
        <v>44378</v>
      </c>
      <c r="J950" s="6">
        <v>41170</v>
      </c>
      <c r="K950" s="6">
        <v>16880.3500743</v>
      </c>
      <c r="L950" s="6">
        <v>0</v>
      </c>
      <c r="M950" s="6">
        <v>0</v>
      </c>
      <c r="N950" s="6">
        <v>0</v>
      </c>
      <c r="O950" s="6">
        <v>0</v>
      </c>
      <c r="P950" s="6">
        <v>58</v>
      </c>
      <c r="Q950" s="4" t="s">
        <v>60</v>
      </c>
      <c r="R950" s="4">
        <v>0</v>
      </c>
      <c r="S950" s="6">
        <v>29</v>
      </c>
      <c r="T950" s="6">
        <v>0</v>
      </c>
      <c r="U950" s="6">
        <v>0</v>
      </c>
      <c r="V950" s="6">
        <f>IF(ISERROR(VLOOKUP($S$950,'TAR FIN'!$A$1:$O$116,15,0)),0,VLOOKUP($S$950,'TAR FIN'!$A$1:$O$116,15,0))</f>
        <v>25.51</v>
      </c>
      <c r="W950" s="6">
        <f>IF(ISERROR(VLOOKUP($T$950,'TAR FIN'!$A$1:$O$116,15,0)),0,VLOOKUP($T$950,'TAR FIN'!$A$1:$O$116,15,0))</f>
        <v>0</v>
      </c>
      <c r="X950" s="6">
        <f>IF(ISERROR(VLOOKUP($U$950,'TAR FIN'!$A$1:$O$116,15,0)),0,VLOOKUP($U$950,'TAR FIN'!$A$1:$O$116,15,0))</f>
        <v>0</v>
      </c>
      <c r="Y950" s="6">
        <f ca="1">('TUSD BE'!$AM$33+'TUSD BF'!$AM$33+'TUSD CVA'!$AM$33)*1</f>
        <v>29.803266797877356</v>
      </c>
      <c r="Z950" s="6"/>
      <c r="AA950" s="6"/>
      <c r="AB950" s="6">
        <f>$K$950*$V$950</f>
        <v>430617.73039539304</v>
      </c>
      <c r="AC950" s="6">
        <f>$M$950*$W$950</f>
        <v>0</v>
      </c>
      <c r="AD950" s="6">
        <f>$O$950*$X$950</f>
        <v>0</v>
      </c>
      <c r="AE950" s="6">
        <f ca="1">$K$950*$Y$950</f>
        <v>503089.57690593175</v>
      </c>
      <c r="AF950" s="6">
        <f>$M$950*$Z$950</f>
        <v>0</v>
      </c>
      <c r="AG950" s="6">
        <f>$O$950*$AA$950</f>
        <v>0</v>
      </c>
    </row>
    <row r="951" spans="1:33" ht="11.25" customHeight="1" x14ac:dyDescent="0.25">
      <c r="A951" s="4" t="s">
        <v>21</v>
      </c>
      <c r="B951" s="4" t="s">
        <v>41</v>
      </c>
      <c r="C951" s="4" t="s">
        <v>42</v>
      </c>
      <c r="D951" s="4" t="s">
        <v>38</v>
      </c>
      <c r="E951" s="4" t="s">
        <v>25</v>
      </c>
      <c r="F951" s="4" t="s">
        <v>63</v>
      </c>
      <c r="G951" s="4" t="s">
        <v>25</v>
      </c>
      <c r="H951" s="4" t="s">
        <v>25</v>
      </c>
      <c r="I951" s="5">
        <v>44409</v>
      </c>
      <c r="J951" s="6">
        <v>42740</v>
      </c>
      <c r="K951" s="6">
        <v>19377.588992600002</v>
      </c>
      <c r="L951" s="6">
        <v>0</v>
      </c>
      <c r="M951" s="6">
        <v>0</v>
      </c>
      <c r="N951" s="6">
        <v>0</v>
      </c>
      <c r="O951" s="6">
        <v>0</v>
      </c>
      <c r="P951" s="6">
        <v>59</v>
      </c>
      <c r="Q951" s="4" t="s">
        <v>60</v>
      </c>
      <c r="R951" s="4">
        <v>0</v>
      </c>
      <c r="S951" s="6">
        <v>29</v>
      </c>
      <c r="T951" s="6">
        <v>0</v>
      </c>
      <c r="U951" s="6">
        <v>0</v>
      </c>
      <c r="V951" s="6">
        <f>IF(ISERROR(VLOOKUP($S$951,'TAR FIN'!$A$1:$O$116,15,0)),0,VLOOKUP($S$951,'TAR FIN'!$A$1:$O$116,15,0))</f>
        <v>25.51</v>
      </c>
      <c r="W951" s="6">
        <f>IF(ISERROR(VLOOKUP($T$951,'TAR FIN'!$A$1:$O$116,15,0)),0,VLOOKUP($T$951,'TAR FIN'!$A$1:$O$116,15,0))</f>
        <v>0</v>
      </c>
      <c r="X951" s="6">
        <f>IF(ISERROR(VLOOKUP($U$951,'TAR FIN'!$A$1:$O$116,15,0)),0,VLOOKUP($U$951,'TAR FIN'!$A$1:$O$116,15,0))</f>
        <v>0</v>
      </c>
      <c r="Y951" s="6">
        <f ca="1">('TUSD BE'!$AM$33+'TUSD BF'!$AM$33+'TUSD CVA'!$AM$33)*1</f>
        <v>29.803266797877356</v>
      </c>
      <c r="Z951" s="6"/>
      <c r="AA951" s="6"/>
      <c r="AB951" s="6">
        <f>$K$951*$V$951</f>
        <v>494322.29520122608</v>
      </c>
      <c r="AC951" s="6">
        <f>$M$951*$W$951</f>
        <v>0</v>
      </c>
      <c r="AD951" s="6">
        <f>$O$951*$X$951</f>
        <v>0</v>
      </c>
      <c r="AE951" s="6">
        <f ca="1">$K$951*$Y$951</f>
        <v>577515.45464606932</v>
      </c>
      <c r="AF951" s="6">
        <f>$M$951*$Z$951</f>
        <v>0</v>
      </c>
      <c r="AG951" s="6">
        <f>$O$951*$AA$951</f>
        <v>0</v>
      </c>
    </row>
    <row r="952" spans="1:33" ht="11.25" customHeight="1" x14ac:dyDescent="0.25">
      <c r="A952" s="4" t="s">
        <v>21</v>
      </c>
      <c r="B952" s="4" t="s">
        <v>41</v>
      </c>
      <c r="C952" s="4" t="s">
        <v>42</v>
      </c>
      <c r="D952" s="4" t="s">
        <v>38</v>
      </c>
      <c r="E952" s="4" t="s">
        <v>25</v>
      </c>
      <c r="F952" s="4" t="s">
        <v>63</v>
      </c>
      <c r="G952" s="4" t="s">
        <v>25</v>
      </c>
      <c r="H952" s="4" t="s">
        <v>25</v>
      </c>
      <c r="I952" s="5">
        <v>44440</v>
      </c>
      <c r="J952" s="6">
        <v>43623</v>
      </c>
      <c r="K952" s="6">
        <v>19310.943266459999</v>
      </c>
      <c r="L952" s="6">
        <v>0</v>
      </c>
      <c r="M952" s="6">
        <v>0</v>
      </c>
      <c r="N952" s="6">
        <v>0</v>
      </c>
      <c r="O952" s="6">
        <v>0</v>
      </c>
      <c r="P952" s="6">
        <v>58</v>
      </c>
      <c r="Q952" s="4" t="s">
        <v>60</v>
      </c>
      <c r="R952" s="4">
        <v>0</v>
      </c>
      <c r="S952" s="6">
        <v>29</v>
      </c>
      <c r="T952" s="6">
        <v>0</v>
      </c>
      <c r="U952" s="6">
        <v>0</v>
      </c>
      <c r="V952" s="6">
        <f>IF(ISERROR(VLOOKUP($S$952,'TAR FIN'!$A$1:$O$116,15,0)),0,VLOOKUP($S$952,'TAR FIN'!$A$1:$O$116,15,0))</f>
        <v>25.51</v>
      </c>
      <c r="W952" s="6">
        <f>IF(ISERROR(VLOOKUP($T$952,'TAR FIN'!$A$1:$O$116,15,0)),0,VLOOKUP($T$952,'TAR FIN'!$A$1:$O$116,15,0))</f>
        <v>0</v>
      </c>
      <c r="X952" s="6">
        <f>IF(ISERROR(VLOOKUP($U$952,'TAR FIN'!$A$1:$O$116,15,0)),0,VLOOKUP($U$952,'TAR FIN'!$A$1:$O$116,15,0))</f>
        <v>0</v>
      </c>
      <c r="Y952" s="6">
        <f ca="1">('TUSD BE'!$AM$33+'TUSD BF'!$AM$33+'TUSD CVA'!$AM$33)*1</f>
        <v>29.803266797877356</v>
      </c>
      <c r="Z952" s="6"/>
      <c r="AA952" s="6"/>
      <c r="AB952" s="6">
        <f>$K$952*$V$952</f>
        <v>492622.16272739461</v>
      </c>
      <c r="AC952" s="6">
        <f>$M$952*$W$952</f>
        <v>0</v>
      </c>
      <c r="AD952" s="6">
        <f>$O$952*$X$952</f>
        <v>0</v>
      </c>
      <c r="AE952" s="6">
        <f ca="1">$K$952*$Y$952</f>
        <v>575529.19428898057</v>
      </c>
      <c r="AF952" s="6">
        <f>$M$952*$Z$952</f>
        <v>0</v>
      </c>
      <c r="AG952" s="6">
        <f>$O$952*$AA$952</f>
        <v>0</v>
      </c>
    </row>
    <row r="953" spans="1:33" ht="11.25" customHeight="1" x14ac:dyDescent="0.25">
      <c r="A953" s="4" t="s">
        <v>21</v>
      </c>
      <c r="B953" s="4" t="s">
        <v>41</v>
      </c>
      <c r="C953" s="4" t="s">
        <v>42</v>
      </c>
      <c r="D953" s="4" t="s">
        <v>38</v>
      </c>
      <c r="E953" s="4" t="s">
        <v>25</v>
      </c>
      <c r="F953" s="4" t="s">
        <v>63</v>
      </c>
      <c r="G953" s="4" t="s">
        <v>25</v>
      </c>
      <c r="H953" s="4" t="s">
        <v>25</v>
      </c>
      <c r="I953" s="5">
        <v>44470</v>
      </c>
      <c r="J953" s="6">
        <v>44541</v>
      </c>
      <c r="K953" s="6">
        <v>20529.41636214</v>
      </c>
      <c r="L953" s="6">
        <v>0</v>
      </c>
      <c r="M953" s="6">
        <v>0</v>
      </c>
      <c r="N953" s="6">
        <v>0</v>
      </c>
      <c r="O953" s="6">
        <v>0</v>
      </c>
      <c r="P953" s="6">
        <v>60</v>
      </c>
      <c r="Q953" s="4" t="s">
        <v>60</v>
      </c>
      <c r="R953" s="4">
        <v>0</v>
      </c>
      <c r="S953" s="6">
        <v>29</v>
      </c>
      <c r="T953" s="6">
        <v>0</v>
      </c>
      <c r="U953" s="6">
        <v>0</v>
      </c>
      <c r="V953" s="6">
        <f>IF(ISERROR(VLOOKUP($S$953,'TAR FIN'!$A$1:$O$116,15,0)),0,VLOOKUP($S$953,'TAR FIN'!$A$1:$O$116,15,0))</f>
        <v>25.51</v>
      </c>
      <c r="W953" s="6">
        <f>IF(ISERROR(VLOOKUP($T$953,'TAR FIN'!$A$1:$O$116,15,0)),0,VLOOKUP($T$953,'TAR FIN'!$A$1:$O$116,15,0))</f>
        <v>0</v>
      </c>
      <c r="X953" s="6">
        <f>IF(ISERROR(VLOOKUP($U$953,'TAR FIN'!$A$1:$O$116,15,0)),0,VLOOKUP($U$953,'TAR FIN'!$A$1:$O$116,15,0))</f>
        <v>0</v>
      </c>
      <c r="Y953" s="6">
        <f ca="1">('TUSD BE'!$AM$33+'TUSD BF'!$AM$33+'TUSD CVA'!$AM$33)*1</f>
        <v>29.803266797877356</v>
      </c>
      <c r="Z953" s="6"/>
      <c r="AA953" s="6"/>
      <c r="AB953" s="6">
        <f>$K$953*$V$953</f>
        <v>523705.41139819141</v>
      </c>
      <c r="AC953" s="6">
        <f>$M$953*$W$953</f>
        <v>0</v>
      </c>
      <c r="AD953" s="6">
        <f>$O$953*$X$953</f>
        <v>0</v>
      </c>
      <c r="AE953" s="6">
        <f ca="1">$K$953*$Y$953</f>
        <v>611843.67304556724</v>
      </c>
      <c r="AF953" s="6">
        <f>$M$953*$Z$953</f>
        <v>0</v>
      </c>
      <c r="AG953" s="6">
        <f>$O$953*$AA$953</f>
        <v>0</v>
      </c>
    </row>
    <row r="954" spans="1:33" ht="11.25" customHeight="1" x14ac:dyDescent="0.25">
      <c r="A954" s="4" t="s">
        <v>21</v>
      </c>
      <c r="B954" s="4" t="s">
        <v>41</v>
      </c>
      <c r="C954" s="4" t="s">
        <v>42</v>
      </c>
      <c r="D954" s="4" t="s">
        <v>38</v>
      </c>
      <c r="E954" s="4" t="s">
        <v>25</v>
      </c>
      <c r="F954" s="4" t="s">
        <v>63</v>
      </c>
      <c r="G954" s="4" t="s">
        <v>25</v>
      </c>
      <c r="H954" s="4" t="s">
        <v>25</v>
      </c>
      <c r="I954" s="5">
        <v>44501</v>
      </c>
      <c r="J954" s="6">
        <v>45888</v>
      </c>
      <c r="K954" s="6">
        <v>20296.62812736</v>
      </c>
      <c r="L954" s="6">
        <v>0</v>
      </c>
      <c r="M954" s="6">
        <v>0</v>
      </c>
      <c r="N954" s="6">
        <v>0</v>
      </c>
      <c r="O954" s="6">
        <v>0</v>
      </c>
      <c r="P954" s="6">
        <v>63</v>
      </c>
      <c r="Q954" s="4" t="s">
        <v>60</v>
      </c>
      <c r="R954" s="4">
        <v>0</v>
      </c>
      <c r="S954" s="6">
        <v>29</v>
      </c>
      <c r="T954" s="6">
        <v>0</v>
      </c>
      <c r="U954" s="6">
        <v>0</v>
      </c>
      <c r="V954" s="6">
        <f>IF(ISERROR(VLOOKUP($S$954,'TAR FIN'!$A$1:$O$116,15,0)),0,VLOOKUP($S$954,'TAR FIN'!$A$1:$O$116,15,0))</f>
        <v>25.51</v>
      </c>
      <c r="W954" s="6">
        <f>IF(ISERROR(VLOOKUP($T$954,'TAR FIN'!$A$1:$O$116,15,0)),0,VLOOKUP($T$954,'TAR FIN'!$A$1:$O$116,15,0))</f>
        <v>0</v>
      </c>
      <c r="X954" s="6">
        <f>IF(ISERROR(VLOOKUP($U$954,'TAR FIN'!$A$1:$O$116,15,0)),0,VLOOKUP($U$954,'TAR FIN'!$A$1:$O$116,15,0))</f>
        <v>0</v>
      </c>
      <c r="Y954" s="6">
        <f ca="1">('TUSD BE'!$AM$33+'TUSD BF'!$AM$33+'TUSD CVA'!$AM$33)*1</f>
        <v>29.803266797877356</v>
      </c>
      <c r="Z954" s="6"/>
      <c r="AA954" s="6"/>
      <c r="AB954" s="6">
        <f>$K$954*$V$954</f>
        <v>517766.98352895363</v>
      </c>
      <c r="AC954" s="6">
        <f>$M$954*$W$954</f>
        <v>0</v>
      </c>
      <c r="AD954" s="6">
        <f>$O$954*$X$954</f>
        <v>0</v>
      </c>
      <c r="AE954" s="6">
        <f ca="1">$K$954*$Y$954</f>
        <v>604905.82317701192</v>
      </c>
      <c r="AF954" s="6">
        <f>$M$954*$Z$954</f>
        <v>0</v>
      </c>
      <c r="AG954" s="6">
        <f>$O$954*$AA$954</f>
        <v>0</v>
      </c>
    </row>
    <row r="955" spans="1:33" ht="11.25" customHeight="1" x14ac:dyDescent="0.25">
      <c r="A955" s="4" t="s">
        <v>21</v>
      </c>
      <c r="B955" s="4" t="s">
        <v>41</v>
      </c>
      <c r="C955" s="4" t="s">
        <v>42</v>
      </c>
      <c r="D955" s="4" t="s">
        <v>38</v>
      </c>
      <c r="E955" s="4" t="s">
        <v>25</v>
      </c>
      <c r="F955" s="4" t="s">
        <v>63</v>
      </c>
      <c r="G955" s="4" t="s">
        <v>25</v>
      </c>
      <c r="H955" s="4" t="s">
        <v>25</v>
      </c>
      <c r="I955" s="5">
        <v>44531</v>
      </c>
      <c r="J955" s="6">
        <v>46627</v>
      </c>
      <c r="K955" s="6">
        <v>20866.83863138</v>
      </c>
      <c r="L955" s="6">
        <v>0</v>
      </c>
      <c r="M955" s="6">
        <v>0</v>
      </c>
      <c r="N955" s="6">
        <v>0</v>
      </c>
      <c r="O955" s="6">
        <v>0</v>
      </c>
      <c r="P955" s="6">
        <v>66</v>
      </c>
      <c r="Q955" s="4" t="s">
        <v>60</v>
      </c>
      <c r="R955" s="4">
        <v>0</v>
      </c>
      <c r="S955" s="6">
        <v>29</v>
      </c>
      <c r="T955" s="6">
        <v>0</v>
      </c>
      <c r="U955" s="6">
        <v>0</v>
      </c>
      <c r="V955" s="6">
        <f>IF(ISERROR(VLOOKUP($S$955,'TAR FIN'!$A$1:$O$116,15,0)),0,VLOOKUP($S$955,'TAR FIN'!$A$1:$O$116,15,0))</f>
        <v>25.51</v>
      </c>
      <c r="W955" s="6">
        <f>IF(ISERROR(VLOOKUP($T$955,'TAR FIN'!$A$1:$O$116,15,0)),0,VLOOKUP($T$955,'TAR FIN'!$A$1:$O$116,15,0))</f>
        <v>0</v>
      </c>
      <c r="X955" s="6">
        <f>IF(ISERROR(VLOOKUP($U$955,'TAR FIN'!$A$1:$O$116,15,0)),0,VLOOKUP($U$955,'TAR FIN'!$A$1:$O$116,15,0))</f>
        <v>0</v>
      </c>
      <c r="Y955" s="6">
        <f ca="1">('TUSD BE'!$AM$33+'TUSD BF'!$AM$33+'TUSD CVA'!$AM$33)*1</f>
        <v>29.803266797877356</v>
      </c>
      <c r="Z955" s="6"/>
      <c r="AA955" s="6"/>
      <c r="AB955" s="6">
        <f>$K$955*$V$955</f>
        <v>532313.05348650389</v>
      </c>
      <c r="AC955" s="6">
        <f>$M$955*$W$955</f>
        <v>0</v>
      </c>
      <c r="AD955" s="6">
        <f>$O$955*$X$955</f>
        <v>0</v>
      </c>
      <c r="AE955" s="6">
        <f ca="1">$K$955*$Y$955</f>
        <v>621899.95895927213</v>
      </c>
      <c r="AF955" s="6">
        <f>$M$955*$Z$955</f>
        <v>0</v>
      </c>
      <c r="AG955" s="6">
        <f>$O$955*$AA$955</f>
        <v>0</v>
      </c>
    </row>
    <row r="956" spans="1:33" ht="11.25" customHeight="1" x14ac:dyDescent="0.25">
      <c r="A956" s="4" t="s">
        <v>21</v>
      </c>
      <c r="B956" s="4" t="s">
        <v>41</v>
      </c>
      <c r="C956" s="4" t="s">
        <v>42</v>
      </c>
      <c r="D956" s="4" t="s">
        <v>38</v>
      </c>
      <c r="E956" s="4" t="s">
        <v>25</v>
      </c>
      <c r="F956" s="4" t="s">
        <v>63</v>
      </c>
      <c r="G956" s="4" t="s">
        <v>25</v>
      </c>
      <c r="H956" s="4" t="s">
        <v>25</v>
      </c>
      <c r="I956" s="5">
        <v>44562</v>
      </c>
      <c r="J956" s="6">
        <v>46548</v>
      </c>
      <c r="K956" s="6">
        <v>20991.48297804</v>
      </c>
      <c r="L956" s="6">
        <v>0</v>
      </c>
      <c r="M956" s="6">
        <v>0</v>
      </c>
      <c r="N956" s="6">
        <v>0</v>
      </c>
      <c r="O956" s="6">
        <v>0</v>
      </c>
      <c r="P956" s="6">
        <v>66</v>
      </c>
      <c r="Q956" s="4" t="s">
        <v>60</v>
      </c>
      <c r="R956" s="4">
        <v>0</v>
      </c>
      <c r="S956" s="6">
        <v>29</v>
      </c>
      <c r="T956" s="6">
        <v>0</v>
      </c>
      <c r="U956" s="6">
        <v>0</v>
      </c>
      <c r="V956" s="6">
        <f>IF(ISERROR(VLOOKUP($S$956,'TAR FIN'!$A$1:$O$116,15,0)),0,VLOOKUP($S$956,'TAR FIN'!$A$1:$O$116,15,0))</f>
        <v>25.51</v>
      </c>
      <c r="W956" s="6">
        <f>IF(ISERROR(VLOOKUP($T$956,'TAR FIN'!$A$1:$O$116,15,0)),0,VLOOKUP($T$956,'TAR FIN'!$A$1:$O$116,15,0))</f>
        <v>0</v>
      </c>
      <c r="X956" s="6">
        <f>IF(ISERROR(VLOOKUP($U$956,'TAR FIN'!$A$1:$O$116,15,0)),0,VLOOKUP($U$956,'TAR FIN'!$A$1:$O$116,15,0))</f>
        <v>0</v>
      </c>
      <c r="Y956" s="6">
        <f ca="1">('TUSD BE'!$AM$33+'TUSD BF'!$AM$33+'TUSD CVA'!$AM$33)*1</f>
        <v>29.803266797877356</v>
      </c>
      <c r="Z956" s="6"/>
      <c r="AA956" s="6"/>
      <c r="AB956" s="6">
        <f>$K$956*$V$956</f>
        <v>535492.73076980037</v>
      </c>
      <c r="AC956" s="6">
        <f>$M$956*$W$956</f>
        <v>0</v>
      </c>
      <c r="AD956" s="6">
        <f>$O$956*$X$956</f>
        <v>0</v>
      </c>
      <c r="AE956" s="6">
        <f ca="1">$K$956*$Y$956</f>
        <v>625614.76767762715</v>
      </c>
      <c r="AF956" s="6">
        <f>$M$956*$Z$956</f>
        <v>0</v>
      </c>
      <c r="AG956" s="6">
        <f>$O$956*$AA$956</f>
        <v>0</v>
      </c>
    </row>
    <row r="957" spans="1:33" ht="11.25" customHeight="1" x14ac:dyDescent="0.25">
      <c r="A957" s="4" t="s">
        <v>21</v>
      </c>
      <c r="B957" s="4" t="s">
        <v>41</v>
      </c>
      <c r="C957" s="4" t="s">
        <v>42</v>
      </c>
      <c r="D957" s="4" t="s">
        <v>38</v>
      </c>
      <c r="E957" s="4" t="s">
        <v>25</v>
      </c>
      <c r="F957" s="4" t="s">
        <v>63</v>
      </c>
      <c r="G957" s="4" t="s">
        <v>25</v>
      </c>
      <c r="H957" s="4" t="s">
        <v>25</v>
      </c>
      <c r="I957" s="5">
        <v>44593</v>
      </c>
      <c r="J957" s="6">
        <v>49961</v>
      </c>
      <c r="K957" s="6">
        <v>22546.725825720001</v>
      </c>
      <c r="L957" s="6">
        <v>0</v>
      </c>
      <c r="M957" s="6">
        <v>0</v>
      </c>
      <c r="N957" s="6">
        <v>0</v>
      </c>
      <c r="O957" s="6">
        <v>0</v>
      </c>
      <c r="P957" s="6">
        <v>71</v>
      </c>
      <c r="Q957" s="4" t="s">
        <v>60</v>
      </c>
      <c r="R957" s="4">
        <v>0</v>
      </c>
      <c r="S957" s="6">
        <v>29</v>
      </c>
      <c r="T957" s="6">
        <v>0</v>
      </c>
      <c r="U957" s="6">
        <v>0</v>
      </c>
      <c r="V957" s="6">
        <f>IF(ISERROR(VLOOKUP($S$957,'TAR FIN'!$A$1:$O$116,15,0)),0,VLOOKUP($S$957,'TAR FIN'!$A$1:$O$116,15,0))</f>
        <v>25.51</v>
      </c>
      <c r="W957" s="6">
        <f>IF(ISERROR(VLOOKUP($T$957,'TAR FIN'!$A$1:$O$116,15,0)),0,VLOOKUP($T$957,'TAR FIN'!$A$1:$O$116,15,0))</f>
        <v>0</v>
      </c>
      <c r="X957" s="6">
        <f>IF(ISERROR(VLOOKUP($U$957,'TAR FIN'!$A$1:$O$116,15,0)),0,VLOOKUP($U$957,'TAR FIN'!$A$1:$O$116,15,0))</f>
        <v>0</v>
      </c>
      <c r="Y957" s="6">
        <f ca="1">('TUSD BE'!$AM$33+'TUSD BF'!$AM$33+'TUSD CVA'!$AM$33)*1</f>
        <v>29.803266797877356</v>
      </c>
      <c r="Z957" s="6"/>
      <c r="AA957" s="6"/>
      <c r="AB957" s="6">
        <f>$K$957*$V$957</f>
        <v>575166.97581411724</v>
      </c>
      <c r="AC957" s="6">
        <f>$M$957*$W$957</f>
        <v>0</v>
      </c>
      <c r="AD957" s="6">
        <f>$O$957*$X$957</f>
        <v>0</v>
      </c>
      <c r="AE957" s="6">
        <f ca="1">$K$957*$Y$957</f>
        <v>671966.08520252479</v>
      </c>
      <c r="AF957" s="6">
        <f>$M$957*$Z$957</f>
        <v>0</v>
      </c>
      <c r="AG957" s="6">
        <f>$O$957*$AA$957</f>
        <v>0</v>
      </c>
    </row>
    <row r="958" spans="1:33" ht="11.25" customHeight="1" x14ac:dyDescent="0.25">
      <c r="A958" s="4" t="s">
        <v>21</v>
      </c>
      <c r="B958" s="4" t="s">
        <v>41</v>
      </c>
      <c r="C958" s="4" t="s">
        <v>42</v>
      </c>
      <c r="D958" s="4" t="s">
        <v>38</v>
      </c>
      <c r="E958" s="4" t="s">
        <v>25</v>
      </c>
      <c r="F958" s="4" t="s">
        <v>63</v>
      </c>
      <c r="G958" s="4" t="s">
        <v>25</v>
      </c>
      <c r="H958" s="4" t="s">
        <v>25</v>
      </c>
      <c r="I958" s="5">
        <v>44621</v>
      </c>
      <c r="J958" s="6">
        <v>50562</v>
      </c>
      <c r="K958" s="6">
        <v>22860.607172399999</v>
      </c>
      <c r="L958" s="6">
        <v>0</v>
      </c>
      <c r="M958" s="6">
        <v>0</v>
      </c>
      <c r="N958" s="6">
        <v>0</v>
      </c>
      <c r="O958" s="6">
        <v>0</v>
      </c>
      <c r="P958" s="6">
        <v>72</v>
      </c>
      <c r="Q958" s="4" t="s">
        <v>60</v>
      </c>
      <c r="R958" s="4">
        <v>0</v>
      </c>
      <c r="S958" s="6">
        <v>29</v>
      </c>
      <c r="T958" s="6">
        <v>0</v>
      </c>
      <c r="U958" s="6">
        <v>0</v>
      </c>
      <c r="V958" s="6">
        <f>IF(ISERROR(VLOOKUP($S$958,'TAR FIN'!$A$1:$O$116,15,0)),0,VLOOKUP($S$958,'TAR FIN'!$A$1:$O$116,15,0))</f>
        <v>25.51</v>
      </c>
      <c r="W958" s="6">
        <f>IF(ISERROR(VLOOKUP($T$958,'TAR FIN'!$A$1:$O$116,15,0)),0,VLOOKUP($T$958,'TAR FIN'!$A$1:$O$116,15,0))</f>
        <v>0</v>
      </c>
      <c r="X958" s="6">
        <f>IF(ISERROR(VLOOKUP($U$958,'TAR FIN'!$A$1:$O$116,15,0)),0,VLOOKUP($U$958,'TAR FIN'!$A$1:$O$116,15,0))</f>
        <v>0</v>
      </c>
      <c r="Y958" s="6">
        <f ca="1">('TUSD BE'!$AM$33+'TUSD BF'!$AM$33+'TUSD CVA'!$AM$33)*1</f>
        <v>29.803266797877356</v>
      </c>
      <c r="Z958" s="6"/>
      <c r="AA958" s="6"/>
      <c r="AB958" s="6">
        <f>$K$958*$V$958</f>
        <v>583174.08896792401</v>
      </c>
      <c r="AC958" s="6">
        <f>$M$958*$W$958</f>
        <v>0</v>
      </c>
      <c r="AD958" s="6">
        <f>$O$958*$X$958</f>
        <v>0</v>
      </c>
      <c r="AE958" s="6">
        <f ca="1">$K$958*$Y$958</f>
        <v>681320.77472050581</v>
      </c>
      <c r="AF958" s="6">
        <f>$M$958*$Z$958</f>
        <v>0</v>
      </c>
      <c r="AG958" s="6">
        <f>$O$958*$AA$958</f>
        <v>0</v>
      </c>
    </row>
    <row r="959" spans="1:33" ht="11.25" customHeight="1" x14ac:dyDescent="0.25">
      <c r="A959" s="4" t="s">
        <v>21</v>
      </c>
      <c r="B959" s="4" t="s">
        <v>41</v>
      </c>
      <c r="C959" s="4" t="s">
        <v>42</v>
      </c>
      <c r="D959" s="4" t="s">
        <v>38</v>
      </c>
      <c r="E959" s="4" t="s">
        <v>25</v>
      </c>
      <c r="F959" s="4" t="s">
        <v>63</v>
      </c>
      <c r="G959" s="4" t="s">
        <v>25</v>
      </c>
      <c r="H959" s="4" t="s">
        <v>25</v>
      </c>
      <c r="I959" s="5">
        <v>44652</v>
      </c>
      <c r="J959" s="6">
        <v>51418</v>
      </c>
      <c r="K959" s="6">
        <v>24840.067164979999</v>
      </c>
      <c r="L959" s="6">
        <v>0</v>
      </c>
      <c r="M959" s="6">
        <v>0</v>
      </c>
      <c r="N959" s="6">
        <v>0</v>
      </c>
      <c r="O959" s="6">
        <v>0</v>
      </c>
      <c r="P959" s="6">
        <v>73</v>
      </c>
      <c r="Q959" s="4" t="s">
        <v>60</v>
      </c>
      <c r="R959" s="4">
        <v>0</v>
      </c>
      <c r="S959" s="6">
        <v>29</v>
      </c>
      <c r="T959" s="6">
        <v>0</v>
      </c>
      <c r="U959" s="6">
        <v>0</v>
      </c>
      <c r="V959" s="6">
        <f>IF(ISERROR(VLOOKUP($S$959,'TAR FIN'!$A$1:$O$116,15,0)),0,VLOOKUP($S$959,'TAR FIN'!$A$1:$O$116,15,0))</f>
        <v>25.51</v>
      </c>
      <c r="W959" s="6">
        <f>IF(ISERROR(VLOOKUP($T$959,'TAR FIN'!$A$1:$O$116,15,0)),0,VLOOKUP($T$959,'TAR FIN'!$A$1:$O$116,15,0))</f>
        <v>0</v>
      </c>
      <c r="X959" s="6">
        <f>IF(ISERROR(VLOOKUP($U$959,'TAR FIN'!$A$1:$O$116,15,0)),0,VLOOKUP($U$959,'TAR FIN'!$A$1:$O$116,15,0))</f>
        <v>0</v>
      </c>
      <c r="Y959" s="6">
        <f ca="1">('TUSD BE'!$AM$33+'TUSD BF'!$AM$33+'TUSD CVA'!$AM$33)*1</f>
        <v>29.803266797877356</v>
      </c>
      <c r="Z959" s="6"/>
      <c r="AA959" s="6"/>
      <c r="AB959" s="6">
        <f>$K$959*$V$959</f>
        <v>633670.1133786398</v>
      </c>
      <c r="AC959" s="6">
        <f>$M$959*$W$959</f>
        <v>0</v>
      </c>
      <c r="AD959" s="6">
        <f>$O$959*$X$959</f>
        <v>0</v>
      </c>
      <c r="AE959" s="6">
        <f ca="1">$K$959*$Y$959</f>
        <v>740315.14899509191</v>
      </c>
      <c r="AF959" s="6">
        <f>$M$959*$Z$959</f>
        <v>0</v>
      </c>
      <c r="AG959" s="6">
        <f>$O$959*$AA$959</f>
        <v>0</v>
      </c>
    </row>
    <row r="960" spans="1:33" ht="11.25" customHeight="1" x14ac:dyDescent="0.25">
      <c r="A960" s="4" t="s">
        <v>58</v>
      </c>
      <c r="B960" s="4" t="s">
        <v>41</v>
      </c>
      <c r="C960" s="4" t="s">
        <v>42</v>
      </c>
      <c r="D960" s="4" t="s">
        <v>38</v>
      </c>
      <c r="E960" s="4" t="s">
        <v>25</v>
      </c>
      <c r="F960" s="4" t="s">
        <v>63</v>
      </c>
      <c r="G960" s="4" t="s">
        <v>25</v>
      </c>
      <c r="H960" s="4" t="s">
        <v>25</v>
      </c>
      <c r="I960" s="5">
        <v>44682</v>
      </c>
      <c r="J960" s="6">
        <v>51418</v>
      </c>
      <c r="K960" s="6">
        <v>24840.067164979999</v>
      </c>
      <c r="L960" s="6">
        <v>0</v>
      </c>
      <c r="M960" s="6">
        <v>0</v>
      </c>
      <c r="N960" s="6">
        <v>0</v>
      </c>
      <c r="O960" s="6">
        <v>0</v>
      </c>
      <c r="P960" s="6">
        <v>73</v>
      </c>
      <c r="Q960" s="4" t="s">
        <v>60</v>
      </c>
      <c r="R960" s="4">
        <v>0</v>
      </c>
      <c r="S960" s="6">
        <v>29</v>
      </c>
      <c r="T960" s="6">
        <v>0</v>
      </c>
      <c r="U960" s="6">
        <v>0</v>
      </c>
      <c r="V960" s="6">
        <f>IF(ISERROR(VLOOKUP($S$960,'TAR FIN'!$A$1:$O$116,15,0)),0,VLOOKUP($S$960,'TAR FIN'!$A$1:$O$116,15,0))</f>
        <v>25.51</v>
      </c>
      <c r="W960" s="6">
        <f>IF(ISERROR(VLOOKUP($T$960,'TAR FIN'!$A$1:$O$116,15,0)),0,VLOOKUP($T$960,'TAR FIN'!$A$1:$O$116,15,0))</f>
        <v>0</v>
      </c>
      <c r="X960" s="6">
        <f>IF(ISERROR(VLOOKUP($U$960,'TAR FIN'!$A$1:$O$116,15,0)),0,VLOOKUP($U$960,'TAR FIN'!$A$1:$O$116,15,0))</f>
        <v>0</v>
      </c>
      <c r="Y960" s="6">
        <f ca="1">('TUSD BE'!$AM$33+'TUSD BF'!$AM$33+'TUSD CVA'!$AM$33)*1</f>
        <v>29.803266797877356</v>
      </c>
      <c r="Z960" s="6"/>
      <c r="AA960" s="6"/>
      <c r="AB960" s="6">
        <f>$K$960*$V$960</f>
        <v>633670.1133786398</v>
      </c>
      <c r="AC960" s="6">
        <f>$M$960*$W$960</f>
        <v>0</v>
      </c>
      <c r="AD960" s="6">
        <f>$O$960*$X$960</f>
        <v>0</v>
      </c>
      <c r="AE960" s="6">
        <f ca="1">$K$960*$Y$960</f>
        <v>740315.14899509191</v>
      </c>
      <c r="AF960" s="6">
        <f>$M$960*$Z$960</f>
        <v>0</v>
      </c>
      <c r="AG960" s="6">
        <f>$O$960*$AA$960</f>
        <v>0</v>
      </c>
    </row>
    <row r="961" spans="1:33" ht="11.25" customHeight="1" x14ac:dyDescent="0.25">
      <c r="A961" s="4" t="s">
        <v>21</v>
      </c>
      <c r="B961" s="4" t="s">
        <v>41</v>
      </c>
      <c r="C961" s="4" t="s">
        <v>42</v>
      </c>
      <c r="D961" s="4" t="s">
        <v>38</v>
      </c>
      <c r="E961" s="4" t="s">
        <v>25</v>
      </c>
      <c r="F961" s="4" t="s">
        <v>63</v>
      </c>
      <c r="G961" s="4" t="s">
        <v>25</v>
      </c>
      <c r="H961" s="4" t="s">
        <v>34</v>
      </c>
      <c r="I961" s="5">
        <v>44348</v>
      </c>
      <c r="J961" s="6">
        <v>0</v>
      </c>
      <c r="K961" s="6">
        <v>0</v>
      </c>
      <c r="L961" s="6">
        <v>521.98800000000006</v>
      </c>
      <c r="M961" s="6">
        <v>284.31180946607998</v>
      </c>
      <c r="N961" s="6">
        <v>0</v>
      </c>
      <c r="O961" s="6">
        <v>0</v>
      </c>
      <c r="P961" s="6">
        <v>0</v>
      </c>
      <c r="Q961" s="4" t="s">
        <v>60</v>
      </c>
      <c r="R961" s="4">
        <v>0</v>
      </c>
      <c r="S961" s="6">
        <v>0</v>
      </c>
      <c r="T961" s="6">
        <v>30</v>
      </c>
      <c r="U961" s="6">
        <v>0</v>
      </c>
      <c r="V961" s="6">
        <f>IF(ISERROR(VLOOKUP($S$961,'TAR FIN'!$A$1:$O$116,15,0)),0,VLOOKUP($S$961,'TAR FIN'!$A$1:$O$116,15,0))</f>
        <v>0</v>
      </c>
      <c r="W961" s="6">
        <f>IF(ISERROR(VLOOKUP($T$961,'TAR FIN'!$A$1:$O$116,15,0)),0,VLOOKUP($T$961,'TAR FIN'!$A$1:$O$116,15,0))</f>
        <v>1682.12</v>
      </c>
      <c r="X961" s="6">
        <f>IF(ISERROR(VLOOKUP($U$961,'TAR FIN'!$A$1:$O$116,15,0)),0,VLOOKUP($U$961,'TAR FIN'!$A$1:$O$116,15,0))</f>
        <v>0</v>
      </c>
      <c r="Y961" s="6"/>
      <c r="Z961" s="6">
        <f ca="1">('TUSD BE'!$AM$34+'TUSD BF'!$AM$34+'TUSD CVA'!$AM$34)*1</f>
        <v>1969.9199547802996</v>
      </c>
      <c r="AA961" s="6"/>
      <c r="AB961" s="6">
        <f>$K$961*$V$961</f>
        <v>0</v>
      </c>
      <c r="AC961" s="6">
        <f>$M$961*$W$961</f>
        <v>478246.58093908243</v>
      </c>
      <c r="AD961" s="6">
        <f>$O$961*$X$961</f>
        <v>0</v>
      </c>
      <c r="AE961" s="6">
        <f>$K$961*$Y$961</f>
        <v>0</v>
      </c>
      <c r="AF961" s="6">
        <f ca="1">$M$961*$Z$961</f>
        <v>560071.50684692548</v>
      </c>
      <c r="AG961" s="6">
        <f>$O$961*$AA$961</f>
        <v>0</v>
      </c>
    </row>
    <row r="962" spans="1:33" ht="11.25" customHeight="1" x14ac:dyDescent="0.25">
      <c r="A962" s="4" t="s">
        <v>21</v>
      </c>
      <c r="B962" s="4" t="s">
        <v>41</v>
      </c>
      <c r="C962" s="4" t="s">
        <v>42</v>
      </c>
      <c r="D962" s="4" t="s">
        <v>38</v>
      </c>
      <c r="E962" s="4" t="s">
        <v>25</v>
      </c>
      <c r="F962" s="4" t="s">
        <v>63</v>
      </c>
      <c r="G962" s="4" t="s">
        <v>25</v>
      </c>
      <c r="H962" s="4" t="s">
        <v>34</v>
      </c>
      <c r="I962" s="5">
        <v>44378</v>
      </c>
      <c r="J962" s="6">
        <v>0</v>
      </c>
      <c r="K962" s="6">
        <v>0</v>
      </c>
      <c r="L962" s="6">
        <v>529.19000000000005</v>
      </c>
      <c r="M962" s="6">
        <v>234.49005826320001</v>
      </c>
      <c r="N962" s="6">
        <v>0</v>
      </c>
      <c r="O962" s="6">
        <v>0</v>
      </c>
      <c r="P962" s="6">
        <v>0</v>
      </c>
      <c r="Q962" s="4" t="s">
        <v>60</v>
      </c>
      <c r="R962" s="4">
        <v>0</v>
      </c>
      <c r="S962" s="6">
        <v>0</v>
      </c>
      <c r="T962" s="6">
        <v>30</v>
      </c>
      <c r="U962" s="6">
        <v>0</v>
      </c>
      <c r="V962" s="6">
        <f>IF(ISERROR(VLOOKUP($S$962,'TAR FIN'!$A$1:$O$116,15,0)),0,VLOOKUP($S$962,'TAR FIN'!$A$1:$O$116,15,0))</f>
        <v>0</v>
      </c>
      <c r="W962" s="6">
        <f>IF(ISERROR(VLOOKUP($T$962,'TAR FIN'!$A$1:$O$116,15,0)),0,VLOOKUP($T$962,'TAR FIN'!$A$1:$O$116,15,0))</f>
        <v>1682.12</v>
      </c>
      <c r="X962" s="6">
        <f>IF(ISERROR(VLOOKUP($U$962,'TAR FIN'!$A$1:$O$116,15,0)),0,VLOOKUP($U$962,'TAR FIN'!$A$1:$O$116,15,0))</f>
        <v>0</v>
      </c>
      <c r="Y962" s="6"/>
      <c r="Z962" s="6">
        <f ca="1">('TUSD BE'!$AM$34+'TUSD BF'!$AM$34+'TUSD CVA'!$AM$34)*1</f>
        <v>1969.9199547802996</v>
      </c>
      <c r="AA962" s="6"/>
      <c r="AB962" s="6">
        <f>$K$962*$V$962</f>
        <v>0</v>
      </c>
      <c r="AC962" s="6">
        <f>$M$962*$W$962</f>
        <v>394440.416805694</v>
      </c>
      <c r="AD962" s="6">
        <f>$O$962*$X$962</f>
        <v>0</v>
      </c>
      <c r="AE962" s="6">
        <f>$K$962*$Y$962</f>
        <v>0</v>
      </c>
      <c r="AF962" s="6">
        <f ca="1">$M$962*$Z$962</f>
        <v>461926.64497027278</v>
      </c>
      <c r="AG962" s="6">
        <f>$O$962*$AA$962</f>
        <v>0</v>
      </c>
    </row>
    <row r="963" spans="1:33" ht="11.25" customHeight="1" x14ac:dyDescent="0.25">
      <c r="A963" s="4" t="s">
        <v>21</v>
      </c>
      <c r="B963" s="4" t="s">
        <v>41</v>
      </c>
      <c r="C963" s="4" t="s">
        <v>42</v>
      </c>
      <c r="D963" s="4" t="s">
        <v>38</v>
      </c>
      <c r="E963" s="4" t="s">
        <v>25</v>
      </c>
      <c r="F963" s="4" t="s">
        <v>63</v>
      </c>
      <c r="G963" s="4" t="s">
        <v>25</v>
      </c>
      <c r="H963" s="4" t="s">
        <v>34</v>
      </c>
      <c r="I963" s="5">
        <v>44409</v>
      </c>
      <c r="J963" s="6">
        <v>0</v>
      </c>
      <c r="K963" s="6">
        <v>0</v>
      </c>
      <c r="L963" s="6">
        <v>595.07899999999995</v>
      </c>
      <c r="M963" s="6">
        <v>282.61363926015002</v>
      </c>
      <c r="N963" s="6">
        <v>0</v>
      </c>
      <c r="O963" s="6">
        <v>0</v>
      </c>
      <c r="P963" s="6">
        <v>0</v>
      </c>
      <c r="Q963" s="4" t="s">
        <v>60</v>
      </c>
      <c r="R963" s="4">
        <v>0</v>
      </c>
      <c r="S963" s="6">
        <v>0</v>
      </c>
      <c r="T963" s="6">
        <v>30</v>
      </c>
      <c r="U963" s="6">
        <v>0</v>
      </c>
      <c r="V963" s="6">
        <f>IF(ISERROR(VLOOKUP($S$963,'TAR FIN'!$A$1:$O$116,15,0)),0,VLOOKUP($S$963,'TAR FIN'!$A$1:$O$116,15,0))</f>
        <v>0</v>
      </c>
      <c r="W963" s="6">
        <f>IF(ISERROR(VLOOKUP($T$963,'TAR FIN'!$A$1:$O$116,15,0)),0,VLOOKUP($T$963,'TAR FIN'!$A$1:$O$116,15,0))</f>
        <v>1682.12</v>
      </c>
      <c r="X963" s="6">
        <f>IF(ISERROR(VLOOKUP($U$963,'TAR FIN'!$A$1:$O$116,15,0)),0,VLOOKUP($U$963,'TAR FIN'!$A$1:$O$116,15,0))</f>
        <v>0</v>
      </c>
      <c r="Y963" s="6"/>
      <c r="Z963" s="6">
        <f ca="1">('TUSD BE'!$AM$34+'TUSD BF'!$AM$34+'TUSD CVA'!$AM$34)*1</f>
        <v>1969.9199547802996</v>
      </c>
      <c r="AA963" s="6"/>
      <c r="AB963" s="6">
        <f>$K$963*$V$963</f>
        <v>0</v>
      </c>
      <c r="AC963" s="6">
        <f>$M$963*$W$963</f>
        <v>475390.05487228354</v>
      </c>
      <c r="AD963" s="6">
        <f>$O$963*$X$963</f>
        <v>0</v>
      </c>
      <c r="AE963" s="6">
        <f>$K$963*$Y$963</f>
        <v>0</v>
      </c>
      <c r="AF963" s="6">
        <f ca="1">$M$963*$Z$963</f>
        <v>556726.2474716506</v>
      </c>
      <c r="AG963" s="6">
        <f>$O$963*$AA$963</f>
        <v>0</v>
      </c>
    </row>
    <row r="964" spans="1:33" ht="11.25" customHeight="1" x14ac:dyDescent="0.25">
      <c r="A964" s="4" t="s">
        <v>21</v>
      </c>
      <c r="B964" s="4" t="s">
        <v>41</v>
      </c>
      <c r="C964" s="4" t="s">
        <v>42</v>
      </c>
      <c r="D964" s="4" t="s">
        <v>38</v>
      </c>
      <c r="E964" s="4" t="s">
        <v>25</v>
      </c>
      <c r="F964" s="4" t="s">
        <v>63</v>
      </c>
      <c r="G964" s="4" t="s">
        <v>25</v>
      </c>
      <c r="H964" s="4" t="s">
        <v>34</v>
      </c>
      <c r="I964" s="5">
        <v>44440</v>
      </c>
      <c r="J964" s="6">
        <v>0</v>
      </c>
      <c r="K964" s="6">
        <v>0</v>
      </c>
      <c r="L964" s="6">
        <v>635.16800000000001</v>
      </c>
      <c r="M964" s="6">
        <v>290.33099271264001</v>
      </c>
      <c r="N964" s="6">
        <v>0</v>
      </c>
      <c r="O964" s="6">
        <v>0</v>
      </c>
      <c r="P964" s="6">
        <v>0</v>
      </c>
      <c r="Q964" s="4" t="s">
        <v>60</v>
      </c>
      <c r="R964" s="4">
        <v>0</v>
      </c>
      <c r="S964" s="6">
        <v>0</v>
      </c>
      <c r="T964" s="6">
        <v>30</v>
      </c>
      <c r="U964" s="6">
        <v>0</v>
      </c>
      <c r="V964" s="6">
        <f>IF(ISERROR(VLOOKUP($S$964,'TAR FIN'!$A$1:$O$116,15,0)),0,VLOOKUP($S$964,'TAR FIN'!$A$1:$O$116,15,0))</f>
        <v>0</v>
      </c>
      <c r="W964" s="6">
        <f>IF(ISERROR(VLOOKUP($T$964,'TAR FIN'!$A$1:$O$116,15,0)),0,VLOOKUP($T$964,'TAR FIN'!$A$1:$O$116,15,0))</f>
        <v>1682.12</v>
      </c>
      <c r="X964" s="6">
        <f>IF(ISERROR(VLOOKUP($U$964,'TAR FIN'!$A$1:$O$116,15,0)),0,VLOOKUP($U$964,'TAR FIN'!$A$1:$O$116,15,0))</f>
        <v>0</v>
      </c>
      <c r="Y964" s="6"/>
      <c r="Z964" s="6">
        <f ca="1">('TUSD BE'!$AM$34+'TUSD BF'!$AM$34+'TUSD CVA'!$AM$34)*1</f>
        <v>1969.9199547802996</v>
      </c>
      <c r="AA964" s="6"/>
      <c r="AB964" s="6">
        <f>$K$964*$V$964</f>
        <v>0</v>
      </c>
      <c r="AC964" s="6">
        <f>$M$964*$W$964</f>
        <v>488371.56946178596</v>
      </c>
      <c r="AD964" s="6">
        <f>$O$964*$X$964</f>
        <v>0</v>
      </c>
      <c r="AE964" s="6">
        <f>$K$964*$Y$964</f>
        <v>0</v>
      </c>
      <c r="AF964" s="6">
        <f ca="1">$M$964*$Z$964</f>
        <v>571928.81603580329</v>
      </c>
      <c r="AG964" s="6">
        <f>$O$964*$AA$964</f>
        <v>0</v>
      </c>
    </row>
    <row r="965" spans="1:33" ht="11.25" customHeight="1" x14ac:dyDescent="0.25">
      <c r="A965" s="4" t="s">
        <v>21</v>
      </c>
      <c r="B965" s="4" t="s">
        <v>41</v>
      </c>
      <c r="C965" s="4" t="s">
        <v>42</v>
      </c>
      <c r="D965" s="4" t="s">
        <v>38</v>
      </c>
      <c r="E965" s="4" t="s">
        <v>25</v>
      </c>
      <c r="F965" s="4" t="s">
        <v>63</v>
      </c>
      <c r="G965" s="4" t="s">
        <v>25</v>
      </c>
      <c r="H965" s="4" t="s">
        <v>34</v>
      </c>
      <c r="I965" s="5">
        <v>44470</v>
      </c>
      <c r="J965" s="6">
        <v>0</v>
      </c>
      <c r="K965" s="6">
        <v>0</v>
      </c>
      <c r="L965" s="6">
        <v>633.26</v>
      </c>
      <c r="M965" s="6">
        <v>311.25540839320001</v>
      </c>
      <c r="N965" s="6">
        <v>0</v>
      </c>
      <c r="O965" s="6">
        <v>0</v>
      </c>
      <c r="P965" s="6">
        <v>0</v>
      </c>
      <c r="Q965" s="4" t="s">
        <v>60</v>
      </c>
      <c r="R965" s="4">
        <v>0</v>
      </c>
      <c r="S965" s="6">
        <v>0</v>
      </c>
      <c r="T965" s="6">
        <v>30</v>
      </c>
      <c r="U965" s="6">
        <v>0</v>
      </c>
      <c r="V965" s="6">
        <f>IF(ISERROR(VLOOKUP($S$965,'TAR FIN'!$A$1:$O$116,15,0)),0,VLOOKUP($S$965,'TAR FIN'!$A$1:$O$116,15,0))</f>
        <v>0</v>
      </c>
      <c r="W965" s="6">
        <f>IF(ISERROR(VLOOKUP($T$965,'TAR FIN'!$A$1:$O$116,15,0)),0,VLOOKUP($T$965,'TAR FIN'!$A$1:$O$116,15,0))</f>
        <v>1682.12</v>
      </c>
      <c r="X965" s="6">
        <f>IF(ISERROR(VLOOKUP($U$965,'TAR FIN'!$A$1:$O$116,15,0)),0,VLOOKUP($U$965,'TAR FIN'!$A$1:$O$116,15,0))</f>
        <v>0</v>
      </c>
      <c r="Y965" s="6"/>
      <c r="Z965" s="6">
        <f ca="1">('TUSD BE'!$AM$34+'TUSD BF'!$AM$34+'TUSD CVA'!$AM$34)*1</f>
        <v>1969.9199547802996</v>
      </c>
      <c r="AA965" s="6"/>
      <c r="AB965" s="6">
        <f>$K$965*$V$965</f>
        <v>0</v>
      </c>
      <c r="AC965" s="6">
        <f>$M$965*$W$965</f>
        <v>523568.94756636955</v>
      </c>
      <c r="AD965" s="6">
        <f>$O$965*$X$965</f>
        <v>0</v>
      </c>
      <c r="AE965" s="6">
        <f>$K$965*$Y$965</f>
        <v>0</v>
      </c>
      <c r="AF965" s="6">
        <f ca="1">$M$965*$Z$965</f>
        <v>613148.24002705619</v>
      </c>
      <c r="AG965" s="6">
        <f>$O$965*$AA$965</f>
        <v>0</v>
      </c>
    </row>
    <row r="966" spans="1:33" ht="11.25" customHeight="1" x14ac:dyDescent="0.25">
      <c r="A966" s="4" t="s">
        <v>21</v>
      </c>
      <c r="B966" s="4" t="s">
        <v>41</v>
      </c>
      <c r="C966" s="4" t="s">
        <v>42</v>
      </c>
      <c r="D966" s="4" t="s">
        <v>38</v>
      </c>
      <c r="E966" s="4" t="s">
        <v>25</v>
      </c>
      <c r="F966" s="4" t="s">
        <v>63</v>
      </c>
      <c r="G966" s="4" t="s">
        <v>25</v>
      </c>
      <c r="H966" s="4" t="s">
        <v>34</v>
      </c>
      <c r="I966" s="5">
        <v>44501</v>
      </c>
      <c r="J966" s="6">
        <v>0</v>
      </c>
      <c r="K966" s="6">
        <v>0</v>
      </c>
      <c r="L966" s="6">
        <v>603.77200000000005</v>
      </c>
      <c r="M966" s="6">
        <v>272.93737863183998</v>
      </c>
      <c r="N966" s="6">
        <v>0</v>
      </c>
      <c r="O966" s="6">
        <v>0</v>
      </c>
      <c r="P966" s="6">
        <v>0</v>
      </c>
      <c r="Q966" s="4" t="s">
        <v>60</v>
      </c>
      <c r="R966" s="4">
        <v>0</v>
      </c>
      <c r="S966" s="6">
        <v>0</v>
      </c>
      <c r="T966" s="6">
        <v>30</v>
      </c>
      <c r="U966" s="6">
        <v>0</v>
      </c>
      <c r="V966" s="6">
        <f>IF(ISERROR(VLOOKUP($S$966,'TAR FIN'!$A$1:$O$116,15,0)),0,VLOOKUP($S$966,'TAR FIN'!$A$1:$O$116,15,0))</f>
        <v>0</v>
      </c>
      <c r="W966" s="6">
        <f>IF(ISERROR(VLOOKUP($T$966,'TAR FIN'!$A$1:$O$116,15,0)),0,VLOOKUP($T$966,'TAR FIN'!$A$1:$O$116,15,0))</f>
        <v>1682.12</v>
      </c>
      <c r="X966" s="6">
        <f>IF(ISERROR(VLOOKUP($U$966,'TAR FIN'!$A$1:$O$116,15,0)),0,VLOOKUP($U$966,'TAR FIN'!$A$1:$O$116,15,0))</f>
        <v>0</v>
      </c>
      <c r="Y966" s="6"/>
      <c r="Z966" s="6">
        <f ca="1">('TUSD BE'!$AM$34+'TUSD BF'!$AM$34+'TUSD CVA'!$AM$34)*1</f>
        <v>1969.9199547802996</v>
      </c>
      <c r="AA966" s="6"/>
      <c r="AB966" s="6">
        <f>$K$966*$V$966</f>
        <v>0</v>
      </c>
      <c r="AC966" s="6">
        <f>$M$966*$W$966</f>
        <v>459113.42334419064</v>
      </c>
      <c r="AD966" s="6">
        <f>$O$966*$X$966</f>
        <v>0</v>
      </c>
      <c r="AE966" s="6">
        <f>$K$966*$Y$966</f>
        <v>0</v>
      </c>
      <c r="AF966" s="6">
        <f ca="1">$M$966*$Z$966</f>
        <v>537664.78857228765</v>
      </c>
      <c r="AG966" s="6">
        <f>$O$966*$AA$966</f>
        <v>0</v>
      </c>
    </row>
    <row r="967" spans="1:33" ht="11.25" customHeight="1" x14ac:dyDescent="0.25">
      <c r="A967" s="4" t="s">
        <v>21</v>
      </c>
      <c r="B967" s="4" t="s">
        <v>41</v>
      </c>
      <c r="C967" s="4" t="s">
        <v>42</v>
      </c>
      <c r="D967" s="4" t="s">
        <v>38</v>
      </c>
      <c r="E967" s="4" t="s">
        <v>25</v>
      </c>
      <c r="F967" s="4" t="s">
        <v>63</v>
      </c>
      <c r="G967" s="4" t="s">
        <v>25</v>
      </c>
      <c r="H967" s="4" t="s">
        <v>34</v>
      </c>
      <c r="I967" s="5">
        <v>44531</v>
      </c>
      <c r="J967" s="6">
        <v>0</v>
      </c>
      <c r="K967" s="6">
        <v>0</v>
      </c>
      <c r="L967" s="6">
        <v>581.6</v>
      </c>
      <c r="M967" s="6">
        <v>262.41905412</v>
      </c>
      <c r="N967" s="6">
        <v>0</v>
      </c>
      <c r="O967" s="6">
        <v>0</v>
      </c>
      <c r="P967" s="6">
        <v>0</v>
      </c>
      <c r="Q967" s="4" t="s">
        <v>60</v>
      </c>
      <c r="R967" s="4">
        <v>0</v>
      </c>
      <c r="S967" s="6">
        <v>0</v>
      </c>
      <c r="T967" s="6">
        <v>30</v>
      </c>
      <c r="U967" s="6">
        <v>0</v>
      </c>
      <c r="V967" s="6">
        <f>IF(ISERROR(VLOOKUP($S$967,'TAR FIN'!$A$1:$O$116,15,0)),0,VLOOKUP($S$967,'TAR FIN'!$A$1:$O$116,15,0))</f>
        <v>0</v>
      </c>
      <c r="W967" s="6">
        <f>IF(ISERROR(VLOOKUP($T$967,'TAR FIN'!$A$1:$O$116,15,0)),0,VLOOKUP($T$967,'TAR FIN'!$A$1:$O$116,15,0))</f>
        <v>1682.12</v>
      </c>
      <c r="X967" s="6">
        <f>IF(ISERROR(VLOOKUP($U$967,'TAR FIN'!$A$1:$O$116,15,0)),0,VLOOKUP($U$967,'TAR FIN'!$A$1:$O$116,15,0))</f>
        <v>0</v>
      </c>
      <c r="Y967" s="6"/>
      <c r="Z967" s="6">
        <f ca="1">('TUSD BE'!$AM$34+'TUSD BF'!$AM$34+'TUSD CVA'!$AM$34)*1</f>
        <v>1969.9199547802996</v>
      </c>
      <c r="AA967" s="6"/>
      <c r="AB967" s="6">
        <f>$K$967*$V$967</f>
        <v>0</v>
      </c>
      <c r="AC967" s="6">
        <f>$M$967*$W$967</f>
        <v>441420.33931633434</v>
      </c>
      <c r="AD967" s="6">
        <f>$O$967*$X$967</f>
        <v>0</v>
      </c>
      <c r="AE967" s="6">
        <f>$K$967*$Y$967</f>
        <v>0</v>
      </c>
      <c r="AF967" s="6">
        <f ca="1">$M$967*$Z$967</f>
        <v>516944.53122555936</v>
      </c>
      <c r="AG967" s="6">
        <f>$O$967*$AA$967</f>
        <v>0</v>
      </c>
    </row>
    <row r="968" spans="1:33" ht="11.25" customHeight="1" x14ac:dyDescent="0.25">
      <c r="A968" s="4" t="s">
        <v>21</v>
      </c>
      <c r="B968" s="4" t="s">
        <v>41</v>
      </c>
      <c r="C968" s="4" t="s">
        <v>42</v>
      </c>
      <c r="D968" s="4" t="s">
        <v>38</v>
      </c>
      <c r="E968" s="4" t="s">
        <v>25</v>
      </c>
      <c r="F968" s="4" t="s">
        <v>63</v>
      </c>
      <c r="G968" s="4" t="s">
        <v>25</v>
      </c>
      <c r="H968" s="4" t="s">
        <v>34</v>
      </c>
      <c r="I968" s="5">
        <v>44562</v>
      </c>
      <c r="J968" s="6">
        <v>0</v>
      </c>
      <c r="K968" s="6">
        <v>0</v>
      </c>
      <c r="L968" s="6">
        <v>594.10199999999998</v>
      </c>
      <c r="M968" s="6">
        <v>282.09268796196</v>
      </c>
      <c r="N968" s="6">
        <v>0</v>
      </c>
      <c r="O968" s="6">
        <v>0</v>
      </c>
      <c r="P968" s="6">
        <v>0</v>
      </c>
      <c r="Q968" s="4" t="s">
        <v>60</v>
      </c>
      <c r="R968" s="4">
        <v>0</v>
      </c>
      <c r="S968" s="6">
        <v>0</v>
      </c>
      <c r="T968" s="6">
        <v>30</v>
      </c>
      <c r="U968" s="6">
        <v>0</v>
      </c>
      <c r="V968" s="6">
        <f>IF(ISERROR(VLOOKUP($S$968,'TAR FIN'!$A$1:$O$116,15,0)),0,VLOOKUP($S$968,'TAR FIN'!$A$1:$O$116,15,0))</f>
        <v>0</v>
      </c>
      <c r="W968" s="6">
        <f>IF(ISERROR(VLOOKUP($T$968,'TAR FIN'!$A$1:$O$116,15,0)),0,VLOOKUP($T$968,'TAR FIN'!$A$1:$O$116,15,0))</f>
        <v>1682.12</v>
      </c>
      <c r="X968" s="6">
        <f>IF(ISERROR(VLOOKUP($U$968,'TAR FIN'!$A$1:$O$116,15,0)),0,VLOOKUP($U$968,'TAR FIN'!$A$1:$O$116,15,0))</f>
        <v>0</v>
      </c>
      <c r="Y968" s="6"/>
      <c r="Z968" s="6">
        <f ca="1">('TUSD BE'!$AM$34+'TUSD BF'!$AM$34+'TUSD CVA'!$AM$34)*1</f>
        <v>1969.9199547802996</v>
      </c>
      <c r="AA968" s="6"/>
      <c r="AB968" s="6">
        <f>$K$968*$V$968</f>
        <v>0</v>
      </c>
      <c r="AC968" s="6">
        <f>$M$968*$W$968</f>
        <v>474513.75227457209</v>
      </c>
      <c r="AD968" s="6">
        <f>$O$968*$X$968</f>
        <v>0</v>
      </c>
      <c r="AE968" s="6">
        <f>$K$968*$Y$968</f>
        <v>0</v>
      </c>
      <c r="AF968" s="6">
        <f ca="1">$M$968*$Z$968</f>
        <v>555700.01511387737</v>
      </c>
      <c r="AG968" s="6">
        <f>$O$968*$AA$968</f>
        <v>0</v>
      </c>
    </row>
    <row r="969" spans="1:33" ht="11.25" customHeight="1" x14ac:dyDescent="0.25">
      <c r="A969" s="4" t="s">
        <v>21</v>
      </c>
      <c r="B969" s="4" t="s">
        <v>41</v>
      </c>
      <c r="C969" s="4" t="s">
        <v>42</v>
      </c>
      <c r="D969" s="4" t="s">
        <v>38</v>
      </c>
      <c r="E969" s="4" t="s">
        <v>25</v>
      </c>
      <c r="F969" s="4" t="s">
        <v>63</v>
      </c>
      <c r="G969" s="4" t="s">
        <v>25</v>
      </c>
      <c r="H969" s="4" t="s">
        <v>34</v>
      </c>
      <c r="I969" s="5">
        <v>44593</v>
      </c>
      <c r="J969" s="6">
        <v>0</v>
      </c>
      <c r="K969" s="6">
        <v>0</v>
      </c>
      <c r="L969" s="6">
        <v>684.048</v>
      </c>
      <c r="M969" s="6">
        <v>332.65037396783998</v>
      </c>
      <c r="N969" s="6">
        <v>0</v>
      </c>
      <c r="O969" s="6">
        <v>0</v>
      </c>
      <c r="P969" s="6">
        <v>0</v>
      </c>
      <c r="Q969" s="4" t="s">
        <v>60</v>
      </c>
      <c r="R969" s="4">
        <v>0</v>
      </c>
      <c r="S969" s="6">
        <v>0</v>
      </c>
      <c r="T969" s="6">
        <v>30</v>
      </c>
      <c r="U969" s="6">
        <v>0</v>
      </c>
      <c r="V969" s="6">
        <f>IF(ISERROR(VLOOKUP($S$969,'TAR FIN'!$A$1:$O$116,15,0)),0,VLOOKUP($S$969,'TAR FIN'!$A$1:$O$116,15,0))</f>
        <v>0</v>
      </c>
      <c r="W969" s="6">
        <f>IF(ISERROR(VLOOKUP($T$969,'TAR FIN'!$A$1:$O$116,15,0)),0,VLOOKUP($T$969,'TAR FIN'!$A$1:$O$116,15,0))</f>
        <v>1682.12</v>
      </c>
      <c r="X969" s="6">
        <f>IF(ISERROR(VLOOKUP($U$969,'TAR FIN'!$A$1:$O$116,15,0)),0,VLOOKUP($U$969,'TAR FIN'!$A$1:$O$116,15,0))</f>
        <v>0</v>
      </c>
      <c r="Y969" s="6"/>
      <c r="Z969" s="6">
        <f ca="1">('TUSD BE'!$AM$34+'TUSD BF'!$AM$34+'TUSD CVA'!$AM$34)*1</f>
        <v>1969.9199547802996</v>
      </c>
      <c r="AA969" s="6"/>
      <c r="AB969" s="6">
        <f>$K$969*$V$969</f>
        <v>0</v>
      </c>
      <c r="AC969" s="6">
        <f>$M$969*$W$969</f>
        <v>559557.84705878294</v>
      </c>
      <c r="AD969" s="6">
        <f>$O$969*$X$969</f>
        <v>0</v>
      </c>
      <c r="AE969" s="6">
        <f>$K$969*$Y$969</f>
        <v>0</v>
      </c>
      <c r="AF969" s="6">
        <f ca="1">$M$969*$Z$969</f>
        <v>655294.60964437714</v>
      </c>
      <c r="AG969" s="6">
        <f>$O$969*$AA$969</f>
        <v>0</v>
      </c>
    </row>
    <row r="970" spans="1:33" ht="11.25" customHeight="1" x14ac:dyDescent="0.25">
      <c r="A970" s="4" t="s">
        <v>21</v>
      </c>
      <c r="B970" s="4" t="s">
        <v>41</v>
      </c>
      <c r="C970" s="4" t="s">
        <v>42</v>
      </c>
      <c r="D970" s="4" t="s">
        <v>38</v>
      </c>
      <c r="E970" s="4" t="s">
        <v>25</v>
      </c>
      <c r="F970" s="4" t="s">
        <v>63</v>
      </c>
      <c r="G970" s="4" t="s">
        <v>25</v>
      </c>
      <c r="H970" s="4" t="s">
        <v>34</v>
      </c>
      <c r="I970" s="5">
        <v>44621</v>
      </c>
      <c r="J970" s="6">
        <v>0</v>
      </c>
      <c r="K970" s="6">
        <v>0</v>
      </c>
      <c r="L970" s="6">
        <v>699.726</v>
      </c>
      <c r="M970" s="6">
        <v>344.76040208472</v>
      </c>
      <c r="N970" s="6">
        <v>0</v>
      </c>
      <c r="O970" s="6">
        <v>0</v>
      </c>
      <c r="P970" s="6">
        <v>0</v>
      </c>
      <c r="Q970" s="4" t="s">
        <v>60</v>
      </c>
      <c r="R970" s="4">
        <v>0</v>
      </c>
      <c r="S970" s="6">
        <v>0</v>
      </c>
      <c r="T970" s="6">
        <v>30</v>
      </c>
      <c r="U970" s="6">
        <v>0</v>
      </c>
      <c r="V970" s="6">
        <f>IF(ISERROR(VLOOKUP($S$970,'TAR FIN'!$A$1:$O$116,15,0)),0,VLOOKUP($S$970,'TAR FIN'!$A$1:$O$116,15,0))</f>
        <v>0</v>
      </c>
      <c r="W970" s="6">
        <f>IF(ISERROR(VLOOKUP($T$970,'TAR FIN'!$A$1:$O$116,15,0)),0,VLOOKUP($T$970,'TAR FIN'!$A$1:$O$116,15,0))</f>
        <v>1682.12</v>
      </c>
      <c r="X970" s="6">
        <f>IF(ISERROR(VLOOKUP($U$970,'TAR FIN'!$A$1:$O$116,15,0)),0,VLOOKUP($U$970,'TAR FIN'!$A$1:$O$116,15,0))</f>
        <v>0</v>
      </c>
      <c r="Y970" s="6"/>
      <c r="Z970" s="6">
        <f ca="1">('TUSD BE'!$AM$34+'TUSD BF'!$AM$34+'TUSD CVA'!$AM$34)*1</f>
        <v>1969.9199547802996</v>
      </c>
      <c r="AA970" s="6"/>
      <c r="AB970" s="6">
        <f>$K$970*$V$970</f>
        <v>0</v>
      </c>
      <c r="AC970" s="6">
        <f>$M$970*$W$970</f>
        <v>579928.36755474913</v>
      </c>
      <c r="AD970" s="6">
        <f>$O$970*$X$970</f>
        <v>0</v>
      </c>
      <c r="AE970" s="6">
        <f>$K$970*$Y$970</f>
        <v>0</v>
      </c>
      <c r="AF970" s="6">
        <f ca="1">$M$970*$Z$970</f>
        <v>679150.39568476949</v>
      </c>
      <c r="AG970" s="6">
        <f>$O$970*$AA$970</f>
        <v>0</v>
      </c>
    </row>
    <row r="971" spans="1:33" ht="11.25" customHeight="1" x14ac:dyDescent="0.25">
      <c r="A971" s="4" t="s">
        <v>21</v>
      </c>
      <c r="B971" s="4" t="s">
        <v>41</v>
      </c>
      <c r="C971" s="4" t="s">
        <v>42</v>
      </c>
      <c r="D971" s="4" t="s">
        <v>38</v>
      </c>
      <c r="E971" s="4" t="s">
        <v>25</v>
      </c>
      <c r="F971" s="4" t="s">
        <v>63</v>
      </c>
      <c r="G971" s="4" t="s">
        <v>25</v>
      </c>
      <c r="H971" s="4" t="s">
        <v>34</v>
      </c>
      <c r="I971" s="5">
        <v>44652</v>
      </c>
      <c r="J971" s="6">
        <v>0</v>
      </c>
      <c r="K971" s="6">
        <v>0</v>
      </c>
      <c r="L971" s="6">
        <v>821.54499999999996</v>
      </c>
      <c r="M971" s="6">
        <v>414.78320875095</v>
      </c>
      <c r="N971" s="6">
        <v>0</v>
      </c>
      <c r="O971" s="6">
        <v>0</v>
      </c>
      <c r="P971" s="6">
        <v>0</v>
      </c>
      <c r="Q971" s="4" t="s">
        <v>60</v>
      </c>
      <c r="R971" s="4">
        <v>0</v>
      </c>
      <c r="S971" s="6">
        <v>0</v>
      </c>
      <c r="T971" s="6">
        <v>30</v>
      </c>
      <c r="U971" s="6">
        <v>0</v>
      </c>
      <c r="V971" s="6">
        <f>IF(ISERROR(VLOOKUP($S$971,'TAR FIN'!$A$1:$O$116,15,0)),0,VLOOKUP($S$971,'TAR FIN'!$A$1:$O$116,15,0))</f>
        <v>0</v>
      </c>
      <c r="W971" s="6">
        <f>IF(ISERROR(VLOOKUP($T$971,'TAR FIN'!$A$1:$O$116,15,0)),0,VLOOKUP($T$971,'TAR FIN'!$A$1:$O$116,15,0))</f>
        <v>1682.12</v>
      </c>
      <c r="X971" s="6">
        <f>IF(ISERROR(VLOOKUP($U$971,'TAR FIN'!$A$1:$O$116,15,0)),0,VLOOKUP($U$971,'TAR FIN'!$A$1:$O$116,15,0))</f>
        <v>0</v>
      </c>
      <c r="Y971" s="6"/>
      <c r="Z971" s="6">
        <f ca="1">('TUSD BE'!$AM$34+'TUSD BF'!$AM$34+'TUSD CVA'!$AM$34)*1</f>
        <v>1969.9199547802996</v>
      </c>
      <c r="AA971" s="6"/>
      <c r="AB971" s="6">
        <f>$K$971*$V$971</f>
        <v>0</v>
      </c>
      <c r="AC971" s="6">
        <f>$M$971*$W$971</f>
        <v>697715.13110414799</v>
      </c>
      <c r="AD971" s="6">
        <f>$O$971*$X$971</f>
        <v>0</v>
      </c>
      <c r="AE971" s="6">
        <f>$K$971*$Y$971</f>
        <v>0</v>
      </c>
      <c r="AF971" s="6">
        <f ca="1">$M$971*$Z$971</f>
        <v>817089.719826299</v>
      </c>
      <c r="AG971" s="6">
        <f>$O$971*$AA$971</f>
        <v>0</v>
      </c>
    </row>
    <row r="972" spans="1:33" ht="11.25" customHeight="1" x14ac:dyDescent="0.25">
      <c r="A972" s="4" t="s">
        <v>58</v>
      </c>
      <c r="B972" s="4" t="s">
        <v>41</v>
      </c>
      <c r="C972" s="4" t="s">
        <v>42</v>
      </c>
      <c r="D972" s="4" t="s">
        <v>38</v>
      </c>
      <c r="E972" s="4" t="s">
        <v>25</v>
      </c>
      <c r="F972" s="4" t="s">
        <v>63</v>
      </c>
      <c r="G972" s="4" t="s">
        <v>25</v>
      </c>
      <c r="H972" s="4" t="s">
        <v>34</v>
      </c>
      <c r="I972" s="5">
        <v>44682</v>
      </c>
      <c r="J972" s="6">
        <v>0</v>
      </c>
      <c r="K972" s="6">
        <v>0</v>
      </c>
      <c r="L972" s="6">
        <v>821.54499999999996</v>
      </c>
      <c r="M972" s="6">
        <v>414.78320875095</v>
      </c>
      <c r="N972" s="6">
        <v>0</v>
      </c>
      <c r="O972" s="6">
        <v>0</v>
      </c>
      <c r="P972" s="6">
        <v>0</v>
      </c>
      <c r="Q972" s="4" t="s">
        <v>60</v>
      </c>
      <c r="R972" s="4">
        <v>0</v>
      </c>
      <c r="S972" s="6">
        <v>0</v>
      </c>
      <c r="T972" s="6">
        <v>30</v>
      </c>
      <c r="U972" s="6">
        <v>0</v>
      </c>
      <c r="V972" s="6">
        <f>IF(ISERROR(VLOOKUP($S$972,'TAR FIN'!$A$1:$O$116,15,0)),0,VLOOKUP($S$972,'TAR FIN'!$A$1:$O$116,15,0))</f>
        <v>0</v>
      </c>
      <c r="W972" s="6">
        <f>IF(ISERROR(VLOOKUP($T$972,'TAR FIN'!$A$1:$O$116,15,0)),0,VLOOKUP($T$972,'TAR FIN'!$A$1:$O$116,15,0))</f>
        <v>1682.12</v>
      </c>
      <c r="X972" s="6">
        <f>IF(ISERROR(VLOOKUP($U$972,'TAR FIN'!$A$1:$O$116,15,0)),0,VLOOKUP($U$972,'TAR FIN'!$A$1:$O$116,15,0))</f>
        <v>0</v>
      </c>
      <c r="Y972" s="6"/>
      <c r="Z972" s="6">
        <f ca="1">('TUSD BE'!$AM$34+'TUSD BF'!$AM$34+'TUSD CVA'!$AM$34)*1</f>
        <v>1969.9199547802996</v>
      </c>
      <c r="AA972" s="6"/>
      <c r="AB972" s="6">
        <f>$K$972*$V$972</f>
        <v>0</v>
      </c>
      <c r="AC972" s="6">
        <f>$M$972*$W$972</f>
        <v>697715.13110414799</v>
      </c>
      <c r="AD972" s="6">
        <f>$O$972*$X$972</f>
        <v>0</v>
      </c>
      <c r="AE972" s="6">
        <f>$K$972*$Y$972</f>
        <v>0</v>
      </c>
      <c r="AF972" s="6">
        <f ca="1">$M$972*$Z$972</f>
        <v>817089.719826299</v>
      </c>
      <c r="AG972" s="6">
        <f>$O$972*$AA$972</f>
        <v>0</v>
      </c>
    </row>
    <row r="973" spans="1:33" ht="11.25" customHeight="1" x14ac:dyDescent="0.25">
      <c r="A973" s="4" t="s">
        <v>21</v>
      </c>
      <c r="B973" s="4" t="s">
        <v>41</v>
      </c>
      <c r="C973" s="4" t="s">
        <v>42</v>
      </c>
      <c r="D973" s="4" t="s">
        <v>38</v>
      </c>
      <c r="E973" s="4" t="s">
        <v>25</v>
      </c>
      <c r="F973" s="4" t="s">
        <v>25</v>
      </c>
      <c r="G973" s="4" t="s">
        <v>25</v>
      </c>
      <c r="H973" s="4" t="s">
        <v>35</v>
      </c>
      <c r="I973" s="5">
        <v>44348</v>
      </c>
      <c r="J973" s="6">
        <v>0</v>
      </c>
      <c r="K973" s="6">
        <v>0</v>
      </c>
      <c r="L973" s="6">
        <v>5339.1469999999999</v>
      </c>
      <c r="M973" s="6">
        <v>5339.1469999999999</v>
      </c>
      <c r="N973" s="6">
        <v>5339.1469999999999</v>
      </c>
      <c r="O973" s="6">
        <v>5339.1469999999999</v>
      </c>
      <c r="P973" s="6">
        <v>0</v>
      </c>
      <c r="Q973" s="4" t="s">
        <v>26</v>
      </c>
      <c r="R973" s="4">
        <v>0</v>
      </c>
      <c r="S973" s="6">
        <v>0</v>
      </c>
      <c r="T973" s="6">
        <v>31</v>
      </c>
      <c r="U973" s="6">
        <v>79</v>
      </c>
      <c r="V973" s="6">
        <f>IF(ISERROR(VLOOKUP($S$973,'TAR FIN'!$A$1:$O$116,15,0)),0,VLOOKUP($S$973,'TAR FIN'!$A$1:$O$116,15,0))</f>
        <v>0</v>
      </c>
      <c r="W973" s="6">
        <f>IF(ISERROR(VLOOKUP($T$973,'TAR FIN'!$A$1:$O$116,15,0)),0,VLOOKUP($T$973,'TAR FIN'!$A$1:$O$116,15,0))</f>
        <v>88.66</v>
      </c>
      <c r="X973" s="6">
        <f>IF(ISERROR(VLOOKUP($U$973,'TAR FIN'!$A$1:$O$116,15,0)),0,VLOOKUP($U$973,'TAR FIN'!$A$1:$O$116,15,0))</f>
        <v>311.04000000000002</v>
      </c>
      <c r="Y973" s="6"/>
      <c r="Z973" s="6">
        <f ca="1">('TUSD BE'!$AM$35+'TUSD BF'!$AM$35+'TUSD CVA'!$AM$35)*1</f>
        <v>137.4358543126599</v>
      </c>
      <c r="AA973" s="6">
        <f>('TE BE'!$AB$10+'TE BF'!$AB$10+'TE CVA'!$AB$10)*1</f>
        <v>313.22907246928764</v>
      </c>
      <c r="AB973" s="6">
        <f>$K$973*$V$973</f>
        <v>0</v>
      </c>
      <c r="AC973" s="6">
        <f>$M$973*$W$973</f>
        <v>473368.77301999996</v>
      </c>
      <c r="AD973" s="6">
        <f>$O$973*$X$973</f>
        <v>1660688.2828800001</v>
      </c>
      <c r="AE973" s="6">
        <f>$K$973*$Y$973</f>
        <v>0</v>
      </c>
      <c r="AF973" s="6">
        <f ca="1">$M$973*$Z$973</f>
        <v>733790.22924587515</v>
      </c>
      <c r="AG973" s="6">
        <f>$O$973*$AA$973</f>
        <v>1672376.0625871797</v>
      </c>
    </row>
    <row r="974" spans="1:33" ht="11.25" customHeight="1" x14ac:dyDescent="0.25">
      <c r="A974" s="4" t="s">
        <v>27</v>
      </c>
      <c r="B974" s="4" t="s">
        <v>41</v>
      </c>
      <c r="C974" s="4" t="s">
        <v>42</v>
      </c>
      <c r="D974" s="4" t="s">
        <v>38</v>
      </c>
      <c r="E974" s="4" t="s">
        <v>25</v>
      </c>
      <c r="F974" s="4" t="s">
        <v>25</v>
      </c>
      <c r="G974" s="4" t="s">
        <v>25</v>
      </c>
      <c r="H974" s="4" t="s">
        <v>35</v>
      </c>
      <c r="I974" s="5">
        <v>44348</v>
      </c>
      <c r="J974" s="6">
        <v>0</v>
      </c>
      <c r="K974" s="6">
        <v>0</v>
      </c>
      <c r="L974" s="6">
        <v>-14.879</v>
      </c>
      <c r="M974" s="6">
        <v>-14.879</v>
      </c>
      <c r="N974" s="6">
        <v>-14.879</v>
      </c>
      <c r="O974" s="6">
        <v>-14.879</v>
      </c>
      <c r="P974" s="6">
        <v>0</v>
      </c>
      <c r="Q974" s="4" t="s">
        <v>26</v>
      </c>
      <c r="R974" s="4">
        <v>0</v>
      </c>
      <c r="S974" s="6">
        <v>0</v>
      </c>
      <c r="T974" s="6">
        <v>31</v>
      </c>
      <c r="U974" s="6">
        <v>79</v>
      </c>
      <c r="V974" s="6">
        <f>IF(ISERROR(VLOOKUP($S$974,'TAR FIN'!$A$1:$O$116,15,0)),0,VLOOKUP($S$974,'TAR FIN'!$A$1:$O$116,15,0))</f>
        <v>0</v>
      </c>
      <c r="W974" s="6">
        <f>IF(ISERROR(VLOOKUP($T$974,'TAR FIN'!$A$1:$O$116,15,0)),0,VLOOKUP($T$974,'TAR FIN'!$A$1:$O$116,15,0))</f>
        <v>88.66</v>
      </c>
      <c r="X974" s="6">
        <f>IF(ISERROR(VLOOKUP($U$974,'TAR FIN'!$A$1:$O$116,15,0)),0,VLOOKUP($U$974,'TAR FIN'!$A$1:$O$116,15,0))</f>
        <v>311.04000000000002</v>
      </c>
      <c r="Y974" s="6"/>
      <c r="Z974" s="6">
        <f ca="1">('TUSD BE'!$AM$35+'TUSD BF'!$AM$35+'TUSD CVA'!$AM$35)*1</f>
        <v>137.4358543126599</v>
      </c>
      <c r="AA974" s="6">
        <f>('TE BE'!$AB$10+'TE BF'!$AB$10+'TE CVA'!$AB$10)*1</f>
        <v>313.22907246928764</v>
      </c>
      <c r="AB974" s="6">
        <f>$K$974*$V$974</f>
        <v>0</v>
      </c>
      <c r="AC974" s="6">
        <f>$M$974*$W$974</f>
        <v>-1319.1721399999999</v>
      </c>
      <c r="AD974" s="6">
        <f>$O$974*$X$974</f>
        <v>-4627.9641600000004</v>
      </c>
      <c r="AE974" s="6">
        <f>$K$974*$Y$974</f>
        <v>0</v>
      </c>
      <c r="AF974" s="6">
        <f ca="1">$M$974*$Z$974</f>
        <v>-2044.9080763180666</v>
      </c>
      <c r="AG974" s="6">
        <f>$O$974*$AA$974</f>
        <v>-4660.5353692705303</v>
      </c>
    </row>
    <row r="975" spans="1:33" ht="11.25" customHeight="1" x14ac:dyDescent="0.25">
      <c r="A975" s="4" t="s">
        <v>28</v>
      </c>
      <c r="B975" s="4" t="s">
        <v>41</v>
      </c>
      <c r="C975" s="4" t="s">
        <v>42</v>
      </c>
      <c r="D975" s="4" t="s">
        <v>38</v>
      </c>
      <c r="E975" s="4" t="s">
        <v>25</v>
      </c>
      <c r="F975" s="4" t="s">
        <v>25</v>
      </c>
      <c r="G975" s="4" t="s">
        <v>25</v>
      </c>
      <c r="H975" s="4" t="s">
        <v>35</v>
      </c>
      <c r="I975" s="5">
        <v>44348</v>
      </c>
      <c r="J975" s="6">
        <v>0</v>
      </c>
      <c r="K975" s="6">
        <v>0</v>
      </c>
      <c r="L975" s="6">
        <v>224.738</v>
      </c>
      <c r="M975" s="6">
        <v>224.738</v>
      </c>
      <c r="N975" s="6">
        <v>224.738</v>
      </c>
      <c r="O975" s="6">
        <v>224.738</v>
      </c>
      <c r="P975" s="6">
        <v>0</v>
      </c>
      <c r="Q975" s="4" t="s">
        <v>26</v>
      </c>
      <c r="R975" s="4">
        <v>0</v>
      </c>
      <c r="S975" s="6">
        <v>0</v>
      </c>
      <c r="T975" s="6">
        <v>31</v>
      </c>
      <c r="U975" s="6">
        <v>79</v>
      </c>
      <c r="V975" s="6">
        <f>IF(ISERROR(VLOOKUP($S$975,'TAR FIN'!$A$1:$O$116,15,0)),0,VLOOKUP($S$975,'TAR FIN'!$A$1:$O$116,15,0))</f>
        <v>0</v>
      </c>
      <c r="W975" s="6">
        <f>IF(ISERROR(VLOOKUP($T$975,'TAR FIN'!$A$1:$O$116,15,0)),0,VLOOKUP($T$975,'TAR FIN'!$A$1:$O$116,15,0))</f>
        <v>88.66</v>
      </c>
      <c r="X975" s="6">
        <f>IF(ISERROR(VLOOKUP($U$975,'TAR FIN'!$A$1:$O$116,15,0)),0,VLOOKUP($U$975,'TAR FIN'!$A$1:$O$116,15,0))</f>
        <v>311.04000000000002</v>
      </c>
      <c r="Y975" s="6"/>
      <c r="Z975" s="6">
        <f ca="1">('TUSD BE'!$AM$35+'TUSD BF'!$AM$35+'TUSD CVA'!$AM$35)*1</f>
        <v>137.4358543126599</v>
      </c>
      <c r="AA975" s="6">
        <f>('TE BE'!$AB$10+'TE BF'!$AB$10+'TE CVA'!$AB$10)*1</f>
        <v>313.22907246928764</v>
      </c>
      <c r="AB975" s="6">
        <f>$K$975*$V$975</f>
        <v>0</v>
      </c>
      <c r="AC975" s="6">
        <f>$M$975*$W$975</f>
        <v>19925.271079999999</v>
      </c>
      <c r="AD975" s="6">
        <f>$O$975*$X$975</f>
        <v>69902.507519999999</v>
      </c>
      <c r="AE975" s="6">
        <f>$K$975*$Y$975</f>
        <v>0</v>
      </c>
      <c r="AF975" s="6">
        <f ca="1">$M$975*$Z$975</f>
        <v>30887.05902651856</v>
      </c>
      <c r="AG975" s="6">
        <f>$O$975*$AA$975</f>
        <v>70394.475288602771</v>
      </c>
    </row>
    <row r="976" spans="1:33" ht="11.25" customHeight="1" x14ac:dyDescent="0.25">
      <c r="A976" s="4" t="s">
        <v>21</v>
      </c>
      <c r="B976" s="4" t="s">
        <v>41</v>
      </c>
      <c r="C976" s="4" t="s">
        <v>42</v>
      </c>
      <c r="D976" s="4" t="s">
        <v>38</v>
      </c>
      <c r="E976" s="4" t="s">
        <v>25</v>
      </c>
      <c r="F976" s="4" t="s">
        <v>25</v>
      </c>
      <c r="G976" s="4" t="s">
        <v>25</v>
      </c>
      <c r="H976" s="4" t="s">
        <v>35</v>
      </c>
      <c r="I976" s="5">
        <v>44378</v>
      </c>
      <c r="J976" s="6">
        <v>0</v>
      </c>
      <c r="K976" s="6">
        <v>0</v>
      </c>
      <c r="L976" s="6">
        <v>5372.21</v>
      </c>
      <c r="M976" s="6">
        <v>5372.21</v>
      </c>
      <c r="N976" s="6">
        <v>5372.21</v>
      </c>
      <c r="O976" s="6">
        <v>5372.21</v>
      </c>
      <c r="P976" s="6">
        <v>0</v>
      </c>
      <c r="Q976" s="4" t="s">
        <v>26</v>
      </c>
      <c r="R976" s="4">
        <v>0</v>
      </c>
      <c r="S976" s="6">
        <v>0</v>
      </c>
      <c r="T976" s="6">
        <v>31</v>
      </c>
      <c r="U976" s="6">
        <v>79</v>
      </c>
      <c r="V976" s="6">
        <f>IF(ISERROR(VLOOKUP($S$976,'TAR FIN'!$A$1:$O$116,15,0)),0,VLOOKUP($S$976,'TAR FIN'!$A$1:$O$116,15,0))</f>
        <v>0</v>
      </c>
      <c r="W976" s="6">
        <f>IF(ISERROR(VLOOKUP($T$976,'TAR FIN'!$A$1:$O$116,15,0)),0,VLOOKUP($T$976,'TAR FIN'!$A$1:$O$116,15,0))</f>
        <v>88.66</v>
      </c>
      <c r="X976" s="6">
        <f>IF(ISERROR(VLOOKUP($U$976,'TAR FIN'!$A$1:$O$116,15,0)),0,VLOOKUP($U$976,'TAR FIN'!$A$1:$O$116,15,0))</f>
        <v>311.04000000000002</v>
      </c>
      <c r="Y976" s="6"/>
      <c r="Z976" s="6">
        <f ca="1">('TUSD BE'!$AM$35+'TUSD BF'!$AM$35+'TUSD CVA'!$AM$35)*1</f>
        <v>137.4358543126599</v>
      </c>
      <c r="AA976" s="6">
        <f>('TE BE'!$AB$10+'TE BF'!$AB$10+'TE CVA'!$AB$10)*1</f>
        <v>313.22907246928764</v>
      </c>
      <c r="AB976" s="6">
        <f>$K$976*$V$976</f>
        <v>0</v>
      </c>
      <c r="AC976" s="6">
        <f>$M$976*$W$976</f>
        <v>476300.13860000001</v>
      </c>
      <c r="AD976" s="6">
        <f>$O$976*$X$976</f>
        <v>1670972.1984000001</v>
      </c>
      <c r="AE976" s="6">
        <f>$K$976*$Y$976</f>
        <v>0</v>
      </c>
      <c r="AF976" s="6">
        <f ca="1">$M$976*$Z$976</f>
        <v>738334.27089701465</v>
      </c>
      <c r="AG976" s="6">
        <f>$O$976*$AA$976</f>
        <v>1682732.3554102317</v>
      </c>
    </row>
    <row r="977" spans="1:33" ht="11.25" customHeight="1" x14ac:dyDescent="0.25">
      <c r="A977" s="4" t="s">
        <v>27</v>
      </c>
      <c r="B977" s="4" t="s">
        <v>41</v>
      </c>
      <c r="C977" s="4" t="s">
        <v>42</v>
      </c>
      <c r="D977" s="4" t="s">
        <v>38</v>
      </c>
      <c r="E977" s="4" t="s">
        <v>25</v>
      </c>
      <c r="F977" s="4" t="s">
        <v>25</v>
      </c>
      <c r="G977" s="4" t="s">
        <v>25</v>
      </c>
      <c r="H977" s="4" t="s">
        <v>35</v>
      </c>
      <c r="I977" s="5">
        <v>44378</v>
      </c>
      <c r="J977" s="6">
        <v>0</v>
      </c>
      <c r="K977" s="6">
        <v>0</v>
      </c>
      <c r="L977" s="6">
        <v>1.351</v>
      </c>
      <c r="M977" s="6">
        <v>1.351</v>
      </c>
      <c r="N977" s="6">
        <v>1.351</v>
      </c>
      <c r="O977" s="6">
        <v>1.351</v>
      </c>
      <c r="P977" s="6">
        <v>0</v>
      </c>
      <c r="Q977" s="4" t="s">
        <v>26</v>
      </c>
      <c r="R977" s="4">
        <v>0</v>
      </c>
      <c r="S977" s="6">
        <v>0</v>
      </c>
      <c r="T977" s="6">
        <v>31</v>
      </c>
      <c r="U977" s="6">
        <v>79</v>
      </c>
      <c r="V977" s="6">
        <f>IF(ISERROR(VLOOKUP($S$977,'TAR FIN'!$A$1:$O$116,15,0)),0,VLOOKUP($S$977,'TAR FIN'!$A$1:$O$116,15,0))</f>
        <v>0</v>
      </c>
      <c r="W977" s="6">
        <f>IF(ISERROR(VLOOKUP($T$977,'TAR FIN'!$A$1:$O$116,15,0)),0,VLOOKUP($T$977,'TAR FIN'!$A$1:$O$116,15,0))</f>
        <v>88.66</v>
      </c>
      <c r="X977" s="6">
        <f>IF(ISERROR(VLOOKUP($U$977,'TAR FIN'!$A$1:$O$116,15,0)),0,VLOOKUP($U$977,'TAR FIN'!$A$1:$O$116,15,0))</f>
        <v>311.04000000000002</v>
      </c>
      <c r="Y977" s="6"/>
      <c r="Z977" s="6">
        <f ca="1">('TUSD BE'!$AM$35+'TUSD BF'!$AM$35+'TUSD CVA'!$AM$35)*1</f>
        <v>137.4358543126599</v>
      </c>
      <c r="AA977" s="6">
        <f>('TE BE'!$AB$10+'TE BF'!$AB$10+'TE CVA'!$AB$10)*1</f>
        <v>313.22907246928764</v>
      </c>
      <c r="AB977" s="6">
        <f>$K$977*$V$977</f>
        <v>0</v>
      </c>
      <c r="AC977" s="6">
        <f>$M$977*$W$977</f>
        <v>119.77965999999999</v>
      </c>
      <c r="AD977" s="6">
        <f>$O$977*$X$977</f>
        <v>420.21504000000004</v>
      </c>
      <c r="AE977" s="6">
        <f>$K$977*$Y$977</f>
        <v>0</v>
      </c>
      <c r="AF977" s="6">
        <f ca="1">$M$977*$Z$977</f>
        <v>185.67583917640351</v>
      </c>
      <c r="AG977" s="6">
        <f>$O$977*$AA$977</f>
        <v>423.1724769060076</v>
      </c>
    </row>
    <row r="978" spans="1:33" ht="11.25" customHeight="1" x14ac:dyDescent="0.25">
      <c r="A978" s="4" t="s">
        <v>28</v>
      </c>
      <c r="B978" s="4" t="s">
        <v>41</v>
      </c>
      <c r="C978" s="4" t="s">
        <v>42</v>
      </c>
      <c r="D978" s="4" t="s">
        <v>38</v>
      </c>
      <c r="E978" s="4" t="s">
        <v>25</v>
      </c>
      <c r="F978" s="4" t="s">
        <v>25</v>
      </c>
      <c r="G978" s="4" t="s">
        <v>25</v>
      </c>
      <c r="H978" s="4" t="s">
        <v>35</v>
      </c>
      <c r="I978" s="5">
        <v>44378</v>
      </c>
      <c r="J978" s="6">
        <v>0</v>
      </c>
      <c r="K978" s="6">
        <v>0</v>
      </c>
      <c r="L978" s="6">
        <v>321.89100000000002</v>
      </c>
      <c r="M978" s="6">
        <v>321.89100000000002</v>
      </c>
      <c r="N978" s="6">
        <v>321.89100000000002</v>
      </c>
      <c r="O978" s="6">
        <v>321.89100000000002</v>
      </c>
      <c r="P978" s="6">
        <v>0</v>
      </c>
      <c r="Q978" s="4" t="s">
        <v>26</v>
      </c>
      <c r="R978" s="4">
        <v>0</v>
      </c>
      <c r="S978" s="6">
        <v>0</v>
      </c>
      <c r="T978" s="6">
        <v>31</v>
      </c>
      <c r="U978" s="6">
        <v>79</v>
      </c>
      <c r="V978" s="6">
        <f>IF(ISERROR(VLOOKUP($S$978,'TAR FIN'!$A$1:$O$116,15,0)),0,VLOOKUP($S$978,'TAR FIN'!$A$1:$O$116,15,0))</f>
        <v>0</v>
      </c>
      <c r="W978" s="6">
        <f>IF(ISERROR(VLOOKUP($T$978,'TAR FIN'!$A$1:$O$116,15,0)),0,VLOOKUP($T$978,'TAR FIN'!$A$1:$O$116,15,0))</f>
        <v>88.66</v>
      </c>
      <c r="X978" s="6">
        <f>IF(ISERROR(VLOOKUP($U$978,'TAR FIN'!$A$1:$O$116,15,0)),0,VLOOKUP($U$978,'TAR FIN'!$A$1:$O$116,15,0))</f>
        <v>311.04000000000002</v>
      </c>
      <c r="Y978" s="6"/>
      <c r="Z978" s="6">
        <f ca="1">('TUSD BE'!$AM$35+'TUSD BF'!$AM$35+'TUSD CVA'!$AM$35)*1</f>
        <v>137.4358543126599</v>
      </c>
      <c r="AA978" s="6">
        <f>('TE BE'!$AB$10+'TE BF'!$AB$10+'TE CVA'!$AB$10)*1</f>
        <v>313.22907246928764</v>
      </c>
      <c r="AB978" s="6">
        <f>$K$978*$V$978</f>
        <v>0</v>
      </c>
      <c r="AC978" s="6">
        <f>$M$978*$W$978</f>
        <v>28538.856060000002</v>
      </c>
      <c r="AD978" s="6">
        <f>$O$978*$X$978</f>
        <v>100120.97664000001</v>
      </c>
      <c r="AE978" s="6">
        <f>$K$978*$Y$978</f>
        <v>0</v>
      </c>
      <c r="AF978" s="6">
        <f ca="1">$M$978*$Z$978</f>
        <v>44239.364580556408</v>
      </c>
      <c r="AG978" s="6">
        <f>$O$978*$AA$978</f>
        <v>100825.61936621148</v>
      </c>
    </row>
    <row r="979" spans="1:33" ht="11.25" customHeight="1" x14ac:dyDescent="0.25">
      <c r="A979" s="4" t="s">
        <v>21</v>
      </c>
      <c r="B979" s="4" t="s">
        <v>41</v>
      </c>
      <c r="C979" s="4" t="s">
        <v>42</v>
      </c>
      <c r="D979" s="4" t="s">
        <v>38</v>
      </c>
      <c r="E979" s="4" t="s">
        <v>25</v>
      </c>
      <c r="F979" s="4" t="s">
        <v>25</v>
      </c>
      <c r="G979" s="4" t="s">
        <v>25</v>
      </c>
      <c r="H979" s="4" t="s">
        <v>35</v>
      </c>
      <c r="I979" s="5">
        <v>44409</v>
      </c>
      <c r="J979" s="6">
        <v>0</v>
      </c>
      <c r="K979" s="6">
        <v>0</v>
      </c>
      <c r="L979" s="6">
        <v>5235.54</v>
      </c>
      <c r="M979" s="6">
        <v>5235.54</v>
      </c>
      <c r="N979" s="6">
        <v>5235.54</v>
      </c>
      <c r="O979" s="6">
        <v>5235.54</v>
      </c>
      <c r="P979" s="6">
        <v>0</v>
      </c>
      <c r="Q979" s="4" t="s">
        <v>26</v>
      </c>
      <c r="R979" s="4">
        <v>0</v>
      </c>
      <c r="S979" s="6">
        <v>0</v>
      </c>
      <c r="T979" s="6">
        <v>31</v>
      </c>
      <c r="U979" s="6">
        <v>79</v>
      </c>
      <c r="V979" s="6">
        <f>IF(ISERROR(VLOOKUP($S$979,'TAR FIN'!$A$1:$O$116,15,0)),0,VLOOKUP($S$979,'TAR FIN'!$A$1:$O$116,15,0))</f>
        <v>0</v>
      </c>
      <c r="W979" s="6">
        <f>IF(ISERROR(VLOOKUP($T$979,'TAR FIN'!$A$1:$O$116,15,0)),0,VLOOKUP($T$979,'TAR FIN'!$A$1:$O$116,15,0))</f>
        <v>88.66</v>
      </c>
      <c r="X979" s="6">
        <f>IF(ISERROR(VLOOKUP($U$979,'TAR FIN'!$A$1:$O$116,15,0)),0,VLOOKUP($U$979,'TAR FIN'!$A$1:$O$116,15,0))</f>
        <v>311.04000000000002</v>
      </c>
      <c r="Y979" s="6"/>
      <c r="Z979" s="6">
        <f ca="1">('TUSD BE'!$AM$35+'TUSD BF'!$AM$35+'TUSD CVA'!$AM$35)*1</f>
        <v>137.4358543126599</v>
      </c>
      <c r="AA979" s="6">
        <f>('TE BE'!$AB$10+'TE BF'!$AB$10+'TE CVA'!$AB$10)*1</f>
        <v>313.22907246928764</v>
      </c>
      <c r="AB979" s="6">
        <f>$K$979*$V$979</f>
        <v>0</v>
      </c>
      <c r="AC979" s="6">
        <f>$M$979*$W$979</f>
        <v>464182.97639999999</v>
      </c>
      <c r="AD979" s="6">
        <f>$O$979*$X$979</f>
        <v>1628462.3616000002</v>
      </c>
      <c r="AE979" s="6">
        <f>$K$979*$Y$979</f>
        <v>0</v>
      </c>
      <c r="AF979" s="6">
        <f ca="1">$M$979*$Z$979</f>
        <v>719550.91268810339</v>
      </c>
      <c r="AG979" s="6">
        <f>$O$979*$AA$979</f>
        <v>1639923.3380758541</v>
      </c>
    </row>
    <row r="980" spans="1:33" ht="11.25" customHeight="1" x14ac:dyDescent="0.25">
      <c r="A980" s="4" t="s">
        <v>27</v>
      </c>
      <c r="B980" s="4" t="s">
        <v>41</v>
      </c>
      <c r="C980" s="4" t="s">
        <v>42</v>
      </c>
      <c r="D980" s="4" t="s">
        <v>38</v>
      </c>
      <c r="E980" s="4" t="s">
        <v>25</v>
      </c>
      <c r="F980" s="4" t="s">
        <v>25</v>
      </c>
      <c r="G980" s="4" t="s">
        <v>25</v>
      </c>
      <c r="H980" s="4" t="s">
        <v>35</v>
      </c>
      <c r="I980" s="5">
        <v>44409</v>
      </c>
      <c r="J980" s="6">
        <v>0</v>
      </c>
      <c r="K980" s="6">
        <v>0</v>
      </c>
      <c r="L980" s="6">
        <v>-38.170999999999999</v>
      </c>
      <c r="M980" s="6">
        <v>-38.170999999999999</v>
      </c>
      <c r="N980" s="6">
        <v>-38.170999999999999</v>
      </c>
      <c r="O980" s="6">
        <v>-38.170999999999999</v>
      </c>
      <c r="P980" s="6">
        <v>0</v>
      </c>
      <c r="Q980" s="4" t="s">
        <v>26</v>
      </c>
      <c r="R980" s="4">
        <v>0</v>
      </c>
      <c r="S980" s="6">
        <v>0</v>
      </c>
      <c r="T980" s="6">
        <v>31</v>
      </c>
      <c r="U980" s="6">
        <v>79</v>
      </c>
      <c r="V980" s="6">
        <f>IF(ISERROR(VLOOKUP($S$980,'TAR FIN'!$A$1:$O$116,15,0)),0,VLOOKUP($S$980,'TAR FIN'!$A$1:$O$116,15,0))</f>
        <v>0</v>
      </c>
      <c r="W980" s="6">
        <f>IF(ISERROR(VLOOKUP($T$980,'TAR FIN'!$A$1:$O$116,15,0)),0,VLOOKUP($T$980,'TAR FIN'!$A$1:$O$116,15,0))</f>
        <v>88.66</v>
      </c>
      <c r="X980" s="6">
        <f>IF(ISERROR(VLOOKUP($U$980,'TAR FIN'!$A$1:$O$116,15,0)),0,VLOOKUP($U$980,'TAR FIN'!$A$1:$O$116,15,0))</f>
        <v>311.04000000000002</v>
      </c>
      <c r="Y980" s="6"/>
      <c r="Z980" s="6">
        <f ca="1">('TUSD BE'!$AM$35+'TUSD BF'!$AM$35+'TUSD CVA'!$AM$35)*1</f>
        <v>137.4358543126599</v>
      </c>
      <c r="AA980" s="6">
        <f>('TE BE'!$AB$10+'TE BF'!$AB$10+'TE CVA'!$AB$10)*1</f>
        <v>313.22907246928764</v>
      </c>
      <c r="AB980" s="6">
        <f>$K$980*$V$980</f>
        <v>0</v>
      </c>
      <c r="AC980" s="6">
        <f>$M$980*$W$980</f>
        <v>-3384.2408599999999</v>
      </c>
      <c r="AD980" s="6">
        <f>$O$980*$X$980</f>
        <v>-11872.707840000001</v>
      </c>
      <c r="AE980" s="6">
        <f>$K$980*$Y$980</f>
        <v>0</v>
      </c>
      <c r="AF980" s="6">
        <f ca="1">$M$980*$Z$980</f>
        <v>-5246.063994968541</v>
      </c>
      <c r="AG980" s="6">
        <f>$O$980*$AA$980</f>
        <v>-11956.266925225178</v>
      </c>
    </row>
    <row r="981" spans="1:33" ht="11.25" customHeight="1" x14ac:dyDescent="0.25">
      <c r="A981" s="4" t="s">
        <v>28</v>
      </c>
      <c r="B981" s="4" t="s">
        <v>41</v>
      </c>
      <c r="C981" s="4" t="s">
        <v>42</v>
      </c>
      <c r="D981" s="4" t="s">
        <v>38</v>
      </c>
      <c r="E981" s="4" t="s">
        <v>25</v>
      </c>
      <c r="F981" s="4" t="s">
        <v>25</v>
      </c>
      <c r="G981" s="4" t="s">
        <v>25</v>
      </c>
      <c r="H981" s="4" t="s">
        <v>35</v>
      </c>
      <c r="I981" s="5">
        <v>44409</v>
      </c>
      <c r="J981" s="6">
        <v>0</v>
      </c>
      <c r="K981" s="6">
        <v>0</v>
      </c>
      <c r="L981" s="6">
        <v>280.16800000000001</v>
      </c>
      <c r="M981" s="6">
        <v>280.16800000000001</v>
      </c>
      <c r="N981" s="6">
        <v>280.16800000000001</v>
      </c>
      <c r="O981" s="6">
        <v>280.16800000000001</v>
      </c>
      <c r="P981" s="6">
        <v>0</v>
      </c>
      <c r="Q981" s="4" t="s">
        <v>26</v>
      </c>
      <c r="R981" s="4">
        <v>0</v>
      </c>
      <c r="S981" s="6">
        <v>0</v>
      </c>
      <c r="T981" s="6">
        <v>31</v>
      </c>
      <c r="U981" s="6">
        <v>79</v>
      </c>
      <c r="V981" s="6">
        <f>IF(ISERROR(VLOOKUP($S$981,'TAR FIN'!$A$1:$O$116,15,0)),0,VLOOKUP($S$981,'TAR FIN'!$A$1:$O$116,15,0))</f>
        <v>0</v>
      </c>
      <c r="W981" s="6">
        <f>IF(ISERROR(VLOOKUP($T$981,'TAR FIN'!$A$1:$O$116,15,0)),0,VLOOKUP($T$981,'TAR FIN'!$A$1:$O$116,15,0))</f>
        <v>88.66</v>
      </c>
      <c r="X981" s="6">
        <f>IF(ISERROR(VLOOKUP($U$981,'TAR FIN'!$A$1:$O$116,15,0)),0,VLOOKUP($U$981,'TAR FIN'!$A$1:$O$116,15,0))</f>
        <v>311.04000000000002</v>
      </c>
      <c r="Y981" s="6"/>
      <c r="Z981" s="6">
        <f ca="1">('TUSD BE'!$AM$35+'TUSD BF'!$AM$35+'TUSD CVA'!$AM$35)*1</f>
        <v>137.4358543126599</v>
      </c>
      <c r="AA981" s="6">
        <f>('TE BE'!$AB$10+'TE BF'!$AB$10+'TE CVA'!$AB$10)*1</f>
        <v>313.22907246928764</v>
      </c>
      <c r="AB981" s="6">
        <f>$K$981*$V$981</f>
        <v>0</v>
      </c>
      <c r="AC981" s="6">
        <f>$M$981*$W$981</f>
        <v>24839.694879999999</v>
      </c>
      <c r="AD981" s="6">
        <f>$O$981*$X$981</f>
        <v>87143.454720000009</v>
      </c>
      <c r="AE981" s="6">
        <f>$K$981*$Y$981</f>
        <v>0</v>
      </c>
      <c r="AF981" s="6">
        <f ca="1">$M$981*$Z$981</f>
        <v>38505.128431069301</v>
      </c>
      <c r="AG981" s="6">
        <f>$O$981*$AA$981</f>
        <v>87756.762775575378</v>
      </c>
    </row>
    <row r="982" spans="1:33" ht="11.25" customHeight="1" x14ac:dyDescent="0.25">
      <c r="A982" s="4" t="s">
        <v>21</v>
      </c>
      <c r="B982" s="4" t="s">
        <v>41</v>
      </c>
      <c r="C982" s="4" t="s">
        <v>42</v>
      </c>
      <c r="D982" s="4" t="s">
        <v>38</v>
      </c>
      <c r="E982" s="4" t="s">
        <v>25</v>
      </c>
      <c r="F982" s="4" t="s">
        <v>25</v>
      </c>
      <c r="G982" s="4" t="s">
        <v>25</v>
      </c>
      <c r="H982" s="4" t="s">
        <v>35</v>
      </c>
      <c r="I982" s="5">
        <v>44440</v>
      </c>
      <c r="J982" s="6">
        <v>0</v>
      </c>
      <c r="K982" s="6">
        <v>0</v>
      </c>
      <c r="L982" s="6">
        <v>5235.0050000000001</v>
      </c>
      <c r="M982" s="6">
        <v>5235.0050000000001</v>
      </c>
      <c r="N982" s="6">
        <v>5235.0050000000001</v>
      </c>
      <c r="O982" s="6">
        <v>5235.0050000000001</v>
      </c>
      <c r="P982" s="6">
        <v>0</v>
      </c>
      <c r="Q982" s="4" t="s">
        <v>26</v>
      </c>
      <c r="R982" s="4">
        <v>0</v>
      </c>
      <c r="S982" s="6">
        <v>0</v>
      </c>
      <c r="T982" s="6">
        <v>31</v>
      </c>
      <c r="U982" s="6">
        <v>79</v>
      </c>
      <c r="V982" s="6">
        <f>IF(ISERROR(VLOOKUP($S$982,'TAR FIN'!$A$1:$O$116,15,0)),0,VLOOKUP($S$982,'TAR FIN'!$A$1:$O$116,15,0))</f>
        <v>0</v>
      </c>
      <c r="W982" s="6">
        <f>IF(ISERROR(VLOOKUP($T$982,'TAR FIN'!$A$1:$O$116,15,0)),0,VLOOKUP($T$982,'TAR FIN'!$A$1:$O$116,15,0))</f>
        <v>88.66</v>
      </c>
      <c r="X982" s="6">
        <f>IF(ISERROR(VLOOKUP($U$982,'TAR FIN'!$A$1:$O$116,15,0)),0,VLOOKUP($U$982,'TAR FIN'!$A$1:$O$116,15,0))</f>
        <v>311.04000000000002</v>
      </c>
      <c r="Y982" s="6"/>
      <c r="Z982" s="6">
        <f ca="1">('TUSD BE'!$AM$35+'TUSD BF'!$AM$35+'TUSD CVA'!$AM$35)*1</f>
        <v>137.4358543126599</v>
      </c>
      <c r="AA982" s="6">
        <f>('TE BE'!$AB$10+'TE BF'!$AB$10+'TE CVA'!$AB$10)*1</f>
        <v>313.22907246928764</v>
      </c>
      <c r="AB982" s="6">
        <f>$K$982*$V$982</f>
        <v>0</v>
      </c>
      <c r="AC982" s="6">
        <f>$M$982*$W$982</f>
        <v>464135.54330000002</v>
      </c>
      <c r="AD982" s="6">
        <f>$O$982*$X$982</f>
        <v>1628295.9552000002</v>
      </c>
      <c r="AE982" s="6">
        <f>$K$982*$Y$982</f>
        <v>0</v>
      </c>
      <c r="AF982" s="6">
        <f ca="1">$M$982*$Z$982</f>
        <v>719477.38450604619</v>
      </c>
      <c r="AG982" s="6">
        <f>$O$982*$AA$982</f>
        <v>1639755.7605220831</v>
      </c>
    </row>
    <row r="983" spans="1:33" ht="11.25" customHeight="1" x14ac:dyDescent="0.25">
      <c r="A983" s="4" t="s">
        <v>28</v>
      </c>
      <c r="B983" s="4" t="s">
        <v>41</v>
      </c>
      <c r="C983" s="4" t="s">
        <v>42</v>
      </c>
      <c r="D983" s="4" t="s">
        <v>38</v>
      </c>
      <c r="E983" s="4" t="s">
        <v>25</v>
      </c>
      <c r="F983" s="4" t="s">
        <v>25</v>
      </c>
      <c r="G983" s="4" t="s">
        <v>25</v>
      </c>
      <c r="H983" s="4" t="s">
        <v>35</v>
      </c>
      <c r="I983" s="5">
        <v>44440</v>
      </c>
      <c r="J983" s="6">
        <v>0</v>
      </c>
      <c r="K983" s="6">
        <v>0</v>
      </c>
      <c r="L983" s="6">
        <v>290.33600000000001</v>
      </c>
      <c r="M983" s="6">
        <v>290.33600000000001</v>
      </c>
      <c r="N983" s="6">
        <v>290.33600000000001</v>
      </c>
      <c r="O983" s="6">
        <v>290.33600000000001</v>
      </c>
      <c r="P983" s="6">
        <v>0</v>
      </c>
      <c r="Q983" s="4" t="s">
        <v>26</v>
      </c>
      <c r="R983" s="4">
        <v>0</v>
      </c>
      <c r="S983" s="6">
        <v>0</v>
      </c>
      <c r="T983" s="6">
        <v>31</v>
      </c>
      <c r="U983" s="6">
        <v>79</v>
      </c>
      <c r="V983" s="6">
        <f>IF(ISERROR(VLOOKUP($S$983,'TAR FIN'!$A$1:$O$116,15,0)),0,VLOOKUP($S$983,'TAR FIN'!$A$1:$O$116,15,0))</f>
        <v>0</v>
      </c>
      <c r="W983" s="6">
        <f>IF(ISERROR(VLOOKUP($T$983,'TAR FIN'!$A$1:$O$116,15,0)),0,VLOOKUP($T$983,'TAR FIN'!$A$1:$O$116,15,0))</f>
        <v>88.66</v>
      </c>
      <c r="X983" s="6">
        <f>IF(ISERROR(VLOOKUP($U$983,'TAR FIN'!$A$1:$O$116,15,0)),0,VLOOKUP($U$983,'TAR FIN'!$A$1:$O$116,15,0))</f>
        <v>311.04000000000002</v>
      </c>
      <c r="Y983" s="6"/>
      <c r="Z983" s="6">
        <f ca="1">('TUSD BE'!$AM$35+'TUSD BF'!$AM$35+'TUSD CVA'!$AM$35)*1</f>
        <v>137.4358543126599</v>
      </c>
      <c r="AA983" s="6">
        <f>('TE BE'!$AB$10+'TE BF'!$AB$10+'TE CVA'!$AB$10)*1</f>
        <v>313.22907246928764</v>
      </c>
      <c r="AB983" s="6">
        <f>$K$983*$V$983</f>
        <v>0</v>
      </c>
      <c r="AC983" s="6">
        <f>$M$983*$W$983</f>
        <v>25741.189760000001</v>
      </c>
      <c r="AD983" s="6">
        <f>$O$983*$X$983</f>
        <v>90306.109440000015</v>
      </c>
      <c r="AE983" s="6">
        <f>$K$983*$Y$983</f>
        <v>0</v>
      </c>
      <c r="AF983" s="6">
        <f ca="1">$M$983*$Z$983</f>
        <v>39902.576197720424</v>
      </c>
      <c r="AG983" s="6">
        <f>$O$983*$AA$983</f>
        <v>90941.675984443107</v>
      </c>
    </row>
    <row r="984" spans="1:33" ht="11.25" customHeight="1" x14ac:dyDescent="0.25">
      <c r="A984" s="4" t="s">
        <v>21</v>
      </c>
      <c r="B984" s="4" t="s">
        <v>41</v>
      </c>
      <c r="C984" s="4" t="s">
        <v>42</v>
      </c>
      <c r="D984" s="4" t="s">
        <v>38</v>
      </c>
      <c r="E984" s="4" t="s">
        <v>25</v>
      </c>
      <c r="F984" s="4" t="s">
        <v>25</v>
      </c>
      <c r="G984" s="4" t="s">
        <v>25</v>
      </c>
      <c r="H984" s="4" t="s">
        <v>35</v>
      </c>
      <c r="I984" s="5">
        <v>44470</v>
      </c>
      <c r="J984" s="6">
        <v>0</v>
      </c>
      <c r="K984" s="6">
        <v>0</v>
      </c>
      <c r="L984" s="6">
        <v>5054.7309999999998</v>
      </c>
      <c r="M984" s="6">
        <v>5054.7309999999998</v>
      </c>
      <c r="N984" s="6">
        <v>5054.7309999999998</v>
      </c>
      <c r="O984" s="6">
        <v>5054.7309999999998</v>
      </c>
      <c r="P984" s="6">
        <v>0</v>
      </c>
      <c r="Q984" s="4" t="s">
        <v>26</v>
      </c>
      <c r="R984" s="4">
        <v>0</v>
      </c>
      <c r="S984" s="6">
        <v>0</v>
      </c>
      <c r="T984" s="6">
        <v>31</v>
      </c>
      <c r="U984" s="6">
        <v>79</v>
      </c>
      <c r="V984" s="6">
        <f>IF(ISERROR(VLOOKUP($S$984,'TAR FIN'!$A$1:$O$116,15,0)),0,VLOOKUP($S$984,'TAR FIN'!$A$1:$O$116,15,0))</f>
        <v>0</v>
      </c>
      <c r="W984" s="6">
        <f>IF(ISERROR(VLOOKUP($T$984,'TAR FIN'!$A$1:$O$116,15,0)),0,VLOOKUP($T$984,'TAR FIN'!$A$1:$O$116,15,0))</f>
        <v>88.66</v>
      </c>
      <c r="X984" s="6">
        <f>IF(ISERROR(VLOOKUP($U$984,'TAR FIN'!$A$1:$O$116,15,0)),0,VLOOKUP($U$984,'TAR FIN'!$A$1:$O$116,15,0))</f>
        <v>311.04000000000002</v>
      </c>
      <c r="Y984" s="6"/>
      <c r="Z984" s="6">
        <f ca="1">('TUSD BE'!$AM$35+'TUSD BF'!$AM$35+'TUSD CVA'!$AM$35)*1</f>
        <v>137.4358543126599</v>
      </c>
      <c r="AA984" s="6">
        <f>('TE BE'!$AB$10+'TE BF'!$AB$10+'TE CVA'!$AB$10)*1</f>
        <v>313.22907246928764</v>
      </c>
      <c r="AB984" s="6">
        <f>$K$984*$V$984</f>
        <v>0</v>
      </c>
      <c r="AC984" s="6">
        <f>$M$984*$W$984</f>
        <v>448152.45045999996</v>
      </c>
      <c r="AD984" s="6">
        <f>$O$984*$X$984</f>
        <v>1572223.53024</v>
      </c>
      <c r="AE984" s="6">
        <f>$K$984*$Y$984</f>
        <v>0</v>
      </c>
      <c r="AF984" s="6">
        <f ca="1">$M$984*$Z$984</f>
        <v>694701.27330568561</v>
      </c>
      <c r="AG984" s="6">
        <f>$O$984*$AA$984</f>
        <v>1583288.7027117547</v>
      </c>
    </row>
    <row r="985" spans="1:33" ht="11.25" customHeight="1" x14ac:dyDescent="0.25">
      <c r="A985" s="4" t="s">
        <v>28</v>
      </c>
      <c r="B985" s="4" t="s">
        <v>41</v>
      </c>
      <c r="C985" s="4" t="s">
        <v>42</v>
      </c>
      <c r="D985" s="4" t="s">
        <v>38</v>
      </c>
      <c r="E985" s="4" t="s">
        <v>25</v>
      </c>
      <c r="F985" s="4" t="s">
        <v>25</v>
      </c>
      <c r="G985" s="4" t="s">
        <v>25</v>
      </c>
      <c r="H985" s="4" t="s">
        <v>35</v>
      </c>
      <c r="I985" s="5">
        <v>44470</v>
      </c>
      <c r="J985" s="6">
        <v>0</v>
      </c>
      <c r="K985" s="6">
        <v>0</v>
      </c>
      <c r="L985" s="6">
        <v>281.50299999999999</v>
      </c>
      <c r="M985" s="6">
        <v>281.50299999999999</v>
      </c>
      <c r="N985" s="6">
        <v>281.50299999999999</v>
      </c>
      <c r="O985" s="6">
        <v>281.50299999999999</v>
      </c>
      <c r="P985" s="6">
        <v>0</v>
      </c>
      <c r="Q985" s="4" t="s">
        <v>26</v>
      </c>
      <c r="R985" s="4">
        <v>0</v>
      </c>
      <c r="S985" s="6">
        <v>0</v>
      </c>
      <c r="T985" s="6">
        <v>31</v>
      </c>
      <c r="U985" s="6">
        <v>79</v>
      </c>
      <c r="V985" s="6">
        <f>IF(ISERROR(VLOOKUP($S$985,'TAR FIN'!$A$1:$O$116,15,0)),0,VLOOKUP($S$985,'TAR FIN'!$A$1:$O$116,15,0))</f>
        <v>0</v>
      </c>
      <c r="W985" s="6">
        <f>IF(ISERROR(VLOOKUP($T$985,'TAR FIN'!$A$1:$O$116,15,0)),0,VLOOKUP($T$985,'TAR FIN'!$A$1:$O$116,15,0))</f>
        <v>88.66</v>
      </c>
      <c r="X985" s="6">
        <f>IF(ISERROR(VLOOKUP($U$985,'TAR FIN'!$A$1:$O$116,15,0)),0,VLOOKUP($U$985,'TAR FIN'!$A$1:$O$116,15,0))</f>
        <v>311.04000000000002</v>
      </c>
      <c r="Y985" s="6"/>
      <c r="Z985" s="6">
        <f ca="1">('TUSD BE'!$AM$35+'TUSD BF'!$AM$35+'TUSD CVA'!$AM$35)*1</f>
        <v>137.4358543126599</v>
      </c>
      <c r="AA985" s="6">
        <f>('TE BE'!$AB$10+'TE BF'!$AB$10+'TE CVA'!$AB$10)*1</f>
        <v>313.22907246928764</v>
      </c>
      <c r="AB985" s="6">
        <f>$K$985*$V$985</f>
        <v>0</v>
      </c>
      <c r="AC985" s="6">
        <f>$M$985*$W$985</f>
        <v>24958.055979999997</v>
      </c>
      <c r="AD985" s="6">
        <f>$O$985*$X$985</f>
        <v>87558.693119999996</v>
      </c>
      <c r="AE985" s="6">
        <f>$K$985*$Y$985</f>
        <v>0</v>
      </c>
      <c r="AF985" s="6">
        <f ca="1">$M$985*$Z$985</f>
        <v>38688.605296576694</v>
      </c>
      <c r="AG985" s="6">
        <f>$O$985*$AA$985</f>
        <v>88174.923587321871</v>
      </c>
    </row>
    <row r="986" spans="1:33" ht="11.25" customHeight="1" x14ac:dyDescent="0.25">
      <c r="A986" s="4" t="s">
        <v>21</v>
      </c>
      <c r="B986" s="4" t="s">
        <v>41</v>
      </c>
      <c r="C986" s="4" t="s">
        <v>42</v>
      </c>
      <c r="D986" s="4" t="s">
        <v>38</v>
      </c>
      <c r="E986" s="4" t="s">
        <v>25</v>
      </c>
      <c r="F986" s="4" t="s">
        <v>25</v>
      </c>
      <c r="G986" s="4" t="s">
        <v>25</v>
      </c>
      <c r="H986" s="4" t="s">
        <v>35</v>
      </c>
      <c r="I986" s="5">
        <v>44501</v>
      </c>
      <c r="J986" s="6">
        <v>0</v>
      </c>
      <c r="K986" s="6">
        <v>0</v>
      </c>
      <c r="L986" s="6">
        <v>4938.0870000000004</v>
      </c>
      <c r="M986" s="6">
        <v>4938.0870000000004</v>
      </c>
      <c r="N986" s="6">
        <v>4938.0870000000004</v>
      </c>
      <c r="O986" s="6">
        <v>4938.0870000000004</v>
      </c>
      <c r="P986" s="6">
        <v>0</v>
      </c>
      <c r="Q986" s="4" t="s">
        <v>26</v>
      </c>
      <c r="R986" s="4">
        <v>0</v>
      </c>
      <c r="S986" s="6">
        <v>0</v>
      </c>
      <c r="T986" s="6">
        <v>31</v>
      </c>
      <c r="U986" s="6">
        <v>79</v>
      </c>
      <c r="V986" s="6">
        <f>IF(ISERROR(VLOOKUP($S$986,'TAR FIN'!$A$1:$O$116,15,0)),0,VLOOKUP($S$986,'TAR FIN'!$A$1:$O$116,15,0))</f>
        <v>0</v>
      </c>
      <c r="W986" s="6">
        <f>IF(ISERROR(VLOOKUP($T$986,'TAR FIN'!$A$1:$O$116,15,0)),0,VLOOKUP($T$986,'TAR FIN'!$A$1:$O$116,15,0))</f>
        <v>88.66</v>
      </c>
      <c r="X986" s="6">
        <f>IF(ISERROR(VLOOKUP($U$986,'TAR FIN'!$A$1:$O$116,15,0)),0,VLOOKUP($U$986,'TAR FIN'!$A$1:$O$116,15,0))</f>
        <v>311.04000000000002</v>
      </c>
      <c r="Y986" s="6"/>
      <c r="Z986" s="6">
        <f ca="1">('TUSD BE'!$AM$35+'TUSD BF'!$AM$35+'TUSD CVA'!$AM$35)*1</f>
        <v>137.4358543126599</v>
      </c>
      <c r="AA986" s="6">
        <f>('TE BE'!$AB$10+'TE BF'!$AB$10+'TE CVA'!$AB$10)*1</f>
        <v>313.22907246928764</v>
      </c>
      <c r="AB986" s="6">
        <f>$K$986*$V$986</f>
        <v>0</v>
      </c>
      <c r="AC986" s="6">
        <f>$M$986*$W$986</f>
        <v>437810.79342</v>
      </c>
      <c r="AD986" s="6">
        <f>$O$986*$X$986</f>
        <v>1535942.5804800002</v>
      </c>
      <c r="AE986" s="6">
        <f>$K$986*$Y$986</f>
        <v>0</v>
      </c>
      <c r="AF986" s="6">
        <f ca="1">$M$986*$Z$986</f>
        <v>678670.20551523985</v>
      </c>
      <c r="AG986" s="6">
        <f>$O$986*$AA$986</f>
        <v>1546752.4107826473</v>
      </c>
    </row>
    <row r="987" spans="1:33" ht="11.25" customHeight="1" x14ac:dyDescent="0.25">
      <c r="A987" s="4" t="s">
        <v>28</v>
      </c>
      <c r="B987" s="4" t="s">
        <v>41</v>
      </c>
      <c r="C987" s="4" t="s">
        <v>42</v>
      </c>
      <c r="D987" s="4" t="s">
        <v>38</v>
      </c>
      <c r="E987" s="4" t="s">
        <v>25</v>
      </c>
      <c r="F987" s="4" t="s">
        <v>25</v>
      </c>
      <c r="G987" s="4" t="s">
        <v>25</v>
      </c>
      <c r="H987" s="4" t="s">
        <v>35</v>
      </c>
      <c r="I987" s="5">
        <v>44501</v>
      </c>
      <c r="J987" s="6">
        <v>0</v>
      </c>
      <c r="K987" s="6">
        <v>0</v>
      </c>
      <c r="L987" s="6">
        <v>289.91399999999999</v>
      </c>
      <c r="M987" s="6">
        <v>289.91399999999999</v>
      </c>
      <c r="N987" s="6">
        <v>289.91399999999999</v>
      </c>
      <c r="O987" s="6">
        <v>289.91399999999999</v>
      </c>
      <c r="P987" s="6">
        <v>0</v>
      </c>
      <c r="Q987" s="4" t="s">
        <v>26</v>
      </c>
      <c r="R987" s="4">
        <v>0</v>
      </c>
      <c r="S987" s="6">
        <v>0</v>
      </c>
      <c r="T987" s="6">
        <v>31</v>
      </c>
      <c r="U987" s="6">
        <v>79</v>
      </c>
      <c r="V987" s="6">
        <f>IF(ISERROR(VLOOKUP($S$987,'TAR FIN'!$A$1:$O$116,15,0)),0,VLOOKUP($S$987,'TAR FIN'!$A$1:$O$116,15,0))</f>
        <v>0</v>
      </c>
      <c r="W987" s="6">
        <f>IF(ISERROR(VLOOKUP($T$987,'TAR FIN'!$A$1:$O$116,15,0)),0,VLOOKUP($T$987,'TAR FIN'!$A$1:$O$116,15,0))</f>
        <v>88.66</v>
      </c>
      <c r="X987" s="6">
        <f>IF(ISERROR(VLOOKUP($U$987,'TAR FIN'!$A$1:$O$116,15,0)),0,VLOOKUP($U$987,'TAR FIN'!$A$1:$O$116,15,0))</f>
        <v>311.04000000000002</v>
      </c>
      <c r="Y987" s="6"/>
      <c r="Z987" s="6">
        <f ca="1">('TUSD BE'!$AM$35+'TUSD BF'!$AM$35+'TUSD CVA'!$AM$35)*1</f>
        <v>137.4358543126599</v>
      </c>
      <c r="AA987" s="6">
        <f>('TE BE'!$AB$10+'TE BF'!$AB$10+'TE CVA'!$AB$10)*1</f>
        <v>313.22907246928764</v>
      </c>
      <c r="AB987" s="6">
        <f>$K$987*$V$987</f>
        <v>0</v>
      </c>
      <c r="AC987" s="6">
        <f>$M$987*$W$987</f>
        <v>25703.775239999999</v>
      </c>
      <c r="AD987" s="6">
        <f>$O$987*$X$987</f>
        <v>90174.850560000006</v>
      </c>
      <c r="AE987" s="6">
        <f>$K$987*$Y$987</f>
        <v>0</v>
      </c>
      <c r="AF987" s="6">
        <f ca="1">$M$987*$Z$987</f>
        <v>39844.578267200479</v>
      </c>
      <c r="AG987" s="6">
        <f>$O$987*$AA$987</f>
        <v>90809.493315861051</v>
      </c>
    </row>
    <row r="988" spans="1:33" ht="11.25" customHeight="1" x14ac:dyDescent="0.25">
      <c r="A988" s="4" t="s">
        <v>21</v>
      </c>
      <c r="B988" s="4" t="s">
        <v>41</v>
      </c>
      <c r="C988" s="4" t="s">
        <v>42</v>
      </c>
      <c r="D988" s="4" t="s">
        <v>38</v>
      </c>
      <c r="E988" s="4" t="s">
        <v>25</v>
      </c>
      <c r="F988" s="4" t="s">
        <v>25</v>
      </c>
      <c r="G988" s="4" t="s">
        <v>25</v>
      </c>
      <c r="H988" s="4" t="s">
        <v>35</v>
      </c>
      <c r="I988" s="5">
        <v>44531</v>
      </c>
      <c r="J988" s="6">
        <v>0</v>
      </c>
      <c r="K988" s="6">
        <v>0</v>
      </c>
      <c r="L988" s="6">
        <v>4622.7139999999999</v>
      </c>
      <c r="M988" s="6">
        <v>4622.7139999999999</v>
      </c>
      <c r="N988" s="6">
        <v>4622.7139999999999</v>
      </c>
      <c r="O988" s="6">
        <v>4622.7139999999999</v>
      </c>
      <c r="P988" s="6">
        <v>0</v>
      </c>
      <c r="Q988" s="4" t="s">
        <v>26</v>
      </c>
      <c r="R988" s="4">
        <v>0</v>
      </c>
      <c r="S988" s="6">
        <v>0</v>
      </c>
      <c r="T988" s="6">
        <v>31</v>
      </c>
      <c r="U988" s="6">
        <v>79</v>
      </c>
      <c r="V988" s="6">
        <f>IF(ISERROR(VLOOKUP($S$988,'TAR FIN'!$A$1:$O$116,15,0)),0,VLOOKUP($S$988,'TAR FIN'!$A$1:$O$116,15,0))</f>
        <v>0</v>
      </c>
      <c r="W988" s="6">
        <f>IF(ISERROR(VLOOKUP($T$988,'TAR FIN'!$A$1:$O$116,15,0)),0,VLOOKUP($T$988,'TAR FIN'!$A$1:$O$116,15,0))</f>
        <v>88.66</v>
      </c>
      <c r="X988" s="6">
        <f>IF(ISERROR(VLOOKUP($U$988,'TAR FIN'!$A$1:$O$116,15,0)),0,VLOOKUP($U$988,'TAR FIN'!$A$1:$O$116,15,0))</f>
        <v>311.04000000000002</v>
      </c>
      <c r="Y988" s="6"/>
      <c r="Z988" s="6">
        <f ca="1">('TUSD BE'!$AM$35+'TUSD BF'!$AM$35+'TUSD CVA'!$AM$35)*1</f>
        <v>137.4358543126599</v>
      </c>
      <c r="AA988" s="6">
        <f>('TE BE'!$AB$10+'TE BF'!$AB$10+'TE CVA'!$AB$10)*1</f>
        <v>313.22907246928764</v>
      </c>
      <c r="AB988" s="6">
        <f>$K$988*$V$988</f>
        <v>0</v>
      </c>
      <c r="AC988" s="6">
        <f>$M$988*$W$988</f>
        <v>409849.82324</v>
      </c>
      <c r="AD988" s="6">
        <f>$O$988*$X$988</f>
        <v>1437848.9625600001</v>
      </c>
      <c r="AE988" s="6">
        <f>$K$988*$Y$988</f>
        <v>0</v>
      </c>
      <c r="AF988" s="6">
        <f ca="1">$M$988*$Z$988</f>
        <v>635326.6478330933</v>
      </c>
      <c r="AG988" s="6">
        <f>$O$988*$AA$988</f>
        <v>1447968.4185107904</v>
      </c>
    </row>
    <row r="989" spans="1:33" ht="11.25" customHeight="1" x14ac:dyDescent="0.25">
      <c r="A989" s="4" t="s">
        <v>27</v>
      </c>
      <c r="B989" s="4" t="s">
        <v>41</v>
      </c>
      <c r="C989" s="4" t="s">
        <v>42</v>
      </c>
      <c r="D989" s="4" t="s">
        <v>38</v>
      </c>
      <c r="E989" s="4" t="s">
        <v>25</v>
      </c>
      <c r="F989" s="4" t="s">
        <v>25</v>
      </c>
      <c r="G989" s="4" t="s">
        <v>25</v>
      </c>
      <c r="H989" s="4" t="s">
        <v>35</v>
      </c>
      <c r="I989" s="5">
        <v>44531</v>
      </c>
      <c r="J989" s="6">
        <v>0</v>
      </c>
      <c r="K989" s="6">
        <v>0</v>
      </c>
      <c r="L989" s="6">
        <v>-15.18</v>
      </c>
      <c r="M989" s="6">
        <v>-15.18</v>
      </c>
      <c r="N989" s="6">
        <v>-15.18</v>
      </c>
      <c r="O989" s="6">
        <v>-15.18</v>
      </c>
      <c r="P989" s="6">
        <v>0</v>
      </c>
      <c r="Q989" s="4" t="s">
        <v>26</v>
      </c>
      <c r="R989" s="4">
        <v>0</v>
      </c>
      <c r="S989" s="6">
        <v>0</v>
      </c>
      <c r="T989" s="6">
        <v>31</v>
      </c>
      <c r="U989" s="6">
        <v>79</v>
      </c>
      <c r="V989" s="6">
        <f>IF(ISERROR(VLOOKUP($S$989,'TAR FIN'!$A$1:$O$116,15,0)),0,VLOOKUP($S$989,'TAR FIN'!$A$1:$O$116,15,0))</f>
        <v>0</v>
      </c>
      <c r="W989" s="6">
        <f>IF(ISERROR(VLOOKUP($T$989,'TAR FIN'!$A$1:$O$116,15,0)),0,VLOOKUP($T$989,'TAR FIN'!$A$1:$O$116,15,0))</f>
        <v>88.66</v>
      </c>
      <c r="X989" s="6">
        <f>IF(ISERROR(VLOOKUP($U$989,'TAR FIN'!$A$1:$O$116,15,0)),0,VLOOKUP($U$989,'TAR FIN'!$A$1:$O$116,15,0))</f>
        <v>311.04000000000002</v>
      </c>
      <c r="Y989" s="6"/>
      <c r="Z989" s="6">
        <f ca="1">('TUSD BE'!$AM$35+'TUSD BF'!$AM$35+'TUSD CVA'!$AM$35)*1</f>
        <v>137.4358543126599</v>
      </c>
      <c r="AA989" s="6">
        <f>('TE BE'!$AB$10+'TE BF'!$AB$10+'TE CVA'!$AB$10)*1</f>
        <v>313.22907246928764</v>
      </c>
      <c r="AB989" s="6">
        <f>$K$989*$V$989</f>
        <v>0</v>
      </c>
      <c r="AC989" s="6">
        <f>$M$989*$W$989</f>
        <v>-1345.8588</v>
      </c>
      <c r="AD989" s="6">
        <f>$O$989*$X$989</f>
        <v>-4721.5871999999999</v>
      </c>
      <c r="AE989" s="6">
        <f>$K$989*$Y$989</f>
        <v>0</v>
      </c>
      <c r="AF989" s="6">
        <f ca="1">$M$989*$Z$989</f>
        <v>-2086.276268466177</v>
      </c>
      <c r="AG989" s="6">
        <f>$O$989*$AA$989</f>
        <v>-4754.8173200837864</v>
      </c>
    </row>
    <row r="990" spans="1:33" ht="11.25" customHeight="1" x14ac:dyDescent="0.25">
      <c r="A990" s="4" t="s">
        <v>28</v>
      </c>
      <c r="B990" s="4" t="s">
        <v>41</v>
      </c>
      <c r="C990" s="4" t="s">
        <v>42</v>
      </c>
      <c r="D990" s="4" t="s">
        <v>38</v>
      </c>
      <c r="E990" s="4" t="s">
        <v>25</v>
      </c>
      <c r="F990" s="4" t="s">
        <v>25</v>
      </c>
      <c r="G990" s="4" t="s">
        <v>25</v>
      </c>
      <c r="H990" s="4" t="s">
        <v>35</v>
      </c>
      <c r="I990" s="5">
        <v>44531</v>
      </c>
      <c r="J990" s="6">
        <v>0</v>
      </c>
      <c r="K990" s="6">
        <v>0</v>
      </c>
      <c r="L990" s="6">
        <v>276.041</v>
      </c>
      <c r="M990" s="6">
        <v>276.041</v>
      </c>
      <c r="N990" s="6">
        <v>276.041</v>
      </c>
      <c r="O990" s="6">
        <v>276.041</v>
      </c>
      <c r="P990" s="6">
        <v>0</v>
      </c>
      <c r="Q990" s="4" t="s">
        <v>26</v>
      </c>
      <c r="R990" s="4">
        <v>0</v>
      </c>
      <c r="S990" s="6">
        <v>0</v>
      </c>
      <c r="T990" s="6">
        <v>31</v>
      </c>
      <c r="U990" s="6">
        <v>79</v>
      </c>
      <c r="V990" s="6">
        <f>IF(ISERROR(VLOOKUP($S$990,'TAR FIN'!$A$1:$O$116,15,0)),0,VLOOKUP($S$990,'TAR FIN'!$A$1:$O$116,15,0))</f>
        <v>0</v>
      </c>
      <c r="W990" s="6">
        <f>IF(ISERROR(VLOOKUP($T$990,'TAR FIN'!$A$1:$O$116,15,0)),0,VLOOKUP($T$990,'TAR FIN'!$A$1:$O$116,15,0))</f>
        <v>88.66</v>
      </c>
      <c r="X990" s="6">
        <f>IF(ISERROR(VLOOKUP($U$990,'TAR FIN'!$A$1:$O$116,15,0)),0,VLOOKUP($U$990,'TAR FIN'!$A$1:$O$116,15,0))</f>
        <v>311.04000000000002</v>
      </c>
      <c r="Y990" s="6"/>
      <c r="Z990" s="6">
        <f ca="1">('TUSD BE'!$AM$35+'TUSD BF'!$AM$35+'TUSD CVA'!$AM$35)*1</f>
        <v>137.4358543126599</v>
      </c>
      <c r="AA990" s="6">
        <f>('TE BE'!$AB$10+'TE BF'!$AB$10+'TE CVA'!$AB$10)*1</f>
        <v>313.22907246928764</v>
      </c>
      <c r="AB990" s="6">
        <f>$K$990*$V$990</f>
        <v>0</v>
      </c>
      <c r="AC990" s="6">
        <f>$M$990*$W$990</f>
        <v>24473.79506</v>
      </c>
      <c r="AD990" s="6">
        <f>$O$990*$X$990</f>
        <v>85859.79264</v>
      </c>
      <c r="AE990" s="6">
        <f>$K$990*$Y$990</f>
        <v>0</v>
      </c>
      <c r="AF990" s="6">
        <f ca="1">$M$990*$Z$990</f>
        <v>37937.930660320948</v>
      </c>
      <c r="AG990" s="6">
        <f>$O$990*$AA$990</f>
        <v>86464.066393494635</v>
      </c>
    </row>
    <row r="991" spans="1:33" ht="11.25" customHeight="1" x14ac:dyDescent="0.25">
      <c r="A991" s="4" t="s">
        <v>21</v>
      </c>
      <c r="B991" s="4" t="s">
        <v>41</v>
      </c>
      <c r="C991" s="4" t="s">
        <v>42</v>
      </c>
      <c r="D991" s="4" t="s">
        <v>38</v>
      </c>
      <c r="E991" s="4" t="s">
        <v>25</v>
      </c>
      <c r="F991" s="4" t="s">
        <v>25</v>
      </c>
      <c r="G991" s="4" t="s">
        <v>25</v>
      </c>
      <c r="H991" s="4" t="s">
        <v>35</v>
      </c>
      <c r="I991" s="5">
        <v>44562</v>
      </c>
      <c r="J991" s="6">
        <v>0</v>
      </c>
      <c r="K991" s="6">
        <v>0</v>
      </c>
      <c r="L991" s="6">
        <v>4516.6760000000004</v>
      </c>
      <c r="M991" s="6">
        <v>4516.6760000000004</v>
      </c>
      <c r="N991" s="6">
        <v>4516.6760000000004</v>
      </c>
      <c r="O991" s="6">
        <v>4516.6760000000004</v>
      </c>
      <c r="P991" s="6">
        <v>0</v>
      </c>
      <c r="Q991" s="4" t="s">
        <v>26</v>
      </c>
      <c r="R991" s="4">
        <v>0</v>
      </c>
      <c r="S991" s="6">
        <v>0</v>
      </c>
      <c r="T991" s="6">
        <v>31</v>
      </c>
      <c r="U991" s="6">
        <v>79</v>
      </c>
      <c r="V991" s="6">
        <f>IF(ISERROR(VLOOKUP($S$991,'TAR FIN'!$A$1:$O$116,15,0)),0,VLOOKUP($S$991,'TAR FIN'!$A$1:$O$116,15,0))</f>
        <v>0</v>
      </c>
      <c r="W991" s="6">
        <f>IF(ISERROR(VLOOKUP($T$991,'TAR FIN'!$A$1:$O$116,15,0)),0,VLOOKUP($T$991,'TAR FIN'!$A$1:$O$116,15,0))</f>
        <v>88.66</v>
      </c>
      <c r="X991" s="6">
        <f>IF(ISERROR(VLOOKUP($U$991,'TAR FIN'!$A$1:$O$116,15,0)),0,VLOOKUP($U$991,'TAR FIN'!$A$1:$O$116,15,0))</f>
        <v>311.04000000000002</v>
      </c>
      <c r="Y991" s="6"/>
      <c r="Z991" s="6">
        <f ca="1">('TUSD BE'!$AM$35+'TUSD BF'!$AM$35+'TUSD CVA'!$AM$35)*1</f>
        <v>137.4358543126599</v>
      </c>
      <c r="AA991" s="6">
        <f>('TE BE'!$AB$10+'TE BF'!$AB$10+'TE CVA'!$AB$10)*1</f>
        <v>313.22907246928764</v>
      </c>
      <c r="AB991" s="6">
        <f>$K$991*$V$991</f>
        <v>0</v>
      </c>
      <c r="AC991" s="6">
        <f>$M$991*$W$991</f>
        <v>400448.49416</v>
      </c>
      <c r="AD991" s="6">
        <f>$O$991*$X$991</f>
        <v>1404866.9030400002</v>
      </c>
      <c r="AE991" s="6">
        <f>$K$991*$Y$991</f>
        <v>0</v>
      </c>
      <c r="AF991" s="6">
        <f ca="1">$M$991*$Z$991</f>
        <v>620753.22471348755</v>
      </c>
      <c r="AG991" s="6">
        <f>$O$991*$AA$991</f>
        <v>1414754.2341242924</v>
      </c>
    </row>
    <row r="992" spans="1:33" ht="11.25" customHeight="1" x14ac:dyDescent="0.25">
      <c r="A992" s="4" t="s">
        <v>28</v>
      </c>
      <c r="B992" s="4" t="s">
        <v>41</v>
      </c>
      <c r="C992" s="4" t="s">
        <v>42</v>
      </c>
      <c r="D992" s="4" t="s">
        <v>38</v>
      </c>
      <c r="E992" s="4" t="s">
        <v>25</v>
      </c>
      <c r="F992" s="4" t="s">
        <v>25</v>
      </c>
      <c r="G992" s="4" t="s">
        <v>25</v>
      </c>
      <c r="H992" s="4" t="s">
        <v>35</v>
      </c>
      <c r="I992" s="5">
        <v>44562</v>
      </c>
      <c r="J992" s="6">
        <v>0</v>
      </c>
      <c r="K992" s="6">
        <v>0</v>
      </c>
      <c r="L992" s="6">
        <v>259.95299999999997</v>
      </c>
      <c r="M992" s="6">
        <v>259.95299999999997</v>
      </c>
      <c r="N992" s="6">
        <v>259.95299999999997</v>
      </c>
      <c r="O992" s="6">
        <v>259.95299999999997</v>
      </c>
      <c r="P992" s="6">
        <v>0</v>
      </c>
      <c r="Q992" s="4" t="s">
        <v>26</v>
      </c>
      <c r="R992" s="4">
        <v>0</v>
      </c>
      <c r="S992" s="6">
        <v>0</v>
      </c>
      <c r="T992" s="6">
        <v>31</v>
      </c>
      <c r="U992" s="6">
        <v>79</v>
      </c>
      <c r="V992" s="6">
        <f>IF(ISERROR(VLOOKUP($S$992,'TAR FIN'!$A$1:$O$116,15,0)),0,VLOOKUP($S$992,'TAR FIN'!$A$1:$O$116,15,0))</f>
        <v>0</v>
      </c>
      <c r="W992" s="6">
        <f>IF(ISERROR(VLOOKUP($T$992,'TAR FIN'!$A$1:$O$116,15,0)),0,VLOOKUP($T$992,'TAR FIN'!$A$1:$O$116,15,0))</f>
        <v>88.66</v>
      </c>
      <c r="X992" s="6">
        <f>IF(ISERROR(VLOOKUP($U$992,'TAR FIN'!$A$1:$O$116,15,0)),0,VLOOKUP($U$992,'TAR FIN'!$A$1:$O$116,15,0))</f>
        <v>311.04000000000002</v>
      </c>
      <c r="Y992" s="6"/>
      <c r="Z992" s="6">
        <f ca="1">('TUSD BE'!$AM$35+'TUSD BF'!$AM$35+'TUSD CVA'!$AM$35)*1</f>
        <v>137.4358543126599</v>
      </c>
      <c r="AA992" s="6">
        <f>('TE BE'!$AB$10+'TE BF'!$AB$10+'TE CVA'!$AB$10)*1</f>
        <v>313.22907246928764</v>
      </c>
      <c r="AB992" s="6">
        <f>$K$992*$V$992</f>
        <v>0</v>
      </c>
      <c r="AC992" s="6">
        <f>$M$992*$W$992</f>
        <v>23047.432979999998</v>
      </c>
      <c r="AD992" s="6">
        <f>$O$992*$X$992</f>
        <v>80855.78112</v>
      </c>
      <c r="AE992" s="6">
        <f>$K$992*$Y$992</f>
        <v>0</v>
      </c>
      <c r="AF992" s="6">
        <f ca="1">$M$992*$Z$992</f>
        <v>35726.862636138874</v>
      </c>
      <c r="AG992" s="6">
        <f>$O$992*$AA$992</f>
        <v>81424.837075608724</v>
      </c>
    </row>
    <row r="993" spans="1:33" ht="11.25" customHeight="1" x14ac:dyDescent="0.25">
      <c r="A993" s="4" t="s">
        <v>21</v>
      </c>
      <c r="B993" s="4" t="s">
        <v>41</v>
      </c>
      <c r="C993" s="4" t="s">
        <v>42</v>
      </c>
      <c r="D993" s="4" t="s">
        <v>38</v>
      </c>
      <c r="E993" s="4" t="s">
        <v>25</v>
      </c>
      <c r="F993" s="4" t="s">
        <v>25</v>
      </c>
      <c r="G993" s="4" t="s">
        <v>25</v>
      </c>
      <c r="H993" s="4" t="s">
        <v>35</v>
      </c>
      <c r="I993" s="5">
        <v>44593</v>
      </c>
      <c r="J993" s="6">
        <v>0</v>
      </c>
      <c r="K993" s="6">
        <v>0</v>
      </c>
      <c r="L993" s="6">
        <v>4008.799</v>
      </c>
      <c r="M993" s="6">
        <v>4008.799</v>
      </c>
      <c r="N993" s="6">
        <v>4008.799</v>
      </c>
      <c r="O993" s="6">
        <v>4008.799</v>
      </c>
      <c r="P993" s="6">
        <v>0</v>
      </c>
      <c r="Q993" s="4" t="s">
        <v>26</v>
      </c>
      <c r="R993" s="4">
        <v>0</v>
      </c>
      <c r="S993" s="6">
        <v>0</v>
      </c>
      <c r="T993" s="6">
        <v>31</v>
      </c>
      <c r="U993" s="6">
        <v>79</v>
      </c>
      <c r="V993" s="6">
        <f>IF(ISERROR(VLOOKUP($S$993,'TAR FIN'!$A$1:$O$116,15,0)),0,VLOOKUP($S$993,'TAR FIN'!$A$1:$O$116,15,0))</f>
        <v>0</v>
      </c>
      <c r="W993" s="6">
        <f>IF(ISERROR(VLOOKUP($T$993,'TAR FIN'!$A$1:$O$116,15,0)),0,VLOOKUP($T$993,'TAR FIN'!$A$1:$O$116,15,0))</f>
        <v>88.66</v>
      </c>
      <c r="X993" s="6">
        <f>IF(ISERROR(VLOOKUP($U$993,'TAR FIN'!$A$1:$O$116,15,0)),0,VLOOKUP($U$993,'TAR FIN'!$A$1:$O$116,15,0))</f>
        <v>311.04000000000002</v>
      </c>
      <c r="Y993" s="6"/>
      <c r="Z993" s="6">
        <f ca="1">('TUSD BE'!$AM$35+'TUSD BF'!$AM$35+'TUSD CVA'!$AM$35)*1</f>
        <v>137.4358543126599</v>
      </c>
      <c r="AA993" s="6">
        <f>('TE BE'!$AB$10+'TE BF'!$AB$10+'TE CVA'!$AB$10)*1</f>
        <v>313.22907246928764</v>
      </c>
      <c r="AB993" s="6">
        <f>$K$993*$V$993</f>
        <v>0</v>
      </c>
      <c r="AC993" s="6">
        <f>$M$993*$W$993</f>
        <v>355420.11933999998</v>
      </c>
      <c r="AD993" s="6">
        <f>$O$993*$X$993</f>
        <v>1246896.8409600002</v>
      </c>
      <c r="AE993" s="6">
        <f>$K$993*$Y$993</f>
        <v>0</v>
      </c>
      <c r="AF993" s="6">
        <f ca="1">$M$993*$Z$993</f>
        <v>550952.71533273673</v>
      </c>
      <c r="AG993" s="6">
        <f>$O$993*$AA$993</f>
        <v>1255672.3924858079</v>
      </c>
    </row>
    <row r="994" spans="1:33" ht="11.25" customHeight="1" x14ac:dyDescent="0.25">
      <c r="A994" s="4" t="s">
        <v>27</v>
      </c>
      <c r="B994" s="4" t="s">
        <v>41</v>
      </c>
      <c r="C994" s="4" t="s">
        <v>42</v>
      </c>
      <c r="D994" s="4" t="s">
        <v>38</v>
      </c>
      <c r="E994" s="4" t="s">
        <v>25</v>
      </c>
      <c r="F994" s="4" t="s">
        <v>25</v>
      </c>
      <c r="G994" s="4" t="s">
        <v>25</v>
      </c>
      <c r="H994" s="4" t="s">
        <v>35</v>
      </c>
      <c r="I994" s="5">
        <v>44593</v>
      </c>
      <c r="J994" s="6">
        <v>0</v>
      </c>
      <c r="K994" s="6">
        <v>0</v>
      </c>
      <c r="L994" s="6">
        <v>2.0659999999999998</v>
      </c>
      <c r="M994" s="6">
        <v>2.0659999999999998</v>
      </c>
      <c r="N994" s="6">
        <v>2.0659999999999998</v>
      </c>
      <c r="O994" s="6">
        <v>2.0659999999999998</v>
      </c>
      <c r="P994" s="6">
        <v>0</v>
      </c>
      <c r="Q994" s="4" t="s">
        <v>26</v>
      </c>
      <c r="R994" s="4">
        <v>0</v>
      </c>
      <c r="S994" s="6">
        <v>0</v>
      </c>
      <c r="T994" s="6">
        <v>31</v>
      </c>
      <c r="U994" s="6">
        <v>79</v>
      </c>
      <c r="V994" s="6">
        <f>IF(ISERROR(VLOOKUP($S$994,'TAR FIN'!$A$1:$O$116,15,0)),0,VLOOKUP($S$994,'TAR FIN'!$A$1:$O$116,15,0))</f>
        <v>0</v>
      </c>
      <c r="W994" s="6">
        <f>IF(ISERROR(VLOOKUP($T$994,'TAR FIN'!$A$1:$O$116,15,0)),0,VLOOKUP($T$994,'TAR FIN'!$A$1:$O$116,15,0))</f>
        <v>88.66</v>
      </c>
      <c r="X994" s="6">
        <f>IF(ISERROR(VLOOKUP($U$994,'TAR FIN'!$A$1:$O$116,15,0)),0,VLOOKUP($U$994,'TAR FIN'!$A$1:$O$116,15,0))</f>
        <v>311.04000000000002</v>
      </c>
      <c r="Y994" s="6"/>
      <c r="Z994" s="6">
        <f ca="1">('TUSD BE'!$AM$35+'TUSD BF'!$AM$35+'TUSD CVA'!$AM$35)*1</f>
        <v>137.4358543126599</v>
      </c>
      <c r="AA994" s="6">
        <f>('TE BE'!$AB$10+'TE BF'!$AB$10+'TE CVA'!$AB$10)*1</f>
        <v>313.22907246928764</v>
      </c>
      <c r="AB994" s="6">
        <f>$K$994*$V$994</f>
        <v>0</v>
      </c>
      <c r="AC994" s="6">
        <f>$M$994*$W$994</f>
        <v>183.17155999999997</v>
      </c>
      <c r="AD994" s="6">
        <f>$O$994*$X$994</f>
        <v>642.60864000000004</v>
      </c>
      <c r="AE994" s="6">
        <f>$K$994*$Y$994</f>
        <v>0</v>
      </c>
      <c r="AF994" s="6">
        <f ca="1">$M$994*$Z$994</f>
        <v>283.94247500995533</v>
      </c>
      <c r="AG994" s="6">
        <f>$O$994*$AA$994</f>
        <v>647.13126372154818</v>
      </c>
    </row>
    <row r="995" spans="1:33" ht="11.25" customHeight="1" x14ac:dyDescent="0.25">
      <c r="A995" s="4" t="s">
        <v>28</v>
      </c>
      <c r="B995" s="4" t="s">
        <v>41</v>
      </c>
      <c r="C995" s="4" t="s">
        <v>42</v>
      </c>
      <c r="D995" s="4" t="s">
        <v>38</v>
      </c>
      <c r="E995" s="4" t="s">
        <v>25</v>
      </c>
      <c r="F995" s="4" t="s">
        <v>25</v>
      </c>
      <c r="G995" s="4" t="s">
        <v>25</v>
      </c>
      <c r="H995" s="4" t="s">
        <v>35</v>
      </c>
      <c r="I995" s="5">
        <v>44593</v>
      </c>
      <c r="J995" s="6">
        <v>0</v>
      </c>
      <c r="K995" s="6">
        <v>0</v>
      </c>
      <c r="L995" s="6">
        <v>344.95600000000002</v>
      </c>
      <c r="M995" s="6">
        <v>344.95600000000002</v>
      </c>
      <c r="N995" s="6">
        <v>344.95600000000002</v>
      </c>
      <c r="O995" s="6">
        <v>344.95600000000002</v>
      </c>
      <c r="P995" s="6">
        <v>0</v>
      </c>
      <c r="Q995" s="4" t="s">
        <v>26</v>
      </c>
      <c r="R995" s="4">
        <v>0</v>
      </c>
      <c r="S995" s="6">
        <v>0</v>
      </c>
      <c r="T995" s="6">
        <v>31</v>
      </c>
      <c r="U995" s="6">
        <v>79</v>
      </c>
      <c r="V995" s="6">
        <f>IF(ISERROR(VLOOKUP($S$995,'TAR FIN'!$A$1:$O$116,15,0)),0,VLOOKUP($S$995,'TAR FIN'!$A$1:$O$116,15,0))</f>
        <v>0</v>
      </c>
      <c r="W995" s="6">
        <f>IF(ISERROR(VLOOKUP($T$995,'TAR FIN'!$A$1:$O$116,15,0)),0,VLOOKUP($T$995,'TAR FIN'!$A$1:$O$116,15,0))</f>
        <v>88.66</v>
      </c>
      <c r="X995" s="6">
        <f>IF(ISERROR(VLOOKUP($U$995,'TAR FIN'!$A$1:$O$116,15,0)),0,VLOOKUP($U$995,'TAR FIN'!$A$1:$O$116,15,0))</f>
        <v>311.04000000000002</v>
      </c>
      <c r="Y995" s="6"/>
      <c r="Z995" s="6">
        <f ca="1">('TUSD BE'!$AM$35+'TUSD BF'!$AM$35+'TUSD CVA'!$AM$35)*1</f>
        <v>137.4358543126599</v>
      </c>
      <c r="AA995" s="6">
        <f>('TE BE'!$AB$10+'TE BF'!$AB$10+'TE CVA'!$AB$10)*1</f>
        <v>313.22907246928764</v>
      </c>
      <c r="AB995" s="6">
        <f>$K$995*$V$995</f>
        <v>0</v>
      </c>
      <c r="AC995" s="6">
        <f>$M$995*$W$995</f>
        <v>30583.79896</v>
      </c>
      <c r="AD995" s="6">
        <f>$O$995*$X$995</f>
        <v>107295.11424000001</v>
      </c>
      <c r="AE995" s="6">
        <f>$K$995*$Y$995</f>
        <v>0</v>
      </c>
      <c r="AF995" s="6">
        <f ca="1">$M$995*$Z$995</f>
        <v>47409.322560277913</v>
      </c>
      <c r="AG995" s="6">
        <f>$O$995*$AA$995</f>
        <v>108050.2479227156</v>
      </c>
    </row>
    <row r="996" spans="1:33" ht="11.25" customHeight="1" x14ac:dyDescent="0.25">
      <c r="A996" s="4" t="s">
        <v>21</v>
      </c>
      <c r="B996" s="4" t="s">
        <v>41</v>
      </c>
      <c r="C996" s="4" t="s">
        <v>42</v>
      </c>
      <c r="D996" s="4" t="s">
        <v>38</v>
      </c>
      <c r="E996" s="4" t="s">
        <v>25</v>
      </c>
      <c r="F996" s="4" t="s">
        <v>25</v>
      </c>
      <c r="G996" s="4" t="s">
        <v>25</v>
      </c>
      <c r="H996" s="4" t="s">
        <v>35</v>
      </c>
      <c r="I996" s="5">
        <v>44621</v>
      </c>
      <c r="J996" s="6">
        <v>0</v>
      </c>
      <c r="K996" s="6">
        <v>0</v>
      </c>
      <c r="L996" s="6">
        <v>4132.9440000000004</v>
      </c>
      <c r="M996" s="6">
        <v>4132.9440000000004</v>
      </c>
      <c r="N996" s="6">
        <v>4132.9440000000004</v>
      </c>
      <c r="O996" s="6">
        <v>4132.9440000000004</v>
      </c>
      <c r="P996" s="6">
        <v>0</v>
      </c>
      <c r="Q996" s="4" t="s">
        <v>26</v>
      </c>
      <c r="R996" s="4">
        <v>0</v>
      </c>
      <c r="S996" s="6">
        <v>0</v>
      </c>
      <c r="T996" s="6">
        <v>31</v>
      </c>
      <c r="U996" s="6">
        <v>79</v>
      </c>
      <c r="V996" s="6">
        <f>IF(ISERROR(VLOOKUP($S$996,'TAR FIN'!$A$1:$O$116,15,0)),0,VLOOKUP($S$996,'TAR FIN'!$A$1:$O$116,15,0))</f>
        <v>0</v>
      </c>
      <c r="W996" s="6">
        <f>IF(ISERROR(VLOOKUP($T$996,'TAR FIN'!$A$1:$O$116,15,0)),0,VLOOKUP($T$996,'TAR FIN'!$A$1:$O$116,15,0))</f>
        <v>88.66</v>
      </c>
      <c r="X996" s="6">
        <f>IF(ISERROR(VLOOKUP($U$996,'TAR FIN'!$A$1:$O$116,15,0)),0,VLOOKUP($U$996,'TAR FIN'!$A$1:$O$116,15,0))</f>
        <v>311.04000000000002</v>
      </c>
      <c r="Y996" s="6"/>
      <c r="Z996" s="6">
        <f ca="1">('TUSD BE'!$AM$35+'TUSD BF'!$AM$35+'TUSD CVA'!$AM$35)*1</f>
        <v>137.4358543126599</v>
      </c>
      <c r="AA996" s="6">
        <f>('TE BE'!$AB$10+'TE BF'!$AB$10+'TE CVA'!$AB$10)*1</f>
        <v>313.22907246928764</v>
      </c>
      <c r="AB996" s="6">
        <f>$K$996*$V$996</f>
        <v>0</v>
      </c>
      <c r="AC996" s="6">
        <f>$M$996*$W$996</f>
        <v>366426.81504000002</v>
      </c>
      <c r="AD996" s="6">
        <f>$O$996*$X$996</f>
        <v>1285510.9017600003</v>
      </c>
      <c r="AE996" s="6">
        <f>$K$996*$Y$996</f>
        <v>0</v>
      </c>
      <c r="AF996" s="6">
        <f ca="1">$M$996*$Z$996</f>
        <v>568014.68946638191</v>
      </c>
      <c r="AG996" s="6">
        <f>$O$996*$AA$996</f>
        <v>1294558.2156875078</v>
      </c>
    </row>
    <row r="997" spans="1:33" ht="11.25" customHeight="1" x14ac:dyDescent="0.25">
      <c r="A997" s="4" t="s">
        <v>28</v>
      </c>
      <c r="B997" s="4" t="s">
        <v>41</v>
      </c>
      <c r="C997" s="4" t="s">
        <v>42</v>
      </c>
      <c r="D997" s="4" t="s">
        <v>38</v>
      </c>
      <c r="E997" s="4" t="s">
        <v>25</v>
      </c>
      <c r="F997" s="4" t="s">
        <v>25</v>
      </c>
      <c r="G997" s="4" t="s">
        <v>25</v>
      </c>
      <c r="H997" s="4" t="s">
        <v>35</v>
      </c>
      <c r="I997" s="5">
        <v>44621</v>
      </c>
      <c r="J997" s="6">
        <v>0</v>
      </c>
      <c r="K997" s="6">
        <v>0</v>
      </c>
      <c r="L997" s="6">
        <v>209.024</v>
      </c>
      <c r="M997" s="6">
        <v>209.024</v>
      </c>
      <c r="N997" s="6">
        <v>209.024</v>
      </c>
      <c r="O997" s="6">
        <v>209.024</v>
      </c>
      <c r="P997" s="6">
        <v>0</v>
      </c>
      <c r="Q997" s="4" t="s">
        <v>26</v>
      </c>
      <c r="R997" s="4">
        <v>0</v>
      </c>
      <c r="S997" s="6">
        <v>0</v>
      </c>
      <c r="T997" s="6">
        <v>31</v>
      </c>
      <c r="U997" s="6">
        <v>79</v>
      </c>
      <c r="V997" s="6">
        <f>IF(ISERROR(VLOOKUP($S$997,'TAR FIN'!$A$1:$O$116,15,0)),0,VLOOKUP($S$997,'TAR FIN'!$A$1:$O$116,15,0))</f>
        <v>0</v>
      </c>
      <c r="W997" s="6">
        <f>IF(ISERROR(VLOOKUP($T$997,'TAR FIN'!$A$1:$O$116,15,0)),0,VLOOKUP($T$997,'TAR FIN'!$A$1:$O$116,15,0))</f>
        <v>88.66</v>
      </c>
      <c r="X997" s="6">
        <f>IF(ISERROR(VLOOKUP($U$997,'TAR FIN'!$A$1:$O$116,15,0)),0,VLOOKUP($U$997,'TAR FIN'!$A$1:$O$116,15,0))</f>
        <v>311.04000000000002</v>
      </c>
      <c r="Y997" s="6"/>
      <c r="Z997" s="6">
        <f ca="1">('TUSD BE'!$AM$35+'TUSD BF'!$AM$35+'TUSD CVA'!$AM$35)*1</f>
        <v>137.4358543126599</v>
      </c>
      <c r="AA997" s="6">
        <f>('TE BE'!$AB$10+'TE BF'!$AB$10+'TE CVA'!$AB$10)*1</f>
        <v>313.22907246928764</v>
      </c>
      <c r="AB997" s="6">
        <f>$K$997*$V$997</f>
        <v>0</v>
      </c>
      <c r="AC997" s="6">
        <f>$M$997*$W$997</f>
        <v>18532.06784</v>
      </c>
      <c r="AD997" s="6">
        <f>$O$997*$X$997</f>
        <v>65014.824960000005</v>
      </c>
      <c r="AE997" s="6">
        <f>$K$997*$Y$997</f>
        <v>0</v>
      </c>
      <c r="AF997" s="6">
        <f ca="1">$M$997*$Z$997</f>
        <v>28727.392011849424</v>
      </c>
      <c r="AG997" s="6">
        <f>$O$997*$AA$997</f>
        <v>65472.393643820382</v>
      </c>
    </row>
    <row r="998" spans="1:33" ht="11.25" customHeight="1" x14ac:dyDescent="0.25">
      <c r="A998" s="4" t="s">
        <v>28</v>
      </c>
      <c r="B998" s="4" t="s">
        <v>41</v>
      </c>
      <c r="C998" s="4" t="s">
        <v>42</v>
      </c>
      <c r="D998" s="4" t="s">
        <v>38</v>
      </c>
      <c r="E998" s="4" t="s">
        <v>25</v>
      </c>
      <c r="F998" s="4" t="s">
        <v>25</v>
      </c>
      <c r="G998" s="4" t="s">
        <v>25</v>
      </c>
      <c r="H998" s="4" t="s">
        <v>35</v>
      </c>
      <c r="I998" s="5">
        <v>44621</v>
      </c>
      <c r="J998" s="6">
        <v>0</v>
      </c>
      <c r="K998" s="6">
        <v>0</v>
      </c>
      <c r="L998" s="6">
        <v>-6.0369999999999999</v>
      </c>
      <c r="M998" s="6">
        <v>-6.0369999999999999</v>
      </c>
      <c r="N998" s="6">
        <v>-6.0369999999999999</v>
      </c>
      <c r="O998" s="6">
        <v>-6.0369999999999999</v>
      </c>
      <c r="P998" s="6">
        <v>0</v>
      </c>
      <c r="Q998" s="4" t="s">
        <v>26</v>
      </c>
      <c r="R998" s="4">
        <v>0</v>
      </c>
      <c r="S998" s="6">
        <v>0</v>
      </c>
      <c r="T998" s="6">
        <v>31</v>
      </c>
      <c r="U998" s="6">
        <v>79</v>
      </c>
      <c r="V998" s="6">
        <f>IF(ISERROR(VLOOKUP($S$998,'TAR FIN'!$A$1:$O$116,15,0)),0,VLOOKUP($S$998,'TAR FIN'!$A$1:$O$116,15,0))</f>
        <v>0</v>
      </c>
      <c r="W998" s="6">
        <f>IF(ISERROR(VLOOKUP($T$998,'TAR FIN'!$A$1:$O$116,15,0)),0,VLOOKUP($T$998,'TAR FIN'!$A$1:$O$116,15,0))</f>
        <v>88.66</v>
      </c>
      <c r="X998" s="6">
        <f>IF(ISERROR(VLOOKUP($U$998,'TAR FIN'!$A$1:$O$116,15,0)),0,VLOOKUP($U$998,'TAR FIN'!$A$1:$O$116,15,0))</f>
        <v>311.04000000000002</v>
      </c>
      <c r="Y998" s="6"/>
      <c r="Z998" s="6">
        <f ca="1">('TUSD BE'!$AM$35+'TUSD BF'!$AM$35+'TUSD CVA'!$AM$35)*1</f>
        <v>137.4358543126599</v>
      </c>
      <c r="AA998" s="6">
        <f>('TE BE'!$AB$10+'TE BF'!$AB$10+'TE CVA'!$AB$10)*1</f>
        <v>313.22907246928764</v>
      </c>
      <c r="AB998" s="6">
        <f>$K$998*$V$998</f>
        <v>0</v>
      </c>
      <c r="AC998" s="6">
        <f>$M$998*$W$998</f>
        <v>-535.24041999999997</v>
      </c>
      <c r="AD998" s="6">
        <f>$O$998*$X$998</f>
        <v>-1877.7484800000002</v>
      </c>
      <c r="AE998" s="6">
        <f>$K$998*$Y$998</f>
        <v>0</v>
      </c>
      <c r="AF998" s="6">
        <f ca="1">$M$998*$Z$998</f>
        <v>-829.70025248552781</v>
      </c>
      <c r="AG998" s="6">
        <f>$O$998*$AA$998</f>
        <v>-1890.9639104970895</v>
      </c>
    </row>
    <row r="999" spans="1:33" ht="11.25" customHeight="1" x14ac:dyDescent="0.25">
      <c r="A999" s="4" t="s">
        <v>21</v>
      </c>
      <c r="B999" s="4" t="s">
        <v>41</v>
      </c>
      <c r="C999" s="4" t="s">
        <v>42</v>
      </c>
      <c r="D999" s="4" t="s">
        <v>38</v>
      </c>
      <c r="E999" s="4" t="s">
        <v>25</v>
      </c>
      <c r="F999" s="4" t="s">
        <v>25</v>
      </c>
      <c r="G999" s="4" t="s">
        <v>25</v>
      </c>
      <c r="H999" s="4" t="s">
        <v>35</v>
      </c>
      <c r="I999" s="5">
        <v>44652</v>
      </c>
      <c r="J999" s="6">
        <v>0</v>
      </c>
      <c r="K999" s="6">
        <v>0</v>
      </c>
      <c r="L999" s="6">
        <v>4005.3629999999998</v>
      </c>
      <c r="M999" s="6">
        <v>4005.3629999999998</v>
      </c>
      <c r="N999" s="6">
        <v>4005.3629999999998</v>
      </c>
      <c r="O999" s="6">
        <v>4005.3629999999998</v>
      </c>
      <c r="P999" s="6">
        <v>0</v>
      </c>
      <c r="Q999" s="4" t="s">
        <v>26</v>
      </c>
      <c r="R999" s="4">
        <v>0</v>
      </c>
      <c r="S999" s="6">
        <v>0</v>
      </c>
      <c r="T999" s="6">
        <v>31</v>
      </c>
      <c r="U999" s="6">
        <v>79</v>
      </c>
      <c r="V999" s="6">
        <f>IF(ISERROR(VLOOKUP($S$999,'TAR FIN'!$A$1:$O$116,15,0)),0,VLOOKUP($S$999,'TAR FIN'!$A$1:$O$116,15,0))</f>
        <v>0</v>
      </c>
      <c r="W999" s="6">
        <f>IF(ISERROR(VLOOKUP($T$999,'TAR FIN'!$A$1:$O$116,15,0)),0,VLOOKUP($T$999,'TAR FIN'!$A$1:$O$116,15,0))</f>
        <v>88.66</v>
      </c>
      <c r="X999" s="6">
        <f>IF(ISERROR(VLOOKUP($U$999,'TAR FIN'!$A$1:$O$116,15,0)),0,VLOOKUP($U$999,'TAR FIN'!$A$1:$O$116,15,0))</f>
        <v>311.04000000000002</v>
      </c>
      <c r="Y999" s="6"/>
      <c r="Z999" s="6">
        <f ca="1">('TUSD BE'!$AM$35+'TUSD BF'!$AM$35+'TUSD CVA'!$AM$35)*1</f>
        <v>137.4358543126599</v>
      </c>
      <c r="AA999" s="6">
        <f>('TE BE'!$AB$10+'TE BF'!$AB$10+'TE CVA'!$AB$10)*1</f>
        <v>313.22907246928764</v>
      </c>
      <c r="AB999" s="6">
        <f>$K$999*$V$999</f>
        <v>0</v>
      </c>
      <c r="AC999" s="6">
        <f>$M$999*$W$999</f>
        <v>355115.48358</v>
      </c>
      <c r="AD999" s="6">
        <f>$O$999*$X$999</f>
        <v>1245828.1075200001</v>
      </c>
      <c r="AE999" s="6">
        <f>$K$999*$Y$999</f>
        <v>0</v>
      </c>
      <c r="AF999" s="6">
        <f ca="1">$M$999*$Z$999</f>
        <v>550480.48573731841</v>
      </c>
      <c r="AG999" s="6">
        <f>$O$999*$AA$999</f>
        <v>1254596.1373928033</v>
      </c>
    </row>
    <row r="1000" spans="1:33" ht="11.25" customHeight="1" x14ac:dyDescent="0.25">
      <c r="A1000" s="4" t="s">
        <v>27</v>
      </c>
      <c r="B1000" s="4" t="s">
        <v>41</v>
      </c>
      <c r="C1000" s="4" t="s">
        <v>42</v>
      </c>
      <c r="D1000" s="4" t="s">
        <v>38</v>
      </c>
      <c r="E1000" s="4" t="s">
        <v>25</v>
      </c>
      <c r="F1000" s="4" t="s">
        <v>25</v>
      </c>
      <c r="G1000" s="4" t="s">
        <v>25</v>
      </c>
      <c r="H1000" s="4" t="s">
        <v>35</v>
      </c>
      <c r="I1000" s="5">
        <v>44652</v>
      </c>
      <c r="J1000" s="6">
        <v>0</v>
      </c>
      <c r="K1000" s="6">
        <v>0</v>
      </c>
      <c r="L1000" s="6">
        <v>3.5950000000000002</v>
      </c>
      <c r="M1000" s="6">
        <v>3.5950000000000002</v>
      </c>
      <c r="N1000" s="6">
        <v>3.5950000000000002</v>
      </c>
      <c r="O1000" s="6">
        <v>3.5950000000000002</v>
      </c>
      <c r="P1000" s="6">
        <v>0</v>
      </c>
      <c r="Q1000" s="4" t="s">
        <v>26</v>
      </c>
      <c r="R1000" s="4">
        <v>0</v>
      </c>
      <c r="S1000" s="6">
        <v>0</v>
      </c>
      <c r="T1000" s="6">
        <v>31</v>
      </c>
      <c r="U1000" s="6">
        <v>79</v>
      </c>
      <c r="V1000" s="6">
        <f>IF(ISERROR(VLOOKUP($S$1000,'TAR FIN'!$A$1:$O$116,15,0)),0,VLOOKUP($S$1000,'TAR FIN'!$A$1:$O$116,15,0))</f>
        <v>0</v>
      </c>
      <c r="W1000" s="6">
        <f>IF(ISERROR(VLOOKUP($T$1000,'TAR FIN'!$A$1:$O$116,15,0)),0,VLOOKUP($T$1000,'TAR FIN'!$A$1:$O$116,15,0))</f>
        <v>88.66</v>
      </c>
      <c r="X1000" s="6">
        <f>IF(ISERROR(VLOOKUP($U$1000,'TAR FIN'!$A$1:$O$116,15,0)),0,VLOOKUP($U$1000,'TAR FIN'!$A$1:$O$116,15,0))</f>
        <v>311.04000000000002</v>
      </c>
      <c r="Y1000" s="6"/>
      <c r="Z1000" s="6">
        <f ca="1">('TUSD BE'!$AM$35+'TUSD BF'!$AM$35+'TUSD CVA'!$AM$35)*1</f>
        <v>137.4358543126599</v>
      </c>
      <c r="AA1000" s="6">
        <f>('TE BE'!$AB$10+'TE BF'!$AB$10+'TE CVA'!$AB$10)*1</f>
        <v>313.22907246928764</v>
      </c>
      <c r="AB1000" s="6">
        <f>$K$1000*$V$1000</f>
        <v>0</v>
      </c>
      <c r="AC1000" s="6">
        <f>$M$1000*$W$1000</f>
        <v>318.73270000000002</v>
      </c>
      <c r="AD1000" s="6">
        <f>$O$1000*$X$1000</f>
        <v>1118.1888000000001</v>
      </c>
      <c r="AE1000" s="6">
        <f>$K$1000*$Y$1000</f>
        <v>0</v>
      </c>
      <c r="AF1000" s="6">
        <f ca="1">$M$1000*$Z$1000</f>
        <v>494.08189625401235</v>
      </c>
      <c r="AG1000" s="6">
        <f>$O$1000*$AA$1000</f>
        <v>1126.0585155270892</v>
      </c>
    </row>
    <row r="1001" spans="1:33" ht="11.25" customHeight="1" x14ac:dyDescent="0.25">
      <c r="A1001" s="4" t="s">
        <v>28</v>
      </c>
      <c r="B1001" s="4" t="s">
        <v>41</v>
      </c>
      <c r="C1001" s="4" t="s">
        <v>42</v>
      </c>
      <c r="D1001" s="4" t="s">
        <v>38</v>
      </c>
      <c r="E1001" s="4" t="s">
        <v>25</v>
      </c>
      <c r="F1001" s="4" t="s">
        <v>25</v>
      </c>
      <c r="G1001" s="4" t="s">
        <v>25</v>
      </c>
      <c r="H1001" s="4" t="s">
        <v>35</v>
      </c>
      <c r="I1001" s="5">
        <v>44652</v>
      </c>
      <c r="J1001" s="6">
        <v>0</v>
      </c>
      <c r="K1001" s="6">
        <v>0</v>
      </c>
      <c r="L1001" s="6">
        <v>209.95500000000001</v>
      </c>
      <c r="M1001" s="6">
        <v>209.95500000000001</v>
      </c>
      <c r="N1001" s="6">
        <v>209.95500000000001</v>
      </c>
      <c r="O1001" s="6">
        <v>209.95500000000001</v>
      </c>
      <c r="P1001" s="6">
        <v>0</v>
      </c>
      <c r="Q1001" s="4" t="s">
        <v>26</v>
      </c>
      <c r="R1001" s="4">
        <v>0</v>
      </c>
      <c r="S1001" s="6">
        <v>0</v>
      </c>
      <c r="T1001" s="6">
        <v>31</v>
      </c>
      <c r="U1001" s="6">
        <v>79</v>
      </c>
      <c r="V1001" s="6">
        <f>IF(ISERROR(VLOOKUP($S$1001,'TAR FIN'!$A$1:$O$116,15,0)),0,VLOOKUP($S$1001,'TAR FIN'!$A$1:$O$116,15,0))</f>
        <v>0</v>
      </c>
      <c r="W1001" s="6">
        <f>IF(ISERROR(VLOOKUP($T$1001,'TAR FIN'!$A$1:$O$116,15,0)),0,VLOOKUP($T$1001,'TAR FIN'!$A$1:$O$116,15,0))</f>
        <v>88.66</v>
      </c>
      <c r="X1001" s="6">
        <f>IF(ISERROR(VLOOKUP($U$1001,'TAR FIN'!$A$1:$O$116,15,0)),0,VLOOKUP($U$1001,'TAR FIN'!$A$1:$O$116,15,0))</f>
        <v>311.04000000000002</v>
      </c>
      <c r="Y1001" s="6"/>
      <c r="Z1001" s="6">
        <f ca="1">('TUSD BE'!$AM$35+'TUSD BF'!$AM$35+'TUSD CVA'!$AM$35)*1</f>
        <v>137.4358543126599</v>
      </c>
      <c r="AA1001" s="6">
        <f>('TE BE'!$AB$10+'TE BF'!$AB$10+'TE CVA'!$AB$10)*1</f>
        <v>313.22907246928764</v>
      </c>
      <c r="AB1001" s="6">
        <f>$K$1001*$V$1001</f>
        <v>0</v>
      </c>
      <c r="AC1001" s="6">
        <f>$M$1001*$W$1001</f>
        <v>18614.6103</v>
      </c>
      <c r="AD1001" s="6">
        <f>$O$1001*$X$1001</f>
        <v>65304.403200000008</v>
      </c>
      <c r="AE1001" s="6">
        <f>$K$1001*$Y$1001</f>
        <v>0</v>
      </c>
      <c r="AF1001" s="6">
        <f ca="1">$M$1001*$Z$1001</f>
        <v>28855.34479221451</v>
      </c>
      <c r="AG1001" s="6">
        <f>$O$1001*$AA$1001</f>
        <v>65764.009910289285</v>
      </c>
    </row>
    <row r="1002" spans="1:33" ht="11.25" customHeight="1" x14ac:dyDescent="0.25">
      <c r="A1002" s="4" t="s">
        <v>58</v>
      </c>
      <c r="B1002" s="4" t="s">
        <v>41</v>
      </c>
      <c r="C1002" s="4" t="s">
        <v>42</v>
      </c>
      <c r="D1002" s="4" t="s">
        <v>38</v>
      </c>
      <c r="E1002" s="4" t="s">
        <v>25</v>
      </c>
      <c r="F1002" s="4" t="s">
        <v>25</v>
      </c>
      <c r="G1002" s="4" t="s">
        <v>25</v>
      </c>
      <c r="H1002" s="4" t="s">
        <v>35</v>
      </c>
      <c r="I1002" s="5">
        <v>44682</v>
      </c>
      <c r="J1002" s="6">
        <v>0</v>
      </c>
      <c r="K1002" s="6">
        <v>0</v>
      </c>
      <c r="L1002" s="6">
        <v>4005.3629999999998</v>
      </c>
      <c r="M1002" s="6">
        <v>4005.3629999999998</v>
      </c>
      <c r="N1002" s="6">
        <v>4005.3629999999998</v>
      </c>
      <c r="O1002" s="6">
        <v>4005.3629999999998</v>
      </c>
      <c r="P1002" s="6">
        <v>0</v>
      </c>
      <c r="Q1002" s="4" t="s">
        <v>26</v>
      </c>
      <c r="R1002" s="4">
        <v>0</v>
      </c>
      <c r="S1002" s="6">
        <v>0</v>
      </c>
      <c r="T1002" s="6">
        <v>31</v>
      </c>
      <c r="U1002" s="6">
        <v>79</v>
      </c>
      <c r="V1002" s="6">
        <f>IF(ISERROR(VLOOKUP($S$1002,'TAR FIN'!$A$1:$O$116,15,0)),0,VLOOKUP($S$1002,'TAR FIN'!$A$1:$O$116,15,0))</f>
        <v>0</v>
      </c>
      <c r="W1002" s="6">
        <f>IF(ISERROR(VLOOKUP($T$1002,'TAR FIN'!$A$1:$O$116,15,0)),0,VLOOKUP($T$1002,'TAR FIN'!$A$1:$O$116,15,0))</f>
        <v>88.66</v>
      </c>
      <c r="X1002" s="6">
        <f>IF(ISERROR(VLOOKUP($U$1002,'TAR FIN'!$A$1:$O$116,15,0)),0,VLOOKUP($U$1002,'TAR FIN'!$A$1:$O$116,15,0))</f>
        <v>311.04000000000002</v>
      </c>
      <c r="Y1002" s="6"/>
      <c r="Z1002" s="6">
        <f ca="1">('TUSD BE'!$AM$35+'TUSD BF'!$AM$35+'TUSD CVA'!$AM$35)*1</f>
        <v>137.4358543126599</v>
      </c>
      <c r="AA1002" s="6">
        <f>('TE BE'!$AB$10+'TE BF'!$AB$10+'TE CVA'!$AB$10)*1</f>
        <v>313.22907246928764</v>
      </c>
      <c r="AB1002" s="6">
        <f>$K$1002*$V$1002</f>
        <v>0</v>
      </c>
      <c r="AC1002" s="6">
        <f>$M$1002*$W$1002</f>
        <v>355115.48358</v>
      </c>
      <c r="AD1002" s="6">
        <f>$O$1002*$X$1002</f>
        <v>1245828.1075200001</v>
      </c>
      <c r="AE1002" s="6">
        <f>$K$1002*$Y$1002</f>
        <v>0</v>
      </c>
      <c r="AF1002" s="6">
        <f ca="1">$M$1002*$Z$1002</f>
        <v>550480.48573731841</v>
      </c>
      <c r="AG1002" s="6">
        <f>$O$1002*$AA$1002</f>
        <v>1254596.1373928033</v>
      </c>
    </row>
    <row r="1003" spans="1:33" ht="11.25" customHeight="1" x14ac:dyDescent="0.25">
      <c r="A1003" s="4" t="s">
        <v>58</v>
      </c>
      <c r="B1003" s="4" t="s">
        <v>41</v>
      </c>
      <c r="C1003" s="4" t="s">
        <v>42</v>
      </c>
      <c r="D1003" s="4" t="s">
        <v>38</v>
      </c>
      <c r="E1003" s="4" t="s">
        <v>25</v>
      </c>
      <c r="F1003" s="4" t="s">
        <v>25</v>
      </c>
      <c r="G1003" s="4" t="s">
        <v>25</v>
      </c>
      <c r="H1003" s="4" t="s">
        <v>35</v>
      </c>
      <c r="I1003" s="5">
        <v>44682</v>
      </c>
      <c r="J1003" s="6">
        <v>0</v>
      </c>
      <c r="K1003" s="6">
        <v>0</v>
      </c>
      <c r="L1003" s="6">
        <v>3.5950000000000002</v>
      </c>
      <c r="M1003" s="6">
        <v>3.5950000000000002</v>
      </c>
      <c r="N1003" s="6">
        <v>3.5950000000000002</v>
      </c>
      <c r="O1003" s="6">
        <v>3.5950000000000002</v>
      </c>
      <c r="P1003" s="6">
        <v>0</v>
      </c>
      <c r="Q1003" s="4" t="s">
        <v>26</v>
      </c>
      <c r="R1003" s="4">
        <v>0</v>
      </c>
      <c r="S1003" s="6">
        <v>0</v>
      </c>
      <c r="T1003" s="6">
        <v>31</v>
      </c>
      <c r="U1003" s="6">
        <v>79</v>
      </c>
      <c r="V1003" s="6">
        <f>IF(ISERROR(VLOOKUP($S$1003,'TAR FIN'!$A$1:$O$116,15,0)),0,VLOOKUP($S$1003,'TAR FIN'!$A$1:$O$116,15,0))</f>
        <v>0</v>
      </c>
      <c r="W1003" s="6">
        <f>IF(ISERROR(VLOOKUP($T$1003,'TAR FIN'!$A$1:$O$116,15,0)),0,VLOOKUP($T$1003,'TAR FIN'!$A$1:$O$116,15,0))</f>
        <v>88.66</v>
      </c>
      <c r="X1003" s="6">
        <f>IF(ISERROR(VLOOKUP($U$1003,'TAR FIN'!$A$1:$O$116,15,0)),0,VLOOKUP($U$1003,'TAR FIN'!$A$1:$O$116,15,0))</f>
        <v>311.04000000000002</v>
      </c>
      <c r="Y1003" s="6"/>
      <c r="Z1003" s="6">
        <f ca="1">('TUSD BE'!$AM$35+'TUSD BF'!$AM$35+'TUSD CVA'!$AM$35)*1</f>
        <v>137.4358543126599</v>
      </c>
      <c r="AA1003" s="6">
        <f>('TE BE'!$AB$10+'TE BF'!$AB$10+'TE CVA'!$AB$10)*1</f>
        <v>313.22907246928764</v>
      </c>
      <c r="AB1003" s="6">
        <f>$K$1003*$V$1003</f>
        <v>0</v>
      </c>
      <c r="AC1003" s="6">
        <f>$M$1003*$W$1003</f>
        <v>318.73270000000002</v>
      </c>
      <c r="AD1003" s="6">
        <f>$O$1003*$X$1003</f>
        <v>1118.1888000000001</v>
      </c>
      <c r="AE1003" s="6">
        <f>$K$1003*$Y$1003</f>
        <v>0</v>
      </c>
      <c r="AF1003" s="6">
        <f ca="1">$M$1003*$Z$1003</f>
        <v>494.08189625401235</v>
      </c>
      <c r="AG1003" s="6">
        <f>$O$1003*$AA$1003</f>
        <v>1126.0585155270892</v>
      </c>
    </row>
    <row r="1004" spans="1:33" ht="11.25" customHeight="1" x14ac:dyDescent="0.25">
      <c r="A1004" s="4" t="s">
        <v>58</v>
      </c>
      <c r="B1004" s="4" t="s">
        <v>41</v>
      </c>
      <c r="C1004" s="4" t="s">
        <v>42</v>
      </c>
      <c r="D1004" s="4" t="s">
        <v>38</v>
      </c>
      <c r="E1004" s="4" t="s">
        <v>25</v>
      </c>
      <c r="F1004" s="4" t="s">
        <v>25</v>
      </c>
      <c r="G1004" s="4" t="s">
        <v>25</v>
      </c>
      <c r="H1004" s="4" t="s">
        <v>35</v>
      </c>
      <c r="I1004" s="5">
        <v>44682</v>
      </c>
      <c r="J1004" s="6">
        <v>0</v>
      </c>
      <c r="K1004" s="6">
        <v>0</v>
      </c>
      <c r="L1004" s="6">
        <v>209.95500000000001</v>
      </c>
      <c r="M1004" s="6">
        <v>209.95500000000001</v>
      </c>
      <c r="N1004" s="6">
        <v>209.95500000000001</v>
      </c>
      <c r="O1004" s="6">
        <v>209.95500000000001</v>
      </c>
      <c r="P1004" s="6">
        <v>0</v>
      </c>
      <c r="Q1004" s="4" t="s">
        <v>26</v>
      </c>
      <c r="R1004" s="4">
        <v>0</v>
      </c>
      <c r="S1004" s="6">
        <v>0</v>
      </c>
      <c r="T1004" s="6">
        <v>31</v>
      </c>
      <c r="U1004" s="6">
        <v>79</v>
      </c>
      <c r="V1004" s="6">
        <f>IF(ISERROR(VLOOKUP($S$1004,'TAR FIN'!$A$1:$O$116,15,0)),0,VLOOKUP($S$1004,'TAR FIN'!$A$1:$O$116,15,0))</f>
        <v>0</v>
      </c>
      <c r="W1004" s="6">
        <f>IF(ISERROR(VLOOKUP($T$1004,'TAR FIN'!$A$1:$O$116,15,0)),0,VLOOKUP($T$1004,'TAR FIN'!$A$1:$O$116,15,0))</f>
        <v>88.66</v>
      </c>
      <c r="X1004" s="6">
        <f>IF(ISERROR(VLOOKUP($U$1004,'TAR FIN'!$A$1:$O$116,15,0)),0,VLOOKUP($U$1004,'TAR FIN'!$A$1:$O$116,15,0))</f>
        <v>311.04000000000002</v>
      </c>
      <c r="Y1004" s="6"/>
      <c r="Z1004" s="6">
        <f ca="1">('TUSD BE'!$AM$35+'TUSD BF'!$AM$35+'TUSD CVA'!$AM$35)*1</f>
        <v>137.4358543126599</v>
      </c>
      <c r="AA1004" s="6">
        <f>('TE BE'!$AB$10+'TE BF'!$AB$10+'TE CVA'!$AB$10)*1</f>
        <v>313.22907246928764</v>
      </c>
      <c r="AB1004" s="6">
        <f>$K$1004*$V$1004</f>
        <v>0</v>
      </c>
      <c r="AC1004" s="6">
        <f>$M$1004*$W$1004</f>
        <v>18614.6103</v>
      </c>
      <c r="AD1004" s="6">
        <f>$O$1004*$X$1004</f>
        <v>65304.403200000008</v>
      </c>
      <c r="AE1004" s="6">
        <f>$K$1004*$Y$1004</f>
        <v>0</v>
      </c>
      <c r="AF1004" s="6">
        <f ca="1">$M$1004*$Z$1004</f>
        <v>28855.34479221451</v>
      </c>
      <c r="AG1004" s="6">
        <f>$O$1004*$AA$1004</f>
        <v>65764.009910289285</v>
      </c>
    </row>
    <row r="1005" spans="1:33" ht="11.25" customHeight="1" x14ac:dyDescent="0.25">
      <c r="A1005" s="4" t="s">
        <v>21</v>
      </c>
      <c r="B1005" s="4" t="s">
        <v>41</v>
      </c>
      <c r="C1005" s="4" t="s">
        <v>42</v>
      </c>
      <c r="D1005" s="4" t="s">
        <v>38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44348</v>
      </c>
      <c r="J1005" s="6">
        <v>34567</v>
      </c>
      <c r="K1005" s="6">
        <v>34567</v>
      </c>
      <c r="L1005" s="6">
        <v>0</v>
      </c>
      <c r="M1005" s="6">
        <v>0</v>
      </c>
      <c r="N1005" s="6">
        <v>0</v>
      </c>
      <c r="O1005" s="6">
        <v>0</v>
      </c>
      <c r="P1005" s="6">
        <v>192</v>
      </c>
      <c r="Q1005" s="4" t="s">
        <v>26</v>
      </c>
      <c r="R1005" s="4">
        <v>0</v>
      </c>
      <c r="S1005" s="6">
        <v>29</v>
      </c>
      <c r="T1005" s="6">
        <v>0</v>
      </c>
      <c r="U1005" s="6">
        <v>0</v>
      </c>
      <c r="V1005" s="6">
        <f>IF(ISERROR(VLOOKUP($S$1005,'TAR FIN'!$A$1:$O$116,15,0)),0,VLOOKUP($S$1005,'TAR FIN'!$A$1:$O$116,15,0))</f>
        <v>25.51</v>
      </c>
      <c r="W1005" s="6">
        <f>IF(ISERROR(VLOOKUP($T$1005,'TAR FIN'!$A$1:$O$116,15,0)),0,VLOOKUP($T$1005,'TAR FIN'!$A$1:$O$116,15,0))</f>
        <v>0</v>
      </c>
      <c r="X1005" s="6">
        <f>IF(ISERROR(VLOOKUP($U$1005,'TAR FIN'!$A$1:$O$116,15,0)),0,VLOOKUP($U$1005,'TAR FIN'!$A$1:$O$116,15,0))</f>
        <v>0</v>
      </c>
      <c r="Y1005" s="6">
        <f ca="1">('TUSD BE'!$AM$33+'TUSD BF'!$AM$33+'TUSD CVA'!$AM$33)*1</f>
        <v>29.803266797877356</v>
      </c>
      <c r="Z1005" s="6"/>
      <c r="AA1005" s="6"/>
      <c r="AB1005" s="6">
        <f>$K$1005*$V$1005</f>
        <v>881804.17</v>
      </c>
      <c r="AC1005" s="6">
        <f>$M$1005*$W$1005</f>
        <v>0</v>
      </c>
      <c r="AD1005" s="6">
        <f>$O$1005*$X$1005</f>
        <v>0</v>
      </c>
      <c r="AE1005" s="6">
        <f ca="1">$K$1005*$Y$1005</f>
        <v>1030209.5234022265</v>
      </c>
      <c r="AF1005" s="6">
        <f>$M$1005*$Z$1005</f>
        <v>0</v>
      </c>
      <c r="AG1005" s="6">
        <f>$O$1005*$AA$1005</f>
        <v>0</v>
      </c>
    </row>
    <row r="1006" spans="1:33" ht="11.25" customHeight="1" x14ac:dyDescent="0.25">
      <c r="A1006" s="4" t="s">
        <v>28</v>
      </c>
      <c r="B1006" s="4" t="s">
        <v>41</v>
      </c>
      <c r="C1006" s="4" t="s">
        <v>42</v>
      </c>
      <c r="D1006" s="4" t="s">
        <v>38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44348</v>
      </c>
      <c r="J1006" s="6">
        <v>2982</v>
      </c>
      <c r="K1006" s="6">
        <v>2982</v>
      </c>
      <c r="L1006" s="6">
        <v>0</v>
      </c>
      <c r="M1006" s="6">
        <v>0</v>
      </c>
      <c r="N1006" s="6">
        <v>0</v>
      </c>
      <c r="O1006" s="6">
        <v>0</v>
      </c>
      <c r="P1006" s="6">
        <v>10</v>
      </c>
      <c r="Q1006" s="4" t="s">
        <v>26</v>
      </c>
      <c r="R1006" s="4">
        <v>0</v>
      </c>
      <c r="S1006" s="6">
        <v>29</v>
      </c>
      <c r="T1006" s="6">
        <v>0</v>
      </c>
      <c r="U1006" s="6">
        <v>0</v>
      </c>
      <c r="V1006" s="6">
        <f>IF(ISERROR(VLOOKUP($S$1006,'TAR FIN'!$A$1:$O$116,15,0)),0,VLOOKUP($S$1006,'TAR FIN'!$A$1:$O$116,15,0))</f>
        <v>25.51</v>
      </c>
      <c r="W1006" s="6">
        <f>IF(ISERROR(VLOOKUP($T$1006,'TAR FIN'!$A$1:$O$116,15,0)),0,VLOOKUP($T$1006,'TAR FIN'!$A$1:$O$116,15,0))</f>
        <v>0</v>
      </c>
      <c r="X1006" s="6">
        <f>IF(ISERROR(VLOOKUP($U$1006,'TAR FIN'!$A$1:$O$116,15,0)),0,VLOOKUP($U$1006,'TAR FIN'!$A$1:$O$116,15,0))</f>
        <v>0</v>
      </c>
      <c r="Y1006" s="6">
        <f ca="1">('TUSD BE'!$AM$33+'TUSD BF'!$AM$33+'TUSD CVA'!$AM$33)*1</f>
        <v>29.803266797877356</v>
      </c>
      <c r="Z1006" s="6"/>
      <c r="AA1006" s="6"/>
      <c r="AB1006" s="6">
        <f>$K$1006*$V$1006</f>
        <v>76070.820000000007</v>
      </c>
      <c r="AC1006" s="6">
        <f>$M$1006*$W$1006</f>
        <v>0</v>
      </c>
      <c r="AD1006" s="6">
        <f>$O$1006*$X$1006</f>
        <v>0</v>
      </c>
      <c r="AE1006" s="6">
        <f ca="1">$K$1006*$Y$1006</f>
        <v>88873.341591270277</v>
      </c>
      <c r="AF1006" s="6">
        <f>$M$1006*$Z$1006</f>
        <v>0</v>
      </c>
      <c r="AG1006" s="6">
        <f>$O$1006*$AA$1006</f>
        <v>0</v>
      </c>
    </row>
    <row r="1007" spans="1:33" ht="11.25" customHeight="1" x14ac:dyDescent="0.25">
      <c r="A1007" s="4" t="s">
        <v>21</v>
      </c>
      <c r="B1007" s="4" t="s">
        <v>41</v>
      </c>
      <c r="C1007" s="4" t="s">
        <v>42</v>
      </c>
      <c r="D1007" s="4" t="s">
        <v>38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44378</v>
      </c>
      <c r="J1007" s="6">
        <v>33785</v>
      </c>
      <c r="K1007" s="6">
        <v>33785</v>
      </c>
      <c r="L1007" s="6">
        <v>0</v>
      </c>
      <c r="M1007" s="6">
        <v>0</v>
      </c>
      <c r="N1007" s="6">
        <v>0</v>
      </c>
      <c r="O1007" s="6">
        <v>0</v>
      </c>
      <c r="P1007" s="6">
        <v>188</v>
      </c>
      <c r="Q1007" s="4" t="s">
        <v>26</v>
      </c>
      <c r="R1007" s="4">
        <v>0</v>
      </c>
      <c r="S1007" s="6">
        <v>29</v>
      </c>
      <c r="T1007" s="6">
        <v>0</v>
      </c>
      <c r="U1007" s="6">
        <v>0</v>
      </c>
      <c r="V1007" s="6">
        <f>IF(ISERROR(VLOOKUP($S$1007,'TAR FIN'!$A$1:$O$116,15,0)),0,VLOOKUP($S$1007,'TAR FIN'!$A$1:$O$116,15,0))</f>
        <v>25.51</v>
      </c>
      <c r="W1007" s="6">
        <f>IF(ISERROR(VLOOKUP($T$1007,'TAR FIN'!$A$1:$O$116,15,0)),0,VLOOKUP($T$1007,'TAR FIN'!$A$1:$O$116,15,0))</f>
        <v>0</v>
      </c>
      <c r="X1007" s="6">
        <f>IF(ISERROR(VLOOKUP($U$1007,'TAR FIN'!$A$1:$O$116,15,0)),0,VLOOKUP($U$1007,'TAR FIN'!$A$1:$O$116,15,0))</f>
        <v>0</v>
      </c>
      <c r="Y1007" s="6">
        <f ca="1">('TUSD BE'!$AM$33+'TUSD BF'!$AM$33+'TUSD CVA'!$AM$33)*1</f>
        <v>29.803266797877356</v>
      </c>
      <c r="Z1007" s="6"/>
      <c r="AA1007" s="6"/>
      <c r="AB1007" s="6">
        <f>$K$1007*$V$1007</f>
        <v>861855.35000000009</v>
      </c>
      <c r="AC1007" s="6">
        <f>$M$1007*$W$1007</f>
        <v>0</v>
      </c>
      <c r="AD1007" s="6">
        <f>$O$1007*$X$1007</f>
        <v>0</v>
      </c>
      <c r="AE1007" s="6">
        <f ca="1">$K$1007*$Y$1007</f>
        <v>1006903.3687662865</v>
      </c>
      <c r="AF1007" s="6">
        <f>$M$1007*$Z$1007</f>
        <v>0</v>
      </c>
      <c r="AG1007" s="6">
        <f>$O$1007*$AA$1007</f>
        <v>0</v>
      </c>
    </row>
    <row r="1008" spans="1:33" ht="11.25" customHeight="1" x14ac:dyDescent="0.25">
      <c r="A1008" s="4" t="s">
        <v>27</v>
      </c>
      <c r="B1008" s="4" t="s">
        <v>41</v>
      </c>
      <c r="C1008" s="4" t="s">
        <v>42</v>
      </c>
      <c r="D1008" s="4" t="s">
        <v>38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44378</v>
      </c>
      <c r="J1008" s="6">
        <v>143</v>
      </c>
      <c r="K1008" s="6">
        <v>143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4" t="s">
        <v>26</v>
      </c>
      <c r="R1008" s="4">
        <v>0</v>
      </c>
      <c r="S1008" s="6">
        <v>29</v>
      </c>
      <c r="T1008" s="6">
        <v>0</v>
      </c>
      <c r="U1008" s="6">
        <v>0</v>
      </c>
      <c r="V1008" s="6">
        <f>IF(ISERROR(VLOOKUP($S$1008,'TAR FIN'!$A$1:$O$116,15,0)),0,VLOOKUP($S$1008,'TAR FIN'!$A$1:$O$116,15,0))</f>
        <v>25.51</v>
      </c>
      <c r="W1008" s="6">
        <f>IF(ISERROR(VLOOKUP($T$1008,'TAR FIN'!$A$1:$O$116,15,0)),0,VLOOKUP($T$1008,'TAR FIN'!$A$1:$O$116,15,0))</f>
        <v>0</v>
      </c>
      <c r="X1008" s="6">
        <f>IF(ISERROR(VLOOKUP($U$1008,'TAR FIN'!$A$1:$O$116,15,0)),0,VLOOKUP($U$1008,'TAR FIN'!$A$1:$O$116,15,0))</f>
        <v>0</v>
      </c>
      <c r="Y1008" s="6">
        <f ca="1">('TUSD BE'!$AM$33+'TUSD BF'!$AM$33+'TUSD CVA'!$AM$33)*1</f>
        <v>29.803266797877356</v>
      </c>
      <c r="Z1008" s="6"/>
      <c r="AA1008" s="6"/>
      <c r="AB1008" s="6">
        <f>$K$1008*$V$1008</f>
        <v>3647.9300000000003</v>
      </c>
      <c r="AC1008" s="6">
        <f>$M$1008*$W$1008</f>
        <v>0</v>
      </c>
      <c r="AD1008" s="6">
        <f>$O$1008*$X$1008</f>
        <v>0</v>
      </c>
      <c r="AE1008" s="6">
        <f ca="1">$K$1008*$Y$1008</f>
        <v>4261.8671520964617</v>
      </c>
      <c r="AF1008" s="6">
        <f>$M$1008*$Z$1008</f>
        <v>0</v>
      </c>
      <c r="AG1008" s="6">
        <f>$O$1008*$AA$1008</f>
        <v>0</v>
      </c>
    </row>
    <row r="1009" spans="1:33" ht="11.25" customHeight="1" x14ac:dyDescent="0.25">
      <c r="A1009" s="4" t="s">
        <v>28</v>
      </c>
      <c r="B1009" s="4" t="s">
        <v>41</v>
      </c>
      <c r="C1009" s="4" t="s">
        <v>42</v>
      </c>
      <c r="D1009" s="4" t="s">
        <v>38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44378</v>
      </c>
      <c r="J1009" s="6">
        <v>5760</v>
      </c>
      <c r="K1009" s="6">
        <v>5760</v>
      </c>
      <c r="L1009" s="6">
        <v>0</v>
      </c>
      <c r="M1009" s="6">
        <v>0</v>
      </c>
      <c r="N1009" s="6">
        <v>0</v>
      </c>
      <c r="O1009" s="6">
        <v>0</v>
      </c>
      <c r="P1009" s="6">
        <v>12</v>
      </c>
      <c r="Q1009" s="4" t="s">
        <v>26</v>
      </c>
      <c r="R1009" s="4">
        <v>0</v>
      </c>
      <c r="S1009" s="6">
        <v>29</v>
      </c>
      <c r="T1009" s="6">
        <v>0</v>
      </c>
      <c r="U1009" s="6">
        <v>0</v>
      </c>
      <c r="V1009" s="6">
        <f>IF(ISERROR(VLOOKUP($S$1009,'TAR FIN'!$A$1:$O$116,15,0)),0,VLOOKUP($S$1009,'TAR FIN'!$A$1:$O$116,15,0))</f>
        <v>25.51</v>
      </c>
      <c r="W1009" s="6">
        <f>IF(ISERROR(VLOOKUP($T$1009,'TAR FIN'!$A$1:$O$116,15,0)),0,VLOOKUP($T$1009,'TAR FIN'!$A$1:$O$116,15,0))</f>
        <v>0</v>
      </c>
      <c r="X1009" s="6">
        <f>IF(ISERROR(VLOOKUP($U$1009,'TAR FIN'!$A$1:$O$116,15,0)),0,VLOOKUP($U$1009,'TAR FIN'!$A$1:$O$116,15,0))</f>
        <v>0</v>
      </c>
      <c r="Y1009" s="6">
        <f ca="1">('TUSD BE'!$AM$33+'TUSD BF'!$AM$33+'TUSD CVA'!$AM$33)*1</f>
        <v>29.803266797877356</v>
      </c>
      <c r="Z1009" s="6"/>
      <c r="AA1009" s="6"/>
      <c r="AB1009" s="6">
        <f>$K$1009*$V$1009</f>
        <v>146937.60000000001</v>
      </c>
      <c r="AC1009" s="6">
        <f>$M$1009*$W$1009</f>
        <v>0</v>
      </c>
      <c r="AD1009" s="6">
        <f>$O$1009*$X$1009</f>
        <v>0</v>
      </c>
      <c r="AE1009" s="6">
        <f ca="1">$K$1009*$Y$1009</f>
        <v>171666.81675577356</v>
      </c>
      <c r="AF1009" s="6">
        <f>$M$1009*$Z$1009</f>
        <v>0</v>
      </c>
      <c r="AG1009" s="6">
        <f>$O$1009*$AA$1009</f>
        <v>0</v>
      </c>
    </row>
    <row r="1010" spans="1:33" ht="11.25" customHeight="1" x14ac:dyDescent="0.25">
      <c r="A1010" s="4" t="s">
        <v>28</v>
      </c>
      <c r="B1010" s="4" t="s">
        <v>41</v>
      </c>
      <c r="C1010" s="4" t="s">
        <v>42</v>
      </c>
      <c r="D1010" s="4" t="s">
        <v>38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44378</v>
      </c>
      <c r="J1010" s="6">
        <v>-1557</v>
      </c>
      <c r="K1010" s="6">
        <v>-1557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4" t="s">
        <v>26</v>
      </c>
      <c r="R1010" s="4">
        <v>0</v>
      </c>
      <c r="S1010" s="6">
        <v>29</v>
      </c>
      <c r="T1010" s="6">
        <v>0</v>
      </c>
      <c r="U1010" s="6">
        <v>0</v>
      </c>
      <c r="V1010" s="6">
        <f>IF(ISERROR(VLOOKUP($S$1010,'TAR FIN'!$A$1:$O$116,15,0)),0,VLOOKUP($S$1010,'TAR FIN'!$A$1:$O$116,15,0))</f>
        <v>25.51</v>
      </c>
      <c r="W1010" s="6">
        <f>IF(ISERROR(VLOOKUP($T$1010,'TAR FIN'!$A$1:$O$116,15,0)),0,VLOOKUP($T$1010,'TAR FIN'!$A$1:$O$116,15,0))</f>
        <v>0</v>
      </c>
      <c r="X1010" s="6">
        <f>IF(ISERROR(VLOOKUP($U$1010,'TAR FIN'!$A$1:$O$116,15,0)),0,VLOOKUP($U$1010,'TAR FIN'!$A$1:$O$116,15,0))</f>
        <v>0</v>
      </c>
      <c r="Y1010" s="6">
        <f ca="1">('TUSD BE'!$AM$33+'TUSD BF'!$AM$33+'TUSD CVA'!$AM$33)*1</f>
        <v>29.803266797877356</v>
      </c>
      <c r="Z1010" s="6"/>
      <c r="AA1010" s="6"/>
      <c r="AB1010" s="6">
        <f>$K$1010*$V$1010</f>
        <v>-39719.07</v>
      </c>
      <c r="AC1010" s="6">
        <f>$M$1010*$W$1010</f>
        <v>0</v>
      </c>
      <c r="AD1010" s="6">
        <f>$O$1010*$X$1010</f>
        <v>0</v>
      </c>
      <c r="AE1010" s="6">
        <f ca="1">$K$1010*$Y$1010</f>
        <v>-46403.68640429504</v>
      </c>
      <c r="AF1010" s="6">
        <f>$M$1010*$Z$1010</f>
        <v>0</v>
      </c>
      <c r="AG1010" s="6">
        <f>$O$1010*$AA$1010</f>
        <v>0</v>
      </c>
    </row>
    <row r="1011" spans="1:33" ht="11.25" customHeight="1" x14ac:dyDescent="0.25">
      <c r="A1011" s="4" t="s">
        <v>21</v>
      </c>
      <c r="B1011" s="4" t="s">
        <v>41</v>
      </c>
      <c r="C1011" s="4" t="s">
        <v>42</v>
      </c>
      <c r="D1011" s="4" t="s">
        <v>38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44409</v>
      </c>
      <c r="J1011" s="6">
        <v>32965</v>
      </c>
      <c r="K1011" s="6">
        <v>32965</v>
      </c>
      <c r="L1011" s="6">
        <v>0</v>
      </c>
      <c r="M1011" s="6">
        <v>0</v>
      </c>
      <c r="N1011" s="6">
        <v>0</v>
      </c>
      <c r="O1011" s="6">
        <v>0</v>
      </c>
      <c r="P1011" s="6">
        <v>188</v>
      </c>
      <c r="Q1011" s="4" t="s">
        <v>26</v>
      </c>
      <c r="R1011" s="4">
        <v>0</v>
      </c>
      <c r="S1011" s="6">
        <v>29</v>
      </c>
      <c r="T1011" s="6">
        <v>0</v>
      </c>
      <c r="U1011" s="6">
        <v>0</v>
      </c>
      <c r="V1011" s="6">
        <f>IF(ISERROR(VLOOKUP($S$1011,'TAR FIN'!$A$1:$O$116,15,0)),0,VLOOKUP($S$1011,'TAR FIN'!$A$1:$O$116,15,0))</f>
        <v>25.51</v>
      </c>
      <c r="W1011" s="6">
        <f>IF(ISERROR(VLOOKUP($T$1011,'TAR FIN'!$A$1:$O$116,15,0)),0,VLOOKUP($T$1011,'TAR FIN'!$A$1:$O$116,15,0))</f>
        <v>0</v>
      </c>
      <c r="X1011" s="6">
        <f>IF(ISERROR(VLOOKUP($U$1011,'TAR FIN'!$A$1:$O$116,15,0)),0,VLOOKUP($U$1011,'TAR FIN'!$A$1:$O$116,15,0))</f>
        <v>0</v>
      </c>
      <c r="Y1011" s="6">
        <f ca="1">('TUSD BE'!$AM$33+'TUSD BF'!$AM$33+'TUSD CVA'!$AM$33)*1</f>
        <v>29.803266797877356</v>
      </c>
      <c r="Z1011" s="6"/>
      <c r="AA1011" s="6"/>
      <c r="AB1011" s="6">
        <f>$K$1011*$V$1011</f>
        <v>840937.15</v>
      </c>
      <c r="AC1011" s="6">
        <f>$M$1011*$W$1011</f>
        <v>0</v>
      </c>
      <c r="AD1011" s="6">
        <f>$O$1011*$X$1011</f>
        <v>0</v>
      </c>
      <c r="AE1011" s="6">
        <f ca="1">$K$1011*$Y$1011</f>
        <v>982464.68999202701</v>
      </c>
      <c r="AF1011" s="6">
        <f>$M$1011*$Z$1011</f>
        <v>0</v>
      </c>
      <c r="AG1011" s="6">
        <f>$O$1011*$AA$1011</f>
        <v>0</v>
      </c>
    </row>
    <row r="1012" spans="1:33" ht="11.25" customHeight="1" x14ac:dyDescent="0.25">
      <c r="A1012" s="4" t="s">
        <v>27</v>
      </c>
      <c r="B1012" s="4" t="s">
        <v>41</v>
      </c>
      <c r="C1012" s="4" t="s">
        <v>42</v>
      </c>
      <c r="D1012" s="4" t="s">
        <v>38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44409</v>
      </c>
      <c r="J1012" s="6">
        <v>132</v>
      </c>
      <c r="K1012" s="6">
        <v>132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4" t="s">
        <v>26</v>
      </c>
      <c r="R1012" s="4">
        <v>0</v>
      </c>
      <c r="S1012" s="6">
        <v>29</v>
      </c>
      <c r="T1012" s="6">
        <v>0</v>
      </c>
      <c r="U1012" s="6">
        <v>0</v>
      </c>
      <c r="V1012" s="6">
        <f>IF(ISERROR(VLOOKUP($S$1012,'TAR FIN'!$A$1:$O$116,15,0)),0,VLOOKUP($S$1012,'TAR FIN'!$A$1:$O$116,15,0))</f>
        <v>25.51</v>
      </c>
      <c r="W1012" s="6">
        <f>IF(ISERROR(VLOOKUP($T$1012,'TAR FIN'!$A$1:$O$116,15,0)),0,VLOOKUP($T$1012,'TAR FIN'!$A$1:$O$116,15,0))</f>
        <v>0</v>
      </c>
      <c r="X1012" s="6">
        <f>IF(ISERROR(VLOOKUP($U$1012,'TAR FIN'!$A$1:$O$116,15,0)),0,VLOOKUP($U$1012,'TAR FIN'!$A$1:$O$116,15,0))</f>
        <v>0</v>
      </c>
      <c r="Y1012" s="6">
        <f ca="1">('TUSD BE'!$AM$33+'TUSD BF'!$AM$33+'TUSD CVA'!$AM$33)*1</f>
        <v>29.803266797877356</v>
      </c>
      <c r="Z1012" s="6"/>
      <c r="AA1012" s="6"/>
      <c r="AB1012" s="6">
        <f>$K$1012*$V$1012</f>
        <v>3367.32</v>
      </c>
      <c r="AC1012" s="6">
        <f>$M$1012*$W$1012</f>
        <v>0</v>
      </c>
      <c r="AD1012" s="6">
        <f>$O$1012*$X$1012</f>
        <v>0</v>
      </c>
      <c r="AE1012" s="6">
        <f ca="1">$K$1012*$Y$1012</f>
        <v>3934.0312173198108</v>
      </c>
      <c r="AF1012" s="6">
        <f>$M$1012*$Z$1012</f>
        <v>0</v>
      </c>
      <c r="AG1012" s="6">
        <f>$O$1012*$AA$1012</f>
        <v>0</v>
      </c>
    </row>
    <row r="1013" spans="1:33" ht="11.25" customHeight="1" x14ac:dyDescent="0.25">
      <c r="A1013" s="4" t="s">
        <v>28</v>
      </c>
      <c r="B1013" s="4" t="s">
        <v>41</v>
      </c>
      <c r="C1013" s="4" t="s">
        <v>42</v>
      </c>
      <c r="D1013" s="4" t="s">
        <v>38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44409</v>
      </c>
      <c r="J1013" s="6">
        <v>5759</v>
      </c>
      <c r="K1013" s="6">
        <v>5759</v>
      </c>
      <c r="L1013" s="6">
        <v>0</v>
      </c>
      <c r="M1013" s="6">
        <v>0</v>
      </c>
      <c r="N1013" s="6">
        <v>0</v>
      </c>
      <c r="O1013" s="6">
        <v>0</v>
      </c>
      <c r="P1013" s="6">
        <v>12</v>
      </c>
      <c r="Q1013" s="4" t="s">
        <v>26</v>
      </c>
      <c r="R1013" s="4">
        <v>0</v>
      </c>
      <c r="S1013" s="6">
        <v>29</v>
      </c>
      <c r="T1013" s="6">
        <v>0</v>
      </c>
      <c r="U1013" s="6">
        <v>0</v>
      </c>
      <c r="V1013" s="6">
        <f>IF(ISERROR(VLOOKUP($S$1013,'TAR FIN'!$A$1:$O$116,15,0)),0,VLOOKUP($S$1013,'TAR FIN'!$A$1:$O$116,15,0))</f>
        <v>25.51</v>
      </c>
      <c r="W1013" s="6">
        <f>IF(ISERROR(VLOOKUP($T$1013,'TAR FIN'!$A$1:$O$116,15,0)),0,VLOOKUP($T$1013,'TAR FIN'!$A$1:$O$116,15,0))</f>
        <v>0</v>
      </c>
      <c r="X1013" s="6">
        <f>IF(ISERROR(VLOOKUP($U$1013,'TAR FIN'!$A$1:$O$116,15,0)),0,VLOOKUP($U$1013,'TAR FIN'!$A$1:$O$116,15,0))</f>
        <v>0</v>
      </c>
      <c r="Y1013" s="6">
        <f ca="1">('TUSD BE'!$AM$33+'TUSD BF'!$AM$33+'TUSD CVA'!$AM$33)*1</f>
        <v>29.803266797877356</v>
      </c>
      <c r="Z1013" s="6"/>
      <c r="AA1013" s="6"/>
      <c r="AB1013" s="6">
        <f>$K$1013*$V$1013</f>
        <v>146912.09</v>
      </c>
      <c r="AC1013" s="6">
        <f>$M$1013*$W$1013</f>
        <v>0</v>
      </c>
      <c r="AD1013" s="6">
        <f>$O$1013*$X$1013</f>
        <v>0</v>
      </c>
      <c r="AE1013" s="6">
        <f ca="1">$K$1013*$Y$1013</f>
        <v>171637.0134889757</v>
      </c>
      <c r="AF1013" s="6">
        <f>$M$1013*$Z$1013</f>
        <v>0</v>
      </c>
      <c r="AG1013" s="6">
        <f>$O$1013*$AA$1013</f>
        <v>0</v>
      </c>
    </row>
    <row r="1014" spans="1:33" ht="11.25" customHeight="1" x14ac:dyDescent="0.25">
      <c r="A1014" s="4" t="s">
        <v>21</v>
      </c>
      <c r="B1014" s="4" t="s">
        <v>41</v>
      </c>
      <c r="C1014" s="4" t="s">
        <v>42</v>
      </c>
      <c r="D1014" s="4" t="s">
        <v>38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44440</v>
      </c>
      <c r="J1014" s="6">
        <v>32923</v>
      </c>
      <c r="K1014" s="6">
        <v>32923</v>
      </c>
      <c r="L1014" s="6">
        <v>0</v>
      </c>
      <c r="M1014" s="6">
        <v>0</v>
      </c>
      <c r="N1014" s="6">
        <v>0</v>
      </c>
      <c r="O1014" s="6">
        <v>0</v>
      </c>
      <c r="P1014" s="6">
        <v>188</v>
      </c>
      <c r="Q1014" s="4" t="s">
        <v>26</v>
      </c>
      <c r="R1014" s="4">
        <v>0</v>
      </c>
      <c r="S1014" s="6">
        <v>29</v>
      </c>
      <c r="T1014" s="6">
        <v>0</v>
      </c>
      <c r="U1014" s="6">
        <v>0</v>
      </c>
      <c r="V1014" s="6">
        <f>IF(ISERROR(VLOOKUP($S$1014,'TAR FIN'!$A$1:$O$116,15,0)),0,VLOOKUP($S$1014,'TAR FIN'!$A$1:$O$116,15,0))</f>
        <v>25.51</v>
      </c>
      <c r="W1014" s="6">
        <f>IF(ISERROR(VLOOKUP($T$1014,'TAR FIN'!$A$1:$O$116,15,0)),0,VLOOKUP($T$1014,'TAR FIN'!$A$1:$O$116,15,0))</f>
        <v>0</v>
      </c>
      <c r="X1014" s="6">
        <f>IF(ISERROR(VLOOKUP($U$1014,'TAR FIN'!$A$1:$O$116,15,0)),0,VLOOKUP($U$1014,'TAR FIN'!$A$1:$O$116,15,0))</f>
        <v>0</v>
      </c>
      <c r="Y1014" s="6">
        <f ca="1">('TUSD BE'!$AM$33+'TUSD BF'!$AM$33+'TUSD CVA'!$AM$33)*1</f>
        <v>29.803266797877356</v>
      </c>
      <c r="Z1014" s="6"/>
      <c r="AA1014" s="6"/>
      <c r="AB1014" s="6">
        <f>$K$1014*$V$1014</f>
        <v>839865.7300000001</v>
      </c>
      <c r="AC1014" s="6">
        <f>$M$1014*$W$1014</f>
        <v>0</v>
      </c>
      <c r="AD1014" s="6">
        <f>$O$1014*$X$1014</f>
        <v>0</v>
      </c>
      <c r="AE1014" s="6">
        <f ca="1">$K$1014*$Y$1014</f>
        <v>981212.95278651617</v>
      </c>
      <c r="AF1014" s="6">
        <f>$M$1014*$Z$1014</f>
        <v>0</v>
      </c>
      <c r="AG1014" s="6">
        <f>$O$1014*$AA$1014</f>
        <v>0</v>
      </c>
    </row>
    <row r="1015" spans="1:33" ht="11.25" customHeight="1" x14ac:dyDescent="0.25">
      <c r="A1015" s="4" t="s">
        <v>28</v>
      </c>
      <c r="B1015" s="4" t="s">
        <v>41</v>
      </c>
      <c r="C1015" s="4" t="s">
        <v>42</v>
      </c>
      <c r="D1015" s="4" t="s">
        <v>38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44440</v>
      </c>
      <c r="J1015" s="6">
        <v>5902</v>
      </c>
      <c r="K1015" s="6">
        <v>5902</v>
      </c>
      <c r="L1015" s="6">
        <v>0</v>
      </c>
      <c r="M1015" s="6">
        <v>0</v>
      </c>
      <c r="N1015" s="6">
        <v>0</v>
      </c>
      <c r="O1015" s="6">
        <v>0</v>
      </c>
      <c r="P1015" s="6">
        <v>13</v>
      </c>
      <c r="Q1015" s="4" t="s">
        <v>26</v>
      </c>
      <c r="R1015" s="4">
        <v>0</v>
      </c>
      <c r="S1015" s="6">
        <v>29</v>
      </c>
      <c r="T1015" s="6">
        <v>0</v>
      </c>
      <c r="U1015" s="6">
        <v>0</v>
      </c>
      <c r="V1015" s="6">
        <f>IF(ISERROR(VLOOKUP($S$1015,'TAR FIN'!$A$1:$O$116,15,0)),0,VLOOKUP($S$1015,'TAR FIN'!$A$1:$O$116,15,0))</f>
        <v>25.51</v>
      </c>
      <c r="W1015" s="6">
        <f>IF(ISERROR(VLOOKUP($T$1015,'TAR FIN'!$A$1:$O$116,15,0)),0,VLOOKUP($T$1015,'TAR FIN'!$A$1:$O$116,15,0))</f>
        <v>0</v>
      </c>
      <c r="X1015" s="6">
        <f>IF(ISERROR(VLOOKUP($U$1015,'TAR FIN'!$A$1:$O$116,15,0)),0,VLOOKUP($U$1015,'TAR FIN'!$A$1:$O$116,15,0))</f>
        <v>0</v>
      </c>
      <c r="Y1015" s="6">
        <f ca="1">('TUSD BE'!$AM$33+'TUSD BF'!$AM$33+'TUSD CVA'!$AM$33)*1</f>
        <v>29.803266797877356</v>
      </c>
      <c r="Z1015" s="6"/>
      <c r="AA1015" s="6"/>
      <c r="AB1015" s="6">
        <f>$K$1015*$V$1015</f>
        <v>150560.02000000002</v>
      </c>
      <c r="AC1015" s="6">
        <f>$M$1015*$W$1015</f>
        <v>0</v>
      </c>
      <c r="AD1015" s="6">
        <f>$O$1015*$X$1015</f>
        <v>0</v>
      </c>
      <c r="AE1015" s="6">
        <f ca="1">$K$1015*$Y$1015</f>
        <v>175898.88064107214</v>
      </c>
      <c r="AF1015" s="6">
        <f>$M$1015*$Z$1015</f>
        <v>0</v>
      </c>
      <c r="AG1015" s="6">
        <f>$O$1015*$AA$1015</f>
        <v>0</v>
      </c>
    </row>
    <row r="1016" spans="1:33" ht="11.25" customHeight="1" x14ac:dyDescent="0.25">
      <c r="A1016" s="4" t="s">
        <v>21</v>
      </c>
      <c r="B1016" s="4" t="s">
        <v>41</v>
      </c>
      <c r="C1016" s="4" t="s">
        <v>42</v>
      </c>
      <c r="D1016" s="4" t="s">
        <v>38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44470</v>
      </c>
      <c r="J1016" s="6">
        <v>31821</v>
      </c>
      <c r="K1016" s="6">
        <v>31821</v>
      </c>
      <c r="L1016" s="6">
        <v>0</v>
      </c>
      <c r="M1016" s="6">
        <v>0</v>
      </c>
      <c r="N1016" s="6">
        <v>0</v>
      </c>
      <c r="O1016" s="6">
        <v>0</v>
      </c>
      <c r="P1016" s="6">
        <v>186</v>
      </c>
      <c r="Q1016" s="4" t="s">
        <v>26</v>
      </c>
      <c r="R1016" s="4">
        <v>0</v>
      </c>
      <c r="S1016" s="6">
        <v>29</v>
      </c>
      <c r="T1016" s="6">
        <v>0</v>
      </c>
      <c r="U1016" s="6">
        <v>0</v>
      </c>
      <c r="V1016" s="6">
        <f>IF(ISERROR(VLOOKUP($S$1016,'TAR FIN'!$A$1:$O$116,15,0)),0,VLOOKUP($S$1016,'TAR FIN'!$A$1:$O$116,15,0))</f>
        <v>25.51</v>
      </c>
      <c r="W1016" s="6">
        <f>IF(ISERROR(VLOOKUP($T$1016,'TAR FIN'!$A$1:$O$116,15,0)),0,VLOOKUP($T$1016,'TAR FIN'!$A$1:$O$116,15,0))</f>
        <v>0</v>
      </c>
      <c r="X1016" s="6">
        <f>IF(ISERROR(VLOOKUP($U$1016,'TAR FIN'!$A$1:$O$116,15,0)),0,VLOOKUP($U$1016,'TAR FIN'!$A$1:$O$116,15,0))</f>
        <v>0</v>
      </c>
      <c r="Y1016" s="6">
        <f ca="1">('TUSD BE'!$AM$33+'TUSD BF'!$AM$33+'TUSD CVA'!$AM$33)*1</f>
        <v>29.803266797877356</v>
      </c>
      <c r="Z1016" s="6"/>
      <c r="AA1016" s="6"/>
      <c r="AB1016" s="6">
        <f>$K$1016*$V$1016</f>
        <v>811753.71000000008</v>
      </c>
      <c r="AC1016" s="6">
        <f>$M$1016*$W$1016</f>
        <v>0</v>
      </c>
      <c r="AD1016" s="6">
        <f>$O$1016*$X$1016</f>
        <v>0</v>
      </c>
      <c r="AE1016" s="6">
        <f ca="1">$K$1016*$Y$1016</f>
        <v>948369.75277525536</v>
      </c>
      <c r="AF1016" s="6">
        <f>$M$1016*$Z$1016</f>
        <v>0</v>
      </c>
      <c r="AG1016" s="6">
        <f>$O$1016*$AA$1016</f>
        <v>0</v>
      </c>
    </row>
    <row r="1017" spans="1:33" ht="11.25" customHeight="1" x14ac:dyDescent="0.25">
      <c r="A1017" s="4" t="s">
        <v>28</v>
      </c>
      <c r="B1017" s="4" t="s">
        <v>41</v>
      </c>
      <c r="C1017" s="4" t="s">
        <v>42</v>
      </c>
      <c r="D1017" s="4" t="s">
        <v>38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44470</v>
      </c>
      <c r="J1017" s="6">
        <v>5971</v>
      </c>
      <c r="K1017" s="6">
        <v>5971</v>
      </c>
      <c r="L1017" s="6">
        <v>0</v>
      </c>
      <c r="M1017" s="6">
        <v>0</v>
      </c>
      <c r="N1017" s="6">
        <v>0</v>
      </c>
      <c r="O1017" s="6">
        <v>0</v>
      </c>
      <c r="P1017" s="6">
        <v>14</v>
      </c>
      <c r="Q1017" s="4" t="s">
        <v>26</v>
      </c>
      <c r="R1017" s="4">
        <v>0</v>
      </c>
      <c r="S1017" s="6">
        <v>29</v>
      </c>
      <c r="T1017" s="6">
        <v>0</v>
      </c>
      <c r="U1017" s="6">
        <v>0</v>
      </c>
      <c r="V1017" s="6">
        <f>IF(ISERROR(VLOOKUP($S$1017,'TAR FIN'!$A$1:$O$116,15,0)),0,VLOOKUP($S$1017,'TAR FIN'!$A$1:$O$116,15,0))</f>
        <v>25.51</v>
      </c>
      <c r="W1017" s="6">
        <f>IF(ISERROR(VLOOKUP($T$1017,'TAR FIN'!$A$1:$O$116,15,0)),0,VLOOKUP($T$1017,'TAR FIN'!$A$1:$O$116,15,0))</f>
        <v>0</v>
      </c>
      <c r="X1017" s="6">
        <f>IF(ISERROR(VLOOKUP($U$1017,'TAR FIN'!$A$1:$O$116,15,0)),0,VLOOKUP($U$1017,'TAR FIN'!$A$1:$O$116,15,0))</f>
        <v>0</v>
      </c>
      <c r="Y1017" s="6">
        <f ca="1">('TUSD BE'!$AM$33+'TUSD BF'!$AM$33+'TUSD CVA'!$AM$33)*1</f>
        <v>29.803266797877356</v>
      </c>
      <c r="Z1017" s="6"/>
      <c r="AA1017" s="6"/>
      <c r="AB1017" s="6">
        <f>$K$1017*$V$1017</f>
        <v>152320.21000000002</v>
      </c>
      <c r="AC1017" s="6">
        <f>$M$1017*$W$1017</f>
        <v>0</v>
      </c>
      <c r="AD1017" s="6">
        <f>$O$1017*$X$1017</f>
        <v>0</v>
      </c>
      <c r="AE1017" s="6">
        <f ca="1">$K$1017*$Y$1017</f>
        <v>177955.30605012568</v>
      </c>
      <c r="AF1017" s="6">
        <f>$M$1017*$Z$1017</f>
        <v>0</v>
      </c>
      <c r="AG1017" s="6">
        <f>$O$1017*$AA$1017</f>
        <v>0</v>
      </c>
    </row>
    <row r="1018" spans="1:33" ht="11.25" customHeight="1" x14ac:dyDescent="0.25">
      <c r="A1018" s="4" t="s">
        <v>21</v>
      </c>
      <c r="B1018" s="4" t="s">
        <v>41</v>
      </c>
      <c r="C1018" s="4" t="s">
        <v>42</v>
      </c>
      <c r="D1018" s="4" t="s">
        <v>38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44501</v>
      </c>
      <c r="J1018" s="6">
        <v>31246</v>
      </c>
      <c r="K1018" s="6">
        <v>31246</v>
      </c>
      <c r="L1018" s="6">
        <v>0</v>
      </c>
      <c r="M1018" s="6">
        <v>0</v>
      </c>
      <c r="N1018" s="6">
        <v>0</v>
      </c>
      <c r="O1018" s="6">
        <v>0</v>
      </c>
      <c r="P1018" s="6">
        <v>182</v>
      </c>
      <c r="Q1018" s="4" t="s">
        <v>26</v>
      </c>
      <c r="R1018" s="4">
        <v>0</v>
      </c>
      <c r="S1018" s="6">
        <v>29</v>
      </c>
      <c r="T1018" s="6">
        <v>0</v>
      </c>
      <c r="U1018" s="6">
        <v>0</v>
      </c>
      <c r="V1018" s="6">
        <f>IF(ISERROR(VLOOKUP($S$1018,'TAR FIN'!$A$1:$O$116,15,0)),0,VLOOKUP($S$1018,'TAR FIN'!$A$1:$O$116,15,0))</f>
        <v>25.51</v>
      </c>
      <c r="W1018" s="6">
        <f>IF(ISERROR(VLOOKUP($T$1018,'TAR FIN'!$A$1:$O$116,15,0)),0,VLOOKUP($T$1018,'TAR FIN'!$A$1:$O$116,15,0))</f>
        <v>0</v>
      </c>
      <c r="X1018" s="6">
        <f>IF(ISERROR(VLOOKUP($U$1018,'TAR FIN'!$A$1:$O$116,15,0)),0,VLOOKUP($U$1018,'TAR FIN'!$A$1:$O$116,15,0))</f>
        <v>0</v>
      </c>
      <c r="Y1018" s="6">
        <f ca="1">('TUSD BE'!$AM$33+'TUSD BF'!$AM$33+'TUSD CVA'!$AM$33)*1</f>
        <v>29.803266797877356</v>
      </c>
      <c r="Z1018" s="6"/>
      <c r="AA1018" s="6"/>
      <c r="AB1018" s="6">
        <f>$K$1018*$V$1018</f>
        <v>797085.46000000008</v>
      </c>
      <c r="AC1018" s="6">
        <f>$M$1018*$W$1018</f>
        <v>0</v>
      </c>
      <c r="AD1018" s="6">
        <f>$O$1018*$X$1018</f>
        <v>0</v>
      </c>
      <c r="AE1018" s="6">
        <f ca="1">$K$1018*$Y$1018</f>
        <v>931232.87436647585</v>
      </c>
      <c r="AF1018" s="6">
        <f>$M$1018*$Z$1018</f>
        <v>0</v>
      </c>
      <c r="AG1018" s="6">
        <f>$O$1018*$AA$1018</f>
        <v>0</v>
      </c>
    </row>
    <row r="1019" spans="1:33" ht="11.25" customHeight="1" x14ac:dyDescent="0.25">
      <c r="A1019" s="4" t="s">
        <v>27</v>
      </c>
      <c r="B1019" s="4" t="s">
        <v>41</v>
      </c>
      <c r="C1019" s="4" t="s">
        <v>42</v>
      </c>
      <c r="D1019" s="4" t="s">
        <v>38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44501</v>
      </c>
      <c r="J1019" s="6">
        <v>-85</v>
      </c>
      <c r="K1019" s="6">
        <v>-85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4" t="s">
        <v>26</v>
      </c>
      <c r="R1019" s="4">
        <v>0</v>
      </c>
      <c r="S1019" s="6">
        <v>29</v>
      </c>
      <c r="T1019" s="6">
        <v>0</v>
      </c>
      <c r="U1019" s="6">
        <v>0</v>
      </c>
      <c r="V1019" s="6">
        <f>IF(ISERROR(VLOOKUP($S$1019,'TAR FIN'!$A$1:$O$116,15,0)),0,VLOOKUP($S$1019,'TAR FIN'!$A$1:$O$116,15,0))</f>
        <v>25.51</v>
      </c>
      <c r="W1019" s="6">
        <f>IF(ISERROR(VLOOKUP($T$1019,'TAR FIN'!$A$1:$O$116,15,0)),0,VLOOKUP($T$1019,'TAR FIN'!$A$1:$O$116,15,0))</f>
        <v>0</v>
      </c>
      <c r="X1019" s="6">
        <f>IF(ISERROR(VLOOKUP($U$1019,'TAR FIN'!$A$1:$O$116,15,0)),0,VLOOKUP($U$1019,'TAR FIN'!$A$1:$O$116,15,0))</f>
        <v>0</v>
      </c>
      <c r="Y1019" s="6">
        <f ca="1">('TUSD BE'!$AM$33+'TUSD BF'!$AM$33+'TUSD CVA'!$AM$33)*1</f>
        <v>29.803266797877356</v>
      </c>
      <c r="Z1019" s="6"/>
      <c r="AA1019" s="6"/>
      <c r="AB1019" s="6">
        <f>$K$1019*$V$1019</f>
        <v>-2168.35</v>
      </c>
      <c r="AC1019" s="6">
        <f>$M$1019*$W$1019</f>
        <v>0</v>
      </c>
      <c r="AD1019" s="6">
        <f>$O$1019*$X$1019</f>
        <v>0</v>
      </c>
      <c r="AE1019" s="6">
        <f ca="1">$K$1019*$Y$1019</f>
        <v>-2533.2776778195753</v>
      </c>
      <c r="AF1019" s="6">
        <f>$M$1019*$Z$1019</f>
        <v>0</v>
      </c>
      <c r="AG1019" s="6">
        <f>$O$1019*$AA$1019</f>
        <v>0</v>
      </c>
    </row>
    <row r="1020" spans="1:33" ht="11.25" customHeight="1" x14ac:dyDescent="0.25">
      <c r="A1020" s="4" t="s">
        <v>28</v>
      </c>
      <c r="B1020" s="4" t="s">
        <v>41</v>
      </c>
      <c r="C1020" s="4" t="s">
        <v>42</v>
      </c>
      <c r="D1020" s="4" t="s">
        <v>38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44501</v>
      </c>
      <c r="J1020" s="6">
        <v>6262</v>
      </c>
      <c r="K1020" s="6">
        <v>6262</v>
      </c>
      <c r="L1020" s="6">
        <v>0</v>
      </c>
      <c r="M1020" s="6">
        <v>0</v>
      </c>
      <c r="N1020" s="6">
        <v>0</v>
      </c>
      <c r="O1020" s="6">
        <v>0</v>
      </c>
      <c r="P1020" s="6">
        <v>16</v>
      </c>
      <c r="Q1020" s="4" t="s">
        <v>26</v>
      </c>
      <c r="R1020" s="4">
        <v>0</v>
      </c>
      <c r="S1020" s="6">
        <v>29</v>
      </c>
      <c r="T1020" s="6">
        <v>0</v>
      </c>
      <c r="U1020" s="6">
        <v>0</v>
      </c>
      <c r="V1020" s="6">
        <f>IF(ISERROR(VLOOKUP($S$1020,'TAR FIN'!$A$1:$O$116,15,0)),0,VLOOKUP($S$1020,'TAR FIN'!$A$1:$O$116,15,0))</f>
        <v>25.51</v>
      </c>
      <c r="W1020" s="6">
        <f>IF(ISERROR(VLOOKUP($T$1020,'TAR FIN'!$A$1:$O$116,15,0)),0,VLOOKUP($T$1020,'TAR FIN'!$A$1:$O$116,15,0))</f>
        <v>0</v>
      </c>
      <c r="X1020" s="6">
        <f>IF(ISERROR(VLOOKUP($U$1020,'TAR FIN'!$A$1:$O$116,15,0)),0,VLOOKUP($U$1020,'TAR FIN'!$A$1:$O$116,15,0))</f>
        <v>0</v>
      </c>
      <c r="Y1020" s="6">
        <f ca="1">('TUSD BE'!$AM$33+'TUSD BF'!$AM$33+'TUSD CVA'!$AM$33)*1</f>
        <v>29.803266797877356</v>
      </c>
      <c r="Z1020" s="6"/>
      <c r="AA1020" s="6"/>
      <c r="AB1020" s="6">
        <f>$K$1020*$V$1020</f>
        <v>159743.62</v>
      </c>
      <c r="AC1020" s="6">
        <f>$M$1020*$W$1020</f>
        <v>0</v>
      </c>
      <c r="AD1020" s="6">
        <f>$O$1020*$X$1020</f>
        <v>0</v>
      </c>
      <c r="AE1020" s="6">
        <f ca="1">$K$1020*$Y$1020</f>
        <v>186628.05668830802</v>
      </c>
      <c r="AF1020" s="6">
        <f>$M$1020*$Z$1020</f>
        <v>0</v>
      </c>
      <c r="AG1020" s="6">
        <f>$O$1020*$AA$1020</f>
        <v>0</v>
      </c>
    </row>
    <row r="1021" spans="1:33" ht="11.25" customHeight="1" x14ac:dyDescent="0.25">
      <c r="A1021" s="4" t="s">
        <v>21</v>
      </c>
      <c r="B1021" s="4" t="s">
        <v>41</v>
      </c>
      <c r="C1021" s="4" t="s">
        <v>42</v>
      </c>
      <c r="D1021" s="4" t="s">
        <v>38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44531</v>
      </c>
      <c r="J1021" s="6">
        <v>31182</v>
      </c>
      <c r="K1021" s="6">
        <v>31182</v>
      </c>
      <c r="L1021" s="6">
        <v>0</v>
      </c>
      <c r="M1021" s="6">
        <v>0</v>
      </c>
      <c r="N1021" s="6">
        <v>0</v>
      </c>
      <c r="O1021" s="6">
        <v>0</v>
      </c>
      <c r="P1021" s="6">
        <v>180</v>
      </c>
      <c r="Q1021" s="4" t="s">
        <v>26</v>
      </c>
      <c r="R1021" s="4">
        <v>0</v>
      </c>
      <c r="S1021" s="6">
        <v>29</v>
      </c>
      <c r="T1021" s="6">
        <v>0</v>
      </c>
      <c r="U1021" s="6">
        <v>0</v>
      </c>
      <c r="V1021" s="6">
        <f>IF(ISERROR(VLOOKUP($S$1021,'TAR FIN'!$A$1:$O$116,15,0)),0,VLOOKUP($S$1021,'TAR FIN'!$A$1:$O$116,15,0))</f>
        <v>25.51</v>
      </c>
      <c r="W1021" s="6">
        <f>IF(ISERROR(VLOOKUP($T$1021,'TAR FIN'!$A$1:$O$116,15,0)),0,VLOOKUP($T$1021,'TAR FIN'!$A$1:$O$116,15,0))</f>
        <v>0</v>
      </c>
      <c r="X1021" s="6">
        <f>IF(ISERROR(VLOOKUP($U$1021,'TAR FIN'!$A$1:$O$116,15,0)),0,VLOOKUP($U$1021,'TAR FIN'!$A$1:$O$116,15,0))</f>
        <v>0</v>
      </c>
      <c r="Y1021" s="6">
        <f ca="1">('TUSD BE'!$AM$33+'TUSD BF'!$AM$33+'TUSD CVA'!$AM$33)*1</f>
        <v>29.803266797877356</v>
      </c>
      <c r="Z1021" s="6"/>
      <c r="AA1021" s="6"/>
      <c r="AB1021" s="6">
        <f>$K$1021*$V$1021</f>
        <v>795452.82000000007</v>
      </c>
      <c r="AC1021" s="6">
        <f>$M$1021*$W$1021</f>
        <v>0</v>
      </c>
      <c r="AD1021" s="6">
        <f>$O$1021*$X$1021</f>
        <v>0</v>
      </c>
      <c r="AE1021" s="6">
        <f ca="1">$K$1021*$Y$1021</f>
        <v>929325.46529141173</v>
      </c>
      <c r="AF1021" s="6">
        <f>$M$1021*$Z$1021</f>
        <v>0</v>
      </c>
      <c r="AG1021" s="6">
        <f>$O$1021*$AA$1021</f>
        <v>0</v>
      </c>
    </row>
    <row r="1022" spans="1:33" ht="11.25" customHeight="1" x14ac:dyDescent="0.25">
      <c r="A1022" s="4" t="s">
        <v>28</v>
      </c>
      <c r="B1022" s="4" t="s">
        <v>41</v>
      </c>
      <c r="C1022" s="4" t="s">
        <v>42</v>
      </c>
      <c r="D1022" s="4" t="s">
        <v>38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44531</v>
      </c>
      <c r="J1022" s="6">
        <v>6329</v>
      </c>
      <c r="K1022" s="6">
        <v>6329</v>
      </c>
      <c r="L1022" s="6">
        <v>0</v>
      </c>
      <c r="M1022" s="6">
        <v>0</v>
      </c>
      <c r="N1022" s="6">
        <v>0</v>
      </c>
      <c r="O1022" s="6">
        <v>0</v>
      </c>
      <c r="P1022" s="6">
        <v>18</v>
      </c>
      <c r="Q1022" s="4" t="s">
        <v>26</v>
      </c>
      <c r="R1022" s="4">
        <v>0</v>
      </c>
      <c r="S1022" s="6">
        <v>29</v>
      </c>
      <c r="T1022" s="6">
        <v>0</v>
      </c>
      <c r="U1022" s="6">
        <v>0</v>
      </c>
      <c r="V1022" s="6">
        <f>IF(ISERROR(VLOOKUP($S$1022,'TAR FIN'!$A$1:$O$116,15,0)),0,VLOOKUP($S$1022,'TAR FIN'!$A$1:$O$116,15,0))</f>
        <v>25.51</v>
      </c>
      <c r="W1022" s="6">
        <f>IF(ISERROR(VLOOKUP($T$1022,'TAR FIN'!$A$1:$O$116,15,0)),0,VLOOKUP($T$1022,'TAR FIN'!$A$1:$O$116,15,0))</f>
        <v>0</v>
      </c>
      <c r="X1022" s="6">
        <f>IF(ISERROR(VLOOKUP($U$1022,'TAR FIN'!$A$1:$O$116,15,0)),0,VLOOKUP($U$1022,'TAR FIN'!$A$1:$O$116,15,0))</f>
        <v>0</v>
      </c>
      <c r="Y1022" s="6">
        <f ca="1">('TUSD BE'!$AM$33+'TUSD BF'!$AM$33+'TUSD CVA'!$AM$33)*1</f>
        <v>29.803266797877356</v>
      </c>
      <c r="Z1022" s="6"/>
      <c r="AA1022" s="6"/>
      <c r="AB1022" s="6">
        <f>$K$1022*$V$1022</f>
        <v>161452.79</v>
      </c>
      <c r="AC1022" s="6">
        <f>$M$1022*$W$1022</f>
        <v>0</v>
      </c>
      <c r="AD1022" s="6">
        <f>$O$1022*$X$1022</f>
        <v>0</v>
      </c>
      <c r="AE1022" s="6">
        <f ca="1">$K$1022*$Y$1022</f>
        <v>188624.87556376579</v>
      </c>
      <c r="AF1022" s="6">
        <f>$M$1022*$Z$1022</f>
        <v>0</v>
      </c>
      <c r="AG1022" s="6">
        <f>$O$1022*$AA$1022</f>
        <v>0</v>
      </c>
    </row>
    <row r="1023" spans="1:33" ht="11.25" customHeight="1" x14ac:dyDescent="0.25">
      <c r="A1023" s="4" t="s">
        <v>21</v>
      </c>
      <c r="B1023" s="4" t="s">
        <v>41</v>
      </c>
      <c r="C1023" s="4" t="s">
        <v>42</v>
      </c>
      <c r="D1023" s="4" t="s">
        <v>38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44562</v>
      </c>
      <c r="J1023" s="6">
        <v>30886</v>
      </c>
      <c r="K1023" s="6">
        <v>30886</v>
      </c>
      <c r="L1023" s="6">
        <v>0</v>
      </c>
      <c r="M1023" s="6">
        <v>0</v>
      </c>
      <c r="N1023" s="6">
        <v>0</v>
      </c>
      <c r="O1023" s="6">
        <v>0</v>
      </c>
      <c r="P1023" s="6">
        <v>179</v>
      </c>
      <c r="Q1023" s="4" t="s">
        <v>26</v>
      </c>
      <c r="R1023" s="4">
        <v>0</v>
      </c>
      <c r="S1023" s="6">
        <v>29</v>
      </c>
      <c r="T1023" s="6">
        <v>0</v>
      </c>
      <c r="U1023" s="6">
        <v>0</v>
      </c>
      <c r="V1023" s="6">
        <f>IF(ISERROR(VLOOKUP($S$1023,'TAR FIN'!$A$1:$O$116,15,0)),0,VLOOKUP($S$1023,'TAR FIN'!$A$1:$O$116,15,0))</f>
        <v>25.51</v>
      </c>
      <c r="W1023" s="6">
        <f>IF(ISERROR(VLOOKUP($T$1023,'TAR FIN'!$A$1:$O$116,15,0)),0,VLOOKUP($T$1023,'TAR FIN'!$A$1:$O$116,15,0))</f>
        <v>0</v>
      </c>
      <c r="X1023" s="6">
        <f>IF(ISERROR(VLOOKUP($U$1023,'TAR FIN'!$A$1:$O$116,15,0)),0,VLOOKUP($U$1023,'TAR FIN'!$A$1:$O$116,15,0))</f>
        <v>0</v>
      </c>
      <c r="Y1023" s="6">
        <f ca="1">('TUSD BE'!$AM$33+'TUSD BF'!$AM$33+'TUSD CVA'!$AM$33)*1</f>
        <v>29.803266797877356</v>
      </c>
      <c r="Z1023" s="6"/>
      <c r="AA1023" s="6"/>
      <c r="AB1023" s="6">
        <f>$K$1023*$V$1023</f>
        <v>787901.8600000001</v>
      </c>
      <c r="AC1023" s="6">
        <f>$M$1023*$W$1023</f>
        <v>0</v>
      </c>
      <c r="AD1023" s="6">
        <f>$O$1023*$X$1023</f>
        <v>0</v>
      </c>
      <c r="AE1023" s="6">
        <f ca="1">$K$1023*$Y$1023</f>
        <v>920503.69831924001</v>
      </c>
      <c r="AF1023" s="6">
        <f>$M$1023*$Z$1023</f>
        <v>0</v>
      </c>
      <c r="AG1023" s="6">
        <f>$O$1023*$AA$1023</f>
        <v>0</v>
      </c>
    </row>
    <row r="1024" spans="1:33" ht="11.25" customHeight="1" x14ac:dyDescent="0.25">
      <c r="A1024" s="4" t="s">
        <v>28</v>
      </c>
      <c r="B1024" s="4" t="s">
        <v>41</v>
      </c>
      <c r="C1024" s="4" t="s">
        <v>42</v>
      </c>
      <c r="D1024" s="4" t="s">
        <v>38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44562</v>
      </c>
      <c r="J1024" s="6">
        <v>8860</v>
      </c>
      <c r="K1024" s="6">
        <v>8860</v>
      </c>
      <c r="L1024" s="6">
        <v>0</v>
      </c>
      <c r="M1024" s="6">
        <v>0</v>
      </c>
      <c r="N1024" s="6">
        <v>0</v>
      </c>
      <c r="O1024" s="6">
        <v>0</v>
      </c>
      <c r="P1024" s="6">
        <v>20</v>
      </c>
      <c r="Q1024" s="4" t="s">
        <v>26</v>
      </c>
      <c r="R1024" s="4">
        <v>0</v>
      </c>
      <c r="S1024" s="6">
        <v>29</v>
      </c>
      <c r="T1024" s="6">
        <v>0</v>
      </c>
      <c r="U1024" s="6">
        <v>0</v>
      </c>
      <c r="V1024" s="6">
        <f>IF(ISERROR(VLOOKUP($S$1024,'TAR FIN'!$A$1:$O$116,15,0)),0,VLOOKUP($S$1024,'TAR FIN'!$A$1:$O$116,15,0))</f>
        <v>25.51</v>
      </c>
      <c r="W1024" s="6">
        <f>IF(ISERROR(VLOOKUP($T$1024,'TAR FIN'!$A$1:$O$116,15,0)),0,VLOOKUP($T$1024,'TAR FIN'!$A$1:$O$116,15,0))</f>
        <v>0</v>
      </c>
      <c r="X1024" s="6">
        <f>IF(ISERROR(VLOOKUP($U$1024,'TAR FIN'!$A$1:$O$116,15,0)),0,VLOOKUP($U$1024,'TAR FIN'!$A$1:$O$116,15,0))</f>
        <v>0</v>
      </c>
      <c r="Y1024" s="6">
        <f ca="1">('TUSD BE'!$AM$33+'TUSD BF'!$AM$33+'TUSD CVA'!$AM$33)*1</f>
        <v>29.803266797877356</v>
      </c>
      <c r="Z1024" s="6"/>
      <c r="AA1024" s="6"/>
      <c r="AB1024" s="6">
        <f>$K$1024*$V$1024</f>
        <v>226018.6</v>
      </c>
      <c r="AC1024" s="6">
        <f>$M$1024*$W$1024</f>
        <v>0</v>
      </c>
      <c r="AD1024" s="6">
        <f>$O$1024*$X$1024</f>
        <v>0</v>
      </c>
      <c r="AE1024" s="6">
        <f ca="1">$K$1024*$Y$1024</f>
        <v>264056.94382919336</v>
      </c>
      <c r="AF1024" s="6">
        <f>$M$1024*$Z$1024</f>
        <v>0</v>
      </c>
      <c r="AG1024" s="6">
        <f>$O$1024*$AA$1024</f>
        <v>0</v>
      </c>
    </row>
    <row r="1025" spans="1:33" ht="11.25" customHeight="1" x14ac:dyDescent="0.25">
      <c r="A1025" s="4" t="s">
        <v>21</v>
      </c>
      <c r="B1025" s="4" t="s">
        <v>41</v>
      </c>
      <c r="C1025" s="4" t="s">
        <v>42</v>
      </c>
      <c r="D1025" s="4" t="s">
        <v>38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44593</v>
      </c>
      <c r="J1025" s="6">
        <v>29685</v>
      </c>
      <c r="K1025" s="6">
        <v>29685</v>
      </c>
      <c r="L1025" s="6">
        <v>0</v>
      </c>
      <c r="M1025" s="6">
        <v>0</v>
      </c>
      <c r="N1025" s="6">
        <v>0</v>
      </c>
      <c r="O1025" s="6">
        <v>0</v>
      </c>
      <c r="P1025" s="6">
        <v>177</v>
      </c>
      <c r="Q1025" s="4" t="s">
        <v>26</v>
      </c>
      <c r="R1025" s="4">
        <v>0</v>
      </c>
      <c r="S1025" s="6">
        <v>29</v>
      </c>
      <c r="T1025" s="6">
        <v>0</v>
      </c>
      <c r="U1025" s="6">
        <v>0</v>
      </c>
      <c r="V1025" s="6">
        <f>IF(ISERROR(VLOOKUP($S$1025,'TAR FIN'!$A$1:$O$116,15,0)),0,VLOOKUP($S$1025,'TAR FIN'!$A$1:$O$116,15,0))</f>
        <v>25.51</v>
      </c>
      <c r="W1025" s="6">
        <f>IF(ISERROR(VLOOKUP($T$1025,'TAR FIN'!$A$1:$O$116,15,0)),0,VLOOKUP($T$1025,'TAR FIN'!$A$1:$O$116,15,0))</f>
        <v>0</v>
      </c>
      <c r="X1025" s="6">
        <f>IF(ISERROR(VLOOKUP($U$1025,'TAR FIN'!$A$1:$O$116,15,0)),0,VLOOKUP($U$1025,'TAR FIN'!$A$1:$O$116,15,0))</f>
        <v>0</v>
      </c>
      <c r="Y1025" s="6">
        <f ca="1">('TUSD BE'!$AM$33+'TUSD BF'!$AM$33+'TUSD CVA'!$AM$33)*1</f>
        <v>29.803266797877356</v>
      </c>
      <c r="Z1025" s="6"/>
      <c r="AA1025" s="6"/>
      <c r="AB1025" s="6">
        <f>$K$1025*$V$1025</f>
        <v>757264.35000000009</v>
      </c>
      <c r="AC1025" s="6">
        <f>$M$1025*$W$1025</f>
        <v>0</v>
      </c>
      <c r="AD1025" s="6">
        <f>$O$1025*$X$1025</f>
        <v>0</v>
      </c>
      <c r="AE1025" s="6">
        <f ca="1">$K$1025*$Y$1025</f>
        <v>884709.97489498928</v>
      </c>
      <c r="AF1025" s="6">
        <f>$M$1025*$Z$1025</f>
        <v>0</v>
      </c>
      <c r="AG1025" s="6">
        <f>$O$1025*$AA$1025</f>
        <v>0</v>
      </c>
    </row>
    <row r="1026" spans="1:33" ht="11.25" customHeight="1" x14ac:dyDescent="0.25">
      <c r="A1026" s="4" t="s">
        <v>28</v>
      </c>
      <c r="B1026" s="4" t="s">
        <v>41</v>
      </c>
      <c r="C1026" s="4" t="s">
        <v>42</v>
      </c>
      <c r="D1026" s="4" t="s">
        <v>38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44593</v>
      </c>
      <c r="J1026" s="6">
        <v>9316</v>
      </c>
      <c r="K1026" s="6">
        <v>9316</v>
      </c>
      <c r="L1026" s="6">
        <v>0</v>
      </c>
      <c r="M1026" s="6">
        <v>0</v>
      </c>
      <c r="N1026" s="6">
        <v>0</v>
      </c>
      <c r="O1026" s="6">
        <v>0</v>
      </c>
      <c r="P1026" s="6">
        <v>21</v>
      </c>
      <c r="Q1026" s="4" t="s">
        <v>26</v>
      </c>
      <c r="R1026" s="4">
        <v>0</v>
      </c>
      <c r="S1026" s="6">
        <v>29</v>
      </c>
      <c r="T1026" s="6">
        <v>0</v>
      </c>
      <c r="U1026" s="6">
        <v>0</v>
      </c>
      <c r="V1026" s="6">
        <f>IF(ISERROR(VLOOKUP($S$1026,'TAR FIN'!$A$1:$O$116,15,0)),0,VLOOKUP($S$1026,'TAR FIN'!$A$1:$O$116,15,0))</f>
        <v>25.51</v>
      </c>
      <c r="W1026" s="6">
        <f>IF(ISERROR(VLOOKUP($T$1026,'TAR FIN'!$A$1:$O$116,15,0)),0,VLOOKUP($T$1026,'TAR FIN'!$A$1:$O$116,15,0))</f>
        <v>0</v>
      </c>
      <c r="X1026" s="6">
        <f>IF(ISERROR(VLOOKUP($U$1026,'TAR FIN'!$A$1:$O$116,15,0)),0,VLOOKUP($U$1026,'TAR FIN'!$A$1:$O$116,15,0))</f>
        <v>0</v>
      </c>
      <c r="Y1026" s="6">
        <f ca="1">('TUSD BE'!$AM$33+'TUSD BF'!$AM$33+'TUSD CVA'!$AM$33)*1</f>
        <v>29.803266797877356</v>
      </c>
      <c r="Z1026" s="6"/>
      <c r="AA1026" s="6"/>
      <c r="AB1026" s="6">
        <f>$K$1026*$V$1026</f>
        <v>237651.16</v>
      </c>
      <c r="AC1026" s="6">
        <f>$M$1026*$W$1026</f>
        <v>0</v>
      </c>
      <c r="AD1026" s="6">
        <f>$O$1026*$X$1026</f>
        <v>0</v>
      </c>
      <c r="AE1026" s="6">
        <f ca="1">$K$1026*$Y$1026</f>
        <v>277647.23348902544</v>
      </c>
      <c r="AF1026" s="6">
        <f>$M$1026*$Z$1026</f>
        <v>0</v>
      </c>
      <c r="AG1026" s="6">
        <f>$O$1026*$AA$1026</f>
        <v>0</v>
      </c>
    </row>
    <row r="1027" spans="1:33" ht="11.25" customHeight="1" x14ac:dyDescent="0.25">
      <c r="A1027" s="4" t="s">
        <v>21</v>
      </c>
      <c r="B1027" s="4" t="s">
        <v>41</v>
      </c>
      <c r="C1027" s="4" t="s">
        <v>42</v>
      </c>
      <c r="D1027" s="4" t="s">
        <v>38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44621</v>
      </c>
      <c r="J1027" s="6">
        <v>29244</v>
      </c>
      <c r="K1027" s="6">
        <v>29244</v>
      </c>
      <c r="L1027" s="6">
        <v>0</v>
      </c>
      <c r="M1027" s="6">
        <v>0</v>
      </c>
      <c r="N1027" s="6">
        <v>0</v>
      </c>
      <c r="O1027" s="6">
        <v>0</v>
      </c>
      <c r="P1027" s="6">
        <v>176</v>
      </c>
      <c r="Q1027" s="4" t="s">
        <v>26</v>
      </c>
      <c r="R1027" s="4">
        <v>0</v>
      </c>
      <c r="S1027" s="6">
        <v>29</v>
      </c>
      <c r="T1027" s="6">
        <v>0</v>
      </c>
      <c r="U1027" s="6">
        <v>0</v>
      </c>
      <c r="V1027" s="6">
        <f>IF(ISERROR(VLOOKUP($S$1027,'TAR FIN'!$A$1:$O$116,15,0)),0,VLOOKUP($S$1027,'TAR FIN'!$A$1:$O$116,15,0))</f>
        <v>25.51</v>
      </c>
      <c r="W1027" s="6">
        <f>IF(ISERROR(VLOOKUP($T$1027,'TAR FIN'!$A$1:$O$116,15,0)),0,VLOOKUP($T$1027,'TAR FIN'!$A$1:$O$116,15,0))</f>
        <v>0</v>
      </c>
      <c r="X1027" s="6">
        <f>IF(ISERROR(VLOOKUP($U$1027,'TAR FIN'!$A$1:$O$116,15,0)),0,VLOOKUP($U$1027,'TAR FIN'!$A$1:$O$116,15,0))</f>
        <v>0</v>
      </c>
      <c r="Y1027" s="6">
        <f ca="1">('TUSD BE'!$AM$33+'TUSD BF'!$AM$33+'TUSD CVA'!$AM$33)*1</f>
        <v>29.803266797877356</v>
      </c>
      <c r="Z1027" s="6"/>
      <c r="AA1027" s="6"/>
      <c r="AB1027" s="6">
        <f>$K$1027*$V$1027</f>
        <v>746014.44000000006</v>
      </c>
      <c r="AC1027" s="6">
        <f>$M$1027*$W$1027</f>
        <v>0</v>
      </c>
      <c r="AD1027" s="6">
        <f>$O$1027*$X$1027</f>
        <v>0</v>
      </c>
      <c r="AE1027" s="6">
        <f ca="1">$K$1027*$Y$1027</f>
        <v>871566.73423712538</v>
      </c>
      <c r="AF1027" s="6">
        <f>$M$1027*$Z$1027</f>
        <v>0</v>
      </c>
      <c r="AG1027" s="6">
        <f>$O$1027*$AA$1027</f>
        <v>0</v>
      </c>
    </row>
    <row r="1028" spans="1:33" ht="11.25" customHeight="1" x14ac:dyDescent="0.25">
      <c r="A1028" s="4" t="s">
        <v>28</v>
      </c>
      <c r="B1028" s="4" t="s">
        <v>41</v>
      </c>
      <c r="C1028" s="4" t="s">
        <v>42</v>
      </c>
      <c r="D1028" s="4" t="s">
        <v>38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44621</v>
      </c>
      <c r="J1028" s="6">
        <v>9155</v>
      </c>
      <c r="K1028" s="6">
        <v>9155</v>
      </c>
      <c r="L1028" s="6">
        <v>0</v>
      </c>
      <c r="M1028" s="6">
        <v>0</v>
      </c>
      <c r="N1028" s="6">
        <v>0</v>
      </c>
      <c r="O1028" s="6">
        <v>0</v>
      </c>
      <c r="P1028" s="6">
        <v>21</v>
      </c>
      <c r="Q1028" s="4" t="s">
        <v>26</v>
      </c>
      <c r="R1028" s="4">
        <v>0</v>
      </c>
      <c r="S1028" s="6">
        <v>29</v>
      </c>
      <c r="T1028" s="6">
        <v>0</v>
      </c>
      <c r="U1028" s="6">
        <v>0</v>
      </c>
      <c r="V1028" s="6">
        <f>IF(ISERROR(VLOOKUP($S$1028,'TAR FIN'!$A$1:$O$116,15,0)),0,VLOOKUP($S$1028,'TAR FIN'!$A$1:$O$116,15,0))</f>
        <v>25.51</v>
      </c>
      <c r="W1028" s="6">
        <f>IF(ISERROR(VLOOKUP($T$1028,'TAR FIN'!$A$1:$O$116,15,0)),0,VLOOKUP($T$1028,'TAR FIN'!$A$1:$O$116,15,0))</f>
        <v>0</v>
      </c>
      <c r="X1028" s="6">
        <f>IF(ISERROR(VLOOKUP($U$1028,'TAR FIN'!$A$1:$O$116,15,0)),0,VLOOKUP($U$1028,'TAR FIN'!$A$1:$O$116,15,0))</f>
        <v>0</v>
      </c>
      <c r="Y1028" s="6">
        <f ca="1">('TUSD BE'!$AM$33+'TUSD BF'!$AM$33+'TUSD CVA'!$AM$33)*1</f>
        <v>29.803266797877356</v>
      </c>
      <c r="Z1028" s="6"/>
      <c r="AA1028" s="6"/>
      <c r="AB1028" s="6">
        <f>$K$1028*$V$1028</f>
        <v>233544.05000000002</v>
      </c>
      <c r="AC1028" s="6">
        <f>$M$1028*$W$1028</f>
        <v>0</v>
      </c>
      <c r="AD1028" s="6">
        <f>$O$1028*$X$1028</f>
        <v>0</v>
      </c>
      <c r="AE1028" s="6">
        <f ca="1">$K$1028*$Y$1028</f>
        <v>272848.90753456717</v>
      </c>
      <c r="AF1028" s="6">
        <f>$M$1028*$Z$1028</f>
        <v>0</v>
      </c>
      <c r="AG1028" s="6">
        <f>$O$1028*$AA$1028</f>
        <v>0</v>
      </c>
    </row>
    <row r="1029" spans="1:33" ht="11.25" customHeight="1" x14ac:dyDescent="0.25">
      <c r="A1029" s="4" t="s">
        <v>21</v>
      </c>
      <c r="B1029" s="4" t="s">
        <v>41</v>
      </c>
      <c r="C1029" s="4" t="s">
        <v>42</v>
      </c>
      <c r="D1029" s="4" t="s">
        <v>38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44652</v>
      </c>
      <c r="J1029" s="6">
        <v>29095</v>
      </c>
      <c r="K1029" s="6">
        <v>29095</v>
      </c>
      <c r="L1029" s="6">
        <v>0</v>
      </c>
      <c r="M1029" s="6">
        <v>0</v>
      </c>
      <c r="N1029" s="6">
        <v>0</v>
      </c>
      <c r="O1029" s="6">
        <v>0</v>
      </c>
      <c r="P1029" s="6">
        <v>176</v>
      </c>
      <c r="Q1029" s="4" t="s">
        <v>26</v>
      </c>
      <c r="R1029" s="4">
        <v>0</v>
      </c>
      <c r="S1029" s="6">
        <v>29</v>
      </c>
      <c r="T1029" s="6">
        <v>0</v>
      </c>
      <c r="U1029" s="6">
        <v>0</v>
      </c>
      <c r="V1029" s="6">
        <f>IF(ISERROR(VLOOKUP($S$1029,'TAR FIN'!$A$1:$O$116,15,0)),0,VLOOKUP($S$1029,'TAR FIN'!$A$1:$O$116,15,0))</f>
        <v>25.51</v>
      </c>
      <c r="W1029" s="6">
        <f>IF(ISERROR(VLOOKUP($T$1029,'TAR FIN'!$A$1:$O$116,15,0)),0,VLOOKUP($T$1029,'TAR FIN'!$A$1:$O$116,15,0))</f>
        <v>0</v>
      </c>
      <c r="X1029" s="6">
        <f>IF(ISERROR(VLOOKUP($U$1029,'TAR FIN'!$A$1:$O$116,15,0)),0,VLOOKUP($U$1029,'TAR FIN'!$A$1:$O$116,15,0))</f>
        <v>0</v>
      </c>
      <c r="Y1029" s="6">
        <f ca="1">('TUSD BE'!$AM$33+'TUSD BF'!$AM$33+'TUSD CVA'!$AM$33)*1</f>
        <v>29.803266797877356</v>
      </c>
      <c r="Z1029" s="6"/>
      <c r="AA1029" s="6"/>
      <c r="AB1029" s="6">
        <f>$K$1029*$V$1029</f>
        <v>742213.45000000007</v>
      </c>
      <c r="AC1029" s="6">
        <f>$M$1029*$W$1029</f>
        <v>0</v>
      </c>
      <c r="AD1029" s="6">
        <f>$O$1029*$X$1029</f>
        <v>0</v>
      </c>
      <c r="AE1029" s="6">
        <f ca="1">$K$1029*$Y$1029</f>
        <v>867126.04748424166</v>
      </c>
      <c r="AF1029" s="6">
        <f>$M$1029*$Z$1029</f>
        <v>0</v>
      </c>
      <c r="AG1029" s="6">
        <f>$O$1029*$AA$1029</f>
        <v>0</v>
      </c>
    </row>
    <row r="1030" spans="1:33" ht="11.25" customHeight="1" x14ac:dyDescent="0.25">
      <c r="A1030" s="4" t="s">
        <v>27</v>
      </c>
      <c r="B1030" s="4" t="s">
        <v>41</v>
      </c>
      <c r="C1030" s="4" t="s">
        <v>42</v>
      </c>
      <c r="D1030" s="4" t="s">
        <v>38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44652</v>
      </c>
      <c r="J1030" s="6">
        <v>1</v>
      </c>
      <c r="K1030" s="6">
        <v>1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4" t="s">
        <v>26</v>
      </c>
      <c r="R1030" s="4">
        <v>0</v>
      </c>
      <c r="S1030" s="6">
        <v>29</v>
      </c>
      <c r="T1030" s="6">
        <v>0</v>
      </c>
      <c r="U1030" s="6">
        <v>0</v>
      </c>
      <c r="V1030" s="6">
        <f>IF(ISERROR(VLOOKUP($S$1030,'TAR FIN'!$A$1:$O$116,15,0)),0,VLOOKUP($S$1030,'TAR FIN'!$A$1:$O$116,15,0))</f>
        <v>25.51</v>
      </c>
      <c r="W1030" s="6">
        <f>IF(ISERROR(VLOOKUP($T$1030,'TAR FIN'!$A$1:$O$116,15,0)),0,VLOOKUP($T$1030,'TAR FIN'!$A$1:$O$116,15,0))</f>
        <v>0</v>
      </c>
      <c r="X1030" s="6">
        <f>IF(ISERROR(VLOOKUP($U$1030,'TAR FIN'!$A$1:$O$116,15,0)),0,VLOOKUP($U$1030,'TAR FIN'!$A$1:$O$116,15,0))</f>
        <v>0</v>
      </c>
      <c r="Y1030" s="6">
        <f ca="1">('TUSD BE'!$AM$33+'TUSD BF'!$AM$33+'TUSD CVA'!$AM$33)*1</f>
        <v>29.803266797877356</v>
      </c>
      <c r="Z1030" s="6"/>
      <c r="AA1030" s="6"/>
      <c r="AB1030" s="6">
        <f>$K$1030*$V$1030</f>
        <v>25.51</v>
      </c>
      <c r="AC1030" s="6">
        <f>$M$1030*$W$1030</f>
        <v>0</v>
      </c>
      <c r="AD1030" s="6">
        <f>$O$1030*$X$1030</f>
        <v>0</v>
      </c>
      <c r="AE1030" s="6">
        <f ca="1">$K$1030*$Y$1030</f>
        <v>29.803266797877356</v>
      </c>
      <c r="AF1030" s="6">
        <f>$M$1030*$Z$1030</f>
        <v>0</v>
      </c>
      <c r="AG1030" s="6">
        <f>$O$1030*$AA$1030</f>
        <v>0</v>
      </c>
    </row>
    <row r="1031" spans="1:33" ht="11.25" customHeight="1" x14ac:dyDescent="0.25">
      <c r="A1031" s="4" t="s">
        <v>28</v>
      </c>
      <c r="B1031" s="4" t="s">
        <v>41</v>
      </c>
      <c r="C1031" s="4" t="s">
        <v>42</v>
      </c>
      <c r="D1031" s="4" t="s">
        <v>38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44652</v>
      </c>
      <c r="J1031" s="6">
        <v>11395</v>
      </c>
      <c r="K1031" s="6">
        <v>11395</v>
      </c>
      <c r="L1031" s="6">
        <v>0</v>
      </c>
      <c r="M1031" s="6">
        <v>0</v>
      </c>
      <c r="N1031" s="6">
        <v>0</v>
      </c>
      <c r="O1031" s="6">
        <v>0</v>
      </c>
      <c r="P1031" s="6">
        <v>21</v>
      </c>
      <c r="Q1031" s="4" t="s">
        <v>26</v>
      </c>
      <c r="R1031" s="4">
        <v>0</v>
      </c>
      <c r="S1031" s="6">
        <v>29</v>
      </c>
      <c r="T1031" s="6">
        <v>0</v>
      </c>
      <c r="U1031" s="6">
        <v>0</v>
      </c>
      <c r="V1031" s="6">
        <f>IF(ISERROR(VLOOKUP($S$1031,'TAR FIN'!$A$1:$O$116,15,0)),0,VLOOKUP($S$1031,'TAR FIN'!$A$1:$O$116,15,0))</f>
        <v>25.51</v>
      </c>
      <c r="W1031" s="6">
        <f>IF(ISERROR(VLOOKUP($T$1031,'TAR FIN'!$A$1:$O$116,15,0)),0,VLOOKUP($T$1031,'TAR FIN'!$A$1:$O$116,15,0))</f>
        <v>0</v>
      </c>
      <c r="X1031" s="6">
        <f>IF(ISERROR(VLOOKUP($U$1031,'TAR FIN'!$A$1:$O$116,15,0)),0,VLOOKUP($U$1031,'TAR FIN'!$A$1:$O$116,15,0))</f>
        <v>0</v>
      </c>
      <c r="Y1031" s="6">
        <f ca="1">('TUSD BE'!$AM$33+'TUSD BF'!$AM$33+'TUSD CVA'!$AM$33)*1</f>
        <v>29.803266797877356</v>
      </c>
      <c r="Z1031" s="6"/>
      <c r="AA1031" s="6"/>
      <c r="AB1031" s="6">
        <f>$K$1031*$V$1031</f>
        <v>290686.45</v>
      </c>
      <c r="AC1031" s="6">
        <f>$M$1031*$W$1031</f>
        <v>0</v>
      </c>
      <c r="AD1031" s="6">
        <f>$O$1031*$X$1031</f>
        <v>0</v>
      </c>
      <c r="AE1031" s="6">
        <f ca="1">$K$1031*$Y$1031</f>
        <v>339608.22516181244</v>
      </c>
      <c r="AF1031" s="6">
        <f>$M$1031*$Z$1031</f>
        <v>0</v>
      </c>
      <c r="AG1031" s="6">
        <f>$O$1031*$AA$1031</f>
        <v>0</v>
      </c>
    </row>
    <row r="1032" spans="1:33" ht="11.25" customHeight="1" x14ac:dyDescent="0.25">
      <c r="A1032" s="4" t="s">
        <v>58</v>
      </c>
      <c r="B1032" s="4" t="s">
        <v>41</v>
      </c>
      <c r="C1032" s="4" t="s">
        <v>42</v>
      </c>
      <c r="D1032" s="4" t="s">
        <v>38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44682</v>
      </c>
      <c r="J1032" s="6">
        <v>29095</v>
      </c>
      <c r="K1032" s="6">
        <v>29095</v>
      </c>
      <c r="L1032" s="6">
        <v>0</v>
      </c>
      <c r="M1032" s="6">
        <v>0</v>
      </c>
      <c r="N1032" s="6">
        <v>0</v>
      </c>
      <c r="O1032" s="6">
        <v>0</v>
      </c>
      <c r="P1032" s="6">
        <v>176</v>
      </c>
      <c r="Q1032" s="4" t="s">
        <v>26</v>
      </c>
      <c r="R1032" s="4">
        <v>0</v>
      </c>
      <c r="S1032" s="6">
        <v>29</v>
      </c>
      <c r="T1032" s="6">
        <v>0</v>
      </c>
      <c r="U1032" s="6">
        <v>0</v>
      </c>
      <c r="V1032" s="6">
        <f>IF(ISERROR(VLOOKUP($S$1032,'TAR FIN'!$A$1:$O$116,15,0)),0,VLOOKUP($S$1032,'TAR FIN'!$A$1:$O$116,15,0))</f>
        <v>25.51</v>
      </c>
      <c r="W1032" s="6">
        <f>IF(ISERROR(VLOOKUP($T$1032,'TAR FIN'!$A$1:$O$116,15,0)),0,VLOOKUP($T$1032,'TAR FIN'!$A$1:$O$116,15,0))</f>
        <v>0</v>
      </c>
      <c r="X1032" s="6">
        <f>IF(ISERROR(VLOOKUP($U$1032,'TAR FIN'!$A$1:$O$116,15,0)),0,VLOOKUP($U$1032,'TAR FIN'!$A$1:$O$116,15,0))</f>
        <v>0</v>
      </c>
      <c r="Y1032" s="6">
        <f ca="1">('TUSD BE'!$AM$33+'TUSD BF'!$AM$33+'TUSD CVA'!$AM$33)*1</f>
        <v>29.803266797877356</v>
      </c>
      <c r="Z1032" s="6"/>
      <c r="AA1032" s="6"/>
      <c r="AB1032" s="6">
        <f>$K$1032*$V$1032</f>
        <v>742213.45000000007</v>
      </c>
      <c r="AC1032" s="6">
        <f>$M$1032*$W$1032</f>
        <v>0</v>
      </c>
      <c r="AD1032" s="6">
        <f>$O$1032*$X$1032</f>
        <v>0</v>
      </c>
      <c r="AE1032" s="6">
        <f ca="1">$K$1032*$Y$1032</f>
        <v>867126.04748424166</v>
      </c>
      <c r="AF1032" s="6">
        <f>$M$1032*$Z$1032</f>
        <v>0</v>
      </c>
      <c r="AG1032" s="6">
        <f>$O$1032*$AA$1032</f>
        <v>0</v>
      </c>
    </row>
    <row r="1033" spans="1:33" ht="11.25" customHeight="1" x14ac:dyDescent="0.25">
      <c r="A1033" s="4" t="s">
        <v>58</v>
      </c>
      <c r="B1033" s="4" t="s">
        <v>41</v>
      </c>
      <c r="C1033" s="4" t="s">
        <v>42</v>
      </c>
      <c r="D1033" s="4" t="s">
        <v>38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44682</v>
      </c>
      <c r="J1033" s="6">
        <v>1</v>
      </c>
      <c r="K1033" s="6">
        <v>1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4" t="s">
        <v>26</v>
      </c>
      <c r="R1033" s="4">
        <v>0</v>
      </c>
      <c r="S1033" s="6">
        <v>29</v>
      </c>
      <c r="T1033" s="6">
        <v>0</v>
      </c>
      <c r="U1033" s="6">
        <v>0</v>
      </c>
      <c r="V1033" s="6">
        <f>IF(ISERROR(VLOOKUP($S$1033,'TAR FIN'!$A$1:$O$116,15,0)),0,VLOOKUP($S$1033,'TAR FIN'!$A$1:$O$116,15,0))</f>
        <v>25.51</v>
      </c>
      <c r="W1033" s="6">
        <f>IF(ISERROR(VLOOKUP($T$1033,'TAR FIN'!$A$1:$O$116,15,0)),0,VLOOKUP($T$1033,'TAR FIN'!$A$1:$O$116,15,0))</f>
        <v>0</v>
      </c>
      <c r="X1033" s="6">
        <f>IF(ISERROR(VLOOKUP($U$1033,'TAR FIN'!$A$1:$O$116,15,0)),0,VLOOKUP($U$1033,'TAR FIN'!$A$1:$O$116,15,0))</f>
        <v>0</v>
      </c>
      <c r="Y1033" s="6">
        <f ca="1">('TUSD BE'!$AM$33+'TUSD BF'!$AM$33+'TUSD CVA'!$AM$33)*1</f>
        <v>29.803266797877356</v>
      </c>
      <c r="Z1033" s="6"/>
      <c r="AA1033" s="6"/>
      <c r="AB1033" s="6">
        <f>$K$1033*$V$1033</f>
        <v>25.51</v>
      </c>
      <c r="AC1033" s="6">
        <f>$M$1033*$W$1033</f>
        <v>0</v>
      </c>
      <c r="AD1033" s="6">
        <f>$O$1033*$X$1033</f>
        <v>0</v>
      </c>
      <c r="AE1033" s="6">
        <f ca="1">$K$1033*$Y$1033</f>
        <v>29.803266797877356</v>
      </c>
      <c r="AF1033" s="6">
        <f>$M$1033*$Z$1033</f>
        <v>0</v>
      </c>
      <c r="AG1033" s="6">
        <f>$O$1033*$AA$1033</f>
        <v>0</v>
      </c>
    </row>
    <row r="1034" spans="1:33" ht="11.25" customHeight="1" x14ac:dyDescent="0.25">
      <c r="A1034" s="4" t="s">
        <v>58</v>
      </c>
      <c r="B1034" s="4" t="s">
        <v>41</v>
      </c>
      <c r="C1034" s="4" t="s">
        <v>42</v>
      </c>
      <c r="D1034" s="4" t="s">
        <v>38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44682</v>
      </c>
      <c r="J1034" s="6">
        <v>11395</v>
      </c>
      <c r="K1034" s="6">
        <v>11395</v>
      </c>
      <c r="L1034" s="6">
        <v>0</v>
      </c>
      <c r="M1034" s="6">
        <v>0</v>
      </c>
      <c r="N1034" s="6">
        <v>0</v>
      </c>
      <c r="O1034" s="6">
        <v>0</v>
      </c>
      <c r="P1034" s="6">
        <v>21</v>
      </c>
      <c r="Q1034" s="4" t="s">
        <v>26</v>
      </c>
      <c r="R1034" s="4">
        <v>0</v>
      </c>
      <c r="S1034" s="6">
        <v>29</v>
      </c>
      <c r="T1034" s="6">
        <v>0</v>
      </c>
      <c r="U1034" s="6">
        <v>0</v>
      </c>
      <c r="V1034" s="6">
        <f>IF(ISERROR(VLOOKUP($S$1034,'TAR FIN'!$A$1:$O$116,15,0)),0,VLOOKUP($S$1034,'TAR FIN'!$A$1:$O$116,15,0))</f>
        <v>25.51</v>
      </c>
      <c r="W1034" s="6">
        <f>IF(ISERROR(VLOOKUP($T$1034,'TAR FIN'!$A$1:$O$116,15,0)),0,VLOOKUP($T$1034,'TAR FIN'!$A$1:$O$116,15,0))</f>
        <v>0</v>
      </c>
      <c r="X1034" s="6">
        <f>IF(ISERROR(VLOOKUP($U$1034,'TAR FIN'!$A$1:$O$116,15,0)),0,VLOOKUP($U$1034,'TAR FIN'!$A$1:$O$116,15,0))</f>
        <v>0</v>
      </c>
      <c r="Y1034" s="6">
        <f ca="1">('TUSD BE'!$AM$33+'TUSD BF'!$AM$33+'TUSD CVA'!$AM$33)*1</f>
        <v>29.803266797877356</v>
      </c>
      <c r="Z1034" s="6"/>
      <c r="AA1034" s="6"/>
      <c r="AB1034" s="6">
        <f>$K$1034*$V$1034</f>
        <v>290686.45</v>
      </c>
      <c r="AC1034" s="6">
        <f>$M$1034*$W$1034</f>
        <v>0</v>
      </c>
      <c r="AD1034" s="6">
        <f>$O$1034*$X$1034</f>
        <v>0</v>
      </c>
      <c r="AE1034" s="6">
        <f ca="1">$K$1034*$Y$1034</f>
        <v>339608.22516181244</v>
      </c>
      <c r="AF1034" s="6">
        <f>$M$1034*$Z$1034</f>
        <v>0</v>
      </c>
      <c r="AG1034" s="6">
        <f>$O$1034*$AA$1034</f>
        <v>0</v>
      </c>
    </row>
    <row r="1035" spans="1:33" ht="11.25" customHeight="1" x14ac:dyDescent="0.25">
      <c r="A1035" s="4" t="s">
        <v>21</v>
      </c>
      <c r="B1035" s="4" t="s">
        <v>41</v>
      </c>
      <c r="C1035" s="4" t="s">
        <v>42</v>
      </c>
      <c r="D1035" s="4" t="s">
        <v>38</v>
      </c>
      <c r="E1035" s="4" t="s">
        <v>25</v>
      </c>
      <c r="F1035" s="4" t="s">
        <v>25</v>
      </c>
      <c r="G1035" s="4" t="s">
        <v>25</v>
      </c>
      <c r="H1035" s="4" t="s">
        <v>34</v>
      </c>
      <c r="I1035" s="5">
        <v>44348</v>
      </c>
      <c r="J1035" s="6">
        <v>0</v>
      </c>
      <c r="K1035" s="6">
        <v>0</v>
      </c>
      <c r="L1035" s="6">
        <v>148.22200000000001</v>
      </c>
      <c r="M1035" s="6">
        <v>148.22200000000001</v>
      </c>
      <c r="N1035" s="6">
        <v>148.22200000000001</v>
      </c>
      <c r="O1035" s="6">
        <v>148.22200000000001</v>
      </c>
      <c r="P1035" s="6">
        <v>0</v>
      </c>
      <c r="Q1035" s="4" t="s">
        <v>26</v>
      </c>
      <c r="R1035" s="4">
        <v>0</v>
      </c>
      <c r="S1035" s="6">
        <v>0</v>
      </c>
      <c r="T1035" s="6">
        <v>30</v>
      </c>
      <c r="U1035" s="6">
        <v>78</v>
      </c>
      <c r="V1035" s="6">
        <f>IF(ISERROR(VLOOKUP($S$1035,'TAR FIN'!$A$1:$O$116,15,0)),0,VLOOKUP($S$1035,'TAR FIN'!$A$1:$O$116,15,0))</f>
        <v>0</v>
      </c>
      <c r="W1035" s="6">
        <f>IF(ISERROR(VLOOKUP($T$1035,'TAR FIN'!$A$1:$O$116,15,0)),0,VLOOKUP($T$1035,'TAR FIN'!$A$1:$O$116,15,0))</f>
        <v>1682.12</v>
      </c>
      <c r="X1035" s="6">
        <f>IF(ISERROR(VLOOKUP($U$1035,'TAR FIN'!$A$1:$O$116,15,0)),0,VLOOKUP($U$1035,'TAR FIN'!$A$1:$O$116,15,0))</f>
        <v>496.15</v>
      </c>
      <c r="Y1035" s="6"/>
      <c r="Z1035" s="6">
        <f ca="1">('TUSD BE'!$AM$34+'TUSD BF'!$AM$34+'TUSD CVA'!$AM$34)*1</f>
        <v>1969.9199547802996</v>
      </c>
      <c r="AA1035" s="6">
        <f>('TE BE'!$AB$9+'TE BF'!$AB$9+'TE CVA'!$AB$9)*1</f>
        <v>510.04993331215127</v>
      </c>
      <c r="AB1035" s="6">
        <f>$K$1035*$V$1035</f>
        <v>0</v>
      </c>
      <c r="AC1035" s="6">
        <f>$M$1035*$W$1035</f>
        <v>249327.19063999999</v>
      </c>
      <c r="AD1035" s="6">
        <f>$O$1035*$X$1035</f>
        <v>73540.345300000001</v>
      </c>
      <c r="AE1035" s="6">
        <f>$K$1035*$Y$1035</f>
        <v>0</v>
      </c>
      <c r="AF1035" s="6">
        <f ca="1">$M$1035*$Z$1035</f>
        <v>291985.47553744557</v>
      </c>
      <c r="AG1035" s="6">
        <f>$O$1035*$AA$1035</f>
        <v>75600.621215393694</v>
      </c>
    </row>
    <row r="1036" spans="1:33" ht="11.25" customHeight="1" x14ac:dyDescent="0.25">
      <c r="A1036" s="4" t="s">
        <v>27</v>
      </c>
      <c r="B1036" s="4" t="s">
        <v>41</v>
      </c>
      <c r="C1036" s="4" t="s">
        <v>42</v>
      </c>
      <c r="D1036" s="4" t="s">
        <v>38</v>
      </c>
      <c r="E1036" s="4" t="s">
        <v>25</v>
      </c>
      <c r="F1036" s="4" t="s">
        <v>25</v>
      </c>
      <c r="G1036" s="4" t="s">
        <v>25</v>
      </c>
      <c r="H1036" s="4" t="s">
        <v>34</v>
      </c>
      <c r="I1036" s="5">
        <v>44348</v>
      </c>
      <c r="J1036" s="6">
        <v>0</v>
      </c>
      <c r="K1036" s="6">
        <v>0</v>
      </c>
      <c r="L1036" s="6">
        <v>-1.73</v>
      </c>
      <c r="M1036" s="6">
        <v>-1.73</v>
      </c>
      <c r="N1036" s="6">
        <v>-1.73</v>
      </c>
      <c r="O1036" s="6">
        <v>-1.73</v>
      </c>
      <c r="P1036" s="6">
        <v>0</v>
      </c>
      <c r="Q1036" s="4" t="s">
        <v>26</v>
      </c>
      <c r="R1036" s="4">
        <v>0</v>
      </c>
      <c r="S1036" s="6">
        <v>0</v>
      </c>
      <c r="T1036" s="6">
        <v>30</v>
      </c>
      <c r="U1036" s="6">
        <v>78</v>
      </c>
      <c r="V1036" s="6">
        <f>IF(ISERROR(VLOOKUP($S$1036,'TAR FIN'!$A$1:$O$116,15,0)),0,VLOOKUP($S$1036,'TAR FIN'!$A$1:$O$116,15,0))</f>
        <v>0</v>
      </c>
      <c r="W1036" s="6">
        <f>IF(ISERROR(VLOOKUP($T$1036,'TAR FIN'!$A$1:$O$116,15,0)),0,VLOOKUP($T$1036,'TAR FIN'!$A$1:$O$116,15,0))</f>
        <v>1682.12</v>
      </c>
      <c r="X1036" s="6">
        <f>IF(ISERROR(VLOOKUP($U$1036,'TAR FIN'!$A$1:$O$116,15,0)),0,VLOOKUP($U$1036,'TAR FIN'!$A$1:$O$116,15,0))</f>
        <v>496.15</v>
      </c>
      <c r="Y1036" s="6"/>
      <c r="Z1036" s="6">
        <f ca="1">('TUSD BE'!$AM$34+'TUSD BF'!$AM$34+'TUSD CVA'!$AM$34)*1</f>
        <v>1969.9199547802996</v>
      </c>
      <c r="AA1036" s="6">
        <f>('TE BE'!$AB$9+'TE BF'!$AB$9+'TE CVA'!$AB$9)*1</f>
        <v>510.04993331215127</v>
      </c>
      <c r="AB1036" s="6">
        <f>$K$1036*$V$1036</f>
        <v>0</v>
      </c>
      <c r="AC1036" s="6">
        <f>$M$1036*$W$1036</f>
        <v>-2910.0675999999999</v>
      </c>
      <c r="AD1036" s="6">
        <f>$O$1036*$X$1036</f>
        <v>-858.33949999999993</v>
      </c>
      <c r="AE1036" s="6">
        <f>$K$1036*$Y$1036</f>
        <v>0</v>
      </c>
      <c r="AF1036" s="6">
        <f ca="1">$M$1036*$Z$1036</f>
        <v>-3407.9615217699184</v>
      </c>
      <c r="AG1036" s="6">
        <f>$O$1036*$AA$1036</f>
        <v>-882.38638463002167</v>
      </c>
    </row>
    <row r="1037" spans="1:33" ht="11.25" customHeight="1" x14ac:dyDescent="0.25">
      <c r="A1037" s="4" t="s">
        <v>28</v>
      </c>
      <c r="B1037" s="4" t="s">
        <v>41</v>
      </c>
      <c r="C1037" s="4" t="s">
        <v>42</v>
      </c>
      <c r="D1037" s="4" t="s">
        <v>38</v>
      </c>
      <c r="E1037" s="4" t="s">
        <v>25</v>
      </c>
      <c r="F1037" s="4" t="s">
        <v>25</v>
      </c>
      <c r="G1037" s="4" t="s">
        <v>25</v>
      </c>
      <c r="H1037" s="4" t="s">
        <v>34</v>
      </c>
      <c r="I1037" s="5">
        <v>44348</v>
      </c>
      <c r="J1037" s="6">
        <v>0</v>
      </c>
      <c r="K1037" s="6">
        <v>0</v>
      </c>
      <c r="L1037" s="6">
        <v>11.97</v>
      </c>
      <c r="M1037" s="6">
        <v>11.97</v>
      </c>
      <c r="N1037" s="6">
        <v>11.97</v>
      </c>
      <c r="O1037" s="6">
        <v>11.97</v>
      </c>
      <c r="P1037" s="6">
        <v>0</v>
      </c>
      <c r="Q1037" s="4" t="s">
        <v>26</v>
      </c>
      <c r="R1037" s="4">
        <v>0</v>
      </c>
      <c r="S1037" s="6">
        <v>0</v>
      </c>
      <c r="T1037" s="6">
        <v>30</v>
      </c>
      <c r="U1037" s="6">
        <v>78</v>
      </c>
      <c r="V1037" s="6">
        <f>IF(ISERROR(VLOOKUP($S$1037,'TAR FIN'!$A$1:$O$116,15,0)),0,VLOOKUP($S$1037,'TAR FIN'!$A$1:$O$116,15,0))</f>
        <v>0</v>
      </c>
      <c r="W1037" s="6">
        <f>IF(ISERROR(VLOOKUP($T$1037,'TAR FIN'!$A$1:$O$116,15,0)),0,VLOOKUP($T$1037,'TAR FIN'!$A$1:$O$116,15,0))</f>
        <v>1682.12</v>
      </c>
      <c r="X1037" s="6">
        <f>IF(ISERROR(VLOOKUP($U$1037,'TAR FIN'!$A$1:$O$116,15,0)),0,VLOOKUP($U$1037,'TAR FIN'!$A$1:$O$116,15,0))</f>
        <v>496.15</v>
      </c>
      <c r="Y1037" s="6"/>
      <c r="Z1037" s="6">
        <f ca="1">('TUSD BE'!$AM$34+'TUSD BF'!$AM$34+'TUSD CVA'!$AM$34)*1</f>
        <v>1969.9199547802996</v>
      </c>
      <c r="AA1037" s="6">
        <f>('TE BE'!$AB$9+'TE BF'!$AB$9+'TE CVA'!$AB$9)*1</f>
        <v>510.04993331215127</v>
      </c>
      <c r="AB1037" s="6">
        <f>$K$1037*$V$1037</f>
        <v>0</v>
      </c>
      <c r="AC1037" s="6">
        <f>$M$1037*$W$1037</f>
        <v>20134.9764</v>
      </c>
      <c r="AD1037" s="6">
        <f>$O$1037*$X$1037</f>
        <v>5938.9155000000001</v>
      </c>
      <c r="AE1037" s="6">
        <f>$K$1037*$Y$1037</f>
        <v>0</v>
      </c>
      <c r="AF1037" s="6">
        <f ca="1">$M$1037*$Z$1037</f>
        <v>23579.941858720187</v>
      </c>
      <c r="AG1037" s="6">
        <f>$O$1037*$AA$1037</f>
        <v>6105.2977017464509</v>
      </c>
    </row>
    <row r="1038" spans="1:33" ht="11.25" customHeight="1" x14ac:dyDescent="0.25">
      <c r="A1038" s="4" t="s">
        <v>21</v>
      </c>
      <c r="B1038" s="4" t="s">
        <v>41</v>
      </c>
      <c r="C1038" s="4" t="s">
        <v>42</v>
      </c>
      <c r="D1038" s="4" t="s">
        <v>38</v>
      </c>
      <c r="E1038" s="4" t="s">
        <v>25</v>
      </c>
      <c r="F1038" s="4" t="s">
        <v>25</v>
      </c>
      <c r="G1038" s="4" t="s">
        <v>25</v>
      </c>
      <c r="H1038" s="4" t="s">
        <v>34</v>
      </c>
      <c r="I1038" s="5">
        <v>44378</v>
      </c>
      <c r="J1038" s="6">
        <v>0</v>
      </c>
      <c r="K1038" s="6">
        <v>0</v>
      </c>
      <c r="L1038" s="6">
        <v>150.67400000000001</v>
      </c>
      <c r="M1038" s="6">
        <v>150.67400000000001</v>
      </c>
      <c r="N1038" s="6">
        <v>150.67400000000001</v>
      </c>
      <c r="O1038" s="6">
        <v>150.67400000000001</v>
      </c>
      <c r="P1038" s="6">
        <v>0</v>
      </c>
      <c r="Q1038" s="4" t="s">
        <v>26</v>
      </c>
      <c r="R1038" s="4">
        <v>0</v>
      </c>
      <c r="S1038" s="6">
        <v>0</v>
      </c>
      <c r="T1038" s="6">
        <v>30</v>
      </c>
      <c r="U1038" s="6">
        <v>78</v>
      </c>
      <c r="V1038" s="6">
        <f>IF(ISERROR(VLOOKUP($S$1038,'TAR FIN'!$A$1:$O$116,15,0)),0,VLOOKUP($S$1038,'TAR FIN'!$A$1:$O$116,15,0))</f>
        <v>0</v>
      </c>
      <c r="W1038" s="6">
        <f>IF(ISERROR(VLOOKUP($T$1038,'TAR FIN'!$A$1:$O$116,15,0)),0,VLOOKUP($T$1038,'TAR FIN'!$A$1:$O$116,15,0))</f>
        <v>1682.12</v>
      </c>
      <c r="X1038" s="6">
        <f>IF(ISERROR(VLOOKUP($U$1038,'TAR FIN'!$A$1:$O$116,15,0)),0,VLOOKUP($U$1038,'TAR FIN'!$A$1:$O$116,15,0))</f>
        <v>496.15</v>
      </c>
      <c r="Y1038" s="6"/>
      <c r="Z1038" s="6">
        <f ca="1">('TUSD BE'!$AM$34+'TUSD BF'!$AM$34+'TUSD CVA'!$AM$34)*1</f>
        <v>1969.9199547802996</v>
      </c>
      <c r="AA1038" s="6">
        <f>('TE BE'!$AB$9+'TE BF'!$AB$9+'TE CVA'!$AB$9)*1</f>
        <v>510.04993331215127</v>
      </c>
      <c r="AB1038" s="6">
        <f>$K$1038*$V$1038</f>
        <v>0</v>
      </c>
      <c r="AC1038" s="6">
        <f>$M$1038*$W$1038</f>
        <v>253451.74888</v>
      </c>
      <c r="AD1038" s="6">
        <f>$O$1038*$X$1038</f>
        <v>74756.905100000004</v>
      </c>
      <c r="AE1038" s="6">
        <f>$K$1038*$Y$1038</f>
        <v>0</v>
      </c>
      <c r="AF1038" s="6">
        <f ca="1">$M$1038*$Z$1038</f>
        <v>296815.71926656686</v>
      </c>
      <c r="AG1038" s="6">
        <f>$O$1038*$AA$1038</f>
        <v>76851.263651875081</v>
      </c>
    </row>
    <row r="1039" spans="1:33" ht="11.25" customHeight="1" x14ac:dyDescent="0.25">
      <c r="A1039" s="4" t="s">
        <v>27</v>
      </c>
      <c r="B1039" s="4" t="s">
        <v>41</v>
      </c>
      <c r="C1039" s="4" t="s">
        <v>42</v>
      </c>
      <c r="D1039" s="4" t="s">
        <v>38</v>
      </c>
      <c r="E1039" s="4" t="s">
        <v>25</v>
      </c>
      <c r="F1039" s="4" t="s">
        <v>25</v>
      </c>
      <c r="G1039" s="4" t="s">
        <v>25</v>
      </c>
      <c r="H1039" s="4" t="s">
        <v>34</v>
      </c>
      <c r="I1039" s="5">
        <v>44378</v>
      </c>
      <c r="J1039" s="6">
        <v>0</v>
      </c>
      <c r="K1039" s="6">
        <v>0</v>
      </c>
      <c r="L1039" s="6">
        <v>-1.468</v>
      </c>
      <c r="M1039" s="6">
        <v>-1.468</v>
      </c>
      <c r="N1039" s="6">
        <v>-1.468</v>
      </c>
      <c r="O1039" s="6">
        <v>-1.468</v>
      </c>
      <c r="P1039" s="6">
        <v>0</v>
      </c>
      <c r="Q1039" s="4" t="s">
        <v>26</v>
      </c>
      <c r="R1039" s="4">
        <v>0</v>
      </c>
      <c r="S1039" s="6">
        <v>0</v>
      </c>
      <c r="T1039" s="6">
        <v>30</v>
      </c>
      <c r="U1039" s="6">
        <v>78</v>
      </c>
      <c r="V1039" s="6">
        <f>IF(ISERROR(VLOOKUP($S$1039,'TAR FIN'!$A$1:$O$116,15,0)),0,VLOOKUP($S$1039,'TAR FIN'!$A$1:$O$116,15,0))</f>
        <v>0</v>
      </c>
      <c r="W1039" s="6">
        <f>IF(ISERROR(VLOOKUP($T$1039,'TAR FIN'!$A$1:$O$116,15,0)),0,VLOOKUP($T$1039,'TAR FIN'!$A$1:$O$116,15,0))</f>
        <v>1682.12</v>
      </c>
      <c r="X1039" s="6">
        <f>IF(ISERROR(VLOOKUP($U$1039,'TAR FIN'!$A$1:$O$116,15,0)),0,VLOOKUP($U$1039,'TAR FIN'!$A$1:$O$116,15,0))</f>
        <v>496.15</v>
      </c>
      <c r="Y1039" s="6"/>
      <c r="Z1039" s="6">
        <f ca="1">('TUSD BE'!$AM$34+'TUSD BF'!$AM$34+'TUSD CVA'!$AM$34)*1</f>
        <v>1969.9199547802996</v>
      </c>
      <c r="AA1039" s="6">
        <f>('TE BE'!$AB$9+'TE BF'!$AB$9+'TE CVA'!$AB$9)*1</f>
        <v>510.04993331215127</v>
      </c>
      <c r="AB1039" s="6">
        <f>$K$1039*$V$1039</f>
        <v>0</v>
      </c>
      <c r="AC1039" s="6">
        <f>$M$1039*$W$1039</f>
        <v>-2469.3521599999999</v>
      </c>
      <c r="AD1039" s="6">
        <f>$O$1039*$X$1039</f>
        <v>-728.34819999999991</v>
      </c>
      <c r="AE1039" s="6">
        <f>$K$1039*$Y$1039</f>
        <v>0</v>
      </c>
      <c r="AF1039" s="6">
        <f ca="1">$M$1039*$Z$1039</f>
        <v>-2891.8424936174797</v>
      </c>
      <c r="AG1039" s="6">
        <f>$O$1039*$AA$1039</f>
        <v>-748.75330210223808</v>
      </c>
    </row>
    <row r="1040" spans="1:33" ht="11.25" customHeight="1" x14ac:dyDescent="0.25">
      <c r="A1040" s="4" t="s">
        <v>28</v>
      </c>
      <c r="B1040" s="4" t="s">
        <v>41</v>
      </c>
      <c r="C1040" s="4" t="s">
        <v>42</v>
      </c>
      <c r="D1040" s="4" t="s">
        <v>38</v>
      </c>
      <c r="E1040" s="4" t="s">
        <v>25</v>
      </c>
      <c r="F1040" s="4" t="s">
        <v>25</v>
      </c>
      <c r="G1040" s="4" t="s">
        <v>25</v>
      </c>
      <c r="H1040" s="4" t="s">
        <v>34</v>
      </c>
      <c r="I1040" s="5">
        <v>44378</v>
      </c>
      <c r="J1040" s="6">
        <v>0</v>
      </c>
      <c r="K1040" s="6">
        <v>0</v>
      </c>
      <c r="L1040" s="6">
        <v>18.704999999999998</v>
      </c>
      <c r="M1040" s="6">
        <v>18.704999999999998</v>
      </c>
      <c r="N1040" s="6">
        <v>18.704999999999998</v>
      </c>
      <c r="O1040" s="6">
        <v>18.704999999999998</v>
      </c>
      <c r="P1040" s="6">
        <v>0</v>
      </c>
      <c r="Q1040" s="4" t="s">
        <v>26</v>
      </c>
      <c r="R1040" s="4">
        <v>0</v>
      </c>
      <c r="S1040" s="6">
        <v>0</v>
      </c>
      <c r="T1040" s="6">
        <v>30</v>
      </c>
      <c r="U1040" s="6">
        <v>78</v>
      </c>
      <c r="V1040" s="6">
        <f>IF(ISERROR(VLOOKUP($S$1040,'TAR FIN'!$A$1:$O$116,15,0)),0,VLOOKUP($S$1040,'TAR FIN'!$A$1:$O$116,15,0))</f>
        <v>0</v>
      </c>
      <c r="W1040" s="6">
        <f>IF(ISERROR(VLOOKUP($T$1040,'TAR FIN'!$A$1:$O$116,15,0)),0,VLOOKUP($T$1040,'TAR FIN'!$A$1:$O$116,15,0))</f>
        <v>1682.12</v>
      </c>
      <c r="X1040" s="6">
        <f>IF(ISERROR(VLOOKUP($U$1040,'TAR FIN'!$A$1:$O$116,15,0)),0,VLOOKUP($U$1040,'TAR FIN'!$A$1:$O$116,15,0))</f>
        <v>496.15</v>
      </c>
      <c r="Y1040" s="6"/>
      <c r="Z1040" s="6">
        <f ca="1">('TUSD BE'!$AM$34+'TUSD BF'!$AM$34+'TUSD CVA'!$AM$34)*1</f>
        <v>1969.9199547802996</v>
      </c>
      <c r="AA1040" s="6">
        <f>('TE BE'!$AB$9+'TE BF'!$AB$9+'TE CVA'!$AB$9)*1</f>
        <v>510.04993331215127</v>
      </c>
      <c r="AB1040" s="6">
        <f>$K$1040*$V$1040</f>
        <v>0</v>
      </c>
      <c r="AC1040" s="6">
        <f>$M$1040*$W$1040</f>
        <v>31464.054599999996</v>
      </c>
      <c r="AD1040" s="6">
        <f>$O$1040*$X$1040</f>
        <v>9280.485749999998</v>
      </c>
      <c r="AE1040" s="6">
        <f>$K$1040*$Y$1040</f>
        <v>0</v>
      </c>
      <c r="AF1040" s="6">
        <f ca="1">$M$1040*$Z$1040</f>
        <v>36847.352754165498</v>
      </c>
      <c r="AG1040" s="6">
        <f>$O$1040*$AA$1040</f>
        <v>9540.4840026037891</v>
      </c>
    </row>
    <row r="1041" spans="1:33" ht="11.25" customHeight="1" x14ac:dyDescent="0.25">
      <c r="A1041" s="4" t="s">
        <v>21</v>
      </c>
      <c r="B1041" s="4" t="s">
        <v>41</v>
      </c>
      <c r="C1041" s="4" t="s">
        <v>42</v>
      </c>
      <c r="D1041" s="4" t="s">
        <v>38</v>
      </c>
      <c r="E1041" s="4" t="s">
        <v>25</v>
      </c>
      <c r="F1041" s="4" t="s">
        <v>25</v>
      </c>
      <c r="G1041" s="4" t="s">
        <v>25</v>
      </c>
      <c r="H1041" s="4" t="s">
        <v>34</v>
      </c>
      <c r="I1041" s="5">
        <v>44409</v>
      </c>
      <c r="J1041" s="6">
        <v>0</v>
      </c>
      <c r="K1041" s="6">
        <v>0</v>
      </c>
      <c r="L1041" s="6">
        <v>158.90199999999999</v>
      </c>
      <c r="M1041" s="6">
        <v>158.90199999999999</v>
      </c>
      <c r="N1041" s="6">
        <v>158.90199999999999</v>
      </c>
      <c r="O1041" s="6">
        <v>158.90199999999999</v>
      </c>
      <c r="P1041" s="6">
        <v>0</v>
      </c>
      <c r="Q1041" s="4" t="s">
        <v>26</v>
      </c>
      <c r="R1041" s="4">
        <v>0</v>
      </c>
      <c r="S1041" s="6">
        <v>0</v>
      </c>
      <c r="T1041" s="6">
        <v>30</v>
      </c>
      <c r="U1041" s="6">
        <v>78</v>
      </c>
      <c r="V1041" s="6">
        <f>IF(ISERROR(VLOOKUP($S$1041,'TAR FIN'!$A$1:$O$116,15,0)),0,VLOOKUP($S$1041,'TAR FIN'!$A$1:$O$116,15,0))</f>
        <v>0</v>
      </c>
      <c r="W1041" s="6">
        <f>IF(ISERROR(VLOOKUP($T$1041,'TAR FIN'!$A$1:$O$116,15,0)),0,VLOOKUP($T$1041,'TAR FIN'!$A$1:$O$116,15,0))</f>
        <v>1682.12</v>
      </c>
      <c r="X1041" s="6">
        <f>IF(ISERROR(VLOOKUP($U$1041,'TAR FIN'!$A$1:$O$116,15,0)),0,VLOOKUP($U$1041,'TAR FIN'!$A$1:$O$116,15,0))</f>
        <v>496.15</v>
      </c>
      <c r="Y1041" s="6"/>
      <c r="Z1041" s="6">
        <f ca="1">('TUSD BE'!$AM$34+'TUSD BF'!$AM$34+'TUSD CVA'!$AM$34)*1</f>
        <v>1969.9199547802996</v>
      </c>
      <c r="AA1041" s="6">
        <f>('TE BE'!$AB$9+'TE BF'!$AB$9+'TE CVA'!$AB$9)*1</f>
        <v>510.04993331215127</v>
      </c>
      <c r="AB1041" s="6">
        <f>$K$1041*$V$1041</f>
        <v>0</v>
      </c>
      <c r="AC1041" s="6">
        <f>$M$1041*$W$1041</f>
        <v>267292.23223999998</v>
      </c>
      <c r="AD1041" s="6">
        <f>$O$1041*$X$1041</f>
        <v>78839.227299999984</v>
      </c>
      <c r="AE1041" s="6">
        <f>$K$1041*$Y$1041</f>
        <v>0</v>
      </c>
      <c r="AF1041" s="6">
        <f ca="1">$M$1041*$Z$1041</f>
        <v>313024.22065449913</v>
      </c>
      <c r="AG1041" s="6">
        <f>$O$1041*$AA$1041</f>
        <v>81047.95450316745</v>
      </c>
    </row>
    <row r="1042" spans="1:33" ht="11.25" customHeight="1" x14ac:dyDescent="0.25">
      <c r="A1042" s="4" t="s">
        <v>27</v>
      </c>
      <c r="B1042" s="4" t="s">
        <v>41</v>
      </c>
      <c r="C1042" s="4" t="s">
        <v>42</v>
      </c>
      <c r="D1042" s="4" t="s">
        <v>38</v>
      </c>
      <c r="E1042" s="4" t="s">
        <v>25</v>
      </c>
      <c r="F1042" s="4" t="s">
        <v>25</v>
      </c>
      <c r="G1042" s="4" t="s">
        <v>25</v>
      </c>
      <c r="H1042" s="4" t="s">
        <v>34</v>
      </c>
      <c r="I1042" s="5">
        <v>44409</v>
      </c>
      <c r="J1042" s="6">
        <v>0</v>
      </c>
      <c r="K1042" s="6">
        <v>0</v>
      </c>
      <c r="L1042" s="6">
        <v>-1.462</v>
      </c>
      <c r="M1042" s="6">
        <v>-1.462</v>
      </c>
      <c r="N1042" s="6">
        <v>-1.462</v>
      </c>
      <c r="O1042" s="6">
        <v>-1.462</v>
      </c>
      <c r="P1042" s="6">
        <v>0</v>
      </c>
      <c r="Q1042" s="4" t="s">
        <v>26</v>
      </c>
      <c r="R1042" s="4">
        <v>0</v>
      </c>
      <c r="S1042" s="6">
        <v>0</v>
      </c>
      <c r="T1042" s="6">
        <v>30</v>
      </c>
      <c r="U1042" s="6">
        <v>78</v>
      </c>
      <c r="V1042" s="6">
        <f>IF(ISERROR(VLOOKUP($S$1042,'TAR FIN'!$A$1:$O$116,15,0)),0,VLOOKUP($S$1042,'TAR FIN'!$A$1:$O$116,15,0))</f>
        <v>0</v>
      </c>
      <c r="W1042" s="6">
        <f>IF(ISERROR(VLOOKUP($T$1042,'TAR FIN'!$A$1:$O$116,15,0)),0,VLOOKUP($T$1042,'TAR FIN'!$A$1:$O$116,15,0))</f>
        <v>1682.12</v>
      </c>
      <c r="X1042" s="6">
        <f>IF(ISERROR(VLOOKUP($U$1042,'TAR FIN'!$A$1:$O$116,15,0)),0,VLOOKUP($U$1042,'TAR FIN'!$A$1:$O$116,15,0))</f>
        <v>496.15</v>
      </c>
      <c r="Y1042" s="6"/>
      <c r="Z1042" s="6">
        <f ca="1">('TUSD BE'!$AM$34+'TUSD BF'!$AM$34+'TUSD CVA'!$AM$34)*1</f>
        <v>1969.9199547802996</v>
      </c>
      <c r="AA1042" s="6">
        <f>('TE BE'!$AB$9+'TE BF'!$AB$9+'TE CVA'!$AB$9)*1</f>
        <v>510.04993331215127</v>
      </c>
      <c r="AB1042" s="6">
        <f>$K$1042*$V$1042</f>
        <v>0</v>
      </c>
      <c r="AC1042" s="6">
        <f>$M$1042*$W$1042</f>
        <v>-2459.2594399999998</v>
      </c>
      <c r="AD1042" s="6">
        <f>$O$1042*$X$1042</f>
        <v>-725.37129999999991</v>
      </c>
      <c r="AE1042" s="6">
        <f>$K$1042*$Y$1042</f>
        <v>0</v>
      </c>
      <c r="AF1042" s="6">
        <f ca="1">$M$1042*$Z$1042</f>
        <v>-2880.0229738887979</v>
      </c>
      <c r="AG1042" s="6">
        <f>$O$1042*$AA$1042</f>
        <v>-745.69300250236518</v>
      </c>
    </row>
    <row r="1043" spans="1:33" ht="11.25" customHeight="1" x14ac:dyDescent="0.25">
      <c r="A1043" s="4" t="s">
        <v>28</v>
      </c>
      <c r="B1043" s="4" t="s">
        <v>41</v>
      </c>
      <c r="C1043" s="4" t="s">
        <v>42</v>
      </c>
      <c r="D1043" s="4" t="s">
        <v>38</v>
      </c>
      <c r="E1043" s="4" t="s">
        <v>25</v>
      </c>
      <c r="F1043" s="4" t="s">
        <v>25</v>
      </c>
      <c r="G1043" s="4" t="s">
        <v>25</v>
      </c>
      <c r="H1043" s="4" t="s">
        <v>34</v>
      </c>
      <c r="I1043" s="5">
        <v>44409</v>
      </c>
      <c r="J1043" s="6">
        <v>0</v>
      </c>
      <c r="K1043" s="6">
        <v>0</v>
      </c>
      <c r="L1043" s="6">
        <v>16.384</v>
      </c>
      <c r="M1043" s="6">
        <v>16.384</v>
      </c>
      <c r="N1043" s="6">
        <v>16.384</v>
      </c>
      <c r="O1043" s="6">
        <v>16.384</v>
      </c>
      <c r="P1043" s="6">
        <v>0</v>
      </c>
      <c r="Q1043" s="4" t="s">
        <v>26</v>
      </c>
      <c r="R1043" s="4">
        <v>0</v>
      </c>
      <c r="S1043" s="6">
        <v>0</v>
      </c>
      <c r="T1043" s="6">
        <v>30</v>
      </c>
      <c r="U1043" s="6">
        <v>78</v>
      </c>
      <c r="V1043" s="6">
        <f>IF(ISERROR(VLOOKUP($S$1043,'TAR FIN'!$A$1:$O$116,15,0)),0,VLOOKUP($S$1043,'TAR FIN'!$A$1:$O$116,15,0))</f>
        <v>0</v>
      </c>
      <c r="W1043" s="6">
        <f>IF(ISERROR(VLOOKUP($T$1043,'TAR FIN'!$A$1:$O$116,15,0)),0,VLOOKUP($T$1043,'TAR FIN'!$A$1:$O$116,15,0))</f>
        <v>1682.12</v>
      </c>
      <c r="X1043" s="6">
        <f>IF(ISERROR(VLOOKUP($U$1043,'TAR FIN'!$A$1:$O$116,15,0)),0,VLOOKUP($U$1043,'TAR FIN'!$A$1:$O$116,15,0))</f>
        <v>496.15</v>
      </c>
      <c r="Y1043" s="6"/>
      <c r="Z1043" s="6">
        <f ca="1">('TUSD BE'!$AM$34+'TUSD BF'!$AM$34+'TUSD CVA'!$AM$34)*1</f>
        <v>1969.9199547802996</v>
      </c>
      <c r="AA1043" s="6">
        <f>('TE BE'!$AB$9+'TE BF'!$AB$9+'TE CVA'!$AB$9)*1</f>
        <v>510.04993331215127</v>
      </c>
      <c r="AB1043" s="6">
        <f>$K$1043*$V$1043</f>
        <v>0</v>
      </c>
      <c r="AC1043" s="6">
        <f>$M$1043*$W$1043</f>
        <v>27559.854079999997</v>
      </c>
      <c r="AD1043" s="6">
        <f>$O$1043*$X$1043</f>
        <v>8128.9215999999997</v>
      </c>
      <c r="AE1043" s="6">
        <f>$K$1043*$Y$1043</f>
        <v>0</v>
      </c>
      <c r="AF1043" s="6">
        <f ca="1">$M$1043*$Z$1043</f>
        <v>32275.16853912043</v>
      </c>
      <c r="AG1043" s="6">
        <f>$O$1043*$AA$1043</f>
        <v>8356.6581073862872</v>
      </c>
    </row>
    <row r="1044" spans="1:33" ht="11.25" customHeight="1" x14ac:dyDescent="0.25">
      <c r="A1044" s="4" t="s">
        <v>21</v>
      </c>
      <c r="B1044" s="4" t="s">
        <v>41</v>
      </c>
      <c r="C1044" s="4" t="s">
        <v>42</v>
      </c>
      <c r="D1044" s="4" t="s">
        <v>38</v>
      </c>
      <c r="E1044" s="4" t="s">
        <v>25</v>
      </c>
      <c r="F1044" s="4" t="s">
        <v>25</v>
      </c>
      <c r="G1044" s="4" t="s">
        <v>25</v>
      </c>
      <c r="H1044" s="4" t="s">
        <v>34</v>
      </c>
      <c r="I1044" s="5">
        <v>44440</v>
      </c>
      <c r="J1044" s="6">
        <v>0</v>
      </c>
      <c r="K1044" s="6">
        <v>0</v>
      </c>
      <c r="L1044" s="6">
        <v>173.30500000000001</v>
      </c>
      <c r="M1044" s="6">
        <v>173.30500000000001</v>
      </c>
      <c r="N1044" s="6">
        <v>173.30500000000001</v>
      </c>
      <c r="O1044" s="6">
        <v>173.30500000000001</v>
      </c>
      <c r="P1044" s="6">
        <v>0</v>
      </c>
      <c r="Q1044" s="4" t="s">
        <v>26</v>
      </c>
      <c r="R1044" s="4">
        <v>0</v>
      </c>
      <c r="S1044" s="6">
        <v>0</v>
      </c>
      <c r="T1044" s="6">
        <v>30</v>
      </c>
      <c r="U1044" s="6">
        <v>78</v>
      </c>
      <c r="V1044" s="6">
        <f>IF(ISERROR(VLOOKUP($S$1044,'TAR FIN'!$A$1:$O$116,15,0)),0,VLOOKUP($S$1044,'TAR FIN'!$A$1:$O$116,15,0))</f>
        <v>0</v>
      </c>
      <c r="W1044" s="6">
        <f>IF(ISERROR(VLOOKUP($T$1044,'TAR FIN'!$A$1:$O$116,15,0)),0,VLOOKUP($T$1044,'TAR FIN'!$A$1:$O$116,15,0))</f>
        <v>1682.12</v>
      </c>
      <c r="X1044" s="6">
        <f>IF(ISERROR(VLOOKUP($U$1044,'TAR FIN'!$A$1:$O$116,15,0)),0,VLOOKUP($U$1044,'TAR FIN'!$A$1:$O$116,15,0))</f>
        <v>496.15</v>
      </c>
      <c r="Y1044" s="6"/>
      <c r="Z1044" s="6">
        <f ca="1">('TUSD BE'!$AM$34+'TUSD BF'!$AM$34+'TUSD CVA'!$AM$34)*1</f>
        <v>1969.9199547802996</v>
      </c>
      <c r="AA1044" s="6">
        <f>('TE BE'!$AB$9+'TE BF'!$AB$9+'TE CVA'!$AB$9)*1</f>
        <v>510.04993331215127</v>
      </c>
      <c r="AB1044" s="6">
        <f>$K$1044*$V$1044</f>
        <v>0</v>
      </c>
      <c r="AC1044" s="6">
        <f>$M$1044*$W$1044</f>
        <v>291519.80660000001</v>
      </c>
      <c r="AD1044" s="6">
        <f>$O$1044*$X$1044</f>
        <v>85985.275750000001</v>
      </c>
      <c r="AE1044" s="6">
        <f>$K$1044*$Y$1044</f>
        <v>0</v>
      </c>
      <c r="AF1044" s="6">
        <f ca="1">$M$1044*$Z$1044</f>
        <v>341396.97776319983</v>
      </c>
      <c r="AG1044" s="6">
        <f>$O$1044*$AA$1044</f>
        <v>88394.203692662384</v>
      </c>
    </row>
    <row r="1045" spans="1:33" ht="11.25" customHeight="1" x14ac:dyDescent="0.25">
      <c r="A1045" s="4" t="s">
        <v>28</v>
      </c>
      <c r="B1045" s="4" t="s">
        <v>41</v>
      </c>
      <c r="C1045" s="4" t="s">
        <v>42</v>
      </c>
      <c r="D1045" s="4" t="s">
        <v>38</v>
      </c>
      <c r="E1045" s="4" t="s">
        <v>25</v>
      </c>
      <c r="F1045" s="4" t="s">
        <v>25</v>
      </c>
      <c r="G1045" s="4" t="s">
        <v>25</v>
      </c>
      <c r="H1045" s="4" t="s">
        <v>34</v>
      </c>
      <c r="I1045" s="5">
        <v>44440</v>
      </c>
      <c r="J1045" s="6">
        <v>0</v>
      </c>
      <c r="K1045" s="6">
        <v>0</v>
      </c>
      <c r="L1045" s="6">
        <v>18.305</v>
      </c>
      <c r="M1045" s="6">
        <v>18.305</v>
      </c>
      <c r="N1045" s="6">
        <v>18.305</v>
      </c>
      <c r="O1045" s="6">
        <v>18.305</v>
      </c>
      <c r="P1045" s="6">
        <v>0</v>
      </c>
      <c r="Q1045" s="4" t="s">
        <v>26</v>
      </c>
      <c r="R1045" s="4">
        <v>0</v>
      </c>
      <c r="S1045" s="6">
        <v>0</v>
      </c>
      <c r="T1045" s="6">
        <v>30</v>
      </c>
      <c r="U1045" s="6">
        <v>78</v>
      </c>
      <c r="V1045" s="6">
        <f>IF(ISERROR(VLOOKUP($S$1045,'TAR FIN'!$A$1:$O$116,15,0)),0,VLOOKUP($S$1045,'TAR FIN'!$A$1:$O$116,15,0))</f>
        <v>0</v>
      </c>
      <c r="W1045" s="6">
        <f>IF(ISERROR(VLOOKUP($T$1045,'TAR FIN'!$A$1:$O$116,15,0)),0,VLOOKUP($T$1045,'TAR FIN'!$A$1:$O$116,15,0))</f>
        <v>1682.12</v>
      </c>
      <c r="X1045" s="6">
        <f>IF(ISERROR(VLOOKUP($U$1045,'TAR FIN'!$A$1:$O$116,15,0)),0,VLOOKUP($U$1045,'TAR FIN'!$A$1:$O$116,15,0))</f>
        <v>496.15</v>
      </c>
      <c r="Y1045" s="6"/>
      <c r="Z1045" s="6">
        <f ca="1">('TUSD BE'!$AM$34+'TUSD BF'!$AM$34+'TUSD CVA'!$AM$34)*1</f>
        <v>1969.9199547802996</v>
      </c>
      <c r="AA1045" s="6">
        <f>('TE BE'!$AB$9+'TE BF'!$AB$9+'TE CVA'!$AB$9)*1</f>
        <v>510.04993331215127</v>
      </c>
      <c r="AB1045" s="6">
        <f>$K$1045*$V$1045</f>
        <v>0</v>
      </c>
      <c r="AC1045" s="6">
        <f>$M$1045*$W$1045</f>
        <v>30791.206599999998</v>
      </c>
      <c r="AD1045" s="6">
        <f>$O$1045*$X$1045</f>
        <v>9082.0257499999989</v>
      </c>
      <c r="AE1045" s="6">
        <f>$K$1045*$Y$1045</f>
        <v>0</v>
      </c>
      <c r="AF1045" s="6">
        <f ca="1">$M$1045*$Z$1045</f>
        <v>36059.384772253383</v>
      </c>
      <c r="AG1045" s="6">
        <f>$O$1045*$AA$1045</f>
        <v>9336.4640292789281</v>
      </c>
    </row>
    <row r="1046" spans="1:33" ht="11.25" customHeight="1" x14ac:dyDescent="0.25">
      <c r="A1046" s="4" t="s">
        <v>21</v>
      </c>
      <c r="B1046" s="4" t="s">
        <v>41</v>
      </c>
      <c r="C1046" s="4" t="s">
        <v>42</v>
      </c>
      <c r="D1046" s="4" t="s">
        <v>38</v>
      </c>
      <c r="E1046" s="4" t="s">
        <v>25</v>
      </c>
      <c r="F1046" s="4" t="s">
        <v>25</v>
      </c>
      <c r="G1046" s="4" t="s">
        <v>25</v>
      </c>
      <c r="H1046" s="4" t="s">
        <v>34</v>
      </c>
      <c r="I1046" s="5">
        <v>44470</v>
      </c>
      <c r="J1046" s="6">
        <v>0</v>
      </c>
      <c r="K1046" s="6">
        <v>0</v>
      </c>
      <c r="L1046" s="6">
        <v>165.173</v>
      </c>
      <c r="M1046" s="6">
        <v>165.173</v>
      </c>
      <c r="N1046" s="6">
        <v>165.173</v>
      </c>
      <c r="O1046" s="6">
        <v>165.173</v>
      </c>
      <c r="P1046" s="6">
        <v>0</v>
      </c>
      <c r="Q1046" s="4" t="s">
        <v>26</v>
      </c>
      <c r="R1046" s="4">
        <v>0</v>
      </c>
      <c r="S1046" s="6">
        <v>0</v>
      </c>
      <c r="T1046" s="6">
        <v>30</v>
      </c>
      <c r="U1046" s="6">
        <v>78</v>
      </c>
      <c r="V1046" s="6">
        <f>IF(ISERROR(VLOOKUP($S$1046,'TAR FIN'!$A$1:$O$116,15,0)),0,VLOOKUP($S$1046,'TAR FIN'!$A$1:$O$116,15,0))</f>
        <v>0</v>
      </c>
      <c r="W1046" s="6">
        <f>IF(ISERROR(VLOOKUP($T$1046,'TAR FIN'!$A$1:$O$116,15,0)),0,VLOOKUP($T$1046,'TAR FIN'!$A$1:$O$116,15,0))</f>
        <v>1682.12</v>
      </c>
      <c r="X1046" s="6">
        <f>IF(ISERROR(VLOOKUP($U$1046,'TAR FIN'!$A$1:$O$116,15,0)),0,VLOOKUP($U$1046,'TAR FIN'!$A$1:$O$116,15,0))</f>
        <v>496.15</v>
      </c>
      <c r="Y1046" s="6"/>
      <c r="Z1046" s="6">
        <f ca="1">('TUSD BE'!$AM$34+'TUSD BF'!$AM$34+'TUSD CVA'!$AM$34)*1</f>
        <v>1969.9199547802996</v>
      </c>
      <c r="AA1046" s="6">
        <f>('TE BE'!$AB$9+'TE BF'!$AB$9+'TE CVA'!$AB$9)*1</f>
        <v>510.04993331215127</v>
      </c>
      <c r="AB1046" s="6">
        <f>$K$1046*$V$1046</f>
        <v>0</v>
      </c>
      <c r="AC1046" s="6">
        <f>$M$1046*$W$1046</f>
        <v>277840.80676000001</v>
      </c>
      <c r="AD1046" s="6">
        <f>$O$1046*$X$1046</f>
        <v>81950.58395</v>
      </c>
      <c r="AE1046" s="6">
        <f>$K$1046*$Y$1046</f>
        <v>0</v>
      </c>
      <c r="AF1046" s="6">
        <f ca="1">$M$1046*$Z$1046</f>
        <v>325377.58869092644</v>
      </c>
      <c r="AG1046" s="6">
        <f>$O$1046*$AA$1046</f>
        <v>84246.47763496796</v>
      </c>
    </row>
    <row r="1047" spans="1:33" ht="11.25" customHeight="1" x14ac:dyDescent="0.25">
      <c r="A1047" s="4" t="s">
        <v>28</v>
      </c>
      <c r="B1047" s="4" t="s">
        <v>41</v>
      </c>
      <c r="C1047" s="4" t="s">
        <v>42</v>
      </c>
      <c r="D1047" s="4" t="s">
        <v>38</v>
      </c>
      <c r="E1047" s="4" t="s">
        <v>25</v>
      </c>
      <c r="F1047" s="4" t="s">
        <v>25</v>
      </c>
      <c r="G1047" s="4" t="s">
        <v>25</v>
      </c>
      <c r="H1047" s="4" t="s">
        <v>34</v>
      </c>
      <c r="I1047" s="5">
        <v>44470</v>
      </c>
      <c r="J1047" s="6">
        <v>0</v>
      </c>
      <c r="K1047" s="6">
        <v>0</v>
      </c>
      <c r="L1047" s="6">
        <v>12.903</v>
      </c>
      <c r="M1047" s="6">
        <v>12.903</v>
      </c>
      <c r="N1047" s="6">
        <v>12.903</v>
      </c>
      <c r="O1047" s="6">
        <v>12.903</v>
      </c>
      <c r="P1047" s="6">
        <v>0</v>
      </c>
      <c r="Q1047" s="4" t="s">
        <v>26</v>
      </c>
      <c r="R1047" s="4">
        <v>0</v>
      </c>
      <c r="S1047" s="6">
        <v>0</v>
      </c>
      <c r="T1047" s="6">
        <v>30</v>
      </c>
      <c r="U1047" s="6">
        <v>78</v>
      </c>
      <c r="V1047" s="6">
        <f>IF(ISERROR(VLOOKUP($S$1047,'TAR FIN'!$A$1:$O$116,15,0)),0,VLOOKUP($S$1047,'TAR FIN'!$A$1:$O$116,15,0))</f>
        <v>0</v>
      </c>
      <c r="W1047" s="6">
        <f>IF(ISERROR(VLOOKUP($T$1047,'TAR FIN'!$A$1:$O$116,15,0)),0,VLOOKUP($T$1047,'TAR FIN'!$A$1:$O$116,15,0))</f>
        <v>1682.12</v>
      </c>
      <c r="X1047" s="6">
        <f>IF(ISERROR(VLOOKUP($U$1047,'TAR FIN'!$A$1:$O$116,15,0)),0,VLOOKUP($U$1047,'TAR FIN'!$A$1:$O$116,15,0))</f>
        <v>496.15</v>
      </c>
      <c r="Y1047" s="6"/>
      <c r="Z1047" s="6">
        <f ca="1">('TUSD BE'!$AM$34+'TUSD BF'!$AM$34+'TUSD CVA'!$AM$34)*1</f>
        <v>1969.9199547802996</v>
      </c>
      <c r="AA1047" s="6">
        <f>('TE BE'!$AB$9+'TE BF'!$AB$9+'TE CVA'!$AB$9)*1</f>
        <v>510.04993331215127</v>
      </c>
      <c r="AB1047" s="6">
        <f>$K$1047*$V$1047</f>
        <v>0</v>
      </c>
      <c r="AC1047" s="6">
        <f>$M$1047*$W$1047</f>
        <v>21704.394359999998</v>
      </c>
      <c r="AD1047" s="6">
        <f>$O$1047*$X$1047</f>
        <v>6401.8234499999999</v>
      </c>
      <c r="AE1047" s="6">
        <f>$K$1047*$Y$1047</f>
        <v>0</v>
      </c>
      <c r="AF1047" s="6">
        <f ca="1">$M$1047*$Z$1047</f>
        <v>25417.877176530208</v>
      </c>
      <c r="AG1047" s="6">
        <f>$O$1047*$AA$1047</f>
        <v>6581.174289526688</v>
      </c>
    </row>
    <row r="1048" spans="1:33" ht="11.25" customHeight="1" x14ac:dyDescent="0.25">
      <c r="A1048" s="4" t="s">
        <v>21</v>
      </c>
      <c r="B1048" s="4" t="s">
        <v>41</v>
      </c>
      <c r="C1048" s="4" t="s">
        <v>42</v>
      </c>
      <c r="D1048" s="4" t="s">
        <v>38</v>
      </c>
      <c r="E1048" s="4" t="s">
        <v>25</v>
      </c>
      <c r="F1048" s="4" t="s">
        <v>25</v>
      </c>
      <c r="G1048" s="4" t="s">
        <v>25</v>
      </c>
      <c r="H1048" s="4" t="s">
        <v>34</v>
      </c>
      <c r="I1048" s="5">
        <v>44501</v>
      </c>
      <c r="J1048" s="6">
        <v>0</v>
      </c>
      <c r="K1048" s="6">
        <v>0</v>
      </c>
      <c r="L1048" s="6">
        <v>161.58500000000001</v>
      </c>
      <c r="M1048" s="6">
        <v>161.58500000000001</v>
      </c>
      <c r="N1048" s="6">
        <v>161.58500000000001</v>
      </c>
      <c r="O1048" s="6">
        <v>161.58500000000001</v>
      </c>
      <c r="P1048" s="6">
        <v>0</v>
      </c>
      <c r="Q1048" s="4" t="s">
        <v>26</v>
      </c>
      <c r="R1048" s="4">
        <v>0</v>
      </c>
      <c r="S1048" s="6">
        <v>0</v>
      </c>
      <c r="T1048" s="6">
        <v>30</v>
      </c>
      <c r="U1048" s="6">
        <v>78</v>
      </c>
      <c r="V1048" s="6">
        <f>IF(ISERROR(VLOOKUP($S$1048,'TAR FIN'!$A$1:$O$116,15,0)),0,VLOOKUP($S$1048,'TAR FIN'!$A$1:$O$116,15,0))</f>
        <v>0</v>
      </c>
      <c r="W1048" s="6">
        <f>IF(ISERROR(VLOOKUP($T$1048,'TAR FIN'!$A$1:$O$116,15,0)),0,VLOOKUP($T$1048,'TAR FIN'!$A$1:$O$116,15,0))</f>
        <v>1682.12</v>
      </c>
      <c r="X1048" s="6">
        <f>IF(ISERROR(VLOOKUP($U$1048,'TAR FIN'!$A$1:$O$116,15,0)),0,VLOOKUP($U$1048,'TAR FIN'!$A$1:$O$116,15,0))</f>
        <v>496.15</v>
      </c>
      <c r="Y1048" s="6"/>
      <c r="Z1048" s="6">
        <f ca="1">('TUSD BE'!$AM$34+'TUSD BF'!$AM$34+'TUSD CVA'!$AM$34)*1</f>
        <v>1969.9199547802996</v>
      </c>
      <c r="AA1048" s="6">
        <f>('TE BE'!$AB$9+'TE BF'!$AB$9+'TE CVA'!$AB$9)*1</f>
        <v>510.04993331215127</v>
      </c>
      <c r="AB1048" s="6">
        <f>$K$1048*$V$1048</f>
        <v>0</v>
      </c>
      <c r="AC1048" s="6">
        <f>$M$1048*$W$1048</f>
        <v>271805.3602</v>
      </c>
      <c r="AD1048" s="6">
        <f>$O$1048*$X$1048</f>
        <v>80170.397750000004</v>
      </c>
      <c r="AE1048" s="6">
        <f>$K$1048*$Y$1048</f>
        <v>0</v>
      </c>
      <c r="AF1048" s="6">
        <f ca="1">$M$1048*$Z$1048</f>
        <v>318309.51589317474</v>
      </c>
      <c r="AG1048" s="6">
        <f>$O$1048*$AA$1048</f>
        <v>82416.418474243968</v>
      </c>
    </row>
    <row r="1049" spans="1:33" ht="11.25" customHeight="1" x14ac:dyDescent="0.25">
      <c r="A1049" s="4" t="s">
        <v>28</v>
      </c>
      <c r="B1049" s="4" t="s">
        <v>41</v>
      </c>
      <c r="C1049" s="4" t="s">
        <v>42</v>
      </c>
      <c r="D1049" s="4" t="s">
        <v>38</v>
      </c>
      <c r="E1049" s="4" t="s">
        <v>25</v>
      </c>
      <c r="F1049" s="4" t="s">
        <v>25</v>
      </c>
      <c r="G1049" s="4" t="s">
        <v>25</v>
      </c>
      <c r="H1049" s="4" t="s">
        <v>34</v>
      </c>
      <c r="I1049" s="5">
        <v>44501</v>
      </c>
      <c r="J1049" s="6">
        <v>0</v>
      </c>
      <c r="K1049" s="6">
        <v>0</v>
      </c>
      <c r="L1049" s="6">
        <v>13.750999999999999</v>
      </c>
      <c r="M1049" s="6">
        <v>13.750999999999999</v>
      </c>
      <c r="N1049" s="6">
        <v>13.750999999999999</v>
      </c>
      <c r="O1049" s="6">
        <v>13.750999999999999</v>
      </c>
      <c r="P1049" s="6">
        <v>0</v>
      </c>
      <c r="Q1049" s="4" t="s">
        <v>26</v>
      </c>
      <c r="R1049" s="4">
        <v>0</v>
      </c>
      <c r="S1049" s="6">
        <v>0</v>
      </c>
      <c r="T1049" s="6">
        <v>30</v>
      </c>
      <c r="U1049" s="6">
        <v>78</v>
      </c>
      <c r="V1049" s="6">
        <f>IF(ISERROR(VLOOKUP($S$1049,'TAR FIN'!$A$1:$O$116,15,0)),0,VLOOKUP($S$1049,'TAR FIN'!$A$1:$O$116,15,0))</f>
        <v>0</v>
      </c>
      <c r="W1049" s="6">
        <f>IF(ISERROR(VLOOKUP($T$1049,'TAR FIN'!$A$1:$O$116,15,0)),0,VLOOKUP($T$1049,'TAR FIN'!$A$1:$O$116,15,0))</f>
        <v>1682.12</v>
      </c>
      <c r="X1049" s="6">
        <f>IF(ISERROR(VLOOKUP($U$1049,'TAR FIN'!$A$1:$O$116,15,0)),0,VLOOKUP($U$1049,'TAR FIN'!$A$1:$O$116,15,0))</f>
        <v>496.15</v>
      </c>
      <c r="Y1049" s="6"/>
      <c r="Z1049" s="6">
        <f ca="1">('TUSD BE'!$AM$34+'TUSD BF'!$AM$34+'TUSD CVA'!$AM$34)*1</f>
        <v>1969.9199547802996</v>
      </c>
      <c r="AA1049" s="6">
        <f>('TE BE'!$AB$9+'TE BF'!$AB$9+'TE CVA'!$AB$9)*1</f>
        <v>510.04993331215127</v>
      </c>
      <c r="AB1049" s="6">
        <f>$K$1049*$V$1049</f>
        <v>0</v>
      </c>
      <c r="AC1049" s="6">
        <f>$M$1049*$W$1049</f>
        <v>23130.832119999999</v>
      </c>
      <c r="AD1049" s="6">
        <f>$O$1049*$X$1049</f>
        <v>6822.558649999999</v>
      </c>
      <c r="AE1049" s="6">
        <f>$K$1049*$Y$1049</f>
        <v>0</v>
      </c>
      <c r="AF1049" s="6">
        <f ca="1">$M$1049*$Z$1049</f>
        <v>27088.369298183898</v>
      </c>
      <c r="AG1049" s="6">
        <f>$O$1049*$AA$1049</f>
        <v>7013.6966329753914</v>
      </c>
    </row>
    <row r="1050" spans="1:33" ht="11.25" customHeight="1" x14ac:dyDescent="0.25">
      <c r="A1050" s="4" t="s">
        <v>21</v>
      </c>
      <c r="B1050" s="4" t="s">
        <v>41</v>
      </c>
      <c r="C1050" s="4" t="s">
        <v>42</v>
      </c>
      <c r="D1050" s="4" t="s">
        <v>38</v>
      </c>
      <c r="E1050" s="4" t="s">
        <v>25</v>
      </c>
      <c r="F1050" s="4" t="s">
        <v>25</v>
      </c>
      <c r="G1050" s="4" t="s">
        <v>25</v>
      </c>
      <c r="H1050" s="4" t="s">
        <v>34</v>
      </c>
      <c r="I1050" s="5">
        <v>44531</v>
      </c>
      <c r="J1050" s="6">
        <v>0</v>
      </c>
      <c r="K1050" s="6">
        <v>0</v>
      </c>
      <c r="L1050" s="6">
        <v>157.63900000000001</v>
      </c>
      <c r="M1050" s="6">
        <v>157.63900000000001</v>
      </c>
      <c r="N1050" s="6">
        <v>157.63900000000001</v>
      </c>
      <c r="O1050" s="6">
        <v>157.63900000000001</v>
      </c>
      <c r="P1050" s="6">
        <v>0</v>
      </c>
      <c r="Q1050" s="4" t="s">
        <v>26</v>
      </c>
      <c r="R1050" s="4">
        <v>0</v>
      </c>
      <c r="S1050" s="6">
        <v>0</v>
      </c>
      <c r="T1050" s="6">
        <v>30</v>
      </c>
      <c r="U1050" s="6">
        <v>78</v>
      </c>
      <c r="V1050" s="6">
        <f>IF(ISERROR(VLOOKUP($S$1050,'TAR FIN'!$A$1:$O$116,15,0)),0,VLOOKUP($S$1050,'TAR FIN'!$A$1:$O$116,15,0))</f>
        <v>0</v>
      </c>
      <c r="W1050" s="6">
        <f>IF(ISERROR(VLOOKUP($T$1050,'TAR FIN'!$A$1:$O$116,15,0)),0,VLOOKUP($T$1050,'TAR FIN'!$A$1:$O$116,15,0))</f>
        <v>1682.12</v>
      </c>
      <c r="X1050" s="6">
        <f>IF(ISERROR(VLOOKUP($U$1050,'TAR FIN'!$A$1:$O$116,15,0)),0,VLOOKUP($U$1050,'TAR FIN'!$A$1:$O$116,15,0))</f>
        <v>496.15</v>
      </c>
      <c r="Y1050" s="6"/>
      <c r="Z1050" s="6">
        <f ca="1">('TUSD BE'!$AM$34+'TUSD BF'!$AM$34+'TUSD CVA'!$AM$34)*1</f>
        <v>1969.9199547802996</v>
      </c>
      <c r="AA1050" s="6">
        <f>('TE BE'!$AB$9+'TE BF'!$AB$9+'TE CVA'!$AB$9)*1</f>
        <v>510.04993331215127</v>
      </c>
      <c r="AB1050" s="6">
        <f>$K$1050*$V$1050</f>
        <v>0</v>
      </c>
      <c r="AC1050" s="6">
        <f>$M$1050*$W$1050</f>
        <v>265167.71467999998</v>
      </c>
      <c r="AD1050" s="6">
        <f>$O$1050*$X$1050</f>
        <v>78212.589850000004</v>
      </c>
      <c r="AE1050" s="6">
        <f>$K$1050*$Y$1050</f>
        <v>0</v>
      </c>
      <c r="AF1050" s="6">
        <f ca="1">$M$1050*$Z$1050</f>
        <v>310536.21175161167</v>
      </c>
      <c r="AG1050" s="6">
        <f>$O$1050*$AA$1050</f>
        <v>80403.76143739422</v>
      </c>
    </row>
    <row r="1051" spans="1:33" ht="11.25" customHeight="1" x14ac:dyDescent="0.25">
      <c r="A1051" s="4" t="s">
        <v>27</v>
      </c>
      <c r="B1051" s="4" t="s">
        <v>41</v>
      </c>
      <c r="C1051" s="4" t="s">
        <v>42</v>
      </c>
      <c r="D1051" s="4" t="s">
        <v>38</v>
      </c>
      <c r="E1051" s="4" t="s">
        <v>25</v>
      </c>
      <c r="F1051" s="4" t="s">
        <v>25</v>
      </c>
      <c r="G1051" s="4" t="s">
        <v>25</v>
      </c>
      <c r="H1051" s="4" t="s">
        <v>34</v>
      </c>
      <c r="I1051" s="5">
        <v>44531</v>
      </c>
      <c r="J1051" s="6">
        <v>0</v>
      </c>
      <c r="K1051" s="6">
        <v>0</v>
      </c>
      <c r="L1051" s="6">
        <v>-0.66</v>
      </c>
      <c r="M1051" s="6">
        <v>-0.66</v>
      </c>
      <c r="N1051" s="6">
        <v>-0.66</v>
      </c>
      <c r="O1051" s="6">
        <v>-0.66</v>
      </c>
      <c r="P1051" s="6">
        <v>0</v>
      </c>
      <c r="Q1051" s="4" t="s">
        <v>26</v>
      </c>
      <c r="R1051" s="4">
        <v>0</v>
      </c>
      <c r="S1051" s="6">
        <v>0</v>
      </c>
      <c r="T1051" s="6">
        <v>30</v>
      </c>
      <c r="U1051" s="6">
        <v>78</v>
      </c>
      <c r="V1051" s="6">
        <f>IF(ISERROR(VLOOKUP($S$1051,'TAR FIN'!$A$1:$O$116,15,0)),0,VLOOKUP($S$1051,'TAR FIN'!$A$1:$O$116,15,0))</f>
        <v>0</v>
      </c>
      <c r="W1051" s="6">
        <f>IF(ISERROR(VLOOKUP($T$1051,'TAR FIN'!$A$1:$O$116,15,0)),0,VLOOKUP($T$1051,'TAR FIN'!$A$1:$O$116,15,0))</f>
        <v>1682.12</v>
      </c>
      <c r="X1051" s="6">
        <f>IF(ISERROR(VLOOKUP($U$1051,'TAR FIN'!$A$1:$O$116,15,0)),0,VLOOKUP($U$1051,'TAR FIN'!$A$1:$O$116,15,0))</f>
        <v>496.15</v>
      </c>
      <c r="Y1051" s="6"/>
      <c r="Z1051" s="6">
        <f ca="1">('TUSD BE'!$AM$34+'TUSD BF'!$AM$34+'TUSD CVA'!$AM$34)*1</f>
        <v>1969.9199547802996</v>
      </c>
      <c r="AA1051" s="6">
        <f>('TE BE'!$AB$9+'TE BF'!$AB$9+'TE CVA'!$AB$9)*1</f>
        <v>510.04993331215127</v>
      </c>
      <c r="AB1051" s="6">
        <f>$K$1051*$V$1051</f>
        <v>0</v>
      </c>
      <c r="AC1051" s="6">
        <f>$M$1051*$W$1051</f>
        <v>-1110.1992</v>
      </c>
      <c r="AD1051" s="6">
        <f>$O$1051*$X$1051</f>
        <v>-327.459</v>
      </c>
      <c r="AE1051" s="6">
        <f>$K$1051*$Y$1051</f>
        <v>0</v>
      </c>
      <c r="AF1051" s="6">
        <f ca="1">$M$1051*$Z$1051</f>
        <v>-1300.1471701549979</v>
      </c>
      <c r="AG1051" s="6">
        <f>$O$1051*$AA$1051</f>
        <v>-336.63295598601985</v>
      </c>
    </row>
    <row r="1052" spans="1:33" ht="11.25" customHeight="1" x14ac:dyDescent="0.25">
      <c r="A1052" s="4" t="s">
        <v>28</v>
      </c>
      <c r="B1052" s="4" t="s">
        <v>41</v>
      </c>
      <c r="C1052" s="4" t="s">
        <v>42</v>
      </c>
      <c r="D1052" s="4" t="s">
        <v>38</v>
      </c>
      <c r="E1052" s="4" t="s">
        <v>25</v>
      </c>
      <c r="F1052" s="4" t="s">
        <v>25</v>
      </c>
      <c r="G1052" s="4" t="s">
        <v>25</v>
      </c>
      <c r="H1052" s="4" t="s">
        <v>34</v>
      </c>
      <c r="I1052" s="5">
        <v>44531</v>
      </c>
      <c r="J1052" s="6">
        <v>0</v>
      </c>
      <c r="K1052" s="6">
        <v>0</v>
      </c>
      <c r="L1052" s="6">
        <v>14.978999999999999</v>
      </c>
      <c r="M1052" s="6">
        <v>14.978999999999999</v>
      </c>
      <c r="N1052" s="6">
        <v>14.978999999999999</v>
      </c>
      <c r="O1052" s="6">
        <v>14.978999999999999</v>
      </c>
      <c r="P1052" s="6">
        <v>0</v>
      </c>
      <c r="Q1052" s="4" t="s">
        <v>26</v>
      </c>
      <c r="R1052" s="4">
        <v>0</v>
      </c>
      <c r="S1052" s="6">
        <v>0</v>
      </c>
      <c r="T1052" s="6">
        <v>30</v>
      </c>
      <c r="U1052" s="6">
        <v>78</v>
      </c>
      <c r="V1052" s="6">
        <f>IF(ISERROR(VLOOKUP($S$1052,'TAR FIN'!$A$1:$O$116,15,0)),0,VLOOKUP($S$1052,'TAR FIN'!$A$1:$O$116,15,0))</f>
        <v>0</v>
      </c>
      <c r="W1052" s="6">
        <f>IF(ISERROR(VLOOKUP($T$1052,'TAR FIN'!$A$1:$O$116,15,0)),0,VLOOKUP($T$1052,'TAR FIN'!$A$1:$O$116,15,0))</f>
        <v>1682.12</v>
      </c>
      <c r="X1052" s="6">
        <f>IF(ISERROR(VLOOKUP($U$1052,'TAR FIN'!$A$1:$O$116,15,0)),0,VLOOKUP($U$1052,'TAR FIN'!$A$1:$O$116,15,0))</f>
        <v>496.15</v>
      </c>
      <c r="Y1052" s="6"/>
      <c r="Z1052" s="6">
        <f ca="1">('TUSD BE'!$AM$34+'TUSD BF'!$AM$34+'TUSD CVA'!$AM$34)*1</f>
        <v>1969.9199547802996</v>
      </c>
      <c r="AA1052" s="6">
        <f>('TE BE'!$AB$9+'TE BF'!$AB$9+'TE CVA'!$AB$9)*1</f>
        <v>510.04993331215127</v>
      </c>
      <c r="AB1052" s="6">
        <f>$K$1052*$V$1052</f>
        <v>0</v>
      </c>
      <c r="AC1052" s="6">
        <f>$M$1052*$W$1052</f>
        <v>25196.475479999997</v>
      </c>
      <c r="AD1052" s="6">
        <f>$O$1052*$X$1052</f>
        <v>7431.8308499999994</v>
      </c>
      <c r="AE1052" s="6">
        <f>$K$1052*$Y$1052</f>
        <v>0</v>
      </c>
      <c r="AF1052" s="6">
        <f ca="1">$M$1052*$Z$1052</f>
        <v>29507.431002654106</v>
      </c>
      <c r="AG1052" s="6">
        <f>$O$1052*$AA$1052</f>
        <v>7640.0379510827133</v>
      </c>
    </row>
    <row r="1053" spans="1:33" ht="11.25" customHeight="1" x14ac:dyDescent="0.25">
      <c r="A1053" s="4" t="s">
        <v>21</v>
      </c>
      <c r="B1053" s="4" t="s">
        <v>41</v>
      </c>
      <c r="C1053" s="4" t="s">
        <v>42</v>
      </c>
      <c r="D1053" s="4" t="s">
        <v>38</v>
      </c>
      <c r="E1053" s="4" t="s">
        <v>25</v>
      </c>
      <c r="F1053" s="4" t="s">
        <v>25</v>
      </c>
      <c r="G1053" s="4" t="s">
        <v>25</v>
      </c>
      <c r="H1053" s="4" t="s">
        <v>34</v>
      </c>
      <c r="I1053" s="5">
        <v>44562</v>
      </c>
      <c r="J1053" s="6">
        <v>0</v>
      </c>
      <c r="K1053" s="6">
        <v>0</v>
      </c>
      <c r="L1053" s="6">
        <v>177.64699999999999</v>
      </c>
      <c r="M1053" s="6">
        <v>177.64699999999999</v>
      </c>
      <c r="N1053" s="6">
        <v>177.64699999999999</v>
      </c>
      <c r="O1053" s="6">
        <v>177.64699999999999</v>
      </c>
      <c r="P1053" s="6">
        <v>0</v>
      </c>
      <c r="Q1053" s="4" t="s">
        <v>26</v>
      </c>
      <c r="R1053" s="4">
        <v>0</v>
      </c>
      <c r="S1053" s="6">
        <v>0</v>
      </c>
      <c r="T1053" s="6">
        <v>30</v>
      </c>
      <c r="U1053" s="6">
        <v>78</v>
      </c>
      <c r="V1053" s="6">
        <f>IF(ISERROR(VLOOKUP($S$1053,'TAR FIN'!$A$1:$O$116,15,0)),0,VLOOKUP($S$1053,'TAR FIN'!$A$1:$O$116,15,0))</f>
        <v>0</v>
      </c>
      <c r="W1053" s="6">
        <f>IF(ISERROR(VLOOKUP($T$1053,'TAR FIN'!$A$1:$O$116,15,0)),0,VLOOKUP($T$1053,'TAR FIN'!$A$1:$O$116,15,0))</f>
        <v>1682.12</v>
      </c>
      <c r="X1053" s="6">
        <f>IF(ISERROR(VLOOKUP($U$1053,'TAR FIN'!$A$1:$O$116,15,0)),0,VLOOKUP($U$1053,'TAR FIN'!$A$1:$O$116,15,0))</f>
        <v>496.15</v>
      </c>
      <c r="Y1053" s="6"/>
      <c r="Z1053" s="6">
        <f ca="1">('TUSD BE'!$AM$34+'TUSD BF'!$AM$34+'TUSD CVA'!$AM$34)*1</f>
        <v>1969.9199547802996</v>
      </c>
      <c r="AA1053" s="6">
        <f>('TE BE'!$AB$9+'TE BF'!$AB$9+'TE CVA'!$AB$9)*1</f>
        <v>510.04993331215127</v>
      </c>
      <c r="AB1053" s="6">
        <f>$K$1053*$V$1053</f>
        <v>0</v>
      </c>
      <c r="AC1053" s="6">
        <f>$M$1053*$W$1053</f>
        <v>298823.57163999998</v>
      </c>
      <c r="AD1053" s="6">
        <f>$O$1053*$X$1053</f>
        <v>88139.559049999996</v>
      </c>
      <c r="AE1053" s="6">
        <f>$K$1053*$Y$1053</f>
        <v>0</v>
      </c>
      <c r="AF1053" s="6">
        <f ca="1">$M$1053*$Z$1053</f>
        <v>349950.37020685588</v>
      </c>
      <c r="AG1053" s="6">
        <f>$O$1053*$AA$1053</f>
        <v>90608.840503103725</v>
      </c>
    </row>
    <row r="1054" spans="1:33" ht="11.25" customHeight="1" x14ac:dyDescent="0.25">
      <c r="A1054" s="4" t="s">
        <v>28</v>
      </c>
      <c r="B1054" s="4" t="s">
        <v>41</v>
      </c>
      <c r="C1054" s="4" t="s">
        <v>42</v>
      </c>
      <c r="D1054" s="4" t="s">
        <v>38</v>
      </c>
      <c r="E1054" s="4" t="s">
        <v>25</v>
      </c>
      <c r="F1054" s="4" t="s">
        <v>25</v>
      </c>
      <c r="G1054" s="4" t="s">
        <v>25</v>
      </c>
      <c r="H1054" s="4" t="s">
        <v>34</v>
      </c>
      <c r="I1054" s="5">
        <v>44562</v>
      </c>
      <c r="J1054" s="6">
        <v>0</v>
      </c>
      <c r="K1054" s="6">
        <v>0</v>
      </c>
      <c r="L1054" s="6">
        <v>17.033000000000001</v>
      </c>
      <c r="M1054" s="6">
        <v>17.033000000000001</v>
      </c>
      <c r="N1054" s="6">
        <v>17.033000000000001</v>
      </c>
      <c r="O1054" s="6">
        <v>17.033000000000001</v>
      </c>
      <c r="P1054" s="6">
        <v>0</v>
      </c>
      <c r="Q1054" s="4" t="s">
        <v>26</v>
      </c>
      <c r="R1054" s="4">
        <v>0</v>
      </c>
      <c r="S1054" s="6">
        <v>0</v>
      </c>
      <c r="T1054" s="6">
        <v>30</v>
      </c>
      <c r="U1054" s="6">
        <v>78</v>
      </c>
      <c r="V1054" s="6">
        <f>IF(ISERROR(VLOOKUP($S$1054,'TAR FIN'!$A$1:$O$116,15,0)),0,VLOOKUP($S$1054,'TAR FIN'!$A$1:$O$116,15,0))</f>
        <v>0</v>
      </c>
      <c r="W1054" s="6">
        <f>IF(ISERROR(VLOOKUP($T$1054,'TAR FIN'!$A$1:$O$116,15,0)),0,VLOOKUP($T$1054,'TAR FIN'!$A$1:$O$116,15,0))</f>
        <v>1682.12</v>
      </c>
      <c r="X1054" s="6">
        <f>IF(ISERROR(VLOOKUP($U$1054,'TAR FIN'!$A$1:$O$116,15,0)),0,VLOOKUP($U$1054,'TAR FIN'!$A$1:$O$116,15,0))</f>
        <v>496.15</v>
      </c>
      <c r="Y1054" s="6"/>
      <c r="Z1054" s="6">
        <f ca="1">('TUSD BE'!$AM$34+'TUSD BF'!$AM$34+'TUSD CVA'!$AM$34)*1</f>
        <v>1969.9199547802996</v>
      </c>
      <c r="AA1054" s="6">
        <f>('TE BE'!$AB$9+'TE BF'!$AB$9+'TE CVA'!$AB$9)*1</f>
        <v>510.04993331215127</v>
      </c>
      <c r="AB1054" s="6">
        <f>$K$1054*$V$1054</f>
        <v>0</v>
      </c>
      <c r="AC1054" s="6">
        <f>$M$1054*$W$1054</f>
        <v>28651.54996</v>
      </c>
      <c r="AD1054" s="6">
        <f>$O$1054*$X$1054</f>
        <v>8450.9229500000001</v>
      </c>
      <c r="AE1054" s="6">
        <f>$K$1054*$Y$1054</f>
        <v>0</v>
      </c>
      <c r="AF1054" s="6">
        <f ca="1">$M$1054*$Z$1054</f>
        <v>33553.646589772849</v>
      </c>
      <c r="AG1054" s="6">
        <f>$O$1054*$AA$1054</f>
        <v>8687.680514105874</v>
      </c>
    </row>
    <row r="1055" spans="1:33" ht="11.25" customHeight="1" x14ac:dyDescent="0.25">
      <c r="A1055" s="4" t="s">
        <v>21</v>
      </c>
      <c r="B1055" s="4" t="s">
        <v>41</v>
      </c>
      <c r="C1055" s="4" t="s">
        <v>42</v>
      </c>
      <c r="D1055" s="4" t="s">
        <v>38</v>
      </c>
      <c r="E1055" s="4" t="s">
        <v>25</v>
      </c>
      <c r="F1055" s="4" t="s">
        <v>25</v>
      </c>
      <c r="G1055" s="4" t="s">
        <v>25</v>
      </c>
      <c r="H1055" s="4" t="s">
        <v>34</v>
      </c>
      <c r="I1055" s="5">
        <v>44593</v>
      </c>
      <c r="J1055" s="6">
        <v>0</v>
      </c>
      <c r="K1055" s="6">
        <v>0</v>
      </c>
      <c r="L1055" s="6">
        <v>121.672</v>
      </c>
      <c r="M1055" s="6">
        <v>121.672</v>
      </c>
      <c r="N1055" s="6">
        <v>121.672</v>
      </c>
      <c r="O1055" s="6">
        <v>121.672</v>
      </c>
      <c r="P1055" s="6">
        <v>0</v>
      </c>
      <c r="Q1055" s="4" t="s">
        <v>26</v>
      </c>
      <c r="R1055" s="4">
        <v>0</v>
      </c>
      <c r="S1055" s="6">
        <v>0</v>
      </c>
      <c r="T1055" s="6">
        <v>30</v>
      </c>
      <c r="U1055" s="6">
        <v>78</v>
      </c>
      <c r="V1055" s="6">
        <f>IF(ISERROR(VLOOKUP($S$1055,'TAR FIN'!$A$1:$O$116,15,0)),0,VLOOKUP($S$1055,'TAR FIN'!$A$1:$O$116,15,0))</f>
        <v>0</v>
      </c>
      <c r="W1055" s="6">
        <f>IF(ISERROR(VLOOKUP($T$1055,'TAR FIN'!$A$1:$O$116,15,0)),0,VLOOKUP($T$1055,'TAR FIN'!$A$1:$O$116,15,0))</f>
        <v>1682.12</v>
      </c>
      <c r="X1055" s="6">
        <f>IF(ISERROR(VLOOKUP($U$1055,'TAR FIN'!$A$1:$O$116,15,0)),0,VLOOKUP($U$1055,'TAR FIN'!$A$1:$O$116,15,0))</f>
        <v>496.15</v>
      </c>
      <c r="Y1055" s="6"/>
      <c r="Z1055" s="6">
        <f ca="1">('TUSD BE'!$AM$34+'TUSD BF'!$AM$34+'TUSD CVA'!$AM$34)*1</f>
        <v>1969.9199547802996</v>
      </c>
      <c r="AA1055" s="6">
        <f>('TE BE'!$AB$9+'TE BF'!$AB$9+'TE CVA'!$AB$9)*1</f>
        <v>510.04993331215127</v>
      </c>
      <c r="AB1055" s="6">
        <f>$K$1055*$V$1055</f>
        <v>0</v>
      </c>
      <c r="AC1055" s="6">
        <f>$M$1055*$W$1055</f>
        <v>204666.90463999999</v>
      </c>
      <c r="AD1055" s="6">
        <f>$O$1055*$X$1055</f>
        <v>60367.562799999992</v>
      </c>
      <c r="AE1055" s="6">
        <f>$K$1055*$Y$1055</f>
        <v>0</v>
      </c>
      <c r="AF1055" s="6">
        <f ca="1">$M$1055*$Z$1055</f>
        <v>239684.10073802862</v>
      </c>
      <c r="AG1055" s="6">
        <f>$O$1055*$AA$1055</f>
        <v>62058.79548595607</v>
      </c>
    </row>
    <row r="1056" spans="1:33" ht="11.25" customHeight="1" x14ac:dyDescent="0.25">
      <c r="A1056" s="4" t="s">
        <v>27</v>
      </c>
      <c r="B1056" s="4" t="s">
        <v>41</v>
      </c>
      <c r="C1056" s="4" t="s">
        <v>42</v>
      </c>
      <c r="D1056" s="4" t="s">
        <v>38</v>
      </c>
      <c r="E1056" s="4" t="s">
        <v>25</v>
      </c>
      <c r="F1056" s="4" t="s">
        <v>25</v>
      </c>
      <c r="G1056" s="4" t="s">
        <v>25</v>
      </c>
      <c r="H1056" s="4" t="s">
        <v>34</v>
      </c>
      <c r="I1056" s="5">
        <v>44593</v>
      </c>
      <c r="J1056" s="6">
        <v>0</v>
      </c>
      <c r="K1056" s="6">
        <v>0</v>
      </c>
      <c r="L1056" s="6">
        <v>-3.53</v>
      </c>
      <c r="M1056" s="6">
        <v>-3.53</v>
      </c>
      <c r="N1056" s="6">
        <v>-3.53</v>
      </c>
      <c r="O1056" s="6">
        <v>-3.53</v>
      </c>
      <c r="P1056" s="6">
        <v>0</v>
      </c>
      <c r="Q1056" s="4" t="s">
        <v>26</v>
      </c>
      <c r="R1056" s="4">
        <v>0</v>
      </c>
      <c r="S1056" s="6">
        <v>0</v>
      </c>
      <c r="T1056" s="6">
        <v>30</v>
      </c>
      <c r="U1056" s="6">
        <v>78</v>
      </c>
      <c r="V1056" s="6">
        <f>IF(ISERROR(VLOOKUP($S$1056,'TAR FIN'!$A$1:$O$116,15,0)),0,VLOOKUP($S$1056,'TAR FIN'!$A$1:$O$116,15,0))</f>
        <v>0</v>
      </c>
      <c r="W1056" s="6">
        <f>IF(ISERROR(VLOOKUP($T$1056,'TAR FIN'!$A$1:$O$116,15,0)),0,VLOOKUP($T$1056,'TAR FIN'!$A$1:$O$116,15,0))</f>
        <v>1682.12</v>
      </c>
      <c r="X1056" s="6">
        <f>IF(ISERROR(VLOOKUP($U$1056,'TAR FIN'!$A$1:$O$116,15,0)),0,VLOOKUP($U$1056,'TAR FIN'!$A$1:$O$116,15,0))</f>
        <v>496.15</v>
      </c>
      <c r="Y1056" s="6"/>
      <c r="Z1056" s="6">
        <f ca="1">('TUSD BE'!$AM$34+'TUSD BF'!$AM$34+'TUSD CVA'!$AM$34)*1</f>
        <v>1969.9199547802996</v>
      </c>
      <c r="AA1056" s="6">
        <f>('TE BE'!$AB$9+'TE BF'!$AB$9+'TE CVA'!$AB$9)*1</f>
        <v>510.04993331215127</v>
      </c>
      <c r="AB1056" s="6">
        <f>$K$1056*$V$1056</f>
        <v>0</v>
      </c>
      <c r="AC1056" s="6">
        <f>$M$1056*$W$1056</f>
        <v>-5937.8835999999992</v>
      </c>
      <c r="AD1056" s="6">
        <f>$O$1056*$X$1056</f>
        <v>-1751.4094999999998</v>
      </c>
      <c r="AE1056" s="6">
        <f>$K$1056*$Y$1056</f>
        <v>0</v>
      </c>
      <c r="AF1056" s="6">
        <f ca="1">$M$1056*$Z$1056</f>
        <v>-6953.817440374457</v>
      </c>
      <c r="AG1056" s="6">
        <f>$O$1056*$AA$1056</f>
        <v>-1800.4762645918938</v>
      </c>
    </row>
    <row r="1057" spans="1:33" ht="11.25" customHeight="1" x14ac:dyDescent="0.25">
      <c r="A1057" s="4" t="s">
        <v>28</v>
      </c>
      <c r="B1057" s="4" t="s">
        <v>41</v>
      </c>
      <c r="C1057" s="4" t="s">
        <v>42</v>
      </c>
      <c r="D1057" s="4" t="s">
        <v>38</v>
      </c>
      <c r="E1057" s="4" t="s">
        <v>25</v>
      </c>
      <c r="F1057" s="4" t="s">
        <v>25</v>
      </c>
      <c r="G1057" s="4" t="s">
        <v>25</v>
      </c>
      <c r="H1057" s="4" t="s">
        <v>34</v>
      </c>
      <c r="I1057" s="5">
        <v>44593</v>
      </c>
      <c r="J1057" s="6">
        <v>0</v>
      </c>
      <c r="K1057" s="6">
        <v>0</v>
      </c>
      <c r="L1057" s="6">
        <v>13.725</v>
      </c>
      <c r="M1057" s="6">
        <v>13.725</v>
      </c>
      <c r="N1057" s="6">
        <v>13.725</v>
      </c>
      <c r="O1057" s="6">
        <v>13.725</v>
      </c>
      <c r="P1057" s="6">
        <v>0</v>
      </c>
      <c r="Q1057" s="4" t="s">
        <v>26</v>
      </c>
      <c r="R1057" s="4">
        <v>0</v>
      </c>
      <c r="S1057" s="6">
        <v>0</v>
      </c>
      <c r="T1057" s="6">
        <v>30</v>
      </c>
      <c r="U1057" s="6">
        <v>78</v>
      </c>
      <c r="V1057" s="6">
        <f>IF(ISERROR(VLOOKUP($S$1057,'TAR FIN'!$A$1:$O$116,15,0)),0,VLOOKUP($S$1057,'TAR FIN'!$A$1:$O$116,15,0))</f>
        <v>0</v>
      </c>
      <c r="W1057" s="6">
        <f>IF(ISERROR(VLOOKUP($T$1057,'TAR FIN'!$A$1:$O$116,15,0)),0,VLOOKUP($T$1057,'TAR FIN'!$A$1:$O$116,15,0))</f>
        <v>1682.12</v>
      </c>
      <c r="X1057" s="6">
        <f>IF(ISERROR(VLOOKUP($U$1057,'TAR FIN'!$A$1:$O$116,15,0)),0,VLOOKUP($U$1057,'TAR FIN'!$A$1:$O$116,15,0))</f>
        <v>496.15</v>
      </c>
      <c r="Y1057" s="6"/>
      <c r="Z1057" s="6">
        <f ca="1">('TUSD BE'!$AM$34+'TUSD BF'!$AM$34+'TUSD CVA'!$AM$34)*1</f>
        <v>1969.9199547802996</v>
      </c>
      <c r="AA1057" s="6">
        <f>('TE BE'!$AB$9+'TE BF'!$AB$9+'TE CVA'!$AB$9)*1</f>
        <v>510.04993331215127</v>
      </c>
      <c r="AB1057" s="6">
        <f>$K$1057*$V$1057</f>
        <v>0</v>
      </c>
      <c r="AC1057" s="6">
        <f>$M$1057*$W$1057</f>
        <v>23087.096999999998</v>
      </c>
      <c r="AD1057" s="6">
        <f>$O$1057*$X$1057</f>
        <v>6809.6587499999996</v>
      </c>
      <c r="AE1057" s="6">
        <f>$K$1057*$Y$1057</f>
        <v>0</v>
      </c>
      <c r="AF1057" s="6">
        <f ca="1">$M$1057*$Z$1057</f>
        <v>27037.15137935961</v>
      </c>
      <c r="AG1057" s="6">
        <f>$O$1057*$AA$1057</f>
        <v>7000.4353347092756</v>
      </c>
    </row>
    <row r="1058" spans="1:33" ht="11.25" customHeight="1" x14ac:dyDescent="0.25">
      <c r="A1058" s="4" t="s">
        <v>21</v>
      </c>
      <c r="B1058" s="4" t="s">
        <v>41</v>
      </c>
      <c r="C1058" s="4" t="s">
        <v>42</v>
      </c>
      <c r="D1058" s="4" t="s">
        <v>38</v>
      </c>
      <c r="E1058" s="4" t="s">
        <v>25</v>
      </c>
      <c r="F1058" s="4" t="s">
        <v>25</v>
      </c>
      <c r="G1058" s="4" t="s">
        <v>25</v>
      </c>
      <c r="H1058" s="4" t="s">
        <v>34</v>
      </c>
      <c r="I1058" s="5">
        <v>44621</v>
      </c>
      <c r="J1058" s="6">
        <v>0</v>
      </c>
      <c r="K1058" s="6">
        <v>0</v>
      </c>
      <c r="L1058" s="6">
        <v>117.474</v>
      </c>
      <c r="M1058" s="6">
        <v>117.474</v>
      </c>
      <c r="N1058" s="6">
        <v>117.474</v>
      </c>
      <c r="O1058" s="6">
        <v>117.474</v>
      </c>
      <c r="P1058" s="6">
        <v>0</v>
      </c>
      <c r="Q1058" s="4" t="s">
        <v>26</v>
      </c>
      <c r="R1058" s="4">
        <v>0</v>
      </c>
      <c r="S1058" s="6">
        <v>0</v>
      </c>
      <c r="T1058" s="6">
        <v>30</v>
      </c>
      <c r="U1058" s="6">
        <v>78</v>
      </c>
      <c r="V1058" s="6">
        <f>IF(ISERROR(VLOOKUP($S$1058,'TAR FIN'!$A$1:$O$116,15,0)),0,VLOOKUP($S$1058,'TAR FIN'!$A$1:$O$116,15,0))</f>
        <v>0</v>
      </c>
      <c r="W1058" s="6">
        <f>IF(ISERROR(VLOOKUP($T$1058,'TAR FIN'!$A$1:$O$116,15,0)),0,VLOOKUP($T$1058,'TAR FIN'!$A$1:$O$116,15,0))</f>
        <v>1682.12</v>
      </c>
      <c r="X1058" s="6">
        <f>IF(ISERROR(VLOOKUP($U$1058,'TAR FIN'!$A$1:$O$116,15,0)),0,VLOOKUP($U$1058,'TAR FIN'!$A$1:$O$116,15,0))</f>
        <v>496.15</v>
      </c>
      <c r="Y1058" s="6"/>
      <c r="Z1058" s="6">
        <f ca="1">('TUSD BE'!$AM$34+'TUSD BF'!$AM$34+'TUSD CVA'!$AM$34)*1</f>
        <v>1969.9199547802996</v>
      </c>
      <c r="AA1058" s="6">
        <f>('TE BE'!$AB$9+'TE BF'!$AB$9+'TE CVA'!$AB$9)*1</f>
        <v>510.04993331215127</v>
      </c>
      <c r="AB1058" s="6">
        <f>$K$1058*$V$1058</f>
        <v>0</v>
      </c>
      <c r="AC1058" s="6">
        <f>$M$1058*$W$1058</f>
        <v>197605.36487999998</v>
      </c>
      <c r="AD1058" s="6">
        <f>$O$1058*$X$1058</f>
        <v>58284.725099999996</v>
      </c>
      <c r="AE1058" s="6">
        <f>$K$1058*$Y$1058</f>
        <v>0</v>
      </c>
      <c r="AF1058" s="6">
        <f ca="1">$M$1058*$Z$1058</f>
        <v>231414.37676786093</v>
      </c>
      <c r="AG1058" s="6">
        <f>$O$1058*$AA$1058</f>
        <v>59917.605865911661</v>
      </c>
    </row>
    <row r="1059" spans="1:33" ht="11.25" customHeight="1" x14ac:dyDescent="0.25">
      <c r="A1059" s="4" t="s">
        <v>28</v>
      </c>
      <c r="B1059" s="4" t="s">
        <v>41</v>
      </c>
      <c r="C1059" s="4" t="s">
        <v>42</v>
      </c>
      <c r="D1059" s="4" t="s">
        <v>38</v>
      </c>
      <c r="E1059" s="4" t="s">
        <v>25</v>
      </c>
      <c r="F1059" s="4" t="s">
        <v>25</v>
      </c>
      <c r="G1059" s="4" t="s">
        <v>25</v>
      </c>
      <c r="H1059" s="4" t="s">
        <v>34</v>
      </c>
      <c r="I1059" s="5">
        <v>44621</v>
      </c>
      <c r="J1059" s="6">
        <v>0</v>
      </c>
      <c r="K1059" s="6">
        <v>0</v>
      </c>
      <c r="L1059" s="6">
        <v>9.4659999999999993</v>
      </c>
      <c r="M1059" s="6">
        <v>9.4659999999999993</v>
      </c>
      <c r="N1059" s="6">
        <v>9.4659999999999993</v>
      </c>
      <c r="O1059" s="6">
        <v>9.4659999999999993</v>
      </c>
      <c r="P1059" s="6">
        <v>0</v>
      </c>
      <c r="Q1059" s="4" t="s">
        <v>26</v>
      </c>
      <c r="R1059" s="4">
        <v>0</v>
      </c>
      <c r="S1059" s="6">
        <v>0</v>
      </c>
      <c r="T1059" s="6">
        <v>30</v>
      </c>
      <c r="U1059" s="6">
        <v>78</v>
      </c>
      <c r="V1059" s="6">
        <f>IF(ISERROR(VLOOKUP($S$1059,'TAR FIN'!$A$1:$O$116,15,0)),0,VLOOKUP($S$1059,'TAR FIN'!$A$1:$O$116,15,0))</f>
        <v>0</v>
      </c>
      <c r="W1059" s="6">
        <f>IF(ISERROR(VLOOKUP($T$1059,'TAR FIN'!$A$1:$O$116,15,0)),0,VLOOKUP($T$1059,'TAR FIN'!$A$1:$O$116,15,0))</f>
        <v>1682.12</v>
      </c>
      <c r="X1059" s="6">
        <f>IF(ISERROR(VLOOKUP($U$1059,'TAR FIN'!$A$1:$O$116,15,0)),0,VLOOKUP($U$1059,'TAR FIN'!$A$1:$O$116,15,0))</f>
        <v>496.15</v>
      </c>
      <c r="Y1059" s="6"/>
      <c r="Z1059" s="6">
        <f ca="1">('TUSD BE'!$AM$34+'TUSD BF'!$AM$34+'TUSD CVA'!$AM$34)*1</f>
        <v>1969.9199547802996</v>
      </c>
      <c r="AA1059" s="6">
        <f>('TE BE'!$AB$9+'TE BF'!$AB$9+'TE CVA'!$AB$9)*1</f>
        <v>510.04993331215127</v>
      </c>
      <c r="AB1059" s="6">
        <f>$K$1059*$V$1059</f>
        <v>0</v>
      </c>
      <c r="AC1059" s="6">
        <f>$M$1059*$W$1059</f>
        <v>15922.947919999999</v>
      </c>
      <c r="AD1059" s="6">
        <f>$O$1059*$X$1059</f>
        <v>4696.5558999999994</v>
      </c>
      <c r="AE1059" s="6">
        <f>$K$1059*$Y$1059</f>
        <v>0</v>
      </c>
      <c r="AF1059" s="6">
        <f ca="1">$M$1059*$Z$1059</f>
        <v>18647.262291950316</v>
      </c>
      <c r="AG1059" s="6">
        <f>$O$1059*$AA$1059</f>
        <v>4828.1326687328237</v>
      </c>
    </row>
    <row r="1060" spans="1:33" ht="11.25" customHeight="1" x14ac:dyDescent="0.25">
      <c r="A1060" s="4" t="s">
        <v>28</v>
      </c>
      <c r="B1060" s="4" t="s">
        <v>41</v>
      </c>
      <c r="C1060" s="4" t="s">
        <v>42</v>
      </c>
      <c r="D1060" s="4" t="s">
        <v>38</v>
      </c>
      <c r="E1060" s="4" t="s">
        <v>25</v>
      </c>
      <c r="F1060" s="4" t="s">
        <v>25</v>
      </c>
      <c r="G1060" s="4" t="s">
        <v>25</v>
      </c>
      <c r="H1060" s="4" t="s">
        <v>34</v>
      </c>
      <c r="I1060" s="5">
        <v>44621</v>
      </c>
      <c r="J1060" s="6">
        <v>0</v>
      </c>
      <c r="K1060" s="6">
        <v>0</v>
      </c>
      <c r="L1060" s="6">
        <v>0.187</v>
      </c>
      <c r="M1060" s="6">
        <v>0.187</v>
      </c>
      <c r="N1060" s="6">
        <v>0.187</v>
      </c>
      <c r="O1060" s="6">
        <v>0.187</v>
      </c>
      <c r="P1060" s="6">
        <v>0</v>
      </c>
      <c r="Q1060" s="4" t="s">
        <v>26</v>
      </c>
      <c r="R1060" s="4">
        <v>0</v>
      </c>
      <c r="S1060" s="6">
        <v>0</v>
      </c>
      <c r="T1060" s="6">
        <v>30</v>
      </c>
      <c r="U1060" s="6">
        <v>78</v>
      </c>
      <c r="V1060" s="6">
        <f>IF(ISERROR(VLOOKUP($S$1060,'TAR FIN'!$A$1:$O$116,15,0)),0,VLOOKUP($S$1060,'TAR FIN'!$A$1:$O$116,15,0))</f>
        <v>0</v>
      </c>
      <c r="W1060" s="6">
        <f>IF(ISERROR(VLOOKUP($T$1060,'TAR FIN'!$A$1:$O$116,15,0)),0,VLOOKUP($T$1060,'TAR FIN'!$A$1:$O$116,15,0))</f>
        <v>1682.12</v>
      </c>
      <c r="X1060" s="6">
        <f>IF(ISERROR(VLOOKUP($U$1060,'TAR FIN'!$A$1:$O$116,15,0)),0,VLOOKUP($U$1060,'TAR FIN'!$A$1:$O$116,15,0))</f>
        <v>496.15</v>
      </c>
      <c r="Y1060" s="6"/>
      <c r="Z1060" s="6">
        <f ca="1">('TUSD BE'!$AM$34+'TUSD BF'!$AM$34+'TUSD CVA'!$AM$34)*1</f>
        <v>1969.9199547802996</v>
      </c>
      <c r="AA1060" s="6">
        <f>('TE BE'!$AB$9+'TE BF'!$AB$9+'TE CVA'!$AB$9)*1</f>
        <v>510.04993331215127</v>
      </c>
      <c r="AB1060" s="6">
        <f>$K$1060*$V$1060</f>
        <v>0</v>
      </c>
      <c r="AC1060" s="6">
        <f>$M$1060*$W$1060</f>
        <v>314.55643999999995</v>
      </c>
      <c r="AD1060" s="6">
        <f>$O$1060*$X$1060</f>
        <v>92.780049999999989</v>
      </c>
      <c r="AE1060" s="6">
        <f>$K$1060*$Y$1060</f>
        <v>0</v>
      </c>
      <c r="AF1060" s="6">
        <f ca="1">$M$1060*$Z$1060</f>
        <v>368.37503154391601</v>
      </c>
      <c r="AG1060" s="6">
        <f>$O$1060*$AA$1060</f>
        <v>95.379337529372293</v>
      </c>
    </row>
    <row r="1061" spans="1:33" ht="11.25" customHeight="1" x14ac:dyDescent="0.25">
      <c r="A1061" s="4" t="s">
        <v>21</v>
      </c>
      <c r="B1061" s="4" t="s">
        <v>41</v>
      </c>
      <c r="C1061" s="4" t="s">
        <v>42</v>
      </c>
      <c r="D1061" s="4" t="s">
        <v>38</v>
      </c>
      <c r="E1061" s="4" t="s">
        <v>25</v>
      </c>
      <c r="F1061" s="4" t="s">
        <v>25</v>
      </c>
      <c r="G1061" s="4" t="s">
        <v>25</v>
      </c>
      <c r="H1061" s="4" t="s">
        <v>34</v>
      </c>
      <c r="I1061" s="5">
        <v>44652</v>
      </c>
      <c r="J1061" s="6">
        <v>0</v>
      </c>
      <c r="K1061" s="6">
        <v>0</v>
      </c>
      <c r="L1061" s="6">
        <v>113.342</v>
      </c>
      <c r="M1061" s="6">
        <v>113.342</v>
      </c>
      <c r="N1061" s="6">
        <v>113.342</v>
      </c>
      <c r="O1061" s="6">
        <v>113.342</v>
      </c>
      <c r="P1061" s="6">
        <v>0</v>
      </c>
      <c r="Q1061" s="4" t="s">
        <v>26</v>
      </c>
      <c r="R1061" s="4">
        <v>0</v>
      </c>
      <c r="S1061" s="6">
        <v>0</v>
      </c>
      <c r="T1061" s="6">
        <v>30</v>
      </c>
      <c r="U1061" s="6">
        <v>78</v>
      </c>
      <c r="V1061" s="6">
        <f>IF(ISERROR(VLOOKUP($S$1061,'TAR FIN'!$A$1:$O$116,15,0)),0,VLOOKUP($S$1061,'TAR FIN'!$A$1:$O$116,15,0))</f>
        <v>0</v>
      </c>
      <c r="W1061" s="6">
        <f>IF(ISERROR(VLOOKUP($T$1061,'TAR FIN'!$A$1:$O$116,15,0)),0,VLOOKUP($T$1061,'TAR FIN'!$A$1:$O$116,15,0))</f>
        <v>1682.12</v>
      </c>
      <c r="X1061" s="6">
        <f>IF(ISERROR(VLOOKUP($U$1061,'TAR FIN'!$A$1:$O$116,15,0)),0,VLOOKUP($U$1061,'TAR FIN'!$A$1:$O$116,15,0))</f>
        <v>496.15</v>
      </c>
      <c r="Y1061" s="6"/>
      <c r="Z1061" s="6">
        <f ca="1">('TUSD BE'!$AM$34+'TUSD BF'!$AM$34+'TUSD CVA'!$AM$34)*1</f>
        <v>1969.9199547802996</v>
      </c>
      <c r="AA1061" s="6">
        <f>('TE BE'!$AB$9+'TE BF'!$AB$9+'TE CVA'!$AB$9)*1</f>
        <v>510.04993331215127</v>
      </c>
      <c r="AB1061" s="6">
        <f>$K$1061*$V$1061</f>
        <v>0</v>
      </c>
      <c r="AC1061" s="6">
        <f>$M$1061*$W$1061</f>
        <v>190654.84503999999</v>
      </c>
      <c r="AD1061" s="6">
        <f>$O$1061*$X$1061</f>
        <v>56234.633299999994</v>
      </c>
      <c r="AE1061" s="6">
        <f>$K$1061*$Y$1061</f>
        <v>0</v>
      </c>
      <c r="AF1061" s="6">
        <f ca="1">$M$1061*$Z$1061</f>
        <v>223274.66751470871</v>
      </c>
      <c r="AG1061" s="6">
        <f>$O$1061*$AA$1061</f>
        <v>57810.07954146585</v>
      </c>
    </row>
    <row r="1062" spans="1:33" ht="11.25" customHeight="1" x14ac:dyDescent="0.25">
      <c r="A1062" s="4" t="s">
        <v>27</v>
      </c>
      <c r="B1062" s="4" t="s">
        <v>41</v>
      </c>
      <c r="C1062" s="4" t="s">
        <v>42</v>
      </c>
      <c r="D1062" s="4" t="s">
        <v>38</v>
      </c>
      <c r="E1062" s="4" t="s">
        <v>25</v>
      </c>
      <c r="F1062" s="4" t="s">
        <v>25</v>
      </c>
      <c r="G1062" s="4" t="s">
        <v>25</v>
      </c>
      <c r="H1062" s="4" t="s">
        <v>34</v>
      </c>
      <c r="I1062" s="5">
        <v>44652</v>
      </c>
      <c r="J1062" s="6">
        <v>0</v>
      </c>
      <c r="K1062" s="6">
        <v>0</v>
      </c>
      <c r="L1062" s="6">
        <v>2.1480000000000001</v>
      </c>
      <c r="M1062" s="6">
        <v>2.1480000000000001</v>
      </c>
      <c r="N1062" s="6">
        <v>2.1480000000000001</v>
      </c>
      <c r="O1062" s="6">
        <v>2.1480000000000001</v>
      </c>
      <c r="P1062" s="6">
        <v>0</v>
      </c>
      <c r="Q1062" s="4" t="s">
        <v>26</v>
      </c>
      <c r="R1062" s="4">
        <v>0</v>
      </c>
      <c r="S1062" s="6">
        <v>0</v>
      </c>
      <c r="T1062" s="6">
        <v>30</v>
      </c>
      <c r="U1062" s="6">
        <v>78</v>
      </c>
      <c r="V1062" s="6">
        <f>IF(ISERROR(VLOOKUP($S$1062,'TAR FIN'!$A$1:$O$116,15,0)),0,VLOOKUP($S$1062,'TAR FIN'!$A$1:$O$116,15,0))</f>
        <v>0</v>
      </c>
      <c r="W1062" s="6">
        <f>IF(ISERROR(VLOOKUP($T$1062,'TAR FIN'!$A$1:$O$116,15,0)),0,VLOOKUP($T$1062,'TAR FIN'!$A$1:$O$116,15,0))</f>
        <v>1682.12</v>
      </c>
      <c r="X1062" s="6">
        <f>IF(ISERROR(VLOOKUP($U$1062,'TAR FIN'!$A$1:$O$116,15,0)),0,VLOOKUP($U$1062,'TAR FIN'!$A$1:$O$116,15,0))</f>
        <v>496.15</v>
      </c>
      <c r="Y1062" s="6"/>
      <c r="Z1062" s="6">
        <f ca="1">('TUSD BE'!$AM$34+'TUSD BF'!$AM$34+'TUSD CVA'!$AM$34)*1</f>
        <v>1969.9199547802996</v>
      </c>
      <c r="AA1062" s="6">
        <f>('TE BE'!$AB$9+'TE BF'!$AB$9+'TE CVA'!$AB$9)*1</f>
        <v>510.04993331215127</v>
      </c>
      <c r="AB1062" s="6">
        <f>$K$1062*$V$1062</f>
        <v>0</v>
      </c>
      <c r="AC1062" s="6">
        <f>$M$1062*$W$1062</f>
        <v>3613.1937600000001</v>
      </c>
      <c r="AD1062" s="6">
        <f>$O$1062*$X$1062</f>
        <v>1065.7302</v>
      </c>
      <c r="AE1062" s="6">
        <f>$K$1062*$Y$1062</f>
        <v>0</v>
      </c>
      <c r="AF1062" s="6">
        <f ca="1">$M$1062*$Z$1062</f>
        <v>4231.3880628680836</v>
      </c>
      <c r="AG1062" s="6">
        <f>$O$1062*$AA$1062</f>
        <v>1095.5872567545009</v>
      </c>
    </row>
    <row r="1063" spans="1:33" ht="11.25" customHeight="1" x14ac:dyDescent="0.25">
      <c r="A1063" s="4" t="s">
        <v>28</v>
      </c>
      <c r="B1063" s="4" t="s">
        <v>41</v>
      </c>
      <c r="C1063" s="4" t="s">
        <v>42</v>
      </c>
      <c r="D1063" s="4" t="s">
        <v>38</v>
      </c>
      <c r="E1063" s="4" t="s">
        <v>25</v>
      </c>
      <c r="F1063" s="4" t="s">
        <v>25</v>
      </c>
      <c r="G1063" s="4" t="s">
        <v>25</v>
      </c>
      <c r="H1063" s="4" t="s">
        <v>34</v>
      </c>
      <c r="I1063" s="5">
        <v>44652</v>
      </c>
      <c r="J1063" s="6">
        <v>0</v>
      </c>
      <c r="K1063" s="6">
        <v>0</v>
      </c>
      <c r="L1063" s="6">
        <v>6.9279999999999999</v>
      </c>
      <c r="M1063" s="6">
        <v>6.9279999999999999</v>
      </c>
      <c r="N1063" s="6">
        <v>6.9279999999999999</v>
      </c>
      <c r="O1063" s="6">
        <v>6.9279999999999999</v>
      </c>
      <c r="P1063" s="6">
        <v>0</v>
      </c>
      <c r="Q1063" s="4" t="s">
        <v>26</v>
      </c>
      <c r="R1063" s="4">
        <v>0</v>
      </c>
      <c r="S1063" s="6">
        <v>0</v>
      </c>
      <c r="T1063" s="6">
        <v>30</v>
      </c>
      <c r="U1063" s="6">
        <v>78</v>
      </c>
      <c r="V1063" s="6">
        <f>IF(ISERROR(VLOOKUP($S$1063,'TAR FIN'!$A$1:$O$116,15,0)),0,VLOOKUP($S$1063,'TAR FIN'!$A$1:$O$116,15,0))</f>
        <v>0</v>
      </c>
      <c r="W1063" s="6">
        <f>IF(ISERROR(VLOOKUP($T$1063,'TAR FIN'!$A$1:$O$116,15,0)),0,VLOOKUP($T$1063,'TAR FIN'!$A$1:$O$116,15,0))</f>
        <v>1682.12</v>
      </c>
      <c r="X1063" s="6">
        <f>IF(ISERROR(VLOOKUP($U$1063,'TAR FIN'!$A$1:$O$116,15,0)),0,VLOOKUP($U$1063,'TAR FIN'!$A$1:$O$116,15,0))</f>
        <v>496.15</v>
      </c>
      <c r="Y1063" s="6"/>
      <c r="Z1063" s="6">
        <f ca="1">('TUSD BE'!$AM$34+'TUSD BF'!$AM$34+'TUSD CVA'!$AM$34)*1</f>
        <v>1969.9199547802996</v>
      </c>
      <c r="AA1063" s="6">
        <f>('TE BE'!$AB$9+'TE BF'!$AB$9+'TE CVA'!$AB$9)*1</f>
        <v>510.04993331215127</v>
      </c>
      <c r="AB1063" s="6">
        <f>$K$1063*$V$1063</f>
        <v>0</v>
      </c>
      <c r="AC1063" s="6">
        <f>$M$1063*$W$1063</f>
        <v>11653.727359999999</v>
      </c>
      <c r="AD1063" s="6">
        <f>$O$1063*$X$1063</f>
        <v>3437.3271999999997</v>
      </c>
      <c r="AE1063" s="6">
        <f>$K$1063*$Y$1063</f>
        <v>0</v>
      </c>
      <c r="AF1063" s="6">
        <f ca="1">$M$1063*$Z$1063</f>
        <v>13647.605446717915</v>
      </c>
      <c r="AG1063" s="6">
        <f>$O$1063*$AA$1063</f>
        <v>3533.6259379865842</v>
      </c>
    </row>
    <row r="1064" spans="1:33" ht="11.25" customHeight="1" x14ac:dyDescent="0.25">
      <c r="A1064" s="4" t="s">
        <v>58</v>
      </c>
      <c r="B1064" s="4" t="s">
        <v>41</v>
      </c>
      <c r="C1064" s="4" t="s">
        <v>42</v>
      </c>
      <c r="D1064" s="4" t="s">
        <v>38</v>
      </c>
      <c r="E1064" s="4" t="s">
        <v>25</v>
      </c>
      <c r="F1064" s="4" t="s">
        <v>25</v>
      </c>
      <c r="G1064" s="4" t="s">
        <v>25</v>
      </c>
      <c r="H1064" s="4" t="s">
        <v>34</v>
      </c>
      <c r="I1064" s="5">
        <v>44682</v>
      </c>
      <c r="J1064" s="6">
        <v>0</v>
      </c>
      <c r="K1064" s="6">
        <v>0</v>
      </c>
      <c r="L1064" s="6">
        <v>113.342</v>
      </c>
      <c r="M1064" s="6">
        <v>113.342</v>
      </c>
      <c r="N1064" s="6">
        <v>113.342</v>
      </c>
      <c r="O1064" s="6">
        <v>113.342</v>
      </c>
      <c r="P1064" s="6">
        <v>0</v>
      </c>
      <c r="Q1064" s="4" t="s">
        <v>26</v>
      </c>
      <c r="R1064" s="4">
        <v>0</v>
      </c>
      <c r="S1064" s="6">
        <v>0</v>
      </c>
      <c r="T1064" s="6">
        <v>30</v>
      </c>
      <c r="U1064" s="6">
        <v>78</v>
      </c>
      <c r="V1064" s="6">
        <f>IF(ISERROR(VLOOKUP($S$1064,'TAR FIN'!$A$1:$O$116,15,0)),0,VLOOKUP($S$1064,'TAR FIN'!$A$1:$O$116,15,0))</f>
        <v>0</v>
      </c>
      <c r="W1064" s="6">
        <f>IF(ISERROR(VLOOKUP($T$1064,'TAR FIN'!$A$1:$O$116,15,0)),0,VLOOKUP($T$1064,'TAR FIN'!$A$1:$O$116,15,0))</f>
        <v>1682.12</v>
      </c>
      <c r="X1064" s="6">
        <f>IF(ISERROR(VLOOKUP($U$1064,'TAR FIN'!$A$1:$O$116,15,0)),0,VLOOKUP($U$1064,'TAR FIN'!$A$1:$O$116,15,0))</f>
        <v>496.15</v>
      </c>
      <c r="Y1064" s="6"/>
      <c r="Z1064" s="6">
        <f ca="1">('TUSD BE'!$AM$34+'TUSD BF'!$AM$34+'TUSD CVA'!$AM$34)*1</f>
        <v>1969.9199547802996</v>
      </c>
      <c r="AA1064" s="6">
        <f>('TE BE'!$AB$9+'TE BF'!$AB$9+'TE CVA'!$AB$9)*1</f>
        <v>510.04993331215127</v>
      </c>
      <c r="AB1064" s="6">
        <f>$K$1064*$V$1064</f>
        <v>0</v>
      </c>
      <c r="AC1064" s="6">
        <f>$M$1064*$W$1064</f>
        <v>190654.84503999999</v>
      </c>
      <c r="AD1064" s="6">
        <f>$O$1064*$X$1064</f>
        <v>56234.633299999994</v>
      </c>
      <c r="AE1064" s="6">
        <f>$K$1064*$Y$1064</f>
        <v>0</v>
      </c>
      <c r="AF1064" s="6">
        <f ca="1">$M$1064*$Z$1064</f>
        <v>223274.66751470871</v>
      </c>
      <c r="AG1064" s="6">
        <f>$O$1064*$AA$1064</f>
        <v>57810.07954146585</v>
      </c>
    </row>
    <row r="1065" spans="1:33" ht="11.25" customHeight="1" x14ac:dyDescent="0.25">
      <c r="A1065" s="4" t="s">
        <v>58</v>
      </c>
      <c r="B1065" s="4" t="s">
        <v>41</v>
      </c>
      <c r="C1065" s="4" t="s">
        <v>42</v>
      </c>
      <c r="D1065" s="4" t="s">
        <v>38</v>
      </c>
      <c r="E1065" s="4" t="s">
        <v>25</v>
      </c>
      <c r="F1065" s="4" t="s">
        <v>25</v>
      </c>
      <c r="G1065" s="4" t="s">
        <v>25</v>
      </c>
      <c r="H1065" s="4" t="s">
        <v>34</v>
      </c>
      <c r="I1065" s="5">
        <v>44682</v>
      </c>
      <c r="J1065" s="6">
        <v>0</v>
      </c>
      <c r="K1065" s="6">
        <v>0</v>
      </c>
      <c r="L1065" s="6">
        <v>2.1480000000000001</v>
      </c>
      <c r="M1065" s="6">
        <v>2.1480000000000001</v>
      </c>
      <c r="N1065" s="6">
        <v>2.1480000000000001</v>
      </c>
      <c r="O1065" s="6">
        <v>2.1480000000000001</v>
      </c>
      <c r="P1065" s="6">
        <v>0</v>
      </c>
      <c r="Q1065" s="4" t="s">
        <v>26</v>
      </c>
      <c r="R1065" s="4">
        <v>0</v>
      </c>
      <c r="S1065" s="6">
        <v>0</v>
      </c>
      <c r="T1065" s="6">
        <v>30</v>
      </c>
      <c r="U1065" s="6">
        <v>78</v>
      </c>
      <c r="V1065" s="6">
        <f>IF(ISERROR(VLOOKUP($S$1065,'TAR FIN'!$A$1:$O$116,15,0)),0,VLOOKUP($S$1065,'TAR FIN'!$A$1:$O$116,15,0))</f>
        <v>0</v>
      </c>
      <c r="W1065" s="6">
        <f>IF(ISERROR(VLOOKUP($T$1065,'TAR FIN'!$A$1:$O$116,15,0)),0,VLOOKUP($T$1065,'TAR FIN'!$A$1:$O$116,15,0))</f>
        <v>1682.12</v>
      </c>
      <c r="X1065" s="6">
        <f>IF(ISERROR(VLOOKUP($U$1065,'TAR FIN'!$A$1:$O$116,15,0)),0,VLOOKUP($U$1065,'TAR FIN'!$A$1:$O$116,15,0))</f>
        <v>496.15</v>
      </c>
      <c r="Y1065" s="6"/>
      <c r="Z1065" s="6">
        <f ca="1">('TUSD BE'!$AM$34+'TUSD BF'!$AM$34+'TUSD CVA'!$AM$34)*1</f>
        <v>1969.9199547802996</v>
      </c>
      <c r="AA1065" s="6">
        <f>('TE BE'!$AB$9+'TE BF'!$AB$9+'TE CVA'!$AB$9)*1</f>
        <v>510.04993331215127</v>
      </c>
      <c r="AB1065" s="6">
        <f>$K$1065*$V$1065</f>
        <v>0</v>
      </c>
      <c r="AC1065" s="6">
        <f>$M$1065*$W$1065</f>
        <v>3613.1937600000001</v>
      </c>
      <c r="AD1065" s="6">
        <f>$O$1065*$X$1065</f>
        <v>1065.7302</v>
      </c>
      <c r="AE1065" s="6">
        <f>$K$1065*$Y$1065</f>
        <v>0</v>
      </c>
      <c r="AF1065" s="6">
        <f ca="1">$M$1065*$Z$1065</f>
        <v>4231.3880628680836</v>
      </c>
      <c r="AG1065" s="6">
        <f>$O$1065*$AA$1065</f>
        <v>1095.5872567545009</v>
      </c>
    </row>
    <row r="1066" spans="1:33" ht="11.25" customHeight="1" x14ac:dyDescent="0.25">
      <c r="A1066" s="4" t="s">
        <v>58</v>
      </c>
      <c r="B1066" s="4" t="s">
        <v>41</v>
      </c>
      <c r="C1066" s="4" t="s">
        <v>42</v>
      </c>
      <c r="D1066" s="4" t="s">
        <v>38</v>
      </c>
      <c r="E1066" s="4" t="s">
        <v>25</v>
      </c>
      <c r="F1066" s="4" t="s">
        <v>25</v>
      </c>
      <c r="G1066" s="4" t="s">
        <v>25</v>
      </c>
      <c r="H1066" s="4" t="s">
        <v>34</v>
      </c>
      <c r="I1066" s="5">
        <v>44682</v>
      </c>
      <c r="J1066" s="6">
        <v>0</v>
      </c>
      <c r="K1066" s="6">
        <v>0</v>
      </c>
      <c r="L1066" s="6">
        <v>6.9279999999999999</v>
      </c>
      <c r="M1066" s="6">
        <v>6.9279999999999999</v>
      </c>
      <c r="N1066" s="6">
        <v>6.9279999999999999</v>
      </c>
      <c r="O1066" s="6">
        <v>6.9279999999999999</v>
      </c>
      <c r="P1066" s="6">
        <v>0</v>
      </c>
      <c r="Q1066" s="4" t="s">
        <v>26</v>
      </c>
      <c r="R1066" s="4">
        <v>0</v>
      </c>
      <c r="S1066" s="6">
        <v>0</v>
      </c>
      <c r="T1066" s="6">
        <v>30</v>
      </c>
      <c r="U1066" s="6">
        <v>78</v>
      </c>
      <c r="V1066" s="6">
        <f>IF(ISERROR(VLOOKUP($S$1066,'TAR FIN'!$A$1:$O$116,15,0)),0,VLOOKUP($S$1066,'TAR FIN'!$A$1:$O$116,15,0))</f>
        <v>0</v>
      </c>
      <c r="W1066" s="6">
        <f>IF(ISERROR(VLOOKUP($T$1066,'TAR FIN'!$A$1:$O$116,15,0)),0,VLOOKUP($T$1066,'TAR FIN'!$A$1:$O$116,15,0))</f>
        <v>1682.12</v>
      </c>
      <c r="X1066" s="6">
        <f>IF(ISERROR(VLOOKUP($U$1066,'TAR FIN'!$A$1:$O$116,15,0)),0,VLOOKUP($U$1066,'TAR FIN'!$A$1:$O$116,15,0))</f>
        <v>496.15</v>
      </c>
      <c r="Y1066" s="6"/>
      <c r="Z1066" s="6">
        <f ca="1">('TUSD BE'!$AM$34+'TUSD BF'!$AM$34+'TUSD CVA'!$AM$34)*1</f>
        <v>1969.9199547802996</v>
      </c>
      <c r="AA1066" s="6">
        <f>('TE BE'!$AB$9+'TE BF'!$AB$9+'TE CVA'!$AB$9)*1</f>
        <v>510.04993331215127</v>
      </c>
      <c r="AB1066" s="6">
        <f>$K$1066*$V$1066</f>
        <v>0</v>
      </c>
      <c r="AC1066" s="6">
        <f>$M$1066*$W$1066</f>
        <v>11653.727359999999</v>
      </c>
      <c r="AD1066" s="6">
        <f>$O$1066*$X$1066</f>
        <v>3437.3271999999997</v>
      </c>
      <c r="AE1066" s="6">
        <f>$K$1066*$Y$1066</f>
        <v>0</v>
      </c>
      <c r="AF1066" s="6">
        <f ca="1">$M$1066*$Z$1066</f>
        <v>13647.605446717915</v>
      </c>
      <c r="AG1066" s="6">
        <f>$O$1066*$AA$1066</f>
        <v>3533.6259379865842</v>
      </c>
    </row>
    <row r="1067" spans="1:33" ht="11.25" customHeight="1" x14ac:dyDescent="0.25">
      <c r="A1067" s="4" t="s">
        <v>21</v>
      </c>
      <c r="B1067" s="4" t="s">
        <v>41</v>
      </c>
      <c r="C1067" s="4" t="s">
        <v>42</v>
      </c>
      <c r="D1067" s="4" t="s">
        <v>46</v>
      </c>
      <c r="E1067" s="4" t="s">
        <v>25</v>
      </c>
      <c r="F1067" s="4" t="s">
        <v>25</v>
      </c>
      <c r="G1067" s="4" t="s">
        <v>25</v>
      </c>
      <c r="H1067" s="4" t="s">
        <v>35</v>
      </c>
      <c r="I1067" s="5">
        <v>44348</v>
      </c>
      <c r="J1067" s="6">
        <v>0</v>
      </c>
      <c r="K1067" s="6">
        <v>0</v>
      </c>
      <c r="L1067" s="6">
        <v>187.01599999999999</v>
      </c>
      <c r="M1067" s="6">
        <v>187.01599999999999</v>
      </c>
      <c r="N1067" s="6">
        <v>187.01599999999999</v>
      </c>
      <c r="O1067" s="6">
        <v>187.01599999999999</v>
      </c>
      <c r="P1067" s="6">
        <v>0</v>
      </c>
      <c r="Q1067" s="4" t="s">
        <v>26</v>
      </c>
      <c r="R1067" s="4">
        <v>0</v>
      </c>
      <c r="S1067" s="6">
        <v>0</v>
      </c>
      <c r="T1067" s="6">
        <v>31</v>
      </c>
      <c r="U1067" s="6">
        <v>79</v>
      </c>
      <c r="V1067" s="6">
        <f>IF(ISERROR(VLOOKUP($S$1067,'TAR FIN'!$A$1:$O$116,15,0)),0,VLOOKUP($S$1067,'TAR FIN'!$A$1:$O$116,15,0))</f>
        <v>0</v>
      </c>
      <c r="W1067" s="6">
        <f>IF(ISERROR(VLOOKUP($T$1067,'TAR FIN'!$A$1:$O$116,15,0)),0,VLOOKUP($T$1067,'TAR FIN'!$A$1:$O$116,15,0))</f>
        <v>88.66</v>
      </c>
      <c r="X1067" s="6">
        <f>IF(ISERROR(VLOOKUP($U$1067,'TAR FIN'!$A$1:$O$116,15,0)),0,VLOOKUP($U$1067,'TAR FIN'!$A$1:$O$116,15,0))</f>
        <v>311.04000000000002</v>
      </c>
      <c r="Y1067" s="6"/>
      <c r="Z1067" s="6">
        <f ca="1">('TUSD BE'!$AM$35+'TUSD BF'!$AM$35+'TUSD CVA'!$AM$35)*1</f>
        <v>137.4358543126599</v>
      </c>
      <c r="AA1067" s="6">
        <f>('TE BE'!$AB$10+'TE BF'!$AB$10+'TE CVA'!$AB$10)*1</f>
        <v>313.22907246928764</v>
      </c>
      <c r="AB1067" s="6">
        <f>$K$1067*$V$1067</f>
        <v>0</v>
      </c>
      <c r="AC1067" s="6">
        <f>$M$1067*$W$1067</f>
        <v>16580.83856</v>
      </c>
      <c r="AD1067" s="6">
        <f>$O$1067*$X$1067</f>
        <v>58169.456640000004</v>
      </c>
      <c r="AE1067" s="6">
        <f>$K$1067*$Y$1067</f>
        <v>0</v>
      </c>
      <c r="AF1067" s="6">
        <f ca="1">$M$1067*$Z$1067</f>
        <v>25702.703730136403</v>
      </c>
      <c r="AG1067" s="6">
        <f>$O$1067*$AA$1067</f>
        <v>58578.848216916296</v>
      </c>
    </row>
    <row r="1068" spans="1:33" ht="11.25" customHeight="1" x14ac:dyDescent="0.25">
      <c r="A1068" s="4" t="s">
        <v>28</v>
      </c>
      <c r="B1068" s="4" t="s">
        <v>41</v>
      </c>
      <c r="C1068" s="4" t="s">
        <v>42</v>
      </c>
      <c r="D1068" s="4" t="s">
        <v>46</v>
      </c>
      <c r="E1068" s="4" t="s">
        <v>25</v>
      </c>
      <c r="F1068" s="4" t="s">
        <v>25</v>
      </c>
      <c r="G1068" s="4" t="s">
        <v>25</v>
      </c>
      <c r="H1068" s="4" t="s">
        <v>35</v>
      </c>
      <c r="I1068" s="5">
        <v>44348</v>
      </c>
      <c r="J1068" s="6">
        <v>0</v>
      </c>
      <c r="K1068" s="6">
        <v>0</v>
      </c>
      <c r="L1068" s="6">
        <v>12.58</v>
      </c>
      <c r="M1068" s="6">
        <v>12.58</v>
      </c>
      <c r="N1068" s="6">
        <v>12.58</v>
      </c>
      <c r="O1068" s="6">
        <v>12.58</v>
      </c>
      <c r="P1068" s="6">
        <v>0</v>
      </c>
      <c r="Q1068" s="4" t="s">
        <v>26</v>
      </c>
      <c r="R1068" s="4">
        <v>0</v>
      </c>
      <c r="S1068" s="6">
        <v>0</v>
      </c>
      <c r="T1068" s="6">
        <v>31</v>
      </c>
      <c r="U1068" s="6">
        <v>79</v>
      </c>
      <c r="V1068" s="6">
        <f>IF(ISERROR(VLOOKUP($S$1068,'TAR FIN'!$A$1:$O$116,15,0)),0,VLOOKUP($S$1068,'TAR FIN'!$A$1:$O$116,15,0))</f>
        <v>0</v>
      </c>
      <c r="W1068" s="6">
        <f>IF(ISERROR(VLOOKUP($T$1068,'TAR FIN'!$A$1:$O$116,15,0)),0,VLOOKUP($T$1068,'TAR FIN'!$A$1:$O$116,15,0))</f>
        <v>88.66</v>
      </c>
      <c r="X1068" s="6">
        <f>IF(ISERROR(VLOOKUP($U$1068,'TAR FIN'!$A$1:$O$116,15,0)),0,VLOOKUP($U$1068,'TAR FIN'!$A$1:$O$116,15,0))</f>
        <v>311.04000000000002</v>
      </c>
      <c r="Y1068" s="6"/>
      <c r="Z1068" s="6">
        <f ca="1">('TUSD BE'!$AM$35+'TUSD BF'!$AM$35+'TUSD CVA'!$AM$35)*1</f>
        <v>137.4358543126599</v>
      </c>
      <c r="AA1068" s="6">
        <f>('TE BE'!$AB$10+'TE BF'!$AB$10+'TE CVA'!$AB$10)*1</f>
        <v>313.22907246928764</v>
      </c>
      <c r="AB1068" s="6">
        <f>$K$1068*$V$1068</f>
        <v>0</v>
      </c>
      <c r="AC1068" s="6">
        <f>$M$1068*$W$1068</f>
        <v>1115.3427999999999</v>
      </c>
      <c r="AD1068" s="6">
        <f>$O$1068*$X$1068</f>
        <v>3912.8832000000002</v>
      </c>
      <c r="AE1068" s="6">
        <f>$K$1068*$Y$1068</f>
        <v>0</v>
      </c>
      <c r="AF1068" s="6">
        <f ca="1">$M$1068*$Z$1068</f>
        <v>1728.9430472532615</v>
      </c>
      <c r="AG1068" s="6">
        <f>$O$1068*$AA$1068</f>
        <v>3940.4217316636386</v>
      </c>
    </row>
    <row r="1069" spans="1:33" ht="11.25" customHeight="1" x14ac:dyDescent="0.25">
      <c r="A1069" s="4" t="s">
        <v>21</v>
      </c>
      <c r="B1069" s="4" t="s">
        <v>41</v>
      </c>
      <c r="C1069" s="4" t="s">
        <v>42</v>
      </c>
      <c r="D1069" s="4" t="s">
        <v>46</v>
      </c>
      <c r="E1069" s="4" t="s">
        <v>25</v>
      </c>
      <c r="F1069" s="4" t="s">
        <v>25</v>
      </c>
      <c r="G1069" s="4" t="s">
        <v>25</v>
      </c>
      <c r="H1069" s="4" t="s">
        <v>35</v>
      </c>
      <c r="I1069" s="5">
        <v>44378</v>
      </c>
      <c r="J1069" s="6">
        <v>0</v>
      </c>
      <c r="K1069" s="6">
        <v>0</v>
      </c>
      <c r="L1069" s="6">
        <v>158.22499999999999</v>
      </c>
      <c r="M1069" s="6">
        <v>158.22499999999999</v>
      </c>
      <c r="N1069" s="6">
        <v>158.22499999999999</v>
      </c>
      <c r="O1069" s="6">
        <v>158.22499999999999</v>
      </c>
      <c r="P1069" s="6">
        <v>0</v>
      </c>
      <c r="Q1069" s="4" t="s">
        <v>26</v>
      </c>
      <c r="R1069" s="4">
        <v>0</v>
      </c>
      <c r="S1069" s="6">
        <v>0</v>
      </c>
      <c r="T1069" s="6">
        <v>31</v>
      </c>
      <c r="U1069" s="6">
        <v>79</v>
      </c>
      <c r="V1069" s="6">
        <f>IF(ISERROR(VLOOKUP($S$1069,'TAR FIN'!$A$1:$O$116,15,0)),0,VLOOKUP($S$1069,'TAR FIN'!$A$1:$O$116,15,0))</f>
        <v>0</v>
      </c>
      <c r="W1069" s="6">
        <f>IF(ISERROR(VLOOKUP($T$1069,'TAR FIN'!$A$1:$O$116,15,0)),0,VLOOKUP($T$1069,'TAR FIN'!$A$1:$O$116,15,0))</f>
        <v>88.66</v>
      </c>
      <c r="X1069" s="6">
        <f>IF(ISERROR(VLOOKUP($U$1069,'TAR FIN'!$A$1:$O$116,15,0)),0,VLOOKUP($U$1069,'TAR FIN'!$A$1:$O$116,15,0))</f>
        <v>311.04000000000002</v>
      </c>
      <c r="Y1069" s="6"/>
      <c r="Z1069" s="6">
        <f ca="1">('TUSD BE'!$AM$35+'TUSD BF'!$AM$35+'TUSD CVA'!$AM$35)*1</f>
        <v>137.4358543126599</v>
      </c>
      <c r="AA1069" s="6">
        <f>('TE BE'!$AB$10+'TE BF'!$AB$10+'TE CVA'!$AB$10)*1</f>
        <v>313.22907246928764</v>
      </c>
      <c r="AB1069" s="6">
        <f>$K$1069*$V$1069</f>
        <v>0</v>
      </c>
      <c r="AC1069" s="6">
        <f>$M$1069*$W$1069</f>
        <v>14028.228499999999</v>
      </c>
      <c r="AD1069" s="6">
        <f>$O$1069*$X$1069</f>
        <v>49214.304000000004</v>
      </c>
      <c r="AE1069" s="6">
        <f>$K$1069*$Y$1069</f>
        <v>0</v>
      </c>
      <c r="AF1069" s="6">
        <f ca="1">$M$1069*$Z$1069</f>
        <v>21745.788048620612</v>
      </c>
      <c r="AG1069" s="6">
        <f>$O$1069*$AA$1069</f>
        <v>49560.669991453033</v>
      </c>
    </row>
    <row r="1070" spans="1:33" ht="11.25" customHeight="1" x14ac:dyDescent="0.25">
      <c r="A1070" s="4" t="s">
        <v>28</v>
      </c>
      <c r="B1070" s="4" t="s">
        <v>41</v>
      </c>
      <c r="C1070" s="4" t="s">
        <v>42</v>
      </c>
      <c r="D1070" s="4" t="s">
        <v>46</v>
      </c>
      <c r="E1070" s="4" t="s">
        <v>25</v>
      </c>
      <c r="F1070" s="4" t="s">
        <v>25</v>
      </c>
      <c r="G1070" s="4" t="s">
        <v>25</v>
      </c>
      <c r="H1070" s="4" t="s">
        <v>35</v>
      </c>
      <c r="I1070" s="5">
        <v>44378</v>
      </c>
      <c r="J1070" s="6">
        <v>0</v>
      </c>
      <c r="K1070" s="6">
        <v>0</v>
      </c>
      <c r="L1070" s="6">
        <v>9.4220000000000006</v>
      </c>
      <c r="M1070" s="6">
        <v>9.4220000000000006</v>
      </c>
      <c r="N1070" s="6">
        <v>9.4220000000000006</v>
      </c>
      <c r="O1070" s="6">
        <v>9.4220000000000006</v>
      </c>
      <c r="P1070" s="6">
        <v>0</v>
      </c>
      <c r="Q1070" s="4" t="s">
        <v>26</v>
      </c>
      <c r="R1070" s="4">
        <v>0</v>
      </c>
      <c r="S1070" s="6">
        <v>0</v>
      </c>
      <c r="T1070" s="6">
        <v>31</v>
      </c>
      <c r="U1070" s="6">
        <v>79</v>
      </c>
      <c r="V1070" s="6">
        <f>IF(ISERROR(VLOOKUP($S$1070,'TAR FIN'!$A$1:$O$116,15,0)),0,VLOOKUP($S$1070,'TAR FIN'!$A$1:$O$116,15,0))</f>
        <v>0</v>
      </c>
      <c r="W1070" s="6">
        <f>IF(ISERROR(VLOOKUP($T$1070,'TAR FIN'!$A$1:$O$116,15,0)),0,VLOOKUP($T$1070,'TAR FIN'!$A$1:$O$116,15,0))</f>
        <v>88.66</v>
      </c>
      <c r="X1070" s="6">
        <f>IF(ISERROR(VLOOKUP($U$1070,'TAR FIN'!$A$1:$O$116,15,0)),0,VLOOKUP($U$1070,'TAR FIN'!$A$1:$O$116,15,0))</f>
        <v>311.04000000000002</v>
      </c>
      <c r="Y1070" s="6"/>
      <c r="Z1070" s="6">
        <f ca="1">('TUSD BE'!$AM$35+'TUSD BF'!$AM$35+'TUSD CVA'!$AM$35)*1</f>
        <v>137.4358543126599</v>
      </c>
      <c r="AA1070" s="6">
        <f>('TE BE'!$AB$10+'TE BF'!$AB$10+'TE CVA'!$AB$10)*1</f>
        <v>313.22907246928764</v>
      </c>
      <c r="AB1070" s="6">
        <f>$K$1070*$V$1070</f>
        <v>0</v>
      </c>
      <c r="AC1070" s="6">
        <f>$M$1070*$W$1070</f>
        <v>835.35451999999998</v>
      </c>
      <c r="AD1070" s="6">
        <f>$O$1070*$X$1070</f>
        <v>2930.6188800000004</v>
      </c>
      <c r="AE1070" s="6">
        <f>$K$1070*$Y$1070</f>
        <v>0</v>
      </c>
      <c r="AF1070" s="6">
        <f ca="1">$M$1070*$Z$1070</f>
        <v>1294.9206193338816</v>
      </c>
      <c r="AG1070" s="6">
        <f>$O$1070*$AA$1070</f>
        <v>2951.2443208056284</v>
      </c>
    </row>
    <row r="1071" spans="1:33" ht="11.25" customHeight="1" x14ac:dyDescent="0.25">
      <c r="A1071" s="4" t="s">
        <v>21</v>
      </c>
      <c r="B1071" s="4" t="s">
        <v>41</v>
      </c>
      <c r="C1071" s="4" t="s">
        <v>42</v>
      </c>
      <c r="D1071" s="4" t="s">
        <v>46</v>
      </c>
      <c r="E1071" s="4" t="s">
        <v>25</v>
      </c>
      <c r="F1071" s="4" t="s">
        <v>25</v>
      </c>
      <c r="G1071" s="4" t="s">
        <v>25</v>
      </c>
      <c r="H1071" s="4" t="s">
        <v>35</v>
      </c>
      <c r="I1071" s="5">
        <v>44409</v>
      </c>
      <c r="J1071" s="6">
        <v>0</v>
      </c>
      <c r="K1071" s="6">
        <v>0</v>
      </c>
      <c r="L1071" s="6">
        <v>164.51300000000001</v>
      </c>
      <c r="M1071" s="6">
        <v>164.51300000000001</v>
      </c>
      <c r="N1071" s="6">
        <v>164.51300000000001</v>
      </c>
      <c r="O1071" s="6">
        <v>164.51300000000001</v>
      </c>
      <c r="P1071" s="6">
        <v>0</v>
      </c>
      <c r="Q1071" s="4" t="s">
        <v>26</v>
      </c>
      <c r="R1071" s="4">
        <v>0</v>
      </c>
      <c r="S1071" s="6">
        <v>0</v>
      </c>
      <c r="T1071" s="6">
        <v>31</v>
      </c>
      <c r="U1071" s="6">
        <v>79</v>
      </c>
      <c r="V1071" s="6">
        <f>IF(ISERROR(VLOOKUP($S$1071,'TAR FIN'!$A$1:$O$116,15,0)),0,VLOOKUP($S$1071,'TAR FIN'!$A$1:$O$116,15,0))</f>
        <v>0</v>
      </c>
      <c r="W1071" s="6">
        <f>IF(ISERROR(VLOOKUP($T$1071,'TAR FIN'!$A$1:$O$116,15,0)),0,VLOOKUP($T$1071,'TAR FIN'!$A$1:$O$116,15,0))</f>
        <v>88.66</v>
      </c>
      <c r="X1071" s="6">
        <f>IF(ISERROR(VLOOKUP($U$1071,'TAR FIN'!$A$1:$O$116,15,0)),0,VLOOKUP($U$1071,'TAR FIN'!$A$1:$O$116,15,0))</f>
        <v>311.04000000000002</v>
      </c>
      <c r="Y1071" s="6"/>
      <c r="Z1071" s="6">
        <f ca="1">('TUSD BE'!$AM$35+'TUSD BF'!$AM$35+'TUSD CVA'!$AM$35)*1</f>
        <v>137.4358543126599</v>
      </c>
      <c r="AA1071" s="6">
        <f>('TE BE'!$AB$10+'TE BF'!$AB$10+'TE CVA'!$AB$10)*1</f>
        <v>313.22907246928764</v>
      </c>
      <c r="AB1071" s="6">
        <f>$K$1071*$V$1071</f>
        <v>0</v>
      </c>
      <c r="AC1071" s="6">
        <f>$M$1071*$W$1071</f>
        <v>14585.72258</v>
      </c>
      <c r="AD1071" s="6">
        <f>$O$1071*$X$1071</f>
        <v>51170.123520000008</v>
      </c>
      <c r="AE1071" s="6">
        <f>$K$1071*$Y$1071</f>
        <v>0</v>
      </c>
      <c r="AF1071" s="6">
        <f ca="1">$M$1071*$Z$1071</f>
        <v>22609.984700538618</v>
      </c>
      <c r="AG1071" s="6">
        <f>$O$1071*$AA$1071</f>
        <v>51530.254399139922</v>
      </c>
    </row>
    <row r="1072" spans="1:33" ht="11.25" customHeight="1" x14ac:dyDescent="0.25">
      <c r="A1072" s="4" t="s">
        <v>28</v>
      </c>
      <c r="B1072" s="4" t="s">
        <v>41</v>
      </c>
      <c r="C1072" s="4" t="s">
        <v>42</v>
      </c>
      <c r="D1072" s="4" t="s">
        <v>46</v>
      </c>
      <c r="E1072" s="4" t="s">
        <v>25</v>
      </c>
      <c r="F1072" s="4" t="s">
        <v>25</v>
      </c>
      <c r="G1072" s="4" t="s">
        <v>25</v>
      </c>
      <c r="H1072" s="4" t="s">
        <v>35</v>
      </c>
      <c r="I1072" s="5">
        <v>44409</v>
      </c>
      <c r="J1072" s="6">
        <v>0</v>
      </c>
      <c r="K1072" s="6">
        <v>0</v>
      </c>
      <c r="L1072" s="6">
        <v>7.5289999999999999</v>
      </c>
      <c r="M1072" s="6">
        <v>7.5289999999999999</v>
      </c>
      <c r="N1072" s="6">
        <v>7.5289999999999999</v>
      </c>
      <c r="O1072" s="6">
        <v>7.5289999999999999</v>
      </c>
      <c r="P1072" s="6">
        <v>0</v>
      </c>
      <c r="Q1072" s="4" t="s">
        <v>26</v>
      </c>
      <c r="R1072" s="4">
        <v>0</v>
      </c>
      <c r="S1072" s="6">
        <v>0</v>
      </c>
      <c r="T1072" s="6">
        <v>31</v>
      </c>
      <c r="U1072" s="6">
        <v>79</v>
      </c>
      <c r="V1072" s="6">
        <f>IF(ISERROR(VLOOKUP($S$1072,'TAR FIN'!$A$1:$O$116,15,0)),0,VLOOKUP($S$1072,'TAR FIN'!$A$1:$O$116,15,0))</f>
        <v>0</v>
      </c>
      <c r="W1072" s="6">
        <f>IF(ISERROR(VLOOKUP($T$1072,'TAR FIN'!$A$1:$O$116,15,0)),0,VLOOKUP($T$1072,'TAR FIN'!$A$1:$O$116,15,0))</f>
        <v>88.66</v>
      </c>
      <c r="X1072" s="6">
        <f>IF(ISERROR(VLOOKUP($U$1072,'TAR FIN'!$A$1:$O$116,15,0)),0,VLOOKUP($U$1072,'TAR FIN'!$A$1:$O$116,15,0))</f>
        <v>311.04000000000002</v>
      </c>
      <c r="Y1072" s="6"/>
      <c r="Z1072" s="6">
        <f ca="1">('TUSD BE'!$AM$35+'TUSD BF'!$AM$35+'TUSD CVA'!$AM$35)*1</f>
        <v>137.4358543126599</v>
      </c>
      <c r="AA1072" s="6">
        <f>('TE BE'!$AB$10+'TE BF'!$AB$10+'TE CVA'!$AB$10)*1</f>
        <v>313.22907246928764</v>
      </c>
      <c r="AB1072" s="6">
        <f>$K$1072*$V$1072</f>
        <v>0</v>
      </c>
      <c r="AC1072" s="6">
        <f>$M$1072*$W$1072</f>
        <v>667.52113999999995</v>
      </c>
      <c r="AD1072" s="6">
        <f>$O$1072*$X$1072</f>
        <v>2341.8201600000002</v>
      </c>
      <c r="AE1072" s="6">
        <f>$K$1072*$Y$1072</f>
        <v>0</v>
      </c>
      <c r="AF1072" s="6">
        <f ca="1">$M$1072*$Z$1072</f>
        <v>1034.7545471200165</v>
      </c>
      <c r="AG1072" s="6">
        <f>$O$1072*$AA$1072</f>
        <v>2358.3016866212665</v>
      </c>
    </row>
    <row r="1073" spans="1:33" ht="11.25" customHeight="1" x14ac:dyDescent="0.25">
      <c r="A1073" s="4" t="s">
        <v>21</v>
      </c>
      <c r="B1073" s="4" t="s">
        <v>41</v>
      </c>
      <c r="C1073" s="4" t="s">
        <v>42</v>
      </c>
      <c r="D1073" s="4" t="s">
        <v>46</v>
      </c>
      <c r="E1073" s="4" t="s">
        <v>25</v>
      </c>
      <c r="F1073" s="4" t="s">
        <v>25</v>
      </c>
      <c r="G1073" s="4" t="s">
        <v>25</v>
      </c>
      <c r="H1073" s="4" t="s">
        <v>35</v>
      </c>
      <c r="I1073" s="5">
        <v>44440</v>
      </c>
      <c r="J1073" s="6">
        <v>0</v>
      </c>
      <c r="K1073" s="6">
        <v>0</v>
      </c>
      <c r="L1073" s="6">
        <v>174.09299999999999</v>
      </c>
      <c r="M1073" s="6">
        <v>174.09299999999999</v>
      </c>
      <c r="N1073" s="6">
        <v>174.09299999999999</v>
      </c>
      <c r="O1073" s="6">
        <v>174.09299999999999</v>
      </c>
      <c r="P1073" s="6">
        <v>0</v>
      </c>
      <c r="Q1073" s="4" t="s">
        <v>26</v>
      </c>
      <c r="R1073" s="4">
        <v>0</v>
      </c>
      <c r="S1073" s="6">
        <v>0</v>
      </c>
      <c r="T1073" s="6">
        <v>31</v>
      </c>
      <c r="U1073" s="6">
        <v>79</v>
      </c>
      <c r="V1073" s="6">
        <f>IF(ISERROR(VLOOKUP($S$1073,'TAR FIN'!$A$1:$O$116,15,0)),0,VLOOKUP($S$1073,'TAR FIN'!$A$1:$O$116,15,0))</f>
        <v>0</v>
      </c>
      <c r="W1073" s="6">
        <f>IF(ISERROR(VLOOKUP($T$1073,'TAR FIN'!$A$1:$O$116,15,0)),0,VLOOKUP($T$1073,'TAR FIN'!$A$1:$O$116,15,0))</f>
        <v>88.66</v>
      </c>
      <c r="X1073" s="6">
        <f>IF(ISERROR(VLOOKUP($U$1073,'TAR FIN'!$A$1:$O$116,15,0)),0,VLOOKUP($U$1073,'TAR FIN'!$A$1:$O$116,15,0))</f>
        <v>311.04000000000002</v>
      </c>
      <c r="Y1073" s="6"/>
      <c r="Z1073" s="6">
        <f ca="1">('TUSD BE'!$AM$35+'TUSD BF'!$AM$35+'TUSD CVA'!$AM$35)*1</f>
        <v>137.4358543126599</v>
      </c>
      <c r="AA1073" s="6">
        <f>('TE BE'!$AB$10+'TE BF'!$AB$10+'TE CVA'!$AB$10)*1</f>
        <v>313.22907246928764</v>
      </c>
      <c r="AB1073" s="6">
        <f>$K$1073*$V$1073</f>
        <v>0</v>
      </c>
      <c r="AC1073" s="6">
        <f>$M$1073*$W$1073</f>
        <v>15435.085379999999</v>
      </c>
      <c r="AD1073" s="6">
        <f>$O$1073*$X$1073</f>
        <v>54149.886720000002</v>
      </c>
      <c r="AE1073" s="6">
        <f>$K$1073*$Y$1073</f>
        <v>0</v>
      </c>
      <c r="AF1073" s="6">
        <f ca="1">$M$1073*$Z$1073</f>
        <v>23926.620184853899</v>
      </c>
      <c r="AG1073" s="6">
        <f>$O$1073*$AA$1073</f>
        <v>54530.988913395689</v>
      </c>
    </row>
    <row r="1074" spans="1:33" ht="11.25" customHeight="1" x14ac:dyDescent="0.25">
      <c r="A1074" s="4" t="s">
        <v>28</v>
      </c>
      <c r="B1074" s="4" t="s">
        <v>41</v>
      </c>
      <c r="C1074" s="4" t="s">
        <v>42</v>
      </c>
      <c r="D1074" s="4" t="s">
        <v>46</v>
      </c>
      <c r="E1074" s="4" t="s">
        <v>25</v>
      </c>
      <c r="F1074" s="4" t="s">
        <v>25</v>
      </c>
      <c r="G1074" s="4" t="s">
        <v>25</v>
      </c>
      <c r="H1074" s="4" t="s">
        <v>35</v>
      </c>
      <c r="I1074" s="5">
        <v>44440</v>
      </c>
      <c r="J1074" s="6">
        <v>0</v>
      </c>
      <c r="K1074" s="6">
        <v>0</v>
      </c>
      <c r="L1074" s="6">
        <v>5.3230000000000004</v>
      </c>
      <c r="M1074" s="6">
        <v>5.3230000000000004</v>
      </c>
      <c r="N1074" s="6">
        <v>5.3230000000000004</v>
      </c>
      <c r="O1074" s="6">
        <v>5.3230000000000004</v>
      </c>
      <c r="P1074" s="6">
        <v>0</v>
      </c>
      <c r="Q1074" s="4" t="s">
        <v>26</v>
      </c>
      <c r="R1074" s="4">
        <v>0</v>
      </c>
      <c r="S1074" s="6">
        <v>0</v>
      </c>
      <c r="T1074" s="6">
        <v>31</v>
      </c>
      <c r="U1074" s="6">
        <v>79</v>
      </c>
      <c r="V1074" s="6">
        <f>IF(ISERROR(VLOOKUP($S$1074,'TAR FIN'!$A$1:$O$116,15,0)),0,VLOOKUP($S$1074,'TAR FIN'!$A$1:$O$116,15,0))</f>
        <v>0</v>
      </c>
      <c r="W1074" s="6">
        <f>IF(ISERROR(VLOOKUP($T$1074,'TAR FIN'!$A$1:$O$116,15,0)),0,VLOOKUP($T$1074,'TAR FIN'!$A$1:$O$116,15,0))</f>
        <v>88.66</v>
      </c>
      <c r="X1074" s="6">
        <f>IF(ISERROR(VLOOKUP($U$1074,'TAR FIN'!$A$1:$O$116,15,0)),0,VLOOKUP($U$1074,'TAR FIN'!$A$1:$O$116,15,0))</f>
        <v>311.04000000000002</v>
      </c>
      <c r="Y1074" s="6"/>
      <c r="Z1074" s="6">
        <f ca="1">('TUSD BE'!$AM$35+'TUSD BF'!$AM$35+'TUSD CVA'!$AM$35)*1</f>
        <v>137.4358543126599</v>
      </c>
      <c r="AA1074" s="6">
        <f>('TE BE'!$AB$10+'TE BF'!$AB$10+'TE CVA'!$AB$10)*1</f>
        <v>313.22907246928764</v>
      </c>
      <c r="AB1074" s="6">
        <f>$K$1074*$V$1074</f>
        <v>0</v>
      </c>
      <c r="AC1074" s="6">
        <f>$M$1074*$W$1074</f>
        <v>471.93718000000001</v>
      </c>
      <c r="AD1074" s="6">
        <f>$O$1074*$X$1074</f>
        <v>1655.6659200000001</v>
      </c>
      <c r="AE1074" s="6">
        <f>$K$1074*$Y$1074</f>
        <v>0</v>
      </c>
      <c r="AF1074" s="6">
        <f ca="1">$M$1074*$Z$1074</f>
        <v>731.57105250628865</v>
      </c>
      <c r="AG1074" s="6">
        <f>$O$1074*$AA$1074</f>
        <v>1667.3183527540182</v>
      </c>
    </row>
    <row r="1075" spans="1:33" ht="11.25" customHeight="1" x14ac:dyDescent="0.25">
      <c r="A1075" s="4" t="s">
        <v>21</v>
      </c>
      <c r="B1075" s="4" t="s">
        <v>41</v>
      </c>
      <c r="C1075" s="4" t="s">
        <v>42</v>
      </c>
      <c r="D1075" s="4" t="s">
        <v>46</v>
      </c>
      <c r="E1075" s="4" t="s">
        <v>25</v>
      </c>
      <c r="F1075" s="4" t="s">
        <v>25</v>
      </c>
      <c r="G1075" s="4" t="s">
        <v>25</v>
      </c>
      <c r="H1075" s="4" t="s">
        <v>35</v>
      </c>
      <c r="I1075" s="5">
        <v>44470</v>
      </c>
      <c r="J1075" s="6">
        <v>0</v>
      </c>
      <c r="K1075" s="6">
        <v>0</v>
      </c>
      <c r="L1075" s="6">
        <v>201.80699999999999</v>
      </c>
      <c r="M1075" s="6">
        <v>201.80699999999999</v>
      </c>
      <c r="N1075" s="6">
        <v>201.80699999999999</v>
      </c>
      <c r="O1075" s="6">
        <v>201.80699999999999</v>
      </c>
      <c r="P1075" s="6">
        <v>0</v>
      </c>
      <c r="Q1075" s="4" t="s">
        <v>26</v>
      </c>
      <c r="R1075" s="4">
        <v>0</v>
      </c>
      <c r="S1075" s="6">
        <v>0</v>
      </c>
      <c r="T1075" s="6">
        <v>31</v>
      </c>
      <c r="U1075" s="6">
        <v>79</v>
      </c>
      <c r="V1075" s="6">
        <f>IF(ISERROR(VLOOKUP($S$1075,'TAR FIN'!$A$1:$O$116,15,0)),0,VLOOKUP($S$1075,'TAR FIN'!$A$1:$O$116,15,0))</f>
        <v>0</v>
      </c>
      <c r="W1075" s="6">
        <f>IF(ISERROR(VLOOKUP($T$1075,'TAR FIN'!$A$1:$O$116,15,0)),0,VLOOKUP($T$1075,'TAR FIN'!$A$1:$O$116,15,0))</f>
        <v>88.66</v>
      </c>
      <c r="X1075" s="6">
        <f>IF(ISERROR(VLOOKUP($U$1075,'TAR FIN'!$A$1:$O$116,15,0)),0,VLOOKUP($U$1075,'TAR FIN'!$A$1:$O$116,15,0))</f>
        <v>311.04000000000002</v>
      </c>
      <c r="Y1075" s="6"/>
      <c r="Z1075" s="6">
        <f ca="1">('TUSD BE'!$AM$35+'TUSD BF'!$AM$35+'TUSD CVA'!$AM$35)*1</f>
        <v>137.4358543126599</v>
      </c>
      <c r="AA1075" s="6">
        <f>('TE BE'!$AB$10+'TE BF'!$AB$10+'TE CVA'!$AB$10)*1</f>
        <v>313.22907246928764</v>
      </c>
      <c r="AB1075" s="6">
        <f>$K$1075*$V$1075</f>
        <v>0</v>
      </c>
      <c r="AC1075" s="6">
        <f>$M$1075*$W$1075</f>
        <v>17892.208619999998</v>
      </c>
      <c r="AD1075" s="6">
        <f>$O$1075*$X$1075</f>
        <v>62770.049279999999</v>
      </c>
      <c r="AE1075" s="6">
        <f>$K$1075*$Y$1075</f>
        <v>0</v>
      </c>
      <c r="AF1075" s="6">
        <f ca="1">$M$1075*$Z$1075</f>
        <v>27735.517451274955</v>
      </c>
      <c r="AG1075" s="6">
        <f>$O$1075*$AA$1075</f>
        <v>63211.819427809525</v>
      </c>
    </row>
    <row r="1076" spans="1:33" ht="11.25" customHeight="1" x14ac:dyDescent="0.25">
      <c r="A1076" s="4" t="s">
        <v>28</v>
      </c>
      <c r="B1076" s="4" t="s">
        <v>41</v>
      </c>
      <c r="C1076" s="4" t="s">
        <v>42</v>
      </c>
      <c r="D1076" s="4" t="s">
        <v>46</v>
      </c>
      <c r="E1076" s="4" t="s">
        <v>25</v>
      </c>
      <c r="F1076" s="4" t="s">
        <v>25</v>
      </c>
      <c r="G1076" s="4" t="s">
        <v>25</v>
      </c>
      <c r="H1076" s="4" t="s">
        <v>35</v>
      </c>
      <c r="I1076" s="5">
        <v>44470</v>
      </c>
      <c r="J1076" s="6">
        <v>0</v>
      </c>
      <c r="K1076" s="6">
        <v>0</v>
      </c>
      <c r="L1076" s="6">
        <v>4.9870000000000001</v>
      </c>
      <c r="M1076" s="6">
        <v>4.9870000000000001</v>
      </c>
      <c r="N1076" s="6">
        <v>4.9870000000000001</v>
      </c>
      <c r="O1076" s="6">
        <v>4.9870000000000001</v>
      </c>
      <c r="P1076" s="6">
        <v>0</v>
      </c>
      <c r="Q1076" s="4" t="s">
        <v>26</v>
      </c>
      <c r="R1076" s="4">
        <v>0</v>
      </c>
      <c r="S1076" s="6">
        <v>0</v>
      </c>
      <c r="T1076" s="6">
        <v>31</v>
      </c>
      <c r="U1076" s="6">
        <v>79</v>
      </c>
      <c r="V1076" s="6">
        <f>IF(ISERROR(VLOOKUP($S$1076,'TAR FIN'!$A$1:$O$116,15,0)),0,VLOOKUP($S$1076,'TAR FIN'!$A$1:$O$116,15,0))</f>
        <v>0</v>
      </c>
      <c r="W1076" s="6">
        <f>IF(ISERROR(VLOOKUP($T$1076,'TAR FIN'!$A$1:$O$116,15,0)),0,VLOOKUP($T$1076,'TAR FIN'!$A$1:$O$116,15,0))</f>
        <v>88.66</v>
      </c>
      <c r="X1076" s="6">
        <f>IF(ISERROR(VLOOKUP($U$1076,'TAR FIN'!$A$1:$O$116,15,0)),0,VLOOKUP($U$1076,'TAR FIN'!$A$1:$O$116,15,0))</f>
        <v>311.04000000000002</v>
      </c>
      <c r="Y1076" s="6"/>
      <c r="Z1076" s="6">
        <f ca="1">('TUSD BE'!$AM$35+'TUSD BF'!$AM$35+'TUSD CVA'!$AM$35)*1</f>
        <v>137.4358543126599</v>
      </c>
      <c r="AA1076" s="6">
        <f>('TE BE'!$AB$10+'TE BF'!$AB$10+'TE CVA'!$AB$10)*1</f>
        <v>313.22907246928764</v>
      </c>
      <c r="AB1076" s="6">
        <f>$K$1076*$V$1076</f>
        <v>0</v>
      </c>
      <c r="AC1076" s="6">
        <f>$M$1076*$W$1076</f>
        <v>442.14742000000001</v>
      </c>
      <c r="AD1076" s="6">
        <f>$O$1076*$X$1076</f>
        <v>1551.1564800000001</v>
      </c>
      <c r="AE1076" s="6">
        <f>$K$1076*$Y$1076</f>
        <v>0</v>
      </c>
      <c r="AF1076" s="6">
        <f ca="1">$M$1076*$Z$1076</f>
        <v>685.39260545723494</v>
      </c>
      <c r="AG1076" s="6">
        <f>$O$1076*$AA$1076</f>
        <v>1562.0733844043375</v>
      </c>
    </row>
    <row r="1077" spans="1:33" ht="11.25" customHeight="1" x14ac:dyDescent="0.25">
      <c r="A1077" s="4" t="s">
        <v>21</v>
      </c>
      <c r="B1077" s="4" t="s">
        <v>41</v>
      </c>
      <c r="C1077" s="4" t="s">
        <v>42</v>
      </c>
      <c r="D1077" s="4" t="s">
        <v>46</v>
      </c>
      <c r="E1077" s="4" t="s">
        <v>25</v>
      </c>
      <c r="F1077" s="4" t="s">
        <v>25</v>
      </c>
      <c r="G1077" s="4" t="s">
        <v>25</v>
      </c>
      <c r="H1077" s="4" t="s">
        <v>35</v>
      </c>
      <c r="I1077" s="5">
        <v>44501</v>
      </c>
      <c r="J1077" s="6">
        <v>0</v>
      </c>
      <c r="K1077" s="6">
        <v>0</v>
      </c>
      <c r="L1077" s="6">
        <v>193.036</v>
      </c>
      <c r="M1077" s="6">
        <v>193.036</v>
      </c>
      <c r="N1077" s="6">
        <v>193.036</v>
      </c>
      <c r="O1077" s="6">
        <v>193.036</v>
      </c>
      <c r="P1077" s="6">
        <v>0</v>
      </c>
      <c r="Q1077" s="4" t="s">
        <v>26</v>
      </c>
      <c r="R1077" s="4">
        <v>0</v>
      </c>
      <c r="S1077" s="6">
        <v>0</v>
      </c>
      <c r="T1077" s="6">
        <v>31</v>
      </c>
      <c r="U1077" s="6">
        <v>79</v>
      </c>
      <c r="V1077" s="6">
        <f>IF(ISERROR(VLOOKUP($S$1077,'TAR FIN'!$A$1:$O$116,15,0)),0,VLOOKUP($S$1077,'TAR FIN'!$A$1:$O$116,15,0))</f>
        <v>0</v>
      </c>
      <c r="W1077" s="6">
        <f>IF(ISERROR(VLOOKUP($T$1077,'TAR FIN'!$A$1:$O$116,15,0)),0,VLOOKUP($T$1077,'TAR FIN'!$A$1:$O$116,15,0))</f>
        <v>88.66</v>
      </c>
      <c r="X1077" s="6">
        <f>IF(ISERROR(VLOOKUP($U$1077,'TAR FIN'!$A$1:$O$116,15,0)),0,VLOOKUP($U$1077,'TAR FIN'!$A$1:$O$116,15,0))</f>
        <v>311.04000000000002</v>
      </c>
      <c r="Y1077" s="6"/>
      <c r="Z1077" s="6">
        <f ca="1">('TUSD BE'!$AM$35+'TUSD BF'!$AM$35+'TUSD CVA'!$AM$35)*1</f>
        <v>137.4358543126599</v>
      </c>
      <c r="AA1077" s="6">
        <f>('TE BE'!$AB$10+'TE BF'!$AB$10+'TE CVA'!$AB$10)*1</f>
        <v>313.22907246928764</v>
      </c>
      <c r="AB1077" s="6">
        <f>$K$1077*$V$1077</f>
        <v>0</v>
      </c>
      <c r="AC1077" s="6">
        <f>$M$1077*$W$1077</f>
        <v>17114.571759999999</v>
      </c>
      <c r="AD1077" s="6">
        <f>$O$1077*$X$1077</f>
        <v>60041.917440000005</v>
      </c>
      <c r="AE1077" s="6">
        <f>$K$1077*$Y$1077</f>
        <v>0</v>
      </c>
      <c r="AF1077" s="6">
        <f ca="1">$M$1077*$Z$1077</f>
        <v>26530.067573098615</v>
      </c>
      <c r="AG1077" s="6">
        <f>$O$1077*$AA$1077</f>
        <v>60464.487233181411</v>
      </c>
    </row>
    <row r="1078" spans="1:33" ht="11.25" customHeight="1" x14ac:dyDescent="0.25">
      <c r="A1078" s="4" t="s">
        <v>28</v>
      </c>
      <c r="B1078" s="4" t="s">
        <v>41</v>
      </c>
      <c r="C1078" s="4" t="s">
        <v>42</v>
      </c>
      <c r="D1078" s="4" t="s">
        <v>46</v>
      </c>
      <c r="E1078" s="4" t="s">
        <v>25</v>
      </c>
      <c r="F1078" s="4" t="s">
        <v>25</v>
      </c>
      <c r="G1078" s="4" t="s">
        <v>25</v>
      </c>
      <c r="H1078" s="4" t="s">
        <v>35</v>
      </c>
      <c r="I1078" s="5">
        <v>44501</v>
      </c>
      <c r="J1078" s="6">
        <v>0</v>
      </c>
      <c r="K1078" s="6">
        <v>0</v>
      </c>
      <c r="L1078" s="6">
        <v>8.5860000000000003</v>
      </c>
      <c r="M1078" s="6">
        <v>8.5860000000000003</v>
      </c>
      <c r="N1078" s="6">
        <v>8.5860000000000003</v>
      </c>
      <c r="O1078" s="6">
        <v>8.5860000000000003</v>
      </c>
      <c r="P1078" s="6">
        <v>0</v>
      </c>
      <c r="Q1078" s="4" t="s">
        <v>26</v>
      </c>
      <c r="R1078" s="4">
        <v>0</v>
      </c>
      <c r="S1078" s="6">
        <v>0</v>
      </c>
      <c r="T1078" s="6">
        <v>31</v>
      </c>
      <c r="U1078" s="6">
        <v>79</v>
      </c>
      <c r="V1078" s="6">
        <f>IF(ISERROR(VLOOKUP($S$1078,'TAR FIN'!$A$1:$O$116,15,0)),0,VLOOKUP($S$1078,'TAR FIN'!$A$1:$O$116,15,0))</f>
        <v>0</v>
      </c>
      <c r="W1078" s="6">
        <f>IF(ISERROR(VLOOKUP($T$1078,'TAR FIN'!$A$1:$O$116,15,0)),0,VLOOKUP($T$1078,'TAR FIN'!$A$1:$O$116,15,0))</f>
        <v>88.66</v>
      </c>
      <c r="X1078" s="6">
        <f>IF(ISERROR(VLOOKUP($U$1078,'TAR FIN'!$A$1:$O$116,15,0)),0,VLOOKUP($U$1078,'TAR FIN'!$A$1:$O$116,15,0))</f>
        <v>311.04000000000002</v>
      </c>
      <c r="Y1078" s="6"/>
      <c r="Z1078" s="6">
        <f ca="1">('TUSD BE'!$AM$35+'TUSD BF'!$AM$35+'TUSD CVA'!$AM$35)*1</f>
        <v>137.4358543126599</v>
      </c>
      <c r="AA1078" s="6">
        <f>('TE BE'!$AB$10+'TE BF'!$AB$10+'TE CVA'!$AB$10)*1</f>
        <v>313.22907246928764</v>
      </c>
      <c r="AB1078" s="6">
        <f>$K$1078*$V$1078</f>
        <v>0</v>
      </c>
      <c r="AC1078" s="6">
        <f>$M$1078*$W$1078</f>
        <v>761.23476000000005</v>
      </c>
      <c r="AD1078" s="6">
        <f>$O$1078*$X$1078</f>
        <v>2670.5894400000002</v>
      </c>
      <c r="AE1078" s="6">
        <f>$K$1078*$Y$1078</f>
        <v>0</v>
      </c>
      <c r="AF1078" s="6">
        <f ca="1">$M$1078*$Z$1078</f>
        <v>1180.024245128498</v>
      </c>
      <c r="AG1078" s="6">
        <f>$O$1078*$AA$1078</f>
        <v>2689.3848162213039</v>
      </c>
    </row>
    <row r="1079" spans="1:33" ht="11.25" customHeight="1" x14ac:dyDescent="0.25">
      <c r="A1079" s="4" t="s">
        <v>21</v>
      </c>
      <c r="B1079" s="4" t="s">
        <v>41</v>
      </c>
      <c r="C1079" s="4" t="s">
        <v>42</v>
      </c>
      <c r="D1079" s="4" t="s">
        <v>46</v>
      </c>
      <c r="E1079" s="4" t="s">
        <v>25</v>
      </c>
      <c r="F1079" s="4" t="s">
        <v>25</v>
      </c>
      <c r="G1079" s="4" t="s">
        <v>25</v>
      </c>
      <c r="H1079" s="4" t="s">
        <v>35</v>
      </c>
      <c r="I1079" s="5">
        <v>44531</v>
      </c>
      <c r="J1079" s="6">
        <v>0</v>
      </c>
      <c r="K1079" s="6">
        <v>0</v>
      </c>
      <c r="L1079" s="6">
        <v>219.78299999999999</v>
      </c>
      <c r="M1079" s="6">
        <v>219.78299999999999</v>
      </c>
      <c r="N1079" s="6">
        <v>219.78299999999999</v>
      </c>
      <c r="O1079" s="6">
        <v>219.78299999999999</v>
      </c>
      <c r="P1079" s="6">
        <v>0</v>
      </c>
      <c r="Q1079" s="4" t="s">
        <v>26</v>
      </c>
      <c r="R1079" s="4">
        <v>0</v>
      </c>
      <c r="S1079" s="6">
        <v>0</v>
      </c>
      <c r="T1079" s="6">
        <v>31</v>
      </c>
      <c r="U1079" s="6">
        <v>79</v>
      </c>
      <c r="V1079" s="6">
        <f>IF(ISERROR(VLOOKUP($S$1079,'TAR FIN'!$A$1:$O$116,15,0)),0,VLOOKUP($S$1079,'TAR FIN'!$A$1:$O$116,15,0))</f>
        <v>0</v>
      </c>
      <c r="W1079" s="6">
        <f>IF(ISERROR(VLOOKUP($T$1079,'TAR FIN'!$A$1:$O$116,15,0)),0,VLOOKUP($T$1079,'TAR FIN'!$A$1:$O$116,15,0))</f>
        <v>88.66</v>
      </c>
      <c r="X1079" s="6">
        <f>IF(ISERROR(VLOOKUP($U$1079,'TAR FIN'!$A$1:$O$116,15,0)),0,VLOOKUP($U$1079,'TAR FIN'!$A$1:$O$116,15,0))</f>
        <v>311.04000000000002</v>
      </c>
      <c r="Y1079" s="6"/>
      <c r="Z1079" s="6">
        <f ca="1">('TUSD BE'!$AM$35+'TUSD BF'!$AM$35+'TUSD CVA'!$AM$35)*1</f>
        <v>137.4358543126599</v>
      </c>
      <c r="AA1079" s="6">
        <f>('TE BE'!$AB$10+'TE BF'!$AB$10+'TE CVA'!$AB$10)*1</f>
        <v>313.22907246928764</v>
      </c>
      <c r="AB1079" s="6">
        <f>$K$1079*$V$1079</f>
        <v>0</v>
      </c>
      <c r="AC1079" s="6">
        <f>$M$1079*$W$1079</f>
        <v>19485.960779999998</v>
      </c>
      <c r="AD1079" s="6">
        <f>$O$1079*$X$1079</f>
        <v>68361.304319999996</v>
      </c>
      <c r="AE1079" s="6">
        <f>$K$1079*$Y$1079</f>
        <v>0</v>
      </c>
      <c r="AF1079" s="6">
        <f ca="1">$M$1079*$Z$1079</f>
        <v>30206.064368399329</v>
      </c>
      <c r="AG1079" s="6">
        <f>$O$1079*$AA$1079</f>
        <v>68842.425234517446</v>
      </c>
    </row>
    <row r="1080" spans="1:33" ht="11.25" customHeight="1" x14ac:dyDescent="0.25">
      <c r="A1080" s="4" t="s">
        <v>28</v>
      </c>
      <c r="B1080" s="4" t="s">
        <v>41</v>
      </c>
      <c r="C1080" s="4" t="s">
        <v>42</v>
      </c>
      <c r="D1080" s="4" t="s">
        <v>46</v>
      </c>
      <c r="E1080" s="4" t="s">
        <v>25</v>
      </c>
      <c r="F1080" s="4" t="s">
        <v>25</v>
      </c>
      <c r="G1080" s="4" t="s">
        <v>25</v>
      </c>
      <c r="H1080" s="4" t="s">
        <v>35</v>
      </c>
      <c r="I1080" s="5">
        <v>44531</v>
      </c>
      <c r="J1080" s="6">
        <v>0</v>
      </c>
      <c r="K1080" s="6">
        <v>0</v>
      </c>
      <c r="L1080" s="6">
        <v>6.83</v>
      </c>
      <c r="M1080" s="6">
        <v>6.83</v>
      </c>
      <c r="N1080" s="6">
        <v>6.83</v>
      </c>
      <c r="O1080" s="6">
        <v>6.83</v>
      </c>
      <c r="P1080" s="6">
        <v>0</v>
      </c>
      <c r="Q1080" s="4" t="s">
        <v>26</v>
      </c>
      <c r="R1080" s="4">
        <v>0</v>
      </c>
      <c r="S1080" s="6">
        <v>0</v>
      </c>
      <c r="T1080" s="6">
        <v>31</v>
      </c>
      <c r="U1080" s="6">
        <v>79</v>
      </c>
      <c r="V1080" s="6">
        <f>IF(ISERROR(VLOOKUP($S$1080,'TAR FIN'!$A$1:$O$116,15,0)),0,VLOOKUP($S$1080,'TAR FIN'!$A$1:$O$116,15,0))</f>
        <v>0</v>
      </c>
      <c r="W1080" s="6">
        <f>IF(ISERROR(VLOOKUP($T$1080,'TAR FIN'!$A$1:$O$116,15,0)),0,VLOOKUP($T$1080,'TAR FIN'!$A$1:$O$116,15,0))</f>
        <v>88.66</v>
      </c>
      <c r="X1080" s="6">
        <f>IF(ISERROR(VLOOKUP($U$1080,'TAR FIN'!$A$1:$O$116,15,0)),0,VLOOKUP($U$1080,'TAR FIN'!$A$1:$O$116,15,0))</f>
        <v>311.04000000000002</v>
      </c>
      <c r="Y1080" s="6"/>
      <c r="Z1080" s="6">
        <f ca="1">('TUSD BE'!$AM$35+'TUSD BF'!$AM$35+'TUSD CVA'!$AM$35)*1</f>
        <v>137.4358543126599</v>
      </c>
      <c r="AA1080" s="6">
        <f>('TE BE'!$AB$10+'TE BF'!$AB$10+'TE CVA'!$AB$10)*1</f>
        <v>313.22907246928764</v>
      </c>
      <c r="AB1080" s="6">
        <f>$K$1080*$V$1080</f>
        <v>0</v>
      </c>
      <c r="AC1080" s="6">
        <f>$M$1080*$W$1080</f>
        <v>605.54779999999994</v>
      </c>
      <c r="AD1080" s="6">
        <f>$O$1080*$X$1080</f>
        <v>2124.4032000000002</v>
      </c>
      <c r="AE1080" s="6">
        <f>$K$1080*$Y$1080</f>
        <v>0</v>
      </c>
      <c r="AF1080" s="6">
        <f ca="1">$M$1080*$Z$1080</f>
        <v>938.68688495546712</v>
      </c>
      <c r="AG1080" s="6">
        <f>$O$1080*$AA$1080</f>
        <v>2139.3545649652347</v>
      </c>
    </row>
    <row r="1081" spans="1:33" ht="11.25" customHeight="1" x14ac:dyDescent="0.25">
      <c r="A1081" s="4" t="s">
        <v>21</v>
      </c>
      <c r="B1081" s="4" t="s">
        <v>41</v>
      </c>
      <c r="C1081" s="4" t="s">
        <v>42</v>
      </c>
      <c r="D1081" s="4" t="s">
        <v>46</v>
      </c>
      <c r="E1081" s="4" t="s">
        <v>25</v>
      </c>
      <c r="F1081" s="4" t="s">
        <v>25</v>
      </c>
      <c r="G1081" s="4" t="s">
        <v>25</v>
      </c>
      <c r="H1081" s="4" t="s">
        <v>35</v>
      </c>
      <c r="I1081" s="5">
        <v>44562</v>
      </c>
      <c r="J1081" s="6">
        <v>0</v>
      </c>
      <c r="K1081" s="6">
        <v>0</v>
      </c>
      <c r="L1081" s="6">
        <v>227.084</v>
      </c>
      <c r="M1081" s="6">
        <v>227.084</v>
      </c>
      <c r="N1081" s="6">
        <v>227.084</v>
      </c>
      <c r="O1081" s="6">
        <v>227.084</v>
      </c>
      <c r="P1081" s="6">
        <v>0</v>
      </c>
      <c r="Q1081" s="4" t="s">
        <v>26</v>
      </c>
      <c r="R1081" s="4">
        <v>0</v>
      </c>
      <c r="S1081" s="6">
        <v>0</v>
      </c>
      <c r="T1081" s="6">
        <v>31</v>
      </c>
      <c r="U1081" s="6">
        <v>79</v>
      </c>
      <c r="V1081" s="6">
        <f>IF(ISERROR(VLOOKUP($S$1081,'TAR FIN'!$A$1:$O$116,15,0)),0,VLOOKUP($S$1081,'TAR FIN'!$A$1:$O$116,15,0))</f>
        <v>0</v>
      </c>
      <c r="W1081" s="6">
        <f>IF(ISERROR(VLOOKUP($T$1081,'TAR FIN'!$A$1:$O$116,15,0)),0,VLOOKUP($T$1081,'TAR FIN'!$A$1:$O$116,15,0))</f>
        <v>88.66</v>
      </c>
      <c r="X1081" s="6">
        <f>IF(ISERROR(VLOOKUP($U$1081,'TAR FIN'!$A$1:$O$116,15,0)),0,VLOOKUP($U$1081,'TAR FIN'!$A$1:$O$116,15,0))</f>
        <v>311.04000000000002</v>
      </c>
      <c r="Y1081" s="6"/>
      <c r="Z1081" s="6">
        <f ca="1">('TUSD BE'!$AM$35+'TUSD BF'!$AM$35+'TUSD CVA'!$AM$35)*1</f>
        <v>137.4358543126599</v>
      </c>
      <c r="AA1081" s="6">
        <f>('TE BE'!$AB$10+'TE BF'!$AB$10+'TE CVA'!$AB$10)*1</f>
        <v>313.22907246928764</v>
      </c>
      <c r="AB1081" s="6">
        <f>$K$1081*$V$1081</f>
        <v>0</v>
      </c>
      <c r="AC1081" s="6">
        <f>$M$1081*$W$1081</f>
        <v>20133.26744</v>
      </c>
      <c r="AD1081" s="6">
        <f>$O$1081*$X$1081</f>
        <v>70632.20736</v>
      </c>
      <c r="AE1081" s="6">
        <f>$K$1081*$Y$1081</f>
        <v>0</v>
      </c>
      <c r="AF1081" s="6">
        <f ca="1">$M$1081*$Z$1081</f>
        <v>31209.483540736062</v>
      </c>
      <c r="AG1081" s="6">
        <f>$O$1081*$AA$1081</f>
        <v>71129.31069261572</v>
      </c>
    </row>
    <row r="1082" spans="1:33" ht="11.25" customHeight="1" x14ac:dyDescent="0.25">
      <c r="A1082" s="4" t="s">
        <v>28</v>
      </c>
      <c r="B1082" s="4" t="s">
        <v>41</v>
      </c>
      <c r="C1082" s="4" t="s">
        <v>42</v>
      </c>
      <c r="D1082" s="4" t="s">
        <v>46</v>
      </c>
      <c r="E1082" s="4" t="s">
        <v>25</v>
      </c>
      <c r="F1082" s="4" t="s">
        <v>25</v>
      </c>
      <c r="G1082" s="4" t="s">
        <v>25</v>
      </c>
      <c r="H1082" s="4" t="s">
        <v>35</v>
      </c>
      <c r="I1082" s="5">
        <v>44562</v>
      </c>
      <c r="J1082" s="6">
        <v>0</v>
      </c>
      <c r="K1082" s="6">
        <v>0</v>
      </c>
      <c r="L1082" s="6">
        <v>6.3840000000000003</v>
      </c>
      <c r="M1082" s="6">
        <v>6.3840000000000003</v>
      </c>
      <c r="N1082" s="6">
        <v>6.3840000000000003</v>
      </c>
      <c r="O1082" s="6">
        <v>6.3840000000000003</v>
      </c>
      <c r="P1082" s="6">
        <v>0</v>
      </c>
      <c r="Q1082" s="4" t="s">
        <v>26</v>
      </c>
      <c r="R1082" s="4">
        <v>0</v>
      </c>
      <c r="S1082" s="6">
        <v>0</v>
      </c>
      <c r="T1082" s="6">
        <v>31</v>
      </c>
      <c r="U1082" s="6">
        <v>79</v>
      </c>
      <c r="V1082" s="6">
        <f>IF(ISERROR(VLOOKUP($S$1082,'TAR FIN'!$A$1:$O$116,15,0)),0,VLOOKUP($S$1082,'TAR FIN'!$A$1:$O$116,15,0))</f>
        <v>0</v>
      </c>
      <c r="W1082" s="6">
        <f>IF(ISERROR(VLOOKUP($T$1082,'TAR FIN'!$A$1:$O$116,15,0)),0,VLOOKUP($T$1082,'TAR FIN'!$A$1:$O$116,15,0))</f>
        <v>88.66</v>
      </c>
      <c r="X1082" s="6">
        <f>IF(ISERROR(VLOOKUP($U$1082,'TAR FIN'!$A$1:$O$116,15,0)),0,VLOOKUP($U$1082,'TAR FIN'!$A$1:$O$116,15,0))</f>
        <v>311.04000000000002</v>
      </c>
      <c r="Y1082" s="6"/>
      <c r="Z1082" s="6">
        <f ca="1">('TUSD BE'!$AM$35+'TUSD BF'!$AM$35+'TUSD CVA'!$AM$35)*1</f>
        <v>137.4358543126599</v>
      </c>
      <c r="AA1082" s="6">
        <f>('TE BE'!$AB$10+'TE BF'!$AB$10+'TE CVA'!$AB$10)*1</f>
        <v>313.22907246928764</v>
      </c>
      <c r="AB1082" s="6">
        <f>$K$1082*$V$1082</f>
        <v>0</v>
      </c>
      <c r="AC1082" s="6">
        <f>$M$1082*$W$1082</f>
        <v>566.00544000000002</v>
      </c>
      <c r="AD1082" s="6">
        <f>$O$1082*$X$1082</f>
        <v>1985.6793600000003</v>
      </c>
      <c r="AE1082" s="6">
        <f>$K$1082*$Y$1082</f>
        <v>0</v>
      </c>
      <c r="AF1082" s="6">
        <f ca="1">$M$1082*$Z$1082</f>
        <v>877.39049393202083</v>
      </c>
      <c r="AG1082" s="6">
        <f>$O$1082*$AA$1082</f>
        <v>1999.6543986439324</v>
      </c>
    </row>
    <row r="1083" spans="1:33" ht="11.25" customHeight="1" x14ac:dyDescent="0.25">
      <c r="A1083" s="4" t="s">
        <v>21</v>
      </c>
      <c r="B1083" s="4" t="s">
        <v>41</v>
      </c>
      <c r="C1083" s="4" t="s">
        <v>42</v>
      </c>
      <c r="D1083" s="4" t="s">
        <v>46</v>
      </c>
      <c r="E1083" s="4" t="s">
        <v>25</v>
      </c>
      <c r="F1083" s="4" t="s">
        <v>25</v>
      </c>
      <c r="G1083" s="4" t="s">
        <v>25</v>
      </c>
      <c r="H1083" s="4" t="s">
        <v>35</v>
      </c>
      <c r="I1083" s="5">
        <v>44593</v>
      </c>
      <c r="J1083" s="6">
        <v>0</v>
      </c>
      <c r="K1083" s="6">
        <v>0</v>
      </c>
      <c r="L1083" s="6">
        <v>233.30799999999999</v>
      </c>
      <c r="M1083" s="6">
        <v>233.30799999999999</v>
      </c>
      <c r="N1083" s="6">
        <v>233.30799999999999</v>
      </c>
      <c r="O1083" s="6">
        <v>233.30799999999999</v>
      </c>
      <c r="P1083" s="6">
        <v>0</v>
      </c>
      <c r="Q1083" s="4" t="s">
        <v>26</v>
      </c>
      <c r="R1083" s="4">
        <v>0</v>
      </c>
      <c r="S1083" s="6">
        <v>0</v>
      </c>
      <c r="T1083" s="6">
        <v>31</v>
      </c>
      <c r="U1083" s="6">
        <v>79</v>
      </c>
      <c r="V1083" s="6">
        <f>IF(ISERROR(VLOOKUP($S$1083,'TAR FIN'!$A$1:$O$116,15,0)),0,VLOOKUP($S$1083,'TAR FIN'!$A$1:$O$116,15,0))</f>
        <v>0</v>
      </c>
      <c r="W1083" s="6">
        <f>IF(ISERROR(VLOOKUP($T$1083,'TAR FIN'!$A$1:$O$116,15,0)),0,VLOOKUP($T$1083,'TAR FIN'!$A$1:$O$116,15,0))</f>
        <v>88.66</v>
      </c>
      <c r="X1083" s="6">
        <f>IF(ISERROR(VLOOKUP($U$1083,'TAR FIN'!$A$1:$O$116,15,0)),0,VLOOKUP($U$1083,'TAR FIN'!$A$1:$O$116,15,0))</f>
        <v>311.04000000000002</v>
      </c>
      <c r="Y1083" s="6"/>
      <c r="Z1083" s="6">
        <f ca="1">('TUSD BE'!$AM$35+'TUSD BF'!$AM$35+'TUSD CVA'!$AM$35)*1</f>
        <v>137.4358543126599</v>
      </c>
      <c r="AA1083" s="6">
        <f>('TE BE'!$AB$10+'TE BF'!$AB$10+'TE CVA'!$AB$10)*1</f>
        <v>313.22907246928764</v>
      </c>
      <c r="AB1083" s="6">
        <f>$K$1083*$V$1083</f>
        <v>0</v>
      </c>
      <c r="AC1083" s="6">
        <f>$M$1083*$W$1083</f>
        <v>20685.08728</v>
      </c>
      <c r="AD1083" s="6">
        <f>$O$1083*$X$1083</f>
        <v>72568.120320000002</v>
      </c>
      <c r="AE1083" s="6">
        <f>$K$1083*$Y$1083</f>
        <v>0</v>
      </c>
      <c r="AF1083" s="6">
        <f ca="1">$M$1083*$Z$1083</f>
        <v>32064.884297978053</v>
      </c>
      <c r="AG1083" s="6">
        <f>$O$1083*$AA$1083</f>
        <v>73078.848439664565</v>
      </c>
    </row>
    <row r="1084" spans="1:33" ht="11.25" customHeight="1" x14ac:dyDescent="0.25">
      <c r="A1084" s="4" t="s">
        <v>28</v>
      </c>
      <c r="B1084" s="4" t="s">
        <v>41</v>
      </c>
      <c r="C1084" s="4" t="s">
        <v>42</v>
      </c>
      <c r="D1084" s="4" t="s">
        <v>46</v>
      </c>
      <c r="E1084" s="4" t="s">
        <v>25</v>
      </c>
      <c r="F1084" s="4" t="s">
        <v>25</v>
      </c>
      <c r="G1084" s="4" t="s">
        <v>25</v>
      </c>
      <c r="H1084" s="4" t="s">
        <v>35</v>
      </c>
      <c r="I1084" s="5">
        <v>44593</v>
      </c>
      <c r="J1084" s="6">
        <v>0</v>
      </c>
      <c r="K1084" s="6">
        <v>0</v>
      </c>
      <c r="L1084" s="6">
        <v>12.997999999999999</v>
      </c>
      <c r="M1084" s="6">
        <v>12.997999999999999</v>
      </c>
      <c r="N1084" s="6">
        <v>12.997999999999999</v>
      </c>
      <c r="O1084" s="6">
        <v>12.997999999999999</v>
      </c>
      <c r="P1084" s="6">
        <v>0</v>
      </c>
      <c r="Q1084" s="4" t="s">
        <v>26</v>
      </c>
      <c r="R1084" s="4">
        <v>0</v>
      </c>
      <c r="S1084" s="6">
        <v>0</v>
      </c>
      <c r="T1084" s="6">
        <v>31</v>
      </c>
      <c r="U1084" s="6">
        <v>79</v>
      </c>
      <c r="V1084" s="6">
        <f>IF(ISERROR(VLOOKUP($S$1084,'TAR FIN'!$A$1:$O$116,15,0)),0,VLOOKUP($S$1084,'TAR FIN'!$A$1:$O$116,15,0))</f>
        <v>0</v>
      </c>
      <c r="W1084" s="6">
        <f>IF(ISERROR(VLOOKUP($T$1084,'TAR FIN'!$A$1:$O$116,15,0)),0,VLOOKUP($T$1084,'TAR FIN'!$A$1:$O$116,15,0))</f>
        <v>88.66</v>
      </c>
      <c r="X1084" s="6">
        <f>IF(ISERROR(VLOOKUP($U$1084,'TAR FIN'!$A$1:$O$116,15,0)),0,VLOOKUP($U$1084,'TAR FIN'!$A$1:$O$116,15,0))</f>
        <v>311.04000000000002</v>
      </c>
      <c r="Y1084" s="6"/>
      <c r="Z1084" s="6">
        <f ca="1">('TUSD BE'!$AM$35+'TUSD BF'!$AM$35+'TUSD CVA'!$AM$35)*1</f>
        <v>137.4358543126599</v>
      </c>
      <c r="AA1084" s="6">
        <f>('TE BE'!$AB$10+'TE BF'!$AB$10+'TE CVA'!$AB$10)*1</f>
        <v>313.22907246928764</v>
      </c>
      <c r="AB1084" s="6">
        <f>$K$1084*$V$1084</f>
        <v>0</v>
      </c>
      <c r="AC1084" s="6">
        <f>$M$1084*$W$1084</f>
        <v>1152.4026799999999</v>
      </c>
      <c r="AD1084" s="6">
        <f>$O$1084*$X$1084</f>
        <v>4042.8979199999999</v>
      </c>
      <c r="AE1084" s="6">
        <f>$K$1084*$Y$1084</f>
        <v>0</v>
      </c>
      <c r="AF1084" s="6">
        <f ca="1">$M$1084*$Z$1084</f>
        <v>1786.3912343559532</v>
      </c>
      <c r="AG1084" s="6">
        <f>$O$1084*$AA$1084</f>
        <v>4071.3514839558006</v>
      </c>
    </row>
    <row r="1085" spans="1:33" ht="11.25" customHeight="1" x14ac:dyDescent="0.25">
      <c r="A1085" s="4" t="s">
        <v>21</v>
      </c>
      <c r="B1085" s="4" t="s">
        <v>41</v>
      </c>
      <c r="C1085" s="4" t="s">
        <v>42</v>
      </c>
      <c r="D1085" s="4" t="s">
        <v>46</v>
      </c>
      <c r="E1085" s="4" t="s">
        <v>25</v>
      </c>
      <c r="F1085" s="4" t="s">
        <v>25</v>
      </c>
      <c r="G1085" s="4" t="s">
        <v>25</v>
      </c>
      <c r="H1085" s="4" t="s">
        <v>35</v>
      </c>
      <c r="I1085" s="5">
        <v>44621</v>
      </c>
      <c r="J1085" s="6">
        <v>0</v>
      </c>
      <c r="K1085" s="6">
        <v>0</v>
      </c>
      <c r="L1085" s="6">
        <v>300.39699999999999</v>
      </c>
      <c r="M1085" s="6">
        <v>300.39699999999999</v>
      </c>
      <c r="N1085" s="6">
        <v>300.39699999999999</v>
      </c>
      <c r="O1085" s="6">
        <v>300.39699999999999</v>
      </c>
      <c r="P1085" s="6">
        <v>0</v>
      </c>
      <c r="Q1085" s="4" t="s">
        <v>26</v>
      </c>
      <c r="R1085" s="4">
        <v>0</v>
      </c>
      <c r="S1085" s="6">
        <v>0</v>
      </c>
      <c r="T1085" s="6">
        <v>31</v>
      </c>
      <c r="U1085" s="6">
        <v>79</v>
      </c>
      <c r="V1085" s="6">
        <f>IF(ISERROR(VLOOKUP($S$1085,'TAR FIN'!$A$1:$O$116,15,0)),0,VLOOKUP($S$1085,'TAR FIN'!$A$1:$O$116,15,0))</f>
        <v>0</v>
      </c>
      <c r="W1085" s="6">
        <f>IF(ISERROR(VLOOKUP($T$1085,'TAR FIN'!$A$1:$O$116,15,0)),0,VLOOKUP($T$1085,'TAR FIN'!$A$1:$O$116,15,0))</f>
        <v>88.66</v>
      </c>
      <c r="X1085" s="6">
        <f>IF(ISERROR(VLOOKUP($U$1085,'TAR FIN'!$A$1:$O$116,15,0)),0,VLOOKUP($U$1085,'TAR FIN'!$A$1:$O$116,15,0))</f>
        <v>311.04000000000002</v>
      </c>
      <c r="Y1085" s="6"/>
      <c r="Z1085" s="6">
        <f ca="1">('TUSD BE'!$AM$35+'TUSD BF'!$AM$35+'TUSD CVA'!$AM$35)*1</f>
        <v>137.4358543126599</v>
      </c>
      <c r="AA1085" s="6">
        <f>('TE BE'!$AB$10+'TE BF'!$AB$10+'TE CVA'!$AB$10)*1</f>
        <v>313.22907246928764</v>
      </c>
      <c r="AB1085" s="6">
        <f>$K$1085*$V$1085</f>
        <v>0</v>
      </c>
      <c r="AC1085" s="6">
        <f>$M$1085*$W$1085</f>
        <v>26633.19802</v>
      </c>
      <c r="AD1085" s="6">
        <f>$O$1085*$X$1085</f>
        <v>93435.48288000001</v>
      </c>
      <c r="AE1085" s="6">
        <f>$K$1085*$Y$1085</f>
        <v>0</v>
      </c>
      <c r="AF1085" s="6">
        <f ca="1">$M$1085*$Z$1085</f>
        <v>41285.318327960093</v>
      </c>
      <c r="AG1085" s="6">
        <f>$O$1085*$AA$1085</f>
        <v>94093.073682556598</v>
      </c>
    </row>
    <row r="1086" spans="1:33" ht="11.25" customHeight="1" x14ac:dyDescent="0.25">
      <c r="A1086" s="4" t="s">
        <v>27</v>
      </c>
      <c r="B1086" s="4" t="s">
        <v>41</v>
      </c>
      <c r="C1086" s="4" t="s">
        <v>42</v>
      </c>
      <c r="D1086" s="4" t="s">
        <v>46</v>
      </c>
      <c r="E1086" s="4" t="s">
        <v>25</v>
      </c>
      <c r="F1086" s="4" t="s">
        <v>25</v>
      </c>
      <c r="G1086" s="4" t="s">
        <v>25</v>
      </c>
      <c r="H1086" s="4" t="s">
        <v>35</v>
      </c>
      <c r="I1086" s="5">
        <v>44621</v>
      </c>
      <c r="J1086" s="6">
        <v>0</v>
      </c>
      <c r="K1086" s="6">
        <v>0</v>
      </c>
      <c r="L1086" s="6">
        <v>36.244</v>
      </c>
      <c r="M1086" s="6">
        <v>36.244</v>
      </c>
      <c r="N1086" s="6">
        <v>36.244</v>
      </c>
      <c r="O1086" s="6">
        <v>36.244</v>
      </c>
      <c r="P1086" s="6">
        <v>0</v>
      </c>
      <c r="Q1086" s="4" t="s">
        <v>26</v>
      </c>
      <c r="R1086" s="4">
        <v>0</v>
      </c>
      <c r="S1086" s="6">
        <v>0</v>
      </c>
      <c r="T1086" s="6">
        <v>31</v>
      </c>
      <c r="U1086" s="6">
        <v>79</v>
      </c>
      <c r="V1086" s="6">
        <f>IF(ISERROR(VLOOKUP($S$1086,'TAR FIN'!$A$1:$O$116,15,0)),0,VLOOKUP($S$1086,'TAR FIN'!$A$1:$O$116,15,0))</f>
        <v>0</v>
      </c>
      <c r="W1086" s="6">
        <f>IF(ISERROR(VLOOKUP($T$1086,'TAR FIN'!$A$1:$O$116,15,0)),0,VLOOKUP($T$1086,'TAR FIN'!$A$1:$O$116,15,0))</f>
        <v>88.66</v>
      </c>
      <c r="X1086" s="6">
        <f>IF(ISERROR(VLOOKUP($U$1086,'TAR FIN'!$A$1:$O$116,15,0)),0,VLOOKUP($U$1086,'TAR FIN'!$A$1:$O$116,15,0))</f>
        <v>311.04000000000002</v>
      </c>
      <c r="Y1086" s="6"/>
      <c r="Z1086" s="6">
        <f ca="1">('TUSD BE'!$AM$35+'TUSD BF'!$AM$35+'TUSD CVA'!$AM$35)*1</f>
        <v>137.4358543126599</v>
      </c>
      <c r="AA1086" s="6">
        <f>('TE BE'!$AB$10+'TE BF'!$AB$10+'TE CVA'!$AB$10)*1</f>
        <v>313.22907246928764</v>
      </c>
      <c r="AB1086" s="6">
        <f>$K$1086*$V$1086</f>
        <v>0</v>
      </c>
      <c r="AC1086" s="6">
        <f>$M$1086*$W$1086</f>
        <v>3213.3930399999999</v>
      </c>
      <c r="AD1086" s="6">
        <f>$O$1086*$X$1086</f>
        <v>11273.333760000001</v>
      </c>
      <c r="AE1086" s="6">
        <f>$K$1086*$Y$1086</f>
        <v>0</v>
      </c>
      <c r="AF1086" s="6">
        <f ca="1">$M$1086*$Z$1086</f>
        <v>4981.225103708045</v>
      </c>
      <c r="AG1086" s="6">
        <f>$O$1086*$AA$1086</f>
        <v>11352.674502576861</v>
      </c>
    </row>
    <row r="1087" spans="1:33" ht="11.25" customHeight="1" x14ac:dyDescent="0.25">
      <c r="A1087" s="4" t="s">
        <v>28</v>
      </c>
      <c r="B1087" s="4" t="s">
        <v>41</v>
      </c>
      <c r="C1087" s="4" t="s">
        <v>42</v>
      </c>
      <c r="D1087" s="4" t="s">
        <v>46</v>
      </c>
      <c r="E1087" s="4" t="s">
        <v>25</v>
      </c>
      <c r="F1087" s="4" t="s">
        <v>25</v>
      </c>
      <c r="G1087" s="4" t="s">
        <v>25</v>
      </c>
      <c r="H1087" s="4" t="s">
        <v>35</v>
      </c>
      <c r="I1087" s="5">
        <v>44621</v>
      </c>
      <c r="J1087" s="6">
        <v>0</v>
      </c>
      <c r="K1087" s="6">
        <v>0</v>
      </c>
      <c r="L1087" s="6">
        <v>10.294</v>
      </c>
      <c r="M1087" s="6">
        <v>10.294</v>
      </c>
      <c r="N1087" s="6">
        <v>10.294</v>
      </c>
      <c r="O1087" s="6">
        <v>10.294</v>
      </c>
      <c r="P1087" s="6">
        <v>0</v>
      </c>
      <c r="Q1087" s="4" t="s">
        <v>26</v>
      </c>
      <c r="R1087" s="4">
        <v>0</v>
      </c>
      <c r="S1087" s="6">
        <v>0</v>
      </c>
      <c r="T1087" s="6">
        <v>31</v>
      </c>
      <c r="U1087" s="6">
        <v>79</v>
      </c>
      <c r="V1087" s="6">
        <f>IF(ISERROR(VLOOKUP($S$1087,'TAR FIN'!$A$1:$O$116,15,0)),0,VLOOKUP($S$1087,'TAR FIN'!$A$1:$O$116,15,0))</f>
        <v>0</v>
      </c>
      <c r="W1087" s="6">
        <f>IF(ISERROR(VLOOKUP($T$1087,'TAR FIN'!$A$1:$O$116,15,0)),0,VLOOKUP($T$1087,'TAR FIN'!$A$1:$O$116,15,0))</f>
        <v>88.66</v>
      </c>
      <c r="X1087" s="6">
        <f>IF(ISERROR(VLOOKUP($U$1087,'TAR FIN'!$A$1:$O$116,15,0)),0,VLOOKUP($U$1087,'TAR FIN'!$A$1:$O$116,15,0))</f>
        <v>311.04000000000002</v>
      </c>
      <c r="Y1087" s="6"/>
      <c r="Z1087" s="6">
        <f ca="1">('TUSD BE'!$AM$35+'TUSD BF'!$AM$35+'TUSD CVA'!$AM$35)*1</f>
        <v>137.4358543126599</v>
      </c>
      <c r="AA1087" s="6">
        <f>('TE BE'!$AB$10+'TE BF'!$AB$10+'TE CVA'!$AB$10)*1</f>
        <v>313.22907246928764</v>
      </c>
      <c r="AB1087" s="6">
        <f>$K$1087*$V$1087</f>
        <v>0</v>
      </c>
      <c r="AC1087" s="6">
        <f>$M$1087*$W$1087</f>
        <v>912.66603999999995</v>
      </c>
      <c r="AD1087" s="6">
        <f>$O$1087*$X$1087</f>
        <v>3201.8457600000002</v>
      </c>
      <c r="AE1087" s="6">
        <f>$K$1087*$Y$1087</f>
        <v>0</v>
      </c>
      <c r="AF1087" s="6">
        <f ca="1">$M$1087*$Z$1087</f>
        <v>1414.764684294521</v>
      </c>
      <c r="AG1087" s="6">
        <f>$O$1087*$AA$1087</f>
        <v>3224.3800719988471</v>
      </c>
    </row>
    <row r="1088" spans="1:33" ht="11.25" customHeight="1" x14ac:dyDescent="0.25">
      <c r="A1088" s="4" t="s">
        <v>21</v>
      </c>
      <c r="B1088" s="4" t="s">
        <v>41</v>
      </c>
      <c r="C1088" s="4" t="s">
        <v>42</v>
      </c>
      <c r="D1088" s="4" t="s">
        <v>46</v>
      </c>
      <c r="E1088" s="4" t="s">
        <v>25</v>
      </c>
      <c r="F1088" s="4" t="s">
        <v>25</v>
      </c>
      <c r="G1088" s="4" t="s">
        <v>25</v>
      </c>
      <c r="H1088" s="4" t="s">
        <v>35</v>
      </c>
      <c r="I1088" s="5">
        <v>44652</v>
      </c>
      <c r="J1088" s="6">
        <v>0</v>
      </c>
      <c r="K1088" s="6">
        <v>0</v>
      </c>
      <c r="L1088" s="6">
        <v>337.90699999999998</v>
      </c>
      <c r="M1088" s="6">
        <v>337.90699999999998</v>
      </c>
      <c r="N1088" s="6">
        <v>337.90699999999998</v>
      </c>
      <c r="O1088" s="6">
        <v>337.90699999999998</v>
      </c>
      <c r="P1088" s="6">
        <v>0</v>
      </c>
      <c r="Q1088" s="4" t="s">
        <v>26</v>
      </c>
      <c r="R1088" s="4">
        <v>0</v>
      </c>
      <c r="S1088" s="6">
        <v>0</v>
      </c>
      <c r="T1088" s="6">
        <v>31</v>
      </c>
      <c r="U1088" s="6">
        <v>79</v>
      </c>
      <c r="V1088" s="6">
        <f>IF(ISERROR(VLOOKUP($S$1088,'TAR FIN'!$A$1:$O$116,15,0)),0,VLOOKUP($S$1088,'TAR FIN'!$A$1:$O$116,15,0))</f>
        <v>0</v>
      </c>
      <c r="W1088" s="6">
        <f>IF(ISERROR(VLOOKUP($T$1088,'TAR FIN'!$A$1:$O$116,15,0)),0,VLOOKUP($T$1088,'TAR FIN'!$A$1:$O$116,15,0))</f>
        <v>88.66</v>
      </c>
      <c r="X1088" s="6">
        <f>IF(ISERROR(VLOOKUP($U$1088,'TAR FIN'!$A$1:$O$116,15,0)),0,VLOOKUP($U$1088,'TAR FIN'!$A$1:$O$116,15,0))</f>
        <v>311.04000000000002</v>
      </c>
      <c r="Y1088" s="6"/>
      <c r="Z1088" s="6">
        <f ca="1">('TUSD BE'!$AM$35+'TUSD BF'!$AM$35+'TUSD CVA'!$AM$35)*1</f>
        <v>137.4358543126599</v>
      </c>
      <c r="AA1088" s="6">
        <f>('TE BE'!$AB$10+'TE BF'!$AB$10+'TE CVA'!$AB$10)*1</f>
        <v>313.22907246928764</v>
      </c>
      <c r="AB1088" s="6">
        <f>$K$1088*$V$1088</f>
        <v>0</v>
      </c>
      <c r="AC1088" s="6">
        <f>$M$1088*$W$1088</f>
        <v>29958.834619999998</v>
      </c>
      <c r="AD1088" s="6">
        <f>$O$1088*$X$1088</f>
        <v>105102.59328</v>
      </c>
      <c r="AE1088" s="6">
        <f>$K$1088*$Y$1088</f>
        <v>0</v>
      </c>
      <c r="AF1088" s="6">
        <f ca="1">$M$1088*$Z$1088</f>
        <v>46440.537223227962</v>
      </c>
      <c r="AG1088" s="6">
        <f>$O$1088*$AA$1088</f>
        <v>105842.29619087957</v>
      </c>
    </row>
    <row r="1089" spans="1:33" ht="11.25" customHeight="1" x14ac:dyDescent="0.25">
      <c r="A1089" s="4" t="s">
        <v>28</v>
      </c>
      <c r="B1089" s="4" t="s">
        <v>41</v>
      </c>
      <c r="C1089" s="4" t="s">
        <v>42</v>
      </c>
      <c r="D1089" s="4" t="s">
        <v>46</v>
      </c>
      <c r="E1089" s="4" t="s">
        <v>25</v>
      </c>
      <c r="F1089" s="4" t="s">
        <v>25</v>
      </c>
      <c r="G1089" s="4" t="s">
        <v>25</v>
      </c>
      <c r="H1089" s="4" t="s">
        <v>35</v>
      </c>
      <c r="I1089" s="5">
        <v>44652</v>
      </c>
      <c r="J1089" s="6">
        <v>0</v>
      </c>
      <c r="K1089" s="6">
        <v>0</v>
      </c>
      <c r="L1089" s="6">
        <v>15.243</v>
      </c>
      <c r="M1089" s="6">
        <v>15.243</v>
      </c>
      <c r="N1089" s="6">
        <v>15.243</v>
      </c>
      <c r="O1089" s="6">
        <v>15.243</v>
      </c>
      <c r="P1089" s="6">
        <v>0</v>
      </c>
      <c r="Q1089" s="4" t="s">
        <v>26</v>
      </c>
      <c r="R1089" s="4">
        <v>0</v>
      </c>
      <c r="S1089" s="6">
        <v>0</v>
      </c>
      <c r="T1089" s="6">
        <v>31</v>
      </c>
      <c r="U1089" s="6">
        <v>79</v>
      </c>
      <c r="V1089" s="6">
        <f>IF(ISERROR(VLOOKUP($S$1089,'TAR FIN'!$A$1:$O$116,15,0)),0,VLOOKUP($S$1089,'TAR FIN'!$A$1:$O$116,15,0))</f>
        <v>0</v>
      </c>
      <c r="W1089" s="6">
        <f>IF(ISERROR(VLOOKUP($T$1089,'TAR FIN'!$A$1:$O$116,15,0)),0,VLOOKUP($T$1089,'TAR FIN'!$A$1:$O$116,15,0))</f>
        <v>88.66</v>
      </c>
      <c r="X1089" s="6">
        <f>IF(ISERROR(VLOOKUP($U$1089,'TAR FIN'!$A$1:$O$116,15,0)),0,VLOOKUP($U$1089,'TAR FIN'!$A$1:$O$116,15,0))</f>
        <v>311.04000000000002</v>
      </c>
      <c r="Y1089" s="6"/>
      <c r="Z1089" s="6">
        <f ca="1">('TUSD BE'!$AM$35+'TUSD BF'!$AM$35+'TUSD CVA'!$AM$35)*1</f>
        <v>137.4358543126599</v>
      </c>
      <c r="AA1089" s="6">
        <f>('TE BE'!$AB$10+'TE BF'!$AB$10+'TE CVA'!$AB$10)*1</f>
        <v>313.22907246928764</v>
      </c>
      <c r="AB1089" s="6">
        <f>$K$1089*$V$1089</f>
        <v>0</v>
      </c>
      <c r="AC1089" s="6">
        <f>$M$1089*$W$1089</f>
        <v>1351.4443799999999</v>
      </c>
      <c r="AD1089" s="6">
        <f>$O$1089*$X$1089</f>
        <v>4741.1827200000007</v>
      </c>
      <c r="AE1089" s="6">
        <f>$K$1089*$Y$1089</f>
        <v>0</v>
      </c>
      <c r="AF1089" s="6">
        <f ca="1">$M$1089*$Z$1089</f>
        <v>2094.9347272878749</v>
      </c>
      <c r="AG1089" s="6">
        <f>$O$1089*$AA$1089</f>
        <v>4774.5507516493517</v>
      </c>
    </row>
    <row r="1090" spans="1:33" ht="11.25" customHeight="1" x14ac:dyDescent="0.25">
      <c r="A1090" s="4" t="s">
        <v>58</v>
      </c>
      <c r="B1090" s="4" t="s">
        <v>41</v>
      </c>
      <c r="C1090" s="4" t="s">
        <v>42</v>
      </c>
      <c r="D1090" s="4" t="s">
        <v>46</v>
      </c>
      <c r="E1090" s="4" t="s">
        <v>25</v>
      </c>
      <c r="F1090" s="4" t="s">
        <v>25</v>
      </c>
      <c r="G1090" s="4" t="s">
        <v>25</v>
      </c>
      <c r="H1090" s="4" t="s">
        <v>35</v>
      </c>
      <c r="I1090" s="5">
        <v>44682</v>
      </c>
      <c r="J1090" s="6">
        <v>0</v>
      </c>
      <c r="K1090" s="6">
        <v>0</v>
      </c>
      <c r="L1090" s="6">
        <v>337.90699999999998</v>
      </c>
      <c r="M1090" s="6">
        <v>337.90699999999998</v>
      </c>
      <c r="N1090" s="6">
        <v>337.90699999999998</v>
      </c>
      <c r="O1090" s="6">
        <v>337.90699999999998</v>
      </c>
      <c r="P1090" s="6">
        <v>0</v>
      </c>
      <c r="Q1090" s="4" t="s">
        <v>26</v>
      </c>
      <c r="R1090" s="4">
        <v>0</v>
      </c>
      <c r="S1090" s="6">
        <v>0</v>
      </c>
      <c r="T1090" s="6">
        <v>31</v>
      </c>
      <c r="U1090" s="6">
        <v>79</v>
      </c>
      <c r="V1090" s="6">
        <f>IF(ISERROR(VLOOKUP($S$1090,'TAR FIN'!$A$1:$O$116,15,0)),0,VLOOKUP($S$1090,'TAR FIN'!$A$1:$O$116,15,0))</f>
        <v>0</v>
      </c>
      <c r="W1090" s="6">
        <f>IF(ISERROR(VLOOKUP($T$1090,'TAR FIN'!$A$1:$O$116,15,0)),0,VLOOKUP($T$1090,'TAR FIN'!$A$1:$O$116,15,0))</f>
        <v>88.66</v>
      </c>
      <c r="X1090" s="6">
        <f>IF(ISERROR(VLOOKUP($U$1090,'TAR FIN'!$A$1:$O$116,15,0)),0,VLOOKUP($U$1090,'TAR FIN'!$A$1:$O$116,15,0))</f>
        <v>311.04000000000002</v>
      </c>
      <c r="Y1090" s="6"/>
      <c r="Z1090" s="6">
        <f ca="1">('TUSD BE'!$AM$35+'TUSD BF'!$AM$35+'TUSD CVA'!$AM$35)*1</f>
        <v>137.4358543126599</v>
      </c>
      <c r="AA1090" s="6">
        <f>('TE BE'!$AB$10+'TE BF'!$AB$10+'TE CVA'!$AB$10)*1</f>
        <v>313.22907246928764</v>
      </c>
      <c r="AB1090" s="6">
        <f>$K$1090*$V$1090</f>
        <v>0</v>
      </c>
      <c r="AC1090" s="6">
        <f>$M$1090*$W$1090</f>
        <v>29958.834619999998</v>
      </c>
      <c r="AD1090" s="6">
        <f>$O$1090*$X$1090</f>
        <v>105102.59328</v>
      </c>
      <c r="AE1090" s="6">
        <f>$K$1090*$Y$1090</f>
        <v>0</v>
      </c>
      <c r="AF1090" s="6">
        <f ca="1">$M$1090*$Z$1090</f>
        <v>46440.537223227962</v>
      </c>
      <c r="AG1090" s="6">
        <f>$O$1090*$AA$1090</f>
        <v>105842.29619087957</v>
      </c>
    </row>
    <row r="1091" spans="1:33" ht="11.25" customHeight="1" x14ac:dyDescent="0.25">
      <c r="A1091" s="4" t="s">
        <v>58</v>
      </c>
      <c r="B1091" s="4" t="s">
        <v>41</v>
      </c>
      <c r="C1091" s="4" t="s">
        <v>42</v>
      </c>
      <c r="D1091" s="4" t="s">
        <v>46</v>
      </c>
      <c r="E1091" s="4" t="s">
        <v>25</v>
      </c>
      <c r="F1091" s="4" t="s">
        <v>25</v>
      </c>
      <c r="G1091" s="4" t="s">
        <v>25</v>
      </c>
      <c r="H1091" s="4" t="s">
        <v>35</v>
      </c>
      <c r="I1091" s="5">
        <v>44682</v>
      </c>
      <c r="J1091" s="6">
        <v>0</v>
      </c>
      <c r="K1091" s="6">
        <v>0</v>
      </c>
      <c r="L1091" s="6">
        <v>15.243</v>
      </c>
      <c r="M1091" s="6">
        <v>15.243</v>
      </c>
      <c r="N1091" s="6">
        <v>15.243</v>
      </c>
      <c r="O1091" s="6">
        <v>15.243</v>
      </c>
      <c r="P1091" s="6">
        <v>0</v>
      </c>
      <c r="Q1091" s="4" t="s">
        <v>26</v>
      </c>
      <c r="R1091" s="4">
        <v>0</v>
      </c>
      <c r="S1091" s="6">
        <v>0</v>
      </c>
      <c r="T1091" s="6">
        <v>31</v>
      </c>
      <c r="U1091" s="6">
        <v>79</v>
      </c>
      <c r="V1091" s="6">
        <f>IF(ISERROR(VLOOKUP($S$1091,'TAR FIN'!$A$1:$O$116,15,0)),0,VLOOKUP($S$1091,'TAR FIN'!$A$1:$O$116,15,0))</f>
        <v>0</v>
      </c>
      <c r="W1091" s="6">
        <f>IF(ISERROR(VLOOKUP($T$1091,'TAR FIN'!$A$1:$O$116,15,0)),0,VLOOKUP($T$1091,'TAR FIN'!$A$1:$O$116,15,0))</f>
        <v>88.66</v>
      </c>
      <c r="X1091" s="6">
        <f>IF(ISERROR(VLOOKUP($U$1091,'TAR FIN'!$A$1:$O$116,15,0)),0,VLOOKUP($U$1091,'TAR FIN'!$A$1:$O$116,15,0))</f>
        <v>311.04000000000002</v>
      </c>
      <c r="Y1091" s="6"/>
      <c r="Z1091" s="6">
        <f ca="1">('TUSD BE'!$AM$35+'TUSD BF'!$AM$35+'TUSD CVA'!$AM$35)*1</f>
        <v>137.4358543126599</v>
      </c>
      <c r="AA1091" s="6">
        <f>('TE BE'!$AB$10+'TE BF'!$AB$10+'TE CVA'!$AB$10)*1</f>
        <v>313.22907246928764</v>
      </c>
      <c r="AB1091" s="6">
        <f>$K$1091*$V$1091</f>
        <v>0</v>
      </c>
      <c r="AC1091" s="6">
        <f>$M$1091*$W$1091</f>
        <v>1351.4443799999999</v>
      </c>
      <c r="AD1091" s="6">
        <f>$O$1091*$X$1091</f>
        <v>4741.1827200000007</v>
      </c>
      <c r="AE1091" s="6">
        <f>$K$1091*$Y$1091</f>
        <v>0</v>
      </c>
      <c r="AF1091" s="6">
        <f ca="1">$M$1091*$Z$1091</f>
        <v>2094.9347272878749</v>
      </c>
      <c r="AG1091" s="6">
        <f>$O$1091*$AA$1091</f>
        <v>4774.5507516493517</v>
      </c>
    </row>
    <row r="1092" spans="1:33" ht="11.25" customHeight="1" x14ac:dyDescent="0.25">
      <c r="A1092" s="4" t="s">
        <v>21</v>
      </c>
      <c r="B1092" s="4" t="s">
        <v>41</v>
      </c>
      <c r="C1092" s="4" t="s">
        <v>42</v>
      </c>
      <c r="D1092" s="4" t="s">
        <v>46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44348</v>
      </c>
      <c r="J1092" s="6">
        <v>2364</v>
      </c>
      <c r="K1092" s="6">
        <v>2364</v>
      </c>
      <c r="L1092" s="6">
        <v>0</v>
      </c>
      <c r="M1092" s="6">
        <v>0</v>
      </c>
      <c r="N1092" s="6">
        <v>0</v>
      </c>
      <c r="O1092" s="6">
        <v>0</v>
      </c>
      <c r="P1092" s="6">
        <v>31</v>
      </c>
      <c r="Q1092" s="4" t="s">
        <v>26</v>
      </c>
      <c r="R1092" s="4">
        <v>0</v>
      </c>
      <c r="S1092" s="6">
        <v>29</v>
      </c>
      <c r="T1092" s="6">
        <v>0</v>
      </c>
      <c r="U1092" s="6">
        <v>0</v>
      </c>
      <c r="V1092" s="6">
        <f>IF(ISERROR(VLOOKUP($S$1092,'TAR FIN'!$A$1:$O$116,15,0)),0,VLOOKUP($S$1092,'TAR FIN'!$A$1:$O$116,15,0))</f>
        <v>25.51</v>
      </c>
      <c r="W1092" s="6">
        <f>IF(ISERROR(VLOOKUP($T$1092,'TAR FIN'!$A$1:$O$116,15,0)),0,VLOOKUP($T$1092,'TAR FIN'!$A$1:$O$116,15,0))</f>
        <v>0</v>
      </c>
      <c r="X1092" s="6">
        <f>IF(ISERROR(VLOOKUP($U$1092,'TAR FIN'!$A$1:$O$116,15,0)),0,VLOOKUP($U$1092,'TAR FIN'!$A$1:$O$116,15,0))</f>
        <v>0</v>
      </c>
      <c r="Y1092" s="6">
        <f ca="1">('TUSD BE'!$AM$33+'TUSD BF'!$AM$33+'TUSD CVA'!$AM$33)*1</f>
        <v>29.803266797877356</v>
      </c>
      <c r="Z1092" s="6"/>
      <c r="AA1092" s="6"/>
      <c r="AB1092" s="6">
        <f>$K$1092*$V$1092</f>
        <v>60305.640000000007</v>
      </c>
      <c r="AC1092" s="6">
        <f>$M$1092*$W$1092</f>
        <v>0</v>
      </c>
      <c r="AD1092" s="6">
        <f>$O$1092*$X$1092</f>
        <v>0</v>
      </c>
      <c r="AE1092" s="6">
        <f ca="1">$K$1092*$Y$1092</f>
        <v>70454.922710182072</v>
      </c>
      <c r="AF1092" s="6">
        <f>$M$1092*$Z$1092</f>
        <v>0</v>
      </c>
      <c r="AG1092" s="6">
        <f>$O$1092*$AA$1092</f>
        <v>0</v>
      </c>
    </row>
    <row r="1093" spans="1:33" ht="11.25" customHeight="1" x14ac:dyDescent="0.25">
      <c r="A1093" s="4" t="s">
        <v>28</v>
      </c>
      <c r="B1093" s="4" t="s">
        <v>41</v>
      </c>
      <c r="C1093" s="4" t="s">
        <v>42</v>
      </c>
      <c r="D1093" s="4" t="s">
        <v>46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44348</v>
      </c>
      <c r="J1093" s="6">
        <v>277</v>
      </c>
      <c r="K1093" s="6">
        <v>277</v>
      </c>
      <c r="L1093" s="6">
        <v>0</v>
      </c>
      <c r="M1093" s="6">
        <v>0</v>
      </c>
      <c r="N1093" s="6">
        <v>0</v>
      </c>
      <c r="O1093" s="6">
        <v>0</v>
      </c>
      <c r="P1093" s="6">
        <v>4</v>
      </c>
      <c r="Q1093" s="4" t="s">
        <v>26</v>
      </c>
      <c r="R1093" s="4">
        <v>0</v>
      </c>
      <c r="S1093" s="6">
        <v>29</v>
      </c>
      <c r="T1093" s="6">
        <v>0</v>
      </c>
      <c r="U1093" s="6">
        <v>0</v>
      </c>
      <c r="V1093" s="6">
        <f>IF(ISERROR(VLOOKUP($S$1093,'TAR FIN'!$A$1:$O$116,15,0)),0,VLOOKUP($S$1093,'TAR FIN'!$A$1:$O$116,15,0))</f>
        <v>25.51</v>
      </c>
      <c r="W1093" s="6">
        <f>IF(ISERROR(VLOOKUP($T$1093,'TAR FIN'!$A$1:$O$116,15,0)),0,VLOOKUP($T$1093,'TAR FIN'!$A$1:$O$116,15,0))</f>
        <v>0</v>
      </c>
      <c r="X1093" s="6">
        <f>IF(ISERROR(VLOOKUP($U$1093,'TAR FIN'!$A$1:$O$116,15,0)),0,VLOOKUP($U$1093,'TAR FIN'!$A$1:$O$116,15,0))</f>
        <v>0</v>
      </c>
      <c r="Y1093" s="6">
        <f ca="1">('TUSD BE'!$AM$33+'TUSD BF'!$AM$33+'TUSD CVA'!$AM$33)*1</f>
        <v>29.803266797877356</v>
      </c>
      <c r="Z1093" s="6"/>
      <c r="AA1093" s="6"/>
      <c r="AB1093" s="6">
        <f>$K$1093*$V$1093</f>
        <v>7066.27</v>
      </c>
      <c r="AC1093" s="6">
        <f>$M$1093*$W$1093</f>
        <v>0</v>
      </c>
      <c r="AD1093" s="6">
        <f>$O$1093*$X$1093</f>
        <v>0</v>
      </c>
      <c r="AE1093" s="6">
        <f ca="1">$K$1093*$Y$1093</f>
        <v>8255.5049030120281</v>
      </c>
      <c r="AF1093" s="6">
        <f>$M$1093*$Z$1093</f>
        <v>0</v>
      </c>
      <c r="AG1093" s="6">
        <f>$O$1093*$AA$1093</f>
        <v>0</v>
      </c>
    </row>
    <row r="1094" spans="1:33" ht="11.25" customHeight="1" x14ac:dyDescent="0.25">
      <c r="A1094" s="4" t="s">
        <v>21</v>
      </c>
      <c r="B1094" s="4" t="s">
        <v>41</v>
      </c>
      <c r="C1094" s="4" t="s">
        <v>42</v>
      </c>
      <c r="D1094" s="4" t="s">
        <v>46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44378</v>
      </c>
      <c r="J1094" s="6">
        <v>2127</v>
      </c>
      <c r="K1094" s="6">
        <v>2127</v>
      </c>
      <c r="L1094" s="6">
        <v>0</v>
      </c>
      <c r="M1094" s="6">
        <v>0</v>
      </c>
      <c r="N1094" s="6">
        <v>0</v>
      </c>
      <c r="O1094" s="6">
        <v>0</v>
      </c>
      <c r="P1094" s="6">
        <v>30</v>
      </c>
      <c r="Q1094" s="4" t="s">
        <v>26</v>
      </c>
      <c r="R1094" s="4">
        <v>0</v>
      </c>
      <c r="S1094" s="6">
        <v>29</v>
      </c>
      <c r="T1094" s="6">
        <v>0</v>
      </c>
      <c r="U1094" s="6">
        <v>0</v>
      </c>
      <c r="V1094" s="6">
        <f>IF(ISERROR(VLOOKUP($S$1094,'TAR FIN'!$A$1:$O$116,15,0)),0,VLOOKUP($S$1094,'TAR FIN'!$A$1:$O$116,15,0))</f>
        <v>25.51</v>
      </c>
      <c r="W1094" s="6">
        <f>IF(ISERROR(VLOOKUP($T$1094,'TAR FIN'!$A$1:$O$116,15,0)),0,VLOOKUP($T$1094,'TAR FIN'!$A$1:$O$116,15,0))</f>
        <v>0</v>
      </c>
      <c r="X1094" s="6">
        <f>IF(ISERROR(VLOOKUP($U$1094,'TAR FIN'!$A$1:$O$116,15,0)),0,VLOOKUP($U$1094,'TAR FIN'!$A$1:$O$116,15,0))</f>
        <v>0</v>
      </c>
      <c r="Y1094" s="6">
        <f ca="1">('TUSD BE'!$AM$33+'TUSD BF'!$AM$33+'TUSD CVA'!$AM$33)*1</f>
        <v>29.803266797877356</v>
      </c>
      <c r="Z1094" s="6"/>
      <c r="AA1094" s="6"/>
      <c r="AB1094" s="6">
        <f>$K$1094*$V$1094</f>
        <v>54259.770000000004</v>
      </c>
      <c r="AC1094" s="6">
        <f>$M$1094*$W$1094</f>
        <v>0</v>
      </c>
      <c r="AD1094" s="6">
        <f>$O$1094*$X$1094</f>
        <v>0</v>
      </c>
      <c r="AE1094" s="6">
        <f ca="1">$K$1094*$Y$1094</f>
        <v>63391.548479085133</v>
      </c>
      <c r="AF1094" s="6">
        <f>$M$1094*$Z$1094</f>
        <v>0</v>
      </c>
      <c r="AG1094" s="6">
        <f>$O$1094*$AA$1094</f>
        <v>0</v>
      </c>
    </row>
    <row r="1095" spans="1:33" ht="11.25" customHeight="1" x14ac:dyDescent="0.25">
      <c r="A1095" s="4" t="s">
        <v>28</v>
      </c>
      <c r="B1095" s="4" t="s">
        <v>41</v>
      </c>
      <c r="C1095" s="4" t="s">
        <v>42</v>
      </c>
      <c r="D1095" s="4" t="s">
        <v>46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44378</v>
      </c>
      <c r="J1095" s="6">
        <v>277</v>
      </c>
      <c r="K1095" s="6">
        <v>277</v>
      </c>
      <c r="L1095" s="6">
        <v>0</v>
      </c>
      <c r="M1095" s="6">
        <v>0</v>
      </c>
      <c r="N1095" s="6">
        <v>0</v>
      </c>
      <c r="O1095" s="6">
        <v>0</v>
      </c>
      <c r="P1095" s="6">
        <v>4</v>
      </c>
      <c r="Q1095" s="4" t="s">
        <v>26</v>
      </c>
      <c r="R1095" s="4">
        <v>0</v>
      </c>
      <c r="S1095" s="6">
        <v>29</v>
      </c>
      <c r="T1095" s="6">
        <v>0</v>
      </c>
      <c r="U1095" s="6">
        <v>0</v>
      </c>
      <c r="V1095" s="6">
        <f>IF(ISERROR(VLOOKUP($S$1095,'TAR FIN'!$A$1:$O$116,15,0)),0,VLOOKUP($S$1095,'TAR FIN'!$A$1:$O$116,15,0))</f>
        <v>25.51</v>
      </c>
      <c r="W1095" s="6">
        <f>IF(ISERROR(VLOOKUP($T$1095,'TAR FIN'!$A$1:$O$116,15,0)),0,VLOOKUP($T$1095,'TAR FIN'!$A$1:$O$116,15,0))</f>
        <v>0</v>
      </c>
      <c r="X1095" s="6">
        <f>IF(ISERROR(VLOOKUP($U$1095,'TAR FIN'!$A$1:$O$116,15,0)),0,VLOOKUP($U$1095,'TAR FIN'!$A$1:$O$116,15,0))</f>
        <v>0</v>
      </c>
      <c r="Y1095" s="6">
        <f ca="1">('TUSD BE'!$AM$33+'TUSD BF'!$AM$33+'TUSD CVA'!$AM$33)*1</f>
        <v>29.803266797877356</v>
      </c>
      <c r="Z1095" s="6"/>
      <c r="AA1095" s="6"/>
      <c r="AB1095" s="6">
        <f>$K$1095*$V$1095</f>
        <v>7066.27</v>
      </c>
      <c r="AC1095" s="6">
        <f>$M$1095*$W$1095</f>
        <v>0</v>
      </c>
      <c r="AD1095" s="6">
        <f>$O$1095*$X$1095</f>
        <v>0</v>
      </c>
      <c r="AE1095" s="6">
        <f ca="1">$K$1095*$Y$1095</f>
        <v>8255.5049030120281</v>
      </c>
      <c r="AF1095" s="6">
        <f>$M$1095*$Z$1095</f>
        <v>0</v>
      </c>
      <c r="AG1095" s="6">
        <f>$O$1095*$AA$1095</f>
        <v>0</v>
      </c>
    </row>
    <row r="1096" spans="1:33" ht="11.25" customHeight="1" x14ac:dyDescent="0.25">
      <c r="A1096" s="4" t="s">
        <v>21</v>
      </c>
      <c r="B1096" s="4" t="s">
        <v>41</v>
      </c>
      <c r="C1096" s="4" t="s">
        <v>42</v>
      </c>
      <c r="D1096" s="4" t="s">
        <v>46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44409</v>
      </c>
      <c r="J1096" s="6">
        <v>2127</v>
      </c>
      <c r="K1096" s="6">
        <v>2127</v>
      </c>
      <c r="L1096" s="6">
        <v>0</v>
      </c>
      <c r="M1096" s="6">
        <v>0</v>
      </c>
      <c r="N1096" s="6">
        <v>0</v>
      </c>
      <c r="O1096" s="6">
        <v>0</v>
      </c>
      <c r="P1096" s="6">
        <v>30</v>
      </c>
      <c r="Q1096" s="4" t="s">
        <v>26</v>
      </c>
      <c r="R1096" s="4">
        <v>0</v>
      </c>
      <c r="S1096" s="6">
        <v>29</v>
      </c>
      <c r="T1096" s="6">
        <v>0</v>
      </c>
      <c r="U1096" s="6">
        <v>0</v>
      </c>
      <c r="V1096" s="6">
        <f>IF(ISERROR(VLOOKUP($S$1096,'TAR FIN'!$A$1:$O$116,15,0)),0,VLOOKUP($S$1096,'TAR FIN'!$A$1:$O$116,15,0))</f>
        <v>25.51</v>
      </c>
      <c r="W1096" s="6">
        <f>IF(ISERROR(VLOOKUP($T$1096,'TAR FIN'!$A$1:$O$116,15,0)),0,VLOOKUP($T$1096,'TAR FIN'!$A$1:$O$116,15,0))</f>
        <v>0</v>
      </c>
      <c r="X1096" s="6">
        <f>IF(ISERROR(VLOOKUP($U$1096,'TAR FIN'!$A$1:$O$116,15,0)),0,VLOOKUP($U$1096,'TAR FIN'!$A$1:$O$116,15,0))</f>
        <v>0</v>
      </c>
      <c r="Y1096" s="6">
        <f ca="1">('TUSD BE'!$AM$33+'TUSD BF'!$AM$33+'TUSD CVA'!$AM$33)*1</f>
        <v>29.803266797877356</v>
      </c>
      <c r="Z1096" s="6"/>
      <c r="AA1096" s="6"/>
      <c r="AB1096" s="6">
        <f>$K$1096*$V$1096</f>
        <v>54259.770000000004</v>
      </c>
      <c r="AC1096" s="6">
        <f>$M$1096*$W$1096</f>
        <v>0</v>
      </c>
      <c r="AD1096" s="6">
        <f>$O$1096*$X$1096</f>
        <v>0</v>
      </c>
      <c r="AE1096" s="6">
        <f ca="1">$K$1096*$Y$1096</f>
        <v>63391.548479085133</v>
      </c>
      <c r="AF1096" s="6">
        <f>$M$1096*$Z$1096</f>
        <v>0</v>
      </c>
      <c r="AG1096" s="6">
        <f>$O$1096*$AA$1096</f>
        <v>0</v>
      </c>
    </row>
    <row r="1097" spans="1:33" ht="11.25" customHeight="1" x14ac:dyDescent="0.25">
      <c r="A1097" s="4" t="s">
        <v>28</v>
      </c>
      <c r="B1097" s="4" t="s">
        <v>41</v>
      </c>
      <c r="C1097" s="4" t="s">
        <v>42</v>
      </c>
      <c r="D1097" s="4" t="s">
        <v>46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44409</v>
      </c>
      <c r="J1097" s="6">
        <v>277</v>
      </c>
      <c r="K1097" s="6">
        <v>277</v>
      </c>
      <c r="L1097" s="6">
        <v>0</v>
      </c>
      <c r="M1097" s="6">
        <v>0</v>
      </c>
      <c r="N1097" s="6">
        <v>0</v>
      </c>
      <c r="O1097" s="6">
        <v>0</v>
      </c>
      <c r="P1097" s="6">
        <v>4</v>
      </c>
      <c r="Q1097" s="4" t="s">
        <v>26</v>
      </c>
      <c r="R1097" s="4">
        <v>0</v>
      </c>
      <c r="S1097" s="6">
        <v>29</v>
      </c>
      <c r="T1097" s="6">
        <v>0</v>
      </c>
      <c r="U1097" s="6">
        <v>0</v>
      </c>
      <c r="V1097" s="6">
        <f>IF(ISERROR(VLOOKUP($S$1097,'TAR FIN'!$A$1:$O$116,15,0)),0,VLOOKUP($S$1097,'TAR FIN'!$A$1:$O$116,15,0))</f>
        <v>25.51</v>
      </c>
      <c r="W1097" s="6">
        <f>IF(ISERROR(VLOOKUP($T$1097,'TAR FIN'!$A$1:$O$116,15,0)),0,VLOOKUP($T$1097,'TAR FIN'!$A$1:$O$116,15,0))</f>
        <v>0</v>
      </c>
      <c r="X1097" s="6">
        <f>IF(ISERROR(VLOOKUP($U$1097,'TAR FIN'!$A$1:$O$116,15,0)),0,VLOOKUP($U$1097,'TAR FIN'!$A$1:$O$116,15,0))</f>
        <v>0</v>
      </c>
      <c r="Y1097" s="6">
        <f ca="1">('TUSD BE'!$AM$33+'TUSD BF'!$AM$33+'TUSD CVA'!$AM$33)*1</f>
        <v>29.803266797877356</v>
      </c>
      <c r="Z1097" s="6"/>
      <c r="AA1097" s="6"/>
      <c r="AB1097" s="6">
        <f>$K$1097*$V$1097</f>
        <v>7066.27</v>
      </c>
      <c r="AC1097" s="6">
        <f>$M$1097*$W$1097</f>
        <v>0</v>
      </c>
      <c r="AD1097" s="6">
        <f>$O$1097*$X$1097</f>
        <v>0</v>
      </c>
      <c r="AE1097" s="6">
        <f ca="1">$K$1097*$Y$1097</f>
        <v>8255.5049030120281</v>
      </c>
      <c r="AF1097" s="6">
        <f>$M$1097*$Z$1097</f>
        <v>0</v>
      </c>
      <c r="AG1097" s="6">
        <f>$O$1097*$AA$1097</f>
        <v>0</v>
      </c>
    </row>
    <row r="1098" spans="1:33" ht="11.25" customHeight="1" x14ac:dyDescent="0.25">
      <c r="A1098" s="4" t="s">
        <v>21</v>
      </c>
      <c r="B1098" s="4" t="s">
        <v>41</v>
      </c>
      <c r="C1098" s="4" t="s">
        <v>42</v>
      </c>
      <c r="D1098" s="4" t="s">
        <v>46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44440</v>
      </c>
      <c r="J1098" s="6">
        <v>2125</v>
      </c>
      <c r="K1098" s="6">
        <v>2125</v>
      </c>
      <c r="L1098" s="6">
        <v>0</v>
      </c>
      <c r="M1098" s="6">
        <v>0</v>
      </c>
      <c r="N1098" s="6">
        <v>0</v>
      </c>
      <c r="O1098" s="6">
        <v>0</v>
      </c>
      <c r="P1098" s="6">
        <v>29</v>
      </c>
      <c r="Q1098" s="4" t="s">
        <v>26</v>
      </c>
      <c r="R1098" s="4">
        <v>0</v>
      </c>
      <c r="S1098" s="6">
        <v>29</v>
      </c>
      <c r="T1098" s="6">
        <v>0</v>
      </c>
      <c r="U1098" s="6">
        <v>0</v>
      </c>
      <c r="V1098" s="6">
        <f>IF(ISERROR(VLOOKUP($S$1098,'TAR FIN'!$A$1:$O$116,15,0)),0,VLOOKUP($S$1098,'TAR FIN'!$A$1:$O$116,15,0))</f>
        <v>25.51</v>
      </c>
      <c r="W1098" s="6">
        <f>IF(ISERROR(VLOOKUP($T$1098,'TAR FIN'!$A$1:$O$116,15,0)),0,VLOOKUP($T$1098,'TAR FIN'!$A$1:$O$116,15,0))</f>
        <v>0</v>
      </c>
      <c r="X1098" s="6">
        <f>IF(ISERROR(VLOOKUP($U$1098,'TAR FIN'!$A$1:$O$116,15,0)),0,VLOOKUP($U$1098,'TAR FIN'!$A$1:$O$116,15,0))</f>
        <v>0</v>
      </c>
      <c r="Y1098" s="6">
        <f ca="1">('TUSD BE'!$AM$33+'TUSD BF'!$AM$33+'TUSD CVA'!$AM$33)*1</f>
        <v>29.803266797877356</v>
      </c>
      <c r="Z1098" s="6"/>
      <c r="AA1098" s="6"/>
      <c r="AB1098" s="6">
        <f>$K$1098*$V$1098</f>
        <v>54208.75</v>
      </c>
      <c r="AC1098" s="6">
        <f>$M$1098*$W$1098</f>
        <v>0</v>
      </c>
      <c r="AD1098" s="6">
        <f>$O$1098*$X$1098</f>
        <v>0</v>
      </c>
      <c r="AE1098" s="6">
        <f ca="1">$K$1098*$Y$1098</f>
        <v>63331.94194548938</v>
      </c>
      <c r="AF1098" s="6">
        <f>$M$1098*$Z$1098</f>
        <v>0</v>
      </c>
      <c r="AG1098" s="6">
        <f>$O$1098*$AA$1098</f>
        <v>0</v>
      </c>
    </row>
    <row r="1099" spans="1:33" ht="11.25" customHeight="1" x14ac:dyDescent="0.25">
      <c r="A1099" s="4" t="s">
        <v>28</v>
      </c>
      <c r="B1099" s="4" t="s">
        <v>41</v>
      </c>
      <c r="C1099" s="4" t="s">
        <v>42</v>
      </c>
      <c r="D1099" s="4" t="s">
        <v>46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44440</v>
      </c>
      <c r="J1099" s="6">
        <v>277</v>
      </c>
      <c r="K1099" s="6">
        <v>277</v>
      </c>
      <c r="L1099" s="6">
        <v>0</v>
      </c>
      <c r="M1099" s="6">
        <v>0</v>
      </c>
      <c r="N1099" s="6">
        <v>0</v>
      </c>
      <c r="O1099" s="6">
        <v>0</v>
      </c>
      <c r="P1099" s="6">
        <v>4</v>
      </c>
      <c r="Q1099" s="4" t="s">
        <v>26</v>
      </c>
      <c r="R1099" s="4">
        <v>0</v>
      </c>
      <c r="S1099" s="6">
        <v>29</v>
      </c>
      <c r="T1099" s="6">
        <v>0</v>
      </c>
      <c r="U1099" s="6">
        <v>0</v>
      </c>
      <c r="V1099" s="6">
        <f>IF(ISERROR(VLOOKUP($S$1099,'TAR FIN'!$A$1:$O$116,15,0)),0,VLOOKUP($S$1099,'TAR FIN'!$A$1:$O$116,15,0))</f>
        <v>25.51</v>
      </c>
      <c r="W1099" s="6">
        <f>IF(ISERROR(VLOOKUP($T$1099,'TAR FIN'!$A$1:$O$116,15,0)),0,VLOOKUP($T$1099,'TAR FIN'!$A$1:$O$116,15,0))</f>
        <v>0</v>
      </c>
      <c r="X1099" s="6">
        <f>IF(ISERROR(VLOOKUP($U$1099,'TAR FIN'!$A$1:$O$116,15,0)),0,VLOOKUP($U$1099,'TAR FIN'!$A$1:$O$116,15,0))</f>
        <v>0</v>
      </c>
      <c r="Y1099" s="6">
        <f ca="1">('TUSD BE'!$AM$33+'TUSD BF'!$AM$33+'TUSD CVA'!$AM$33)*1</f>
        <v>29.803266797877356</v>
      </c>
      <c r="Z1099" s="6"/>
      <c r="AA1099" s="6"/>
      <c r="AB1099" s="6">
        <f>$K$1099*$V$1099</f>
        <v>7066.27</v>
      </c>
      <c r="AC1099" s="6">
        <f>$M$1099*$W$1099</f>
        <v>0</v>
      </c>
      <c r="AD1099" s="6">
        <f>$O$1099*$X$1099</f>
        <v>0</v>
      </c>
      <c r="AE1099" s="6">
        <f ca="1">$K$1099*$Y$1099</f>
        <v>8255.5049030120281</v>
      </c>
      <c r="AF1099" s="6">
        <f>$M$1099*$Z$1099</f>
        <v>0</v>
      </c>
      <c r="AG1099" s="6">
        <f>$O$1099*$AA$1099</f>
        <v>0</v>
      </c>
    </row>
    <row r="1100" spans="1:33" ht="11.25" customHeight="1" x14ac:dyDescent="0.25">
      <c r="A1100" s="4" t="s">
        <v>21</v>
      </c>
      <c r="B1100" s="4" t="s">
        <v>41</v>
      </c>
      <c r="C1100" s="4" t="s">
        <v>42</v>
      </c>
      <c r="D1100" s="4" t="s">
        <v>46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44470</v>
      </c>
      <c r="J1100" s="6">
        <v>2128</v>
      </c>
      <c r="K1100" s="6">
        <v>2128</v>
      </c>
      <c r="L1100" s="6">
        <v>0</v>
      </c>
      <c r="M1100" s="6">
        <v>0</v>
      </c>
      <c r="N1100" s="6">
        <v>0</v>
      </c>
      <c r="O1100" s="6">
        <v>0</v>
      </c>
      <c r="P1100" s="6">
        <v>29</v>
      </c>
      <c r="Q1100" s="4" t="s">
        <v>26</v>
      </c>
      <c r="R1100" s="4">
        <v>0</v>
      </c>
      <c r="S1100" s="6">
        <v>29</v>
      </c>
      <c r="T1100" s="6">
        <v>0</v>
      </c>
      <c r="U1100" s="6">
        <v>0</v>
      </c>
      <c r="V1100" s="6">
        <f>IF(ISERROR(VLOOKUP($S$1100,'TAR FIN'!$A$1:$O$116,15,0)),0,VLOOKUP($S$1100,'TAR FIN'!$A$1:$O$116,15,0))</f>
        <v>25.51</v>
      </c>
      <c r="W1100" s="6">
        <f>IF(ISERROR(VLOOKUP($T$1100,'TAR FIN'!$A$1:$O$116,15,0)),0,VLOOKUP($T$1100,'TAR FIN'!$A$1:$O$116,15,0))</f>
        <v>0</v>
      </c>
      <c r="X1100" s="6">
        <f>IF(ISERROR(VLOOKUP($U$1100,'TAR FIN'!$A$1:$O$116,15,0)),0,VLOOKUP($U$1100,'TAR FIN'!$A$1:$O$116,15,0))</f>
        <v>0</v>
      </c>
      <c r="Y1100" s="6">
        <f ca="1">('TUSD BE'!$AM$33+'TUSD BF'!$AM$33+'TUSD CVA'!$AM$33)*1</f>
        <v>29.803266797877356</v>
      </c>
      <c r="Z1100" s="6"/>
      <c r="AA1100" s="6"/>
      <c r="AB1100" s="6">
        <f>$K$1100*$V$1100</f>
        <v>54285.280000000006</v>
      </c>
      <c r="AC1100" s="6">
        <f>$M$1100*$W$1100</f>
        <v>0</v>
      </c>
      <c r="AD1100" s="6">
        <f>$O$1100*$X$1100</f>
        <v>0</v>
      </c>
      <c r="AE1100" s="6">
        <f ca="1">$K$1100*$Y$1100</f>
        <v>63421.35174588301</v>
      </c>
      <c r="AF1100" s="6">
        <f>$M$1100*$Z$1100</f>
        <v>0</v>
      </c>
      <c r="AG1100" s="6">
        <f>$O$1100*$AA$1100</f>
        <v>0</v>
      </c>
    </row>
    <row r="1101" spans="1:33" ht="11.25" customHeight="1" x14ac:dyDescent="0.25">
      <c r="A1101" s="4" t="s">
        <v>28</v>
      </c>
      <c r="B1101" s="4" t="s">
        <v>41</v>
      </c>
      <c r="C1101" s="4" t="s">
        <v>42</v>
      </c>
      <c r="D1101" s="4" t="s">
        <v>46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44470</v>
      </c>
      <c r="J1101" s="6">
        <v>277</v>
      </c>
      <c r="K1101" s="6">
        <v>277</v>
      </c>
      <c r="L1101" s="6">
        <v>0</v>
      </c>
      <c r="M1101" s="6">
        <v>0</v>
      </c>
      <c r="N1101" s="6">
        <v>0</v>
      </c>
      <c r="O1101" s="6">
        <v>0</v>
      </c>
      <c r="P1101" s="6">
        <v>4</v>
      </c>
      <c r="Q1101" s="4" t="s">
        <v>26</v>
      </c>
      <c r="R1101" s="4">
        <v>0</v>
      </c>
      <c r="S1101" s="6">
        <v>29</v>
      </c>
      <c r="T1101" s="6">
        <v>0</v>
      </c>
      <c r="U1101" s="6">
        <v>0</v>
      </c>
      <c r="V1101" s="6">
        <f>IF(ISERROR(VLOOKUP($S$1101,'TAR FIN'!$A$1:$O$116,15,0)),0,VLOOKUP($S$1101,'TAR FIN'!$A$1:$O$116,15,0))</f>
        <v>25.51</v>
      </c>
      <c r="W1101" s="6">
        <f>IF(ISERROR(VLOOKUP($T$1101,'TAR FIN'!$A$1:$O$116,15,0)),0,VLOOKUP($T$1101,'TAR FIN'!$A$1:$O$116,15,0))</f>
        <v>0</v>
      </c>
      <c r="X1101" s="6">
        <f>IF(ISERROR(VLOOKUP($U$1101,'TAR FIN'!$A$1:$O$116,15,0)),0,VLOOKUP($U$1101,'TAR FIN'!$A$1:$O$116,15,0))</f>
        <v>0</v>
      </c>
      <c r="Y1101" s="6">
        <f ca="1">('TUSD BE'!$AM$33+'TUSD BF'!$AM$33+'TUSD CVA'!$AM$33)*1</f>
        <v>29.803266797877356</v>
      </c>
      <c r="Z1101" s="6"/>
      <c r="AA1101" s="6"/>
      <c r="AB1101" s="6">
        <f>$K$1101*$V$1101</f>
        <v>7066.27</v>
      </c>
      <c r="AC1101" s="6">
        <f>$M$1101*$W$1101</f>
        <v>0</v>
      </c>
      <c r="AD1101" s="6">
        <f>$O$1101*$X$1101</f>
        <v>0</v>
      </c>
      <c r="AE1101" s="6">
        <f ca="1">$K$1101*$Y$1101</f>
        <v>8255.5049030120281</v>
      </c>
      <c r="AF1101" s="6">
        <f>$M$1101*$Z$1101</f>
        <v>0</v>
      </c>
      <c r="AG1101" s="6">
        <f>$O$1101*$AA$1101</f>
        <v>0</v>
      </c>
    </row>
    <row r="1102" spans="1:33" ht="11.25" customHeight="1" x14ac:dyDescent="0.25">
      <c r="A1102" s="4" t="s">
        <v>21</v>
      </c>
      <c r="B1102" s="4" t="s">
        <v>41</v>
      </c>
      <c r="C1102" s="4" t="s">
        <v>42</v>
      </c>
      <c r="D1102" s="4" t="s">
        <v>46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44501</v>
      </c>
      <c r="J1102" s="6">
        <v>2094</v>
      </c>
      <c r="K1102" s="6">
        <v>2094</v>
      </c>
      <c r="L1102" s="6">
        <v>0</v>
      </c>
      <c r="M1102" s="6">
        <v>0</v>
      </c>
      <c r="N1102" s="6">
        <v>0</v>
      </c>
      <c r="O1102" s="6">
        <v>0</v>
      </c>
      <c r="P1102" s="6">
        <v>30</v>
      </c>
      <c r="Q1102" s="4" t="s">
        <v>26</v>
      </c>
      <c r="R1102" s="4">
        <v>0</v>
      </c>
      <c r="S1102" s="6">
        <v>29</v>
      </c>
      <c r="T1102" s="6">
        <v>0</v>
      </c>
      <c r="U1102" s="6">
        <v>0</v>
      </c>
      <c r="V1102" s="6">
        <f>IF(ISERROR(VLOOKUP($S$1102,'TAR FIN'!$A$1:$O$116,15,0)),0,VLOOKUP($S$1102,'TAR FIN'!$A$1:$O$116,15,0))</f>
        <v>25.51</v>
      </c>
      <c r="W1102" s="6">
        <f>IF(ISERROR(VLOOKUP($T$1102,'TAR FIN'!$A$1:$O$116,15,0)),0,VLOOKUP($T$1102,'TAR FIN'!$A$1:$O$116,15,0))</f>
        <v>0</v>
      </c>
      <c r="X1102" s="6">
        <f>IF(ISERROR(VLOOKUP($U$1102,'TAR FIN'!$A$1:$O$116,15,0)),0,VLOOKUP($U$1102,'TAR FIN'!$A$1:$O$116,15,0))</f>
        <v>0</v>
      </c>
      <c r="Y1102" s="6">
        <f ca="1">('TUSD BE'!$AM$33+'TUSD BF'!$AM$33+'TUSD CVA'!$AM$33)*1</f>
        <v>29.803266797877356</v>
      </c>
      <c r="Z1102" s="6"/>
      <c r="AA1102" s="6"/>
      <c r="AB1102" s="6">
        <f>$K$1102*$V$1102</f>
        <v>53417.94</v>
      </c>
      <c r="AC1102" s="6">
        <f>$M$1102*$W$1102</f>
        <v>0</v>
      </c>
      <c r="AD1102" s="6">
        <f>$O$1102*$X$1102</f>
        <v>0</v>
      </c>
      <c r="AE1102" s="6">
        <f ca="1">$K$1102*$Y$1102</f>
        <v>62408.040674755182</v>
      </c>
      <c r="AF1102" s="6">
        <f>$M$1102*$Z$1102</f>
        <v>0</v>
      </c>
      <c r="AG1102" s="6">
        <f>$O$1102*$AA$1102</f>
        <v>0</v>
      </c>
    </row>
    <row r="1103" spans="1:33" ht="11.25" customHeight="1" x14ac:dyDescent="0.25">
      <c r="A1103" s="4" t="s">
        <v>28</v>
      </c>
      <c r="B1103" s="4" t="s">
        <v>41</v>
      </c>
      <c r="C1103" s="4" t="s">
        <v>42</v>
      </c>
      <c r="D1103" s="4" t="s">
        <v>46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44501</v>
      </c>
      <c r="J1103" s="6">
        <v>277</v>
      </c>
      <c r="K1103" s="6">
        <v>277</v>
      </c>
      <c r="L1103" s="6">
        <v>0</v>
      </c>
      <c r="M1103" s="6">
        <v>0</v>
      </c>
      <c r="N1103" s="6">
        <v>0</v>
      </c>
      <c r="O1103" s="6">
        <v>0</v>
      </c>
      <c r="P1103" s="6">
        <v>4</v>
      </c>
      <c r="Q1103" s="4" t="s">
        <v>26</v>
      </c>
      <c r="R1103" s="4">
        <v>0</v>
      </c>
      <c r="S1103" s="6">
        <v>29</v>
      </c>
      <c r="T1103" s="6">
        <v>0</v>
      </c>
      <c r="U1103" s="6">
        <v>0</v>
      </c>
      <c r="V1103" s="6">
        <f>IF(ISERROR(VLOOKUP($S$1103,'TAR FIN'!$A$1:$O$116,15,0)),0,VLOOKUP($S$1103,'TAR FIN'!$A$1:$O$116,15,0))</f>
        <v>25.51</v>
      </c>
      <c r="W1103" s="6">
        <f>IF(ISERROR(VLOOKUP($T$1103,'TAR FIN'!$A$1:$O$116,15,0)),0,VLOOKUP($T$1103,'TAR FIN'!$A$1:$O$116,15,0))</f>
        <v>0</v>
      </c>
      <c r="X1103" s="6">
        <f>IF(ISERROR(VLOOKUP($U$1103,'TAR FIN'!$A$1:$O$116,15,0)),0,VLOOKUP($U$1103,'TAR FIN'!$A$1:$O$116,15,0))</f>
        <v>0</v>
      </c>
      <c r="Y1103" s="6">
        <f ca="1">('TUSD BE'!$AM$33+'TUSD BF'!$AM$33+'TUSD CVA'!$AM$33)*1</f>
        <v>29.803266797877356</v>
      </c>
      <c r="Z1103" s="6"/>
      <c r="AA1103" s="6"/>
      <c r="AB1103" s="6">
        <f>$K$1103*$V$1103</f>
        <v>7066.27</v>
      </c>
      <c r="AC1103" s="6">
        <f>$M$1103*$W$1103</f>
        <v>0</v>
      </c>
      <c r="AD1103" s="6">
        <f>$O$1103*$X$1103</f>
        <v>0</v>
      </c>
      <c r="AE1103" s="6">
        <f ca="1">$K$1103*$Y$1103</f>
        <v>8255.5049030120281</v>
      </c>
      <c r="AF1103" s="6">
        <f>$M$1103*$Z$1103</f>
        <v>0</v>
      </c>
      <c r="AG1103" s="6">
        <f>$O$1103*$AA$1103</f>
        <v>0</v>
      </c>
    </row>
    <row r="1104" spans="1:33" ht="11.25" customHeight="1" x14ac:dyDescent="0.25">
      <c r="A1104" s="4" t="s">
        <v>21</v>
      </c>
      <c r="B1104" s="4" t="s">
        <v>41</v>
      </c>
      <c r="C1104" s="4" t="s">
        <v>42</v>
      </c>
      <c r="D1104" s="4" t="s">
        <v>46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44531</v>
      </c>
      <c r="J1104" s="6">
        <v>2083</v>
      </c>
      <c r="K1104" s="6">
        <v>2083</v>
      </c>
      <c r="L1104" s="6">
        <v>0</v>
      </c>
      <c r="M1104" s="6">
        <v>0</v>
      </c>
      <c r="N1104" s="6">
        <v>0</v>
      </c>
      <c r="O1104" s="6">
        <v>0</v>
      </c>
      <c r="P1104" s="6">
        <v>30</v>
      </c>
      <c r="Q1104" s="4" t="s">
        <v>26</v>
      </c>
      <c r="R1104" s="4">
        <v>0</v>
      </c>
      <c r="S1104" s="6">
        <v>29</v>
      </c>
      <c r="T1104" s="6">
        <v>0</v>
      </c>
      <c r="U1104" s="6">
        <v>0</v>
      </c>
      <c r="V1104" s="6">
        <f>IF(ISERROR(VLOOKUP($S$1104,'TAR FIN'!$A$1:$O$116,15,0)),0,VLOOKUP($S$1104,'TAR FIN'!$A$1:$O$116,15,0))</f>
        <v>25.51</v>
      </c>
      <c r="W1104" s="6">
        <f>IF(ISERROR(VLOOKUP($T$1104,'TAR FIN'!$A$1:$O$116,15,0)),0,VLOOKUP($T$1104,'TAR FIN'!$A$1:$O$116,15,0))</f>
        <v>0</v>
      </c>
      <c r="X1104" s="6">
        <f>IF(ISERROR(VLOOKUP($U$1104,'TAR FIN'!$A$1:$O$116,15,0)),0,VLOOKUP($U$1104,'TAR FIN'!$A$1:$O$116,15,0))</f>
        <v>0</v>
      </c>
      <c r="Y1104" s="6">
        <f ca="1">('TUSD BE'!$AM$33+'TUSD BF'!$AM$33+'TUSD CVA'!$AM$33)*1</f>
        <v>29.803266797877356</v>
      </c>
      <c r="Z1104" s="6"/>
      <c r="AA1104" s="6"/>
      <c r="AB1104" s="6">
        <f>$K$1104*$V$1104</f>
        <v>53137.33</v>
      </c>
      <c r="AC1104" s="6">
        <f>$M$1104*$W$1104</f>
        <v>0</v>
      </c>
      <c r="AD1104" s="6">
        <f>$O$1104*$X$1104</f>
        <v>0</v>
      </c>
      <c r="AE1104" s="6">
        <f ca="1">$K$1104*$Y$1104</f>
        <v>62080.20473997853</v>
      </c>
      <c r="AF1104" s="6">
        <f>$M$1104*$Z$1104</f>
        <v>0</v>
      </c>
      <c r="AG1104" s="6">
        <f>$O$1104*$AA$1104</f>
        <v>0</v>
      </c>
    </row>
    <row r="1105" spans="1:33" ht="11.25" customHeight="1" x14ac:dyDescent="0.25">
      <c r="A1105" s="4" t="s">
        <v>28</v>
      </c>
      <c r="B1105" s="4" t="s">
        <v>41</v>
      </c>
      <c r="C1105" s="4" t="s">
        <v>42</v>
      </c>
      <c r="D1105" s="4" t="s">
        <v>46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44531</v>
      </c>
      <c r="J1105" s="6">
        <v>277</v>
      </c>
      <c r="K1105" s="6">
        <v>277</v>
      </c>
      <c r="L1105" s="6">
        <v>0</v>
      </c>
      <c r="M1105" s="6">
        <v>0</v>
      </c>
      <c r="N1105" s="6">
        <v>0</v>
      </c>
      <c r="O1105" s="6">
        <v>0</v>
      </c>
      <c r="P1105" s="6">
        <v>4</v>
      </c>
      <c r="Q1105" s="4" t="s">
        <v>26</v>
      </c>
      <c r="R1105" s="4">
        <v>0</v>
      </c>
      <c r="S1105" s="6">
        <v>29</v>
      </c>
      <c r="T1105" s="6">
        <v>0</v>
      </c>
      <c r="U1105" s="6">
        <v>0</v>
      </c>
      <c r="V1105" s="6">
        <f>IF(ISERROR(VLOOKUP($S$1105,'TAR FIN'!$A$1:$O$116,15,0)),0,VLOOKUP($S$1105,'TAR FIN'!$A$1:$O$116,15,0))</f>
        <v>25.51</v>
      </c>
      <c r="W1105" s="6">
        <f>IF(ISERROR(VLOOKUP($T$1105,'TAR FIN'!$A$1:$O$116,15,0)),0,VLOOKUP($T$1105,'TAR FIN'!$A$1:$O$116,15,0))</f>
        <v>0</v>
      </c>
      <c r="X1105" s="6">
        <f>IF(ISERROR(VLOOKUP($U$1105,'TAR FIN'!$A$1:$O$116,15,0)),0,VLOOKUP($U$1105,'TAR FIN'!$A$1:$O$116,15,0))</f>
        <v>0</v>
      </c>
      <c r="Y1105" s="6">
        <f ca="1">('TUSD BE'!$AM$33+'TUSD BF'!$AM$33+'TUSD CVA'!$AM$33)*1</f>
        <v>29.803266797877356</v>
      </c>
      <c r="Z1105" s="6"/>
      <c r="AA1105" s="6"/>
      <c r="AB1105" s="6">
        <f>$K$1105*$V$1105</f>
        <v>7066.27</v>
      </c>
      <c r="AC1105" s="6">
        <f>$M$1105*$W$1105</f>
        <v>0</v>
      </c>
      <c r="AD1105" s="6">
        <f>$O$1105*$X$1105</f>
        <v>0</v>
      </c>
      <c r="AE1105" s="6">
        <f ca="1">$K$1105*$Y$1105</f>
        <v>8255.5049030120281</v>
      </c>
      <c r="AF1105" s="6">
        <f>$M$1105*$Z$1105</f>
        <v>0</v>
      </c>
      <c r="AG1105" s="6">
        <f>$O$1105*$AA$1105</f>
        <v>0</v>
      </c>
    </row>
    <row r="1106" spans="1:33" ht="11.25" customHeight="1" x14ac:dyDescent="0.25">
      <c r="A1106" s="4" t="s">
        <v>21</v>
      </c>
      <c r="B1106" s="4" t="s">
        <v>41</v>
      </c>
      <c r="C1106" s="4" t="s">
        <v>42</v>
      </c>
      <c r="D1106" s="4" t="s">
        <v>46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44562</v>
      </c>
      <c r="J1106" s="6">
        <v>2068</v>
      </c>
      <c r="K1106" s="6">
        <v>2068</v>
      </c>
      <c r="L1106" s="6">
        <v>0</v>
      </c>
      <c r="M1106" s="6">
        <v>0</v>
      </c>
      <c r="N1106" s="6">
        <v>0</v>
      </c>
      <c r="O1106" s="6">
        <v>0</v>
      </c>
      <c r="P1106" s="6">
        <v>30</v>
      </c>
      <c r="Q1106" s="4" t="s">
        <v>26</v>
      </c>
      <c r="R1106" s="4">
        <v>0</v>
      </c>
      <c r="S1106" s="6">
        <v>29</v>
      </c>
      <c r="T1106" s="6">
        <v>0</v>
      </c>
      <c r="U1106" s="6">
        <v>0</v>
      </c>
      <c r="V1106" s="6">
        <f>IF(ISERROR(VLOOKUP($S$1106,'TAR FIN'!$A$1:$O$116,15,0)),0,VLOOKUP($S$1106,'TAR FIN'!$A$1:$O$116,15,0))</f>
        <v>25.51</v>
      </c>
      <c r="W1106" s="6">
        <f>IF(ISERROR(VLOOKUP($T$1106,'TAR FIN'!$A$1:$O$116,15,0)),0,VLOOKUP($T$1106,'TAR FIN'!$A$1:$O$116,15,0))</f>
        <v>0</v>
      </c>
      <c r="X1106" s="6">
        <f>IF(ISERROR(VLOOKUP($U$1106,'TAR FIN'!$A$1:$O$116,15,0)),0,VLOOKUP($U$1106,'TAR FIN'!$A$1:$O$116,15,0))</f>
        <v>0</v>
      </c>
      <c r="Y1106" s="6">
        <f ca="1">('TUSD BE'!$AM$33+'TUSD BF'!$AM$33+'TUSD CVA'!$AM$33)*1</f>
        <v>29.803266797877356</v>
      </c>
      <c r="Z1106" s="6"/>
      <c r="AA1106" s="6"/>
      <c r="AB1106" s="6">
        <f>$K$1106*$V$1106</f>
        <v>52754.68</v>
      </c>
      <c r="AC1106" s="6">
        <f>$M$1106*$W$1106</f>
        <v>0</v>
      </c>
      <c r="AD1106" s="6">
        <f>$O$1106*$X$1106</f>
        <v>0</v>
      </c>
      <c r="AE1106" s="6">
        <f ca="1">$K$1106*$Y$1106</f>
        <v>61633.15573801037</v>
      </c>
      <c r="AF1106" s="6">
        <f>$M$1106*$Z$1106</f>
        <v>0</v>
      </c>
      <c r="AG1106" s="6">
        <f>$O$1106*$AA$1106</f>
        <v>0</v>
      </c>
    </row>
    <row r="1107" spans="1:33" ht="11.25" customHeight="1" x14ac:dyDescent="0.25">
      <c r="A1107" s="4" t="s">
        <v>28</v>
      </c>
      <c r="B1107" s="4" t="s">
        <v>41</v>
      </c>
      <c r="C1107" s="4" t="s">
        <v>42</v>
      </c>
      <c r="D1107" s="4" t="s">
        <v>46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44562</v>
      </c>
      <c r="J1107" s="6">
        <v>277</v>
      </c>
      <c r="K1107" s="6">
        <v>277</v>
      </c>
      <c r="L1107" s="6">
        <v>0</v>
      </c>
      <c r="M1107" s="6">
        <v>0</v>
      </c>
      <c r="N1107" s="6">
        <v>0</v>
      </c>
      <c r="O1107" s="6">
        <v>0</v>
      </c>
      <c r="P1107" s="6">
        <v>4</v>
      </c>
      <c r="Q1107" s="4" t="s">
        <v>26</v>
      </c>
      <c r="R1107" s="4">
        <v>0</v>
      </c>
      <c r="S1107" s="6">
        <v>29</v>
      </c>
      <c r="T1107" s="6">
        <v>0</v>
      </c>
      <c r="U1107" s="6">
        <v>0</v>
      </c>
      <c r="V1107" s="6">
        <f>IF(ISERROR(VLOOKUP($S$1107,'TAR FIN'!$A$1:$O$116,15,0)),0,VLOOKUP($S$1107,'TAR FIN'!$A$1:$O$116,15,0))</f>
        <v>25.51</v>
      </c>
      <c r="W1107" s="6">
        <f>IF(ISERROR(VLOOKUP($T$1107,'TAR FIN'!$A$1:$O$116,15,0)),0,VLOOKUP($T$1107,'TAR FIN'!$A$1:$O$116,15,0))</f>
        <v>0</v>
      </c>
      <c r="X1107" s="6">
        <f>IF(ISERROR(VLOOKUP($U$1107,'TAR FIN'!$A$1:$O$116,15,0)),0,VLOOKUP($U$1107,'TAR FIN'!$A$1:$O$116,15,0))</f>
        <v>0</v>
      </c>
      <c r="Y1107" s="6">
        <f ca="1">('TUSD BE'!$AM$33+'TUSD BF'!$AM$33+'TUSD CVA'!$AM$33)*1</f>
        <v>29.803266797877356</v>
      </c>
      <c r="Z1107" s="6"/>
      <c r="AA1107" s="6"/>
      <c r="AB1107" s="6">
        <f>$K$1107*$V$1107</f>
        <v>7066.27</v>
      </c>
      <c r="AC1107" s="6">
        <f>$M$1107*$W$1107</f>
        <v>0</v>
      </c>
      <c r="AD1107" s="6">
        <f>$O$1107*$X$1107</f>
        <v>0</v>
      </c>
      <c r="AE1107" s="6">
        <f ca="1">$K$1107*$Y$1107</f>
        <v>8255.5049030120281</v>
      </c>
      <c r="AF1107" s="6">
        <f>$M$1107*$Z$1107</f>
        <v>0</v>
      </c>
      <c r="AG1107" s="6">
        <f>$O$1107*$AA$1107</f>
        <v>0</v>
      </c>
    </row>
    <row r="1108" spans="1:33" ht="11.25" customHeight="1" x14ac:dyDescent="0.25">
      <c r="A1108" s="4" t="s">
        <v>21</v>
      </c>
      <c r="B1108" s="4" t="s">
        <v>41</v>
      </c>
      <c r="C1108" s="4" t="s">
        <v>42</v>
      </c>
      <c r="D1108" s="4" t="s">
        <v>46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44593</v>
      </c>
      <c r="J1108" s="6">
        <v>2118</v>
      </c>
      <c r="K1108" s="6">
        <v>2118</v>
      </c>
      <c r="L1108" s="6">
        <v>0</v>
      </c>
      <c r="M1108" s="6">
        <v>0</v>
      </c>
      <c r="N1108" s="6">
        <v>0</v>
      </c>
      <c r="O1108" s="6">
        <v>0</v>
      </c>
      <c r="P1108" s="6">
        <v>30</v>
      </c>
      <c r="Q1108" s="4" t="s">
        <v>26</v>
      </c>
      <c r="R1108" s="4">
        <v>0</v>
      </c>
      <c r="S1108" s="6">
        <v>29</v>
      </c>
      <c r="T1108" s="6">
        <v>0</v>
      </c>
      <c r="U1108" s="6">
        <v>0</v>
      </c>
      <c r="V1108" s="6">
        <f>IF(ISERROR(VLOOKUP($S$1108,'TAR FIN'!$A$1:$O$116,15,0)),0,VLOOKUP($S$1108,'TAR FIN'!$A$1:$O$116,15,0))</f>
        <v>25.51</v>
      </c>
      <c r="W1108" s="6">
        <f>IF(ISERROR(VLOOKUP($T$1108,'TAR FIN'!$A$1:$O$116,15,0)),0,VLOOKUP($T$1108,'TAR FIN'!$A$1:$O$116,15,0))</f>
        <v>0</v>
      </c>
      <c r="X1108" s="6">
        <f>IF(ISERROR(VLOOKUP($U$1108,'TAR FIN'!$A$1:$O$116,15,0)),0,VLOOKUP($U$1108,'TAR FIN'!$A$1:$O$116,15,0))</f>
        <v>0</v>
      </c>
      <c r="Y1108" s="6">
        <f ca="1">('TUSD BE'!$AM$33+'TUSD BF'!$AM$33+'TUSD CVA'!$AM$33)*1</f>
        <v>29.803266797877356</v>
      </c>
      <c r="Z1108" s="6"/>
      <c r="AA1108" s="6"/>
      <c r="AB1108" s="6">
        <f>$K$1108*$V$1108</f>
        <v>54030.18</v>
      </c>
      <c r="AC1108" s="6">
        <f>$M$1108*$W$1108</f>
        <v>0</v>
      </c>
      <c r="AD1108" s="6">
        <f>$O$1108*$X$1108</f>
        <v>0</v>
      </c>
      <c r="AE1108" s="6">
        <f ca="1">$K$1108*$Y$1108</f>
        <v>63123.319077904242</v>
      </c>
      <c r="AF1108" s="6">
        <f>$M$1108*$Z$1108</f>
        <v>0</v>
      </c>
      <c r="AG1108" s="6">
        <f>$O$1108*$AA$1108</f>
        <v>0</v>
      </c>
    </row>
    <row r="1109" spans="1:33" ht="11.25" customHeight="1" x14ac:dyDescent="0.25">
      <c r="A1109" s="4" t="s">
        <v>28</v>
      </c>
      <c r="B1109" s="4" t="s">
        <v>41</v>
      </c>
      <c r="C1109" s="4" t="s">
        <v>42</v>
      </c>
      <c r="D1109" s="4" t="s">
        <v>46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44593</v>
      </c>
      <c r="J1109" s="6">
        <v>407</v>
      </c>
      <c r="K1109" s="6">
        <v>407</v>
      </c>
      <c r="L1109" s="6">
        <v>0</v>
      </c>
      <c r="M1109" s="6">
        <v>0</v>
      </c>
      <c r="N1109" s="6">
        <v>0</v>
      </c>
      <c r="O1109" s="6">
        <v>0</v>
      </c>
      <c r="P1109" s="6">
        <v>4</v>
      </c>
      <c r="Q1109" s="4" t="s">
        <v>26</v>
      </c>
      <c r="R1109" s="4">
        <v>0</v>
      </c>
      <c r="S1109" s="6">
        <v>29</v>
      </c>
      <c r="T1109" s="6">
        <v>0</v>
      </c>
      <c r="U1109" s="6">
        <v>0</v>
      </c>
      <c r="V1109" s="6">
        <f>IF(ISERROR(VLOOKUP($S$1109,'TAR FIN'!$A$1:$O$116,15,0)),0,VLOOKUP($S$1109,'TAR FIN'!$A$1:$O$116,15,0))</f>
        <v>25.51</v>
      </c>
      <c r="W1109" s="6">
        <f>IF(ISERROR(VLOOKUP($T$1109,'TAR FIN'!$A$1:$O$116,15,0)),0,VLOOKUP($T$1109,'TAR FIN'!$A$1:$O$116,15,0))</f>
        <v>0</v>
      </c>
      <c r="X1109" s="6">
        <f>IF(ISERROR(VLOOKUP($U$1109,'TAR FIN'!$A$1:$O$116,15,0)),0,VLOOKUP($U$1109,'TAR FIN'!$A$1:$O$116,15,0))</f>
        <v>0</v>
      </c>
      <c r="Y1109" s="6">
        <f ca="1">('TUSD BE'!$AM$33+'TUSD BF'!$AM$33+'TUSD CVA'!$AM$33)*1</f>
        <v>29.803266797877356</v>
      </c>
      <c r="Z1109" s="6"/>
      <c r="AA1109" s="6"/>
      <c r="AB1109" s="6">
        <f>$K$1109*$V$1109</f>
        <v>10382.570000000002</v>
      </c>
      <c r="AC1109" s="6">
        <f>$M$1109*$W$1109</f>
        <v>0</v>
      </c>
      <c r="AD1109" s="6">
        <f>$O$1109*$X$1109</f>
        <v>0</v>
      </c>
      <c r="AE1109" s="6">
        <f ca="1">$K$1109*$Y$1109</f>
        <v>12129.929586736083</v>
      </c>
      <c r="AF1109" s="6">
        <f>$M$1109*$Z$1109</f>
        <v>0</v>
      </c>
      <c r="AG1109" s="6">
        <f>$O$1109*$AA$1109</f>
        <v>0</v>
      </c>
    </row>
    <row r="1110" spans="1:33" ht="11.25" customHeight="1" x14ac:dyDescent="0.25">
      <c r="A1110" s="4" t="s">
        <v>21</v>
      </c>
      <c r="B1110" s="4" t="s">
        <v>41</v>
      </c>
      <c r="C1110" s="4" t="s">
        <v>42</v>
      </c>
      <c r="D1110" s="4" t="s">
        <v>46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44621</v>
      </c>
      <c r="J1110" s="6">
        <v>2309</v>
      </c>
      <c r="K1110" s="6">
        <v>2309</v>
      </c>
      <c r="L1110" s="6">
        <v>0</v>
      </c>
      <c r="M1110" s="6">
        <v>0</v>
      </c>
      <c r="N1110" s="6">
        <v>0</v>
      </c>
      <c r="O1110" s="6">
        <v>0</v>
      </c>
      <c r="P1110" s="6">
        <v>31</v>
      </c>
      <c r="Q1110" s="4" t="s">
        <v>26</v>
      </c>
      <c r="R1110" s="4">
        <v>0</v>
      </c>
      <c r="S1110" s="6">
        <v>29</v>
      </c>
      <c r="T1110" s="6">
        <v>0</v>
      </c>
      <c r="U1110" s="6">
        <v>0</v>
      </c>
      <c r="V1110" s="6">
        <f>IF(ISERROR(VLOOKUP($S$1110,'TAR FIN'!$A$1:$O$116,15,0)),0,VLOOKUP($S$1110,'TAR FIN'!$A$1:$O$116,15,0))</f>
        <v>25.51</v>
      </c>
      <c r="W1110" s="6">
        <f>IF(ISERROR(VLOOKUP($T$1110,'TAR FIN'!$A$1:$O$116,15,0)),0,VLOOKUP($T$1110,'TAR FIN'!$A$1:$O$116,15,0))</f>
        <v>0</v>
      </c>
      <c r="X1110" s="6">
        <f>IF(ISERROR(VLOOKUP($U$1110,'TAR FIN'!$A$1:$O$116,15,0)),0,VLOOKUP($U$1110,'TAR FIN'!$A$1:$O$116,15,0))</f>
        <v>0</v>
      </c>
      <c r="Y1110" s="6">
        <f ca="1">('TUSD BE'!$AM$33+'TUSD BF'!$AM$33+'TUSD CVA'!$AM$33)*1</f>
        <v>29.803266797877356</v>
      </c>
      <c r="Z1110" s="6"/>
      <c r="AA1110" s="6"/>
      <c r="AB1110" s="6">
        <f>$K$1110*$V$1110</f>
        <v>58902.590000000004</v>
      </c>
      <c r="AC1110" s="6">
        <f>$M$1110*$W$1110</f>
        <v>0</v>
      </c>
      <c r="AD1110" s="6">
        <f>$O$1110*$X$1110</f>
        <v>0</v>
      </c>
      <c r="AE1110" s="6">
        <f ca="1">$K$1110*$Y$1110</f>
        <v>68815.743036298809</v>
      </c>
      <c r="AF1110" s="6">
        <f>$M$1110*$Z$1110</f>
        <v>0</v>
      </c>
      <c r="AG1110" s="6">
        <f>$O$1110*$AA$1110</f>
        <v>0</v>
      </c>
    </row>
    <row r="1111" spans="1:33" ht="11.25" customHeight="1" x14ac:dyDescent="0.25">
      <c r="A1111" s="4" t="s">
        <v>27</v>
      </c>
      <c r="B1111" s="4" t="s">
        <v>41</v>
      </c>
      <c r="C1111" s="4" t="s">
        <v>42</v>
      </c>
      <c r="D1111" s="4" t="s">
        <v>46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44621</v>
      </c>
      <c r="J1111" s="6">
        <v>220</v>
      </c>
      <c r="K1111" s="6">
        <v>220</v>
      </c>
      <c r="L1111" s="6">
        <v>0</v>
      </c>
      <c r="M1111" s="6">
        <v>0</v>
      </c>
      <c r="N1111" s="6">
        <v>0</v>
      </c>
      <c r="O1111" s="6">
        <v>0</v>
      </c>
      <c r="P1111" s="6">
        <v>1</v>
      </c>
      <c r="Q1111" s="4" t="s">
        <v>26</v>
      </c>
      <c r="R1111" s="4">
        <v>0</v>
      </c>
      <c r="S1111" s="6">
        <v>29</v>
      </c>
      <c r="T1111" s="6">
        <v>0</v>
      </c>
      <c r="U1111" s="6">
        <v>0</v>
      </c>
      <c r="V1111" s="6">
        <f>IF(ISERROR(VLOOKUP($S$1111,'TAR FIN'!$A$1:$O$116,15,0)),0,VLOOKUP($S$1111,'TAR FIN'!$A$1:$O$116,15,0))</f>
        <v>25.51</v>
      </c>
      <c r="W1111" s="6">
        <f>IF(ISERROR(VLOOKUP($T$1111,'TAR FIN'!$A$1:$O$116,15,0)),0,VLOOKUP($T$1111,'TAR FIN'!$A$1:$O$116,15,0))</f>
        <v>0</v>
      </c>
      <c r="X1111" s="6">
        <f>IF(ISERROR(VLOOKUP($U$1111,'TAR FIN'!$A$1:$O$116,15,0)),0,VLOOKUP($U$1111,'TAR FIN'!$A$1:$O$116,15,0))</f>
        <v>0</v>
      </c>
      <c r="Y1111" s="6">
        <f ca="1">('TUSD BE'!$AM$33+'TUSD BF'!$AM$33+'TUSD CVA'!$AM$33)*1</f>
        <v>29.803266797877356</v>
      </c>
      <c r="Z1111" s="6"/>
      <c r="AA1111" s="6"/>
      <c r="AB1111" s="6">
        <f>$K$1111*$V$1111</f>
        <v>5612.2000000000007</v>
      </c>
      <c r="AC1111" s="6">
        <f>$M$1111*$W$1111</f>
        <v>0</v>
      </c>
      <c r="AD1111" s="6">
        <f>$O$1111*$X$1111</f>
        <v>0</v>
      </c>
      <c r="AE1111" s="6">
        <f ca="1">$K$1111*$Y$1111</f>
        <v>6556.718695533018</v>
      </c>
      <c r="AF1111" s="6">
        <f>$M$1111*$Z$1111</f>
        <v>0</v>
      </c>
      <c r="AG1111" s="6">
        <f>$O$1111*$AA$1111</f>
        <v>0</v>
      </c>
    </row>
    <row r="1112" spans="1:33" ht="11.25" customHeight="1" x14ac:dyDescent="0.25">
      <c r="A1112" s="4" t="s">
        <v>28</v>
      </c>
      <c r="B1112" s="4" t="s">
        <v>41</v>
      </c>
      <c r="C1112" s="4" t="s">
        <v>42</v>
      </c>
      <c r="D1112" s="4" t="s">
        <v>46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44621</v>
      </c>
      <c r="J1112" s="6">
        <v>407</v>
      </c>
      <c r="K1112" s="6">
        <v>407</v>
      </c>
      <c r="L1112" s="6">
        <v>0</v>
      </c>
      <c r="M1112" s="6">
        <v>0</v>
      </c>
      <c r="N1112" s="6">
        <v>0</v>
      </c>
      <c r="O1112" s="6">
        <v>0</v>
      </c>
      <c r="P1112" s="6">
        <v>4</v>
      </c>
      <c r="Q1112" s="4" t="s">
        <v>26</v>
      </c>
      <c r="R1112" s="4">
        <v>0</v>
      </c>
      <c r="S1112" s="6">
        <v>29</v>
      </c>
      <c r="T1112" s="6">
        <v>0</v>
      </c>
      <c r="U1112" s="6">
        <v>0</v>
      </c>
      <c r="V1112" s="6">
        <f>IF(ISERROR(VLOOKUP($S$1112,'TAR FIN'!$A$1:$O$116,15,0)),0,VLOOKUP($S$1112,'TAR FIN'!$A$1:$O$116,15,0))</f>
        <v>25.51</v>
      </c>
      <c r="W1112" s="6">
        <f>IF(ISERROR(VLOOKUP($T$1112,'TAR FIN'!$A$1:$O$116,15,0)),0,VLOOKUP($T$1112,'TAR FIN'!$A$1:$O$116,15,0))</f>
        <v>0</v>
      </c>
      <c r="X1112" s="6">
        <f>IF(ISERROR(VLOOKUP($U$1112,'TAR FIN'!$A$1:$O$116,15,0)),0,VLOOKUP($U$1112,'TAR FIN'!$A$1:$O$116,15,0))</f>
        <v>0</v>
      </c>
      <c r="Y1112" s="6">
        <f ca="1">('TUSD BE'!$AM$33+'TUSD BF'!$AM$33+'TUSD CVA'!$AM$33)*1</f>
        <v>29.803266797877356</v>
      </c>
      <c r="Z1112" s="6"/>
      <c r="AA1112" s="6"/>
      <c r="AB1112" s="6">
        <f>$K$1112*$V$1112</f>
        <v>10382.570000000002</v>
      </c>
      <c r="AC1112" s="6">
        <f>$M$1112*$W$1112</f>
        <v>0</v>
      </c>
      <c r="AD1112" s="6">
        <f>$O$1112*$X$1112</f>
        <v>0</v>
      </c>
      <c r="AE1112" s="6">
        <f ca="1">$K$1112*$Y$1112</f>
        <v>12129.929586736083</v>
      </c>
      <c r="AF1112" s="6">
        <f>$M$1112*$Z$1112</f>
        <v>0</v>
      </c>
      <c r="AG1112" s="6">
        <f>$O$1112*$AA$1112</f>
        <v>0</v>
      </c>
    </row>
    <row r="1113" spans="1:33" ht="11.25" customHeight="1" x14ac:dyDescent="0.25">
      <c r="A1113" s="4" t="s">
        <v>21</v>
      </c>
      <c r="B1113" s="4" t="s">
        <v>41</v>
      </c>
      <c r="C1113" s="4" t="s">
        <v>42</v>
      </c>
      <c r="D1113" s="4" t="s">
        <v>46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44652</v>
      </c>
      <c r="J1113" s="6">
        <v>2371</v>
      </c>
      <c r="K1113" s="6">
        <v>2371</v>
      </c>
      <c r="L1113" s="6">
        <v>0</v>
      </c>
      <c r="M1113" s="6">
        <v>0</v>
      </c>
      <c r="N1113" s="6">
        <v>0</v>
      </c>
      <c r="O1113" s="6">
        <v>0</v>
      </c>
      <c r="P1113" s="6">
        <v>31</v>
      </c>
      <c r="Q1113" s="4" t="s">
        <v>26</v>
      </c>
      <c r="R1113" s="4">
        <v>0</v>
      </c>
      <c r="S1113" s="6">
        <v>29</v>
      </c>
      <c r="T1113" s="6">
        <v>0</v>
      </c>
      <c r="U1113" s="6">
        <v>0</v>
      </c>
      <c r="V1113" s="6">
        <f>IF(ISERROR(VLOOKUP($S$1113,'TAR FIN'!$A$1:$O$116,15,0)),0,VLOOKUP($S$1113,'TAR FIN'!$A$1:$O$116,15,0))</f>
        <v>25.51</v>
      </c>
      <c r="W1113" s="6">
        <f>IF(ISERROR(VLOOKUP($T$1113,'TAR FIN'!$A$1:$O$116,15,0)),0,VLOOKUP($T$1113,'TAR FIN'!$A$1:$O$116,15,0))</f>
        <v>0</v>
      </c>
      <c r="X1113" s="6">
        <f>IF(ISERROR(VLOOKUP($U$1113,'TAR FIN'!$A$1:$O$116,15,0)),0,VLOOKUP($U$1113,'TAR FIN'!$A$1:$O$116,15,0))</f>
        <v>0</v>
      </c>
      <c r="Y1113" s="6">
        <f ca="1">('TUSD BE'!$AM$33+'TUSD BF'!$AM$33+'TUSD CVA'!$AM$33)*1</f>
        <v>29.803266797877356</v>
      </c>
      <c r="Z1113" s="6"/>
      <c r="AA1113" s="6"/>
      <c r="AB1113" s="6">
        <f>$K$1113*$V$1113</f>
        <v>60484.210000000006</v>
      </c>
      <c r="AC1113" s="6">
        <f>$M$1113*$W$1113</f>
        <v>0</v>
      </c>
      <c r="AD1113" s="6">
        <f>$O$1113*$X$1113</f>
        <v>0</v>
      </c>
      <c r="AE1113" s="6">
        <f ca="1">$K$1113*$Y$1113</f>
        <v>70663.545577767218</v>
      </c>
      <c r="AF1113" s="6">
        <f>$M$1113*$Z$1113</f>
        <v>0</v>
      </c>
      <c r="AG1113" s="6">
        <f>$O$1113*$AA$1113</f>
        <v>0</v>
      </c>
    </row>
    <row r="1114" spans="1:33" ht="11.25" customHeight="1" x14ac:dyDescent="0.25">
      <c r="A1114" s="4" t="s">
        <v>28</v>
      </c>
      <c r="B1114" s="4" t="s">
        <v>41</v>
      </c>
      <c r="C1114" s="4" t="s">
        <v>42</v>
      </c>
      <c r="D1114" s="4" t="s">
        <v>46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44652</v>
      </c>
      <c r="J1114" s="6">
        <v>407</v>
      </c>
      <c r="K1114" s="6">
        <v>407</v>
      </c>
      <c r="L1114" s="6">
        <v>0</v>
      </c>
      <c r="M1114" s="6">
        <v>0</v>
      </c>
      <c r="N1114" s="6">
        <v>0</v>
      </c>
      <c r="O1114" s="6">
        <v>0</v>
      </c>
      <c r="P1114" s="6">
        <v>4</v>
      </c>
      <c r="Q1114" s="4" t="s">
        <v>26</v>
      </c>
      <c r="R1114" s="4">
        <v>0</v>
      </c>
      <c r="S1114" s="6">
        <v>29</v>
      </c>
      <c r="T1114" s="6">
        <v>0</v>
      </c>
      <c r="U1114" s="6">
        <v>0</v>
      </c>
      <c r="V1114" s="6">
        <f>IF(ISERROR(VLOOKUP($S$1114,'TAR FIN'!$A$1:$O$116,15,0)),0,VLOOKUP($S$1114,'TAR FIN'!$A$1:$O$116,15,0))</f>
        <v>25.51</v>
      </c>
      <c r="W1114" s="6">
        <f>IF(ISERROR(VLOOKUP($T$1114,'TAR FIN'!$A$1:$O$116,15,0)),0,VLOOKUP($T$1114,'TAR FIN'!$A$1:$O$116,15,0))</f>
        <v>0</v>
      </c>
      <c r="X1114" s="6">
        <f>IF(ISERROR(VLOOKUP($U$1114,'TAR FIN'!$A$1:$O$116,15,0)),0,VLOOKUP($U$1114,'TAR FIN'!$A$1:$O$116,15,0))</f>
        <v>0</v>
      </c>
      <c r="Y1114" s="6">
        <f ca="1">('TUSD BE'!$AM$33+'TUSD BF'!$AM$33+'TUSD CVA'!$AM$33)*1</f>
        <v>29.803266797877356</v>
      </c>
      <c r="Z1114" s="6"/>
      <c r="AA1114" s="6"/>
      <c r="AB1114" s="6">
        <f>$K$1114*$V$1114</f>
        <v>10382.570000000002</v>
      </c>
      <c r="AC1114" s="6">
        <f>$M$1114*$W$1114</f>
        <v>0</v>
      </c>
      <c r="AD1114" s="6">
        <f>$O$1114*$X$1114</f>
        <v>0</v>
      </c>
      <c r="AE1114" s="6">
        <f ca="1">$K$1114*$Y$1114</f>
        <v>12129.929586736083</v>
      </c>
      <c r="AF1114" s="6">
        <f>$M$1114*$Z$1114</f>
        <v>0</v>
      </c>
      <c r="AG1114" s="6">
        <f>$O$1114*$AA$1114</f>
        <v>0</v>
      </c>
    </row>
    <row r="1115" spans="1:33" ht="11.25" customHeight="1" x14ac:dyDescent="0.25">
      <c r="A1115" s="4" t="s">
        <v>58</v>
      </c>
      <c r="B1115" s="4" t="s">
        <v>41</v>
      </c>
      <c r="C1115" s="4" t="s">
        <v>42</v>
      </c>
      <c r="D1115" s="4" t="s">
        <v>46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44682</v>
      </c>
      <c r="J1115" s="6">
        <v>2371</v>
      </c>
      <c r="K1115" s="6">
        <v>2371</v>
      </c>
      <c r="L1115" s="6">
        <v>0</v>
      </c>
      <c r="M1115" s="6">
        <v>0</v>
      </c>
      <c r="N1115" s="6">
        <v>0</v>
      </c>
      <c r="O1115" s="6">
        <v>0</v>
      </c>
      <c r="P1115" s="6">
        <v>31</v>
      </c>
      <c r="Q1115" s="4" t="s">
        <v>26</v>
      </c>
      <c r="R1115" s="4">
        <v>0</v>
      </c>
      <c r="S1115" s="6">
        <v>29</v>
      </c>
      <c r="T1115" s="6">
        <v>0</v>
      </c>
      <c r="U1115" s="6">
        <v>0</v>
      </c>
      <c r="V1115" s="6">
        <f>IF(ISERROR(VLOOKUP($S$1115,'TAR FIN'!$A$1:$O$116,15,0)),0,VLOOKUP($S$1115,'TAR FIN'!$A$1:$O$116,15,0))</f>
        <v>25.51</v>
      </c>
      <c r="W1115" s="6">
        <f>IF(ISERROR(VLOOKUP($T$1115,'TAR FIN'!$A$1:$O$116,15,0)),0,VLOOKUP($T$1115,'TAR FIN'!$A$1:$O$116,15,0))</f>
        <v>0</v>
      </c>
      <c r="X1115" s="6">
        <f>IF(ISERROR(VLOOKUP($U$1115,'TAR FIN'!$A$1:$O$116,15,0)),0,VLOOKUP($U$1115,'TAR FIN'!$A$1:$O$116,15,0))</f>
        <v>0</v>
      </c>
      <c r="Y1115" s="6">
        <f ca="1">('TUSD BE'!$AM$33+'TUSD BF'!$AM$33+'TUSD CVA'!$AM$33)*1</f>
        <v>29.803266797877356</v>
      </c>
      <c r="Z1115" s="6"/>
      <c r="AA1115" s="6"/>
      <c r="AB1115" s="6">
        <f>$K$1115*$V$1115</f>
        <v>60484.210000000006</v>
      </c>
      <c r="AC1115" s="6">
        <f>$M$1115*$W$1115</f>
        <v>0</v>
      </c>
      <c r="AD1115" s="6">
        <f>$O$1115*$X$1115</f>
        <v>0</v>
      </c>
      <c r="AE1115" s="6">
        <f ca="1">$K$1115*$Y$1115</f>
        <v>70663.545577767218</v>
      </c>
      <c r="AF1115" s="6">
        <f>$M$1115*$Z$1115</f>
        <v>0</v>
      </c>
      <c r="AG1115" s="6">
        <f>$O$1115*$AA$1115</f>
        <v>0</v>
      </c>
    </row>
    <row r="1116" spans="1:33" ht="11.25" customHeight="1" x14ac:dyDescent="0.25">
      <c r="A1116" s="4" t="s">
        <v>58</v>
      </c>
      <c r="B1116" s="4" t="s">
        <v>41</v>
      </c>
      <c r="C1116" s="4" t="s">
        <v>42</v>
      </c>
      <c r="D1116" s="4" t="s">
        <v>46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44682</v>
      </c>
      <c r="J1116" s="6">
        <v>407</v>
      </c>
      <c r="K1116" s="6">
        <v>407</v>
      </c>
      <c r="L1116" s="6">
        <v>0</v>
      </c>
      <c r="M1116" s="6">
        <v>0</v>
      </c>
      <c r="N1116" s="6">
        <v>0</v>
      </c>
      <c r="O1116" s="6">
        <v>0</v>
      </c>
      <c r="P1116" s="6">
        <v>4</v>
      </c>
      <c r="Q1116" s="4" t="s">
        <v>26</v>
      </c>
      <c r="R1116" s="4">
        <v>0</v>
      </c>
      <c r="S1116" s="6">
        <v>29</v>
      </c>
      <c r="T1116" s="6">
        <v>0</v>
      </c>
      <c r="U1116" s="6">
        <v>0</v>
      </c>
      <c r="V1116" s="6">
        <f>IF(ISERROR(VLOOKUP($S$1116,'TAR FIN'!$A$1:$O$116,15,0)),0,VLOOKUP($S$1116,'TAR FIN'!$A$1:$O$116,15,0))</f>
        <v>25.51</v>
      </c>
      <c r="W1116" s="6">
        <f>IF(ISERROR(VLOOKUP($T$1116,'TAR FIN'!$A$1:$O$116,15,0)),0,VLOOKUP($T$1116,'TAR FIN'!$A$1:$O$116,15,0))</f>
        <v>0</v>
      </c>
      <c r="X1116" s="6">
        <f>IF(ISERROR(VLOOKUP($U$1116,'TAR FIN'!$A$1:$O$116,15,0)),0,VLOOKUP($U$1116,'TAR FIN'!$A$1:$O$116,15,0))</f>
        <v>0</v>
      </c>
      <c r="Y1116" s="6">
        <f ca="1">('TUSD BE'!$AM$33+'TUSD BF'!$AM$33+'TUSD CVA'!$AM$33)*1</f>
        <v>29.803266797877356</v>
      </c>
      <c r="Z1116" s="6"/>
      <c r="AA1116" s="6"/>
      <c r="AB1116" s="6">
        <f>$K$1116*$V$1116</f>
        <v>10382.570000000002</v>
      </c>
      <c r="AC1116" s="6">
        <f>$M$1116*$W$1116</f>
        <v>0</v>
      </c>
      <c r="AD1116" s="6">
        <f>$O$1116*$X$1116</f>
        <v>0</v>
      </c>
      <c r="AE1116" s="6">
        <f ca="1">$K$1116*$Y$1116</f>
        <v>12129.929586736083</v>
      </c>
      <c r="AF1116" s="6">
        <f>$M$1116*$Z$1116</f>
        <v>0</v>
      </c>
      <c r="AG1116" s="6">
        <f>$O$1116*$AA$1116</f>
        <v>0</v>
      </c>
    </row>
    <row r="1117" spans="1:33" ht="11.25" customHeight="1" x14ac:dyDescent="0.25">
      <c r="A1117" s="4" t="s">
        <v>21</v>
      </c>
      <c r="B1117" s="4" t="s">
        <v>41</v>
      </c>
      <c r="C1117" s="4" t="s">
        <v>42</v>
      </c>
      <c r="D1117" s="4" t="s">
        <v>46</v>
      </c>
      <c r="E1117" s="4" t="s">
        <v>25</v>
      </c>
      <c r="F1117" s="4" t="s">
        <v>25</v>
      </c>
      <c r="G1117" s="4" t="s">
        <v>25</v>
      </c>
      <c r="H1117" s="4" t="s">
        <v>34</v>
      </c>
      <c r="I1117" s="5">
        <v>44348</v>
      </c>
      <c r="J1117" s="6">
        <v>0</v>
      </c>
      <c r="K1117" s="6">
        <v>0</v>
      </c>
      <c r="L1117" s="6">
        <v>19.97</v>
      </c>
      <c r="M1117" s="6">
        <v>19.97</v>
      </c>
      <c r="N1117" s="6">
        <v>19.97</v>
      </c>
      <c r="O1117" s="6">
        <v>19.97</v>
      </c>
      <c r="P1117" s="6">
        <v>0</v>
      </c>
      <c r="Q1117" s="4" t="s">
        <v>26</v>
      </c>
      <c r="R1117" s="4">
        <v>0</v>
      </c>
      <c r="S1117" s="6">
        <v>0</v>
      </c>
      <c r="T1117" s="6">
        <v>30</v>
      </c>
      <c r="U1117" s="6">
        <v>78</v>
      </c>
      <c r="V1117" s="6">
        <f>IF(ISERROR(VLOOKUP($S$1117,'TAR FIN'!$A$1:$O$116,15,0)),0,VLOOKUP($S$1117,'TAR FIN'!$A$1:$O$116,15,0))</f>
        <v>0</v>
      </c>
      <c r="W1117" s="6">
        <f>IF(ISERROR(VLOOKUP($T$1117,'TAR FIN'!$A$1:$O$116,15,0)),0,VLOOKUP($T$1117,'TAR FIN'!$A$1:$O$116,15,0))</f>
        <v>1682.12</v>
      </c>
      <c r="X1117" s="6">
        <f>IF(ISERROR(VLOOKUP($U$1117,'TAR FIN'!$A$1:$O$116,15,0)),0,VLOOKUP($U$1117,'TAR FIN'!$A$1:$O$116,15,0))</f>
        <v>496.15</v>
      </c>
      <c r="Y1117" s="6"/>
      <c r="Z1117" s="6">
        <f ca="1">('TUSD BE'!$AM$34+'TUSD BF'!$AM$34+'TUSD CVA'!$AM$34)*1</f>
        <v>1969.9199547802996</v>
      </c>
      <c r="AA1117" s="6">
        <f>('TE BE'!$AB$9+'TE BF'!$AB$9+'TE CVA'!$AB$9)*1</f>
        <v>510.04993331215127</v>
      </c>
      <c r="AB1117" s="6">
        <f>$K$1117*$V$1117</f>
        <v>0</v>
      </c>
      <c r="AC1117" s="6">
        <f>$M$1117*$W$1117</f>
        <v>33591.936399999999</v>
      </c>
      <c r="AD1117" s="6">
        <f>$O$1117*$X$1117</f>
        <v>9908.1154999999999</v>
      </c>
      <c r="AE1117" s="6">
        <f>$K$1117*$Y$1117</f>
        <v>0</v>
      </c>
      <c r="AF1117" s="6">
        <f ca="1">$M$1117*$Z$1117</f>
        <v>39339.30149696258</v>
      </c>
      <c r="AG1117" s="6">
        <f>$O$1117*$AA$1117</f>
        <v>10185.69716824366</v>
      </c>
    </row>
    <row r="1118" spans="1:33" ht="11.25" customHeight="1" x14ac:dyDescent="0.25">
      <c r="A1118" s="4" t="s">
        <v>28</v>
      </c>
      <c r="B1118" s="4" t="s">
        <v>41</v>
      </c>
      <c r="C1118" s="4" t="s">
        <v>42</v>
      </c>
      <c r="D1118" s="4" t="s">
        <v>46</v>
      </c>
      <c r="E1118" s="4" t="s">
        <v>25</v>
      </c>
      <c r="F1118" s="4" t="s">
        <v>25</v>
      </c>
      <c r="G1118" s="4" t="s">
        <v>25</v>
      </c>
      <c r="H1118" s="4" t="s">
        <v>34</v>
      </c>
      <c r="I1118" s="5">
        <v>44348</v>
      </c>
      <c r="J1118" s="6">
        <v>0</v>
      </c>
      <c r="K1118" s="6">
        <v>0</v>
      </c>
      <c r="L1118" s="6">
        <v>1.909</v>
      </c>
      <c r="M1118" s="6">
        <v>1.909</v>
      </c>
      <c r="N1118" s="6">
        <v>1.909</v>
      </c>
      <c r="O1118" s="6">
        <v>1.909</v>
      </c>
      <c r="P1118" s="6">
        <v>0</v>
      </c>
      <c r="Q1118" s="4" t="s">
        <v>26</v>
      </c>
      <c r="R1118" s="4">
        <v>0</v>
      </c>
      <c r="S1118" s="6">
        <v>0</v>
      </c>
      <c r="T1118" s="6">
        <v>30</v>
      </c>
      <c r="U1118" s="6">
        <v>78</v>
      </c>
      <c r="V1118" s="6">
        <f>IF(ISERROR(VLOOKUP($S$1118,'TAR FIN'!$A$1:$O$116,15,0)),0,VLOOKUP($S$1118,'TAR FIN'!$A$1:$O$116,15,0))</f>
        <v>0</v>
      </c>
      <c r="W1118" s="6">
        <f>IF(ISERROR(VLOOKUP($T$1118,'TAR FIN'!$A$1:$O$116,15,0)),0,VLOOKUP($T$1118,'TAR FIN'!$A$1:$O$116,15,0))</f>
        <v>1682.12</v>
      </c>
      <c r="X1118" s="6">
        <f>IF(ISERROR(VLOOKUP($U$1118,'TAR FIN'!$A$1:$O$116,15,0)),0,VLOOKUP($U$1118,'TAR FIN'!$A$1:$O$116,15,0))</f>
        <v>496.15</v>
      </c>
      <c r="Y1118" s="6"/>
      <c r="Z1118" s="6">
        <f ca="1">('TUSD BE'!$AM$34+'TUSD BF'!$AM$34+'TUSD CVA'!$AM$34)*1</f>
        <v>1969.9199547802996</v>
      </c>
      <c r="AA1118" s="6">
        <f>('TE BE'!$AB$9+'TE BF'!$AB$9+'TE CVA'!$AB$9)*1</f>
        <v>510.04993331215127</v>
      </c>
      <c r="AB1118" s="6">
        <f>$K$1118*$V$1118</f>
        <v>0</v>
      </c>
      <c r="AC1118" s="6">
        <f>$M$1118*$W$1118</f>
        <v>3211.1670799999997</v>
      </c>
      <c r="AD1118" s="6">
        <f>$O$1118*$X$1118</f>
        <v>947.15035</v>
      </c>
      <c r="AE1118" s="6">
        <f>$K$1118*$Y$1118</f>
        <v>0</v>
      </c>
      <c r="AF1118" s="6">
        <f ca="1">$M$1118*$Z$1118</f>
        <v>3760.5771936755918</v>
      </c>
      <c r="AG1118" s="6">
        <f>$O$1118*$AA$1118</f>
        <v>973.68532269289676</v>
      </c>
    </row>
    <row r="1119" spans="1:33" ht="11.25" customHeight="1" x14ac:dyDescent="0.25">
      <c r="A1119" s="4" t="s">
        <v>21</v>
      </c>
      <c r="B1119" s="4" t="s">
        <v>41</v>
      </c>
      <c r="C1119" s="4" t="s">
        <v>42</v>
      </c>
      <c r="D1119" s="4" t="s">
        <v>46</v>
      </c>
      <c r="E1119" s="4" t="s">
        <v>25</v>
      </c>
      <c r="F1119" s="4" t="s">
        <v>25</v>
      </c>
      <c r="G1119" s="4" t="s">
        <v>25</v>
      </c>
      <c r="H1119" s="4" t="s">
        <v>34</v>
      </c>
      <c r="I1119" s="5">
        <v>44378</v>
      </c>
      <c r="J1119" s="6">
        <v>0</v>
      </c>
      <c r="K1119" s="6">
        <v>0</v>
      </c>
      <c r="L1119" s="6">
        <v>18.664000000000001</v>
      </c>
      <c r="M1119" s="6">
        <v>18.664000000000001</v>
      </c>
      <c r="N1119" s="6">
        <v>18.664000000000001</v>
      </c>
      <c r="O1119" s="6">
        <v>18.664000000000001</v>
      </c>
      <c r="P1119" s="6">
        <v>0</v>
      </c>
      <c r="Q1119" s="4" t="s">
        <v>26</v>
      </c>
      <c r="R1119" s="4">
        <v>0</v>
      </c>
      <c r="S1119" s="6">
        <v>0</v>
      </c>
      <c r="T1119" s="6">
        <v>30</v>
      </c>
      <c r="U1119" s="6">
        <v>78</v>
      </c>
      <c r="V1119" s="6">
        <f>IF(ISERROR(VLOOKUP($S$1119,'TAR FIN'!$A$1:$O$116,15,0)),0,VLOOKUP($S$1119,'TAR FIN'!$A$1:$O$116,15,0))</f>
        <v>0</v>
      </c>
      <c r="W1119" s="6">
        <f>IF(ISERROR(VLOOKUP($T$1119,'TAR FIN'!$A$1:$O$116,15,0)),0,VLOOKUP($T$1119,'TAR FIN'!$A$1:$O$116,15,0))</f>
        <v>1682.12</v>
      </c>
      <c r="X1119" s="6">
        <f>IF(ISERROR(VLOOKUP($U$1119,'TAR FIN'!$A$1:$O$116,15,0)),0,VLOOKUP($U$1119,'TAR FIN'!$A$1:$O$116,15,0))</f>
        <v>496.15</v>
      </c>
      <c r="Y1119" s="6"/>
      <c r="Z1119" s="6">
        <f ca="1">('TUSD BE'!$AM$34+'TUSD BF'!$AM$34+'TUSD CVA'!$AM$34)*1</f>
        <v>1969.9199547802996</v>
      </c>
      <c r="AA1119" s="6">
        <f>('TE BE'!$AB$9+'TE BF'!$AB$9+'TE CVA'!$AB$9)*1</f>
        <v>510.04993331215127</v>
      </c>
      <c r="AB1119" s="6">
        <f>$K$1119*$V$1119</f>
        <v>0</v>
      </c>
      <c r="AC1119" s="6">
        <f>$M$1119*$W$1119</f>
        <v>31395.087680000001</v>
      </c>
      <c r="AD1119" s="6">
        <f>$O$1119*$X$1119</f>
        <v>9260.1435999999994</v>
      </c>
      <c r="AE1119" s="6">
        <f>$K$1119*$Y$1119</f>
        <v>0</v>
      </c>
      <c r="AF1119" s="6">
        <f ca="1">$M$1119*$Z$1119</f>
        <v>36766.586036019515</v>
      </c>
      <c r="AG1119" s="6">
        <f>$O$1119*$AA$1119</f>
        <v>9519.5719553379913</v>
      </c>
    </row>
    <row r="1120" spans="1:33" ht="11.25" customHeight="1" x14ac:dyDescent="0.25">
      <c r="A1120" s="4" t="s">
        <v>28</v>
      </c>
      <c r="B1120" s="4" t="s">
        <v>41</v>
      </c>
      <c r="C1120" s="4" t="s">
        <v>42</v>
      </c>
      <c r="D1120" s="4" t="s">
        <v>46</v>
      </c>
      <c r="E1120" s="4" t="s">
        <v>25</v>
      </c>
      <c r="F1120" s="4" t="s">
        <v>25</v>
      </c>
      <c r="G1120" s="4" t="s">
        <v>25</v>
      </c>
      <c r="H1120" s="4" t="s">
        <v>34</v>
      </c>
      <c r="I1120" s="5">
        <v>44378</v>
      </c>
      <c r="J1120" s="6">
        <v>0</v>
      </c>
      <c r="K1120" s="6">
        <v>0</v>
      </c>
      <c r="L1120" s="6">
        <v>1.7350000000000001</v>
      </c>
      <c r="M1120" s="6">
        <v>1.7350000000000001</v>
      </c>
      <c r="N1120" s="6">
        <v>1.7350000000000001</v>
      </c>
      <c r="O1120" s="6">
        <v>1.7350000000000001</v>
      </c>
      <c r="P1120" s="6">
        <v>0</v>
      </c>
      <c r="Q1120" s="4" t="s">
        <v>26</v>
      </c>
      <c r="R1120" s="4">
        <v>0</v>
      </c>
      <c r="S1120" s="6">
        <v>0</v>
      </c>
      <c r="T1120" s="6">
        <v>30</v>
      </c>
      <c r="U1120" s="6">
        <v>78</v>
      </c>
      <c r="V1120" s="6">
        <f>IF(ISERROR(VLOOKUP($S$1120,'TAR FIN'!$A$1:$O$116,15,0)),0,VLOOKUP($S$1120,'TAR FIN'!$A$1:$O$116,15,0))</f>
        <v>0</v>
      </c>
      <c r="W1120" s="6">
        <f>IF(ISERROR(VLOOKUP($T$1120,'TAR FIN'!$A$1:$O$116,15,0)),0,VLOOKUP($T$1120,'TAR FIN'!$A$1:$O$116,15,0))</f>
        <v>1682.12</v>
      </c>
      <c r="X1120" s="6">
        <f>IF(ISERROR(VLOOKUP($U$1120,'TAR FIN'!$A$1:$O$116,15,0)),0,VLOOKUP($U$1120,'TAR FIN'!$A$1:$O$116,15,0))</f>
        <v>496.15</v>
      </c>
      <c r="Y1120" s="6"/>
      <c r="Z1120" s="6">
        <f ca="1">('TUSD BE'!$AM$34+'TUSD BF'!$AM$34+'TUSD CVA'!$AM$34)*1</f>
        <v>1969.9199547802996</v>
      </c>
      <c r="AA1120" s="6">
        <f>('TE BE'!$AB$9+'TE BF'!$AB$9+'TE CVA'!$AB$9)*1</f>
        <v>510.04993331215127</v>
      </c>
      <c r="AB1120" s="6">
        <f>$K$1120*$V$1120</f>
        <v>0</v>
      </c>
      <c r="AC1120" s="6">
        <f>$M$1120*$W$1120</f>
        <v>2918.4782</v>
      </c>
      <c r="AD1120" s="6">
        <f>$O$1120*$X$1120</f>
        <v>860.82024999999999</v>
      </c>
      <c r="AE1120" s="6">
        <f>$K$1120*$Y$1120</f>
        <v>0</v>
      </c>
      <c r="AF1120" s="6">
        <f ca="1">$M$1120*$Z$1120</f>
        <v>3417.8111215438198</v>
      </c>
      <c r="AG1120" s="6">
        <f>$O$1120*$AA$1120</f>
        <v>884.9366342965825</v>
      </c>
    </row>
    <row r="1121" spans="1:33" ht="11.25" customHeight="1" x14ac:dyDescent="0.25">
      <c r="A1121" s="4" t="s">
        <v>21</v>
      </c>
      <c r="B1121" s="4" t="s">
        <v>41</v>
      </c>
      <c r="C1121" s="4" t="s">
        <v>42</v>
      </c>
      <c r="D1121" s="4" t="s">
        <v>46</v>
      </c>
      <c r="E1121" s="4" t="s">
        <v>25</v>
      </c>
      <c r="F1121" s="4" t="s">
        <v>25</v>
      </c>
      <c r="G1121" s="4" t="s">
        <v>25</v>
      </c>
      <c r="H1121" s="4" t="s">
        <v>34</v>
      </c>
      <c r="I1121" s="5">
        <v>44409</v>
      </c>
      <c r="J1121" s="6">
        <v>0</v>
      </c>
      <c r="K1121" s="6">
        <v>0</v>
      </c>
      <c r="L1121" s="6">
        <v>19.614999999999998</v>
      </c>
      <c r="M1121" s="6">
        <v>19.614999999999998</v>
      </c>
      <c r="N1121" s="6">
        <v>19.614999999999998</v>
      </c>
      <c r="O1121" s="6">
        <v>19.614999999999998</v>
      </c>
      <c r="P1121" s="6">
        <v>0</v>
      </c>
      <c r="Q1121" s="4" t="s">
        <v>26</v>
      </c>
      <c r="R1121" s="4">
        <v>0</v>
      </c>
      <c r="S1121" s="6">
        <v>0</v>
      </c>
      <c r="T1121" s="6">
        <v>30</v>
      </c>
      <c r="U1121" s="6">
        <v>78</v>
      </c>
      <c r="V1121" s="6">
        <f>IF(ISERROR(VLOOKUP($S$1121,'TAR FIN'!$A$1:$O$116,15,0)),0,VLOOKUP($S$1121,'TAR FIN'!$A$1:$O$116,15,0))</f>
        <v>0</v>
      </c>
      <c r="W1121" s="6">
        <f>IF(ISERROR(VLOOKUP($T$1121,'TAR FIN'!$A$1:$O$116,15,0)),0,VLOOKUP($T$1121,'TAR FIN'!$A$1:$O$116,15,0))</f>
        <v>1682.12</v>
      </c>
      <c r="X1121" s="6">
        <f>IF(ISERROR(VLOOKUP($U$1121,'TAR FIN'!$A$1:$O$116,15,0)),0,VLOOKUP($U$1121,'TAR FIN'!$A$1:$O$116,15,0))</f>
        <v>496.15</v>
      </c>
      <c r="Y1121" s="6"/>
      <c r="Z1121" s="6">
        <f ca="1">('TUSD BE'!$AM$34+'TUSD BF'!$AM$34+'TUSD CVA'!$AM$34)*1</f>
        <v>1969.9199547802996</v>
      </c>
      <c r="AA1121" s="6">
        <f>('TE BE'!$AB$9+'TE BF'!$AB$9+'TE CVA'!$AB$9)*1</f>
        <v>510.04993331215127</v>
      </c>
      <c r="AB1121" s="6">
        <f>$K$1121*$V$1121</f>
        <v>0</v>
      </c>
      <c r="AC1121" s="6">
        <f>$M$1121*$W$1121</f>
        <v>32994.783799999997</v>
      </c>
      <c r="AD1121" s="6">
        <f>$O$1121*$X$1121</f>
        <v>9731.9822499999991</v>
      </c>
      <c r="AE1121" s="6">
        <f>$K$1121*$Y$1121</f>
        <v>0</v>
      </c>
      <c r="AF1121" s="6">
        <f ca="1">$M$1121*$Z$1121</f>
        <v>38639.979913015573</v>
      </c>
      <c r="AG1121" s="6">
        <f>$O$1121*$AA$1121</f>
        <v>10004.629441917847</v>
      </c>
    </row>
    <row r="1122" spans="1:33" ht="11.25" customHeight="1" x14ac:dyDescent="0.25">
      <c r="A1122" s="4" t="s">
        <v>28</v>
      </c>
      <c r="B1122" s="4" t="s">
        <v>41</v>
      </c>
      <c r="C1122" s="4" t="s">
        <v>42</v>
      </c>
      <c r="D1122" s="4" t="s">
        <v>46</v>
      </c>
      <c r="E1122" s="4" t="s">
        <v>25</v>
      </c>
      <c r="F1122" s="4" t="s">
        <v>25</v>
      </c>
      <c r="G1122" s="4" t="s">
        <v>25</v>
      </c>
      <c r="H1122" s="4" t="s">
        <v>34</v>
      </c>
      <c r="I1122" s="5">
        <v>44409</v>
      </c>
      <c r="J1122" s="6">
        <v>0</v>
      </c>
      <c r="K1122" s="6">
        <v>0</v>
      </c>
      <c r="L1122" s="6">
        <v>1.6220000000000001</v>
      </c>
      <c r="M1122" s="6">
        <v>1.6220000000000001</v>
      </c>
      <c r="N1122" s="6">
        <v>1.6220000000000001</v>
      </c>
      <c r="O1122" s="6">
        <v>1.6220000000000001</v>
      </c>
      <c r="P1122" s="6">
        <v>0</v>
      </c>
      <c r="Q1122" s="4" t="s">
        <v>26</v>
      </c>
      <c r="R1122" s="4">
        <v>0</v>
      </c>
      <c r="S1122" s="6">
        <v>0</v>
      </c>
      <c r="T1122" s="6">
        <v>30</v>
      </c>
      <c r="U1122" s="6">
        <v>78</v>
      </c>
      <c r="V1122" s="6">
        <f>IF(ISERROR(VLOOKUP($S$1122,'TAR FIN'!$A$1:$O$116,15,0)),0,VLOOKUP($S$1122,'TAR FIN'!$A$1:$O$116,15,0))</f>
        <v>0</v>
      </c>
      <c r="W1122" s="6">
        <f>IF(ISERROR(VLOOKUP($T$1122,'TAR FIN'!$A$1:$O$116,15,0)),0,VLOOKUP($T$1122,'TAR FIN'!$A$1:$O$116,15,0))</f>
        <v>1682.12</v>
      </c>
      <c r="X1122" s="6">
        <f>IF(ISERROR(VLOOKUP($U$1122,'TAR FIN'!$A$1:$O$116,15,0)),0,VLOOKUP($U$1122,'TAR FIN'!$A$1:$O$116,15,0))</f>
        <v>496.15</v>
      </c>
      <c r="Y1122" s="6"/>
      <c r="Z1122" s="6">
        <f ca="1">('TUSD BE'!$AM$34+'TUSD BF'!$AM$34+'TUSD CVA'!$AM$34)*1</f>
        <v>1969.9199547802996</v>
      </c>
      <c r="AA1122" s="6">
        <f>('TE BE'!$AB$9+'TE BF'!$AB$9+'TE CVA'!$AB$9)*1</f>
        <v>510.04993331215127</v>
      </c>
      <c r="AB1122" s="6">
        <f>$K$1122*$V$1122</f>
        <v>0</v>
      </c>
      <c r="AC1122" s="6">
        <f>$M$1122*$W$1122</f>
        <v>2728.3986399999999</v>
      </c>
      <c r="AD1122" s="6">
        <f>$O$1122*$X$1122</f>
        <v>804.75530000000003</v>
      </c>
      <c r="AE1122" s="6">
        <f>$K$1122*$Y$1122</f>
        <v>0</v>
      </c>
      <c r="AF1122" s="6">
        <f ca="1">$M$1122*$Z$1122</f>
        <v>3195.210166653646</v>
      </c>
      <c r="AG1122" s="6">
        <f>$O$1122*$AA$1122</f>
        <v>827.30099183230936</v>
      </c>
    </row>
    <row r="1123" spans="1:33" ht="11.25" customHeight="1" x14ac:dyDescent="0.25">
      <c r="A1123" s="4" t="s">
        <v>21</v>
      </c>
      <c r="B1123" s="4" t="s">
        <v>41</v>
      </c>
      <c r="C1123" s="4" t="s">
        <v>42</v>
      </c>
      <c r="D1123" s="4" t="s">
        <v>46</v>
      </c>
      <c r="E1123" s="4" t="s">
        <v>25</v>
      </c>
      <c r="F1123" s="4" t="s">
        <v>25</v>
      </c>
      <c r="G1123" s="4" t="s">
        <v>25</v>
      </c>
      <c r="H1123" s="4" t="s">
        <v>34</v>
      </c>
      <c r="I1123" s="5">
        <v>44440</v>
      </c>
      <c r="J1123" s="6">
        <v>0</v>
      </c>
      <c r="K1123" s="6">
        <v>0</v>
      </c>
      <c r="L1123" s="6">
        <v>18.852</v>
      </c>
      <c r="M1123" s="6">
        <v>18.852</v>
      </c>
      <c r="N1123" s="6">
        <v>18.852</v>
      </c>
      <c r="O1123" s="6">
        <v>18.852</v>
      </c>
      <c r="P1123" s="6">
        <v>0</v>
      </c>
      <c r="Q1123" s="4" t="s">
        <v>26</v>
      </c>
      <c r="R1123" s="4">
        <v>0</v>
      </c>
      <c r="S1123" s="6">
        <v>0</v>
      </c>
      <c r="T1123" s="6">
        <v>30</v>
      </c>
      <c r="U1123" s="6">
        <v>78</v>
      </c>
      <c r="V1123" s="6">
        <f>IF(ISERROR(VLOOKUP($S$1123,'TAR FIN'!$A$1:$O$116,15,0)),0,VLOOKUP($S$1123,'TAR FIN'!$A$1:$O$116,15,0))</f>
        <v>0</v>
      </c>
      <c r="W1123" s="6">
        <f>IF(ISERROR(VLOOKUP($T$1123,'TAR FIN'!$A$1:$O$116,15,0)),0,VLOOKUP($T$1123,'TAR FIN'!$A$1:$O$116,15,0))</f>
        <v>1682.12</v>
      </c>
      <c r="X1123" s="6">
        <f>IF(ISERROR(VLOOKUP($U$1123,'TAR FIN'!$A$1:$O$116,15,0)),0,VLOOKUP($U$1123,'TAR FIN'!$A$1:$O$116,15,0))</f>
        <v>496.15</v>
      </c>
      <c r="Y1123" s="6"/>
      <c r="Z1123" s="6">
        <f ca="1">('TUSD BE'!$AM$34+'TUSD BF'!$AM$34+'TUSD CVA'!$AM$34)*1</f>
        <v>1969.9199547802996</v>
      </c>
      <c r="AA1123" s="6">
        <f>('TE BE'!$AB$9+'TE BF'!$AB$9+'TE CVA'!$AB$9)*1</f>
        <v>510.04993331215127</v>
      </c>
      <c r="AB1123" s="6">
        <f>$K$1123*$V$1123</f>
        <v>0</v>
      </c>
      <c r="AC1123" s="6">
        <f>$M$1123*$W$1123</f>
        <v>31711.326239999999</v>
      </c>
      <c r="AD1123" s="6">
        <f>$O$1123*$X$1123</f>
        <v>9353.4197999999997</v>
      </c>
      <c r="AE1123" s="6">
        <f>$K$1123*$Y$1123</f>
        <v>0</v>
      </c>
      <c r="AF1123" s="6">
        <f ca="1">$M$1123*$Z$1123</f>
        <v>37136.930987518208</v>
      </c>
      <c r="AG1123" s="6">
        <f>$O$1123*$AA$1123</f>
        <v>9615.461342800676</v>
      </c>
    </row>
    <row r="1124" spans="1:33" ht="11.25" customHeight="1" x14ac:dyDescent="0.25">
      <c r="A1124" s="4" t="s">
        <v>28</v>
      </c>
      <c r="B1124" s="4" t="s">
        <v>41</v>
      </c>
      <c r="C1124" s="4" t="s">
        <v>42</v>
      </c>
      <c r="D1124" s="4" t="s">
        <v>46</v>
      </c>
      <c r="E1124" s="4" t="s">
        <v>25</v>
      </c>
      <c r="F1124" s="4" t="s">
        <v>25</v>
      </c>
      <c r="G1124" s="4" t="s">
        <v>25</v>
      </c>
      <c r="H1124" s="4" t="s">
        <v>34</v>
      </c>
      <c r="I1124" s="5">
        <v>44440</v>
      </c>
      <c r="J1124" s="6">
        <v>0</v>
      </c>
      <c r="K1124" s="6">
        <v>0</v>
      </c>
      <c r="L1124" s="6">
        <v>1.7450000000000001</v>
      </c>
      <c r="M1124" s="6">
        <v>1.7450000000000001</v>
      </c>
      <c r="N1124" s="6">
        <v>1.7450000000000001</v>
      </c>
      <c r="O1124" s="6">
        <v>1.7450000000000001</v>
      </c>
      <c r="P1124" s="6">
        <v>0</v>
      </c>
      <c r="Q1124" s="4" t="s">
        <v>26</v>
      </c>
      <c r="R1124" s="4">
        <v>0</v>
      </c>
      <c r="S1124" s="6">
        <v>0</v>
      </c>
      <c r="T1124" s="6">
        <v>30</v>
      </c>
      <c r="U1124" s="6">
        <v>78</v>
      </c>
      <c r="V1124" s="6">
        <f>IF(ISERROR(VLOOKUP($S$1124,'TAR FIN'!$A$1:$O$116,15,0)),0,VLOOKUP($S$1124,'TAR FIN'!$A$1:$O$116,15,0))</f>
        <v>0</v>
      </c>
      <c r="W1124" s="6">
        <f>IF(ISERROR(VLOOKUP($T$1124,'TAR FIN'!$A$1:$O$116,15,0)),0,VLOOKUP($T$1124,'TAR FIN'!$A$1:$O$116,15,0))</f>
        <v>1682.12</v>
      </c>
      <c r="X1124" s="6">
        <f>IF(ISERROR(VLOOKUP($U$1124,'TAR FIN'!$A$1:$O$116,15,0)),0,VLOOKUP($U$1124,'TAR FIN'!$A$1:$O$116,15,0))</f>
        <v>496.15</v>
      </c>
      <c r="Y1124" s="6"/>
      <c r="Z1124" s="6">
        <f ca="1">('TUSD BE'!$AM$34+'TUSD BF'!$AM$34+'TUSD CVA'!$AM$34)*1</f>
        <v>1969.9199547802996</v>
      </c>
      <c r="AA1124" s="6">
        <f>('TE BE'!$AB$9+'TE BF'!$AB$9+'TE CVA'!$AB$9)*1</f>
        <v>510.04993331215127</v>
      </c>
      <c r="AB1124" s="6">
        <f>$K$1124*$V$1124</f>
        <v>0</v>
      </c>
      <c r="AC1124" s="6">
        <f>$M$1124*$W$1124</f>
        <v>2935.2993999999999</v>
      </c>
      <c r="AD1124" s="6">
        <f>$O$1124*$X$1124</f>
        <v>865.78174999999999</v>
      </c>
      <c r="AE1124" s="6">
        <f>$K$1124*$Y$1124</f>
        <v>0</v>
      </c>
      <c r="AF1124" s="6">
        <f ca="1">$M$1124*$Z$1124</f>
        <v>3437.5103210916232</v>
      </c>
      <c r="AG1124" s="6">
        <f>$O$1124*$AA$1124</f>
        <v>890.03713362970404</v>
      </c>
    </row>
    <row r="1125" spans="1:33" ht="11.25" customHeight="1" x14ac:dyDescent="0.25">
      <c r="A1125" s="4" t="s">
        <v>21</v>
      </c>
      <c r="B1125" s="4" t="s">
        <v>41</v>
      </c>
      <c r="C1125" s="4" t="s">
        <v>42</v>
      </c>
      <c r="D1125" s="4" t="s">
        <v>46</v>
      </c>
      <c r="E1125" s="4" t="s">
        <v>25</v>
      </c>
      <c r="F1125" s="4" t="s">
        <v>25</v>
      </c>
      <c r="G1125" s="4" t="s">
        <v>25</v>
      </c>
      <c r="H1125" s="4" t="s">
        <v>34</v>
      </c>
      <c r="I1125" s="5">
        <v>44470</v>
      </c>
      <c r="J1125" s="6">
        <v>0</v>
      </c>
      <c r="K1125" s="6">
        <v>0</v>
      </c>
      <c r="L1125" s="6">
        <v>18.603999999999999</v>
      </c>
      <c r="M1125" s="6">
        <v>18.603999999999999</v>
      </c>
      <c r="N1125" s="6">
        <v>18.603999999999999</v>
      </c>
      <c r="O1125" s="6">
        <v>18.603999999999999</v>
      </c>
      <c r="P1125" s="6">
        <v>0</v>
      </c>
      <c r="Q1125" s="4" t="s">
        <v>26</v>
      </c>
      <c r="R1125" s="4">
        <v>0</v>
      </c>
      <c r="S1125" s="6">
        <v>0</v>
      </c>
      <c r="T1125" s="6">
        <v>30</v>
      </c>
      <c r="U1125" s="6">
        <v>78</v>
      </c>
      <c r="V1125" s="6">
        <f>IF(ISERROR(VLOOKUP($S$1125,'TAR FIN'!$A$1:$O$116,15,0)),0,VLOOKUP($S$1125,'TAR FIN'!$A$1:$O$116,15,0))</f>
        <v>0</v>
      </c>
      <c r="W1125" s="6">
        <f>IF(ISERROR(VLOOKUP($T$1125,'TAR FIN'!$A$1:$O$116,15,0)),0,VLOOKUP($T$1125,'TAR FIN'!$A$1:$O$116,15,0))</f>
        <v>1682.12</v>
      </c>
      <c r="X1125" s="6">
        <f>IF(ISERROR(VLOOKUP($U$1125,'TAR FIN'!$A$1:$O$116,15,0)),0,VLOOKUP($U$1125,'TAR FIN'!$A$1:$O$116,15,0))</f>
        <v>496.15</v>
      </c>
      <c r="Y1125" s="6"/>
      <c r="Z1125" s="6">
        <f ca="1">('TUSD BE'!$AM$34+'TUSD BF'!$AM$34+'TUSD CVA'!$AM$34)*1</f>
        <v>1969.9199547802996</v>
      </c>
      <c r="AA1125" s="6">
        <f>('TE BE'!$AB$9+'TE BF'!$AB$9+'TE CVA'!$AB$9)*1</f>
        <v>510.04993331215127</v>
      </c>
      <c r="AB1125" s="6">
        <f>$K$1125*$V$1125</f>
        <v>0</v>
      </c>
      <c r="AC1125" s="6">
        <f>$M$1125*$W$1125</f>
        <v>31294.160479999995</v>
      </c>
      <c r="AD1125" s="6">
        <f>$O$1125*$X$1125</f>
        <v>9230.3745999999992</v>
      </c>
      <c r="AE1125" s="6">
        <f>$K$1125*$Y$1125</f>
        <v>0</v>
      </c>
      <c r="AF1125" s="6">
        <f ca="1">$M$1125*$Z$1125</f>
        <v>36648.390838732688</v>
      </c>
      <c r="AG1125" s="6">
        <f>$O$1125*$AA$1125</f>
        <v>9488.9689593392613</v>
      </c>
    </row>
    <row r="1126" spans="1:33" ht="11.25" customHeight="1" x14ac:dyDescent="0.25">
      <c r="A1126" s="4" t="s">
        <v>28</v>
      </c>
      <c r="B1126" s="4" t="s">
        <v>41</v>
      </c>
      <c r="C1126" s="4" t="s">
        <v>42</v>
      </c>
      <c r="D1126" s="4" t="s">
        <v>46</v>
      </c>
      <c r="E1126" s="4" t="s">
        <v>25</v>
      </c>
      <c r="F1126" s="4" t="s">
        <v>25</v>
      </c>
      <c r="G1126" s="4" t="s">
        <v>25</v>
      </c>
      <c r="H1126" s="4" t="s">
        <v>34</v>
      </c>
      <c r="I1126" s="5">
        <v>44470</v>
      </c>
      <c r="J1126" s="6">
        <v>0</v>
      </c>
      <c r="K1126" s="6">
        <v>0</v>
      </c>
      <c r="L1126" s="6">
        <v>2.0529999999999999</v>
      </c>
      <c r="M1126" s="6">
        <v>2.0529999999999999</v>
      </c>
      <c r="N1126" s="6">
        <v>2.0529999999999999</v>
      </c>
      <c r="O1126" s="6">
        <v>2.0529999999999999</v>
      </c>
      <c r="P1126" s="6">
        <v>0</v>
      </c>
      <c r="Q1126" s="4" t="s">
        <v>26</v>
      </c>
      <c r="R1126" s="4">
        <v>0</v>
      </c>
      <c r="S1126" s="6">
        <v>0</v>
      </c>
      <c r="T1126" s="6">
        <v>30</v>
      </c>
      <c r="U1126" s="6">
        <v>78</v>
      </c>
      <c r="V1126" s="6">
        <f>IF(ISERROR(VLOOKUP($S$1126,'TAR FIN'!$A$1:$O$116,15,0)),0,VLOOKUP($S$1126,'TAR FIN'!$A$1:$O$116,15,0))</f>
        <v>0</v>
      </c>
      <c r="W1126" s="6">
        <f>IF(ISERROR(VLOOKUP($T$1126,'TAR FIN'!$A$1:$O$116,15,0)),0,VLOOKUP($T$1126,'TAR FIN'!$A$1:$O$116,15,0))</f>
        <v>1682.12</v>
      </c>
      <c r="X1126" s="6">
        <f>IF(ISERROR(VLOOKUP($U$1126,'TAR FIN'!$A$1:$O$116,15,0)),0,VLOOKUP($U$1126,'TAR FIN'!$A$1:$O$116,15,0))</f>
        <v>496.15</v>
      </c>
      <c r="Y1126" s="6"/>
      <c r="Z1126" s="6">
        <f ca="1">('TUSD BE'!$AM$34+'TUSD BF'!$AM$34+'TUSD CVA'!$AM$34)*1</f>
        <v>1969.9199547802996</v>
      </c>
      <c r="AA1126" s="6">
        <f>('TE BE'!$AB$9+'TE BF'!$AB$9+'TE CVA'!$AB$9)*1</f>
        <v>510.04993331215127</v>
      </c>
      <c r="AB1126" s="6">
        <f>$K$1126*$V$1126</f>
        <v>0</v>
      </c>
      <c r="AC1126" s="6">
        <f>$M$1126*$W$1126</f>
        <v>3453.3923599999998</v>
      </c>
      <c r="AD1126" s="6">
        <f>$O$1126*$X$1126</f>
        <v>1018.5959499999999</v>
      </c>
      <c r="AE1126" s="6">
        <f>$K$1126*$Y$1126</f>
        <v>0</v>
      </c>
      <c r="AF1126" s="6">
        <f ca="1">$M$1126*$Z$1126</f>
        <v>4044.2456671639547</v>
      </c>
      <c r="AG1126" s="6">
        <f>$O$1126*$AA$1126</f>
        <v>1047.1325130898465</v>
      </c>
    </row>
    <row r="1127" spans="1:33" ht="11.25" customHeight="1" x14ac:dyDescent="0.25">
      <c r="A1127" s="4" t="s">
        <v>21</v>
      </c>
      <c r="B1127" s="4" t="s">
        <v>41</v>
      </c>
      <c r="C1127" s="4" t="s">
        <v>42</v>
      </c>
      <c r="D1127" s="4" t="s">
        <v>46</v>
      </c>
      <c r="E1127" s="4" t="s">
        <v>25</v>
      </c>
      <c r="F1127" s="4" t="s">
        <v>25</v>
      </c>
      <c r="G1127" s="4" t="s">
        <v>25</v>
      </c>
      <c r="H1127" s="4" t="s">
        <v>34</v>
      </c>
      <c r="I1127" s="5">
        <v>44501</v>
      </c>
      <c r="J1127" s="6">
        <v>0</v>
      </c>
      <c r="K1127" s="6">
        <v>0</v>
      </c>
      <c r="L1127" s="6">
        <v>16.614000000000001</v>
      </c>
      <c r="M1127" s="6">
        <v>16.614000000000001</v>
      </c>
      <c r="N1127" s="6">
        <v>16.614000000000001</v>
      </c>
      <c r="O1127" s="6">
        <v>16.614000000000001</v>
      </c>
      <c r="P1127" s="6">
        <v>0</v>
      </c>
      <c r="Q1127" s="4" t="s">
        <v>26</v>
      </c>
      <c r="R1127" s="4">
        <v>0</v>
      </c>
      <c r="S1127" s="6">
        <v>0</v>
      </c>
      <c r="T1127" s="6">
        <v>30</v>
      </c>
      <c r="U1127" s="6">
        <v>78</v>
      </c>
      <c r="V1127" s="6">
        <f>IF(ISERROR(VLOOKUP($S$1127,'TAR FIN'!$A$1:$O$116,15,0)),0,VLOOKUP($S$1127,'TAR FIN'!$A$1:$O$116,15,0))</f>
        <v>0</v>
      </c>
      <c r="W1127" s="6">
        <f>IF(ISERROR(VLOOKUP($T$1127,'TAR FIN'!$A$1:$O$116,15,0)),0,VLOOKUP($T$1127,'TAR FIN'!$A$1:$O$116,15,0))</f>
        <v>1682.12</v>
      </c>
      <c r="X1127" s="6">
        <f>IF(ISERROR(VLOOKUP($U$1127,'TAR FIN'!$A$1:$O$116,15,0)),0,VLOOKUP($U$1127,'TAR FIN'!$A$1:$O$116,15,0))</f>
        <v>496.15</v>
      </c>
      <c r="Y1127" s="6"/>
      <c r="Z1127" s="6">
        <f ca="1">('TUSD BE'!$AM$34+'TUSD BF'!$AM$34+'TUSD CVA'!$AM$34)*1</f>
        <v>1969.9199547802996</v>
      </c>
      <c r="AA1127" s="6">
        <f>('TE BE'!$AB$9+'TE BF'!$AB$9+'TE CVA'!$AB$9)*1</f>
        <v>510.04993331215127</v>
      </c>
      <c r="AB1127" s="6">
        <f>$K$1127*$V$1127</f>
        <v>0</v>
      </c>
      <c r="AC1127" s="6">
        <f>$M$1127*$W$1127</f>
        <v>27946.741679999999</v>
      </c>
      <c r="AD1127" s="6">
        <f>$O$1127*$X$1127</f>
        <v>8243.0360999999994</v>
      </c>
      <c r="AE1127" s="6">
        <f>$K$1127*$Y$1127</f>
        <v>0</v>
      </c>
      <c r="AF1127" s="6">
        <f ca="1">$M$1127*$Z$1127</f>
        <v>32728.250128719897</v>
      </c>
      <c r="AG1127" s="6">
        <f>$O$1127*$AA$1127</f>
        <v>8473.9695920480808</v>
      </c>
    </row>
    <row r="1128" spans="1:33" ht="11.25" customHeight="1" x14ac:dyDescent="0.25">
      <c r="A1128" s="4" t="s">
        <v>28</v>
      </c>
      <c r="B1128" s="4" t="s">
        <v>41</v>
      </c>
      <c r="C1128" s="4" t="s">
        <v>42</v>
      </c>
      <c r="D1128" s="4" t="s">
        <v>46</v>
      </c>
      <c r="E1128" s="4" t="s">
        <v>25</v>
      </c>
      <c r="F1128" s="4" t="s">
        <v>25</v>
      </c>
      <c r="G1128" s="4" t="s">
        <v>25</v>
      </c>
      <c r="H1128" s="4" t="s">
        <v>34</v>
      </c>
      <c r="I1128" s="5">
        <v>44501</v>
      </c>
      <c r="J1128" s="6">
        <v>0</v>
      </c>
      <c r="K1128" s="6">
        <v>0</v>
      </c>
      <c r="L1128" s="6">
        <v>1.786</v>
      </c>
      <c r="M1128" s="6">
        <v>1.786</v>
      </c>
      <c r="N1128" s="6">
        <v>1.786</v>
      </c>
      <c r="O1128" s="6">
        <v>1.786</v>
      </c>
      <c r="P1128" s="6">
        <v>0</v>
      </c>
      <c r="Q1128" s="4" t="s">
        <v>26</v>
      </c>
      <c r="R1128" s="4">
        <v>0</v>
      </c>
      <c r="S1128" s="6">
        <v>0</v>
      </c>
      <c r="T1128" s="6">
        <v>30</v>
      </c>
      <c r="U1128" s="6">
        <v>78</v>
      </c>
      <c r="V1128" s="6">
        <f>IF(ISERROR(VLOOKUP($S$1128,'TAR FIN'!$A$1:$O$116,15,0)),0,VLOOKUP($S$1128,'TAR FIN'!$A$1:$O$116,15,0))</f>
        <v>0</v>
      </c>
      <c r="W1128" s="6">
        <f>IF(ISERROR(VLOOKUP($T$1128,'TAR FIN'!$A$1:$O$116,15,0)),0,VLOOKUP($T$1128,'TAR FIN'!$A$1:$O$116,15,0))</f>
        <v>1682.12</v>
      </c>
      <c r="X1128" s="6">
        <f>IF(ISERROR(VLOOKUP($U$1128,'TAR FIN'!$A$1:$O$116,15,0)),0,VLOOKUP($U$1128,'TAR FIN'!$A$1:$O$116,15,0))</f>
        <v>496.15</v>
      </c>
      <c r="Y1128" s="6"/>
      <c r="Z1128" s="6">
        <f ca="1">('TUSD BE'!$AM$34+'TUSD BF'!$AM$34+'TUSD CVA'!$AM$34)*1</f>
        <v>1969.9199547802996</v>
      </c>
      <c r="AA1128" s="6">
        <f>('TE BE'!$AB$9+'TE BF'!$AB$9+'TE CVA'!$AB$9)*1</f>
        <v>510.04993331215127</v>
      </c>
      <c r="AB1128" s="6">
        <f>$K$1128*$V$1128</f>
        <v>0</v>
      </c>
      <c r="AC1128" s="6">
        <f>$M$1128*$W$1128</f>
        <v>3004.2663199999997</v>
      </c>
      <c r="AD1128" s="6">
        <f>$O$1128*$X$1128</f>
        <v>886.12389999999994</v>
      </c>
      <c r="AE1128" s="6">
        <f>$K$1128*$Y$1128</f>
        <v>0</v>
      </c>
      <c r="AF1128" s="6">
        <f ca="1">$M$1128*$Z$1128</f>
        <v>3518.2770392376151</v>
      </c>
      <c r="AG1128" s="6">
        <f>$O$1128*$AA$1128</f>
        <v>910.9491808955022</v>
      </c>
    </row>
    <row r="1129" spans="1:33" ht="11.25" customHeight="1" x14ac:dyDescent="0.25">
      <c r="A1129" s="4" t="s">
        <v>21</v>
      </c>
      <c r="B1129" s="4" t="s">
        <v>41</v>
      </c>
      <c r="C1129" s="4" t="s">
        <v>42</v>
      </c>
      <c r="D1129" s="4" t="s">
        <v>46</v>
      </c>
      <c r="E1129" s="4" t="s">
        <v>25</v>
      </c>
      <c r="F1129" s="4" t="s">
        <v>25</v>
      </c>
      <c r="G1129" s="4" t="s">
        <v>25</v>
      </c>
      <c r="H1129" s="4" t="s">
        <v>34</v>
      </c>
      <c r="I1129" s="5">
        <v>44531</v>
      </c>
      <c r="J1129" s="6">
        <v>0</v>
      </c>
      <c r="K1129" s="6">
        <v>0</v>
      </c>
      <c r="L1129" s="6">
        <v>18.533000000000001</v>
      </c>
      <c r="M1129" s="6">
        <v>18.533000000000001</v>
      </c>
      <c r="N1129" s="6">
        <v>18.533000000000001</v>
      </c>
      <c r="O1129" s="6">
        <v>18.533000000000001</v>
      </c>
      <c r="P1129" s="6">
        <v>0</v>
      </c>
      <c r="Q1129" s="4" t="s">
        <v>26</v>
      </c>
      <c r="R1129" s="4">
        <v>0</v>
      </c>
      <c r="S1129" s="6">
        <v>0</v>
      </c>
      <c r="T1129" s="6">
        <v>30</v>
      </c>
      <c r="U1129" s="6">
        <v>78</v>
      </c>
      <c r="V1129" s="6">
        <f>IF(ISERROR(VLOOKUP($S$1129,'TAR FIN'!$A$1:$O$116,15,0)),0,VLOOKUP($S$1129,'TAR FIN'!$A$1:$O$116,15,0))</f>
        <v>0</v>
      </c>
      <c r="W1129" s="6">
        <f>IF(ISERROR(VLOOKUP($T$1129,'TAR FIN'!$A$1:$O$116,15,0)),0,VLOOKUP($T$1129,'TAR FIN'!$A$1:$O$116,15,0))</f>
        <v>1682.12</v>
      </c>
      <c r="X1129" s="6">
        <f>IF(ISERROR(VLOOKUP($U$1129,'TAR FIN'!$A$1:$O$116,15,0)),0,VLOOKUP($U$1129,'TAR FIN'!$A$1:$O$116,15,0))</f>
        <v>496.15</v>
      </c>
      <c r="Y1129" s="6"/>
      <c r="Z1129" s="6">
        <f ca="1">('TUSD BE'!$AM$34+'TUSD BF'!$AM$34+'TUSD CVA'!$AM$34)*1</f>
        <v>1969.9199547802996</v>
      </c>
      <c r="AA1129" s="6">
        <f>('TE BE'!$AB$9+'TE BF'!$AB$9+'TE CVA'!$AB$9)*1</f>
        <v>510.04993331215127</v>
      </c>
      <c r="AB1129" s="6">
        <f>$K$1129*$V$1129</f>
        <v>0</v>
      </c>
      <c r="AC1129" s="6">
        <f>$M$1129*$W$1129</f>
        <v>31174.729960000001</v>
      </c>
      <c r="AD1129" s="6">
        <f>$O$1129*$X$1129</f>
        <v>9195.1479500000005</v>
      </c>
      <c r="AE1129" s="6">
        <f>$K$1129*$Y$1129</f>
        <v>0</v>
      </c>
      <c r="AF1129" s="6">
        <f ca="1">$M$1129*$Z$1129</f>
        <v>36508.526521943291</v>
      </c>
      <c r="AG1129" s="6">
        <f>$O$1129*$AA$1129</f>
        <v>9452.7554140740995</v>
      </c>
    </row>
    <row r="1130" spans="1:33" ht="11.25" customHeight="1" x14ac:dyDescent="0.25">
      <c r="A1130" s="4" t="s">
        <v>28</v>
      </c>
      <c r="B1130" s="4" t="s">
        <v>41</v>
      </c>
      <c r="C1130" s="4" t="s">
        <v>42</v>
      </c>
      <c r="D1130" s="4" t="s">
        <v>46</v>
      </c>
      <c r="E1130" s="4" t="s">
        <v>25</v>
      </c>
      <c r="F1130" s="4" t="s">
        <v>25</v>
      </c>
      <c r="G1130" s="4" t="s">
        <v>25</v>
      </c>
      <c r="H1130" s="4" t="s">
        <v>34</v>
      </c>
      <c r="I1130" s="5">
        <v>44531</v>
      </c>
      <c r="J1130" s="6">
        <v>0</v>
      </c>
      <c r="K1130" s="6">
        <v>0</v>
      </c>
      <c r="L1130" s="6">
        <v>1.9650000000000001</v>
      </c>
      <c r="M1130" s="6">
        <v>1.9650000000000001</v>
      </c>
      <c r="N1130" s="6">
        <v>1.9650000000000001</v>
      </c>
      <c r="O1130" s="6">
        <v>1.9650000000000001</v>
      </c>
      <c r="P1130" s="6">
        <v>0</v>
      </c>
      <c r="Q1130" s="4" t="s">
        <v>26</v>
      </c>
      <c r="R1130" s="4">
        <v>0</v>
      </c>
      <c r="S1130" s="6">
        <v>0</v>
      </c>
      <c r="T1130" s="6">
        <v>30</v>
      </c>
      <c r="U1130" s="6">
        <v>78</v>
      </c>
      <c r="V1130" s="6">
        <f>IF(ISERROR(VLOOKUP($S$1130,'TAR FIN'!$A$1:$O$116,15,0)),0,VLOOKUP($S$1130,'TAR FIN'!$A$1:$O$116,15,0))</f>
        <v>0</v>
      </c>
      <c r="W1130" s="6">
        <f>IF(ISERROR(VLOOKUP($T$1130,'TAR FIN'!$A$1:$O$116,15,0)),0,VLOOKUP($T$1130,'TAR FIN'!$A$1:$O$116,15,0))</f>
        <v>1682.12</v>
      </c>
      <c r="X1130" s="6">
        <f>IF(ISERROR(VLOOKUP($U$1130,'TAR FIN'!$A$1:$O$116,15,0)),0,VLOOKUP($U$1130,'TAR FIN'!$A$1:$O$116,15,0))</f>
        <v>496.15</v>
      </c>
      <c r="Y1130" s="6"/>
      <c r="Z1130" s="6">
        <f ca="1">('TUSD BE'!$AM$34+'TUSD BF'!$AM$34+'TUSD CVA'!$AM$34)*1</f>
        <v>1969.9199547802996</v>
      </c>
      <c r="AA1130" s="6">
        <f>('TE BE'!$AB$9+'TE BF'!$AB$9+'TE CVA'!$AB$9)*1</f>
        <v>510.04993331215127</v>
      </c>
      <c r="AB1130" s="6">
        <f>$K$1130*$V$1130</f>
        <v>0</v>
      </c>
      <c r="AC1130" s="6">
        <f>$M$1130*$W$1130</f>
        <v>3305.3658</v>
      </c>
      <c r="AD1130" s="6">
        <f>$O$1130*$X$1130</f>
        <v>974.93475000000001</v>
      </c>
      <c r="AE1130" s="6">
        <f>$K$1130*$Y$1130</f>
        <v>0</v>
      </c>
      <c r="AF1130" s="6">
        <f ca="1">$M$1130*$Z$1130</f>
        <v>3870.892711143289</v>
      </c>
      <c r="AG1130" s="6">
        <f>$O$1130*$AA$1130</f>
        <v>1002.2481189583773</v>
      </c>
    </row>
    <row r="1131" spans="1:33" ht="11.25" customHeight="1" x14ac:dyDescent="0.25">
      <c r="A1131" s="4" t="s">
        <v>21</v>
      </c>
      <c r="B1131" s="4" t="s">
        <v>41</v>
      </c>
      <c r="C1131" s="4" t="s">
        <v>42</v>
      </c>
      <c r="D1131" s="4" t="s">
        <v>46</v>
      </c>
      <c r="E1131" s="4" t="s">
        <v>25</v>
      </c>
      <c r="F1131" s="4" t="s">
        <v>25</v>
      </c>
      <c r="G1131" s="4" t="s">
        <v>25</v>
      </c>
      <c r="H1131" s="4" t="s">
        <v>34</v>
      </c>
      <c r="I1131" s="5">
        <v>44562</v>
      </c>
      <c r="J1131" s="6">
        <v>0</v>
      </c>
      <c r="K1131" s="6">
        <v>0</v>
      </c>
      <c r="L1131" s="6">
        <v>19.271000000000001</v>
      </c>
      <c r="M1131" s="6">
        <v>19.271000000000001</v>
      </c>
      <c r="N1131" s="6">
        <v>19.271000000000001</v>
      </c>
      <c r="O1131" s="6">
        <v>19.271000000000001</v>
      </c>
      <c r="P1131" s="6">
        <v>0</v>
      </c>
      <c r="Q1131" s="4" t="s">
        <v>26</v>
      </c>
      <c r="R1131" s="4">
        <v>0</v>
      </c>
      <c r="S1131" s="6">
        <v>0</v>
      </c>
      <c r="T1131" s="6">
        <v>30</v>
      </c>
      <c r="U1131" s="6">
        <v>78</v>
      </c>
      <c r="V1131" s="6">
        <f>IF(ISERROR(VLOOKUP($S$1131,'TAR FIN'!$A$1:$O$116,15,0)),0,VLOOKUP($S$1131,'TAR FIN'!$A$1:$O$116,15,0))</f>
        <v>0</v>
      </c>
      <c r="W1131" s="6">
        <f>IF(ISERROR(VLOOKUP($T$1131,'TAR FIN'!$A$1:$O$116,15,0)),0,VLOOKUP($T$1131,'TAR FIN'!$A$1:$O$116,15,0))</f>
        <v>1682.12</v>
      </c>
      <c r="X1131" s="6">
        <f>IF(ISERROR(VLOOKUP($U$1131,'TAR FIN'!$A$1:$O$116,15,0)),0,VLOOKUP($U$1131,'TAR FIN'!$A$1:$O$116,15,0))</f>
        <v>496.15</v>
      </c>
      <c r="Y1131" s="6"/>
      <c r="Z1131" s="6">
        <f ca="1">('TUSD BE'!$AM$34+'TUSD BF'!$AM$34+'TUSD CVA'!$AM$34)*1</f>
        <v>1969.9199547802996</v>
      </c>
      <c r="AA1131" s="6">
        <f>('TE BE'!$AB$9+'TE BF'!$AB$9+'TE CVA'!$AB$9)*1</f>
        <v>510.04993331215127</v>
      </c>
      <c r="AB1131" s="6">
        <f>$K$1131*$V$1131</f>
        <v>0</v>
      </c>
      <c r="AC1131" s="6">
        <f>$M$1131*$W$1131</f>
        <v>32416.13452</v>
      </c>
      <c r="AD1131" s="6">
        <f>$O$1131*$X$1131</f>
        <v>9561.3066500000004</v>
      </c>
      <c r="AE1131" s="6">
        <f>$K$1131*$Y$1131</f>
        <v>0</v>
      </c>
      <c r="AF1131" s="6">
        <f ca="1">$M$1131*$Z$1131</f>
        <v>37962.327448571152</v>
      </c>
      <c r="AG1131" s="6">
        <f>$O$1131*$AA$1131</f>
        <v>9829.1722648584673</v>
      </c>
    </row>
    <row r="1132" spans="1:33" ht="11.25" customHeight="1" x14ac:dyDescent="0.25">
      <c r="A1132" s="4" t="s">
        <v>28</v>
      </c>
      <c r="B1132" s="4" t="s">
        <v>41</v>
      </c>
      <c r="C1132" s="4" t="s">
        <v>42</v>
      </c>
      <c r="D1132" s="4" t="s">
        <v>46</v>
      </c>
      <c r="E1132" s="4" t="s">
        <v>25</v>
      </c>
      <c r="F1132" s="4" t="s">
        <v>25</v>
      </c>
      <c r="G1132" s="4" t="s">
        <v>25</v>
      </c>
      <c r="H1132" s="4" t="s">
        <v>34</v>
      </c>
      <c r="I1132" s="5">
        <v>44562</v>
      </c>
      <c r="J1132" s="6">
        <v>0</v>
      </c>
      <c r="K1132" s="6">
        <v>0</v>
      </c>
      <c r="L1132" s="6">
        <v>2.3039999999999998</v>
      </c>
      <c r="M1132" s="6">
        <v>2.3039999999999998</v>
      </c>
      <c r="N1132" s="6">
        <v>2.3039999999999998</v>
      </c>
      <c r="O1132" s="6">
        <v>2.3039999999999998</v>
      </c>
      <c r="P1132" s="6">
        <v>0</v>
      </c>
      <c r="Q1132" s="4" t="s">
        <v>26</v>
      </c>
      <c r="R1132" s="4">
        <v>0</v>
      </c>
      <c r="S1132" s="6">
        <v>0</v>
      </c>
      <c r="T1132" s="6">
        <v>30</v>
      </c>
      <c r="U1132" s="6">
        <v>78</v>
      </c>
      <c r="V1132" s="6">
        <f>IF(ISERROR(VLOOKUP($S$1132,'TAR FIN'!$A$1:$O$116,15,0)),0,VLOOKUP($S$1132,'TAR FIN'!$A$1:$O$116,15,0))</f>
        <v>0</v>
      </c>
      <c r="W1132" s="6">
        <f>IF(ISERROR(VLOOKUP($T$1132,'TAR FIN'!$A$1:$O$116,15,0)),0,VLOOKUP($T$1132,'TAR FIN'!$A$1:$O$116,15,0))</f>
        <v>1682.12</v>
      </c>
      <c r="X1132" s="6">
        <f>IF(ISERROR(VLOOKUP($U$1132,'TAR FIN'!$A$1:$O$116,15,0)),0,VLOOKUP($U$1132,'TAR FIN'!$A$1:$O$116,15,0))</f>
        <v>496.15</v>
      </c>
      <c r="Y1132" s="6"/>
      <c r="Z1132" s="6">
        <f ca="1">('TUSD BE'!$AM$34+'TUSD BF'!$AM$34+'TUSD CVA'!$AM$34)*1</f>
        <v>1969.9199547802996</v>
      </c>
      <c r="AA1132" s="6">
        <f>('TE BE'!$AB$9+'TE BF'!$AB$9+'TE CVA'!$AB$9)*1</f>
        <v>510.04993331215127</v>
      </c>
      <c r="AB1132" s="6">
        <f>$K$1132*$V$1132</f>
        <v>0</v>
      </c>
      <c r="AC1132" s="6">
        <f>$M$1132*$W$1132</f>
        <v>3875.6044799999995</v>
      </c>
      <c r="AD1132" s="6">
        <f>$O$1132*$X$1132</f>
        <v>1143.1295999999998</v>
      </c>
      <c r="AE1132" s="6">
        <f>$K$1132*$Y$1132</f>
        <v>0</v>
      </c>
      <c r="AF1132" s="6">
        <f ca="1">$M$1132*$Z$1132</f>
        <v>4538.6955758138101</v>
      </c>
      <c r="AG1132" s="6">
        <f>$O$1132*$AA$1132</f>
        <v>1175.1550463511965</v>
      </c>
    </row>
    <row r="1133" spans="1:33" ht="11.25" customHeight="1" x14ac:dyDescent="0.25">
      <c r="A1133" s="4" t="s">
        <v>21</v>
      </c>
      <c r="B1133" s="4" t="s">
        <v>41</v>
      </c>
      <c r="C1133" s="4" t="s">
        <v>42</v>
      </c>
      <c r="D1133" s="4" t="s">
        <v>46</v>
      </c>
      <c r="E1133" s="4" t="s">
        <v>25</v>
      </c>
      <c r="F1133" s="4" t="s">
        <v>25</v>
      </c>
      <c r="G1133" s="4" t="s">
        <v>25</v>
      </c>
      <c r="H1133" s="4" t="s">
        <v>34</v>
      </c>
      <c r="I1133" s="5">
        <v>44593</v>
      </c>
      <c r="J1133" s="6">
        <v>0</v>
      </c>
      <c r="K1133" s="6">
        <v>0</v>
      </c>
      <c r="L1133" s="6">
        <v>19.042999999999999</v>
      </c>
      <c r="M1133" s="6">
        <v>19.042999999999999</v>
      </c>
      <c r="N1133" s="6">
        <v>19.042999999999999</v>
      </c>
      <c r="O1133" s="6">
        <v>19.042999999999999</v>
      </c>
      <c r="P1133" s="6">
        <v>0</v>
      </c>
      <c r="Q1133" s="4" t="s">
        <v>26</v>
      </c>
      <c r="R1133" s="4">
        <v>0</v>
      </c>
      <c r="S1133" s="6">
        <v>0</v>
      </c>
      <c r="T1133" s="6">
        <v>30</v>
      </c>
      <c r="U1133" s="6">
        <v>78</v>
      </c>
      <c r="V1133" s="6">
        <f>IF(ISERROR(VLOOKUP($S$1133,'TAR FIN'!$A$1:$O$116,15,0)),0,VLOOKUP($S$1133,'TAR FIN'!$A$1:$O$116,15,0))</f>
        <v>0</v>
      </c>
      <c r="W1133" s="6">
        <f>IF(ISERROR(VLOOKUP($T$1133,'TAR FIN'!$A$1:$O$116,15,0)),0,VLOOKUP($T$1133,'TAR FIN'!$A$1:$O$116,15,0))</f>
        <v>1682.12</v>
      </c>
      <c r="X1133" s="6">
        <f>IF(ISERROR(VLOOKUP($U$1133,'TAR FIN'!$A$1:$O$116,15,0)),0,VLOOKUP($U$1133,'TAR FIN'!$A$1:$O$116,15,0))</f>
        <v>496.15</v>
      </c>
      <c r="Y1133" s="6"/>
      <c r="Z1133" s="6">
        <f ca="1">('TUSD BE'!$AM$34+'TUSD BF'!$AM$34+'TUSD CVA'!$AM$34)*1</f>
        <v>1969.9199547802996</v>
      </c>
      <c r="AA1133" s="6">
        <f>('TE BE'!$AB$9+'TE BF'!$AB$9+'TE CVA'!$AB$9)*1</f>
        <v>510.04993331215127</v>
      </c>
      <c r="AB1133" s="6">
        <f>$K$1133*$V$1133</f>
        <v>0</v>
      </c>
      <c r="AC1133" s="6">
        <f>$M$1133*$W$1133</f>
        <v>32032.611159999997</v>
      </c>
      <c r="AD1133" s="6">
        <f>$O$1133*$X$1133</f>
        <v>9448.1844499999988</v>
      </c>
      <c r="AE1133" s="6">
        <f>$K$1133*$Y$1133</f>
        <v>0</v>
      </c>
      <c r="AF1133" s="6">
        <f ca="1">$M$1133*$Z$1133</f>
        <v>37513.185698881243</v>
      </c>
      <c r="AG1133" s="6">
        <f>$O$1133*$AA$1133</f>
        <v>9712.880880063296</v>
      </c>
    </row>
    <row r="1134" spans="1:33" ht="11.25" customHeight="1" x14ac:dyDescent="0.25">
      <c r="A1134" s="4" t="s">
        <v>28</v>
      </c>
      <c r="B1134" s="4" t="s">
        <v>41</v>
      </c>
      <c r="C1134" s="4" t="s">
        <v>42</v>
      </c>
      <c r="D1134" s="4" t="s">
        <v>46</v>
      </c>
      <c r="E1134" s="4" t="s">
        <v>25</v>
      </c>
      <c r="F1134" s="4" t="s">
        <v>25</v>
      </c>
      <c r="G1134" s="4" t="s">
        <v>25</v>
      </c>
      <c r="H1134" s="4" t="s">
        <v>34</v>
      </c>
      <c r="I1134" s="5">
        <v>44593</v>
      </c>
      <c r="J1134" s="6">
        <v>0</v>
      </c>
      <c r="K1134" s="6">
        <v>0</v>
      </c>
      <c r="L1134" s="6">
        <v>3.4279999999999999</v>
      </c>
      <c r="M1134" s="6">
        <v>3.4279999999999999</v>
      </c>
      <c r="N1134" s="6">
        <v>3.4279999999999999</v>
      </c>
      <c r="O1134" s="6">
        <v>3.4279999999999999</v>
      </c>
      <c r="P1134" s="6">
        <v>0</v>
      </c>
      <c r="Q1134" s="4" t="s">
        <v>26</v>
      </c>
      <c r="R1134" s="4">
        <v>0</v>
      </c>
      <c r="S1134" s="6">
        <v>0</v>
      </c>
      <c r="T1134" s="6">
        <v>30</v>
      </c>
      <c r="U1134" s="6">
        <v>78</v>
      </c>
      <c r="V1134" s="6">
        <f>IF(ISERROR(VLOOKUP($S$1134,'TAR FIN'!$A$1:$O$116,15,0)),0,VLOOKUP($S$1134,'TAR FIN'!$A$1:$O$116,15,0))</f>
        <v>0</v>
      </c>
      <c r="W1134" s="6">
        <f>IF(ISERROR(VLOOKUP($T$1134,'TAR FIN'!$A$1:$O$116,15,0)),0,VLOOKUP($T$1134,'TAR FIN'!$A$1:$O$116,15,0))</f>
        <v>1682.12</v>
      </c>
      <c r="X1134" s="6">
        <f>IF(ISERROR(VLOOKUP($U$1134,'TAR FIN'!$A$1:$O$116,15,0)),0,VLOOKUP($U$1134,'TAR FIN'!$A$1:$O$116,15,0))</f>
        <v>496.15</v>
      </c>
      <c r="Y1134" s="6"/>
      <c r="Z1134" s="6">
        <f ca="1">('TUSD BE'!$AM$34+'TUSD BF'!$AM$34+'TUSD CVA'!$AM$34)*1</f>
        <v>1969.9199547802996</v>
      </c>
      <c r="AA1134" s="6">
        <f>('TE BE'!$AB$9+'TE BF'!$AB$9+'TE CVA'!$AB$9)*1</f>
        <v>510.04993331215127</v>
      </c>
      <c r="AB1134" s="6">
        <f>$K$1134*$V$1134</f>
        <v>0</v>
      </c>
      <c r="AC1134" s="6">
        <f>$M$1134*$W$1134</f>
        <v>5766.3073599999998</v>
      </c>
      <c r="AD1134" s="6">
        <f>$O$1134*$X$1134</f>
        <v>1700.8021999999999</v>
      </c>
      <c r="AE1134" s="6">
        <f>$K$1134*$Y$1134</f>
        <v>0</v>
      </c>
      <c r="AF1134" s="6">
        <f ca="1">$M$1134*$Z$1134</f>
        <v>6752.8856049868664</v>
      </c>
      <c r="AG1134" s="6">
        <f>$O$1134*$AA$1134</f>
        <v>1748.4511713940544</v>
      </c>
    </row>
    <row r="1135" spans="1:33" ht="11.25" customHeight="1" x14ac:dyDescent="0.25">
      <c r="A1135" s="4" t="s">
        <v>21</v>
      </c>
      <c r="B1135" s="4" t="s">
        <v>41</v>
      </c>
      <c r="C1135" s="4" t="s">
        <v>42</v>
      </c>
      <c r="D1135" s="4" t="s">
        <v>46</v>
      </c>
      <c r="E1135" s="4" t="s">
        <v>25</v>
      </c>
      <c r="F1135" s="4" t="s">
        <v>25</v>
      </c>
      <c r="G1135" s="4" t="s">
        <v>25</v>
      </c>
      <c r="H1135" s="4" t="s">
        <v>34</v>
      </c>
      <c r="I1135" s="5">
        <v>44621</v>
      </c>
      <c r="J1135" s="6">
        <v>0</v>
      </c>
      <c r="K1135" s="6">
        <v>0</v>
      </c>
      <c r="L1135" s="6">
        <v>25.324999999999999</v>
      </c>
      <c r="M1135" s="6">
        <v>25.324999999999999</v>
      </c>
      <c r="N1135" s="6">
        <v>25.324999999999999</v>
      </c>
      <c r="O1135" s="6">
        <v>25.324999999999999</v>
      </c>
      <c r="P1135" s="6">
        <v>0</v>
      </c>
      <c r="Q1135" s="4" t="s">
        <v>26</v>
      </c>
      <c r="R1135" s="4">
        <v>0</v>
      </c>
      <c r="S1135" s="6">
        <v>0</v>
      </c>
      <c r="T1135" s="6">
        <v>30</v>
      </c>
      <c r="U1135" s="6">
        <v>78</v>
      </c>
      <c r="V1135" s="6">
        <f>IF(ISERROR(VLOOKUP($S$1135,'TAR FIN'!$A$1:$O$116,15,0)),0,VLOOKUP($S$1135,'TAR FIN'!$A$1:$O$116,15,0))</f>
        <v>0</v>
      </c>
      <c r="W1135" s="6">
        <f>IF(ISERROR(VLOOKUP($T$1135,'TAR FIN'!$A$1:$O$116,15,0)),0,VLOOKUP($T$1135,'TAR FIN'!$A$1:$O$116,15,0))</f>
        <v>1682.12</v>
      </c>
      <c r="X1135" s="6">
        <f>IF(ISERROR(VLOOKUP($U$1135,'TAR FIN'!$A$1:$O$116,15,0)),0,VLOOKUP($U$1135,'TAR FIN'!$A$1:$O$116,15,0))</f>
        <v>496.15</v>
      </c>
      <c r="Y1135" s="6"/>
      <c r="Z1135" s="6">
        <f ca="1">('TUSD BE'!$AM$34+'TUSD BF'!$AM$34+'TUSD CVA'!$AM$34)*1</f>
        <v>1969.9199547802996</v>
      </c>
      <c r="AA1135" s="6">
        <f>('TE BE'!$AB$9+'TE BF'!$AB$9+'TE CVA'!$AB$9)*1</f>
        <v>510.04993331215127</v>
      </c>
      <c r="AB1135" s="6">
        <f>$K$1135*$V$1135</f>
        <v>0</v>
      </c>
      <c r="AC1135" s="6">
        <f>$M$1135*$W$1135</f>
        <v>42599.688999999998</v>
      </c>
      <c r="AD1135" s="6">
        <f>$O$1135*$X$1135</f>
        <v>12564.998749999999</v>
      </c>
      <c r="AE1135" s="6">
        <f>$K$1135*$Y$1135</f>
        <v>0</v>
      </c>
      <c r="AF1135" s="6">
        <f ca="1">$M$1135*$Z$1135</f>
        <v>49888.222854811087</v>
      </c>
      <c r="AG1135" s="6">
        <f>$O$1135*$AA$1135</f>
        <v>12917.014561130231</v>
      </c>
    </row>
    <row r="1136" spans="1:33" ht="11.25" customHeight="1" x14ac:dyDescent="0.25">
      <c r="A1136" s="4" t="s">
        <v>27</v>
      </c>
      <c r="B1136" s="4" t="s">
        <v>41</v>
      </c>
      <c r="C1136" s="4" t="s">
        <v>42</v>
      </c>
      <c r="D1136" s="4" t="s">
        <v>46</v>
      </c>
      <c r="E1136" s="4" t="s">
        <v>25</v>
      </c>
      <c r="F1136" s="4" t="s">
        <v>25</v>
      </c>
      <c r="G1136" s="4" t="s">
        <v>25</v>
      </c>
      <c r="H1136" s="4" t="s">
        <v>34</v>
      </c>
      <c r="I1136" s="5">
        <v>44621</v>
      </c>
      <c r="J1136" s="6">
        <v>0</v>
      </c>
      <c r="K1136" s="6">
        <v>0</v>
      </c>
      <c r="L1136" s="6">
        <v>3.9020000000000001</v>
      </c>
      <c r="M1136" s="6">
        <v>3.9020000000000001</v>
      </c>
      <c r="N1136" s="6">
        <v>3.9020000000000001</v>
      </c>
      <c r="O1136" s="6">
        <v>3.9020000000000001</v>
      </c>
      <c r="P1136" s="6">
        <v>0</v>
      </c>
      <c r="Q1136" s="4" t="s">
        <v>26</v>
      </c>
      <c r="R1136" s="4">
        <v>0</v>
      </c>
      <c r="S1136" s="6">
        <v>0</v>
      </c>
      <c r="T1136" s="6">
        <v>30</v>
      </c>
      <c r="U1136" s="6">
        <v>78</v>
      </c>
      <c r="V1136" s="6">
        <f>IF(ISERROR(VLOOKUP($S$1136,'TAR FIN'!$A$1:$O$116,15,0)),0,VLOOKUP($S$1136,'TAR FIN'!$A$1:$O$116,15,0))</f>
        <v>0</v>
      </c>
      <c r="W1136" s="6">
        <f>IF(ISERROR(VLOOKUP($T$1136,'TAR FIN'!$A$1:$O$116,15,0)),0,VLOOKUP($T$1136,'TAR FIN'!$A$1:$O$116,15,0))</f>
        <v>1682.12</v>
      </c>
      <c r="X1136" s="6">
        <f>IF(ISERROR(VLOOKUP($U$1136,'TAR FIN'!$A$1:$O$116,15,0)),0,VLOOKUP($U$1136,'TAR FIN'!$A$1:$O$116,15,0))</f>
        <v>496.15</v>
      </c>
      <c r="Y1136" s="6"/>
      <c r="Z1136" s="6">
        <f ca="1">('TUSD BE'!$AM$34+'TUSD BF'!$AM$34+'TUSD CVA'!$AM$34)*1</f>
        <v>1969.9199547802996</v>
      </c>
      <c r="AA1136" s="6">
        <f>('TE BE'!$AB$9+'TE BF'!$AB$9+'TE CVA'!$AB$9)*1</f>
        <v>510.04993331215127</v>
      </c>
      <c r="AB1136" s="6">
        <f>$K$1136*$V$1136</f>
        <v>0</v>
      </c>
      <c r="AC1136" s="6">
        <f>$M$1136*$W$1136</f>
        <v>6563.6322399999999</v>
      </c>
      <c r="AD1136" s="6">
        <f>$O$1136*$X$1136</f>
        <v>1935.9773</v>
      </c>
      <c r="AE1136" s="6">
        <f>$K$1136*$Y$1136</f>
        <v>0</v>
      </c>
      <c r="AF1136" s="6">
        <f ca="1">$M$1136*$Z$1136</f>
        <v>7686.6276635527292</v>
      </c>
      <c r="AG1136" s="6">
        <f>$O$1136*$AA$1136</f>
        <v>1990.2148397840142</v>
      </c>
    </row>
    <row r="1137" spans="1:33" ht="11.25" customHeight="1" x14ac:dyDescent="0.25">
      <c r="A1137" s="4" t="s">
        <v>28</v>
      </c>
      <c r="B1137" s="4" t="s">
        <v>41</v>
      </c>
      <c r="C1137" s="4" t="s">
        <v>42</v>
      </c>
      <c r="D1137" s="4" t="s">
        <v>46</v>
      </c>
      <c r="E1137" s="4" t="s">
        <v>25</v>
      </c>
      <c r="F1137" s="4" t="s">
        <v>25</v>
      </c>
      <c r="G1137" s="4" t="s">
        <v>25</v>
      </c>
      <c r="H1137" s="4" t="s">
        <v>34</v>
      </c>
      <c r="I1137" s="5">
        <v>44621</v>
      </c>
      <c r="J1137" s="6">
        <v>0</v>
      </c>
      <c r="K1137" s="6">
        <v>0</v>
      </c>
      <c r="L1137" s="6">
        <v>2.6030000000000002</v>
      </c>
      <c r="M1137" s="6">
        <v>2.6030000000000002</v>
      </c>
      <c r="N1137" s="6">
        <v>2.6030000000000002</v>
      </c>
      <c r="O1137" s="6">
        <v>2.6030000000000002</v>
      </c>
      <c r="P1137" s="6">
        <v>0</v>
      </c>
      <c r="Q1137" s="4" t="s">
        <v>26</v>
      </c>
      <c r="R1137" s="4">
        <v>0</v>
      </c>
      <c r="S1137" s="6">
        <v>0</v>
      </c>
      <c r="T1137" s="6">
        <v>30</v>
      </c>
      <c r="U1137" s="6">
        <v>78</v>
      </c>
      <c r="V1137" s="6">
        <f>IF(ISERROR(VLOOKUP($S$1137,'TAR FIN'!$A$1:$O$116,15,0)),0,VLOOKUP($S$1137,'TAR FIN'!$A$1:$O$116,15,0))</f>
        <v>0</v>
      </c>
      <c r="W1137" s="6">
        <f>IF(ISERROR(VLOOKUP($T$1137,'TAR FIN'!$A$1:$O$116,15,0)),0,VLOOKUP($T$1137,'TAR FIN'!$A$1:$O$116,15,0))</f>
        <v>1682.12</v>
      </c>
      <c r="X1137" s="6">
        <f>IF(ISERROR(VLOOKUP($U$1137,'TAR FIN'!$A$1:$O$116,15,0)),0,VLOOKUP($U$1137,'TAR FIN'!$A$1:$O$116,15,0))</f>
        <v>496.15</v>
      </c>
      <c r="Y1137" s="6"/>
      <c r="Z1137" s="6">
        <f ca="1">('TUSD BE'!$AM$34+'TUSD BF'!$AM$34+'TUSD CVA'!$AM$34)*1</f>
        <v>1969.9199547802996</v>
      </c>
      <c r="AA1137" s="6">
        <f>('TE BE'!$AB$9+'TE BF'!$AB$9+'TE CVA'!$AB$9)*1</f>
        <v>510.04993331215127</v>
      </c>
      <c r="AB1137" s="6">
        <f>$K$1137*$V$1137</f>
        <v>0</v>
      </c>
      <c r="AC1137" s="6">
        <f>$M$1137*$W$1137</f>
        <v>4378.55836</v>
      </c>
      <c r="AD1137" s="6">
        <f>$O$1137*$X$1137</f>
        <v>1291.4784500000001</v>
      </c>
      <c r="AE1137" s="6">
        <f>$K$1137*$Y$1137</f>
        <v>0</v>
      </c>
      <c r="AF1137" s="6">
        <f ca="1">$M$1137*$Z$1137</f>
        <v>5127.7016422931201</v>
      </c>
      <c r="AG1137" s="6">
        <f>$O$1137*$AA$1137</f>
        <v>1327.6599764115299</v>
      </c>
    </row>
    <row r="1138" spans="1:33" ht="11.25" customHeight="1" x14ac:dyDescent="0.25">
      <c r="A1138" s="4" t="s">
        <v>21</v>
      </c>
      <c r="B1138" s="4" t="s">
        <v>41</v>
      </c>
      <c r="C1138" s="4" t="s">
        <v>42</v>
      </c>
      <c r="D1138" s="4" t="s">
        <v>46</v>
      </c>
      <c r="E1138" s="4" t="s">
        <v>25</v>
      </c>
      <c r="F1138" s="4" t="s">
        <v>25</v>
      </c>
      <c r="G1138" s="4" t="s">
        <v>25</v>
      </c>
      <c r="H1138" s="4" t="s">
        <v>34</v>
      </c>
      <c r="I1138" s="5">
        <v>44652</v>
      </c>
      <c r="J1138" s="6">
        <v>0</v>
      </c>
      <c r="K1138" s="6">
        <v>0</v>
      </c>
      <c r="L1138" s="6">
        <v>27.417999999999999</v>
      </c>
      <c r="M1138" s="6">
        <v>27.417999999999999</v>
      </c>
      <c r="N1138" s="6">
        <v>27.417999999999999</v>
      </c>
      <c r="O1138" s="6">
        <v>27.417999999999999</v>
      </c>
      <c r="P1138" s="6">
        <v>0</v>
      </c>
      <c r="Q1138" s="4" t="s">
        <v>26</v>
      </c>
      <c r="R1138" s="4">
        <v>0</v>
      </c>
      <c r="S1138" s="6">
        <v>0</v>
      </c>
      <c r="T1138" s="6">
        <v>30</v>
      </c>
      <c r="U1138" s="6">
        <v>78</v>
      </c>
      <c r="V1138" s="6">
        <f>IF(ISERROR(VLOOKUP($S$1138,'TAR FIN'!$A$1:$O$116,15,0)),0,VLOOKUP($S$1138,'TAR FIN'!$A$1:$O$116,15,0))</f>
        <v>0</v>
      </c>
      <c r="W1138" s="6">
        <f>IF(ISERROR(VLOOKUP($T$1138,'TAR FIN'!$A$1:$O$116,15,0)),0,VLOOKUP($T$1138,'TAR FIN'!$A$1:$O$116,15,0))</f>
        <v>1682.12</v>
      </c>
      <c r="X1138" s="6">
        <f>IF(ISERROR(VLOOKUP($U$1138,'TAR FIN'!$A$1:$O$116,15,0)),0,VLOOKUP($U$1138,'TAR FIN'!$A$1:$O$116,15,0))</f>
        <v>496.15</v>
      </c>
      <c r="Y1138" s="6"/>
      <c r="Z1138" s="6">
        <f ca="1">('TUSD BE'!$AM$34+'TUSD BF'!$AM$34+'TUSD CVA'!$AM$34)*1</f>
        <v>1969.9199547802996</v>
      </c>
      <c r="AA1138" s="6">
        <f>('TE BE'!$AB$9+'TE BF'!$AB$9+'TE CVA'!$AB$9)*1</f>
        <v>510.04993331215127</v>
      </c>
      <c r="AB1138" s="6">
        <f>$K$1138*$V$1138</f>
        <v>0</v>
      </c>
      <c r="AC1138" s="6">
        <f>$M$1138*$W$1138</f>
        <v>46120.366159999998</v>
      </c>
      <c r="AD1138" s="6">
        <f>$O$1138*$X$1138</f>
        <v>13603.440699999999</v>
      </c>
      <c r="AE1138" s="6">
        <f>$K$1138*$Y$1138</f>
        <v>0</v>
      </c>
      <c r="AF1138" s="6">
        <f ca="1">$M$1138*$Z$1138</f>
        <v>54011.265320166254</v>
      </c>
      <c r="AG1138" s="6">
        <f>$O$1138*$AA$1138</f>
        <v>13984.549071552563</v>
      </c>
    </row>
    <row r="1139" spans="1:33" ht="11.25" customHeight="1" x14ac:dyDescent="0.25">
      <c r="A1139" s="4" t="s">
        <v>28</v>
      </c>
      <c r="B1139" s="4" t="s">
        <v>41</v>
      </c>
      <c r="C1139" s="4" t="s">
        <v>42</v>
      </c>
      <c r="D1139" s="4" t="s">
        <v>46</v>
      </c>
      <c r="E1139" s="4" t="s">
        <v>25</v>
      </c>
      <c r="F1139" s="4" t="s">
        <v>25</v>
      </c>
      <c r="G1139" s="4" t="s">
        <v>25</v>
      </c>
      <c r="H1139" s="4" t="s">
        <v>34</v>
      </c>
      <c r="I1139" s="5">
        <v>44652</v>
      </c>
      <c r="J1139" s="6">
        <v>0</v>
      </c>
      <c r="K1139" s="6">
        <v>0</v>
      </c>
      <c r="L1139" s="6">
        <v>3.7389999999999999</v>
      </c>
      <c r="M1139" s="6">
        <v>3.7389999999999999</v>
      </c>
      <c r="N1139" s="6">
        <v>3.7389999999999999</v>
      </c>
      <c r="O1139" s="6">
        <v>3.7389999999999999</v>
      </c>
      <c r="P1139" s="6">
        <v>0</v>
      </c>
      <c r="Q1139" s="4" t="s">
        <v>26</v>
      </c>
      <c r="R1139" s="4">
        <v>0</v>
      </c>
      <c r="S1139" s="6">
        <v>0</v>
      </c>
      <c r="T1139" s="6">
        <v>30</v>
      </c>
      <c r="U1139" s="6">
        <v>78</v>
      </c>
      <c r="V1139" s="6">
        <f>IF(ISERROR(VLOOKUP($S$1139,'TAR FIN'!$A$1:$O$116,15,0)),0,VLOOKUP($S$1139,'TAR FIN'!$A$1:$O$116,15,0))</f>
        <v>0</v>
      </c>
      <c r="W1139" s="6">
        <f>IF(ISERROR(VLOOKUP($T$1139,'TAR FIN'!$A$1:$O$116,15,0)),0,VLOOKUP($T$1139,'TAR FIN'!$A$1:$O$116,15,0))</f>
        <v>1682.12</v>
      </c>
      <c r="X1139" s="6">
        <f>IF(ISERROR(VLOOKUP($U$1139,'TAR FIN'!$A$1:$O$116,15,0)),0,VLOOKUP($U$1139,'TAR FIN'!$A$1:$O$116,15,0))</f>
        <v>496.15</v>
      </c>
      <c r="Y1139" s="6"/>
      <c r="Z1139" s="6">
        <f ca="1">('TUSD BE'!$AM$34+'TUSD BF'!$AM$34+'TUSD CVA'!$AM$34)*1</f>
        <v>1969.9199547802996</v>
      </c>
      <c r="AA1139" s="6">
        <f>('TE BE'!$AB$9+'TE BF'!$AB$9+'TE CVA'!$AB$9)*1</f>
        <v>510.04993331215127</v>
      </c>
      <c r="AB1139" s="6">
        <f>$K$1139*$V$1139</f>
        <v>0</v>
      </c>
      <c r="AC1139" s="6">
        <f>$M$1139*$W$1139</f>
        <v>6289.4466799999991</v>
      </c>
      <c r="AD1139" s="6">
        <f>$O$1139*$X$1139</f>
        <v>1855.1048499999999</v>
      </c>
      <c r="AE1139" s="6">
        <f>$K$1139*$Y$1139</f>
        <v>0</v>
      </c>
      <c r="AF1139" s="6">
        <f ca="1">$M$1139*$Z$1139</f>
        <v>7365.53071092354</v>
      </c>
      <c r="AG1139" s="6">
        <f>$O$1139*$AA$1139</f>
        <v>1907.0767006541334</v>
      </c>
    </row>
    <row r="1140" spans="1:33" ht="11.25" customHeight="1" x14ac:dyDescent="0.25">
      <c r="A1140" s="4" t="s">
        <v>58</v>
      </c>
      <c r="B1140" s="4" t="s">
        <v>41</v>
      </c>
      <c r="C1140" s="4" t="s">
        <v>42</v>
      </c>
      <c r="D1140" s="4" t="s">
        <v>46</v>
      </c>
      <c r="E1140" s="4" t="s">
        <v>25</v>
      </c>
      <c r="F1140" s="4" t="s">
        <v>25</v>
      </c>
      <c r="G1140" s="4" t="s">
        <v>25</v>
      </c>
      <c r="H1140" s="4" t="s">
        <v>34</v>
      </c>
      <c r="I1140" s="5">
        <v>44682</v>
      </c>
      <c r="J1140" s="6">
        <v>0</v>
      </c>
      <c r="K1140" s="6">
        <v>0</v>
      </c>
      <c r="L1140" s="6">
        <v>27.417999999999999</v>
      </c>
      <c r="M1140" s="6">
        <v>27.417999999999999</v>
      </c>
      <c r="N1140" s="6">
        <v>27.417999999999999</v>
      </c>
      <c r="O1140" s="6">
        <v>27.417999999999999</v>
      </c>
      <c r="P1140" s="6">
        <v>0</v>
      </c>
      <c r="Q1140" s="4" t="s">
        <v>26</v>
      </c>
      <c r="R1140" s="4">
        <v>0</v>
      </c>
      <c r="S1140" s="6">
        <v>0</v>
      </c>
      <c r="T1140" s="6">
        <v>30</v>
      </c>
      <c r="U1140" s="6">
        <v>78</v>
      </c>
      <c r="V1140" s="6">
        <f>IF(ISERROR(VLOOKUP($S$1140,'TAR FIN'!$A$1:$O$116,15,0)),0,VLOOKUP($S$1140,'TAR FIN'!$A$1:$O$116,15,0))</f>
        <v>0</v>
      </c>
      <c r="W1140" s="6">
        <f>IF(ISERROR(VLOOKUP($T$1140,'TAR FIN'!$A$1:$O$116,15,0)),0,VLOOKUP($T$1140,'TAR FIN'!$A$1:$O$116,15,0))</f>
        <v>1682.12</v>
      </c>
      <c r="X1140" s="6">
        <f>IF(ISERROR(VLOOKUP($U$1140,'TAR FIN'!$A$1:$O$116,15,0)),0,VLOOKUP($U$1140,'TAR FIN'!$A$1:$O$116,15,0))</f>
        <v>496.15</v>
      </c>
      <c r="Y1140" s="6"/>
      <c r="Z1140" s="6">
        <f ca="1">('TUSD BE'!$AM$34+'TUSD BF'!$AM$34+'TUSD CVA'!$AM$34)*1</f>
        <v>1969.9199547802996</v>
      </c>
      <c r="AA1140" s="6">
        <f>('TE BE'!$AB$9+'TE BF'!$AB$9+'TE CVA'!$AB$9)*1</f>
        <v>510.04993331215127</v>
      </c>
      <c r="AB1140" s="6">
        <f>$K$1140*$V$1140</f>
        <v>0</v>
      </c>
      <c r="AC1140" s="6">
        <f>$M$1140*$W$1140</f>
        <v>46120.366159999998</v>
      </c>
      <c r="AD1140" s="6">
        <f>$O$1140*$X$1140</f>
        <v>13603.440699999999</v>
      </c>
      <c r="AE1140" s="6">
        <f>$K$1140*$Y$1140</f>
        <v>0</v>
      </c>
      <c r="AF1140" s="6">
        <f ca="1">$M$1140*$Z$1140</f>
        <v>54011.265320166254</v>
      </c>
      <c r="AG1140" s="6">
        <f>$O$1140*$AA$1140</f>
        <v>13984.549071552563</v>
      </c>
    </row>
    <row r="1141" spans="1:33" ht="11.25" customHeight="1" x14ac:dyDescent="0.25">
      <c r="A1141" s="4" t="s">
        <v>58</v>
      </c>
      <c r="B1141" s="4" t="s">
        <v>41</v>
      </c>
      <c r="C1141" s="4" t="s">
        <v>42</v>
      </c>
      <c r="D1141" s="4" t="s">
        <v>46</v>
      </c>
      <c r="E1141" s="4" t="s">
        <v>25</v>
      </c>
      <c r="F1141" s="4" t="s">
        <v>25</v>
      </c>
      <c r="G1141" s="4" t="s">
        <v>25</v>
      </c>
      <c r="H1141" s="4" t="s">
        <v>34</v>
      </c>
      <c r="I1141" s="5">
        <v>44682</v>
      </c>
      <c r="J1141" s="6">
        <v>0</v>
      </c>
      <c r="K1141" s="6">
        <v>0</v>
      </c>
      <c r="L1141" s="6">
        <v>3.7389999999999999</v>
      </c>
      <c r="M1141" s="6">
        <v>3.7389999999999999</v>
      </c>
      <c r="N1141" s="6">
        <v>3.7389999999999999</v>
      </c>
      <c r="O1141" s="6">
        <v>3.7389999999999999</v>
      </c>
      <c r="P1141" s="6">
        <v>0</v>
      </c>
      <c r="Q1141" s="4" t="s">
        <v>26</v>
      </c>
      <c r="R1141" s="4">
        <v>0</v>
      </c>
      <c r="S1141" s="6">
        <v>0</v>
      </c>
      <c r="T1141" s="6">
        <v>30</v>
      </c>
      <c r="U1141" s="6">
        <v>78</v>
      </c>
      <c r="V1141" s="6">
        <f>IF(ISERROR(VLOOKUP($S$1141,'TAR FIN'!$A$1:$O$116,15,0)),0,VLOOKUP($S$1141,'TAR FIN'!$A$1:$O$116,15,0))</f>
        <v>0</v>
      </c>
      <c r="W1141" s="6">
        <f>IF(ISERROR(VLOOKUP($T$1141,'TAR FIN'!$A$1:$O$116,15,0)),0,VLOOKUP($T$1141,'TAR FIN'!$A$1:$O$116,15,0))</f>
        <v>1682.12</v>
      </c>
      <c r="X1141" s="6">
        <f>IF(ISERROR(VLOOKUP($U$1141,'TAR FIN'!$A$1:$O$116,15,0)),0,VLOOKUP($U$1141,'TAR FIN'!$A$1:$O$116,15,0))</f>
        <v>496.15</v>
      </c>
      <c r="Y1141" s="6"/>
      <c r="Z1141" s="6">
        <f ca="1">('TUSD BE'!$AM$34+'TUSD BF'!$AM$34+'TUSD CVA'!$AM$34)*1</f>
        <v>1969.9199547802996</v>
      </c>
      <c r="AA1141" s="6">
        <f>('TE BE'!$AB$9+'TE BF'!$AB$9+'TE CVA'!$AB$9)*1</f>
        <v>510.04993331215127</v>
      </c>
      <c r="AB1141" s="6">
        <f>$K$1141*$V$1141</f>
        <v>0</v>
      </c>
      <c r="AC1141" s="6">
        <f>$M$1141*$W$1141</f>
        <v>6289.4466799999991</v>
      </c>
      <c r="AD1141" s="6">
        <f>$O$1141*$X$1141</f>
        <v>1855.1048499999999</v>
      </c>
      <c r="AE1141" s="6">
        <f>$K$1141*$Y$1141</f>
        <v>0</v>
      </c>
      <c r="AF1141" s="6">
        <f ca="1">$M$1141*$Z$1141</f>
        <v>7365.53071092354</v>
      </c>
      <c r="AG1141" s="6">
        <f>$O$1141*$AA$1141</f>
        <v>1907.0767006541334</v>
      </c>
    </row>
    <row r="1142" spans="1:33" ht="11.25" customHeight="1" x14ac:dyDescent="0.25">
      <c r="A1142" s="4" t="s">
        <v>21</v>
      </c>
      <c r="B1142" s="4" t="s">
        <v>41</v>
      </c>
      <c r="C1142" s="4" t="s">
        <v>42</v>
      </c>
      <c r="D1142" s="4" t="s">
        <v>45</v>
      </c>
      <c r="E1142" s="4" t="s">
        <v>25</v>
      </c>
      <c r="F1142" s="4" t="s">
        <v>25</v>
      </c>
      <c r="G1142" s="4" t="s">
        <v>25</v>
      </c>
      <c r="H1142" s="4" t="s">
        <v>35</v>
      </c>
      <c r="I1142" s="5">
        <v>44348</v>
      </c>
      <c r="J1142" s="6">
        <v>0</v>
      </c>
      <c r="K1142" s="70">
        <v>0</v>
      </c>
      <c r="L1142" s="6">
        <v>212.03899999999999</v>
      </c>
      <c r="M1142" s="70">
        <v>212.03899999999999</v>
      </c>
      <c r="N1142" s="6">
        <v>212.03899999999999</v>
      </c>
      <c r="O1142" s="70">
        <v>212.03899999999999</v>
      </c>
      <c r="P1142" s="6">
        <v>0</v>
      </c>
      <c r="Q1142" s="4" t="s">
        <v>26</v>
      </c>
      <c r="R1142" s="4">
        <v>0</v>
      </c>
      <c r="S1142" s="6">
        <v>0</v>
      </c>
      <c r="T1142" s="6">
        <v>31</v>
      </c>
      <c r="U1142" s="6">
        <v>79</v>
      </c>
      <c r="V1142" s="70">
        <f>IF(ISERROR(VLOOKUP($S$1142,'TAR FIN'!$A$1:$O$116,15,0)),0,VLOOKUP($S$1142,'TAR FIN'!$A$1:$O$116,15,0))</f>
        <v>0</v>
      </c>
      <c r="W1142" s="70">
        <f>IF(ISERROR(VLOOKUP($T$1142,'TAR FIN'!$A$1:$O$116,15,0)),0,VLOOKUP($T$1142,'TAR FIN'!$A$1:$O$116,15,0))*(1-0.04)</f>
        <v>85.113599999999991</v>
      </c>
      <c r="X1142" s="70">
        <f>IF(ISERROR(VLOOKUP($U$1142,'TAR FIN'!$A$1:$O$116,15,0)),0,VLOOKUP($U$1142,'TAR FIN'!$A$1:$O$116,15,0))*(1-0.04)</f>
        <v>298.59840000000003</v>
      </c>
      <c r="Y1142" s="70"/>
      <c r="Z1142" s="70">
        <f ca="1">('TUSD BE'!$AM$35+'TUSD BF'!$AM$35+'TUSD CVA'!$AM$35)*1*(1-0.02)</f>
        <v>134.68713722640669</v>
      </c>
      <c r="AA1142" s="70">
        <f>('TE BE'!$AB$10+'TE BF'!$AB$10+'TE CVA'!$AB$10)*1*(1-0.02)</f>
        <v>306.96449101990191</v>
      </c>
      <c r="AB1142" s="6">
        <f>$K$1142*$V$1142</f>
        <v>0</v>
      </c>
      <c r="AC1142" s="6">
        <f>$M$1142*$W$1142</f>
        <v>18047.402630399996</v>
      </c>
      <c r="AD1142" s="6">
        <f>$O$1142*$X$1142</f>
        <v>63314.506137600001</v>
      </c>
      <c r="AE1142" s="6">
        <f>$K$1142*$Y$1142</f>
        <v>0</v>
      </c>
      <c r="AF1142" s="6">
        <f ca="1">$M$1142*$Z$1142</f>
        <v>28558.925890350045</v>
      </c>
      <c r="AG1142" s="6">
        <f>$O$1142*$AA$1142</f>
        <v>65088.443711368978</v>
      </c>
    </row>
    <row r="1143" spans="1:33" ht="11.25" customHeight="1" x14ac:dyDescent="0.25">
      <c r="A1143" s="4" t="s">
        <v>27</v>
      </c>
      <c r="B1143" s="4" t="s">
        <v>41</v>
      </c>
      <c r="C1143" s="4" t="s">
        <v>42</v>
      </c>
      <c r="D1143" s="4" t="s">
        <v>45</v>
      </c>
      <c r="E1143" s="4" t="s">
        <v>25</v>
      </c>
      <c r="F1143" s="4" t="s">
        <v>25</v>
      </c>
      <c r="G1143" s="4" t="s">
        <v>25</v>
      </c>
      <c r="H1143" s="4" t="s">
        <v>35</v>
      </c>
      <c r="I1143" s="5">
        <v>44348</v>
      </c>
      <c r="J1143" s="6">
        <v>0</v>
      </c>
      <c r="K1143" s="70">
        <v>0</v>
      </c>
      <c r="L1143" s="6">
        <v>6.12</v>
      </c>
      <c r="M1143" s="70">
        <v>6.12</v>
      </c>
      <c r="N1143" s="6">
        <v>6.12</v>
      </c>
      <c r="O1143" s="70">
        <v>6.12</v>
      </c>
      <c r="P1143" s="6">
        <v>0</v>
      </c>
      <c r="Q1143" s="4" t="s">
        <v>26</v>
      </c>
      <c r="R1143" s="4">
        <v>0</v>
      </c>
      <c r="S1143" s="6">
        <v>0</v>
      </c>
      <c r="T1143" s="6">
        <v>31</v>
      </c>
      <c r="U1143" s="6">
        <v>79</v>
      </c>
      <c r="V1143" s="70">
        <f>IF(ISERROR(VLOOKUP($S$1143,'TAR FIN'!$A$1:$O$116,15,0)),0,VLOOKUP($S$1143,'TAR FIN'!$A$1:$O$116,15,0))</f>
        <v>0</v>
      </c>
      <c r="W1143" s="70">
        <f>IF(ISERROR(VLOOKUP($T$1143,'TAR FIN'!$A$1:$O$116,15,0)),0,VLOOKUP($T$1143,'TAR FIN'!$A$1:$O$116,15,0))*(1-0.04)</f>
        <v>85.113599999999991</v>
      </c>
      <c r="X1143" s="70">
        <f>IF(ISERROR(VLOOKUP($U$1143,'TAR FIN'!$A$1:$O$116,15,0)),0,VLOOKUP($U$1143,'TAR FIN'!$A$1:$O$116,15,0))*(1-0.04)</f>
        <v>298.59840000000003</v>
      </c>
      <c r="Y1143" s="70"/>
      <c r="Z1143" s="70">
        <f ca="1">('TUSD BE'!$AM$35+'TUSD BF'!$AM$35+'TUSD CVA'!$AM$35)*1*(1-0.02)</f>
        <v>134.68713722640669</v>
      </c>
      <c r="AA1143" s="70">
        <f>('TE BE'!$AB$10+'TE BF'!$AB$10+'TE CVA'!$AB$10)*1*(1-0.02)</f>
        <v>306.96449101990191</v>
      </c>
      <c r="AB1143" s="6">
        <f>$K$1143*$V$1143</f>
        <v>0</v>
      </c>
      <c r="AC1143" s="6">
        <f>$M$1143*$W$1143</f>
        <v>520.89523199999996</v>
      </c>
      <c r="AD1143" s="6">
        <f>$O$1143*$X$1143</f>
        <v>1827.4222080000002</v>
      </c>
      <c r="AE1143" s="6">
        <f>$K$1143*$Y$1143</f>
        <v>0</v>
      </c>
      <c r="AF1143" s="6">
        <f ca="1">$M$1143*$Z$1143</f>
        <v>824.285279825609</v>
      </c>
      <c r="AG1143" s="6">
        <f>$O$1143*$AA$1143</f>
        <v>1878.6226850417997</v>
      </c>
    </row>
    <row r="1144" spans="1:33" ht="11.25" customHeight="1" x14ac:dyDescent="0.25">
      <c r="A1144" s="4" t="s">
        <v>21</v>
      </c>
      <c r="B1144" s="4" t="s">
        <v>41</v>
      </c>
      <c r="C1144" s="4" t="s">
        <v>42</v>
      </c>
      <c r="D1144" s="4" t="s">
        <v>45</v>
      </c>
      <c r="E1144" s="4" t="s">
        <v>25</v>
      </c>
      <c r="F1144" s="4" t="s">
        <v>25</v>
      </c>
      <c r="G1144" s="4" t="s">
        <v>25</v>
      </c>
      <c r="H1144" s="4" t="s">
        <v>35</v>
      </c>
      <c r="I1144" s="5">
        <v>44378</v>
      </c>
      <c r="J1144" s="6">
        <v>0</v>
      </c>
      <c r="K1144" s="70">
        <v>0</v>
      </c>
      <c r="L1144" s="6">
        <v>233.19399999999999</v>
      </c>
      <c r="M1144" s="70">
        <v>233.19399999999999</v>
      </c>
      <c r="N1144" s="6">
        <v>233.19399999999999</v>
      </c>
      <c r="O1144" s="70">
        <v>233.19399999999999</v>
      </c>
      <c r="P1144" s="6">
        <v>0</v>
      </c>
      <c r="Q1144" s="4" t="s">
        <v>26</v>
      </c>
      <c r="R1144" s="4">
        <v>0</v>
      </c>
      <c r="S1144" s="6">
        <v>0</v>
      </c>
      <c r="T1144" s="6">
        <v>31</v>
      </c>
      <c r="U1144" s="6">
        <v>79</v>
      </c>
      <c r="V1144" s="70">
        <f>IF(ISERROR(VLOOKUP($S$1144,'TAR FIN'!$A$1:$O$116,15,0)),0,VLOOKUP($S$1144,'TAR FIN'!$A$1:$O$116,15,0))</f>
        <v>0</v>
      </c>
      <c r="W1144" s="70">
        <f>IF(ISERROR(VLOOKUP($T$1144,'TAR FIN'!$A$1:$O$116,15,0)),0,VLOOKUP($T$1144,'TAR FIN'!$A$1:$O$116,15,0))*(1-0.04)</f>
        <v>85.113599999999991</v>
      </c>
      <c r="X1144" s="70">
        <f>IF(ISERROR(VLOOKUP($U$1144,'TAR FIN'!$A$1:$O$116,15,0)),0,VLOOKUP($U$1144,'TAR FIN'!$A$1:$O$116,15,0))*(1-0.04)</f>
        <v>298.59840000000003</v>
      </c>
      <c r="Y1144" s="70"/>
      <c r="Z1144" s="70">
        <f ca="1">('TUSD BE'!$AM$35+'TUSD BF'!$AM$35+'TUSD CVA'!$AM$35)*1*(1-0.02)</f>
        <v>134.68713722640669</v>
      </c>
      <c r="AA1144" s="70">
        <f>('TE BE'!$AB$10+'TE BF'!$AB$10+'TE CVA'!$AB$10)*1*(1-0.02)</f>
        <v>306.96449101990191</v>
      </c>
      <c r="AB1144" s="6">
        <f>$K$1144*$V$1144</f>
        <v>0</v>
      </c>
      <c r="AC1144" s="6">
        <f>$M$1144*$W$1144</f>
        <v>19847.980838399995</v>
      </c>
      <c r="AD1144" s="6">
        <f>$O$1144*$X$1144</f>
        <v>69631.355289600004</v>
      </c>
      <c r="AE1144" s="6">
        <f>$K$1144*$Y$1144</f>
        <v>0</v>
      </c>
      <c r="AF1144" s="6">
        <f ca="1">$M$1144*$Z$1144</f>
        <v>31408.232278374679</v>
      </c>
      <c r="AG1144" s="6">
        <f>$O$1144*$AA$1144</f>
        <v>71582.277518895004</v>
      </c>
    </row>
    <row r="1145" spans="1:33" ht="11.25" customHeight="1" x14ac:dyDescent="0.25">
      <c r="A1145" s="4" t="s">
        <v>21</v>
      </c>
      <c r="B1145" s="4" t="s">
        <v>41</v>
      </c>
      <c r="C1145" s="4" t="s">
        <v>42</v>
      </c>
      <c r="D1145" s="4" t="s">
        <v>45</v>
      </c>
      <c r="E1145" s="4" t="s">
        <v>25</v>
      </c>
      <c r="F1145" s="4" t="s">
        <v>25</v>
      </c>
      <c r="G1145" s="4" t="s">
        <v>25</v>
      </c>
      <c r="H1145" s="4" t="s">
        <v>35</v>
      </c>
      <c r="I1145" s="5">
        <v>44409</v>
      </c>
      <c r="J1145" s="6">
        <v>0</v>
      </c>
      <c r="K1145" s="70">
        <v>0</v>
      </c>
      <c r="L1145" s="6">
        <v>216.571</v>
      </c>
      <c r="M1145" s="70">
        <v>216.571</v>
      </c>
      <c r="N1145" s="6">
        <v>216.571</v>
      </c>
      <c r="O1145" s="70">
        <v>216.571</v>
      </c>
      <c r="P1145" s="6">
        <v>0</v>
      </c>
      <c r="Q1145" s="4" t="s">
        <v>26</v>
      </c>
      <c r="R1145" s="4">
        <v>0</v>
      </c>
      <c r="S1145" s="6">
        <v>0</v>
      </c>
      <c r="T1145" s="6">
        <v>31</v>
      </c>
      <c r="U1145" s="6">
        <v>79</v>
      </c>
      <c r="V1145" s="70">
        <f>IF(ISERROR(VLOOKUP($S$1145,'TAR FIN'!$A$1:$O$116,15,0)),0,VLOOKUP($S$1145,'TAR FIN'!$A$1:$O$116,15,0))</f>
        <v>0</v>
      </c>
      <c r="W1145" s="70">
        <f>IF(ISERROR(VLOOKUP($T$1145,'TAR FIN'!$A$1:$O$116,15,0)),0,VLOOKUP($T$1145,'TAR FIN'!$A$1:$O$116,15,0))*(1-0.04)</f>
        <v>85.113599999999991</v>
      </c>
      <c r="X1145" s="70">
        <f>IF(ISERROR(VLOOKUP($U$1145,'TAR FIN'!$A$1:$O$116,15,0)),0,VLOOKUP($U$1145,'TAR FIN'!$A$1:$O$116,15,0))*(1-0.04)</f>
        <v>298.59840000000003</v>
      </c>
      <c r="Y1145" s="70"/>
      <c r="Z1145" s="70">
        <f ca="1">('TUSD BE'!$AM$35+'TUSD BF'!$AM$35+'TUSD CVA'!$AM$35)*1*(1-0.02)</f>
        <v>134.68713722640669</v>
      </c>
      <c r="AA1145" s="70">
        <f>('TE BE'!$AB$10+'TE BF'!$AB$10+'TE CVA'!$AB$10)*1*(1-0.02)</f>
        <v>306.96449101990191</v>
      </c>
      <c r="AB1145" s="6">
        <f>$K$1145*$V$1145</f>
        <v>0</v>
      </c>
      <c r="AC1145" s="6">
        <f>$M$1145*$W$1145</f>
        <v>18433.137465599997</v>
      </c>
      <c r="AD1145" s="6">
        <f>$O$1145*$X$1145</f>
        <v>64667.754086400004</v>
      </c>
      <c r="AE1145" s="6">
        <f>$K$1145*$Y$1145</f>
        <v>0</v>
      </c>
      <c r="AF1145" s="6">
        <f ca="1">$M$1145*$Z$1145</f>
        <v>29169.327996260123</v>
      </c>
      <c r="AG1145" s="6">
        <f>$O$1145*$AA$1145</f>
        <v>66479.606784671181</v>
      </c>
    </row>
    <row r="1146" spans="1:33" ht="11.25" customHeight="1" x14ac:dyDescent="0.25">
      <c r="A1146" s="4" t="s">
        <v>21</v>
      </c>
      <c r="B1146" s="4" t="s">
        <v>41</v>
      </c>
      <c r="C1146" s="4" t="s">
        <v>42</v>
      </c>
      <c r="D1146" s="4" t="s">
        <v>45</v>
      </c>
      <c r="E1146" s="4" t="s">
        <v>25</v>
      </c>
      <c r="F1146" s="4" t="s">
        <v>25</v>
      </c>
      <c r="G1146" s="4" t="s">
        <v>25</v>
      </c>
      <c r="H1146" s="4" t="s">
        <v>35</v>
      </c>
      <c r="I1146" s="5">
        <v>44440</v>
      </c>
      <c r="J1146" s="6">
        <v>0</v>
      </c>
      <c r="K1146" s="70">
        <v>0</v>
      </c>
      <c r="L1146" s="6">
        <v>222.245</v>
      </c>
      <c r="M1146" s="70">
        <v>222.245</v>
      </c>
      <c r="N1146" s="6">
        <v>222.245</v>
      </c>
      <c r="O1146" s="70">
        <v>222.245</v>
      </c>
      <c r="P1146" s="6">
        <v>0</v>
      </c>
      <c r="Q1146" s="4" t="s">
        <v>26</v>
      </c>
      <c r="R1146" s="4">
        <v>0</v>
      </c>
      <c r="S1146" s="6">
        <v>0</v>
      </c>
      <c r="T1146" s="6">
        <v>31</v>
      </c>
      <c r="U1146" s="6">
        <v>79</v>
      </c>
      <c r="V1146" s="70">
        <f>IF(ISERROR(VLOOKUP($S$1146,'TAR FIN'!$A$1:$O$116,15,0)),0,VLOOKUP($S$1146,'TAR FIN'!$A$1:$O$116,15,0))</f>
        <v>0</v>
      </c>
      <c r="W1146" s="70">
        <f>IF(ISERROR(VLOOKUP($T$1146,'TAR FIN'!$A$1:$O$116,15,0)),0,VLOOKUP($T$1146,'TAR FIN'!$A$1:$O$116,15,0))*(1-0.04)</f>
        <v>85.113599999999991</v>
      </c>
      <c r="X1146" s="70">
        <f>IF(ISERROR(VLOOKUP($U$1146,'TAR FIN'!$A$1:$O$116,15,0)),0,VLOOKUP($U$1146,'TAR FIN'!$A$1:$O$116,15,0))*(1-0.04)</f>
        <v>298.59840000000003</v>
      </c>
      <c r="Y1146" s="70"/>
      <c r="Z1146" s="70">
        <f ca="1">('TUSD BE'!$AM$35+'TUSD BF'!$AM$35+'TUSD CVA'!$AM$35)*1*(1-0.02)</f>
        <v>134.68713722640669</v>
      </c>
      <c r="AA1146" s="70">
        <f>('TE BE'!$AB$10+'TE BF'!$AB$10+'TE CVA'!$AB$10)*1*(1-0.02)</f>
        <v>306.96449101990191</v>
      </c>
      <c r="AB1146" s="6">
        <f>$K$1146*$V$1146</f>
        <v>0</v>
      </c>
      <c r="AC1146" s="6">
        <f>$M$1146*$W$1146</f>
        <v>18916.072032</v>
      </c>
      <c r="AD1146" s="6">
        <f>$O$1146*$X$1146</f>
        <v>66362.001408000011</v>
      </c>
      <c r="AE1146" s="6">
        <f>$K$1146*$Y$1146</f>
        <v>0</v>
      </c>
      <c r="AF1146" s="6">
        <f ca="1">$M$1146*$Z$1146</f>
        <v>29933.542812882755</v>
      </c>
      <c r="AG1146" s="6">
        <f>$O$1146*$AA$1146</f>
        <v>68221.323306718099</v>
      </c>
    </row>
    <row r="1147" spans="1:33" ht="11.25" customHeight="1" x14ac:dyDescent="0.25">
      <c r="A1147" s="4" t="s">
        <v>21</v>
      </c>
      <c r="B1147" s="4" t="s">
        <v>41</v>
      </c>
      <c r="C1147" s="4" t="s">
        <v>42</v>
      </c>
      <c r="D1147" s="4" t="s">
        <v>45</v>
      </c>
      <c r="E1147" s="4" t="s">
        <v>25</v>
      </c>
      <c r="F1147" s="4" t="s">
        <v>25</v>
      </c>
      <c r="G1147" s="4" t="s">
        <v>25</v>
      </c>
      <c r="H1147" s="4" t="s">
        <v>35</v>
      </c>
      <c r="I1147" s="5">
        <v>44470</v>
      </c>
      <c r="J1147" s="6">
        <v>0</v>
      </c>
      <c r="K1147" s="70">
        <v>0</v>
      </c>
      <c r="L1147" s="6">
        <v>233.876</v>
      </c>
      <c r="M1147" s="70">
        <v>233.876</v>
      </c>
      <c r="N1147" s="6">
        <v>233.876</v>
      </c>
      <c r="O1147" s="70">
        <v>233.876</v>
      </c>
      <c r="P1147" s="6">
        <v>0</v>
      </c>
      <c r="Q1147" s="4" t="s">
        <v>26</v>
      </c>
      <c r="R1147" s="4">
        <v>0</v>
      </c>
      <c r="S1147" s="6">
        <v>0</v>
      </c>
      <c r="T1147" s="6">
        <v>31</v>
      </c>
      <c r="U1147" s="6">
        <v>79</v>
      </c>
      <c r="V1147" s="70">
        <f>IF(ISERROR(VLOOKUP($S$1147,'TAR FIN'!$A$1:$O$116,15,0)),0,VLOOKUP($S$1147,'TAR FIN'!$A$1:$O$116,15,0))</f>
        <v>0</v>
      </c>
      <c r="W1147" s="70">
        <f>IF(ISERROR(VLOOKUP($T$1147,'TAR FIN'!$A$1:$O$116,15,0)),0,VLOOKUP($T$1147,'TAR FIN'!$A$1:$O$116,15,0))*(1-0.04)</f>
        <v>85.113599999999991</v>
      </c>
      <c r="X1147" s="70">
        <f>IF(ISERROR(VLOOKUP($U$1147,'TAR FIN'!$A$1:$O$116,15,0)),0,VLOOKUP($U$1147,'TAR FIN'!$A$1:$O$116,15,0))*(1-0.04)</f>
        <v>298.59840000000003</v>
      </c>
      <c r="Y1147" s="70"/>
      <c r="Z1147" s="70">
        <f ca="1">('TUSD BE'!$AM$35+'TUSD BF'!$AM$35+'TUSD CVA'!$AM$35)*1*(1-0.02)</f>
        <v>134.68713722640669</v>
      </c>
      <c r="AA1147" s="70">
        <f>('TE BE'!$AB$10+'TE BF'!$AB$10+'TE CVA'!$AB$10)*1*(1-0.02)</f>
        <v>306.96449101990191</v>
      </c>
      <c r="AB1147" s="6">
        <f>$K$1147*$V$1147</f>
        <v>0</v>
      </c>
      <c r="AC1147" s="6">
        <f>$M$1147*$W$1147</f>
        <v>19906.0283136</v>
      </c>
      <c r="AD1147" s="6">
        <f>$O$1147*$X$1147</f>
        <v>69834.999398400003</v>
      </c>
      <c r="AE1147" s="6">
        <f>$K$1147*$Y$1147</f>
        <v>0</v>
      </c>
      <c r="AF1147" s="6">
        <f ca="1">$M$1147*$Z$1147</f>
        <v>31500.088905963094</v>
      </c>
      <c r="AG1147" s="6">
        <f>$O$1147*$AA$1147</f>
        <v>71791.627301770583</v>
      </c>
    </row>
    <row r="1148" spans="1:33" ht="11.25" customHeight="1" x14ac:dyDescent="0.25">
      <c r="A1148" s="4" t="s">
        <v>21</v>
      </c>
      <c r="B1148" s="4" t="s">
        <v>41</v>
      </c>
      <c r="C1148" s="4" t="s">
        <v>42</v>
      </c>
      <c r="D1148" s="4" t="s">
        <v>45</v>
      </c>
      <c r="E1148" s="4" t="s">
        <v>25</v>
      </c>
      <c r="F1148" s="4" t="s">
        <v>25</v>
      </c>
      <c r="G1148" s="4" t="s">
        <v>25</v>
      </c>
      <c r="H1148" s="4" t="s">
        <v>35</v>
      </c>
      <c r="I1148" s="5">
        <v>44501</v>
      </c>
      <c r="J1148" s="6">
        <v>0</v>
      </c>
      <c r="K1148" s="70">
        <v>0</v>
      </c>
      <c r="L1148" s="6">
        <v>222.655</v>
      </c>
      <c r="M1148" s="70">
        <v>222.655</v>
      </c>
      <c r="N1148" s="6">
        <v>222.655</v>
      </c>
      <c r="O1148" s="70">
        <v>222.655</v>
      </c>
      <c r="P1148" s="6">
        <v>0</v>
      </c>
      <c r="Q1148" s="4" t="s">
        <v>26</v>
      </c>
      <c r="R1148" s="4">
        <v>0</v>
      </c>
      <c r="S1148" s="6">
        <v>0</v>
      </c>
      <c r="T1148" s="6">
        <v>31</v>
      </c>
      <c r="U1148" s="6">
        <v>79</v>
      </c>
      <c r="V1148" s="70">
        <f>IF(ISERROR(VLOOKUP($S$1148,'TAR FIN'!$A$1:$O$116,15,0)),0,VLOOKUP($S$1148,'TAR FIN'!$A$1:$O$116,15,0))</f>
        <v>0</v>
      </c>
      <c r="W1148" s="70">
        <f>IF(ISERROR(VLOOKUP($T$1148,'TAR FIN'!$A$1:$O$116,15,0)),0,VLOOKUP($T$1148,'TAR FIN'!$A$1:$O$116,15,0))*(1-0.04)</f>
        <v>85.113599999999991</v>
      </c>
      <c r="X1148" s="70">
        <f>IF(ISERROR(VLOOKUP($U$1148,'TAR FIN'!$A$1:$O$116,15,0)),0,VLOOKUP($U$1148,'TAR FIN'!$A$1:$O$116,15,0))*(1-0.04)</f>
        <v>298.59840000000003</v>
      </c>
      <c r="Y1148" s="70"/>
      <c r="Z1148" s="70">
        <f ca="1">('TUSD BE'!$AM$35+'TUSD BF'!$AM$35+'TUSD CVA'!$AM$35)*1*(1-0.02)</f>
        <v>134.68713722640669</v>
      </c>
      <c r="AA1148" s="70">
        <f>('TE BE'!$AB$10+'TE BF'!$AB$10+'TE CVA'!$AB$10)*1*(1-0.02)</f>
        <v>306.96449101990191</v>
      </c>
      <c r="AB1148" s="6">
        <f>$K$1148*$V$1148</f>
        <v>0</v>
      </c>
      <c r="AC1148" s="6">
        <f>$M$1148*$W$1148</f>
        <v>18950.968607999999</v>
      </c>
      <c r="AD1148" s="6">
        <f>$O$1148*$X$1148</f>
        <v>66484.426751999999</v>
      </c>
      <c r="AE1148" s="6">
        <f>$K$1148*$Y$1148</f>
        <v>0</v>
      </c>
      <c r="AF1148" s="6">
        <f ca="1">$M$1148*$Z$1148</f>
        <v>29988.764539145581</v>
      </c>
      <c r="AG1148" s="6">
        <f>$O$1148*$AA$1148</f>
        <v>68347.178748036255</v>
      </c>
    </row>
    <row r="1149" spans="1:33" ht="11.25" customHeight="1" x14ac:dyDescent="0.25">
      <c r="A1149" s="4" t="s">
        <v>21</v>
      </c>
      <c r="B1149" s="4" t="s">
        <v>41</v>
      </c>
      <c r="C1149" s="4" t="s">
        <v>42</v>
      </c>
      <c r="D1149" s="4" t="s">
        <v>45</v>
      </c>
      <c r="E1149" s="4" t="s">
        <v>25</v>
      </c>
      <c r="F1149" s="4" t="s">
        <v>25</v>
      </c>
      <c r="G1149" s="4" t="s">
        <v>25</v>
      </c>
      <c r="H1149" s="4" t="s">
        <v>35</v>
      </c>
      <c r="I1149" s="5">
        <v>44531</v>
      </c>
      <c r="J1149" s="6">
        <v>0</v>
      </c>
      <c r="K1149" s="70">
        <v>0</v>
      </c>
      <c r="L1149" s="6">
        <v>244.85599999999999</v>
      </c>
      <c r="M1149" s="70">
        <v>244.85599999999999</v>
      </c>
      <c r="N1149" s="6">
        <v>244.85599999999999</v>
      </c>
      <c r="O1149" s="70">
        <v>244.85599999999999</v>
      </c>
      <c r="P1149" s="6">
        <v>0</v>
      </c>
      <c r="Q1149" s="4" t="s">
        <v>26</v>
      </c>
      <c r="R1149" s="4">
        <v>0</v>
      </c>
      <c r="S1149" s="6">
        <v>0</v>
      </c>
      <c r="T1149" s="6">
        <v>31</v>
      </c>
      <c r="U1149" s="6">
        <v>79</v>
      </c>
      <c r="V1149" s="70">
        <f>IF(ISERROR(VLOOKUP($S$1149,'TAR FIN'!$A$1:$O$116,15,0)),0,VLOOKUP($S$1149,'TAR FIN'!$A$1:$O$116,15,0))</f>
        <v>0</v>
      </c>
      <c r="W1149" s="70">
        <f>IF(ISERROR(VLOOKUP($T$1149,'TAR FIN'!$A$1:$O$116,15,0)),0,VLOOKUP($T$1149,'TAR FIN'!$A$1:$O$116,15,0))*(1-0.04)</f>
        <v>85.113599999999991</v>
      </c>
      <c r="X1149" s="70">
        <f>IF(ISERROR(VLOOKUP($U$1149,'TAR FIN'!$A$1:$O$116,15,0)),0,VLOOKUP($U$1149,'TAR FIN'!$A$1:$O$116,15,0))*(1-0.04)</f>
        <v>298.59840000000003</v>
      </c>
      <c r="Y1149" s="70"/>
      <c r="Z1149" s="70">
        <f ca="1">('TUSD BE'!$AM$35+'TUSD BF'!$AM$35+'TUSD CVA'!$AM$35)*1*(1-0.02)</f>
        <v>134.68713722640669</v>
      </c>
      <c r="AA1149" s="70">
        <f>('TE BE'!$AB$10+'TE BF'!$AB$10+'TE CVA'!$AB$10)*1*(1-0.02)</f>
        <v>306.96449101990191</v>
      </c>
      <c r="AB1149" s="6">
        <f>$K$1149*$V$1149</f>
        <v>0</v>
      </c>
      <c r="AC1149" s="6">
        <f>$M$1149*$W$1149</f>
        <v>20840.575641599997</v>
      </c>
      <c r="AD1149" s="6">
        <f>$O$1149*$X$1149</f>
        <v>73113.609830400004</v>
      </c>
      <c r="AE1149" s="6">
        <f>$K$1149*$Y$1149</f>
        <v>0</v>
      </c>
      <c r="AF1149" s="6">
        <f ca="1">$M$1149*$Z$1149</f>
        <v>32978.953672709038</v>
      </c>
      <c r="AG1149" s="6">
        <f>$O$1149*$AA$1149</f>
        <v>75162.097413169104</v>
      </c>
    </row>
    <row r="1150" spans="1:33" ht="11.25" customHeight="1" x14ac:dyDescent="0.25">
      <c r="A1150" s="4" t="s">
        <v>21</v>
      </c>
      <c r="B1150" s="4" t="s">
        <v>41</v>
      </c>
      <c r="C1150" s="4" t="s">
        <v>42</v>
      </c>
      <c r="D1150" s="4" t="s">
        <v>45</v>
      </c>
      <c r="E1150" s="4" t="s">
        <v>25</v>
      </c>
      <c r="F1150" s="4" t="s">
        <v>25</v>
      </c>
      <c r="G1150" s="4" t="s">
        <v>25</v>
      </c>
      <c r="H1150" s="4" t="s">
        <v>35</v>
      </c>
      <c r="I1150" s="5">
        <v>44562</v>
      </c>
      <c r="J1150" s="6">
        <v>0</v>
      </c>
      <c r="K1150" s="70">
        <v>0</v>
      </c>
      <c r="L1150" s="6">
        <v>210.94300000000001</v>
      </c>
      <c r="M1150" s="70">
        <v>210.94300000000001</v>
      </c>
      <c r="N1150" s="6">
        <v>210.94300000000001</v>
      </c>
      <c r="O1150" s="70">
        <v>210.94300000000001</v>
      </c>
      <c r="P1150" s="6">
        <v>0</v>
      </c>
      <c r="Q1150" s="4" t="s">
        <v>26</v>
      </c>
      <c r="R1150" s="4">
        <v>0</v>
      </c>
      <c r="S1150" s="6">
        <v>0</v>
      </c>
      <c r="T1150" s="6">
        <v>31</v>
      </c>
      <c r="U1150" s="6">
        <v>79</v>
      </c>
      <c r="V1150" s="70">
        <f>IF(ISERROR(VLOOKUP($S$1150,'TAR FIN'!$A$1:$O$116,15,0)),0,VLOOKUP($S$1150,'TAR FIN'!$A$1:$O$116,15,0))</f>
        <v>0</v>
      </c>
      <c r="W1150" s="70">
        <f>IF(ISERROR(VLOOKUP($T$1150,'TAR FIN'!$A$1:$O$116,15,0)),0,VLOOKUP($T$1150,'TAR FIN'!$A$1:$O$116,15,0))*(1-0.04)</f>
        <v>85.113599999999991</v>
      </c>
      <c r="X1150" s="70">
        <f>IF(ISERROR(VLOOKUP($U$1150,'TAR FIN'!$A$1:$O$116,15,0)),0,VLOOKUP($U$1150,'TAR FIN'!$A$1:$O$116,15,0))*(1-0.04)</f>
        <v>298.59840000000003</v>
      </c>
      <c r="Y1150" s="70"/>
      <c r="Z1150" s="70">
        <f ca="1">('TUSD BE'!$AM$35+'TUSD BF'!$AM$35+'TUSD CVA'!$AM$35)*1*(1-0.02)</f>
        <v>134.68713722640669</v>
      </c>
      <c r="AA1150" s="70">
        <f>('TE BE'!$AB$10+'TE BF'!$AB$10+'TE CVA'!$AB$10)*1*(1-0.02)</f>
        <v>306.96449101990191</v>
      </c>
      <c r="AB1150" s="6">
        <f>$K$1150*$V$1150</f>
        <v>0</v>
      </c>
      <c r="AC1150" s="6">
        <f>$M$1150*$W$1150</f>
        <v>17954.118124799999</v>
      </c>
      <c r="AD1150" s="6">
        <f>$O$1150*$X$1150</f>
        <v>62987.242291200011</v>
      </c>
      <c r="AE1150" s="6">
        <f>$K$1150*$Y$1150</f>
        <v>0</v>
      </c>
      <c r="AF1150" s="6">
        <f ca="1">$M$1150*$Z$1150</f>
        <v>28411.308787949907</v>
      </c>
      <c r="AG1150" s="6">
        <f>$O$1150*$AA$1150</f>
        <v>64752.010629211174</v>
      </c>
    </row>
    <row r="1151" spans="1:33" ht="11.25" customHeight="1" x14ac:dyDescent="0.25">
      <c r="A1151" s="4" t="s">
        <v>21</v>
      </c>
      <c r="B1151" s="4" t="s">
        <v>41</v>
      </c>
      <c r="C1151" s="4" t="s">
        <v>42</v>
      </c>
      <c r="D1151" s="4" t="s">
        <v>45</v>
      </c>
      <c r="E1151" s="4" t="s">
        <v>25</v>
      </c>
      <c r="F1151" s="4" t="s">
        <v>25</v>
      </c>
      <c r="G1151" s="4" t="s">
        <v>25</v>
      </c>
      <c r="H1151" s="4" t="s">
        <v>35</v>
      </c>
      <c r="I1151" s="5">
        <v>44593</v>
      </c>
      <c r="J1151" s="6">
        <v>0</v>
      </c>
      <c r="K1151" s="70">
        <v>0</v>
      </c>
      <c r="L1151" s="6">
        <v>190.81700000000001</v>
      </c>
      <c r="M1151" s="70">
        <v>190.81700000000001</v>
      </c>
      <c r="N1151" s="6">
        <v>190.81700000000001</v>
      </c>
      <c r="O1151" s="70">
        <v>190.81700000000001</v>
      </c>
      <c r="P1151" s="6">
        <v>0</v>
      </c>
      <c r="Q1151" s="4" t="s">
        <v>26</v>
      </c>
      <c r="R1151" s="4">
        <v>0</v>
      </c>
      <c r="S1151" s="6">
        <v>0</v>
      </c>
      <c r="T1151" s="6">
        <v>31</v>
      </c>
      <c r="U1151" s="6">
        <v>79</v>
      </c>
      <c r="V1151" s="70">
        <f>IF(ISERROR(VLOOKUP($S$1151,'TAR FIN'!$A$1:$O$116,15,0)),0,VLOOKUP($S$1151,'TAR FIN'!$A$1:$O$116,15,0))</f>
        <v>0</v>
      </c>
      <c r="W1151" s="70">
        <f>IF(ISERROR(VLOOKUP($T$1151,'TAR FIN'!$A$1:$O$116,15,0)),0,VLOOKUP($T$1151,'TAR FIN'!$A$1:$O$116,15,0))*(1-0.04)</f>
        <v>85.113599999999991</v>
      </c>
      <c r="X1151" s="70">
        <f>IF(ISERROR(VLOOKUP($U$1151,'TAR FIN'!$A$1:$O$116,15,0)),0,VLOOKUP($U$1151,'TAR FIN'!$A$1:$O$116,15,0))*(1-0.04)</f>
        <v>298.59840000000003</v>
      </c>
      <c r="Y1151" s="70"/>
      <c r="Z1151" s="70">
        <f ca="1">('TUSD BE'!$AM$35+'TUSD BF'!$AM$35+'TUSD CVA'!$AM$35)*1*(1-0.02)</f>
        <v>134.68713722640669</v>
      </c>
      <c r="AA1151" s="70">
        <f>('TE BE'!$AB$10+'TE BF'!$AB$10+'TE CVA'!$AB$10)*1*(1-0.02)</f>
        <v>306.96449101990191</v>
      </c>
      <c r="AB1151" s="6">
        <f>$K$1151*$V$1151</f>
        <v>0</v>
      </c>
      <c r="AC1151" s="6">
        <f>$M$1151*$W$1151</f>
        <v>16241.121811199999</v>
      </c>
      <c r="AD1151" s="6">
        <f>$O$1151*$X$1151</f>
        <v>56977.650892800004</v>
      </c>
      <c r="AE1151" s="6">
        <f>$K$1151*$Y$1151</f>
        <v>0</v>
      </c>
      <c r="AF1151" s="6">
        <f ca="1">$M$1151*$Z$1151</f>
        <v>25700.595464131246</v>
      </c>
      <c r="AG1151" s="6">
        <f>$O$1151*$AA$1151</f>
        <v>58574.043282944629</v>
      </c>
    </row>
    <row r="1152" spans="1:33" ht="11.25" customHeight="1" x14ac:dyDescent="0.25">
      <c r="A1152" s="4" t="s">
        <v>21</v>
      </c>
      <c r="B1152" s="4" t="s">
        <v>41</v>
      </c>
      <c r="C1152" s="4" t="s">
        <v>42</v>
      </c>
      <c r="D1152" s="4" t="s">
        <v>45</v>
      </c>
      <c r="E1152" s="4" t="s">
        <v>25</v>
      </c>
      <c r="F1152" s="4" t="s">
        <v>25</v>
      </c>
      <c r="G1152" s="4" t="s">
        <v>25</v>
      </c>
      <c r="H1152" s="4" t="s">
        <v>35</v>
      </c>
      <c r="I1152" s="5">
        <v>44621</v>
      </c>
      <c r="J1152" s="6">
        <v>0</v>
      </c>
      <c r="K1152" s="70">
        <v>0</v>
      </c>
      <c r="L1152" s="6">
        <v>200.46600000000001</v>
      </c>
      <c r="M1152" s="70">
        <v>200.46600000000001</v>
      </c>
      <c r="N1152" s="6">
        <v>200.46600000000001</v>
      </c>
      <c r="O1152" s="70">
        <v>200.46600000000001</v>
      </c>
      <c r="P1152" s="6">
        <v>0</v>
      </c>
      <c r="Q1152" s="4" t="s">
        <v>26</v>
      </c>
      <c r="R1152" s="4">
        <v>0</v>
      </c>
      <c r="S1152" s="6">
        <v>0</v>
      </c>
      <c r="T1152" s="6">
        <v>31</v>
      </c>
      <c r="U1152" s="6">
        <v>79</v>
      </c>
      <c r="V1152" s="70">
        <f>IF(ISERROR(VLOOKUP($S$1152,'TAR FIN'!$A$1:$O$116,15,0)),0,VLOOKUP($S$1152,'TAR FIN'!$A$1:$O$116,15,0))</f>
        <v>0</v>
      </c>
      <c r="W1152" s="70">
        <f>IF(ISERROR(VLOOKUP($T$1152,'TAR FIN'!$A$1:$O$116,15,0)),0,VLOOKUP($T$1152,'TAR FIN'!$A$1:$O$116,15,0))*(1-0.04)</f>
        <v>85.113599999999991</v>
      </c>
      <c r="X1152" s="70">
        <f>IF(ISERROR(VLOOKUP($U$1152,'TAR FIN'!$A$1:$O$116,15,0)),0,VLOOKUP($U$1152,'TAR FIN'!$A$1:$O$116,15,0))*(1-0.04)</f>
        <v>298.59840000000003</v>
      </c>
      <c r="Y1152" s="70"/>
      <c r="Z1152" s="70">
        <f ca="1">('TUSD BE'!$AM$35+'TUSD BF'!$AM$35+'TUSD CVA'!$AM$35)*1*(1-0.02)</f>
        <v>134.68713722640669</v>
      </c>
      <c r="AA1152" s="70">
        <f>('TE BE'!$AB$10+'TE BF'!$AB$10+'TE CVA'!$AB$10)*1*(1-0.02)</f>
        <v>306.96449101990191</v>
      </c>
      <c r="AB1152" s="6">
        <f>$K$1152*$V$1152</f>
        <v>0</v>
      </c>
      <c r="AC1152" s="6">
        <f>$M$1152*$W$1152</f>
        <v>17062.382937599999</v>
      </c>
      <c r="AD1152" s="6">
        <f>$O$1152*$X$1152</f>
        <v>59858.826854400009</v>
      </c>
      <c r="AE1152" s="6">
        <f>$K$1152*$Y$1152</f>
        <v>0</v>
      </c>
      <c r="AF1152" s="6">
        <f ca="1">$M$1152*$Z$1152</f>
        <v>27000.191651228844</v>
      </c>
      <c r="AG1152" s="6">
        <f>$O$1152*$AA$1152</f>
        <v>61535.943656795658</v>
      </c>
    </row>
    <row r="1153" spans="1:33" ht="11.25" customHeight="1" x14ac:dyDescent="0.25">
      <c r="A1153" s="4" t="s">
        <v>21</v>
      </c>
      <c r="B1153" s="4" t="s">
        <v>41</v>
      </c>
      <c r="C1153" s="4" t="s">
        <v>42</v>
      </c>
      <c r="D1153" s="4" t="s">
        <v>45</v>
      </c>
      <c r="E1153" s="4" t="s">
        <v>25</v>
      </c>
      <c r="F1153" s="4" t="s">
        <v>25</v>
      </c>
      <c r="G1153" s="4" t="s">
        <v>25</v>
      </c>
      <c r="H1153" s="4" t="s">
        <v>35</v>
      </c>
      <c r="I1153" s="5">
        <v>44652</v>
      </c>
      <c r="J1153" s="6">
        <v>0</v>
      </c>
      <c r="K1153" s="70">
        <v>0</v>
      </c>
      <c r="L1153" s="6">
        <v>192.44200000000001</v>
      </c>
      <c r="M1153" s="70">
        <v>192.44200000000001</v>
      </c>
      <c r="N1153" s="6">
        <v>192.44200000000001</v>
      </c>
      <c r="O1153" s="70">
        <v>192.44200000000001</v>
      </c>
      <c r="P1153" s="6">
        <v>0</v>
      </c>
      <c r="Q1153" s="4" t="s">
        <v>26</v>
      </c>
      <c r="R1153" s="4">
        <v>0</v>
      </c>
      <c r="S1153" s="6">
        <v>0</v>
      </c>
      <c r="T1153" s="6">
        <v>31</v>
      </c>
      <c r="U1153" s="6">
        <v>79</v>
      </c>
      <c r="V1153" s="70">
        <f>IF(ISERROR(VLOOKUP($S$1153,'TAR FIN'!$A$1:$O$116,15,0)),0,VLOOKUP($S$1153,'TAR FIN'!$A$1:$O$116,15,0))</f>
        <v>0</v>
      </c>
      <c r="W1153" s="70">
        <f>IF(ISERROR(VLOOKUP($T$1153,'TAR FIN'!$A$1:$O$116,15,0)),0,VLOOKUP($T$1153,'TAR FIN'!$A$1:$O$116,15,0))*(1-0.04)</f>
        <v>85.113599999999991</v>
      </c>
      <c r="X1153" s="70">
        <f>IF(ISERROR(VLOOKUP($U$1153,'TAR FIN'!$A$1:$O$116,15,0)),0,VLOOKUP($U$1153,'TAR FIN'!$A$1:$O$116,15,0))*(1-0.04)</f>
        <v>298.59840000000003</v>
      </c>
      <c r="Y1153" s="70"/>
      <c r="Z1153" s="70">
        <f ca="1">('TUSD BE'!$AM$35+'TUSD BF'!$AM$35+'TUSD CVA'!$AM$35)*1*(1-0.02)</f>
        <v>134.68713722640669</v>
      </c>
      <c r="AA1153" s="70">
        <f>('TE BE'!$AB$10+'TE BF'!$AB$10+'TE CVA'!$AB$10)*1*(1-0.02)</f>
        <v>306.96449101990191</v>
      </c>
      <c r="AB1153" s="6">
        <f>$K$1153*$V$1153</f>
        <v>0</v>
      </c>
      <c r="AC1153" s="6">
        <f>$M$1153*$W$1153</f>
        <v>16379.431411199999</v>
      </c>
      <c r="AD1153" s="6">
        <f>$O$1153*$X$1153</f>
        <v>57462.87329280001</v>
      </c>
      <c r="AE1153" s="6">
        <f>$K$1153*$Y$1153</f>
        <v>0</v>
      </c>
      <c r="AF1153" s="6">
        <f ca="1">$M$1153*$Z$1153</f>
        <v>25919.462062124156</v>
      </c>
      <c r="AG1153" s="6">
        <f>$O$1153*$AA$1153</f>
        <v>59072.860580851964</v>
      </c>
    </row>
    <row r="1154" spans="1:33" ht="11.25" customHeight="1" x14ac:dyDescent="0.25">
      <c r="A1154" s="4" t="s">
        <v>58</v>
      </c>
      <c r="B1154" s="4" t="s">
        <v>41</v>
      </c>
      <c r="C1154" s="4" t="s">
        <v>42</v>
      </c>
      <c r="D1154" s="4" t="s">
        <v>45</v>
      </c>
      <c r="E1154" s="4" t="s">
        <v>25</v>
      </c>
      <c r="F1154" s="4" t="s">
        <v>25</v>
      </c>
      <c r="G1154" s="4" t="s">
        <v>25</v>
      </c>
      <c r="H1154" s="4" t="s">
        <v>35</v>
      </c>
      <c r="I1154" s="5">
        <v>44682</v>
      </c>
      <c r="J1154" s="6">
        <v>0</v>
      </c>
      <c r="K1154" s="70">
        <v>0</v>
      </c>
      <c r="L1154" s="6">
        <v>192.44200000000001</v>
      </c>
      <c r="M1154" s="70">
        <v>192.44200000000001</v>
      </c>
      <c r="N1154" s="6">
        <v>192.44200000000001</v>
      </c>
      <c r="O1154" s="70">
        <v>192.44200000000001</v>
      </c>
      <c r="P1154" s="6">
        <v>0</v>
      </c>
      <c r="Q1154" s="4" t="s">
        <v>26</v>
      </c>
      <c r="R1154" s="4">
        <v>0</v>
      </c>
      <c r="S1154" s="6">
        <v>0</v>
      </c>
      <c r="T1154" s="6">
        <v>31</v>
      </c>
      <c r="U1154" s="6">
        <v>79</v>
      </c>
      <c r="V1154" s="70">
        <f>IF(ISERROR(VLOOKUP($S$1154,'TAR FIN'!$A$1:$O$116,15,0)),0,VLOOKUP($S$1154,'TAR FIN'!$A$1:$O$116,15,0))</f>
        <v>0</v>
      </c>
      <c r="W1154" s="70">
        <f>IF(ISERROR(VLOOKUP($T$1154,'TAR FIN'!$A$1:$O$116,15,0)),0,VLOOKUP($T$1154,'TAR FIN'!$A$1:$O$116,15,0))*(1-0.04)</f>
        <v>85.113599999999991</v>
      </c>
      <c r="X1154" s="70">
        <f>IF(ISERROR(VLOOKUP($U$1154,'TAR FIN'!$A$1:$O$116,15,0)),0,VLOOKUP($U$1154,'TAR FIN'!$A$1:$O$116,15,0))*(1-0.04)</f>
        <v>298.59840000000003</v>
      </c>
      <c r="Y1154" s="70"/>
      <c r="Z1154" s="70">
        <f ca="1">('TUSD BE'!$AM$35+'TUSD BF'!$AM$35+'TUSD CVA'!$AM$35)*1*(1-0.02)</f>
        <v>134.68713722640669</v>
      </c>
      <c r="AA1154" s="70">
        <f>('TE BE'!$AB$10+'TE BF'!$AB$10+'TE CVA'!$AB$10)*1*(1-0.02)</f>
        <v>306.96449101990191</v>
      </c>
      <c r="AB1154" s="6">
        <f>$K$1154*$V$1154</f>
        <v>0</v>
      </c>
      <c r="AC1154" s="6">
        <f>$M$1154*$W$1154</f>
        <v>16379.431411199999</v>
      </c>
      <c r="AD1154" s="6">
        <f>$O$1154*$X$1154</f>
        <v>57462.87329280001</v>
      </c>
      <c r="AE1154" s="6">
        <f>$K$1154*$Y$1154</f>
        <v>0</v>
      </c>
      <c r="AF1154" s="6">
        <f ca="1">$M$1154*$Z$1154</f>
        <v>25919.462062124156</v>
      </c>
      <c r="AG1154" s="6">
        <f>$O$1154*$AA$1154</f>
        <v>59072.860580851964</v>
      </c>
    </row>
    <row r="1155" spans="1:33" ht="11.25" customHeight="1" x14ac:dyDescent="0.25">
      <c r="A1155" s="4" t="s">
        <v>21</v>
      </c>
      <c r="B1155" s="4" t="s">
        <v>41</v>
      </c>
      <c r="C1155" s="4" t="s">
        <v>42</v>
      </c>
      <c r="D1155" s="4" t="s">
        <v>45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5">
        <v>44348</v>
      </c>
      <c r="J1155" s="6">
        <v>1062</v>
      </c>
      <c r="K1155" s="70">
        <v>1062</v>
      </c>
      <c r="L1155" s="6">
        <v>0</v>
      </c>
      <c r="M1155" s="70">
        <v>0</v>
      </c>
      <c r="N1155" s="6">
        <v>0</v>
      </c>
      <c r="O1155" s="70">
        <v>0</v>
      </c>
      <c r="P1155" s="6">
        <v>11</v>
      </c>
      <c r="Q1155" s="4" t="s">
        <v>26</v>
      </c>
      <c r="R1155" s="4">
        <v>0</v>
      </c>
      <c r="S1155" s="6">
        <v>29</v>
      </c>
      <c r="T1155" s="6">
        <v>0</v>
      </c>
      <c r="U1155" s="6">
        <v>0</v>
      </c>
      <c r="V1155" s="70">
        <f>IF(ISERROR(VLOOKUP($S$1155,'TAR FIN'!$A$1:$O$116,15,0)),0,VLOOKUP($S$1155,'TAR FIN'!$A$1:$O$116,15,0))*(1-0.04)</f>
        <v>24.489599999999999</v>
      </c>
      <c r="W1155" s="70">
        <f>IF(ISERROR(VLOOKUP($T$1155,'TAR FIN'!$A$1:$O$116,15,0)),0,VLOOKUP($T$1155,'TAR FIN'!$A$1:$O$116,15,0))</f>
        <v>0</v>
      </c>
      <c r="X1155" s="70">
        <f>IF(ISERROR(VLOOKUP($U$1155,'TAR FIN'!$A$1:$O$116,15,0)),0,VLOOKUP($U$1155,'TAR FIN'!$A$1:$O$116,15,0))</f>
        <v>0</v>
      </c>
      <c r="Y1155" s="70">
        <f ca="1">('TUSD BE'!$AM$33+'TUSD BF'!$AM$33+'TUSD CVA'!$AM$33)*1*(1-0.02)</f>
        <v>29.207201461919809</v>
      </c>
      <c r="Z1155" s="70"/>
      <c r="AA1155" s="70"/>
      <c r="AB1155" s="6">
        <f>$K$1155*$V$1155</f>
        <v>26007.9552</v>
      </c>
      <c r="AC1155" s="6">
        <f>$M$1155*$W$1155</f>
        <v>0</v>
      </c>
      <c r="AD1155" s="6">
        <f>$O$1155*$X$1155</f>
        <v>0</v>
      </c>
      <c r="AE1155" s="6">
        <f ca="1">$K$1155*$Y$1155</f>
        <v>31018.047952558838</v>
      </c>
      <c r="AF1155" s="6">
        <f>$M$1155*$Z$1155</f>
        <v>0</v>
      </c>
      <c r="AG1155" s="6">
        <f>$O$1155*$AA$1155</f>
        <v>0</v>
      </c>
    </row>
    <row r="1156" spans="1:33" ht="11.25" customHeight="1" x14ac:dyDescent="0.25">
      <c r="A1156" s="4" t="s">
        <v>27</v>
      </c>
      <c r="B1156" s="4" t="s">
        <v>41</v>
      </c>
      <c r="C1156" s="4" t="s">
        <v>42</v>
      </c>
      <c r="D1156" s="4" t="s">
        <v>45</v>
      </c>
      <c r="E1156" s="4" t="s">
        <v>25</v>
      </c>
      <c r="F1156" s="4" t="s">
        <v>25</v>
      </c>
      <c r="G1156" s="4" t="s">
        <v>25</v>
      </c>
      <c r="H1156" s="4" t="s">
        <v>25</v>
      </c>
      <c r="I1156" s="5">
        <v>44348</v>
      </c>
      <c r="J1156" s="6">
        <v>349</v>
      </c>
      <c r="K1156" s="70">
        <v>349</v>
      </c>
      <c r="L1156" s="6">
        <v>0</v>
      </c>
      <c r="M1156" s="70">
        <v>0</v>
      </c>
      <c r="N1156" s="6">
        <v>0</v>
      </c>
      <c r="O1156" s="70">
        <v>0</v>
      </c>
      <c r="P1156" s="6">
        <v>0</v>
      </c>
      <c r="Q1156" s="4" t="s">
        <v>26</v>
      </c>
      <c r="R1156" s="4">
        <v>0</v>
      </c>
      <c r="S1156" s="6">
        <v>29</v>
      </c>
      <c r="T1156" s="6">
        <v>0</v>
      </c>
      <c r="U1156" s="6">
        <v>0</v>
      </c>
      <c r="V1156" s="70">
        <f>IF(ISERROR(VLOOKUP($S$1156,'TAR FIN'!$A$1:$O$116,15,0)),0,VLOOKUP($S$1156,'TAR FIN'!$A$1:$O$116,15,0))*(1-0.04)</f>
        <v>24.489599999999999</v>
      </c>
      <c r="W1156" s="70">
        <f>IF(ISERROR(VLOOKUP($T$1156,'TAR FIN'!$A$1:$O$116,15,0)),0,VLOOKUP($T$1156,'TAR FIN'!$A$1:$O$116,15,0))</f>
        <v>0</v>
      </c>
      <c r="X1156" s="70">
        <f>IF(ISERROR(VLOOKUP($U$1156,'TAR FIN'!$A$1:$O$116,15,0)),0,VLOOKUP($U$1156,'TAR FIN'!$A$1:$O$116,15,0))</f>
        <v>0</v>
      </c>
      <c r="Y1156" s="70">
        <f ca="1">('TUSD BE'!$AM$33+'TUSD BF'!$AM$33+'TUSD CVA'!$AM$33)*1*(1-0.02)</f>
        <v>29.207201461919809</v>
      </c>
      <c r="Z1156" s="70"/>
      <c r="AA1156" s="70"/>
      <c r="AB1156" s="6">
        <f>$K$1156*$V$1156</f>
        <v>8546.8703999999998</v>
      </c>
      <c r="AC1156" s="6">
        <f>$M$1156*$W$1156</f>
        <v>0</v>
      </c>
      <c r="AD1156" s="6">
        <f>$O$1156*$X$1156</f>
        <v>0</v>
      </c>
      <c r="AE1156" s="6">
        <f ca="1">$K$1156*$Y$1156</f>
        <v>10193.313310210013</v>
      </c>
      <c r="AF1156" s="6">
        <f>$M$1156*$Z$1156</f>
        <v>0</v>
      </c>
      <c r="AG1156" s="6">
        <f>$O$1156*$AA$1156</f>
        <v>0</v>
      </c>
    </row>
    <row r="1157" spans="1:33" ht="11.25" customHeight="1" x14ac:dyDescent="0.25">
      <c r="A1157" s="4" t="s">
        <v>21</v>
      </c>
      <c r="B1157" s="4" t="s">
        <v>41</v>
      </c>
      <c r="C1157" s="4" t="s">
        <v>42</v>
      </c>
      <c r="D1157" s="4" t="s">
        <v>45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5">
        <v>44378</v>
      </c>
      <c r="J1157" s="6">
        <v>1072</v>
      </c>
      <c r="K1157" s="70">
        <v>1072</v>
      </c>
      <c r="L1157" s="6">
        <v>0</v>
      </c>
      <c r="M1157" s="70">
        <v>0</v>
      </c>
      <c r="N1157" s="6">
        <v>0</v>
      </c>
      <c r="O1157" s="70">
        <v>0</v>
      </c>
      <c r="P1157" s="6">
        <v>11</v>
      </c>
      <c r="Q1157" s="4" t="s">
        <v>26</v>
      </c>
      <c r="R1157" s="4">
        <v>0</v>
      </c>
      <c r="S1157" s="6">
        <v>29</v>
      </c>
      <c r="T1157" s="6">
        <v>0</v>
      </c>
      <c r="U1157" s="6">
        <v>0</v>
      </c>
      <c r="V1157" s="70">
        <f>IF(ISERROR(VLOOKUP($S$1157,'TAR FIN'!$A$1:$O$116,15,0)),0,VLOOKUP($S$1157,'TAR FIN'!$A$1:$O$116,15,0))*(1-0.04)</f>
        <v>24.489599999999999</v>
      </c>
      <c r="W1157" s="70">
        <f>IF(ISERROR(VLOOKUP($T$1157,'TAR FIN'!$A$1:$O$116,15,0)),0,VLOOKUP($T$1157,'TAR FIN'!$A$1:$O$116,15,0))</f>
        <v>0</v>
      </c>
      <c r="X1157" s="70">
        <f>IF(ISERROR(VLOOKUP($U$1157,'TAR FIN'!$A$1:$O$116,15,0)),0,VLOOKUP($U$1157,'TAR FIN'!$A$1:$O$116,15,0))</f>
        <v>0</v>
      </c>
      <c r="Y1157" s="70">
        <f ca="1">('TUSD BE'!$AM$33+'TUSD BF'!$AM$33+'TUSD CVA'!$AM$33)*1*(1-0.02)</f>
        <v>29.207201461919809</v>
      </c>
      <c r="Z1157" s="70"/>
      <c r="AA1157" s="70"/>
      <c r="AB1157" s="6">
        <f>$K$1157*$V$1157</f>
        <v>26252.851200000001</v>
      </c>
      <c r="AC1157" s="6">
        <f>$M$1157*$W$1157</f>
        <v>0</v>
      </c>
      <c r="AD1157" s="6">
        <f>$O$1157*$X$1157</f>
        <v>0</v>
      </c>
      <c r="AE1157" s="6">
        <f ca="1">$K$1157*$Y$1157</f>
        <v>31310.119967178034</v>
      </c>
      <c r="AF1157" s="6">
        <f>$M$1157*$Z$1157</f>
        <v>0</v>
      </c>
      <c r="AG1157" s="6">
        <f>$O$1157*$AA$1157</f>
        <v>0</v>
      </c>
    </row>
    <row r="1158" spans="1:33" ht="11.25" customHeight="1" x14ac:dyDescent="0.25">
      <c r="A1158" s="4" t="s">
        <v>21</v>
      </c>
      <c r="B1158" s="4" t="s">
        <v>41</v>
      </c>
      <c r="C1158" s="4" t="s">
        <v>42</v>
      </c>
      <c r="D1158" s="4" t="s">
        <v>45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44409</v>
      </c>
      <c r="J1158" s="6">
        <v>959</v>
      </c>
      <c r="K1158" s="70">
        <v>959</v>
      </c>
      <c r="L1158" s="6">
        <v>0</v>
      </c>
      <c r="M1158" s="70">
        <v>0</v>
      </c>
      <c r="N1158" s="6">
        <v>0</v>
      </c>
      <c r="O1158" s="70">
        <v>0</v>
      </c>
      <c r="P1158" s="6">
        <v>11</v>
      </c>
      <c r="Q1158" s="4" t="s">
        <v>26</v>
      </c>
      <c r="R1158" s="4">
        <v>0</v>
      </c>
      <c r="S1158" s="6">
        <v>29</v>
      </c>
      <c r="T1158" s="6">
        <v>0</v>
      </c>
      <c r="U1158" s="6">
        <v>0</v>
      </c>
      <c r="V1158" s="70">
        <f>IF(ISERROR(VLOOKUP($S$1158,'TAR FIN'!$A$1:$O$116,15,0)),0,VLOOKUP($S$1158,'TAR FIN'!$A$1:$O$116,15,0))*(1-0.04)</f>
        <v>24.489599999999999</v>
      </c>
      <c r="W1158" s="70">
        <f>IF(ISERROR(VLOOKUP($T$1158,'TAR FIN'!$A$1:$O$116,15,0)),0,VLOOKUP($T$1158,'TAR FIN'!$A$1:$O$116,15,0))</f>
        <v>0</v>
      </c>
      <c r="X1158" s="70">
        <f>IF(ISERROR(VLOOKUP($U$1158,'TAR FIN'!$A$1:$O$116,15,0)),0,VLOOKUP($U$1158,'TAR FIN'!$A$1:$O$116,15,0))</f>
        <v>0</v>
      </c>
      <c r="Y1158" s="70">
        <f ca="1">('TUSD BE'!$AM$33+'TUSD BF'!$AM$33+'TUSD CVA'!$AM$33)*1*(1-0.02)</f>
        <v>29.207201461919809</v>
      </c>
      <c r="Z1158" s="70"/>
      <c r="AA1158" s="70"/>
      <c r="AB1158" s="6">
        <f>$K$1158*$V$1158</f>
        <v>23485.526399999999</v>
      </c>
      <c r="AC1158" s="6">
        <f>$M$1158*$W$1158</f>
        <v>0</v>
      </c>
      <c r="AD1158" s="6">
        <f>$O$1158*$X$1158</f>
        <v>0</v>
      </c>
      <c r="AE1158" s="6">
        <f ca="1">$K$1158*$Y$1158</f>
        <v>28009.706201981095</v>
      </c>
      <c r="AF1158" s="6">
        <f>$M$1158*$Z$1158</f>
        <v>0</v>
      </c>
      <c r="AG1158" s="6">
        <f>$O$1158*$AA$1158</f>
        <v>0</v>
      </c>
    </row>
    <row r="1159" spans="1:33" ht="11.25" customHeight="1" x14ac:dyDescent="0.25">
      <c r="A1159" s="4" t="s">
        <v>21</v>
      </c>
      <c r="B1159" s="4" t="s">
        <v>41</v>
      </c>
      <c r="C1159" s="4" t="s">
        <v>42</v>
      </c>
      <c r="D1159" s="4" t="s">
        <v>45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44440</v>
      </c>
      <c r="J1159" s="6">
        <v>925</v>
      </c>
      <c r="K1159" s="70">
        <v>925</v>
      </c>
      <c r="L1159" s="6">
        <v>0</v>
      </c>
      <c r="M1159" s="70">
        <v>0</v>
      </c>
      <c r="N1159" s="6">
        <v>0</v>
      </c>
      <c r="O1159" s="70">
        <v>0</v>
      </c>
      <c r="P1159" s="6">
        <v>11</v>
      </c>
      <c r="Q1159" s="4" t="s">
        <v>26</v>
      </c>
      <c r="R1159" s="4">
        <v>0</v>
      </c>
      <c r="S1159" s="6">
        <v>29</v>
      </c>
      <c r="T1159" s="6">
        <v>0</v>
      </c>
      <c r="U1159" s="6">
        <v>0</v>
      </c>
      <c r="V1159" s="70">
        <f>IF(ISERROR(VLOOKUP($S$1159,'TAR FIN'!$A$1:$O$116,15,0)),0,VLOOKUP($S$1159,'TAR FIN'!$A$1:$O$116,15,0))*(1-0.04)</f>
        <v>24.489599999999999</v>
      </c>
      <c r="W1159" s="70">
        <f>IF(ISERROR(VLOOKUP($T$1159,'TAR FIN'!$A$1:$O$116,15,0)),0,VLOOKUP($T$1159,'TAR FIN'!$A$1:$O$116,15,0))</f>
        <v>0</v>
      </c>
      <c r="X1159" s="70">
        <f>IF(ISERROR(VLOOKUP($U$1159,'TAR FIN'!$A$1:$O$116,15,0)),0,VLOOKUP($U$1159,'TAR FIN'!$A$1:$O$116,15,0))</f>
        <v>0</v>
      </c>
      <c r="Y1159" s="70">
        <f ca="1">('TUSD BE'!$AM$33+'TUSD BF'!$AM$33+'TUSD CVA'!$AM$33)*1*(1-0.02)</f>
        <v>29.207201461919809</v>
      </c>
      <c r="Z1159" s="70"/>
      <c r="AA1159" s="70"/>
      <c r="AB1159" s="6">
        <f>$K$1159*$V$1159</f>
        <v>22652.880000000001</v>
      </c>
      <c r="AC1159" s="6">
        <f>$M$1159*$W$1159</f>
        <v>0</v>
      </c>
      <c r="AD1159" s="6">
        <f>$O$1159*$X$1159</f>
        <v>0</v>
      </c>
      <c r="AE1159" s="6">
        <f ca="1">$K$1159*$Y$1159</f>
        <v>27016.661352275823</v>
      </c>
      <c r="AF1159" s="6">
        <f>$M$1159*$Z$1159</f>
        <v>0</v>
      </c>
      <c r="AG1159" s="6">
        <f>$O$1159*$AA$1159</f>
        <v>0</v>
      </c>
    </row>
    <row r="1160" spans="1:33" ht="11.25" customHeight="1" x14ac:dyDescent="0.25">
      <c r="A1160" s="4" t="s">
        <v>21</v>
      </c>
      <c r="B1160" s="4" t="s">
        <v>41</v>
      </c>
      <c r="C1160" s="4" t="s">
        <v>42</v>
      </c>
      <c r="D1160" s="4" t="s">
        <v>45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44470</v>
      </c>
      <c r="J1160" s="6">
        <v>907</v>
      </c>
      <c r="K1160" s="70">
        <v>907</v>
      </c>
      <c r="L1160" s="6">
        <v>0</v>
      </c>
      <c r="M1160" s="70">
        <v>0</v>
      </c>
      <c r="N1160" s="6">
        <v>0</v>
      </c>
      <c r="O1160" s="70">
        <v>0</v>
      </c>
      <c r="P1160" s="6">
        <v>11</v>
      </c>
      <c r="Q1160" s="4" t="s">
        <v>26</v>
      </c>
      <c r="R1160" s="4">
        <v>0</v>
      </c>
      <c r="S1160" s="6">
        <v>29</v>
      </c>
      <c r="T1160" s="6">
        <v>0</v>
      </c>
      <c r="U1160" s="6">
        <v>0</v>
      </c>
      <c r="V1160" s="70">
        <f>IF(ISERROR(VLOOKUP($S$1160,'TAR FIN'!$A$1:$O$116,15,0)),0,VLOOKUP($S$1160,'TAR FIN'!$A$1:$O$116,15,0))*(1-0.04)</f>
        <v>24.489599999999999</v>
      </c>
      <c r="W1160" s="70">
        <f>IF(ISERROR(VLOOKUP($T$1160,'TAR FIN'!$A$1:$O$116,15,0)),0,VLOOKUP($T$1160,'TAR FIN'!$A$1:$O$116,15,0))</f>
        <v>0</v>
      </c>
      <c r="X1160" s="70">
        <f>IF(ISERROR(VLOOKUP($U$1160,'TAR FIN'!$A$1:$O$116,15,0)),0,VLOOKUP($U$1160,'TAR FIN'!$A$1:$O$116,15,0))</f>
        <v>0</v>
      </c>
      <c r="Y1160" s="70">
        <f ca="1">('TUSD BE'!$AM$33+'TUSD BF'!$AM$33+'TUSD CVA'!$AM$33)*1*(1-0.02)</f>
        <v>29.207201461919809</v>
      </c>
      <c r="Z1160" s="70"/>
      <c r="AA1160" s="70"/>
      <c r="AB1160" s="6">
        <f>$K$1160*$V$1160</f>
        <v>22212.067199999998</v>
      </c>
      <c r="AC1160" s="6">
        <f>$M$1160*$W$1160</f>
        <v>0</v>
      </c>
      <c r="AD1160" s="6">
        <f>$O$1160*$X$1160</f>
        <v>0</v>
      </c>
      <c r="AE1160" s="6">
        <f ca="1">$K$1160*$Y$1160</f>
        <v>26490.931725961265</v>
      </c>
      <c r="AF1160" s="6">
        <f>$M$1160*$Z$1160</f>
        <v>0</v>
      </c>
      <c r="AG1160" s="6">
        <f>$O$1160*$AA$1160</f>
        <v>0</v>
      </c>
    </row>
    <row r="1161" spans="1:33" ht="11.25" customHeight="1" x14ac:dyDescent="0.25">
      <c r="A1161" s="4" t="s">
        <v>21</v>
      </c>
      <c r="B1161" s="4" t="s">
        <v>41</v>
      </c>
      <c r="C1161" s="4" t="s">
        <v>42</v>
      </c>
      <c r="D1161" s="4" t="s">
        <v>45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44501</v>
      </c>
      <c r="J1161" s="6">
        <v>881</v>
      </c>
      <c r="K1161" s="70">
        <v>881</v>
      </c>
      <c r="L1161" s="6">
        <v>0</v>
      </c>
      <c r="M1161" s="70">
        <v>0</v>
      </c>
      <c r="N1161" s="6">
        <v>0</v>
      </c>
      <c r="O1161" s="70">
        <v>0</v>
      </c>
      <c r="P1161" s="6">
        <v>11</v>
      </c>
      <c r="Q1161" s="4" t="s">
        <v>26</v>
      </c>
      <c r="R1161" s="4">
        <v>0</v>
      </c>
      <c r="S1161" s="6">
        <v>29</v>
      </c>
      <c r="T1161" s="6">
        <v>0</v>
      </c>
      <c r="U1161" s="6">
        <v>0</v>
      </c>
      <c r="V1161" s="70">
        <f>IF(ISERROR(VLOOKUP($S$1161,'TAR FIN'!$A$1:$O$116,15,0)),0,VLOOKUP($S$1161,'TAR FIN'!$A$1:$O$116,15,0))*(1-0.04)</f>
        <v>24.489599999999999</v>
      </c>
      <c r="W1161" s="70">
        <f>IF(ISERROR(VLOOKUP($T$1161,'TAR FIN'!$A$1:$O$116,15,0)),0,VLOOKUP($T$1161,'TAR FIN'!$A$1:$O$116,15,0))</f>
        <v>0</v>
      </c>
      <c r="X1161" s="70">
        <f>IF(ISERROR(VLOOKUP($U$1161,'TAR FIN'!$A$1:$O$116,15,0)),0,VLOOKUP($U$1161,'TAR FIN'!$A$1:$O$116,15,0))</f>
        <v>0</v>
      </c>
      <c r="Y1161" s="70">
        <f ca="1">('TUSD BE'!$AM$33+'TUSD BF'!$AM$33+'TUSD CVA'!$AM$33)*1*(1-0.02)</f>
        <v>29.207201461919809</v>
      </c>
      <c r="Z1161" s="70"/>
      <c r="AA1161" s="70"/>
      <c r="AB1161" s="6">
        <f>$K$1161*$V$1161</f>
        <v>21575.337599999999</v>
      </c>
      <c r="AC1161" s="6">
        <f>$M$1161*$W$1161</f>
        <v>0</v>
      </c>
      <c r="AD1161" s="6">
        <f>$O$1161*$X$1161</f>
        <v>0</v>
      </c>
      <c r="AE1161" s="6">
        <f ca="1">$K$1161*$Y$1161</f>
        <v>25731.544487951352</v>
      </c>
      <c r="AF1161" s="6">
        <f>$M$1161*$Z$1161</f>
        <v>0</v>
      </c>
      <c r="AG1161" s="6">
        <f>$O$1161*$AA$1161</f>
        <v>0</v>
      </c>
    </row>
    <row r="1162" spans="1:33" ht="11.25" customHeight="1" x14ac:dyDescent="0.25">
      <c r="A1162" s="4" t="s">
        <v>21</v>
      </c>
      <c r="B1162" s="4" t="s">
        <v>41</v>
      </c>
      <c r="C1162" s="4" t="s">
        <v>42</v>
      </c>
      <c r="D1162" s="4" t="s">
        <v>45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44531</v>
      </c>
      <c r="J1162" s="6">
        <v>900</v>
      </c>
      <c r="K1162" s="70">
        <v>900</v>
      </c>
      <c r="L1162" s="6">
        <v>0</v>
      </c>
      <c r="M1162" s="70">
        <v>0</v>
      </c>
      <c r="N1162" s="6">
        <v>0</v>
      </c>
      <c r="O1162" s="70">
        <v>0</v>
      </c>
      <c r="P1162" s="6">
        <v>11</v>
      </c>
      <c r="Q1162" s="4" t="s">
        <v>26</v>
      </c>
      <c r="R1162" s="4">
        <v>0</v>
      </c>
      <c r="S1162" s="6">
        <v>29</v>
      </c>
      <c r="T1162" s="6">
        <v>0</v>
      </c>
      <c r="U1162" s="6">
        <v>0</v>
      </c>
      <c r="V1162" s="70">
        <f>IF(ISERROR(VLOOKUP($S$1162,'TAR FIN'!$A$1:$O$116,15,0)),0,VLOOKUP($S$1162,'TAR FIN'!$A$1:$O$116,15,0))*(1-0.04)</f>
        <v>24.489599999999999</v>
      </c>
      <c r="W1162" s="70">
        <f>IF(ISERROR(VLOOKUP($T$1162,'TAR FIN'!$A$1:$O$116,15,0)),0,VLOOKUP($T$1162,'TAR FIN'!$A$1:$O$116,15,0))</f>
        <v>0</v>
      </c>
      <c r="X1162" s="70">
        <f>IF(ISERROR(VLOOKUP($U$1162,'TAR FIN'!$A$1:$O$116,15,0)),0,VLOOKUP($U$1162,'TAR FIN'!$A$1:$O$116,15,0))</f>
        <v>0</v>
      </c>
      <c r="Y1162" s="70">
        <f ca="1">('TUSD BE'!$AM$33+'TUSD BF'!$AM$33+'TUSD CVA'!$AM$33)*1*(1-0.02)</f>
        <v>29.207201461919809</v>
      </c>
      <c r="Z1162" s="70"/>
      <c r="AA1162" s="70"/>
      <c r="AB1162" s="6">
        <f>$K$1162*$V$1162</f>
        <v>22040.639999999999</v>
      </c>
      <c r="AC1162" s="6">
        <f>$M$1162*$W$1162</f>
        <v>0</v>
      </c>
      <c r="AD1162" s="6">
        <f>$O$1162*$X$1162</f>
        <v>0</v>
      </c>
      <c r="AE1162" s="6">
        <f ca="1">$K$1162*$Y$1162</f>
        <v>26286.481315727829</v>
      </c>
      <c r="AF1162" s="6">
        <f>$M$1162*$Z$1162</f>
        <v>0</v>
      </c>
      <c r="AG1162" s="6">
        <f>$O$1162*$AA$1162</f>
        <v>0</v>
      </c>
    </row>
    <row r="1163" spans="1:33" ht="11.25" customHeight="1" x14ac:dyDescent="0.25">
      <c r="A1163" s="4" t="s">
        <v>21</v>
      </c>
      <c r="B1163" s="4" t="s">
        <v>41</v>
      </c>
      <c r="C1163" s="4" t="s">
        <v>42</v>
      </c>
      <c r="D1163" s="4" t="s">
        <v>45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44562</v>
      </c>
      <c r="J1163" s="6">
        <v>774</v>
      </c>
      <c r="K1163" s="70">
        <v>774</v>
      </c>
      <c r="L1163" s="6">
        <v>0</v>
      </c>
      <c r="M1163" s="70">
        <v>0</v>
      </c>
      <c r="N1163" s="6">
        <v>0</v>
      </c>
      <c r="O1163" s="70">
        <v>0</v>
      </c>
      <c r="P1163" s="6">
        <v>10</v>
      </c>
      <c r="Q1163" s="4" t="s">
        <v>26</v>
      </c>
      <c r="R1163" s="4">
        <v>0</v>
      </c>
      <c r="S1163" s="6">
        <v>29</v>
      </c>
      <c r="T1163" s="6">
        <v>0</v>
      </c>
      <c r="U1163" s="6">
        <v>0</v>
      </c>
      <c r="V1163" s="70">
        <f>IF(ISERROR(VLOOKUP($S$1163,'TAR FIN'!$A$1:$O$116,15,0)),0,VLOOKUP($S$1163,'TAR FIN'!$A$1:$O$116,15,0))*(1-0.04)</f>
        <v>24.489599999999999</v>
      </c>
      <c r="W1163" s="70">
        <f>IF(ISERROR(VLOOKUP($T$1163,'TAR FIN'!$A$1:$O$116,15,0)),0,VLOOKUP($T$1163,'TAR FIN'!$A$1:$O$116,15,0))</f>
        <v>0</v>
      </c>
      <c r="X1163" s="70">
        <f>IF(ISERROR(VLOOKUP($U$1163,'TAR FIN'!$A$1:$O$116,15,0)),0,VLOOKUP($U$1163,'TAR FIN'!$A$1:$O$116,15,0))</f>
        <v>0</v>
      </c>
      <c r="Y1163" s="70">
        <f ca="1">('TUSD BE'!$AM$33+'TUSD BF'!$AM$33+'TUSD CVA'!$AM$33)*1*(1-0.02)</f>
        <v>29.207201461919809</v>
      </c>
      <c r="Z1163" s="70"/>
      <c r="AA1163" s="70"/>
      <c r="AB1163" s="6">
        <f>$K$1163*$V$1163</f>
        <v>18954.950399999998</v>
      </c>
      <c r="AC1163" s="6">
        <f>$M$1163*$W$1163</f>
        <v>0</v>
      </c>
      <c r="AD1163" s="6">
        <f>$O$1163*$X$1163</f>
        <v>0</v>
      </c>
      <c r="AE1163" s="6">
        <f ca="1">$K$1163*$Y$1163</f>
        <v>22606.373931525934</v>
      </c>
      <c r="AF1163" s="6">
        <f>$M$1163*$Z$1163</f>
        <v>0</v>
      </c>
      <c r="AG1163" s="6">
        <f>$O$1163*$AA$1163</f>
        <v>0</v>
      </c>
    </row>
    <row r="1164" spans="1:33" ht="11.25" customHeight="1" x14ac:dyDescent="0.25">
      <c r="A1164" s="4" t="s">
        <v>21</v>
      </c>
      <c r="B1164" s="4" t="s">
        <v>41</v>
      </c>
      <c r="C1164" s="4" t="s">
        <v>42</v>
      </c>
      <c r="D1164" s="4" t="s">
        <v>45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44593</v>
      </c>
      <c r="J1164" s="6">
        <v>836</v>
      </c>
      <c r="K1164" s="70">
        <v>836</v>
      </c>
      <c r="L1164" s="6">
        <v>0</v>
      </c>
      <c r="M1164" s="70">
        <v>0</v>
      </c>
      <c r="N1164" s="6">
        <v>0</v>
      </c>
      <c r="O1164" s="70">
        <v>0</v>
      </c>
      <c r="P1164" s="6">
        <v>10</v>
      </c>
      <c r="Q1164" s="4" t="s">
        <v>26</v>
      </c>
      <c r="R1164" s="4">
        <v>0</v>
      </c>
      <c r="S1164" s="6">
        <v>29</v>
      </c>
      <c r="T1164" s="6">
        <v>0</v>
      </c>
      <c r="U1164" s="6">
        <v>0</v>
      </c>
      <c r="V1164" s="70">
        <f>IF(ISERROR(VLOOKUP($S$1164,'TAR FIN'!$A$1:$O$116,15,0)),0,VLOOKUP($S$1164,'TAR FIN'!$A$1:$O$116,15,0))*(1-0.04)</f>
        <v>24.489599999999999</v>
      </c>
      <c r="W1164" s="70">
        <f>IF(ISERROR(VLOOKUP($T$1164,'TAR FIN'!$A$1:$O$116,15,0)),0,VLOOKUP($T$1164,'TAR FIN'!$A$1:$O$116,15,0))</f>
        <v>0</v>
      </c>
      <c r="X1164" s="70">
        <f>IF(ISERROR(VLOOKUP($U$1164,'TAR FIN'!$A$1:$O$116,15,0)),0,VLOOKUP($U$1164,'TAR FIN'!$A$1:$O$116,15,0))</f>
        <v>0</v>
      </c>
      <c r="Y1164" s="70">
        <f ca="1">('TUSD BE'!$AM$33+'TUSD BF'!$AM$33+'TUSD CVA'!$AM$33)*1*(1-0.02)</f>
        <v>29.207201461919809</v>
      </c>
      <c r="Z1164" s="70"/>
      <c r="AA1164" s="70"/>
      <c r="AB1164" s="6">
        <f>$K$1164*$V$1164</f>
        <v>20473.3056</v>
      </c>
      <c r="AC1164" s="6">
        <f>$M$1164*$W$1164</f>
        <v>0</v>
      </c>
      <c r="AD1164" s="6">
        <f>$O$1164*$X$1164</f>
        <v>0</v>
      </c>
      <c r="AE1164" s="6">
        <f ca="1">$K$1164*$Y$1164</f>
        <v>24417.220422164959</v>
      </c>
      <c r="AF1164" s="6">
        <f>$M$1164*$Z$1164</f>
        <v>0</v>
      </c>
      <c r="AG1164" s="6">
        <f>$O$1164*$AA$1164</f>
        <v>0</v>
      </c>
    </row>
    <row r="1165" spans="1:33" ht="11.25" customHeight="1" x14ac:dyDescent="0.25">
      <c r="A1165" s="4" t="s">
        <v>21</v>
      </c>
      <c r="B1165" s="4" t="s">
        <v>41</v>
      </c>
      <c r="C1165" s="4" t="s">
        <v>42</v>
      </c>
      <c r="D1165" s="4" t="s">
        <v>45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44621</v>
      </c>
      <c r="J1165" s="6">
        <v>789</v>
      </c>
      <c r="K1165" s="70">
        <v>789</v>
      </c>
      <c r="L1165" s="6">
        <v>0</v>
      </c>
      <c r="M1165" s="70">
        <v>0</v>
      </c>
      <c r="N1165" s="6">
        <v>0</v>
      </c>
      <c r="O1165" s="70">
        <v>0</v>
      </c>
      <c r="P1165" s="6">
        <v>10</v>
      </c>
      <c r="Q1165" s="4" t="s">
        <v>26</v>
      </c>
      <c r="R1165" s="4">
        <v>0</v>
      </c>
      <c r="S1165" s="6">
        <v>29</v>
      </c>
      <c r="T1165" s="6">
        <v>0</v>
      </c>
      <c r="U1165" s="6">
        <v>0</v>
      </c>
      <c r="V1165" s="70">
        <f>IF(ISERROR(VLOOKUP($S$1165,'TAR FIN'!$A$1:$O$116,15,0)),0,VLOOKUP($S$1165,'TAR FIN'!$A$1:$O$116,15,0))*(1-0.04)</f>
        <v>24.489599999999999</v>
      </c>
      <c r="W1165" s="70">
        <f>IF(ISERROR(VLOOKUP($T$1165,'TAR FIN'!$A$1:$O$116,15,0)),0,VLOOKUP($T$1165,'TAR FIN'!$A$1:$O$116,15,0))</f>
        <v>0</v>
      </c>
      <c r="X1165" s="70">
        <f>IF(ISERROR(VLOOKUP($U$1165,'TAR FIN'!$A$1:$O$116,15,0)),0,VLOOKUP($U$1165,'TAR FIN'!$A$1:$O$116,15,0))</f>
        <v>0</v>
      </c>
      <c r="Y1165" s="70">
        <f ca="1">('TUSD BE'!$AM$33+'TUSD BF'!$AM$33+'TUSD CVA'!$AM$33)*1*(1-0.02)</f>
        <v>29.207201461919809</v>
      </c>
      <c r="Z1165" s="70"/>
      <c r="AA1165" s="70"/>
      <c r="AB1165" s="6">
        <f>$K$1165*$V$1165</f>
        <v>19322.294399999999</v>
      </c>
      <c r="AC1165" s="6">
        <f>$M$1165*$W$1165</f>
        <v>0</v>
      </c>
      <c r="AD1165" s="6">
        <f>$O$1165*$X$1165</f>
        <v>0</v>
      </c>
      <c r="AE1165" s="6">
        <f ca="1">$K$1165*$Y$1165</f>
        <v>23044.481953454728</v>
      </c>
      <c r="AF1165" s="6">
        <f>$M$1165*$Z$1165</f>
        <v>0</v>
      </c>
      <c r="AG1165" s="6">
        <f>$O$1165*$AA$1165</f>
        <v>0</v>
      </c>
    </row>
    <row r="1166" spans="1:33" ht="11.25" customHeight="1" x14ac:dyDescent="0.25">
      <c r="A1166" s="4" t="s">
        <v>21</v>
      </c>
      <c r="B1166" s="4" t="s">
        <v>41</v>
      </c>
      <c r="C1166" s="4" t="s">
        <v>42</v>
      </c>
      <c r="D1166" s="4" t="s">
        <v>45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44652</v>
      </c>
      <c r="J1166" s="6">
        <v>790</v>
      </c>
      <c r="K1166" s="70">
        <v>790</v>
      </c>
      <c r="L1166" s="6">
        <v>0</v>
      </c>
      <c r="M1166" s="70">
        <v>0</v>
      </c>
      <c r="N1166" s="6">
        <v>0</v>
      </c>
      <c r="O1166" s="70">
        <v>0</v>
      </c>
      <c r="P1166" s="6">
        <v>10</v>
      </c>
      <c r="Q1166" s="4" t="s">
        <v>26</v>
      </c>
      <c r="R1166" s="4">
        <v>0</v>
      </c>
      <c r="S1166" s="6">
        <v>29</v>
      </c>
      <c r="T1166" s="6">
        <v>0</v>
      </c>
      <c r="U1166" s="6">
        <v>0</v>
      </c>
      <c r="V1166" s="70">
        <f>IF(ISERROR(VLOOKUP($S$1166,'TAR FIN'!$A$1:$O$116,15,0)),0,VLOOKUP($S$1166,'TAR FIN'!$A$1:$O$116,15,0))*(1-0.04)</f>
        <v>24.489599999999999</v>
      </c>
      <c r="W1166" s="70">
        <f>IF(ISERROR(VLOOKUP($T$1166,'TAR FIN'!$A$1:$O$116,15,0)),0,VLOOKUP($T$1166,'TAR FIN'!$A$1:$O$116,15,0))</f>
        <v>0</v>
      </c>
      <c r="X1166" s="70">
        <f>IF(ISERROR(VLOOKUP($U$1166,'TAR FIN'!$A$1:$O$116,15,0)),0,VLOOKUP($U$1166,'TAR FIN'!$A$1:$O$116,15,0))</f>
        <v>0</v>
      </c>
      <c r="Y1166" s="70">
        <f ca="1">('TUSD BE'!$AM$33+'TUSD BF'!$AM$33+'TUSD CVA'!$AM$33)*1*(1-0.02)</f>
        <v>29.207201461919809</v>
      </c>
      <c r="Z1166" s="70"/>
      <c r="AA1166" s="70"/>
      <c r="AB1166" s="6">
        <f>$K$1166*$V$1166</f>
        <v>19346.784</v>
      </c>
      <c r="AC1166" s="6">
        <f>$M$1166*$W$1166</f>
        <v>0</v>
      </c>
      <c r="AD1166" s="6">
        <f>$O$1166*$X$1166</f>
        <v>0</v>
      </c>
      <c r="AE1166" s="6">
        <f ca="1">$K$1166*$Y$1166</f>
        <v>23073.68915491665</v>
      </c>
      <c r="AF1166" s="6">
        <f>$M$1166*$Z$1166</f>
        <v>0</v>
      </c>
      <c r="AG1166" s="6">
        <f>$O$1166*$AA$1166</f>
        <v>0</v>
      </c>
    </row>
    <row r="1167" spans="1:33" ht="11.25" customHeight="1" x14ac:dyDescent="0.25">
      <c r="A1167" s="4" t="s">
        <v>58</v>
      </c>
      <c r="B1167" s="4" t="s">
        <v>41</v>
      </c>
      <c r="C1167" s="4" t="s">
        <v>42</v>
      </c>
      <c r="D1167" s="4" t="s">
        <v>45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44682</v>
      </c>
      <c r="J1167" s="6">
        <v>790</v>
      </c>
      <c r="K1167" s="70">
        <v>790</v>
      </c>
      <c r="L1167" s="6">
        <v>0</v>
      </c>
      <c r="M1167" s="70">
        <v>0</v>
      </c>
      <c r="N1167" s="6">
        <v>0</v>
      </c>
      <c r="O1167" s="70">
        <v>0</v>
      </c>
      <c r="P1167" s="6">
        <v>10</v>
      </c>
      <c r="Q1167" s="4" t="s">
        <v>26</v>
      </c>
      <c r="R1167" s="4">
        <v>0</v>
      </c>
      <c r="S1167" s="6">
        <v>29</v>
      </c>
      <c r="T1167" s="6">
        <v>0</v>
      </c>
      <c r="U1167" s="6">
        <v>0</v>
      </c>
      <c r="V1167" s="70">
        <f>IF(ISERROR(VLOOKUP($S$1167,'TAR FIN'!$A$1:$O$116,15,0)),0,VLOOKUP($S$1167,'TAR FIN'!$A$1:$O$116,15,0))*(1-0.04)</f>
        <v>24.489599999999999</v>
      </c>
      <c r="W1167" s="70">
        <f>IF(ISERROR(VLOOKUP($T$1167,'TAR FIN'!$A$1:$O$116,15,0)),0,VLOOKUP($T$1167,'TAR FIN'!$A$1:$O$116,15,0))</f>
        <v>0</v>
      </c>
      <c r="X1167" s="70">
        <f>IF(ISERROR(VLOOKUP($U$1167,'TAR FIN'!$A$1:$O$116,15,0)),0,VLOOKUP($U$1167,'TAR FIN'!$A$1:$O$116,15,0))</f>
        <v>0</v>
      </c>
      <c r="Y1167" s="70">
        <f ca="1">('TUSD BE'!$AM$33+'TUSD BF'!$AM$33+'TUSD CVA'!$AM$33)*1*(1-0.02)</f>
        <v>29.207201461919809</v>
      </c>
      <c r="Z1167" s="70"/>
      <c r="AA1167" s="70"/>
      <c r="AB1167" s="6">
        <f>$K$1167*$V$1167</f>
        <v>19346.784</v>
      </c>
      <c r="AC1167" s="6">
        <f>$M$1167*$W$1167</f>
        <v>0</v>
      </c>
      <c r="AD1167" s="6">
        <f>$O$1167*$X$1167</f>
        <v>0</v>
      </c>
      <c r="AE1167" s="6">
        <f ca="1">$K$1167*$Y$1167</f>
        <v>23073.68915491665</v>
      </c>
      <c r="AF1167" s="6">
        <f>$M$1167*$Z$1167</f>
        <v>0</v>
      </c>
      <c r="AG1167" s="6">
        <f>$O$1167*$AA$1167</f>
        <v>0</v>
      </c>
    </row>
    <row r="1168" spans="1:33" ht="11.25" customHeight="1" x14ac:dyDescent="0.25">
      <c r="A1168" s="4" t="s">
        <v>21</v>
      </c>
      <c r="B1168" s="4" t="s">
        <v>41</v>
      </c>
      <c r="C1168" s="4" t="s">
        <v>42</v>
      </c>
      <c r="D1168" s="4" t="s">
        <v>45</v>
      </c>
      <c r="E1168" s="4" t="s">
        <v>25</v>
      </c>
      <c r="F1168" s="4" t="s">
        <v>25</v>
      </c>
      <c r="G1168" s="4" t="s">
        <v>25</v>
      </c>
      <c r="H1168" s="4" t="s">
        <v>34</v>
      </c>
      <c r="I1168" s="5">
        <v>44348</v>
      </c>
      <c r="J1168" s="6">
        <v>0</v>
      </c>
      <c r="K1168" s="70">
        <v>0</v>
      </c>
      <c r="L1168" s="6">
        <v>16.259</v>
      </c>
      <c r="M1168" s="70">
        <v>16.259</v>
      </c>
      <c r="N1168" s="6">
        <v>16.259</v>
      </c>
      <c r="O1168" s="70">
        <v>16.259</v>
      </c>
      <c r="P1168" s="6">
        <v>0</v>
      </c>
      <c r="Q1168" s="4" t="s">
        <v>26</v>
      </c>
      <c r="R1168" s="4">
        <v>0</v>
      </c>
      <c r="S1168" s="6">
        <v>0</v>
      </c>
      <c r="T1168" s="6">
        <v>30</v>
      </c>
      <c r="U1168" s="6">
        <v>78</v>
      </c>
      <c r="V1168" s="70">
        <f>IF(ISERROR(VLOOKUP($S$1168,'TAR FIN'!$A$1:$O$116,15,0)),0,VLOOKUP($S$1168,'TAR FIN'!$A$1:$O$116,15,0))</f>
        <v>0</v>
      </c>
      <c r="W1168" s="70">
        <f>IF(ISERROR(VLOOKUP($T$1168,'TAR FIN'!$A$1:$O$116,15,0)),0,VLOOKUP($T$1168,'TAR FIN'!$A$1:$O$116,15,0))*(1-0.04)</f>
        <v>1614.8351999999998</v>
      </c>
      <c r="X1168" s="70">
        <f>IF(ISERROR(VLOOKUP($U$1168,'TAR FIN'!$A$1:$O$116,15,0)),0,VLOOKUP($U$1168,'TAR FIN'!$A$1:$O$116,15,0))*(1-0.04)</f>
        <v>476.30399999999997</v>
      </c>
      <c r="Y1168" s="70"/>
      <c r="Z1168" s="70">
        <f ca="1">('TUSD BE'!$AM$34+'TUSD BF'!$AM$34+'TUSD CVA'!$AM$34)*1*(1-0.02)</f>
        <v>1930.5215556846936</v>
      </c>
      <c r="AA1168" s="70">
        <f>('TE BE'!$AB$9+'TE BF'!$AB$9+'TE CVA'!$AB$9)*1*(1-0.02)</f>
        <v>499.84893464590823</v>
      </c>
      <c r="AB1168" s="6">
        <f>$K$1168*$V$1168</f>
        <v>0</v>
      </c>
      <c r="AC1168" s="6">
        <f>$M$1168*$W$1168</f>
        <v>26255.605516799998</v>
      </c>
      <c r="AD1168" s="6">
        <f>$O$1168*$X$1168</f>
        <v>7744.2267359999996</v>
      </c>
      <c r="AE1168" s="6">
        <f>$K$1168*$Y$1168</f>
        <v>0</v>
      </c>
      <c r="AF1168" s="6">
        <f ca="1">$M$1168*$Z$1168</f>
        <v>31388.349973877434</v>
      </c>
      <c r="AG1168" s="6">
        <f>$O$1168*$AA$1168</f>
        <v>8127.0438284078218</v>
      </c>
    </row>
    <row r="1169" spans="1:33" ht="11.25" customHeight="1" x14ac:dyDescent="0.25">
      <c r="A1169" s="4" t="s">
        <v>27</v>
      </c>
      <c r="B1169" s="4" t="s">
        <v>41</v>
      </c>
      <c r="C1169" s="4" t="s">
        <v>42</v>
      </c>
      <c r="D1169" s="4" t="s">
        <v>45</v>
      </c>
      <c r="E1169" s="4" t="s">
        <v>25</v>
      </c>
      <c r="F1169" s="4" t="s">
        <v>25</v>
      </c>
      <c r="G1169" s="4" t="s">
        <v>25</v>
      </c>
      <c r="H1169" s="4" t="s">
        <v>34</v>
      </c>
      <c r="I1169" s="5">
        <v>44348</v>
      </c>
      <c r="J1169" s="6">
        <v>0</v>
      </c>
      <c r="K1169" s="70">
        <v>0</v>
      </c>
      <c r="L1169" s="6">
        <v>1.08</v>
      </c>
      <c r="M1169" s="70">
        <v>1.08</v>
      </c>
      <c r="N1169" s="6">
        <v>1.08</v>
      </c>
      <c r="O1169" s="70">
        <v>1.08</v>
      </c>
      <c r="P1169" s="6">
        <v>0</v>
      </c>
      <c r="Q1169" s="4" t="s">
        <v>26</v>
      </c>
      <c r="R1169" s="4">
        <v>0</v>
      </c>
      <c r="S1169" s="6">
        <v>0</v>
      </c>
      <c r="T1169" s="6">
        <v>30</v>
      </c>
      <c r="U1169" s="6">
        <v>78</v>
      </c>
      <c r="V1169" s="70">
        <f>IF(ISERROR(VLOOKUP($S$1169,'TAR FIN'!$A$1:$O$116,15,0)),0,VLOOKUP($S$1169,'TAR FIN'!$A$1:$O$116,15,0))</f>
        <v>0</v>
      </c>
      <c r="W1169" s="70">
        <f>IF(ISERROR(VLOOKUP($T$1169,'TAR FIN'!$A$1:$O$116,15,0)),0,VLOOKUP($T$1169,'TAR FIN'!$A$1:$O$116,15,0))*(1-0.04)</f>
        <v>1614.8351999999998</v>
      </c>
      <c r="X1169" s="70">
        <f>IF(ISERROR(VLOOKUP($U$1169,'TAR FIN'!$A$1:$O$116,15,0)),0,VLOOKUP($U$1169,'TAR FIN'!$A$1:$O$116,15,0))*(1-0.04)</f>
        <v>476.30399999999997</v>
      </c>
      <c r="Y1169" s="70"/>
      <c r="Z1169" s="70">
        <f ca="1">('TUSD BE'!$AM$34+'TUSD BF'!$AM$34+'TUSD CVA'!$AM$34)*1*(1-0.02)</f>
        <v>1930.5215556846936</v>
      </c>
      <c r="AA1169" s="70">
        <f>('TE BE'!$AB$9+'TE BF'!$AB$9+'TE CVA'!$AB$9)*1*(1-0.02)</f>
        <v>499.84893464590823</v>
      </c>
      <c r="AB1169" s="6">
        <f>$K$1169*$V$1169</f>
        <v>0</v>
      </c>
      <c r="AC1169" s="6">
        <f>$M$1169*$W$1169</f>
        <v>1744.0220159999999</v>
      </c>
      <c r="AD1169" s="6">
        <f>$O$1169*$X$1169</f>
        <v>514.40832</v>
      </c>
      <c r="AE1169" s="6">
        <f>$K$1169*$Y$1169</f>
        <v>0</v>
      </c>
      <c r="AF1169" s="6">
        <f ca="1">$M$1169*$Z$1169</f>
        <v>2084.9632801394691</v>
      </c>
      <c r="AG1169" s="6">
        <f>$O$1169*$AA$1169</f>
        <v>539.83684941758088</v>
      </c>
    </row>
    <row r="1170" spans="1:33" ht="11.25" customHeight="1" x14ac:dyDescent="0.25">
      <c r="A1170" s="4" t="s">
        <v>21</v>
      </c>
      <c r="B1170" s="4" t="s">
        <v>41</v>
      </c>
      <c r="C1170" s="4" t="s">
        <v>42</v>
      </c>
      <c r="D1170" s="4" t="s">
        <v>45</v>
      </c>
      <c r="E1170" s="4" t="s">
        <v>25</v>
      </c>
      <c r="F1170" s="4" t="s">
        <v>25</v>
      </c>
      <c r="G1170" s="4" t="s">
        <v>25</v>
      </c>
      <c r="H1170" s="4" t="s">
        <v>34</v>
      </c>
      <c r="I1170" s="5">
        <v>44378</v>
      </c>
      <c r="J1170" s="6">
        <v>0</v>
      </c>
      <c r="K1170" s="70">
        <v>0</v>
      </c>
      <c r="L1170" s="6">
        <v>18.390999999999998</v>
      </c>
      <c r="M1170" s="70">
        <v>18.390999999999998</v>
      </c>
      <c r="N1170" s="6">
        <v>18.390999999999998</v>
      </c>
      <c r="O1170" s="70">
        <v>18.390999999999998</v>
      </c>
      <c r="P1170" s="6">
        <v>0</v>
      </c>
      <c r="Q1170" s="4" t="s">
        <v>26</v>
      </c>
      <c r="R1170" s="4">
        <v>0</v>
      </c>
      <c r="S1170" s="6">
        <v>0</v>
      </c>
      <c r="T1170" s="6">
        <v>30</v>
      </c>
      <c r="U1170" s="6">
        <v>78</v>
      </c>
      <c r="V1170" s="70">
        <f>IF(ISERROR(VLOOKUP($S$1170,'TAR FIN'!$A$1:$O$116,15,0)),0,VLOOKUP($S$1170,'TAR FIN'!$A$1:$O$116,15,0))</f>
        <v>0</v>
      </c>
      <c r="W1170" s="70">
        <f>IF(ISERROR(VLOOKUP($T$1170,'TAR FIN'!$A$1:$O$116,15,0)),0,VLOOKUP($T$1170,'TAR FIN'!$A$1:$O$116,15,0))*(1-0.04)</f>
        <v>1614.8351999999998</v>
      </c>
      <c r="X1170" s="70">
        <f>IF(ISERROR(VLOOKUP($U$1170,'TAR FIN'!$A$1:$O$116,15,0)),0,VLOOKUP($U$1170,'TAR FIN'!$A$1:$O$116,15,0))*(1-0.04)</f>
        <v>476.30399999999997</v>
      </c>
      <c r="Y1170" s="70"/>
      <c r="Z1170" s="70">
        <f ca="1">('TUSD BE'!$AM$34+'TUSD BF'!$AM$34+'TUSD CVA'!$AM$34)*1*(1-0.02)</f>
        <v>1930.5215556846936</v>
      </c>
      <c r="AA1170" s="70">
        <f>('TE BE'!$AB$9+'TE BF'!$AB$9+'TE CVA'!$AB$9)*1*(1-0.02)</f>
        <v>499.84893464590823</v>
      </c>
      <c r="AB1170" s="6">
        <f>$K$1170*$V$1170</f>
        <v>0</v>
      </c>
      <c r="AC1170" s="6">
        <f>$M$1170*$W$1170</f>
        <v>29698.434163199992</v>
      </c>
      <c r="AD1170" s="6">
        <f>$O$1170*$X$1170</f>
        <v>8759.7068639999979</v>
      </c>
      <c r="AE1170" s="6">
        <f>$K$1170*$Y$1170</f>
        <v>0</v>
      </c>
      <c r="AF1170" s="6">
        <f ca="1">$M$1170*$Z$1170</f>
        <v>35504.221930597196</v>
      </c>
      <c r="AG1170" s="6">
        <f>$O$1170*$AA$1170</f>
        <v>9192.7217570728972</v>
      </c>
    </row>
    <row r="1171" spans="1:33" ht="11.25" customHeight="1" x14ac:dyDescent="0.25">
      <c r="A1171" s="4" t="s">
        <v>21</v>
      </c>
      <c r="B1171" s="4" t="s">
        <v>41</v>
      </c>
      <c r="C1171" s="4" t="s">
        <v>42</v>
      </c>
      <c r="D1171" s="4" t="s">
        <v>45</v>
      </c>
      <c r="E1171" s="4" t="s">
        <v>25</v>
      </c>
      <c r="F1171" s="4" t="s">
        <v>25</v>
      </c>
      <c r="G1171" s="4" t="s">
        <v>25</v>
      </c>
      <c r="H1171" s="4" t="s">
        <v>34</v>
      </c>
      <c r="I1171" s="5">
        <v>44409</v>
      </c>
      <c r="J1171" s="6">
        <v>0</v>
      </c>
      <c r="K1171" s="70">
        <v>0</v>
      </c>
      <c r="L1171" s="6">
        <v>14.849</v>
      </c>
      <c r="M1171" s="70">
        <v>14.849</v>
      </c>
      <c r="N1171" s="6">
        <v>14.849</v>
      </c>
      <c r="O1171" s="70">
        <v>14.849</v>
      </c>
      <c r="P1171" s="6">
        <v>0</v>
      </c>
      <c r="Q1171" s="4" t="s">
        <v>26</v>
      </c>
      <c r="R1171" s="4">
        <v>0</v>
      </c>
      <c r="S1171" s="6">
        <v>0</v>
      </c>
      <c r="T1171" s="6">
        <v>30</v>
      </c>
      <c r="U1171" s="6">
        <v>78</v>
      </c>
      <c r="V1171" s="70">
        <f>IF(ISERROR(VLOOKUP($S$1171,'TAR FIN'!$A$1:$O$116,15,0)),0,VLOOKUP($S$1171,'TAR FIN'!$A$1:$O$116,15,0))</f>
        <v>0</v>
      </c>
      <c r="W1171" s="70">
        <f>IF(ISERROR(VLOOKUP($T$1171,'TAR FIN'!$A$1:$O$116,15,0)),0,VLOOKUP($T$1171,'TAR FIN'!$A$1:$O$116,15,0))*(1-0.04)</f>
        <v>1614.8351999999998</v>
      </c>
      <c r="X1171" s="70">
        <f>IF(ISERROR(VLOOKUP($U$1171,'TAR FIN'!$A$1:$O$116,15,0)),0,VLOOKUP($U$1171,'TAR FIN'!$A$1:$O$116,15,0))*(1-0.04)</f>
        <v>476.30399999999997</v>
      </c>
      <c r="Y1171" s="70"/>
      <c r="Z1171" s="70">
        <f ca="1">('TUSD BE'!$AM$34+'TUSD BF'!$AM$34+'TUSD CVA'!$AM$34)*1*(1-0.02)</f>
        <v>1930.5215556846936</v>
      </c>
      <c r="AA1171" s="70">
        <f>('TE BE'!$AB$9+'TE BF'!$AB$9+'TE CVA'!$AB$9)*1*(1-0.02)</f>
        <v>499.84893464590823</v>
      </c>
      <c r="AB1171" s="6">
        <f>$K$1171*$V$1171</f>
        <v>0</v>
      </c>
      <c r="AC1171" s="6">
        <f>$M$1171*$W$1171</f>
        <v>23978.687884799998</v>
      </c>
      <c r="AD1171" s="6">
        <f>$O$1171*$X$1171</f>
        <v>7072.6380959999997</v>
      </c>
      <c r="AE1171" s="6">
        <f>$K$1171*$Y$1171</f>
        <v>0</v>
      </c>
      <c r="AF1171" s="6">
        <f ca="1">$M$1171*$Z$1171</f>
        <v>28666.314580362014</v>
      </c>
      <c r="AG1171" s="6">
        <f>$O$1171*$AA$1171</f>
        <v>7422.2568305570912</v>
      </c>
    </row>
    <row r="1172" spans="1:33" ht="11.25" customHeight="1" x14ac:dyDescent="0.25">
      <c r="A1172" s="4" t="s">
        <v>21</v>
      </c>
      <c r="B1172" s="4" t="s">
        <v>41</v>
      </c>
      <c r="C1172" s="4" t="s">
        <v>42</v>
      </c>
      <c r="D1172" s="4" t="s">
        <v>45</v>
      </c>
      <c r="E1172" s="4" t="s">
        <v>25</v>
      </c>
      <c r="F1172" s="4" t="s">
        <v>25</v>
      </c>
      <c r="G1172" s="4" t="s">
        <v>25</v>
      </c>
      <c r="H1172" s="4" t="s">
        <v>34</v>
      </c>
      <c r="I1172" s="5">
        <v>44440</v>
      </c>
      <c r="J1172" s="6">
        <v>0</v>
      </c>
      <c r="K1172" s="70">
        <v>0</v>
      </c>
      <c r="L1172" s="6">
        <v>14.545999999999999</v>
      </c>
      <c r="M1172" s="70">
        <v>14.545999999999999</v>
      </c>
      <c r="N1172" s="6">
        <v>14.545999999999999</v>
      </c>
      <c r="O1172" s="70">
        <v>14.545999999999999</v>
      </c>
      <c r="P1172" s="6">
        <v>0</v>
      </c>
      <c r="Q1172" s="4" t="s">
        <v>26</v>
      </c>
      <c r="R1172" s="4">
        <v>0</v>
      </c>
      <c r="S1172" s="6">
        <v>0</v>
      </c>
      <c r="T1172" s="6">
        <v>30</v>
      </c>
      <c r="U1172" s="6">
        <v>78</v>
      </c>
      <c r="V1172" s="70">
        <f>IF(ISERROR(VLOOKUP($S$1172,'TAR FIN'!$A$1:$O$116,15,0)),0,VLOOKUP($S$1172,'TAR FIN'!$A$1:$O$116,15,0))</f>
        <v>0</v>
      </c>
      <c r="W1172" s="70">
        <f>IF(ISERROR(VLOOKUP($T$1172,'TAR FIN'!$A$1:$O$116,15,0)),0,VLOOKUP($T$1172,'TAR FIN'!$A$1:$O$116,15,0))*(1-0.04)</f>
        <v>1614.8351999999998</v>
      </c>
      <c r="X1172" s="70">
        <f>IF(ISERROR(VLOOKUP($U$1172,'TAR FIN'!$A$1:$O$116,15,0)),0,VLOOKUP($U$1172,'TAR FIN'!$A$1:$O$116,15,0))*(1-0.04)</f>
        <v>476.30399999999997</v>
      </c>
      <c r="Y1172" s="70"/>
      <c r="Z1172" s="70">
        <f ca="1">('TUSD BE'!$AM$34+'TUSD BF'!$AM$34+'TUSD CVA'!$AM$34)*1*(1-0.02)</f>
        <v>1930.5215556846936</v>
      </c>
      <c r="AA1172" s="70">
        <f>('TE BE'!$AB$9+'TE BF'!$AB$9+'TE CVA'!$AB$9)*1*(1-0.02)</f>
        <v>499.84893464590823</v>
      </c>
      <c r="AB1172" s="6">
        <f>$K$1172*$V$1172</f>
        <v>0</v>
      </c>
      <c r="AC1172" s="6">
        <f>$M$1172*$W$1172</f>
        <v>23489.392819199995</v>
      </c>
      <c r="AD1172" s="6">
        <f>$O$1172*$X$1172</f>
        <v>6928.3179839999993</v>
      </c>
      <c r="AE1172" s="6">
        <f>$K$1172*$Y$1172</f>
        <v>0</v>
      </c>
      <c r="AF1172" s="6">
        <f ca="1">$M$1172*$Z$1172</f>
        <v>28081.36654898955</v>
      </c>
      <c r="AG1172" s="6">
        <f>$O$1172*$AA$1172</f>
        <v>7270.8026033593806</v>
      </c>
    </row>
    <row r="1173" spans="1:33" ht="11.25" customHeight="1" x14ac:dyDescent="0.25">
      <c r="A1173" s="4" t="s">
        <v>21</v>
      </c>
      <c r="B1173" s="4" t="s">
        <v>41</v>
      </c>
      <c r="C1173" s="4" t="s">
        <v>42</v>
      </c>
      <c r="D1173" s="4" t="s">
        <v>45</v>
      </c>
      <c r="E1173" s="4" t="s">
        <v>25</v>
      </c>
      <c r="F1173" s="4" t="s">
        <v>25</v>
      </c>
      <c r="G1173" s="4" t="s">
        <v>25</v>
      </c>
      <c r="H1173" s="4" t="s">
        <v>34</v>
      </c>
      <c r="I1173" s="5">
        <v>44470</v>
      </c>
      <c r="J1173" s="6">
        <v>0</v>
      </c>
      <c r="K1173" s="70">
        <v>0</v>
      </c>
      <c r="L1173" s="6">
        <v>15.673999999999999</v>
      </c>
      <c r="M1173" s="70">
        <v>15.673999999999999</v>
      </c>
      <c r="N1173" s="6">
        <v>15.673999999999999</v>
      </c>
      <c r="O1173" s="70">
        <v>15.673999999999999</v>
      </c>
      <c r="P1173" s="6">
        <v>0</v>
      </c>
      <c r="Q1173" s="4" t="s">
        <v>26</v>
      </c>
      <c r="R1173" s="4">
        <v>0</v>
      </c>
      <c r="S1173" s="6">
        <v>0</v>
      </c>
      <c r="T1173" s="6">
        <v>30</v>
      </c>
      <c r="U1173" s="6">
        <v>78</v>
      </c>
      <c r="V1173" s="70">
        <f>IF(ISERROR(VLOOKUP($S$1173,'TAR FIN'!$A$1:$O$116,15,0)),0,VLOOKUP($S$1173,'TAR FIN'!$A$1:$O$116,15,0))</f>
        <v>0</v>
      </c>
      <c r="W1173" s="70">
        <f>IF(ISERROR(VLOOKUP($T$1173,'TAR FIN'!$A$1:$O$116,15,0)),0,VLOOKUP($T$1173,'TAR FIN'!$A$1:$O$116,15,0))*(1-0.04)</f>
        <v>1614.8351999999998</v>
      </c>
      <c r="X1173" s="70">
        <f>IF(ISERROR(VLOOKUP($U$1173,'TAR FIN'!$A$1:$O$116,15,0)),0,VLOOKUP($U$1173,'TAR FIN'!$A$1:$O$116,15,0))*(1-0.04)</f>
        <v>476.30399999999997</v>
      </c>
      <c r="Y1173" s="70"/>
      <c r="Z1173" s="70">
        <f ca="1">('TUSD BE'!$AM$34+'TUSD BF'!$AM$34+'TUSD CVA'!$AM$34)*1*(1-0.02)</f>
        <v>1930.5215556846936</v>
      </c>
      <c r="AA1173" s="70">
        <f>('TE BE'!$AB$9+'TE BF'!$AB$9+'TE CVA'!$AB$9)*1*(1-0.02)</f>
        <v>499.84893464590823</v>
      </c>
      <c r="AB1173" s="6">
        <f>$K$1173*$V$1173</f>
        <v>0</v>
      </c>
      <c r="AC1173" s="6">
        <f>$M$1173*$W$1173</f>
        <v>25310.926924799995</v>
      </c>
      <c r="AD1173" s="6">
        <f>$O$1173*$X$1173</f>
        <v>7465.5888959999993</v>
      </c>
      <c r="AE1173" s="6">
        <f>$K$1173*$Y$1173</f>
        <v>0</v>
      </c>
      <c r="AF1173" s="6">
        <f ca="1">$M$1173*$Z$1173</f>
        <v>30258.994863801887</v>
      </c>
      <c r="AG1173" s="6">
        <f>$O$1173*$AA$1173</f>
        <v>7834.6322016399654</v>
      </c>
    </row>
    <row r="1174" spans="1:33" ht="11.25" customHeight="1" x14ac:dyDescent="0.25">
      <c r="A1174" s="4" t="s">
        <v>21</v>
      </c>
      <c r="B1174" s="4" t="s">
        <v>41</v>
      </c>
      <c r="C1174" s="4" t="s">
        <v>42</v>
      </c>
      <c r="D1174" s="4" t="s">
        <v>45</v>
      </c>
      <c r="E1174" s="4" t="s">
        <v>25</v>
      </c>
      <c r="F1174" s="4" t="s">
        <v>25</v>
      </c>
      <c r="G1174" s="4" t="s">
        <v>25</v>
      </c>
      <c r="H1174" s="4" t="s">
        <v>34</v>
      </c>
      <c r="I1174" s="5">
        <v>44501</v>
      </c>
      <c r="J1174" s="6">
        <v>0</v>
      </c>
      <c r="K1174" s="70">
        <v>0</v>
      </c>
      <c r="L1174" s="6">
        <v>14.475</v>
      </c>
      <c r="M1174" s="70">
        <v>14.475</v>
      </c>
      <c r="N1174" s="6">
        <v>14.475</v>
      </c>
      <c r="O1174" s="70">
        <v>14.475</v>
      </c>
      <c r="P1174" s="6">
        <v>0</v>
      </c>
      <c r="Q1174" s="4" t="s">
        <v>26</v>
      </c>
      <c r="R1174" s="4">
        <v>0</v>
      </c>
      <c r="S1174" s="6">
        <v>0</v>
      </c>
      <c r="T1174" s="6">
        <v>30</v>
      </c>
      <c r="U1174" s="6">
        <v>78</v>
      </c>
      <c r="V1174" s="70">
        <f>IF(ISERROR(VLOOKUP($S$1174,'TAR FIN'!$A$1:$O$116,15,0)),0,VLOOKUP($S$1174,'TAR FIN'!$A$1:$O$116,15,0))</f>
        <v>0</v>
      </c>
      <c r="W1174" s="70">
        <f>IF(ISERROR(VLOOKUP($T$1174,'TAR FIN'!$A$1:$O$116,15,0)),0,VLOOKUP($T$1174,'TAR FIN'!$A$1:$O$116,15,0))*(1-0.04)</f>
        <v>1614.8351999999998</v>
      </c>
      <c r="X1174" s="70">
        <f>IF(ISERROR(VLOOKUP($U$1174,'TAR FIN'!$A$1:$O$116,15,0)),0,VLOOKUP($U$1174,'TAR FIN'!$A$1:$O$116,15,0))*(1-0.04)</f>
        <v>476.30399999999997</v>
      </c>
      <c r="Y1174" s="70"/>
      <c r="Z1174" s="70">
        <f ca="1">('TUSD BE'!$AM$34+'TUSD BF'!$AM$34+'TUSD CVA'!$AM$34)*1*(1-0.02)</f>
        <v>1930.5215556846936</v>
      </c>
      <c r="AA1174" s="70">
        <f>('TE BE'!$AB$9+'TE BF'!$AB$9+'TE CVA'!$AB$9)*1*(1-0.02)</f>
        <v>499.84893464590823</v>
      </c>
      <c r="AB1174" s="6">
        <f>$K$1174*$V$1174</f>
        <v>0</v>
      </c>
      <c r="AC1174" s="6">
        <f>$M$1174*$W$1174</f>
        <v>23374.739519999996</v>
      </c>
      <c r="AD1174" s="6">
        <f>$O$1174*$X$1174</f>
        <v>6894.5003999999999</v>
      </c>
      <c r="AE1174" s="6">
        <f>$K$1174*$Y$1174</f>
        <v>0</v>
      </c>
      <c r="AF1174" s="6">
        <f ca="1">$M$1174*$Z$1174</f>
        <v>27944.29951853594</v>
      </c>
      <c r="AG1174" s="6">
        <f>$O$1174*$AA$1174</f>
        <v>7235.3133289995212</v>
      </c>
    </row>
    <row r="1175" spans="1:33" ht="11.25" customHeight="1" x14ac:dyDescent="0.25">
      <c r="A1175" s="4" t="s">
        <v>21</v>
      </c>
      <c r="B1175" s="4" t="s">
        <v>41</v>
      </c>
      <c r="C1175" s="4" t="s">
        <v>42</v>
      </c>
      <c r="D1175" s="4" t="s">
        <v>45</v>
      </c>
      <c r="E1175" s="4" t="s">
        <v>25</v>
      </c>
      <c r="F1175" s="4" t="s">
        <v>25</v>
      </c>
      <c r="G1175" s="4" t="s">
        <v>25</v>
      </c>
      <c r="H1175" s="4" t="s">
        <v>34</v>
      </c>
      <c r="I1175" s="5">
        <v>44531</v>
      </c>
      <c r="J1175" s="6">
        <v>0</v>
      </c>
      <c r="K1175" s="70">
        <v>0</v>
      </c>
      <c r="L1175" s="6">
        <v>16.393999999999998</v>
      </c>
      <c r="M1175" s="70">
        <v>16.393999999999998</v>
      </c>
      <c r="N1175" s="6">
        <v>16.393999999999998</v>
      </c>
      <c r="O1175" s="70">
        <v>16.393999999999998</v>
      </c>
      <c r="P1175" s="6">
        <v>0</v>
      </c>
      <c r="Q1175" s="4" t="s">
        <v>26</v>
      </c>
      <c r="R1175" s="4">
        <v>0</v>
      </c>
      <c r="S1175" s="6">
        <v>0</v>
      </c>
      <c r="T1175" s="6">
        <v>30</v>
      </c>
      <c r="U1175" s="6">
        <v>78</v>
      </c>
      <c r="V1175" s="70">
        <f>IF(ISERROR(VLOOKUP($S$1175,'TAR FIN'!$A$1:$O$116,15,0)),0,VLOOKUP($S$1175,'TAR FIN'!$A$1:$O$116,15,0))</f>
        <v>0</v>
      </c>
      <c r="W1175" s="70">
        <f>IF(ISERROR(VLOOKUP($T$1175,'TAR FIN'!$A$1:$O$116,15,0)),0,VLOOKUP($T$1175,'TAR FIN'!$A$1:$O$116,15,0))*(1-0.04)</f>
        <v>1614.8351999999998</v>
      </c>
      <c r="X1175" s="70">
        <f>IF(ISERROR(VLOOKUP($U$1175,'TAR FIN'!$A$1:$O$116,15,0)),0,VLOOKUP($U$1175,'TAR FIN'!$A$1:$O$116,15,0))*(1-0.04)</f>
        <v>476.30399999999997</v>
      </c>
      <c r="Y1175" s="70"/>
      <c r="Z1175" s="70">
        <f ca="1">('TUSD BE'!$AM$34+'TUSD BF'!$AM$34+'TUSD CVA'!$AM$34)*1*(1-0.02)</f>
        <v>1930.5215556846936</v>
      </c>
      <c r="AA1175" s="70">
        <f>('TE BE'!$AB$9+'TE BF'!$AB$9+'TE CVA'!$AB$9)*1*(1-0.02)</f>
        <v>499.84893464590823</v>
      </c>
      <c r="AB1175" s="6">
        <f>$K$1175*$V$1175</f>
        <v>0</v>
      </c>
      <c r="AC1175" s="6">
        <f>$M$1175*$W$1175</f>
        <v>26473.608268799995</v>
      </c>
      <c r="AD1175" s="6">
        <f>$O$1175*$X$1175</f>
        <v>7808.527775999999</v>
      </c>
      <c r="AE1175" s="6">
        <f>$K$1175*$Y$1175</f>
        <v>0</v>
      </c>
      <c r="AF1175" s="6">
        <f ca="1">$M$1175*$Z$1175</f>
        <v>31648.970383894863</v>
      </c>
      <c r="AG1175" s="6">
        <f>$O$1175*$AA$1175</f>
        <v>8194.5234345850185</v>
      </c>
    </row>
    <row r="1176" spans="1:33" ht="11.25" customHeight="1" x14ac:dyDescent="0.25">
      <c r="A1176" s="4" t="s">
        <v>21</v>
      </c>
      <c r="B1176" s="4" t="s">
        <v>41</v>
      </c>
      <c r="C1176" s="4" t="s">
        <v>42</v>
      </c>
      <c r="D1176" s="4" t="s">
        <v>45</v>
      </c>
      <c r="E1176" s="4" t="s">
        <v>25</v>
      </c>
      <c r="F1176" s="4" t="s">
        <v>25</v>
      </c>
      <c r="G1176" s="4" t="s">
        <v>25</v>
      </c>
      <c r="H1176" s="4" t="s">
        <v>34</v>
      </c>
      <c r="I1176" s="5">
        <v>44562</v>
      </c>
      <c r="J1176" s="6">
        <v>0</v>
      </c>
      <c r="K1176" s="70">
        <v>0</v>
      </c>
      <c r="L1176" s="6">
        <v>11.942</v>
      </c>
      <c r="M1176" s="70">
        <v>11.942</v>
      </c>
      <c r="N1176" s="6">
        <v>11.942</v>
      </c>
      <c r="O1176" s="70">
        <v>11.942</v>
      </c>
      <c r="P1176" s="6">
        <v>0</v>
      </c>
      <c r="Q1176" s="4" t="s">
        <v>26</v>
      </c>
      <c r="R1176" s="4">
        <v>0</v>
      </c>
      <c r="S1176" s="6">
        <v>0</v>
      </c>
      <c r="T1176" s="6">
        <v>30</v>
      </c>
      <c r="U1176" s="6">
        <v>78</v>
      </c>
      <c r="V1176" s="70">
        <f>IF(ISERROR(VLOOKUP($S$1176,'TAR FIN'!$A$1:$O$116,15,0)),0,VLOOKUP($S$1176,'TAR FIN'!$A$1:$O$116,15,0))</f>
        <v>0</v>
      </c>
      <c r="W1176" s="70">
        <f>IF(ISERROR(VLOOKUP($T$1176,'TAR FIN'!$A$1:$O$116,15,0)),0,VLOOKUP($T$1176,'TAR FIN'!$A$1:$O$116,15,0))*(1-0.04)</f>
        <v>1614.8351999999998</v>
      </c>
      <c r="X1176" s="70">
        <f>IF(ISERROR(VLOOKUP($U$1176,'TAR FIN'!$A$1:$O$116,15,0)),0,VLOOKUP($U$1176,'TAR FIN'!$A$1:$O$116,15,0))*(1-0.04)</f>
        <v>476.30399999999997</v>
      </c>
      <c r="Y1176" s="70"/>
      <c r="Z1176" s="70">
        <f ca="1">('TUSD BE'!$AM$34+'TUSD BF'!$AM$34+'TUSD CVA'!$AM$34)*1*(1-0.02)</f>
        <v>1930.5215556846936</v>
      </c>
      <c r="AA1176" s="70">
        <f>('TE BE'!$AB$9+'TE BF'!$AB$9+'TE CVA'!$AB$9)*1*(1-0.02)</f>
        <v>499.84893464590823</v>
      </c>
      <c r="AB1176" s="6">
        <f>$K$1176*$V$1176</f>
        <v>0</v>
      </c>
      <c r="AC1176" s="6">
        <f>$M$1176*$W$1176</f>
        <v>19284.361958399997</v>
      </c>
      <c r="AD1176" s="6">
        <f>$O$1176*$X$1176</f>
        <v>5688.0223679999999</v>
      </c>
      <c r="AE1176" s="6">
        <f>$K$1176*$Y$1176</f>
        <v>0</v>
      </c>
      <c r="AF1176" s="6">
        <f ca="1">$M$1176*$Z$1176</f>
        <v>23054.288417986612</v>
      </c>
      <c r="AG1176" s="6">
        <f>$O$1176*$AA$1176</f>
        <v>5969.1959775414362</v>
      </c>
    </row>
    <row r="1177" spans="1:33" ht="11.25" customHeight="1" x14ac:dyDescent="0.25">
      <c r="A1177" s="4" t="s">
        <v>21</v>
      </c>
      <c r="B1177" s="4" t="s">
        <v>41</v>
      </c>
      <c r="C1177" s="4" t="s">
        <v>42</v>
      </c>
      <c r="D1177" s="4" t="s">
        <v>45</v>
      </c>
      <c r="E1177" s="4" t="s">
        <v>25</v>
      </c>
      <c r="F1177" s="4" t="s">
        <v>25</v>
      </c>
      <c r="G1177" s="4" t="s">
        <v>25</v>
      </c>
      <c r="H1177" s="4" t="s">
        <v>34</v>
      </c>
      <c r="I1177" s="5">
        <v>44593</v>
      </c>
      <c r="J1177" s="6">
        <v>0</v>
      </c>
      <c r="K1177" s="70">
        <v>0</v>
      </c>
      <c r="L1177" s="6">
        <v>11.489000000000001</v>
      </c>
      <c r="M1177" s="70">
        <v>11.489000000000001</v>
      </c>
      <c r="N1177" s="6">
        <v>11.489000000000001</v>
      </c>
      <c r="O1177" s="70">
        <v>11.489000000000001</v>
      </c>
      <c r="P1177" s="6">
        <v>0</v>
      </c>
      <c r="Q1177" s="4" t="s">
        <v>26</v>
      </c>
      <c r="R1177" s="4">
        <v>0</v>
      </c>
      <c r="S1177" s="6">
        <v>0</v>
      </c>
      <c r="T1177" s="6">
        <v>30</v>
      </c>
      <c r="U1177" s="6">
        <v>78</v>
      </c>
      <c r="V1177" s="70">
        <f>IF(ISERROR(VLOOKUP($S$1177,'TAR FIN'!$A$1:$O$116,15,0)),0,VLOOKUP($S$1177,'TAR FIN'!$A$1:$O$116,15,0))</f>
        <v>0</v>
      </c>
      <c r="W1177" s="70">
        <f>IF(ISERROR(VLOOKUP($T$1177,'TAR FIN'!$A$1:$O$116,15,0)),0,VLOOKUP($T$1177,'TAR FIN'!$A$1:$O$116,15,0))*(1-0.04)</f>
        <v>1614.8351999999998</v>
      </c>
      <c r="X1177" s="70">
        <f>IF(ISERROR(VLOOKUP($U$1177,'TAR FIN'!$A$1:$O$116,15,0)),0,VLOOKUP($U$1177,'TAR FIN'!$A$1:$O$116,15,0))*(1-0.04)</f>
        <v>476.30399999999997</v>
      </c>
      <c r="Y1177" s="70"/>
      <c r="Z1177" s="70">
        <f ca="1">('TUSD BE'!$AM$34+'TUSD BF'!$AM$34+'TUSD CVA'!$AM$34)*1*(1-0.02)</f>
        <v>1930.5215556846936</v>
      </c>
      <c r="AA1177" s="70">
        <f>('TE BE'!$AB$9+'TE BF'!$AB$9+'TE CVA'!$AB$9)*1*(1-0.02)</f>
        <v>499.84893464590823</v>
      </c>
      <c r="AB1177" s="6">
        <f>$K$1177*$V$1177</f>
        <v>0</v>
      </c>
      <c r="AC1177" s="6">
        <f>$M$1177*$W$1177</f>
        <v>18552.841612799999</v>
      </c>
      <c r="AD1177" s="6">
        <f>$O$1177*$X$1177</f>
        <v>5472.2566560000005</v>
      </c>
      <c r="AE1177" s="6">
        <f>$K$1177*$Y$1177</f>
        <v>0</v>
      </c>
      <c r="AF1177" s="6">
        <f ca="1">$M$1177*$Z$1177</f>
        <v>22179.762153261447</v>
      </c>
      <c r="AG1177" s="6">
        <f>$O$1177*$AA$1177</f>
        <v>5742.7644101468404</v>
      </c>
    </row>
    <row r="1178" spans="1:33" ht="11.25" customHeight="1" x14ac:dyDescent="0.25">
      <c r="A1178" s="4" t="s">
        <v>21</v>
      </c>
      <c r="B1178" s="4" t="s">
        <v>41</v>
      </c>
      <c r="C1178" s="4" t="s">
        <v>42</v>
      </c>
      <c r="D1178" s="4" t="s">
        <v>45</v>
      </c>
      <c r="E1178" s="4" t="s">
        <v>25</v>
      </c>
      <c r="F1178" s="4" t="s">
        <v>25</v>
      </c>
      <c r="G1178" s="4" t="s">
        <v>25</v>
      </c>
      <c r="H1178" s="4" t="s">
        <v>34</v>
      </c>
      <c r="I1178" s="5">
        <v>44621</v>
      </c>
      <c r="J1178" s="6">
        <v>0</v>
      </c>
      <c r="K1178" s="70">
        <v>0</v>
      </c>
      <c r="L1178" s="6">
        <v>11.153</v>
      </c>
      <c r="M1178" s="70">
        <v>11.153</v>
      </c>
      <c r="N1178" s="6">
        <v>11.153</v>
      </c>
      <c r="O1178" s="70">
        <v>11.153</v>
      </c>
      <c r="P1178" s="6">
        <v>0</v>
      </c>
      <c r="Q1178" s="4" t="s">
        <v>26</v>
      </c>
      <c r="R1178" s="4">
        <v>0</v>
      </c>
      <c r="S1178" s="6">
        <v>0</v>
      </c>
      <c r="T1178" s="6">
        <v>30</v>
      </c>
      <c r="U1178" s="6">
        <v>78</v>
      </c>
      <c r="V1178" s="70">
        <f>IF(ISERROR(VLOOKUP($S$1178,'TAR FIN'!$A$1:$O$116,15,0)),0,VLOOKUP($S$1178,'TAR FIN'!$A$1:$O$116,15,0))</f>
        <v>0</v>
      </c>
      <c r="W1178" s="70">
        <f>IF(ISERROR(VLOOKUP($T$1178,'TAR FIN'!$A$1:$O$116,15,0)),0,VLOOKUP($T$1178,'TAR FIN'!$A$1:$O$116,15,0))*(1-0.04)</f>
        <v>1614.8351999999998</v>
      </c>
      <c r="X1178" s="70">
        <f>IF(ISERROR(VLOOKUP($U$1178,'TAR FIN'!$A$1:$O$116,15,0)),0,VLOOKUP($U$1178,'TAR FIN'!$A$1:$O$116,15,0))*(1-0.04)</f>
        <v>476.30399999999997</v>
      </c>
      <c r="Y1178" s="70"/>
      <c r="Z1178" s="70">
        <f ca="1">('TUSD BE'!$AM$34+'TUSD BF'!$AM$34+'TUSD CVA'!$AM$34)*1*(1-0.02)</f>
        <v>1930.5215556846936</v>
      </c>
      <c r="AA1178" s="70">
        <f>('TE BE'!$AB$9+'TE BF'!$AB$9+'TE CVA'!$AB$9)*1*(1-0.02)</f>
        <v>499.84893464590823</v>
      </c>
      <c r="AB1178" s="6">
        <f>$K$1178*$V$1178</f>
        <v>0</v>
      </c>
      <c r="AC1178" s="6">
        <f>$M$1178*$W$1178</f>
        <v>18010.256985599997</v>
      </c>
      <c r="AD1178" s="6">
        <f>$O$1178*$X$1178</f>
        <v>5312.2185120000004</v>
      </c>
      <c r="AE1178" s="6">
        <f>$K$1178*$Y$1178</f>
        <v>0</v>
      </c>
      <c r="AF1178" s="6">
        <f ca="1">$M$1178*$Z$1178</f>
        <v>21531.106910551389</v>
      </c>
      <c r="AG1178" s="6">
        <f>$O$1178*$AA$1178</f>
        <v>5574.8151681058143</v>
      </c>
    </row>
    <row r="1179" spans="1:33" ht="11.25" customHeight="1" x14ac:dyDescent="0.25">
      <c r="A1179" s="4" t="s">
        <v>21</v>
      </c>
      <c r="B1179" s="4" t="s">
        <v>41</v>
      </c>
      <c r="C1179" s="4" t="s">
        <v>42</v>
      </c>
      <c r="D1179" s="4" t="s">
        <v>45</v>
      </c>
      <c r="E1179" s="4" t="s">
        <v>25</v>
      </c>
      <c r="F1179" s="4" t="s">
        <v>25</v>
      </c>
      <c r="G1179" s="4" t="s">
        <v>25</v>
      </c>
      <c r="H1179" s="4" t="s">
        <v>34</v>
      </c>
      <c r="I1179" s="5">
        <v>44652</v>
      </c>
      <c r="J1179" s="6">
        <v>0</v>
      </c>
      <c r="K1179" s="70">
        <v>0</v>
      </c>
      <c r="L1179" s="6">
        <v>10.262</v>
      </c>
      <c r="M1179" s="70">
        <v>10.262</v>
      </c>
      <c r="N1179" s="6">
        <v>10.262</v>
      </c>
      <c r="O1179" s="70">
        <v>10.262</v>
      </c>
      <c r="P1179" s="6">
        <v>0</v>
      </c>
      <c r="Q1179" s="4" t="s">
        <v>26</v>
      </c>
      <c r="R1179" s="4">
        <v>0</v>
      </c>
      <c r="S1179" s="6">
        <v>0</v>
      </c>
      <c r="T1179" s="6">
        <v>30</v>
      </c>
      <c r="U1179" s="6">
        <v>78</v>
      </c>
      <c r="V1179" s="70">
        <f>IF(ISERROR(VLOOKUP($S$1179,'TAR FIN'!$A$1:$O$116,15,0)),0,VLOOKUP($S$1179,'TAR FIN'!$A$1:$O$116,15,0))</f>
        <v>0</v>
      </c>
      <c r="W1179" s="70">
        <f>IF(ISERROR(VLOOKUP($T$1179,'TAR FIN'!$A$1:$O$116,15,0)),0,VLOOKUP($T$1179,'TAR FIN'!$A$1:$O$116,15,0))*(1-0.04)</f>
        <v>1614.8351999999998</v>
      </c>
      <c r="X1179" s="70">
        <f>IF(ISERROR(VLOOKUP($U$1179,'TAR FIN'!$A$1:$O$116,15,0)),0,VLOOKUP($U$1179,'TAR FIN'!$A$1:$O$116,15,0))*(1-0.04)</f>
        <v>476.30399999999997</v>
      </c>
      <c r="Y1179" s="70"/>
      <c r="Z1179" s="70">
        <f ca="1">('TUSD BE'!$AM$34+'TUSD BF'!$AM$34+'TUSD CVA'!$AM$34)*1*(1-0.02)</f>
        <v>1930.5215556846936</v>
      </c>
      <c r="AA1179" s="70">
        <f>('TE BE'!$AB$9+'TE BF'!$AB$9+'TE CVA'!$AB$9)*1*(1-0.02)</f>
        <v>499.84893464590823</v>
      </c>
      <c r="AB1179" s="6">
        <f>$K$1179*$V$1179</f>
        <v>0</v>
      </c>
      <c r="AC1179" s="6">
        <f>$M$1179*$W$1179</f>
        <v>16571.438822399999</v>
      </c>
      <c r="AD1179" s="6">
        <f>$O$1179*$X$1179</f>
        <v>4887.8316480000003</v>
      </c>
      <c r="AE1179" s="6">
        <f>$K$1179*$Y$1179</f>
        <v>0</v>
      </c>
      <c r="AF1179" s="6">
        <f ca="1">$M$1179*$Z$1179</f>
        <v>19811.012204436327</v>
      </c>
      <c r="AG1179" s="6">
        <f>$O$1179*$AA$1179</f>
        <v>5129.4497673363103</v>
      </c>
    </row>
    <row r="1180" spans="1:33" ht="11.25" customHeight="1" x14ac:dyDescent="0.25">
      <c r="A1180" s="4" t="s">
        <v>58</v>
      </c>
      <c r="B1180" s="4" t="s">
        <v>41</v>
      </c>
      <c r="C1180" s="4" t="s">
        <v>42</v>
      </c>
      <c r="D1180" s="4" t="s">
        <v>45</v>
      </c>
      <c r="E1180" s="4" t="s">
        <v>25</v>
      </c>
      <c r="F1180" s="4" t="s">
        <v>25</v>
      </c>
      <c r="G1180" s="4" t="s">
        <v>25</v>
      </c>
      <c r="H1180" s="4" t="s">
        <v>34</v>
      </c>
      <c r="I1180" s="5">
        <v>44682</v>
      </c>
      <c r="J1180" s="6">
        <v>0</v>
      </c>
      <c r="K1180" s="70">
        <v>0</v>
      </c>
      <c r="L1180" s="6">
        <v>10.262</v>
      </c>
      <c r="M1180" s="70">
        <v>10.262</v>
      </c>
      <c r="N1180" s="6">
        <v>10.262</v>
      </c>
      <c r="O1180" s="70">
        <v>10.262</v>
      </c>
      <c r="P1180" s="6">
        <v>0</v>
      </c>
      <c r="Q1180" s="4" t="s">
        <v>26</v>
      </c>
      <c r="R1180" s="4">
        <v>0</v>
      </c>
      <c r="S1180" s="6">
        <v>0</v>
      </c>
      <c r="T1180" s="6">
        <v>30</v>
      </c>
      <c r="U1180" s="6">
        <v>78</v>
      </c>
      <c r="V1180" s="70">
        <f>IF(ISERROR(VLOOKUP($S$1180,'TAR FIN'!$A$1:$O$116,15,0)),0,VLOOKUP($S$1180,'TAR FIN'!$A$1:$O$116,15,0))</f>
        <v>0</v>
      </c>
      <c r="W1180" s="70">
        <f>IF(ISERROR(VLOOKUP($T$1180,'TAR FIN'!$A$1:$O$116,15,0)),0,VLOOKUP($T$1180,'TAR FIN'!$A$1:$O$116,15,0))*(1-0.04)</f>
        <v>1614.8351999999998</v>
      </c>
      <c r="X1180" s="70">
        <f>IF(ISERROR(VLOOKUP($U$1180,'TAR FIN'!$A$1:$O$116,15,0)),0,VLOOKUP($U$1180,'TAR FIN'!$A$1:$O$116,15,0))*(1-0.04)</f>
        <v>476.30399999999997</v>
      </c>
      <c r="Y1180" s="70"/>
      <c r="Z1180" s="70">
        <f ca="1">('TUSD BE'!$AM$34+'TUSD BF'!$AM$34+'TUSD CVA'!$AM$34)*1*(1-0.02)</f>
        <v>1930.5215556846936</v>
      </c>
      <c r="AA1180" s="70">
        <f>('TE BE'!$AB$9+'TE BF'!$AB$9+'TE CVA'!$AB$9)*1*(1-0.02)</f>
        <v>499.84893464590823</v>
      </c>
      <c r="AB1180" s="6">
        <f>$K$1180*$V$1180</f>
        <v>0</v>
      </c>
      <c r="AC1180" s="6">
        <f>$M$1180*$W$1180</f>
        <v>16571.438822399999</v>
      </c>
      <c r="AD1180" s="6">
        <f>$O$1180*$X$1180</f>
        <v>4887.8316480000003</v>
      </c>
      <c r="AE1180" s="6">
        <f>$K$1180*$Y$1180</f>
        <v>0</v>
      </c>
      <c r="AF1180" s="6">
        <f ca="1">$M$1180*$Z$1180</f>
        <v>19811.012204436327</v>
      </c>
      <c r="AG1180" s="6">
        <f>$O$1180*$AA$1180</f>
        <v>5129.4497673363103</v>
      </c>
    </row>
    <row r="1181" spans="1:33" ht="11.25" customHeight="1" x14ac:dyDescent="0.25">
      <c r="A1181" s="4" t="s">
        <v>21</v>
      </c>
      <c r="B1181" s="4" t="s">
        <v>41</v>
      </c>
      <c r="C1181" s="4" t="s">
        <v>42</v>
      </c>
      <c r="D1181" s="4" t="s">
        <v>51</v>
      </c>
      <c r="E1181" s="4" t="s">
        <v>52</v>
      </c>
      <c r="F1181" s="4" t="s">
        <v>25</v>
      </c>
      <c r="G1181" s="4" t="s">
        <v>25</v>
      </c>
      <c r="H1181" s="4" t="s">
        <v>35</v>
      </c>
      <c r="I1181" s="5">
        <v>44348</v>
      </c>
      <c r="J1181" s="6">
        <v>0</v>
      </c>
      <c r="K1181" s="70">
        <v>0</v>
      </c>
      <c r="L1181" s="6">
        <v>1663.22</v>
      </c>
      <c r="M1181" s="70">
        <v>1663.22</v>
      </c>
      <c r="N1181" s="6">
        <v>1663.22</v>
      </c>
      <c r="O1181" s="70">
        <v>1663.22</v>
      </c>
      <c r="P1181" s="6">
        <v>0</v>
      </c>
      <c r="Q1181" s="4" t="s">
        <v>26</v>
      </c>
      <c r="R1181" s="4">
        <v>0</v>
      </c>
      <c r="S1181" s="6">
        <v>0</v>
      </c>
      <c r="T1181" s="6">
        <v>31</v>
      </c>
      <c r="U1181" s="6">
        <v>79</v>
      </c>
      <c r="V1181" s="70">
        <f>IF(ISERROR(VLOOKUP($S$1181,'TAR FIN'!$A$1:$O$116,15,0)),0,VLOOKUP($S$1181,'TAR FIN'!$A$1:$O$116,15,0))</f>
        <v>0</v>
      </c>
      <c r="W1181" s="70">
        <f>IF(ISERROR(VLOOKUP($T$1181,'TAR FIN'!$A$1:$O$116,15,0)),0,VLOOKUP($T$1181,'TAR FIN'!$A$1:$O$116,15,0))*(1-0.06)</f>
        <v>83.340399999999988</v>
      </c>
      <c r="X1181" s="70">
        <f>IF(ISERROR(VLOOKUP($U$1181,'TAR FIN'!$A$1:$O$116,15,0)),0,VLOOKUP($U$1181,'TAR FIN'!$A$1:$O$116,15,0))*(1-0.06)</f>
        <v>292.37760000000003</v>
      </c>
      <c r="Y1181" s="70"/>
      <c r="Z1181" s="70">
        <f ca="1">('TUSD BE'!$AM$35+'TUSD BF'!$AM$35+'TUSD CVA'!$AM$35)*1*(1-0.03)</f>
        <v>133.3127786832801</v>
      </c>
      <c r="AA1181" s="70">
        <f>('TE BE'!$AB$10+'TE BF'!$AB$10+'TE CVA'!$AB$10)*1*(1-0.03)</f>
        <v>303.83220029520902</v>
      </c>
      <c r="AB1181" s="6">
        <f>$K$1181*$V$1181</f>
        <v>0</v>
      </c>
      <c r="AC1181" s="6">
        <f>$M$1181*$W$1181</f>
        <v>138613.42008799998</v>
      </c>
      <c r="AD1181" s="6">
        <f>$O$1181*$X$1181</f>
        <v>486288.27187200007</v>
      </c>
      <c r="AE1181" s="6">
        <f>$K$1181*$Y$1181</f>
        <v>0</v>
      </c>
      <c r="AF1181" s="6">
        <f ca="1">$M$1181*$Z$1181</f>
        <v>221728.47976160512</v>
      </c>
      <c r="AG1181" s="6">
        <f>$O$1181*$AA$1181</f>
        <v>505339.79217499756</v>
      </c>
    </row>
    <row r="1182" spans="1:33" ht="11.25" customHeight="1" x14ac:dyDescent="0.25">
      <c r="A1182" s="4" t="s">
        <v>21</v>
      </c>
      <c r="B1182" s="4" t="s">
        <v>41</v>
      </c>
      <c r="C1182" s="4" t="s">
        <v>42</v>
      </c>
      <c r="D1182" s="4" t="s">
        <v>51</v>
      </c>
      <c r="E1182" s="4" t="s">
        <v>52</v>
      </c>
      <c r="F1182" s="4" t="s">
        <v>25</v>
      </c>
      <c r="G1182" s="4" t="s">
        <v>25</v>
      </c>
      <c r="H1182" s="4" t="s">
        <v>35</v>
      </c>
      <c r="I1182" s="5">
        <v>44378</v>
      </c>
      <c r="J1182" s="6">
        <v>0</v>
      </c>
      <c r="K1182" s="70">
        <v>0</v>
      </c>
      <c r="L1182" s="6">
        <v>1732.1310000000001</v>
      </c>
      <c r="M1182" s="70">
        <v>1732.1310000000001</v>
      </c>
      <c r="N1182" s="6">
        <v>1732.1310000000001</v>
      </c>
      <c r="O1182" s="70">
        <v>1732.1310000000001</v>
      </c>
      <c r="P1182" s="6">
        <v>0</v>
      </c>
      <c r="Q1182" s="4" t="s">
        <v>26</v>
      </c>
      <c r="R1182" s="4">
        <v>0</v>
      </c>
      <c r="S1182" s="6">
        <v>0</v>
      </c>
      <c r="T1182" s="6">
        <v>31</v>
      </c>
      <c r="U1182" s="6">
        <v>79</v>
      </c>
      <c r="V1182" s="70">
        <f>IF(ISERROR(VLOOKUP($S$1182,'TAR FIN'!$A$1:$O$116,15,0)),0,VLOOKUP($S$1182,'TAR FIN'!$A$1:$O$116,15,0))</f>
        <v>0</v>
      </c>
      <c r="W1182" s="70">
        <f>IF(ISERROR(VLOOKUP($T$1182,'TAR FIN'!$A$1:$O$116,15,0)),0,VLOOKUP($T$1182,'TAR FIN'!$A$1:$O$116,15,0))*(1-0.06)</f>
        <v>83.340399999999988</v>
      </c>
      <c r="X1182" s="70">
        <f>IF(ISERROR(VLOOKUP($U$1182,'TAR FIN'!$A$1:$O$116,15,0)),0,VLOOKUP($U$1182,'TAR FIN'!$A$1:$O$116,15,0))*(1-0.06)</f>
        <v>292.37760000000003</v>
      </c>
      <c r="Y1182" s="70"/>
      <c r="Z1182" s="70">
        <f ca="1">('TUSD BE'!$AM$35+'TUSD BF'!$AM$35+'TUSD CVA'!$AM$35)*1*(1-0.03)</f>
        <v>133.3127786832801</v>
      </c>
      <c r="AA1182" s="70">
        <f>('TE BE'!$AB$10+'TE BF'!$AB$10+'TE CVA'!$AB$10)*1*(1-0.03)</f>
        <v>303.83220029520902</v>
      </c>
      <c r="AB1182" s="6">
        <f>$K$1182*$V$1182</f>
        <v>0</v>
      </c>
      <c r="AC1182" s="6">
        <f>$M$1182*$W$1182</f>
        <v>144356.49039239998</v>
      </c>
      <c r="AD1182" s="6">
        <f>$O$1182*$X$1182</f>
        <v>506436.30466560007</v>
      </c>
      <c r="AE1182" s="6">
        <f>$K$1182*$Y$1182</f>
        <v>0</v>
      </c>
      <c r="AF1182" s="6">
        <f ca="1">$M$1182*$Z$1182</f>
        <v>230915.19665344866</v>
      </c>
      <c r="AG1182" s="6">
        <f>$O$1182*$AA$1182</f>
        <v>526277.17292954074</v>
      </c>
    </row>
    <row r="1183" spans="1:33" ht="11.25" customHeight="1" x14ac:dyDescent="0.25">
      <c r="A1183" s="4" t="s">
        <v>21</v>
      </c>
      <c r="B1183" s="4" t="s">
        <v>41</v>
      </c>
      <c r="C1183" s="4" t="s">
        <v>42</v>
      </c>
      <c r="D1183" s="4" t="s">
        <v>51</v>
      </c>
      <c r="E1183" s="4" t="s">
        <v>52</v>
      </c>
      <c r="F1183" s="4" t="s">
        <v>25</v>
      </c>
      <c r="G1183" s="4" t="s">
        <v>25</v>
      </c>
      <c r="H1183" s="4" t="s">
        <v>35</v>
      </c>
      <c r="I1183" s="5">
        <v>44409</v>
      </c>
      <c r="J1183" s="6">
        <v>0</v>
      </c>
      <c r="K1183" s="70">
        <v>0</v>
      </c>
      <c r="L1183" s="6">
        <v>1735.712</v>
      </c>
      <c r="M1183" s="70">
        <v>1735.712</v>
      </c>
      <c r="N1183" s="6">
        <v>1735.712</v>
      </c>
      <c r="O1183" s="70">
        <v>1735.712</v>
      </c>
      <c r="P1183" s="6">
        <v>0</v>
      </c>
      <c r="Q1183" s="4" t="s">
        <v>26</v>
      </c>
      <c r="R1183" s="4">
        <v>0</v>
      </c>
      <c r="S1183" s="6">
        <v>0</v>
      </c>
      <c r="T1183" s="6">
        <v>31</v>
      </c>
      <c r="U1183" s="6">
        <v>79</v>
      </c>
      <c r="V1183" s="70">
        <f>IF(ISERROR(VLOOKUP($S$1183,'TAR FIN'!$A$1:$O$116,15,0)),0,VLOOKUP($S$1183,'TAR FIN'!$A$1:$O$116,15,0))</f>
        <v>0</v>
      </c>
      <c r="W1183" s="70">
        <f>IF(ISERROR(VLOOKUP($T$1183,'TAR FIN'!$A$1:$O$116,15,0)),0,VLOOKUP($T$1183,'TAR FIN'!$A$1:$O$116,15,0))*(1-0.06)</f>
        <v>83.340399999999988</v>
      </c>
      <c r="X1183" s="70">
        <f>IF(ISERROR(VLOOKUP($U$1183,'TAR FIN'!$A$1:$O$116,15,0)),0,VLOOKUP($U$1183,'TAR FIN'!$A$1:$O$116,15,0))*(1-0.06)</f>
        <v>292.37760000000003</v>
      </c>
      <c r="Y1183" s="70"/>
      <c r="Z1183" s="70">
        <f ca="1">('TUSD BE'!$AM$35+'TUSD BF'!$AM$35+'TUSD CVA'!$AM$35)*1*(1-0.03)</f>
        <v>133.3127786832801</v>
      </c>
      <c r="AA1183" s="70">
        <f>('TE BE'!$AB$10+'TE BF'!$AB$10+'TE CVA'!$AB$10)*1*(1-0.03)</f>
        <v>303.83220029520902</v>
      </c>
      <c r="AB1183" s="6">
        <f>$K$1183*$V$1183</f>
        <v>0</v>
      </c>
      <c r="AC1183" s="6">
        <f>$M$1183*$W$1183</f>
        <v>144654.93236479998</v>
      </c>
      <c r="AD1183" s="6">
        <f>$O$1183*$X$1183</f>
        <v>507483.30885120004</v>
      </c>
      <c r="AE1183" s="6">
        <f>$K$1183*$Y$1183</f>
        <v>0</v>
      </c>
      <c r="AF1183" s="6">
        <f ca="1">$M$1183*$Z$1183</f>
        <v>231392.58971391348</v>
      </c>
      <c r="AG1183" s="6">
        <f>$O$1183*$AA$1183</f>
        <v>527365.19603879785</v>
      </c>
    </row>
    <row r="1184" spans="1:33" ht="11.25" customHeight="1" x14ac:dyDescent="0.25">
      <c r="A1184" s="4" t="s">
        <v>21</v>
      </c>
      <c r="B1184" s="4" t="s">
        <v>41</v>
      </c>
      <c r="C1184" s="4" t="s">
        <v>42</v>
      </c>
      <c r="D1184" s="4" t="s">
        <v>51</v>
      </c>
      <c r="E1184" s="4" t="s">
        <v>52</v>
      </c>
      <c r="F1184" s="4" t="s">
        <v>25</v>
      </c>
      <c r="G1184" s="4" t="s">
        <v>25</v>
      </c>
      <c r="H1184" s="4" t="s">
        <v>35</v>
      </c>
      <c r="I1184" s="5">
        <v>44440</v>
      </c>
      <c r="J1184" s="6">
        <v>0</v>
      </c>
      <c r="K1184" s="70">
        <v>0</v>
      </c>
      <c r="L1184" s="6">
        <v>1740.075</v>
      </c>
      <c r="M1184" s="70">
        <v>1740.075</v>
      </c>
      <c r="N1184" s="6">
        <v>1740.075</v>
      </c>
      <c r="O1184" s="70">
        <v>1740.075</v>
      </c>
      <c r="P1184" s="6">
        <v>0</v>
      </c>
      <c r="Q1184" s="4" t="s">
        <v>26</v>
      </c>
      <c r="R1184" s="4">
        <v>0</v>
      </c>
      <c r="S1184" s="6">
        <v>0</v>
      </c>
      <c r="T1184" s="6">
        <v>31</v>
      </c>
      <c r="U1184" s="6">
        <v>79</v>
      </c>
      <c r="V1184" s="70">
        <f>IF(ISERROR(VLOOKUP($S$1184,'TAR FIN'!$A$1:$O$116,15,0)),0,VLOOKUP($S$1184,'TAR FIN'!$A$1:$O$116,15,0))</f>
        <v>0</v>
      </c>
      <c r="W1184" s="70">
        <f>IF(ISERROR(VLOOKUP($T$1184,'TAR FIN'!$A$1:$O$116,15,0)),0,VLOOKUP($T$1184,'TAR FIN'!$A$1:$O$116,15,0))*(1-0.06)</f>
        <v>83.340399999999988</v>
      </c>
      <c r="X1184" s="70">
        <f>IF(ISERROR(VLOOKUP($U$1184,'TAR FIN'!$A$1:$O$116,15,0)),0,VLOOKUP($U$1184,'TAR FIN'!$A$1:$O$116,15,0))*(1-0.06)</f>
        <v>292.37760000000003</v>
      </c>
      <c r="Y1184" s="70"/>
      <c r="Z1184" s="70">
        <f ca="1">('TUSD BE'!$AM$35+'TUSD BF'!$AM$35+'TUSD CVA'!$AM$35)*1*(1-0.03)</f>
        <v>133.3127786832801</v>
      </c>
      <c r="AA1184" s="70">
        <f>('TE BE'!$AB$10+'TE BF'!$AB$10+'TE CVA'!$AB$10)*1*(1-0.03)</f>
        <v>303.83220029520902</v>
      </c>
      <c r="AB1184" s="6">
        <f>$K$1184*$V$1184</f>
        <v>0</v>
      </c>
      <c r="AC1184" s="6">
        <f>$M$1184*$W$1184</f>
        <v>145018.54652999999</v>
      </c>
      <c r="AD1184" s="6">
        <f>$O$1184*$X$1184</f>
        <v>508758.95232000004</v>
      </c>
      <c r="AE1184" s="6">
        <f>$K$1184*$Y$1184</f>
        <v>0</v>
      </c>
      <c r="AF1184" s="6">
        <f ca="1">$M$1184*$Z$1184</f>
        <v>231974.23336730863</v>
      </c>
      <c r="AG1184" s="6">
        <f>$O$1184*$AA$1184</f>
        <v>528690.81592868583</v>
      </c>
    </row>
    <row r="1185" spans="1:33" ht="11.25" customHeight="1" x14ac:dyDescent="0.25">
      <c r="A1185" s="4" t="s">
        <v>21</v>
      </c>
      <c r="B1185" s="4" t="s">
        <v>41</v>
      </c>
      <c r="C1185" s="4" t="s">
        <v>42</v>
      </c>
      <c r="D1185" s="4" t="s">
        <v>51</v>
      </c>
      <c r="E1185" s="4" t="s">
        <v>52</v>
      </c>
      <c r="F1185" s="4" t="s">
        <v>25</v>
      </c>
      <c r="G1185" s="4" t="s">
        <v>25</v>
      </c>
      <c r="H1185" s="4" t="s">
        <v>35</v>
      </c>
      <c r="I1185" s="5">
        <v>44470</v>
      </c>
      <c r="J1185" s="6">
        <v>0</v>
      </c>
      <c r="K1185" s="70">
        <v>0</v>
      </c>
      <c r="L1185" s="6">
        <v>1820.239</v>
      </c>
      <c r="M1185" s="70">
        <v>1820.239</v>
      </c>
      <c r="N1185" s="6">
        <v>1820.239</v>
      </c>
      <c r="O1185" s="70">
        <v>1820.239</v>
      </c>
      <c r="P1185" s="6">
        <v>0</v>
      </c>
      <c r="Q1185" s="4" t="s">
        <v>26</v>
      </c>
      <c r="R1185" s="4">
        <v>0</v>
      </c>
      <c r="S1185" s="6">
        <v>0</v>
      </c>
      <c r="T1185" s="6">
        <v>31</v>
      </c>
      <c r="U1185" s="6">
        <v>79</v>
      </c>
      <c r="V1185" s="70">
        <f>IF(ISERROR(VLOOKUP($S$1185,'TAR FIN'!$A$1:$O$116,15,0)),0,VLOOKUP($S$1185,'TAR FIN'!$A$1:$O$116,15,0))</f>
        <v>0</v>
      </c>
      <c r="W1185" s="70">
        <f>IF(ISERROR(VLOOKUP($T$1185,'TAR FIN'!$A$1:$O$116,15,0)),0,VLOOKUP($T$1185,'TAR FIN'!$A$1:$O$116,15,0))*(1-0.06)</f>
        <v>83.340399999999988</v>
      </c>
      <c r="X1185" s="70">
        <f>IF(ISERROR(VLOOKUP($U$1185,'TAR FIN'!$A$1:$O$116,15,0)),0,VLOOKUP($U$1185,'TAR FIN'!$A$1:$O$116,15,0))*(1-0.06)</f>
        <v>292.37760000000003</v>
      </c>
      <c r="Y1185" s="70"/>
      <c r="Z1185" s="70">
        <f ca="1">('TUSD BE'!$AM$35+'TUSD BF'!$AM$35+'TUSD CVA'!$AM$35)*1*(1-0.03)</f>
        <v>133.3127786832801</v>
      </c>
      <c r="AA1185" s="70">
        <f>('TE BE'!$AB$10+'TE BF'!$AB$10+'TE CVA'!$AB$10)*1*(1-0.03)</f>
        <v>303.83220029520902</v>
      </c>
      <c r="AB1185" s="6">
        <f>$K$1185*$V$1185</f>
        <v>0</v>
      </c>
      <c r="AC1185" s="6">
        <f>$M$1185*$W$1185</f>
        <v>151699.44635559997</v>
      </c>
      <c r="AD1185" s="6">
        <f>$O$1185*$X$1185</f>
        <v>532197.11024640012</v>
      </c>
      <c r="AE1185" s="6">
        <f>$K$1185*$Y$1185</f>
        <v>0</v>
      </c>
      <c r="AF1185" s="6">
        <f ca="1">$M$1185*$Z$1185</f>
        <v>242661.11895767509</v>
      </c>
      <c r="AG1185" s="6">
        <f>$O$1185*$AA$1185</f>
        <v>553047.220433151</v>
      </c>
    </row>
    <row r="1186" spans="1:33" ht="11.25" customHeight="1" x14ac:dyDescent="0.25">
      <c r="A1186" s="4" t="s">
        <v>21</v>
      </c>
      <c r="B1186" s="4" t="s">
        <v>41</v>
      </c>
      <c r="C1186" s="4" t="s">
        <v>42</v>
      </c>
      <c r="D1186" s="4" t="s">
        <v>51</v>
      </c>
      <c r="E1186" s="4" t="s">
        <v>52</v>
      </c>
      <c r="F1186" s="4" t="s">
        <v>25</v>
      </c>
      <c r="G1186" s="4" t="s">
        <v>25</v>
      </c>
      <c r="H1186" s="4" t="s">
        <v>35</v>
      </c>
      <c r="I1186" s="5">
        <v>44501</v>
      </c>
      <c r="J1186" s="6">
        <v>0</v>
      </c>
      <c r="K1186" s="70">
        <v>0</v>
      </c>
      <c r="L1186" s="6">
        <v>1795.0060000000001</v>
      </c>
      <c r="M1186" s="70">
        <v>1795.0060000000001</v>
      </c>
      <c r="N1186" s="6">
        <v>1795.0060000000001</v>
      </c>
      <c r="O1186" s="70">
        <v>1795.0060000000001</v>
      </c>
      <c r="P1186" s="6">
        <v>0</v>
      </c>
      <c r="Q1186" s="4" t="s">
        <v>26</v>
      </c>
      <c r="R1186" s="4">
        <v>0</v>
      </c>
      <c r="S1186" s="6">
        <v>0</v>
      </c>
      <c r="T1186" s="6">
        <v>31</v>
      </c>
      <c r="U1186" s="6">
        <v>79</v>
      </c>
      <c r="V1186" s="70">
        <f>IF(ISERROR(VLOOKUP($S$1186,'TAR FIN'!$A$1:$O$116,15,0)),0,VLOOKUP($S$1186,'TAR FIN'!$A$1:$O$116,15,0))</f>
        <v>0</v>
      </c>
      <c r="W1186" s="70">
        <f>IF(ISERROR(VLOOKUP($T$1186,'TAR FIN'!$A$1:$O$116,15,0)),0,VLOOKUP($T$1186,'TAR FIN'!$A$1:$O$116,15,0))*(1-0.06)</f>
        <v>83.340399999999988</v>
      </c>
      <c r="X1186" s="70">
        <f>IF(ISERROR(VLOOKUP($U$1186,'TAR FIN'!$A$1:$O$116,15,0)),0,VLOOKUP($U$1186,'TAR FIN'!$A$1:$O$116,15,0))*(1-0.06)</f>
        <v>292.37760000000003</v>
      </c>
      <c r="Y1186" s="70"/>
      <c r="Z1186" s="70">
        <f ca="1">('TUSD BE'!$AM$35+'TUSD BF'!$AM$35+'TUSD CVA'!$AM$35)*1*(1-0.03)</f>
        <v>133.3127786832801</v>
      </c>
      <c r="AA1186" s="70">
        <f>('TE BE'!$AB$10+'TE BF'!$AB$10+'TE CVA'!$AB$10)*1*(1-0.03)</f>
        <v>303.83220029520902</v>
      </c>
      <c r="AB1186" s="6">
        <f>$K$1186*$V$1186</f>
        <v>0</v>
      </c>
      <c r="AC1186" s="6">
        <f>$M$1186*$W$1186</f>
        <v>149596.51804239998</v>
      </c>
      <c r="AD1186" s="6">
        <f>$O$1186*$X$1186</f>
        <v>524819.54626560013</v>
      </c>
      <c r="AE1186" s="6">
        <f>$K$1186*$Y$1186</f>
        <v>0</v>
      </c>
      <c r="AF1186" s="6">
        <f ca="1">$M$1186*$Z$1186</f>
        <v>239297.2376131599</v>
      </c>
      <c r="AG1186" s="6">
        <f>$O$1186*$AA$1186</f>
        <v>545380.62252310198</v>
      </c>
    </row>
    <row r="1187" spans="1:33" ht="11.25" customHeight="1" x14ac:dyDescent="0.25">
      <c r="A1187" s="4" t="s">
        <v>21</v>
      </c>
      <c r="B1187" s="4" t="s">
        <v>41</v>
      </c>
      <c r="C1187" s="4" t="s">
        <v>42</v>
      </c>
      <c r="D1187" s="4" t="s">
        <v>51</v>
      </c>
      <c r="E1187" s="4" t="s">
        <v>52</v>
      </c>
      <c r="F1187" s="4" t="s">
        <v>25</v>
      </c>
      <c r="G1187" s="4" t="s">
        <v>25</v>
      </c>
      <c r="H1187" s="4" t="s">
        <v>35</v>
      </c>
      <c r="I1187" s="5">
        <v>44531</v>
      </c>
      <c r="J1187" s="6">
        <v>0</v>
      </c>
      <c r="K1187" s="70">
        <v>0</v>
      </c>
      <c r="L1187" s="6">
        <v>1827.7429999999999</v>
      </c>
      <c r="M1187" s="70">
        <v>1827.7429999999999</v>
      </c>
      <c r="N1187" s="6">
        <v>1827.7429999999999</v>
      </c>
      <c r="O1187" s="70">
        <v>1827.7429999999999</v>
      </c>
      <c r="P1187" s="6">
        <v>0</v>
      </c>
      <c r="Q1187" s="4" t="s">
        <v>26</v>
      </c>
      <c r="R1187" s="4">
        <v>0</v>
      </c>
      <c r="S1187" s="6">
        <v>0</v>
      </c>
      <c r="T1187" s="6">
        <v>31</v>
      </c>
      <c r="U1187" s="6">
        <v>79</v>
      </c>
      <c r="V1187" s="70">
        <f>IF(ISERROR(VLOOKUP($S$1187,'TAR FIN'!$A$1:$O$116,15,0)),0,VLOOKUP($S$1187,'TAR FIN'!$A$1:$O$116,15,0))</f>
        <v>0</v>
      </c>
      <c r="W1187" s="70">
        <f>IF(ISERROR(VLOOKUP($T$1187,'TAR FIN'!$A$1:$O$116,15,0)),0,VLOOKUP($T$1187,'TAR FIN'!$A$1:$O$116,15,0))*(1-0.06)</f>
        <v>83.340399999999988</v>
      </c>
      <c r="X1187" s="70">
        <f>IF(ISERROR(VLOOKUP($U$1187,'TAR FIN'!$A$1:$O$116,15,0)),0,VLOOKUP($U$1187,'TAR FIN'!$A$1:$O$116,15,0))*(1-0.06)</f>
        <v>292.37760000000003</v>
      </c>
      <c r="Y1187" s="70"/>
      <c r="Z1187" s="70">
        <f ca="1">('TUSD BE'!$AM$35+'TUSD BF'!$AM$35+'TUSD CVA'!$AM$35)*1*(1-0.03)</f>
        <v>133.3127786832801</v>
      </c>
      <c r="AA1187" s="70">
        <f>('TE BE'!$AB$10+'TE BF'!$AB$10+'TE CVA'!$AB$10)*1*(1-0.03)</f>
        <v>303.83220029520902</v>
      </c>
      <c r="AB1187" s="6">
        <f>$K$1187*$V$1187</f>
        <v>0</v>
      </c>
      <c r="AC1187" s="6">
        <f>$M$1187*$W$1187</f>
        <v>152324.83271719998</v>
      </c>
      <c r="AD1187" s="6">
        <f>$O$1187*$X$1187</f>
        <v>534391.11175680009</v>
      </c>
      <c r="AE1187" s="6">
        <f>$K$1187*$Y$1187</f>
        <v>0</v>
      </c>
      <c r="AF1187" s="6">
        <f ca="1">$M$1187*$Z$1187</f>
        <v>243661.49804891442</v>
      </c>
      <c r="AG1187" s="6">
        <f>$O$1187*$AA$1187</f>
        <v>555327.17726416618</v>
      </c>
    </row>
    <row r="1188" spans="1:33" ht="11.25" customHeight="1" x14ac:dyDescent="0.25">
      <c r="A1188" s="4" t="s">
        <v>21</v>
      </c>
      <c r="B1188" s="4" t="s">
        <v>41</v>
      </c>
      <c r="C1188" s="4" t="s">
        <v>42</v>
      </c>
      <c r="D1188" s="4" t="s">
        <v>51</v>
      </c>
      <c r="E1188" s="4" t="s">
        <v>52</v>
      </c>
      <c r="F1188" s="4" t="s">
        <v>25</v>
      </c>
      <c r="G1188" s="4" t="s">
        <v>25</v>
      </c>
      <c r="H1188" s="4" t="s">
        <v>35</v>
      </c>
      <c r="I1188" s="5">
        <v>44562</v>
      </c>
      <c r="J1188" s="6">
        <v>0</v>
      </c>
      <c r="K1188" s="70">
        <v>0</v>
      </c>
      <c r="L1188" s="6">
        <v>1866.038</v>
      </c>
      <c r="M1188" s="70">
        <v>1866.038</v>
      </c>
      <c r="N1188" s="6">
        <v>1866.038</v>
      </c>
      <c r="O1188" s="70">
        <v>1866.038</v>
      </c>
      <c r="P1188" s="6">
        <v>0</v>
      </c>
      <c r="Q1188" s="4" t="s">
        <v>26</v>
      </c>
      <c r="R1188" s="4">
        <v>0</v>
      </c>
      <c r="S1188" s="6">
        <v>0</v>
      </c>
      <c r="T1188" s="6">
        <v>31</v>
      </c>
      <c r="U1188" s="6">
        <v>79</v>
      </c>
      <c r="V1188" s="70">
        <f>IF(ISERROR(VLOOKUP($S$1188,'TAR FIN'!$A$1:$O$116,15,0)),0,VLOOKUP($S$1188,'TAR FIN'!$A$1:$O$116,15,0))</f>
        <v>0</v>
      </c>
      <c r="W1188" s="70">
        <f>IF(ISERROR(VLOOKUP($T$1188,'TAR FIN'!$A$1:$O$116,15,0)),0,VLOOKUP($T$1188,'TAR FIN'!$A$1:$O$116,15,0))*(1-0.06)</f>
        <v>83.340399999999988</v>
      </c>
      <c r="X1188" s="70">
        <f>IF(ISERROR(VLOOKUP($U$1188,'TAR FIN'!$A$1:$O$116,15,0)),0,VLOOKUP($U$1188,'TAR FIN'!$A$1:$O$116,15,0))*(1-0.06)</f>
        <v>292.37760000000003</v>
      </c>
      <c r="Y1188" s="70"/>
      <c r="Z1188" s="70">
        <f ca="1">('TUSD BE'!$AM$35+'TUSD BF'!$AM$35+'TUSD CVA'!$AM$35)*1*(1-0.03)</f>
        <v>133.3127786832801</v>
      </c>
      <c r="AA1188" s="70">
        <f>('TE BE'!$AB$10+'TE BF'!$AB$10+'TE CVA'!$AB$10)*1*(1-0.03)</f>
        <v>303.83220029520902</v>
      </c>
      <c r="AB1188" s="6">
        <f>$K$1188*$V$1188</f>
        <v>0</v>
      </c>
      <c r="AC1188" s="6">
        <f>$M$1188*$W$1188</f>
        <v>155516.35333519996</v>
      </c>
      <c r="AD1188" s="6">
        <f>$O$1188*$X$1188</f>
        <v>545587.71194880002</v>
      </c>
      <c r="AE1188" s="6">
        <f>$K$1188*$Y$1188</f>
        <v>0</v>
      </c>
      <c r="AF1188" s="6">
        <f ca="1">$M$1188*$Z$1188</f>
        <v>248766.71090859064</v>
      </c>
      <c r="AG1188" s="6">
        <f>$O$1188*$AA$1188</f>
        <v>566962.43137447129</v>
      </c>
    </row>
    <row r="1189" spans="1:33" ht="11.25" customHeight="1" x14ac:dyDescent="0.25">
      <c r="A1189" s="4" t="s">
        <v>21</v>
      </c>
      <c r="B1189" s="4" t="s">
        <v>41</v>
      </c>
      <c r="C1189" s="4" t="s">
        <v>42</v>
      </c>
      <c r="D1189" s="4" t="s">
        <v>51</v>
      </c>
      <c r="E1189" s="4" t="s">
        <v>52</v>
      </c>
      <c r="F1189" s="4" t="s">
        <v>25</v>
      </c>
      <c r="G1189" s="4" t="s">
        <v>25</v>
      </c>
      <c r="H1189" s="4" t="s">
        <v>35</v>
      </c>
      <c r="I1189" s="5">
        <v>44593</v>
      </c>
      <c r="J1189" s="6">
        <v>0</v>
      </c>
      <c r="K1189" s="70">
        <v>0</v>
      </c>
      <c r="L1189" s="6">
        <v>1782.2</v>
      </c>
      <c r="M1189" s="70">
        <v>1782.2</v>
      </c>
      <c r="N1189" s="6">
        <v>1782.2</v>
      </c>
      <c r="O1189" s="70">
        <v>1782.2</v>
      </c>
      <c r="P1189" s="6">
        <v>0</v>
      </c>
      <c r="Q1189" s="4" t="s">
        <v>26</v>
      </c>
      <c r="R1189" s="4">
        <v>0</v>
      </c>
      <c r="S1189" s="6">
        <v>0</v>
      </c>
      <c r="T1189" s="6">
        <v>31</v>
      </c>
      <c r="U1189" s="6">
        <v>79</v>
      </c>
      <c r="V1189" s="70">
        <f>IF(ISERROR(VLOOKUP($S$1189,'TAR FIN'!$A$1:$O$116,15,0)),0,VLOOKUP($S$1189,'TAR FIN'!$A$1:$O$116,15,0))</f>
        <v>0</v>
      </c>
      <c r="W1189" s="70">
        <f>IF(ISERROR(VLOOKUP($T$1189,'TAR FIN'!$A$1:$O$116,15,0)),0,VLOOKUP($T$1189,'TAR FIN'!$A$1:$O$116,15,0))*(1-0.06)</f>
        <v>83.340399999999988</v>
      </c>
      <c r="X1189" s="70">
        <f>IF(ISERROR(VLOOKUP($U$1189,'TAR FIN'!$A$1:$O$116,15,0)),0,VLOOKUP($U$1189,'TAR FIN'!$A$1:$O$116,15,0))*(1-0.06)</f>
        <v>292.37760000000003</v>
      </c>
      <c r="Y1189" s="70"/>
      <c r="Z1189" s="70">
        <f ca="1">('TUSD BE'!$AM$35+'TUSD BF'!$AM$35+'TUSD CVA'!$AM$35)*1*(1-0.03)</f>
        <v>133.3127786832801</v>
      </c>
      <c r="AA1189" s="70">
        <f>('TE BE'!$AB$10+'TE BF'!$AB$10+'TE CVA'!$AB$10)*1*(1-0.03)</f>
        <v>303.83220029520902</v>
      </c>
      <c r="AB1189" s="6">
        <f>$K$1189*$V$1189</f>
        <v>0</v>
      </c>
      <c r="AC1189" s="6">
        <f>$M$1189*$W$1189</f>
        <v>148529.26087999999</v>
      </c>
      <c r="AD1189" s="6">
        <f>$O$1189*$X$1189</f>
        <v>521075.35872000008</v>
      </c>
      <c r="AE1189" s="6">
        <f>$K$1189*$Y$1189</f>
        <v>0</v>
      </c>
      <c r="AF1189" s="6">
        <f ca="1">$M$1189*$Z$1189</f>
        <v>237590.03416934182</v>
      </c>
      <c r="AG1189" s="6">
        <f>$O$1189*$AA$1189</f>
        <v>541489.7473661215</v>
      </c>
    </row>
    <row r="1190" spans="1:33" ht="11.25" customHeight="1" x14ac:dyDescent="0.25">
      <c r="A1190" s="4" t="s">
        <v>21</v>
      </c>
      <c r="B1190" s="4" t="s">
        <v>41</v>
      </c>
      <c r="C1190" s="4" t="s">
        <v>42</v>
      </c>
      <c r="D1190" s="4" t="s">
        <v>51</v>
      </c>
      <c r="E1190" s="4" t="s">
        <v>52</v>
      </c>
      <c r="F1190" s="4" t="s">
        <v>25</v>
      </c>
      <c r="G1190" s="4" t="s">
        <v>25</v>
      </c>
      <c r="H1190" s="4" t="s">
        <v>35</v>
      </c>
      <c r="I1190" s="5">
        <v>44621</v>
      </c>
      <c r="J1190" s="6">
        <v>0</v>
      </c>
      <c r="K1190" s="70">
        <v>0</v>
      </c>
      <c r="L1190" s="6">
        <v>1955.2739999999999</v>
      </c>
      <c r="M1190" s="70">
        <v>1955.2739999999999</v>
      </c>
      <c r="N1190" s="6">
        <v>1955.2739999999999</v>
      </c>
      <c r="O1190" s="70">
        <v>1955.2739999999999</v>
      </c>
      <c r="P1190" s="6">
        <v>0</v>
      </c>
      <c r="Q1190" s="4" t="s">
        <v>26</v>
      </c>
      <c r="R1190" s="4">
        <v>0</v>
      </c>
      <c r="S1190" s="6">
        <v>0</v>
      </c>
      <c r="T1190" s="6">
        <v>31</v>
      </c>
      <c r="U1190" s="6">
        <v>79</v>
      </c>
      <c r="V1190" s="70">
        <f>IF(ISERROR(VLOOKUP($S$1190,'TAR FIN'!$A$1:$O$116,15,0)),0,VLOOKUP($S$1190,'TAR FIN'!$A$1:$O$116,15,0))</f>
        <v>0</v>
      </c>
      <c r="W1190" s="70">
        <f>IF(ISERROR(VLOOKUP($T$1190,'TAR FIN'!$A$1:$O$116,15,0)),0,VLOOKUP($T$1190,'TAR FIN'!$A$1:$O$116,15,0))*(1-0.06)</f>
        <v>83.340399999999988</v>
      </c>
      <c r="X1190" s="70">
        <f>IF(ISERROR(VLOOKUP($U$1190,'TAR FIN'!$A$1:$O$116,15,0)),0,VLOOKUP($U$1190,'TAR FIN'!$A$1:$O$116,15,0))*(1-0.06)</f>
        <v>292.37760000000003</v>
      </c>
      <c r="Y1190" s="70"/>
      <c r="Z1190" s="70">
        <f ca="1">('TUSD BE'!$AM$35+'TUSD BF'!$AM$35+'TUSD CVA'!$AM$35)*1*(1-0.03)</f>
        <v>133.3127786832801</v>
      </c>
      <c r="AA1190" s="70">
        <f>('TE BE'!$AB$10+'TE BF'!$AB$10+'TE CVA'!$AB$10)*1*(1-0.03)</f>
        <v>303.83220029520902</v>
      </c>
      <c r="AB1190" s="6">
        <f>$K$1190*$V$1190</f>
        <v>0</v>
      </c>
      <c r="AC1190" s="6">
        <f>$M$1190*$W$1190</f>
        <v>162953.31726959997</v>
      </c>
      <c r="AD1190" s="6">
        <f>$O$1190*$X$1190</f>
        <v>571678.31946240005</v>
      </c>
      <c r="AE1190" s="6">
        <f>$K$1190*$Y$1190</f>
        <v>0</v>
      </c>
      <c r="AF1190" s="6">
        <f ca="1">$M$1190*$Z$1190</f>
        <v>260663.01002717181</v>
      </c>
      <c r="AG1190" s="6">
        <f>$O$1190*$AA$1190</f>
        <v>594075.20160001446</v>
      </c>
    </row>
    <row r="1191" spans="1:33" ht="11.25" customHeight="1" x14ac:dyDescent="0.25">
      <c r="A1191" s="4" t="s">
        <v>21</v>
      </c>
      <c r="B1191" s="4" t="s">
        <v>41</v>
      </c>
      <c r="C1191" s="4" t="s">
        <v>42</v>
      </c>
      <c r="D1191" s="4" t="s">
        <v>51</v>
      </c>
      <c r="E1191" s="4" t="s">
        <v>52</v>
      </c>
      <c r="F1191" s="4" t="s">
        <v>25</v>
      </c>
      <c r="G1191" s="4" t="s">
        <v>25</v>
      </c>
      <c r="H1191" s="4" t="s">
        <v>35</v>
      </c>
      <c r="I1191" s="5">
        <v>44652</v>
      </c>
      <c r="J1191" s="6">
        <v>0</v>
      </c>
      <c r="K1191" s="70">
        <v>0</v>
      </c>
      <c r="L1191" s="6">
        <v>1900.193</v>
      </c>
      <c r="M1191" s="70">
        <v>1900.193</v>
      </c>
      <c r="N1191" s="6">
        <v>1900.193</v>
      </c>
      <c r="O1191" s="70">
        <v>1900.193</v>
      </c>
      <c r="P1191" s="6">
        <v>0</v>
      </c>
      <c r="Q1191" s="4" t="s">
        <v>26</v>
      </c>
      <c r="R1191" s="4">
        <v>0</v>
      </c>
      <c r="S1191" s="6">
        <v>0</v>
      </c>
      <c r="T1191" s="6">
        <v>31</v>
      </c>
      <c r="U1191" s="6">
        <v>79</v>
      </c>
      <c r="V1191" s="70">
        <f>IF(ISERROR(VLOOKUP($S$1191,'TAR FIN'!$A$1:$O$116,15,0)),0,VLOOKUP($S$1191,'TAR FIN'!$A$1:$O$116,15,0))</f>
        <v>0</v>
      </c>
      <c r="W1191" s="70">
        <f>IF(ISERROR(VLOOKUP($T$1191,'TAR FIN'!$A$1:$O$116,15,0)),0,VLOOKUP($T$1191,'TAR FIN'!$A$1:$O$116,15,0))*(1-0.06)</f>
        <v>83.340399999999988</v>
      </c>
      <c r="X1191" s="70">
        <f>IF(ISERROR(VLOOKUP($U$1191,'TAR FIN'!$A$1:$O$116,15,0)),0,VLOOKUP($U$1191,'TAR FIN'!$A$1:$O$116,15,0))*(1-0.06)</f>
        <v>292.37760000000003</v>
      </c>
      <c r="Y1191" s="70"/>
      <c r="Z1191" s="70">
        <f ca="1">('TUSD BE'!$AM$35+'TUSD BF'!$AM$35+'TUSD CVA'!$AM$35)*1*(1-0.03)</f>
        <v>133.3127786832801</v>
      </c>
      <c r="AA1191" s="70">
        <f>('TE BE'!$AB$10+'TE BF'!$AB$10+'TE CVA'!$AB$10)*1*(1-0.03)</f>
        <v>303.83220029520902</v>
      </c>
      <c r="AB1191" s="6">
        <f>$K$1191*$V$1191</f>
        <v>0</v>
      </c>
      <c r="AC1191" s="6">
        <f>$M$1191*$W$1191</f>
        <v>158362.84469719997</v>
      </c>
      <c r="AD1191" s="6">
        <f>$O$1191*$X$1191</f>
        <v>555573.86887680006</v>
      </c>
      <c r="AE1191" s="6">
        <f>$K$1191*$Y$1191</f>
        <v>0</v>
      </c>
      <c r="AF1191" s="6">
        <f ca="1">$M$1191*$Z$1191</f>
        <v>253320.00886451805</v>
      </c>
      <c r="AG1191" s="6">
        <f>$O$1191*$AA$1191</f>
        <v>577339.82017555414</v>
      </c>
    </row>
    <row r="1192" spans="1:33" ht="11.25" customHeight="1" x14ac:dyDescent="0.25">
      <c r="A1192" s="4" t="s">
        <v>58</v>
      </c>
      <c r="B1192" s="4" t="s">
        <v>41</v>
      </c>
      <c r="C1192" s="4" t="s">
        <v>42</v>
      </c>
      <c r="D1192" s="4" t="s">
        <v>51</v>
      </c>
      <c r="E1192" s="4" t="s">
        <v>52</v>
      </c>
      <c r="F1192" s="4" t="s">
        <v>25</v>
      </c>
      <c r="G1192" s="4" t="s">
        <v>25</v>
      </c>
      <c r="H1192" s="4" t="s">
        <v>35</v>
      </c>
      <c r="I1192" s="5">
        <v>44682</v>
      </c>
      <c r="J1192" s="6">
        <v>0</v>
      </c>
      <c r="K1192" s="70">
        <v>0</v>
      </c>
      <c r="L1192" s="6">
        <v>1900.193</v>
      </c>
      <c r="M1192" s="70">
        <v>1900.193</v>
      </c>
      <c r="N1192" s="6">
        <v>1900.193</v>
      </c>
      <c r="O1192" s="70">
        <v>1900.193</v>
      </c>
      <c r="P1192" s="6">
        <v>0</v>
      </c>
      <c r="Q1192" s="4" t="s">
        <v>26</v>
      </c>
      <c r="R1192" s="4">
        <v>0</v>
      </c>
      <c r="S1192" s="6">
        <v>0</v>
      </c>
      <c r="T1192" s="6">
        <v>31</v>
      </c>
      <c r="U1192" s="6">
        <v>79</v>
      </c>
      <c r="V1192" s="70">
        <f>IF(ISERROR(VLOOKUP($S$1192,'TAR FIN'!$A$1:$O$116,15,0)),0,VLOOKUP($S$1192,'TAR FIN'!$A$1:$O$116,15,0))</f>
        <v>0</v>
      </c>
      <c r="W1192" s="70">
        <f>IF(ISERROR(VLOOKUP($T$1192,'TAR FIN'!$A$1:$O$116,15,0)),0,VLOOKUP($T$1192,'TAR FIN'!$A$1:$O$116,15,0))*(1-0.06)</f>
        <v>83.340399999999988</v>
      </c>
      <c r="X1192" s="70">
        <f>IF(ISERROR(VLOOKUP($U$1192,'TAR FIN'!$A$1:$O$116,15,0)),0,VLOOKUP($U$1192,'TAR FIN'!$A$1:$O$116,15,0))*(1-0.06)</f>
        <v>292.37760000000003</v>
      </c>
      <c r="Y1192" s="70"/>
      <c r="Z1192" s="70">
        <f ca="1">('TUSD BE'!$AM$35+'TUSD BF'!$AM$35+'TUSD CVA'!$AM$35)*1*(1-0.03)</f>
        <v>133.3127786832801</v>
      </c>
      <c r="AA1192" s="70">
        <f>('TE BE'!$AB$10+'TE BF'!$AB$10+'TE CVA'!$AB$10)*1*(1-0.03)</f>
        <v>303.83220029520902</v>
      </c>
      <c r="AB1192" s="6">
        <f>$K$1192*$V$1192</f>
        <v>0</v>
      </c>
      <c r="AC1192" s="6">
        <f>$M$1192*$W$1192</f>
        <v>158362.84469719997</v>
      </c>
      <c r="AD1192" s="6">
        <f>$O$1192*$X$1192</f>
        <v>555573.86887680006</v>
      </c>
      <c r="AE1192" s="6">
        <f>$K$1192*$Y$1192</f>
        <v>0</v>
      </c>
      <c r="AF1192" s="6">
        <f ca="1">$M$1192*$Z$1192</f>
        <v>253320.00886451805</v>
      </c>
      <c r="AG1192" s="6">
        <f>$O$1192*$AA$1192</f>
        <v>577339.82017555414</v>
      </c>
    </row>
    <row r="1193" spans="1:33" ht="11.25" customHeight="1" x14ac:dyDescent="0.25">
      <c r="A1193" s="4" t="s">
        <v>21</v>
      </c>
      <c r="B1193" s="4" t="s">
        <v>41</v>
      </c>
      <c r="C1193" s="4" t="s">
        <v>42</v>
      </c>
      <c r="D1193" s="4" t="s">
        <v>51</v>
      </c>
      <c r="E1193" s="4" t="s">
        <v>52</v>
      </c>
      <c r="F1193" s="4" t="s">
        <v>25</v>
      </c>
      <c r="G1193" s="4" t="s">
        <v>25</v>
      </c>
      <c r="H1193" s="4" t="s">
        <v>25</v>
      </c>
      <c r="I1193" s="5">
        <v>44348</v>
      </c>
      <c r="J1193" s="6">
        <v>4021</v>
      </c>
      <c r="K1193" s="71">
        <v>4021</v>
      </c>
      <c r="L1193" s="6">
        <v>0</v>
      </c>
      <c r="M1193" s="70">
        <v>0</v>
      </c>
      <c r="N1193" s="6">
        <v>0</v>
      </c>
      <c r="O1193" s="70">
        <v>0</v>
      </c>
      <c r="P1193" s="6">
        <v>50</v>
      </c>
      <c r="Q1193" s="4" t="s">
        <v>26</v>
      </c>
      <c r="R1193" s="4">
        <v>0</v>
      </c>
      <c r="S1193" s="6">
        <v>29</v>
      </c>
      <c r="T1193" s="6">
        <v>0</v>
      </c>
      <c r="U1193" s="6">
        <v>0</v>
      </c>
      <c r="V1193" s="70">
        <f>IF(ISERROR(VLOOKUP($S$1193,'TAR FIN'!$A$1:$O$116,15,0)),0,VLOOKUP($S$1193,'TAR FIN'!$A$1:$O$116,15,0))*(1-0.06)</f>
        <v>23.979400000000002</v>
      </c>
      <c r="W1193" s="70">
        <f>IF(ISERROR(VLOOKUP($T$1193,'TAR FIN'!$A$1:$O$116,15,0)),0,VLOOKUP($T$1193,'TAR FIN'!$A$1:$O$116,15,0))</f>
        <v>0</v>
      </c>
      <c r="X1193" s="70">
        <f>IF(ISERROR(VLOOKUP($U$1193,'TAR FIN'!$A$1:$O$116,15,0)),0,VLOOKUP($U$1193,'TAR FIN'!$A$1:$O$116,15,0))</f>
        <v>0</v>
      </c>
      <c r="Y1193" s="70">
        <f ca="1">('TUSD BE'!$AM$33+'TUSD BF'!$AM$33+'TUSD CVA'!$AM$33)*1*(1-0.03)</f>
        <v>28.909168793941035</v>
      </c>
      <c r="Z1193" s="70"/>
      <c r="AA1193" s="70"/>
      <c r="AB1193" s="6">
        <f>$K$1193*$V$1193</f>
        <v>96421.167400000006</v>
      </c>
      <c r="AC1193" s="6">
        <f>$M$1193*$W$1193</f>
        <v>0</v>
      </c>
      <c r="AD1193" s="6">
        <f>$O$1193*$X$1193</f>
        <v>0</v>
      </c>
      <c r="AE1193" s="6">
        <f ca="1">$K$1193*$Y$1193</f>
        <v>116243.7677204369</v>
      </c>
      <c r="AF1193" s="6">
        <f>$M$1193*$Z$1193</f>
        <v>0</v>
      </c>
      <c r="AG1193" s="6">
        <f>$O$1193*$AA$1193</f>
        <v>0</v>
      </c>
    </row>
    <row r="1194" spans="1:33" ht="11.25" customHeight="1" x14ac:dyDescent="0.25">
      <c r="A1194" s="4" t="s">
        <v>21</v>
      </c>
      <c r="B1194" s="4" t="s">
        <v>41</v>
      </c>
      <c r="C1194" s="4" t="s">
        <v>42</v>
      </c>
      <c r="D1194" s="4" t="s">
        <v>51</v>
      </c>
      <c r="E1194" s="4" t="s">
        <v>52</v>
      </c>
      <c r="F1194" s="4" t="s">
        <v>25</v>
      </c>
      <c r="G1194" s="4" t="s">
        <v>25</v>
      </c>
      <c r="H1194" s="4" t="s">
        <v>25</v>
      </c>
      <c r="I1194" s="5">
        <v>44378</v>
      </c>
      <c r="J1194" s="6">
        <v>4034</v>
      </c>
      <c r="K1194" s="71">
        <v>4034</v>
      </c>
      <c r="L1194" s="6">
        <v>0</v>
      </c>
      <c r="M1194" s="70">
        <v>0</v>
      </c>
      <c r="N1194" s="6">
        <v>0</v>
      </c>
      <c r="O1194" s="70">
        <v>0</v>
      </c>
      <c r="P1194" s="6">
        <v>51</v>
      </c>
      <c r="Q1194" s="4" t="s">
        <v>26</v>
      </c>
      <c r="R1194" s="4">
        <v>0</v>
      </c>
      <c r="S1194" s="6">
        <v>29</v>
      </c>
      <c r="T1194" s="6">
        <v>0</v>
      </c>
      <c r="U1194" s="6">
        <v>0</v>
      </c>
      <c r="V1194" s="70">
        <f>IF(ISERROR(VLOOKUP($S$1194,'TAR FIN'!$A$1:$O$116,15,0)),0,VLOOKUP($S$1194,'TAR FIN'!$A$1:$O$116,15,0))*(1-0.06)</f>
        <v>23.979400000000002</v>
      </c>
      <c r="W1194" s="70">
        <f>IF(ISERROR(VLOOKUP($T$1194,'TAR FIN'!$A$1:$O$116,15,0)),0,VLOOKUP($T$1194,'TAR FIN'!$A$1:$O$116,15,0))</f>
        <v>0</v>
      </c>
      <c r="X1194" s="70">
        <f>IF(ISERROR(VLOOKUP($U$1194,'TAR FIN'!$A$1:$O$116,15,0)),0,VLOOKUP($U$1194,'TAR FIN'!$A$1:$O$116,15,0))</f>
        <v>0</v>
      </c>
      <c r="Y1194" s="70">
        <f ca="1">('TUSD BE'!$AM$33+'TUSD BF'!$AM$33+'TUSD CVA'!$AM$33)*1*(1-0.03)</f>
        <v>28.909168793941035</v>
      </c>
      <c r="Z1194" s="70"/>
      <c r="AA1194" s="70"/>
      <c r="AB1194" s="6">
        <f>$K$1194*$V$1194</f>
        <v>96732.899600000004</v>
      </c>
      <c r="AC1194" s="6">
        <f>$M$1194*$W$1194</f>
        <v>0</v>
      </c>
      <c r="AD1194" s="6">
        <f>$O$1194*$X$1194</f>
        <v>0</v>
      </c>
      <c r="AE1194" s="6">
        <f ca="1">$K$1194*$Y$1194</f>
        <v>116619.58691475814</v>
      </c>
      <c r="AF1194" s="6">
        <f>$M$1194*$Z$1194</f>
        <v>0</v>
      </c>
      <c r="AG1194" s="6">
        <f>$O$1194*$AA$1194</f>
        <v>0</v>
      </c>
    </row>
    <row r="1195" spans="1:33" ht="11.25" customHeight="1" x14ac:dyDescent="0.25">
      <c r="A1195" s="4" t="s">
        <v>21</v>
      </c>
      <c r="B1195" s="4" t="s">
        <v>41</v>
      </c>
      <c r="C1195" s="4" t="s">
        <v>42</v>
      </c>
      <c r="D1195" s="4" t="s">
        <v>51</v>
      </c>
      <c r="E1195" s="4" t="s">
        <v>52</v>
      </c>
      <c r="F1195" s="4" t="s">
        <v>25</v>
      </c>
      <c r="G1195" s="4" t="s">
        <v>25</v>
      </c>
      <c r="H1195" s="4" t="s">
        <v>25</v>
      </c>
      <c r="I1195" s="5">
        <v>44409</v>
      </c>
      <c r="J1195" s="6">
        <v>4039</v>
      </c>
      <c r="K1195" s="71">
        <v>4039</v>
      </c>
      <c r="L1195" s="6">
        <v>0</v>
      </c>
      <c r="M1195" s="70">
        <v>0</v>
      </c>
      <c r="N1195" s="6">
        <v>0</v>
      </c>
      <c r="O1195" s="70">
        <v>0</v>
      </c>
      <c r="P1195" s="6">
        <v>50</v>
      </c>
      <c r="Q1195" s="4" t="s">
        <v>26</v>
      </c>
      <c r="R1195" s="4">
        <v>0</v>
      </c>
      <c r="S1195" s="6">
        <v>29</v>
      </c>
      <c r="T1195" s="6">
        <v>0</v>
      </c>
      <c r="U1195" s="6">
        <v>0</v>
      </c>
      <c r="V1195" s="70">
        <f>IF(ISERROR(VLOOKUP($S$1195,'TAR FIN'!$A$1:$O$116,15,0)),0,VLOOKUP($S$1195,'TAR FIN'!$A$1:$O$116,15,0))*(1-0.06)</f>
        <v>23.979400000000002</v>
      </c>
      <c r="W1195" s="70">
        <f>IF(ISERROR(VLOOKUP($T$1195,'TAR FIN'!$A$1:$O$116,15,0)),0,VLOOKUP($T$1195,'TAR FIN'!$A$1:$O$116,15,0))</f>
        <v>0</v>
      </c>
      <c r="X1195" s="70">
        <f>IF(ISERROR(VLOOKUP($U$1195,'TAR FIN'!$A$1:$O$116,15,0)),0,VLOOKUP($U$1195,'TAR FIN'!$A$1:$O$116,15,0))</f>
        <v>0</v>
      </c>
      <c r="Y1195" s="70">
        <f ca="1">('TUSD BE'!$AM$33+'TUSD BF'!$AM$33+'TUSD CVA'!$AM$33)*1*(1-0.03)</f>
        <v>28.909168793941035</v>
      </c>
      <c r="Z1195" s="70"/>
      <c r="AA1195" s="70"/>
      <c r="AB1195" s="6">
        <f>$K$1195*$V$1195</f>
        <v>96852.796600000001</v>
      </c>
      <c r="AC1195" s="6">
        <f>$M$1195*$W$1195</f>
        <v>0</v>
      </c>
      <c r="AD1195" s="6">
        <f>$O$1195*$X$1195</f>
        <v>0</v>
      </c>
      <c r="AE1195" s="6">
        <f ca="1">$K$1195*$Y$1195</f>
        <v>116764.13275872784</v>
      </c>
      <c r="AF1195" s="6">
        <f>$M$1195*$Z$1195</f>
        <v>0</v>
      </c>
      <c r="AG1195" s="6">
        <f>$O$1195*$AA$1195</f>
        <v>0</v>
      </c>
    </row>
    <row r="1196" spans="1:33" ht="11.25" customHeight="1" x14ac:dyDescent="0.25">
      <c r="A1196" s="4" t="s">
        <v>21</v>
      </c>
      <c r="B1196" s="4" t="s">
        <v>41</v>
      </c>
      <c r="C1196" s="4" t="s">
        <v>42</v>
      </c>
      <c r="D1196" s="4" t="s">
        <v>51</v>
      </c>
      <c r="E1196" s="4" t="s">
        <v>52</v>
      </c>
      <c r="F1196" s="4" t="s">
        <v>25</v>
      </c>
      <c r="G1196" s="4" t="s">
        <v>25</v>
      </c>
      <c r="H1196" s="4" t="s">
        <v>25</v>
      </c>
      <c r="I1196" s="5">
        <v>44440</v>
      </c>
      <c r="J1196" s="6">
        <v>4051</v>
      </c>
      <c r="K1196" s="71">
        <v>4051</v>
      </c>
      <c r="L1196" s="6">
        <v>0</v>
      </c>
      <c r="M1196" s="70">
        <v>0</v>
      </c>
      <c r="N1196" s="6">
        <v>0</v>
      </c>
      <c r="O1196" s="70">
        <v>0</v>
      </c>
      <c r="P1196" s="6">
        <v>50</v>
      </c>
      <c r="Q1196" s="4" t="s">
        <v>26</v>
      </c>
      <c r="R1196" s="4">
        <v>0</v>
      </c>
      <c r="S1196" s="6">
        <v>29</v>
      </c>
      <c r="T1196" s="6">
        <v>0</v>
      </c>
      <c r="U1196" s="6">
        <v>0</v>
      </c>
      <c r="V1196" s="70">
        <f>IF(ISERROR(VLOOKUP($S$1196,'TAR FIN'!$A$1:$O$116,15,0)),0,VLOOKUP($S$1196,'TAR FIN'!$A$1:$O$116,15,0))*(1-0.06)</f>
        <v>23.979400000000002</v>
      </c>
      <c r="W1196" s="70">
        <f>IF(ISERROR(VLOOKUP($T$1196,'TAR FIN'!$A$1:$O$116,15,0)),0,VLOOKUP($T$1196,'TAR FIN'!$A$1:$O$116,15,0))</f>
        <v>0</v>
      </c>
      <c r="X1196" s="70">
        <f>IF(ISERROR(VLOOKUP($U$1196,'TAR FIN'!$A$1:$O$116,15,0)),0,VLOOKUP($U$1196,'TAR FIN'!$A$1:$O$116,15,0))</f>
        <v>0</v>
      </c>
      <c r="Y1196" s="70">
        <f ca="1">('TUSD BE'!$AM$33+'TUSD BF'!$AM$33+'TUSD CVA'!$AM$33)*1*(1-0.03)</f>
        <v>28.909168793941035</v>
      </c>
      <c r="Z1196" s="70"/>
      <c r="AA1196" s="70"/>
      <c r="AB1196" s="6">
        <f>$K$1196*$V$1196</f>
        <v>97140.549400000004</v>
      </c>
      <c r="AC1196" s="6">
        <f>$M$1196*$W$1196</f>
        <v>0</v>
      </c>
      <c r="AD1196" s="6">
        <f>$O$1196*$X$1196</f>
        <v>0</v>
      </c>
      <c r="AE1196" s="6">
        <f ca="1">$K$1196*$Y$1196</f>
        <v>117111.04278425513</v>
      </c>
      <c r="AF1196" s="6">
        <f>$M$1196*$Z$1196</f>
        <v>0</v>
      </c>
      <c r="AG1196" s="6">
        <f>$O$1196*$AA$1196</f>
        <v>0</v>
      </c>
    </row>
    <row r="1197" spans="1:33" ht="11.25" customHeight="1" x14ac:dyDescent="0.25">
      <c r="A1197" s="4" t="s">
        <v>21</v>
      </c>
      <c r="B1197" s="4" t="s">
        <v>41</v>
      </c>
      <c r="C1197" s="4" t="s">
        <v>42</v>
      </c>
      <c r="D1197" s="4" t="s">
        <v>51</v>
      </c>
      <c r="E1197" s="4" t="s">
        <v>52</v>
      </c>
      <c r="F1197" s="4" t="s">
        <v>25</v>
      </c>
      <c r="G1197" s="4" t="s">
        <v>25</v>
      </c>
      <c r="H1197" s="4" t="s">
        <v>25</v>
      </c>
      <c r="I1197" s="5">
        <v>44470</v>
      </c>
      <c r="J1197" s="6">
        <v>4378</v>
      </c>
      <c r="K1197" s="71">
        <v>4378</v>
      </c>
      <c r="L1197" s="6">
        <v>0</v>
      </c>
      <c r="M1197" s="70">
        <v>0</v>
      </c>
      <c r="N1197" s="6">
        <v>0</v>
      </c>
      <c r="O1197" s="70">
        <v>0</v>
      </c>
      <c r="P1197" s="6">
        <v>53</v>
      </c>
      <c r="Q1197" s="4" t="s">
        <v>26</v>
      </c>
      <c r="R1197" s="4">
        <v>0</v>
      </c>
      <c r="S1197" s="6">
        <v>29</v>
      </c>
      <c r="T1197" s="6">
        <v>0</v>
      </c>
      <c r="U1197" s="6">
        <v>0</v>
      </c>
      <c r="V1197" s="70">
        <f>IF(ISERROR(VLOOKUP($S$1197,'TAR FIN'!$A$1:$O$116,15,0)),0,VLOOKUP($S$1197,'TAR FIN'!$A$1:$O$116,15,0))*(1-0.06)</f>
        <v>23.979400000000002</v>
      </c>
      <c r="W1197" s="70">
        <f>IF(ISERROR(VLOOKUP($T$1197,'TAR FIN'!$A$1:$O$116,15,0)),0,VLOOKUP($T$1197,'TAR FIN'!$A$1:$O$116,15,0))</f>
        <v>0</v>
      </c>
      <c r="X1197" s="70">
        <f>IF(ISERROR(VLOOKUP($U$1197,'TAR FIN'!$A$1:$O$116,15,0)),0,VLOOKUP($U$1197,'TAR FIN'!$A$1:$O$116,15,0))</f>
        <v>0</v>
      </c>
      <c r="Y1197" s="70">
        <f ca="1">('TUSD BE'!$AM$33+'TUSD BF'!$AM$33+'TUSD CVA'!$AM$33)*1*(1-0.03)</f>
        <v>28.909168793941035</v>
      </c>
      <c r="Z1197" s="70"/>
      <c r="AA1197" s="70"/>
      <c r="AB1197" s="6">
        <f>$K$1197*$V$1197</f>
        <v>104981.8132</v>
      </c>
      <c r="AC1197" s="6">
        <f>$M$1197*$W$1197</f>
        <v>0</v>
      </c>
      <c r="AD1197" s="6">
        <f>$O$1197*$X$1197</f>
        <v>0</v>
      </c>
      <c r="AE1197" s="6">
        <f ca="1">$K$1197*$Y$1197</f>
        <v>126564.34097987386</v>
      </c>
      <c r="AF1197" s="6">
        <f>$M$1197*$Z$1197</f>
        <v>0</v>
      </c>
      <c r="AG1197" s="6">
        <f>$O$1197*$AA$1197</f>
        <v>0</v>
      </c>
    </row>
    <row r="1198" spans="1:33" ht="11.25" customHeight="1" x14ac:dyDescent="0.25">
      <c r="A1198" s="4" t="s">
        <v>21</v>
      </c>
      <c r="B1198" s="4" t="s">
        <v>41</v>
      </c>
      <c r="C1198" s="4" t="s">
        <v>42</v>
      </c>
      <c r="D1198" s="4" t="s">
        <v>51</v>
      </c>
      <c r="E1198" s="4" t="s">
        <v>52</v>
      </c>
      <c r="F1198" s="4" t="s">
        <v>25</v>
      </c>
      <c r="G1198" s="4" t="s">
        <v>25</v>
      </c>
      <c r="H1198" s="4" t="s">
        <v>25</v>
      </c>
      <c r="I1198" s="5">
        <v>44501</v>
      </c>
      <c r="J1198" s="6">
        <v>4376</v>
      </c>
      <c r="K1198" s="71">
        <v>4376</v>
      </c>
      <c r="L1198" s="6">
        <v>0</v>
      </c>
      <c r="M1198" s="70">
        <v>0</v>
      </c>
      <c r="N1198" s="6">
        <v>0</v>
      </c>
      <c r="O1198" s="70">
        <v>0</v>
      </c>
      <c r="P1198" s="6">
        <v>54</v>
      </c>
      <c r="Q1198" s="4" t="s">
        <v>26</v>
      </c>
      <c r="R1198" s="4">
        <v>0</v>
      </c>
      <c r="S1198" s="6">
        <v>29</v>
      </c>
      <c r="T1198" s="6">
        <v>0</v>
      </c>
      <c r="U1198" s="6">
        <v>0</v>
      </c>
      <c r="V1198" s="70">
        <f>IF(ISERROR(VLOOKUP($S$1198,'TAR FIN'!$A$1:$O$116,15,0)),0,VLOOKUP($S$1198,'TAR FIN'!$A$1:$O$116,15,0))*(1-0.06)</f>
        <v>23.979400000000002</v>
      </c>
      <c r="W1198" s="70">
        <f>IF(ISERROR(VLOOKUP($T$1198,'TAR FIN'!$A$1:$O$116,15,0)),0,VLOOKUP($T$1198,'TAR FIN'!$A$1:$O$116,15,0))</f>
        <v>0</v>
      </c>
      <c r="X1198" s="70">
        <f>IF(ISERROR(VLOOKUP($U$1198,'TAR FIN'!$A$1:$O$116,15,0)),0,VLOOKUP($U$1198,'TAR FIN'!$A$1:$O$116,15,0))</f>
        <v>0</v>
      </c>
      <c r="Y1198" s="70">
        <f ca="1">('TUSD BE'!$AM$33+'TUSD BF'!$AM$33+'TUSD CVA'!$AM$33)*1*(1-0.03)</f>
        <v>28.909168793941035</v>
      </c>
      <c r="Z1198" s="70"/>
      <c r="AA1198" s="70"/>
      <c r="AB1198" s="6">
        <f>$K$1198*$V$1198</f>
        <v>104933.85440000001</v>
      </c>
      <c r="AC1198" s="6">
        <f>$M$1198*$W$1198</f>
        <v>0</v>
      </c>
      <c r="AD1198" s="6">
        <f>$O$1198*$X$1198</f>
        <v>0</v>
      </c>
      <c r="AE1198" s="6">
        <f ca="1">$K$1198*$Y$1198</f>
        <v>126506.52264228597</v>
      </c>
      <c r="AF1198" s="6">
        <f>$M$1198*$Z$1198</f>
        <v>0</v>
      </c>
      <c r="AG1198" s="6">
        <f>$O$1198*$AA$1198</f>
        <v>0</v>
      </c>
    </row>
    <row r="1199" spans="1:33" ht="11.25" customHeight="1" x14ac:dyDescent="0.25">
      <c r="A1199" s="4" t="s">
        <v>21</v>
      </c>
      <c r="B1199" s="4" t="s">
        <v>41</v>
      </c>
      <c r="C1199" s="4" t="s">
        <v>42</v>
      </c>
      <c r="D1199" s="4" t="s">
        <v>51</v>
      </c>
      <c r="E1199" s="4" t="s">
        <v>52</v>
      </c>
      <c r="F1199" s="4" t="s">
        <v>25</v>
      </c>
      <c r="G1199" s="4" t="s">
        <v>25</v>
      </c>
      <c r="H1199" s="4" t="s">
        <v>25</v>
      </c>
      <c r="I1199" s="5">
        <v>44531</v>
      </c>
      <c r="J1199" s="6">
        <v>4415</v>
      </c>
      <c r="K1199" s="71">
        <v>4415</v>
      </c>
      <c r="L1199" s="6">
        <v>0</v>
      </c>
      <c r="M1199" s="70">
        <v>0</v>
      </c>
      <c r="N1199" s="6">
        <v>0</v>
      </c>
      <c r="O1199" s="70">
        <v>0</v>
      </c>
      <c r="P1199" s="6">
        <v>54</v>
      </c>
      <c r="Q1199" s="4" t="s">
        <v>26</v>
      </c>
      <c r="R1199" s="4">
        <v>0</v>
      </c>
      <c r="S1199" s="6">
        <v>29</v>
      </c>
      <c r="T1199" s="6">
        <v>0</v>
      </c>
      <c r="U1199" s="6">
        <v>0</v>
      </c>
      <c r="V1199" s="70">
        <f>IF(ISERROR(VLOOKUP($S$1199,'TAR FIN'!$A$1:$O$116,15,0)),0,VLOOKUP($S$1199,'TAR FIN'!$A$1:$O$116,15,0))*(1-0.06)</f>
        <v>23.979400000000002</v>
      </c>
      <c r="W1199" s="70">
        <f>IF(ISERROR(VLOOKUP($T$1199,'TAR FIN'!$A$1:$O$116,15,0)),0,VLOOKUP($T$1199,'TAR FIN'!$A$1:$O$116,15,0))</f>
        <v>0</v>
      </c>
      <c r="X1199" s="70">
        <f>IF(ISERROR(VLOOKUP($U$1199,'TAR FIN'!$A$1:$O$116,15,0)),0,VLOOKUP($U$1199,'TAR FIN'!$A$1:$O$116,15,0))</f>
        <v>0</v>
      </c>
      <c r="Y1199" s="70">
        <f ca="1">('TUSD BE'!$AM$33+'TUSD BF'!$AM$33+'TUSD CVA'!$AM$33)*1*(1-0.03)</f>
        <v>28.909168793941035</v>
      </c>
      <c r="Z1199" s="70"/>
      <c r="AA1199" s="70"/>
      <c r="AB1199" s="6">
        <f>$K$1199*$V$1199</f>
        <v>105869.05100000001</v>
      </c>
      <c r="AC1199" s="6">
        <f>$M$1199*$W$1199</f>
        <v>0</v>
      </c>
      <c r="AD1199" s="6">
        <f>$O$1199*$X$1199</f>
        <v>0</v>
      </c>
      <c r="AE1199" s="6">
        <f ca="1">$K$1199*$Y$1199</f>
        <v>127633.98022524967</v>
      </c>
      <c r="AF1199" s="6">
        <f>$M$1199*$Z$1199</f>
        <v>0</v>
      </c>
      <c r="AG1199" s="6">
        <f>$O$1199*$AA$1199</f>
        <v>0</v>
      </c>
    </row>
    <row r="1200" spans="1:33" ht="11.25" customHeight="1" x14ac:dyDescent="0.25">
      <c r="A1200" s="4" t="s">
        <v>21</v>
      </c>
      <c r="B1200" s="4" t="s">
        <v>41</v>
      </c>
      <c r="C1200" s="4" t="s">
        <v>42</v>
      </c>
      <c r="D1200" s="4" t="s">
        <v>51</v>
      </c>
      <c r="E1200" s="4" t="s">
        <v>52</v>
      </c>
      <c r="F1200" s="4" t="s">
        <v>25</v>
      </c>
      <c r="G1200" s="4" t="s">
        <v>25</v>
      </c>
      <c r="H1200" s="4" t="s">
        <v>25</v>
      </c>
      <c r="I1200" s="5">
        <v>44562</v>
      </c>
      <c r="J1200" s="6">
        <v>4426</v>
      </c>
      <c r="K1200" s="71">
        <v>4426</v>
      </c>
      <c r="L1200" s="6">
        <v>0</v>
      </c>
      <c r="M1200" s="70">
        <v>0</v>
      </c>
      <c r="N1200" s="6">
        <v>0</v>
      </c>
      <c r="O1200" s="70">
        <v>0</v>
      </c>
      <c r="P1200" s="6">
        <v>54</v>
      </c>
      <c r="Q1200" s="4" t="s">
        <v>26</v>
      </c>
      <c r="R1200" s="4">
        <v>0</v>
      </c>
      <c r="S1200" s="6">
        <v>29</v>
      </c>
      <c r="T1200" s="6">
        <v>0</v>
      </c>
      <c r="U1200" s="6">
        <v>0</v>
      </c>
      <c r="V1200" s="70">
        <f>IF(ISERROR(VLOOKUP($S$1200,'TAR FIN'!$A$1:$O$116,15,0)),0,VLOOKUP($S$1200,'TAR FIN'!$A$1:$O$116,15,0))*(1-0.06)</f>
        <v>23.979400000000002</v>
      </c>
      <c r="W1200" s="70">
        <f>IF(ISERROR(VLOOKUP($T$1200,'TAR FIN'!$A$1:$O$116,15,0)),0,VLOOKUP($T$1200,'TAR FIN'!$A$1:$O$116,15,0))</f>
        <v>0</v>
      </c>
      <c r="X1200" s="70">
        <f>IF(ISERROR(VLOOKUP($U$1200,'TAR FIN'!$A$1:$O$116,15,0)),0,VLOOKUP($U$1200,'TAR FIN'!$A$1:$O$116,15,0))</f>
        <v>0</v>
      </c>
      <c r="Y1200" s="70">
        <f ca="1">('TUSD BE'!$AM$33+'TUSD BF'!$AM$33+'TUSD CVA'!$AM$33)*1*(1-0.03)</f>
        <v>28.909168793941035</v>
      </c>
      <c r="Z1200" s="70"/>
      <c r="AA1200" s="70"/>
      <c r="AB1200" s="6">
        <f>$K$1200*$V$1200</f>
        <v>106132.82440000001</v>
      </c>
      <c r="AC1200" s="6">
        <f>$M$1200*$W$1200</f>
        <v>0</v>
      </c>
      <c r="AD1200" s="6">
        <f>$O$1200*$X$1200</f>
        <v>0</v>
      </c>
      <c r="AE1200" s="6">
        <f ca="1">$K$1200*$Y$1200</f>
        <v>127951.98108198302</v>
      </c>
      <c r="AF1200" s="6">
        <f>$M$1200*$Z$1200</f>
        <v>0</v>
      </c>
      <c r="AG1200" s="6">
        <f>$O$1200*$AA$1200</f>
        <v>0</v>
      </c>
    </row>
    <row r="1201" spans="1:33" ht="11.25" customHeight="1" x14ac:dyDescent="0.25">
      <c r="A1201" s="4" t="s">
        <v>21</v>
      </c>
      <c r="B1201" s="4" t="s">
        <v>41</v>
      </c>
      <c r="C1201" s="4" t="s">
        <v>42</v>
      </c>
      <c r="D1201" s="4" t="s">
        <v>51</v>
      </c>
      <c r="E1201" s="4" t="s">
        <v>52</v>
      </c>
      <c r="F1201" s="4" t="s">
        <v>25</v>
      </c>
      <c r="G1201" s="4" t="s">
        <v>25</v>
      </c>
      <c r="H1201" s="4" t="s">
        <v>25</v>
      </c>
      <c r="I1201" s="5">
        <v>44593</v>
      </c>
      <c r="J1201" s="6">
        <v>4417</v>
      </c>
      <c r="K1201" s="71">
        <v>4417</v>
      </c>
      <c r="L1201" s="6">
        <v>0</v>
      </c>
      <c r="M1201" s="70">
        <v>0</v>
      </c>
      <c r="N1201" s="6">
        <v>0</v>
      </c>
      <c r="O1201" s="70">
        <v>0</v>
      </c>
      <c r="P1201" s="6">
        <v>54</v>
      </c>
      <c r="Q1201" s="4" t="s">
        <v>26</v>
      </c>
      <c r="R1201" s="4">
        <v>0</v>
      </c>
      <c r="S1201" s="6">
        <v>29</v>
      </c>
      <c r="T1201" s="6">
        <v>0</v>
      </c>
      <c r="U1201" s="6">
        <v>0</v>
      </c>
      <c r="V1201" s="70">
        <f>IF(ISERROR(VLOOKUP($S$1201,'TAR FIN'!$A$1:$O$116,15,0)),0,VLOOKUP($S$1201,'TAR FIN'!$A$1:$O$116,15,0))*(1-0.06)</f>
        <v>23.979400000000002</v>
      </c>
      <c r="W1201" s="70">
        <f>IF(ISERROR(VLOOKUP($T$1201,'TAR FIN'!$A$1:$O$116,15,0)),0,VLOOKUP($T$1201,'TAR FIN'!$A$1:$O$116,15,0))</f>
        <v>0</v>
      </c>
      <c r="X1201" s="70">
        <f>IF(ISERROR(VLOOKUP($U$1201,'TAR FIN'!$A$1:$O$116,15,0)),0,VLOOKUP($U$1201,'TAR FIN'!$A$1:$O$116,15,0))</f>
        <v>0</v>
      </c>
      <c r="Y1201" s="70">
        <f ca="1">('TUSD BE'!$AM$33+'TUSD BF'!$AM$33+'TUSD CVA'!$AM$33)*1*(1-0.03)</f>
        <v>28.909168793941035</v>
      </c>
      <c r="Z1201" s="70"/>
      <c r="AA1201" s="70"/>
      <c r="AB1201" s="6">
        <f>$K$1201*$V$1201</f>
        <v>105917.00980000001</v>
      </c>
      <c r="AC1201" s="6">
        <f>$M$1201*$W$1201</f>
        <v>0</v>
      </c>
      <c r="AD1201" s="6">
        <f>$O$1201*$X$1201</f>
        <v>0</v>
      </c>
      <c r="AE1201" s="6">
        <f ca="1">$K$1201*$Y$1201</f>
        <v>127691.79856283755</v>
      </c>
      <c r="AF1201" s="6">
        <f>$M$1201*$Z$1201</f>
        <v>0</v>
      </c>
      <c r="AG1201" s="6">
        <f>$O$1201*$AA$1201</f>
        <v>0</v>
      </c>
    </row>
    <row r="1202" spans="1:33" ht="11.25" customHeight="1" x14ac:dyDescent="0.25">
      <c r="A1202" s="4" t="s">
        <v>21</v>
      </c>
      <c r="B1202" s="4" t="s">
        <v>41</v>
      </c>
      <c r="C1202" s="4" t="s">
        <v>42</v>
      </c>
      <c r="D1202" s="4" t="s">
        <v>51</v>
      </c>
      <c r="E1202" s="4" t="s">
        <v>52</v>
      </c>
      <c r="F1202" s="4" t="s">
        <v>25</v>
      </c>
      <c r="G1202" s="4" t="s">
        <v>25</v>
      </c>
      <c r="H1202" s="4" t="s">
        <v>25</v>
      </c>
      <c r="I1202" s="5">
        <v>44621</v>
      </c>
      <c r="J1202" s="6">
        <v>4545</v>
      </c>
      <c r="K1202" s="71">
        <v>4545</v>
      </c>
      <c r="L1202" s="6">
        <v>0</v>
      </c>
      <c r="M1202" s="70">
        <v>0</v>
      </c>
      <c r="N1202" s="6">
        <v>0</v>
      </c>
      <c r="O1202" s="70">
        <v>0</v>
      </c>
      <c r="P1202" s="6">
        <v>54</v>
      </c>
      <c r="Q1202" s="4" t="s">
        <v>26</v>
      </c>
      <c r="R1202" s="4">
        <v>0</v>
      </c>
      <c r="S1202" s="6">
        <v>29</v>
      </c>
      <c r="T1202" s="6">
        <v>0</v>
      </c>
      <c r="U1202" s="6">
        <v>0</v>
      </c>
      <c r="V1202" s="70">
        <f>IF(ISERROR(VLOOKUP($S$1202,'TAR FIN'!$A$1:$O$116,15,0)),0,VLOOKUP($S$1202,'TAR FIN'!$A$1:$O$116,15,0))*(1-0.06)</f>
        <v>23.979400000000002</v>
      </c>
      <c r="W1202" s="70">
        <f>IF(ISERROR(VLOOKUP($T$1202,'TAR FIN'!$A$1:$O$116,15,0)),0,VLOOKUP($T$1202,'TAR FIN'!$A$1:$O$116,15,0))</f>
        <v>0</v>
      </c>
      <c r="X1202" s="70">
        <f>IF(ISERROR(VLOOKUP($U$1202,'TAR FIN'!$A$1:$O$116,15,0)),0,VLOOKUP($U$1202,'TAR FIN'!$A$1:$O$116,15,0))</f>
        <v>0</v>
      </c>
      <c r="Y1202" s="70">
        <f ca="1">('TUSD BE'!$AM$33+'TUSD BF'!$AM$33+'TUSD CVA'!$AM$33)*1*(1-0.03)</f>
        <v>28.909168793941035</v>
      </c>
      <c r="Z1202" s="70"/>
      <c r="AA1202" s="70"/>
      <c r="AB1202" s="6">
        <f>$K$1202*$V$1202</f>
        <v>108986.37300000001</v>
      </c>
      <c r="AC1202" s="6">
        <f>$M$1202*$W$1202</f>
        <v>0</v>
      </c>
      <c r="AD1202" s="6">
        <f>$O$1202*$X$1202</f>
        <v>0</v>
      </c>
      <c r="AE1202" s="6">
        <f ca="1">$K$1202*$Y$1202</f>
        <v>131392.17216846201</v>
      </c>
      <c r="AF1202" s="6">
        <f>$M$1202*$Z$1202</f>
        <v>0</v>
      </c>
      <c r="AG1202" s="6">
        <f>$O$1202*$AA$1202</f>
        <v>0</v>
      </c>
    </row>
    <row r="1203" spans="1:33" ht="11.25" customHeight="1" x14ac:dyDescent="0.25">
      <c r="A1203" s="4" t="s">
        <v>21</v>
      </c>
      <c r="B1203" s="4" t="s">
        <v>41</v>
      </c>
      <c r="C1203" s="4" t="s">
        <v>42</v>
      </c>
      <c r="D1203" s="4" t="s">
        <v>51</v>
      </c>
      <c r="E1203" s="4" t="s">
        <v>52</v>
      </c>
      <c r="F1203" s="4" t="s">
        <v>25</v>
      </c>
      <c r="G1203" s="4" t="s">
        <v>25</v>
      </c>
      <c r="H1203" s="4" t="s">
        <v>25</v>
      </c>
      <c r="I1203" s="5">
        <v>44652</v>
      </c>
      <c r="J1203" s="6">
        <v>4566</v>
      </c>
      <c r="K1203" s="71">
        <v>4566</v>
      </c>
      <c r="L1203" s="6">
        <v>0</v>
      </c>
      <c r="M1203" s="70">
        <v>0</v>
      </c>
      <c r="N1203" s="6">
        <v>0</v>
      </c>
      <c r="O1203" s="70">
        <v>0</v>
      </c>
      <c r="P1203" s="6">
        <v>54</v>
      </c>
      <c r="Q1203" s="4" t="s">
        <v>26</v>
      </c>
      <c r="R1203" s="4">
        <v>0</v>
      </c>
      <c r="S1203" s="6">
        <v>29</v>
      </c>
      <c r="T1203" s="6">
        <v>0</v>
      </c>
      <c r="U1203" s="6">
        <v>0</v>
      </c>
      <c r="V1203" s="70">
        <f>IF(ISERROR(VLOOKUP($S$1203,'TAR FIN'!$A$1:$O$116,15,0)),0,VLOOKUP($S$1203,'TAR FIN'!$A$1:$O$116,15,0))*(1-0.06)</f>
        <v>23.979400000000002</v>
      </c>
      <c r="W1203" s="70">
        <f>IF(ISERROR(VLOOKUP($T$1203,'TAR FIN'!$A$1:$O$116,15,0)),0,VLOOKUP($T$1203,'TAR FIN'!$A$1:$O$116,15,0))</f>
        <v>0</v>
      </c>
      <c r="X1203" s="70">
        <f>IF(ISERROR(VLOOKUP($U$1203,'TAR FIN'!$A$1:$O$116,15,0)),0,VLOOKUP($U$1203,'TAR FIN'!$A$1:$O$116,15,0))</f>
        <v>0</v>
      </c>
      <c r="Y1203" s="70">
        <f ca="1">('TUSD BE'!$AM$33+'TUSD BF'!$AM$33+'TUSD CVA'!$AM$33)*1*(1-0.03)</f>
        <v>28.909168793941035</v>
      </c>
      <c r="Z1203" s="70"/>
      <c r="AA1203" s="70"/>
      <c r="AB1203" s="6">
        <f>$K$1203*$V$1203</f>
        <v>109489.94040000001</v>
      </c>
      <c r="AC1203" s="6">
        <f>$M$1203*$W$1203</f>
        <v>0</v>
      </c>
      <c r="AD1203" s="6">
        <f>$O$1203*$X$1203</f>
        <v>0</v>
      </c>
      <c r="AE1203" s="6">
        <f ca="1">$K$1203*$Y$1203</f>
        <v>131999.26471313476</v>
      </c>
      <c r="AF1203" s="6">
        <f>$M$1203*$Z$1203</f>
        <v>0</v>
      </c>
      <c r="AG1203" s="6">
        <f>$O$1203*$AA$1203</f>
        <v>0</v>
      </c>
    </row>
    <row r="1204" spans="1:33" ht="11.25" customHeight="1" x14ac:dyDescent="0.25">
      <c r="A1204" s="4" t="s">
        <v>58</v>
      </c>
      <c r="B1204" s="4" t="s">
        <v>41</v>
      </c>
      <c r="C1204" s="4" t="s">
        <v>42</v>
      </c>
      <c r="D1204" s="4" t="s">
        <v>51</v>
      </c>
      <c r="E1204" s="4" t="s">
        <v>52</v>
      </c>
      <c r="F1204" s="4" t="s">
        <v>25</v>
      </c>
      <c r="G1204" s="4" t="s">
        <v>25</v>
      </c>
      <c r="H1204" s="4" t="s">
        <v>25</v>
      </c>
      <c r="I1204" s="5">
        <v>44682</v>
      </c>
      <c r="J1204" s="6">
        <v>4566</v>
      </c>
      <c r="K1204" s="71">
        <v>4566</v>
      </c>
      <c r="L1204" s="6">
        <v>0</v>
      </c>
      <c r="M1204" s="70">
        <v>0</v>
      </c>
      <c r="N1204" s="6">
        <v>0</v>
      </c>
      <c r="O1204" s="70">
        <v>0</v>
      </c>
      <c r="P1204" s="6">
        <v>54</v>
      </c>
      <c r="Q1204" s="4" t="s">
        <v>26</v>
      </c>
      <c r="R1204" s="4">
        <v>0</v>
      </c>
      <c r="S1204" s="6">
        <v>29</v>
      </c>
      <c r="T1204" s="6">
        <v>0</v>
      </c>
      <c r="U1204" s="6">
        <v>0</v>
      </c>
      <c r="V1204" s="70">
        <f>IF(ISERROR(VLOOKUP($S$1204,'TAR FIN'!$A$1:$O$116,15,0)),0,VLOOKUP($S$1204,'TAR FIN'!$A$1:$O$116,15,0))*(1-0.06)</f>
        <v>23.979400000000002</v>
      </c>
      <c r="W1204" s="70">
        <f>IF(ISERROR(VLOOKUP($T$1204,'TAR FIN'!$A$1:$O$116,15,0)),0,VLOOKUP($T$1204,'TAR FIN'!$A$1:$O$116,15,0))</f>
        <v>0</v>
      </c>
      <c r="X1204" s="70">
        <f>IF(ISERROR(VLOOKUP($U$1204,'TAR FIN'!$A$1:$O$116,15,0)),0,VLOOKUP($U$1204,'TAR FIN'!$A$1:$O$116,15,0))</f>
        <v>0</v>
      </c>
      <c r="Y1204" s="70">
        <f ca="1">('TUSD BE'!$AM$33+'TUSD BF'!$AM$33+'TUSD CVA'!$AM$33)*1*(1-0.03)</f>
        <v>28.909168793941035</v>
      </c>
      <c r="Z1204" s="70"/>
      <c r="AA1204" s="70"/>
      <c r="AB1204" s="6">
        <f>$K$1204*$V$1204</f>
        <v>109489.94040000001</v>
      </c>
      <c r="AC1204" s="6">
        <f>$M$1204*$W$1204</f>
        <v>0</v>
      </c>
      <c r="AD1204" s="6">
        <f>$O$1204*$X$1204</f>
        <v>0</v>
      </c>
      <c r="AE1204" s="6">
        <f ca="1">$K$1204*$Y$1204</f>
        <v>131999.26471313476</v>
      </c>
      <c r="AF1204" s="6">
        <f>$M$1204*$Z$1204</f>
        <v>0</v>
      </c>
      <c r="AG1204" s="6">
        <f>$O$1204*$AA$1204</f>
        <v>0</v>
      </c>
    </row>
    <row r="1205" spans="1:33" ht="11.25" customHeight="1" x14ac:dyDescent="0.25">
      <c r="A1205" s="4" t="s">
        <v>21</v>
      </c>
      <c r="B1205" s="4" t="s">
        <v>41</v>
      </c>
      <c r="C1205" s="4" t="s">
        <v>42</v>
      </c>
      <c r="D1205" s="4" t="s">
        <v>51</v>
      </c>
      <c r="E1205" s="4" t="s">
        <v>52</v>
      </c>
      <c r="F1205" s="4" t="s">
        <v>25</v>
      </c>
      <c r="G1205" s="4" t="s">
        <v>25</v>
      </c>
      <c r="H1205" s="4" t="s">
        <v>34</v>
      </c>
      <c r="I1205" s="5">
        <v>44348</v>
      </c>
      <c r="J1205" s="6">
        <v>0</v>
      </c>
      <c r="K1205" s="70">
        <v>0</v>
      </c>
      <c r="L1205" s="6">
        <v>105.333</v>
      </c>
      <c r="M1205" s="70">
        <v>105.333</v>
      </c>
      <c r="N1205" s="6">
        <v>105.333</v>
      </c>
      <c r="O1205" s="70">
        <v>105.333</v>
      </c>
      <c r="P1205" s="6">
        <v>0</v>
      </c>
      <c r="Q1205" s="4" t="s">
        <v>26</v>
      </c>
      <c r="R1205" s="4">
        <v>0</v>
      </c>
      <c r="S1205" s="6">
        <v>0</v>
      </c>
      <c r="T1205" s="6">
        <v>30</v>
      </c>
      <c r="U1205" s="6">
        <v>78</v>
      </c>
      <c r="V1205" s="70">
        <f>IF(ISERROR(VLOOKUP($S$1205,'TAR FIN'!$A$1:$O$116,15,0)),0,VLOOKUP($S$1205,'TAR FIN'!$A$1:$O$116,15,0))</f>
        <v>0</v>
      </c>
      <c r="W1205" s="70">
        <f>IF(ISERROR(VLOOKUP($T$1205,'TAR FIN'!$A$1:$O$116,15,0)),0,VLOOKUP($T$1205,'TAR FIN'!$A$1:$O$116,15,0))*(1-0.06)</f>
        <v>1581.1927999999998</v>
      </c>
      <c r="X1205" s="70">
        <f>IF(ISERROR(VLOOKUP($U$1205,'TAR FIN'!$A$1:$O$116,15,0)),0,VLOOKUP($U$1205,'TAR FIN'!$A$1:$O$116,15,0))*(1-0.06)</f>
        <v>466.38099999999997</v>
      </c>
      <c r="Y1205" s="70"/>
      <c r="Z1205" s="70">
        <f ca="1">('TUSD BE'!$AM$34+'TUSD BF'!$AM$34+'TUSD CVA'!$AM$34)*1*(1-0.03)</f>
        <v>1910.8223561368904</v>
      </c>
      <c r="AA1205" s="70">
        <f>('TE BE'!$AB$9+'TE BF'!$AB$9+'TE CVA'!$AB$9)*1*(1-0.03)</f>
        <v>494.74843531278674</v>
      </c>
      <c r="AB1205" s="6">
        <f>$K$1205*$V$1205</f>
        <v>0</v>
      </c>
      <c r="AC1205" s="6">
        <f>$M$1205*$W$1205</f>
        <v>166551.78120239999</v>
      </c>
      <c r="AD1205" s="6">
        <f>$O$1205*$X$1205</f>
        <v>49125.309872999998</v>
      </c>
      <c r="AE1205" s="6">
        <f>$K$1205*$Y$1205</f>
        <v>0</v>
      </c>
      <c r="AF1205" s="6">
        <f ca="1">$M$1205*$Z$1205</f>
        <v>201272.65123896708</v>
      </c>
      <c r="AG1205" s="6">
        <f>$O$1205*$AA$1205</f>
        <v>52113.336936801767</v>
      </c>
    </row>
    <row r="1206" spans="1:33" ht="11.25" customHeight="1" x14ac:dyDescent="0.25">
      <c r="A1206" s="4" t="s">
        <v>21</v>
      </c>
      <c r="B1206" s="4" t="s">
        <v>41</v>
      </c>
      <c r="C1206" s="4" t="s">
        <v>42</v>
      </c>
      <c r="D1206" s="4" t="s">
        <v>51</v>
      </c>
      <c r="E1206" s="4" t="s">
        <v>52</v>
      </c>
      <c r="F1206" s="4" t="s">
        <v>25</v>
      </c>
      <c r="G1206" s="4" t="s">
        <v>25</v>
      </c>
      <c r="H1206" s="4" t="s">
        <v>34</v>
      </c>
      <c r="I1206" s="5">
        <v>44378</v>
      </c>
      <c r="J1206" s="6">
        <v>0</v>
      </c>
      <c r="K1206" s="70">
        <v>0</v>
      </c>
      <c r="L1206" s="6">
        <v>117.941</v>
      </c>
      <c r="M1206" s="70">
        <v>117.941</v>
      </c>
      <c r="N1206" s="6">
        <v>117.941</v>
      </c>
      <c r="O1206" s="70">
        <v>117.941</v>
      </c>
      <c r="P1206" s="6">
        <v>0</v>
      </c>
      <c r="Q1206" s="4" t="s">
        <v>26</v>
      </c>
      <c r="R1206" s="4">
        <v>0</v>
      </c>
      <c r="S1206" s="6">
        <v>0</v>
      </c>
      <c r="T1206" s="6">
        <v>30</v>
      </c>
      <c r="U1206" s="6">
        <v>78</v>
      </c>
      <c r="V1206" s="70">
        <f>IF(ISERROR(VLOOKUP($S$1206,'TAR FIN'!$A$1:$O$116,15,0)),0,VLOOKUP($S$1206,'TAR FIN'!$A$1:$O$116,15,0))</f>
        <v>0</v>
      </c>
      <c r="W1206" s="70">
        <f>IF(ISERROR(VLOOKUP($T$1206,'TAR FIN'!$A$1:$O$116,15,0)),0,VLOOKUP($T$1206,'TAR FIN'!$A$1:$O$116,15,0))*(1-0.06)</f>
        <v>1581.1927999999998</v>
      </c>
      <c r="X1206" s="70">
        <f>IF(ISERROR(VLOOKUP($U$1206,'TAR FIN'!$A$1:$O$116,15,0)),0,VLOOKUP($U$1206,'TAR FIN'!$A$1:$O$116,15,0))*(1-0.06)</f>
        <v>466.38099999999997</v>
      </c>
      <c r="Y1206" s="70"/>
      <c r="Z1206" s="70">
        <f ca="1">('TUSD BE'!$AM$34+'TUSD BF'!$AM$34+'TUSD CVA'!$AM$34)*1*(1-0.03)</f>
        <v>1910.8223561368904</v>
      </c>
      <c r="AA1206" s="70">
        <f>('TE BE'!$AB$9+'TE BF'!$AB$9+'TE CVA'!$AB$9)*1*(1-0.03)</f>
        <v>494.74843531278674</v>
      </c>
      <c r="AB1206" s="6">
        <f>$K$1206*$V$1206</f>
        <v>0</v>
      </c>
      <c r="AC1206" s="6">
        <f>$M$1206*$W$1206</f>
        <v>186487.46002479998</v>
      </c>
      <c r="AD1206" s="6">
        <f>$O$1206*$X$1206</f>
        <v>55005.441521000001</v>
      </c>
      <c r="AE1206" s="6">
        <f>$K$1206*$Y$1206</f>
        <v>0</v>
      </c>
      <c r="AF1206" s="6">
        <f ca="1">$M$1206*$Z$1206</f>
        <v>225364.29950514101</v>
      </c>
      <c r="AG1206" s="6">
        <f>$O$1206*$AA$1206</f>
        <v>58351.125209225385</v>
      </c>
    </row>
    <row r="1207" spans="1:33" ht="11.25" customHeight="1" x14ac:dyDescent="0.25">
      <c r="A1207" s="4" t="s">
        <v>21</v>
      </c>
      <c r="B1207" s="4" t="s">
        <v>41</v>
      </c>
      <c r="C1207" s="4" t="s">
        <v>42</v>
      </c>
      <c r="D1207" s="4" t="s">
        <v>51</v>
      </c>
      <c r="E1207" s="4" t="s">
        <v>52</v>
      </c>
      <c r="F1207" s="4" t="s">
        <v>25</v>
      </c>
      <c r="G1207" s="4" t="s">
        <v>25</v>
      </c>
      <c r="H1207" s="4" t="s">
        <v>34</v>
      </c>
      <c r="I1207" s="5">
        <v>44409</v>
      </c>
      <c r="J1207" s="6">
        <v>0</v>
      </c>
      <c r="K1207" s="70">
        <v>0</v>
      </c>
      <c r="L1207" s="6">
        <v>125.121</v>
      </c>
      <c r="M1207" s="70">
        <v>125.121</v>
      </c>
      <c r="N1207" s="6">
        <v>125.121</v>
      </c>
      <c r="O1207" s="70">
        <v>125.121</v>
      </c>
      <c r="P1207" s="6">
        <v>0</v>
      </c>
      <c r="Q1207" s="4" t="s">
        <v>26</v>
      </c>
      <c r="R1207" s="4">
        <v>0</v>
      </c>
      <c r="S1207" s="6">
        <v>0</v>
      </c>
      <c r="T1207" s="6">
        <v>30</v>
      </c>
      <c r="U1207" s="6">
        <v>78</v>
      </c>
      <c r="V1207" s="70">
        <f>IF(ISERROR(VLOOKUP($S$1207,'TAR FIN'!$A$1:$O$116,15,0)),0,VLOOKUP($S$1207,'TAR FIN'!$A$1:$O$116,15,0))</f>
        <v>0</v>
      </c>
      <c r="W1207" s="70">
        <f>IF(ISERROR(VLOOKUP($T$1207,'TAR FIN'!$A$1:$O$116,15,0)),0,VLOOKUP($T$1207,'TAR FIN'!$A$1:$O$116,15,0))*(1-0.06)</f>
        <v>1581.1927999999998</v>
      </c>
      <c r="X1207" s="70">
        <f>IF(ISERROR(VLOOKUP($U$1207,'TAR FIN'!$A$1:$O$116,15,0)),0,VLOOKUP($U$1207,'TAR FIN'!$A$1:$O$116,15,0))*(1-0.06)</f>
        <v>466.38099999999997</v>
      </c>
      <c r="Y1207" s="70"/>
      <c r="Z1207" s="70">
        <f ca="1">('TUSD BE'!$AM$34+'TUSD BF'!$AM$34+'TUSD CVA'!$AM$34)*1*(1-0.03)</f>
        <v>1910.8223561368904</v>
      </c>
      <c r="AA1207" s="70">
        <f>('TE BE'!$AB$9+'TE BF'!$AB$9+'TE CVA'!$AB$9)*1*(1-0.03)</f>
        <v>494.74843531278674</v>
      </c>
      <c r="AB1207" s="6">
        <f>$K$1207*$V$1207</f>
        <v>0</v>
      </c>
      <c r="AC1207" s="6">
        <f>$M$1207*$W$1207</f>
        <v>197840.42432879997</v>
      </c>
      <c r="AD1207" s="6">
        <f>$O$1207*$X$1207</f>
        <v>58354.057100999991</v>
      </c>
      <c r="AE1207" s="6">
        <f>$K$1207*$Y$1207</f>
        <v>0</v>
      </c>
      <c r="AF1207" s="6">
        <f ca="1">$M$1207*$Z$1207</f>
        <v>239084.00402220385</v>
      </c>
      <c r="AG1207" s="6">
        <f>$O$1207*$AA$1207</f>
        <v>61903.418974771186</v>
      </c>
    </row>
    <row r="1208" spans="1:33" ht="11.25" customHeight="1" x14ac:dyDescent="0.25">
      <c r="A1208" s="4" t="s">
        <v>21</v>
      </c>
      <c r="B1208" s="4" t="s">
        <v>41</v>
      </c>
      <c r="C1208" s="4" t="s">
        <v>42</v>
      </c>
      <c r="D1208" s="4" t="s">
        <v>51</v>
      </c>
      <c r="E1208" s="4" t="s">
        <v>52</v>
      </c>
      <c r="F1208" s="4" t="s">
        <v>25</v>
      </c>
      <c r="G1208" s="4" t="s">
        <v>25</v>
      </c>
      <c r="H1208" s="4" t="s">
        <v>34</v>
      </c>
      <c r="I1208" s="5">
        <v>44440</v>
      </c>
      <c r="J1208" s="6">
        <v>0</v>
      </c>
      <c r="K1208" s="70">
        <v>0</v>
      </c>
      <c r="L1208" s="6">
        <v>141.72900000000001</v>
      </c>
      <c r="M1208" s="70">
        <v>141.72900000000001</v>
      </c>
      <c r="N1208" s="6">
        <v>141.72900000000001</v>
      </c>
      <c r="O1208" s="70">
        <v>141.72900000000001</v>
      </c>
      <c r="P1208" s="6">
        <v>0</v>
      </c>
      <c r="Q1208" s="4" t="s">
        <v>26</v>
      </c>
      <c r="R1208" s="4">
        <v>0</v>
      </c>
      <c r="S1208" s="6">
        <v>0</v>
      </c>
      <c r="T1208" s="6">
        <v>30</v>
      </c>
      <c r="U1208" s="6">
        <v>78</v>
      </c>
      <c r="V1208" s="70">
        <f>IF(ISERROR(VLOOKUP($S$1208,'TAR FIN'!$A$1:$O$116,15,0)),0,VLOOKUP($S$1208,'TAR FIN'!$A$1:$O$116,15,0))</f>
        <v>0</v>
      </c>
      <c r="W1208" s="70">
        <f>IF(ISERROR(VLOOKUP($T$1208,'TAR FIN'!$A$1:$O$116,15,0)),0,VLOOKUP($T$1208,'TAR FIN'!$A$1:$O$116,15,0))*(1-0.06)</f>
        <v>1581.1927999999998</v>
      </c>
      <c r="X1208" s="70">
        <f>IF(ISERROR(VLOOKUP($U$1208,'TAR FIN'!$A$1:$O$116,15,0)),0,VLOOKUP($U$1208,'TAR FIN'!$A$1:$O$116,15,0))*(1-0.06)</f>
        <v>466.38099999999997</v>
      </c>
      <c r="Y1208" s="70"/>
      <c r="Z1208" s="70">
        <f ca="1">('TUSD BE'!$AM$34+'TUSD BF'!$AM$34+'TUSD CVA'!$AM$34)*1*(1-0.03)</f>
        <v>1910.8223561368904</v>
      </c>
      <c r="AA1208" s="70">
        <f>('TE BE'!$AB$9+'TE BF'!$AB$9+'TE CVA'!$AB$9)*1*(1-0.03)</f>
        <v>494.74843531278674</v>
      </c>
      <c r="AB1208" s="6">
        <f>$K$1208*$V$1208</f>
        <v>0</v>
      </c>
      <c r="AC1208" s="6">
        <f>$M$1208*$W$1208</f>
        <v>224100.87435120001</v>
      </c>
      <c r="AD1208" s="6">
        <f>$O$1208*$X$1208</f>
        <v>66099.712748999998</v>
      </c>
      <c r="AE1208" s="6">
        <f>$K$1208*$Y$1208</f>
        <v>0</v>
      </c>
      <c r="AF1208" s="6">
        <f ca="1">$M$1208*$Z$1208</f>
        <v>270818.94171292539</v>
      </c>
      <c r="AG1208" s="6">
        <f>$O$1208*$AA$1208</f>
        <v>70120.200988445955</v>
      </c>
    </row>
    <row r="1209" spans="1:33" ht="11.25" customHeight="1" x14ac:dyDescent="0.25">
      <c r="A1209" s="4" t="s">
        <v>21</v>
      </c>
      <c r="B1209" s="4" t="s">
        <v>41</v>
      </c>
      <c r="C1209" s="4" t="s">
        <v>42</v>
      </c>
      <c r="D1209" s="4" t="s">
        <v>51</v>
      </c>
      <c r="E1209" s="4" t="s">
        <v>52</v>
      </c>
      <c r="F1209" s="4" t="s">
        <v>25</v>
      </c>
      <c r="G1209" s="4" t="s">
        <v>25</v>
      </c>
      <c r="H1209" s="4" t="s">
        <v>34</v>
      </c>
      <c r="I1209" s="5">
        <v>44470</v>
      </c>
      <c r="J1209" s="6">
        <v>0</v>
      </c>
      <c r="K1209" s="70">
        <v>0</v>
      </c>
      <c r="L1209" s="6">
        <v>136.21299999999999</v>
      </c>
      <c r="M1209" s="70">
        <v>136.21299999999999</v>
      </c>
      <c r="N1209" s="6">
        <v>136.21299999999999</v>
      </c>
      <c r="O1209" s="70">
        <v>136.21299999999999</v>
      </c>
      <c r="P1209" s="6">
        <v>0</v>
      </c>
      <c r="Q1209" s="4" t="s">
        <v>26</v>
      </c>
      <c r="R1209" s="4">
        <v>0</v>
      </c>
      <c r="S1209" s="6">
        <v>0</v>
      </c>
      <c r="T1209" s="6">
        <v>30</v>
      </c>
      <c r="U1209" s="6">
        <v>78</v>
      </c>
      <c r="V1209" s="70">
        <f>IF(ISERROR(VLOOKUP($S$1209,'TAR FIN'!$A$1:$O$116,15,0)),0,VLOOKUP($S$1209,'TAR FIN'!$A$1:$O$116,15,0))</f>
        <v>0</v>
      </c>
      <c r="W1209" s="70">
        <f>IF(ISERROR(VLOOKUP($T$1209,'TAR FIN'!$A$1:$O$116,15,0)),0,VLOOKUP($T$1209,'TAR FIN'!$A$1:$O$116,15,0))*(1-0.06)</f>
        <v>1581.1927999999998</v>
      </c>
      <c r="X1209" s="70">
        <f>IF(ISERROR(VLOOKUP($U$1209,'TAR FIN'!$A$1:$O$116,15,0)),0,VLOOKUP($U$1209,'TAR FIN'!$A$1:$O$116,15,0))*(1-0.06)</f>
        <v>466.38099999999997</v>
      </c>
      <c r="Y1209" s="70"/>
      <c r="Z1209" s="70">
        <f ca="1">('TUSD BE'!$AM$34+'TUSD BF'!$AM$34+'TUSD CVA'!$AM$34)*1*(1-0.03)</f>
        <v>1910.8223561368904</v>
      </c>
      <c r="AA1209" s="70">
        <f>('TE BE'!$AB$9+'TE BF'!$AB$9+'TE CVA'!$AB$9)*1*(1-0.03)</f>
        <v>494.74843531278674</v>
      </c>
      <c r="AB1209" s="6">
        <f>$K$1209*$V$1209</f>
        <v>0</v>
      </c>
      <c r="AC1209" s="6">
        <f>$M$1209*$W$1209</f>
        <v>215379.01486639996</v>
      </c>
      <c r="AD1209" s="6">
        <f>$O$1209*$X$1209</f>
        <v>63527.155152999992</v>
      </c>
      <c r="AE1209" s="6">
        <f>$K$1209*$Y$1209</f>
        <v>0</v>
      </c>
      <c r="AF1209" s="6">
        <f ca="1">$M$1209*$Z$1209</f>
        <v>260278.84559647425</v>
      </c>
      <c r="AG1209" s="6">
        <f>$O$1209*$AA$1209</f>
        <v>67391.168619260614</v>
      </c>
    </row>
    <row r="1210" spans="1:33" ht="11.25" customHeight="1" x14ac:dyDescent="0.25">
      <c r="A1210" s="4" t="s">
        <v>21</v>
      </c>
      <c r="B1210" s="4" t="s">
        <v>41</v>
      </c>
      <c r="C1210" s="4" t="s">
        <v>42</v>
      </c>
      <c r="D1210" s="4" t="s">
        <v>51</v>
      </c>
      <c r="E1210" s="4" t="s">
        <v>52</v>
      </c>
      <c r="F1210" s="4" t="s">
        <v>25</v>
      </c>
      <c r="G1210" s="4" t="s">
        <v>25</v>
      </c>
      <c r="H1210" s="4" t="s">
        <v>34</v>
      </c>
      <c r="I1210" s="5">
        <v>44501</v>
      </c>
      <c r="J1210" s="6">
        <v>0</v>
      </c>
      <c r="K1210" s="70">
        <v>0</v>
      </c>
      <c r="L1210" s="6">
        <v>136.42500000000001</v>
      </c>
      <c r="M1210" s="70">
        <v>136.42500000000001</v>
      </c>
      <c r="N1210" s="6">
        <v>136.42500000000001</v>
      </c>
      <c r="O1210" s="70">
        <v>136.42500000000001</v>
      </c>
      <c r="P1210" s="6">
        <v>0</v>
      </c>
      <c r="Q1210" s="4" t="s">
        <v>26</v>
      </c>
      <c r="R1210" s="4">
        <v>0</v>
      </c>
      <c r="S1210" s="6">
        <v>0</v>
      </c>
      <c r="T1210" s="6">
        <v>30</v>
      </c>
      <c r="U1210" s="6">
        <v>78</v>
      </c>
      <c r="V1210" s="70">
        <f>IF(ISERROR(VLOOKUP($S$1210,'TAR FIN'!$A$1:$O$116,15,0)),0,VLOOKUP($S$1210,'TAR FIN'!$A$1:$O$116,15,0))</f>
        <v>0</v>
      </c>
      <c r="W1210" s="70">
        <f>IF(ISERROR(VLOOKUP($T$1210,'TAR FIN'!$A$1:$O$116,15,0)),0,VLOOKUP($T$1210,'TAR FIN'!$A$1:$O$116,15,0))*(1-0.06)</f>
        <v>1581.1927999999998</v>
      </c>
      <c r="X1210" s="70">
        <f>IF(ISERROR(VLOOKUP($U$1210,'TAR FIN'!$A$1:$O$116,15,0)),0,VLOOKUP($U$1210,'TAR FIN'!$A$1:$O$116,15,0))*(1-0.06)</f>
        <v>466.38099999999997</v>
      </c>
      <c r="Y1210" s="70"/>
      <c r="Z1210" s="70">
        <f ca="1">('TUSD BE'!$AM$34+'TUSD BF'!$AM$34+'TUSD CVA'!$AM$34)*1*(1-0.03)</f>
        <v>1910.8223561368904</v>
      </c>
      <c r="AA1210" s="70">
        <f>('TE BE'!$AB$9+'TE BF'!$AB$9+'TE CVA'!$AB$9)*1*(1-0.03)</f>
        <v>494.74843531278674</v>
      </c>
      <c r="AB1210" s="6">
        <f>$K$1210*$V$1210</f>
        <v>0</v>
      </c>
      <c r="AC1210" s="6">
        <f>$M$1210*$W$1210</f>
        <v>215714.22774</v>
      </c>
      <c r="AD1210" s="6">
        <f>$O$1210*$X$1210</f>
        <v>63626.027925000002</v>
      </c>
      <c r="AE1210" s="6">
        <f>$K$1210*$Y$1210</f>
        <v>0</v>
      </c>
      <c r="AF1210" s="6">
        <f ca="1">$M$1210*$Z$1210</f>
        <v>260683.9399359753</v>
      </c>
      <c r="AG1210" s="6">
        <f>$O$1210*$AA$1210</f>
        <v>67496.055287546929</v>
      </c>
    </row>
    <row r="1211" spans="1:33" ht="11.25" customHeight="1" x14ac:dyDescent="0.25">
      <c r="A1211" s="4" t="s">
        <v>21</v>
      </c>
      <c r="B1211" s="4" t="s">
        <v>41</v>
      </c>
      <c r="C1211" s="4" t="s">
        <v>42</v>
      </c>
      <c r="D1211" s="4" t="s">
        <v>51</v>
      </c>
      <c r="E1211" s="4" t="s">
        <v>52</v>
      </c>
      <c r="F1211" s="4" t="s">
        <v>25</v>
      </c>
      <c r="G1211" s="4" t="s">
        <v>25</v>
      </c>
      <c r="H1211" s="4" t="s">
        <v>34</v>
      </c>
      <c r="I1211" s="5">
        <v>44531</v>
      </c>
      <c r="J1211" s="6">
        <v>0</v>
      </c>
      <c r="K1211" s="70">
        <v>0</v>
      </c>
      <c r="L1211" s="6">
        <v>155.38999999999999</v>
      </c>
      <c r="M1211" s="70">
        <v>155.38999999999999</v>
      </c>
      <c r="N1211" s="6">
        <v>155.38999999999999</v>
      </c>
      <c r="O1211" s="70">
        <v>155.38999999999999</v>
      </c>
      <c r="P1211" s="6">
        <v>0</v>
      </c>
      <c r="Q1211" s="4" t="s">
        <v>26</v>
      </c>
      <c r="R1211" s="4">
        <v>0</v>
      </c>
      <c r="S1211" s="6">
        <v>0</v>
      </c>
      <c r="T1211" s="6">
        <v>30</v>
      </c>
      <c r="U1211" s="6">
        <v>78</v>
      </c>
      <c r="V1211" s="70">
        <f>IF(ISERROR(VLOOKUP($S$1211,'TAR FIN'!$A$1:$O$116,15,0)),0,VLOOKUP($S$1211,'TAR FIN'!$A$1:$O$116,15,0))</f>
        <v>0</v>
      </c>
      <c r="W1211" s="70">
        <f>IF(ISERROR(VLOOKUP($T$1211,'TAR FIN'!$A$1:$O$116,15,0)),0,VLOOKUP($T$1211,'TAR FIN'!$A$1:$O$116,15,0))*(1-0.06)</f>
        <v>1581.1927999999998</v>
      </c>
      <c r="X1211" s="70">
        <f>IF(ISERROR(VLOOKUP($U$1211,'TAR FIN'!$A$1:$O$116,15,0)),0,VLOOKUP($U$1211,'TAR FIN'!$A$1:$O$116,15,0))*(1-0.06)</f>
        <v>466.38099999999997</v>
      </c>
      <c r="Y1211" s="70"/>
      <c r="Z1211" s="70">
        <f ca="1">('TUSD BE'!$AM$34+'TUSD BF'!$AM$34+'TUSD CVA'!$AM$34)*1*(1-0.03)</f>
        <v>1910.8223561368904</v>
      </c>
      <c r="AA1211" s="70">
        <f>('TE BE'!$AB$9+'TE BF'!$AB$9+'TE CVA'!$AB$9)*1*(1-0.03)</f>
        <v>494.74843531278674</v>
      </c>
      <c r="AB1211" s="6">
        <f>$K$1211*$V$1211</f>
        <v>0</v>
      </c>
      <c r="AC1211" s="6">
        <f>$M$1211*$W$1211</f>
        <v>245701.54919199995</v>
      </c>
      <c r="AD1211" s="6">
        <f>$O$1211*$X$1211</f>
        <v>72470.943589999995</v>
      </c>
      <c r="AE1211" s="6">
        <f>$K$1211*$Y$1211</f>
        <v>0</v>
      </c>
      <c r="AF1211" s="6">
        <f ca="1">$M$1211*$Z$1211</f>
        <v>296922.68592011137</v>
      </c>
      <c r="AG1211" s="6">
        <f>$O$1211*$AA$1211</f>
        <v>76878.959363253918</v>
      </c>
    </row>
    <row r="1212" spans="1:33" ht="11.25" customHeight="1" x14ac:dyDescent="0.25">
      <c r="A1212" s="4" t="s">
        <v>21</v>
      </c>
      <c r="B1212" s="4" t="s">
        <v>41</v>
      </c>
      <c r="C1212" s="4" t="s">
        <v>42</v>
      </c>
      <c r="D1212" s="4" t="s">
        <v>51</v>
      </c>
      <c r="E1212" s="4" t="s">
        <v>52</v>
      </c>
      <c r="F1212" s="4" t="s">
        <v>25</v>
      </c>
      <c r="G1212" s="4" t="s">
        <v>25</v>
      </c>
      <c r="H1212" s="4" t="s">
        <v>34</v>
      </c>
      <c r="I1212" s="5">
        <v>44562</v>
      </c>
      <c r="J1212" s="6">
        <v>0</v>
      </c>
      <c r="K1212" s="70">
        <v>0</v>
      </c>
      <c r="L1212" s="6">
        <v>157.398</v>
      </c>
      <c r="M1212" s="70">
        <v>157.398</v>
      </c>
      <c r="N1212" s="6">
        <v>157.398</v>
      </c>
      <c r="O1212" s="70">
        <v>157.398</v>
      </c>
      <c r="P1212" s="6">
        <v>0</v>
      </c>
      <c r="Q1212" s="4" t="s">
        <v>26</v>
      </c>
      <c r="R1212" s="4">
        <v>0</v>
      </c>
      <c r="S1212" s="6">
        <v>0</v>
      </c>
      <c r="T1212" s="6">
        <v>30</v>
      </c>
      <c r="U1212" s="6">
        <v>78</v>
      </c>
      <c r="V1212" s="70">
        <f>IF(ISERROR(VLOOKUP($S$1212,'TAR FIN'!$A$1:$O$116,15,0)),0,VLOOKUP($S$1212,'TAR FIN'!$A$1:$O$116,15,0))</f>
        <v>0</v>
      </c>
      <c r="W1212" s="70">
        <f>IF(ISERROR(VLOOKUP($T$1212,'TAR FIN'!$A$1:$O$116,15,0)),0,VLOOKUP($T$1212,'TAR FIN'!$A$1:$O$116,15,0))*(1-0.06)</f>
        <v>1581.1927999999998</v>
      </c>
      <c r="X1212" s="70">
        <f>IF(ISERROR(VLOOKUP($U$1212,'TAR FIN'!$A$1:$O$116,15,0)),0,VLOOKUP($U$1212,'TAR FIN'!$A$1:$O$116,15,0))*(1-0.06)</f>
        <v>466.38099999999997</v>
      </c>
      <c r="Y1212" s="70"/>
      <c r="Z1212" s="70">
        <f ca="1">('TUSD BE'!$AM$34+'TUSD BF'!$AM$34+'TUSD CVA'!$AM$34)*1*(1-0.03)</f>
        <v>1910.8223561368904</v>
      </c>
      <c r="AA1212" s="70">
        <f>('TE BE'!$AB$9+'TE BF'!$AB$9+'TE CVA'!$AB$9)*1*(1-0.03)</f>
        <v>494.74843531278674</v>
      </c>
      <c r="AB1212" s="6">
        <f>$K$1212*$V$1212</f>
        <v>0</v>
      </c>
      <c r="AC1212" s="6">
        <f>$M$1212*$W$1212</f>
        <v>248876.58433439996</v>
      </c>
      <c r="AD1212" s="6">
        <f>$O$1212*$X$1212</f>
        <v>73407.436637999999</v>
      </c>
      <c r="AE1212" s="6">
        <f>$K$1212*$Y$1212</f>
        <v>0</v>
      </c>
      <c r="AF1212" s="6">
        <f ca="1">$M$1212*$Z$1212</f>
        <v>300759.61721123429</v>
      </c>
      <c r="AG1212" s="6">
        <f>$O$1212*$AA$1212</f>
        <v>77872.414221362007</v>
      </c>
    </row>
    <row r="1213" spans="1:33" ht="11.25" customHeight="1" x14ac:dyDescent="0.25">
      <c r="A1213" s="4" t="s">
        <v>21</v>
      </c>
      <c r="B1213" s="4" t="s">
        <v>41</v>
      </c>
      <c r="C1213" s="4" t="s">
        <v>42</v>
      </c>
      <c r="D1213" s="4" t="s">
        <v>51</v>
      </c>
      <c r="E1213" s="4" t="s">
        <v>52</v>
      </c>
      <c r="F1213" s="4" t="s">
        <v>25</v>
      </c>
      <c r="G1213" s="4" t="s">
        <v>25</v>
      </c>
      <c r="H1213" s="4" t="s">
        <v>34</v>
      </c>
      <c r="I1213" s="5">
        <v>44593</v>
      </c>
      <c r="J1213" s="6">
        <v>0</v>
      </c>
      <c r="K1213" s="70">
        <v>0</v>
      </c>
      <c r="L1213" s="6">
        <v>144.5</v>
      </c>
      <c r="M1213" s="70">
        <v>144.5</v>
      </c>
      <c r="N1213" s="6">
        <v>144.5</v>
      </c>
      <c r="O1213" s="70">
        <v>144.5</v>
      </c>
      <c r="P1213" s="6">
        <v>0</v>
      </c>
      <c r="Q1213" s="4" t="s">
        <v>26</v>
      </c>
      <c r="R1213" s="4">
        <v>0</v>
      </c>
      <c r="S1213" s="6">
        <v>0</v>
      </c>
      <c r="T1213" s="6">
        <v>30</v>
      </c>
      <c r="U1213" s="6">
        <v>78</v>
      </c>
      <c r="V1213" s="70">
        <f>IF(ISERROR(VLOOKUP($S$1213,'TAR FIN'!$A$1:$O$116,15,0)),0,VLOOKUP($S$1213,'TAR FIN'!$A$1:$O$116,15,0))</f>
        <v>0</v>
      </c>
      <c r="W1213" s="70">
        <f>IF(ISERROR(VLOOKUP($T$1213,'TAR FIN'!$A$1:$O$116,15,0)),0,VLOOKUP($T$1213,'TAR FIN'!$A$1:$O$116,15,0))*(1-0.06)</f>
        <v>1581.1927999999998</v>
      </c>
      <c r="X1213" s="70">
        <f>IF(ISERROR(VLOOKUP($U$1213,'TAR FIN'!$A$1:$O$116,15,0)),0,VLOOKUP($U$1213,'TAR FIN'!$A$1:$O$116,15,0))*(1-0.06)</f>
        <v>466.38099999999997</v>
      </c>
      <c r="Y1213" s="70"/>
      <c r="Z1213" s="70">
        <f ca="1">('TUSD BE'!$AM$34+'TUSD BF'!$AM$34+'TUSD CVA'!$AM$34)*1*(1-0.03)</f>
        <v>1910.8223561368904</v>
      </c>
      <c r="AA1213" s="70">
        <f>('TE BE'!$AB$9+'TE BF'!$AB$9+'TE CVA'!$AB$9)*1*(1-0.03)</f>
        <v>494.74843531278674</v>
      </c>
      <c r="AB1213" s="6">
        <f>$K$1213*$V$1213</f>
        <v>0</v>
      </c>
      <c r="AC1213" s="6">
        <f>$M$1213*$W$1213</f>
        <v>228482.35959999997</v>
      </c>
      <c r="AD1213" s="6">
        <f>$O$1213*$X$1213</f>
        <v>67392.054499999998</v>
      </c>
      <c r="AE1213" s="6">
        <f>$K$1213*$Y$1213</f>
        <v>0</v>
      </c>
      <c r="AF1213" s="6">
        <f ca="1">$M$1213*$Z$1213</f>
        <v>276113.83046178066</v>
      </c>
      <c r="AG1213" s="6">
        <f>$O$1213*$AA$1213</f>
        <v>71491.148902697678</v>
      </c>
    </row>
    <row r="1214" spans="1:33" ht="11.25" customHeight="1" x14ac:dyDescent="0.25">
      <c r="A1214" s="4" t="s">
        <v>21</v>
      </c>
      <c r="B1214" s="4" t="s">
        <v>41</v>
      </c>
      <c r="C1214" s="4" t="s">
        <v>42</v>
      </c>
      <c r="D1214" s="4" t="s">
        <v>51</v>
      </c>
      <c r="E1214" s="4" t="s">
        <v>52</v>
      </c>
      <c r="F1214" s="4" t="s">
        <v>25</v>
      </c>
      <c r="G1214" s="4" t="s">
        <v>25</v>
      </c>
      <c r="H1214" s="4" t="s">
        <v>34</v>
      </c>
      <c r="I1214" s="5">
        <v>44621</v>
      </c>
      <c r="J1214" s="6">
        <v>0</v>
      </c>
      <c r="K1214" s="70">
        <v>0</v>
      </c>
      <c r="L1214" s="6">
        <v>148.15700000000001</v>
      </c>
      <c r="M1214" s="70">
        <v>148.15700000000001</v>
      </c>
      <c r="N1214" s="6">
        <v>148.15700000000001</v>
      </c>
      <c r="O1214" s="70">
        <v>148.15700000000001</v>
      </c>
      <c r="P1214" s="6">
        <v>0</v>
      </c>
      <c r="Q1214" s="4" t="s">
        <v>26</v>
      </c>
      <c r="R1214" s="4">
        <v>0</v>
      </c>
      <c r="S1214" s="6">
        <v>0</v>
      </c>
      <c r="T1214" s="6">
        <v>30</v>
      </c>
      <c r="U1214" s="6">
        <v>78</v>
      </c>
      <c r="V1214" s="70">
        <f>IF(ISERROR(VLOOKUP($S$1214,'TAR FIN'!$A$1:$O$116,15,0)),0,VLOOKUP($S$1214,'TAR FIN'!$A$1:$O$116,15,0))</f>
        <v>0</v>
      </c>
      <c r="W1214" s="70">
        <f>IF(ISERROR(VLOOKUP($T$1214,'TAR FIN'!$A$1:$O$116,15,0)),0,VLOOKUP($T$1214,'TAR FIN'!$A$1:$O$116,15,0))*(1-0.06)</f>
        <v>1581.1927999999998</v>
      </c>
      <c r="X1214" s="70">
        <f>IF(ISERROR(VLOOKUP($U$1214,'TAR FIN'!$A$1:$O$116,15,0)),0,VLOOKUP($U$1214,'TAR FIN'!$A$1:$O$116,15,0))*(1-0.06)</f>
        <v>466.38099999999997</v>
      </c>
      <c r="Y1214" s="70"/>
      <c r="Z1214" s="70">
        <f ca="1">('TUSD BE'!$AM$34+'TUSD BF'!$AM$34+'TUSD CVA'!$AM$34)*1*(1-0.03)</f>
        <v>1910.8223561368904</v>
      </c>
      <c r="AA1214" s="70">
        <f>('TE BE'!$AB$9+'TE BF'!$AB$9+'TE CVA'!$AB$9)*1*(1-0.03)</f>
        <v>494.74843531278674</v>
      </c>
      <c r="AB1214" s="6">
        <f>$K$1214*$V$1214</f>
        <v>0</v>
      </c>
      <c r="AC1214" s="6">
        <f>$M$1214*$W$1214</f>
        <v>234264.78166959999</v>
      </c>
      <c r="AD1214" s="6">
        <f>$O$1214*$X$1214</f>
        <v>69097.609817000004</v>
      </c>
      <c r="AE1214" s="6">
        <f>$K$1214*$Y$1214</f>
        <v>0</v>
      </c>
      <c r="AF1214" s="6">
        <f ca="1">$M$1214*$Z$1214</f>
        <v>283101.70781817328</v>
      </c>
      <c r="AG1214" s="6">
        <f>$O$1214*$AA$1214</f>
        <v>73300.443930636553</v>
      </c>
    </row>
    <row r="1215" spans="1:33" ht="11.25" customHeight="1" x14ac:dyDescent="0.25">
      <c r="A1215" s="4" t="s">
        <v>21</v>
      </c>
      <c r="B1215" s="4" t="s">
        <v>41</v>
      </c>
      <c r="C1215" s="4" t="s">
        <v>42</v>
      </c>
      <c r="D1215" s="4" t="s">
        <v>51</v>
      </c>
      <c r="E1215" s="4" t="s">
        <v>52</v>
      </c>
      <c r="F1215" s="4" t="s">
        <v>25</v>
      </c>
      <c r="G1215" s="4" t="s">
        <v>25</v>
      </c>
      <c r="H1215" s="4" t="s">
        <v>34</v>
      </c>
      <c r="I1215" s="5">
        <v>44652</v>
      </c>
      <c r="J1215" s="6">
        <v>0</v>
      </c>
      <c r="K1215" s="70">
        <v>0</v>
      </c>
      <c r="L1215" s="6">
        <v>144.87200000000001</v>
      </c>
      <c r="M1215" s="70">
        <v>144.87200000000001</v>
      </c>
      <c r="N1215" s="6">
        <v>144.87200000000001</v>
      </c>
      <c r="O1215" s="70">
        <v>144.87200000000001</v>
      </c>
      <c r="P1215" s="6">
        <v>0</v>
      </c>
      <c r="Q1215" s="4" t="s">
        <v>26</v>
      </c>
      <c r="R1215" s="4">
        <v>0</v>
      </c>
      <c r="S1215" s="6">
        <v>0</v>
      </c>
      <c r="T1215" s="6">
        <v>30</v>
      </c>
      <c r="U1215" s="6">
        <v>78</v>
      </c>
      <c r="V1215" s="70">
        <f>IF(ISERROR(VLOOKUP($S$1215,'TAR FIN'!$A$1:$O$116,15,0)),0,VLOOKUP($S$1215,'TAR FIN'!$A$1:$O$116,15,0))</f>
        <v>0</v>
      </c>
      <c r="W1215" s="70">
        <f>IF(ISERROR(VLOOKUP($T$1215,'TAR FIN'!$A$1:$O$116,15,0)),0,VLOOKUP($T$1215,'TAR FIN'!$A$1:$O$116,15,0))*(1-0.06)</f>
        <v>1581.1927999999998</v>
      </c>
      <c r="X1215" s="70">
        <f>IF(ISERROR(VLOOKUP($U$1215,'TAR FIN'!$A$1:$O$116,15,0)),0,VLOOKUP($U$1215,'TAR FIN'!$A$1:$O$116,15,0))*(1-0.06)</f>
        <v>466.38099999999997</v>
      </c>
      <c r="Y1215" s="70"/>
      <c r="Z1215" s="70">
        <f ca="1">('TUSD BE'!$AM$34+'TUSD BF'!$AM$34+'TUSD CVA'!$AM$34)*1*(1-0.03)</f>
        <v>1910.8223561368904</v>
      </c>
      <c r="AA1215" s="70">
        <f>('TE BE'!$AB$9+'TE BF'!$AB$9+'TE CVA'!$AB$9)*1*(1-0.03)</f>
        <v>494.74843531278674</v>
      </c>
      <c r="AB1215" s="6">
        <f>$K$1215*$V$1215</f>
        <v>0</v>
      </c>
      <c r="AC1215" s="6">
        <f>$M$1215*$W$1215</f>
        <v>229070.5633216</v>
      </c>
      <c r="AD1215" s="6">
        <f>$O$1215*$X$1215</f>
        <v>67565.548232000001</v>
      </c>
      <c r="AE1215" s="6">
        <f>$K$1215*$Y$1215</f>
        <v>0</v>
      </c>
      <c r="AF1215" s="6">
        <f ca="1">$M$1215*$Z$1215</f>
        <v>276824.65637826361</v>
      </c>
      <c r="AG1215" s="6">
        <f>$O$1215*$AA$1215</f>
        <v>71675.19532063404</v>
      </c>
    </row>
    <row r="1216" spans="1:33" ht="11.25" customHeight="1" x14ac:dyDescent="0.25">
      <c r="A1216" s="4" t="s">
        <v>58</v>
      </c>
      <c r="B1216" s="4" t="s">
        <v>41</v>
      </c>
      <c r="C1216" s="4" t="s">
        <v>42</v>
      </c>
      <c r="D1216" s="4" t="s">
        <v>51</v>
      </c>
      <c r="E1216" s="4" t="s">
        <v>52</v>
      </c>
      <c r="F1216" s="4" t="s">
        <v>25</v>
      </c>
      <c r="G1216" s="4" t="s">
        <v>25</v>
      </c>
      <c r="H1216" s="4" t="s">
        <v>34</v>
      </c>
      <c r="I1216" s="5">
        <v>44682</v>
      </c>
      <c r="J1216" s="6">
        <v>0</v>
      </c>
      <c r="K1216" s="70">
        <v>0</v>
      </c>
      <c r="L1216" s="6">
        <v>144.87200000000001</v>
      </c>
      <c r="M1216" s="70">
        <v>144.87200000000001</v>
      </c>
      <c r="N1216" s="6">
        <v>144.87200000000001</v>
      </c>
      <c r="O1216" s="70">
        <v>144.87200000000001</v>
      </c>
      <c r="P1216" s="6">
        <v>0</v>
      </c>
      <c r="Q1216" s="4" t="s">
        <v>26</v>
      </c>
      <c r="R1216" s="4">
        <v>0</v>
      </c>
      <c r="S1216" s="6">
        <v>0</v>
      </c>
      <c r="T1216" s="6">
        <v>30</v>
      </c>
      <c r="U1216" s="6">
        <v>78</v>
      </c>
      <c r="V1216" s="70">
        <f>IF(ISERROR(VLOOKUP($S$1216,'TAR FIN'!$A$1:$O$116,15,0)),0,VLOOKUP($S$1216,'TAR FIN'!$A$1:$O$116,15,0))</f>
        <v>0</v>
      </c>
      <c r="W1216" s="70">
        <f>IF(ISERROR(VLOOKUP($T$1216,'TAR FIN'!$A$1:$O$116,15,0)),0,VLOOKUP($T$1216,'TAR FIN'!$A$1:$O$116,15,0))*(1-0.06)</f>
        <v>1581.1927999999998</v>
      </c>
      <c r="X1216" s="70">
        <f>IF(ISERROR(VLOOKUP($U$1216,'TAR FIN'!$A$1:$O$116,15,0)),0,VLOOKUP($U$1216,'TAR FIN'!$A$1:$O$116,15,0))*(1-0.06)</f>
        <v>466.38099999999997</v>
      </c>
      <c r="Y1216" s="70"/>
      <c r="Z1216" s="70">
        <f ca="1">('TUSD BE'!$AM$34+'TUSD BF'!$AM$34+'TUSD CVA'!$AM$34)*1*(1-0.03)</f>
        <v>1910.8223561368904</v>
      </c>
      <c r="AA1216" s="70">
        <f>('TE BE'!$AB$9+'TE BF'!$AB$9+'TE CVA'!$AB$9)*1*(1-0.03)</f>
        <v>494.74843531278674</v>
      </c>
      <c r="AB1216" s="6">
        <f>$K$1216*$V$1216</f>
        <v>0</v>
      </c>
      <c r="AC1216" s="6">
        <f>$M$1216*$W$1216</f>
        <v>229070.5633216</v>
      </c>
      <c r="AD1216" s="6">
        <f>$O$1216*$X$1216</f>
        <v>67565.548232000001</v>
      </c>
      <c r="AE1216" s="6">
        <f>$K$1216*$Y$1216</f>
        <v>0</v>
      </c>
      <c r="AF1216" s="6">
        <f ca="1">$M$1216*$Z$1216</f>
        <v>276824.65637826361</v>
      </c>
      <c r="AG1216" s="6">
        <f>$O$1216*$AA$1216</f>
        <v>71675.19532063404</v>
      </c>
    </row>
    <row r="1217" spans="1:33" ht="11.25" customHeight="1" x14ac:dyDescent="0.25">
      <c r="A1217" s="4" t="s">
        <v>21</v>
      </c>
      <c r="B1217" s="4" t="s">
        <v>22</v>
      </c>
      <c r="C1217" s="4" t="s">
        <v>33</v>
      </c>
      <c r="D1217" s="4" t="s">
        <v>24</v>
      </c>
      <c r="E1217" s="4" t="s">
        <v>24</v>
      </c>
      <c r="F1217" s="4" t="s">
        <v>25</v>
      </c>
      <c r="G1217" s="4" t="s">
        <v>25</v>
      </c>
      <c r="H1217" s="4" t="s">
        <v>35</v>
      </c>
      <c r="I1217" s="5">
        <v>44348</v>
      </c>
      <c r="J1217" s="6">
        <v>0</v>
      </c>
      <c r="K1217" s="6">
        <v>0</v>
      </c>
      <c r="L1217" s="6">
        <v>8.6929999999999996</v>
      </c>
      <c r="M1217" s="6">
        <v>8.6929999999999996</v>
      </c>
      <c r="N1217" s="6">
        <v>8.6929999999999996</v>
      </c>
      <c r="O1217" s="6">
        <v>8.6929999999999996</v>
      </c>
      <c r="P1217" s="6">
        <v>0</v>
      </c>
      <c r="Q1217" s="4" t="s">
        <v>26</v>
      </c>
      <c r="R1217" s="4">
        <v>0</v>
      </c>
      <c r="S1217" s="6">
        <v>0</v>
      </c>
      <c r="T1217" s="6">
        <v>40</v>
      </c>
      <c r="U1217" s="6">
        <v>83</v>
      </c>
      <c r="V1217" s="6">
        <f>IF(ISERROR(VLOOKUP($S$1217,'TAR FIN'!$A$1:$O$116,15,0)),0,VLOOKUP($S$1217,'TAR FIN'!$A$1:$O$116,15,0))</f>
        <v>0</v>
      </c>
      <c r="W1217" s="6">
        <f>IF(ISERROR(VLOOKUP($T$1217,'TAR FIN'!$A$1:$O$116,15,0)),0,VLOOKUP($T$1217,'TAR FIN'!$A$1:$O$116,15,0))</f>
        <v>236.99</v>
      </c>
      <c r="X1217" s="6">
        <f>IF(ISERROR(VLOOKUP($U$1217,'TAR FIN'!$A$1:$O$116,15,0)),0,VLOOKUP($U$1217,'TAR FIN'!$A$1:$O$116,15,0))</f>
        <v>311.04000000000002</v>
      </c>
      <c r="Y1217" s="6"/>
      <c r="Z1217" s="6">
        <f ca="1">('TUSD BE'!$AM$42+'TUSD BF'!$AM$42+'TUSD CVA'!$AM$42)*1</f>
        <v>315.01731089539015</v>
      </c>
      <c r="AA1217" s="6">
        <f>('TE BE'!$AB$13+'TE BF'!$AB$13+'TE CVA'!$AB$13)*1</f>
        <v>313.22907246928764</v>
      </c>
      <c r="AB1217" s="6">
        <f>$K$1217*$V$1217</f>
        <v>0</v>
      </c>
      <c r="AC1217" s="6">
        <f>$M$1217*$W$1217</f>
        <v>2060.15407</v>
      </c>
      <c r="AD1217" s="6">
        <f>$O$1217*$X$1217</f>
        <v>2703.8707199999999</v>
      </c>
      <c r="AE1217" s="6">
        <f>$K$1217*$Y$1217</f>
        <v>0</v>
      </c>
      <c r="AF1217" s="6">
        <f ca="1">$M$1217*$Z$1217</f>
        <v>2738.4454836136265</v>
      </c>
      <c r="AG1217" s="6">
        <f>$O$1217*$AA$1217</f>
        <v>2722.9003269755171</v>
      </c>
    </row>
    <row r="1218" spans="1:33" ht="11.25" customHeight="1" x14ac:dyDescent="0.25">
      <c r="A1218" s="4" t="s">
        <v>28</v>
      </c>
      <c r="B1218" s="4" t="s">
        <v>22</v>
      </c>
      <c r="C1218" s="4" t="s">
        <v>33</v>
      </c>
      <c r="D1218" s="4" t="s">
        <v>24</v>
      </c>
      <c r="E1218" s="4" t="s">
        <v>24</v>
      </c>
      <c r="F1218" s="4" t="s">
        <v>25</v>
      </c>
      <c r="G1218" s="4" t="s">
        <v>25</v>
      </c>
      <c r="H1218" s="4" t="s">
        <v>35</v>
      </c>
      <c r="I1218" s="5">
        <v>44348</v>
      </c>
      <c r="J1218" s="6">
        <v>0</v>
      </c>
      <c r="K1218" s="6">
        <v>0</v>
      </c>
      <c r="L1218" s="6">
        <v>0.42499999999999999</v>
      </c>
      <c r="M1218" s="6">
        <v>0.42499999999999999</v>
      </c>
      <c r="N1218" s="6">
        <v>0.42499999999999999</v>
      </c>
      <c r="O1218" s="6">
        <v>0.42499999999999999</v>
      </c>
      <c r="P1218" s="6">
        <v>0</v>
      </c>
      <c r="Q1218" s="4" t="s">
        <v>26</v>
      </c>
      <c r="R1218" s="4">
        <v>0</v>
      </c>
      <c r="S1218" s="6">
        <v>0</v>
      </c>
      <c r="T1218" s="6">
        <v>40</v>
      </c>
      <c r="U1218" s="6">
        <v>83</v>
      </c>
      <c r="V1218" s="6">
        <f>IF(ISERROR(VLOOKUP($S$1218,'TAR FIN'!$A$1:$O$116,15,0)),0,VLOOKUP($S$1218,'TAR FIN'!$A$1:$O$116,15,0))</f>
        <v>0</v>
      </c>
      <c r="W1218" s="6">
        <f>IF(ISERROR(VLOOKUP($T$1218,'TAR FIN'!$A$1:$O$116,15,0)),0,VLOOKUP($T$1218,'TAR FIN'!$A$1:$O$116,15,0))</f>
        <v>236.99</v>
      </c>
      <c r="X1218" s="6">
        <f>IF(ISERROR(VLOOKUP($U$1218,'TAR FIN'!$A$1:$O$116,15,0)),0,VLOOKUP($U$1218,'TAR FIN'!$A$1:$O$116,15,0))</f>
        <v>311.04000000000002</v>
      </c>
      <c r="Y1218" s="6"/>
      <c r="Z1218" s="6">
        <f ca="1">('TUSD BE'!$AM$42+'TUSD BF'!$AM$42+'TUSD CVA'!$AM$42)*1</f>
        <v>315.01731089539015</v>
      </c>
      <c r="AA1218" s="6">
        <f>('TE BE'!$AB$13+'TE BF'!$AB$13+'TE CVA'!$AB$13)*1</f>
        <v>313.22907246928764</v>
      </c>
      <c r="AB1218" s="6">
        <f>$K$1218*$V$1218</f>
        <v>0</v>
      </c>
      <c r="AC1218" s="6">
        <f>$M$1218*$W$1218</f>
        <v>100.72075</v>
      </c>
      <c r="AD1218" s="6">
        <f>$O$1218*$X$1218</f>
        <v>132.19200000000001</v>
      </c>
      <c r="AE1218" s="6">
        <f>$K$1218*$Y$1218</f>
        <v>0</v>
      </c>
      <c r="AF1218" s="6">
        <f ca="1">$M$1218*$Z$1218</f>
        <v>133.88235713054081</v>
      </c>
      <c r="AG1218" s="6">
        <f>$O$1218*$AA$1218</f>
        <v>133.12235579944723</v>
      </c>
    </row>
    <row r="1219" spans="1:33" ht="11.25" customHeight="1" x14ac:dyDescent="0.25">
      <c r="A1219" s="4" t="s">
        <v>21</v>
      </c>
      <c r="B1219" s="4" t="s">
        <v>22</v>
      </c>
      <c r="C1219" s="4" t="s">
        <v>33</v>
      </c>
      <c r="D1219" s="4" t="s">
        <v>24</v>
      </c>
      <c r="E1219" s="4" t="s">
        <v>24</v>
      </c>
      <c r="F1219" s="4" t="s">
        <v>25</v>
      </c>
      <c r="G1219" s="4" t="s">
        <v>25</v>
      </c>
      <c r="H1219" s="4" t="s">
        <v>35</v>
      </c>
      <c r="I1219" s="5">
        <v>44378</v>
      </c>
      <c r="J1219" s="6">
        <v>0</v>
      </c>
      <c r="K1219" s="6">
        <v>0</v>
      </c>
      <c r="L1219" s="6">
        <v>8.1649999999999991</v>
      </c>
      <c r="M1219" s="6">
        <v>8.1649999999999991</v>
      </c>
      <c r="N1219" s="6">
        <v>8.1649999999999991</v>
      </c>
      <c r="O1219" s="6">
        <v>8.1649999999999991</v>
      </c>
      <c r="P1219" s="6">
        <v>0</v>
      </c>
      <c r="Q1219" s="4" t="s">
        <v>26</v>
      </c>
      <c r="R1219" s="4">
        <v>0</v>
      </c>
      <c r="S1219" s="6">
        <v>0</v>
      </c>
      <c r="T1219" s="6">
        <v>40</v>
      </c>
      <c r="U1219" s="6">
        <v>83</v>
      </c>
      <c r="V1219" s="6">
        <f>IF(ISERROR(VLOOKUP($S$1219,'TAR FIN'!$A$1:$O$116,15,0)),0,VLOOKUP($S$1219,'TAR FIN'!$A$1:$O$116,15,0))</f>
        <v>0</v>
      </c>
      <c r="W1219" s="6">
        <f>IF(ISERROR(VLOOKUP($T$1219,'TAR FIN'!$A$1:$O$116,15,0)),0,VLOOKUP($T$1219,'TAR FIN'!$A$1:$O$116,15,0))</f>
        <v>236.99</v>
      </c>
      <c r="X1219" s="6">
        <f>IF(ISERROR(VLOOKUP($U$1219,'TAR FIN'!$A$1:$O$116,15,0)),0,VLOOKUP($U$1219,'TAR FIN'!$A$1:$O$116,15,0))</f>
        <v>311.04000000000002</v>
      </c>
      <c r="Y1219" s="6"/>
      <c r="Z1219" s="6">
        <f ca="1">('TUSD BE'!$AM$42+'TUSD BF'!$AM$42+'TUSD CVA'!$AM$42)*1</f>
        <v>315.01731089539015</v>
      </c>
      <c r="AA1219" s="6">
        <f>('TE BE'!$AB$13+'TE BF'!$AB$13+'TE CVA'!$AB$13)*1</f>
        <v>313.22907246928764</v>
      </c>
      <c r="AB1219" s="6">
        <f>$K$1219*$V$1219</f>
        <v>0</v>
      </c>
      <c r="AC1219" s="6">
        <f>$M$1219*$W$1219</f>
        <v>1935.0233499999999</v>
      </c>
      <c r="AD1219" s="6">
        <f>$O$1219*$X$1219</f>
        <v>2539.6415999999999</v>
      </c>
      <c r="AE1219" s="6">
        <f>$K$1219*$Y$1219</f>
        <v>0</v>
      </c>
      <c r="AF1219" s="6">
        <f ca="1">$M$1219*$Z$1219</f>
        <v>2572.1163434608602</v>
      </c>
      <c r="AG1219" s="6">
        <f>$O$1219*$AA$1219</f>
        <v>2557.5153767117336</v>
      </c>
    </row>
    <row r="1220" spans="1:33" ht="11.25" customHeight="1" x14ac:dyDescent="0.25">
      <c r="A1220" s="4" t="s">
        <v>28</v>
      </c>
      <c r="B1220" s="4" t="s">
        <v>22</v>
      </c>
      <c r="C1220" s="4" t="s">
        <v>33</v>
      </c>
      <c r="D1220" s="4" t="s">
        <v>24</v>
      </c>
      <c r="E1220" s="4" t="s">
        <v>24</v>
      </c>
      <c r="F1220" s="4" t="s">
        <v>25</v>
      </c>
      <c r="G1220" s="4" t="s">
        <v>25</v>
      </c>
      <c r="H1220" s="4" t="s">
        <v>35</v>
      </c>
      <c r="I1220" s="5">
        <v>44378</v>
      </c>
      <c r="J1220" s="6">
        <v>0</v>
      </c>
      <c r="K1220" s="6">
        <v>0</v>
      </c>
      <c r="L1220" s="6">
        <v>0.86899999999999999</v>
      </c>
      <c r="M1220" s="6">
        <v>0.86899999999999999</v>
      </c>
      <c r="N1220" s="6">
        <v>0.86899999999999999</v>
      </c>
      <c r="O1220" s="6">
        <v>0.86899999999999999</v>
      </c>
      <c r="P1220" s="6">
        <v>0</v>
      </c>
      <c r="Q1220" s="4" t="s">
        <v>26</v>
      </c>
      <c r="R1220" s="4">
        <v>0</v>
      </c>
      <c r="S1220" s="6">
        <v>0</v>
      </c>
      <c r="T1220" s="6">
        <v>40</v>
      </c>
      <c r="U1220" s="6">
        <v>83</v>
      </c>
      <c r="V1220" s="6">
        <f>IF(ISERROR(VLOOKUP($S$1220,'TAR FIN'!$A$1:$O$116,15,0)),0,VLOOKUP($S$1220,'TAR FIN'!$A$1:$O$116,15,0))</f>
        <v>0</v>
      </c>
      <c r="W1220" s="6">
        <f>IF(ISERROR(VLOOKUP($T$1220,'TAR FIN'!$A$1:$O$116,15,0)),0,VLOOKUP($T$1220,'TAR FIN'!$A$1:$O$116,15,0))</f>
        <v>236.99</v>
      </c>
      <c r="X1220" s="6">
        <f>IF(ISERROR(VLOOKUP($U$1220,'TAR FIN'!$A$1:$O$116,15,0)),0,VLOOKUP($U$1220,'TAR FIN'!$A$1:$O$116,15,0))</f>
        <v>311.04000000000002</v>
      </c>
      <c r="Y1220" s="6"/>
      <c r="Z1220" s="6">
        <f ca="1">('TUSD BE'!$AM$42+'TUSD BF'!$AM$42+'TUSD CVA'!$AM$42)*1</f>
        <v>315.01731089539015</v>
      </c>
      <c r="AA1220" s="6">
        <f>('TE BE'!$AB$13+'TE BF'!$AB$13+'TE CVA'!$AB$13)*1</f>
        <v>313.22907246928764</v>
      </c>
      <c r="AB1220" s="6">
        <f>$K$1220*$V$1220</f>
        <v>0</v>
      </c>
      <c r="AC1220" s="6">
        <f>$M$1220*$W$1220</f>
        <v>205.94431</v>
      </c>
      <c r="AD1220" s="6">
        <f>$O$1220*$X$1220</f>
        <v>270.29376000000002</v>
      </c>
      <c r="AE1220" s="6">
        <f>$K$1220*$Y$1220</f>
        <v>0</v>
      </c>
      <c r="AF1220" s="6">
        <f ca="1">$M$1220*$Z$1220</f>
        <v>273.75004316809407</v>
      </c>
      <c r="AG1220" s="6">
        <f>$O$1220*$AA$1220</f>
        <v>272.19606397581094</v>
      </c>
    </row>
    <row r="1221" spans="1:33" ht="11.25" customHeight="1" x14ac:dyDescent="0.25">
      <c r="A1221" s="4" t="s">
        <v>28</v>
      </c>
      <c r="B1221" s="4" t="s">
        <v>22</v>
      </c>
      <c r="C1221" s="4" t="s">
        <v>33</v>
      </c>
      <c r="D1221" s="4" t="s">
        <v>24</v>
      </c>
      <c r="E1221" s="4" t="s">
        <v>24</v>
      </c>
      <c r="F1221" s="4" t="s">
        <v>25</v>
      </c>
      <c r="G1221" s="4" t="s">
        <v>25</v>
      </c>
      <c r="H1221" s="4" t="s">
        <v>35</v>
      </c>
      <c r="I1221" s="5">
        <v>44378</v>
      </c>
      <c r="J1221" s="6">
        <v>0</v>
      </c>
      <c r="K1221" s="6">
        <v>0</v>
      </c>
      <c r="L1221" s="6">
        <v>-9.4E-2</v>
      </c>
      <c r="M1221" s="6">
        <v>-9.4E-2</v>
      </c>
      <c r="N1221" s="6">
        <v>-9.4E-2</v>
      </c>
      <c r="O1221" s="6">
        <v>-9.4E-2</v>
      </c>
      <c r="P1221" s="6">
        <v>0</v>
      </c>
      <c r="Q1221" s="4" t="s">
        <v>26</v>
      </c>
      <c r="R1221" s="4">
        <v>0</v>
      </c>
      <c r="S1221" s="6">
        <v>0</v>
      </c>
      <c r="T1221" s="6">
        <v>40</v>
      </c>
      <c r="U1221" s="6">
        <v>83</v>
      </c>
      <c r="V1221" s="6">
        <f>IF(ISERROR(VLOOKUP($S$1221,'TAR FIN'!$A$1:$O$116,15,0)),0,VLOOKUP($S$1221,'TAR FIN'!$A$1:$O$116,15,0))</f>
        <v>0</v>
      </c>
      <c r="W1221" s="6">
        <f>IF(ISERROR(VLOOKUP($T$1221,'TAR FIN'!$A$1:$O$116,15,0)),0,VLOOKUP($T$1221,'TAR FIN'!$A$1:$O$116,15,0))</f>
        <v>236.99</v>
      </c>
      <c r="X1221" s="6">
        <f>IF(ISERROR(VLOOKUP($U$1221,'TAR FIN'!$A$1:$O$116,15,0)),0,VLOOKUP($U$1221,'TAR FIN'!$A$1:$O$116,15,0))</f>
        <v>311.04000000000002</v>
      </c>
      <c r="Y1221" s="6"/>
      <c r="Z1221" s="6">
        <f ca="1">('TUSD BE'!$AM$42+'TUSD BF'!$AM$42+'TUSD CVA'!$AM$42)*1</f>
        <v>315.01731089539015</v>
      </c>
      <c r="AA1221" s="6">
        <f>('TE BE'!$AB$13+'TE BF'!$AB$13+'TE CVA'!$AB$13)*1</f>
        <v>313.22907246928764</v>
      </c>
      <c r="AB1221" s="6">
        <f>$K$1221*$V$1221</f>
        <v>0</v>
      </c>
      <c r="AC1221" s="6">
        <f>$M$1221*$W$1221</f>
        <v>-22.277060000000002</v>
      </c>
      <c r="AD1221" s="6">
        <f>$O$1221*$X$1221</f>
        <v>-29.237760000000002</v>
      </c>
      <c r="AE1221" s="6">
        <f>$K$1221*$Y$1221</f>
        <v>0</v>
      </c>
      <c r="AF1221" s="6">
        <f ca="1">$M$1221*$Z$1221</f>
        <v>-29.611627224166675</v>
      </c>
      <c r="AG1221" s="6">
        <f>$O$1221*$AA$1221</f>
        <v>-29.443532812113038</v>
      </c>
    </row>
    <row r="1222" spans="1:33" ht="11.25" customHeight="1" x14ac:dyDescent="0.25">
      <c r="A1222" s="4" t="s">
        <v>21</v>
      </c>
      <c r="B1222" s="4" t="s">
        <v>22</v>
      </c>
      <c r="C1222" s="4" t="s">
        <v>33</v>
      </c>
      <c r="D1222" s="4" t="s">
        <v>24</v>
      </c>
      <c r="E1222" s="4" t="s">
        <v>24</v>
      </c>
      <c r="F1222" s="4" t="s">
        <v>25</v>
      </c>
      <c r="G1222" s="4" t="s">
        <v>25</v>
      </c>
      <c r="H1222" s="4" t="s">
        <v>35</v>
      </c>
      <c r="I1222" s="5">
        <v>44409</v>
      </c>
      <c r="J1222" s="6">
        <v>0</v>
      </c>
      <c r="K1222" s="6">
        <v>0</v>
      </c>
      <c r="L1222" s="6">
        <v>9.9710000000000001</v>
      </c>
      <c r="M1222" s="6">
        <v>9.9710000000000001</v>
      </c>
      <c r="N1222" s="6">
        <v>9.9710000000000001</v>
      </c>
      <c r="O1222" s="6">
        <v>9.9710000000000001</v>
      </c>
      <c r="P1222" s="6">
        <v>0</v>
      </c>
      <c r="Q1222" s="4" t="s">
        <v>26</v>
      </c>
      <c r="R1222" s="4">
        <v>0</v>
      </c>
      <c r="S1222" s="6">
        <v>0</v>
      </c>
      <c r="T1222" s="6">
        <v>40</v>
      </c>
      <c r="U1222" s="6">
        <v>83</v>
      </c>
      <c r="V1222" s="6">
        <f>IF(ISERROR(VLOOKUP($S$1222,'TAR FIN'!$A$1:$O$116,15,0)),0,VLOOKUP($S$1222,'TAR FIN'!$A$1:$O$116,15,0))</f>
        <v>0</v>
      </c>
      <c r="W1222" s="6">
        <f>IF(ISERROR(VLOOKUP($T$1222,'TAR FIN'!$A$1:$O$116,15,0)),0,VLOOKUP($T$1222,'TAR FIN'!$A$1:$O$116,15,0))</f>
        <v>236.99</v>
      </c>
      <c r="X1222" s="6">
        <f>IF(ISERROR(VLOOKUP($U$1222,'TAR FIN'!$A$1:$O$116,15,0)),0,VLOOKUP($U$1222,'TAR FIN'!$A$1:$O$116,15,0))</f>
        <v>311.04000000000002</v>
      </c>
      <c r="Y1222" s="6"/>
      <c r="Z1222" s="6">
        <f ca="1">('TUSD BE'!$AM$42+'TUSD BF'!$AM$42+'TUSD CVA'!$AM$42)*1</f>
        <v>315.01731089539015</v>
      </c>
      <c r="AA1222" s="6">
        <f>('TE BE'!$AB$13+'TE BF'!$AB$13+'TE CVA'!$AB$13)*1</f>
        <v>313.22907246928764</v>
      </c>
      <c r="AB1222" s="6">
        <f>$K$1222*$V$1222</f>
        <v>0</v>
      </c>
      <c r="AC1222" s="6">
        <f>$M$1222*$W$1222</f>
        <v>2363.02729</v>
      </c>
      <c r="AD1222" s="6">
        <f>$O$1222*$X$1222</f>
        <v>3101.3798400000001</v>
      </c>
      <c r="AE1222" s="6">
        <f>$K$1222*$Y$1222</f>
        <v>0</v>
      </c>
      <c r="AF1222" s="6">
        <f ca="1">$M$1222*$Z$1222</f>
        <v>3141.0376069379354</v>
      </c>
      <c r="AG1222" s="6">
        <f>$O$1222*$AA$1222</f>
        <v>3123.2070815912671</v>
      </c>
    </row>
    <row r="1223" spans="1:33" ht="11.25" customHeight="1" x14ac:dyDescent="0.25">
      <c r="A1223" s="4" t="s">
        <v>28</v>
      </c>
      <c r="B1223" s="4" t="s">
        <v>22</v>
      </c>
      <c r="C1223" s="4" t="s">
        <v>33</v>
      </c>
      <c r="D1223" s="4" t="s">
        <v>24</v>
      </c>
      <c r="E1223" s="4" t="s">
        <v>24</v>
      </c>
      <c r="F1223" s="4" t="s">
        <v>25</v>
      </c>
      <c r="G1223" s="4" t="s">
        <v>25</v>
      </c>
      <c r="H1223" s="4" t="s">
        <v>35</v>
      </c>
      <c r="I1223" s="5">
        <v>44409</v>
      </c>
      <c r="J1223" s="6">
        <v>0</v>
      </c>
      <c r="K1223" s="6">
        <v>0</v>
      </c>
      <c r="L1223" s="6">
        <v>0.62</v>
      </c>
      <c r="M1223" s="6">
        <v>0.62</v>
      </c>
      <c r="N1223" s="6">
        <v>0.62</v>
      </c>
      <c r="O1223" s="6">
        <v>0.62</v>
      </c>
      <c r="P1223" s="6">
        <v>0</v>
      </c>
      <c r="Q1223" s="4" t="s">
        <v>26</v>
      </c>
      <c r="R1223" s="4">
        <v>0</v>
      </c>
      <c r="S1223" s="6">
        <v>0</v>
      </c>
      <c r="T1223" s="6">
        <v>40</v>
      </c>
      <c r="U1223" s="6">
        <v>83</v>
      </c>
      <c r="V1223" s="6">
        <f>IF(ISERROR(VLOOKUP($S$1223,'TAR FIN'!$A$1:$O$116,15,0)),0,VLOOKUP($S$1223,'TAR FIN'!$A$1:$O$116,15,0))</f>
        <v>0</v>
      </c>
      <c r="W1223" s="6">
        <f>IF(ISERROR(VLOOKUP($T$1223,'TAR FIN'!$A$1:$O$116,15,0)),0,VLOOKUP($T$1223,'TAR FIN'!$A$1:$O$116,15,0))</f>
        <v>236.99</v>
      </c>
      <c r="X1223" s="6">
        <f>IF(ISERROR(VLOOKUP($U$1223,'TAR FIN'!$A$1:$O$116,15,0)),0,VLOOKUP($U$1223,'TAR FIN'!$A$1:$O$116,15,0))</f>
        <v>311.04000000000002</v>
      </c>
      <c r="Y1223" s="6"/>
      <c r="Z1223" s="6">
        <f ca="1">('TUSD BE'!$AM$42+'TUSD BF'!$AM$42+'TUSD CVA'!$AM$42)*1</f>
        <v>315.01731089539015</v>
      </c>
      <c r="AA1223" s="6">
        <f>('TE BE'!$AB$13+'TE BF'!$AB$13+'TE CVA'!$AB$13)*1</f>
        <v>313.22907246928764</v>
      </c>
      <c r="AB1223" s="6">
        <f>$K$1223*$V$1223</f>
        <v>0</v>
      </c>
      <c r="AC1223" s="6">
        <f>$M$1223*$W$1223</f>
        <v>146.93379999999999</v>
      </c>
      <c r="AD1223" s="6">
        <f>$O$1223*$X$1223</f>
        <v>192.84480000000002</v>
      </c>
      <c r="AE1223" s="6">
        <f>$K$1223*$Y$1223</f>
        <v>0</v>
      </c>
      <c r="AF1223" s="6">
        <f ca="1">$M$1223*$Z$1223</f>
        <v>195.31073275514188</v>
      </c>
      <c r="AG1223" s="6">
        <f>$O$1223*$AA$1223</f>
        <v>194.20202493095834</v>
      </c>
    </row>
    <row r="1224" spans="1:33" ht="11.25" customHeight="1" x14ac:dyDescent="0.25">
      <c r="A1224" s="4" t="s">
        <v>21</v>
      </c>
      <c r="B1224" s="4" t="s">
        <v>22</v>
      </c>
      <c r="C1224" s="4" t="s">
        <v>33</v>
      </c>
      <c r="D1224" s="4" t="s">
        <v>24</v>
      </c>
      <c r="E1224" s="4" t="s">
        <v>24</v>
      </c>
      <c r="F1224" s="4" t="s">
        <v>25</v>
      </c>
      <c r="G1224" s="4" t="s">
        <v>25</v>
      </c>
      <c r="H1224" s="4" t="s">
        <v>35</v>
      </c>
      <c r="I1224" s="5">
        <v>44440</v>
      </c>
      <c r="J1224" s="6">
        <v>0</v>
      </c>
      <c r="K1224" s="6">
        <v>0</v>
      </c>
      <c r="L1224" s="6">
        <v>10.641</v>
      </c>
      <c r="M1224" s="6">
        <v>10.641</v>
      </c>
      <c r="N1224" s="6">
        <v>10.641</v>
      </c>
      <c r="O1224" s="6">
        <v>10.641</v>
      </c>
      <c r="P1224" s="6">
        <v>0</v>
      </c>
      <c r="Q1224" s="4" t="s">
        <v>26</v>
      </c>
      <c r="R1224" s="4">
        <v>0</v>
      </c>
      <c r="S1224" s="6">
        <v>0</v>
      </c>
      <c r="T1224" s="6">
        <v>40</v>
      </c>
      <c r="U1224" s="6">
        <v>83</v>
      </c>
      <c r="V1224" s="6">
        <f>IF(ISERROR(VLOOKUP($S$1224,'TAR FIN'!$A$1:$O$116,15,0)),0,VLOOKUP($S$1224,'TAR FIN'!$A$1:$O$116,15,0))</f>
        <v>0</v>
      </c>
      <c r="W1224" s="6">
        <f>IF(ISERROR(VLOOKUP($T$1224,'TAR FIN'!$A$1:$O$116,15,0)),0,VLOOKUP($T$1224,'TAR FIN'!$A$1:$O$116,15,0))</f>
        <v>236.99</v>
      </c>
      <c r="X1224" s="6">
        <f>IF(ISERROR(VLOOKUP($U$1224,'TAR FIN'!$A$1:$O$116,15,0)),0,VLOOKUP($U$1224,'TAR FIN'!$A$1:$O$116,15,0))</f>
        <v>311.04000000000002</v>
      </c>
      <c r="Y1224" s="6"/>
      <c r="Z1224" s="6">
        <f ca="1">('TUSD BE'!$AM$42+'TUSD BF'!$AM$42+'TUSD CVA'!$AM$42)*1</f>
        <v>315.01731089539015</v>
      </c>
      <c r="AA1224" s="6">
        <f>('TE BE'!$AB$13+'TE BF'!$AB$13+'TE CVA'!$AB$13)*1</f>
        <v>313.22907246928764</v>
      </c>
      <c r="AB1224" s="6">
        <f>$K$1224*$V$1224</f>
        <v>0</v>
      </c>
      <c r="AC1224" s="6">
        <f>$M$1224*$W$1224</f>
        <v>2521.81059</v>
      </c>
      <c r="AD1224" s="6">
        <f>$O$1224*$X$1224</f>
        <v>3309.77664</v>
      </c>
      <c r="AE1224" s="6">
        <f>$K$1224*$Y$1224</f>
        <v>0</v>
      </c>
      <c r="AF1224" s="6">
        <f ca="1">$M$1224*$Z$1224</f>
        <v>3352.0992052378465</v>
      </c>
      <c r="AG1224" s="6">
        <f>$O$1224*$AA$1224</f>
        <v>3333.0705601456898</v>
      </c>
    </row>
    <row r="1225" spans="1:33" ht="11.25" customHeight="1" x14ac:dyDescent="0.25">
      <c r="A1225" s="4" t="s">
        <v>28</v>
      </c>
      <c r="B1225" s="4" t="s">
        <v>22</v>
      </c>
      <c r="C1225" s="4" t="s">
        <v>33</v>
      </c>
      <c r="D1225" s="4" t="s">
        <v>24</v>
      </c>
      <c r="E1225" s="4" t="s">
        <v>24</v>
      </c>
      <c r="F1225" s="4" t="s">
        <v>25</v>
      </c>
      <c r="G1225" s="4" t="s">
        <v>25</v>
      </c>
      <c r="H1225" s="4" t="s">
        <v>35</v>
      </c>
      <c r="I1225" s="5">
        <v>44440</v>
      </c>
      <c r="J1225" s="6">
        <v>0</v>
      </c>
      <c r="K1225" s="6">
        <v>0</v>
      </c>
      <c r="L1225" s="6">
        <v>0.85299999999999998</v>
      </c>
      <c r="M1225" s="6">
        <v>0.85299999999999998</v>
      </c>
      <c r="N1225" s="6">
        <v>0.85299999999999998</v>
      </c>
      <c r="O1225" s="6">
        <v>0.85299999999999998</v>
      </c>
      <c r="P1225" s="6">
        <v>0</v>
      </c>
      <c r="Q1225" s="4" t="s">
        <v>26</v>
      </c>
      <c r="R1225" s="4">
        <v>0</v>
      </c>
      <c r="S1225" s="6">
        <v>0</v>
      </c>
      <c r="T1225" s="6">
        <v>40</v>
      </c>
      <c r="U1225" s="6">
        <v>83</v>
      </c>
      <c r="V1225" s="6">
        <f>IF(ISERROR(VLOOKUP($S$1225,'TAR FIN'!$A$1:$O$116,15,0)),0,VLOOKUP($S$1225,'TAR FIN'!$A$1:$O$116,15,0))</f>
        <v>0</v>
      </c>
      <c r="W1225" s="6">
        <f>IF(ISERROR(VLOOKUP($T$1225,'TAR FIN'!$A$1:$O$116,15,0)),0,VLOOKUP($T$1225,'TAR FIN'!$A$1:$O$116,15,0))</f>
        <v>236.99</v>
      </c>
      <c r="X1225" s="6">
        <f>IF(ISERROR(VLOOKUP($U$1225,'TAR FIN'!$A$1:$O$116,15,0)),0,VLOOKUP($U$1225,'TAR FIN'!$A$1:$O$116,15,0))</f>
        <v>311.04000000000002</v>
      </c>
      <c r="Y1225" s="6"/>
      <c r="Z1225" s="6">
        <f ca="1">('TUSD BE'!$AM$42+'TUSD BF'!$AM$42+'TUSD CVA'!$AM$42)*1</f>
        <v>315.01731089539015</v>
      </c>
      <c r="AA1225" s="6">
        <f>('TE BE'!$AB$13+'TE BF'!$AB$13+'TE CVA'!$AB$13)*1</f>
        <v>313.22907246928764</v>
      </c>
      <c r="AB1225" s="6">
        <f>$K$1225*$V$1225</f>
        <v>0</v>
      </c>
      <c r="AC1225" s="6">
        <f>$M$1225*$W$1225</f>
        <v>202.15246999999999</v>
      </c>
      <c r="AD1225" s="6">
        <f>$O$1225*$X$1225</f>
        <v>265.31711999999999</v>
      </c>
      <c r="AE1225" s="6">
        <f>$K$1225*$Y$1225</f>
        <v>0</v>
      </c>
      <c r="AF1225" s="6">
        <f ca="1">$M$1225*$Z$1225</f>
        <v>268.70976619376779</v>
      </c>
      <c r="AG1225" s="6">
        <f>$O$1225*$AA$1225</f>
        <v>267.18439881630235</v>
      </c>
    </row>
    <row r="1226" spans="1:33" ht="11.25" customHeight="1" x14ac:dyDescent="0.25">
      <c r="A1226" s="4" t="s">
        <v>21</v>
      </c>
      <c r="B1226" s="4" t="s">
        <v>22</v>
      </c>
      <c r="C1226" s="4" t="s">
        <v>33</v>
      </c>
      <c r="D1226" s="4" t="s">
        <v>24</v>
      </c>
      <c r="E1226" s="4" t="s">
        <v>24</v>
      </c>
      <c r="F1226" s="4" t="s">
        <v>25</v>
      </c>
      <c r="G1226" s="4" t="s">
        <v>25</v>
      </c>
      <c r="H1226" s="4" t="s">
        <v>35</v>
      </c>
      <c r="I1226" s="5">
        <v>44470</v>
      </c>
      <c r="J1226" s="6">
        <v>0</v>
      </c>
      <c r="K1226" s="6">
        <v>0</v>
      </c>
      <c r="L1226" s="6">
        <v>9.1449999999999996</v>
      </c>
      <c r="M1226" s="6">
        <v>9.1449999999999996</v>
      </c>
      <c r="N1226" s="6">
        <v>9.1449999999999996</v>
      </c>
      <c r="O1226" s="6">
        <v>9.1449999999999996</v>
      </c>
      <c r="P1226" s="6">
        <v>0</v>
      </c>
      <c r="Q1226" s="4" t="s">
        <v>26</v>
      </c>
      <c r="R1226" s="4">
        <v>0</v>
      </c>
      <c r="S1226" s="6">
        <v>0</v>
      </c>
      <c r="T1226" s="6">
        <v>40</v>
      </c>
      <c r="U1226" s="6">
        <v>83</v>
      </c>
      <c r="V1226" s="6">
        <f>IF(ISERROR(VLOOKUP($S$1226,'TAR FIN'!$A$1:$O$116,15,0)),0,VLOOKUP($S$1226,'TAR FIN'!$A$1:$O$116,15,0))</f>
        <v>0</v>
      </c>
      <c r="W1226" s="6">
        <f>IF(ISERROR(VLOOKUP($T$1226,'TAR FIN'!$A$1:$O$116,15,0)),0,VLOOKUP($T$1226,'TAR FIN'!$A$1:$O$116,15,0))</f>
        <v>236.99</v>
      </c>
      <c r="X1226" s="6">
        <f>IF(ISERROR(VLOOKUP($U$1226,'TAR FIN'!$A$1:$O$116,15,0)),0,VLOOKUP($U$1226,'TAR FIN'!$A$1:$O$116,15,0))</f>
        <v>311.04000000000002</v>
      </c>
      <c r="Y1226" s="6"/>
      <c r="Z1226" s="6">
        <f ca="1">('TUSD BE'!$AM$42+'TUSD BF'!$AM$42+'TUSD CVA'!$AM$42)*1</f>
        <v>315.01731089539015</v>
      </c>
      <c r="AA1226" s="6">
        <f>('TE BE'!$AB$13+'TE BF'!$AB$13+'TE CVA'!$AB$13)*1</f>
        <v>313.22907246928764</v>
      </c>
      <c r="AB1226" s="6">
        <f>$K$1226*$V$1226</f>
        <v>0</v>
      </c>
      <c r="AC1226" s="6">
        <f>$M$1226*$W$1226</f>
        <v>2167.2735499999999</v>
      </c>
      <c r="AD1226" s="6">
        <f>$O$1226*$X$1226</f>
        <v>2844.4607999999998</v>
      </c>
      <c r="AE1226" s="6">
        <f>$K$1226*$Y$1226</f>
        <v>0</v>
      </c>
      <c r="AF1226" s="6">
        <f ca="1">$M$1226*$Z$1226</f>
        <v>2880.833308138343</v>
      </c>
      <c r="AG1226" s="6">
        <f>$O$1226*$AA$1226</f>
        <v>2864.4798677316353</v>
      </c>
    </row>
    <row r="1227" spans="1:33" ht="11.25" customHeight="1" x14ac:dyDescent="0.25">
      <c r="A1227" s="4" t="s">
        <v>28</v>
      </c>
      <c r="B1227" s="4" t="s">
        <v>22</v>
      </c>
      <c r="C1227" s="4" t="s">
        <v>33</v>
      </c>
      <c r="D1227" s="4" t="s">
        <v>24</v>
      </c>
      <c r="E1227" s="4" t="s">
        <v>24</v>
      </c>
      <c r="F1227" s="4" t="s">
        <v>25</v>
      </c>
      <c r="G1227" s="4" t="s">
        <v>25</v>
      </c>
      <c r="H1227" s="4" t="s">
        <v>35</v>
      </c>
      <c r="I1227" s="5">
        <v>44470</v>
      </c>
      <c r="J1227" s="6">
        <v>0</v>
      </c>
      <c r="K1227" s="6">
        <v>0</v>
      </c>
      <c r="L1227" s="6">
        <v>0.27900000000000003</v>
      </c>
      <c r="M1227" s="6">
        <v>0.27900000000000003</v>
      </c>
      <c r="N1227" s="6">
        <v>0.27900000000000003</v>
      </c>
      <c r="O1227" s="6">
        <v>0.27900000000000003</v>
      </c>
      <c r="P1227" s="6">
        <v>0</v>
      </c>
      <c r="Q1227" s="4" t="s">
        <v>26</v>
      </c>
      <c r="R1227" s="4">
        <v>0</v>
      </c>
      <c r="S1227" s="6">
        <v>0</v>
      </c>
      <c r="T1227" s="6">
        <v>40</v>
      </c>
      <c r="U1227" s="6">
        <v>83</v>
      </c>
      <c r="V1227" s="6">
        <f>IF(ISERROR(VLOOKUP($S$1227,'TAR FIN'!$A$1:$O$116,15,0)),0,VLOOKUP($S$1227,'TAR FIN'!$A$1:$O$116,15,0))</f>
        <v>0</v>
      </c>
      <c r="W1227" s="6">
        <f>IF(ISERROR(VLOOKUP($T$1227,'TAR FIN'!$A$1:$O$116,15,0)),0,VLOOKUP($T$1227,'TAR FIN'!$A$1:$O$116,15,0))</f>
        <v>236.99</v>
      </c>
      <c r="X1227" s="6">
        <f>IF(ISERROR(VLOOKUP($U$1227,'TAR FIN'!$A$1:$O$116,15,0)),0,VLOOKUP($U$1227,'TAR FIN'!$A$1:$O$116,15,0))</f>
        <v>311.04000000000002</v>
      </c>
      <c r="Y1227" s="6"/>
      <c r="Z1227" s="6">
        <f ca="1">('TUSD BE'!$AM$42+'TUSD BF'!$AM$42+'TUSD CVA'!$AM$42)*1</f>
        <v>315.01731089539015</v>
      </c>
      <c r="AA1227" s="6">
        <f>('TE BE'!$AB$13+'TE BF'!$AB$13+'TE CVA'!$AB$13)*1</f>
        <v>313.22907246928764</v>
      </c>
      <c r="AB1227" s="6">
        <f>$K$1227*$V$1227</f>
        <v>0</v>
      </c>
      <c r="AC1227" s="6">
        <f>$M$1227*$W$1227</f>
        <v>66.120210000000014</v>
      </c>
      <c r="AD1227" s="6">
        <f>$O$1227*$X$1227</f>
        <v>86.780160000000009</v>
      </c>
      <c r="AE1227" s="6">
        <f>$K$1227*$Y$1227</f>
        <v>0</v>
      </c>
      <c r="AF1227" s="6">
        <f ca="1">$M$1227*$Z$1227</f>
        <v>87.889829739813862</v>
      </c>
      <c r="AG1227" s="6">
        <f>$O$1227*$AA$1227</f>
        <v>87.390911218931265</v>
      </c>
    </row>
    <row r="1228" spans="1:33" ht="11.25" customHeight="1" x14ac:dyDescent="0.25">
      <c r="A1228" s="4" t="s">
        <v>28</v>
      </c>
      <c r="B1228" s="4" t="s">
        <v>22</v>
      </c>
      <c r="C1228" s="4" t="s">
        <v>33</v>
      </c>
      <c r="D1228" s="4" t="s">
        <v>24</v>
      </c>
      <c r="E1228" s="4" t="s">
        <v>24</v>
      </c>
      <c r="F1228" s="4" t="s">
        <v>25</v>
      </c>
      <c r="G1228" s="4" t="s">
        <v>25</v>
      </c>
      <c r="H1228" s="4" t="s">
        <v>35</v>
      </c>
      <c r="I1228" s="5">
        <v>44470</v>
      </c>
      <c r="J1228" s="6">
        <v>0</v>
      </c>
      <c r="K1228" s="6">
        <v>0</v>
      </c>
      <c r="L1228" s="6">
        <v>-0.154</v>
      </c>
      <c r="M1228" s="6">
        <v>-0.154</v>
      </c>
      <c r="N1228" s="6">
        <v>-0.154</v>
      </c>
      <c r="O1228" s="6">
        <v>-0.154</v>
      </c>
      <c r="P1228" s="6">
        <v>0</v>
      </c>
      <c r="Q1228" s="4" t="s">
        <v>26</v>
      </c>
      <c r="R1228" s="4">
        <v>0</v>
      </c>
      <c r="S1228" s="6">
        <v>0</v>
      </c>
      <c r="T1228" s="6">
        <v>40</v>
      </c>
      <c r="U1228" s="6">
        <v>83</v>
      </c>
      <c r="V1228" s="6">
        <f>IF(ISERROR(VLOOKUP($S$1228,'TAR FIN'!$A$1:$O$116,15,0)),0,VLOOKUP($S$1228,'TAR FIN'!$A$1:$O$116,15,0))</f>
        <v>0</v>
      </c>
      <c r="W1228" s="6">
        <f>IF(ISERROR(VLOOKUP($T$1228,'TAR FIN'!$A$1:$O$116,15,0)),0,VLOOKUP($T$1228,'TAR FIN'!$A$1:$O$116,15,0))</f>
        <v>236.99</v>
      </c>
      <c r="X1228" s="6">
        <f>IF(ISERROR(VLOOKUP($U$1228,'TAR FIN'!$A$1:$O$116,15,0)),0,VLOOKUP($U$1228,'TAR FIN'!$A$1:$O$116,15,0))</f>
        <v>311.04000000000002</v>
      </c>
      <c r="Y1228" s="6"/>
      <c r="Z1228" s="6">
        <f ca="1">('TUSD BE'!$AM$42+'TUSD BF'!$AM$42+'TUSD CVA'!$AM$42)*1</f>
        <v>315.01731089539015</v>
      </c>
      <c r="AA1228" s="6">
        <f>('TE BE'!$AB$13+'TE BF'!$AB$13+'TE CVA'!$AB$13)*1</f>
        <v>313.22907246928764</v>
      </c>
      <c r="AB1228" s="6">
        <f>$K$1228*$V$1228</f>
        <v>0</v>
      </c>
      <c r="AC1228" s="6">
        <f>$M$1228*$W$1228</f>
        <v>-36.496459999999999</v>
      </c>
      <c r="AD1228" s="6">
        <f>$O$1228*$X$1228</f>
        <v>-47.90016</v>
      </c>
      <c r="AE1228" s="6">
        <f>$K$1228*$Y$1228</f>
        <v>0</v>
      </c>
      <c r="AF1228" s="6">
        <f ca="1">$M$1228*$Z$1228</f>
        <v>-48.512665877890086</v>
      </c>
      <c r="AG1228" s="6">
        <f>$O$1228*$AA$1228</f>
        <v>-48.237277160270295</v>
      </c>
    </row>
    <row r="1229" spans="1:33" ht="11.25" customHeight="1" x14ac:dyDescent="0.25">
      <c r="A1229" s="4" t="s">
        <v>21</v>
      </c>
      <c r="B1229" s="4" t="s">
        <v>22</v>
      </c>
      <c r="C1229" s="4" t="s">
        <v>33</v>
      </c>
      <c r="D1229" s="4" t="s">
        <v>24</v>
      </c>
      <c r="E1229" s="4" t="s">
        <v>24</v>
      </c>
      <c r="F1229" s="4" t="s">
        <v>25</v>
      </c>
      <c r="G1229" s="4" t="s">
        <v>25</v>
      </c>
      <c r="H1229" s="4" t="s">
        <v>35</v>
      </c>
      <c r="I1229" s="5">
        <v>44501</v>
      </c>
      <c r="J1229" s="6">
        <v>0</v>
      </c>
      <c r="K1229" s="6">
        <v>0</v>
      </c>
      <c r="L1229" s="6">
        <v>9.7889999999999997</v>
      </c>
      <c r="M1229" s="6">
        <v>9.7889999999999997</v>
      </c>
      <c r="N1229" s="6">
        <v>9.7889999999999997</v>
      </c>
      <c r="O1229" s="6">
        <v>9.7889999999999997</v>
      </c>
      <c r="P1229" s="6">
        <v>0</v>
      </c>
      <c r="Q1229" s="4" t="s">
        <v>26</v>
      </c>
      <c r="R1229" s="4">
        <v>0</v>
      </c>
      <c r="S1229" s="6">
        <v>0</v>
      </c>
      <c r="T1229" s="6">
        <v>40</v>
      </c>
      <c r="U1229" s="6">
        <v>83</v>
      </c>
      <c r="V1229" s="6">
        <f>IF(ISERROR(VLOOKUP($S$1229,'TAR FIN'!$A$1:$O$116,15,0)),0,VLOOKUP($S$1229,'TAR FIN'!$A$1:$O$116,15,0))</f>
        <v>0</v>
      </c>
      <c r="W1229" s="6">
        <f>IF(ISERROR(VLOOKUP($T$1229,'TAR FIN'!$A$1:$O$116,15,0)),0,VLOOKUP($T$1229,'TAR FIN'!$A$1:$O$116,15,0))</f>
        <v>236.99</v>
      </c>
      <c r="X1229" s="6">
        <f>IF(ISERROR(VLOOKUP($U$1229,'TAR FIN'!$A$1:$O$116,15,0)),0,VLOOKUP($U$1229,'TAR FIN'!$A$1:$O$116,15,0))</f>
        <v>311.04000000000002</v>
      </c>
      <c r="Y1229" s="6"/>
      <c r="Z1229" s="6">
        <f ca="1">('TUSD BE'!$AM$42+'TUSD BF'!$AM$42+'TUSD CVA'!$AM$42)*1</f>
        <v>315.01731089539015</v>
      </c>
      <c r="AA1229" s="6">
        <f>('TE BE'!$AB$13+'TE BF'!$AB$13+'TE CVA'!$AB$13)*1</f>
        <v>313.22907246928764</v>
      </c>
      <c r="AB1229" s="6">
        <f>$K$1229*$V$1229</f>
        <v>0</v>
      </c>
      <c r="AC1229" s="6">
        <f>$M$1229*$W$1229</f>
        <v>2319.8951099999999</v>
      </c>
      <c r="AD1229" s="6">
        <f>$O$1229*$X$1229</f>
        <v>3044.7705599999999</v>
      </c>
      <c r="AE1229" s="6">
        <f>$K$1229*$Y$1229</f>
        <v>0</v>
      </c>
      <c r="AF1229" s="6">
        <f ca="1">$M$1229*$Z$1229</f>
        <v>3083.7044563549739</v>
      </c>
      <c r="AG1229" s="6">
        <f>$O$1229*$AA$1229</f>
        <v>3066.1993904018568</v>
      </c>
    </row>
    <row r="1230" spans="1:33" ht="11.25" customHeight="1" x14ac:dyDescent="0.25">
      <c r="A1230" s="4" t="s">
        <v>28</v>
      </c>
      <c r="B1230" s="4" t="s">
        <v>22</v>
      </c>
      <c r="C1230" s="4" t="s">
        <v>33</v>
      </c>
      <c r="D1230" s="4" t="s">
        <v>24</v>
      </c>
      <c r="E1230" s="4" t="s">
        <v>24</v>
      </c>
      <c r="F1230" s="4" t="s">
        <v>25</v>
      </c>
      <c r="G1230" s="4" t="s">
        <v>25</v>
      </c>
      <c r="H1230" s="4" t="s">
        <v>35</v>
      </c>
      <c r="I1230" s="5">
        <v>44501</v>
      </c>
      <c r="J1230" s="6">
        <v>0</v>
      </c>
      <c r="K1230" s="6">
        <v>0</v>
      </c>
      <c r="L1230" s="6">
        <v>0.96399999999999997</v>
      </c>
      <c r="M1230" s="6">
        <v>0.96399999999999997</v>
      </c>
      <c r="N1230" s="6">
        <v>0.96399999999999997</v>
      </c>
      <c r="O1230" s="6">
        <v>0.96399999999999997</v>
      </c>
      <c r="P1230" s="6">
        <v>0</v>
      </c>
      <c r="Q1230" s="4" t="s">
        <v>26</v>
      </c>
      <c r="R1230" s="4">
        <v>0</v>
      </c>
      <c r="S1230" s="6">
        <v>0</v>
      </c>
      <c r="T1230" s="6">
        <v>40</v>
      </c>
      <c r="U1230" s="6">
        <v>83</v>
      </c>
      <c r="V1230" s="6">
        <f>IF(ISERROR(VLOOKUP($S$1230,'TAR FIN'!$A$1:$O$116,15,0)),0,VLOOKUP($S$1230,'TAR FIN'!$A$1:$O$116,15,0))</f>
        <v>0</v>
      </c>
      <c r="W1230" s="6">
        <f>IF(ISERROR(VLOOKUP($T$1230,'TAR FIN'!$A$1:$O$116,15,0)),0,VLOOKUP($T$1230,'TAR FIN'!$A$1:$O$116,15,0))</f>
        <v>236.99</v>
      </c>
      <c r="X1230" s="6">
        <f>IF(ISERROR(VLOOKUP($U$1230,'TAR FIN'!$A$1:$O$116,15,0)),0,VLOOKUP($U$1230,'TAR FIN'!$A$1:$O$116,15,0))</f>
        <v>311.04000000000002</v>
      </c>
      <c r="Y1230" s="6"/>
      <c r="Z1230" s="6">
        <f ca="1">('TUSD BE'!$AM$42+'TUSD BF'!$AM$42+'TUSD CVA'!$AM$42)*1</f>
        <v>315.01731089539015</v>
      </c>
      <c r="AA1230" s="6">
        <f>('TE BE'!$AB$13+'TE BF'!$AB$13+'TE CVA'!$AB$13)*1</f>
        <v>313.22907246928764</v>
      </c>
      <c r="AB1230" s="6">
        <f>$K$1230*$V$1230</f>
        <v>0</v>
      </c>
      <c r="AC1230" s="6">
        <f>$M$1230*$W$1230</f>
        <v>228.45836</v>
      </c>
      <c r="AD1230" s="6">
        <f>$O$1230*$X$1230</f>
        <v>299.84255999999999</v>
      </c>
      <c r="AE1230" s="6">
        <f>$K$1230*$Y$1230</f>
        <v>0</v>
      </c>
      <c r="AF1230" s="6">
        <f ca="1">$M$1230*$Z$1230</f>
        <v>303.67668770315612</v>
      </c>
      <c r="AG1230" s="6">
        <f>$O$1230*$AA$1230</f>
        <v>301.95282586039326</v>
      </c>
    </row>
    <row r="1231" spans="1:33" ht="11.25" customHeight="1" x14ac:dyDescent="0.25">
      <c r="A1231" s="4" t="s">
        <v>21</v>
      </c>
      <c r="B1231" s="4" t="s">
        <v>22</v>
      </c>
      <c r="C1231" s="4" t="s">
        <v>33</v>
      </c>
      <c r="D1231" s="4" t="s">
        <v>24</v>
      </c>
      <c r="E1231" s="4" t="s">
        <v>24</v>
      </c>
      <c r="F1231" s="4" t="s">
        <v>25</v>
      </c>
      <c r="G1231" s="4" t="s">
        <v>25</v>
      </c>
      <c r="H1231" s="4" t="s">
        <v>35</v>
      </c>
      <c r="I1231" s="5">
        <v>44531</v>
      </c>
      <c r="J1231" s="6">
        <v>0</v>
      </c>
      <c r="K1231" s="6">
        <v>0</v>
      </c>
      <c r="L1231" s="6">
        <v>9.9890000000000008</v>
      </c>
      <c r="M1231" s="6">
        <v>9.9890000000000008</v>
      </c>
      <c r="N1231" s="6">
        <v>9.9890000000000008</v>
      </c>
      <c r="O1231" s="6">
        <v>9.9890000000000008</v>
      </c>
      <c r="P1231" s="6">
        <v>0</v>
      </c>
      <c r="Q1231" s="4" t="s">
        <v>26</v>
      </c>
      <c r="R1231" s="4">
        <v>0</v>
      </c>
      <c r="S1231" s="6">
        <v>0</v>
      </c>
      <c r="T1231" s="6">
        <v>40</v>
      </c>
      <c r="U1231" s="6">
        <v>83</v>
      </c>
      <c r="V1231" s="6">
        <f>IF(ISERROR(VLOOKUP($S$1231,'TAR FIN'!$A$1:$O$116,15,0)),0,VLOOKUP($S$1231,'TAR FIN'!$A$1:$O$116,15,0))</f>
        <v>0</v>
      </c>
      <c r="W1231" s="6">
        <f>IF(ISERROR(VLOOKUP($T$1231,'TAR FIN'!$A$1:$O$116,15,0)),0,VLOOKUP($T$1231,'TAR FIN'!$A$1:$O$116,15,0))</f>
        <v>236.99</v>
      </c>
      <c r="X1231" s="6">
        <f>IF(ISERROR(VLOOKUP($U$1231,'TAR FIN'!$A$1:$O$116,15,0)),0,VLOOKUP($U$1231,'TAR FIN'!$A$1:$O$116,15,0))</f>
        <v>311.04000000000002</v>
      </c>
      <c r="Y1231" s="6"/>
      <c r="Z1231" s="6">
        <f ca="1">('TUSD BE'!$AM$42+'TUSD BF'!$AM$42+'TUSD CVA'!$AM$42)*1</f>
        <v>315.01731089539015</v>
      </c>
      <c r="AA1231" s="6">
        <f>('TE BE'!$AB$13+'TE BF'!$AB$13+'TE CVA'!$AB$13)*1</f>
        <v>313.22907246928764</v>
      </c>
      <c r="AB1231" s="6">
        <f>$K$1231*$V$1231</f>
        <v>0</v>
      </c>
      <c r="AC1231" s="6">
        <f>$M$1231*$W$1231</f>
        <v>2367.2931100000001</v>
      </c>
      <c r="AD1231" s="6">
        <f>$O$1231*$X$1231</f>
        <v>3106.9785600000005</v>
      </c>
      <c r="AE1231" s="6">
        <f>$K$1231*$Y$1231</f>
        <v>0</v>
      </c>
      <c r="AF1231" s="6">
        <f ca="1">$M$1231*$Z$1231</f>
        <v>3146.7079185340526</v>
      </c>
      <c r="AG1231" s="6">
        <f>$O$1231*$AA$1231</f>
        <v>3128.8452048957147</v>
      </c>
    </row>
    <row r="1232" spans="1:33" ht="11.25" customHeight="1" x14ac:dyDescent="0.25">
      <c r="A1232" s="4" t="s">
        <v>27</v>
      </c>
      <c r="B1232" s="4" t="s">
        <v>22</v>
      </c>
      <c r="C1232" s="4" t="s">
        <v>33</v>
      </c>
      <c r="D1232" s="4" t="s">
        <v>24</v>
      </c>
      <c r="E1232" s="4" t="s">
        <v>24</v>
      </c>
      <c r="F1232" s="4" t="s">
        <v>25</v>
      </c>
      <c r="G1232" s="4" t="s">
        <v>25</v>
      </c>
      <c r="H1232" s="4" t="s">
        <v>35</v>
      </c>
      <c r="I1232" s="5">
        <v>44531</v>
      </c>
      <c r="J1232" s="6">
        <v>0</v>
      </c>
      <c r="K1232" s="6">
        <v>0</v>
      </c>
      <c r="L1232" s="6">
        <v>-0.69599999999999995</v>
      </c>
      <c r="M1232" s="6">
        <v>-0.69599999999999995</v>
      </c>
      <c r="N1232" s="6">
        <v>-0.69599999999999995</v>
      </c>
      <c r="O1232" s="6">
        <v>-0.69599999999999995</v>
      </c>
      <c r="P1232" s="6">
        <v>0</v>
      </c>
      <c r="Q1232" s="4" t="s">
        <v>26</v>
      </c>
      <c r="R1232" s="4">
        <v>0</v>
      </c>
      <c r="S1232" s="6">
        <v>0</v>
      </c>
      <c r="T1232" s="6">
        <v>40</v>
      </c>
      <c r="U1232" s="6">
        <v>83</v>
      </c>
      <c r="V1232" s="6">
        <f>IF(ISERROR(VLOOKUP($S$1232,'TAR FIN'!$A$1:$O$116,15,0)),0,VLOOKUP($S$1232,'TAR FIN'!$A$1:$O$116,15,0))</f>
        <v>0</v>
      </c>
      <c r="W1232" s="6">
        <f>IF(ISERROR(VLOOKUP($T$1232,'TAR FIN'!$A$1:$O$116,15,0)),0,VLOOKUP($T$1232,'TAR FIN'!$A$1:$O$116,15,0))</f>
        <v>236.99</v>
      </c>
      <c r="X1232" s="6">
        <f>IF(ISERROR(VLOOKUP($U$1232,'TAR FIN'!$A$1:$O$116,15,0)),0,VLOOKUP($U$1232,'TAR FIN'!$A$1:$O$116,15,0))</f>
        <v>311.04000000000002</v>
      </c>
      <c r="Y1232" s="6"/>
      <c r="Z1232" s="6">
        <f ca="1">('TUSD BE'!$AM$42+'TUSD BF'!$AM$42+'TUSD CVA'!$AM$42)*1</f>
        <v>315.01731089539015</v>
      </c>
      <c r="AA1232" s="6">
        <f>('TE BE'!$AB$13+'TE BF'!$AB$13+'TE CVA'!$AB$13)*1</f>
        <v>313.22907246928764</v>
      </c>
      <c r="AB1232" s="6">
        <f>$K$1232*$V$1232</f>
        <v>0</v>
      </c>
      <c r="AC1232" s="6">
        <f>$M$1232*$W$1232</f>
        <v>-164.94504000000001</v>
      </c>
      <c r="AD1232" s="6">
        <f>$O$1232*$X$1232</f>
        <v>-216.48383999999999</v>
      </c>
      <c r="AE1232" s="6">
        <f>$K$1232*$Y$1232</f>
        <v>0</v>
      </c>
      <c r="AF1232" s="6">
        <f ca="1">$M$1232*$Z$1232</f>
        <v>-219.25204838319152</v>
      </c>
      <c r="AG1232" s="6">
        <f>$O$1232*$AA$1232</f>
        <v>-218.00743443862419</v>
      </c>
    </row>
    <row r="1233" spans="1:33" ht="11.25" customHeight="1" x14ac:dyDescent="0.25">
      <c r="A1233" s="4" t="s">
        <v>28</v>
      </c>
      <c r="B1233" s="4" t="s">
        <v>22</v>
      </c>
      <c r="C1233" s="4" t="s">
        <v>33</v>
      </c>
      <c r="D1233" s="4" t="s">
        <v>24</v>
      </c>
      <c r="E1233" s="4" t="s">
        <v>24</v>
      </c>
      <c r="F1233" s="4" t="s">
        <v>25</v>
      </c>
      <c r="G1233" s="4" t="s">
        <v>25</v>
      </c>
      <c r="H1233" s="4" t="s">
        <v>35</v>
      </c>
      <c r="I1233" s="5">
        <v>44531</v>
      </c>
      <c r="J1233" s="6">
        <v>0</v>
      </c>
      <c r="K1233" s="6">
        <v>0</v>
      </c>
      <c r="L1233" s="6">
        <v>0.22</v>
      </c>
      <c r="M1233" s="6">
        <v>0.22</v>
      </c>
      <c r="N1233" s="6">
        <v>0.22</v>
      </c>
      <c r="O1233" s="6">
        <v>0.22</v>
      </c>
      <c r="P1233" s="6">
        <v>0</v>
      </c>
      <c r="Q1233" s="4" t="s">
        <v>26</v>
      </c>
      <c r="R1233" s="4">
        <v>0</v>
      </c>
      <c r="S1233" s="6">
        <v>0</v>
      </c>
      <c r="T1233" s="6">
        <v>40</v>
      </c>
      <c r="U1233" s="6">
        <v>83</v>
      </c>
      <c r="V1233" s="6">
        <f>IF(ISERROR(VLOOKUP($S$1233,'TAR FIN'!$A$1:$O$116,15,0)),0,VLOOKUP($S$1233,'TAR FIN'!$A$1:$O$116,15,0))</f>
        <v>0</v>
      </c>
      <c r="W1233" s="6">
        <f>IF(ISERROR(VLOOKUP($T$1233,'TAR FIN'!$A$1:$O$116,15,0)),0,VLOOKUP($T$1233,'TAR FIN'!$A$1:$O$116,15,0))</f>
        <v>236.99</v>
      </c>
      <c r="X1233" s="6">
        <f>IF(ISERROR(VLOOKUP($U$1233,'TAR FIN'!$A$1:$O$116,15,0)),0,VLOOKUP($U$1233,'TAR FIN'!$A$1:$O$116,15,0))</f>
        <v>311.04000000000002</v>
      </c>
      <c r="Y1233" s="6"/>
      <c r="Z1233" s="6">
        <f ca="1">('TUSD BE'!$AM$42+'TUSD BF'!$AM$42+'TUSD CVA'!$AM$42)*1</f>
        <v>315.01731089539015</v>
      </c>
      <c r="AA1233" s="6">
        <f>('TE BE'!$AB$13+'TE BF'!$AB$13+'TE CVA'!$AB$13)*1</f>
        <v>313.22907246928764</v>
      </c>
      <c r="AB1233" s="6">
        <f>$K$1233*$V$1233</f>
        <v>0</v>
      </c>
      <c r="AC1233" s="6">
        <f>$M$1233*$W$1233</f>
        <v>52.137800000000006</v>
      </c>
      <c r="AD1233" s="6">
        <f>$O$1233*$X$1233</f>
        <v>68.42880000000001</v>
      </c>
      <c r="AE1233" s="6">
        <f>$K$1233*$Y$1233</f>
        <v>0</v>
      </c>
      <c r="AF1233" s="6">
        <f ca="1">$M$1233*$Z$1233</f>
        <v>69.303808396985829</v>
      </c>
      <c r="AG1233" s="6">
        <f>$O$1233*$AA$1233</f>
        <v>68.910395943243287</v>
      </c>
    </row>
    <row r="1234" spans="1:33" ht="11.25" customHeight="1" x14ac:dyDescent="0.25">
      <c r="A1234" s="4" t="s">
        <v>28</v>
      </c>
      <c r="B1234" s="4" t="s">
        <v>22</v>
      </c>
      <c r="C1234" s="4" t="s">
        <v>33</v>
      </c>
      <c r="D1234" s="4" t="s">
        <v>24</v>
      </c>
      <c r="E1234" s="4" t="s">
        <v>24</v>
      </c>
      <c r="F1234" s="4" t="s">
        <v>25</v>
      </c>
      <c r="G1234" s="4" t="s">
        <v>25</v>
      </c>
      <c r="H1234" s="4" t="s">
        <v>35</v>
      </c>
      <c r="I1234" s="5">
        <v>44531</v>
      </c>
      <c r="J1234" s="6">
        <v>0</v>
      </c>
      <c r="K1234" s="6">
        <v>0</v>
      </c>
      <c r="L1234" s="6">
        <v>-0.23699999999999999</v>
      </c>
      <c r="M1234" s="6">
        <v>-0.23699999999999999</v>
      </c>
      <c r="N1234" s="6">
        <v>-0.23699999999999999</v>
      </c>
      <c r="O1234" s="6">
        <v>-0.23699999999999999</v>
      </c>
      <c r="P1234" s="6">
        <v>0</v>
      </c>
      <c r="Q1234" s="4" t="s">
        <v>26</v>
      </c>
      <c r="R1234" s="4">
        <v>0</v>
      </c>
      <c r="S1234" s="6">
        <v>0</v>
      </c>
      <c r="T1234" s="6">
        <v>40</v>
      </c>
      <c r="U1234" s="6">
        <v>83</v>
      </c>
      <c r="V1234" s="6">
        <f>IF(ISERROR(VLOOKUP($S$1234,'TAR FIN'!$A$1:$O$116,15,0)),0,VLOOKUP($S$1234,'TAR FIN'!$A$1:$O$116,15,0))</f>
        <v>0</v>
      </c>
      <c r="W1234" s="6">
        <f>IF(ISERROR(VLOOKUP($T$1234,'TAR FIN'!$A$1:$O$116,15,0)),0,VLOOKUP($T$1234,'TAR FIN'!$A$1:$O$116,15,0))</f>
        <v>236.99</v>
      </c>
      <c r="X1234" s="6">
        <f>IF(ISERROR(VLOOKUP($U$1234,'TAR FIN'!$A$1:$O$116,15,0)),0,VLOOKUP($U$1234,'TAR FIN'!$A$1:$O$116,15,0))</f>
        <v>311.04000000000002</v>
      </c>
      <c r="Y1234" s="6"/>
      <c r="Z1234" s="6">
        <f ca="1">('TUSD BE'!$AM$42+'TUSD BF'!$AM$42+'TUSD CVA'!$AM$42)*1</f>
        <v>315.01731089539015</v>
      </c>
      <c r="AA1234" s="6">
        <f>('TE BE'!$AB$13+'TE BF'!$AB$13+'TE CVA'!$AB$13)*1</f>
        <v>313.22907246928764</v>
      </c>
      <c r="AB1234" s="6">
        <f>$K$1234*$V$1234</f>
        <v>0</v>
      </c>
      <c r="AC1234" s="6">
        <f>$M$1234*$W$1234</f>
        <v>-56.166629999999998</v>
      </c>
      <c r="AD1234" s="6">
        <f>$O$1234*$X$1234</f>
        <v>-73.716480000000004</v>
      </c>
      <c r="AE1234" s="6">
        <f>$K$1234*$Y$1234</f>
        <v>0</v>
      </c>
      <c r="AF1234" s="6">
        <f ca="1">$M$1234*$Z$1234</f>
        <v>-74.659102682207461</v>
      </c>
      <c r="AG1234" s="6">
        <f>$O$1234*$AA$1234</f>
        <v>-74.235290175221166</v>
      </c>
    </row>
    <row r="1235" spans="1:33" ht="11.25" customHeight="1" x14ac:dyDescent="0.25">
      <c r="A1235" s="4" t="s">
        <v>21</v>
      </c>
      <c r="B1235" s="4" t="s">
        <v>22</v>
      </c>
      <c r="C1235" s="4" t="s">
        <v>33</v>
      </c>
      <c r="D1235" s="4" t="s">
        <v>24</v>
      </c>
      <c r="E1235" s="4" t="s">
        <v>24</v>
      </c>
      <c r="F1235" s="4" t="s">
        <v>25</v>
      </c>
      <c r="G1235" s="4" t="s">
        <v>25</v>
      </c>
      <c r="H1235" s="4" t="s">
        <v>35</v>
      </c>
      <c r="I1235" s="5">
        <v>44562</v>
      </c>
      <c r="J1235" s="6">
        <v>0</v>
      </c>
      <c r="K1235" s="6">
        <v>0</v>
      </c>
      <c r="L1235" s="6">
        <v>9.3889999999999993</v>
      </c>
      <c r="M1235" s="6">
        <v>9.3889999999999993</v>
      </c>
      <c r="N1235" s="6">
        <v>9.3889999999999993</v>
      </c>
      <c r="O1235" s="6">
        <v>9.3889999999999993</v>
      </c>
      <c r="P1235" s="6">
        <v>0</v>
      </c>
      <c r="Q1235" s="4" t="s">
        <v>26</v>
      </c>
      <c r="R1235" s="4">
        <v>0</v>
      </c>
      <c r="S1235" s="6">
        <v>0</v>
      </c>
      <c r="T1235" s="6">
        <v>40</v>
      </c>
      <c r="U1235" s="6">
        <v>83</v>
      </c>
      <c r="V1235" s="6">
        <f>IF(ISERROR(VLOOKUP($S$1235,'TAR FIN'!$A$1:$O$116,15,0)),0,VLOOKUP($S$1235,'TAR FIN'!$A$1:$O$116,15,0))</f>
        <v>0</v>
      </c>
      <c r="W1235" s="6">
        <f>IF(ISERROR(VLOOKUP($T$1235,'TAR FIN'!$A$1:$O$116,15,0)),0,VLOOKUP($T$1235,'TAR FIN'!$A$1:$O$116,15,0))</f>
        <v>236.99</v>
      </c>
      <c r="X1235" s="6">
        <f>IF(ISERROR(VLOOKUP($U$1235,'TAR FIN'!$A$1:$O$116,15,0)),0,VLOOKUP($U$1235,'TAR FIN'!$A$1:$O$116,15,0))</f>
        <v>311.04000000000002</v>
      </c>
      <c r="Y1235" s="6"/>
      <c r="Z1235" s="6">
        <f ca="1">('TUSD BE'!$AM$42+'TUSD BF'!$AM$42+'TUSD CVA'!$AM$42)*1</f>
        <v>315.01731089539015</v>
      </c>
      <c r="AA1235" s="6">
        <f>('TE BE'!$AB$13+'TE BF'!$AB$13+'TE CVA'!$AB$13)*1</f>
        <v>313.22907246928764</v>
      </c>
      <c r="AB1235" s="6">
        <f>$K$1235*$V$1235</f>
        <v>0</v>
      </c>
      <c r="AC1235" s="6">
        <f>$M$1235*$W$1235</f>
        <v>2225.0991100000001</v>
      </c>
      <c r="AD1235" s="6">
        <f>$O$1235*$X$1235</f>
        <v>2920.3545599999998</v>
      </c>
      <c r="AE1235" s="6">
        <f>$K$1235*$Y$1235</f>
        <v>0</v>
      </c>
      <c r="AF1235" s="6">
        <f ca="1">$M$1235*$Z$1235</f>
        <v>2957.6975319968178</v>
      </c>
      <c r="AG1235" s="6">
        <f>$O$1235*$AA$1235</f>
        <v>2940.9077614141415</v>
      </c>
    </row>
    <row r="1236" spans="1:33" ht="11.25" customHeight="1" x14ac:dyDescent="0.25">
      <c r="A1236" s="4" t="s">
        <v>28</v>
      </c>
      <c r="B1236" s="4" t="s">
        <v>22</v>
      </c>
      <c r="C1236" s="4" t="s">
        <v>33</v>
      </c>
      <c r="D1236" s="4" t="s">
        <v>24</v>
      </c>
      <c r="E1236" s="4" t="s">
        <v>24</v>
      </c>
      <c r="F1236" s="4" t="s">
        <v>25</v>
      </c>
      <c r="G1236" s="4" t="s">
        <v>25</v>
      </c>
      <c r="H1236" s="4" t="s">
        <v>35</v>
      </c>
      <c r="I1236" s="5">
        <v>44562</v>
      </c>
      <c r="J1236" s="6">
        <v>0</v>
      </c>
      <c r="K1236" s="6">
        <v>0</v>
      </c>
      <c r="L1236" s="6">
        <v>0.51800000000000002</v>
      </c>
      <c r="M1236" s="6">
        <v>0.51800000000000002</v>
      </c>
      <c r="N1236" s="6">
        <v>0.51800000000000002</v>
      </c>
      <c r="O1236" s="6">
        <v>0.51800000000000002</v>
      </c>
      <c r="P1236" s="6">
        <v>0</v>
      </c>
      <c r="Q1236" s="4" t="s">
        <v>26</v>
      </c>
      <c r="R1236" s="4">
        <v>0</v>
      </c>
      <c r="S1236" s="6">
        <v>0</v>
      </c>
      <c r="T1236" s="6">
        <v>40</v>
      </c>
      <c r="U1236" s="6">
        <v>83</v>
      </c>
      <c r="V1236" s="6">
        <f>IF(ISERROR(VLOOKUP($S$1236,'TAR FIN'!$A$1:$O$116,15,0)),0,VLOOKUP($S$1236,'TAR FIN'!$A$1:$O$116,15,0))</f>
        <v>0</v>
      </c>
      <c r="W1236" s="6">
        <f>IF(ISERROR(VLOOKUP($T$1236,'TAR FIN'!$A$1:$O$116,15,0)),0,VLOOKUP($T$1236,'TAR FIN'!$A$1:$O$116,15,0))</f>
        <v>236.99</v>
      </c>
      <c r="X1236" s="6">
        <f>IF(ISERROR(VLOOKUP($U$1236,'TAR FIN'!$A$1:$O$116,15,0)),0,VLOOKUP($U$1236,'TAR FIN'!$A$1:$O$116,15,0))</f>
        <v>311.04000000000002</v>
      </c>
      <c r="Y1236" s="6"/>
      <c r="Z1236" s="6">
        <f ca="1">('TUSD BE'!$AM$42+'TUSD BF'!$AM$42+'TUSD CVA'!$AM$42)*1</f>
        <v>315.01731089539015</v>
      </c>
      <c r="AA1236" s="6">
        <f>('TE BE'!$AB$13+'TE BF'!$AB$13+'TE CVA'!$AB$13)*1</f>
        <v>313.22907246928764</v>
      </c>
      <c r="AB1236" s="6">
        <f>$K$1236*$V$1236</f>
        <v>0</v>
      </c>
      <c r="AC1236" s="6">
        <f>$M$1236*$W$1236</f>
        <v>122.76082000000001</v>
      </c>
      <c r="AD1236" s="6">
        <f>$O$1236*$X$1236</f>
        <v>161.11872000000002</v>
      </c>
      <c r="AE1236" s="6">
        <f>$K$1236*$Y$1236</f>
        <v>0</v>
      </c>
      <c r="AF1236" s="6">
        <f ca="1">$M$1236*$Z$1236</f>
        <v>163.17896704381209</v>
      </c>
      <c r="AG1236" s="6">
        <f>$O$1236*$AA$1236</f>
        <v>162.25265953909101</v>
      </c>
    </row>
    <row r="1237" spans="1:33" ht="11.25" customHeight="1" x14ac:dyDescent="0.25">
      <c r="A1237" s="4" t="s">
        <v>21</v>
      </c>
      <c r="B1237" s="4" t="s">
        <v>22</v>
      </c>
      <c r="C1237" s="4" t="s">
        <v>33</v>
      </c>
      <c r="D1237" s="4" t="s">
        <v>24</v>
      </c>
      <c r="E1237" s="4" t="s">
        <v>24</v>
      </c>
      <c r="F1237" s="4" t="s">
        <v>25</v>
      </c>
      <c r="G1237" s="4" t="s">
        <v>25</v>
      </c>
      <c r="H1237" s="4" t="s">
        <v>35</v>
      </c>
      <c r="I1237" s="5">
        <v>44593</v>
      </c>
      <c r="J1237" s="6">
        <v>0</v>
      </c>
      <c r="K1237" s="6">
        <v>0</v>
      </c>
      <c r="L1237" s="6">
        <v>10.298999999999999</v>
      </c>
      <c r="M1237" s="6">
        <v>10.298999999999999</v>
      </c>
      <c r="N1237" s="6">
        <v>10.298999999999999</v>
      </c>
      <c r="O1237" s="6">
        <v>10.298999999999999</v>
      </c>
      <c r="P1237" s="6">
        <v>0</v>
      </c>
      <c r="Q1237" s="4" t="s">
        <v>26</v>
      </c>
      <c r="R1237" s="4">
        <v>0</v>
      </c>
      <c r="S1237" s="6">
        <v>0</v>
      </c>
      <c r="T1237" s="6">
        <v>40</v>
      </c>
      <c r="U1237" s="6">
        <v>83</v>
      </c>
      <c r="V1237" s="6">
        <f>IF(ISERROR(VLOOKUP($S$1237,'TAR FIN'!$A$1:$O$116,15,0)),0,VLOOKUP($S$1237,'TAR FIN'!$A$1:$O$116,15,0))</f>
        <v>0</v>
      </c>
      <c r="W1237" s="6">
        <f>IF(ISERROR(VLOOKUP($T$1237,'TAR FIN'!$A$1:$O$116,15,0)),0,VLOOKUP($T$1237,'TAR FIN'!$A$1:$O$116,15,0))</f>
        <v>236.99</v>
      </c>
      <c r="X1237" s="6">
        <f>IF(ISERROR(VLOOKUP($U$1237,'TAR FIN'!$A$1:$O$116,15,0)),0,VLOOKUP($U$1237,'TAR FIN'!$A$1:$O$116,15,0))</f>
        <v>311.04000000000002</v>
      </c>
      <c r="Y1237" s="6"/>
      <c r="Z1237" s="6">
        <f ca="1">('TUSD BE'!$AM$42+'TUSD BF'!$AM$42+'TUSD CVA'!$AM$42)*1</f>
        <v>315.01731089539015</v>
      </c>
      <c r="AA1237" s="6">
        <f>('TE BE'!$AB$13+'TE BF'!$AB$13+'TE CVA'!$AB$13)*1</f>
        <v>313.22907246928764</v>
      </c>
      <c r="AB1237" s="6">
        <f>$K$1237*$V$1237</f>
        <v>0</v>
      </c>
      <c r="AC1237" s="6">
        <f>$M$1237*$W$1237</f>
        <v>2440.76001</v>
      </c>
      <c r="AD1237" s="6">
        <f>$O$1237*$X$1237</f>
        <v>3203.4009599999999</v>
      </c>
      <c r="AE1237" s="6">
        <f>$K$1237*$Y$1237</f>
        <v>0</v>
      </c>
      <c r="AF1237" s="6">
        <f ca="1">$M$1237*$Z$1237</f>
        <v>3244.3632849116229</v>
      </c>
      <c r="AG1237" s="6">
        <f>$O$1237*$AA$1237</f>
        <v>3225.9462173611932</v>
      </c>
    </row>
    <row r="1238" spans="1:33" ht="11.25" customHeight="1" x14ac:dyDescent="0.25">
      <c r="A1238" s="4" t="s">
        <v>28</v>
      </c>
      <c r="B1238" s="4" t="s">
        <v>22</v>
      </c>
      <c r="C1238" s="4" t="s">
        <v>33</v>
      </c>
      <c r="D1238" s="4" t="s">
        <v>24</v>
      </c>
      <c r="E1238" s="4" t="s">
        <v>24</v>
      </c>
      <c r="F1238" s="4" t="s">
        <v>25</v>
      </c>
      <c r="G1238" s="4" t="s">
        <v>25</v>
      </c>
      <c r="H1238" s="4" t="s">
        <v>35</v>
      </c>
      <c r="I1238" s="5">
        <v>44593</v>
      </c>
      <c r="J1238" s="6">
        <v>0</v>
      </c>
      <c r="K1238" s="6">
        <v>0</v>
      </c>
      <c r="L1238" s="6">
        <v>0.70199999999999996</v>
      </c>
      <c r="M1238" s="6">
        <v>0.70199999999999996</v>
      </c>
      <c r="N1238" s="6">
        <v>0.70199999999999996</v>
      </c>
      <c r="O1238" s="6">
        <v>0.70199999999999996</v>
      </c>
      <c r="P1238" s="6">
        <v>0</v>
      </c>
      <c r="Q1238" s="4" t="s">
        <v>26</v>
      </c>
      <c r="R1238" s="4">
        <v>0</v>
      </c>
      <c r="S1238" s="6">
        <v>0</v>
      </c>
      <c r="T1238" s="6">
        <v>40</v>
      </c>
      <c r="U1238" s="6">
        <v>83</v>
      </c>
      <c r="V1238" s="6">
        <f>IF(ISERROR(VLOOKUP($S$1238,'TAR FIN'!$A$1:$O$116,15,0)),0,VLOOKUP($S$1238,'TAR FIN'!$A$1:$O$116,15,0))</f>
        <v>0</v>
      </c>
      <c r="W1238" s="6">
        <f>IF(ISERROR(VLOOKUP($T$1238,'TAR FIN'!$A$1:$O$116,15,0)),0,VLOOKUP($T$1238,'TAR FIN'!$A$1:$O$116,15,0))</f>
        <v>236.99</v>
      </c>
      <c r="X1238" s="6">
        <f>IF(ISERROR(VLOOKUP($U$1238,'TAR FIN'!$A$1:$O$116,15,0)),0,VLOOKUP($U$1238,'TAR FIN'!$A$1:$O$116,15,0))</f>
        <v>311.04000000000002</v>
      </c>
      <c r="Y1238" s="6"/>
      <c r="Z1238" s="6">
        <f ca="1">('TUSD BE'!$AM$42+'TUSD BF'!$AM$42+'TUSD CVA'!$AM$42)*1</f>
        <v>315.01731089539015</v>
      </c>
      <c r="AA1238" s="6">
        <f>('TE BE'!$AB$13+'TE BF'!$AB$13+'TE CVA'!$AB$13)*1</f>
        <v>313.22907246928764</v>
      </c>
      <c r="AB1238" s="6">
        <f>$K$1238*$V$1238</f>
        <v>0</v>
      </c>
      <c r="AC1238" s="6">
        <f>$M$1238*$W$1238</f>
        <v>166.36697999999998</v>
      </c>
      <c r="AD1238" s="6">
        <f>$O$1238*$X$1238</f>
        <v>218.35007999999999</v>
      </c>
      <c r="AE1238" s="6">
        <f>$K$1238*$Y$1238</f>
        <v>0</v>
      </c>
      <c r="AF1238" s="6">
        <f ca="1">$M$1238*$Z$1238</f>
        <v>221.14215224856386</v>
      </c>
      <c r="AG1238" s="6">
        <f>$O$1238*$AA$1238</f>
        <v>219.88680887343992</v>
      </c>
    </row>
    <row r="1239" spans="1:33" ht="11.25" customHeight="1" x14ac:dyDescent="0.25">
      <c r="A1239" s="4" t="s">
        <v>28</v>
      </c>
      <c r="B1239" s="4" t="s">
        <v>22</v>
      </c>
      <c r="C1239" s="4" t="s">
        <v>33</v>
      </c>
      <c r="D1239" s="4" t="s">
        <v>24</v>
      </c>
      <c r="E1239" s="4" t="s">
        <v>24</v>
      </c>
      <c r="F1239" s="4" t="s">
        <v>25</v>
      </c>
      <c r="G1239" s="4" t="s">
        <v>25</v>
      </c>
      <c r="H1239" s="4" t="s">
        <v>35</v>
      </c>
      <c r="I1239" s="5">
        <v>44593</v>
      </c>
      <c r="J1239" s="6">
        <v>0</v>
      </c>
      <c r="K1239" s="6">
        <v>0</v>
      </c>
      <c r="L1239" s="6">
        <v>-0.22900000000000001</v>
      </c>
      <c r="M1239" s="6">
        <v>-0.22900000000000001</v>
      </c>
      <c r="N1239" s="6">
        <v>-0.22900000000000001</v>
      </c>
      <c r="O1239" s="6">
        <v>-0.22900000000000001</v>
      </c>
      <c r="P1239" s="6">
        <v>0</v>
      </c>
      <c r="Q1239" s="4" t="s">
        <v>26</v>
      </c>
      <c r="R1239" s="4">
        <v>0</v>
      </c>
      <c r="S1239" s="6">
        <v>0</v>
      </c>
      <c r="T1239" s="6">
        <v>40</v>
      </c>
      <c r="U1239" s="6">
        <v>83</v>
      </c>
      <c r="V1239" s="6">
        <f>IF(ISERROR(VLOOKUP($S$1239,'TAR FIN'!$A$1:$O$116,15,0)),0,VLOOKUP($S$1239,'TAR FIN'!$A$1:$O$116,15,0))</f>
        <v>0</v>
      </c>
      <c r="W1239" s="6">
        <f>IF(ISERROR(VLOOKUP($T$1239,'TAR FIN'!$A$1:$O$116,15,0)),0,VLOOKUP($T$1239,'TAR FIN'!$A$1:$O$116,15,0))</f>
        <v>236.99</v>
      </c>
      <c r="X1239" s="6">
        <f>IF(ISERROR(VLOOKUP($U$1239,'TAR FIN'!$A$1:$O$116,15,0)),0,VLOOKUP($U$1239,'TAR FIN'!$A$1:$O$116,15,0))</f>
        <v>311.04000000000002</v>
      </c>
      <c r="Y1239" s="6"/>
      <c r="Z1239" s="6">
        <f ca="1">('TUSD BE'!$AM$42+'TUSD BF'!$AM$42+'TUSD CVA'!$AM$42)*1</f>
        <v>315.01731089539015</v>
      </c>
      <c r="AA1239" s="6">
        <f>('TE BE'!$AB$13+'TE BF'!$AB$13+'TE CVA'!$AB$13)*1</f>
        <v>313.22907246928764</v>
      </c>
      <c r="AB1239" s="6">
        <f>$K$1239*$V$1239</f>
        <v>0</v>
      </c>
      <c r="AC1239" s="6">
        <f>$M$1239*$W$1239</f>
        <v>-54.270710000000001</v>
      </c>
      <c r="AD1239" s="6">
        <f>$O$1239*$X$1239</f>
        <v>-71.228160000000003</v>
      </c>
      <c r="AE1239" s="6">
        <f>$K$1239*$Y$1239</f>
        <v>0</v>
      </c>
      <c r="AF1239" s="6">
        <f ca="1">$M$1239*$Z$1239</f>
        <v>-72.138964195044352</v>
      </c>
      <c r="AG1239" s="6">
        <f>$O$1239*$AA$1239</f>
        <v>-71.729457595466869</v>
      </c>
    </row>
    <row r="1240" spans="1:33" ht="11.25" customHeight="1" x14ac:dyDescent="0.25">
      <c r="A1240" s="4" t="s">
        <v>21</v>
      </c>
      <c r="B1240" s="4" t="s">
        <v>22</v>
      </c>
      <c r="C1240" s="4" t="s">
        <v>33</v>
      </c>
      <c r="D1240" s="4" t="s">
        <v>24</v>
      </c>
      <c r="E1240" s="4" t="s">
        <v>24</v>
      </c>
      <c r="F1240" s="4" t="s">
        <v>25</v>
      </c>
      <c r="G1240" s="4" t="s">
        <v>25</v>
      </c>
      <c r="H1240" s="4" t="s">
        <v>35</v>
      </c>
      <c r="I1240" s="5">
        <v>44621</v>
      </c>
      <c r="J1240" s="6">
        <v>0</v>
      </c>
      <c r="K1240" s="6">
        <v>0</v>
      </c>
      <c r="L1240" s="6">
        <v>11.012</v>
      </c>
      <c r="M1240" s="6">
        <v>11.012</v>
      </c>
      <c r="N1240" s="6">
        <v>11.012</v>
      </c>
      <c r="O1240" s="6">
        <v>11.012</v>
      </c>
      <c r="P1240" s="6">
        <v>0</v>
      </c>
      <c r="Q1240" s="4" t="s">
        <v>26</v>
      </c>
      <c r="R1240" s="4">
        <v>0</v>
      </c>
      <c r="S1240" s="6">
        <v>0</v>
      </c>
      <c r="T1240" s="6">
        <v>40</v>
      </c>
      <c r="U1240" s="6">
        <v>83</v>
      </c>
      <c r="V1240" s="6">
        <f>IF(ISERROR(VLOOKUP($S$1240,'TAR FIN'!$A$1:$O$116,15,0)),0,VLOOKUP($S$1240,'TAR FIN'!$A$1:$O$116,15,0))</f>
        <v>0</v>
      </c>
      <c r="W1240" s="6">
        <f>IF(ISERROR(VLOOKUP($T$1240,'TAR FIN'!$A$1:$O$116,15,0)),0,VLOOKUP($T$1240,'TAR FIN'!$A$1:$O$116,15,0))</f>
        <v>236.99</v>
      </c>
      <c r="X1240" s="6">
        <f>IF(ISERROR(VLOOKUP($U$1240,'TAR FIN'!$A$1:$O$116,15,0)),0,VLOOKUP($U$1240,'TAR FIN'!$A$1:$O$116,15,0))</f>
        <v>311.04000000000002</v>
      </c>
      <c r="Y1240" s="6"/>
      <c r="Z1240" s="6">
        <f ca="1">('TUSD BE'!$AM$42+'TUSD BF'!$AM$42+'TUSD CVA'!$AM$42)*1</f>
        <v>315.01731089539015</v>
      </c>
      <c r="AA1240" s="6">
        <f>('TE BE'!$AB$13+'TE BF'!$AB$13+'TE CVA'!$AB$13)*1</f>
        <v>313.22907246928764</v>
      </c>
      <c r="AB1240" s="6">
        <f>$K$1240*$V$1240</f>
        <v>0</v>
      </c>
      <c r="AC1240" s="6">
        <f>$M$1240*$W$1240</f>
        <v>2609.7338800000002</v>
      </c>
      <c r="AD1240" s="6">
        <f>$O$1240*$X$1240</f>
        <v>3425.1724800000002</v>
      </c>
      <c r="AE1240" s="6">
        <f>$K$1240*$Y$1240</f>
        <v>0</v>
      </c>
      <c r="AF1240" s="6">
        <f ca="1">$M$1240*$Z$1240</f>
        <v>3468.9706275800363</v>
      </c>
      <c r="AG1240" s="6">
        <f>$O$1240*$AA$1240</f>
        <v>3449.2785460317955</v>
      </c>
    </row>
    <row r="1241" spans="1:33" ht="11.25" customHeight="1" x14ac:dyDescent="0.25">
      <c r="A1241" s="4" t="s">
        <v>28</v>
      </c>
      <c r="B1241" s="4" t="s">
        <v>22</v>
      </c>
      <c r="C1241" s="4" t="s">
        <v>33</v>
      </c>
      <c r="D1241" s="4" t="s">
        <v>24</v>
      </c>
      <c r="E1241" s="4" t="s">
        <v>24</v>
      </c>
      <c r="F1241" s="4" t="s">
        <v>25</v>
      </c>
      <c r="G1241" s="4" t="s">
        <v>25</v>
      </c>
      <c r="H1241" s="4" t="s">
        <v>35</v>
      </c>
      <c r="I1241" s="5">
        <v>44621</v>
      </c>
      <c r="J1241" s="6">
        <v>0</v>
      </c>
      <c r="K1241" s="6">
        <v>0</v>
      </c>
      <c r="L1241" s="6">
        <v>0.69399999999999995</v>
      </c>
      <c r="M1241" s="6">
        <v>0.69399999999999995</v>
      </c>
      <c r="N1241" s="6">
        <v>0.69399999999999995</v>
      </c>
      <c r="O1241" s="6">
        <v>0.69399999999999995</v>
      </c>
      <c r="P1241" s="6">
        <v>0</v>
      </c>
      <c r="Q1241" s="4" t="s">
        <v>26</v>
      </c>
      <c r="R1241" s="4">
        <v>0</v>
      </c>
      <c r="S1241" s="6">
        <v>0</v>
      </c>
      <c r="T1241" s="6">
        <v>40</v>
      </c>
      <c r="U1241" s="6">
        <v>83</v>
      </c>
      <c r="V1241" s="6">
        <f>IF(ISERROR(VLOOKUP($S$1241,'TAR FIN'!$A$1:$O$116,15,0)),0,VLOOKUP($S$1241,'TAR FIN'!$A$1:$O$116,15,0))</f>
        <v>0</v>
      </c>
      <c r="W1241" s="6">
        <f>IF(ISERROR(VLOOKUP($T$1241,'TAR FIN'!$A$1:$O$116,15,0)),0,VLOOKUP($T$1241,'TAR FIN'!$A$1:$O$116,15,0))</f>
        <v>236.99</v>
      </c>
      <c r="X1241" s="6">
        <f>IF(ISERROR(VLOOKUP($U$1241,'TAR FIN'!$A$1:$O$116,15,0)),0,VLOOKUP($U$1241,'TAR FIN'!$A$1:$O$116,15,0))</f>
        <v>311.04000000000002</v>
      </c>
      <c r="Y1241" s="6"/>
      <c r="Z1241" s="6">
        <f ca="1">('TUSD BE'!$AM$42+'TUSD BF'!$AM$42+'TUSD CVA'!$AM$42)*1</f>
        <v>315.01731089539015</v>
      </c>
      <c r="AA1241" s="6">
        <f>('TE BE'!$AB$13+'TE BF'!$AB$13+'TE CVA'!$AB$13)*1</f>
        <v>313.22907246928764</v>
      </c>
      <c r="AB1241" s="6">
        <f>$K$1241*$V$1241</f>
        <v>0</v>
      </c>
      <c r="AC1241" s="6">
        <f>$M$1241*$W$1241</f>
        <v>164.47105999999999</v>
      </c>
      <c r="AD1241" s="6">
        <f>$O$1241*$X$1241</f>
        <v>215.86176</v>
      </c>
      <c r="AE1241" s="6">
        <f>$K$1241*$Y$1241</f>
        <v>0</v>
      </c>
      <c r="AF1241" s="6">
        <f ca="1">$M$1241*$Z$1241</f>
        <v>218.62201376140075</v>
      </c>
      <c r="AG1241" s="6">
        <f>$O$1241*$AA$1241</f>
        <v>217.38097629368562</v>
      </c>
    </row>
    <row r="1242" spans="1:33" ht="11.25" customHeight="1" x14ac:dyDescent="0.25">
      <c r="A1242" s="4" t="s">
        <v>21</v>
      </c>
      <c r="B1242" s="4" t="s">
        <v>22</v>
      </c>
      <c r="C1242" s="4" t="s">
        <v>33</v>
      </c>
      <c r="D1242" s="4" t="s">
        <v>24</v>
      </c>
      <c r="E1242" s="4" t="s">
        <v>24</v>
      </c>
      <c r="F1242" s="4" t="s">
        <v>25</v>
      </c>
      <c r="G1242" s="4" t="s">
        <v>25</v>
      </c>
      <c r="H1242" s="4" t="s">
        <v>35</v>
      </c>
      <c r="I1242" s="5">
        <v>44652</v>
      </c>
      <c r="J1242" s="6">
        <v>0</v>
      </c>
      <c r="K1242" s="6">
        <v>0</v>
      </c>
      <c r="L1242" s="6">
        <v>8.8420000000000005</v>
      </c>
      <c r="M1242" s="6">
        <v>8.8420000000000005</v>
      </c>
      <c r="N1242" s="6">
        <v>8.8420000000000005</v>
      </c>
      <c r="O1242" s="6">
        <v>8.8420000000000005</v>
      </c>
      <c r="P1242" s="6">
        <v>0</v>
      </c>
      <c r="Q1242" s="4" t="s">
        <v>26</v>
      </c>
      <c r="R1242" s="4">
        <v>0</v>
      </c>
      <c r="S1242" s="6">
        <v>0</v>
      </c>
      <c r="T1242" s="6">
        <v>40</v>
      </c>
      <c r="U1242" s="6">
        <v>83</v>
      </c>
      <c r="V1242" s="6">
        <f>IF(ISERROR(VLOOKUP($S$1242,'TAR FIN'!$A$1:$O$116,15,0)),0,VLOOKUP($S$1242,'TAR FIN'!$A$1:$O$116,15,0))</f>
        <v>0</v>
      </c>
      <c r="W1242" s="6">
        <f>IF(ISERROR(VLOOKUP($T$1242,'TAR FIN'!$A$1:$O$116,15,0)),0,VLOOKUP($T$1242,'TAR FIN'!$A$1:$O$116,15,0))</f>
        <v>236.99</v>
      </c>
      <c r="X1242" s="6">
        <f>IF(ISERROR(VLOOKUP($U$1242,'TAR FIN'!$A$1:$O$116,15,0)),0,VLOOKUP($U$1242,'TAR FIN'!$A$1:$O$116,15,0))</f>
        <v>311.04000000000002</v>
      </c>
      <c r="Y1242" s="6"/>
      <c r="Z1242" s="6">
        <f ca="1">('TUSD BE'!$AM$42+'TUSD BF'!$AM$42+'TUSD CVA'!$AM$42)*1</f>
        <v>315.01731089539015</v>
      </c>
      <c r="AA1242" s="6">
        <f>('TE BE'!$AB$13+'TE BF'!$AB$13+'TE CVA'!$AB$13)*1</f>
        <v>313.22907246928764</v>
      </c>
      <c r="AB1242" s="6">
        <f>$K$1242*$V$1242</f>
        <v>0</v>
      </c>
      <c r="AC1242" s="6">
        <f>$M$1242*$W$1242</f>
        <v>2095.46558</v>
      </c>
      <c r="AD1242" s="6">
        <f>$O$1242*$X$1242</f>
        <v>2750.2156800000002</v>
      </c>
      <c r="AE1242" s="6">
        <f>$K$1242*$Y$1242</f>
        <v>0</v>
      </c>
      <c r="AF1242" s="6">
        <f ca="1">$M$1242*$Z$1242</f>
        <v>2785.38306293704</v>
      </c>
      <c r="AG1242" s="6">
        <f>$O$1242*$AA$1242</f>
        <v>2769.5714587734415</v>
      </c>
    </row>
    <row r="1243" spans="1:33" ht="11.25" customHeight="1" x14ac:dyDescent="0.25">
      <c r="A1243" s="4" t="s">
        <v>28</v>
      </c>
      <c r="B1243" s="4" t="s">
        <v>22</v>
      </c>
      <c r="C1243" s="4" t="s">
        <v>33</v>
      </c>
      <c r="D1243" s="4" t="s">
        <v>24</v>
      </c>
      <c r="E1243" s="4" t="s">
        <v>24</v>
      </c>
      <c r="F1243" s="4" t="s">
        <v>25</v>
      </c>
      <c r="G1243" s="4" t="s">
        <v>25</v>
      </c>
      <c r="H1243" s="4" t="s">
        <v>35</v>
      </c>
      <c r="I1243" s="5">
        <v>44652</v>
      </c>
      <c r="J1243" s="6">
        <v>0</v>
      </c>
      <c r="K1243" s="6">
        <v>0</v>
      </c>
      <c r="L1243" s="6">
        <v>0.52200000000000002</v>
      </c>
      <c r="M1243" s="6">
        <v>0.52200000000000002</v>
      </c>
      <c r="N1243" s="6">
        <v>0.52200000000000002</v>
      </c>
      <c r="O1243" s="6">
        <v>0.52200000000000002</v>
      </c>
      <c r="P1243" s="6">
        <v>0</v>
      </c>
      <c r="Q1243" s="4" t="s">
        <v>26</v>
      </c>
      <c r="R1243" s="4">
        <v>0</v>
      </c>
      <c r="S1243" s="6">
        <v>0</v>
      </c>
      <c r="T1243" s="6">
        <v>40</v>
      </c>
      <c r="U1243" s="6">
        <v>83</v>
      </c>
      <c r="V1243" s="6">
        <f>IF(ISERROR(VLOOKUP($S$1243,'TAR FIN'!$A$1:$O$116,15,0)),0,VLOOKUP($S$1243,'TAR FIN'!$A$1:$O$116,15,0))</f>
        <v>0</v>
      </c>
      <c r="W1243" s="6">
        <f>IF(ISERROR(VLOOKUP($T$1243,'TAR FIN'!$A$1:$O$116,15,0)),0,VLOOKUP($T$1243,'TAR FIN'!$A$1:$O$116,15,0))</f>
        <v>236.99</v>
      </c>
      <c r="X1243" s="6">
        <f>IF(ISERROR(VLOOKUP($U$1243,'TAR FIN'!$A$1:$O$116,15,0)),0,VLOOKUP($U$1243,'TAR FIN'!$A$1:$O$116,15,0))</f>
        <v>311.04000000000002</v>
      </c>
      <c r="Y1243" s="6"/>
      <c r="Z1243" s="6">
        <f ca="1">('TUSD BE'!$AM$42+'TUSD BF'!$AM$42+'TUSD CVA'!$AM$42)*1</f>
        <v>315.01731089539015</v>
      </c>
      <c r="AA1243" s="6">
        <f>('TE BE'!$AB$13+'TE BF'!$AB$13+'TE CVA'!$AB$13)*1</f>
        <v>313.22907246928764</v>
      </c>
      <c r="AB1243" s="6">
        <f>$K$1243*$V$1243</f>
        <v>0</v>
      </c>
      <c r="AC1243" s="6">
        <f>$M$1243*$W$1243</f>
        <v>123.70878</v>
      </c>
      <c r="AD1243" s="6">
        <f>$O$1243*$X$1243</f>
        <v>162.36288000000002</v>
      </c>
      <c r="AE1243" s="6">
        <f>$K$1243*$Y$1243</f>
        <v>0</v>
      </c>
      <c r="AF1243" s="6">
        <f ca="1">$M$1243*$Z$1243</f>
        <v>164.43903628739366</v>
      </c>
      <c r="AG1243" s="6">
        <f>$O$1243*$AA$1243</f>
        <v>163.50557582896815</v>
      </c>
    </row>
    <row r="1244" spans="1:33" ht="11.25" customHeight="1" x14ac:dyDescent="0.25">
      <c r="A1244" s="4" t="s">
        <v>58</v>
      </c>
      <c r="B1244" s="4" t="s">
        <v>22</v>
      </c>
      <c r="C1244" s="4" t="s">
        <v>33</v>
      </c>
      <c r="D1244" s="4" t="s">
        <v>24</v>
      </c>
      <c r="E1244" s="4" t="s">
        <v>24</v>
      </c>
      <c r="F1244" s="4" t="s">
        <v>25</v>
      </c>
      <c r="G1244" s="4" t="s">
        <v>25</v>
      </c>
      <c r="H1244" s="4" t="s">
        <v>35</v>
      </c>
      <c r="I1244" s="5">
        <v>44682</v>
      </c>
      <c r="J1244" s="6">
        <v>0</v>
      </c>
      <c r="K1244" s="6">
        <v>0</v>
      </c>
      <c r="L1244" s="6">
        <v>8.8420000000000005</v>
      </c>
      <c r="M1244" s="6">
        <v>8.8420000000000005</v>
      </c>
      <c r="N1244" s="6">
        <v>8.8420000000000005</v>
      </c>
      <c r="O1244" s="6">
        <v>8.8420000000000005</v>
      </c>
      <c r="P1244" s="6">
        <v>0</v>
      </c>
      <c r="Q1244" s="4" t="s">
        <v>26</v>
      </c>
      <c r="R1244" s="4">
        <v>0</v>
      </c>
      <c r="S1244" s="6">
        <v>0</v>
      </c>
      <c r="T1244" s="6">
        <v>40</v>
      </c>
      <c r="U1244" s="6">
        <v>83</v>
      </c>
      <c r="V1244" s="6">
        <f>IF(ISERROR(VLOOKUP($S$1244,'TAR FIN'!$A$1:$O$116,15,0)),0,VLOOKUP($S$1244,'TAR FIN'!$A$1:$O$116,15,0))</f>
        <v>0</v>
      </c>
      <c r="W1244" s="6">
        <f>IF(ISERROR(VLOOKUP($T$1244,'TAR FIN'!$A$1:$O$116,15,0)),0,VLOOKUP($T$1244,'TAR FIN'!$A$1:$O$116,15,0))</f>
        <v>236.99</v>
      </c>
      <c r="X1244" s="6">
        <f>IF(ISERROR(VLOOKUP($U$1244,'TAR FIN'!$A$1:$O$116,15,0)),0,VLOOKUP($U$1244,'TAR FIN'!$A$1:$O$116,15,0))</f>
        <v>311.04000000000002</v>
      </c>
      <c r="Y1244" s="6"/>
      <c r="Z1244" s="6">
        <f ca="1">('TUSD BE'!$AM$42+'TUSD BF'!$AM$42+'TUSD CVA'!$AM$42)*1</f>
        <v>315.01731089539015</v>
      </c>
      <c r="AA1244" s="6">
        <f>('TE BE'!$AB$13+'TE BF'!$AB$13+'TE CVA'!$AB$13)*1</f>
        <v>313.22907246928764</v>
      </c>
      <c r="AB1244" s="6">
        <f>$K$1244*$V$1244</f>
        <v>0</v>
      </c>
      <c r="AC1244" s="6">
        <f>$M$1244*$W$1244</f>
        <v>2095.46558</v>
      </c>
      <c r="AD1244" s="6">
        <f>$O$1244*$X$1244</f>
        <v>2750.2156800000002</v>
      </c>
      <c r="AE1244" s="6">
        <f>$K$1244*$Y$1244</f>
        <v>0</v>
      </c>
      <c r="AF1244" s="6">
        <f ca="1">$M$1244*$Z$1244</f>
        <v>2785.38306293704</v>
      </c>
      <c r="AG1244" s="6">
        <f>$O$1244*$AA$1244</f>
        <v>2769.5714587734415</v>
      </c>
    </row>
    <row r="1245" spans="1:33" ht="11.25" customHeight="1" x14ac:dyDescent="0.25">
      <c r="A1245" s="4" t="s">
        <v>58</v>
      </c>
      <c r="B1245" s="4" t="s">
        <v>22</v>
      </c>
      <c r="C1245" s="4" t="s">
        <v>33</v>
      </c>
      <c r="D1245" s="4" t="s">
        <v>24</v>
      </c>
      <c r="E1245" s="4" t="s">
        <v>24</v>
      </c>
      <c r="F1245" s="4" t="s">
        <v>25</v>
      </c>
      <c r="G1245" s="4" t="s">
        <v>25</v>
      </c>
      <c r="H1245" s="4" t="s">
        <v>35</v>
      </c>
      <c r="I1245" s="5">
        <v>44682</v>
      </c>
      <c r="J1245" s="6">
        <v>0</v>
      </c>
      <c r="K1245" s="6">
        <v>0</v>
      </c>
      <c r="L1245" s="6">
        <v>0.52200000000000002</v>
      </c>
      <c r="M1245" s="6">
        <v>0.52200000000000002</v>
      </c>
      <c r="N1245" s="6">
        <v>0.52200000000000002</v>
      </c>
      <c r="O1245" s="6">
        <v>0.52200000000000002</v>
      </c>
      <c r="P1245" s="6">
        <v>0</v>
      </c>
      <c r="Q1245" s="4" t="s">
        <v>26</v>
      </c>
      <c r="R1245" s="4">
        <v>0</v>
      </c>
      <c r="S1245" s="6">
        <v>0</v>
      </c>
      <c r="T1245" s="6">
        <v>40</v>
      </c>
      <c r="U1245" s="6">
        <v>83</v>
      </c>
      <c r="V1245" s="6">
        <f>IF(ISERROR(VLOOKUP($S$1245,'TAR FIN'!$A$1:$O$116,15,0)),0,VLOOKUP($S$1245,'TAR FIN'!$A$1:$O$116,15,0))</f>
        <v>0</v>
      </c>
      <c r="W1245" s="6">
        <f>IF(ISERROR(VLOOKUP($T$1245,'TAR FIN'!$A$1:$O$116,15,0)),0,VLOOKUP($T$1245,'TAR FIN'!$A$1:$O$116,15,0))</f>
        <v>236.99</v>
      </c>
      <c r="X1245" s="6">
        <f>IF(ISERROR(VLOOKUP($U$1245,'TAR FIN'!$A$1:$O$116,15,0)),0,VLOOKUP($U$1245,'TAR FIN'!$A$1:$O$116,15,0))</f>
        <v>311.04000000000002</v>
      </c>
      <c r="Y1245" s="6"/>
      <c r="Z1245" s="6">
        <f ca="1">('TUSD BE'!$AM$42+'TUSD BF'!$AM$42+'TUSD CVA'!$AM$42)*1</f>
        <v>315.01731089539015</v>
      </c>
      <c r="AA1245" s="6">
        <f>('TE BE'!$AB$13+'TE BF'!$AB$13+'TE CVA'!$AB$13)*1</f>
        <v>313.22907246928764</v>
      </c>
      <c r="AB1245" s="6">
        <f>$K$1245*$V$1245</f>
        <v>0</v>
      </c>
      <c r="AC1245" s="6">
        <f>$M$1245*$W$1245</f>
        <v>123.70878</v>
      </c>
      <c r="AD1245" s="6">
        <f>$O$1245*$X$1245</f>
        <v>162.36288000000002</v>
      </c>
      <c r="AE1245" s="6">
        <f>$K$1245*$Y$1245</f>
        <v>0</v>
      </c>
      <c r="AF1245" s="6">
        <f ca="1">$M$1245*$Z$1245</f>
        <v>164.43903628739366</v>
      </c>
      <c r="AG1245" s="6">
        <f>$O$1245*$AA$1245</f>
        <v>163.50557582896815</v>
      </c>
    </row>
    <row r="1246" spans="1:33" ht="11.25" customHeight="1" x14ac:dyDescent="0.25">
      <c r="A1246" s="4" t="s">
        <v>21</v>
      </c>
      <c r="B1246" s="4" t="s">
        <v>22</v>
      </c>
      <c r="C1246" s="4" t="s">
        <v>33</v>
      </c>
      <c r="D1246" s="4" t="s">
        <v>24</v>
      </c>
      <c r="E1246" s="4" t="s">
        <v>24</v>
      </c>
      <c r="F1246" s="4" t="s">
        <v>25</v>
      </c>
      <c r="G1246" s="4" t="s">
        <v>25</v>
      </c>
      <c r="H1246" s="4" t="s">
        <v>36</v>
      </c>
      <c r="I1246" s="5">
        <v>44348</v>
      </c>
      <c r="J1246" s="6">
        <v>0</v>
      </c>
      <c r="K1246" s="6">
        <v>0</v>
      </c>
      <c r="L1246" s="6">
        <v>0.79800000000000004</v>
      </c>
      <c r="M1246" s="6">
        <v>0.79800000000000004</v>
      </c>
      <c r="N1246" s="6">
        <v>0.79800000000000004</v>
      </c>
      <c r="O1246" s="6">
        <v>0.79800000000000004</v>
      </c>
      <c r="P1246" s="6">
        <v>0</v>
      </c>
      <c r="Q1246" s="4" t="s">
        <v>26</v>
      </c>
      <c r="R1246" s="4">
        <v>0</v>
      </c>
      <c r="S1246" s="6">
        <v>0</v>
      </c>
      <c r="T1246" s="6">
        <v>39</v>
      </c>
      <c r="U1246" s="6">
        <v>82</v>
      </c>
      <c r="V1246" s="6">
        <f>IF(ISERROR(VLOOKUP($S$1246,'TAR FIN'!$A$1:$O$116,15,0)),0,VLOOKUP($S$1246,'TAR FIN'!$A$1:$O$116,15,0))</f>
        <v>0</v>
      </c>
      <c r="W1246" s="6">
        <f>IF(ISERROR(VLOOKUP($T$1246,'TAR FIN'!$A$1:$O$116,15,0)),0,VLOOKUP($T$1246,'TAR FIN'!$A$1:$O$116,15,0))</f>
        <v>474.91</v>
      </c>
      <c r="X1246" s="6">
        <f>IF(ISERROR(VLOOKUP($U$1246,'TAR FIN'!$A$1:$O$116,15,0)),0,VLOOKUP($U$1246,'TAR FIN'!$A$1:$O$116,15,0))</f>
        <v>311.04000000000002</v>
      </c>
      <c r="Y1246" s="6"/>
      <c r="Z1246" s="6">
        <f ca="1">('TUSD BE'!$AM$41+'TUSD BF'!$AM$41+'TUSD CVA'!$AM$41)*1</f>
        <v>589.64200658505763</v>
      </c>
      <c r="AA1246" s="6">
        <f>('TE BE'!$AB$12+'TE BF'!$AB$12+'TE CVA'!$AB$12)*1</f>
        <v>313.22907246928764</v>
      </c>
      <c r="AB1246" s="6">
        <f>$K$1246*$V$1246</f>
        <v>0</v>
      </c>
      <c r="AC1246" s="6">
        <f>$M$1246*$W$1246</f>
        <v>378.97818000000007</v>
      </c>
      <c r="AD1246" s="6">
        <f>$O$1246*$X$1246</f>
        <v>248.20992000000004</v>
      </c>
      <c r="AE1246" s="6">
        <f>$K$1246*$Y$1246</f>
        <v>0</v>
      </c>
      <c r="AF1246" s="6">
        <f ca="1">$M$1246*$Z$1246</f>
        <v>470.53432125487603</v>
      </c>
      <c r="AG1246" s="6">
        <f>$O$1246*$AA$1246</f>
        <v>249.95679983049155</v>
      </c>
    </row>
    <row r="1247" spans="1:33" ht="11.25" customHeight="1" x14ac:dyDescent="0.25">
      <c r="A1247" s="4" t="s">
        <v>28</v>
      </c>
      <c r="B1247" s="4" t="s">
        <v>22</v>
      </c>
      <c r="C1247" s="4" t="s">
        <v>33</v>
      </c>
      <c r="D1247" s="4" t="s">
        <v>24</v>
      </c>
      <c r="E1247" s="4" t="s">
        <v>24</v>
      </c>
      <c r="F1247" s="4" t="s">
        <v>25</v>
      </c>
      <c r="G1247" s="4" t="s">
        <v>25</v>
      </c>
      <c r="H1247" s="4" t="s">
        <v>36</v>
      </c>
      <c r="I1247" s="5">
        <v>44348</v>
      </c>
      <c r="J1247" s="6">
        <v>0</v>
      </c>
      <c r="K1247" s="6">
        <v>0</v>
      </c>
      <c r="L1247" s="6">
        <v>0.12</v>
      </c>
      <c r="M1247" s="6">
        <v>0.12</v>
      </c>
      <c r="N1247" s="6">
        <v>0.12</v>
      </c>
      <c r="O1247" s="6">
        <v>0.12</v>
      </c>
      <c r="P1247" s="6">
        <v>0</v>
      </c>
      <c r="Q1247" s="4" t="s">
        <v>26</v>
      </c>
      <c r="R1247" s="4">
        <v>0</v>
      </c>
      <c r="S1247" s="6">
        <v>0</v>
      </c>
      <c r="T1247" s="6">
        <v>39</v>
      </c>
      <c r="U1247" s="6">
        <v>82</v>
      </c>
      <c r="V1247" s="6">
        <f>IF(ISERROR(VLOOKUP($S$1247,'TAR FIN'!$A$1:$O$116,15,0)),0,VLOOKUP($S$1247,'TAR FIN'!$A$1:$O$116,15,0))</f>
        <v>0</v>
      </c>
      <c r="W1247" s="6">
        <f>IF(ISERROR(VLOOKUP($T$1247,'TAR FIN'!$A$1:$O$116,15,0)),0,VLOOKUP($T$1247,'TAR FIN'!$A$1:$O$116,15,0))</f>
        <v>474.91</v>
      </c>
      <c r="X1247" s="6">
        <f>IF(ISERROR(VLOOKUP($U$1247,'TAR FIN'!$A$1:$O$116,15,0)),0,VLOOKUP($U$1247,'TAR FIN'!$A$1:$O$116,15,0))</f>
        <v>311.04000000000002</v>
      </c>
      <c r="Y1247" s="6"/>
      <c r="Z1247" s="6">
        <f ca="1">('TUSD BE'!$AM$41+'TUSD BF'!$AM$41+'TUSD CVA'!$AM$41)*1</f>
        <v>589.64200658505763</v>
      </c>
      <c r="AA1247" s="6">
        <f>('TE BE'!$AB$12+'TE BF'!$AB$12+'TE CVA'!$AB$12)*1</f>
        <v>313.22907246928764</v>
      </c>
      <c r="AB1247" s="6">
        <f>$K$1247*$V$1247</f>
        <v>0</v>
      </c>
      <c r="AC1247" s="6">
        <f>$M$1247*$W$1247</f>
        <v>56.989200000000004</v>
      </c>
      <c r="AD1247" s="6">
        <f>$O$1247*$X$1247</f>
        <v>37.324800000000003</v>
      </c>
      <c r="AE1247" s="6">
        <f>$K$1247*$Y$1247</f>
        <v>0</v>
      </c>
      <c r="AF1247" s="6">
        <f ca="1">$M$1247*$Z$1247</f>
        <v>70.757040790206915</v>
      </c>
      <c r="AG1247" s="6">
        <f>$O$1247*$AA$1247</f>
        <v>37.587488696314516</v>
      </c>
    </row>
    <row r="1248" spans="1:33" ht="11.25" customHeight="1" x14ac:dyDescent="0.25">
      <c r="A1248" s="4" t="s">
        <v>21</v>
      </c>
      <c r="B1248" s="4" t="s">
        <v>22</v>
      </c>
      <c r="C1248" s="4" t="s">
        <v>33</v>
      </c>
      <c r="D1248" s="4" t="s">
        <v>24</v>
      </c>
      <c r="E1248" s="4" t="s">
        <v>24</v>
      </c>
      <c r="F1248" s="4" t="s">
        <v>25</v>
      </c>
      <c r="G1248" s="4" t="s">
        <v>25</v>
      </c>
      <c r="H1248" s="4" t="s">
        <v>36</v>
      </c>
      <c r="I1248" s="5">
        <v>44378</v>
      </c>
      <c r="J1248" s="6">
        <v>0</v>
      </c>
      <c r="K1248" s="6">
        <v>0</v>
      </c>
      <c r="L1248" s="6">
        <v>0.79300000000000004</v>
      </c>
      <c r="M1248" s="6">
        <v>0.79300000000000004</v>
      </c>
      <c r="N1248" s="6">
        <v>0.79300000000000004</v>
      </c>
      <c r="O1248" s="6">
        <v>0.79300000000000004</v>
      </c>
      <c r="P1248" s="6">
        <v>0</v>
      </c>
      <c r="Q1248" s="4" t="s">
        <v>26</v>
      </c>
      <c r="R1248" s="4">
        <v>0</v>
      </c>
      <c r="S1248" s="6">
        <v>0</v>
      </c>
      <c r="T1248" s="6">
        <v>39</v>
      </c>
      <c r="U1248" s="6">
        <v>82</v>
      </c>
      <c r="V1248" s="6">
        <f>IF(ISERROR(VLOOKUP($S$1248,'TAR FIN'!$A$1:$O$116,15,0)),0,VLOOKUP($S$1248,'TAR FIN'!$A$1:$O$116,15,0))</f>
        <v>0</v>
      </c>
      <c r="W1248" s="6">
        <f>IF(ISERROR(VLOOKUP($T$1248,'TAR FIN'!$A$1:$O$116,15,0)),0,VLOOKUP($T$1248,'TAR FIN'!$A$1:$O$116,15,0))</f>
        <v>474.91</v>
      </c>
      <c r="X1248" s="6">
        <f>IF(ISERROR(VLOOKUP($U$1248,'TAR FIN'!$A$1:$O$116,15,0)),0,VLOOKUP($U$1248,'TAR FIN'!$A$1:$O$116,15,0))</f>
        <v>311.04000000000002</v>
      </c>
      <c r="Y1248" s="6"/>
      <c r="Z1248" s="6">
        <f ca="1">('TUSD BE'!$AM$41+'TUSD BF'!$AM$41+'TUSD CVA'!$AM$41)*1</f>
        <v>589.64200658505763</v>
      </c>
      <c r="AA1248" s="6">
        <f>('TE BE'!$AB$12+'TE BF'!$AB$12+'TE CVA'!$AB$12)*1</f>
        <v>313.22907246928764</v>
      </c>
      <c r="AB1248" s="6">
        <f>$K$1248*$V$1248</f>
        <v>0</v>
      </c>
      <c r="AC1248" s="6">
        <f>$M$1248*$W$1248</f>
        <v>376.60363000000001</v>
      </c>
      <c r="AD1248" s="6">
        <f>$O$1248*$X$1248</f>
        <v>246.65472000000003</v>
      </c>
      <c r="AE1248" s="6">
        <f>$K$1248*$Y$1248</f>
        <v>0</v>
      </c>
      <c r="AF1248" s="6">
        <f ca="1">$M$1248*$Z$1248</f>
        <v>467.58611122195072</v>
      </c>
      <c r="AG1248" s="6">
        <f>$O$1248*$AA$1248</f>
        <v>248.3906544681451</v>
      </c>
    </row>
    <row r="1249" spans="1:33" ht="11.25" customHeight="1" x14ac:dyDescent="0.25">
      <c r="A1249" s="4" t="s">
        <v>28</v>
      </c>
      <c r="B1249" s="4" t="s">
        <v>22</v>
      </c>
      <c r="C1249" s="4" t="s">
        <v>33</v>
      </c>
      <c r="D1249" s="4" t="s">
        <v>24</v>
      </c>
      <c r="E1249" s="4" t="s">
        <v>24</v>
      </c>
      <c r="F1249" s="4" t="s">
        <v>25</v>
      </c>
      <c r="G1249" s="4" t="s">
        <v>25</v>
      </c>
      <c r="H1249" s="4" t="s">
        <v>36</v>
      </c>
      <c r="I1249" s="5">
        <v>44378</v>
      </c>
      <c r="J1249" s="6">
        <v>0</v>
      </c>
      <c r="K1249" s="6">
        <v>0</v>
      </c>
      <c r="L1249" s="6">
        <v>0.154</v>
      </c>
      <c r="M1249" s="6">
        <v>0.154</v>
      </c>
      <c r="N1249" s="6">
        <v>0.154</v>
      </c>
      <c r="O1249" s="6">
        <v>0.154</v>
      </c>
      <c r="P1249" s="6">
        <v>0</v>
      </c>
      <c r="Q1249" s="4" t="s">
        <v>26</v>
      </c>
      <c r="R1249" s="4">
        <v>0</v>
      </c>
      <c r="S1249" s="6">
        <v>0</v>
      </c>
      <c r="T1249" s="6">
        <v>39</v>
      </c>
      <c r="U1249" s="6">
        <v>82</v>
      </c>
      <c r="V1249" s="6">
        <f>IF(ISERROR(VLOOKUP($S$1249,'TAR FIN'!$A$1:$O$116,15,0)),0,VLOOKUP($S$1249,'TAR FIN'!$A$1:$O$116,15,0))</f>
        <v>0</v>
      </c>
      <c r="W1249" s="6">
        <f>IF(ISERROR(VLOOKUP($T$1249,'TAR FIN'!$A$1:$O$116,15,0)),0,VLOOKUP($T$1249,'TAR FIN'!$A$1:$O$116,15,0))</f>
        <v>474.91</v>
      </c>
      <c r="X1249" s="6">
        <f>IF(ISERROR(VLOOKUP($U$1249,'TAR FIN'!$A$1:$O$116,15,0)),0,VLOOKUP($U$1249,'TAR FIN'!$A$1:$O$116,15,0))</f>
        <v>311.04000000000002</v>
      </c>
      <c r="Y1249" s="6"/>
      <c r="Z1249" s="6">
        <f ca="1">('TUSD BE'!$AM$41+'TUSD BF'!$AM$41+'TUSD CVA'!$AM$41)*1</f>
        <v>589.64200658505763</v>
      </c>
      <c r="AA1249" s="6">
        <f>('TE BE'!$AB$12+'TE BF'!$AB$12+'TE CVA'!$AB$12)*1</f>
        <v>313.22907246928764</v>
      </c>
      <c r="AB1249" s="6">
        <f>$K$1249*$V$1249</f>
        <v>0</v>
      </c>
      <c r="AC1249" s="6">
        <f>$M$1249*$W$1249</f>
        <v>73.136139999999997</v>
      </c>
      <c r="AD1249" s="6">
        <f>$O$1249*$X$1249</f>
        <v>47.90016</v>
      </c>
      <c r="AE1249" s="6">
        <f>$K$1249*$Y$1249</f>
        <v>0</v>
      </c>
      <c r="AF1249" s="6">
        <f ca="1">$M$1249*$Z$1249</f>
        <v>90.80486901409887</v>
      </c>
      <c r="AG1249" s="6">
        <f>$O$1249*$AA$1249</f>
        <v>48.237277160270295</v>
      </c>
    </row>
    <row r="1250" spans="1:33" ht="11.25" customHeight="1" x14ac:dyDescent="0.25">
      <c r="A1250" s="4" t="s">
        <v>28</v>
      </c>
      <c r="B1250" s="4" t="s">
        <v>22</v>
      </c>
      <c r="C1250" s="4" t="s">
        <v>33</v>
      </c>
      <c r="D1250" s="4" t="s">
        <v>24</v>
      </c>
      <c r="E1250" s="4" t="s">
        <v>24</v>
      </c>
      <c r="F1250" s="4" t="s">
        <v>25</v>
      </c>
      <c r="G1250" s="4" t="s">
        <v>25</v>
      </c>
      <c r="H1250" s="4" t="s">
        <v>36</v>
      </c>
      <c r="I1250" s="5">
        <v>44378</v>
      </c>
      <c r="J1250" s="6">
        <v>0</v>
      </c>
      <c r="K1250" s="6">
        <v>0</v>
      </c>
      <c r="L1250" s="6">
        <v>-5.0000000000000001E-3</v>
      </c>
      <c r="M1250" s="6">
        <v>-5.0000000000000001E-3</v>
      </c>
      <c r="N1250" s="6">
        <v>-5.0000000000000001E-3</v>
      </c>
      <c r="O1250" s="6">
        <v>-5.0000000000000001E-3</v>
      </c>
      <c r="P1250" s="6">
        <v>0</v>
      </c>
      <c r="Q1250" s="4" t="s">
        <v>26</v>
      </c>
      <c r="R1250" s="4">
        <v>0</v>
      </c>
      <c r="S1250" s="6">
        <v>0</v>
      </c>
      <c r="T1250" s="6">
        <v>39</v>
      </c>
      <c r="U1250" s="6">
        <v>82</v>
      </c>
      <c r="V1250" s="6">
        <f>IF(ISERROR(VLOOKUP($S$1250,'TAR FIN'!$A$1:$O$116,15,0)),0,VLOOKUP($S$1250,'TAR FIN'!$A$1:$O$116,15,0))</f>
        <v>0</v>
      </c>
      <c r="W1250" s="6">
        <f>IF(ISERROR(VLOOKUP($T$1250,'TAR FIN'!$A$1:$O$116,15,0)),0,VLOOKUP($T$1250,'TAR FIN'!$A$1:$O$116,15,0))</f>
        <v>474.91</v>
      </c>
      <c r="X1250" s="6">
        <f>IF(ISERROR(VLOOKUP($U$1250,'TAR FIN'!$A$1:$O$116,15,0)),0,VLOOKUP($U$1250,'TAR FIN'!$A$1:$O$116,15,0))</f>
        <v>311.04000000000002</v>
      </c>
      <c r="Y1250" s="6"/>
      <c r="Z1250" s="6">
        <f ca="1">('TUSD BE'!$AM$41+'TUSD BF'!$AM$41+'TUSD CVA'!$AM$41)*1</f>
        <v>589.64200658505763</v>
      </c>
      <c r="AA1250" s="6">
        <f>('TE BE'!$AB$12+'TE BF'!$AB$12+'TE CVA'!$AB$12)*1</f>
        <v>313.22907246928764</v>
      </c>
      <c r="AB1250" s="6">
        <f>$K$1250*$V$1250</f>
        <v>0</v>
      </c>
      <c r="AC1250" s="6">
        <f>$M$1250*$W$1250</f>
        <v>-2.3745500000000002</v>
      </c>
      <c r="AD1250" s="6">
        <f>$O$1250*$X$1250</f>
        <v>-1.5552000000000001</v>
      </c>
      <c r="AE1250" s="6">
        <f>$K$1250*$Y$1250</f>
        <v>0</v>
      </c>
      <c r="AF1250" s="6">
        <f ca="1">$M$1250*$Z$1250</f>
        <v>-2.9482100329252883</v>
      </c>
      <c r="AG1250" s="6">
        <f>$O$1250*$AA$1250</f>
        <v>-1.5661453623464383</v>
      </c>
    </row>
    <row r="1251" spans="1:33" ht="11.25" customHeight="1" x14ac:dyDescent="0.25">
      <c r="A1251" s="4" t="s">
        <v>21</v>
      </c>
      <c r="B1251" s="4" t="s">
        <v>22</v>
      </c>
      <c r="C1251" s="4" t="s">
        <v>33</v>
      </c>
      <c r="D1251" s="4" t="s">
        <v>24</v>
      </c>
      <c r="E1251" s="4" t="s">
        <v>24</v>
      </c>
      <c r="F1251" s="4" t="s">
        <v>25</v>
      </c>
      <c r="G1251" s="4" t="s">
        <v>25</v>
      </c>
      <c r="H1251" s="4" t="s">
        <v>36</v>
      </c>
      <c r="I1251" s="5">
        <v>44409</v>
      </c>
      <c r="J1251" s="6">
        <v>0</v>
      </c>
      <c r="K1251" s="6">
        <v>0</v>
      </c>
      <c r="L1251" s="6">
        <v>0.86499999999999999</v>
      </c>
      <c r="M1251" s="6">
        <v>0.86499999999999999</v>
      </c>
      <c r="N1251" s="6">
        <v>0.86499999999999999</v>
      </c>
      <c r="O1251" s="6">
        <v>0.86499999999999999</v>
      </c>
      <c r="P1251" s="6">
        <v>0</v>
      </c>
      <c r="Q1251" s="4" t="s">
        <v>26</v>
      </c>
      <c r="R1251" s="4">
        <v>0</v>
      </c>
      <c r="S1251" s="6">
        <v>0</v>
      </c>
      <c r="T1251" s="6">
        <v>39</v>
      </c>
      <c r="U1251" s="6">
        <v>82</v>
      </c>
      <c r="V1251" s="6">
        <f>IF(ISERROR(VLOOKUP($S$1251,'TAR FIN'!$A$1:$O$116,15,0)),0,VLOOKUP($S$1251,'TAR FIN'!$A$1:$O$116,15,0))</f>
        <v>0</v>
      </c>
      <c r="W1251" s="6">
        <f>IF(ISERROR(VLOOKUP($T$1251,'TAR FIN'!$A$1:$O$116,15,0)),0,VLOOKUP($T$1251,'TAR FIN'!$A$1:$O$116,15,0))</f>
        <v>474.91</v>
      </c>
      <c r="X1251" s="6">
        <f>IF(ISERROR(VLOOKUP($U$1251,'TAR FIN'!$A$1:$O$116,15,0)),0,VLOOKUP($U$1251,'TAR FIN'!$A$1:$O$116,15,0))</f>
        <v>311.04000000000002</v>
      </c>
      <c r="Y1251" s="6"/>
      <c r="Z1251" s="6">
        <f ca="1">('TUSD BE'!$AM$41+'TUSD BF'!$AM$41+'TUSD CVA'!$AM$41)*1</f>
        <v>589.64200658505763</v>
      </c>
      <c r="AA1251" s="6">
        <f>('TE BE'!$AB$12+'TE BF'!$AB$12+'TE CVA'!$AB$12)*1</f>
        <v>313.22907246928764</v>
      </c>
      <c r="AB1251" s="6">
        <f>$K$1251*$V$1251</f>
        <v>0</v>
      </c>
      <c r="AC1251" s="6">
        <f>$M$1251*$W$1251</f>
        <v>410.79715000000004</v>
      </c>
      <c r="AD1251" s="6">
        <f>$O$1251*$X$1251</f>
        <v>269.0496</v>
      </c>
      <c r="AE1251" s="6">
        <f>$K$1251*$Y$1251</f>
        <v>0</v>
      </c>
      <c r="AF1251" s="6">
        <f ca="1">$M$1251*$Z$1251</f>
        <v>510.04033569607486</v>
      </c>
      <c r="AG1251" s="6">
        <f>$O$1251*$AA$1251</f>
        <v>270.94314768593381</v>
      </c>
    </row>
    <row r="1252" spans="1:33" ht="11.25" customHeight="1" x14ac:dyDescent="0.25">
      <c r="A1252" s="4" t="s">
        <v>28</v>
      </c>
      <c r="B1252" s="4" t="s">
        <v>22</v>
      </c>
      <c r="C1252" s="4" t="s">
        <v>33</v>
      </c>
      <c r="D1252" s="4" t="s">
        <v>24</v>
      </c>
      <c r="E1252" s="4" t="s">
        <v>24</v>
      </c>
      <c r="F1252" s="4" t="s">
        <v>25</v>
      </c>
      <c r="G1252" s="4" t="s">
        <v>25</v>
      </c>
      <c r="H1252" s="4" t="s">
        <v>36</v>
      </c>
      <c r="I1252" s="5">
        <v>44409</v>
      </c>
      <c r="J1252" s="6">
        <v>0</v>
      </c>
      <c r="K1252" s="6">
        <v>0</v>
      </c>
      <c r="L1252" s="6">
        <v>0.107</v>
      </c>
      <c r="M1252" s="6">
        <v>0.107</v>
      </c>
      <c r="N1252" s="6">
        <v>0.107</v>
      </c>
      <c r="O1252" s="6">
        <v>0.107</v>
      </c>
      <c r="P1252" s="6">
        <v>0</v>
      </c>
      <c r="Q1252" s="4" t="s">
        <v>26</v>
      </c>
      <c r="R1252" s="4">
        <v>0</v>
      </c>
      <c r="S1252" s="6">
        <v>0</v>
      </c>
      <c r="T1252" s="6">
        <v>39</v>
      </c>
      <c r="U1252" s="6">
        <v>82</v>
      </c>
      <c r="V1252" s="6">
        <f>IF(ISERROR(VLOOKUP($S$1252,'TAR FIN'!$A$1:$O$116,15,0)),0,VLOOKUP($S$1252,'TAR FIN'!$A$1:$O$116,15,0))</f>
        <v>0</v>
      </c>
      <c r="W1252" s="6">
        <f>IF(ISERROR(VLOOKUP($T$1252,'TAR FIN'!$A$1:$O$116,15,0)),0,VLOOKUP($T$1252,'TAR FIN'!$A$1:$O$116,15,0))</f>
        <v>474.91</v>
      </c>
      <c r="X1252" s="6">
        <f>IF(ISERROR(VLOOKUP($U$1252,'TAR FIN'!$A$1:$O$116,15,0)),0,VLOOKUP($U$1252,'TAR FIN'!$A$1:$O$116,15,0))</f>
        <v>311.04000000000002</v>
      </c>
      <c r="Y1252" s="6"/>
      <c r="Z1252" s="6">
        <f ca="1">('TUSD BE'!$AM$41+'TUSD BF'!$AM$41+'TUSD CVA'!$AM$41)*1</f>
        <v>589.64200658505763</v>
      </c>
      <c r="AA1252" s="6">
        <f>('TE BE'!$AB$12+'TE BF'!$AB$12+'TE CVA'!$AB$12)*1</f>
        <v>313.22907246928764</v>
      </c>
      <c r="AB1252" s="6">
        <f>$K$1252*$V$1252</f>
        <v>0</v>
      </c>
      <c r="AC1252" s="6">
        <f>$M$1252*$W$1252</f>
        <v>50.815370000000001</v>
      </c>
      <c r="AD1252" s="6">
        <f>$O$1252*$X$1252</f>
        <v>33.281280000000002</v>
      </c>
      <c r="AE1252" s="6">
        <f>$K$1252*$Y$1252</f>
        <v>0</v>
      </c>
      <c r="AF1252" s="6">
        <f ca="1">$M$1252*$Z$1252</f>
        <v>63.091694704601167</v>
      </c>
      <c r="AG1252" s="6">
        <f>$O$1252*$AA$1252</f>
        <v>33.515510754213778</v>
      </c>
    </row>
    <row r="1253" spans="1:33" ht="11.25" customHeight="1" x14ac:dyDescent="0.25">
      <c r="A1253" s="4" t="s">
        <v>21</v>
      </c>
      <c r="B1253" s="4" t="s">
        <v>22</v>
      </c>
      <c r="C1253" s="4" t="s">
        <v>33</v>
      </c>
      <c r="D1253" s="4" t="s">
        <v>24</v>
      </c>
      <c r="E1253" s="4" t="s">
        <v>24</v>
      </c>
      <c r="F1253" s="4" t="s">
        <v>25</v>
      </c>
      <c r="G1253" s="4" t="s">
        <v>25</v>
      </c>
      <c r="H1253" s="4" t="s">
        <v>36</v>
      </c>
      <c r="I1253" s="5">
        <v>44440</v>
      </c>
      <c r="J1253" s="6">
        <v>0</v>
      </c>
      <c r="K1253" s="6">
        <v>0</v>
      </c>
      <c r="L1253" s="6">
        <v>0.84899999999999998</v>
      </c>
      <c r="M1253" s="6">
        <v>0.84899999999999998</v>
      </c>
      <c r="N1253" s="6">
        <v>0.84899999999999998</v>
      </c>
      <c r="O1253" s="6">
        <v>0.84899999999999998</v>
      </c>
      <c r="P1253" s="6">
        <v>0</v>
      </c>
      <c r="Q1253" s="4" t="s">
        <v>26</v>
      </c>
      <c r="R1253" s="4">
        <v>0</v>
      </c>
      <c r="S1253" s="6">
        <v>0</v>
      </c>
      <c r="T1253" s="6">
        <v>39</v>
      </c>
      <c r="U1253" s="6">
        <v>82</v>
      </c>
      <c r="V1253" s="6">
        <f>IF(ISERROR(VLOOKUP($S$1253,'TAR FIN'!$A$1:$O$116,15,0)),0,VLOOKUP($S$1253,'TAR FIN'!$A$1:$O$116,15,0))</f>
        <v>0</v>
      </c>
      <c r="W1253" s="6">
        <f>IF(ISERROR(VLOOKUP($T$1253,'TAR FIN'!$A$1:$O$116,15,0)),0,VLOOKUP($T$1253,'TAR FIN'!$A$1:$O$116,15,0))</f>
        <v>474.91</v>
      </c>
      <c r="X1253" s="6">
        <f>IF(ISERROR(VLOOKUP($U$1253,'TAR FIN'!$A$1:$O$116,15,0)),0,VLOOKUP($U$1253,'TAR FIN'!$A$1:$O$116,15,0))</f>
        <v>311.04000000000002</v>
      </c>
      <c r="Y1253" s="6"/>
      <c r="Z1253" s="6">
        <f ca="1">('TUSD BE'!$AM$41+'TUSD BF'!$AM$41+'TUSD CVA'!$AM$41)*1</f>
        <v>589.64200658505763</v>
      </c>
      <c r="AA1253" s="6">
        <f>('TE BE'!$AB$12+'TE BF'!$AB$12+'TE CVA'!$AB$12)*1</f>
        <v>313.22907246928764</v>
      </c>
      <c r="AB1253" s="6">
        <f>$K$1253*$V$1253</f>
        <v>0</v>
      </c>
      <c r="AC1253" s="6">
        <f>$M$1253*$W$1253</f>
        <v>403.19859000000002</v>
      </c>
      <c r="AD1253" s="6">
        <f>$O$1253*$X$1253</f>
        <v>264.07296000000002</v>
      </c>
      <c r="AE1253" s="6">
        <f>$K$1253*$Y$1253</f>
        <v>0</v>
      </c>
      <c r="AF1253" s="6">
        <f ca="1">$M$1253*$Z$1253</f>
        <v>500.60606359071392</v>
      </c>
      <c r="AG1253" s="6">
        <f>$O$1253*$AA$1253</f>
        <v>265.93148252642521</v>
      </c>
    </row>
    <row r="1254" spans="1:33" ht="11.25" customHeight="1" x14ac:dyDescent="0.25">
      <c r="A1254" s="4" t="s">
        <v>28</v>
      </c>
      <c r="B1254" s="4" t="s">
        <v>22</v>
      </c>
      <c r="C1254" s="4" t="s">
        <v>33</v>
      </c>
      <c r="D1254" s="4" t="s">
        <v>24</v>
      </c>
      <c r="E1254" s="4" t="s">
        <v>24</v>
      </c>
      <c r="F1254" s="4" t="s">
        <v>25</v>
      </c>
      <c r="G1254" s="4" t="s">
        <v>25</v>
      </c>
      <c r="H1254" s="4" t="s">
        <v>36</v>
      </c>
      <c r="I1254" s="5">
        <v>44440</v>
      </c>
      <c r="J1254" s="6">
        <v>0</v>
      </c>
      <c r="K1254" s="6">
        <v>0</v>
      </c>
      <c r="L1254" s="6">
        <v>0.14899999999999999</v>
      </c>
      <c r="M1254" s="6">
        <v>0.14899999999999999</v>
      </c>
      <c r="N1254" s="6">
        <v>0.14899999999999999</v>
      </c>
      <c r="O1254" s="6">
        <v>0.14899999999999999</v>
      </c>
      <c r="P1254" s="6">
        <v>0</v>
      </c>
      <c r="Q1254" s="4" t="s">
        <v>26</v>
      </c>
      <c r="R1254" s="4">
        <v>0</v>
      </c>
      <c r="S1254" s="6">
        <v>0</v>
      </c>
      <c r="T1254" s="6">
        <v>39</v>
      </c>
      <c r="U1254" s="6">
        <v>82</v>
      </c>
      <c r="V1254" s="6">
        <f>IF(ISERROR(VLOOKUP($S$1254,'TAR FIN'!$A$1:$O$116,15,0)),0,VLOOKUP($S$1254,'TAR FIN'!$A$1:$O$116,15,0))</f>
        <v>0</v>
      </c>
      <c r="W1254" s="6">
        <f>IF(ISERROR(VLOOKUP($T$1254,'TAR FIN'!$A$1:$O$116,15,0)),0,VLOOKUP($T$1254,'TAR FIN'!$A$1:$O$116,15,0))</f>
        <v>474.91</v>
      </c>
      <c r="X1254" s="6">
        <f>IF(ISERROR(VLOOKUP($U$1254,'TAR FIN'!$A$1:$O$116,15,0)),0,VLOOKUP($U$1254,'TAR FIN'!$A$1:$O$116,15,0))</f>
        <v>311.04000000000002</v>
      </c>
      <c r="Y1254" s="6"/>
      <c r="Z1254" s="6">
        <f ca="1">('TUSD BE'!$AM$41+'TUSD BF'!$AM$41+'TUSD CVA'!$AM$41)*1</f>
        <v>589.64200658505763</v>
      </c>
      <c r="AA1254" s="6">
        <f>('TE BE'!$AB$12+'TE BF'!$AB$12+'TE CVA'!$AB$12)*1</f>
        <v>313.22907246928764</v>
      </c>
      <c r="AB1254" s="6">
        <f>$K$1254*$V$1254</f>
        <v>0</v>
      </c>
      <c r="AC1254" s="6">
        <f>$M$1254*$W$1254</f>
        <v>70.761589999999998</v>
      </c>
      <c r="AD1254" s="6">
        <f>$O$1254*$X$1254</f>
        <v>46.34496</v>
      </c>
      <c r="AE1254" s="6">
        <f>$K$1254*$Y$1254</f>
        <v>0</v>
      </c>
      <c r="AF1254" s="6">
        <f ca="1">$M$1254*$Z$1254</f>
        <v>87.856658981173581</v>
      </c>
      <c r="AG1254" s="6">
        <f>$O$1254*$AA$1254</f>
        <v>46.671131797923856</v>
      </c>
    </row>
    <row r="1255" spans="1:33" ht="11.25" customHeight="1" x14ac:dyDescent="0.25">
      <c r="A1255" s="4" t="s">
        <v>21</v>
      </c>
      <c r="B1255" s="4" t="s">
        <v>22</v>
      </c>
      <c r="C1255" s="4" t="s">
        <v>33</v>
      </c>
      <c r="D1255" s="4" t="s">
        <v>24</v>
      </c>
      <c r="E1255" s="4" t="s">
        <v>24</v>
      </c>
      <c r="F1255" s="4" t="s">
        <v>25</v>
      </c>
      <c r="G1255" s="4" t="s">
        <v>25</v>
      </c>
      <c r="H1255" s="4" t="s">
        <v>36</v>
      </c>
      <c r="I1255" s="5">
        <v>44470</v>
      </c>
      <c r="J1255" s="6">
        <v>0</v>
      </c>
      <c r="K1255" s="6">
        <v>0</v>
      </c>
      <c r="L1255" s="6">
        <v>0.73199999999999998</v>
      </c>
      <c r="M1255" s="6">
        <v>0.73199999999999998</v>
      </c>
      <c r="N1255" s="6">
        <v>0.73199999999999998</v>
      </c>
      <c r="O1255" s="6">
        <v>0.73199999999999998</v>
      </c>
      <c r="P1255" s="6">
        <v>0</v>
      </c>
      <c r="Q1255" s="4" t="s">
        <v>26</v>
      </c>
      <c r="R1255" s="4">
        <v>0</v>
      </c>
      <c r="S1255" s="6">
        <v>0</v>
      </c>
      <c r="T1255" s="6">
        <v>39</v>
      </c>
      <c r="U1255" s="6">
        <v>82</v>
      </c>
      <c r="V1255" s="6">
        <f>IF(ISERROR(VLOOKUP($S$1255,'TAR FIN'!$A$1:$O$116,15,0)),0,VLOOKUP($S$1255,'TAR FIN'!$A$1:$O$116,15,0))</f>
        <v>0</v>
      </c>
      <c r="W1255" s="6">
        <f>IF(ISERROR(VLOOKUP($T$1255,'TAR FIN'!$A$1:$O$116,15,0)),0,VLOOKUP($T$1255,'TAR FIN'!$A$1:$O$116,15,0))</f>
        <v>474.91</v>
      </c>
      <c r="X1255" s="6">
        <f>IF(ISERROR(VLOOKUP($U$1255,'TAR FIN'!$A$1:$O$116,15,0)),0,VLOOKUP($U$1255,'TAR FIN'!$A$1:$O$116,15,0))</f>
        <v>311.04000000000002</v>
      </c>
      <c r="Y1255" s="6"/>
      <c r="Z1255" s="6">
        <f ca="1">('TUSD BE'!$AM$41+'TUSD BF'!$AM$41+'TUSD CVA'!$AM$41)*1</f>
        <v>589.64200658505763</v>
      </c>
      <c r="AA1255" s="6">
        <f>('TE BE'!$AB$12+'TE BF'!$AB$12+'TE CVA'!$AB$12)*1</f>
        <v>313.22907246928764</v>
      </c>
      <c r="AB1255" s="6">
        <f>$K$1255*$V$1255</f>
        <v>0</v>
      </c>
      <c r="AC1255" s="6">
        <f>$M$1255*$W$1255</f>
        <v>347.63412</v>
      </c>
      <c r="AD1255" s="6">
        <f>$O$1255*$X$1255</f>
        <v>227.68128000000002</v>
      </c>
      <c r="AE1255" s="6">
        <f>$K$1255*$Y$1255</f>
        <v>0</v>
      </c>
      <c r="AF1255" s="6">
        <f ca="1">$M$1255*$Z$1255</f>
        <v>431.6179488202622</v>
      </c>
      <c r="AG1255" s="6">
        <f>$O$1255*$AA$1255</f>
        <v>229.28368104751854</v>
      </c>
    </row>
    <row r="1256" spans="1:33" ht="11.25" customHeight="1" x14ac:dyDescent="0.25">
      <c r="A1256" s="4" t="s">
        <v>28</v>
      </c>
      <c r="B1256" s="4" t="s">
        <v>22</v>
      </c>
      <c r="C1256" s="4" t="s">
        <v>33</v>
      </c>
      <c r="D1256" s="4" t="s">
        <v>24</v>
      </c>
      <c r="E1256" s="4" t="s">
        <v>24</v>
      </c>
      <c r="F1256" s="4" t="s">
        <v>25</v>
      </c>
      <c r="G1256" s="4" t="s">
        <v>25</v>
      </c>
      <c r="H1256" s="4" t="s">
        <v>36</v>
      </c>
      <c r="I1256" s="5">
        <v>44470</v>
      </c>
      <c r="J1256" s="6">
        <v>0</v>
      </c>
      <c r="K1256" s="6">
        <v>0</v>
      </c>
      <c r="L1256" s="6">
        <v>6.4000000000000001E-2</v>
      </c>
      <c r="M1256" s="6">
        <v>6.4000000000000001E-2</v>
      </c>
      <c r="N1256" s="6">
        <v>6.4000000000000001E-2</v>
      </c>
      <c r="O1256" s="6">
        <v>6.4000000000000001E-2</v>
      </c>
      <c r="P1256" s="6">
        <v>0</v>
      </c>
      <c r="Q1256" s="4" t="s">
        <v>26</v>
      </c>
      <c r="R1256" s="4">
        <v>0</v>
      </c>
      <c r="S1256" s="6">
        <v>0</v>
      </c>
      <c r="T1256" s="6">
        <v>39</v>
      </c>
      <c r="U1256" s="6">
        <v>82</v>
      </c>
      <c r="V1256" s="6">
        <f>IF(ISERROR(VLOOKUP($S$1256,'TAR FIN'!$A$1:$O$116,15,0)),0,VLOOKUP($S$1256,'TAR FIN'!$A$1:$O$116,15,0))</f>
        <v>0</v>
      </c>
      <c r="W1256" s="6">
        <f>IF(ISERROR(VLOOKUP($T$1256,'TAR FIN'!$A$1:$O$116,15,0)),0,VLOOKUP($T$1256,'TAR FIN'!$A$1:$O$116,15,0))</f>
        <v>474.91</v>
      </c>
      <c r="X1256" s="6">
        <f>IF(ISERROR(VLOOKUP($U$1256,'TAR FIN'!$A$1:$O$116,15,0)),0,VLOOKUP($U$1256,'TAR FIN'!$A$1:$O$116,15,0))</f>
        <v>311.04000000000002</v>
      </c>
      <c r="Y1256" s="6"/>
      <c r="Z1256" s="6">
        <f ca="1">('TUSD BE'!$AM$41+'TUSD BF'!$AM$41+'TUSD CVA'!$AM$41)*1</f>
        <v>589.64200658505763</v>
      </c>
      <c r="AA1256" s="6">
        <f>('TE BE'!$AB$12+'TE BF'!$AB$12+'TE CVA'!$AB$12)*1</f>
        <v>313.22907246928764</v>
      </c>
      <c r="AB1256" s="6">
        <f>$K$1256*$V$1256</f>
        <v>0</v>
      </c>
      <c r="AC1256" s="6">
        <f>$M$1256*$W$1256</f>
        <v>30.394240000000003</v>
      </c>
      <c r="AD1256" s="6">
        <f>$O$1256*$X$1256</f>
        <v>19.906560000000002</v>
      </c>
      <c r="AE1256" s="6">
        <f>$K$1256*$Y$1256</f>
        <v>0</v>
      </c>
      <c r="AF1256" s="6">
        <f ca="1">$M$1256*$Z$1256</f>
        <v>37.737088421443687</v>
      </c>
      <c r="AG1256" s="6">
        <f>$O$1256*$AA$1256</f>
        <v>20.04666063803441</v>
      </c>
    </row>
    <row r="1257" spans="1:33" ht="11.25" customHeight="1" x14ac:dyDescent="0.25">
      <c r="A1257" s="4" t="s">
        <v>28</v>
      </c>
      <c r="B1257" s="4" t="s">
        <v>22</v>
      </c>
      <c r="C1257" s="4" t="s">
        <v>33</v>
      </c>
      <c r="D1257" s="4" t="s">
        <v>24</v>
      </c>
      <c r="E1257" s="4" t="s">
        <v>24</v>
      </c>
      <c r="F1257" s="4" t="s">
        <v>25</v>
      </c>
      <c r="G1257" s="4" t="s">
        <v>25</v>
      </c>
      <c r="H1257" s="4" t="s">
        <v>36</v>
      </c>
      <c r="I1257" s="5">
        <v>44470</v>
      </c>
      <c r="J1257" s="6">
        <v>0</v>
      </c>
      <c r="K1257" s="6">
        <v>0</v>
      </c>
      <c r="L1257" s="6">
        <v>-1.4E-2</v>
      </c>
      <c r="M1257" s="6">
        <v>-1.4E-2</v>
      </c>
      <c r="N1257" s="6">
        <v>-1.4E-2</v>
      </c>
      <c r="O1257" s="6">
        <v>-1.4E-2</v>
      </c>
      <c r="P1257" s="6">
        <v>0</v>
      </c>
      <c r="Q1257" s="4" t="s">
        <v>26</v>
      </c>
      <c r="R1257" s="4">
        <v>0</v>
      </c>
      <c r="S1257" s="6">
        <v>0</v>
      </c>
      <c r="T1257" s="6">
        <v>39</v>
      </c>
      <c r="U1257" s="6">
        <v>82</v>
      </c>
      <c r="V1257" s="6">
        <f>IF(ISERROR(VLOOKUP($S$1257,'TAR FIN'!$A$1:$O$116,15,0)),0,VLOOKUP($S$1257,'TAR FIN'!$A$1:$O$116,15,0))</f>
        <v>0</v>
      </c>
      <c r="W1257" s="6">
        <f>IF(ISERROR(VLOOKUP($T$1257,'TAR FIN'!$A$1:$O$116,15,0)),0,VLOOKUP($T$1257,'TAR FIN'!$A$1:$O$116,15,0))</f>
        <v>474.91</v>
      </c>
      <c r="X1257" s="6">
        <f>IF(ISERROR(VLOOKUP($U$1257,'TAR FIN'!$A$1:$O$116,15,0)),0,VLOOKUP($U$1257,'TAR FIN'!$A$1:$O$116,15,0))</f>
        <v>311.04000000000002</v>
      </c>
      <c r="Y1257" s="6"/>
      <c r="Z1257" s="6">
        <f ca="1">('TUSD BE'!$AM$41+'TUSD BF'!$AM$41+'TUSD CVA'!$AM$41)*1</f>
        <v>589.64200658505763</v>
      </c>
      <c r="AA1257" s="6">
        <f>('TE BE'!$AB$12+'TE BF'!$AB$12+'TE CVA'!$AB$12)*1</f>
        <v>313.22907246928764</v>
      </c>
      <c r="AB1257" s="6">
        <f>$K$1257*$V$1257</f>
        <v>0</v>
      </c>
      <c r="AC1257" s="6">
        <f>$M$1257*$W$1257</f>
        <v>-6.6487400000000001</v>
      </c>
      <c r="AD1257" s="6">
        <f>$O$1257*$X$1257</f>
        <v>-4.3545600000000002</v>
      </c>
      <c r="AE1257" s="6">
        <f>$K$1257*$Y$1257</f>
        <v>0</v>
      </c>
      <c r="AF1257" s="6">
        <f ca="1">$M$1257*$Z$1257</f>
        <v>-8.254988092190807</v>
      </c>
      <c r="AG1257" s="6">
        <f>$O$1257*$AA$1257</f>
        <v>-4.3852070145700273</v>
      </c>
    </row>
    <row r="1258" spans="1:33" ht="11.25" customHeight="1" x14ac:dyDescent="0.25">
      <c r="A1258" s="4" t="s">
        <v>21</v>
      </c>
      <c r="B1258" s="4" t="s">
        <v>22</v>
      </c>
      <c r="C1258" s="4" t="s">
        <v>33</v>
      </c>
      <c r="D1258" s="4" t="s">
        <v>24</v>
      </c>
      <c r="E1258" s="4" t="s">
        <v>24</v>
      </c>
      <c r="F1258" s="4" t="s">
        <v>25</v>
      </c>
      <c r="G1258" s="4" t="s">
        <v>25</v>
      </c>
      <c r="H1258" s="4" t="s">
        <v>36</v>
      </c>
      <c r="I1258" s="5">
        <v>44501</v>
      </c>
      <c r="J1258" s="6">
        <v>0</v>
      </c>
      <c r="K1258" s="6">
        <v>0</v>
      </c>
      <c r="L1258" s="6">
        <v>0.70899999999999996</v>
      </c>
      <c r="M1258" s="6">
        <v>0.70899999999999996</v>
      </c>
      <c r="N1258" s="6">
        <v>0.70899999999999996</v>
      </c>
      <c r="O1258" s="6">
        <v>0.70899999999999996</v>
      </c>
      <c r="P1258" s="6">
        <v>0</v>
      </c>
      <c r="Q1258" s="4" t="s">
        <v>26</v>
      </c>
      <c r="R1258" s="4">
        <v>0</v>
      </c>
      <c r="S1258" s="6">
        <v>0</v>
      </c>
      <c r="T1258" s="6">
        <v>39</v>
      </c>
      <c r="U1258" s="6">
        <v>82</v>
      </c>
      <c r="V1258" s="6">
        <f>IF(ISERROR(VLOOKUP($S$1258,'TAR FIN'!$A$1:$O$116,15,0)),0,VLOOKUP($S$1258,'TAR FIN'!$A$1:$O$116,15,0))</f>
        <v>0</v>
      </c>
      <c r="W1258" s="6">
        <f>IF(ISERROR(VLOOKUP($T$1258,'TAR FIN'!$A$1:$O$116,15,0)),0,VLOOKUP($T$1258,'TAR FIN'!$A$1:$O$116,15,0))</f>
        <v>474.91</v>
      </c>
      <c r="X1258" s="6">
        <f>IF(ISERROR(VLOOKUP($U$1258,'TAR FIN'!$A$1:$O$116,15,0)),0,VLOOKUP($U$1258,'TAR FIN'!$A$1:$O$116,15,0))</f>
        <v>311.04000000000002</v>
      </c>
      <c r="Y1258" s="6"/>
      <c r="Z1258" s="6">
        <f ca="1">('TUSD BE'!$AM$41+'TUSD BF'!$AM$41+'TUSD CVA'!$AM$41)*1</f>
        <v>589.64200658505763</v>
      </c>
      <c r="AA1258" s="6">
        <f>('TE BE'!$AB$12+'TE BF'!$AB$12+'TE CVA'!$AB$12)*1</f>
        <v>313.22907246928764</v>
      </c>
      <c r="AB1258" s="6">
        <f>$K$1258*$V$1258</f>
        <v>0</v>
      </c>
      <c r="AC1258" s="6">
        <f>$M$1258*$W$1258</f>
        <v>336.71118999999999</v>
      </c>
      <c r="AD1258" s="6">
        <f>$O$1258*$X$1258</f>
        <v>220.52736000000002</v>
      </c>
      <c r="AE1258" s="6">
        <f>$K$1258*$Y$1258</f>
        <v>0</v>
      </c>
      <c r="AF1258" s="6">
        <f ca="1">$M$1258*$Z$1258</f>
        <v>418.05618266880583</v>
      </c>
      <c r="AG1258" s="6">
        <f>$O$1258*$AA$1258</f>
        <v>222.07941238072493</v>
      </c>
    </row>
    <row r="1259" spans="1:33" ht="11.25" customHeight="1" x14ac:dyDescent="0.25">
      <c r="A1259" s="4" t="s">
        <v>28</v>
      </c>
      <c r="B1259" s="4" t="s">
        <v>22</v>
      </c>
      <c r="C1259" s="4" t="s">
        <v>33</v>
      </c>
      <c r="D1259" s="4" t="s">
        <v>24</v>
      </c>
      <c r="E1259" s="4" t="s">
        <v>24</v>
      </c>
      <c r="F1259" s="4" t="s">
        <v>25</v>
      </c>
      <c r="G1259" s="4" t="s">
        <v>25</v>
      </c>
      <c r="H1259" s="4" t="s">
        <v>36</v>
      </c>
      <c r="I1259" s="5">
        <v>44501</v>
      </c>
      <c r="J1259" s="6">
        <v>0</v>
      </c>
      <c r="K1259" s="6">
        <v>0</v>
      </c>
      <c r="L1259" s="6">
        <v>0.14000000000000001</v>
      </c>
      <c r="M1259" s="6">
        <v>0.14000000000000001</v>
      </c>
      <c r="N1259" s="6">
        <v>0.14000000000000001</v>
      </c>
      <c r="O1259" s="6">
        <v>0.14000000000000001</v>
      </c>
      <c r="P1259" s="6">
        <v>0</v>
      </c>
      <c r="Q1259" s="4" t="s">
        <v>26</v>
      </c>
      <c r="R1259" s="4">
        <v>0</v>
      </c>
      <c r="S1259" s="6">
        <v>0</v>
      </c>
      <c r="T1259" s="6">
        <v>39</v>
      </c>
      <c r="U1259" s="6">
        <v>82</v>
      </c>
      <c r="V1259" s="6">
        <f>IF(ISERROR(VLOOKUP($S$1259,'TAR FIN'!$A$1:$O$116,15,0)),0,VLOOKUP($S$1259,'TAR FIN'!$A$1:$O$116,15,0))</f>
        <v>0</v>
      </c>
      <c r="W1259" s="6">
        <f>IF(ISERROR(VLOOKUP($T$1259,'TAR FIN'!$A$1:$O$116,15,0)),0,VLOOKUP($T$1259,'TAR FIN'!$A$1:$O$116,15,0))</f>
        <v>474.91</v>
      </c>
      <c r="X1259" s="6">
        <f>IF(ISERROR(VLOOKUP($U$1259,'TAR FIN'!$A$1:$O$116,15,0)),0,VLOOKUP($U$1259,'TAR FIN'!$A$1:$O$116,15,0))</f>
        <v>311.04000000000002</v>
      </c>
      <c r="Y1259" s="6"/>
      <c r="Z1259" s="6">
        <f ca="1">('TUSD BE'!$AM$41+'TUSD BF'!$AM$41+'TUSD CVA'!$AM$41)*1</f>
        <v>589.64200658505763</v>
      </c>
      <c r="AA1259" s="6">
        <f>('TE BE'!$AB$12+'TE BF'!$AB$12+'TE CVA'!$AB$12)*1</f>
        <v>313.22907246928764</v>
      </c>
      <c r="AB1259" s="6">
        <f>$K$1259*$V$1259</f>
        <v>0</v>
      </c>
      <c r="AC1259" s="6">
        <f>$M$1259*$W$1259</f>
        <v>66.487400000000008</v>
      </c>
      <c r="AD1259" s="6">
        <f>$O$1259*$X$1259</f>
        <v>43.545600000000007</v>
      </c>
      <c r="AE1259" s="6">
        <f>$K$1259*$Y$1259</f>
        <v>0</v>
      </c>
      <c r="AF1259" s="6">
        <f ca="1">$M$1259*$Z$1259</f>
        <v>82.54988092190807</v>
      </c>
      <c r="AG1259" s="6">
        <f>$O$1259*$AA$1259</f>
        <v>43.852070145700274</v>
      </c>
    </row>
    <row r="1260" spans="1:33" ht="11.25" customHeight="1" x14ac:dyDescent="0.25">
      <c r="A1260" s="4" t="s">
        <v>21</v>
      </c>
      <c r="B1260" s="4" t="s">
        <v>22</v>
      </c>
      <c r="C1260" s="4" t="s">
        <v>33</v>
      </c>
      <c r="D1260" s="4" t="s">
        <v>24</v>
      </c>
      <c r="E1260" s="4" t="s">
        <v>24</v>
      </c>
      <c r="F1260" s="4" t="s">
        <v>25</v>
      </c>
      <c r="G1260" s="4" t="s">
        <v>25</v>
      </c>
      <c r="H1260" s="4" t="s">
        <v>36</v>
      </c>
      <c r="I1260" s="5">
        <v>44531</v>
      </c>
      <c r="J1260" s="6">
        <v>0</v>
      </c>
      <c r="K1260" s="6">
        <v>0</v>
      </c>
      <c r="L1260" s="6">
        <v>0.78500000000000003</v>
      </c>
      <c r="M1260" s="6">
        <v>0.78500000000000003</v>
      </c>
      <c r="N1260" s="6">
        <v>0.78500000000000003</v>
      </c>
      <c r="O1260" s="6">
        <v>0.78500000000000003</v>
      </c>
      <c r="P1260" s="6">
        <v>0</v>
      </c>
      <c r="Q1260" s="4" t="s">
        <v>26</v>
      </c>
      <c r="R1260" s="4">
        <v>0</v>
      </c>
      <c r="S1260" s="6">
        <v>0</v>
      </c>
      <c r="T1260" s="6">
        <v>39</v>
      </c>
      <c r="U1260" s="6">
        <v>82</v>
      </c>
      <c r="V1260" s="6">
        <f>IF(ISERROR(VLOOKUP($S$1260,'TAR FIN'!$A$1:$O$116,15,0)),0,VLOOKUP($S$1260,'TAR FIN'!$A$1:$O$116,15,0))</f>
        <v>0</v>
      </c>
      <c r="W1260" s="6">
        <f>IF(ISERROR(VLOOKUP($T$1260,'TAR FIN'!$A$1:$O$116,15,0)),0,VLOOKUP($T$1260,'TAR FIN'!$A$1:$O$116,15,0))</f>
        <v>474.91</v>
      </c>
      <c r="X1260" s="6">
        <f>IF(ISERROR(VLOOKUP($U$1260,'TAR FIN'!$A$1:$O$116,15,0)),0,VLOOKUP($U$1260,'TAR FIN'!$A$1:$O$116,15,0))</f>
        <v>311.04000000000002</v>
      </c>
      <c r="Y1260" s="6"/>
      <c r="Z1260" s="6">
        <f ca="1">('TUSD BE'!$AM$41+'TUSD BF'!$AM$41+'TUSD CVA'!$AM$41)*1</f>
        <v>589.64200658505763</v>
      </c>
      <c r="AA1260" s="6">
        <f>('TE BE'!$AB$12+'TE BF'!$AB$12+'TE CVA'!$AB$12)*1</f>
        <v>313.22907246928764</v>
      </c>
      <c r="AB1260" s="6">
        <f>$K$1260*$V$1260</f>
        <v>0</v>
      </c>
      <c r="AC1260" s="6">
        <f>$M$1260*$W$1260</f>
        <v>372.80435000000006</v>
      </c>
      <c r="AD1260" s="6">
        <f>$O$1260*$X$1260</f>
        <v>244.16640000000004</v>
      </c>
      <c r="AE1260" s="6">
        <f>$K$1260*$Y$1260</f>
        <v>0</v>
      </c>
      <c r="AF1260" s="6">
        <f ca="1">$M$1260*$Z$1260</f>
        <v>462.86897516927024</v>
      </c>
      <c r="AG1260" s="6">
        <f>$O$1260*$AA$1260</f>
        <v>245.8848218883908</v>
      </c>
    </row>
    <row r="1261" spans="1:33" ht="11.25" customHeight="1" x14ac:dyDescent="0.25">
      <c r="A1261" s="4" t="s">
        <v>28</v>
      </c>
      <c r="B1261" s="4" t="s">
        <v>22</v>
      </c>
      <c r="C1261" s="4" t="s">
        <v>33</v>
      </c>
      <c r="D1261" s="4" t="s">
        <v>24</v>
      </c>
      <c r="E1261" s="4" t="s">
        <v>24</v>
      </c>
      <c r="F1261" s="4" t="s">
        <v>25</v>
      </c>
      <c r="G1261" s="4" t="s">
        <v>25</v>
      </c>
      <c r="H1261" s="4" t="s">
        <v>36</v>
      </c>
      <c r="I1261" s="5">
        <v>44531</v>
      </c>
      <c r="J1261" s="6">
        <v>0</v>
      </c>
      <c r="K1261" s="6">
        <v>0</v>
      </c>
      <c r="L1261" s="6">
        <v>8.8999999999999996E-2</v>
      </c>
      <c r="M1261" s="6">
        <v>8.8999999999999996E-2</v>
      </c>
      <c r="N1261" s="6">
        <v>8.8999999999999996E-2</v>
      </c>
      <c r="O1261" s="6">
        <v>8.8999999999999996E-2</v>
      </c>
      <c r="P1261" s="6">
        <v>0</v>
      </c>
      <c r="Q1261" s="4" t="s">
        <v>26</v>
      </c>
      <c r="R1261" s="4">
        <v>0</v>
      </c>
      <c r="S1261" s="6">
        <v>0</v>
      </c>
      <c r="T1261" s="6">
        <v>39</v>
      </c>
      <c r="U1261" s="6">
        <v>82</v>
      </c>
      <c r="V1261" s="6">
        <f>IF(ISERROR(VLOOKUP($S$1261,'TAR FIN'!$A$1:$O$116,15,0)),0,VLOOKUP($S$1261,'TAR FIN'!$A$1:$O$116,15,0))</f>
        <v>0</v>
      </c>
      <c r="W1261" s="6">
        <f>IF(ISERROR(VLOOKUP($T$1261,'TAR FIN'!$A$1:$O$116,15,0)),0,VLOOKUP($T$1261,'TAR FIN'!$A$1:$O$116,15,0))</f>
        <v>474.91</v>
      </c>
      <c r="X1261" s="6">
        <f>IF(ISERROR(VLOOKUP($U$1261,'TAR FIN'!$A$1:$O$116,15,0)),0,VLOOKUP($U$1261,'TAR FIN'!$A$1:$O$116,15,0))</f>
        <v>311.04000000000002</v>
      </c>
      <c r="Y1261" s="6"/>
      <c r="Z1261" s="6">
        <f ca="1">('TUSD BE'!$AM$41+'TUSD BF'!$AM$41+'TUSD CVA'!$AM$41)*1</f>
        <v>589.64200658505763</v>
      </c>
      <c r="AA1261" s="6">
        <f>('TE BE'!$AB$12+'TE BF'!$AB$12+'TE CVA'!$AB$12)*1</f>
        <v>313.22907246928764</v>
      </c>
      <c r="AB1261" s="6">
        <f>$K$1261*$V$1261</f>
        <v>0</v>
      </c>
      <c r="AC1261" s="6">
        <f>$M$1261*$W$1261</f>
        <v>42.26699</v>
      </c>
      <c r="AD1261" s="6">
        <f>$O$1261*$X$1261</f>
        <v>27.682560000000002</v>
      </c>
      <c r="AE1261" s="6">
        <f>$K$1261*$Y$1261</f>
        <v>0</v>
      </c>
      <c r="AF1261" s="6">
        <f ca="1">$M$1261*$Z$1261</f>
        <v>52.478138586070123</v>
      </c>
      <c r="AG1261" s="6">
        <f>$O$1261*$AA$1261</f>
        <v>27.877387449766598</v>
      </c>
    </row>
    <row r="1262" spans="1:33" ht="11.25" customHeight="1" x14ac:dyDescent="0.25">
      <c r="A1262" s="4" t="s">
        <v>28</v>
      </c>
      <c r="B1262" s="4" t="s">
        <v>22</v>
      </c>
      <c r="C1262" s="4" t="s">
        <v>33</v>
      </c>
      <c r="D1262" s="4" t="s">
        <v>24</v>
      </c>
      <c r="E1262" s="4" t="s">
        <v>24</v>
      </c>
      <c r="F1262" s="4" t="s">
        <v>25</v>
      </c>
      <c r="G1262" s="4" t="s">
        <v>25</v>
      </c>
      <c r="H1262" s="4" t="s">
        <v>36</v>
      </c>
      <c r="I1262" s="5">
        <v>44531</v>
      </c>
      <c r="J1262" s="6">
        <v>0</v>
      </c>
      <c r="K1262" s="6">
        <v>0</v>
      </c>
      <c r="L1262" s="6">
        <v>-1.9E-2</v>
      </c>
      <c r="M1262" s="6">
        <v>-1.9E-2</v>
      </c>
      <c r="N1262" s="6">
        <v>-1.9E-2</v>
      </c>
      <c r="O1262" s="6">
        <v>-1.9E-2</v>
      </c>
      <c r="P1262" s="6">
        <v>0</v>
      </c>
      <c r="Q1262" s="4" t="s">
        <v>26</v>
      </c>
      <c r="R1262" s="4">
        <v>0</v>
      </c>
      <c r="S1262" s="6">
        <v>0</v>
      </c>
      <c r="T1262" s="6">
        <v>39</v>
      </c>
      <c r="U1262" s="6">
        <v>82</v>
      </c>
      <c r="V1262" s="6">
        <f>IF(ISERROR(VLOOKUP($S$1262,'TAR FIN'!$A$1:$O$116,15,0)),0,VLOOKUP($S$1262,'TAR FIN'!$A$1:$O$116,15,0))</f>
        <v>0</v>
      </c>
      <c r="W1262" s="6">
        <f>IF(ISERROR(VLOOKUP($T$1262,'TAR FIN'!$A$1:$O$116,15,0)),0,VLOOKUP($T$1262,'TAR FIN'!$A$1:$O$116,15,0))</f>
        <v>474.91</v>
      </c>
      <c r="X1262" s="6">
        <f>IF(ISERROR(VLOOKUP($U$1262,'TAR FIN'!$A$1:$O$116,15,0)),0,VLOOKUP($U$1262,'TAR FIN'!$A$1:$O$116,15,0))</f>
        <v>311.04000000000002</v>
      </c>
      <c r="Y1262" s="6"/>
      <c r="Z1262" s="6">
        <f ca="1">('TUSD BE'!$AM$41+'TUSD BF'!$AM$41+'TUSD CVA'!$AM$41)*1</f>
        <v>589.64200658505763</v>
      </c>
      <c r="AA1262" s="6">
        <f>('TE BE'!$AB$12+'TE BF'!$AB$12+'TE CVA'!$AB$12)*1</f>
        <v>313.22907246928764</v>
      </c>
      <c r="AB1262" s="6">
        <f>$K$1262*$V$1262</f>
        <v>0</v>
      </c>
      <c r="AC1262" s="6">
        <f>$M$1262*$W$1262</f>
        <v>-9.0232899999999994</v>
      </c>
      <c r="AD1262" s="6">
        <f>$O$1262*$X$1262</f>
        <v>-5.9097600000000003</v>
      </c>
      <c r="AE1262" s="6">
        <f>$K$1262*$Y$1262</f>
        <v>0</v>
      </c>
      <c r="AF1262" s="6">
        <f ca="1">$M$1262*$Z$1262</f>
        <v>-11.203198125116094</v>
      </c>
      <c r="AG1262" s="6">
        <f>$O$1262*$AA$1262</f>
        <v>-5.9513523769164651</v>
      </c>
    </row>
    <row r="1263" spans="1:33" ht="11.25" customHeight="1" x14ac:dyDescent="0.25">
      <c r="A1263" s="4" t="s">
        <v>21</v>
      </c>
      <c r="B1263" s="4" t="s">
        <v>22</v>
      </c>
      <c r="C1263" s="4" t="s">
        <v>33</v>
      </c>
      <c r="D1263" s="4" t="s">
        <v>24</v>
      </c>
      <c r="E1263" s="4" t="s">
        <v>24</v>
      </c>
      <c r="F1263" s="4" t="s">
        <v>25</v>
      </c>
      <c r="G1263" s="4" t="s">
        <v>25</v>
      </c>
      <c r="H1263" s="4" t="s">
        <v>36</v>
      </c>
      <c r="I1263" s="5">
        <v>44562</v>
      </c>
      <c r="J1263" s="6">
        <v>0</v>
      </c>
      <c r="K1263" s="6">
        <v>0</v>
      </c>
      <c r="L1263" s="6">
        <v>0.80900000000000005</v>
      </c>
      <c r="M1263" s="6">
        <v>0.80900000000000005</v>
      </c>
      <c r="N1263" s="6">
        <v>0.80900000000000005</v>
      </c>
      <c r="O1263" s="6">
        <v>0.80900000000000005</v>
      </c>
      <c r="P1263" s="6">
        <v>0</v>
      </c>
      <c r="Q1263" s="4" t="s">
        <v>26</v>
      </c>
      <c r="R1263" s="4">
        <v>0</v>
      </c>
      <c r="S1263" s="6">
        <v>0</v>
      </c>
      <c r="T1263" s="6">
        <v>39</v>
      </c>
      <c r="U1263" s="6">
        <v>82</v>
      </c>
      <c r="V1263" s="6">
        <f>IF(ISERROR(VLOOKUP($S$1263,'TAR FIN'!$A$1:$O$116,15,0)),0,VLOOKUP($S$1263,'TAR FIN'!$A$1:$O$116,15,0))</f>
        <v>0</v>
      </c>
      <c r="W1263" s="6">
        <f>IF(ISERROR(VLOOKUP($T$1263,'TAR FIN'!$A$1:$O$116,15,0)),0,VLOOKUP($T$1263,'TAR FIN'!$A$1:$O$116,15,0))</f>
        <v>474.91</v>
      </c>
      <c r="X1263" s="6">
        <f>IF(ISERROR(VLOOKUP($U$1263,'TAR FIN'!$A$1:$O$116,15,0)),0,VLOOKUP($U$1263,'TAR FIN'!$A$1:$O$116,15,0))</f>
        <v>311.04000000000002</v>
      </c>
      <c r="Y1263" s="6"/>
      <c r="Z1263" s="6">
        <f ca="1">('TUSD BE'!$AM$41+'TUSD BF'!$AM$41+'TUSD CVA'!$AM$41)*1</f>
        <v>589.64200658505763</v>
      </c>
      <c r="AA1263" s="6">
        <f>('TE BE'!$AB$12+'TE BF'!$AB$12+'TE CVA'!$AB$12)*1</f>
        <v>313.22907246928764</v>
      </c>
      <c r="AB1263" s="6">
        <f>$K$1263*$V$1263</f>
        <v>0</v>
      </c>
      <c r="AC1263" s="6">
        <f>$M$1263*$W$1263</f>
        <v>384.20219000000003</v>
      </c>
      <c r="AD1263" s="6">
        <f>$O$1263*$X$1263</f>
        <v>251.63136000000003</v>
      </c>
      <c r="AE1263" s="6">
        <f>$K$1263*$Y$1263</f>
        <v>0</v>
      </c>
      <c r="AF1263" s="6">
        <f ca="1">$M$1263*$Z$1263</f>
        <v>477.02038332731166</v>
      </c>
      <c r="AG1263" s="6">
        <f>$O$1263*$AA$1263</f>
        <v>253.40231962765372</v>
      </c>
    </row>
    <row r="1264" spans="1:33" ht="11.25" customHeight="1" x14ac:dyDescent="0.25">
      <c r="A1264" s="4" t="s">
        <v>28</v>
      </c>
      <c r="B1264" s="4" t="s">
        <v>22</v>
      </c>
      <c r="C1264" s="4" t="s">
        <v>33</v>
      </c>
      <c r="D1264" s="4" t="s">
        <v>24</v>
      </c>
      <c r="E1264" s="4" t="s">
        <v>24</v>
      </c>
      <c r="F1264" s="4" t="s">
        <v>25</v>
      </c>
      <c r="G1264" s="4" t="s">
        <v>25</v>
      </c>
      <c r="H1264" s="4" t="s">
        <v>36</v>
      </c>
      <c r="I1264" s="5">
        <v>44562</v>
      </c>
      <c r="J1264" s="6">
        <v>0</v>
      </c>
      <c r="K1264" s="6">
        <v>0</v>
      </c>
      <c r="L1264" s="6">
        <v>0.13200000000000001</v>
      </c>
      <c r="M1264" s="6">
        <v>0.13200000000000001</v>
      </c>
      <c r="N1264" s="6">
        <v>0.13200000000000001</v>
      </c>
      <c r="O1264" s="6">
        <v>0.13200000000000001</v>
      </c>
      <c r="P1264" s="6">
        <v>0</v>
      </c>
      <c r="Q1264" s="4" t="s">
        <v>26</v>
      </c>
      <c r="R1264" s="4">
        <v>0</v>
      </c>
      <c r="S1264" s="6">
        <v>0</v>
      </c>
      <c r="T1264" s="6">
        <v>39</v>
      </c>
      <c r="U1264" s="6">
        <v>82</v>
      </c>
      <c r="V1264" s="6">
        <f>IF(ISERROR(VLOOKUP($S$1264,'TAR FIN'!$A$1:$O$116,15,0)),0,VLOOKUP($S$1264,'TAR FIN'!$A$1:$O$116,15,0))</f>
        <v>0</v>
      </c>
      <c r="W1264" s="6">
        <f>IF(ISERROR(VLOOKUP($T$1264,'TAR FIN'!$A$1:$O$116,15,0)),0,VLOOKUP($T$1264,'TAR FIN'!$A$1:$O$116,15,0))</f>
        <v>474.91</v>
      </c>
      <c r="X1264" s="6">
        <f>IF(ISERROR(VLOOKUP($U$1264,'TAR FIN'!$A$1:$O$116,15,0)),0,VLOOKUP($U$1264,'TAR FIN'!$A$1:$O$116,15,0))</f>
        <v>311.04000000000002</v>
      </c>
      <c r="Y1264" s="6"/>
      <c r="Z1264" s="6">
        <f ca="1">('TUSD BE'!$AM$41+'TUSD BF'!$AM$41+'TUSD CVA'!$AM$41)*1</f>
        <v>589.64200658505763</v>
      </c>
      <c r="AA1264" s="6">
        <f>('TE BE'!$AB$12+'TE BF'!$AB$12+'TE CVA'!$AB$12)*1</f>
        <v>313.22907246928764</v>
      </c>
      <c r="AB1264" s="6">
        <f>$K$1264*$V$1264</f>
        <v>0</v>
      </c>
      <c r="AC1264" s="6">
        <f>$M$1264*$W$1264</f>
        <v>62.688120000000005</v>
      </c>
      <c r="AD1264" s="6">
        <f>$O$1264*$X$1264</f>
        <v>41.057280000000006</v>
      </c>
      <c r="AE1264" s="6">
        <f>$K$1264*$Y$1264</f>
        <v>0</v>
      </c>
      <c r="AF1264" s="6">
        <f ca="1">$M$1264*$Z$1264</f>
        <v>77.832744869227611</v>
      </c>
      <c r="AG1264" s="6">
        <f>$O$1264*$AA$1264</f>
        <v>41.34623756594597</v>
      </c>
    </row>
    <row r="1265" spans="1:33" ht="11.25" customHeight="1" x14ac:dyDescent="0.25">
      <c r="A1265" s="4" t="s">
        <v>21</v>
      </c>
      <c r="B1265" s="4" t="s">
        <v>22</v>
      </c>
      <c r="C1265" s="4" t="s">
        <v>33</v>
      </c>
      <c r="D1265" s="4" t="s">
        <v>24</v>
      </c>
      <c r="E1265" s="4" t="s">
        <v>24</v>
      </c>
      <c r="F1265" s="4" t="s">
        <v>25</v>
      </c>
      <c r="G1265" s="4" t="s">
        <v>25</v>
      </c>
      <c r="H1265" s="4" t="s">
        <v>36</v>
      </c>
      <c r="I1265" s="5">
        <v>44593</v>
      </c>
      <c r="J1265" s="6">
        <v>0</v>
      </c>
      <c r="K1265" s="6">
        <v>0</v>
      </c>
      <c r="L1265" s="6">
        <v>0.79900000000000004</v>
      </c>
      <c r="M1265" s="6">
        <v>0.79900000000000004</v>
      </c>
      <c r="N1265" s="6">
        <v>0.79900000000000004</v>
      </c>
      <c r="O1265" s="6">
        <v>0.79900000000000004</v>
      </c>
      <c r="P1265" s="6">
        <v>0</v>
      </c>
      <c r="Q1265" s="4" t="s">
        <v>26</v>
      </c>
      <c r="R1265" s="4">
        <v>0</v>
      </c>
      <c r="S1265" s="6">
        <v>0</v>
      </c>
      <c r="T1265" s="6">
        <v>39</v>
      </c>
      <c r="U1265" s="6">
        <v>82</v>
      </c>
      <c r="V1265" s="6">
        <f>IF(ISERROR(VLOOKUP($S$1265,'TAR FIN'!$A$1:$O$116,15,0)),0,VLOOKUP($S$1265,'TAR FIN'!$A$1:$O$116,15,0))</f>
        <v>0</v>
      </c>
      <c r="W1265" s="6">
        <f>IF(ISERROR(VLOOKUP($T$1265,'TAR FIN'!$A$1:$O$116,15,0)),0,VLOOKUP($T$1265,'TAR FIN'!$A$1:$O$116,15,0))</f>
        <v>474.91</v>
      </c>
      <c r="X1265" s="6">
        <f>IF(ISERROR(VLOOKUP($U$1265,'TAR FIN'!$A$1:$O$116,15,0)),0,VLOOKUP($U$1265,'TAR FIN'!$A$1:$O$116,15,0))</f>
        <v>311.04000000000002</v>
      </c>
      <c r="Y1265" s="6"/>
      <c r="Z1265" s="6">
        <f ca="1">('TUSD BE'!$AM$41+'TUSD BF'!$AM$41+'TUSD CVA'!$AM$41)*1</f>
        <v>589.64200658505763</v>
      </c>
      <c r="AA1265" s="6">
        <f>('TE BE'!$AB$12+'TE BF'!$AB$12+'TE CVA'!$AB$12)*1</f>
        <v>313.22907246928764</v>
      </c>
      <c r="AB1265" s="6">
        <f>$K$1265*$V$1265</f>
        <v>0</v>
      </c>
      <c r="AC1265" s="6">
        <f>$M$1265*$W$1265</f>
        <v>379.45309000000003</v>
      </c>
      <c r="AD1265" s="6">
        <f>$O$1265*$X$1265</f>
        <v>248.52096000000003</v>
      </c>
      <c r="AE1265" s="6">
        <f>$K$1265*$Y$1265</f>
        <v>0</v>
      </c>
      <c r="AF1265" s="6">
        <f ca="1">$M$1265*$Z$1265</f>
        <v>471.12396326146109</v>
      </c>
      <c r="AG1265" s="6">
        <f>$O$1265*$AA$1265</f>
        <v>250.27002890296083</v>
      </c>
    </row>
    <row r="1266" spans="1:33" ht="11.25" customHeight="1" x14ac:dyDescent="0.25">
      <c r="A1266" s="4" t="s">
        <v>28</v>
      </c>
      <c r="B1266" s="4" t="s">
        <v>22</v>
      </c>
      <c r="C1266" s="4" t="s">
        <v>33</v>
      </c>
      <c r="D1266" s="4" t="s">
        <v>24</v>
      </c>
      <c r="E1266" s="4" t="s">
        <v>24</v>
      </c>
      <c r="F1266" s="4" t="s">
        <v>25</v>
      </c>
      <c r="G1266" s="4" t="s">
        <v>25</v>
      </c>
      <c r="H1266" s="4" t="s">
        <v>36</v>
      </c>
      <c r="I1266" s="5">
        <v>44593</v>
      </c>
      <c r="J1266" s="6">
        <v>0</v>
      </c>
      <c r="K1266" s="6">
        <v>0</v>
      </c>
      <c r="L1266" s="6">
        <v>0.188</v>
      </c>
      <c r="M1266" s="6">
        <v>0.188</v>
      </c>
      <c r="N1266" s="6">
        <v>0.188</v>
      </c>
      <c r="O1266" s="6">
        <v>0.188</v>
      </c>
      <c r="P1266" s="6">
        <v>0</v>
      </c>
      <c r="Q1266" s="4" t="s">
        <v>26</v>
      </c>
      <c r="R1266" s="4">
        <v>0</v>
      </c>
      <c r="S1266" s="6">
        <v>0</v>
      </c>
      <c r="T1266" s="6">
        <v>39</v>
      </c>
      <c r="U1266" s="6">
        <v>82</v>
      </c>
      <c r="V1266" s="6">
        <f>IF(ISERROR(VLOOKUP($S$1266,'TAR FIN'!$A$1:$O$116,15,0)),0,VLOOKUP($S$1266,'TAR FIN'!$A$1:$O$116,15,0))</f>
        <v>0</v>
      </c>
      <c r="W1266" s="6">
        <f>IF(ISERROR(VLOOKUP($T$1266,'TAR FIN'!$A$1:$O$116,15,0)),0,VLOOKUP($T$1266,'TAR FIN'!$A$1:$O$116,15,0))</f>
        <v>474.91</v>
      </c>
      <c r="X1266" s="6">
        <f>IF(ISERROR(VLOOKUP($U$1266,'TAR FIN'!$A$1:$O$116,15,0)),0,VLOOKUP($U$1266,'TAR FIN'!$A$1:$O$116,15,0))</f>
        <v>311.04000000000002</v>
      </c>
      <c r="Y1266" s="6"/>
      <c r="Z1266" s="6">
        <f ca="1">('TUSD BE'!$AM$41+'TUSD BF'!$AM$41+'TUSD CVA'!$AM$41)*1</f>
        <v>589.64200658505763</v>
      </c>
      <c r="AA1266" s="6">
        <f>('TE BE'!$AB$12+'TE BF'!$AB$12+'TE CVA'!$AB$12)*1</f>
        <v>313.22907246928764</v>
      </c>
      <c r="AB1266" s="6">
        <f>$K$1266*$V$1266</f>
        <v>0</v>
      </c>
      <c r="AC1266" s="6">
        <f>$M$1266*$W$1266</f>
        <v>89.283079999999998</v>
      </c>
      <c r="AD1266" s="6">
        <f>$O$1266*$X$1266</f>
        <v>58.475520000000003</v>
      </c>
      <c r="AE1266" s="6">
        <f>$K$1266*$Y$1266</f>
        <v>0</v>
      </c>
      <c r="AF1266" s="6">
        <f ca="1">$M$1266*$Z$1266</f>
        <v>110.85269723799084</v>
      </c>
      <c r="AG1266" s="6">
        <f>$O$1266*$AA$1266</f>
        <v>58.887065624226075</v>
      </c>
    </row>
    <row r="1267" spans="1:33" ht="11.25" customHeight="1" x14ac:dyDescent="0.25">
      <c r="A1267" s="4" t="s">
        <v>28</v>
      </c>
      <c r="B1267" s="4" t="s">
        <v>22</v>
      </c>
      <c r="C1267" s="4" t="s">
        <v>33</v>
      </c>
      <c r="D1267" s="4" t="s">
        <v>24</v>
      </c>
      <c r="E1267" s="4" t="s">
        <v>24</v>
      </c>
      <c r="F1267" s="4" t="s">
        <v>25</v>
      </c>
      <c r="G1267" s="4" t="s">
        <v>25</v>
      </c>
      <c r="H1267" s="4" t="s">
        <v>36</v>
      </c>
      <c r="I1267" s="5">
        <v>44593</v>
      </c>
      <c r="J1267" s="6">
        <v>0</v>
      </c>
      <c r="K1267" s="6">
        <v>0</v>
      </c>
      <c r="L1267" s="6">
        <v>-1.7999999999999999E-2</v>
      </c>
      <c r="M1267" s="6">
        <v>-1.7999999999999999E-2</v>
      </c>
      <c r="N1267" s="6">
        <v>-1.7999999999999999E-2</v>
      </c>
      <c r="O1267" s="6">
        <v>-1.7999999999999999E-2</v>
      </c>
      <c r="P1267" s="6">
        <v>0</v>
      </c>
      <c r="Q1267" s="4" t="s">
        <v>26</v>
      </c>
      <c r="R1267" s="4">
        <v>0</v>
      </c>
      <c r="S1267" s="6">
        <v>0</v>
      </c>
      <c r="T1267" s="6">
        <v>39</v>
      </c>
      <c r="U1267" s="6">
        <v>82</v>
      </c>
      <c r="V1267" s="6">
        <f>IF(ISERROR(VLOOKUP($S$1267,'TAR FIN'!$A$1:$O$116,15,0)),0,VLOOKUP($S$1267,'TAR FIN'!$A$1:$O$116,15,0))</f>
        <v>0</v>
      </c>
      <c r="W1267" s="6">
        <f>IF(ISERROR(VLOOKUP($T$1267,'TAR FIN'!$A$1:$O$116,15,0)),0,VLOOKUP($T$1267,'TAR FIN'!$A$1:$O$116,15,0))</f>
        <v>474.91</v>
      </c>
      <c r="X1267" s="6">
        <f>IF(ISERROR(VLOOKUP($U$1267,'TAR FIN'!$A$1:$O$116,15,0)),0,VLOOKUP($U$1267,'TAR FIN'!$A$1:$O$116,15,0))</f>
        <v>311.04000000000002</v>
      </c>
      <c r="Y1267" s="6"/>
      <c r="Z1267" s="6">
        <f ca="1">('TUSD BE'!$AM$41+'TUSD BF'!$AM$41+'TUSD CVA'!$AM$41)*1</f>
        <v>589.64200658505763</v>
      </c>
      <c r="AA1267" s="6">
        <f>('TE BE'!$AB$12+'TE BF'!$AB$12+'TE CVA'!$AB$12)*1</f>
        <v>313.22907246928764</v>
      </c>
      <c r="AB1267" s="6">
        <f>$K$1267*$V$1267</f>
        <v>0</v>
      </c>
      <c r="AC1267" s="6">
        <f>$M$1267*$W$1267</f>
        <v>-8.5483799999999999</v>
      </c>
      <c r="AD1267" s="6">
        <f>$O$1267*$X$1267</f>
        <v>-5.5987200000000001</v>
      </c>
      <c r="AE1267" s="6">
        <f>$K$1267*$Y$1267</f>
        <v>0</v>
      </c>
      <c r="AF1267" s="6">
        <f ca="1">$M$1267*$Z$1267</f>
        <v>-10.613556118531037</v>
      </c>
      <c r="AG1267" s="6">
        <f>$O$1267*$AA$1267</f>
        <v>-5.638123304447177</v>
      </c>
    </row>
    <row r="1268" spans="1:33" ht="11.25" customHeight="1" x14ac:dyDescent="0.25">
      <c r="A1268" s="4" t="s">
        <v>21</v>
      </c>
      <c r="B1268" s="4" t="s">
        <v>22</v>
      </c>
      <c r="C1268" s="4" t="s">
        <v>33</v>
      </c>
      <c r="D1268" s="4" t="s">
        <v>24</v>
      </c>
      <c r="E1268" s="4" t="s">
        <v>24</v>
      </c>
      <c r="F1268" s="4" t="s">
        <v>25</v>
      </c>
      <c r="G1268" s="4" t="s">
        <v>25</v>
      </c>
      <c r="H1268" s="4" t="s">
        <v>36</v>
      </c>
      <c r="I1268" s="5">
        <v>44621</v>
      </c>
      <c r="J1268" s="6">
        <v>0</v>
      </c>
      <c r="K1268" s="6">
        <v>0</v>
      </c>
      <c r="L1268" s="6">
        <v>0.85099999999999998</v>
      </c>
      <c r="M1268" s="6">
        <v>0.85099999999999998</v>
      </c>
      <c r="N1268" s="6">
        <v>0.85099999999999998</v>
      </c>
      <c r="O1268" s="6">
        <v>0.85099999999999998</v>
      </c>
      <c r="P1268" s="6">
        <v>0</v>
      </c>
      <c r="Q1268" s="4" t="s">
        <v>26</v>
      </c>
      <c r="R1268" s="4">
        <v>0</v>
      </c>
      <c r="S1268" s="6">
        <v>0</v>
      </c>
      <c r="T1268" s="6">
        <v>39</v>
      </c>
      <c r="U1268" s="6">
        <v>82</v>
      </c>
      <c r="V1268" s="6">
        <f>IF(ISERROR(VLOOKUP($S$1268,'TAR FIN'!$A$1:$O$116,15,0)),0,VLOOKUP($S$1268,'TAR FIN'!$A$1:$O$116,15,0))</f>
        <v>0</v>
      </c>
      <c r="W1268" s="6">
        <f>IF(ISERROR(VLOOKUP($T$1268,'TAR FIN'!$A$1:$O$116,15,0)),0,VLOOKUP($T$1268,'TAR FIN'!$A$1:$O$116,15,0))</f>
        <v>474.91</v>
      </c>
      <c r="X1268" s="6">
        <f>IF(ISERROR(VLOOKUP($U$1268,'TAR FIN'!$A$1:$O$116,15,0)),0,VLOOKUP($U$1268,'TAR FIN'!$A$1:$O$116,15,0))</f>
        <v>311.04000000000002</v>
      </c>
      <c r="Y1268" s="6"/>
      <c r="Z1268" s="6">
        <f ca="1">('TUSD BE'!$AM$41+'TUSD BF'!$AM$41+'TUSD CVA'!$AM$41)*1</f>
        <v>589.64200658505763</v>
      </c>
      <c r="AA1268" s="6">
        <f>('TE BE'!$AB$12+'TE BF'!$AB$12+'TE CVA'!$AB$12)*1</f>
        <v>313.22907246928764</v>
      </c>
      <c r="AB1268" s="6">
        <f>$K$1268*$V$1268</f>
        <v>0</v>
      </c>
      <c r="AC1268" s="6">
        <f>$M$1268*$W$1268</f>
        <v>404.14841000000001</v>
      </c>
      <c r="AD1268" s="6">
        <f>$O$1268*$X$1268</f>
        <v>264.69504000000001</v>
      </c>
      <c r="AE1268" s="6">
        <f>$K$1268*$Y$1268</f>
        <v>0</v>
      </c>
      <c r="AF1268" s="6">
        <f ca="1">$M$1268*$Z$1268</f>
        <v>501.78534760388402</v>
      </c>
      <c r="AG1268" s="6">
        <f>$O$1268*$AA$1268</f>
        <v>266.55794067136378</v>
      </c>
    </row>
    <row r="1269" spans="1:33" ht="11.25" customHeight="1" x14ac:dyDescent="0.25">
      <c r="A1269" s="4" t="s">
        <v>28</v>
      </c>
      <c r="B1269" s="4" t="s">
        <v>22</v>
      </c>
      <c r="C1269" s="4" t="s">
        <v>33</v>
      </c>
      <c r="D1269" s="4" t="s">
        <v>24</v>
      </c>
      <c r="E1269" s="4" t="s">
        <v>24</v>
      </c>
      <c r="F1269" s="4" t="s">
        <v>25</v>
      </c>
      <c r="G1269" s="4" t="s">
        <v>25</v>
      </c>
      <c r="H1269" s="4" t="s">
        <v>36</v>
      </c>
      <c r="I1269" s="5">
        <v>44621</v>
      </c>
      <c r="J1269" s="6">
        <v>0</v>
      </c>
      <c r="K1269" s="6">
        <v>0</v>
      </c>
      <c r="L1269" s="6">
        <v>0.11</v>
      </c>
      <c r="M1269" s="6">
        <v>0.11</v>
      </c>
      <c r="N1269" s="6">
        <v>0.11</v>
      </c>
      <c r="O1269" s="6">
        <v>0.11</v>
      </c>
      <c r="P1269" s="6">
        <v>0</v>
      </c>
      <c r="Q1269" s="4" t="s">
        <v>26</v>
      </c>
      <c r="R1269" s="4">
        <v>0</v>
      </c>
      <c r="S1269" s="6">
        <v>0</v>
      </c>
      <c r="T1269" s="6">
        <v>39</v>
      </c>
      <c r="U1269" s="6">
        <v>82</v>
      </c>
      <c r="V1269" s="6">
        <f>IF(ISERROR(VLOOKUP($S$1269,'TAR FIN'!$A$1:$O$116,15,0)),0,VLOOKUP($S$1269,'TAR FIN'!$A$1:$O$116,15,0))</f>
        <v>0</v>
      </c>
      <c r="W1269" s="6">
        <f>IF(ISERROR(VLOOKUP($T$1269,'TAR FIN'!$A$1:$O$116,15,0)),0,VLOOKUP($T$1269,'TAR FIN'!$A$1:$O$116,15,0))</f>
        <v>474.91</v>
      </c>
      <c r="X1269" s="6">
        <f>IF(ISERROR(VLOOKUP($U$1269,'TAR FIN'!$A$1:$O$116,15,0)),0,VLOOKUP($U$1269,'TAR FIN'!$A$1:$O$116,15,0))</f>
        <v>311.04000000000002</v>
      </c>
      <c r="Y1269" s="6"/>
      <c r="Z1269" s="6">
        <f ca="1">('TUSD BE'!$AM$41+'TUSD BF'!$AM$41+'TUSD CVA'!$AM$41)*1</f>
        <v>589.64200658505763</v>
      </c>
      <c r="AA1269" s="6">
        <f>('TE BE'!$AB$12+'TE BF'!$AB$12+'TE CVA'!$AB$12)*1</f>
        <v>313.22907246928764</v>
      </c>
      <c r="AB1269" s="6">
        <f>$K$1269*$V$1269</f>
        <v>0</v>
      </c>
      <c r="AC1269" s="6">
        <f>$M$1269*$W$1269</f>
        <v>52.240100000000005</v>
      </c>
      <c r="AD1269" s="6">
        <f>$O$1269*$X$1269</f>
        <v>34.214400000000005</v>
      </c>
      <c r="AE1269" s="6">
        <f>$K$1269*$Y$1269</f>
        <v>0</v>
      </c>
      <c r="AF1269" s="6">
        <f ca="1">$M$1269*$Z$1269</f>
        <v>64.860620724356338</v>
      </c>
      <c r="AG1269" s="6">
        <f>$O$1269*$AA$1269</f>
        <v>34.455197971621644</v>
      </c>
    </row>
    <row r="1270" spans="1:33" ht="11.25" customHeight="1" x14ac:dyDescent="0.25">
      <c r="A1270" s="4" t="s">
        <v>21</v>
      </c>
      <c r="B1270" s="4" t="s">
        <v>22</v>
      </c>
      <c r="C1270" s="4" t="s">
        <v>33</v>
      </c>
      <c r="D1270" s="4" t="s">
        <v>24</v>
      </c>
      <c r="E1270" s="4" t="s">
        <v>24</v>
      </c>
      <c r="F1270" s="4" t="s">
        <v>25</v>
      </c>
      <c r="G1270" s="4" t="s">
        <v>25</v>
      </c>
      <c r="H1270" s="4" t="s">
        <v>36</v>
      </c>
      <c r="I1270" s="5">
        <v>44652</v>
      </c>
      <c r="J1270" s="6">
        <v>0</v>
      </c>
      <c r="K1270" s="6">
        <v>0</v>
      </c>
      <c r="L1270" s="6">
        <v>0.70099999999999996</v>
      </c>
      <c r="M1270" s="6">
        <v>0.70099999999999996</v>
      </c>
      <c r="N1270" s="6">
        <v>0.70099999999999996</v>
      </c>
      <c r="O1270" s="6">
        <v>0.70099999999999996</v>
      </c>
      <c r="P1270" s="6">
        <v>0</v>
      </c>
      <c r="Q1270" s="4" t="s">
        <v>26</v>
      </c>
      <c r="R1270" s="4">
        <v>0</v>
      </c>
      <c r="S1270" s="6">
        <v>0</v>
      </c>
      <c r="T1270" s="6">
        <v>39</v>
      </c>
      <c r="U1270" s="6">
        <v>82</v>
      </c>
      <c r="V1270" s="6">
        <f>IF(ISERROR(VLOOKUP($S$1270,'TAR FIN'!$A$1:$O$116,15,0)),0,VLOOKUP($S$1270,'TAR FIN'!$A$1:$O$116,15,0))</f>
        <v>0</v>
      </c>
      <c r="W1270" s="6">
        <f>IF(ISERROR(VLOOKUP($T$1270,'TAR FIN'!$A$1:$O$116,15,0)),0,VLOOKUP($T$1270,'TAR FIN'!$A$1:$O$116,15,0))</f>
        <v>474.91</v>
      </c>
      <c r="X1270" s="6">
        <f>IF(ISERROR(VLOOKUP($U$1270,'TAR FIN'!$A$1:$O$116,15,0)),0,VLOOKUP($U$1270,'TAR FIN'!$A$1:$O$116,15,0))</f>
        <v>311.04000000000002</v>
      </c>
      <c r="Y1270" s="6"/>
      <c r="Z1270" s="6">
        <f ca="1">('TUSD BE'!$AM$41+'TUSD BF'!$AM$41+'TUSD CVA'!$AM$41)*1</f>
        <v>589.64200658505763</v>
      </c>
      <c r="AA1270" s="6">
        <f>('TE BE'!$AB$12+'TE BF'!$AB$12+'TE CVA'!$AB$12)*1</f>
        <v>313.22907246928764</v>
      </c>
      <c r="AB1270" s="6">
        <f>$K$1270*$V$1270</f>
        <v>0</v>
      </c>
      <c r="AC1270" s="6">
        <f>$M$1270*$W$1270</f>
        <v>332.91190999999998</v>
      </c>
      <c r="AD1270" s="6">
        <f>$O$1270*$X$1270</f>
        <v>218.03904</v>
      </c>
      <c r="AE1270" s="6">
        <f>$K$1270*$Y$1270</f>
        <v>0</v>
      </c>
      <c r="AF1270" s="6">
        <f ca="1">$M$1270*$Z$1270</f>
        <v>413.33904661612536</v>
      </c>
      <c r="AG1270" s="6">
        <f>$O$1270*$AA$1270</f>
        <v>219.57357980097063</v>
      </c>
    </row>
    <row r="1271" spans="1:33" ht="11.25" customHeight="1" x14ac:dyDescent="0.25">
      <c r="A1271" s="4" t="s">
        <v>28</v>
      </c>
      <c r="B1271" s="4" t="s">
        <v>22</v>
      </c>
      <c r="C1271" s="4" t="s">
        <v>33</v>
      </c>
      <c r="D1271" s="4" t="s">
        <v>24</v>
      </c>
      <c r="E1271" s="4" t="s">
        <v>24</v>
      </c>
      <c r="F1271" s="4" t="s">
        <v>25</v>
      </c>
      <c r="G1271" s="4" t="s">
        <v>25</v>
      </c>
      <c r="H1271" s="4" t="s">
        <v>36</v>
      </c>
      <c r="I1271" s="5">
        <v>44652</v>
      </c>
      <c r="J1271" s="6">
        <v>0</v>
      </c>
      <c r="K1271" s="6">
        <v>0</v>
      </c>
      <c r="L1271" s="6">
        <v>0.109</v>
      </c>
      <c r="M1271" s="6">
        <v>0.109</v>
      </c>
      <c r="N1271" s="6">
        <v>0.109</v>
      </c>
      <c r="O1271" s="6">
        <v>0.109</v>
      </c>
      <c r="P1271" s="6">
        <v>0</v>
      </c>
      <c r="Q1271" s="4" t="s">
        <v>26</v>
      </c>
      <c r="R1271" s="4">
        <v>0</v>
      </c>
      <c r="S1271" s="6">
        <v>0</v>
      </c>
      <c r="T1271" s="6">
        <v>39</v>
      </c>
      <c r="U1271" s="6">
        <v>82</v>
      </c>
      <c r="V1271" s="6">
        <f>IF(ISERROR(VLOOKUP($S$1271,'TAR FIN'!$A$1:$O$116,15,0)),0,VLOOKUP($S$1271,'TAR FIN'!$A$1:$O$116,15,0))</f>
        <v>0</v>
      </c>
      <c r="W1271" s="6">
        <f>IF(ISERROR(VLOOKUP($T$1271,'TAR FIN'!$A$1:$O$116,15,0)),0,VLOOKUP($T$1271,'TAR FIN'!$A$1:$O$116,15,0))</f>
        <v>474.91</v>
      </c>
      <c r="X1271" s="6">
        <f>IF(ISERROR(VLOOKUP($U$1271,'TAR FIN'!$A$1:$O$116,15,0)),0,VLOOKUP($U$1271,'TAR FIN'!$A$1:$O$116,15,0))</f>
        <v>311.04000000000002</v>
      </c>
      <c r="Y1271" s="6"/>
      <c r="Z1271" s="6">
        <f ca="1">('TUSD BE'!$AM$41+'TUSD BF'!$AM$41+'TUSD CVA'!$AM$41)*1</f>
        <v>589.64200658505763</v>
      </c>
      <c r="AA1271" s="6">
        <f>('TE BE'!$AB$12+'TE BF'!$AB$12+'TE CVA'!$AB$12)*1</f>
        <v>313.22907246928764</v>
      </c>
      <c r="AB1271" s="6">
        <f>$K$1271*$V$1271</f>
        <v>0</v>
      </c>
      <c r="AC1271" s="6">
        <f>$M$1271*$W$1271</f>
        <v>51.765190000000004</v>
      </c>
      <c r="AD1271" s="6">
        <f>$O$1271*$X$1271</f>
        <v>33.903359999999999</v>
      </c>
      <c r="AE1271" s="6">
        <f>$K$1271*$Y$1271</f>
        <v>0</v>
      </c>
      <c r="AF1271" s="6">
        <f ca="1">$M$1271*$Z$1271</f>
        <v>64.270978717771285</v>
      </c>
      <c r="AG1271" s="6">
        <f>$O$1271*$AA$1271</f>
        <v>34.141968899152353</v>
      </c>
    </row>
    <row r="1272" spans="1:33" ht="11.25" customHeight="1" x14ac:dyDescent="0.25">
      <c r="A1272" s="4" t="s">
        <v>58</v>
      </c>
      <c r="B1272" s="4" t="s">
        <v>22</v>
      </c>
      <c r="C1272" s="4" t="s">
        <v>33</v>
      </c>
      <c r="D1272" s="4" t="s">
        <v>24</v>
      </c>
      <c r="E1272" s="4" t="s">
        <v>24</v>
      </c>
      <c r="F1272" s="4" t="s">
        <v>25</v>
      </c>
      <c r="G1272" s="4" t="s">
        <v>25</v>
      </c>
      <c r="H1272" s="4" t="s">
        <v>36</v>
      </c>
      <c r="I1272" s="5">
        <v>44682</v>
      </c>
      <c r="J1272" s="6">
        <v>0</v>
      </c>
      <c r="K1272" s="6">
        <v>0</v>
      </c>
      <c r="L1272" s="6">
        <v>0.70099999999999996</v>
      </c>
      <c r="M1272" s="6">
        <v>0.70099999999999996</v>
      </c>
      <c r="N1272" s="6">
        <v>0.70099999999999996</v>
      </c>
      <c r="O1272" s="6">
        <v>0.70099999999999996</v>
      </c>
      <c r="P1272" s="6">
        <v>0</v>
      </c>
      <c r="Q1272" s="4" t="s">
        <v>26</v>
      </c>
      <c r="R1272" s="4">
        <v>0</v>
      </c>
      <c r="S1272" s="6">
        <v>0</v>
      </c>
      <c r="T1272" s="6">
        <v>39</v>
      </c>
      <c r="U1272" s="6">
        <v>82</v>
      </c>
      <c r="V1272" s="6">
        <f>IF(ISERROR(VLOOKUP($S$1272,'TAR FIN'!$A$1:$O$116,15,0)),0,VLOOKUP($S$1272,'TAR FIN'!$A$1:$O$116,15,0))</f>
        <v>0</v>
      </c>
      <c r="W1272" s="6">
        <f>IF(ISERROR(VLOOKUP($T$1272,'TAR FIN'!$A$1:$O$116,15,0)),0,VLOOKUP($T$1272,'TAR FIN'!$A$1:$O$116,15,0))</f>
        <v>474.91</v>
      </c>
      <c r="X1272" s="6">
        <f>IF(ISERROR(VLOOKUP($U$1272,'TAR FIN'!$A$1:$O$116,15,0)),0,VLOOKUP($U$1272,'TAR FIN'!$A$1:$O$116,15,0))</f>
        <v>311.04000000000002</v>
      </c>
      <c r="Y1272" s="6"/>
      <c r="Z1272" s="6">
        <f ca="1">('TUSD BE'!$AM$41+'TUSD BF'!$AM$41+'TUSD CVA'!$AM$41)*1</f>
        <v>589.64200658505763</v>
      </c>
      <c r="AA1272" s="6">
        <f>('TE BE'!$AB$12+'TE BF'!$AB$12+'TE CVA'!$AB$12)*1</f>
        <v>313.22907246928764</v>
      </c>
      <c r="AB1272" s="6">
        <f>$K$1272*$V$1272</f>
        <v>0</v>
      </c>
      <c r="AC1272" s="6">
        <f>$M$1272*$W$1272</f>
        <v>332.91190999999998</v>
      </c>
      <c r="AD1272" s="6">
        <f>$O$1272*$X$1272</f>
        <v>218.03904</v>
      </c>
      <c r="AE1272" s="6">
        <f>$K$1272*$Y$1272</f>
        <v>0</v>
      </c>
      <c r="AF1272" s="6">
        <f ca="1">$M$1272*$Z$1272</f>
        <v>413.33904661612536</v>
      </c>
      <c r="AG1272" s="6">
        <f>$O$1272*$AA$1272</f>
        <v>219.57357980097063</v>
      </c>
    </row>
    <row r="1273" spans="1:33" ht="11.25" customHeight="1" x14ac:dyDescent="0.25">
      <c r="A1273" s="4" t="s">
        <v>58</v>
      </c>
      <c r="B1273" s="4" t="s">
        <v>22</v>
      </c>
      <c r="C1273" s="4" t="s">
        <v>33</v>
      </c>
      <c r="D1273" s="4" t="s">
        <v>24</v>
      </c>
      <c r="E1273" s="4" t="s">
        <v>24</v>
      </c>
      <c r="F1273" s="4" t="s">
        <v>25</v>
      </c>
      <c r="G1273" s="4" t="s">
        <v>25</v>
      </c>
      <c r="H1273" s="4" t="s">
        <v>36</v>
      </c>
      <c r="I1273" s="5">
        <v>44682</v>
      </c>
      <c r="J1273" s="6">
        <v>0</v>
      </c>
      <c r="K1273" s="6">
        <v>0</v>
      </c>
      <c r="L1273" s="6">
        <v>0.109</v>
      </c>
      <c r="M1273" s="6">
        <v>0.109</v>
      </c>
      <c r="N1273" s="6">
        <v>0.109</v>
      </c>
      <c r="O1273" s="6">
        <v>0.109</v>
      </c>
      <c r="P1273" s="6">
        <v>0</v>
      </c>
      <c r="Q1273" s="4" t="s">
        <v>26</v>
      </c>
      <c r="R1273" s="4">
        <v>0</v>
      </c>
      <c r="S1273" s="6">
        <v>0</v>
      </c>
      <c r="T1273" s="6">
        <v>39</v>
      </c>
      <c r="U1273" s="6">
        <v>82</v>
      </c>
      <c r="V1273" s="6">
        <f>IF(ISERROR(VLOOKUP($S$1273,'TAR FIN'!$A$1:$O$116,15,0)),0,VLOOKUP($S$1273,'TAR FIN'!$A$1:$O$116,15,0))</f>
        <v>0</v>
      </c>
      <c r="W1273" s="6">
        <f>IF(ISERROR(VLOOKUP($T$1273,'TAR FIN'!$A$1:$O$116,15,0)),0,VLOOKUP($T$1273,'TAR FIN'!$A$1:$O$116,15,0))</f>
        <v>474.91</v>
      </c>
      <c r="X1273" s="6">
        <f>IF(ISERROR(VLOOKUP($U$1273,'TAR FIN'!$A$1:$O$116,15,0)),0,VLOOKUP($U$1273,'TAR FIN'!$A$1:$O$116,15,0))</f>
        <v>311.04000000000002</v>
      </c>
      <c r="Y1273" s="6"/>
      <c r="Z1273" s="6">
        <f ca="1">('TUSD BE'!$AM$41+'TUSD BF'!$AM$41+'TUSD CVA'!$AM$41)*1</f>
        <v>589.64200658505763</v>
      </c>
      <c r="AA1273" s="6">
        <f>('TE BE'!$AB$12+'TE BF'!$AB$12+'TE CVA'!$AB$12)*1</f>
        <v>313.22907246928764</v>
      </c>
      <c r="AB1273" s="6">
        <f>$K$1273*$V$1273</f>
        <v>0</v>
      </c>
      <c r="AC1273" s="6">
        <f>$M$1273*$W$1273</f>
        <v>51.765190000000004</v>
      </c>
      <c r="AD1273" s="6">
        <f>$O$1273*$X$1273</f>
        <v>33.903359999999999</v>
      </c>
      <c r="AE1273" s="6">
        <f>$K$1273*$Y$1273</f>
        <v>0</v>
      </c>
      <c r="AF1273" s="6">
        <f ca="1">$M$1273*$Z$1273</f>
        <v>64.270978717771285</v>
      </c>
      <c r="AG1273" s="6">
        <f>$O$1273*$AA$1273</f>
        <v>34.141968899152353</v>
      </c>
    </row>
    <row r="1274" spans="1:33" ht="11.25" customHeight="1" x14ac:dyDescent="0.25">
      <c r="A1274" s="4" t="s">
        <v>21</v>
      </c>
      <c r="B1274" s="4" t="s">
        <v>22</v>
      </c>
      <c r="C1274" s="4" t="s">
        <v>33</v>
      </c>
      <c r="D1274" s="4" t="s">
        <v>24</v>
      </c>
      <c r="E1274" s="4" t="s">
        <v>24</v>
      </c>
      <c r="F1274" s="4" t="s">
        <v>25</v>
      </c>
      <c r="G1274" s="4" t="s">
        <v>25</v>
      </c>
      <c r="H1274" s="4" t="s">
        <v>34</v>
      </c>
      <c r="I1274" s="5">
        <v>44348</v>
      </c>
      <c r="J1274" s="6">
        <v>0</v>
      </c>
      <c r="K1274" s="6">
        <v>0</v>
      </c>
      <c r="L1274" s="6">
        <v>1.4550000000000001</v>
      </c>
      <c r="M1274" s="6">
        <v>1.4550000000000001</v>
      </c>
      <c r="N1274" s="6">
        <v>1.4550000000000001</v>
      </c>
      <c r="O1274" s="6">
        <v>1.4550000000000001</v>
      </c>
      <c r="P1274" s="6">
        <v>0</v>
      </c>
      <c r="Q1274" s="4" t="s">
        <v>26</v>
      </c>
      <c r="R1274" s="4">
        <v>0</v>
      </c>
      <c r="S1274" s="6">
        <v>0</v>
      </c>
      <c r="T1274" s="6">
        <v>38</v>
      </c>
      <c r="U1274" s="6">
        <v>81</v>
      </c>
      <c r="V1274" s="6">
        <f>IF(ISERROR(VLOOKUP($S$1274,'TAR FIN'!$A$1:$O$116,15,0)),0,VLOOKUP($S$1274,'TAR FIN'!$A$1:$O$116,15,0))</f>
        <v>0</v>
      </c>
      <c r="W1274" s="6">
        <f>IF(ISERROR(VLOOKUP($T$1274,'TAR FIN'!$A$1:$O$116,15,0)),0,VLOOKUP($T$1274,'TAR FIN'!$A$1:$O$116,15,0))</f>
        <v>712.84</v>
      </c>
      <c r="X1274" s="6">
        <f>IF(ISERROR(VLOOKUP($U$1274,'TAR FIN'!$A$1:$O$116,15,0)),0,VLOOKUP($U$1274,'TAR FIN'!$A$1:$O$116,15,0))</f>
        <v>496.15</v>
      </c>
      <c r="Y1274" s="6"/>
      <c r="Z1274" s="6">
        <f ca="1">('TUSD BE'!$AM$40+'TUSD BF'!$AM$40+'TUSD CVA'!$AM$40)*1</f>
        <v>864.26680329675355</v>
      </c>
      <c r="AA1274" s="6">
        <f>('TE BE'!$AB$11+'TE BF'!$AB$11+'TE CVA'!$AB$11)*1</f>
        <v>510.04993331215127</v>
      </c>
      <c r="AB1274" s="6">
        <f>$K$1274*$V$1274</f>
        <v>0</v>
      </c>
      <c r="AC1274" s="6">
        <f>$M$1274*$W$1274</f>
        <v>1037.1822000000002</v>
      </c>
      <c r="AD1274" s="6">
        <f>$O$1274*$X$1274</f>
        <v>721.89824999999996</v>
      </c>
      <c r="AE1274" s="6">
        <f>$K$1274*$Y$1274</f>
        <v>0</v>
      </c>
      <c r="AF1274" s="6">
        <f ca="1">$M$1274*$Z$1274</f>
        <v>1257.5081987967765</v>
      </c>
      <c r="AG1274" s="6">
        <f>$O$1274*$AA$1274</f>
        <v>742.12265296918008</v>
      </c>
    </row>
    <row r="1275" spans="1:33" ht="11.25" customHeight="1" x14ac:dyDescent="0.25">
      <c r="A1275" s="4" t="s">
        <v>28</v>
      </c>
      <c r="B1275" s="4" t="s">
        <v>22</v>
      </c>
      <c r="C1275" s="4" t="s">
        <v>33</v>
      </c>
      <c r="D1275" s="4" t="s">
        <v>24</v>
      </c>
      <c r="E1275" s="4" t="s">
        <v>24</v>
      </c>
      <c r="F1275" s="4" t="s">
        <v>25</v>
      </c>
      <c r="G1275" s="4" t="s">
        <v>25</v>
      </c>
      <c r="H1275" s="4" t="s">
        <v>34</v>
      </c>
      <c r="I1275" s="5">
        <v>44348</v>
      </c>
      <c r="J1275" s="6">
        <v>0</v>
      </c>
      <c r="K1275" s="6">
        <v>0</v>
      </c>
      <c r="L1275" s="6">
        <v>0.20699999999999999</v>
      </c>
      <c r="M1275" s="6">
        <v>0.20699999999999999</v>
      </c>
      <c r="N1275" s="6">
        <v>0.20699999999999999</v>
      </c>
      <c r="O1275" s="6">
        <v>0.20699999999999999</v>
      </c>
      <c r="P1275" s="6">
        <v>0</v>
      </c>
      <c r="Q1275" s="4" t="s">
        <v>26</v>
      </c>
      <c r="R1275" s="4">
        <v>0</v>
      </c>
      <c r="S1275" s="6">
        <v>0</v>
      </c>
      <c r="T1275" s="6">
        <v>38</v>
      </c>
      <c r="U1275" s="6">
        <v>81</v>
      </c>
      <c r="V1275" s="6">
        <f>IF(ISERROR(VLOOKUP($S$1275,'TAR FIN'!$A$1:$O$116,15,0)),0,VLOOKUP($S$1275,'TAR FIN'!$A$1:$O$116,15,0))</f>
        <v>0</v>
      </c>
      <c r="W1275" s="6">
        <f>IF(ISERROR(VLOOKUP($T$1275,'TAR FIN'!$A$1:$O$116,15,0)),0,VLOOKUP($T$1275,'TAR FIN'!$A$1:$O$116,15,0))</f>
        <v>712.84</v>
      </c>
      <c r="X1275" s="6">
        <f>IF(ISERROR(VLOOKUP($U$1275,'TAR FIN'!$A$1:$O$116,15,0)),0,VLOOKUP($U$1275,'TAR FIN'!$A$1:$O$116,15,0))</f>
        <v>496.15</v>
      </c>
      <c r="Y1275" s="6"/>
      <c r="Z1275" s="6">
        <f ca="1">('TUSD BE'!$AM$40+'TUSD BF'!$AM$40+'TUSD CVA'!$AM$40)*1</f>
        <v>864.26680329675355</v>
      </c>
      <c r="AA1275" s="6">
        <f>('TE BE'!$AB$11+'TE BF'!$AB$11+'TE CVA'!$AB$11)*1</f>
        <v>510.04993331215127</v>
      </c>
      <c r="AB1275" s="6">
        <f>$K$1275*$V$1275</f>
        <v>0</v>
      </c>
      <c r="AC1275" s="6">
        <f>$M$1275*$W$1275</f>
        <v>147.55788000000001</v>
      </c>
      <c r="AD1275" s="6">
        <f>$O$1275*$X$1275</f>
        <v>102.70304999999999</v>
      </c>
      <c r="AE1275" s="6">
        <f>$K$1275*$Y$1275</f>
        <v>0</v>
      </c>
      <c r="AF1275" s="6">
        <f ca="1">$M$1275*$Z$1275</f>
        <v>178.90322828242799</v>
      </c>
      <c r="AG1275" s="6">
        <f>$O$1275*$AA$1275</f>
        <v>105.5803361956153</v>
      </c>
    </row>
    <row r="1276" spans="1:33" ht="11.25" customHeight="1" x14ac:dyDescent="0.25">
      <c r="A1276" s="4" t="s">
        <v>21</v>
      </c>
      <c r="B1276" s="4" t="s">
        <v>22</v>
      </c>
      <c r="C1276" s="4" t="s">
        <v>33</v>
      </c>
      <c r="D1276" s="4" t="s">
        <v>24</v>
      </c>
      <c r="E1276" s="4" t="s">
        <v>24</v>
      </c>
      <c r="F1276" s="4" t="s">
        <v>25</v>
      </c>
      <c r="G1276" s="4" t="s">
        <v>25</v>
      </c>
      <c r="H1276" s="4" t="s">
        <v>34</v>
      </c>
      <c r="I1276" s="5">
        <v>44378</v>
      </c>
      <c r="J1276" s="6">
        <v>0</v>
      </c>
      <c r="K1276" s="6">
        <v>0</v>
      </c>
      <c r="L1276" s="6">
        <v>1.3779999999999999</v>
      </c>
      <c r="M1276" s="6">
        <v>1.3779999999999999</v>
      </c>
      <c r="N1276" s="6">
        <v>1.3779999999999999</v>
      </c>
      <c r="O1276" s="6">
        <v>1.3779999999999999</v>
      </c>
      <c r="P1276" s="6">
        <v>0</v>
      </c>
      <c r="Q1276" s="4" t="s">
        <v>26</v>
      </c>
      <c r="R1276" s="4">
        <v>0</v>
      </c>
      <c r="S1276" s="6">
        <v>0</v>
      </c>
      <c r="T1276" s="6">
        <v>38</v>
      </c>
      <c r="U1276" s="6">
        <v>81</v>
      </c>
      <c r="V1276" s="6">
        <f>IF(ISERROR(VLOOKUP($S$1276,'TAR FIN'!$A$1:$O$116,15,0)),0,VLOOKUP($S$1276,'TAR FIN'!$A$1:$O$116,15,0))</f>
        <v>0</v>
      </c>
      <c r="W1276" s="6">
        <f>IF(ISERROR(VLOOKUP($T$1276,'TAR FIN'!$A$1:$O$116,15,0)),0,VLOOKUP($T$1276,'TAR FIN'!$A$1:$O$116,15,0))</f>
        <v>712.84</v>
      </c>
      <c r="X1276" s="6">
        <f>IF(ISERROR(VLOOKUP($U$1276,'TAR FIN'!$A$1:$O$116,15,0)),0,VLOOKUP($U$1276,'TAR FIN'!$A$1:$O$116,15,0))</f>
        <v>496.15</v>
      </c>
      <c r="Y1276" s="6"/>
      <c r="Z1276" s="6">
        <f ca="1">('TUSD BE'!$AM$40+'TUSD BF'!$AM$40+'TUSD CVA'!$AM$40)*1</f>
        <v>864.26680329675355</v>
      </c>
      <c r="AA1276" s="6">
        <f>('TE BE'!$AB$11+'TE BF'!$AB$11+'TE CVA'!$AB$11)*1</f>
        <v>510.04993331215127</v>
      </c>
      <c r="AB1276" s="6">
        <f>$K$1276*$V$1276</f>
        <v>0</v>
      </c>
      <c r="AC1276" s="6">
        <f>$M$1276*$W$1276</f>
        <v>982.29351999999994</v>
      </c>
      <c r="AD1276" s="6">
        <f>$O$1276*$X$1276</f>
        <v>683.6946999999999</v>
      </c>
      <c r="AE1276" s="6">
        <f>$K$1276*$Y$1276</f>
        <v>0</v>
      </c>
      <c r="AF1276" s="6">
        <f ca="1">$M$1276*$Z$1276</f>
        <v>1190.9596549429264</v>
      </c>
      <c r="AG1276" s="6">
        <f>$O$1276*$AA$1276</f>
        <v>702.84880810414438</v>
      </c>
    </row>
    <row r="1277" spans="1:33" ht="11.25" customHeight="1" x14ac:dyDescent="0.25">
      <c r="A1277" s="4" t="s">
        <v>28</v>
      </c>
      <c r="B1277" s="4" t="s">
        <v>22</v>
      </c>
      <c r="C1277" s="4" t="s">
        <v>33</v>
      </c>
      <c r="D1277" s="4" t="s">
        <v>24</v>
      </c>
      <c r="E1277" s="4" t="s">
        <v>24</v>
      </c>
      <c r="F1277" s="4" t="s">
        <v>25</v>
      </c>
      <c r="G1277" s="4" t="s">
        <v>25</v>
      </c>
      <c r="H1277" s="4" t="s">
        <v>34</v>
      </c>
      <c r="I1277" s="5">
        <v>44378</v>
      </c>
      <c r="J1277" s="6">
        <v>0</v>
      </c>
      <c r="K1277" s="6">
        <v>0</v>
      </c>
      <c r="L1277" s="6">
        <v>0.33500000000000002</v>
      </c>
      <c r="M1277" s="6">
        <v>0.33500000000000002</v>
      </c>
      <c r="N1277" s="6">
        <v>0.33500000000000002</v>
      </c>
      <c r="O1277" s="6">
        <v>0.33500000000000002</v>
      </c>
      <c r="P1277" s="6">
        <v>0</v>
      </c>
      <c r="Q1277" s="4" t="s">
        <v>26</v>
      </c>
      <c r="R1277" s="4">
        <v>0</v>
      </c>
      <c r="S1277" s="6">
        <v>0</v>
      </c>
      <c r="T1277" s="6">
        <v>38</v>
      </c>
      <c r="U1277" s="6">
        <v>81</v>
      </c>
      <c r="V1277" s="6">
        <f>IF(ISERROR(VLOOKUP($S$1277,'TAR FIN'!$A$1:$O$116,15,0)),0,VLOOKUP($S$1277,'TAR FIN'!$A$1:$O$116,15,0))</f>
        <v>0</v>
      </c>
      <c r="W1277" s="6">
        <f>IF(ISERROR(VLOOKUP($T$1277,'TAR FIN'!$A$1:$O$116,15,0)),0,VLOOKUP($T$1277,'TAR FIN'!$A$1:$O$116,15,0))</f>
        <v>712.84</v>
      </c>
      <c r="X1277" s="6">
        <f>IF(ISERROR(VLOOKUP($U$1277,'TAR FIN'!$A$1:$O$116,15,0)),0,VLOOKUP($U$1277,'TAR FIN'!$A$1:$O$116,15,0))</f>
        <v>496.15</v>
      </c>
      <c r="Y1277" s="6"/>
      <c r="Z1277" s="6">
        <f ca="1">('TUSD BE'!$AM$40+'TUSD BF'!$AM$40+'TUSD CVA'!$AM$40)*1</f>
        <v>864.26680329675355</v>
      </c>
      <c r="AA1277" s="6">
        <f>('TE BE'!$AB$11+'TE BF'!$AB$11+'TE CVA'!$AB$11)*1</f>
        <v>510.04993331215127</v>
      </c>
      <c r="AB1277" s="6">
        <f>$K$1277*$V$1277</f>
        <v>0</v>
      </c>
      <c r="AC1277" s="6">
        <f>$M$1277*$W$1277</f>
        <v>238.80140000000003</v>
      </c>
      <c r="AD1277" s="6">
        <f>$O$1277*$X$1277</f>
        <v>166.21025</v>
      </c>
      <c r="AE1277" s="6">
        <f>$K$1277*$Y$1277</f>
        <v>0</v>
      </c>
      <c r="AF1277" s="6">
        <f ca="1">$M$1277*$Z$1277</f>
        <v>289.52937910441244</v>
      </c>
      <c r="AG1277" s="6">
        <f>$O$1277*$AA$1277</f>
        <v>170.86672765957067</v>
      </c>
    </row>
    <row r="1278" spans="1:33" ht="11.25" customHeight="1" x14ac:dyDescent="0.25">
      <c r="A1278" s="4" t="s">
        <v>28</v>
      </c>
      <c r="B1278" s="4" t="s">
        <v>22</v>
      </c>
      <c r="C1278" s="4" t="s">
        <v>33</v>
      </c>
      <c r="D1278" s="4" t="s">
        <v>24</v>
      </c>
      <c r="E1278" s="4" t="s">
        <v>24</v>
      </c>
      <c r="F1278" s="4" t="s">
        <v>25</v>
      </c>
      <c r="G1278" s="4" t="s">
        <v>25</v>
      </c>
      <c r="H1278" s="4" t="s">
        <v>34</v>
      </c>
      <c r="I1278" s="5">
        <v>44378</v>
      </c>
      <c r="J1278" s="6">
        <v>0</v>
      </c>
      <c r="K1278" s="6">
        <v>0</v>
      </c>
      <c r="L1278" s="6">
        <v>-8.0000000000000002E-3</v>
      </c>
      <c r="M1278" s="6">
        <v>-8.0000000000000002E-3</v>
      </c>
      <c r="N1278" s="6">
        <v>-8.0000000000000002E-3</v>
      </c>
      <c r="O1278" s="6">
        <v>-8.0000000000000002E-3</v>
      </c>
      <c r="P1278" s="6">
        <v>0</v>
      </c>
      <c r="Q1278" s="4" t="s">
        <v>26</v>
      </c>
      <c r="R1278" s="4">
        <v>0</v>
      </c>
      <c r="S1278" s="6">
        <v>0</v>
      </c>
      <c r="T1278" s="6">
        <v>38</v>
      </c>
      <c r="U1278" s="6">
        <v>81</v>
      </c>
      <c r="V1278" s="6">
        <f>IF(ISERROR(VLOOKUP($S$1278,'TAR FIN'!$A$1:$O$116,15,0)),0,VLOOKUP($S$1278,'TAR FIN'!$A$1:$O$116,15,0))</f>
        <v>0</v>
      </c>
      <c r="W1278" s="6">
        <f>IF(ISERROR(VLOOKUP($T$1278,'TAR FIN'!$A$1:$O$116,15,0)),0,VLOOKUP($T$1278,'TAR FIN'!$A$1:$O$116,15,0))</f>
        <v>712.84</v>
      </c>
      <c r="X1278" s="6">
        <f>IF(ISERROR(VLOOKUP($U$1278,'TAR FIN'!$A$1:$O$116,15,0)),0,VLOOKUP($U$1278,'TAR FIN'!$A$1:$O$116,15,0))</f>
        <v>496.15</v>
      </c>
      <c r="Y1278" s="6"/>
      <c r="Z1278" s="6">
        <f ca="1">('TUSD BE'!$AM$40+'TUSD BF'!$AM$40+'TUSD CVA'!$AM$40)*1</f>
        <v>864.26680329675355</v>
      </c>
      <c r="AA1278" s="6">
        <f>('TE BE'!$AB$11+'TE BF'!$AB$11+'TE CVA'!$AB$11)*1</f>
        <v>510.04993331215127</v>
      </c>
      <c r="AB1278" s="6">
        <f>$K$1278*$V$1278</f>
        <v>0</v>
      </c>
      <c r="AC1278" s="6">
        <f>$M$1278*$W$1278</f>
        <v>-5.7027200000000002</v>
      </c>
      <c r="AD1278" s="6">
        <f>$O$1278*$X$1278</f>
        <v>-3.9691999999999998</v>
      </c>
      <c r="AE1278" s="6">
        <f>$K$1278*$Y$1278</f>
        <v>0</v>
      </c>
      <c r="AF1278" s="6">
        <f ca="1">$M$1278*$Z$1278</f>
        <v>-6.9141344263740283</v>
      </c>
      <c r="AG1278" s="6">
        <f>$O$1278*$AA$1278</f>
        <v>-4.0803994664972105</v>
      </c>
    </row>
    <row r="1279" spans="1:33" ht="11.25" customHeight="1" x14ac:dyDescent="0.25">
      <c r="A1279" s="4" t="s">
        <v>21</v>
      </c>
      <c r="B1279" s="4" t="s">
        <v>22</v>
      </c>
      <c r="C1279" s="4" t="s">
        <v>33</v>
      </c>
      <c r="D1279" s="4" t="s">
        <v>24</v>
      </c>
      <c r="E1279" s="4" t="s">
        <v>24</v>
      </c>
      <c r="F1279" s="4" t="s">
        <v>25</v>
      </c>
      <c r="G1279" s="4" t="s">
        <v>25</v>
      </c>
      <c r="H1279" s="4" t="s">
        <v>34</v>
      </c>
      <c r="I1279" s="5">
        <v>44409</v>
      </c>
      <c r="J1279" s="6">
        <v>0</v>
      </c>
      <c r="K1279" s="6">
        <v>0</v>
      </c>
      <c r="L1279" s="6">
        <v>1.48</v>
      </c>
      <c r="M1279" s="6">
        <v>1.48</v>
      </c>
      <c r="N1279" s="6">
        <v>1.48</v>
      </c>
      <c r="O1279" s="6">
        <v>1.48</v>
      </c>
      <c r="P1279" s="6">
        <v>0</v>
      </c>
      <c r="Q1279" s="4" t="s">
        <v>26</v>
      </c>
      <c r="R1279" s="4">
        <v>0</v>
      </c>
      <c r="S1279" s="6">
        <v>0</v>
      </c>
      <c r="T1279" s="6">
        <v>38</v>
      </c>
      <c r="U1279" s="6">
        <v>81</v>
      </c>
      <c r="V1279" s="6">
        <f>IF(ISERROR(VLOOKUP($S$1279,'TAR FIN'!$A$1:$O$116,15,0)),0,VLOOKUP($S$1279,'TAR FIN'!$A$1:$O$116,15,0))</f>
        <v>0</v>
      </c>
      <c r="W1279" s="6">
        <f>IF(ISERROR(VLOOKUP($T$1279,'TAR FIN'!$A$1:$O$116,15,0)),0,VLOOKUP($T$1279,'TAR FIN'!$A$1:$O$116,15,0))</f>
        <v>712.84</v>
      </c>
      <c r="X1279" s="6">
        <f>IF(ISERROR(VLOOKUP($U$1279,'TAR FIN'!$A$1:$O$116,15,0)),0,VLOOKUP($U$1279,'TAR FIN'!$A$1:$O$116,15,0))</f>
        <v>496.15</v>
      </c>
      <c r="Y1279" s="6"/>
      <c r="Z1279" s="6">
        <f ca="1">('TUSD BE'!$AM$40+'TUSD BF'!$AM$40+'TUSD CVA'!$AM$40)*1</f>
        <v>864.26680329675355</v>
      </c>
      <c r="AA1279" s="6">
        <f>('TE BE'!$AB$11+'TE BF'!$AB$11+'TE CVA'!$AB$11)*1</f>
        <v>510.04993331215127</v>
      </c>
      <c r="AB1279" s="6">
        <f>$K$1279*$V$1279</f>
        <v>0</v>
      </c>
      <c r="AC1279" s="6">
        <f>$M$1279*$W$1279</f>
        <v>1055.0032000000001</v>
      </c>
      <c r="AD1279" s="6">
        <f>$O$1279*$X$1279</f>
        <v>734.30199999999991</v>
      </c>
      <c r="AE1279" s="6">
        <f>$K$1279*$Y$1279</f>
        <v>0</v>
      </c>
      <c r="AF1279" s="6">
        <f ca="1">$M$1279*$Z$1279</f>
        <v>1279.1148688791952</v>
      </c>
      <c r="AG1279" s="6">
        <f>$O$1279*$AA$1279</f>
        <v>754.87390130198389</v>
      </c>
    </row>
    <row r="1280" spans="1:33" ht="11.25" customHeight="1" x14ac:dyDescent="0.25">
      <c r="A1280" s="4" t="s">
        <v>28</v>
      </c>
      <c r="B1280" s="4" t="s">
        <v>22</v>
      </c>
      <c r="C1280" s="4" t="s">
        <v>33</v>
      </c>
      <c r="D1280" s="4" t="s">
        <v>24</v>
      </c>
      <c r="E1280" s="4" t="s">
        <v>24</v>
      </c>
      <c r="F1280" s="4" t="s">
        <v>25</v>
      </c>
      <c r="G1280" s="4" t="s">
        <v>25</v>
      </c>
      <c r="H1280" s="4" t="s">
        <v>34</v>
      </c>
      <c r="I1280" s="5">
        <v>44409</v>
      </c>
      <c r="J1280" s="6">
        <v>0</v>
      </c>
      <c r="K1280" s="6">
        <v>0</v>
      </c>
      <c r="L1280" s="6">
        <v>0.25</v>
      </c>
      <c r="M1280" s="6">
        <v>0.25</v>
      </c>
      <c r="N1280" s="6">
        <v>0.25</v>
      </c>
      <c r="O1280" s="6">
        <v>0.25</v>
      </c>
      <c r="P1280" s="6">
        <v>0</v>
      </c>
      <c r="Q1280" s="4" t="s">
        <v>26</v>
      </c>
      <c r="R1280" s="4">
        <v>0</v>
      </c>
      <c r="S1280" s="6">
        <v>0</v>
      </c>
      <c r="T1280" s="6">
        <v>38</v>
      </c>
      <c r="U1280" s="6">
        <v>81</v>
      </c>
      <c r="V1280" s="6">
        <f>IF(ISERROR(VLOOKUP($S$1280,'TAR FIN'!$A$1:$O$116,15,0)),0,VLOOKUP($S$1280,'TAR FIN'!$A$1:$O$116,15,0))</f>
        <v>0</v>
      </c>
      <c r="W1280" s="6">
        <f>IF(ISERROR(VLOOKUP($T$1280,'TAR FIN'!$A$1:$O$116,15,0)),0,VLOOKUP($T$1280,'TAR FIN'!$A$1:$O$116,15,0))</f>
        <v>712.84</v>
      </c>
      <c r="X1280" s="6">
        <f>IF(ISERROR(VLOOKUP($U$1280,'TAR FIN'!$A$1:$O$116,15,0)),0,VLOOKUP($U$1280,'TAR FIN'!$A$1:$O$116,15,0))</f>
        <v>496.15</v>
      </c>
      <c r="Y1280" s="6"/>
      <c r="Z1280" s="6">
        <f ca="1">('TUSD BE'!$AM$40+'TUSD BF'!$AM$40+'TUSD CVA'!$AM$40)*1</f>
        <v>864.26680329675355</v>
      </c>
      <c r="AA1280" s="6">
        <f>('TE BE'!$AB$11+'TE BF'!$AB$11+'TE CVA'!$AB$11)*1</f>
        <v>510.04993331215127</v>
      </c>
      <c r="AB1280" s="6">
        <f>$K$1280*$V$1280</f>
        <v>0</v>
      </c>
      <c r="AC1280" s="6">
        <f>$M$1280*$W$1280</f>
        <v>178.21</v>
      </c>
      <c r="AD1280" s="6">
        <f>$O$1280*$X$1280</f>
        <v>124.03749999999999</v>
      </c>
      <c r="AE1280" s="6">
        <f>$K$1280*$Y$1280</f>
        <v>0</v>
      </c>
      <c r="AF1280" s="6">
        <f ca="1">$M$1280*$Z$1280</f>
        <v>216.06670082418839</v>
      </c>
      <c r="AG1280" s="6">
        <f>$O$1280*$AA$1280</f>
        <v>127.51248332803782</v>
      </c>
    </row>
    <row r="1281" spans="1:33" ht="11.25" customHeight="1" x14ac:dyDescent="0.25">
      <c r="A1281" s="4" t="s">
        <v>21</v>
      </c>
      <c r="B1281" s="4" t="s">
        <v>22</v>
      </c>
      <c r="C1281" s="4" t="s">
        <v>33</v>
      </c>
      <c r="D1281" s="4" t="s">
        <v>24</v>
      </c>
      <c r="E1281" s="4" t="s">
        <v>24</v>
      </c>
      <c r="F1281" s="4" t="s">
        <v>25</v>
      </c>
      <c r="G1281" s="4" t="s">
        <v>25</v>
      </c>
      <c r="H1281" s="4" t="s">
        <v>34</v>
      </c>
      <c r="I1281" s="5">
        <v>44440</v>
      </c>
      <c r="J1281" s="6">
        <v>0</v>
      </c>
      <c r="K1281" s="6">
        <v>0</v>
      </c>
      <c r="L1281" s="6">
        <v>1.423</v>
      </c>
      <c r="M1281" s="6">
        <v>1.423</v>
      </c>
      <c r="N1281" s="6">
        <v>1.423</v>
      </c>
      <c r="O1281" s="6">
        <v>1.423</v>
      </c>
      <c r="P1281" s="6">
        <v>0</v>
      </c>
      <c r="Q1281" s="4" t="s">
        <v>26</v>
      </c>
      <c r="R1281" s="4">
        <v>0</v>
      </c>
      <c r="S1281" s="6">
        <v>0</v>
      </c>
      <c r="T1281" s="6">
        <v>38</v>
      </c>
      <c r="U1281" s="6">
        <v>81</v>
      </c>
      <c r="V1281" s="6">
        <f>IF(ISERROR(VLOOKUP($S$1281,'TAR FIN'!$A$1:$O$116,15,0)),0,VLOOKUP($S$1281,'TAR FIN'!$A$1:$O$116,15,0))</f>
        <v>0</v>
      </c>
      <c r="W1281" s="6">
        <f>IF(ISERROR(VLOOKUP($T$1281,'TAR FIN'!$A$1:$O$116,15,0)),0,VLOOKUP($T$1281,'TAR FIN'!$A$1:$O$116,15,0))</f>
        <v>712.84</v>
      </c>
      <c r="X1281" s="6">
        <f>IF(ISERROR(VLOOKUP($U$1281,'TAR FIN'!$A$1:$O$116,15,0)),0,VLOOKUP($U$1281,'TAR FIN'!$A$1:$O$116,15,0))</f>
        <v>496.15</v>
      </c>
      <c r="Y1281" s="6"/>
      <c r="Z1281" s="6">
        <f ca="1">('TUSD BE'!$AM$40+'TUSD BF'!$AM$40+'TUSD CVA'!$AM$40)*1</f>
        <v>864.26680329675355</v>
      </c>
      <c r="AA1281" s="6">
        <f>('TE BE'!$AB$11+'TE BF'!$AB$11+'TE CVA'!$AB$11)*1</f>
        <v>510.04993331215127</v>
      </c>
      <c r="AB1281" s="6">
        <f>$K$1281*$V$1281</f>
        <v>0</v>
      </c>
      <c r="AC1281" s="6">
        <f>$M$1281*$W$1281</f>
        <v>1014.3713200000001</v>
      </c>
      <c r="AD1281" s="6">
        <f>$O$1281*$X$1281</f>
        <v>706.02144999999996</v>
      </c>
      <c r="AE1281" s="6">
        <f>$K$1281*$Y$1281</f>
        <v>0</v>
      </c>
      <c r="AF1281" s="6">
        <f ca="1">$M$1281*$Z$1281</f>
        <v>1229.8516610912804</v>
      </c>
      <c r="AG1281" s="6">
        <f>$O$1281*$AA$1281</f>
        <v>725.80105510319129</v>
      </c>
    </row>
    <row r="1282" spans="1:33" ht="11.25" customHeight="1" x14ac:dyDescent="0.25">
      <c r="A1282" s="4" t="s">
        <v>28</v>
      </c>
      <c r="B1282" s="4" t="s">
        <v>22</v>
      </c>
      <c r="C1282" s="4" t="s">
        <v>33</v>
      </c>
      <c r="D1282" s="4" t="s">
        <v>24</v>
      </c>
      <c r="E1282" s="4" t="s">
        <v>24</v>
      </c>
      <c r="F1282" s="4" t="s">
        <v>25</v>
      </c>
      <c r="G1282" s="4" t="s">
        <v>25</v>
      </c>
      <c r="H1282" s="4" t="s">
        <v>34</v>
      </c>
      <c r="I1282" s="5">
        <v>44440</v>
      </c>
      <c r="J1282" s="6">
        <v>0</v>
      </c>
      <c r="K1282" s="6">
        <v>0</v>
      </c>
      <c r="L1282" s="6">
        <v>0.26500000000000001</v>
      </c>
      <c r="M1282" s="6">
        <v>0.26500000000000001</v>
      </c>
      <c r="N1282" s="6">
        <v>0.26500000000000001</v>
      </c>
      <c r="O1282" s="6">
        <v>0.26500000000000001</v>
      </c>
      <c r="P1282" s="6">
        <v>0</v>
      </c>
      <c r="Q1282" s="4" t="s">
        <v>26</v>
      </c>
      <c r="R1282" s="4">
        <v>0</v>
      </c>
      <c r="S1282" s="6">
        <v>0</v>
      </c>
      <c r="T1282" s="6">
        <v>38</v>
      </c>
      <c r="U1282" s="6">
        <v>81</v>
      </c>
      <c r="V1282" s="6">
        <f>IF(ISERROR(VLOOKUP($S$1282,'TAR FIN'!$A$1:$O$116,15,0)),0,VLOOKUP($S$1282,'TAR FIN'!$A$1:$O$116,15,0))</f>
        <v>0</v>
      </c>
      <c r="W1282" s="6">
        <f>IF(ISERROR(VLOOKUP($T$1282,'TAR FIN'!$A$1:$O$116,15,0)),0,VLOOKUP($T$1282,'TAR FIN'!$A$1:$O$116,15,0))</f>
        <v>712.84</v>
      </c>
      <c r="X1282" s="6">
        <f>IF(ISERROR(VLOOKUP($U$1282,'TAR FIN'!$A$1:$O$116,15,0)),0,VLOOKUP($U$1282,'TAR FIN'!$A$1:$O$116,15,0))</f>
        <v>496.15</v>
      </c>
      <c r="Y1282" s="6"/>
      <c r="Z1282" s="6">
        <f ca="1">('TUSD BE'!$AM$40+'TUSD BF'!$AM$40+'TUSD CVA'!$AM$40)*1</f>
        <v>864.26680329675355</v>
      </c>
      <c r="AA1282" s="6">
        <f>('TE BE'!$AB$11+'TE BF'!$AB$11+'TE CVA'!$AB$11)*1</f>
        <v>510.04993331215127</v>
      </c>
      <c r="AB1282" s="6">
        <f>$K$1282*$V$1282</f>
        <v>0</v>
      </c>
      <c r="AC1282" s="6">
        <f>$M$1282*$W$1282</f>
        <v>188.90260000000001</v>
      </c>
      <c r="AD1282" s="6">
        <f>$O$1282*$X$1282</f>
        <v>131.47975</v>
      </c>
      <c r="AE1282" s="6">
        <f>$K$1282*$Y$1282</f>
        <v>0</v>
      </c>
      <c r="AF1282" s="6">
        <f ca="1">$M$1282*$Z$1282</f>
        <v>229.03070287363971</v>
      </c>
      <c r="AG1282" s="6">
        <f>$O$1282*$AA$1282</f>
        <v>135.1632323277201</v>
      </c>
    </row>
    <row r="1283" spans="1:33" ht="11.25" customHeight="1" x14ac:dyDescent="0.25">
      <c r="A1283" s="4" t="s">
        <v>21</v>
      </c>
      <c r="B1283" s="4" t="s">
        <v>22</v>
      </c>
      <c r="C1283" s="4" t="s">
        <v>33</v>
      </c>
      <c r="D1283" s="4" t="s">
        <v>24</v>
      </c>
      <c r="E1283" s="4" t="s">
        <v>24</v>
      </c>
      <c r="F1283" s="4" t="s">
        <v>25</v>
      </c>
      <c r="G1283" s="4" t="s">
        <v>25</v>
      </c>
      <c r="H1283" s="4" t="s">
        <v>34</v>
      </c>
      <c r="I1283" s="5">
        <v>44470</v>
      </c>
      <c r="J1283" s="6">
        <v>0</v>
      </c>
      <c r="K1283" s="6">
        <v>0</v>
      </c>
      <c r="L1283" s="6">
        <v>1.0409999999999999</v>
      </c>
      <c r="M1283" s="6">
        <v>1.0409999999999999</v>
      </c>
      <c r="N1283" s="6">
        <v>1.0409999999999999</v>
      </c>
      <c r="O1283" s="6">
        <v>1.0409999999999999</v>
      </c>
      <c r="P1283" s="6">
        <v>0</v>
      </c>
      <c r="Q1283" s="4" t="s">
        <v>26</v>
      </c>
      <c r="R1283" s="4">
        <v>0</v>
      </c>
      <c r="S1283" s="6">
        <v>0</v>
      </c>
      <c r="T1283" s="6">
        <v>38</v>
      </c>
      <c r="U1283" s="6">
        <v>81</v>
      </c>
      <c r="V1283" s="6">
        <f>IF(ISERROR(VLOOKUP($S$1283,'TAR FIN'!$A$1:$O$116,15,0)),0,VLOOKUP($S$1283,'TAR FIN'!$A$1:$O$116,15,0))</f>
        <v>0</v>
      </c>
      <c r="W1283" s="6">
        <f>IF(ISERROR(VLOOKUP($T$1283,'TAR FIN'!$A$1:$O$116,15,0)),0,VLOOKUP($T$1283,'TAR FIN'!$A$1:$O$116,15,0))</f>
        <v>712.84</v>
      </c>
      <c r="X1283" s="6">
        <f>IF(ISERROR(VLOOKUP($U$1283,'TAR FIN'!$A$1:$O$116,15,0)),0,VLOOKUP($U$1283,'TAR FIN'!$A$1:$O$116,15,0))</f>
        <v>496.15</v>
      </c>
      <c r="Y1283" s="6"/>
      <c r="Z1283" s="6">
        <f ca="1">('TUSD BE'!$AM$40+'TUSD BF'!$AM$40+'TUSD CVA'!$AM$40)*1</f>
        <v>864.26680329675355</v>
      </c>
      <c r="AA1283" s="6">
        <f>('TE BE'!$AB$11+'TE BF'!$AB$11+'TE CVA'!$AB$11)*1</f>
        <v>510.04993331215127</v>
      </c>
      <c r="AB1283" s="6">
        <f>$K$1283*$V$1283</f>
        <v>0</v>
      </c>
      <c r="AC1283" s="6">
        <f>$M$1283*$W$1283</f>
        <v>742.06643999999994</v>
      </c>
      <c r="AD1283" s="6">
        <f>$O$1283*$X$1283</f>
        <v>516.49214999999992</v>
      </c>
      <c r="AE1283" s="6">
        <f>$K$1283*$Y$1283</f>
        <v>0</v>
      </c>
      <c r="AF1283" s="6">
        <f ca="1">$M$1283*$Z$1283</f>
        <v>899.70174223192043</v>
      </c>
      <c r="AG1283" s="6">
        <f>$O$1283*$AA$1283</f>
        <v>530.96198057794948</v>
      </c>
    </row>
    <row r="1284" spans="1:33" ht="11.25" customHeight="1" x14ac:dyDescent="0.25">
      <c r="A1284" s="4" t="s">
        <v>28</v>
      </c>
      <c r="B1284" s="4" t="s">
        <v>22</v>
      </c>
      <c r="C1284" s="4" t="s">
        <v>33</v>
      </c>
      <c r="D1284" s="4" t="s">
        <v>24</v>
      </c>
      <c r="E1284" s="4" t="s">
        <v>24</v>
      </c>
      <c r="F1284" s="4" t="s">
        <v>25</v>
      </c>
      <c r="G1284" s="4" t="s">
        <v>25</v>
      </c>
      <c r="H1284" s="4" t="s">
        <v>34</v>
      </c>
      <c r="I1284" s="5">
        <v>44470</v>
      </c>
      <c r="J1284" s="6">
        <v>0</v>
      </c>
      <c r="K1284" s="6">
        <v>0</v>
      </c>
      <c r="L1284" s="6">
        <v>7.4999999999999997E-2</v>
      </c>
      <c r="M1284" s="6">
        <v>7.4999999999999997E-2</v>
      </c>
      <c r="N1284" s="6">
        <v>7.4999999999999997E-2</v>
      </c>
      <c r="O1284" s="6">
        <v>7.4999999999999997E-2</v>
      </c>
      <c r="P1284" s="6">
        <v>0</v>
      </c>
      <c r="Q1284" s="4" t="s">
        <v>26</v>
      </c>
      <c r="R1284" s="4">
        <v>0</v>
      </c>
      <c r="S1284" s="6">
        <v>0</v>
      </c>
      <c r="T1284" s="6">
        <v>38</v>
      </c>
      <c r="U1284" s="6">
        <v>81</v>
      </c>
      <c r="V1284" s="6">
        <f>IF(ISERROR(VLOOKUP($S$1284,'TAR FIN'!$A$1:$O$116,15,0)),0,VLOOKUP($S$1284,'TAR FIN'!$A$1:$O$116,15,0))</f>
        <v>0</v>
      </c>
      <c r="W1284" s="6">
        <f>IF(ISERROR(VLOOKUP($T$1284,'TAR FIN'!$A$1:$O$116,15,0)),0,VLOOKUP($T$1284,'TAR FIN'!$A$1:$O$116,15,0))</f>
        <v>712.84</v>
      </c>
      <c r="X1284" s="6">
        <f>IF(ISERROR(VLOOKUP($U$1284,'TAR FIN'!$A$1:$O$116,15,0)),0,VLOOKUP($U$1284,'TAR FIN'!$A$1:$O$116,15,0))</f>
        <v>496.15</v>
      </c>
      <c r="Y1284" s="6"/>
      <c r="Z1284" s="6">
        <f ca="1">('TUSD BE'!$AM$40+'TUSD BF'!$AM$40+'TUSD CVA'!$AM$40)*1</f>
        <v>864.26680329675355</v>
      </c>
      <c r="AA1284" s="6">
        <f>('TE BE'!$AB$11+'TE BF'!$AB$11+'TE CVA'!$AB$11)*1</f>
        <v>510.04993331215127</v>
      </c>
      <c r="AB1284" s="6">
        <f>$K$1284*$V$1284</f>
        <v>0</v>
      </c>
      <c r="AC1284" s="6">
        <f>$M$1284*$W$1284</f>
        <v>53.463000000000001</v>
      </c>
      <c r="AD1284" s="6">
        <f>$O$1284*$X$1284</f>
        <v>37.21125</v>
      </c>
      <c r="AE1284" s="6">
        <f>$K$1284*$Y$1284</f>
        <v>0</v>
      </c>
      <c r="AF1284" s="6">
        <f ca="1">$M$1284*$Z$1284</f>
        <v>64.820010247256519</v>
      </c>
      <c r="AG1284" s="6">
        <f>$O$1284*$AA$1284</f>
        <v>38.253744998411342</v>
      </c>
    </row>
    <row r="1285" spans="1:33" ht="11.25" customHeight="1" x14ac:dyDescent="0.25">
      <c r="A1285" s="4" t="s">
        <v>28</v>
      </c>
      <c r="B1285" s="4" t="s">
        <v>22</v>
      </c>
      <c r="C1285" s="4" t="s">
        <v>33</v>
      </c>
      <c r="D1285" s="4" t="s">
        <v>24</v>
      </c>
      <c r="E1285" s="4" t="s">
        <v>24</v>
      </c>
      <c r="F1285" s="4" t="s">
        <v>25</v>
      </c>
      <c r="G1285" s="4" t="s">
        <v>25</v>
      </c>
      <c r="H1285" s="4" t="s">
        <v>34</v>
      </c>
      <c r="I1285" s="5">
        <v>44470</v>
      </c>
      <c r="J1285" s="6">
        <v>0</v>
      </c>
      <c r="K1285" s="6">
        <v>0</v>
      </c>
      <c r="L1285" s="6">
        <v>-3.3000000000000002E-2</v>
      </c>
      <c r="M1285" s="6">
        <v>-3.3000000000000002E-2</v>
      </c>
      <c r="N1285" s="6">
        <v>-3.3000000000000002E-2</v>
      </c>
      <c r="O1285" s="6">
        <v>-3.3000000000000002E-2</v>
      </c>
      <c r="P1285" s="6">
        <v>0</v>
      </c>
      <c r="Q1285" s="4" t="s">
        <v>26</v>
      </c>
      <c r="R1285" s="4">
        <v>0</v>
      </c>
      <c r="S1285" s="6">
        <v>0</v>
      </c>
      <c r="T1285" s="6">
        <v>38</v>
      </c>
      <c r="U1285" s="6">
        <v>81</v>
      </c>
      <c r="V1285" s="6">
        <f>IF(ISERROR(VLOOKUP($S$1285,'TAR FIN'!$A$1:$O$116,15,0)),0,VLOOKUP($S$1285,'TAR FIN'!$A$1:$O$116,15,0))</f>
        <v>0</v>
      </c>
      <c r="W1285" s="6">
        <f>IF(ISERROR(VLOOKUP($T$1285,'TAR FIN'!$A$1:$O$116,15,0)),0,VLOOKUP($T$1285,'TAR FIN'!$A$1:$O$116,15,0))</f>
        <v>712.84</v>
      </c>
      <c r="X1285" s="6">
        <f>IF(ISERROR(VLOOKUP($U$1285,'TAR FIN'!$A$1:$O$116,15,0)),0,VLOOKUP($U$1285,'TAR FIN'!$A$1:$O$116,15,0))</f>
        <v>496.15</v>
      </c>
      <c r="Y1285" s="6"/>
      <c r="Z1285" s="6">
        <f ca="1">('TUSD BE'!$AM$40+'TUSD BF'!$AM$40+'TUSD CVA'!$AM$40)*1</f>
        <v>864.26680329675355</v>
      </c>
      <c r="AA1285" s="6">
        <f>('TE BE'!$AB$11+'TE BF'!$AB$11+'TE CVA'!$AB$11)*1</f>
        <v>510.04993331215127</v>
      </c>
      <c r="AB1285" s="6">
        <f>$K$1285*$V$1285</f>
        <v>0</v>
      </c>
      <c r="AC1285" s="6">
        <f>$M$1285*$W$1285</f>
        <v>-23.523720000000001</v>
      </c>
      <c r="AD1285" s="6">
        <f>$O$1285*$X$1285</f>
        <v>-16.372949999999999</v>
      </c>
      <c r="AE1285" s="6">
        <f>$K$1285*$Y$1285</f>
        <v>0</v>
      </c>
      <c r="AF1285" s="6">
        <f ca="1">$M$1285*$Z$1285</f>
        <v>-28.520804508792867</v>
      </c>
      <c r="AG1285" s="6">
        <f>$O$1285*$AA$1285</f>
        <v>-16.831647799300992</v>
      </c>
    </row>
    <row r="1286" spans="1:33" ht="11.25" customHeight="1" x14ac:dyDescent="0.25">
      <c r="A1286" s="4" t="s">
        <v>21</v>
      </c>
      <c r="B1286" s="4" t="s">
        <v>22</v>
      </c>
      <c r="C1286" s="4" t="s">
        <v>33</v>
      </c>
      <c r="D1286" s="4" t="s">
        <v>24</v>
      </c>
      <c r="E1286" s="4" t="s">
        <v>24</v>
      </c>
      <c r="F1286" s="4" t="s">
        <v>25</v>
      </c>
      <c r="G1286" s="4" t="s">
        <v>25</v>
      </c>
      <c r="H1286" s="4" t="s">
        <v>34</v>
      </c>
      <c r="I1286" s="5">
        <v>44501</v>
      </c>
      <c r="J1286" s="6">
        <v>0</v>
      </c>
      <c r="K1286" s="6">
        <v>0</v>
      </c>
      <c r="L1286" s="6">
        <v>1.2869999999999999</v>
      </c>
      <c r="M1286" s="6">
        <v>1.2869999999999999</v>
      </c>
      <c r="N1286" s="6">
        <v>1.2869999999999999</v>
      </c>
      <c r="O1286" s="6">
        <v>1.2869999999999999</v>
      </c>
      <c r="P1286" s="6">
        <v>0</v>
      </c>
      <c r="Q1286" s="4" t="s">
        <v>26</v>
      </c>
      <c r="R1286" s="4">
        <v>0</v>
      </c>
      <c r="S1286" s="6">
        <v>0</v>
      </c>
      <c r="T1286" s="6">
        <v>38</v>
      </c>
      <c r="U1286" s="6">
        <v>81</v>
      </c>
      <c r="V1286" s="6">
        <f>IF(ISERROR(VLOOKUP($S$1286,'TAR FIN'!$A$1:$O$116,15,0)),0,VLOOKUP($S$1286,'TAR FIN'!$A$1:$O$116,15,0))</f>
        <v>0</v>
      </c>
      <c r="W1286" s="6">
        <f>IF(ISERROR(VLOOKUP($T$1286,'TAR FIN'!$A$1:$O$116,15,0)),0,VLOOKUP($T$1286,'TAR FIN'!$A$1:$O$116,15,0))</f>
        <v>712.84</v>
      </c>
      <c r="X1286" s="6">
        <f>IF(ISERROR(VLOOKUP($U$1286,'TAR FIN'!$A$1:$O$116,15,0)),0,VLOOKUP($U$1286,'TAR FIN'!$A$1:$O$116,15,0))</f>
        <v>496.15</v>
      </c>
      <c r="Y1286" s="6"/>
      <c r="Z1286" s="6">
        <f ca="1">('TUSD BE'!$AM$40+'TUSD BF'!$AM$40+'TUSD CVA'!$AM$40)*1</f>
        <v>864.26680329675355</v>
      </c>
      <c r="AA1286" s="6">
        <f>('TE BE'!$AB$11+'TE BF'!$AB$11+'TE CVA'!$AB$11)*1</f>
        <v>510.04993331215127</v>
      </c>
      <c r="AB1286" s="6">
        <f>$K$1286*$V$1286</f>
        <v>0</v>
      </c>
      <c r="AC1286" s="6">
        <f>$M$1286*$W$1286</f>
        <v>917.42507999999998</v>
      </c>
      <c r="AD1286" s="6">
        <f>$O$1286*$X$1286</f>
        <v>638.54504999999995</v>
      </c>
      <c r="AE1286" s="6">
        <f>$K$1286*$Y$1286</f>
        <v>0</v>
      </c>
      <c r="AF1286" s="6">
        <f ca="1">$M$1286*$Z$1286</f>
        <v>1112.3113758429217</v>
      </c>
      <c r="AG1286" s="6">
        <f>$O$1286*$AA$1286</f>
        <v>656.43426417273861</v>
      </c>
    </row>
    <row r="1287" spans="1:33" ht="11.25" customHeight="1" x14ac:dyDescent="0.25">
      <c r="A1287" s="4" t="s">
        <v>28</v>
      </c>
      <c r="B1287" s="4" t="s">
        <v>22</v>
      </c>
      <c r="C1287" s="4" t="s">
        <v>33</v>
      </c>
      <c r="D1287" s="4" t="s">
        <v>24</v>
      </c>
      <c r="E1287" s="4" t="s">
        <v>24</v>
      </c>
      <c r="F1287" s="4" t="s">
        <v>25</v>
      </c>
      <c r="G1287" s="4" t="s">
        <v>25</v>
      </c>
      <c r="H1287" s="4" t="s">
        <v>34</v>
      </c>
      <c r="I1287" s="5">
        <v>44501</v>
      </c>
      <c r="J1287" s="6">
        <v>0</v>
      </c>
      <c r="K1287" s="6">
        <v>0</v>
      </c>
      <c r="L1287" s="6">
        <v>0.34899999999999998</v>
      </c>
      <c r="M1287" s="6">
        <v>0.34899999999999998</v>
      </c>
      <c r="N1287" s="6">
        <v>0.34899999999999998</v>
      </c>
      <c r="O1287" s="6">
        <v>0.34899999999999998</v>
      </c>
      <c r="P1287" s="6">
        <v>0</v>
      </c>
      <c r="Q1287" s="4" t="s">
        <v>26</v>
      </c>
      <c r="R1287" s="4">
        <v>0</v>
      </c>
      <c r="S1287" s="6">
        <v>0</v>
      </c>
      <c r="T1287" s="6">
        <v>38</v>
      </c>
      <c r="U1287" s="6">
        <v>81</v>
      </c>
      <c r="V1287" s="6">
        <f>IF(ISERROR(VLOOKUP($S$1287,'TAR FIN'!$A$1:$O$116,15,0)),0,VLOOKUP($S$1287,'TAR FIN'!$A$1:$O$116,15,0))</f>
        <v>0</v>
      </c>
      <c r="W1287" s="6">
        <f>IF(ISERROR(VLOOKUP($T$1287,'TAR FIN'!$A$1:$O$116,15,0)),0,VLOOKUP($T$1287,'TAR FIN'!$A$1:$O$116,15,0))</f>
        <v>712.84</v>
      </c>
      <c r="X1287" s="6">
        <f>IF(ISERROR(VLOOKUP($U$1287,'TAR FIN'!$A$1:$O$116,15,0)),0,VLOOKUP($U$1287,'TAR FIN'!$A$1:$O$116,15,0))</f>
        <v>496.15</v>
      </c>
      <c r="Y1287" s="6"/>
      <c r="Z1287" s="6">
        <f ca="1">('TUSD BE'!$AM$40+'TUSD BF'!$AM$40+'TUSD CVA'!$AM$40)*1</f>
        <v>864.26680329675355</v>
      </c>
      <c r="AA1287" s="6">
        <f>('TE BE'!$AB$11+'TE BF'!$AB$11+'TE CVA'!$AB$11)*1</f>
        <v>510.04993331215127</v>
      </c>
      <c r="AB1287" s="6">
        <f>$K$1287*$V$1287</f>
        <v>0</v>
      </c>
      <c r="AC1287" s="6">
        <f>$M$1287*$W$1287</f>
        <v>248.78116</v>
      </c>
      <c r="AD1287" s="6">
        <f>$O$1287*$X$1287</f>
        <v>173.15634999999997</v>
      </c>
      <c r="AE1287" s="6">
        <f>$K$1287*$Y$1287</f>
        <v>0</v>
      </c>
      <c r="AF1287" s="6">
        <f ca="1">$M$1287*$Z$1287</f>
        <v>301.62911435056697</v>
      </c>
      <c r="AG1287" s="6">
        <f>$O$1287*$AA$1287</f>
        <v>178.00742672594077</v>
      </c>
    </row>
    <row r="1288" spans="1:33" ht="11.25" customHeight="1" x14ac:dyDescent="0.25">
      <c r="A1288" s="4" t="s">
        <v>21</v>
      </c>
      <c r="B1288" s="4" t="s">
        <v>22</v>
      </c>
      <c r="C1288" s="4" t="s">
        <v>33</v>
      </c>
      <c r="D1288" s="4" t="s">
        <v>24</v>
      </c>
      <c r="E1288" s="4" t="s">
        <v>24</v>
      </c>
      <c r="F1288" s="4" t="s">
        <v>25</v>
      </c>
      <c r="G1288" s="4" t="s">
        <v>25</v>
      </c>
      <c r="H1288" s="4" t="s">
        <v>34</v>
      </c>
      <c r="I1288" s="5">
        <v>44531</v>
      </c>
      <c r="J1288" s="6">
        <v>0</v>
      </c>
      <c r="K1288" s="6">
        <v>0</v>
      </c>
      <c r="L1288" s="6">
        <v>1.2250000000000001</v>
      </c>
      <c r="M1288" s="6">
        <v>1.2250000000000001</v>
      </c>
      <c r="N1288" s="6">
        <v>1.2250000000000001</v>
      </c>
      <c r="O1288" s="6">
        <v>1.2250000000000001</v>
      </c>
      <c r="P1288" s="6">
        <v>0</v>
      </c>
      <c r="Q1288" s="4" t="s">
        <v>26</v>
      </c>
      <c r="R1288" s="4">
        <v>0</v>
      </c>
      <c r="S1288" s="6">
        <v>0</v>
      </c>
      <c r="T1288" s="6">
        <v>38</v>
      </c>
      <c r="U1288" s="6">
        <v>81</v>
      </c>
      <c r="V1288" s="6">
        <f>IF(ISERROR(VLOOKUP($S$1288,'TAR FIN'!$A$1:$O$116,15,0)),0,VLOOKUP($S$1288,'TAR FIN'!$A$1:$O$116,15,0))</f>
        <v>0</v>
      </c>
      <c r="W1288" s="6">
        <f>IF(ISERROR(VLOOKUP($T$1288,'TAR FIN'!$A$1:$O$116,15,0)),0,VLOOKUP($T$1288,'TAR FIN'!$A$1:$O$116,15,0))</f>
        <v>712.84</v>
      </c>
      <c r="X1288" s="6">
        <f>IF(ISERROR(VLOOKUP($U$1288,'TAR FIN'!$A$1:$O$116,15,0)),0,VLOOKUP($U$1288,'TAR FIN'!$A$1:$O$116,15,0))</f>
        <v>496.15</v>
      </c>
      <c r="Y1288" s="6"/>
      <c r="Z1288" s="6">
        <f ca="1">('TUSD BE'!$AM$40+'TUSD BF'!$AM$40+'TUSD CVA'!$AM$40)*1</f>
        <v>864.26680329675355</v>
      </c>
      <c r="AA1288" s="6">
        <f>('TE BE'!$AB$11+'TE BF'!$AB$11+'TE CVA'!$AB$11)*1</f>
        <v>510.04993331215127</v>
      </c>
      <c r="AB1288" s="6">
        <f>$K$1288*$V$1288</f>
        <v>0</v>
      </c>
      <c r="AC1288" s="6">
        <f>$M$1288*$W$1288</f>
        <v>873.22900000000016</v>
      </c>
      <c r="AD1288" s="6">
        <f>$O$1288*$X$1288</f>
        <v>607.78375000000005</v>
      </c>
      <c r="AE1288" s="6">
        <f>$K$1288*$Y$1288</f>
        <v>0</v>
      </c>
      <c r="AF1288" s="6">
        <f ca="1">$M$1288*$Z$1288</f>
        <v>1058.7268340385231</v>
      </c>
      <c r="AG1288" s="6">
        <f>$O$1288*$AA$1288</f>
        <v>624.8111683073854</v>
      </c>
    </row>
    <row r="1289" spans="1:33" ht="11.25" customHeight="1" x14ac:dyDescent="0.25">
      <c r="A1289" s="4" t="s">
        <v>27</v>
      </c>
      <c r="B1289" s="4" t="s">
        <v>22</v>
      </c>
      <c r="C1289" s="4" t="s">
        <v>33</v>
      </c>
      <c r="D1289" s="4" t="s">
        <v>24</v>
      </c>
      <c r="E1289" s="4" t="s">
        <v>24</v>
      </c>
      <c r="F1289" s="4" t="s">
        <v>25</v>
      </c>
      <c r="G1289" s="4" t="s">
        <v>25</v>
      </c>
      <c r="H1289" s="4" t="s">
        <v>34</v>
      </c>
      <c r="I1289" s="5">
        <v>44531</v>
      </c>
      <c r="J1289" s="6">
        <v>0</v>
      </c>
      <c r="K1289" s="6">
        <v>0</v>
      </c>
      <c r="L1289" s="6">
        <v>-0.159</v>
      </c>
      <c r="M1289" s="6">
        <v>-0.159</v>
      </c>
      <c r="N1289" s="6">
        <v>-0.159</v>
      </c>
      <c r="O1289" s="6">
        <v>-0.159</v>
      </c>
      <c r="P1289" s="6">
        <v>0</v>
      </c>
      <c r="Q1289" s="4" t="s">
        <v>26</v>
      </c>
      <c r="R1289" s="4">
        <v>0</v>
      </c>
      <c r="S1289" s="6">
        <v>0</v>
      </c>
      <c r="T1289" s="6">
        <v>38</v>
      </c>
      <c r="U1289" s="6">
        <v>81</v>
      </c>
      <c r="V1289" s="6">
        <f>IF(ISERROR(VLOOKUP($S$1289,'TAR FIN'!$A$1:$O$116,15,0)),0,VLOOKUP($S$1289,'TAR FIN'!$A$1:$O$116,15,0))</f>
        <v>0</v>
      </c>
      <c r="W1289" s="6">
        <f>IF(ISERROR(VLOOKUP($T$1289,'TAR FIN'!$A$1:$O$116,15,0)),0,VLOOKUP($T$1289,'TAR FIN'!$A$1:$O$116,15,0))</f>
        <v>712.84</v>
      </c>
      <c r="X1289" s="6">
        <f>IF(ISERROR(VLOOKUP($U$1289,'TAR FIN'!$A$1:$O$116,15,0)),0,VLOOKUP($U$1289,'TAR FIN'!$A$1:$O$116,15,0))</f>
        <v>496.15</v>
      </c>
      <c r="Y1289" s="6"/>
      <c r="Z1289" s="6">
        <f ca="1">('TUSD BE'!$AM$40+'TUSD BF'!$AM$40+'TUSD CVA'!$AM$40)*1</f>
        <v>864.26680329675355</v>
      </c>
      <c r="AA1289" s="6">
        <f>('TE BE'!$AB$11+'TE BF'!$AB$11+'TE CVA'!$AB$11)*1</f>
        <v>510.04993331215127</v>
      </c>
      <c r="AB1289" s="6">
        <f>$K$1289*$V$1289</f>
        <v>0</v>
      </c>
      <c r="AC1289" s="6">
        <f>$M$1289*$W$1289</f>
        <v>-113.34156</v>
      </c>
      <c r="AD1289" s="6">
        <f>$O$1289*$X$1289</f>
        <v>-78.88785</v>
      </c>
      <c r="AE1289" s="6">
        <f>$K$1289*$Y$1289</f>
        <v>0</v>
      </c>
      <c r="AF1289" s="6">
        <f ca="1">$M$1289*$Z$1289</f>
        <v>-137.41842172418382</v>
      </c>
      <c r="AG1289" s="6">
        <f>$O$1289*$AA$1289</f>
        <v>-81.097939396632057</v>
      </c>
    </row>
    <row r="1290" spans="1:33" ht="11.25" customHeight="1" x14ac:dyDescent="0.25">
      <c r="A1290" s="4" t="s">
        <v>28</v>
      </c>
      <c r="B1290" s="4" t="s">
        <v>22</v>
      </c>
      <c r="C1290" s="4" t="s">
        <v>33</v>
      </c>
      <c r="D1290" s="4" t="s">
        <v>24</v>
      </c>
      <c r="E1290" s="4" t="s">
        <v>24</v>
      </c>
      <c r="F1290" s="4" t="s">
        <v>25</v>
      </c>
      <c r="G1290" s="4" t="s">
        <v>25</v>
      </c>
      <c r="H1290" s="4" t="s">
        <v>34</v>
      </c>
      <c r="I1290" s="5">
        <v>44531</v>
      </c>
      <c r="J1290" s="6">
        <v>0</v>
      </c>
      <c r="K1290" s="6">
        <v>0</v>
      </c>
      <c r="L1290" s="6">
        <v>0.129</v>
      </c>
      <c r="M1290" s="6">
        <v>0.129</v>
      </c>
      <c r="N1290" s="6">
        <v>0.129</v>
      </c>
      <c r="O1290" s="6">
        <v>0.129</v>
      </c>
      <c r="P1290" s="6">
        <v>0</v>
      </c>
      <c r="Q1290" s="4" t="s">
        <v>26</v>
      </c>
      <c r="R1290" s="4">
        <v>0</v>
      </c>
      <c r="S1290" s="6">
        <v>0</v>
      </c>
      <c r="T1290" s="6">
        <v>38</v>
      </c>
      <c r="U1290" s="6">
        <v>81</v>
      </c>
      <c r="V1290" s="6">
        <f>IF(ISERROR(VLOOKUP($S$1290,'TAR FIN'!$A$1:$O$116,15,0)),0,VLOOKUP($S$1290,'TAR FIN'!$A$1:$O$116,15,0))</f>
        <v>0</v>
      </c>
      <c r="W1290" s="6">
        <f>IF(ISERROR(VLOOKUP($T$1290,'TAR FIN'!$A$1:$O$116,15,0)),0,VLOOKUP($T$1290,'TAR FIN'!$A$1:$O$116,15,0))</f>
        <v>712.84</v>
      </c>
      <c r="X1290" s="6">
        <f>IF(ISERROR(VLOOKUP($U$1290,'TAR FIN'!$A$1:$O$116,15,0)),0,VLOOKUP($U$1290,'TAR FIN'!$A$1:$O$116,15,0))</f>
        <v>496.15</v>
      </c>
      <c r="Y1290" s="6"/>
      <c r="Z1290" s="6">
        <f ca="1">('TUSD BE'!$AM$40+'TUSD BF'!$AM$40+'TUSD CVA'!$AM$40)*1</f>
        <v>864.26680329675355</v>
      </c>
      <c r="AA1290" s="6">
        <f>('TE BE'!$AB$11+'TE BF'!$AB$11+'TE CVA'!$AB$11)*1</f>
        <v>510.04993331215127</v>
      </c>
      <c r="AB1290" s="6">
        <f>$K$1290*$V$1290</f>
        <v>0</v>
      </c>
      <c r="AC1290" s="6">
        <f>$M$1290*$W$1290</f>
        <v>91.956360000000004</v>
      </c>
      <c r="AD1290" s="6">
        <f>$O$1290*$X$1290</f>
        <v>64.003349999999998</v>
      </c>
      <c r="AE1290" s="6">
        <f>$K$1290*$Y$1290</f>
        <v>0</v>
      </c>
      <c r="AF1290" s="6">
        <f ca="1">$M$1290*$Z$1290</f>
        <v>111.49041762528121</v>
      </c>
      <c r="AG1290" s="6">
        <f>$O$1290*$AA$1290</f>
        <v>65.796441397267515</v>
      </c>
    </row>
    <row r="1291" spans="1:33" ht="11.25" customHeight="1" x14ac:dyDescent="0.25">
      <c r="A1291" s="4" t="s">
        <v>28</v>
      </c>
      <c r="B1291" s="4" t="s">
        <v>22</v>
      </c>
      <c r="C1291" s="4" t="s">
        <v>33</v>
      </c>
      <c r="D1291" s="4" t="s">
        <v>24</v>
      </c>
      <c r="E1291" s="4" t="s">
        <v>24</v>
      </c>
      <c r="F1291" s="4" t="s">
        <v>25</v>
      </c>
      <c r="G1291" s="4" t="s">
        <v>25</v>
      </c>
      <c r="H1291" s="4" t="s">
        <v>34</v>
      </c>
      <c r="I1291" s="5">
        <v>44531</v>
      </c>
      <c r="J1291" s="6">
        <v>0</v>
      </c>
      <c r="K1291" s="6">
        <v>0</v>
      </c>
      <c r="L1291" s="6">
        <v>-2.9000000000000001E-2</v>
      </c>
      <c r="M1291" s="6">
        <v>-2.9000000000000001E-2</v>
      </c>
      <c r="N1291" s="6">
        <v>-2.9000000000000001E-2</v>
      </c>
      <c r="O1291" s="6">
        <v>-2.9000000000000001E-2</v>
      </c>
      <c r="P1291" s="6">
        <v>0</v>
      </c>
      <c r="Q1291" s="4" t="s">
        <v>26</v>
      </c>
      <c r="R1291" s="4">
        <v>0</v>
      </c>
      <c r="S1291" s="6">
        <v>0</v>
      </c>
      <c r="T1291" s="6">
        <v>38</v>
      </c>
      <c r="U1291" s="6">
        <v>81</v>
      </c>
      <c r="V1291" s="6">
        <f>IF(ISERROR(VLOOKUP($S$1291,'TAR FIN'!$A$1:$O$116,15,0)),0,VLOOKUP($S$1291,'TAR FIN'!$A$1:$O$116,15,0))</f>
        <v>0</v>
      </c>
      <c r="W1291" s="6">
        <f>IF(ISERROR(VLOOKUP($T$1291,'TAR FIN'!$A$1:$O$116,15,0)),0,VLOOKUP($T$1291,'TAR FIN'!$A$1:$O$116,15,0))</f>
        <v>712.84</v>
      </c>
      <c r="X1291" s="6">
        <f>IF(ISERROR(VLOOKUP($U$1291,'TAR FIN'!$A$1:$O$116,15,0)),0,VLOOKUP($U$1291,'TAR FIN'!$A$1:$O$116,15,0))</f>
        <v>496.15</v>
      </c>
      <c r="Y1291" s="6"/>
      <c r="Z1291" s="6">
        <f ca="1">('TUSD BE'!$AM$40+'TUSD BF'!$AM$40+'TUSD CVA'!$AM$40)*1</f>
        <v>864.26680329675355</v>
      </c>
      <c r="AA1291" s="6">
        <f>('TE BE'!$AB$11+'TE BF'!$AB$11+'TE CVA'!$AB$11)*1</f>
        <v>510.04993331215127</v>
      </c>
      <c r="AB1291" s="6">
        <f>$K$1291*$V$1291</f>
        <v>0</v>
      </c>
      <c r="AC1291" s="6">
        <f>$M$1291*$W$1291</f>
        <v>-20.672360000000001</v>
      </c>
      <c r="AD1291" s="6">
        <f>$O$1291*$X$1291</f>
        <v>-14.388350000000001</v>
      </c>
      <c r="AE1291" s="6">
        <f>$K$1291*$Y$1291</f>
        <v>0</v>
      </c>
      <c r="AF1291" s="6">
        <f ca="1">$M$1291*$Z$1291</f>
        <v>-25.063737295605854</v>
      </c>
      <c r="AG1291" s="6">
        <f>$O$1291*$AA$1291</f>
        <v>-14.791448066052387</v>
      </c>
    </row>
    <row r="1292" spans="1:33" ht="11.25" customHeight="1" x14ac:dyDescent="0.25">
      <c r="A1292" s="4" t="s">
        <v>21</v>
      </c>
      <c r="B1292" s="4" t="s">
        <v>22</v>
      </c>
      <c r="C1292" s="4" t="s">
        <v>33</v>
      </c>
      <c r="D1292" s="4" t="s">
        <v>24</v>
      </c>
      <c r="E1292" s="4" t="s">
        <v>24</v>
      </c>
      <c r="F1292" s="4" t="s">
        <v>25</v>
      </c>
      <c r="G1292" s="4" t="s">
        <v>25</v>
      </c>
      <c r="H1292" s="4" t="s">
        <v>34</v>
      </c>
      <c r="I1292" s="5">
        <v>44562</v>
      </c>
      <c r="J1292" s="6">
        <v>0</v>
      </c>
      <c r="K1292" s="6">
        <v>0</v>
      </c>
      <c r="L1292" s="6">
        <v>1.1299999999999999</v>
      </c>
      <c r="M1292" s="6">
        <v>1.1299999999999999</v>
      </c>
      <c r="N1292" s="6">
        <v>1.1299999999999999</v>
      </c>
      <c r="O1292" s="6">
        <v>1.1299999999999999</v>
      </c>
      <c r="P1292" s="6">
        <v>0</v>
      </c>
      <c r="Q1292" s="4" t="s">
        <v>26</v>
      </c>
      <c r="R1292" s="4">
        <v>0</v>
      </c>
      <c r="S1292" s="6">
        <v>0</v>
      </c>
      <c r="T1292" s="6">
        <v>38</v>
      </c>
      <c r="U1292" s="6">
        <v>81</v>
      </c>
      <c r="V1292" s="6">
        <f>IF(ISERROR(VLOOKUP($S$1292,'TAR FIN'!$A$1:$O$116,15,0)),0,VLOOKUP($S$1292,'TAR FIN'!$A$1:$O$116,15,0))</f>
        <v>0</v>
      </c>
      <c r="W1292" s="6">
        <f>IF(ISERROR(VLOOKUP($T$1292,'TAR FIN'!$A$1:$O$116,15,0)),0,VLOOKUP($T$1292,'TAR FIN'!$A$1:$O$116,15,0))</f>
        <v>712.84</v>
      </c>
      <c r="X1292" s="6">
        <f>IF(ISERROR(VLOOKUP($U$1292,'TAR FIN'!$A$1:$O$116,15,0)),0,VLOOKUP($U$1292,'TAR FIN'!$A$1:$O$116,15,0))</f>
        <v>496.15</v>
      </c>
      <c r="Y1292" s="6"/>
      <c r="Z1292" s="6">
        <f ca="1">('TUSD BE'!$AM$40+'TUSD BF'!$AM$40+'TUSD CVA'!$AM$40)*1</f>
        <v>864.26680329675355</v>
      </c>
      <c r="AA1292" s="6">
        <f>('TE BE'!$AB$11+'TE BF'!$AB$11+'TE CVA'!$AB$11)*1</f>
        <v>510.04993331215127</v>
      </c>
      <c r="AB1292" s="6">
        <f>$K$1292*$V$1292</f>
        <v>0</v>
      </c>
      <c r="AC1292" s="6">
        <f>$M$1292*$W$1292</f>
        <v>805.50919999999996</v>
      </c>
      <c r="AD1292" s="6">
        <f>$O$1292*$X$1292</f>
        <v>560.64949999999988</v>
      </c>
      <c r="AE1292" s="6">
        <f>$K$1292*$Y$1292</f>
        <v>0</v>
      </c>
      <c r="AF1292" s="6">
        <f ca="1">$M$1292*$Z$1292</f>
        <v>976.62148772533146</v>
      </c>
      <c r="AG1292" s="6">
        <f>$O$1292*$AA$1292</f>
        <v>576.35642464273087</v>
      </c>
    </row>
    <row r="1293" spans="1:33" ht="11.25" customHeight="1" x14ac:dyDescent="0.25">
      <c r="A1293" s="4" t="s">
        <v>28</v>
      </c>
      <c r="B1293" s="4" t="s">
        <v>22</v>
      </c>
      <c r="C1293" s="4" t="s">
        <v>33</v>
      </c>
      <c r="D1293" s="4" t="s">
        <v>24</v>
      </c>
      <c r="E1293" s="4" t="s">
        <v>24</v>
      </c>
      <c r="F1293" s="4" t="s">
        <v>25</v>
      </c>
      <c r="G1293" s="4" t="s">
        <v>25</v>
      </c>
      <c r="H1293" s="4" t="s">
        <v>34</v>
      </c>
      <c r="I1293" s="5">
        <v>44562</v>
      </c>
      <c r="J1293" s="6">
        <v>0</v>
      </c>
      <c r="K1293" s="6">
        <v>0</v>
      </c>
      <c r="L1293" s="6">
        <v>0.28299999999999997</v>
      </c>
      <c r="M1293" s="6">
        <v>0.28299999999999997</v>
      </c>
      <c r="N1293" s="6">
        <v>0.28299999999999997</v>
      </c>
      <c r="O1293" s="6">
        <v>0.28299999999999997</v>
      </c>
      <c r="P1293" s="6">
        <v>0</v>
      </c>
      <c r="Q1293" s="4" t="s">
        <v>26</v>
      </c>
      <c r="R1293" s="4">
        <v>0</v>
      </c>
      <c r="S1293" s="6">
        <v>0</v>
      </c>
      <c r="T1293" s="6">
        <v>38</v>
      </c>
      <c r="U1293" s="6">
        <v>81</v>
      </c>
      <c r="V1293" s="6">
        <f>IF(ISERROR(VLOOKUP($S$1293,'TAR FIN'!$A$1:$O$116,15,0)),0,VLOOKUP($S$1293,'TAR FIN'!$A$1:$O$116,15,0))</f>
        <v>0</v>
      </c>
      <c r="W1293" s="6">
        <f>IF(ISERROR(VLOOKUP($T$1293,'TAR FIN'!$A$1:$O$116,15,0)),0,VLOOKUP($T$1293,'TAR FIN'!$A$1:$O$116,15,0))</f>
        <v>712.84</v>
      </c>
      <c r="X1293" s="6">
        <f>IF(ISERROR(VLOOKUP($U$1293,'TAR FIN'!$A$1:$O$116,15,0)),0,VLOOKUP($U$1293,'TAR FIN'!$A$1:$O$116,15,0))</f>
        <v>496.15</v>
      </c>
      <c r="Y1293" s="6"/>
      <c r="Z1293" s="6">
        <f ca="1">('TUSD BE'!$AM$40+'TUSD BF'!$AM$40+'TUSD CVA'!$AM$40)*1</f>
        <v>864.26680329675355</v>
      </c>
      <c r="AA1293" s="6">
        <f>('TE BE'!$AB$11+'TE BF'!$AB$11+'TE CVA'!$AB$11)*1</f>
        <v>510.04993331215127</v>
      </c>
      <c r="AB1293" s="6">
        <f>$K$1293*$V$1293</f>
        <v>0</v>
      </c>
      <c r="AC1293" s="6">
        <f>$M$1293*$W$1293</f>
        <v>201.73371999999998</v>
      </c>
      <c r="AD1293" s="6">
        <f>$O$1293*$X$1293</f>
        <v>140.41044999999997</v>
      </c>
      <c r="AE1293" s="6">
        <f>$K$1293*$Y$1293</f>
        <v>0</v>
      </c>
      <c r="AF1293" s="6">
        <f ca="1">$M$1293*$Z$1293</f>
        <v>244.58750533298124</v>
      </c>
      <c r="AG1293" s="6">
        <f>$O$1293*$AA$1293</f>
        <v>144.34413112733878</v>
      </c>
    </row>
    <row r="1294" spans="1:33" ht="11.25" customHeight="1" x14ac:dyDescent="0.25">
      <c r="A1294" s="4" t="s">
        <v>21</v>
      </c>
      <c r="B1294" s="4" t="s">
        <v>22</v>
      </c>
      <c r="C1294" s="4" t="s">
        <v>33</v>
      </c>
      <c r="D1294" s="4" t="s">
        <v>24</v>
      </c>
      <c r="E1294" s="4" t="s">
        <v>24</v>
      </c>
      <c r="F1294" s="4" t="s">
        <v>25</v>
      </c>
      <c r="G1294" s="4" t="s">
        <v>25</v>
      </c>
      <c r="H1294" s="4" t="s">
        <v>34</v>
      </c>
      <c r="I1294" s="5">
        <v>44593</v>
      </c>
      <c r="J1294" s="6">
        <v>0</v>
      </c>
      <c r="K1294" s="6">
        <v>0</v>
      </c>
      <c r="L1294" s="6">
        <v>1.26</v>
      </c>
      <c r="M1294" s="6">
        <v>1.26</v>
      </c>
      <c r="N1294" s="6">
        <v>1.26</v>
      </c>
      <c r="O1294" s="6">
        <v>1.26</v>
      </c>
      <c r="P1294" s="6">
        <v>0</v>
      </c>
      <c r="Q1294" s="4" t="s">
        <v>26</v>
      </c>
      <c r="R1294" s="4">
        <v>0</v>
      </c>
      <c r="S1294" s="6">
        <v>0</v>
      </c>
      <c r="T1294" s="6">
        <v>38</v>
      </c>
      <c r="U1294" s="6">
        <v>81</v>
      </c>
      <c r="V1294" s="6">
        <f>IF(ISERROR(VLOOKUP($S$1294,'TAR FIN'!$A$1:$O$116,15,0)),0,VLOOKUP($S$1294,'TAR FIN'!$A$1:$O$116,15,0))</f>
        <v>0</v>
      </c>
      <c r="W1294" s="6">
        <f>IF(ISERROR(VLOOKUP($T$1294,'TAR FIN'!$A$1:$O$116,15,0)),0,VLOOKUP($T$1294,'TAR FIN'!$A$1:$O$116,15,0))</f>
        <v>712.84</v>
      </c>
      <c r="X1294" s="6">
        <f>IF(ISERROR(VLOOKUP($U$1294,'TAR FIN'!$A$1:$O$116,15,0)),0,VLOOKUP($U$1294,'TAR FIN'!$A$1:$O$116,15,0))</f>
        <v>496.15</v>
      </c>
      <c r="Y1294" s="6"/>
      <c r="Z1294" s="6">
        <f ca="1">('TUSD BE'!$AM$40+'TUSD BF'!$AM$40+'TUSD CVA'!$AM$40)*1</f>
        <v>864.26680329675355</v>
      </c>
      <c r="AA1294" s="6">
        <f>('TE BE'!$AB$11+'TE BF'!$AB$11+'TE CVA'!$AB$11)*1</f>
        <v>510.04993331215127</v>
      </c>
      <c r="AB1294" s="6">
        <f>$K$1294*$V$1294</f>
        <v>0</v>
      </c>
      <c r="AC1294" s="6">
        <f>$M$1294*$W$1294</f>
        <v>898.17840000000001</v>
      </c>
      <c r="AD1294" s="6">
        <f>$O$1294*$X$1294</f>
        <v>625.149</v>
      </c>
      <c r="AE1294" s="6">
        <f>$K$1294*$Y$1294</f>
        <v>0</v>
      </c>
      <c r="AF1294" s="6">
        <f ca="1">$M$1294*$Z$1294</f>
        <v>1088.9761721539094</v>
      </c>
      <c r="AG1294" s="6">
        <f>$O$1294*$AA$1294</f>
        <v>642.66291597331065</v>
      </c>
    </row>
    <row r="1295" spans="1:33" ht="11.25" customHeight="1" x14ac:dyDescent="0.25">
      <c r="A1295" s="4" t="s">
        <v>28</v>
      </c>
      <c r="B1295" s="4" t="s">
        <v>22</v>
      </c>
      <c r="C1295" s="4" t="s">
        <v>33</v>
      </c>
      <c r="D1295" s="4" t="s">
        <v>24</v>
      </c>
      <c r="E1295" s="4" t="s">
        <v>24</v>
      </c>
      <c r="F1295" s="4" t="s">
        <v>25</v>
      </c>
      <c r="G1295" s="4" t="s">
        <v>25</v>
      </c>
      <c r="H1295" s="4" t="s">
        <v>34</v>
      </c>
      <c r="I1295" s="5">
        <v>44593</v>
      </c>
      <c r="J1295" s="6">
        <v>0</v>
      </c>
      <c r="K1295" s="6">
        <v>0</v>
      </c>
      <c r="L1295" s="6">
        <v>0.311</v>
      </c>
      <c r="M1295" s="6">
        <v>0.311</v>
      </c>
      <c r="N1295" s="6">
        <v>0.311</v>
      </c>
      <c r="O1295" s="6">
        <v>0.311</v>
      </c>
      <c r="P1295" s="6">
        <v>0</v>
      </c>
      <c r="Q1295" s="4" t="s">
        <v>26</v>
      </c>
      <c r="R1295" s="4">
        <v>0</v>
      </c>
      <c r="S1295" s="6">
        <v>0</v>
      </c>
      <c r="T1295" s="6">
        <v>38</v>
      </c>
      <c r="U1295" s="6">
        <v>81</v>
      </c>
      <c r="V1295" s="6">
        <f>IF(ISERROR(VLOOKUP($S$1295,'TAR FIN'!$A$1:$O$116,15,0)),0,VLOOKUP($S$1295,'TAR FIN'!$A$1:$O$116,15,0))</f>
        <v>0</v>
      </c>
      <c r="W1295" s="6">
        <f>IF(ISERROR(VLOOKUP($T$1295,'TAR FIN'!$A$1:$O$116,15,0)),0,VLOOKUP($T$1295,'TAR FIN'!$A$1:$O$116,15,0))</f>
        <v>712.84</v>
      </c>
      <c r="X1295" s="6">
        <f>IF(ISERROR(VLOOKUP($U$1295,'TAR FIN'!$A$1:$O$116,15,0)),0,VLOOKUP($U$1295,'TAR FIN'!$A$1:$O$116,15,0))</f>
        <v>496.15</v>
      </c>
      <c r="Y1295" s="6"/>
      <c r="Z1295" s="6">
        <f ca="1">('TUSD BE'!$AM$40+'TUSD BF'!$AM$40+'TUSD CVA'!$AM$40)*1</f>
        <v>864.26680329675355</v>
      </c>
      <c r="AA1295" s="6">
        <f>('TE BE'!$AB$11+'TE BF'!$AB$11+'TE CVA'!$AB$11)*1</f>
        <v>510.04993331215127</v>
      </c>
      <c r="AB1295" s="6">
        <f>$K$1295*$V$1295</f>
        <v>0</v>
      </c>
      <c r="AC1295" s="6">
        <f>$M$1295*$W$1295</f>
        <v>221.69324</v>
      </c>
      <c r="AD1295" s="6">
        <f>$O$1295*$X$1295</f>
        <v>154.30265</v>
      </c>
      <c r="AE1295" s="6">
        <f>$K$1295*$Y$1295</f>
        <v>0</v>
      </c>
      <c r="AF1295" s="6">
        <f ca="1">$M$1295*$Z$1295</f>
        <v>268.78697582529037</v>
      </c>
      <c r="AG1295" s="6">
        <f>$O$1295*$AA$1295</f>
        <v>158.62552926007905</v>
      </c>
    </row>
    <row r="1296" spans="1:33" ht="11.25" customHeight="1" x14ac:dyDescent="0.25">
      <c r="A1296" s="4" t="s">
        <v>28</v>
      </c>
      <c r="B1296" s="4" t="s">
        <v>22</v>
      </c>
      <c r="C1296" s="4" t="s">
        <v>33</v>
      </c>
      <c r="D1296" s="4" t="s">
        <v>24</v>
      </c>
      <c r="E1296" s="4" t="s">
        <v>24</v>
      </c>
      <c r="F1296" s="4" t="s">
        <v>25</v>
      </c>
      <c r="G1296" s="4" t="s">
        <v>25</v>
      </c>
      <c r="H1296" s="4" t="s">
        <v>34</v>
      </c>
      <c r="I1296" s="5">
        <v>44593</v>
      </c>
      <c r="J1296" s="6">
        <v>0</v>
      </c>
      <c r="K1296" s="6">
        <v>0</v>
      </c>
      <c r="L1296" s="6">
        <v>-2.8000000000000001E-2</v>
      </c>
      <c r="M1296" s="6">
        <v>-2.8000000000000001E-2</v>
      </c>
      <c r="N1296" s="6">
        <v>-2.8000000000000001E-2</v>
      </c>
      <c r="O1296" s="6">
        <v>-2.8000000000000001E-2</v>
      </c>
      <c r="P1296" s="6">
        <v>0</v>
      </c>
      <c r="Q1296" s="4" t="s">
        <v>26</v>
      </c>
      <c r="R1296" s="4">
        <v>0</v>
      </c>
      <c r="S1296" s="6">
        <v>0</v>
      </c>
      <c r="T1296" s="6">
        <v>38</v>
      </c>
      <c r="U1296" s="6">
        <v>81</v>
      </c>
      <c r="V1296" s="6">
        <f>IF(ISERROR(VLOOKUP($S$1296,'TAR FIN'!$A$1:$O$116,15,0)),0,VLOOKUP($S$1296,'TAR FIN'!$A$1:$O$116,15,0))</f>
        <v>0</v>
      </c>
      <c r="W1296" s="6">
        <f>IF(ISERROR(VLOOKUP($T$1296,'TAR FIN'!$A$1:$O$116,15,0)),0,VLOOKUP($T$1296,'TAR FIN'!$A$1:$O$116,15,0))</f>
        <v>712.84</v>
      </c>
      <c r="X1296" s="6">
        <f>IF(ISERROR(VLOOKUP($U$1296,'TAR FIN'!$A$1:$O$116,15,0)),0,VLOOKUP($U$1296,'TAR FIN'!$A$1:$O$116,15,0))</f>
        <v>496.15</v>
      </c>
      <c r="Y1296" s="6"/>
      <c r="Z1296" s="6">
        <f ca="1">('TUSD BE'!$AM$40+'TUSD BF'!$AM$40+'TUSD CVA'!$AM$40)*1</f>
        <v>864.26680329675355</v>
      </c>
      <c r="AA1296" s="6">
        <f>('TE BE'!$AB$11+'TE BF'!$AB$11+'TE CVA'!$AB$11)*1</f>
        <v>510.04993331215127</v>
      </c>
      <c r="AB1296" s="6">
        <f>$K$1296*$V$1296</f>
        <v>0</v>
      </c>
      <c r="AC1296" s="6">
        <f>$M$1296*$W$1296</f>
        <v>-19.959520000000001</v>
      </c>
      <c r="AD1296" s="6">
        <f>$O$1296*$X$1296</f>
        <v>-13.892199999999999</v>
      </c>
      <c r="AE1296" s="6">
        <f>$K$1296*$Y$1296</f>
        <v>0</v>
      </c>
      <c r="AF1296" s="6">
        <f ca="1">$M$1296*$Z$1296</f>
        <v>-24.1994704923091</v>
      </c>
      <c r="AG1296" s="6">
        <f>$O$1296*$AA$1296</f>
        <v>-14.281398132740236</v>
      </c>
    </row>
    <row r="1297" spans="1:33" ht="11.25" customHeight="1" x14ac:dyDescent="0.25">
      <c r="A1297" s="4" t="s">
        <v>21</v>
      </c>
      <c r="B1297" s="4" t="s">
        <v>22</v>
      </c>
      <c r="C1297" s="4" t="s">
        <v>33</v>
      </c>
      <c r="D1297" s="4" t="s">
        <v>24</v>
      </c>
      <c r="E1297" s="4" t="s">
        <v>24</v>
      </c>
      <c r="F1297" s="4" t="s">
        <v>25</v>
      </c>
      <c r="G1297" s="4" t="s">
        <v>25</v>
      </c>
      <c r="H1297" s="4" t="s">
        <v>34</v>
      </c>
      <c r="I1297" s="5">
        <v>44621</v>
      </c>
      <c r="J1297" s="6">
        <v>0</v>
      </c>
      <c r="K1297" s="6">
        <v>0</v>
      </c>
      <c r="L1297" s="6">
        <v>1.369</v>
      </c>
      <c r="M1297" s="6">
        <v>1.369</v>
      </c>
      <c r="N1297" s="6">
        <v>1.369</v>
      </c>
      <c r="O1297" s="6">
        <v>1.369</v>
      </c>
      <c r="P1297" s="6">
        <v>0</v>
      </c>
      <c r="Q1297" s="4" t="s">
        <v>26</v>
      </c>
      <c r="R1297" s="4">
        <v>0</v>
      </c>
      <c r="S1297" s="6">
        <v>0</v>
      </c>
      <c r="T1297" s="6">
        <v>38</v>
      </c>
      <c r="U1297" s="6">
        <v>81</v>
      </c>
      <c r="V1297" s="6">
        <f>IF(ISERROR(VLOOKUP($S$1297,'TAR FIN'!$A$1:$O$116,15,0)),0,VLOOKUP($S$1297,'TAR FIN'!$A$1:$O$116,15,0))</f>
        <v>0</v>
      </c>
      <c r="W1297" s="6">
        <f>IF(ISERROR(VLOOKUP($T$1297,'TAR FIN'!$A$1:$O$116,15,0)),0,VLOOKUP($T$1297,'TAR FIN'!$A$1:$O$116,15,0))</f>
        <v>712.84</v>
      </c>
      <c r="X1297" s="6">
        <f>IF(ISERROR(VLOOKUP($U$1297,'TAR FIN'!$A$1:$O$116,15,0)),0,VLOOKUP($U$1297,'TAR FIN'!$A$1:$O$116,15,0))</f>
        <v>496.15</v>
      </c>
      <c r="Y1297" s="6"/>
      <c r="Z1297" s="6">
        <f ca="1">('TUSD BE'!$AM$40+'TUSD BF'!$AM$40+'TUSD CVA'!$AM$40)*1</f>
        <v>864.26680329675355</v>
      </c>
      <c r="AA1297" s="6">
        <f>('TE BE'!$AB$11+'TE BF'!$AB$11+'TE CVA'!$AB$11)*1</f>
        <v>510.04993331215127</v>
      </c>
      <c r="AB1297" s="6">
        <f>$K$1297*$V$1297</f>
        <v>0</v>
      </c>
      <c r="AC1297" s="6">
        <f>$M$1297*$W$1297</f>
        <v>975.87796000000003</v>
      </c>
      <c r="AD1297" s="6">
        <f>$O$1297*$X$1297</f>
        <v>679.22934999999995</v>
      </c>
      <c r="AE1297" s="6">
        <f>$K$1297*$Y$1297</f>
        <v>0</v>
      </c>
      <c r="AF1297" s="6">
        <f ca="1">$M$1297*$Z$1297</f>
        <v>1183.1812537132555</v>
      </c>
      <c r="AG1297" s="6">
        <f>$O$1297*$AA$1297</f>
        <v>698.25835870433514</v>
      </c>
    </row>
    <row r="1298" spans="1:33" ht="11.25" customHeight="1" x14ac:dyDescent="0.25">
      <c r="A1298" s="4" t="s">
        <v>28</v>
      </c>
      <c r="B1298" s="4" t="s">
        <v>22</v>
      </c>
      <c r="C1298" s="4" t="s">
        <v>33</v>
      </c>
      <c r="D1298" s="4" t="s">
        <v>24</v>
      </c>
      <c r="E1298" s="4" t="s">
        <v>24</v>
      </c>
      <c r="F1298" s="4" t="s">
        <v>25</v>
      </c>
      <c r="G1298" s="4" t="s">
        <v>25</v>
      </c>
      <c r="H1298" s="4" t="s">
        <v>34</v>
      </c>
      <c r="I1298" s="5">
        <v>44621</v>
      </c>
      <c r="J1298" s="6">
        <v>0</v>
      </c>
      <c r="K1298" s="6">
        <v>0</v>
      </c>
      <c r="L1298" s="6">
        <v>0.17799999999999999</v>
      </c>
      <c r="M1298" s="6">
        <v>0.17799999999999999</v>
      </c>
      <c r="N1298" s="6">
        <v>0.17799999999999999</v>
      </c>
      <c r="O1298" s="6">
        <v>0.17799999999999999</v>
      </c>
      <c r="P1298" s="6">
        <v>0</v>
      </c>
      <c r="Q1298" s="4" t="s">
        <v>26</v>
      </c>
      <c r="R1298" s="4">
        <v>0</v>
      </c>
      <c r="S1298" s="6">
        <v>0</v>
      </c>
      <c r="T1298" s="6">
        <v>38</v>
      </c>
      <c r="U1298" s="6">
        <v>81</v>
      </c>
      <c r="V1298" s="6">
        <f>IF(ISERROR(VLOOKUP($S$1298,'TAR FIN'!$A$1:$O$116,15,0)),0,VLOOKUP($S$1298,'TAR FIN'!$A$1:$O$116,15,0))</f>
        <v>0</v>
      </c>
      <c r="W1298" s="6">
        <f>IF(ISERROR(VLOOKUP($T$1298,'TAR FIN'!$A$1:$O$116,15,0)),0,VLOOKUP($T$1298,'TAR FIN'!$A$1:$O$116,15,0))</f>
        <v>712.84</v>
      </c>
      <c r="X1298" s="6">
        <f>IF(ISERROR(VLOOKUP($U$1298,'TAR FIN'!$A$1:$O$116,15,0)),0,VLOOKUP($U$1298,'TAR FIN'!$A$1:$O$116,15,0))</f>
        <v>496.15</v>
      </c>
      <c r="Y1298" s="6"/>
      <c r="Z1298" s="6">
        <f ca="1">('TUSD BE'!$AM$40+'TUSD BF'!$AM$40+'TUSD CVA'!$AM$40)*1</f>
        <v>864.26680329675355</v>
      </c>
      <c r="AA1298" s="6">
        <f>('TE BE'!$AB$11+'TE BF'!$AB$11+'TE CVA'!$AB$11)*1</f>
        <v>510.04993331215127</v>
      </c>
      <c r="AB1298" s="6">
        <f>$K$1298*$V$1298</f>
        <v>0</v>
      </c>
      <c r="AC1298" s="6">
        <f>$M$1298*$W$1298</f>
        <v>126.88552</v>
      </c>
      <c r="AD1298" s="6">
        <f>$O$1298*$X$1298</f>
        <v>88.314699999999988</v>
      </c>
      <c r="AE1298" s="6">
        <f>$K$1298*$Y$1298</f>
        <v>0</v>
      </c>
      <c r="AF1298" s="6">
        <f ca="1">$M$1298*$Z$1298</f>
        <v>153.83949098682211</v>
      </c>
      <c r="AG1298" s="6">
        <f>$O$1298*$AA$1298</f>
        <v>90.78888812956292</v>
      </c>
    </row>
    <row r="1299" spans="1:33" ht="11.25" customHeight="1" x14ac:dyDescent="0.25">
      <c r="A1299" s="4" t="s">
        <v>21</v>
      </c>
      <c r="B1299" s="4" t="s">
        <v>22</v>
      </c>
      <c r="C1299" s="4" t="s">
        <v>33</v>
      </c>
      <c r="D1299" s="4" t="s">
        <v>24</v>
      </c>
      <c r="E1299" s="4" t="s">
        <v>24</v>
      </c>
      <c r="F1299" s="4" t="s">
        <v>25</v>
      </c>
      <c r="G1299" s="4" t="s">
        <v>25</v>
      </c>
      <c r="H1299" s="4" t="s">
        <v>34</v>
      </c>
      <c r="I1299" s="5">
        <v>44652</v>
      </c>
      <c r="J1299" s="6">
        <v>0</v>
      </c>
      <c r="K1299" s="6">
        <v>0</v>
      </c>
      <c r="L1299" s="6">
        <v>0.93500000000000005</v>
      </c>
      <c r="M1299" s="6">
        <v>0.93500000000000005</v>
      </c>
      <c r="N1299" s="6">
        <v>0.93500000000000005</v>
      </c>
      <c r="O1299" s="6">
        <v>0.93500000000000005</v>
      </c>
      <c r="P1299" s="6">
        <v>0</v>
      </c>
      <c r="Q1299" s="4" t="s">
        <v>26</v>
      </c>
      <c r="R1299" s="4">
        <v>0</v>
      </c>
      <c r="S1299" s="6">
        <v>0</v>
      </c>
      <c r="T1299" s="6">
        <v>38</v>
      </c>
      <c r="U1299" s="6">
        <v>81</v>
      </c>
      <c r="V1299" s="6">
        <f>IF(ISERROR(VLOOKUP($S$1299,'TAR FIN'!$A$1:$O$116,15,0)),0,VLOOKUP($S$1299,'TAR FIN'!$A$1:$O$116,15,0))</f>
        <v>0</v>
      </c>
      <c r="W1299" s="6">
        <f>IF(ISERROR(VLOOKUP($T$1299,'TAR FIN'!$A$1:$O$116,15,0)),0,VLOOKUP($T$1299,'TAR FIN'!$A$1:$O$116,15,0))</f>
        <v>712.84</v>
      </c>
      <c r="X1299" s="6">
        <f>IF(ISERROR(VLOOKUP($U$1299,'TAR FIN'!$A$1:$O$116,15,0)),0,VLOOKUP($U$1299,'TAR FIN'!$A$1:$O$116,15,0))</f>
        <v>496.15</v>
      </c>
      <c r="Y1299" s="6"/>
      <c r="Z1299" s="6">
        <f ca="1">('TUSD BE'!$AM$40+'TUSD BF'!$AM$40+'TUSD CVA'!$AM$40)*1</f>
        <v>864.26680329675355</v>
      </c>
      <c r="AA1299" s="6">
        <f>('TE BE'!$AB$11+'TE BF'!$AB$11+'TE CVA'!$AB$11)*1</f>
        <v>510.04993331215127</v>
      </c>
      <c r="AB1299" s="6">
        <f>$K$1299*$V$1299</f>
        <v>0</v>
      </c>
      <c r="AC1299" s="6">
        <f>$M$1299*$W$1299</f>
        <v>666.50540000000012</v>
      </c>
      <c r="AD1299" s="6">
        <f>$O$1299*$X$1299</f>
        <v>463.90025000000003</v>
      </c>
      <c r="AE1299" s="6">
        <f>$K$1299*$Y$1299</f>
        <v>0</v>
      </c>
      <c r="AF1299" s="6">
        <f ca="1">$M$1299*$Z$1299</f>
        <v>808.0894610824646</v>
      </c>
      <c r="AG1299" s="6">
        <f>$O$1299*$AA$1299</f>
        <v>476.89668764686144</v>
      </c>
    </row>
    <row r="1300" spans="1:33" ht="11.25" customHeight="1" x14ac:dyDescent="0.25">
      <c r="A1300" s="4" t="s">
        <v>28</v>
      </c>
      <c r="B1300" s="4" t="s">
        <v>22</v>
      </c>
      <c r="C1300" s="4" t="s">
        <v>33</v>
      </c>
      <c r="D1300" s="4" t="s">
        <v>24</v>
      </c>
      <c r="E1300" s="4" t="s">
        <v>24</v>
      </c>
      <c r="F1300" s="4" t="s">
        <v>25</v>
      </c>
      <c r="G1300" s="4" t="s">
        <v>25</v>
      </c>
      <c r="H1300" s="4" t="s">
        <v>34</v>
      </c>
      <c r="I1300" s="5">
        <v>44652</v>
      </c>
      <c r="J1300" s="6">
        <v>0</v>
      </c>
      <c r="K1300" s="6">
        <v>0</v>
      </c>
      <c r="L1300" s="6">
        <v>0.193</v>
      </c>
      <c r="M1300" s="6">
        <v>0.193</v>
      </c>
      <c r="N1300" s="6">
        <v>0.193</v>
      </c>
      <c r="O1300" s="6">
        <v>0.193</v>
      </c>
      <c r="P1300" s="6">
        <v>0</v>
      </c>
      <c r="Q1300" s="4" t="s">
        <v>26</v>
      </c>
      <c r="R1300" s="4">
        <v>0</v>
      </c>
      <c r="S1300" s="6">
        <v>0</v>
      </c>
      <c r="T1300" s="6">
        <v>38</v>
      </c>
      <c r="U1300" s="6">
        <v>81</v>
      </c>
      <c r="V1300" s="6">
        <f>IF(ISERROR(VLOOKUP($S$1300,'TAR FIN'!$A$1:$O$116,15,0)),0,VLOOKUP($S$1300,'TAR FIN'!$A$1:$O$116,15,0))</f>
        <v>0</v>
      </c>
      <c r="W1300" s="6">
        <f>IF(ISERROR(VLOOKUP($T$1300,'TAR FIN'!$A$1:$O$116,15,0)),0,VLOOKUP($T$1300,'TAR FIN'!$A$1:$O$116,15,0))</f>
        <v>712.84</v>
      </c>
      <c r="X1300" s="6">
        <f>IF(ISERROR(VLOOKUP($U$1300,'TAR FIN'!$A$1:$O$116,15,0)),0,VLOOKUP($U$1300,'TAR FIN'!$A$1:$O$116,15,0))</f>
        <v>496.15</v>
      </c>
      <c r="Y1300" s="6"/>
      <c r="Z1300" s="6">
        <f ca="1">('TUSD BE'!$AM$40+'TUSD BF'!$AM$40+'TUSD CVA'!$AM$40)*1</f>
        <v>864.26680329675355</v>
      </c>
      <c r="AA1300" s="6">
        <f>('TE BE'!$AB$11+'TE BF'!$AB$11+'TE CVA'!$AB$11)*1</f>
        <v>510.04993331215127</v>
      </c>
      <c r="AB1300" s="6">
        <f>$K$1300*$V$1300</f>
        <v>0</v>
      </c>
      <c r="AC1300" s="6">
        <f>$M$1300*$W$1300</f>
        <v>137.57812000000001</v>
      </c>
      <c r="AD1300" s="6">
        <f>$O$1300*$X$1300</f>
        <v>95.756950000000003</v>
      </c>
      <c r="AE1300" s="6">
        <f>$K$1300*$Y$1300</f>
        <v>0</v>
      </c>
      <c r="AF1300" s="6">
        <f ca="1">$M$1300*$Z$1300</f>
        <v>166.80349303627344</v>
      </c>
      <c r="AG1300" s="6">
        <f>$O$1300*$AA$1300</f>
        <v>98.439637129245199</v>
      </c>
    </row>
    <row r="1301" spans="1:33" ht="11.25" customHeight="1" x14ac:dyDescent="0.25">
      <c r="A1301" s="4" t="s">
        <v>58</v>
      </c>
      <c r="B1301" s="4" t="s">
        <v>22</v>
      </c>
      <c r="C1301" s="4" t="s">
        <v>33</v>
      </c>
      <c r="D1301" s="4" t="s">
        <v>24</v>
      </c>
      <c r="E1301" s="4" t="s">
        <v>24</v>
      </c>
      <c r="F1301" s="4" t="s">
        <v>25</v>
      </c>
      <c r="G1301" s="4" t="s">
        <v>25</v>
      </c>
      <c r="H1301" s="4" t="s">
        <v>34</v>
      </c>
      <c r="I1301" s="5">
        <v>44682</v>
      </c>
      <c r="J1301" s="6">
        <v>0</v>
      </c>
      <c r="K1301" s="6">
        <v>0</v>
      </c>
      <c r="L1301" s="6">
        <v>0.93500000000000005</v>
      </c>
      <c r="M1301" s="6">
        <v>0.93500000000000005</v>
      </c>
      <c r="N1301" s="6">
        <v>0.93500000000000005</v>
      </c>
      <c r="O1301" s="6">
        <v>0.93500000000000005</v>
      </c>
      <c r="P1301" s="6">
        <v>0</v>
      </c>
      <c r="Q1301" s="4" t="s">
        <v>26</v>
      </c>
      <c r="R1301" s="4">
        <v>0</v>
      </c>
      <c r="S1301" s="6">
        <v>0</v>
      </c>
      <c r="T1301" s="6">
        <v>38</v>
      </c>
      <c r="U1301" s="6">
        <v>81</v>
      </c>
      <c r="V1301" s="6">
        <f>IF(ISERROR(VLOOKUP($S$1301,'TAR FIN'!$A$1:$O$116,15,0)),0,VLOOKUP($S$1301,'TAR FIN'!$A$1:$O$116,15,0))</f>
        <v>0</v>
      </c>
      <c r="W1301" s="6">
        <f>IF(ISERROR(VLOOKUP($T$1301,'TAR FIN'!$A$1:$O$116,15,0)),0,VLOOKUP($T$1301,'TAR FIN'!$A$1:$O$116,15,0))</f>
        <v>712.84</v>
      </c>
      <c r="X1301" s="6">
        <f>IF(ISERROR(VLOOKUP($U$1301,'TAR FIN'!$A$1:$O$116,15,0)),0,VLOOKUP($U$1301,'TAR FIN'!$A$1:$O$116,15,0))</f>
        <v>496.15</v>
      </c>
      <c r="Y1301" s="6"/>
      <c r="Z1301" s="6">
        <f ca="1">('TUSD BE'!$AM$40+'TUSD BF'!$AM$40+'TUSD CVA'!$AM$40)*1</f>
        <v>864.26680329675355</v>
      </c>
      <c r="AA1301" s="6">
        <f>('TE BE'!$AB$11+'TE BF'!$AB$11+'TE CVA'!$AB$11)*1</f>
        <v>510.04993331215127</v>
      </c>
      <c r="AB1301" s="6">
        <f>$K$1301*$V$1301</f>
        <v>0</v>
      </c>
      <c r="AC1301" s="6">
        <f>$M$1301*$W$1301</f>
        <v>666.50540000000012</v>
      </c>
      <c r="AD1301" s="6">
        <f>$O$1301*$X$1301</f>
        <v>463.90025000000003</v>
      </c>
      <c r="AE1301" s="6">
        <f>$K$1301*$Y$1301</f>
        <v>0</v>
      </c>
      <c r="AF1301" s="6">
        <f ca="1">$M$1301*$Z$1301</f>
        <v>808.0894610824646</v>
      </c>
      <c r="AG1301" s="6">
        <f>$O$1301*$AA$1301</f>
        <v>476.89668764686144</v>
      </c>
    </row>
    <row r="1302" spans="1:33" ht="11.25" customHeight="1" x14ac:dyDescent="0.25">
      <c r="A1302" s="4" t="s">
        <v>58</v>
      </c>
      <c r="B1302" s="4" t="s">
        <v>22</v>
      </c>
      <c r="C1302" s="4" t="s">
        <v>33</v>
      </c>
      <c r="D1302" s="4" t="s">
        <v>24</v>
      </c>
      <c r="E1302" s="4" t="s">
        <v>24</v>
      </c>
      <c r="F1302" s="4" t="s">
        <v>25</v>
      </c>
      <c r="G1302" s="4" t="s">
        <v>25</v>
      </c>
      <c r="H1302" s="4" t="s">
        <v>34</v>
      </c>
      <c r="I1302" s="5">
        <v>44682</v>
      </c>
      <c r="J1302" s="6">
        <v>0</v>
      </c>
      <c r="K1302" s="6">
        <v>0</v>
      </c>
      <c r="L1302" s="6">
        <v>0.193</v>
      </c>
      <c r="M1302" s="6">
        <v>0.193</v>
      </c>
      <c r="N1302" s="6">
        <v>0.193</v>
      </c>
      <c r="O1302" s="6">
        <v>0.193</v>
      </c>
      <c r="P1302" s="6">
        <v>0</v>
      </c>
      <c r="Q1302" s="4" t="s">
        <v>26</v>
      </c>
      <c r="R1302" s="4">
        <v>0</v>
      </c>
      <c r="S1302" s="6">
        <v>0</v>
      </c>
      <c r="T1302" s="6">
        <v>38</v>
      </c>
      <c r="U1302" s="6">
        <v>81</v>
      </c>
      <c r="V1302" s="6">
        <f>IF(ISERROR(VLOOKUP($S$1302,'TAR FIN'!$A$1:$O$116,15,0)),0,VLOOKUP($S$1302,'TAR FIN'!$A$1:$O$116,15,0))</f>
        <v>0</v>
      </c>
      <c r="W1302" s="6">
        <f>IF(ISERROR(VLOOKUP($T$1302,'TAR FIN'!$A$1:$O$116,15,0)),0,VLOOKUP($T$1302,'TAR FIN'!$A$1:$O$116,15,0))</f>
        <v>712.84</v>
      </c>
      <c r="X1302" s="6">
        <f>IF(ISERROR(VLOOKUP($U$1302,'TAR FIN'!$A$1:$O$116,15,0)),0,VLOOKUP($U$1302,'TAR FIN'!$A$1:$O$116,15,0))</f>
        <v>496.15</v>
      </c>
      <c r="Y1302" s="6"/>
      <c r="Z1302" s="6">
        <f ca="1">('TUSD BE'!$AM$40+'TUSD BF'!$AM$40+'TUSD CVA'!$AM$40)*1</f>
        <v>864.26680329675355</v>
      </c>
      <c r="AA1302" s="6">
        <f>('TE BE'!$AB$11+'TE BF'!$AB$11+'TE CVA'!$AB$11)*1</f>
        <v>510.04993331215127</v>
      </c>
      <c r="AB1302" s="6">
        <f>$K$1302*$V$1302</f>
        <v>0</v>
      </c>
      <c r="AC1302" s="6">
        <f>$M$1302*$W$1302</f>
        <v>137.57812000000001</v>
      </c>
      <c r="AD1302" s="6">
        <f>$O$1302*$X$1302</f>
        <v>95.756950000000003</v>
      </c>
      <c r="AE1302" s="6">
        <f>$K$1302*$Y$1302</f>
        <v>0</v>
      </c>
      <c r="AF1302" s="6">
        <f ca="1">$M$1302*$Z$1302</f>
        <v>166.80349303627344</v>
      </c>
      <c r="AG1302" s="6">
        <f>$O$1302*$AA$1302</f>
        <v>98.439637129245199</v>
      </c>
    </row>
    <row r="1303" spans="1:33" ht="11.25" customHeight="1" x14ac:dyDescent="0.25">
      <c r="A1303" s="4" t="s">
        <v>21</v>
      </c>
      <c r="B1303" s="4" t="s">
        <v>22</v>
      </c>
      <c r="C1303" s="4" t="s">
        <v>23</v>
      </c>
      <c r="D1303" s="4" t="s">
        <v>24</v>
      </c>
      <c r="E1303" s="4" t="s">
        <v>24</v>
      </c>
      <c r="F1303" s="4" t="s">
        <v>25</v>
      </c>
      <c r="G1303" s="4" t="s">
        <v>25</v>
      </c>
      <c r="H1303" s="4" t="s">
        <v>25</v>
      </c>
      <c r="I1303" s="5">
        <v>44348</v>
      </c>
      <c r="J1303" s="6">
        <v>0</v>
      </c>
      <c r="K1303" s="6">
        <v>0</v>
      </c>
      <c r="L1303" s="6">
        <v>32508.238000000001</v>
      </c>
      <c r="M1303" s="6">
        <v>32508.238000000001</v>
      </c>
      <c r="N1303" s="6">
        <v>32508.238000000001</v>
      </c>
      <c r="O1303" s="6">
        <v>32508.238000000001</v>
      </c>
      <c r="P1303" s="6">
        <v>269381</v>
      </c>
      <c r="Q1303" s="4" t="s">
        <v>26</v>
      </c>
      <c r="R1303" s="4">
        <v>0</v>
      </c>
      <c r="S1303" s="6">
        <v>0</v>
      </c>
      <c r="T1303" s="6">
        <v>41</v>
      </c>
      <c r="U1303" s="6">
        <v>84</v>
      </c>
      <c r="V1303" s="6">
        <f>IF(ISERROR(VLOOKUP($S$1303,'TAR FIN'!$A$1:$O$116,15,0)),0,VLOOKUP($S$1303,'TAR FIN'!$A$1:$O$116,15,0))</f>
        <v>0</v>
      </c>
      <c r="W1303" s="6">
        <f>IF(ISERROR(VLOOKUP($T$1303,'TAR FIN'!$A$1:$O$116,15,0)),0,VLOOKUP($T$1303,'TAR FIN'!$A$1:$O$116,15,0))</f>
        <v>342.48</v>
      </c>
      <c r="X1303" s="6">
        <f>IF(ISERROR(VLOOKUP($U$1303,'TAR FIN'!$A$1:$O$116,15,0)),0,VLOOKUP($U$1303,'TAR FIN'!$A$1:$O$116,15,0))</f>
        <v>326.47000000000003</v>
      </c>
      <c r="Y1303" s="6"/>
      <c r="Z1303" s="6">
        <f ca="1">('TUSD BE'!$AM$43+'TUSD BF'!$AM$43+'TUSD CVA'!$AM$43)*1</f>
        <v>436.78490561809065</v>
      </c>
      <c r="AA1303" s="6">
        <f>('TE BE'!$AB$14+'TE BF'!$AB$14+'TE CVA'!$AB$14)*1</f>
        <v>329.63081087285968</v>
      </c>
      <c r="AB1303" s="6">
        <f>$K$1303*$V$1303</f>
        <v>0</v>
      </c>
      <c r="AC1303" s="6">
        <f>$M$1303*$W$1303</f>
        <v>11133421.350240001</v>
      </c>
      <c r="AD1303" s="6">
        <f>$O$1303*$X$1303</f>
        <v>10612964.459860001</v>
      </c>
      <c r="AE1303" s="6">
        <f>$K$1303*$Y$1303</f>
        <v>0</v>
      </c>
      <c r="AF1303" s="6">
        <f ca="1">$M$1303*$Z$1303</f>
        <v>14199107.666640429</v>
      </c>
      <c r="AG1303" s="6">
        <f>$O$1303*$AA$1303</f>
        <v>10715716.851987911</v>
      </c>
    </row>
    <row r="1304" spans="1:33" ht="11.25" customHeight="1" x14ac:dyDescent="0.25">
      <c r="A1304" s="4" t="s">
        <v>27</v>
      </c>
      <c r="B1304" s="4" t="s">
        <v>22</v>
      </c>
      <c r="C1304" s="4" t="s">
        <v>23</v>
      </c>
      <c r="D1304" s="4" t="s">
        <v>24</v>
      </c>
      <c r="E1304" s="4" t="s">
        <v>24</v>
      </c>
      <c r="F1304" s="4" t="s">
        <v>25</v>
      </c>
      <c r="G1304" s="4" t="s">
        <v>25</v>
      </c>
      <c r="H1304" s="4" t="s">
        <v>25</v>
      </c>
      <c r="I1304" s="5">
        <v>44348</v>
      </c>
      <c r="J1304" s="6">
        <v>0</v>
      </c>
      <c r="K1304" s="6">
        <v>0</v>
      </c>
      <c r="L1304" s="6">
        <v>-18.876000000000001</v>
      </c>
      <c r="M1304" s="6">
        <v>-18.876000000000001</v>
      </c>
      <c r="N1304" s="6">
        <v>-18.876000000000001</v>
      </c>
      <c r="O1304" s="6">
        <v>-18.876000000000001</v>
      </c>
      <c r="P1304" s="6">
        <v>-23</v>
      </c>
      <c r="Q1304" s="4" t="s">
        <v>26</v>
      </c>
      <c r="R1304" s="4">
        <v>0</v>
      </c>
      <c r="S1304" s="6">
        <v>0</v>
      </c>
      <c r="T1304" s="6">
        <v>41</v>
      </c>
      <c r="U1304" s="6">
        <v>84</v>
      </c>
      <c r="V1304" s="6">
        <f>IF(ISERROR(VLOOKUP($S$1304,'TAR FIN'!$A$1:$O$116,15,0)),0,VLOOKUP($S$1304,'TAR FIN'!$A$1:$O$116,15,0))</f>
        <v>0</v>
      </c>
      <c r="W1304" s="6">
        <f>IF(ISERROR(VLOOKUP($T$1304,'TAR FIN'!$A$1:$O$116,15,0)),0,VLOOKUP($T$1304,'TAR FIN'!$A$1:$O$116,15,0))</f>
        <v>342.48</v>
      </c>
      <c r="X1304" s="6">
        <f>IF(ISERROR(VLOOKUP($U$1304,'TAR FIN'!$A$1:$O$116,15,0)),0,VLOOKUP($U$1304,'TAR FIN'!$A$1:$O$116,15,0))</f>
        <v>326.47000000000003</v>
      </c>
      <c r="Y1304" s="6"/>
      <c r="Z1304" s="6">
        <f ca="1">('TUSD BE'!$AM$43+'TUSD BF'!$AM$43+'TUSD CVA'!$AM$43)*1</f>
        <v>436.78490561809065</v>
      </c>
      <c r="AA1304" s="6">
        <f>('TE BE'!$AB$14+'TE BF'!$AB$14+'TE CVA'!$AB$14)*1</f>
        <v>329.63081087285968</v>
      </c>
      <c r="AB1304" s="6">
        <f>$K$1304*$V$1304</f>
        <v>0</v>
      </c>
      <c r="AC1304" s="6">
        <f>$M$1304*$W$1304</f>
        <v>-6464.6524800000007</v>
      </c>
      <c r="AD1304" s="6">
        <f>$O$1304*$X$1304</f>
        <v>-6162.447720000001</v>
      </c>
      <c r="AE1304" s="6">
        <f>$K$1304*$Y$1304</f>
        <v>0</v>
      </c>
      <c r="AF1304" s="6">
        <f ca="1">$M$1304*$Z$1304</f>
        <v>-8244.7518784470794</v>
      </c>
      <c r="AG1304" s="6">
        <f>$O$1304*$AA$1304</f>
        <v>-6222.1111860360998</v>
      </c>
    </row>
    <row r="1305" spans="1:33" ht="11.25" customHeight="1" x14ac:dyDescent="0.25">
      <c r="A1305" s="4" t="s">
        <v>28</v>
      </c>
      <c r="B1305" s="4" t="s">
        <v>22</v>
      </c>
      <c r="C1305" s="4" t="s">
        <v>23</v>
      </c>
      <c r="D1305" s="4" t="s">
        <v>24</v>
      </c>
      <c r="E1305" s="4" t="s">
        <v>24</v>
      </c>
      <c r="F1305" s="4" t="s">
        <v>25</v>
      </c>
      <c r="G1305" s="4" t="s">
        <v>25</v>
      </c>
      <c r="H1305" s="4" t="s">
        <v>25</v>
      </c>
      <c r="I1305" s="5">
        <v>44348</v>
      </c>
      <c r="J1305" s="6">
        <v>0</v>
      </c>
      <c r="K1305" s="6">
        <v>0</v>
      </c>
      <c r="L1305" s="6">
        <v>642.15300000000002</v>
      </c>
      <c r="M1305" s="6">
        <v>642.15300000000002</v>
      </c>
      <c r="N1305" s="6">
        <v>642.15300000000002</v>
      </c>
      <c r="O1305" s="6">
        <v>642.15300000000002</v>
      </c>
      <c r="P1305" s="6">
        <v>5658</v>
      </c>
      <c r="Q1305" s="4" t="s">
        <v>26</v>
      </c>
      <c r="R1305" s="4">
        <v>0</v>
      </c>
      <c r="S1305" s="6">
        <v>0</v>
      </c>
      <c r="T1305" s="6">
        <v>41</v>
      </c>
      <c r="U1305" s="6">
        <v>84</v>
      </c>
      <c r="V1305" s="6">
        <f>IF(ISERROR(VLOOKUP($S$1305,'TAR FIN'!$A$1:$O$116,15,0)),0,VLOOKUP($S$1305,'TAR FIN'!$A$1:$O$116,15,0))</f>
        <v>0</v>
      </c>
      <c r="W1305" s="6">
        <f>IF(ISERROR(VLOOKUP($T$1305,'TAR FIN'!$A$1:$O$116,15,0)),0,VLOOKUP($T$1305,'TAR FIN'!$A$1:$O$116,15,0))</f>
        <v>342.48</v>
      </c>
      <c r="X1305" s="6">
        <f>IF(ISERROR(VLOOKUP($U$1305,'TAR FIN'!$A$1:$O$116,15,0)),0,VLOOKUP($U$1305,'TAR FIN'!$A$1:$O$116,15,0))</f>
        <v>326.47000000000003</v>
      </c>
      <c r="Y1305" s="6"/>
      <c r="Z1305" s="6">
        <f ca="1">('TUSD BE'!$AM$43+'TUSD BF'!$AM$43+'TUSD CVA'!$AM$43)*1</f>
        <v>436.78490561809065</v>
      </c>
      <c r="AA1305" s="6">
        <f>('TE BE'!$AB$14+'TE BF'!$AB$14+'TE CVA'!$AB$14)*1</f>
        <v>329.63081087285968</v>
      </c>
      <c r="AB1305" s="6">
        <f>$K$1305*$V$1305</f>
        <v>0</v>
      </c>
      <c r="AC1305" s="6">
        <f>$M$1305*$W$1305</f>
        <v>219924.55944000001</v>
      </c>
      <c r="AD1305" s="6">
        <f>$O$1305*$X$1305</f>
        <v>209643.68991000002</v>
      </c>
      <c r="AE1305" s="6">
        <f>$K$1305*$Y$1305</f>
        <v>0</v>
      </c>
      <c r="AF1305" s="6">
        <f ca="1">$M$1305*$Z$1305</f>
        <v>280482.73749737378</v>
      </c>
      <c r="AG1305" s="6">
        <f>$O$1305*$AA$1305</f>
        <v>211673.41409443947</v>
      </c>
    </row>
    <row r="1306" spans="1:33" ht="11.25" customHeight="1" x14ac:dyDescent="0.25">
      <c r="A1306" s="4" t="s">
        <v>28</v>
      </c>
      <c r="B1306" s="4" t="s">
        <v>22</v>
      </c>
      <c r="C1306" s="4" t="s">
        <v>23</v>
      </c>
      <c r="D1306" s="4" t="s">
        <v>24</v>
      </c>
      <c r="E1306" s="4" t="s">
        <v>24</v>
      </c>
      <c r="F1306" s="4" t="s">
        <v>25</v>
      </c>
      <c r="G1306" s="4" t="s">
        <v>25</v>
      </c>
      <c r="H1306" s="4" t="s">
        <v>25</v>
      </c>
      <c r="I1306" s="5">
        <v>44348</v>
      </c>
      <c r="J1306" s="6">
        <v>0</v>
      </c>
      <c r="K1306" s="6">
        <v>0</v>
      </c>
      <c r="L1306" s="6">
        <v>-1.004</v>
      </c>
      <c r="M1306" s="6">
        <v>-1.004</v>
      </c>
      <c r="N1306" s="6">
        <v>-1.004</v>
      </c>
      <c r="O1306" s="6">
        <v>-1.004</v>
      </c>
      <c r="P1306" s="6">
        <v>0</v>
      </c>
      <c r="Q1306" s="4" t="s">
        <v>26</v>
      </c>
      <c r="R1306" s="4">
        <v>0</v>
      </c>
      <c r="S1306" s="6">
        <v>0</v>
      </c>
      <c r="T1306" s="6">
        <v>41</v>
      </c>
      <c r="U1306" s="6">
        <v>84</v>
      </c>
      <c r="V1306" s="6">
        <f>IF(ISERROR(VLOOKUP($S$1306,'TAR FIN'!$A$1:$O$116,15,0)),0,VLOOKUP($S$1306,'TAR FIN'!$A$1:$O$116,15,0))</f>
        <v>0</v>
      </c>
      <c r="W1306" s="6">
        <f>IF(ISERROR(VLOOKUP($T$1306,'TAR FIN'!$A$1:$O$116,15,0)),0,VLOOKUP($T$1306,'TAR FIN'!$A$1:$O$116,15,0))</f>
        <v>342.48</v>
      </c>
      <c r="X1306" s="6">
        <f>IF(ISERROR(VLOOKUP($U$1306,'TAR FIN'!$A$1:$O$116,15,0)),0,VLOOKUP($U$1306,'TAR FIN'!$A$1:$O$116,15,0))</f>
        <v>326.47000000000003</v>
      </c>
      <c r="Y1306" s="6"/>
      <c r="Z1306" s="6">
        <f ca="1">('TUSD BE'!$AM$43+'TUSD BF'!$AM$43+'TUSD CVA'!$AM$43)*1</f>
        <v>436.78490561809065</v>
      </c>
      <c r="AA1306" s="6">
        <f>('TE BE'!$AB$14+'TE BF'!$AB$14+'TE CVA'!$AB$14)*1</f>
        <v>329.63081087285968</v>
      </c>
      <c r="AB1306" s="6">
        <f>$K$1306*$V$1306</f>
        <v>0</v>
      </c>
      <c r="AC1306" s="6">
        <f>$M$1306*$W$1306</f>
        <v>-343.84992</v>
      </c>
      <c r="AD1306" s="6">
        <f>$O$1306*$X$1306</f>
        <v>-327.77588000000003</v>
      </c>
      <c r="AE1306" s="6">
        <f>$K$1306*$Y$1306</f>
        <v>0</v>
      </c>
      <c r="AF1306" s="6">
        <f ca="1">$M$1306*$Z$1306</f>
        <v>-438.53204524056304</v>
      </c>
      <c r="AG1306" s="6">
        <f>$O$1306*$AA$1306</f>
        <v>-330.94933411635111</v>
      </c>
    </row>
    <row r="1307" spans="1:33" ht="11.25" customHeight="1" x14ac:dyDescent="0.25">
      <c r="A1307" s="4" t="s">
        <v>21</v>
      </c>
      <c r="B1307" s="4" t="s">
        <v>22</v>
      </c>
      <c r="C1307" s="4" t="s">
        <v>23</v>
      </c>
      <c r="D1307" s="4" t="s">
        <v>24</v>
      </c>
      <c r="E1307" s="4" t="s">
        <v>24</v>
      </c>
      <c r="F1307" s="4" t="s">
        <v>25</v>
      </c>
      <c r="G1307" s="4" t="s">
        <v>25</v>
      </c>
      <c r="H1307" s="4" t="s">
        <v>25</v>
      </c>
      <c r="I1307" s="5">
        <v>44378</v>
      </c>
      <c r="J1307" s="6">
        <v>0</v>
      </c>
      <c r="K1307" s="6">
        <v>0</v>
      </c>
      <c r="L1307" s="6">
        <v>31785.352999999999</v>
      </c>
      <c r="M1307" s="6">
        <v>31785.352999999999</v>
      </c>
      <c r="N1307" s="6">
        <v>31785.352999999999</v>
      </c>
      <c r="O1307" s="6">
        <v>31785.352999999999</v>
      </c>
      <c r="P1307" s="6">
        <v>267954</v>
      </c>
      <c r="Q1307" s="4" t="s">
        <v>26</v>
      </c>
      <c r="R1307" s="4">
        <v>0</v>
      </c>
      <c r="S1307" s="6">
        <v>0</v>
      </c>
      <c r="T1307" s="6">
        <v>41</v>
      </c>
      <c r="U1307" s="6">
        <v>84</v>
      </c>
      <c r="V1307" s="6">
        <f>IF(ISERROR(VLOOKUP($S$1307,'TAR FIN'!$A$1:$O$116,15,0)),0,VLOOKUP($S$1307,'TAR FIN'!$A$1:$O$116,15,0))</f>
        <v>0</v>
      </c>
      <c r="W1307" s="6">
        <f>IF(ISERROR(VLOOKUP($T$1307,'TAR FIN'!$A$1:$O$116,15,0)),0,VLOOKUP($T$1307,'TAR FIN'!$A$1:$O$116,15,0))</f>
        <v>342.48</v>
      </c>
      <c r="X1307" s="6">
        <f>IF(ISERROR(VLOOKUP($U$1307,'TAR FIN'!$A$1:$O$116,15,0)),0,VLOOKUP($U$1307,'TAR FIN'!$A$1:$O$116,15,0))</f>
        <v>326.47000000000003</v>
      </c>
      <c r="Y1307" s="6"/>
      <c r="Z1307" s="6">
        <f ca="1">('TUSD BE'!$AM$43+'TUSD BF'!$AM$43+'TUSD CVA'!$AM$43)*1</f>
        <v>436.78490561809065</v>
      </c>
      <c r="AA1307" s="6">
        <f>('TE BE'!$AB$14+'TE BF'!$AB$14+'TE CVA'!$AB$14)*1</f>
        <v>329.63081087285968</v>
      </c>
      <c r="AB1307" s="6">
        <f>$K$1307*$V$1307</f>
        <v>0</v>
      </c>
      <c r="AC1307" s="6">
        <f>$M$1307*$W$1307</f>
        <v>10885847.69544</v>
      </c>
      <c r="AD1307" s="6">
        <f>$O$1307*$X$1307</f>
        <v>10376964.193910001</v>
      </c>
      <c r="AE1307" s="6">
        <f>$K$1307*$Y$1307</f>
        <v>0</v>
      </c>
      <c r="AF1307" s="6">
        <f ca="1">$M$1307*$Z$1307</f>
        <v>13883362.410142694</v>
      </c>
      <c r="AG1307" s="6">
        <f>$O$1307*$AA$1307</f>
        <v>10477431.683270084</v>
      </c>
    </row>
    <row r="1308" spans="1:33" ht="11.25" customHeight="1" x14ac:dyDescent="0.25">
      <c r="A1308" s="4" t="s">
        <v>27</v>
      </c>
      <c r="B1308" s="4" t="s">
        <v>22</v>
      </c>
      <c r="C1308" s="4" t="s">
        <v>23</v>
      </c>
      <c r="D1308" s="4" t="s">
        <v>24</v>
      </c>
      <c r="E1308" s="4" t="s">
        <v>24</v>
      </c>
      <c r="F1308" s="4" t="s">
        <v>25</v>
      </c>
      <c r="G1308" s="4" t="s">
        <v>25</v>
      </c>
      <c r="H1308" s="4" t="s">
        <v>25</v>
      </c>
      <c r="I1308" s="5">
        <v>44378</v>
      </c>
      <c r="J1308" s="6">
        <v>0</v>
      </c>
      <c r="K1308" s="6">
        <v>0</v>
      </c>
      <c r="L1308" s="6">
        <v>-30.484999999999999</v>
      </c>
      <c r="M1308" s="6">
        <v>-30.484999999999999</v>
      </c>
      <c r="N1308" s="6">
        <v>-30.484999999999999</v>
      </c>
      <c r="O1308" s="6">
        <v>-30.484999999999999</v>
      </c>
      <c r="P1308" s="6">
        <v>-29</v>
      </c>
      <c r="Q1308" s="4" t="s">
        <v>26</v>
      </c>
      <c r="R1308" s="4">
        <v>0</v>
      </c>
      <c r="S1308" s="6">
        <v>0</v>
      </c>
      <c r="T1308" s="6">
        <v>41</v>
      </c>
      <c r="U1308" s="6">
        <v>84</v>
      </c>
      <c r="V1308" s="6">
        <f>IF(ISERROR(VLOOKUP($S$1308,'TAR FIN'!$A$1:$O$116,15,0)),0,VLOOKUP($S$1308,'TAR FIN'!$A$1:$O$116,15,0))</f>
        <v>0</v>
      </c>
      <c r="W1308" s="6">
        <f>IF(ISERROR(VLOOKUP($T$1308,'TAR FIN'!$A$1:$O$116,15,0)),0,VLOOKUP($T$1308,'TAR FIN'!$A$1:$O$116,15,0))</f>
        <v>342.48</v>
      </c>
      <c r="X1308" s="6">
        <f>IF(ISERROR(VLOOKUP($U$1308,'TAR FIN'!$A$1:$O$116,15,0)),0,VLOOKUP($U$1308,'TAR FIN'!$A$1:$O$116,15,0))</f>
        <v>326.47000000000003</v>
      </c>
      <c r="Y1308" s="6"/>
      <c r="Z1308" s="6">
        <f ca="1">('TUSD BE'!$AM$43+'TUSD BF'!$AM$43+'TUSD CVA'!$AM$43)*1</f>
        <v>436.78490561809065</v>
      </c>
      <c r="AA1308" s="6">
        <f>('TE BE'!$AB$14+'TE BF'!$AB$14+'TE CVA'!$AB$14)*1</f>
        <v>329.63081087285968</v>
      </c>
      <c r="AB1308" s="6">
        <f>$K$1308*$V$1308</f>
        <v>0</v>
      </c>
      <c r="AC1308" s="6">
        <f>$M$1308*$W$1308</f>
        <v>-10440.5028</v>
      </c>
      <c r="AD1308" s="6">
        <f>$O$1308*$X$1308</f>
        <v>-9952.4379500000014</v>
      </c>
      <c r="AE1308" s="6">
        <f>$K$1308*$Y$1308</f>
        <v>0</v>
      </c>
      <c r="AF1308" s="6">
        <f ca="1">$M$1308*$Z$1308</f>
        <v>-13315.387847767493</v>
      </c>
      <c r="AG1308" s="6">
        <f>$O$1308*$AA$1308</f>
        <v>-10048.795269459128</v>
      </c>
    </row>
    <row r="1309" spans="1:33" ht="11.25" customHeight="1" x14ac:dyDescent="0.25">
      <c r="A1309" s="4" t="s">
        <v>28</v>
      </c>
      <c r="B1309" s="4" t="s">
        <v>22</v>
      </c>
      <c r="C1309" s="4" t="s">
        <v>23</v>
      </c>
      <c r="D1309" s="4" t="s">
        <v>24</v>
      </c>
      <c r="E1309" s="4" t="s">
        <v>24</v>
      </c>
      <c r="F1309" s="4" t="s">
        <v>25</v>
      </c>
      <c r="G1309" s="4" t="s">
        <v>25</v>
      </c>
      <c r="H1309" s="4" t="s">
        <v>25</v>
      </c>
      <c r="I1309" s="5">
        <v>44378</v>
      </c>
      <c r="J1309" s="6">
        <v>0</v>
      </c>
      <c r="K1309" s="6">
        <v>0</v>
      </c>
      <c r="L1309" s="6">
        <v>654.73400000000004</v>
      </c>
      <c r="M1309" s="6">
        <v>654.73400000000004</v>
      </c>
      <c r="N1309" s="6">
        <v>654.73400000000004</v>
      </c>
      <c r="O1309" s="6">
        <v>654.73400000000004</v>
      </c>
      <c r="P1309" s="6">
        <v>6055</v>
      </c>
      <c r="Q1309" s="4" t="s">
        <v>26</v>
      </c>
      <c r="R1309" s="4">
        <v>0</v>
      </c>
      <c r="S1309" s="6">
        <v>0</v>
      </c>
      <c r="T1309" s="6">
        <v>41</v>
      </c>
      <c r="U1309" s="6">
        <v>84</v>
      </c>
      <c r="V1309" s="6">
        <f>IF(ISERROR(VLOOKUP($S$1309,'TAR FIN'!$A$1:$O$116,15,0)),0,VLOOKUP($S$1309,'TAR FIN'!$A$1:$O$116,15,0))</f>
        <v>0</v>
      </c>
      <c r="W1309" s="6">
        <f>IF(ISERROR(VLOOKUP($T$1309,'TAR FIN'!$A$1:$O$116,15,0)),0,VLOOKUP($T$1309,'TAR FIN'!$A$1:$O$116,15,0))</f>
        <v>342.48</v>
      </c>
      <c r="X1309" s="6">
        <f>IF(ISERROR(VLOOKUP($U$1309,'TAR FIN'!$A$1:$O$116,15,0)),0,VLOOKUP($U$1309,'TAR FIN'!$A$1:$O$116,15,0))</f>
        <v>326.47000000000003</v>
      </c>
      <c r="Y1309" s="6"/>
      <c r="Z1309" s="6">
        <f ca="1">('TUSD BE'!$AM$43+'TUSD BF'!$AM$43+'TUSD CVA'!$AM$43)*1</f>
        <v>436.78490561809065</v>
      </c>
      <c r="AA1309" s="6">
        <f>('TE BE'!$AB$14+'TE BF'!$AB$14+'TE CVA'!$AB$14)*1</f>
        <v>329.63081087285968</v>
      </c>
      <c r="AB1309" s="6">
        <f>$K$1309*$V$1309</f>
        <v>0</v>
      </c>
      <c r="AC1309" s="6">
        <f>$M$1309*$W$1309</f>
        <v>224233.30032000004</v>
      </c>
      <c r="AD1309" s="6">
        <f>$O$1309*$X$1309</f>
        <v>213751.00898000004</v>
      </c>
      <c r="AE1309" s="6">
        <f>$K$1309*$Y$1309</f>
        <v>0</v>
      </c>
      <c r="AF1309" s="6">
        <f ca="1">$M$1309*$Z$1309</f>
        <v>285977.928394955</v>
      </c>
      <c r="AG1309" s="6">
        <f>$O$1309*$AA$1309</f>
        <v>215820.49932603093</v>
      </c>
    </row>
    <row r="1310" spans="1:33" ht="11.25" customHeight="1" x14ac:dyDescent="0.25">
      <c r="A1310" s="4" t="s">
        <v>28</v>
      </c>
      <c r="B1310" s="4" t="s">
        <v>22</v>
      </c>
      <c r="C1310" s="4" t="s">
        <v>23</v>
      </c>
      <c r="D1310" s="4" t="s">
        <v>24</v>
      </c>
      <c r="E1310" s="4" t="s">
        <v>24</v>
      </c>
      <c r="F1310" s="4" t="s">
        <v>25</v>
      </c>
      <c r="G1310" s="4" t="s">
        <v>25</v>
      </c>
      <c r="H1310" s="4" t="s">
        <v>25</v>
      </c>
      <c r="I1310" s="5">
        <v>44378</v>
      </c>
      <c r="J1310" s="6">
        <v>0</v>
      </c>
      <c r="K1310" s="6">
        <v>0</v>
      </c>
      <c r="L1310" s="6">
        <v>-1.9650000000000001</v>
      </c>
      <c r="M1310" s="6">
        <v>-1.9650000000000001</v>
      </c>
      <c r="N1310" s="6">
        <v>-1.9650000000000001</v>
      </c>
      <c r="O1310" s="6">
        <v>-1.9650000000000001</v>
      </c>
      <c r="P1310" s="6">
        <v>1</v>
      </c>
      <c r="Q1310" s="4" t="s">
        <v>26</v>
      </c>
      <c r="R1310" s="4">
        <v>0</v>
      </c>
      <c r="S1310" s="6">
        <v>0</v>
      </c>
      <c r="T1310" s="6">
        <v>41</v>
      </c>
      <c r="U1310" s="6">
        <v>84</v>
      </c>
      <c r="V1310" s="6">
        <f>IF(ISERROR(VLOOKUP($S$1310,'TAR FIN'!$A$1:$O$116,15,0)),0,VLOOKUP($S$1310,'TAR FIN'!$A$1:$O$116,15,0))</f>
        <v>0</v>
      </c>
      <c r="W1310" s="6">
        <f>IF(ISERROR(VLOOKUP($T$1310,'TAR FIN'!$A$1:$O$116,15,0)),0,VLOOKUP($T$1310,'TAR FIN'!$A$1:$O$116,15,0))</f>
        <v>342.48</v>
      </c>
      <c r="X1310" s="6">
        <f>IF(ISERROR(VLOOKUP($U$1310,'TAR FIN'!$A$1:$O$116,15,0)),0,VLOOKUP($U$1310,'TAR FIN'!$A$1:$O$116,15,0))</f>
        <v>326.47000000000003</v>
      </c>
      <c r="Y1310" s="6"/>
      <c r="Z1310" s="6">
        <f ca="1">('TUSD BE'!$AM$43+'TUSD BF'!$AM$43+'TUSD CVA'!$AM$43)*1</f>
        <v>436.78490561809065</v>
      </c>
      <c r="AA1310" s="6">
        <f>('TE BE'!$AB$14+'TE BF'!$AB$14+'TE CVA'!$AB$14)*1</f>
        <v>329.63081087285968</v>
      </c>
      <c r="AB1310" s="6">
        <f>$K$1310*$V$1310</f>
        <v>0</v>
      </c>
      <c r="AC1310" s="6">
        <f>$M$1310*$W$1310</f>
        <v>-672.97320000000002</v>
      </c>
      <c r="AD1310" s="6">
        <f>$O$1310*$X$1310</f>
        <v>-641.51355000000012</v>
      </c>
      <c r="AE1310" s="6">
        <f>$K$1310*$Y$1310</f>
        <v>0</v>
      </c>
      <c r="AF1310" s="6">
        <f ca="1">$M$1310*$Z$1310</f>
        <v>-858.28233953954816</v>
      </c>
      <c r="AG1310" s="6">
        <f>$O$1310*$AA$1310</f>
        <v>-647.72454336516932</v>
      </c>
    </row>
    <row r="1311" spans="1:33" ht="11.25" customHeight="1" x14ac:dyDescent="0.25">
      <c r="A1311" s="4" t="s">
        <v>21</v>
      </c>
      <c r="B1311" s="4" t="s">
        <v>22</v>
      </c>
      <c r="C1311" s="4" t="s">
        <v>23</v>
      </c>
      <c r="D1311" s="4" t="s">
        <v>24</v>
      </c>
      <c r="E1311" s="4" t="s">
        <v>24</v>
      </c>
      <c r="F1311" s="4" t="s">
        <v>25</v>
      </c>
      <c r="G1311" s="4" t="s">
        <v>25</v>
      </c>
      <c r="H1311" s="4" t="s">
        <v>25</v>
      </c>
      <c r="I1311" s="5">
        <v>44409</v>
      </c>
      <c r="J1311" s="6">
        <v>0</v>
      </c>
      <c r="K1311" s="6">
        <v>0</v>
      </c>
      <c r="L1311" s="6">
        <v>31834.105</v>
      </c>
      <c r="M1311" s="6">
        <v>31834.105</v>
      </c>
      <c r="N1311" s="6">
        <v>31834.105</v>
      </c>
      <c r="O1311" s="6">
        <v>31834.105</v>
      </c>
      <c r="P1311" s="6">
        <v>267357</v>
      </c>
      <c r="Q1311" s="4" t="s">
        <v>26</v>
      </c>
      <c r="R1311" s="4">
        <v>0</v>
      </c>
      <c r="S1311" s="6">
        <v>0</v>
      </c>
      <c r="T1311" s="6">
        <v>41</v>
      </c>
      <c r="U1311" s="6">
        <v>84</v>
      </c>
      <c r="V1311" s="6">
        <f>IF(ISERROR(VLOOKUP($S$1311,'TAR FIN'!$A$1:$O$116,15,0)),0,VLOOKUP($S$1311,'TAR FIN'!$A$1:$O$116,15,0))</f>
        <v>0</v>
      </c>
      <c r="W1311" s="6">
        <f>IF(ISERROR(VLOOKUP($T$1311,'TAR FIN'!$A$1:$O$116,15,0)),0,VLOOKUP($T$1311,'TAR FIN'!$A$1:$O$116,15,0))</f>
        <v>342.48</v>
      </c>
      <c r="X1311" s="6">
        <f>IF(ISERROR(VLOOKUP($U$1311,'TAR FIN'!$A$1:$O$116,15,0)),0,VLOOKUP($U$1311,'TAR FIN'!$A$1:$O$116,15,0))</f>
        <v>326.47000000000003</v>
      </c>
      <c r="Y1311" s="6"/>
      <c r="Z1311" s="6">
        <f ca="1">('TUSD BE'!$AM$43+'TUSD BF'!$AM$43+'TUSD CVA'!$AM$43)*1</f>
        <v>436.78490561809065</v>
      </c>
      <c r="AA1311" s="6">
        <f>('TE BE'!$AB$14+'TE BF'!$AB$14+'TE CVA'!$AB$14)*1</f>
        <v>329.63081087285968</v>
      </c>
      <c r="AB1311" s="6">
        <f>$K$1311*$V$1311</f>
        <v>0</v>
      </c>
      <c r="AC1311" s="6">
        <f>$M$1311*$W$1311</f>
        <v>10902544.280400001</v>
      </c>
      <c r="AD1311" s="6">
        <f>$O$1311*$X$1311</f>
        <v>10392880.25935</v>
      </c>
      <c r="AE1311" s="6">
        <f>$K$1311*$Y$1311</f>
        <v>0</v>
      </c>
      <c r="AF1311" s="6">
        <f ca="1">$M$1311*$Z$1311</f>
        <v>13904656.547861388</v>
      </c>
      <c r="AG1311" s="6">
        <f>$O$1311*$AA$1311</f>
        <v>10493501.844561758</v>
      </c>
    </row>
    <row r="1312" spans="1:33" ht="11.25" customHeight="1" x14ac:dyDescent="0.25">
      <c r="A1312" s="4" t="s">
        <v>27</v>
      </c>
      <c r="B1312" s="4" t="s">
        <v>22</v>
      </c>
      <c r="C1312" s="4" t="s">
        <v>23</v>
      </c>
      <c r="D1312" s="4" t="s">
        <v>24</v>
      </c>
      <c r="E1312" s="4" t="s">
        <v>24</v>
      </c>
      <c r="F1312" s="4" t="s">
        <v>25</v>
      </c>
      <c r="G1312" s="4" t="s">
        <v>25</v>
      </c>
      <c r="H1312" s="4" t="s">
        <v>25</v>
      </c>
      <c r="I1312" s="5">
        <v>44409</v>
      </c>
      <c r="J1312" s="6">
        <v>0</v>
      </c>
      <c r="K1312" s="6">
        <v>0</v>
      </c>
      <c r="L1312" s="6">
        <v>-66.760999999999996</v>
      </c>
      <c r="M1312" s="6">
        <v>-66.760999999999996</v>
      </c>
      <c r="N1312" s="6">
        <v>-66.760999999999996</v>
      </c>
      <c r="O1312" s="6">
        <v>-66.760999999999996</v>
      </c>
      <c r="P1312" s="6">
        <v>-39</v>
      </c>
      <c r="Q1312" s="4" t="s">
        <v>26</v>
      </c>
      <c r="R1312" s="4">
        <v>0</v>
      </c>
      <c r="S1312" s="6">
        <v>0</v>
      </c>
      <c r="T1312" s="6">
        <v>41</v>
      </c>
      <c r="U1312" s="6">
        <v>84</v>
      </c>
      <c r="V1312" s="6">
        <f>IF(ISERROR(VLOOKUP($S$1312,'TAR FIN'!$A$1:$O$116,15,0)),0,VLOOKUP($S$1312,'TAR FIN'!$A$1:$O$116,15,0))</f>
        <v>0</v>
      </c>
      <c r="W1312" s="6">
        <f>IF(ISERROR(VLOOKUP($T$1312,'TAR FIN'!$A$1:$O$116,15,0)),0,VLOOKUP($T$1312,'TAR FIN'!$A$1:$O$116,15,0))</f>
        <v>342.48</v>
      </c>
      <c r="X1312" s="6">
        <f>IF(ISERROR(VLOOKUP($U$1312,'TAR FIN'!$A$1:$O$116,15,0)),0,VLOOKUP($U$1312,'TAR FIN'!$A$1:$O$116,15,0))</f>
        <v>326.47000000000003</v>
      </c>
      <c r="Y1312" s="6"/>
      <c r="Z1312" s="6">
        <f ca="1">('TUSD BE'!$AM$43+'TUSD BF'!$AM$43+'TUSD CVA'!$AM$43)*1</f>
        <v>436.78490561809065</v>
      </c>
      <c r="AA1312" s="6">
        <f>('TE BE'!$AB$14+'TE BF'!$AB$14+'TE CVA'!$AB$14)*1</f>
        <v>329.63081087285968</v>
      </c>
      <c r="AB1312" s="6">
        <f>$K$1312*$V$1312</f>
        <v>0</v>
      </c>
      <c r="AC1312" s="6">
        <f>$M$1312*$W$1312</f>
        <v>-22864.307280000001</v>
      </c>
      <c r="AD1312" s="6">
        <f>$O$1312*$X$1312</f>
        <v>-21795.463670000001</v>
      </c>
      <c r="AE1312" s="6">
        <f>$K$1312*$Y$1312</f>
        <v>0</v>
      </c>
      <c r="AF1312" s="6">
        <f ca="1">$M$1312*$Z$1312</f>
        <v>-29160.197083969349</v>
      </c>
      <c r="AG1312" s="6">
        <f>$O$1312*$AA$1312</f>
        <v>-22006.482564682985</v>
      </c>
    </row>
    <row r="1313" spans="1:33" ht="11.25" customHeight="1" x14ac:dyDescent="0.25">
      <c r="A1313" s="4" t="s">
        <v>28</v>
      </c>
      <c r="B1313" s="4" t="s">
        <v>22</v>
      </c>
      <c r="C1313" s="4" t="s">
        <v>23</v>
      </c>
      <c r="D1313" s="4" t="s">
        <v>24</v>
      </c>
      <c r="E1313" s="4" t="s">
        <v>24</v>
      </c>
      <c r="F1313" s="4" t="s">
        <v>25</v>
      </c>
      <c r="G1313" s="4" t="s">
        <v>25</v>
      </c>
      <c r="H1313" s="4" t="s">
        <v>25</v>
      </c>
      <c r="I1313" s="5">
        <v>44409</v>
      </c>
      <c r="J1313" s="6">
        <v>0</v>
      </c>
      <c r="K1313" s="6">
        <v>0</v>
      </c>
      <c r="L1313" s="6">
        <v>689.13199999999995</v>
      </c>
      <c r="M1313" s="6">
        <v>689.13199999999995</v>
      </c>
      <c r="N1313" s="6">
        <v>689.13199999999995</v>
      </c>
      <c r="O1313" s="6">
        <v>689.13199999999995</v>
      </c>
      <c r="P1313" s="6">
        <v>6451</v>
      </c>
      <c r="Q1313" s="4" t="s">
        <v>26</v>
      </c>
      <c r="R1313" s="4">
        <v>0</v>
      </c>
      <c r="S1313" s="6">
        <v>0</v>
      </c>
      <c r="T1313" s="6">
        <v>41</v>
      </c>
      <c r="U1313" s="6">
        <v>84</v>
      </c>
      <c r="V1313" s="6">
        <f>IF(ISERROR(VLOOKUP($S$1313,'TAR FIN'!$A$1:$O$116,15,0)),0,VLOOKUP($S$1313,'TAR FIN'!$A$1:$O$116,15,0))</f>
        <v>0</v>
      </c>
      <c r="W1313" s="6">
        <f>IF(ISERROR(VLOOKUP($T$1313,'TAR FIN'!$A$1:$O$116,15,0)),0,VLOOKUP($T$1313,'TAR FIN'!$A$1:$O$116,15,0))</f>
        <v>342.48</v>
      </c>
      <c r="X1313" s="6">
        <f>IF(ISERROR(VLOOKUP($U$1313,'TAR FIN'!$A$1:$O$116,15,0)),0,VLOOKUP($U$1313,'TAR FIN'!$A$1:$O$116,15,0))</f>
        <v>326.47000000000003</v>
      </c>
      <c r="Y1313" s="6"/>
      <c r="Z1313" s="6">
        <f ca="1">('TUSD BE'!$AM$43+'TUSD BF'!$AM$43+'TUSD CVA'!$AM$43)*1</f>
        <v>436.78490561809065</v>
      </c>
      <c r="AA1313" s="6">
        <f>('TE BE'!$AB$14+'TE BF'!$AB$14+'TE CVA'!$AB$14)*1</f>
        <v>329.63081087285968</v>
      </c>
      <c r="AB1313" s="6">
        <f>$K$1313*$V$1313</f>
        <v>0</v>
      </c>
      <c r="AC1313" s="6">
        <f>$M$1313*$W$1313</f>
        <v>236013.92736</v>
      </c>
      <c r="AD1313" s="6">
        <f>$O$1313*$X$1313</f>
        <v>224980.92404000001</v>
      </c>
      <c r="AE1313" s="6">
        <f>$K$1313*$Y$1313</f>
        <v>0</v>
      </c>
      <c r="AF1313" s="6">
        <f ca="1">$M$1313*$Z$1313</f>
        <v>301002.45557840605</v>
      </c>
      <c r="AG1313" s="6">
        <f>$O$1313*$AA$1313</f>
        <v>227159.13995843552</v>
      </c>
    </row>
    <row r="1314" spans="1:33" ht="11.25" customHeight="1" x14ac:dyDescent="0.25">
      <c r="A1314" s="4" t="s">
        <v>28</v>
      </c>
      <c r="B1314" s="4" t="s">
        <v>22</v>
      </c>
      <c r="C1314" s="4" t="s">
        <v>23</v>
      </c>
      <c r="D1314" s="4" t="s">
        <v>24</v>
      </c>
      <c r="E1314" s="4" t="s">
        <v>24</v>
      </c>
      <c r="F1314" s="4" t="s">
        <v>25</v>
      </c>
      <c r="G1314" s="4" t="s">
        <v>25</v>
      </c>
      <c r="H1314" s="4" t="s">
        <v>25</v>
      </c>
      <c r="I1314" s="5">
        <v>44409</v>
      </c>
      <c r="J1314" s="6">
        <v>0</v>
      </c>
      <c r="K1314" s="6">
        <v>0</v>
      </c>
      <c r="L1314" s="6">
        <v>-0.91300000000000003</v>
      </c>
      <c r="M1314" s="6">
        <v>-0.91300000000000003</v>
      </c>
      <c r="N1314" s="6">
        <v>-0.91300000000000003</v>
      </c>
      <c r="O1314" s="6">
        <v>-0.91300000000000003</v>
      </c>
      <c r="P1314" s="6">
        <v>0</v>
      </c>
      <c r="Q1314" s="4" t="s">
        <v>26</v>
      </c>
      <c r="R1314" s="4">
        <v>0</v>
      </c>
      <c r="S1314" s="6">
        <v>0</v>
      </c>
      <c r="T1314" s="6">
        <v>41</v>
      </c>
      <c r="U1314" s="6">
        <v>84</v>
      </c>
      <c r="V1314" s="6">
        <f>IF(ISERROR(VLOOKUP($S$1314,'TAR FIN'!$A$1:$O$116,15,0)),0,VLOOKUP($S$1314,'TAR FIN'!$A$1:$O$116,15,0))</f>
        <v>0</v>
      </c>
      <c r="W1314" s="6">
        <f>IF(ISERROR(VLOOKUP($T$1314,'TAR FIN'!$A$1:$O$116,15,0)),0,VLOOKUP($T$1314,'TAR FIN'!$A$1:$O$116,15,0))</f>
        <v>342.48</v>
      </c>
      <c r="X1314" s="6">
        <f>IF(ISERROR(VLOOKUP($U$1314,'TAR FIN'!$A$1:$O$116,15,0)),0,VLOOKUP($U$1314,'TAR FIN'!$A$1:$O$116,15,0))</f>
        <v>326.47000000000003</v>
      </c>
      <c r="Y1314" s="6"/>
      <c r="Z1314" s="6">
        <f ca="1">('TUSD BE'!$AM$43+'TUSD BF'!$AM$43+'TUSD CVA'!$AM$43)*1</f>
        <v>436.78490561809065</v>
      </c>
      <c r="AA1314" s="6">
        <f>('TE BE'!$AB$14+'TE BF'!$AB$14+'TE CVA'!$AB$14)*1</f>
        <v>329.63081087285968</v>
      </c>
      <c r="AB1314" s="6">
        <f>$K$1314*$V$1314</f>
        <v>0</v>
      </c>
      <c r="AC1314" s="6">
        <f>$M$1314*$W$1314</f>
        <v>-312.68424000000005</v>
      </c>
      <c r="AD1314" s="6">
        <f>$O$1314*$X$1314</f>
        <v>-298.06711000000001</v>
      </c>
      <c r="AE1314" s="6">
        <f>$K$1314*$Y$1314</f>
        <v>0</v>
      </c>
      <c r="AF1314" s="6">
        <f ca="1">$M$1314*$Z$1314</f>
        <v>-398.7846188293168</v>
      </c>
      <c r="AG1314" s="6">
        <f>$O$1314*$AA$1314</f>
        <v>-300.95293032692092</v>
      </c>
    </row>
    <row r="1315" spans="1:33" ht="11.25" customHeight="1" x14ac:dyDescent="0.25">
      <c r="A1315" s="4" t="s">
        <v>21</v>
      </c>
      <c r="B1315" s="4" t="s">
        <v>22</v>
      </c>
      <c r="C1315" s="4" t="s">
        <v>23</v>
      </c>
      <c r="D1315" s="4" t="s">
        <v>24</v>
      </c>
      <c r="E1315" s="4" t="s">
        <v>24</v>
      </c>
      <c r="F1315" s="4" t="s">
        <v>25</v>
      </c>
      <c r="G1315" s="4" t="s">
        <v>25</v>
      </c>
      <c r="H1315" s="4" t="s">
        <v>25</v>
      </c>
      <c r="I1315" s="5">
        <v>44440</v>
      </c>
      <c r="J1315" s="6">
        <v>0</v>
      </c>
      <c r="K1315" s="6">
        <v>0</v>
      </c>
      <c r="L1315" s="6">
        <v>35522.057999999997</v>
      </c>
      <c r="M1315" s="6">
        <v>35522.057999999997</v>
      </c>
      <c r="N1315" s="6">
        <v>35522.057999999997</v>
      </c>
      <c r="O1315" s="6">
        <v>35522.057999999997</v>
      </c>
      <c r="P1315" s="6">
        <v>269596</v>
      </c>
      <c r="Q1315" s="4" t="s">
        <v>26</v>
      </c>
      <c r="R1315" s="4">
        <v>0</v>
      </c>
      <c r="S1315" s="6">
        <v>0</v>
      </c>
      <c r="T1315" s="6">
        <v>41</v>
      </c>
      <c r="U1315" s="6">
        <v>84</v>
      </c>
      <c r="V1315" s="6">
        <f>IF(ISERROR(VLOOKUP($S$1315,'TAR FIN'!$A$1:$O$116,15,0)),0,VLOOKUP($S$1315,'TAR FIN'!$A$1:$O$116,15,0))</f>
        <v>0</v>
      </c>
      <c r="W1315" s="6">
        <f>IF(ISERROR(VLOOKUP($T$1315,'TAR FIN'!$A$1:$O$116,15,0)),0,VLOOKUP($T$1315,'TAR FIN'!$A$1:$O$116,15,0))</f>
        <v>342.48</v>
      </c>
      <c r="X1315" s="6">
        <f>IF(ISERROR(VLOOKUP($U$1315,'TAR FIN'!$A$1:$O$116,15,0)),0,VLOOKUP($U$1315,'TAR FIN'!$A$1:$O$116,15,0))</f>
        <v>326.47000000000003</v>
      </c>
      <c r="Y1315" s="6"/>
      <c r="Z1315" s="6">
        <f ca="1">('TUSD BE'!$AM$43+'TUSD BF'!$AM$43+'TUSD CVA'!$AM$43)*1</f>
        <v>436.78490561809065</v>
      </c>
      <c r="AA1315" s="6">
        <f>('TE BE'!$AB$14+'TE BF'!$AB$14+'TE CVA'!$AB$14)*1</f>
        <v>329.63081087285968</v>
      </c>
      <c r="AB1315" s="6">
        <f>$K$1315*$V$1315</f>
        <v>0</v>
      </c>
      <c r="AC1315" s="6">
        <f>$M$1315*$W$1315</f>
        <v>12165594.423839999</v>
      </c>
      <c r="AD1315" s="6">
        <f>$O$1315*$X$1315</f>
        <v>11596886.27526</v>
      </c>
      <c r="AE1315" s="6">
        <f>$K$1315*$Y$1315</f>
        <v>0</v>
      </c>
      <c r="AF1315" s="6">
        <f ca="1">$M$1315*$Z$1315</f>
        <v>15515498.750890341</v>
      </c>
      <c r="AG1315" s="6">
        <f>$O$1315*$AA$1315</f>
        <v>11709164.782412751</v>
      </c>
    </row>
    <row r="1316" spans="1:33" ht="11.25" customHeight="1" x14ac:dyDescent="0.25">
      <c r="A1316" s="4" t="s">
        <v>27</v>
      </c>
      <c r="B1316" s="4" t="s">
        <v>22</v>
      </c>
      <c r="C1316" s="4" t="s">
        <v>23</v>
      </c>
      <c r="D1316" s="4" t="s">
        <v>24</v>
      </c>
      <c r="E1316" s="4" t="s">
        <v>24</v>
      </c>
      <c r="F1316" s="4" t="s">
        <v>25</v>
      </c>
      <c r="G1316" s="4" t="s">
        <v>25</v>
      </c>
      <c r="H1316" s="4" t="s">
        <v>25</v>
      </c>
      <c r="I1316" s="5">
        <v>44440</v>
      </c>
      <c r="J1316" s="6">
        <v>0</v>
      </c>
      <c r="K1316" s="6">
        <v>0</v>
      </c>
      <c r="L1316" s="6">
        <v>-8.7919999999999998</v>
      </c>
      <c r="M1316" s="6">
        <v>-8.7919999999999998</v>
      </c>
      <c r="N1316" s="6">
        <v>-8.7919999999999998</v>
      </c>
      <c r="O1316" s="6">
        <v>-8.7919999999999998</v>
      </c>
      <c r="P1316" s="6">
        <v>-11</v>
      </c>
      <c r="Q1316" s="4" t="s">
        <v>26</v>
      </c>
      <c r="R1316" s="4">
        <v>0</v>
      </c>
      <c r="S1316" s="6">
        <v>0</v>
      </c>
      <c r="T1316" s="6">
        <v>41</v>
      </c>
      <c r="U1316" s="6">
        <v>84</v>
      </c>
      <c r="V1316" s="6">
        <f>IF(ISERROR(VLOOKUP($S$1316,'TAR FIN'!$A$1:$O$116,15,0)),0,VLOOKUP($S$1316,'TAR FIN'!$A$1:$O$116,15,0))</f>
        <v>0</v>
      </c>
      <c r="W1316" s="6">
        <f>IF(ISERROR(VLOOKUP($T$1316,'TAR FIN'!$A$1:$O$116,15,0)),0,VLOOKUP($T$1316,'TAR FIN'!$A$1:$O$116,15,0))</f>
        <v>342.48</v>
      </c>
      <c r="X1316" s="6">
        <f>IF(ISERROR(VLOOKUP($U$1316,'TAR FIN'!$A$1:$O$116,15,0)),0,VLOOKUP($U$1316,'TAR FIN'!$A$1:$O$116,15,0))</f>
        <v>326.47000000000003</v>
      </c>
      <c r="Y1316" s="6"/>
      <c r="Z1316" s="6">
        <f ca="1">('TUSD BE'!$AM$43+'TUSD BF'!$AM$43+'TUSD CVA'!$AM$43)*1</f>
        <v>436.78490561809065</v>
      </c>
      <c r="AA1316" s="6">
        <f>('TE BE'!$AB$14+'TE BF'!$AB$14+'TE CVA'!$AB$14)*1</f>
        <v>329.63081087285968</v>
      </c>
      <c r="AB1316" s="6">
        <f>$K$1316*$V$1316</f>
        <v>0</v>
      </c>
      <c r="AC1316" s="6">
        <f>$M$1316*$W$1316</f>
        <v>-3011.0841599999999</v>
      </c>
      <c r="AD1316" s="6">
        <f>$O$1316*$X$1316</f>
        <v>-2870.3242400000004</v>
      </c>
      <c r="AE1316" s="6">
        <f>$K$1316*$Y$1316</f>
        <v>0</v>
      </c>
      <c r="AF1316" s="6">
        <f ca="1">$M$1316*$Z$1316</f>
        <v>-3840.2128901942529</v>
      </c>
      <c r="AG1316" s="6">
        <f>$O$1316*$AA$1316</f>
        <v>-2898.1140891941823</v>
      </c>
    </row>
    <row r="1317" spans="1:33" ht="11.25" customHeight="1" x14ac:dyDescent="0.25">
      <c r="A1317" s="4" t="s">
        <v>28</v>
      </c>
      <c r="B1317" s="4" t="s">
        <v>22</v>
      </c>
      <c r="C1317" s="4" t="s">
        <v>23</v>
      </c>
      <c r="D1317" s="4" t="s">
        <v>24</v>
      </c>
      <c r="E1317" s="4" t="s">
        <v>24</v>
      </c>
      <c r="F1317" s="4" t="s">
        <v>25</v>
      </c>
      <c r="G1317" s="4" t="s">
        <v>25</v>
      </c>
      <c r="H1317" s="4" t="s">
        <v>25</v>
      </c>
      <c r="I1317" s="5">
        <v>44440</v>
      </c>
      <c r="J1317" s="6">
        <v>0</v>
      </c>
      <c r="K1317" s="6">
        <v>0</v>
      </c>
      <c r="L1317" s="6">
        <v>750.84</v>
      </c>
      <c r="M1317" s="6">
        <v>750.84</v>
      </c>
      <c r="N1317" s="6">
        <v>750.84</v>
      </c>
      <c r="O1317" s="6">
        <v>750.84</v>
      </c>
      <c r="P1317" s="6">
        <v>6903</v>
      </c>
      <c r="Q1317" s="4" t="s">
        <v>26</v>
      </c>
      <c r="R1317" s="4">
        <v>0</v>
      </c>
      <c r="S1317" s="6">
        <v>0</v>
      </c>
      <c r="T1317" s="6">
        <v>41</v>
      </c>
      <c r="U1317" s="6">
        <v>84</v>
      </c>
      <c r="V1317" s="6">
        <f>IF(ISERROR(VLOOKUP($S$1317,'TAR FIN'!$A$1:$O$116,15,0)),0,VLOOKUP($S$1317,'TAR FIN'!$A$1:$O$116,15,0))</f>
        <v>0</v>
      </c>
      <c r="W1317" s="6">
        <f>IF(ISERROR(VLOOKUP($T$1317,'TAR FIN'!$A$1:$O$116,15,0)),0,VLOOKUP($T$1317,'TAR FIN'!$A$1:$O$116,15,0))</f>
        <v>342.48</v>
      </c>
      <c r="X1317" s="6">
        <f>IF(ISERROR(VLOOKUP($U$1317,'TAR FIN'!$A$1:$O$116,15,0)),0,VLOOKUP($U$1317,'TAR FIN'!$A$1:$O$116,15,0))</f>
        <v>326.47000000000003</v>
      </c>
      <c r="Y1317" s="6"/>
      <c r="Z1317" s="6">
        <f ca="1">('TUSD BE'!$AM$43+'TUSD BF'!$AM$43+'TUSD CVA'!$AM$43)*1</f>
        <v>436.78490561809065</v>
      </c>
      <c r="AA1317" s="6">
        <f>('TE BE'!$AB$14+'TE BF'!$AB$14+'TE CVA'!$AB$14)*1</f>
        <v>329.63081087285968</v>
      </c>
      <c r="AB1317" s="6">
        <f>$K$1317*$V$1317</f>
        <v>0</v>
      </c>
      <c r="AC1317" s="6">
        <f>$M$1317*$W$1317</f>
        <v>257147.68320000003</v>
      </c>
      <c r="AD1317" s="6">
        <f>$O$1317*$X$1317</f>
        <v>245126.73480000003</v>
      </c>
      <c r="AE1317" s="6">
        <f>$K$1317*$Y$1317</f>
        <v>0</v>
      </c>
      <c r="AF1317" s="6">
        <f ca="1">$M$1317*$Z$1317</f>
        <v>327955.57853428717</v>
      </c>
      <c r="AG1317" s="6">
        <f>$O$1317*$AA$1317</f>
        <v>247499.99803577797</v>
      </c>
    </row>
    <row r="1318" spans="1:33" ht="11.25" customHeight="1" x14ac:dyDescent="0.25">
      <c r="A1318" s="4" t="s">
        <v>28</v>
      </c>
      <c r="B1318" s="4" t="s">
        <v>22</v>
      </c>
      <c r="C1318" s="4" t="s">
        <v>23</v>
      </c>
      <c r="D1318" s="4" t="s">
        <v>24</v>
      </c>
      <c r="E1318" s="4" t="s">
        <v>24</v>
      </c>
      <c r="F1318" s="4" t="s">
        <v>25</v>
      </c>
      <c r="G1318" s="4" t="s">
        <v>25</v>
      </c>
      <c r="H1318" s="4" t="s">
        <v>25</v>
      </c>
      <c r="I1318" s="5">
        <v>44440</v>
      </c>
      <c r="J1318" s="6">
        <v>0</v>
      </c>
      <c r="K1318" s="6">
        <v>0</v>
      </c>
      <c r="L1318" s="6">
        <v>-11.977</v>
      </c>
      <c r="M1318" s="6">
        <v>-11.977</v>
      </c>
      <c r="N1318" s="6">
        <v>-11.977</v>
      </c>
      <c r="O1318" s="6">
        <v>-11.977</v>
      </c>
      <c r="P1318" s="6">
        <v>0</v>
      </c>
      <c r="Q1318" s="4" t="s">
        <v>26</v>
      </c>
      <c r="R1318" s="4">
        <v>0</v>
      </c>
      <c r="S1318" s="6">
        <v>0</v>
      </c>
      <c r="T1318" s="6">
        <v>41</v>
      </c>
      <c r="U1318" s="6">
        <v>84</v>
      </c>
      <c r="V1318" s="6">
        <f>IF(ISERROR(VLOOKUP($S$1318,'TAR FIN'!$A$1:$O$116,15,0)),0,VLOOKUP($S$1318,'TAR FIN'!$A$1:$O$116,15,0))</f>
        <v>0</v>
      </c>
      <c r="W1318" s="6">
        <f>IF(ISERROR(VLOOKUP($T$1318,'TAR FIN'!$A$1:$O$116,15,0)),0,VLOOKUP($T$1318,'TAR FIN'!$A$1:$O$116,15,0))</f>
        <v>342.48</v>
      </c>
      <c r="X1318" s="6">
        <f>IF(ISERROR(VLOOKUP($U$1318,'TAR FIN'!$A$1:$O$116,15,0)),0,VLOOKUP($U$1318,'TAR FIN'!$A$1:$O$116,15,0))</f>
        <v>326.47000000000003</v>
      </c>
      <c r="Y1318" s="6"/>
      <c r="Z1318" s="6">
        <f ca="1">('TUSD BE'!$AM$43+'TUSD BF'!$AM$43+'TUSD CVA'!$AM$43)*1</f>
        <v>436.78490561809065</v>
      </c>
      <c r="AA1318" s="6">
        <f>('TE BE'!$AB$14+'TE BF'!$AB$14+'TE CVA'!$AB$14)*1</f>
        <v>329.63081087285968</v>
      </c>
      <c r="AB1318" s="6">
        <f>$K$1318*$V$1318</f>
        <v>0</v>
      </c>
      <c r="AC1318" s="6">
        <f>$M$1318*$W$1318</f>
        <v>-4101.8829599999999</v>
      </c>
      <c r="AD1318" s="6">
        <f>$O$1318*$X$1318</f>
        <v>-3910.1311900000005</v>
      </c>
      <c r="AE1318" s="6">
        <f>$K$1318*$Y$1318</f>
        <v>0</v>
      </c>
      <c r="AF1318" s="6">
        <f ca="1">$M$1318*$Z$1318</f>
        <v>-5231.3728145878722</v>
      </c>
      <c r="AG1318" s="6">
        <f>$O$1318*$AA$1318</f>
        <v>-3947.9882218242406</v>
      </c>
    </row>
    <row r="1319" spans="1:33" ht="11.25" customHeight="1" x14ac:dyDescent="0.25">
      <c r="A1319" s="4" t="s">
        <v>21</v>
      </c>
      <c r="B1319" s="4" t="s">
        <v>22</v>
      </c>
      <c r="C1319" s="4" t="s">
        <v>23</v>
      </c>
      <c r="D1319" s="4" t="s">
        <v>24</v>
      </c>
      <c r="E1319" s="4" t="s">
        <v>24</v>
      </c>
      <c r="F1319" s="4" t="s">
        <v>25</v>
      </c>
      <c r="G1319" s="4" t="s">
        <v>25</v>
      </c>
      <c r="H1319" s="4" t="s">
        <v>25</v>
      </c>
      <c r="I1319" s="5">
        <v>44470</v>
      </c>
      <c r="J1319" s="6">
        <v>0</v>
      </c>
      <c r="K1319" s="6">
        <v>0</v>
      </c>
      <c r="L1319" s="6">
        <v>33917.345999999998</v>
      </c>
      <c r="M1319" s="6">
        <v>33917.345999999998</v>
      </c>
      <c r="N1319" s="6">
        <v>33917.345999999998</v>
      </c>
      <c r="O1319" s="6">
        <v>33917.345999999998</v>
      </c>
      <c r="P1319" s="6">
        <v>268131</v>
      </c>
      <c r="Q1319" s="4" t="s">
        <v>26</v>
      </c>
      <c r="R1319" s="4">
        <v>0</v>
      </c>
      <c r="S1319" s="6">
        <v>0</v>
      </c>
      <c r="T1319" s="6">
        <v>41</v>
      </c>
      <c r="U1319" s="6">
        <v>84</v>
      </c>
      <c r="V1319" s="6">
        <f>IF(ISERROR(VLOOKUP($S$1319,'TAR FIN'!$A$1:$O$116,15,0)),0,VLOOKUP($S$1319,'TAR FIN'!$A$1:$O$116,15,0))</f>
        <v>0</v>
      </c>
      <c r="W1319" s="6">
        <f>IF(ISERROR(VLOOKUP($T$1319,'TAR FIN'!$A$1:$O$116,15,0)),0,VLOOKUP($T$1319,'TAR FIN'!$A$1:$O$116,15,0))</f>
        <v>342.48</v>
      </c>
      <c r="X1319" s="6">
        <f>IF(ISERROR(VLOOKUP($U$1319,'TAR FIN'!$A$1:$O$116,15,0)),0,VLOOKUP($U$1319,'TAR FIN'!$A$1:$O$116,15,0))</f>
        <v>326.47000000000003</v>
      </c>
      <c r="Y1319" s="6"/>
      <c r="Z1319" s="6">
        <f ca="1">('TUSD BE'!$AM$43+'TUSD BF'!$AM$43+'TUSD CVA'!$AM$43)*1</f>
        <v>436.78490561809065</v>
      </c>
      <c r="AA1319" s="6">
        <f>('TE BE'!$AB$14+'TE BF'!$AB$14+'TE CVA'!$AB$14)*1</f>
        <v>329.63081087285968</v>
      </c>
      <c r="AB1319" s="6">
        <f>$K$1319*$V$1319</f>
        <v>0</v>
      </c>
      <c r="AC1319" s="6">
        <f>$M$1319*$W$1319</f>
        <v>11616012.65808</v>
      </c>
      <c r="AD1319" s="6">
        <f>$O$1319*$X$1319</f>
        <v>11072995.948620001</v>
      </c>
      <c r="AE1319" s="6">
        <f>$K$1319*$Y$1319</f>
        <v>0</v>
      </c>
      <c r="AF1319" s="6">
        <f ca="1">$M$1319*$Z$1319</f>
        <v>14814584.771426123</v>
      </c>
      <c r="AG1319" s="6">
        <f>$O$1319*$AA$1319</f>
        <v>11180202.264635343</v>
      </c>
    </row>
    <row r="1320" spans="1:33" ht="11.25" customHeight="1" x14ac:dyDescent="0.25">
      <c r="A1320" s="4" t="s">
        <v>27</v>
      </c>
      <c r="B1320" s="4" t="s">
        <v>22</v>
      </c>
      <c r="C1320" s="4" t="s">
        <v>23</v>
      </c>
      <c r="D1320" s="4" t="s">
        <v>24</v>
      </c>
      <c r="E1320" s="4" t="s">
        <v>24</v>
      </c>
      <c r="F1320" s="4" t="s">
        <v>25</v>
      </c>
      <c r="G1320" s="4" t="s">
        <v>25</v>
      </c>
      <c r="H1320" s="4" t="s">
        <v>25</v>
      </c>
      <c r="I1320" s="5">
        <v>44470</v>
      </c>
      <c r="J1320" s="6">
        <v>0</v>
      </c>
      <c r="K1320" s="6">
        <v>0</v>
      </c>
      <c r="L1320" s="6">
        <v>-27.29</v>
      </c>
      <c r="M1320" s="6">
        <v>-27.29</v>
      </c>
      <c r="N1320" s="6">
        <v>-27.29</v>
      </c>
      <c r="O1320" s="6">
        <v>-27.29</v>
      </c>
      <c r="P1320" s="6">
        <v>-19</v>
      </c>
      <c r="Q1320" s="4" t="s">
        <v>26</v>
      </c>
      <c r="R1320" s="4">
        <v>0</v>
      </c>
      <c r="S1320" s="6">
        <v>0</v>
      </c>
      <c r="T1320" s="6">
        <v>41</v>
      </c>
      <c r="U1320" s="6">
        <v>84</v>
      </c>
      <c r="V1320" s="6">
        <f>IF(ISERROR(VLOOKUP($S$1320,'TAR FIN'!$A$1:$O$116,15,0)),0,VLOOKUP($S$1320,'TAR FIN'!$A$1:$O$116,15,0))</f>
        <v>0</v>
      </c>
      <c r="W1320" s="6">
        <f>IF(ISERROR(VLOOKUP($T$1320,'TAR FIN'!$A$1:$O$116,15,0)),0,VLOOKUP($T$1320,'TAR FIN'!$A$1:$O$116,15,0))</f>
        <v>342.48</v>
      </c>
      <c r="X1320" s="6">
        <f>IF(ISERROR(VLOOKUP($U$1320,'TAR FIN'!$A$1:$O$116,15,0)),0,VLOOKUP($U$1320,'TAR FIN'!$A$1:$O$116,15,0))</f>
        <v>326.47000000000003</v>
      </c>
      <c r="Y1320" s="6"/>
      <c r="Z1320" s="6">
        <f ca="1">('TUSD BE'!$AM$43+'TUSD BF'!$AM$43+'TUSD CVA'!$AM$43)*1</f>
        <v>436.78490561809065</v>
      </c>
      <c r="AA1320" s="6">
        <f>('TE BE'!$AB$14+'TE BF'!$AB$14+'TE CVA'!$AB$14)*1</f>
        <v>329.63081087285968</v>
      </c>
      <c r="AB1320" s="6">
        <f>$K$1320*$V$1320</f>
        <v>0</v>
      </c>
      <c r="AC1320" s="6">
        <f>$M$1320*$W$1320</f>
        <v>-9346.2792000000009</v>
      </c>
      <c r="AD1320" s="6">
        <f>$O$1320*$X$1320</f>
        <v>-8909.3662999999997</v>
      </c>
      <c r="AE1320" s="6">
        <f>$K$1320*$Y$1320</f>
        <v>0</v>
      </c>
      <c r="AF1320" s="6">
        <f ca="1">$M$1320*$Z$1320</f>
        <v>-11919.860074317694</v>
      </c>
      <c r="AG1320" s="6">
        <f>$O$1320*$AA$1320</f>
        <v>-8995.6248287203398</v>
      </c>
    </row>
    <row r="1321" spans="1:33" ht="11.25" customHeight="1" x14ac:dyDescent="0.25">
      <c r="A1321" s="4" t="s">
        <v>28</v>
      </c>
      <c r="B1321" s="4" t="s">
        <v>22</v>
      </c>
      <c r="C1321" s="4" t="s">
        <v>23</v>
      </c>
      <c r="D1321" s="4" t="s">
        <v>24</v>
      </c>
      <c r="E1321" s="4" t="s">
        <v>24</v>
      </c>
      <c r="F1321" s="4" t="s">
        <v>25</v>
      </c>
      <c r="G1321" s="4" t="s">
        <v>25</v>
      </c>
      <c r="H1321" s="4" t="s">
        <v>25</v>
      </c>
      <c r="I1321" s="5">
        <v>44470</v>
      </c>
      <c r="J1321" s="6">
        <v>0</v>
      </c>
      <c r="K1321" s="6">
        <v>0</v>
      </c>
      <c r="L1321" s="6">
        <v>817.02099999999996</v>
      </c>
      <c r="M1321" s="6">
        <v>817.02099999999996</v>
      </c>
      <c r="N1321" s="6">
        <v>817.02099999999996</v>
      </c>
      <c r="O1321" s="6">
        <v>817.02099999999996</v>
      </c>
      <c r="P1321" s="6">
        <v>7249</v>
      </c>
      <c r="Q1321" s="4" t="s">
        <v>26</v>
      </c>
      <c r="R1321" s="4">
        <v>0</v>
      </c>
      <c r="S1321" s="6">
        <v>0</v>
      </c>
      <c r="T1321" s="6">
        <v>41</v>
      </c>
      <c r="U1321" s="6">
        <v>84</v>
      </c>
      <c r="V1321" s="6">
        <f>IF(ISERROR(VLOOKUP($S$1321,'TAR FIN'!$A$1:$O$116,15,0)),0,VLOOKUP($S$1321,'TAR FIN'!$A$1:$O$116,15,0))</f>
        <v>0</v>
      </c>
      <c r="W1321" s="6">
        <f>IF(ISERROR(VLOOKUP($T$1321,'TAR FIN'!$A$1:$O$116,15,0)),0,VLOOKUP($T$1321,'TAR FIN'!$A$1:$O$116,15,0))</f>
        <v>342.48</v>
      </c>
      <c r="X1321" s="6">
        <f>IF(ISERROR(VLOOKUP($U$1321,'TAR FIN'!$A$1:$O$116,15,0)),0,VLOOKUP($U$1321,'TAR FIN'!$A$1:$O$116,15,0))</f>
        <v>326.47000000000003</v>
      </c>
      <c r="Y1321" s="6"/>
      <c r="Z1321" s="6">
        <f ca="1">('TUSD BE'!$AM$43+'TUSD BF'!$AM$43+'TUSD CVA'!$AM$43)*1</f>
        <v>436.78490561809065</v>
      </c>
      <c r="AA1321" s="6">
        <f>('TE BE'!$AB$14+'TE BF'!$AB$14+'TE CVA'!$AB$14)*1</f>
        <v>329.63081087285968</v>
      </c>
      <c r="AB1321" s="6">
        <f>$K$1321*$V$1321</f>
        <v>0</v>
      </c>
      <c r="AC1321" s="6">
        <f>$M$1321*$W$1321</f>
        <v>279813.35207999998</v>
      </c>
      <c r="AD1321" s="6">
        <f>$O$1321*$X$1321</f>
        <v>266732.84587000002</v>
      </c>
      <c r="AE1321" s="6">
        <f>$K$1321*$Y$1321</f>
        <v>0</v>
      </c>
      <c r="AF1321" s="6">
        <f ca="1">$M$1321*$Z$1321</f>
        <v>356862.44037299801</v>
      </c>
      <c r="AG1321" s="6">
        <f>$O$1321*$AA$1321</f>
        <v>269315.29473015468</v>
      </c>
    </row>
    <row r="1322" spans="1:33" ht="11.25" customHeight="1" x14ac:dyDescent="0.25">
      <c r="A1322" s="4" t="s">
        <v>28</v>
      </c>
      <c r="B1322" s="4" t="s">
        <v>22</v>
      </c>
      <c r="C1322" s="4" t="s">
        <v>23</v>
      </c>
      <c r="D1322" s="4" t="s">
        <v>24</v>
      </c>
      <c r="E1322" s="4" t="s">
        <v>24</v>
      </c>
      <c r="F1322" s="4" t="s">
        <v>25</v>
      </c>
      <c r="G1322" s="4" t="s">
        <v>25</v>
      </c>
      <c r="H1322" s="4" t="s">
        <v>25</v>
      </c>
      <c r="I1322" s="5">
        <v>44470</v>
      </c>
      <c r="J1322" s="6">
        <v>0</v>
      </c>
      <c r="K1322" s="6">
        <v>0</v>
      </c>
      <c r="L1322" s="6">
        <v>-3.5920000000000001</v>
      </c>
      <c r="M1322" s="6">
        <v>-3.5920000000000001</v>
      </c>
      <c r="N1322" s="6">
        <v>-3.5920000000000001</v>
      </c>
      <c r="O1322" s="6">
        <v>-3.5920000000000001</v>
      </c>
      <c r="P1322" s="6">
        <v>1</v>
      </c>
      <c r="Q1322" s="4" t="s">
        <v>26</v>
      </c>
      <c r="R1322" s="4">
        <v>0</v>
      </c>
      <c r="S1322" s="6">
        <v>0</v>
      </c>
      <c r="T1322" s="6">
        <v>41</v>
      </c>
      <c r="U1322" s="6">
        <v>84</v>
      </c>
      <c r="V1322" s="6">
        <f>IF(ISERROR(VLOOKUP($S$1322,'TAR FIN'!$A$1:$O$116,15,0)),0,VLOOKUP($S$1322,'TAR FIN'!$A$1:$O$116,15,0))</f>
        <v>0</v>
      </c>
      <c r="W1322" s="6">
        <f>IF(ISERROR(VLOOKUP($T$1322,'TAR FIN'!$A$1:$O$116,15,0)),0,VLOOKUP($T$1322,'TAR FIN'!$A$1:$O$116,15,0))</f>
        <v>342.48</v>
      </c>
      <c r="X1322" s="6">
        <f>IF(ISERROR(VLOOKUP($U$1322,'TAR FIN'!$A$1:$O$116,15,0)),0,VLOOKUP($U$1322,'TAR FIN'!$A$1:$O$116,15,0))</f>
        <v>326.47000000000003</v>
      </c>
      <c r="Y1322" s="6"/>
      <c r="Z1322" s="6">
        <f ca="1">('TUSD BE'!$AM$43+'TUSD BF'!$AM$43+'TUSD CVA'!$AM$43)*1</f>
        <v>436.78490561809065</v>
      </c>
      <c r="AA1322" s="6">
        <f>('TE BE'!$AB$14+'TE BF'!$AB$14+'TE CVA'!$AB$14)*1</f>
        <v>329.63081087285968</v>
      </c>
      <c r="AB1322" s="6">
        <f>$K$1322*$V$1322</f>
        <v>0</v>
      </c>
      <c r="AC1322" s="6">
        <f>$M$1322*$W$1322</f>
        <v>-1230.1881600000002</v>
      </c>
      <c r="AD1322" s="6">
        <f>$O$1322*$X$1322</f>
        <v>-1172.6802400000001</v>
      </c>
      <c r="AE1322" s="6">
        <f>$K$1322*$Y$1322</f>
        <v>0</v>
      </c>
      <c r="AF1322" s="6">
        <f ca="1">$M$1322*$Z$1322</f>
        <v>-1568.9313809801815</v>
      </c>
      <c r="AG1322" s="6">
        <f>$O$1322*$AA$1322</f>
        <v>-1184.0338726553121</v>
      </c>
    </row>
    <row r="1323" spans="1:33" ht="11.25" customHeight="1" x14ac:dyDescent="0.25">
      <c r="A1323" s="4" t="s">
        <v>21</v>
      </c>
      <c r="B1323" s="4" t="s">
        <v>22</v>
      </c>
      <c r="C1323" s="4" t="s">
        <v>23</v>
      </c>
      <c r="D1323" s="4" t="s">
        <v>24</v>
      </c>
      <c r="E1323" s="4" t="s">
        <v>24</v>
      </c>
      <c r="F1323" s="4" t="s">
        <v>25</v>
      </c>
      <c r="G1323" s="4" t="s">
        <v>25</v>
      </c>
      <c r="H1323" s="4" t="s">
        <v>25</v>
      </c>
      <c r="I1323" s="5">
        <v>44501</v>
      </c>
      <c r="J1323" s="6">
        <v>0</v>
      </c>
      <c r="K1323" s="6">
        <v>0</v>
      </c>
      <c r="L1323" s="6">
        <v>33626.442000000003</v>
      </c>
      <c r="M1323" s="6">
        <v>33626.442000000003</v>
      </c>
      <c r="N1323" s="6">
        <v>33626.442000000003</v>
      </c>
      <c r="O1323" s="6">
        <v>33626.442000000003</v>
      </c>
      <c r="P1323" s="6">
        <v>266917</v>
      </c>
      <c r="Q1323" s="4" t="s">
        <v>26</v>
      </c>
      <c r="R1323" s="4">
        <v>0</v>
      </c>
      <c r="S1323" s="6">
        <v>0</v>
      </c>
      <c r="T1323" s="6">
        <v>41</v>
      </c>
      <c r="U1323" s="6">
        <v>84</v>
      </c>
      <c r="V1323" s="6">
        <f>IF(ISERROR(VLOOKUP($S$1323,'TAR FIN'!$A$1:$O$116,15,0)),0,VLOOKUP($S$1323,'TAR FIN'!$A$1:$O$116,15,0))</f>
        <v>0</v>
      </c>
      <c r="W1323" s="6">
        <f>IF(ISERROR(VLOOKUP($T$1323,'TAR FIN'!$A$1:$O$116,15,0)),0,VLOOKUP($T$1323,'TAR FIN'!$A$1:$O$116,15,0))</f>
        <v>342.48</v>
      </c>
      <c r="X1323" s="6">
        <f>IF(ISERROR(VLOOKUP($U$1323,'TAR FIN'!$A$1:$O$116,15,0)),0,VLOOKUP($U$1323,'TAR FIN'!$A$1:$O$116,15,0))</f>
        <v>326.47000000000003</v>
      </c>
      <c r="Y1323" s="6"/>
      <c r="Z1323" s="6">
        <f ca="1">('TUSD BE'!$AM$43+'TUSD BF'!$AM$43+'TUSD CVA'!$AM$43)*1</f>
        <v>436.78490561809065</v>
      </c>
      <c r="AA1323" s="6">
        <f>('TE BE'!$AB$14+'TE BF'!$AB$14+'TE CVA'!$AB$14)*1</f>
        <v>329.63081087285968</v>
      </c>
      <c r="AB1323" s="6">
        <f>$K$1323*$V$1323</f>
        <v>0</v>
      </c>
      <c r="AC1323" s="6">
        <f>$M$1323*$W$1323</f>
        <v>11516383.856160002</v>
      </c>
      <c r="AD1323" s="6">
        <f>$O$1323*$X$1323</f>
        <v>10978024.519740002</v>
      </c>
      <c r="AE1323" s="6">
        <f>$K$1323*$Y$1323</f>
        <v>0</v>
      </c>
      <c r="AF1323" s="6">
        <f ca="1">$M$1323*$Z$1323</f>
        <v>14687522.2952422</v>
      </c>
      <c r="AG1323" s="6">
        <f>$O$1323*$AA$1323</f>
        <v>11084311.343229186</v>
      </c>
    </row>
    <row r="1324" spans="1:33" ht="11.25" customHeight="1" x14ac:dyDescent="0.25">
      <c r="A1324" s="4" t="s">
        <v>27</v>
      </c>
      <c r="B1324" s="4" t="s">
        <v>22</v>
      </c>
      <c r="C1324" s="4" t="s">
        <v>23</v>
      </c>
      <c r="D1324" s="4" t="s">
        <v>24</v>
      </c>
      <c r="E1324" s="4" t="s">
        <v>24</v>
      </c>
      <c r="F1324" s="4" t="s">
        <v>25</v>
      </c>
      <c r="G1324" s="4" t="s">
        <v>25</v>
      </c>
      <c r="H1324" s="4" t="s">
        <v>25</v>
      </c>
      <c r="I1324" s="5">
        <v>44501</v>
      </c>
      <c r="J1324" s="6">
        <v>0</v>
      </c>
      <c r="K1324" s="6">
        <v>0</v>
      </c>
      <c r="L1324" s="6">
        <v>-14.246</v>
      </c>
      <c r="M1324" s="6">
        <v>-14.246</v>
      </c>
      <c r="N1324" s="6">
        <v>-14.246</v>
      </c>
      <c r="O1324" s="6">
        <v>-14.246</v>
      </c>
      <c r="P1324" s="6">
        <v>-27</v>
      </c>
      <c r="Q1324" s="4" t="s">
        <v>26</v>
      </c>
      <c r="R1324" s="4">
        <v>0</v>
      </c>
      <c r="S1324" s="6">
        <v>0</v>
      </c>
      <c r="T1324" s="6">
        <v>41</v>
      </c>
      <c r="U1324" s="6">
        <v>84</v>
      </c>
      <c r="V1324" s="6">
        <f>IF(ISERROR(VLOOKUP($S$1324,'TAR FIN'!$A$1:$O$116,15,0)),0,VLOOKUP($S$1324,'TAR FIN'!$A$1:$O$116,15,0))</f>
        <v>0</v>
      </c>
      <c r="W1324" s="6">
        <f>IF(ISERROR(VLOOKUP($T$1324,'TAR FIN'!$A$1:$O$116,15,0)),0,VLOOKUP($T$1324,'TAR FIN'!$A$1:$O$116,15,0))</f>
        <v>342.48</v>
      </c>
      <c r="X1324" s="6">
        <f>IF(ISERROR(VLOOKUP($U$1324,'TAR FIN'!$A$1:$O$116,15,0)),0,VLOOKUP($U$1324,'TAR FIN'!$A$1:$O$116,15,0))</f>
        <v>326.47000000000003</v>
      </c>
      <c r="Y1324" s="6"/>
      <c r="Z1324" s="6">
        <f ca="1">('TUSD BE'!$AM$43+'TUSD BF'!$AM$43+'TUSD CVA'!$AM$43)*1</f>
        <v>436.78490561809065</v>
      </c>
      <c r="AA1324" s="6">
        <f>('TE BE'!$AB$14+'TE BF'!$AB$14+'TE CVA'!$AB$14)*1</f>
        <v>329.63081087285968</v>
      </c>
      <c r="AB1324" s="6">
        <f>$K$1324*$V$1324</f>
        <v>0</v>
      </c>
      <c r="AC1324" s="6">
        <f>$M$1324*$W$1324</f>
        <v>-4878.9700800000001</v>
      </c>
      <c r="AD1324" s="6">
        <f>$O$1324*$X$1324</f>
        <v>-4650.8916200000003</v>
      </c>
      <c r="AE1324" s="6">
        <f>$K$1324*$Y$1324</f>
        <v>0</v>
      </c>
      <c r="AF1324" s="6">
        <f ca="1">$M$1324*$Z$1324</f>
        <v>-6222.4377654353193</v>
      </c>
      <c r="AG1324" s="6">
        <f>$O$1324*$AA$1324</f>
        <v>-4695.9205316947591</v>
      </c>
    </row>
    <row r="1325" spans="1:33" ht="11.25" customHeight="1" x14ac:dyDescent="0.25">
      <c r="A1325" s="4" t="s">
        <v>28</v>
      </c>
      <c r="B1325" s="4" t="s">
        <v>22</v>
      </c>
      <c r="C1325" s="4" t="s">
        <v>23</v>
      </c>
      <c r="D1325" s="4" t="s">
        <v>24</v>
      </c>
      <c r="E1325" s="4" t="s">
        <v>24</v>
      </c>
      <c r="F1325" s="4" t="s">
        <v>25</v>
      </c>
      <c r="G1325" s="4" t="s">
        <v>25</v>
      </c>
      <c r="H1325" s="4" t="s">
        <v>25</v>
      </c>
      <c r="I1325" s="5">
        <v>44501</v>
      </c>
      <c r="J1325" s="6">
        <v>0</v>
      </c>
      <c r="K1325" s="6">
        <v>0</v>
      </c>
      <c r="L1325" s="6">
        <v>842.05799999999999</v>
      </c>
      <c r="M1325" s="6">
        <v>842.05799999999999</v>
      </c>
      <c r="N1325" s="6">
        <v>842.05799999999999</v>
      </c>
      <c r="O1325" s="6">
        <v>842.05799999999999</v>
      </c>
      <c r="P1325" s="6">
        <v>7716</v>
      </c>
      <c r="Q1325" s="4" t="s">
        <v>26</v>
      </c>
      <c r="R1325" s="4">
        <v>0</v>
      </c>
      <c r="S1325" s="6">
        <v>0</v>
      </c>
      <c r="T1325" s="6">
        <v>41</v>
      </c>
      <c r="U1325" s="6">
        <v>84</v>
      </c>
      <c r="V1325" s="6">
        <f>IF(ISERROR(VLOOKUP($S$1325,'TAR FIN'!$A$1:$O$116,15,0)),0,VLOOKUP($S$1325,'TAR FIN'!$A$1:$O$116,15,0))</f>
        <v>0</v>
      </c>
      <c r="W1325" s="6">
        <f>IF(ISERROR(VLOOKUP($T$1325,'TAR FIN'!$A$1:$O$116,15,0)),0,VLOOKUP($T$1325,'TAR FIN'!$A$1:$O$116,15,0))</f>
        <v>342.48</v>
      </c>
      <c r="X1325" s="6">
        <f>IF(ISERROR(VLOOKUP($U$1325,'TAR FIN'!$A$1:$O$116,15,0)),0,VLOOKUP($U$1325,'TAR FIN'!$A$1:$O$116,15,0))</f>
        <v>326.47000000000003</v>
      </c>
      <c r="Y1325" s="6"/>
      <c r="Z1325" s="6">
        <f ca="1">('TUSD BE'!$AM$43+'TUSD BF'!$AM$43+'TUSD CVA'!$AM$43)*1</f>
        <v>436.78490561809065</v>
      </c>
      <c r="AA1325" s="6">
        <f>('TE BE'!$AB$14+'TE BF'!$AB$14+'TE CVA'!$AB$14)*1</f>
        <v>329.63081087285968</v>
      </c>
      <c r="AB1325" s="6">
        <f>$K$1325*$V$1325</f>
        <v>0</v>
      </c>
      <c r="AC1325" s="6">
        <f>$M$1325*$W$1325</f>
        <v>288388.02384000004</v>
      </c>
      <c r="AD1325" s="6">
        <f>$O$1325*$X$1325</f>
        <v>274906.67526000005</v>
      </c>
      <c r="AE1325" s="6">
        <f>$K$1325*$Y$1325</f>
        <v>0</v>
      </c>
      <c r="AF1325" s="6">
        <f ca="1">$M$1325*$Z$1325</f>
        <v>367798.22405495815</v>
      </c>
      <c r="AG1325" s="6">
        <f>$O$1325*$AA$1325</f>
        <v>277568.2613419785</v>
      </c>
    </row>
    <row r="1326" spans="1:33" ht="11.25" customHeight="1" x14ac:dyDescent="0.25">
      <c r="A1326" s="4" t="s">
        <v>28</v>
      </c>
      <c r="B1326" s="4" t="s">
        <v>22</v>
      </c>
      <c r="C1326" s="4" t="s">
        <v>23</v>
      </c>
      <c r="D1326" s="4" t="s">
        <v>24</v>
      </c>
      <c r="E1326" s="4" t="s">
        <v>24</v>
      </c>
      <c r="F1326" s="4" t="s">
        <v>25</v>
      </c>
      <c r="G1326" s="4" t="s">
        <v>25</v>
      </c>
      <c r="H1326" s="4" t="s">
        <v>25</v>
      </c>
      <c r="I1326" s="5">
        <v>44501</v>
      </c>
      <c r="J1326" s="6">
        <v>0</v>
      </c>
      <c r="K1326" s="6">
        <v>0</v>
      </c>
      <c r="L1326" s="6">
        <v>-3.1080000000000001</v>
      </c>
      <c r="M1326" s="6">
        <v>-3.1080000000000001</v>
      </c>
      <c r="N1326" s="6">
        <v>-3.1080000000000001</v>
      </c>
      <c r="O1326" s="6">
        <v>-3.1080000000000001</v>
      </c>
      <c r="P1326" s="6">
        <v>1</v>
      </c>
      <c r="Q1326" s="4" t="s">
        <v>26</v>
      </c>
      <c r="R1326" s="4">
        <v>0</v>
      </c>
      <c r="S1326" s="6">
        <v>0</v>
      </c>
      <c r="T1326" s="6">
        <v>41</v>
      </c>
      <c r="U1326" s="6">
        <v>84</v>
      </c>
      <c r="V1326" s="6">
        <f>IF(ISERROR(VLOOKUP($S$1326,'TAR FIN'!$A$1:$O$116,15,0)),0,VLOOKUP($S$1326,'TAR FIN'!$A$1:$O$116,15,0))</f>
        <v>0</v>
      </c>
      <c r="W1326" s="6">
        <f>IF(ISERROR(VLOOKUP($T$1326,'TAR FIN'!$A$1:$O$116,15,0)),0,VLOOKUP($T$1326,'TAR FIN'!$A$1:$O$116,15,0))</f>
        <v>342.48</v>
      </c>
      <c r="X1326" s="6">
        <f>IF(ISERROR(VLOOKUP($U$1326,'TAR FIN'!$A$1:$O$116,15,0)),0,VLOOKUP($U$1326,'TAR FIN'!$A$1:$O$116,15,0))</f>
        <v>326.47000000000003</v>
      </c>
      <c r="Y1326" s="6"/>
      <c r="Z1326" s="6">
        <f ca="1">('TUSD BE'!$AM$43+'TUSD BF'!$AM$43+'TUSD CVA'!$AM$43)*1</f>
        <v>436.78490561809065</v>
      </c>
      <c r="AA1326" s="6">
        <f>('TE BE'!$AB$14+'TE BF'!$AB$14+'TE CVA'!$AB$14)*1</f>
        <v>329.63081087285968</v>
      </c>
      <c r="AB1326" s="6">
        <f>$K$1326*$V$1326</f>
        <v>0</v>
      </c>
      <c r="AC1326" s="6">
        <f>$M$1326*$W$1326</f>
        <v>-1064.4278400000001</v>
      </c>
      <c r="AD1326" s="6">
        <f>$O$1326*$X$1326</f>
        <v>-1014.6687600000001</v>
      </c>
      <c r="AE1326" s="6">
        <f>$K$1326*$Y$1326</f>
        <v>0</v>
      </c>
      <c r="AF1326" s="6">
        <f ca="1">$M$1326*$Z$1326</f>
        <v>-1357.5274866610257</v>
      </c>
      <c r="AG1326" s="6">
        <f>$O$1326*$AA$1326</f>
        <v>-1024.492560192848</v>
      </c>
    </row>
    <row r="1327" spans="1:33" ht="11.25" customHeight="1" x14ac:dyDescent="0.25">
      <c r="A1327" s="4" t="s">
        <v>21</v>
      </c>
      <c r="B1327" s="4" t="s">
        <v>22</v>
      </c>
      <c r="C1327" s="4" t="s">
        <v>23</v>
      </c>
      <c r="D1327" s="4" t="s">
        <v>24</v>
      </c>
      <c r="E1327" s="4" t="s">
        <v>24</v>
      </c>
      <c r="F1327" s="4" t="s">
        <v>25</v>
      </c>
      <c r="G1327" s="4" t="s">
        <v>25</v>
      </c>
      <c r="H1327" s="4" t="s">
        <v>25</v>
      </c>
      <c r="I1327" s="5">
        <v>44531</v>
      </c>
      <c r="J1327" s="6">
        <v>0</v>
      </c>
      <c r="K1327" s="6">
        <v>0</v>
      </c>
      <c r="L1327" s="6">
        <v>36130.078999999998</v>
      </c>
      <c r="M1327" s="6">
        <v>36130.078999999998</v>
      </c>
      <c r="N1327" s="6">
        <v>36130.078999999998</v>
      </c>
      <c r="O1327" s="6">
        <v>36130.078999999998</v>
      </c>
      <c r="P1327" s="6">
        <v>265913</v>
      </c>
      <c r="Q1327" s="4" t="s">
        <v>26</v>
      </c>
      <c r="R1327" s="4">
        <v>0</v>
      </c>
      <c r="S1327" s="6">
        <v>0</v>
      </c>
      <c r="T1327" s="6">
        <v>41</v>
      </c>
      <c r="U1327" s="6">
        <v>84</v>
      </c>
      <c r="V1327" s="6">
        <f>IF(ISERROR(VLOOKUP($S$1327,'TAR FIN'!$A$1:$O$116,15,0)),0,VLOOKUP($S$1327,'TAR FIN'!$A$1:$O$116,15,0))</f>
        <v>0</v>
      </c>
      <c r="W1327" s="6">
        <f>IF(ISERROR(VLOOKUP($T$1327,'TAR FIN'!$A$1:$O$116,15,0)),0,VLOOKUP($T$1327,'TAR FIN'!$A$1:$O$116,15,0))</f>
        <v>342.48</v>
      </c>
      <c r="X1327" s="6">
        <f>IF(ISERROR(VLOOKUP($U$1327,'TAR FIN'!$A$1:$O$116,15,0)),0,VLOOKUP($U$1327,'TAR FIN'!$A$1:$O$116,15,0))</f>
        <v>326.47000000000003</v>
      </c>
      <c r="Y1327" s="6"/>
      <c r="Z1327" s="6">
        <f ca="1">('TUSD BE'!$AM$43+'TUSD BF'!$AM$43+'TUSD CVA'!$AM$43)*1</f>
        <v>436.78490561809065</v>
      </c>
      <c r="AA1327" s="6">
        <f>('TE BE'!$AB$14+'TE BF'!$AB$14+'TE CVA'!$AB$14)*1</f>
        <v>329.63081087285968</v>
      </c>
      <c r="AB1327" s="6">
        <f>$K$1327*$V$1327</f>
        <v>0</v>
      </c>
      <c r="AC1327" s="6">
        <f>$M$1327*$W$1327</f>
        <v>12373829.45592</v>
      </c>
      <c r="AD1327" s="6">
        <f>$O$1327*$X$1327</f>
        <v>11795386.89113</v>
      </c>
      <c r="AE1327" s="6">
        <f>$K$1327*$Y$1327</f>
        <v>0</v>
      </c>
      <c r="AF1327" s="6">
        <f ca="1">$M$1327*$Z$1327</f>
        <v>15781073.145989157</v>
      </c>
      <c r="AG1327" s="6">
        <f>$O$1327*$AA$1327</f>
        <v>11909587.237670479</v>
      </c>
    </row>
    <row r="1328" spans="1:33" ht="11.25" customHeight="1" x14ac:dyDescent="0.25">
      <c r="A1328" s="4" t="s">
        <v>27</v>
      </c>
      <c r="B1328" s="4" t="s">
        <v>22</v>
      </c>
      <c r="C1328" s="4" t="s">
        <v>23</v>
      </c>
      <c r="D1328" s="4" t="s">
        <v>24</v>
      </c>
      <c r="E1328" s="4" t="s">
        <v>24</v>
      </c>
      <c r="F1328" s="4" t="s">
        <v>25</v>
      </c>
      <c r="G1328" s="4" t="s">
        <v>25</v>
      </c>
      <c r="H1328" s="4" t="s">
        <v>25</v>
      </c>
      <c r="I1328" s="5">
        <v>44531</v>
      </c>
      <c r="J1328" s="6">
        <v>0</v>
      </c>
      <c r="K1328" s="6">
        <v>0</v>
      </c>
      <c r="L1328" s="6">
        <v>-34.533999999999999</v>
      </c>
      <c r="M1328" s="6">
        <v>-34.533999999999999</v>
      </c>
      <c r="N1328" s="6">
        <v>-34.533999999999999</v>
      </c>
      <c r="O1328" s="6">
        <v>-34.533999999999999</v>
      </c>
      <c r="P1328" s="6">
        <v>-21</v>
      </c>
      <c r="Q1328" s="4" t="s">
        <v>26</v>
      </c>
      <c r="R1328" s="4">
        <v>0</v>
      </c>
      <c r="S1328" s="6">
        <v>0</v>
      </c>
      <c r="T1328" s="6">
        <v>41</v>
      </c>
      <c r="U1328" s="6">
        <v>84</v>
      </c>
      <c r="V1328" s="6">
        <f>IF(ISERROR(VLOOKUP($S$1328,'TAR FIN'!$A$1:$O$116,15,0)),0,VLOOKUP($S$1328,'TAR FIN'!$A$1:$O$116,15,0))</f>
        <v>0</v>
      </c>
      <c r="W1328" s="6">
        <f>IF(ISERROR(VLOOKUP($T$1328,'TAR FIN'!$A$1:$O$116,15,0)),0,VLOOKUP($T$1328,'TAR FIN'!$A$1:$O$116,15,0))</f>
        <v>342.48</v>
      </c>
      <c r="X1328" s="6">
        <f>IF(ISERROR(VLOOKUP($U$1328,'TAR FIN'!$A$1:$O$116,15,0)),0,VLOOKUP($U$1328,'TAR FIN'!$A$1:$O$116,15,0))</f>
        <v>326.47000000000003</v>
      </c>
      <c r="Y1328" s="6"/>
      <c r="Z1328" s="6">
        <f ca="1">('TUSD BE'!$AM$43+'TUSD BF'!$AM$43+'TUSD CVA'!$AM$43)*1</f>
        <v>436.78490561809065</v>
      </c>
      <c r="AA1328" s="6">
        <f>('TE BE'!$AB$14+'TE BF'!$AB$14+'TE CVA'!$AB$14)*1</f>
        <v>329.63081087285968</v>
      </c>
      <c r="AB1328" s="6">
        <f>$K$1328*$V$1328</f>
        <v>0</v>
      </c>
      <c r="AC1328" s="6">
        <f>$M$1328*$W$1328</f>
        <v>-11827.204320000001</v>
      </c>
      <c r="AD1328" s="6">
        <f>$O$1328*$X$1328</f>
        <v>-11274.314980000001</v>
      </c>
      <c r="AE1328" s="6">
        <f>$K$1328*$Y$1328</f>
        <v>0</v>
      </c>
      <c r="AF1328" s="6">
        <f ca="1">$M$1328*$Z$1328</f>
        <v>-15083.929930615142</v>
      </c>
      <c r="AG1328" s="6">
        <f>$O$1328*$AA$1328</f>
        <v>-11383.470422683336</v>
      </c>
    </row>
    <row r="1329" spans="1:33" ht="11.25" customHeight="1" x14ac:dyDescent="0.25">
      <c r="A1329" s="4" t="s">
        <v>28</v>
      </c>
      <c r="B1329" s="4" t="s">
        <v>22</v>
      </c>
      <c r="C1329" s="4" t="s">
        <v>23</v>
      </c>
      <c r="D1329" s="4" t="s">
        <v>24</v>
      </c>
      <c r="E1329" s="4" t="s">
        <v>24</v>
      </c>
      <c r="F1329" s="4" t="s">
        <v>25</v>
      </c>
      <c r="G1329" s="4" t="s">
        <v>25</v>
      </c>
      <c r="H1329" s="4" t="s">
        <v>25</v>
      </c>
      <c r="I1329" s="5">
        <v>44531</v>
      </c>
      <c r="J1329" s="6">
        <v>0</v>
      </c>
      <c r="K1329" s="6">
        <v>0</v>
      </c>
      <c r="L1329" s="6">
        <v>912.05399999999997</v>
      </c>
      <c r="M1329" s="6">
        <v>912.05399999999997</v>
      </c>
      <c r="N1329" s="6">
        <v>912.05399999999997</v>
      </c>
      <c r="O1329" s="6">
        <v>912.05399999999997</v>
      </c>
      <c r="P1329" s="6">
        <v>8285</v>
      </c>
      <c r="Q1329" s="4" t="s">
        <v>26</v>
      </c>
      <c r="R1329" s="4">
        <v>0</v>
      </c>
      <c r="S1329" s="6">
        <v>0</v>
      </c>
      <c r="T1329" s="6">
        <v>41</v>
      </c>
      <c r="U1329" s="6">
        <v>84</v>
      </c>
      <c r="V1329" s="6">
        <f>IF(ISERROR(VLOOKUP($S$1329,'TAR FIN'!$A$1:$O$116,15,0)),0,VLOOKUP($S$1329,'TAR FIN'!$A$1:$O$116,15,0))</f>
        <v>0</v>
      </c>
      <c r="W1329" s="6">
        <f>IF(ISERROR(VLOOKUP($T$1329,'TAR FIN'!$A$1:$O$116,15,0)),0,VLOOKUP($T$1329,'TAR FIN'!$A$1:$O$116,15,0))</f>
        <v>342.48</v>
      </c>
      <c r="X1329" s="6">
        <f>IF(ISERROR(VLOOKUP($U$1329,'TAR FIN'!$A$1:$O$116,15,0)),0,VLOOKUP($U$1329,'TAR FIN'!$A$1:$O$116,15,0))</f>
        <v>326.47000000000003</v>
      </c>
      <c r="Y1329" s="6"/>
      <c r="Z1329" s="6">
        <f ca="1">('TUSD BE'!$AM$43+'TUSD BF'!$AM$43+'TUSD CVA'!$AM$43)*1</f>
        <v>436.78490561809065</v>
      </c>
      <c r="AA1329" s="6">
        <f>('TE BE'!$AB$14+'TE BF'!$AB$14+'TE CVA'!$AB$14)*1</f>
        <v>329.63081087285968</v>
      </c>
      <c r="AB1329" s="6">
        <f>$K$1329*$V$1329</f>
        <v>0</v>
      </c>
      <c r="AC1329" s="6">
        <f>$M$1329*$W$1329</f>
        <v>312360.25391999999</v>
      </c>
      <c r="AD1329" s="6">
        <f>$O$1329*$X$1329</f>
        <v>297758.26938000001</v>
      </c>
      <c r="AE1329" s="6">
        <f>$K$1329*$Y$1329</f>
        <v>0</v>
      </c>
      <c r="AF1329" s="6">
        <f ca="1">$M$1329*$Z$1329</f>
        <v>398371.42030860204</v>
      </c>
      <c r="AG1329" s="6">
        <f>$O$1329*$AA$1329</f>
        <v>300641.09957983514</v>
      </c>
    </row>
    <row r="1330" spans="1:33" ht="11.25" customHeight="1" x14ac:dyDescent="0.25">
      <c r="A1330" s="4" t="s">
        <v>28</v>
      </c>
      <c r="B1330" s="4" t="s">
        <v>22</v>
      </c>
      <c r="C1330" s="4" t="s">
        <v>23</v>
      </c>
      <c r="D1330" s="4" t="s">
        <v>24</v>
      </c>
      <c r="E1330" s="4" t="s">
        <v>24</v>
      </c>
      <c r="F1330" s="4" t="s">
        <v>25</v>
      </c>
      <c r="G1330" s="4" t="s">
        <v>25</v>
      </c>
      <c r="H1330" s="4" t="s">
        <v>25</v>
      </c>
      <c r="I1330" s="5">
        <v>44531</v>
      </c>
      <c r="J1330" s="6">
        <v>0</v>
      </c>
      <c r="K1330" s="6">
        <v>0</v>
      </c>
      <c r="L1330" s="6">
        <v>-1.2070000000000001</v>
      </c>
      <c r="M1330" s="6">
        <v>-1.2070000000000001</v>
      </c>
      <c r="N1330" s="6">
        <v>-1.2070000000000001</v>
      </c>
      <c r="O1330" s="6">
        <v>-1.2070000000000001</v>
      </c>
      <c r="P1330" s="6">
        <v>0</v>
      </c>
      <c r="Q1330" s="4" t="s">
        <v>26</v>
      </c>
      <c r="R1330" s="4">
        <v>0</v>
      </c>
      <c r="S1330" s="6">
        <v>0</v>
      </c>
      <c r="T1330" s="6">
        <v>41</v>
      </c>
      <c r="U1330" s="6">
        <v>84</v>
      </c>
      <c r="V1330" s="6">
        <f>IF(ISERROR(VLOOKUP($S$1330,'TAR FIN'!$A$1:$O$116,15,0)),0,VLOOKUP($S$1330,'TAR FIN'!$A$1:$O$116,15,0))</f>
        <v>0</v>
      </c>
      <c r="W1330" s="6">
        <f>IF(ISERROR(VLOOKUP($T$1330,'TAR FIN'!$A$1:$O$116,15,0)),0,VLOOKUP($T$1330,'TAR FIN'!$A$1:$O$116,15,0))</f>
        <v>342.48</v>
      </c>
      <c r="X1330" s="6">
        <f>IF(ISERROR(VLOOKUP($U$1330,'TAR FIN'!$A$1:$O$116,15,0)),0,VLOOKUP($U$1330,'TAR FIN'!$A$1:$O$116,15,0))</f>
        <v>326.47000000000003</v>
      </c>
      <c r="Y1330" s="6"/>
      <c r="Z1330" s="6">
        <f ca="1">('TUSD BE'!$AM$43+'TUSD BF'!$AM$43+'TUSD CVA'!$AM$43)*1</f>
        <v>436.78490561809065</v>
      </c>
      <c r="AA1330" s="6">
        <f>('TE BE'!$AB$14+'TE BF'!$AB$14+'TE CVA'!$AB$14)*1</f>
        <v>329.63081087285968</v>
      </c>
      <c r="AB1330" s="6">
        <f>$K$1330*$V$1330</f>
        <v>0</v>
      </c>
      <c r="AC1330" s="6">
        <f>$M$1330*$W$1330</f>
        <v>-413.37336000000005</v>
      </c>
      <c r="AD1330" s="6">
        <f>$O$1330*$X$1330</f>
        <v>-394.04929000000004</v>
      </c>
      <c r="AE1330" s="6">
        <f>$K$1330*$Y$1330</f>
        <v>0</v>
      </c>
      <c r="AF1330" s="6">
        <f ca="1">$M$1330*$Z$1330</f>
        <v>-527.19938108103543</v>
      </c>
      <c r="AG1330" s="6">
        <f>$O$1330*$AA$1330</f>
        <v>-397.86438872354165</v>
      </c>
    </row>
    <row r="1331" spans="1:33" ht="11.25" customHeight="1" x14ac:dyDescent="0.25">
      <c r="A1331" s="4" t="s">
        <v>21</v>
      </c>
      <c r="B1331" s="4" t="s">
        <v>22</v>
      </c>
      <c r="C1331" s="4" t="s">
        <v>23</v>
      </c>
      <c r="D1331" s="4" t="s">
        <v>24</v>
      </c>
      <c r="E1331" s="4" t="s">
        <v>24</v>
      </c>
      <c r="F1331" s="4" t="s">
        <v>25</v>
      </c>
      <c r="G1331" s="4" t="s">
        <v>25</v>
      </c>
      <c r="H1331" s="4" t="s">
        <v>25</v>
      </c>
      <c r="I1331" s="5">
        <v>44562</v>
      </c>
      <c r="J1331" s="6">
        <v>0</v>
      </c>
      <c r="K1331" s="6">
        <v>0</v>
      </c>
      <c r="L1331" s="6">
        <v>35688.838000000003</v>
      </c>
      <c r="M1331" s="6">
        <v>35688.838000000003</v>
      </c>
      <c r="N1331" s="6">
        <v>35688.838000000003</v>
      </c>
      <c r="O1331" s="6">
        <v>35688.838000000003</v>
      </c>
      <c r="P1331" s="6">
        <v>265539</v>
      </c>
      <c r="Q1331" s="4" t="s">
        <v>26</v>
      </c>
      <c r="R1331" s="4">
        <v>0</v>
      </c>
      <c r="S1331" s="6">
        <v>0</v>
      </c>
      <c r="T1331" s="6">
        <v>41</v>
      </c>
      <c r="U1331" s="6">
        <v>84</v>
      </c>
      <c r="V1331" s="6">
        <f>IF(ISERROR(VLOOKUP($S$1331,'TAR FIN'!$A$1:$O$116,15,0)),0,VLOOKUP($S$1331,'TAR FIN'!$A$1:$O$116,15,0))</f>
        <v>0</v>
      </c>
      <c r="W1331" s="6">
        <f>IF(ISERROR(VLOOKUP($T$1331,'TAR FIN'!$A$1:$O$116,15,0)),0,VLOOKUP($T$1331,'TAR FIN'!$A$1:$O$116,15,0))</f>
        <v>342.48</v>
      </c>
      <c r="X1331" s="6">
        <f>IF(ISERROR(VLOOKUP($U$1331,'TAR FIN'!$A$1:$O$116,15,0)),0,VLOOKUP($U$1331,'TAR FIN'!$A$1:$O$116,15,0))</f>
        <v>326.47000000000003</v>
      </c>
      <c r="Y1331" s="6"/>
      <c r="Z1331" s="6">
        <f ca="1">('TUSD BE'!$AM$43+'TUSD BF'!$AM$43+'TUSD CVA'!$AM$43)*1</f>
        <v>436.78490561809065</v>
      </c>
      <c r="AA1331" s="6">
        <f>('TE BE'!$AB$14+'TE BF'!$AB$14+'TE CVA'!$AB$14)*1</f>
        <v>329.63081087285968</v>
      </c>
      <c r="AB1331" s="6">
        <f>$K$1331*$V$1331</f>
        <v>0</v>
      </c>
      <c r="AC1331" s="6">
        <f>$M$1331*$W$1331</f>
        <v>12222713.238240002</v>
      </c>
      <c r="AD1331" s="6">
        <f>$O$1331*$X$1331</f>
        <v>11651334.941860002</v>
      </c>
      <c r="AE1331" s="6">
        <f>$K$1331*$Y$1331</f>
        <v>0</v>
      </c>
      <c r="AF1331" s="6">
        <f ca="1">$M$1331*$Z$1331</f>
        <v>15588345.737449329</v>
      </c>
      <c r="AG1331" s="6">
        <f>$O$1331*$AA$1331</f>
        <v>11764140.609050129</v>
      </c>
    </row>
    <row r="1332" spans="1:33" ht="11.25" customHeight="1" x14ac:dyDescent="0.25">
      <c r="A1332" s="4" t="s">
        <v>27</v>
      </c>
      <c r="B1332" s="4" t="s">
        <v>22</v>
      </c>
      <c r="C1332" s="4" t="s">
        <v>23</v>
      </c>
      <c r="D1332" s="4" t="s">
        <v>24</v>
      </c>
      <c r="E1332" s="4" t="s">
        <v>24</v>
      </c>
      <c r="F1332" s="4" t="s">
        <v>25</v>
      </c>
      <c r="G1332" s="4" t="s">
        <v>25</v>
      </c>
      <c r="H1332" s="4" t="s">
        <v>25</v>
      </c>
      <c r="I1332" s="5">
        <v>44562</v>
      </c>
      <c r="J1332" s="6">
        <v>0</v>
      </c>
      <c r="K1332" s="6">
        <v>0</v>
      </c>
      <c r="L1332" s="6">
        <v>-11.483000000000001</v>
      </c>
      <c r="M1332" s="6">
        <v>-11.483000000000001</v>
      </c>
      <c r="N1332" s="6">
        <v>-11.483000000000001</v>
      </c>
      <c r="O1332" s="6">
        <v>-11.483000000000001</v>
      </c>
      <c r="P1332" s="6">
        <v>-12</v>
      </c>
      <c r="Q1332" s="4" t="s">
        <v>26</v>
      </c>
      <c r="R1332" s="4">
        <v>0</v>
      </c>
      <c r="S1332" s="6">
        <v>0</v>
      </c>
      <c r="T1332" s="6">
        <v>41</v>
      </c>
      <c r="U1332" s="6">
        <v>84</v>
      </c>
      <c r="V1332" s="6">
        <f>IF(ISERROR(VLOOKUP($S$1332,'TAR FIN'!$A$1:$O$116,15,0)),0,VLOOKUP($S$1332,'TAR FIN'!$A$1:$O$116,15,0))</f>
        <v>0</v>
      </c>
      <c r="W1332" s="6">
        <f>IF(ISERROR(VLOOKUP($T$1332,'TAR FIN'!$A$1:$O$116,15,0)),0,VLOOKUP($T$1332,'TAR FIN'!$A$1:$O$116,15,0))</f>
        <v>342.48</v>
      </c>
      <c r="X1332" s="6">
        <f>IF(ISERROR(VLOOKUP($U$1332,'TAR FIN'!$A$1:$O$116,15,0)),0,VLOOKUP($U$1332,'TAR FIN'!$A$1:$O$116,15,0))</f>
        <v>326.47000000000003</v>
      </c>
      <c r="Y1332" s="6"/>
      <c r="Z1332" s="6">
        <f ca="1">('TUSD BE'!$AM$43+'TUSD BF'!$AM$43+'TUSD CVA'!$AM$43)*1</f>
        <v>436.78490561809065</v>
      </c>
      <c r="AA1332" s="6">
        <f>('TE BE'!$AB$14+'TE BF'!$AB$14+'TE CVA'!$AB$14)*1</f>
        <v>329.63081087285968</v>
      </c>
      <c r="AB1332" s="6">
        <f>$K$1332*$V$1332</f>
        <v>0</v>
      </c>
      <c r="AC1332" s="6">
        <f>$M$1332*$W$1332</f>
        <v>-3932.6978400000003</v>
      </c>
      <c r="AD1332" s="6">
        <f>$O$1332*$X$1332</f>
        <v>-3748.8550100000007</v>
      </c>
      <c r="AE1332" s="6">
        <f>$K$1332*$Y$1332</f>
        <v>0</v>
      </c>
      <c r="AF1332" s="6">
        <f ca="1">$M$1332*$Z$1332</f>
        <v>-5015.6010712125353</v>
      </c>
      <c r="AG1332" s="6">
        <f>$O$1332*$AA$1332</f>
        <v>-3785.1506012530481</v>
      </c>
    </row>
    <row r="1333" spans="1:33" ht="11.25" customHeight="1" x14ac:dyDescent="0.25">
      <c r="A1333" s="4" t="s">
        <v>28</v>
      </c>
      <c r="B1333" s="4" t="s">
        <v>22</v>
      </c>
      <c r="C1333" s="4" t="s">
        <v>23</v>
      </c>
      <c r="D1333" s="4" t="s">
        <v>24</v>
      </c>
      <c r="E1333" s="4" t="s">
        <v>24</v>
      </c>
      <c r="F1333" s="4" t="s">
        <v>25</v>
      </c>
      <c r="G1333" s="4" t="s">
        <v>25</v>
      </c>
      <c r="H1333" s="4" t="s">
        <v>25</v>
      </c>
      <c r="I1333" s="5">
        <v>44562</v>
      </c>
      <c r="J1333" s="6">
        <v>0</v>
      </c>
      <c r="K1333" s="6">
        <v>0</v>
      </c>
      <c r="L1333" s="6">
        <v>982.96199999999999</v>
      </c>
      <c r="M1333" s="6">
        <v>982.96199999999999</v>
      </c>
      <c r="N1333" s="6">
        <v>982.96199999999999</v>
      </c>
      <c r="O1333" s="6">
        <v>982.96199999999999</v>
      </c>
      <c r="P1333" s="6">
        <v>8861</v>
      </c>
      <c r="Q1333" s="4" t="s">
        <v>26</v>
      </c>
      <c r="R1333" s="4">
        <v>0</v>
      </c>
      <c r="S1333" s="6">
        <v>0</v>
      </c>
      <c r="T1333" s="6">
        <v>41</v>
      </c>
      <c r="U1333" s="6">
        <v>84</v>
      </c>
      <c r="V1333" s="6">
        <f>IF(ISERROR(VLOOKUP($S$1333,'TAR FIN'!$A$1:$O$116,15,0)),0,VLOOKUP($S$1333,'TAR FIN'!$A$1:$O$116,15,0))</f>
        <v>0</v>
      </c>
      <c r="W1333" s="6">
        <f>IF(ISERROR(VLOOKUP($T$1333,'TAR FIN'!$A$1:$O$116,15,0)),0,VLOOKUP($T$1333,'TAR FIN'!$A$1:$O$116,15,0))</f>
        <v>342.48</v>
      </c>
      <c r="X1333" s="6">
        <f>IF(ISERROR(VLOOKUP($U$1333,'TAR FIN'!$A$1:$O$116,15,0)),0,VLOOKUP($U$1333,'TAR FIN'!$A$1:$O$116,15,0))</f>
        <v>326.47000000000003</v>
      </c>
      <c r="Y1333" s="6"/>
      <c r="Z1333" s="6">
        <f ca="1">('TUSD BE'!$AM$43+'TUSD BF'!$AM$43+'TUSD CVA'!$AM$43)*1</f>
        <v>436.78490561809065</v>
      </c>
      <c r="AA1333" s="6">
        <f>('TE BE'!$AB$14+'TE BF'!$AB$14+'TE CVA'!$AB$14)*1</f>
        <v>329.63081087285968</v>
      </c>
      <c r="AB1333" s="6">
        <f>$K$1333*$V$1333</f>
        <v>0</v>
      </c>
      <c r="AC1333" s="6">
        <f>$M$1333*$W$1333</f>
        <v>336644.82576000004</v>
      </c>
      <c r="AD1333" s="6">
        <f>$O$1333*$X$1333</f>
        <v>320907.60414000001</v>
      </c>
      <c r="AE1333" s="6">
        <f>$K$1333*$Y$1333</f>
        <v>0</v>
      </c>
      <c r="AF1333" s="6">
        <f ca="1">$M$1333*$Z$1333</f>
        <v>429342.96439616964</v>
      </c>
      <c r="AG1333" s="6">
        <f>$O$1333*$AA$1333</f>
        <v>324014.56111720792</v>
      </c>
    </row>
    <row r="1334" spans="1:33" ht="11.25" customHeight="1" x14ac:dyDescent="0.25">
      <c r="A1334" s="4" t="s">
        <v>28</v>
      </c>
      <c r="B1334" s="4" t="s">
        <v>22</v>
      </c>
      <c r="C1334" s="4" t="s">
        <v>23</v>
      </c>
      <c r="D1334" s="4" t="s">
        <v>24</v>
      </c>
      <c r="E1334" s="4" t="s">
        <v>24</v>
      </c>
      <c r="F1334" s="4" t="s">
        <v>25</v>
      </c>
      <c r="G1334" s="4" t="s">
        <v>25</v>
      </c>
      <c r="H1334" s="4" t="s">
        <v>25</v>
      </c>
      <c r="I1334" s="5">
        <v>44562</v>
      </c>
      <c r="J1334" s="6">
        <v>0</v>
      </c>
      <c r="K1334" s="6">
        <v>0</v>
      </c>
      <c r="L1334" s="6">
        <v>-2.952</v>
      </c>
      <c r="M1334" s="6">
        <v>-2.952</v>
      </c>
      <c r="N1334" s="6">
        <v>-2.952</v>
      </c>
      <c r="O1334" s="6">
        <v>-2.952</v>
      </c>
      <c r="P1334" s="6">
        <v>-1</v>
      </c>
      <c r="Q1334" s="4" t="s">
        <v>26</v>
      </c>
      <c r="R1334" s="4">
        <v>0</v>
      </c>
      <c r="S1334" s="6">
        <v>0</v>
      </c>
      <c r="T1334" s="6">
        <v>41</v>
      </c>
      <c r="U1334" s="6">
        <v>84</v>
      </c>
      <c r="V1334" s="6">
        <f>IF(ISERROR(VLOOKUP($S$1334,'TAR FIN'!$A$1:$O$116,15,0)),0,VLOOKUP($S$1334,'TAR FIN'!$A$1:$O$116,15,0))</f>
        <v>0</v>
      </c>
      <c r="W1334" s="6">
        <f>IF(ISERROR(VLOOKUP($T$1334,'TAR FIN'!$A$1:$O$116,15,0)),0,VLOOKUP($T$1334,'TAR FIN'!$A$1:$O$116,15,0))</f>
        <v>342.48</v>
      </c>
      <c r="X1334" s="6">
        <f>IF(ISERROR(VLOOKUP($U$1334,'TAR FIN'!$A$1:$O$116,15,0)),0,VLOOKUP($U$1334,'TAR FIN'!$A$1:$O$116,15,0))</f>
        <v>326.47000000000003</v>
      </c>
      <c r="Y1334" s="6"/>
      <c r="Z1334" s="6">
        <f ca="1">('TUSD BE'!$AM$43+'TUSD BF'!$AM$43+'TUSD CVA'!$AM$43)*1</f>
        <v>436.78490561809065</v>
      </c>
      <c r="AA1334" s="6">
        <f>('TE BE'!$AB$14+'TE BF'!$AB$14+'TE CVA'!$AB$14)*1</f>
        <v>329.63081087285968</v>
      </c>
      <c r="AB1334" s="6">
        <f>$K$1334*$V$1334</f>
        <v>0</v>
      </c>
      <c r="AC1334" s="6">
        <f>$M$1334*$W$1334</f>
        <v>-1011.0009600000001</v>
      </c>
      <c r="AD1334" s="6">
        <f>$O$1334*$X$1334</f>
        <v>-963.73944000000006</v>
      </c>
      <c r="AE1334" s="6">
        <f>$K$1334*$Y$1334</f>
        <v>0</v>
      </c>
      <c r="AF1334" s="6">
        <f ca="1">$M$1334*$Z$1334</f>
        <v>-1289.3890413846036</v>
      </c>
      <c r="AG1334" s="6">
        <f>$O$1334*$AA$1334</f>
        <v>-973.07015369668181</v>
      </c>
    </row>
    <row r="1335" spans="1:33" ht="11.25" customHeight="1" x14ac:dyDescent="0.25">
      <c r="A1335" s="4" t="s">
        <v>21</v>
      </c>
      <c r="B1335" s="4" t="s">
        <v>22</v>
      </c>
      <c r="C1335" s="4" t="s">
        <v>23</v>
      </c>
      <c r="D1335" s="4" t="s">
        <v>24</v>
      </c>
      <c r="E1335" s="4" t="s">
        <v>24</v>
      </c>
      <c r="F1335" s="4" t="s">
        <v>25</v>
      </c>
      <c r="G1335" s="4" t="s">
        <v>25</v>
      </c>
      <c r="H1335" s="4" t="s">
        <v>25</v>
      </c>
      <c r="I1335" s="5">
        <v>44593</v>
      </c>
      <c r="J1335" s="6">
        <v>0</v>
      </c>
      <c r="K1335" s="6">
        <v>0</v>
      </c>
      <c r="L1335" s="6">
        <v>35119.839</v>
      </c>
      <c r="M1335" s="6">
        <v>35119.839</v>
      </c>
      <c r="N1335" s="6">
        <v>35119.839</v>
      </c>
      <c r="O1335" s="6">
        <v>35119.839</v>
      </c>
      <c r="P1335" s="6">
        <v>269267</v>
      </c>
      <c r="Q1335" s="4" t="s">
        <v>26</v>
      </c>
      <c r="R1335" s="4">
        <v>0</v>
      </c>
      <c r="S1335" s="6">
        <v>0</v>
      </c>
      <c r="T1335" s="6">
        <v>41</v>
      </c>
      <c r="U1335" s="6">
        <v>84</v>
      </c>
      <c r="V1335" s="6">
        <f>IF(ISERROR(VLOOKUP($S$1335,'TAR FIN'!$A$1:$O$116,15,0)),0,VLOOKUP($S$1335,'TAR FIN'!$A$1:$O$116,15,0))</f>
        <v>0</v>
      </c>
      <c r="W1335" s="6">
        <f>IF(ISERROR(VLOOKUP($T$1335,'TAR FIN'!$A$1:$O$116,15,0)),0,VLOOKUP($T$1335,'TAR FIN'!$A$1:$O$116,15,0))</f>
        <v>342.48</v>
      </c>
      <c r="X1335" s="6">
        <f>IF(ISERROR(VLOOKUP($U$1335,'TAR FIN'!$A$1:$O$116,15,0)),0,VLOOKUP($U$1335,'TAR FIN'!$A$1:$O$116,15,0))</f>
        <v>326.47000000000003</v>
      </c>
      <c r="Y1335" s="6"/>
      <c r="Z1335" s="6">
        <f ca="1">('TUSD BE'!$AM$43+'TUSD BF'!$AM$43+'TUSD CVA'!$AM$43)*1</f>
        <v>436.78490561809065</v>
      </c>
      <c r="AA1335" s="6">
        <f>('TE BE'!$AB$14+'TE BF'!$AB$14+'TE CVA'!$AB$14)*1</f>
        <v>329.63081087285968</v>
      </c>
      <c r="AB1335" s="6">
        <f>$K$1335*$V$1335</f>
        <v>0</v>
      </c>
      <c r="AC1335" s="6">
        <f>$M$1335*$W$1335</f>
        <v>12027842.460720001</v>
      </c>
      <c r="AD1335" s="6">
        <f>$O$1335*$X$1335</f>
        <v>11465573.838330001</v>
      </c>
      <c r="AE1335" s="6">
        <f>$K$1335*$Y$1335</f>
        <v>0</v>
      </c>
      <c r="AF1335" s="6">
        <f ca="1">$M$1335*$Z$1335</f>
        <v>15339815.562937539</v>
      </c>
      <c r="AG1335" s="6">
        <f>$O$1335*$AA$1335</f>
        <v>11576581.007294282</v>
      </c>
    </row>
    <row r="1336" spans="1:33" ht="11.25" customHeight="1" x14ac:dyDescent="0.25">
      <c r="A1336" s="4" t="s">
        <v>27</v>
      </c>
      <c r="B1336" s="4" t="s">
        <v>22</v>
      </c>
      <c r="C1336" s="4" t="s">
        <v>23</v>
      </c>
      <c r="D1336" s="4" t="s">
        <v>24</v>
      </c>
      <c r="E1336" s="4" t="s">
        <v>24</v>
      </c>
      <c r="F1336" s="4" t="s">
        <v>25</v>
      </c>
      <c r="G1336" s="4" t="s">
        <v>25</v>
      </c>
      <c r="H1336" s="4" t="s">
        <v>25</v>
      </c>
      <c r="I1336" s="5">
        <v>44593</v>
      </c>
      <c r="J1336" s="6">
        <v>0</v>
      </c>
      <c r="K1336" s="6">
        <v>0</v>
      </c>
      <c r="L1336" s="6">
        <v>-21.84</v>
      </c>
      <c r="M1336" s="6">
        <v>-21.84</v>
      </c>
      <c r="N1336" s="6">
        <v>-21.84</v>
      </c>
      <c r="O1336" s="6">
        <v>-21.84</v>
      </c>
      <c r="P1336" s="6">
        <v>-40</v>
      </c>
      <c r="Q1336" s="4" t="s">
        <v>26</v>
      </c>
      <c r="R1336" s="4">
        <v>0</v>
      </c>
      <c r="S1336" s="6">
        <v>0</v>
      </c>
      <c r="T1336" s="6">
        <v>41</v>
      </c>
      <c r="U1336" s="6">
        <v>84</v>
      </c>
      <c r="V1336" s="6">
        <f>IF(ISERROR(VLOOKUP($S$1336,'TAR FIN'!$A$1:$O$116,15,0)),0,VLOOKUP($S$1336,'TAR FIN'!$A$1:$O$116,15,0))</f>
        <v>0</v>
      </c>
      <c r="W1336" s="6">
        <f>IF(ISERROR(VLOOKUP($T$1336,'TAR FIN'!$A$1:$O$116,15,0)),0,VLOOKUP($T$1336,'TAR FIN'!$A$1:$O$116,15,0))</f>
        <v>342.48</v>
      </c>
      <c r="X1336" s="6">
        <f>IF(ISERROR(VLOOKUP($U$1336,'TAR FIN'!$A$1:$O$116,15,0)),0,VLOOKUP($U$1336,'TAR FIN'!$A$1:$O$116,15,0))</f>
        <v>326.47000000000003</v>
      </c>
      <c r="Y1336" s="6"/>
      <c r="Z1336" s="6">
        <f ca="1">('TUSD BE'!$AM$43+'TUSD BF'!$AM$43+'TUSD CVA'!$AM$43)*1</f>
        <v>436.78490561809065</v>
      </c>
      <c r="AA1336" s="6">
        <f>('TE BE'!$AB$14+'TE BF'!$AB$14+'TE CVA'!$AB$14)*1</f>
        <v>329.63081087285968</v>
      </c>
      <c r="AB1336" s="6">
        <f>$K$1336*$V$1336</f>
        <v>0</v>
      </c>
      <c r="AC1336" s="6">
        <f>$M$1336*$W$1336</f>
        <v>-7479.7632000000003</v>
      </c>
      <c r="AD1336" s="6">
        <f>$O$1336*$X$1336</f>
        <v>-7130.104800000001</v>
      </c>
      <c r="AE1336" s="6">
        <f>$K$1336*$Y$1336</f>
        <v>0</v>
      </c>
      <c r="AF1336" s="6">
        <f ca="1">$M$1336*$Z$1336</f>
        <v>-9539.3823386990989</v>
      </c>
      <c r="AG1336" s="6">
        <f>$O$1336*$AA$1336</f>
        <v>-7199.1369094632555</v>
      </c>
    </row>
    <row r="1337" spans="1:33" ht="11.25" customHeight="1" x14ac:dyDescent="0.25">
      <c r="A1337" s="4" t="s">
        <v>28</v>
      </c>
      <c r="B1337" s="4" t="s">
        <v>22</v>
      </c>
      <c r="C1337" s="4" t="s">
        <v>23</v>
      </c>
      <c r="D1337" s="4" t="s">
        <v>24</v>
      </c>
      <c r="E1337" s="4" t="s">
        <v>24</v>
      </c>
      <c r="F1337" s="4" t="s">
        <v>25</v>
      </c>
      <c r="G1337" s="4" t="s">
        <v>25</v>
      </c>
      <c r="H1337" s="4" t="s">
        <v>25</v>
      </c>
      <c r="I1337" s="5">
        <v>44593</v>
      </c>
      <c r="J1337" s="6">
        <v>0</v>
      </c>
      <c r="K1337" s="6">
        <v>0</v>
      </c>
      <c r="L1337" s="6">
        <v>1091.241</v>
      </c>
      <c r="M1337" s="6">
        <v>1091.241</v>
      </c>
      <c r="N1337" s="6">
        <v>1091.241</v>
      </c>
      <c r="O1337" s="6">
        <v>1091.241</v>
      </c>
      <c r="P1337" s="6">
        <v>9657</v>
      </c>
      <c r="Q1337" s="4" t="s">
        <v>26</v>
      </c>
      <c r="R1337" s="4">
        <v>0</v>
      </c>
      <c r="S1337" s="6">
        <v>0</v>
      </c>
      <c r="T1337" s="6">
        <v>41</v>
      </c>
      <c r="U1337" s="6">
        <v>84</v>
      </c>
      <c r="V1337" s="6">
        <f>IF(ISERROR(VLOOKUP($S$1337,'TAR FIN'!$A$1:$O$116,15,0)),0,VLOOKUP($S$1337,'TAR FIN'!$A$1:$O$116,15,0))</f>
        <v>0</v>
      </c>
      <c r="W1337" s="6">
        <f>IF(ISERROR(VLOOKUP($T$1337,'TAR FIN'!$A$1:$O$116,15,0)),0,VLOOKUP($T$1337,'TAR FIN'!$A$1:$O$116,15,0))</f>
        <v>342.48</v>
      </c>
      <c r="X1337" s="6">
        <f>IF(ISERROR(VLOOKUP($U$1337,'TAR FIN'!$A$1:$O$116,15,0)),0,VLOOKUP($U$1337,'TAR FIN'!$A$1:$O$116,15,0))</f>
        <v>326.47000000000003</v>
      </c>
      <c r="Y1337" s="6"/>
      <c r="Z1337" s="6">
        <f ca="1">('TUSD BE'!$AM$43+'TUSD BF'!$AM$43+'TUSD CVA'!$AM$43)*1</f>
        <v>436.78490561809065</v>
      </c>
      <c r="AA1337" s="6">
        <f>('TE BE'!$AB$14+'TE BF'!$AB$14+'TE CVA'!$AB$14)*1</f>
        <v>329.63081087285968</v>
      </c>
      <c r="AB1337" s="6">
        <f>$K$1337*$V$1337</f>
        <v>0</v>
      </c>
      <c r="AC1337" s="6">
        <f>$M$1337*$W$1337</f>
        <v>373728.21768</v>
      </c>
      <c r="AD1337" s="6">
        <f>$O$1337*$X$1337</f>
        <v>356257.44927000004</v>
      </c>
      <c r="AE1337" s="6">
        <f>$K$1337*$Y$1337</f>
        <v>0</v>
      </c>
      <c r="AF1337" s="6">
        <f ca="1">$M$1337*$Z$1337</f>
        <v>476637.59719159087</v>
      </c>
      <c r="AG1337" s="6">
        <f>$O$1337*$AA$1337</f>
        <v>359706.65568771027</v>
      </c>
    </row>
    <row r="1338" spans="1:33" ht="11.25" customHeight="1" x14ac:dyDescent="0.25">
      <c r="A1338" s="4" t="s">
        <v>28</v>
      </c>
      <c r="B1338" s="4" t="s">
        <v>22</v>
      </c>
      <c r="C1338" s="4" t="s">
        <v>23</v>
      </c>
      <c r="D1338" s="4" t="s">
        <v>24</v>
      </c>
      <c r="E1338" s="4" t="s">
        <v>24</v>
      </c>
      <c r="F1338" s="4" t="s">
        <v>25</v>
      </c>
      <c r="G1338" s="4" t="s">
        <v>25</v>
      </c>
      <c r="H1338" s="4" t="s">
        <v>25</v>
      </c>
      <c r="I1338" s="5">
        <v>44593</v>
      </c>
      <c r="J1338" s="6">
        <v>0</v>
      </c>
      <c r="K1338" s="6">
        <v>0</v>
      </c>
      <c r="L1338" s="6">
        <v>-0.72799999999999998</v>
      </c>
      <c r="M1338" s="6">
        <v>-0.72799999999999998</v>
      </c>
      <c r="N1338" s="6">
        <v>-0.72799999999999998</v>
      </c>
      <c r="O1338" s="6">
        <v>-0.72799999999999998</v>
      </c>
      <c r="P1338" s="6">
        <v>1</v>
      </c>
      <c r="Q1338" s="4" t="s">
        <v>26</v>
      </c>
      <c r="R1338" s="4">
        <v>0</v>
      </c>
      <c r="S1338" s="6">
        <v>0</v>
      </c>
      <c r="T1338" s="6">
        <v>41</v>
      </c>
      <c r="U1338" s="6">
        <v>84</v>
      </c>
      <c r="V1338" s="6">
        <f>IF(ISERROR(VLOOKUP($S$1338,'TAR FIN'!$A$1:$O$116,15,0)),0,VLOOKUP($S$1338,'TAR FIN'!$A$1:$O$116,15,0))</f>
        <v>0</v>
      </c>
      <c r="W1338" s="6">
        <f>IF(ISERROR(VLOOKUP($T$1338,'TAR FIN'!$A$1:$O$116,15,0)),0,VLOOKUP($T$1338,'TAR FIN'!$A$1:$O$116,15,0))</f>
        <v>342.48</v>
      </c>
      <c r="X1338" s="6">
        <f>IF(ISERROR(VLOOKUP($U$1338,'TAR FIN'!$A$1:$O$116,15,0)),0,VLOOKUP($U$1338,'TAR FIN'!$A$1:$O$116,15,0))</f>
        <v>326.47000000000003</v>
      </c>
      <c r="Y1338" s="6"/>
      <c r="Z1338" s="6">
        <f ca="1">('TUSD BE'!$AM$43+'TUSD BF'!$AM$43+'TUSD CVA'!$AM$43)*1</f>
        <v>436.78490561809065</v>
      </c>
      <c r="AA1338" s="6">
        <f>('TE BE'!$AB$14+'TE BF'!$AB$14+'TE CVA'!$AB$14)*1</f>
        <v>329.63081087285968</v>
      </c>
      <c r="AB1338" s="6">
        <f>$K$1338*$V$1338</f>
        <v>0</v>
      </c>
      <c r="AC1338" s="6">
        <f>$M$1338*$W$1338</f>
        <v>-249.32544000000001</v>
      </c>
      <c r="AD1338" s="6">
        <f>$O$1338*$X$1338</f>
        <v>-237.67016000000001</v>
      </c>
      <c r="AE1338" s="6">
        <f>$K$1338*$Y$1338</f>
        <v>0</v>
      </c>
      <c r="AF1338" s="6">
        <f ca="1">$M$1338*$Z$1338</f>
        <v>-317.97941128996996</v>
      </c>
      <c r="AG1338" s="6">
        <f>$O$1338*$AA$1338</f>
        <v>-239.97123031544183</v>
      </c>
    </row>
    <row r="1339" spans="1:33" ht="11.25" customHeight="1" x14ac:dyDescent="0.25">
      <c r="A1339" s="4" t="s">
        <v>21</v>
      </c>
      <c r="B1339" s="4" t="s">
        <v>22</v>
      </c>
      <c r="C1339" s="4" t="s">
        <v>23</v>
      </c>
      <c r="D1339" s="4" t="s">
        <v>24</v>
      </c>
      <c r="E1339" s="4" t="s">
        <v>24</v>
      </c>
      <c r="F1339" s="4" t="s">
        <v>25</v>
      </c>
      <c r="G1339" s="4" t="s">
        <v>25</v>
      </c>
      <c r="H1339" s="4" t="s">
        <v>25</v>
      </c>
      <c r="I1339" s="5">
        <v>44621</v>
      </c>
      <c r="J1339" s="6">
        <v>0</v>
      </c>
      <c r="K1339" s="6">
        <v>0</v>
      </c>
      <c r="L1339" s="6">
        <v>38289.932999999997</v>
      </c>
      <c r="M1339" s="6">
        <v>38289.932999999997</v>
      </c>
      <c r="N1339" s="6">
        <v>38289.932999999997</v>
      </c>
      <c r="O1339" s="6">
        <v>38289.932999999997</v>
      </c>
      <c r="P1339" s="6">
        <v>268101</v>
      </c>
      <c r="Q1339" s="4" t="s">
        <v>26</v>
      </c>
      <c r="R1339" s="4">
        <v>0</v>
      </c>
      <c r="S1339" s="6">
        <v>0</v>
      </c>
      <c r="T1339" s="6">
        <v>41</v>
      </c>
      <c r="U1339" s="6">
        <v>84</v>
      </c>
      <c r="V1339" s="6">
        <f>IF(ISERROR(VLOOKUP($S$1339,'TAR FIN'!$A$1:$O$116,15,0)),0,VLOOKUP($S$1339,'TAR FIN'!$A$1:$O$116,15,0))</f>
        <v>0</v>
      </c>
      <c r="W1339" s="6">
        <f>IF(ISERROR(VLOOKUP($T$1339,'TAR FIN'!$A$1:$O$116,15,0)),0,VLOOKUP($T$1339,'TAR FIN'!$A$1:$O$116,15,0))</f>
        <v>342.48</v>
      </c>
      <c r="X1339" s="6">
        <f>IF(ISERROR(VLOOKUP($U$1339,'TAR FIN'!$A$1:$O$116,15,0)),0,VLOOKUP($U$1339,'TAR FIN'!$A$1:$O$116,15,0))</f>
        <v>326.47000000000003</v>
      </c>
      <c r="Y1339" s="6"/>
      <c r="Z1339" s="6">
        <f ca="1">('TUSD BE'!$AM$43+'TUSD BF'!$AM$43+'TUSD CVA'!$AM$43)*1</f>
        <v>436.78490561809065</v>
      </c>
      <c r="AA1339" s="6">
        <f>('TE BE'!$AB$14+'TE BF'!$AB$14+'TE CVA'!$AB$14)*1</f>
        <v>329.63081087285968</v>
      </c>
      <c r="AB1339" s="6">
        <f>$K$1339*$V$1339</f>
        <v>0</v>
      </c>
      <c r="AC1339" s="6">
        <f>$M$1339*$W$1339</f>
        <v>13113536.253839999</v>
      </c>
      <c r="AD1339" s="6">
        <f>$O$1339*$X$1339</f>
        <v>12500514.426510001</v>
      </c>
      <c r="AE1339" s="6">
        <f>$K$1339*$Y$1339</f>
        <v>0</v>
      </c>
      <c r="AF1339" s="6">
        <f ca="1">$M$1339*$Z$1339</f>
        <v>16724464.771528013</v>
      </c>
      <c r="AG1339" s="6">
        <f>$O$1339*$AA$1339</f>
        <v>12621541.663057467</v>
      </c>
    </row>
    <row r="1340" spans="1:33" ht="11.25" customHeight="1" x14ac:dyDescent="0.25">
      <c r="A1340" s="4" t="s">
        <v>27</v>
      </c>
      <c r="B1340" s="4" t="s">
        <v>22</v>
      </c>
      <c r="C1340" s="4" t="s">
        <v>23</v>
      </c>
      <c r="D1340" s="4" t="s">
        <v>24</v>
      </c>
      <c r="E1340" s="4" t="s">
        <v>24</v>
      </c>
      <c r="F1340" s="4" t="s">
        <v>25</v>
      </c>
      <c r="G1340" s="4" t="s">
        <v>25</v>
      </c>
      <c r="H1340" s="4" t="s">
        <v>25</v>
      </c>
      <c r="I1340" s="5">
        <v>44621</v>
      </c>
      <c r="J1340" s="6">
        <v>0</v>
      </c>
      <c r="K1340" s="6">
        <v>0</v>
      </c>
      <c r="L1340" s="6">
        <v>-41.625</v>
      </c>
      <c r="M1340" s="6">
        <v>-41.625</v>
      </c>
      <c r="N1340" s="6">
        <v>-41.625</v>
      </c>
      <c r="O1340" s="6">
        <v>-41.625</v>
      </c>
      <c r="P1340" s="6">
        <v>-46</v>
      </c>
      <c r="Q1340" s="4" t="s">
        <v>26</v>
      </c>
      <c r="R1340" s="4">
        <v>0</v>
      </c>
      <c r="S1340" s="6">
        <v>0</v>
      </c>
      <c r="T1340" s="6">
        <v>41</v>
      </c>
      <c r="U1340" s="6">
        <v>84</v>
      </c>
      <c r="V1340" s="6">
        <f>IF(ISERROR(VLOOKUP($S$1340,'TAR FIN'!$A$1:$O$116,15,0)),0,VLOOKUP($S$1340,'TAR FIN'!$A$1:$O$116,15,0))</f>
        <v>0</v>
      </c>
      <c r="W1340" s="6">
        <f>IF(ISERROR(VLOOKUP($T$1340,'TAR FIN'!$A$1:$O$116,15,0)),0,VLOOKUP($T$1340,'TAR FIN'!$A$1:$O$116,15,0))</f>
        <v>342.48</v>
      </c>
      <c r="X1340" s="6">
        <f>IF(ISERROR(VLOOKUP($U$1340,'TAR FIN'!$A$1:$O$116,15,0)),0,VLOOKUP($U$1340,'TAR FIN'!$A$1:$O$116,15,0))</f>
        <v>326.47000000000003</v>
      </c>
      <c r="Y1340" s="6"/>
      <c r="Z1340" s="6">
        <f ca="1">('TUSD BE'!$AM$43+'TUSD BF'!$AM$43+'TUSD CVA'!$AM$43)*1</f>
        <v>436.78490561809065</v>
      </c>
      <c r="AA1340" s="6">
        <f>('TE BE'!$AB$14+'TE BF'!$AB$14+'TE CVA'!$AB$14)*1</f>
        <v>329.63081087285968</v>
      </c>
      <c r="AB1340" s="6">
        <f>$K$1340*$V$1340</f>
        <v>0</v>
      </c>
      <c r="AC1340" s="6">
        <f>$M$1340*$W$1340</f>
        <v>-14255.730000000001</v>
      </c>
      <c r="AD1340" s="6">
        <f>$O$1340*$X$1340</f>
        <v>-13589.313750000001</v>
      </c>
      <c r="AE1340" s="6">
        <f>$K$1340*$Y$1340</f>
        <v>0</v>
      </c>
      <c r="AF1340" s="6">
        <f ca="1">$M$1340*$Z$1340</f>
        <v>-18181.171696353023</v>
      </c>
      <c r="AG1340" s="6">
        <f>$O$1340*$AA$1340</f>
        <v>-13720.882502582785</v>
      </c>
    </row>
    <row r="1341" spans="1:33" ht="11.25" customHeight="1" x14ac:dyDescent="0.25">
      <c r="A1341" s="4" t="s">
        <v>28</v>
      </c>
      <c r="B1341" s="4" t="s">
        <v>22</v>
      </c>
      <c r="C1341" s="4" t="s">
        <v>23</v>
      </c>
      <c r="D1341" s="4" t="s">
        <v>24</v>
      </c>
      <c r="E1341" s="4" t="s">
        <v>24</v>
      </c>
      <c r="F1341" s="4" t="s">
        <v>25</v>
      </c>
      <c r="G1341" s="4" t="s">
        <v>25</v>
      </c>
      <c r="H1341" s="4" t="s">
        <v>25</v>
      </c>
      <c r="I1341" s="5">
        <v>44621</v>
      </c>
      <c r="J1341" s="6">
        <v>0</v>
      </c>
      <c r="K1341" s="6">
        <v>0</v>
      </c>
      <c r="L1341" s="6">
        <v>1163.3230000000001</v>
      </c>
      <c r="M1341" s="6">
        <v>1163.3230000000001</v>
      </c>
      <c r="N1341" s="6">
        <v>1163.3230000000001</v>
      </c>
      <c r="O1341" s="6">
        <v>1163.3230000000001</v>
      </c>
      <c r="P1341" s="6">
        <v>10298</v>
      </c>
      <c r="Q1341" s="4" t="s">
        <v>26</v>
      </c>
      <c r="R1341" s="4">
        <v>0</v>
      </c>
      <c r="S1341" s="6">
        <v>0</v>
      </c>
      <c r="T1341" s="6">
        <v>41</v>
      </c>
      <c r="U1341" s="6">
        <v>84</v>
      </c>
      <c r="V1341" s="6">
        <f>IF(ISERROR(VLOOKUP($S$1341,'TAR FIN'!$A$1:$O$116,15,0)),0,VLOOKUP($S$1341,'TAR FIN'!$A$1:$O$116,15,0))</f>
        <v>0</v>
      </c>
      <c r="W1341" s="6">
        <f>IF(ISERROR(VLOOKUP($T$1341,'TAR FIN'!$A$1:$O$116,15,0)),0,VLOOKUP($T$1341,'TAR FIN'!$A$1:$O$116,15,0))</f>
        <v>342.48</v>
      </c>
      <c r="X1341" s="6">
        <f>IF(ISERROR(VLOOKUP($U$1341,'TAR FIN'!$A$1:$O$116,15,0)),0,VLOOKUP($U$1341,'TAR FIN'!$A$1:$O$116,15,0))</f>
        <v>326.47000000000003</v>
      </c>
      <c r="Y1341" s="6"/>
      <c r="Z1341" s="6">
        <f ca="1">('TUSD BE'!$AM$43+'TUSD BF'!$AM$43+'TUSD CVA'!$AM$43)*1</f>
        <v>436.78490561809065</v>
      </c>
      <c r="AA1341" s="6">
        <f>('TE BE'!$AB$14+'TE BF'!$AB$14+'TE CVA'!$AB$14)*1</f>
        <v>329.63081087285968</v>
      </c>
      <c r="AB1341" s="6">
        <f>$K$1341*$V$1341</f>
        <v>0</v>
      </c>
      <c r="AC1341" s="6">
        <f>$M$1341*$W$1341</f>
        <v>398414.86104000005</v>
      </c>
      <c r="AD1341" s="6">
        <f>$O$1341*$X$1341</f>
        <v>379790.05981000006</v>
      </c>
      <c r="AE1341" s="6">
        <f>$K$1341*$Y$1341</f>
        <v>0</v>
      </c>
      <c r="AF1341" s="6">
        <f ca="1">$M$1341*$Z$1341</f>
        <v>508121.92675835412</v>
      </c>
      <c r="AG1341" s="6">
        <f>$O$1341*$AA$1341</f>
        <v>383467.10379704775</v>
      </c>
    </row>
    <row r="1342" spans="1:33" ht="11.25" customHeight="1" x14ac:dyDescent="0.25">
      <c r="A1342" s="4" t="s">
        <v>28</v>
      </c>
      <c r="B1342" s="4" t="s">
        <v>22</v>
      </c>
      <c r="C1342" s="4" t="s">
        <v>23</v>
      </c>
      <c r="D1342" s="4" t="s">
        <v>24</v>
      </c>
      <c r="E1342" s="4" t="s">
        <v>24</v>
      </c>
      <c r="F1342" s="4" t="s">
        <v>25</v>
      </c>
      <c r="G1342" s="4" t="s">
        <v>25</v>
      </c>
      <c r="H1342" s="4" t="s">
        <v>25</v>
      </c>
      <c r="I1342" s="5">
        <v>44621</v>
      </c>
      <c r="J1342" s="6">
        <v>0</v>
      </c>
      <c r="K1342" s="6">
        <v>0</v>
      </c>
      <c r="L1342" s="6">
        <v>-2.4279999999999999</v>
      </c>
      <c r="M1342" s="6">
        <v>-2.4279999999999999</v>
      </c>
      <c r="N1342" s="6">
        <v>-2.4279999999999999</v>
      </c>
      <c r="O1342" s="6">
        <v>-2.4279999999999999</v>
      </c>
      <c r="P1342" s="6">
        <v>0</v>
      </c>
      <c r="Q1342" s="4" t="s">
        <v>26</v>
      </c>
      <c r="R1342" s="4">
        <v>0</v>
      </c>
      <c r="S1342" s="6">
        <v>0</v>
      </c>
      <c r="T1342" s="6">
        <v>41</v>
      </c>
      <c r="U1342" s="6">
        <v>84</v>
      </c>
      <c r="V1342" s="6">
        <f>IF(ISERROR(VLOOKUP($S$1342,'TAR FIN'!$A$1:$O$116,15,0)),0,VLOOKUP($S$1342,'TAR FIN'!$A$1:$O$116,15,0))</f>
        <v>0</v>
      </c>
      <c r="W1342" s="6">
        <f>IF(ISERROR(VLOOKUP($T$1342,'TAR FIN'!$A$1:$O$116,15,0)),0,VLOOKUP($T$1342,'TAR FIN'!$A$1:$O$116,15,0))</f>
        <v>342.48</v>
      </c>
      <c r="X1342" s="6">
        <f>IF(ISERROR(VLOOKUP($U$1342,'TAR FIN'!$A$1:$O$116,15,0)),0,VLOOKUP($U$1342,'TAR FIN'!$A$1:$O$116,15,0))</f>
        <v>326.47000000000003</v>
      </c>
      <c r="Y1342" s="6"/>
      <c r="Z1342" s="6">
        <f ca="1">('TUSD BE'!$AM$43+'TUSD BF'!$AM$43+'TUSD CVA'!$AM$43)*1</f>
        <v>436.78490561809065</v>
      </c>
      <c r="AA1342" s="6">
        <f>('TE BE'!$AB$14+'TE BF'!$AB$14+'TE CVA'!$AB$14)*1</f>
        <v>329.63081087285968</v>
      </c>
      <c r="AB1342" s="6">
        <f>$K$1342*$V$1342</f>
        <v>0</v>
      </c>
      <c r="AC1342" s="6">
        <f>$M$1342*$W$1342</f>
        <v>-831.54143999999997</v>
      </c>
      <c r="AD1342" s="6">
        <f>$O$1342*$X$1342</f>
        <v>-792.66916000000003</v>
      </c>
      <c r="AE1342" s="6">
        <f>$K$1342*$Y$1342</f>
        <v>0</v>
      </c>
      <c r="AF1342" s="6">
        <f ca="1">$M$1342*$Z$1342</f>
        <v>-1060.513750840724</v>
      </c>
      <c r="AG1342" s="6">
        <f>$O$1342*$AA$1342</f>
        <v>-800.3436087993033</v>
      </c>
    </row>
    <row r="1343" spans="1:33" ht="11.25" customHeight="1" x14ac:dyDescent="0.25">
      <c r="A1343" s="4" t="s">
        <v>21</v>
      </c>
      <c r="B1343" s="4" t="s">
        <v>22</v>
      </c>
      <c r="C1343" s="4" t="s">
        <v>23</v>
      </c>
      <c r="D1343" s="4" t="s">
        <v>24</v>
      </c>
      <c r="E1343" s="4" t="s">
        <v>24</v>
      </c>
      <c r="F1343" s="4" t="s">
        <v>25</v>
      </c>
      <c r="G1343" s="4" t="s">
        <v>25</v>
      </c>
      <c r="H1343" s="4" t="s">
        <v>25</v>
      </c>
      <c r="I1343" s="5">
        <v>44652</v>
      </c>
      <c r="J1343" s="6">
        <v>0</v>
      </c>
      <c r="K1343" s="6">
        <v>0</v>
      </c>
      <c r="L1343" s="6">
        <v>35722.485999999997</v>
      </c>
      <c r="M1343" s="6">
        <v>35722.485999999997</v>
      </c>
      <c r="N1343" s="6">
        <v>35722.485999999997</v>
      </c>
      <c r="O1343" s="6">
        <v>35722.485999999997</v>
      </c>
      <c r="P1343" s="6">
        <v>265728</v>
      </c>
      <c r="Q1343" s="4" t="s">
        <v>26</v>
      </c>
      <c r="R1343" s="4">
        <v>0</v>
      </c>
      <c r="S1343" s="6">
        <v>0</v>
      </c>
      <c r="T1343" s="6">
        <v>41</v>
      </c>
      <c r="U1343" s="6">
        <v>84</v>
      </c>
      <c r="V1343" s="6">
        <f>IF(ISERROR(VLOOKUP($S$1343,'TAR FIN'!$A$1:$O$116,15,0)),0,VLOOKUP($S$1343,'TAR FIN'!$A$1:$O$116,15,0))</f>
        <v>0</v>
      </c>
      <c r="W1343" s="6">
        <f>IF(ISERROR(VLOOKUP($T$1343,'TAR FIN'!$A$1:$O$116,15,0)),0,VLOOKUP($T$1343,'TAR FIN'!$A$1:$O$116,15,0))</f>
        <v>342.48</v>
      </c>
      <c r="X1343" s="6">
        <f>IF(ISERROR(VLOOKUP($U$1343,'TAR FIN'!$A$1:$O$116,15,0)),0,VLOOKUP($U$1343,'TAR FIN'!$A$1:$O$116,15,0))</f>
        <v>326.47000000000003</v>
      </c>
      <c r="Y1343" s="6"/>
      <c r="Z1343" s="6">
        <f ca="1">('TUSD BE'!$AM$43+'TUSD BF'!$AM$43+'TUSD CVA'!$AM$43)*1</f>
        <v>436.78490561809065</v>
      </c>
      <c r="AA1343" s="6">
        <f>('TE BE'!$AB$14+'TE BF'!$AB$14+'TE CVA'!$AB$14)*1</f>
        <v>329.63081087285968</v>
      </c>
      <c r="AB1343" s="6">
        <f>$K$1343*$V$1343</f>
        <v>0</v>
      </c>
      <c r="AC1343" s="6">
        <f>$M$1343*$W$1343</f>
        <v>12234237.005279999</v>
      </c>
      <c r="AD1343" s="6">
        <f>$O$1343*$X$1343</f>
        <v>11662320.004419999</v>
      </c>
      <c r="AE1343" s="6">
        <f>$K$1343*$Y$1343</f>
        <v>0</v>
      </c>
      <c r="AF1343" s="6">
        <f ca="1">$M$1343*$Z$1343</f>
        <v>15603042.675953563</v>
      </c>
      <c r="AG1343" s="6">
        <f>$O$1343*$AA$1343</f>
        <v>11775232.026574377</v>
      </c>
    </row>
    <row r="1344" spans="1:33" ht="11.25" customHeight="1" x14ac:dyDescent="0.25">
      <c r="A1344" s="4" t="s">
        <v>27</v>
      </c>
      <c r="B1344" s="4" t="s">
        <v>22</v>
      </c>
      <c r="C1344" s="4" t="s">
        <v>23</v>
      </c>
      <c r="D1344" s="4" t="s">
        <v>24</v>
      </c>
      <c r="E1344" s="4" t="s">
        <v>24</v>
      </c>
      <c r="F1344" s="4" t="s">
        <v>25</v>
      </c>
      <c r="G1344" s="4" t="s">
        <v>25</v>
      </c>
      <c r="H1344" s="4" t="s">
        <v>25</v>
      </c>
      <c r="I1344" s="5">
        <v>44652</v>
      </c>
      <c r="J1344" s="6">
        <v>0</v>
      </c>
      <c r="K1344" s="6">
        <v>0</v>
      </c>
      <c r="L1344" s="6">
        <v>-35.234000000000002</v>
      </c>
      <c r="M1344" s="6">
        <v>-35.234000000000002</v>
      </c>
      <c r="N1344" s="6">
        <v>-35.234000000000002</v>
      </c>
      <c r="O1344" s="6">
        <v>-35.234000000000002</v>
      </c>
      <c r="P1344" s="6">
        <v>-37</v>
      </c>
      <c r="Q1344" s="4" t="s">
        <v>26</v>
      </c>
      <c r="R1344" s="4">
        <v>0</v>
      </c>
      <c r="S1344" s="6">
        <v>0</v>
      </c>
      <c r="T1344" s="6">
        <v>41</v>
      </c>
      <c r="U1344" s="6">
        <v>84</v>
      </c>
      <c r="V1344" s="6">
        <f>IF(ISERROR(VLOOKUP($S$1344,'TAR FIN'!$A$1:$O$116,15,0)),0,VLOOKUP($S$1344,'TAR FIN'!$A$1:$O$116,15,0))</f>
        <v>0</v>
      </c>
      <c r="W1344" s="6">
        <f>IF(ISERROR(VLOOKUP($T$1344,'TAR FIN'!$A$1:$O$116,15,0)),0,VLOOKUP($T$1344,'TAR FIN'!$A$1:$O$116,15,0))</f>
        <v>342.48</v>
      </c>
      <c r="X1344" s="6">
        <f>IF(ISERROR(VLOOKUP($U$1344,'TAR FIN'!$A$1:$O$116,15,0)),0,VLOOKUP($U$1344,'TAR FIN'!$A$1:$O$116,15,0))</f>
        <v>326.47000000000003</v>
      </c>
      <c r="Y1344" s="6"/>
      <c r="Z1344" s="6">
        <f ca="1">('TUSD BE'!$AM$43+'TUSD BF'!$AM$43+'TUSD CVA'!$AM$43)*1</f>
        <v>436.78490561809065</v>
      </c>
      <c r="AA1344" s="6">
        <f>('TE BE'!$AB$14+'TE BF'!$AB$14+'TE CVA'!$AB$14)*1</f>
        <v>329.63081087285968</v>
      </c>
      <c r="AB1344" s="6">
        <f>$K$1344*$V$1344</f>
        <v>0</v>
      </c>
      <c r="AC1344" s="6">
        <f>$M$1344*$W$1344</f>
        <v>-12066.940320000002</v>
      </c>
      <c r="AD1344" s="6">
        <f>$O$1344*$X$1344</f>
        <v>-11502.843980000001</v>
      </c>
      <c r="AE1344" s="6">
        <f>$K$1344*$Y$1344</f>
        <v>0</v>
      </c>
      <c r="AF1344" s="6">
        <f ca="1">$M$1344*$Z$1344</f>
        <v>-15389.679364547806</v>
      </c>
      <c r="AG1344" s="6">
        <f>$O$1344*$AA$1344</f>
        <v>-11614.21199029434</v>
      </c>
    </row>
    <row r="1345" spans="1:33" ht="11.25" customHeight="1" x14ac:dyDescent="0.25">
      <c r="A1345" s="4" t="s">
        <v>28</v>
      </c>
      <c r="B1345" s="4" t="s">
        <v>22</v>
      </c>
      <c r="C1345" s="4" t="s">
        <v>23</v>
      </c>
      <c r="D1345" s="4" t="s">
        <v>24</v>
      </c>
      <c r="E1345" s="4" t="s">
        <v>24</v>
      </c>
      <c r="F1345" s="4" t="s">
        <v>25</v>
      </c>
      <c r="G1345" s="4" t="s">
        <v>25</v>
      </c>
      <c r="H1345" s="4" t="s">
        <v>25</v>
      </c>
      <c r="I1345" s="5">
        <v>44652</v>
      </c>
      <c r="J1345" s="6">
        <v>0</v>
      </c>
      <c r="K1345" s="6">
        <v>0</v>
      </c>
      <c r="L1345" s="6">
        <v>1211.3109999999999</v>
      </c>
      <c r="M1345" s="6">
        <v>1211.3109999999999</v>
      </c>
      <c r="N1345" s="6">
        <v>1211.3109999999999</v>
      </c>
      <c r="O1345" s="6">
        <v>1211.3109999999999</v>
      </c>
      <c r="P1345" s="6">
        <v>10846</v>
      </c>
      <c r="Q1345" s="4" t="s">
        <v>26</v>
      </c>
      <c r="R1345" s="4">
        <v>0</v>
      </c>
      <c r="S1345" s="6">
        <v>0</v>
      </c>
      <c r="T1345" s="6">
        <v>41</v>
      </c>
      <c r="U1345" s="6">
        <v>84</v>
      </c>
      <c r="V1345" s="6">
        <f>IF(ISERROR(VLOOKUP($S$1345,'TAR FIN'!$A$1:$O$116,15,0)),0,VLOOKUP($S$1345,'TAR FIN'!$A$1:$O$116,15,0))</f>
        <v>0</v>
      </c>
      <c r="W1345" s="6">
        <f>IF(ISERROR(VLOOKUP($T$1345,'TAR FIN'!$A$1:$O$116,15,0)),0,VLOOKUP($T$1345,'TAR FIN'!$A$1:$O$116,15,0))</f>
        <v>342.48</v>
      </c>
      <c r="X1345" s="6">
        <f>IF(ISERROR(VLOOKUP($U$1345,'TAR FIN'!$A$1:$O$116,15,0)),0,VLOOKUP($U$1345,'TAR FIN'!$A$1:$O$116,15,0))</f>
        <v>326.47000000000003</v>
      </c>
      <c r="Y1345" s="6"/>
      <c r="Z1345" s="6">
        <f ca="1">('TUSD BE'!$AM$43+'TUSD BF'!$AM$43+'TUSD CVA'!$AM$43)*1</f>
        <v>436.78490561809065</v>
      </c>
      <c r="AA1345" s="6">
        <f>('TE BE'!$AB$14+'TE BF'!$AB$14+'TE CVA'!$AB$14)*1</f>
        <v>329.63081087285968</v>
      </c>
      <c r="AB1345" s="6">
        <f>$K$1345*$V$1345</f>
        <v>0</v>
      </c>
      <c r="AC1345" s="6">
        <f>$M$1345*$W$1345</f>
        <v>414849.79128</v>
      </c>
      <c r="AD1345" s="6">
        <f>$O$1345*$X$1345</f>
        <v>395456.70217</v>
      </c>
      <c r="AE1345" s="6">
        <f>$K$1345*$Y$1345</f>
        <v>0</v>
      </c>
      <c r="AF1345" s="6">
        <f ca="1">$M$1345*$Z$1345</f>
        <v>529082.36080915492</v>
      </c>
      <c r="AG1345" s="6">
        <f>$O$1345*$AA$1345</f>
        <v>399285.42714921449</v>
      </c>
    </row>
    <row r="1346" spans="1:33" ht="11.25" customHeight="1" x14ac:dyDescent="0.25">
      <c r="A1346" s="4" t="s">
        <v>28</v>
      </c>
      <c r="B1346" s="4" t="s">
        <v>22</v>
      </c>
      <c r="C1346" s="4" t="s">
        <v>23</v>
      </c>
      <c r="D1346" s="4" t="s">
        <v>24</v>
      </c>
      <c r="E1346" s="4" t="s">
        <v>24</v>
      </c>
      <c r="F1346" s="4" t="s">
        <v>25</v>
      </c>
      <c r="G1346" s="4" t="s">
        <v>25</v>
      </c>
      <c r="H1346" s="4" t="s">
        <v>25</v>
      </c>
      <c r="I1346" s="5">
        <v>44652</v>
      </c>
      <c r="J1346" s="6">
        <v>0</v>
      </c>
      <c r="K1346" s="6">
        <v>0</v>
      </c>
      <c r="L1346" s="6">
        <v>-5.9240000000000004</v>
      </c>
      <c r="M1346" s="6">
        <v>-5.9240000000000004</v>
      </c>
      <c r="N1346" s="6">
        <v>-5.9240000000000004</v>
      </c>
      <c r="O1346" s="6">
        <v>-5.9240000000000004</v>
      </c>
      <c r="P1346" s="6">
        <v>0</v>
      </c>
      <c r="Q1346" s="4" t="s">
        <v>26</v>
      </c>
      <c r="R1346" s="4">
        <v>0</v>
      </c>
      <c r="S1346" s="6">
        <v>0</v>
      </c>
      <c r="T1346" s="6">
        <v>41</v>
      </c>
      <c r="U1346" s="6">
        <v>84</v>
      </c>
      <c r="V1346" s="6">
        <f>IF(ISERROR(VLOOKUP($S$1346,'TAR FIN'!$A$1:$O$116,15,0)),0,VLOOKUP($S$1346,'TAR FIN'!$A$1:$O$116,15,0))</f>
        <v>0</v>
      </c>
      <c r="W1346" s="6">
        <f>IF(ISERROR(VLOOKUP($T$1346,'TAR FIN'!$A$1:$O$116,15,0)),0,VLOOKUP($T$1346,'TAR FIN'!$A$1:$O$116,15,0))</f>
        <v>342.48</v>
      </c>
      <c r="X1346" s="6">
        <f>IF(ISERROR(VLOOKUP($U$1346,'TAR FIN'!$A$1:$O$116,15,0)),0,VLOOKUP($U$1346,'TAR FIN'!$A$1:$O$116,15,0))</f>
        <v>326.47000000000003</v>
      </c>
      <c r="Y1346" s="6"/>
      <c r="Z1346" s="6">
        <f ca="1">('TUSD BE'!$AM$43+'TUSD BF'!$AM$43+'TUSD CVA'!$AM$43)*1</f>
        <v>436.78490561809065</v>
      </c>
      <c r="AA1346" s="6">
        <f>('TE BE'!$AB$14+'TE BF'!$AB$14+'TE CVA'!$AB$14)*1</f>
        <v>329.63081087285968</v>
      </c>
      <c r="AB1346" s="6">
        <f>$K$1346*$V$1346</f>
        <v>0</v>
      </c>
      <c r="AC1346" s="6">
        <f>$M$1346*$W$1346</f>
        <v>-2028.8515200000002</v>
      </c>
      <c r="AD1346" s="6">
        <f>$O$1346*$X$1346</f>
        <v>-1934.0082800000002</v>
      </c>
      <c r="AE1346" s="6">
        <f>$K$1346*$Y$1346</f>
        <v>0</v>
      </c>
      <c r="AF1346" s="6">
        <f ca="1">$M$1346*$Z$1346</f>
        <v>-2587.5137808815693</v>
      </c>
      <c r="AG1346" s="6">
        <f>$O$1346*$AA$1346</f>
        <v>-1952.732923610821</v>
      </c>
    </row>
    <row r="1347" spans="1:33" ht="11.25" customHeight="1" x14ac:dyDescent="0.25">
      <c r="A1347" s="4" t="s">
        <v>58</v>
      </c>
      <c r="B1347" s="4" t="s">
        <v>22</v>
      </c>
      <c r="C1347" s="4" t="s">
        <v>23</v>
      </c>
      <c r="D1347" s="4" t="s">
        <v>24</v>
      </c>
      <c r="E1347" s="4" t="s">
        <v>24</v>
      </c>
      <c r="F1347" s="4" t="s">
        <v>25</v>
      </c>
      <c r="G1347" s="4" t="s">
        <v>25</v>
      </c>
      <c r="H1347" s="4" t="s">
        <v>25</v>
      </c>
      <c r="I1347" s="5">
        <v>44682</v>
      </c>
      <c r="J1347" s="6">
        <v>0</v>
      </c>
      <c r="K1347" s="6">
        <v>0</v>
      </c>
      <c r="L1347" s="6">
        <v>35722.485999999997</v>
      </c>
      <c r="M1347" s="6">
        <v>35722.485999999997</v>
      </c>
      <c r="N1347" s="6">
        <v>35722.485999999997</v>
      </c>
      <c r="O1347" s="6">
        <v>35722.485999999997</v>
      </c>
      <c r="P1347" s="6">
        <v>265728</v>
      </c>
      <c r="Q1347" s="4" t="s">
        <v>26</v>
      </c>
      <c r="R1347" s="4">
        <v>0</v>
      </c>
      <c r="S1347" s="6">
        <v>0</v>
      </c>
      <c r="T1347" s="6">
        <v>41</v>
      </c>
      <c r="U1347" s="6">
        <v>84</v>
      </c>
      <c r="V1347" s="6">
        <f>IF(ISERROR(VLOOKUP($S$1347,'TAR FIN'!$A$1:$O$116,15,0)),0,VLOOKUP($S$1347,'TAR FIN'!$A$1:$O$116,15,0))</f>
        <v>0</v>
      </c>
      <c r="W1347" s="6">
        <f>IF(ISERROR(VLOOKUP($T$1347,'TAR FIN'!$A$1:$O$116,15,0)),0,VLOOKUP($T$1347,'TAR FIN'!$A$1:$O$116,15,0))</f>
        <v>342.48</v>
      </c>
      <c r="X1347" s="6">
        <f>IF(ISERROR(VLOOKUP($U$1347,'TAR FIN'!$A$1:$O$116,15,0)),0,VLOOKUP($U$1347,'TAR FIN'!$A$1:$O$116,15,0))</f>
        <v>326.47000000000003</v>
      </c>
      <c r="Y1347" s="6"/>
      <c r="Z1347" s="6">
        <f ca="1">('TUSD BE'!$AM$43+'TUSD BF'!$AM$43+'TUSD CVA'!$AM$43)*1</f>
        <v>436.78490561809065</v>
      </c>
      <c r="AA1347" s="6">
        <f>('TE BE'!$AB$14+'TE BF'!$AB$14+'TE CVA'!$AB$14)*1</f>
        <v>329.63081087285968</v>
      </c>
      <c r="AB1347" s="6">
        <f>$K$1347*$V$1347</f>
        <v>0</v>
      </c>
      <c r="AC1347" s="6">
        <f>$M$1347*$W$1347</f>
        <v>12234237.005279999</v>
      </c>
      <c r="AD1347" s="6">
        <f>$O$1347*$X$1347</f>
        <v>11662320.004419999</v>
      </c>
      <c r="AE1347" s="6">
        <f>$K$1347*$Y$1347</f>
        <v>0</v>
      </c>
      <c r="AF1347" s="6">
        <f ca="1">$M$1347*$Z$1347</f>
        <v>15603042.675953563</v>
      </c>
      <c r="AG1347" s="6">
        <f>$O$1347*$AA$1347</f>
        <v>11775232.026574377</v>
      </c>
    </row>
    <row r="1348" spans="1:33" ht="11.25" customHeight="1" x14ac:dyDescent="0.25">
      <c r="A1348" s="4" t="s">
        <v>58</v>
      </c>
      <c r="B1348" s="4" t="s">
        <v>22</v>
      </c>
      <c r="C1348" s="4" t="s">
        <v>23</v>
      </c>
      <c r="D1348" s="4" t="s">
        <v>24</v>
      </c>
      <c r="E1348" s="4" t="s">
        <v>24</v>
      </c>
      <c r="F1348" s="4" t="s">
        <v>25</v>
      </c>
      <c r="G1348" s="4" t="s">
        <v>25</v>
      </c>
      <c r="H1348" s="4" t="s">
        <v>25</v>
      </c>
      <c r="I1348" s="5">
        <v>44682</v>
      </c>
      <c r="J1348" s="6">
        <v>0</v>
      </c>
      <c r="K1348" s="6">
        <v>0</v>
      </c>
      <c r="L1348" s="6">
        <v>-35.234000000000002</v>
      </c>
      <c r="M1348" s="6">
        <v>-35.234000000000002</v>
      </c>
      <c r="N1348" s="6">
        <v>-35.234000000000002</v>
      </c>
      <c r="O1348" s="6">
        <v>-35.234000000000002</v>
      </c>
      <c r="P1348" s="6">
        <v>-37</v>
      </c>
      <c r="Q1348" s="4" t="s">
        <v>26</v>
      </c>
      <c r="R1348" s="4">
        <v>0</v>
      </c>
      <c r="S1348" s="6">
        <v>0</v>
      </c>
      <c r="T1348" s="6">
        <v>41</v>
      </c>
      <c r="U1348" s="6">
        <v>84</v>
      </c>
      <c r="V1348" s="6">
        <f>IF(ISERROR(VLOOKUP($S$1348,'TAR FIN'!$A$1:$O$116,15,0)),0,VLOOKUP($S$1348,'TAR FIN'!$A$1:$O$116,15,0))</f>
        <v>0</v>
      </c>
      <c r="W1348" s="6">
        <f>IF(ISERROR(VLOOKUP($T$1348,'TAR FIN'!$A$1:$O$116,15,0)),0,VLOOKUP($T$1348,'TAR FIN'!$A$1:$O$116,15,0))</f>
        <v>342.48</v>
      </c>
      <c r="X1348" s="6">
        <f>IF(ISERROR(VLOOKUP($U$1348,'TAR FIN'!$A$1:$O$116,15,0)),0,VLOOKUP($U$1348,'TAR FIN'!$A$1:$O$116,15,0))</f>
        <v>326.47000000000003</v>
      </c>
      <c r="Y1348" s="6"/>
      <c r="Z1348" s="6">
        <f ca="1">('TUSD BE'!$AM$43+'TUSD BF'!$AM$43+'TUSD CVA'!$AM$43)*1</f>
        <v>436.78490561809065</v>
      </c>
      <c r="AA1348" s="6">
        <f>('TE BE'!$AB$14+'TE BF'!$AB$14+'TE CVA'!$AB$14)*1</f>
        <v>329.63081087285968</v>
      </c>
      <c r="AB1348" s="6">
        <f>$K$1348*$V$1348</f>
        <v>0</v>
      </c>
      <c r="AC1348" s="6">
        <f>$M$1348*$W$1348</f>
        <v>-12066.940320000002</v>
      </c>
      <c r="AD1348" s="6">
        <f>$O$1348*$X$1348</f>
        <v>-11502.843980000001</v>
      </c>
      <c r="AE1348" s="6">
        <f>$K$1348*$Y$1348</f>
        <v>0</v>
      </c>
      <c r="AF1348" s="6">
        <f ca="1">$M$1348*$Z$1348</f>
        <v>-15389.679364547806</v>
      </c>
      <c r="AG1348" s="6">
        <f>$O$1348*$AA$1348</f>
        <v>-11614.21199029434</v>
      </c>
    </row>
    <row r="1349" spans="1:33" ht="11.25" customHeight="1" x14ac:dyDescent="0.25">
      <c r="A1349" s="4" t="s">
        <v>58</v>
      </c>
      <c r="B1349" s="4" t="s">
        <v>22</v>
      </c>
      <c r="C1349" s="4" t="s">
        <v>23</v>
      </c>
      <c r="D1349" s="4" t="s">
        <v>24</v>
      </c>
      <c r="E1349" s="4" t="s">
        <v>24</v>
      </c>
      <c r="F1349" s="4" t="s">
        <v>25</v>
      </c>
      <c r="G1349" s="4" t="s">
        <v>25</v>
      </c>
      <c r="H1349" s="4" t="s">
        <v>25</v>
      </c>
      <c r="I1349" s="5">
        <v>44682</v>
      </c>
      <c r="J1349" s="6">
        <v>0</v>
      </c>
      <c r="K1349" s="6">
        <v>0</v>
      </c>
      <c r="L1349" s="6">
        <v>1211.3109999999999</v>
      </c>
      <c r="M1349" s="6">
        <v>1211.3109999999999</v>
      </c>
      <c r="N1349" s="6">
        <v>1211.3109999999999</v>
      </c>
      <c r="O1349" s="6">
        <v>1211.3109999999999</v>
      </c>
      <c r="P1349" s="6">
        <v>10846</v>
      </c>
      <c r="Q1349" s="4" t="s">
        <v>26</v>
      </c>
      <c r="R1349" s="4">
        <v>0</v>
      </c>
      <c r="S1349" s="6">
        <v>0</v>
      </c>
      <c r="T1349" s="6">
        <v>41</v>
      </c>
      <c r="U1349" s="6">
        <v>84</v>
      </c>
      <c r="V1349" s="6">
        <f>IF(ISERROR(VLOOKUP($S$1349,'TAR FIN'!$A$1:$O$116,15,0)),0,VLOOKUP($S$1349,'TAR FIN'!$A$1:$O$116,15,0))</f>
        <v>0</v>
      </c>
      <c r="W1349" s="6">
        <f>IF(ISERROR(VLOOKUP($T$1349,'TAR FIN'!$A$1:$O$116,15,0)),0,VLOOKUP($T$1349,'TAR FIN'!$A$1:$O$116,15,0))</f>
        <v>342.48</v>
      </c>
      <c r="X1349" s="6">
        <f>IF(ISERROR(VLOOKUP($U$1349,'TAR FIN'!$A$1:$O$116,15,0)),0,VLOOKUP($U$1349,'TAR FIN'!$A$1:$O$116,15,0))</f>
        <v>326.47000000000003</v>
      </c>
      <c r="Y1349" s="6"/>
      <c r="Z1349" s="6">
        <f ca="1">('TUSD BE'!$AM$43+'TUSD BF'!$AM$43+'TUSD CVA'!$AM$43)*1</f>
        <v>436.78490561809065</v>
      </c>
      <c r="AA1349" s="6">
        <f>('TE BE'!$AB$14+'TE BF'!$AB$14+'TE CVA'!$AB$14)*1</f>
        <v>329.63081087285968</v>
      </c>
      <c r="AB1349" s="6">
        <f>$K$1349*$V$1349</f>
        <v>0</v>
      </c>
      <c r="AC1349" s="6">
        <f>$M$1349*$W$1349</f>
        <v>414849.79128</v>
      </c>
      <c r="AD1349" s="6">
        <f>$O$1349*$X$1349</f>
        <v>395456.70217</v>
      </c>
      <c r="AE1349" s="6">
        <f>$K$1349*$Y$1349</f>
        <v>0</v>
      </c>
      <c r="AF1349" s="6">
        <f ca="1">$M$1349*$Z$1349</f>
        <v>529082.36080915492</v>
      </c>
      <c r="AG1349" s="6">
        <f>$O$1349*$AA$1349</f>
        <v>399285.42714921449</v>
      </c>
    </row>
    <row r="1350" spans="1:33" ht="11.25" customHeight="1" x14ac:dyDescent="0.25">
      <c r="A1350" s="4" t="s">
        <v>58</v>
      </c>
      <c r="B1350" s="4" t="s">
        <v>22</v>
      </c>
      <c r="C1350" s="4" t="s">
        <v>23</v>
      </c>
      <c r="D1350" s="4" t="s">
        <v>24</v>
      </c>
      <c r="E1350" s="4" t="s">
        <v>24</v>
      </c>
      <c r="F1350" s="4" t="s">
        <v>25</v>
      </c>
      <c r="G1350" s="4" t="s">
        <v>25</v>
      </c>
      <c r="H1350" s="4" t="s">
        <v>25</v>
      </c>
      <c r="I1350" s="5">
        <v>44682</v>
      </c>
      <c r="J1350" s="6">
        <v>0</v>
      </c>
      <c r="K1350" s="6">
        <v>0</v>
      </c>
      <c r="L1350" s="6">
        <v>-5.9240000000000004</v>
      </c>
      <c r="M1350" s="6">
        <v>-5.9240000000000004</v>
      </c>
      <c r="N1350" s="6">
        <v>-5.9240000000000004</v>
      </c>
      <c r="O1350" s="6">
        <v>-5.9240000000000004</v>
      </c>
      <c r="P1350" s="6">
        <v>0</v>
      </c>
      <c r="Q1350" s="4" t="s">
        <v>26</v>
      </c>
      <c r="R1350" s="4">
        <v>0</v>
      </c>
      <c r="S1350" s="6">
        <v>0</v>
      </c>
      <c r="T1350" s="6">
        <v>41</v>
      </c>
      <c r="U1350" s="6">
        <v>84</v>
      </c>
      <c r="V1350" s="6">
        <f>IF(ISERROR(VLOOKUP($S$1350,'TAR FIN'!$A$1:$O$116,15,0)),0,VLOOKUP($S$1350,'TAR FIN'!$A$1:$O$116,15,0))</f>
        <v>0</v>
      </c>
      <c r="W1350" s="6">
        <f>IF(ISERROR(VLOOKUP($T$1350,'TAR FIN'!$A$1:$O$116,15,0)),0,VLOOKUP($T$1350,'TAR FIN'!$A$1:$O$116,15,0))</f>
        <v>342.48</v>
      </c>
      <c r="X1350" s="6">
        <f>IF(ISERROR(VLOOKUP($U$1350,'TAR FIN'!$A$1:$O$116,15,0)),0,VLOOKUP($U$1350,'TAR FIN'!$A$1:$O$116,15,0))</f>
        <v>326.47000000000003</v>
      </c>
      <c r="Y1350" s="6"/>
      <c r="Z1350" s="6">
        <f ca="1">('TUSD BE'!$AM$43+'TUSD BF'!$AM$43+'TUSD CVA'!$AM$43)*1</f>
        <v>436.78490561809065</v>
      </c>
      <c r="AA1350" s="6">
        <f>('TE BE'!$AB$14+'TE BF'!$AB$14+'TE CVA'!$AB$14)*1</f>
        <v>329.63081087285968</v>
      </c>
      <c r="AB1350" s="6">
        <f>$K$1350*$V$1350</f>
        <v>0</v>
      </c>
      <c r="AC1350" s="6">
        <f>$M$1350*$W$1350</f>
        <v>-2028.8515200000002</v>
      </c>
      <c r="AD1350" s="6">
        <f>$O$1350*$X$1350</f>
        <v>-1934.0082800000002</v>
      </c>
      <c r="AE1350" s="6">
        <f>$K$1350*$Y$1350</f>
        <v>0</v>
      </c>
      <c r="AF1350" s="6">
        <f ca="1">$M$1350*$Z$1350</f>
        <v>-2587.5137808815693</v>
      </c>
      <c r="AG1350" s="6">
        <f>$O$1350*$AA$1350</f>
        <v>-1952.732923610821</v>
      </c>
    </row>
    <row r="1351" spans="1:33" ht="11.25" customHeight="1" x14ac:dyDescent="0.25">
      <c r="A1351" s="4" t="s">
        <v>21</v>
      </c>
      <c r="B1351" s="4" t="s">
        <v>22</v>
      </c>
      <c r="C1351" s="4" t="s">
        <v>23</v>
      </c>
      <c r="D1351" s="4" t="s">
        <v>24</v>
      </c>
      <c r="E1351" s="4" t="s">
        <v>29</v>
      </c>
      <c r="F1351" s="4" t="s">
        <v>25</v>
      </c>
      <c r="G1351" s="4" t="s">
        <v>25</v>
      </c>
      <c r="H1351" s="4" t="s">
        <v>25</v>
      </c>
      <c r="I1351" s="5">
        <v>44348</v>
      </c>
      <c r="J1351" s="6">
        <v>0</v>
      </c>
      <c r="K1351" s="6">
        <v>0</v>
      </c>
      <c r="L1351" s="6">
        <v>2446.7080000000001</v>
      </c>
      <c r="M1351" s="6">
        <v>2446.7080000000001</v>
      </c>
      <c r="N1351" s="6">
        <v>2446.7080000000001</v>
      </c>
      <c r="O1351" s="6">
        <v>2446.7080000000001</v>
      </c>
      <c r="P1351" s="6">
        <v>4473</v>
      </c>
      <c r="Q1351" s="4" t="s">
        <v>26</v>
      </c>
      <c r="R1351" s="4">
        <v>0</v>
      </c>
      <c r="S1351" s="6">
        <v>0</v>
      </c>
      <c r="T1351" s="6">
        <v>42</v>
      </c>
      <c r="U1351" s="6">
        <v>85</v>
      </c>
      <c r="V1351" s="6">
        <f>IF(ISERROR(VLOOKUP($S$1351,'TAR FIN'!$A$1:$O$116,15,0)),0,VLOOKUP($S$1351,'TAR FIN'!$A$1:$O$116,15,0))</f>
        <v>0</v>
      </c>
      <c r="W1351" s="6">
        <f>IF(ISERROR(VLOOKUP($T$1351,'TAR FIN'!$A$1:$O$116,15,0)),0,VLOOKUP($T$1351,'TAR FIN'!$A$1:$O$116,15,0))</f>
        <v>94.28</v>
      </c>
      <c r="X1351" s="6">
        <f>IF(ISERROR(VLOOKUP($U$1351,'TAR FIN'!$A$1:$O$116,15,0)),0,VLOOKUP($U$1351,'TAR FIN'!$A$1:$O$116,15,0))</f>
        <v>114.26</v>
      </c>
      <c r="Y1351" s="6"/>
      <c r="Z135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1" s="6">
        <f>('TE BE'!$AB$15+'TE BF'!$AB$15+'TE CVA'!$AB$15)*(1-CUSTOS!$M$34)</f>
        <v>115.37078380550088</v>
      </c>
      <c r="AB1351" s="6">
        <f>$K$1351*$V$1351</f>
        <v>0</v>
      </c>
      <c r="AC1351" s="6">
        <f>$M$1351*$W$1351</f>
        <v>230675.63024</v>
      </c>
      <c r="AD1351" s="6">
        <f>$O$1351*$X$1351</f>
        <v>279560.85608</v>
      </c>
      <c r="AE1351" s="6">
        <f>$K$1351*$Y$1351</f>
        <v>0</v>
      </c>
      <c r="AF1351" s="6">
        <f ca="1">$M$1351*$Z$1351</f>
        <v>264955.9930061028</v>
      </c>
      <c r="AG1351" s="6">
        <f>$O$1351*$AA$1351</f>
        <v>282278.61970318947</v>
      </c>
    </row>
    <row r="1352" spans="1:33" ht="11.25" customHeight="1" x14ac:dyDescent="0.25">
      <c r="A1352" s="4" t="s">
        <v>27</v>
      </c>
      <c r="B1352" s="4" t="s">
        <v>22</v>
      </c>
      <c r="C1352" s="4" t="s">
        <v>23</v>
      </c>
      <c r="D1352" s="4" t="s">
        <v>24</v>
      </c>
      <c r="E1352" s="4" t="s">
        <v>29</v>
      </c>
      <c r="F1352" s="4" t="s">
        <v>25</v>
      </c>
      <c r="G1352" s="4" t="s">
        <v>25</v>
      </c>
      <c r="H1352" s="4" t="s">
        <v>25</v>
      </c>
      <c r="I1352" s="5">
        <v>44348</v>
      </c>
      <c r="J1352" s="6">
        <v>0</v>
      </c>
      <c r="K1352" s="6">
        <v>0</v>
      </c>
      <c r="L1352" s="6">
        <v>0.76600000000000001</v>
      </c>
      <c r="M1352" s="6">
        <v>0.76600000000000001</v>
      </c>
      <c r="N1352" s="6">
        <v>0.76600000000000001</v>
      </c>
      <c r="O1352" s="6">
        <v>0.76600000000000001</v>
      </c>
      <c r="P1352" s="6">
        <v>12</v>
      </c>
      <c r="Q1352" s="4" t="s">
        <v>26</v>
      </c>
      <c r="R1352" s="4">
        <v>0</v>
      </c>
      <c r="S1352" s="6">
        <v>0</v>
      </c>
      <c r="T1352" s="6">
        <v>42</v>
      </c>
      <c r="U1352" s="6">
        <v>85</v>
      </c>
      <c r="V1352" s="6">
        <f>IF(ISERROR(VLOOKUP($S$1352,'TAR FIN'!$A$1:$O$116,15,0)),0,VLOOKUP($S$1352,'TAR FIN'!$A$1:$O$116,15,0))</f>
        <v>0</v>
      </c>
      <c r="W1352" s="6">
        <f>IF(ISERROR(VLOOKUP($T$1352,'TAR FIN'!$A$1:$O$116,15,0)),0,VLOOKUP($T$1352,'TAR FIN'!$A$1:$O$116,15,0))</f>
        <v>94.28</v>
      </c>
      <c r="X1352" s="6">
        <f>IF(ISERROR(VLOOKUP($U$1352,'TAR FIN'!$A$1:$O$116,15,0)),0,VLOOKUP($U$1352,'TAR FIN'!$A$1:$O$116,15,0))</f>
        <v>114.26</v>
      </c>
      <c r="Y1352" s="6"/>
      <c r="Z135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2" s="6">
        <f>('TE BE'!$AB$15+'TE BF'!$AB$15+'TE CVA'!$AB$15)*(1-CUSTOS!$M$34)</f>
        <v>115.37078380550088</v>
      </c>
      <c r="AB1352" s="6">
        <f>$K$1352*$V$1352</f>
        <v>0</v>
      </c>
      <c r="AC1352" s="6">
        <f>$M$1352*$W$1352</f>
        <v>72.21848</v>
      </c>
      <c r="AD1352" s="6">
        <f>$O$1352*$X$1352</f>
        <v>87.523160000000004</v>
      </c>
      <c r="AE1352" s="6">
        <f>$K$1352*$Y$1352</f>
        <v>0</v>
      </c>
      <c r="AF1352" s="6">
        <f ca="1">$M$1352*$Z$1352</f>
        <v>82.950761040007535</v>
      </c>
      <c r="AG1352" s="6">
        <f>$O$1352*$AA$1352</f>
        <v>88.374020395013673</v>
      </c>
    </row>
    <row r="1353" spans="1:33" ht="11.25" customHeight="1" x14ac:dyDescent="0.25">
      <c r="A1353" s="4" t="s">
        <v>28</v>
      </c>
      <c r="B1353" s="4" t="s">
        <v>22</v>
      </c>
      <c r="C1353" s="4" t="s">
        <v>23</v>
      </c>
      <c r="D1353" s="4" t="s">
        <v>24</v>
      </c>
      <c r="E1353" s="4" t="s">
        <v>29</v>
      </c>
      <c r="F1353" s="4" t="s">
        <v>25</v>
      </c>
      <c r="G1353" s="4" t="s">
        <v>25</v>
      </c>
      <c r="H1353" s="4" t="s">
        <v>25</v>
      </c>
      <c r="I1353" s="5">
        <v>44348</v>
      </c>
      <c r="J1353" s="6">
        <v>0</v>
      </c>
      <c r="K1353" s="6">
        <v>0</v>
      </c>
      <c r="L1353" s="6">
        <v>2.31</v>
      </c>
      <c r="M1353" s="6">
        <v>2.31</v>
      </c>
      <c r="N1353" s="6">
        <v>2.31</v>
      </c>
      <c r="O1353" s="6">
        <v>2.31</v>
      </c>
      <c r="P1353" s="6">
        <v>4</v>
      </c>
      <c r="Q1353" s="4" t="s">
        <v>26</v>
      </c>
      <c r="R1353" s="4">
        <v>0</v>
      </c>
      <c r="S1353" s="6">
        <v>0</v>
      </c>
      <c r="T1353" s="6">
        <v>42</v>
      </c>
      <c r="U1353" s="6">
        <v>85</v>
      </c>
      <c r="V1353" s="6">
        <f>IF(ISERROR(VLOOKUP($S$1353,'TAR FIN'!$A$1:$O$116,15,0)),0,VLOOKUP($S$1353,'TAR FIN'!$A$1:$O$116,15,0))</f>
        <v>0</v>
      </c>
      <c r="W1353" s="6">
        <f>IF(ISERROR(VLOOKUP($T$1353,'TAR FIN'!$A$1:$O$116,15,0)),0,VLOOKUP($T$1353,'TAR FIN'!$A$1:$O$116,15,0))</f>
        <v>94.28</v>
      </c>
      <c r="X1353" s="6">
        <f>IF(ISERROR(VLOOKUP($U$1353,'TAR FIN'!$A$1:$O$116,15,0)),0,VLOOKUP($U$1353,'TAR FIN'!$A$1:$O$116,15,0))</f>
        <v>114.26</v>
      </c>
      <c r="Y1353" s="6"/>
      <c r="Z135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3" s="6">
        <f>('TE BE'!$AB$15+'TE BF'!$AB$15+'TE CVA'!$AB$15)*(1-CUSTOS!$M$34)</f>
        <v>115.37078380550088</v>
      </c>
      <c r="AB1353" s="6">
        <f>$K$1353*$V$1353</f>
        <v>0</v>
      </c>
      <c r="AC1353" s="6">
        <f>$M$1353*$W$1353</f>
        <v>217.7868</v>
      </c>
      <c r="AD1353" s="6">
        <f>$O$1353*$X$1353</f>
        <v>263.94060000000002</v>
      </c>
      <c r="AE1353" s="6">
        <f>$K$1353*$Y$1353</f>
        <v>0</v>
      </c>
      <c r="AF1353" s="6">
        <f ca="1">$M$1353*$Z$1353</f>
        <v>250.15177284910888</v>
      </c>
      <c r="AG1353" s="6">
        <f>$O$1353*$AA$1353</f>
        <v>266.50651059070702</v>
      </c>
    </row>
    <row r="1354" spans="1:33" ht="11.25" customHeight="1" x14ac:dyDescent="0.25">
      <c r="A1354" s="4" t="s">
        <v>21</v>
      </c>
      <c r="B1354" s="4" t="s">
        <v>22</v>
      </c>
      <c r="C1354" s="4" t="s">
        <v>23</v>
      </c>
      <c r="D1354" s="4" t="s">
        <v>24</v>
      </c>
      <c r="E1354" s="4" t="s">
        <v>29</v>
      </c>
      <c r="F1354" s="4" t="s">
        <v>25</v>
      </c>
      <c r="G1354" s="4" t="s">
        <v>25</v>
      </c>
      <c r="H1354" s="4" t="s">
        <v>25</v>
      </c>
      <c r="I1354" s="5">
        <v>44378</v>
      </c>
      <c r="J1354" s="6">
        <v>0</v>
      </c>
      <c r="K1354" s="6">
        <v>0</v>
      </c>
      <c r="L1354" s="6">
        <v>2485.9389999999999</v>
      </c>
      <c r="M1354" s="6">
        <v>2485.9389999999999</v>
      </c>
      <c r="N1354" s="6">
        <v>2485.9389999999999</v>
      </c>
      <c r="O1354" s="6">
        <v>2485.9389999999999</v>
      </c>
      <c r="P1354" s="6">
        <v>4892</v>
      </c>
      <c r="Q1354" s="4" t="s">
        <v>26</v>
      </c>
      <c r="R1354" s="4">
        <v>0</v>
      </c>
      <c r="S1354" s="6">
        <v>0</v>
      </c>
      <c r="T1354" s="6">
        <v>42</v>
      </c>
      <c r="U1354" s="6">
        <v>85</v>
      </c>
      <c r="V1354" s="6">
        <f>IF(ISERROR(VLOOKUP($S$1354,'TAR FIN'!$A$1:$O$116,15,0)),0,VLOOKUP($S$1354,'TAR FIN'!$A$1:$O$116,15,0))</f>
        <v>0</v>
      </c>
      <c r="W1354" s="6">
        <f>IF(ISERROR(VLOOKUP($T$1354,'TAR FIN'!$A$1:$O$116,15,0)),0,VLOOKUP($T$1354,'TAR FIN'!$A$1:$O$116,15,0))</f>
        <v>94.28</v>
      </c>
      <c r="X1354" s="6">
        <f>IF(ISERROR(VLOOKUP($U$1354,'TAR FIN'!$A$1:$O$116,15,0)),0,VLOOKUP($U$1354,'TAR FIN'!$A$1:$O$116,15,0))</f>
        <v>114.26</v>
      </c>
      <c r="Y1354" s="6"/>
      <c r="Z135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4" s="6">
        <f>('TE BE'!$AB$15+'TE BF'!$AB$15+'TE CVA'!$AB$15)*(1-CUSTOS!$M$34)</f>
        <v>115.37078380550088</v>
      </c>
      <c r="AB1354" s="6">
        <f>$K$1354*$V$1354</f>
        <v>0</v>
      </c>
      <c r="AC1354" s="6">
        <f>$M$1354*$W$1354</f>
        <v>234374.32892</v>
      </c>
      <c r="AD1354" s="6">
        <f>$O$1354*$X$1354</f>
        <v>284043.39013999997</v>
      </c>
      <c r="AE1354" s="6">
        <f>$K$1354*$Y$1354</f>
        <v>0</v>
      </c>
      <c r="AF1354" s="6">
        <f ca="1">$M$1354*$Z$1354</f>
        <v>269204.34980291809</v>
      </c>
      <c r="AG1354" s="6">
        <f>$O$1354*$AA$1354</f>
        <v>286804.730922663</v>
      </c>
    </row>
    <row r="1355" spans="1:33" ht="11.25" customHeight="1" x14ac:dyDescent="0.25">
      <c r="A1355" s="4" t="s">
        <v>27</v>
      </c>
      <c r="B1355" s="4" t="s">
        <v>22</v>
      </c>
      <c r="C1355" s="4" t="s">
        <v>23</v>
      </c>
      <c r="D1355" s="4" t="s">
        <v>24</v>
      </c>
      <c r="E1355" s="4" t="s">
        <v>29</v>
      </c>
      <c r="F1355" s="4" t="s">
        <v>25</v>
      </c>
      <c r="G1355" s="4" t="s">
        <v>25</v>
      </c>
      <c r="H1355" s="4" t="s">
        <v>25</v>
      </c>
      <c r="I1355" s="5">
        <v>44378</v>
      </c>
      <c r="J1355" s="6">
        <v>0</v>
      </c>
      <c r="K1355" s="6">
        <v>0</v>
      </c>
      <c r="L1355" s="6">
        <v>0.74199999999999999</v>
      </c>
      <c r="M1355" s="6">
        <v>0.74199999999999999</v>
      </c>
      <c r="N1355" s="6">
        <v>0.74199999999999999</v>
      </c>
      <c r="O1355" s="6">
        <v>0.74199999999999999</v>
      </c>
      <c r="P1355" s="6">
        <v>8</v>
      </c>
      <c r="Q1355" s="4" t="s">
        <v>26</v>
      </c>
      <c r="R1355" s="4">
        <v>0</v>
      </c>
      <c r="S1355" s="6">
        <v>0</v>
      </c>
      <c r="T1355" s="6">
        <v>42</v>
      </c>
      <c r="U1355" s="6">
        <v>85</v>
      </c>
      <c r="V1355" s="6">
        <f>IF(ISERROR(VLOOKUP($S$1355,'TAR FIN'!$A$1:$O$116,15,0)),0,VLOOKUP($S$1355,'TAR FIN'!$A$1:$O$116,15,0))</f>
        <v>0</v>
      </c>
      <c r="W1355" s="6">
        <f>IF(ISERROR(VLOOKUP($T$1355,'TAR FIN'!$A$1:$O$116,15,0)),0,VLOOKUP($T$1355,'TAR FIN'!$A$1:$O$116,15,0))</f>
        <v>94.28</v>
      </c>
      <c r="X1355" s="6">
        <f>IF(ISERROR(VLOOKUP($U$1355,'TAR FIN'!$A$1:$O$116,15,0)),0,VLOOKUP($U$1355,'TAR FIN'!$A$1:$O$116,15,0))</f>
        <v>114.26</v>
      </c>
      <c r="Y1355" s="6"/>
      <c r="Z135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5" s="6">
        <f>('TE BE'!$AB$15+'TE BF'!$AB$15+'TE CVA'!$AB$15)*(1-CUSTOS!$M$34)</f>
        <v>115.37078380550088</v>
      </c>
      <c r="AB1355" s="6">
        <f>$K$1355*$V$1355</f>
        <v>0</v>
      </c>
      <c r="AC1355" s="6">
        <f>$M$1355*$W$1355</f>
        <v>69.955759999999998</v>
      </c>
      <c r="AD1355" s="6">
        <f>$O$1355*$X$1355</f>
        <v>84.780920000000009</v>
      </c>
      <c r="AE1355" s="6">
        <f>$K$1355*$Y$1355</f>
        <v>0</v>
      </c>
      <c r="AF1355" s="6">
        <f ca="1">$M$1355*$Z$1355</f>
        <v>80.35178158183497</v>
      </c>
      <c r="AG1355" s="6">
        <f>$O$1355*$AA$1355</f>
        <v>85.605121583681651</v>
      </c>
    </row>
    <row r="1356" spans="1:33" ht="11.25" customHeight="1" x14ac:dyDescent="0.25">
      <c r="A1356" s="4" t="s">
        <v>28</v>
      </c>
      <c r="B1356" s="4" t="s">
        <v>22</v>
      </c>
      <c r="C1356" s="4" t="s">
        <v>23</v>
      </c>
      <c r="D1356" s="4" t="s">
        <v>24</v>
      </c>
      <c r="E1356" s="4" t="s">
        <v>29</v>
      </c>
      <c r="F1356" s="4" t="s">
        <v>25</v>
      </c>
      <c r="G1356" s="4" t="s">
        <v>25</v>
      </c>
      <c r="H1356" s="4" t="s">
        <v>25</v>
      </c>
      <c r="I1356" s="5">
        <v>44378</v>
      </c>
      <c r="J1356" s="6">
        <v>0</v>
      </c>
      <c r="K1356" s="6">
        <v>0</v>
      </c>
      <c r="L1356" s="6">
        <v>2.58</v>
      </c>
      <c r="M1356" s="6">
        <v>2.58</v>
      </c>
      <c r="N1356" s="6">
        <v>2.58</v>
      </c>
      <c r="O1356" s="6">
        <v>2.58</v>
      </c>
      <c r="P1356" s="6">
        <v>5</v>
      </c>
      <c r="Q1356" s="4" t="s">
        <v>26</v>
      </c>
      <c r="R1356" s="4">
        <v>0</v>
      </c>
      <c r="S1356" s="6">
        <v>0</v>
      </c>
      <c r="T1356" s="6">
        <v>42</v>
      </c>
      <c r="U1356" s="6">
        <v>85</v>
      </c>
      <c r="V1356" s="6">
        <f>IF(ISERROR(VLOOKUP($S$1356,'TAR FIN'!$A$1:$O$116,15,0)),0,VLOOKUP($S$1356,'TAR FIN'!$A$1:$O$116,15,0))</f>
        <v>0</v>
      </c>
      <c r="W1356" s="6">
        <f>IF(ISERROR(VLOOKUP($T$1356,'TAR FIN'!$A$1:$O$116,15,0)),0,VLOOKUP($T$1356,'TAR FIN'!$A$1:$O$116,15,0))</f>
        <v>94.28</v>
      </c>
      <c r="X1356" s="6">
        <f>IF(ISERROR(VLOOKUP($U$1356,'TAR FIN'!$A$1:$O$116,15,0)),0,VLOOKUP($U$1356,'TAR FIN'!$A$1:$O$116,15,0))</f>
        <v>114.26</v>
      </c>
      <c r="Y1356" s="6"/>
      <c r="Z135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6" s="6">
        <f>('TE BE'!$AB$15+'TE BF'!$AB$15+'TE CVA'!$AB$15)*(1-CUSTOS!$M$34)</f>
        <v>115.37078380550088</v>
      </c>
      <c r="AB1356" s="6">
        <f>$K$1356*$V$1356</f>
        <v>0</v>
      </c>
      <c r="AC1356" s="6">
        <f>$M$1356*$W$1356</f>
        <v>243.2424</v>
      </c>
      <c r="AD1356" s="6">
        <f>$O$1356*$X$1356</f>
        <v>294.79080000000005</v>
      </c>
      <c r="AE1356" s="6">
        <f>$K$1356*$Y$1356</f>
        <v>0</v>
      </c>
      <c r="AF1356" s="6">
        <f ca="1">$M$1356*$Z$1356</f>
        <v>279.39029175355017</v>
      </c>
      <c r="AG1356" s="6">
        <f>$O$1356*$AA$1356</f>
        <v>297.6566222181923</v>
      </c>
    </row>
    <row r="1357" spans="1:33" ht="11.25" customHeight="1" x14ac:dyDescent="0.25">
      <c r="A1357" s="4" t="s">
        <v>21</v>
      </c>
      <c r="B1357" s="4" t="s">
        <v>22</v>
      </c>
      <c r="C1357" s="4" t="s">
        <v>23</v>
      </c>
      <c r="D1357" s="4" t="s">
        <v>24</v>
      </c>
      <c r="E1357" s="4" t="s">
        <v>29</v>
      </c>
      <c r="F1357" s="4" t="s">
        <v>25</v>
      </c>
      <c r="G1357" s="4" t="s">
        <v>25</v>
      </c>
      <c r="H1357" s="4" t="s">
        <v>25</v>
      </c>
      <c r="I1357" s="5">
        <v>44409</v>
      </c>
      <c r="J1357" s="6">
        <v>0</v>
      </c>
      <c r="K1357" s="6">
        <v>0</v>
      </c>
      <c r="L1357" s="6">
        <v>2510.7620000000002</v>
      </c>
      <c r="M1357" s="6">
        <v>2510.7620000000002</v>
      </c>
      <c r="N1357" s="6">
        <v>2510.7620000000002</v>
      </c>
      <c r="O1357" s="6">
        <v>2510.7620000000002</v>
      </c>
      <c r="P1357" s="6">
        <v>4861</v>
      </c>
      <c r="Q1357" s="4" t="s">
        <v>26</v>
      </c>
      <c r="R1357" s="4">
        <v>0</v>
      </c>
      <c r="S1357" s="6">
        <v>0</v>
      </c>
      <c r="T1357" s="6">
        <v>42</v>
      </c>
      <c r="U1357" s="6">
        <v>85</v>
      </c>
      <c r="V1357" s="6">
        <f>IF(ISERROR(VLOOKUP($S$1357,'TAR FIN'!$A$1:$O$116,15,0)),0,VLOOKUP($S$1357,'TAR FIN'!$A$1:$O$116,15,0))</f>
        <v>0</v>
      </c>
      <c r="W1357" s="6">
        <f>IF(ISERROR(VLOOKUP($T$1357,'TAR FIN'!$A$1:$O$116,15,0)),0,VLOOKUP($T$1357,'TAR FIN'!$A$1:$O$116,15,0))</f>
        <v>94.28</v>
      </c>
      <c r="X1357" s="6">
        <f>IF(ISERROR(VLOOKUP($U$1357,'TAR FIN'!$A$1:$O$116,15,0)),0,VLOOKUP($U$1357,'TAR FIN'!$A$1:$O$116,15,0))</f>
        <v>114.26</v>
      </c>
      <c r="Y1357" s="6"/>
      <c r="Z135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7" s="6">
        <f>('TE BE'!$AB$15+'TE BF'!$AB$15+'TE CVA'!$AB$15)*(1-CUSTOS!$M$34)</f>
        <v>115.37078380550088</v>
      </c>
      <c r="AB1357" s="6">
        <f>$K$1357*$V$1357</f>
        <v>0</v>
      </c>
      <c r="AC1357" s="6">
        <f>$M$1357*$W$1357</f>
        <v>236714.64136000001</v>
      </c>
      <c r="AD1357" s="6">
        <f>$O$1357*$X$1357</f>
        <v>286879.66612000001</v>
      </c>
      <c r="AE1357" s="6">
        <f>$K$1357*$Y$1357</f>
        <v>0</v>
      </c>
      <c r="AF1357" s="6">
        <f ca="1">$M$1357*$Z$1357</f>
        <v>271892.45259834389</v>
      </c>
      <c r="AG1357" s="6">
        <f>$O$1357*$AA$1357</f>
        <v>289668.57988906704</v>
      </c>
    </row>
    <row r="1358" spans="1:33" ht="11.25" customHeight="1" x14ac:dyDescent="0.25">
      <c r="A1358" s="4" t="s">
        <v>27</v>
      </c>
      <c r="B1358" s="4" t="s">
        <v>22</v>
      </c>
      <c r="C1358" s="4" t="s">
        <v>23</v>
      </c>
      <c r="D1358" s="4" t="s">
        <v>24</v>
      </c>
      <c r="E1358" s="4" t="s">
        <v>29</v>
      </c>
      <c r="F1358" s="4" t="s">
        <v>25</v>
      </c>
      <c r="G1358" s="4" t="s">
        <v>25</v>
      </c>
      <c r="H1358" s="4" t="s">
        <v>25</v>
      </c>
      <c r="I1358" s="5">
        <v>44409</v>
      </c>
      <c r="J1358" s="6">
        <v>0</v>
      </c>
      <c r="K1358" s="6">
        <v>0</v>
      </c>
      <c r="L1358" s="6">
        <v>0.93799999999999994</v>
      </c>
      <c r="M1358" s="6">
        <v>0.93799999999999994</v>
      </c>
      <c r="N1358" s="6">
        <v>0.93799999999999994</v>
      </c>
      <c r="O1358" s="6">
        <v>0.93799999999999994</v>
      </c>
      <c r="P1358" s="6">
        <v>10</v>
      </c>
      <c r="Q1358" s="4" t="s">
        <v>26</v>
      </c>
      <c r="R1358" s="4">
        <v>0</v>
      </c>
      <c r="S1358" s="6">
        <v>0</v>
      </c>
      <c r="T1358" s="6">
        <v>42</v>
      </c>
      <c r="U1358" s="6">
        <v>85</v>
      </c>
      <c r="V1358" s="6">
        <f>IF(ISERROR(VLOOKUP($S$1358,'TAR FIN'!$A$1:$O$116,15,0)),0,VLOOKUP($S$1358,'TAR FIN'!$A$1:$O$116,15,0))</f>
        <v>0</v>
      </c>
      <c r="W1358" s="6">
        <f>IF(ISERROR(VLOOKUP($T$1358,'TAR FIN'!$A$1:$O$116,15,0)),0,VLOOKUP($T$1358,'TAR FIN'!$A$1:$O$116,15,0))</f>
        <v>94.28</v>
      </c>
      <c r="X1358" s="6">
        <f>IF(ISERROR(VLOOKUP($U$1358,'TAR FIN'!$A$1:$O$116,15,0)),0,VLOOKUP($U$1358,'TAR FIN'!$A$1:$O$116,15,0))</f>
        <v>114.26</v>
      </c>
      <c r="Y1358" s="6"/>
      <c r="Z135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8" s="6">
        <f>('TE BE'!$AB$15+'TE BF'!$AB$15+'TE CVA'!$AB$15)*(1-CUSTOS!$M$34)</f>
        <v>115.37078380550088</v>
      </c>
      <c r="AB1358" s="6">
        <f>$K$1358*$V$1358</f>
        <v>0</v>
      </c>
      <c r="AC1358" s="6">
        <f>$M$1358*$W$1358</f>
        <v>88.434640000000002</v>
      </c>
      <c r="AD1358" s="6">
        <f>$O$1358*$X$1358</f>
        <v>107.17587999999999</v>
      </c>
      <c r="AE1358" s="6">
        <f>$K$1358*$Y$1358</f>
        <v>0</v>
      </c>
      <c r="AF1358" s="6">
        <f ca="1">$M$1358*$Z$1358</f>
        <v>101.5767804902442</v>
      </c>
      <c r="AG1358" s="6">
        <f>$O$1358*$AA$1358</f>
        <v>108.21779520955981</v>
      </c>
    </row>
    <row r="1359" spans="1:33" ht="11.25" customHeight="1" x14ac:dyDescent="0.25">
      <c r="A1359" s="4" t="s">
        <v>28</v>
      </c>
      <c r="B1359" s="4" t="s">
        <v>22</v>
      </c>
      <c r="C1359" s="4" t="s">
        <v>23</v>
      </c>
      <c r="D1359" s="4" t="s">
        <v>24</v>
      </c>
      <c r="E1359" s="4" t="s">
        <v>29</v>
      </c>
      <c r="F1359" s="4" t="s">
        <v>25</v>
      </c>
      <c r="G1359" s="4" t="s">
        <v>25</v>
      </c>
      <c r="H1359" s="4" t="s">
        <v>25</v>
      </c>
      <c r="I1359" s="5">
        <v>44409</v>
      </c>
      <c r="J1359" s="6">
        <v>0</v>
      </c>
      <c r="K1359" s="6">
        <v>0</v>
      </c>
      <c r="L1359" s="6">
        <v>2.91</v>
      </c>
      <c r="M1359" s="6">
        <v>2.91</v>
      </c>
      <c r="N1359" s="6">
        <v>2.91</v>
      </c>
      <c r="O1359" s="6">
        <v>2.91</v>
      </c>
      <c r="P1359" s="6">
        <v>4</v>
      </c>
      <c r="Q1359" s="4" t="s">
        <v>26</v>
      </c>
      <c r="R1359" s="4">
        <v>0</v>
      </c>
      <c r="S1359" s="6">
        <v>0</v>
      </c>
      <c r="T1359" s="6">
        <v>42</v>
      </c>
      <c r="U1359" s="6">
        <v>85</v>
      </c>
      <c r="V1359" s="6">
        <f>IF(ISERROR(VLOOKUP($S$1359,'TAR FIN'!$A$1:$O$116,15,0)),0,VLOOKUP($S$1359,'TAR FIN'!$A$1:$O$116,15,0))</f>
        <v>0</v>
      </c>
      <c r="W1359" s="6">
        <f>IF(ISERROR(VLOOKUP($T$1359,'TAR FIN'!$A$1:$O$116,15,0)),0,VLOOKUP($T$1359,'TAR FIN'!$A$1:$O$116,15,0))</f>
        <v>94.28</v>
      </c>
      <c r="X1359" s="6">
        <f>IF(ISERROR(VLOOKUP($U$1359,'TAR FIN'!$A$1:$O$116,15,0)),0,VLOOKUP($U$1359,'TAR FIN'!$A$1:$O$116,15,0))</f>
        <v>114.26</v>
      </c>
      <c r="Y1359" s="6"/>
      <c r="Z135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59" s="6">
        <f>('TE BE'!$AB$15+'TE BF'!$AB$15+'TE CVA'!$AB$15)*(1-CUSTOS!$M$34)</f>
        <v>115.37078380550088</v>
      </c>
      <c r="AB1359" s="6">
        <f>$K$1359*$V$1359</f>
        <v>0</v>
      </c>
      <c r="AC1359" s="6">
        <f>$M$1359*$W$1359</f>
        <v>274.35480000000001</v>
      </c>
      <c r="AD1359" s="6">
        <f>$O$1359*$X$1359</f>
        <v>332.49660000000006</v>
      </c>
      <c r="AE1359" s="6">
        <f>$K$1359*$Y$1359</f>
        <v>0</v>
      </c>
      <c r="AF1359" s="6">
        <f ca="1">$M$1359*$Z$1359</f>
        <v>315.1262593034229</v>
      </c>
      <c r="AG1359" s="6">
        <f>$O$1359*$AA$1359</f>
        <v>335.72898087400756</v>
      </c>
    </row>
    <row r="1360" spans="1:33" ht="11.25" customHeight="1" x14ac:dyDescent="0.25">
      <c r="A1360" s="4" t="s">
        <v>21</v>
      </c>
      <c r="B1360" s="4" t="s">
        <v>22</v>
      </c>
      <c r="C1360" s="4" t="s">
        <v>23</v>
      </c>
      <c r="D1360" s="4" t="s">
        <v>24</v>
      </c>
      <c r="E1360" s="4" t="s">
        <v>29</v>
      </c>
      <c r="F1360" s="4" t="s">
        <v>25</v>
      </c>
      <c r="G1360" s="4" t="s">
        <v>25</v>
      </c>
      <c r="H1360" s="4" t="s">
        <v>25</v>
      </c>
      <c r="I1360" s="5">
        <v>44440</v>
      </c>
      <c r="J1360" s="6">
        <v>0</v>
      </c>
      <c r="K1360" s="6">
        <v>0</v>
      </c>
      <c r="L1360" s="6">
        <v>2452.0520000000001</v>
      </c>
      <c r="M1360" s="6">
        <v>2452.0520000000001</v>
      </c>
      <c r="N1360" s="6">
        <v>2452.0520000000001</v>
      </c>
      <c r="O1360" s="6">
        <v>2452.0520000000001</v>
      </c>
      <c r="P1360" s="6">
        <v>4131</v>
      </c>
      <c r="Q1360" s="4" t="s">
        <v>26</v>
      </c>
      <c r="R1360" s="4">
        <v>0</v>
      </c>
      <c r="S1360" s="6">
        <v>0</v>
      </c>
      <c r="T1360" s="6">
        <v>42</v>
      </c>
      <c r="U1360" s="6">
        <v>85</v>
      </c>
      <c r="V1360" s="6">
        <f>IF(ISERROR(VLOOKUP($S$1360,'TAR FIN'!$A$1:$O$116,15,0)),0,VLOOKUP($S$1360,'TAR FIN'!$A$1:$O$116,15,0))</f>
        <v>0</v>
      </c>
      <c r="W1360" s="6">
        <f>IF(ISERROR(VLOOKUP($T$1360,'TAR FIN'!$A$1:$O$116,15,0)),0,VLOOKUP($T$1360,'TAR FIN'!$A$1:$O$116,15,0))</f>
        <v>94.28</v>
      </c>
      <c r="X1360" s="6">
        <f>IF(ISERROR(VLOOKUP($U$1360,'TAR FIN'!$A$1:$O$116,15,0)),0,VLOOKUP($U$1360,'TAR FIN'!$A$1:$O$116,15,0))</f>
        <v>114.26</v>
      </c>
      <c r="Y1360" s="6"/>
      <c r="Z136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0" s="6">
        <f>('TE BE'!$AB$15+'TE BF'!$AB$15+'TE CVA'!$AB$15)*(1-CUSTOS!$M$34)</f>
        <v>115.37078380550088</v>
      </c>
      <c r="AB1360" s="6">
        <f>$K$1360*$V$1360</f>
        <v>0</v>
      </c>
      <c r="AC1360" s="6">
        <f>$M$1360*$W$1360</f>
        <v>231179.46256000001</v>
      </c>
      <c r="AD1360" s="6">
        <f>$O$1360*$X$1360</f>
        <v>280171.46152000001</v>
      </c>
      <c r="AE1360" s="6">
        <f>$K$1360*$Y$1360</f>
        <v>0</v>
      </c>
      <c r="AF1360" s="6">
        <f ca="1">$M$1360*$Z$1360</f>
        <v>265534.69909878925</v>
      </c>
      <c r="AG1360" s="6">
        <f>$O$1360*$AA$1360</f>
        <v>282895.16117184603</v>
      </c>
    </row>
    <row r="1361" spans="1:33" ht="11.25" customHeight="1" x14ac:dyDescent="0.25">
      <c r="A1361" s="4" t="s">
        <v>27</v>
      </c>
      <c r="B1361" s="4" t="s">
        <v>22</v>
      </c>
      <c r="C1361" s="4" t="s">
        <v>23</v>
      </c>
      <c r="D1361" s="4" t="s">
        <v>24</v>
      </c>
      <c r="E1361" s="4" t="s">
        <v>29</v>
      </c>
      <c r="F1361" s="4" t="s">
        <v>25</v>
      </c>
      <c r="G1361" s="4" t="s">
        <v>25</v>
      </c>
      <c r="H1361" s="4" t="s">
        <v>25</v>
      </c>
      <c r="I1361" s="5">
        <v>44440</v>
      </c>
      <c r="J1361" s="6">
        <v>0</v>
      </c>
      <c r="K1361" s="6">
        <v>0</v>
      </c>
      <c r="L1361" s="6">
        <v>2.2200000000000002</v>
      </c>
      <c r="M1361" s="6">
        <v>2.2200000000000002</v>
      </c>
      <c r="N1361" s="6">
        <v>2.2200000000000002</v>
      </c>
      <c r="O1361" s="6">
        <v>2.2200000000000002</v>
      </c>
      <c r="P1361" s="6">
        <v>16</v>
      </c>
      <c r="Q1361" s="4" t="s">
        <v>26</v>
      </c>
      <c r="R1361" s="4">
        <v>0</v>
      </c>
      <c r="S1361" s="6">
        <v>0</v>
      </c>
      <c r="T1361" s="6">
        <v>42</v>
      </c>
      <c r="U1361" s="6">
        <v>85</v>
      </c>
      <c r="V1361" s="6">
        <f>IF(ISERROR(VLOOKUP($S$1361,'TAR FIN'!$A$1:$O$116,15,0)),0,VLOOKUP($S$1361,'TAR FIN'!$A$1:$O$116,15,0))</f>
        <v>0</v>
      </c>
      <c r="W1361" s="6">
        <f>IF(ISERROR(VLOOKUP($T$1361,'TAR FIN'!$A$1:$O$116,15,0)),0,VLOOKUP($T$1361,'TAR FIN'!$A$1:$O$116,15,0))</f>
        <v>94.28</v>
      </c>
      <c r="X1361" s="6">
        <f>IF(ISERROR(VLOOKUP($U$1361,'TAR FIN'!$A$1:$O$116,15,0)),0,VLOOKUP($U$1361,'TAR FIN'!$A$1:$O$116,15,0))</f>
        <v>114.26</v>
      </c>
      <c r="Y1361" s="6"/>
      <c r="Z136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1" s="6">
        <f>('TE BE'!$AB$15+'TE BF'!$AB$15+'TE CVA'!$AB$15)*(1-CUSTOS!$M$34)</f>
        <v>115.37078380550088</v>
      </c>
      <c r="AB1361" s="6">
        <f>$K$1361*$V$1361</f>
        <v>0</v>
      </c>
      <c r="AC1361" s="6">
        <f>$M$1361*$W$1361</f>
        <v>209.30160000000001</v>
      </c>
      <c r="AD1361" s="6">
        <f>$O$1361*$X$1361</f>
        <v>253.65720000000005</v>
      </c>
      <c r="AE1361" s="6">
        <f>$K$1361*$Y$1361</f>
        <v>0</v>
      </c>
      <c r="AF1361" s="6">
        <f ca="1">$M$1361*$Z$1361</f>
        <v>240.4055998809618</v>
      </c>
      <c r="AG1361" s="6">
        <f>$O$1361*$AA$1361</f>
        <v>256.12314004821195</v>
      </c>
    </row>
    <row r="1362" spans="1:33" ht="11.25" customHeight="1" x14ac:dyDescent="0.25">
      <c r="A1362" s="4" t="s">
        <v>28</v>
      </c>
      <c r="B1362" s="4" t="s">
        <v>22</v>
      </c>
      <c r="C1362" s="4" t="s">
        <v>23</v>
      </c>
      <c r="D1362" s="4" t="s">
        <v>24</v>
      </c>
      <c r="E1362" s="4" t="s">
        <v>29</v>
      </c>
      <c r="F1362" s="4" t="s">
        <v>25</v>
      </c>
      <c r="G1362" s="4" t="s">
        <v>25</v>
      </c>
      <c r="H1362" s="4" t="s">
        <v>25</v>
      </c>
      <c r="I1362" s="5">
        <v>44440</v>
      </c>
      <c r="J1362" s="6">
        <v>0</v>
      </c>
      <c r="K1362" s="6">
        <v>0</v>
      </c>
      <c r="L1362" s="6">
        <v>3.03</v>
      </c>
      <c r="M1362" s="6">
        <v>3.03</v>
      </c>
      <c r="N1362" s="6">
        <v>3.03</v>
      </c>
      <c r="O1362" s="6">
        <v>3.03</v>
      </c>
      <c r="P1362" s="6">
        <v>7</v>
      </c>
      <c r="Q1362" s="4" t="s">
        <v>26</v>
      </c>
      <c r="R1362" s="4">
        <v>0</v>
      </c>
      <c r="S1362" s="6">
        <v>0</v>
      </c>
      <c r="T1362" s="6">
        <v>42</v>
      </c>
      <c r="U1362" s="6">
        <v>85</v>
      </c>
      <c r="V1362" s="6">
        <f>IF(ISERROR(VLOOKUP($S$1362,'TAR FIN'!$A$1:$O$116,15,0)),0,VLOOKUP($S$1362,'TAR FIN'!$A$1:$O$116,15,0))</f>
        <v>0</v>
      </c>
      <c r="W1362" s="6">
        <f>IF(ISERROR(VLOOKUP($T$1362,'TAR FIN'!$A$1:$O$116,15,0)),0,VLOOKUP($T$1362,'TAR FIN'!$A$1:$O$116,15,0))</f>
        <v>94.28</v>
      </c>
      <c r="X1362" s="6">
        <f>IF(ISERROR(VLOOKUP($U$1362,'TAR FIN'!$A$1:$O$116,15,0)),0,VLOOKUP($U$1362,'TAR FIN'!$A$1:$O$116,15,0))</f>
        <v>114.26</v>
      </c>
      <c r="Y1362" s="6"/>
      <c r="Z136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2" s="6">
        <f>('TE BE'!$AB$15+'TE BF'!$AB$15+'TE CVA'!$AB$15)*(1-CUSTOS!$M$34)</f>
        <v>115.37078380550088</v>
      </c>
      <c r="AB1362" s="6">
        <f>$K$1362*$V$1362</f>
        <v>0</v>
      </c>
      <c r="AC1362" s="6">
        <f>$M$1362*$W$1362</f>
        <v>285.66839999999996</v>
      </c>
      <c r="AD1362" s="6">
        <f>$O$1362*$X$1362</f>
        <v>346.20780000000002</v>
      </c>
      <c r="AE1362" s="6">
        <f>$K$1362*$Y$1362</f>
        <v>0</v>
      </c>
      <c r="AF1362" s="6">
        <f ca="1">$M$1362*$Z$1362</f>
        <v>328.12115659428565</v>
      </c>
      <c r="AG1362" s="6">
        <f>$O$1362*$AA$1362</f>
        <v>349.57347493066766</v>
      </c>
    </row>
    <row r="1363" spans="1:33" ht="11.25" customHeight="1" x14ac:dyDescent="0.25">
      <c r="A1363" s="4" t="s">
        <v>21</v>
      </c>
      <c r="B1363" s="4" t="s">
        <v>22</v>
      </c>
      <c r="C1363" s="4" t="s">
        <v>23</v>
      </c>
      <c r="D1363" s="4" t="s">
        <v>24</v>
      </c>
      <c r="E1363" s="4" t="s">
        <v>29</v>
      </c>
      <c r="F1363" s="4" t="s">
        <v>25</v>
      </c>
      <c r="G1363" s="4" t="s">
        <v>25</v>
      </c>
      <c r="H1363" s="4" t="s">
        <v>25</v>
      </c>
      <c r="I1363" s="5">
        <v>44470</v>
      </c>
      <c r="J1363" s="6">
        <v>0</v>
      </c>
      <c r="K1363" s="6">
        <v>0</v>
      </c>
      <c r="L1363" s="6">
        <v>2498.9279999999999</v>
      </c>
      <c r="M1363" s="6">
        <v>2498.9279999999999</v>
      </c>
      <c r="N1363" s="6">
        <v>2498.9279999999999</v>
      </c>
      <c r="O1363" s="6">
        <v>2498.9279999999999</v>
      </c>
      <c r="P1363" s="6">
        <v>4308</v>
      </c>
      <c r="Q1363" s="4" t="s">
        <v>26</v>
      </c>
      <c r="R1363" s="4">
        <v>0</v>
      </c>
      <c r="S1363" s="6">
        <v>0</v>
      </c>
      <c r="T1363" s="6">
        <v>42</v>
      </c>
      <c r="U1363" s="6">
        <v>85</v>
      </c>
      <c r="V1363" s="6">
        <f>IF(ISERROR(VLOOKUP($S$1363,'TAR FIN'!$A$1:$O$116,15,0)),0,VLOOKUP($S$1363,'TAR FIN'!$A$1:$O$116,15,0))</f>
        <v>0</v>
      </c>
      <c r="W1363" s="6">
        <f>IF(ISERROR(VLOOKUP($T$1363,'TAR FIN'!$A$1:$O$116,15,0)),0,VLOOKUP($T$1363,'TAR FIN'!$A$1:$O$116,15,0))</f>
        <v>94.28</v>
      </c>
      <c r="X1363" s="6">
        <f>IF(ISERROR(VLOOKUP($U$1363,'TAR FIN'!$A$1:$O$116,15,0)),0,VLOOKUP($U$1363,'TAR FIN'!$A$1:$O$116,15,0))</f>
        <v>114.26</v>
      </c>
      <c r="Y1363" s="6"/>
      <c r="Z136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3" s="6">
        <f>('TE BE'!$AB$15+'TE BF'!$AB$15+'TE CVA'!$AB$15)*(1-CUSTOS!$M$34)</f>
        <v>115.37078380550088</v>
      </c>
      <c r="AB1363" s="6">
        <f>$K$1363*$V$1363</f>
        <v>0</v>
      </c>
      <c r="AC1363" s="6">
        <f>$M$1363*$W$1363</f>
        <v>235598.93184</v>
      </c>
      <c r="AD1363" s="6">
        <f>$O$1363*$X$1363</f>
        <v>285527.51328000001</v>
      </c>
      <c r="AE1363" s="6">
        <f>$K$1363*$Y$1363</f>
        <v>0</v>
      </c>
      <c r="AF1363" s="6">
        <f ca="1">$M$1363*$Z$1363</f>
        <v>270610.93914384325</v>
      </c>
      <c r="AG1363" s="6">
        <f>$O$1363*$AA$1363</f>
        <v>288303.28203351266</v>
      </c>
    </row>
    <row r="1364" spans="1:33" ht="11.25" customHeight="1" x14ac:dyDescent="0.25">
      <c r="A1364" s="4" t="s">
        <v>27</v>
      </c>
      <c r="B1364" s="4" t="s">
        <v>22</v>
      </c>
      <c r="C1364" s="4" t="s">
        <v>23</v>
      </c>
      <c r="D1364" s="4" t="s">
        <v>24</v>
      </c>
      <c r="E1364" s="4" t="s">
        <v>29</v>
      </c>
      <c r="F1364" s="4" t="s">
        <v>25</v>
      </c>
      <c r="G1364" s="4" t="s">
        <v>25</v>
      </c>
      <c r="H1364" s="4" t="s">
        <v>25</v>
      </c>
      <c r="I1364" s="5">
        <v>44470</v>
      </c>
      <c r="J1364" s="6">
        <v>0</v>
      </c>
      <c r="K1364" s="6">
        <v>0</v>
      </c>
      <c r="L1364" s="6">
        <v>1.587</v>
      </c>
      <c r="M1364" s="6">
        <v>1.587</v>
      </c>
      <c r="N1364" s="6">
        <v>1.587</v>
      </c>
      <c r="O1364" s="6">
        <v>1.587</v>
      </c>
      <c r="P1364" s="6">
        <v>19</v>
      </c>
      <c r="Q1364" s="4" t="s">
        <v>26</v>
      </c>
      <c r="R1364" s="4">
        <v>0</v>
      </c>
      <c r="S1364" s="6">
        <v>0</v>
      </c>
      <c r="T1364" s="6">
        <v>42</v>
      </c>
      <c r="U1364" s="6">
        <v>85</v>
      </c>
      <c r="V1364" s="6">
        <f>IF(ISERROR(VLOOKUP($S$1364,'TAR FIN'!$A$1:$O$116,15,0)),0,VLOOKUP($S$1364,'TAR FIN'!$A$1:$O$116,15,0))</f>
        <v>0</v>
      </c>
      <c r="W1364" s="6">
        <f>IF(ISERROR(VLOOKUP($T$1364,'TAR FIN'!$A$1:$O$116,15,0)),0,VLOOKUP($T$1364,'TAR FIN'!$A$1:$O$116,15,0))</f>
        <v>94.28</v>
      </c>
      <c r="X1364" s="6">
        <f>IF(ISERROR(VLOOKUP($U$1364,'TAR FIN'!$A$1:$O$116,15,0)),0,VLOOKUP($U$1364,'TAR FIN'!$A$1:$O$116,15,0))</f>
        <v>114.26</v>
      </c>
      <c r="Y1364" s="6"/>
      <c r="Z136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4" s="6">
        <f>('TE BE'!$AB$15+'TE BF'!$AB$15+'TE CVA'!$AB$15)*(1-CUSTOS!$M$34)</f>
        <v>115.37078380550088</v>
      </c>
      <c r="AB1364" s="6">
        <f>$K$1364*$V$1364</f>
        <v>0</v>
      </c>
      <c r="AC1364" s="6">
        <f>$M$1364*$W$1364</f>
        <v>149.62235999999999</v>
      </c>
      <c r="AD1364" s="6">
        <f>$O$1364*$X$1364</f>
        <v>181.33062000000001</v>
      </c>
      <c r="AE1364" s="6">
        <f>$K$1364*$Y$1364</f>
        <v>0</v>
      </c>
      <c r="AF1364" s="6">
        <f ca="1">$M$1364*$Z$1364</f>
        <v>171.85751667166051</v>
      </c>
      <c r="AG1364" s="6">
        <f>$O$1364*$AA$1364</f>
        <v>183.09343389932988</v>
      </c>
    </row>
    <row r="1365" spans="1:33" ht="11.25" customHeight="1" x14ac:dyDescent="0.25">
      <c r="A1365" s="4" t="s">
        <v>28</v>
      </c>
      <c r="B1365" s="4" t="s">
        <v>22</v>
      </c>
      <c r="C1365" s="4" t="s">
        <v>23</v>
      </c>
      <c r="D1365" s="4" t="s">
        <v>24</v>
      </c>
      <c r="E1365" s="4" t="s">
        <v>29</v>
      </c>
      <c r="F1365" s="4" t="s">
        <v>25</v>
      </c>
      <c r="G1365" s="4" t="s">
        <v>25</v>
      </c>
      <c r="H1365" s="4" t="s">
        <v>25</v>
      </c>
      <c r="I1365" s="5">
        <v>44470</v>
      </c>
      <c r="J1365" s="6">
        <v>0</v>
      </c>
      <c r="K1365" s="6">
        <v>0</v>
      </c>
      <c r="L1365" s="6">
        <v>3.36</v>
      </c>
      <c r="M1365" s="6">
        <v>3.36</v>
      </c>
      <c r="N1365" s="6">
        <v>3.36</v>
      </c>
      <c r="O1365" s="6">
        <v>3.36</v>
      </c>
      <c r="P1365" s="6">
        <v>7</v>
      </c>
      <c r="Q1365" s="4" t="s">
        <v>26</v>
      </c>
      <c r="R1365" s="4">
        <v>0</v>
      </c>
      <c r="S1365" s="6">
        <v>0</v>
      </c>
      <c r="T1365" s="6">
        <v>42</v>
      </c>
      <c r="U1365" s="6">
        <v>85</v>
      </c>
      <c r="V1365" s="6">
        <f>IF(ISERROR(VLOOKUP($S$1365,'TAR FIN'!$A$1:$O$116,15,0)),0,VLOOKUP($S$1365,'TAR FIN'!$A$1:$O$116,15,0))</f>
        <v>0</v>
      </c>
      <c r="W1365" s="6">
        <f>IF(ISERROR(VLOOKUP($T$1365,'TAR FIN'!$A$1:$O$116,15,0)),0,VLOOKUP($T$1365,'TAR FIN'!$A$1:$O$116,15,0))</f>
        <v>94.28</v>
      </c>
      <c r="X1365" s="6">
        <f>IF(ISERROR(VLOOKUP($U$1365,'TAR FIN'!$A$1:$O$116,15,0)),0,VLOOKUP($U$1365,'TAR FIN'!$A$1:$O$116,15,0))</f>
        <v>114.26</v>
      </c>
      <c r="Y1365" s="6"/>
      <c r="Z136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5" s="6">
        <f>('TE BE'!$AB$15+'TE BF'!$AB$15+'TE CVA'!$AB$15)*(1-CUSTOS!$M$34)</f>
        <v>115.37078380550088</v>
      </c>
      <c r="AB1365" s="6">
        <f>$K$1365*$V$1365</f>
        <v>0</v>
      </c>
      <c r="AC1365" s="6">
        <f>$M$1365*$W$1365</f>
        <v>316.7808</v>
      </c>
      <c r="AD1365" s="6">
        <f>$O$1365*$X$1365</f>
        <v>383.91360000000003</v>
      </c>
      <c r="AE1365" s="6">
        <f>$K$1365*$Y$1365</f>
        <v>0</v>
      </c>
      <c r="AF1365" s="6">
        <f ca="1">$M$1365*$Z$1365</f>
        <v>363.85712414415832</v>
      </c>
      <c r="AG1365" s="6">
        <f>$O$1365*$AA$1365</f>
        <v>387.64583358648292</v>
      </c>
    </row>
    <row r="1366" spans="1:33" ht="11.25" customHeight="1" x14ac:dyDescent="0.25">
      <c r="A1366" s="4" t="s">
        <v>21</v>
      </c>
      <c r="B1366" s="4" t="s">
        <v>22</v>
      </c>
      <c r="C1366" s="4" t="s">
        <v>23</v>
      </c>
      <c r="D1366" s="4" t="s">
        <v>24</v>
      </c>
      <c r="E1366" s="4" t="s">
        <v>29</v>
      </c>
      <c r="F1366" s="4" t="s">
        <v>25</v>
      </c>
      <c r="G1366" s="4" t="s">
        <v>25</v>
      </c>
      <c r="H1366" s="4" t="s">
        <v>25</v>
      </c>
      <c r="I1366" s="5">
        <v>44501</v>
      </c>
      <c r="J1366" s="6">
        <v>0</v>
      </c>
      <c r="K1366" s="6">
        <v>0</v>
      </c>
      <c r="L1366" s="6">
        <v>2525.6060000000002</v>
      </c>
      <c r="M1366" s="6">
        <v>2525.6060000000002</v>
      </c>
      <c r="N1366" s="6">
        <v>2525.6060000000002</v>
      </c>
      <c r="O1366" s="6">
        <v>2525.6060000000002</v>
      </c>
      <c r="P1366" s="6">
        <v>4518</v>
      </c>
      <c r="Q1366" s="4" t="s">
        <v>26</v>
      </c>
      <c r="R1366" s="4">
        <v>0</v>
      </c>
      <c r="S1366" s="6">
        <v>0</v>
      </c>
      <c r="T1366" s="6">
        <v>42</v>
      </c>
      <c r="U1366" s="6">
        <v>85</v>
      </c>
      <c r="V1366" s="6">
        <f>IF(ISERROR(VLOOKUP($S$1366,'TAR FIN'!$A$1:$O$116,15,0)),0,VLOOKUP($S$1366,'TAR FIN'!$A$1:$O$116,15,0))</f>
        <v>0</v>
      </c>
      <c r="W1366" s="6">
        <f>IF(ISERROR(VLOOKUP($T$1366,'TAR FIN'!$A$1:$O$116,15,0)),0,VLOOKUP($T$1366,'TAR FIN'!$A$1:$O$116,15,0))</f>
        <v>94.28</v>
      </c>
      <c r="X1366" s="6">
        <f>IF(ISERROR(VLOOKUP($U$1366,'TAR FIN'!$A$1:$O$116,15,0)),0,VLOOKUP($U$1366,'TAR FIN'!$A$1:$O$116,15,0))</f>
        <v>114.26</v>
      </c>
      <c r="Y1366" s="6"/>
      <c r="Z136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6" s="6">
        <f>('TE BE'!$AB$15+'TE BF'!$AB$15+'TE CVA'!$AB$15)*(1-CUSTOS!$M$34)</f>
        <v>115.37078380550088</v>
      </c>
      <c r="AB1366" s="6">
        <f>$K$1366*$V$1366</f>
        <v>0</v>
      </c>
      <c r="AC1366" s="6">
        <f>$M$1366*$W$1366</f>
        <v>238114.13368000003</v>
      </c>
      <c r="AD1366" s="6">
        <f>$O$1366*$X$1366</f>
        <v>288575.74156000005</v>
      </c>
      <c r="AE1366" s="6">
        <f>$K$1366*$Y$1366</f>
        <v>0</v>
      </c>
      <c r="AF1366" s="6">
        <f ca="1">$M$1366*$Z$1366</f>
        <v>273499.92139322357</v>
      </c>
      <c r="AG1366" s="6">
        <f>$O$1366*$AA$1366</f>
        <v>291381.14380387589</v>
      </c>
    </row>
    <row r="1367" spans="1:33" ht="11.25" customHeight="1" x14ac:dyDescent="0.25">
      <c r="A1367" s="4" t="s">
        <v>27</v>
      </c>
      <c r="B1367" s="4" t="s">
        <v>22</v>
      </c>
      <c r="C1367" s="4" t="s">
        <v>23</v>
      </c>
      <c r="D1367" s="4" t="s">
        <v>24</v>
      </c>
      <c r="E1367" s="4" t="s">
        <v>29</v>
      </c>
      <c r="F1367" s="4" t="s">
        <v>25</v>
      </c>
      <c r="G1367" s="4" t="s">
        <v>25</v>
      </c>
      <c r="H1367" s="4" t="s">
        <v>25</v>
      </c>
      <c r="I1367" s="5">
        <v>44501</v>
      </c>
      <c r="J1367" s="6">
        <v>0</v>
      </c>
      <c r="K1367" s="6">
        <v>0</v>
      </c>
      <c r="L1367" s="6">
        <v>3.2290000000000001</v>
      </c>
      <c r="M1367" s="6">
        <v>3.2290000000000001</v>
      </c>
      <c r="N1367" s="6">
        <v>3.2290000000000001</v>
      </c>
      <c r="O1367" s="6">
        <v>3.2290000000000001</v>
      </c>
      <c r="P1367" s="6">
        <v>39</v>
      </c>
      <c r="Q1367" s="4" t="s">
        <v>26</v>
      </c>
      <c r="R1367" s="4">
        <v>0</v>
      </c>
      <c r="S1367" s="6">
        <v>0</v>
      </c>
      <c r="T1367" s="6">
        <v>42</v>
      </c>
      <c r="U1367" s="6">
        <v>85</v>
      </c>
      <c r="V1367" s="6">
        <f>IF(ISERROR(VLOOKUP($S$1367,'TAR FIN'!$A$1:$O$116,15,0)),0,VLOOKUP($S$1367,'TAR FIN'!$A$1:$O$116,15,0))</f>
        <v>0</v>
      </c>
      <c r="W1367" s="6">
        <f>IF(ISERROR(VLOOKUP($T$1367,'TAR FIN'!$A$1:$O$116,15,0)),0,VLOOKUP($T$1367,'TAR FIN'!$A$1:$O$116,15,0))</f>
        <v>94.28</v>
      </c>
      <c r="X1367" s="6">
        <f>IF(ISERROR(VLOOKUP($U$1367,'TAR FIN'!$A$1:$O$116,15,0)),0,VLOOKUP($U$1367,'TAR FIN'!$A$1:$O$116,15,0))</f>
        <v>114.26</v>
      </c>
      <c r="Y1367" s="6"/>
      <c r="Z136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7" s="6">
        <f>('TE BE'!$AB$15+'TE BF'!$AB$15+'TE CVA'!$AB$15)*(1-CUSTOS!$M$34)</f>
        <v>115.37078380550088</v>
      </c>
      <c r="AB1367" s="6">
        <f>$K$1367*$V$1367</f>
        <v>0</v>
      </c>
      <c r="AC1367" s="6">
        <f>$M$1367*$W$1367</f>
        <v>304.43011999999999</v>
      </c>
      <c r="AD1367" s="6">
        <f>$O$1367*$X$1367</f>
        <v>368.94554000000005</v>
      </c>
      <c r="AE1367" s="6">
        <f>$K$1367*$Y$1367</f>
        <v>0</v>
      </c>
      <c r="AF1367" s="6">
        <f ca="1">$M$1367*$Z$1367</f>
        <v>349.6710279349665</v>
      </c>
      <c r="AG1367" s="6">
        <f>$O$1367*$AA$1367</f>
        <v>372.53226090796232</v>
      </c>
    </row>
    <row r="1368" spans="1:33" ht="11.25" customHeight="1" x14ac:dyDescent="0.25">
      <c r="A1368" s="4" t="s">
        <v>28</v>
      </c>
      <c r="B1368" s="4" t="s">
        <v>22</v>
      </c>
      <c r="C1368" s="4" t="s">
        <v>23</v>
      </c>
      <c r="D1368" s="4" t="s">
        <v>24</v>
      </c>
      <c r="E1368" s="4" t="s">
        <v>29</v>
      </c>
      <c r="F1368" s="4" t="s">
        <v>25</v>
      </c>
      <c r="G1368" s="4" t="s">
        <v>25</v>
      </c>
      <c r="H1368" s="4" t="s">
        <v>25</v>
      </c>
      <c r="I1368" s="5">
        <v>44501</v>
      </c>
      <c r="J1368" s="6">
        <v>0</v>
      </c>
      <c r="K1368" s="6">
        <v>0</v>
      </c>
      <c r="L1368" s="6">
        <v>3.93</v>
      </c>
      <c r="M1368" s="6">
        <v>3.93</v>
      </c>
      <c r="N1368" s="6">
        <v>3.93</v>
      </c>
      <c r="O1368" s="6">
        <v>3.93</v>
      </c>
      <c r="P1368" s="6">
        <v>11</v>
      </c>
      <c r="Q1368" s="4" t="s">
        <v>26</v>
      </c>
      <c r="R1368" s="4">
        <v>0</v>
      </c>
      <c r="S1368" s="6">
        <v>0</v>
      </c>
      <c r="T1368" s="6">
        <v>42</v>
      </c>
      <c r="U1368" s="6">
        <v>85</v>
      </c>
      <c r="V1368" s="6">
        <f>IF(ISERROR(VLOOKUP($S$1368,'TAR FIN'!$A$1:$O$116,15,0)),0,VLOOKUP($S$1368,'TAR FIN'!$A$1:$O$116,15,0))</f>
        <v>0</v>
      </c>
      <c r="W1368" s="6">
        <f>IF(ISERROR(VLOOKUP($T$1368,'TAR FIN'!$A$1:$O$116,15,0)),0,VLOOKUP($T$1368,'TAR FIN'!$A$1:$O$116,15,0))</f>
        <v>94.28</v>
      </c>
      <c r="X1368" s="6">
        <f>IF(ISERROR(VLOOKUP($U$1368,'TAR FIN'!$A$1:$O$116,15,0)),0,VLOOKUP($U$1368,'TAR FIN'!$A$1:$O$116,15,0))</f>
        <v>114.26</v>
      </c>
      <c r="Y1368" s="6"/>
      <c r="Z136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8" s="6">
        <f>('TE BE'!$AB$15+'TE BF'!$AB$15+'TE CVA'!$AB$15)*(1-CUSTOS!$M$34)</f>
        <v>115.37078380550088</v>
      </c>
      <c r="AB1368" s="6">
        <f>$K$1368*$V$1368</f>
        <v>0</v>
      </c>
      <c r="AC1368" s="6">
        <f>$M$1368*$W$1368</f>
        <v>370.5204</v>
      </c>
      <c r="AD1368" s="6">
        <f>$O$1368*$X$1368</f>
        <v>449.04180000000002</v>
      </c>
      <c r="AE1368" s="6">
        <f>$K$1368*$Y$1368</f>
        <v>0</v>
      </c>
      <c r="AF1368" s="6">
        <f ca="1">$M$1368*$Z$1368</f>
        <v>425.58288627575666</v>
      </c>
      <c r="AG1368" s="6">
        <f>$O$1368*$AA$1368</f>
        <v>453.40718035561849</v>
      </c>
    </row>
    <row r="1369" spans="1:33" ht="11.25" customHeight="1" x14ac:dyDescent="0.25">
      <c r="A1369" s="4" t="s">
        <v>21</v>
      </c>
      <c r="B1369" s="4" t="s">
        <v>22</v>
      </c>
      <c r="C1369" s="4" t="s">
        <v>23</v>
      </c>
      <c r="D1369" s="4" t="s">
        <v>24</v>
      </c>
      <c r="E1369" s="4" t="s">
        <v>29</v>
      </c>
      <c r="F1369" s="4" t="s">
        <v>25</v>
      </c>
      <c r="G1369" s="4" t="s">
        <v>25</v>
      </c>
      <c r="H1369" s="4" t="s">
        <v>25</v>
      </c>
      <c r="I1369" s="5">
        <v>44531</v>
      </c>
      <c r="J1369" s="6">
        <v>0</v>
      </c>
      <c r="K1369" s="6">
        <v>0</v>
      </c>
      <c r="L1369" s="6">
        <v>2547.518</v>
      </c>
      <c r="M1369" s="6">
        <v>2547.518</v>
      </c>
      <c r="N1369" s="6">
        <v>2547.518</v>
      </c>
      <c r="O1369" s="6">
        <v>2547.518</v>
      </c>
      <c r="P1369" s="6">
        <v>4089</v>
      </c>
      <c r="Q1369" s="4" t="s">
        <v>26</v>
      </c>
      <c r="R1369" s="4">
        <v>0</v>
      </c>
      <c r="S1369" s="6">
        <v>0</v>
      </c>
      <c r="T1369" s="6">
        <v>42</v>
      </c>
      <c r="U1369" s="6">
        <v>85</v>
      </c>
      <c r="V1369" s="6">
        <f>IF(ISERROR(VLOOKUP($S$1369,'TAR FIN'!$A$1:$O$116,15,0)),0,VLOOKUP($S$1369,'TAR FIN'!$A$1:$O$116,15,0))</f>
        <v>0</v>
      </c>
      <c r="W1369" s="6">
        <f>IF(ISERROR(VLOOKUP($T$1369,'TAR FIN'!$A$1:$O$116,15,0)),0,VLOOKUP($T$1369,'TAR FIN'!$A$1:$O$116,15,0))</f>
        <v>94.28</v>
      </c>
      <c r="X1369" s="6">
        <f>IF(ISERROR(VLOOKUP($U$1369,'TAR FIN'!$A$1:$O$116,15,0)),0,VLOOKUP($U$1369,'TAR FIN'!$A$1:$O$116,15,0))</f>
        <v>114.26</v>
      </c>
      <c r="Y1369" s="6"/>
      <c r="Z136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69" s="6">
        <f>('TE BE'!$AB$15+'TE BF'!$AB$15+'TE CVA'!$AB$15)*(1-CUSTOS!$M$34)</f>
        <v>115.37078380550088</v>
      </c>
      <c r="AB1369" s="6">
        <f>$K$1369*$V$1369</f>
        <v>0</v>
      </c>
      <c r="AC1369" s="6">
        <f>$M$1369*$W$1369</f>
        <v>240179.99704000002</v>
      </c>
      <c r="AD1369" s="6">
        <f>$O$1369*$X$1369</f>
        <v>291079.40668000001</v>
      </c>
      <c r="AE1369" s="6">
        <f>$K$1369*$Y$1369</f>
        <v>0</v>
      </c>
      <c r="AF1369" s="6">
        <f ca="1">$M$1369*$Z$1369</f>
        <v>275872.78963853512</v>
      </c>
      <c r="AG1369" s="6">
        <f>$O$1369*$AA$1369</f>
        <v>293909.14841862197</v>
      </c>
    </row>
    <row r="1370" spans="1:33" ht="11.25" customHeight="1" x14ac:dyDescent="0.25">
      <c r="A1370" s="4" t="s">
        <v>27</v>
      </c>
      <c r="B1370" s="4" t="s">
        <v>22</v>
      </c>
      <c r="C1370" s="4" t="s">
        <v>23</v>
      </c>
      <c r="D1370" s="4" t="s">
        <v>24</v>
      </c>
      <c r="E1370" s="4" t="s">
        <v>29</v>
      </c>
      <c r="F1370" s="4" t="s">
        <v>25</v>
      </c>
      <c r="G1370" s="4" t="s">
        <v>25</v>
      </c>
      <c r="H1370" s="4" t="s">
        <v>25</v>
      </c>
      <c r="I1370" s="5">
        <v>44531</v>
      </c>
      <c r="J1370" s="6">
        <v>0</v>
      </c>
      <c r="K1370" s="6">
        <v>0</v>
      </c>
      <c r="L1370" s="6">
        <v>1.921</v>
      </c>
      <c r="M1370" s="6">
        <v>1.921</v>
      </c>
      <c r="N1370" s="6">
        <v>1.921</v>
      </c>
      <c r="O1370" s="6">
        <v>1.921</v>
      </c>
      <c r="P1370" s="6">
        <v>20</v>
      </c>
      <c r="Q1370" s="4" t="s">
        <v>26</v>
      </c>
      <c r="R1370" s="4">
        <v>0</v>
      </c>
      <c r="S1370" s="6">
        <v>0</v>
      </c>
      <c r="T1370" s="6">
        <v>42</v>
      </c>
      <c r="U1370" s="6">
        <v>85</v>
      </c>
      <c r="V1370" s="6">
        <f>IF(ISERROR(VLOOKUP($S$1370,'TAR FIN'!$A$1:$O$116,15,0)),0,VLOOKUP($S$1370,'TAR FIN'!$A$1:$O$116,15,0))</f>
        <v>0</v>
      </c>
      <c r="W1370" s="6">
        <f>IF(ISERROR(VLOOKUP($T$1370,'TAR FIN'!$A$1:$O$116,15,0)),0,VLOOKUP($T$1370,'TAR FIN'!$A$1:$O$116,15,0))</f>
        <v>94.28</v>
      </c>
      <c r="X1370" s="6">
        <f>IF(ISERROR(VLOOKUP($U$1370,'TAR FIN'!$A$1:$O$116,15,0)),0,VLOOKUP($U$1370,'TAR FIN'!$A$1:$O$116,15,0))</f>
        <v>114.26</v>
      </c>
      <c r="Y1370" s="6"/>
      <c r="Z137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0" s="6">
        <f>('TE BE'!$AB$15+'TE BF'!$AB$15+'TE CVA'!$AB$15)*(1-CUSTOS!$M$34)</f>
        <v>115.37078380550088</v>
      </c>
      <c r="AB1370" s="6">
        <f>$K$1370*$V$1370</f>
        <v>0</v>
      </c>
      <c r="AC1370" s="6">
        <f>$M$1370*$W$1370</f>
        <v>181.11188000000001</v>
      </c>
      <c r="AD1370" s="6">
        <f>$O$1370*$X$1370</f>
        <v>219.49346000000003</v>
      </c>
      <c r="AE1370" s="6">
        <f>$K$1370*$Y$1370</f>
        <v>0</v>
      </c>
      <c r="AF1370" s="6">
        <f ca="1">$M$1370*$Z$1370</f>
        <v>208.02664746456196</v>
      </c>
      <c r="AG1370" s="6">
        <f>$O$1370*$AA$1370</f>
        <v>221.62727569036718</v>
      </c>
    </row>
    <row r="1371" spans="1:33" ht="11.25" customHeight="1" x14ac:dyDescent="0.25">
      <c r="A1371" s="4" t="s">
        <v>28</v>
      </c>
      <c r="B1371" s="4" t="s">
        <v>22</v>
      </c>
      <c r="C1371" s="4" t="s">
        <v>23</v>
      </c>
      <c r="D1371" s="4" t="s">
        <v>24</v>
      </c>
      <c r="E1371" s="4" t="s">
        <v>29</v>
      </c>
      <c r="F1371" s="4" t="s">
        <v>25</v>
      </c>
      <c r="G1371" s="4" t="s">
        <v>25</v>
      </c>
      <c r="H1371" s="4" t="s">
        <v>25</v>
      </c>
      <c r="I1371" s="5">
        <v>44531</v>
      </c>
      <c r="J1371" s="6">
        <v>0</v>
      </c>
      <c r="K1371" s="6">
        <v>0</v>
      </c>
      <c r="L1371" s="6">
        <v>4.2300000000000004</v>
      </c>
      <c r="M1371" s="6">
        <v>4.2300000000000004</v>
      </c>
      <c r="N1371" s="6">
        <v>4.2300000000000004</v>
      </c>
      <c r="O1371" s="6">
        <v>4.2300000000000004</v>
      </c>
      <c r="P1371" s="6">
        <v>4</v>
      </c>
      <c r="Q1371" s="4" t="s">
        <v>26</v>
      </c>
      <c r="R1371" s="4">
        <v>0</v>
      </c>
      <c r="S1371" s="6">
        <v>0</v>
      </c>
      <c r="T1371" s="6">
        <v>42</v>
      </c>
      <c r="U1371" s="6">
        <v>85</v>
      </c>
      <c r="V1371" s="6">
        <f>IF(ISERROR(VLOOKUP($S$1371,'TAR FIN'!$A$1:$O$116,15,0)),0,VLOOKUP($S$1371,'TAR FIN'!$A$1:$O$116,15,0))</f>
        <v>0</v>
      </c>
      <c r="W1371" s="6">
        <f>IF(ISERROR(VLOOKUP($T$1371,'TAR FIN'!$A$1:$O$116,15,0)),0,VLOOKUP($T$1371,'TAR FIN'!$A$1:$O$116,15,0))</f>
        <v>94.28</v>
      </c>
      <c r="X1371" s="6">
        <f>IF(ISERROR(VLOOKUP($U$1371,'TAR FIN'!$A$1:$O$116,15,0)),0,VLOOKUP($U$1371,'TAR FIN'!$A$1:$O$116,15,0))</f>
        <v>114.26</v>
      </c>
      <c r="Y1371" s="6"/>
      <c r="Z137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1" s="6">
        <f>('TE BE'!$AB$15+'TE BF'!$AB$15+'TE CVA'!$AB$15)*(1-CUSTOS!$M$34)</f>
        <v>115.37078380550088</v>
      </c>
      <c r="AB1371" s="6">
        <f>$K$1371*$V$1371</f>
        <v>0</v>
      </c>
      <c r="AC1371" s="6">
        <f>$M$1371*$W$1371</f>
        <v>398.80440000000004</v>
      </c>
      <c r="AD1371" s="6">
        <f>$O$1371*$X$1371</f>
        <v>483.31980000000004</v>
      </c>
      <c r="AE1371" s="6">
        <f>$K$1371*$Y$1371</f>
        <v>0</v>
      </c>
      <c r="AF1371" s="6">
        <f ca="1">$M$1371*$Z$1371</f>
        <v>458.07012950291369</v>
      </c>
      <c r="AG1371" s="6">
        <f>$O$1371*$AA$1371</f>
        <v>488.01841549726879</v>
      </c>
    </row>
    <row r="1372" spans="1:33" ht="11.25" customHeight="1" x14ac:dyDescent="0.25">
      <c r="A1372" s="4" t="s">
        <v>21</v>
      </c>
      <c r="B1372" s="4" t="s">
        <v>22</v>
      </c>
      <c r="C1372" s="4" t="s">
        <v>23</v>
      </c>
      <c r="D1372" s="4" t="s">
        <v>24</v>
      </c>
      <c r="E1372" s="4" t="s">
        <v>29</v>
      </c>
      <c r="F1372" s="4" t="s">
        <v>25</v>
      </c>
      <c r="G1372" s="4" t="s">
        <v>25</v>
      </c>
      <c r="H1372" s="4" t="s">
        <v>25</v>
      </c>
      <c r="I1372" s="5">
        <v>44562</v>
      </c>
      <c r="J1372" s="6">
        <v>0</v>
      </c>
      <c r="K1372" s="6">
        <v>0</v>
      </c>
      <c r="L1372" s="6">
        <v>2632.6669999999999</v>
      </c>
      <c r="M1372" s="6">
        <v>2632.6669999999999</v>
      </c>
      <c r="N1372" s="6">
        <v>2632.6669999999999</v>
      </c>
      <c r="O1372" s="6">
        <v>2632.6669999999999</v>
      </c>
      <c r="P1372" s="6">
        <v>4075</v>
      </c>
      <c r="Q1372" s="4" t="s">
        <v>26</v>
      </c>
      <c r="R1372" s="4">
        <v>0</v>
      </c>
      <c r="S1372" s="6">
        <v>0</v>
      </c>
      <c r="T1372" s="6">
        <v>42</v>
      </c>
      <c r="U1372" s="6">
        <v>85</v>
      </c>
      <c r="V1372" s="6">
        <f>IF(ISERROR(VLOOKUP($S$1372,'TAR FIN'!$A$1:$O$116,15,0)),0,VLOOKUP($S$1372,'TAR FIN'!$A$1:$O$116,15,0))</f>
        <v>0</v>
      </c>
      <c r="W1372" s="6">
        <f>IF(ISERROR(VLOOKUP($T$1372,'TAR FIN'!$A$1:$O$116,15,0)),0,VLOOKUP($T$1372,'TAR FIN'!$A$1:$O$116,15,0))</f>
        <v>94.28</v>
      </c>
      <c r="X1372" s="6">
        <f>IF(ISERROR(VLOOKUP($U$1372,'TAR FIN'!$A$1:$O$116,15,0)),0,VLOOKUP($U$1372,'TAR FIN'!$A$1:$O$116,15,0))</f>
        <v>114.26</v>
      </c>
      <c r="Y1372" s="6"/>
      <c r="Z137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2" s="6">
        <f>('TE BE'!$AB$15+'TE BF'!$AB$15+'TE CVA'!$AB$15)*(1-CUSTOS!$M$34)</f>
        <v>115.37078380550088</v>
      </c>
      <c r="AB1372" s="6">
        <f>$K$1372*$V$1372</f>
        <v>0</v>
      </c>
      <c r="AC1372" s="6">
        <f>$M$1372*$W$1372</f>
        <v>248207.84476000001</v>
      </c>
      <c r="AD1372" s="6">
        <f>$O$1372*$X$1372</f>
        <v>300808.53142000001</v>
      </c>
      <c r="AE1372" s="6">
        <f>$K$1372*$Y$1372</f>
        <v>0</v>
      </c>
      <c r="AF1372" s="6">
        <f ca="1">$M$1372*$Z$1372</f>
        <v>285093.64388369909</v>
      </c>
      <c r="AG1372" s="6">
        <f>$O$1372*$AA$1372</f>
        <v>303732.85528887657</v>
      </c>
    </row>
    <row r="1373" spans="1:33" ht="11.25" customHeight="1" x14ac:dyDescent="0.25">
      <c r="A1373" s="4" t="s">
        <v>27</v>
      </c>
      <c r="B1373" s="4" t="s">
        <v>22</v>
      </c>
      <c r="C1373" s="4" t="s">
        <v>23</v>
      </c>
      <c r="D1373" s="4" t="s">
        <v>24</v>
      </c>
      <c r="E1373" s="4" t="s">
        <v>29</v>
      </c>
      <c r="F1373" s="4" t="s">
        <v>25</v>
      </c>
      <c r="G1373" s="4" t="s">
        <v>25</v>
      </c>
      <c r="H1373" s="4" t="s">
        <v>25</v>
      </c>
      <c r="I1373" s="5">
        <v>44562</v>
      </c>
      <c r="J1373" s="6">
        <v>0</v>
      </c>
      <c r="K1373" s="6">
        <v>0</v>
      </c>
      <c r="L1373" s="6">
        <v>0.79100000000000004</v>
      </c>
      <c r="M1373" s="6">
        <v>0.79100000000000004</v>
      </c>
      <c r="N1373" s="6">
        <v>0.79100000000000004</v>
      </c>
      <c r="O1373" s="6">
        <v>0.79100000000000004</v>
      </c>
      <c r="P1373" s="6">
        <v>9</v>
      </c>
      <c r="Q1373" s="4" t="s">
        <v>26</v>
      </c>
      <c r="R1373" s="4">
        <v>0</v>
      </c>
      <c r="S1373" s="6">
        <v>0</v>
      </c>
      <c r="T1373" s="6">
        <v>42</v>
      </c>
      <c r="U1373" s="6">
        <v>85</v>
      </c>
      <c r="V1373" s="6">
        <f>IF(ISERROR(VLOOKUP($S$1373,'TAR FIN'!$A$1:$O$116,15,0)),0,VLOOKUP($S$1373,'TAR FIN'!$A$1:$O$116,15,0))</f>
        <v>0</v>
      </c>
      <c r="W1373" s="6">
        <f>IF(ISERROR(VLOOKUP($T$1373,'TAR FIN'!$A$1:$O$116,15,0)),0,VLOOKUP($T$1373,'TAR FIN'!$A$1:$O$116,15,0))</f>
        <v>94.28</v>
      </c>
      <c r="X1373" s="6">
        <f>IF(ISERROR(VLOOKUP($U$1373,'TAR FIN'!$A$1:$O$116,15,0)),0,VLOOKUP($U$1373,'TAR FIN'!$A$1:$O$116,15,0))</f>
        <v>114.26</v>
      </c>
      <c r="Y1373" s="6"/>
      <c r="Z137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3" s="6">
        <f>('TE BE'!$AB$15+'TE BF'!$AB$15+'TE CVA'!$AB$15)*(1-CUSTOS!$M$34)</f>
        <v>115.37078380550088</v>
      </c>
      <c r="AB1373" s="6">
        <f>$K$1373*$V$1373</f>
        <v>0</v>
      </c>
      <c r="AC1373" s="6">
        <f>$M$1373*$W$1373</f>
        <v>74.575479999999999</v>
      </c>
      <c r="AD1373" s="6">
        <f>$O$1373*$X$1373</f>
        <v>90.379660000000001</v>
      </c>
      <c r="AE1373" s="6">
        <f>$K$1373*$Y$1373</f>
        <v>0</v>
      </c>
      <c r="AF1373" s="6">
        <f ca="1">$M$1373*$Z$1373</f>
        <v>85.658031308937282</v>
      </c>
      <c r="AG1373" s="6">
        <f>$O$1373*$AA$1373</f>
        <v>91.258289990151198</v>
      </c>
    </row>
    <row r="1374" spans="1:33" ht="11.25" customHeight="1" x14ac:dyDescent="0.25">
      <c r="A1374" s="4" t="s">
        <v>28</v>
      </c>
      <c r="B1374" s="4" t="s">
        <v>22</v>
      </c>
      <c r="C1374" s="4" t="s">
        <v>23</v>
      </c>
      <c r="D1374" s="4" t="s">
        <v>24</v>
      </c>
      <c r="E1374" s="4" t="s">
        <v>29</v>
      </c>
      <c r="F1374" s="4" t="s">
        <v>25</v>
      </c>
      <c r="G1374" s="4" t="s">
        <v>25</v>
      </c>
      <c r="H1374" s="4" t="s">
        <v>25</v>
      </c>
      <c r="I1374" s="5">
        <v>44562</v>
      </c>
      <c r="J1374" s="6">
        <v>0</v>
      </c>
      <c r="K1374" s="6">
        <v>0</v>
      </c>
      <c r="L1374" s="6">
        <v>5.07</v>
      </c>
      <c r="M1374" s="6">
        <v>5.07</v>
      </c>
      <c r="N1374" s="6">
        <v>5.07</v>
      </c>
      <c r="O1374" s="6">
        <v>5.07</v>
      </c>
      <c r="P1374" s="6">
        <v>11</v>
      </c>
      <c r="Q1374" s="4" t="s">
        <v>26</v>
      </c>
      <c r="R1374" s="4">
        <v>0</v>
      </c>
      <c r="S1374" s="6">
        <v>0</v>
      </c>
      <c r="T1374" s="6">
        <v>42</v>
      </c>
      <c r="U1374" s="6">
        <v>85</v>
      </c>
      <c r="V1374" s="6">
        <f>IF(ISERROR(VLOOKUP($S$1374,'TAR FIN'!$A$1:$O$116,15,0)),0,VLOOKUP($S$1374,'TAR FIN'!$A$1:$O$116,15,0))</f>
        <v>0</v>
      </c>
      <c r="W1374" s="6">
        <f>IF(ISERROR(VLOOKUP($T$1374,'TAR FIN'!$A$1:$O$116,15,0)),0,VLOOKUP($T$1374,'TAR FIN'!$A$1:$O$116,15,0))</f>
        <v>94.28</v>
      </c>
      <c r="X1374" s="6">
        <f>IF(ISERROR(VLOOKUP($U$1374,'TAR FIN'!$A$1:$O$116,15,0)),0,VLOOKUP($U$1374,'TAR FIN'!$A$1:$O$116,15,0))</f>
        <v>114.26</v>
      </c>
      <c r="Y1374" s="6"/>
      <c r="Z137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4" s="6">
        <f>('TE BE'!$AB$15+'TE BF'!$AB$15+'TE CVA'!$AB$15)*(1-CUSTOS!$M$34)</f>
        <v>115.37078380550088</v>
      </c>
      <c r="AB1374" s="6">
        <f>$K$1374*$V$1374</f>
        <v>0</v>
      </c>
      <c r="AC1374" s="6">
        <f>$M$1374*$W$1374</f>
        <v>477.99960000000004</v>
      </c>
      <c r="AD1374" s="6">
        <f>$O$1374*$X$1374</f>
        <v>579.29820000000007</v>
      </c>
      <c r="AE1374" s="6">
        <f>$K$1374*$Y$1374</f>
        <v>0</v>
      </c>
      <c r="AF1374" s="6">
        <f ca="1">$M$1374*$Z$1374</f>
        <v>549.03441053895324</v>
      </c>
      <c r="AG1374" s="6">
        <f>$O$1374*$AA$1374</f>
        <v>584.92987389388952</v>
      </c>
    </row>
    <row r="1375" spans="1:33" ht="11.25" customHeight="1" x14ac:dyDescent="0.25">
      <c r="A1375" s="4" t="s">
        <v>21</v>
      </c>
      <c r="B1375" s="4" t="s">
        <v>22</v>
      </c>
      <c r="C1375" s="4" t="s">
        <v>23</v>
      </c>
      <c r="D1375" s="4" t="s">
        <v>24</v>
      </c>
      <c r="E1375" s="4" t="s">
        <v>29</v>
      </c>
      <c r="F1375" s="4" t="s">
        <v>25</v>
      </c>
      <c r="G1375" s="4" t="s">
        <v>25</v>
      </c>
      <c r="H1375" s="4" t="s">
        <v>25</v>
      </c>
      <c r="I1375" s="5">
        <v>44593</v>
      </c>
      <c r="J1375" s="6">
        <v>0</v>
      </c>
      <c r="K1375" s="6">
        <v>0</v>
      </c>
      <c r="L1375" s="6">
        <v>2839.06</v>
      </c>
      <c r="M1375" s="6">
        <v>2839.06</v>
      </c>
      <c r="N1375" s="6">
        <v>2839.06</v>
      </c>
      <c r="O1375" s="6">
        <v>2839.06</v>
      </c>
      <c r="P1375" s="6">
        <v>4631</v>
      </c>
      <c r="Q1375" s="4" t="s">
        <v>26</v>
      </c>
      <c r="R1375" s="4">
        <v>0</v>
      </c>
      <c r="S1375" s="6">
        <v>0</v>
      </c>
      <c r="T1375" s="6">
        <v>42</v>
      </c>
      <c r="U1375" s="6">
        <v>85</v>
      </c>
      <c r="V1375" s="6">
        <f>IF(ISERROR(VLOOKUP($S$1375,'TAR FIN'!$A$1:$O$116,15,0)),0,VLOOKUP($S$1375,'TAR FIN'!$A$1:$O$116,15,0))</f>
        <v>0</v>
      </c>
      <c r="W1375" s="6">
        <f>IF(ISERROR(VLOOKUP($T$1375,'TAR FIN'!$A$1:$O$116,15,0)),0,VLOOKUP($T$1375,'TAR FIN'!$A$1:$O$116,15,0))</f>
        <v>94.28</v>
      </c>
      <c r="X1375" s="6">
        <f>IF(ISERROR(VLOOKUP($U$1375,'TAR FIN'!$A$1:$O$116,15,0)),0,VLOOKUP($U$1375,'TAR FIN'!$A$1:$O$116,15,0))</f>
        <v>114.26</v>
      </c>
      <c r="Y1375" s="6"/>
      <c r="Z137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5" s="6">
        <f>('TE BE'!$AB$15+'TE BF'!$AB$15+'TE CVA'!$AB$15)*(1-CUSTOS!$M$34)</f>
        <v>115.37078380550088</v>
      </c>
      <c r="AB1375" s="6">
        <f>$K$1375*$V$1375</f>
        <v>0</v>
      </c>
      <c r="AC1375" s="6">
        <f>$M$1375*$W$1375</f>
        <v>267666.57679999998</v>
      </c>
      <c r="AD1375" s="6">
        <f>$O$1375*$X$1375</f>
        <v>324390.99560000002</v>
      </c>
      <c r="AE1375" s="6">
        <f>$K$1375*$Y$1375</f>
        <v>0</v>
      </c>
      <c r="AF1375" s="6">
        <f ca="1">$M$1375*$Z$1375</f>
        <v>307444.10918830778</v>
      </c>
      <c r="AG1375" s="6">
        <f>$O$1375*$AA$1375</f>
        <v>327544.57747084531</v>
      </c>
    </row>
    <row r="1376" spans="1:33" ht="11.25" customHeight="1" x14ac:dyDescent="0.25">
      <c r="A1376" s="4" t="s">
        <v>27</v>
      </c>
      <c r="B1376" s="4" t="s">
        <v>22</v>
      </c>
      <c r="C1376" s="4" t="s">
        <v>23</v>
      </c>
      <c r="D1376" s="4" t="s">
        <v>24</v>
      </c>
      <c r="E1376" s="4" t="s">
        <v>29</v>
      </c>
      <c r="F1376" s="4" t="s">
        <v>25</v>
      </c>
      <c r="G1376" s="4" t="s">
        <v>25</v>
      </c>
      <c r="H1376" s="4" t="s">
        <v>25</v>
      </c>
      <c r="I1376" s="5">
        <v>44593</v>
      </c>
      <c r="J1376" s="6">
        <v>0</v>
      </c>
      <c r="K1376" s="6">
        <v>0</v>
      </c>
      <c r="L1376" s="6">
        <v>8.6690000000000005</v>
      </c>
      <c r="M1376" s="6">
        <v>8.6690000000000005</v>
      </c>
      <c r="N1376" s="6">
        <v>8.6690000000000005</v>
      </c>
      <c r="O1376" s="6">
        <v>8.6690000000000005</v>
      </c>
      <c r="P1376" s="6">
        <v>61</v>
      </c>
      <c r="Q1376" s="4" t="s">
        <v>26</v>
      </c>
      <c r="R1376" s="4">
        <v>0</v>
      </c>
      <c r="S1376" s="6">
        <v>0</v>
      </c>
      <c r="T1376" s="6">
        <v>42</v>
      </c>
      <c r="U1376" s="6">
        <v>85</v>
      </c>
      <c r="V1376" s="6">
        <f>IF(ISERROR(VLOOKUP($S$1376,'TAR FIN'!$A$1:$O$116,15,0)),0,VLOOKUP($S$1376,'TAR FIN'!$A$1:$O$116,15,0))</f>
        <v>0</v>
      </c>
      <c r="W1376" s="6">
        <f>IF(ISERROR(VLOOKUP($T$1376,'TAR FIN'!$A$1:$O$116,15,0)),0,VLOOKUP($T$1376,'TAR FIN'!$A$1:$O$116,15,0))</f>
        <v>94.28</v>
      </c>
      <c r="X1376" s="6">
        <f>IF(ISERROR(VLOOKUP($U$1376,'TAR FIN'!$A$1:$O$116,15,0)),0,VLOOKUP($U$1376,'TAR FIN'!$A$1:$O$116,15,0))</f>
        <v>114.26</v>
      </c>
      <c r="Y1376" s="6"/>
      <c r="Z137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6" s="6">
        <f>('TE BE'!$AB$15+'TE BF'!$AB$15+'TE CVA'!$AB$15)*(1-CUSTOS!$M$34)</f>
        <v>115.37078380550088</v>
      </c>
      <c r="AB1376" s="6">
        <f>$K$1376*$V$1376</f>
        <v>0</v>
      </c>
      <c r="AC1376" s="6">
        <f>$M$1376*$W$1376</f>
        <v>817.31332000000009</v>
      </c>
      <c r="AD1376" s="6">
        <f>$O$1376*$X$1376</f>
        <v>990.51994000000013</v>
      </c>
      <c r="AE1376" s="6">
        <f>$K$1376*$Y$1376</f>
        <v>0</v>
      </c>
      <c r="AF1376" s="6">
        <f ca="1">$M$1376*$Z$1376</f>
        <v>938.77303845408005</v>
      </c>
      <c r="AG1376" s="6">
        <f>$O$1376*$AA$1376</f>
        <v>1000.1493248098872</v>
      </c>
    </row>
    <row r="1377" spans="1:33" ht="11.25" customHeight="1" x14ac:dyDescent="0.25">
      <c r="A1377" s="4" t="s">
        <v>28</v>
      </c>
      <c r="B1377" s="4" t="s">
        <v>22</v>
      </c>
      <c r="C1377" s="4" t="s">
        <v>23</v>
      </c>
      <c r="D1377" s="4" t="s">
        <v>24</v>
      </c>
      <c r="E1377" s="4" t="s">
        <v>29</v>
      </c>
      <c r="F1377" s="4" t="s">
        <v>25</v>
      </c>
      <c r="G1377" s="4" t="s">
        <v>25</v>
      </c>
      <c r="H1377" s="4" t="s">
        <v>25</v>
      </c>
      <c r="I1377" s="5">
        <v>44593</v>
      </c>
      <c r="J1377" s="6">
        <v>0</v>
      </c>
      <c r="K1377" s="6">
        <v>0</v>
      </c>
      <c r="L1377" s="6">
        <v>6.03</v>
      </c>
      <c r="M1377" s="6">
        <v>6.03</v>
      </c>
      <c r="N1377" s="6">
        <v>6.03</v>
      </c>
      <c r="O1377" s="6">
        <v>6.03</v>
      </c>
      <c r="P1377" s="6">
        <v>12</v>
      </c>
      <c r="Q1377" s="4" t="s">
        <v>26</v>
      </c>
      <c r="R1377" s="4">
        <v>0</v>
      </c>
      <c r="S1377" s="6">
        <v>0</v>
      </c>
      <c r="T1377" s="6">
        <v>42</v>
      </c>
      <c r="U1377" s="6">
        <v>85</v>
      </c>
      <c r="V1377" s="6">
        <f>IF(ISERROR(VLOOKUP($S$1377,'TAR FIN'!$A$1:$O$116,15,0)),0,VLOOKUP($S$1377,'TAR FIN'!$A$1:$O$116,15,0))</f>
        <v>0</v>
      </c>
      <c r="W1377" s="6">
        <f>IF(ISERROR(VLOOKUP($T$1377,'TAR FIN'!$A$1:$O$116,15,0)),0,VLOOKUP($T$1377,'TAR FIN'!$A$1:$O$116,15,0))</f>
        <v>94.28</v>
      </c>
      <c r="X1377" s="6">
        <f>IF(ISERROR(VLOOKUP($U$1377,'TAR FIN'!$A$1:$O$116,15,0)),0,VLOOKUP($U$1377,'TAR FIN'!$A$1:$O$116,15,0))</f>
        <v>114.26</v>
      </c>
      <c r="Y1377" s="6"/>
      <c r="Z137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7" s="6">
        <f>('TE BE'!$AB$15+'TE BF'!$AB$15+'TE CVA'!$AB$15)*(1-CUSTOS!$M$34)</f>
        <v>115.37078380550088</v>
      </c>
      <c r="AB1377" s="6">
        <f>$K$1377*$V$1377</f>
        <v>0</v>
      </c>
      <c r="AC1377" s="6">
        <f>$M$1377*$W$1377</f>
        <v>568.50840000000005</v>
      </c>
      <c r="AD1377" s="6">
        <f>$O$1377*$X$1377</f>
        <v>688.98780000000011</v>
      </c>
      <c r="AE1377" s="6">
        <f>$K$1377*$Y$1377</f>
        <v>0</v>
      </c>
      <c r="AF1377" s="6">
        <f ca="1">$M$1377*$Z$1377</f>
        <v>652.9935888658556</v>
      </c>
      <c r="AG1377" s="6">
        <f>$O$1377*$AA$1377</f>
        <v>695.68582634717029</v>
      </c>
    </row>
    <row r="1378" spans="1:33" ht="11.25" customHeight="1" x14ac:dyDescent="0.25">
      <c r="A1378" s="4" t="s">
        <v>28</v>
      </c>
      <c r="B1378" s="4" t="s">
        <v>22</v>
      </c>
      <c r="C1378" s="4" t="s">
        <v>23</v>
      </c>
      <c r="D1378" s="4" t="s">
        <v>24</v>
      </c>
      <c r="E1378" s="4" t="s">
        <v>29</v>
      </c>
      <c r="F1378" s="4" t="s">
        <v>25</v>
      </c>
      <c r="G1378" s="4" t="s">
        <v>25</v>
      </c>
      <c r="H1378" s="4" t="s">
        <v>25</v>
      </c>
      <c r="I1378" s="5">
        <v>44593</v>
      </c>
      <c r="J1378" s="6">
        <v>0</v>
      </c>
      <c r="K1378" s="6">
        <v>0</v>
      </c>
      <c r="L1378" s="6">
        <v>0.41699999999999998</v>
      </c>
      <c r="M1378" s="6">
        <v>0.41699999999999998</v>
      </c>
      <c r="N1378" s="6">
        <v>0.41699999999999998</v>
      </c>
      <c r="O1378" s="6">
        <v>0.41699999999999998</v>
      </c>
      <c r="P1378" s="6">
        <v>1</v>
      </c>
      <c r="Q1378" s="4" t="s">
        <v>26</v>
      </c>
      <c r="R1378" s="4">
        <v>0</v>
      </c>
      <c r="S1378" s="6">
        <v>0</v>
      </c>
      <c r="T1378" s="6">
        <v>42</v>
      </c>
      <c r="U1378" s="6">
        <v>85</v>
      </c>
      <c r="V1378" s="6">
        <f>IF(ISERROR(VLOOKUP($S$1378,'TAR FIN'!$A$1:$O$116,15,0)),0,VLOOKUP($S$1378,'TAR FIN'!$A$1:$O$116,15,0))</f>
        <v>0</v>
      </c>
      <c r="W1378" s="6">
        <f>IF(ISERROR(VLOOKUP($T$1378,'TAR FIN'!$A$1:$O$116,15,0)),0,VLOOKUP($T$1378,'TAR FIN'!$A$1:$O$116,15,0))</f>
        <v>94.28</v>
      </c>
      <c r="X1378" s="6">
        <f>IF(ISERROR(VLOOKUP($U$1378,'TAR FIN'!$A$1:$O$116,15,0)),0,VLOOKUP($U$1378,'TAR FIN'!$A$1:$O$116,15,0))</f>
        <v>114.26</v>
      </c>
      <c r="Y1378" s="6"/>
      <c r="Z137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8" s="6">
        <f>('TE BE'!$AB$15+'TE BF'!$AB$15+'TE CVA'!$AB$15)*(1-CUSTOS!$M$34)</f>
        <v>115.37078380550088</v>
      </c>
      <c r="AB1378" s="6">
        <f>$K$1378*$V$1378</f>
        <v>0</v>
      </c>
      <c r="AC1378" s="6">
        <f>$M$1378*$W$1378</f>
        <v>39.31476</v>
      </c>
      <c r="AD1378" s="6">
        <f>$O$1378*$X$1378</f>
        <v>47.646419999999999</v>
      </c>
      <c r="AE1378" s="6">
        <f>$K$1378*$Y$1378</f>
        <v>0</v>
      </c>
      <c r="AF1378" s="6">
        <f ca="1">$M$1378*$Z$1378</f>
        <v>45.157268085748221</v>
      </c>
      <c r="AG1378" s="6">
        <f>$O$1378*$AA$1378</f>
        <v>48.109616846893864</v>
      </c>
    </row>
    <row r="1379" spans="1:33" ht="11.25" customHeight="1" x14ac:dyDescent="0.25">
      <c r="A1379" s="4" t="s">
        <v>21</v>
      </c>
      <c r="B1379" s="4" t="s">
        <v>22</v>
      </c>
      <c r="C1379" s="4" t="s">
        <v>23</v>
      </c>
      <c r="D1379" s="4" t="s">
        <v>24</v>
      </c>
      <c r="E1379" s="4" t="s">
        <v>29</v>
      </c>
      <c r="F1379" s="4" t="s">
        <v>25</v>
      </c>
      <c r="G1379" s="4" t="s">
        <v>25</v>
      </c>
      <c r="H1379" s="4" t="s">
        <v>25</v>
      </c>
      <c r="I1379" s="5">
        <v>44621</v>
      </c>
      <c r="J1379" s="6">
        <v>0</v>
      </c>
      <c r="K1379" s="6">
        <v>0</v>
      </c>
      <c r="L1379" s="6">
        <v>2906.2240000000002</v>
      </c>
      <c r="M1379" s="6">
        <v>2906.2240000000002</v>
      </c>
      <c r="N1379" s="6">
        <v>2906.2240000000002</v>
      </c>
      <c r="O1379" s="6">
        <v>2906.2240000000002</v>
      </c>
      <c r="P1379" s="6">
        <v>4400</v>
      </c>
      <c r="Q1379" s="4" t="s">
        <v>26</v>
      </c>
      <c r="R1379" s="4">
        <v>0</v>
      </c>
      <c r="S1379" s="6">
        <v>0</v>
      </c>
      <c r="T1379" s="6">
        <v>42</v>
      </c>
      <c r="U1379" s="6">
        <v>85</v>
      </c>
      <c r="V1379" s="6">
        <f>IF(ISERROR(VLOOKUP($S$1379,'TAR FIN'!$A$1:$O$116,15,0)),0,VLOOKUP($S$1379,'TAR FIN'!$A$1:$O$116,15,0))</f>
        <v>0</v>
      </c>
      <c r="W1379" s="6">
        <f>IF(ISERROR(VLOOKUP($T$1379,'TAR FIN'!$A$1:$O$116,15,0)),0,VLOOKUP($T$1379,'TAR FIN'!$A$1:$O$116,15,0))</f>
        <v>94.28</v>
      </c>
      <c r="X1379" s="6">
        <f>IF(ISERROR(VLOOKUP($U$1379,'TAR FIN'!$A$1:$O$116,15,0)),0,VLOOKUP($U$1379,'TAR FIN'!$A$1:$O$116,15,0))</f>
        <v>114.26</v>
      </c>
      <c r="Y1379" s="6"/>
      <c r="Z137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79" s="6">
        <f>('TE BE'!$AB$15+'TE BF'!$AB$15+'TE CVA'!$AB$15)*(1-CUSTOS!$M$34)</f>
        <v>115.37078380550088</v>
      </c>
      <c r="AB1379" s="6">
        <f>$K$1379*$V$1379</f>
        <v>0</v>
      </c>
      <c r="AC1379" s="6">
        <f>$M$1379*$W$1379</f>
        <v>273998.79872000002</v>
      </c>
      <c r="AD1379" s="6">
        <f>$O$1379*$X$1379</f>
        <v>332065.15424000006</v>
      </c>
      <c r="AE1379" s="6">
        <f>$K$1379*$Y$1379</f>
        <v>0</v>
      </c>
      <c r="AF1379" s="6">
        <f ca="1">$M$1379*$Z$1379</f>
        <v>314717.35320200375</v>
      </c>
      <c r="AG1379" s="6">
        <f>$O$1379*$AA$1379</f>
        <v>335293.340794358</v>
      </c>
    </row>
    <row r="1380" spans="1:33" ht="11.25" customHeight="1" x14ac:dyDescent="0.25">
      <c r="A1380" s="4" t="s">
        <v>27</v>
      </c>
      <c r="B1380" s="4" t="s">
        <v>22</v>
      </c>
      <c r="C1380" s="4" t="s">
        <v>23</v>
      </c>
      <c r="D1380" s="4" t="s">
        <v>24</v>
      </c>
      <c r="E1380" s="4" t="s">
        <v>29</v>
      </c>
      <c r="F1380" s="4" t="s">
        <v>25</v>
      </c>
      <c r="G1380" s="4" t="s">
        <v>25</v>
      </c>
      <c r="H1380" s="4" t="s">
        <v>25</v>
      </c>
      <c r="I1380" s="5">
        <v>44621</v>
      </c>
      <c r="J1380" s="6">
        <v>0</v>
      </c>
      <c r="K1380" s="6">
        <v>0</v>
      </c>
      <c r="L1380" s="6">
        <v>1.173</v>
      </c>
      <c r="M1380" s="6">
        <v>1.173</v>
      </c>
      <c r="N1380" s="6">
        <v>1.173</v>
      </c>
      <c r="O1380" s="6">
        <v>1.173</v>
      </c>
      <c r="P1380" s="6">
        <v>15</v>
      </c>
      <c r="Q1380" s="4" t="s">
        <v>26</v>
      </c>
      <c r="R1380" s="4">
        <v>0</v>
      </c>
      <c r="S1380" s="6">
        <v>0</v>
      </c>
      <c r="T1380" s="6">
        <v>42</v>
      </c>
      <c r="U1380" s="6">
        <v>85</v>
      </c>
      <c r="V1380" s="6">
        <f>IF(ISERROR(VLOOKUP($S$1380,'TAR FIN'!$A$1:$O$116,15,0)),0,VLOOKUP($S$1380,'TAR FIN'!$A$1:$O$116,15,0))</f>
        <v>0</v>
      </c>
      <c r="W1380" s="6">
        <f>IF(ISERROR(VLOOKUP($T$1380,'TAR FIN'!$A$1:$O$116,15,0)),0,VLOOKUP($T$1380,'TAR FIN'!$A$1:$O$116,15,0))</f>
        <v>94.28</v>
      </c>
      <c r="X1380" s="6">
        <f>IF(ISERROR(VLOOKUP($U$1380,'TAR FIN'!$A$1:$O$116,15,0)),0,VLOOKUP($U$1380,'TAR FIN'!$A$1:$O$116,15,0))</f>
        <v>114.26</v>
      </c>
      <c r="Y1380" s="6"/>
      <c r="Z138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0" s="6">
        <f>('TE BE'!$AB$15+'TE BF'!$AB$15+'TE CVA'!$AB$15)*(1-CUSTOS!$M$34)</f>
        <v>115.37078380550088</v>
      </c>
      <c r="AB1380" s="6">
        <f>$K$1380*$V$1380</f>
        <v>0</v>
      </c>
      <c r="AC1380" s="6">
        <f>$M$1380*$W$1380</f>
        <v>110.59044</v>
      </c>
      <c r="AD1380" s="6">
        <f>$O$1380*$X$1380</f>
        <v>134.02698000000001</v>
      </c>
      <c r="AE1380" s="6">
        <f>$K$1380*$Y$1380</f>
        <v>0</v>
      </c>
      <c r="AF1380" s="6">
        <f ca="1">$M$1380*$Z$1380</f>
        <v>127.02512101818385</v>
      </c>
      <c r="AG1380" s="6">
        <f>$O$1380*$AA$1380</f>
        <v>135.32992940385253</v>
      </c>
    </row>
    <row r="1381" spans="1:33" ht="11.25" customHeight="1" x14ac:dyDescent="0.25">
      <c r="A1381" s="4" t="s">
        <v>28</v>
      </c>
      <c r="B1381" s="4" t="s">
        <v>22</v>
      </c>
      <c r="C1381" s="4" t="s">
        <v>23</v>
      </c>
      <c r="D1381" s="4" t="s">
        <v>24</v>
      </c>
      <c r="E1381" s="4" t="s">
        <v>29</v>
      </c>
      <c r="F1381" s="4" t="s">
        <v>25</v>
      </c>
      <c r="G1381" s="4" t="s">
        <v>25</v>
      </c>
      <c r="H1381" s="4" t="s">
        <v>25</v>
      </c>
      <c r="I1381" s="5">
        <v>44621</v>
      </c>
      <c r="J1381" s="6">
        <v>0</v>
      </c>
      <c r="K1381" s="6">
        <v>0</v>
      </c>
      <c r="L1381" s="6">
        <v>6.75</v>
      </c>
      <c r="M1381" s="6">
        <v>6.75</v>
      </c>
      <c r="N1381" s="6">
        <v>6.75</v>
      </c>
      <c r="O1381" s="6">
        <v>6.75</v>
      </c>
      <c r="P1381" s="6">
        <v>17</v>
      </c>
      <c r="Q1381" s="4" t="s">
        <v>26</v>
      </c>
      <c r="R1381" s="4">
        <v>0</v>
      </c>
      <c r="S1381" s="6">
        <v>0</v>
      </c>
      <c r="T1381" s="6">
        <v>42</v>
      </c>
      <c r="U1381" s="6">
        <v>85</v>
      </c>
      <c r="V1381" s="6">
        <f>IF(ISERROR(VLOOKUP($S$1381,'TAR FIN'!$A$1:$O$116,15,0)),0,VLOOKUP($S$1381,'TAR FIN'!$A$1:$O$116,15,0))</f>
        <v>0</v>
      </c>
      <c r="W1381" s="6">
        <f>IF(ISERROR(VLOOKUP($T$1381,'TAR FIN'!$A$1:$O$116,15,0)),0,VLOOKUP($T$1381,'TAR FIN'!$A$1:$O$116,15,0))</f>
        <v>94.28</v>
      </c>
      <c r="X1381" s="6">
        <f>IF(ISERROR(VLOOKUP($U$1381,'TAR FIN'!$A$1:$O$116,15,0)),0,VLOOKUP($U$1381,'TAR FIN'!$A$1:$O$116,15,0))</f>
        <v>114.26</v>
      </c>
      <c r="Y1381" s="6"/>
      <c r="Z138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1" s="6">
        <f>('TE BE'!$AB$15+'TE BF'!$AB$15+'TE CVA'!$AB$15)*(1-CUSTOS!$M$34)</f>
        <v>115.37078380550088</v>
      </c>
      <c r="AB1381" s="6">
        <f>$K$1381*$V$1381</f>
        <v>0</v>
      </c>
      <c r="AC1381" s="6">
        <f>$M$1381*$W$1381</f>
        <v>636.39</v>
      </c>
      <c r="AD1381" s="6">
        <f>$O$1381*$X$1381</f>
        <v>771.255</v>
      </c>
      <c r="AE1381" s="6">
        <f>$K$1381*$Y$1381</f>
        <v>0</v>
      </c>
      <c r="AF1381" s="6">
        <f ca="1">$M$1381*$Z$1381</f>
        <v>730.96297261103246</v>
      </c>
      <c r="AG1381" s="6">
        <f>$O$1381*$AA$1381</f>
        <v>778.75279068713098</v>
      </c>
    </row>
    <row r="1382" spans="1:33" ht="11.25" customHeight="1" x14ac:dyDescent="0.25">
      <c r="A1382" s="4" t="s">
        <v>28</v>
      </c>
      <c r="B1382" s="4" t="s">
        <v>22</v>
      </c>
      <c r="C1382" s="4" t="s">
        <v>23</v>
      </c>
      <c r="D1382" s="4" t="s">
        <v>24</v>
      </c>
      <c r="E1382" s="4" t="s">
        <v>29</v>
      </c>
      <c r="F1382" s="4" t="s">
        <v>25</v>
      </c>
      <c r="G1382" s="4" t="s">
        <v>25</v>
      </c>
      <c r="H1382" s="4" t="s">
        <v>25</v>
      </c>
      <c r="I1382" s="5">
        <v>44621</v>
      </c>
      <c r="J1382" s="6">
        <v>0</v>
      </c>
      <c r="K1382" s="6">
        <v>0</v>
      </c>
      <c r="L1382" s="6">
        <v>-0.03</v>
      </c>
      <c r="M1382" s="6">
        <v>-0.03</v>
      </c>
      <c r="N1382" s="6">
        <v>-0.03</v>
      </c>
      <c r="O1382" s="6">
        <v>-0.03</v>
      </c>
      <c r="P1382" s="6">
        <v>0</v>
      </c>
      <c r="Q1382" s="4" t="s">
        <v>26</v>
      </c>
      <c r="R1382" s="4">
        <v>0</v>
      </c>
      <c r="S1382" s="6">
        <v>0</v>
      </c>
      <c r="T1382" s="6">
        <v>42</v>
      </c>
      <c r="U1382" s="6">
        <v>85</v>
      </c>
      <c r="V1382" s="6">
        <f>IF(ISERROR(VLOOKUP($S$1382,'TAR FIN'!$A$1:$O$116,15,0)),0,VLOOKUP($S$1382,'TAR FIN'!$A$1:$O$116,15,0))</f>
        <v>0</v>
      </c>
      <c r="W1382" s="6">
        <f>IF(ISERROR(VLOOKUP($T$1382,'TAR FIN'!$A$1:$O$116,15,0)),0,VLOOKUP($T$1382,'TAR FIN'!$A$1:$O$116,15,0))</f>
        <v>94.28</v>
      </c>
      <c r="X1382" s="6">
        <f>IF(ISERROR(VLOOKUP($U$1382,'TAR FIN'!$A$1:$O$116,15,0)),0,VLOOKUP($U$1382,'TAR FIN'!$A$1:$O$116,15,0))</f>
        <v>114.26</v>
      </c>
      <c r="Y1382" s="6"/>
      <c r="Z138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2" s="6">
        <f>('TE BE'!$AB$15+'TE BF'!$AB$15+'TE CVA'!$AB$15)*(1-CUSTOS!$M$34)</f>
        <v>115.37078380550088</v>
      </c>
      <c r="AB1382" s="6">
        <f>$K$1382*$V$1382</f>
        <v>0</v>
      </c>
      <c r="AC1382" s="6">
        <f>$M$1382*$W$1382</f>
        <v>-2.8283999999999998</v>
      </c>
      <c r="AD1382" s="6">
        <f>$O$1382*$X$1382</f>
        <v>-3.4278</v>
      </c>
      <c r="AE1382" s="6">
        <f>$K$1382*$Y$1382</f>
        <v>0</v>
      </c>
      <c r="AF1382" s="6">
        <f ca="1">$M$1382*$Z$1382</f>
        <v>-3.2487243227156997</v>
      </c>
      <c r="AG1382" s="6">
        <f>$O$1382*$AA$1382</f>
        <v>-3.4611235141650263</v>
      </c>
    </row>
    <row r="1383" spans="1:33" ht="11.25" customHeight="1" x14ac:dyDescent="0.25">
      <c r="A1383" s="4" t="s">
        <v>21</v>
      </c>
      <c r="B1383" s="4" t="s">
        <v>22</v>
      </c>
      <c r="C1383" s="4" t="s">
        <v>23</v>
      </c>
      <c r="D1383" s="4" t="s">
        <v>24</v>
      </c>
      <c r="E1383" s="4" t="s">
        <v>29</v>
      </c>
      <c r="F1383" s="4" t="s">
        <v>25</v>
      </c>
      <c r="G1383" s="4" t="s">
        <v>25</v>
      </c>
      <c r="H1383" s="4" t="s">
        <v>25</v>
      </c>
      <c r="I1383" s="5">
        <v>44652</v>
      </c>
      <c r="J1383" s="6">
        <v>0</v>
      </c>
      <c r="K1383" s="6">
        <v>0</v>
      </c>
      <c r="L1383" s="6">
        <v>2949.163</v>
      </c>
      <c r="M1383" s="6">
        <v>2949.163</v>
      </c>
      <c r="N1383" s="6">
        <v>2949.163</v>
      </c>
      <c r="O1383" s="6">
        <v>2949.163</v>
      </c>
      <c r="P1383" s="6">
        <v>4589</v>
      </c>
      <c r="Q1383" s="4" t="s">
        <v>26</v>
      </c>
      <c r="R1383" s="4">
        <v>0</v>
      </c>
      <c r="S1383" s="6">
        <v>0</v>
      </c>
      <c r="T1383" s="6">
        <v>42</v>
      </c>
      <c r="U1383" s="6">
        <v>85</v>
      </c>
      <c r="V1383" s="6">
        <f>IF(ISERROR(VLOOKUP($S$1383,'TAR FIN'!$A$1:$O$116,15,0)),0,VLOOKUP($S$1383,'TAR FIN'!$A$1:$O$116,15,0))</f>
        <v>0</v>
      </c>
      <c r="W1383" s="6">
        <f>IF(ISERROR(VLOOKUP($T$1383,'TAR FIN'!$A$1:$O$116,15,0)),0,VLOOKUP($T$1383,'TAR FIN'!$A$1:$O$116,15,0))</f>
        <v>94.28</v>
      </c>
      <c r="X1383" s="6">
        <f>IF(ISERROR(VLOOKUP($U$1383,'TAR FIN'!$A$1:$O$116,15,0)),0,VLOOKUP($U$1383,'TAR FIN'!$A$1:$O$116,15,0))</f>
        <v>114.26</v>
      </c>
      <c r="Y1383" s="6"/>
      <c r="Z138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3" s="6">
        <f>('TE BE'!$AB$15+'TE BF'!$AB$15+'TE CVA'!$AB$15)*(1-CUSTOS!$M$34)</f>
        <v>115.37078380550088</v>
      </c>
      <c r="AB1383" s="6">
        <f>$K$1383*$V$1383</f>
        <v>0</v>
      </c>
      <c r="AC1383" s="6">
        <f>$M$1383*$W$1383</f>
        <v>278047.08763999998</v>
      </c>
      <c r="AD1383" s="6">
        <f>$O$1383*$X$1383</f>
        <v>336971.36438000004</v>
      </c>
      <c r="AE1383" s="6">
        <f>$K$1383*$Y$1383</f>
        <v>0</v>
      </c>
      <c r="AF1383" s="6">
        <f ca="1">$M$1383*$Z$1383</f>
        <v>319367.2523251067</v>
      </c>
      <c r="AG1383" s="6">
        <f>$O$1383*$AA$1383</f>
        <v>340247.24688018241</v>
      </c>
    </row>
    <row r="1384" spans="1:33" ht="11.25" customHeight="1" x14ac:dyDescent="0.25">
      <c r="A1384" s="4" t="s">
        <v>27</v>
      </c>
      <c r="B1384" s="4" t="s">
        <v>22</v>
      </c>
      <c r="C1384" s="4" t="s">
        <v>23</v>
      </c>
      <c r="D1384" s="4" t="s">
        <v>24</v>
      </c>
      <c r="E1384" s="4" t="s">
        <v>29</v>
      </c>
      <c r="F1384" s="4" t="s">
        <v>25</v>
      </c>
      <c r="G1384" s="4" t="s">
        <v>25</v>
      </c>
      <c r="H1384" s="4" t="s">
        <v>25</v>
      </c>
      <c r="I1384" s="5">
        <v>44652</v>
      </c>
      <c r="J1384" s="6">
        <v>0</v>
      </c>
      <c r="K1384" s="6">
        <v>0</v>
      </c>
      <c r="L1384" s="6">
        <v>0.88900000000000001</v>
      </c>
      <c r="M1384" s="6">
        <v>0.88900000000000001</v>
      </c>
      <c r="N1384" s="6">
        <v>0.88900000000000001</v>
      </c>
      <c r="O1384" s="6">
        <v>0.88900000000000001</v>
      </c>
      <c r="P1384" s="6">
        <v>11</v>
      </c>
      <c r="Q1384" s="4" t="s">
        <v>26</v>
      </c>
      <c r="R1384" s="4">
        <v>0</v>
      </c>
      <c r="S1384" s="6">
        <v>0</v>
      </c>
      <c r="T1384" s="6">
        <v>42</v>
      </c>
      <c r="U1384" s="6">
        <v>85</v>
      </c>
      <c r="V1384" s="6">
        <f>IF(ISERROR(VLOOKUP($S$1384,'TAR FIN'!$A$1:$O$116,15,0)),0,VLOOKUP($S$1384,'TAR FIN'!$A$1:$O$116,15,0))</f>
        <v>0</v>
      </c>
      <c r="W1384" s="6">
        <f>IF(ISERROR(VLOOKUP($T$1384,'TAR FIN'!$A$1:$O$116,15,0)),0,VLOOKUP($T$1384,'TAR FIN'!$A$1:$O$116,15,0))</f>
        <v>94.28</v>
      </c>
      <c r="X1384" s="6">
        <f>IF(ISERROR(VLOOKUP($U$1384,'TAR FIN'!$A$1:$O$116,15,0)),0,VLOOKUP($U$1384,'TAR FIN'!$A$1:$O$116,15,0))</f>
        <v>114.26</v>
      </c>
      <c r="Y1384" s="6"/>
      <c r="Z138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4" s="6">
        <f>('TE BE'!$AB$15+'TE BF'!$AB$15+'TE CVA'!$AB$15)*(1-CUSTOS!$M$34)</f>
        <v>115.37078380550088</v>
      </c>
      <c r="AB1384" s="6">
        <f>$K$1384*$V$1384</f>
        <v>0</v>
      </c>
      <c r="AC1384" s="6">
        <f>$M$1384*$W$1384</f>
        <v>83.814920000000001</v>
      </c>
      <c r="AD1384" s="6">
        <f>$O$1384*$X$1384</f>
        <v>101.57714</v>
      </c>
      <c r="AE1384" s="6">
        <f>$K$1384*$Y$1384</f>
        <v>0</v>
      </c>
      <c r="AF1384" s="6">
        <f ca="1">$M$1384*$Z$1384</f>
        <v>96.270530763141906</v>
      </c>
      <c r="AG1384" s="6">
        <f>$O$1384*$AA$1384</f>
        <v>102.56462680309028</v>
      </c>
    </row>
    <row r="1385" spans="1:33" ht="11.25" customHeight="1" x14ac:dyDescent="0.25">
      <c r="A1385" s="4" t="s">
        <v>28</v>
      </c>
      <c r="B1385" s="4" t="s">
        <v>22</v>
      </c>
      <c r="C1385" s="4" t="s">
        <v>23</v>
      </c>
      <c r="D1385" s="4" t="s">
        <v>24</v>
      </c>
      <c r="E1385" s="4" t="s">
        <v>29</v>
      </c>
      <c r="F1385" s="4" t="s">
        <v>25</v>
      </c>
      <c r="G1385" s="4" t="s">
        <v>25</v>
      </c>
      <c r="H1385" s="4" t="s">
        <v>25</v>
      </c>
      <c r="I1385" s="5">
        <v>44652</v>
      </c>
      <c r="J1385" s="6">
        <v>0</v>
      </c>
      <c r="K1385" s="6">
        <v>0</v>
      </c>
      <c r="L1385" s="6">
        <v>7.23</v>
      </c>
      <c r="M1385" s="6">
        <v>7.23</v>
      </c>
      <c r="N1385" s="6">
        <v>7.23</v>
      </c>
      <c r="O1385" s="6">
        <v>7.23</v>
      </c>
      <c r="P1385" s="6">
        <v>10</v>
      </c>
      <c r="Q1385" s="4" t="s">
        <v>26</v>
      </c>
      <c r="R1385" s="4">
        <v>0</v>
      </c>
      <c r="S1385" s="6">
        <v>0</v>
      </c>
      <c r="T1385" s="6">
        <v>42</v>
      </c>
      <c r="U1385" s="6">
        <v>85</v>
      </c>
      <c r="V1385" s="6">
        <f>IF(ISERROR(VLOOKUP($S$1385,'TAR FIN'!$A$1:$O$116,15,0)),0,VLOOKUP($S$1385,'TAR FIN'!$A$1:$O$116,15,0))</f>
        <v>0</v>
      </c>
      <c r="W1385" s="6">
        <f>IF(ISERROR(VLOOKUP($T$1385,'TAR FIN'!$A$1:$O$116,15,0)),0,VLOOKUP($T$1385,'TAR FIN'!$A$1:$O$116,15,0))</f>
        <v>94.28</v>
      </c>
      <c r="X1385" s="6">
        <f>IF(ISERROR(VLOOKUP($U$1385,'TAR FIN'!$A$1:$O$116,15,0)),0,VLOOKUP($U$1385,'TAR FIN'!$A$1:$O$116,15,0))</f>
        <v>114.26</v>
      </c>
      <c r="Y1385" s="6"/>
      <c r="Z138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5" s="6">
        <f>('TE BE'!$AB$15+'TE BF'!$AB$15+'TE CVA'!$AB$15)*(1-CUSTOS!$M$34)</f>
        <v>115.37078380550088</v>
      </c>
      <c r="AB1385" s="6">
        <f>$K$1385*$V$1385</f>
        <v>0</v>
      </c>
      <c r="AC1385" s="6">
        <f>$M$1385*$W$1385</f>
        <v>681.64440000000002</v>
      </c>
      <c r="AD1385" s="6">
        <f>$O$1385*$X$1385</f>
        <v>826.09980000000007</v>
      </c>
      <c r="AE1385" s="6">
        <f>$K$1385*$Y$1385</f>
        <v>0</v>
      </c>
      <c r="AF1385" s="6">
        <f ca="1">$M$1385*$Z$1385</f>
        <v>782.94256177448369</v>
      </c>
      <c r="AG1385" s="6">
        <f>$O$1385*$AA$1385</f>
        <v>834.13076691377137</v>
      </c>
    </row>
    <row r="1386" spans="1:33" ht="11.25" customHeight="1" x14ac:dyDescent="0.25">
      <c r="A1386" s="4" t="s">
        <v>58</v>
      </c>
      <c r="B1386" s="4" t="s">
        <v>22</v>
      </c>
      <c r="C1386" s="4" t="s">
        <v>23</v>
      </c>
      <c r="D1386" s="4" t="s">
        <v>24</v>
      </c>
      <c r="E1386" s="4" t="s">
        <v>29</v>
      </c>
      <c r="F1386" s="4" t="s">
        <v>25</v>
      </c>
      <c r="G1386" s="4" t="s">
        <v>25</v>
      </c>
      <c r="H1386" s="4" t="s">
        <v>25</v>
      </c>
      <c r="I1386" s="5">
        <v>44682</v>
      </c>
      <c r="J1386" s="6">
        <v>0</v>
      </c>
      <c r="K1386" s="6">
        <v>0</v>
      </c>
      <c r="L1386" s="6">
        <v>2949.163</v>
      </c>
      <c r="M1386" s="6">
        <v>2949.163</v>
      </c>
      <c r="N1386" s="6">
        <v>2949.163</v>
      </c>
      <c r="O1386" s="6">
        <v>2949.163</v>
      </c>
      <c r="P1386" s="6">
        <v>4589</v>
      </c>
      <c r="Q1386" s="4" t="s">
        <v>26</v>
      </c>
      <c r="R1386" s="4">
        <v>0</v>
      </c>
      <c r="S1386" s="6">
        <v>0</v>
      </c>
      <c r="T1386" s="6">
        <v>42</v>
      </c>
      <c r="U1386" s="6">
        <v>85</v>
      </c>
      <c r="V1386" s="6">
        <f>IF(ISERROR(VLOOKUP($S$1386,'TAR FIN'!$A$1:$O$116,15,0)),0,VLOOKUP($S$1386,'TAR FIN'!$A$1:$O$116,15,0))</f>
        <v>0</v>
      </c>
      <c r="W1386" s="6">
        <f>IF(ISERROR(VLOOKUP($T$1386,'TAR FIN'!$A$1:$O$116,15,0)),0,VLOOKUP($T$1386,'TAR FIN'!$A$1:$O$116,15,0))</f>
        <v>94.28</v>
      </c>
      <c r="X1386" s="6">
        <f>IF(ISERROR(VLOOKUP($U$1386,'TAR FIN'!$A$1:$O$116,15,0)),0,VLOOKUP($U$1386,'TAR FIN'!$A$1:$O$116,15,0))</f>
        <v>114.26</v>
      </c>
      <c r="Y1386" s="6"/>
      <c r="Z138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6" s="6">
        <f>('TE BE'!$AB$15+'TE BF'!$AB$15+'TE CVA'!$AB$15)*(1-CUSTOS!$M$34)</f>
        <v>115.37078380550088</v>
      </c>
      <c r="AB1386" s="6">
        <f>$K$1386*$V$1386</f>
        <v>0</v>
      </c>
      <c r="AC1386" s="6">
        <f>$M$1386*$W$1386</f>
        <v>278047.08763999998</v>
      </c>
      <c r="AD1386" s="6">
        <f>$O$1386*$X$1386</f>
        <v>336971.36438000004</v>
      </c>
      <c r="AE1386" s="6">
        <f>$K$1386*$Y$1386</f>
        <v>0</v>
      </c>
      <c r="AF1386" s="6">
        <f ca="1">$M$1386*$Z$1386</f>
        <v>319367.2523251067</v>
      </c>
      <c r="AG1386" s="6">
        <f>$O$1386*$AA$1386</f>
        <v>340247.24688018241</v>
      </c>
    </row>
    <row r="1387" spans="1:33" ht="11.25" customHeight="1" x14ac:dyDescent="0.25">
      <c r="A1387" s="4" t="s">
        <v>58</v>
      </c>
      <c r="B1387" s="4" t="s">
        <v>22</v>
      </c>
      <c r="C1387" s="4" t="s">
        <v>23</v>
      </c>
      <c r="D1387" s="4" t="s">
        <v>24</v>
      </c>
      <c r="E1387" s="4" t="s">
        <v>29</v>
      </c>
      <c r="F1387" s="4" t="s">
        <v>25</v>
      </c>
      <c r="G1387" s="4" t="s">
        <v>25</v>
      </c>
      <c r="H1387" s="4" t="s">
        <v>25</v>
      </c>
      <c r="I1387" s="5">
        <v>44682</v>
      </c>
      <c r="J1387" s="6">
        <v>0</v>
      </c>
      <c r="K1387" s="6">
        <v>0</v>
      </c>
      <c r="L1387" s="6">
        <v>0.88900000000000001</v>
      </c>
      <c r="M1387" s="6">
        <v>0.88900000000000001</v>
      </c>
      <c r="N1387" s="6">
        <v>0.88900000000000001</v>
      </c>
      <c r="O1387" s="6">
        <v>0.88900000000000001</v>
      </c>
      <c r="P1387" s="6">
        <v>11</v>
      </c>
      <c r="Q1387" s="4" t="s">
        <v>26</v>
      </c>
      <c r="R1387" s="4">
        <v>0</v>
      </c>
      <c r="S1387" s="6">
        <v>0</v>
      </c>
      <c r="T1387" s="6">
        <v>42</v>
      </c>
      <c r="U1387" s="6">
        <v>85</v>
      </c>
      <c r="V1387" s="6">
        <f>IF(ISERROR(VLOOKUP($S$1387,'TAR FIN'!$A$1:$O$116,15,0)),0,VLOOKUP($S$1387,'TAR FIN'!$A$1:$O$116,15,0))</f>
        <v>0</v>
      </c>
      <c r="W1387" s="6">
        <f>IF(ISERROR(VLOOKUP($T$1387,'TAR FIN'!$A$1:$O$116,15,0)),0,VLOOKUP($T$1387,'TAR FIN'!$A$1:$O$116,15,0))</f>
        <v>94.28</v>
      </c>
      <c r="X1387" s="6">
        <f>IF(ISERROR(VLOOKUP($U$1387,'TAR FIN'!$A$1:$O$116,15,0)),0,VLOOKUP($U$1387,'TAR FIN'!$A$1:$O$116,15,0))</f>
        <v>114.26</v>
      </c>
      <c r="Y1387" s="6"/>
      <c r="Z138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7" s="6">
        <f>('TE BE'!$AB$15+'TE BF'!$AB$15+'TE CVA'!$AB$15)*(1-CUSTOS!$M$34)</f>
        <v>115.37078380550088</v>
      </c>
      <c r="AB1387" s="6">
        <f>$K$1387*$V$1387</f>
        <v>0</v>
      </c>
      <c r="AC1387" s="6">
        <f>$M$1387*$W$1387</f>
        <v>83.814920000000001</v>
      </c>
      <c r="AD1387" s="6">
        <f>$O$1387*$X$1387</f>
        <v>101.57714</v>
      </c>
      <c r="AE1387" s="6">
        <f>$K$1387*$Y$1387</f>
        <v>0</v>
      </c>
      <c r="AF1387" s="6">
        <f ca="1">$M$1387*$Z$1387</f>
        <v>96.270530763141906</v>
      </c>
      <c r="AG1387" s="6">
        <f>$O$1387*$AA$1387</f>
        <v>102.56462680309028</v>
      </c>
    </row>
    <row r="1388" spans="1:33" ht="11.25" customHeight="1" x14ac:dyDescent="0.25">
      <c r="A1388" s="4" t="s">
        <v>58</v>
      </c>
      <c r="B1388" s="4" t="s">
        <v>22</v>
      </c>
      <c r="C1388" s="4" t="s">
        <v>23</v>
      </c>
      <c r="D1388" s="4" t="s">
        <v>24</v>
      </c>
      <c r="E1388" s="4" t="s">
        <v>29</v>
      </c>
      <c r="F1388" s="4" t="s">
        <v>25</v>
      </c>
      <c r="G1388" s="4" t="s">
        <v>25</v>
      </c>
      <c r="H1388" s="4" t="s">
        <v>25</v>
      </c>
      <c r="I1388" s="5">
        <v>44682</v>
      </c>
      <c r="J1388" s="6">
        <v>0</v>
      </c>
      <c r="K1388" s="6">
        <v>0</v>
      </c>
      <c r="L1388" s="6">
        <v>7.23</v>
      </c>
      <c r="M1388" s="6">
        <v>7.23</v>
      </c>
      <c r="N1388" s="6">
        <v>7.23</v>
      </c>
      <c r="O1388" s="6">
        <v>7.23</v>
      </c>
      <c r="P1388" s="6">
        <v>10</v>
      </c>
      <c r="Q1388" s="4" t="s">
        <v>26</v>
      </c>
      <c r="R1388" s="4">
        <v>0</v>
      </c>
      <c r="S1388" s="6">
        <v>0</v>
      </c>
      <c r="T1388" s="6">
        <v>42</v>
      </c>
      <c r="U1388" s="6">
        <v>85</v>
      </c>
      <c r="V1388" s="6">
        <f>IF(ISERROR(VLOOKUP($S$1388,'TAR FIN'!$A$1:$O$116,15,0)),0,VLOOKUP($S$1388,'TAR FIN'!$A$1:$O$116,15,0))</f>
        <v>0</v>
      </c>
      <c r="W1388" s="6">
        <f>IF(ISERROR(VLOOKUP($T$1388,'TAR FIN'!$A$1:$O$116,15,0)),0,VLOOKUP($T$1388,'TAR FIN'!$A$1:$O$116,15,0))</f>
        <v>94.28</v>
      </c>
      <c r="X1388" s="6">
        <f>IF(ISERROR(VLOOKUP($U$1388,'TAR FIN'!$A$1:$O$116,15,0)),0,VLOOKUP($U$1388,'TAR FIN'!$A$1:$O$116,15,0))</f>
        <v>114.26</v>
      </c>
      <c r="Y1388" s="6"/>
      <c r="Z138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1388" s="6">
        <f>('TE BE'!$AB$15+'TE BF'!$AB$15+'TE CVA'!$AB$15)*(1-CUSTOS!$M$34)</f>
        <v>115.37078380550088</v>
      </c>
      <c r="AB1388" s="6">
        <f>$K$1388*$V$1388</f>
        <v>0</v>
      </c>
      <c r="AC1388" s="6">
        <f>$M$1388*$W$1388</f>
        <v>681.64440000000002</v>
      </c>
      <c r="AD1388" s="6">
        <f>$O$1388*$X$1388</f>
        <v>826.09980000000007</v>
      </c>
      <c r="AE1388" s="6">
        <f>$K$1388*$Y$1388</f>
        <v>0</v>
      </c>
      <c r="AF1388" s="6">
        <f ca="1">$M$1388*$Z$1388</f>
        <v>782.94256177448369</v>
      </c>
      <c r="AG1388" s="6">
        <f>$O$1388*$AA$1388</f>
        <v>834.13076691377137</v>
      </c>
    </row>
    <row r="1389" spans="1:33" ht="11.25" customHeight="1" x14ac:dyDescent="0.25">
      <c r="A1389" s="4" t="s">
        <v>21</v>
      </c>
      <c r="B1389" s="4" t="s">
        <v>22</v>
      </c>
      <c r="C1389" s="4" t="s">
        <v>23</v>
      </c>
      <c r="D1389" s="4" t="s">
        <v>24</v>
      </c>
      <c r="E1389" s="4" t="s">
        <v>30</v>
      </c>
      <c r="F1389" s="4" t="s">
        <v>25</v>
      </c>
      <c r="G1389" s="4" t="s">
        <v>25</v>
      </c>
      <c r="H1389" s="4" t="s">
        <v>25</v>
      </c>
      <c r="I1389" s="5">
        <v>44348</v>
      </c>
      <c r="J1389" s="6">
        <v>0</v>
      </c>
      <c r="K1389" s="6">
        <v>0</v>
      </c>
      <c r="L1389" s="6">
        <v>4617.2920000000004</v>
      </c>
      <c r="M1389" s="6">
        <v>4617.2920000000004</v>
      </c>
      <c r="N1389" s="6">
        <v>4617.2920000000004</v>
      </c>
      <c r="O1389" s="6">
        <v>4617.2920000000004</v>
      </c>
      <c r="P1389" s="6">
        <v>28380</v>
      </c>
      <c r="Q1389" s="4" t="s">
        <v>26</v>
      </c>
      <c r="R1389" s="4">
        <v>0</v>
      </c>
      <c r="S1389" s="6">
        <v>0</v>
      </c>
      <c r="T1389" s="6">
        <v>43</v>
      </c>
      <c r="U1389" s="6">
        <v>86</v>
      </c>
      <c r="V1389" s="6">
        <f>IF(ISERROR(VLOOKUP($S$1389,'TAR FIN'!$A$1:$O$116,15,0)),0,VLOOKUP($S$1389,'TAR FIN'!$A$1:$O$116,15,0))</f>
        <v>0</v>
      </c>
      <c r="W1389" s="6">
        <f>IF(ISERROR(VLOOKUP($T$1389,'TAR FIN'!$A$1:$O$116,15,0)),0,VLOOKUP($T$1389,'TAR FIN'!$A$1:$O$116,15,0))</f>
        <v>161.62</v>
      </c>
      <c r="X1389" s="6">
        <f>IF(ISERROR(VLOOKUP($U$1389,'TAR FIN'!$A$1:$O$116,15,0)),0,VLOOKUP($U$1389,'TAR FIN'!$A$1:$O$116,15,0))</f>
        <v>195.88</v>
      </c>
      <c r="Y1389" s="6"/>
      <c r="Z138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89" s="6">
        <f>('TE BE'!$AB$16+'TE BF'!$AB$16+'TE CVA'!$AB$16)*(1-CUSTOS!$M$35)</f>
        <v>197.7784865237158</v>
      </c>
      <c r="AB1389" s="6">
        <f>$K$1389*$V$1389</f>
        <v>0</v>
      </c>
      <c r="AC1389" s="6">
        <f>$M$1389*$W$1389</f>
        <v>746246.73304000008</v>
      </c>
      <c r="AD1389" s="6">
        <f>$O$1389*$X$1389</f>
        <v>904435.15696000005</v>
      </c>
      <c r="AE1389" s="6">
        <f>$K$1389*$Y$1389</f>
        <v>0</v>
      </c>
      <c r="AF1389" s="6">
        <f ca="1">$M$1389*$Z$1389</f>
        <v>857160.50431317824</v>
      </c>
      <c r="AG1389" s="6">
        <f>$O$1389*$AA$1389</f>
        <v>913201.02359806083</v>
      </c>
    </row>
    <row r="1390" spans="1:33" ht="11.25" customHeight="1" x14ac:dyDescent="0.25">
      <c r="A1390" s="4" t="s">
        <v>27</v>
      </c>
      <c r="B1390" s="4" t="s">
        <v>22</v>
      </c>
      <c r="C1390" s="4" t="s">
        <v>23</v>
      </c>
      <c r="D1390" s="4" t="s">
        <v>24</v>
      </c>
      <c r="E1390" s="4" t="s">
        <v>30</v>
      </c>
      <c r="F1390" s="4" t="s">
        <v>25</v>
      </c>
      <c r="G1390" s="4" t="s">
        <v>25</v>
      </c>
      <c r="H1390" s="4" t="s">
        <v>25</v>
      </c>
      <c r="I1390" s="5">
        <v>44348</v>
      </c>
      <c r="J1390" s="6">
        <v>0</v>
      </c>
      <c r="K1390" s="6">
        <v>0</v>
      </c>
      <c r="L1390" s="6">
        <v>-0.80700000000000005</v>
      </c>
      <c r="M1390" s="6">
        <v>-0.80700000000000005</v>
      </c>
      <c r="N1390" s="6">
        <v>-0.80700000000000005</v>
      </c>
      <c r="O1390" s="6">
        <v>-0.80700000000000005</v>
      </c>
      <c r="P1390" s="6">
        <v>-1</v>
      </c>
      <c r="Q1390" s="4" t="s">
        <v>26</v>
      </c>
      <c r="R1390" s="4">
        <v>0</v>
      </c>
      <c r="S1390" s="6">
        <v>0</v>
      </c>
      <c r="T1390" s="6">
        <v>43</v>
      </c>
      <c r="U1390" s="6">
        <v>86</v>
      </c>
      <c r="V1390" s="6">
        <f>IF(ISERROR(VLOOKUP($S$1390,'TAR FIN'!$A$1:$O$116,15,0)),0,VLOOKUP($S$1390,'TAR FIN'!$A$1:$O$116,15,0))</f>
        <v>0</v>
      </c>
      <c r="W1390" s="6">
        <f>IF(ISERROR(VLOOKUP($T$1390,'TAR FIN'!$A$1:$O$116,15,0)),0,VLOOKUP($T$1390,'TAR FIN'!$A$1:$O$116,15,0))</f>
        <v>161.62</v>
      </c>
      <c r="X1390" s="6">
        <f>IF(ISERROR(VLOOKUP($U$1390,'TAR FIN'!$A$1:$O$116,15,0)),0,VLOOKUP($U$1390,'TAR FIN'!$A$1:$O$116,15,0))</f>
        <v>195.88</v>
      </c>
      <c r="Y1390" s="6"/>
      <c r="Z139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0" s="6">
        <f>('TE BE'!$AB$16+'TE BF'!$AB$16+'TE CVA'!$AB$16)*(1-CUSTOS!$M$35)</f>
        <v>197.7784865237158</v>
      </c>
      <c r="AB1390" s="6">
        <f>$K$1390*$V$1390</f>
        <v>0</v>
      </c>
      <c r="AC1390" s="6">
        <f>$M$1390*$W$1390</f>
        <v>-130.42734000000002</v>
      </c>
      <c r="AD1390" s="6">
        <f>$O$1390*$X$1390</f>
        <v>-158.07516000000001</v>
      </c>
      <c r="AE1390" s="6">
        <f>$K$1390*$Y$1390</f>
        <v>0</v>
      </c>
      <c r="AF1390" s="6">
        <f ca="1">$M$1390*$Z$1390</f>
        <v>-149.81260162466114</v>
      </c>
      <c r="AG1390" s="6">
        <f>$O$1390*$AA$1390</f>
        <v>-159.60723862463865</v>
      </c>
    </row>
    <row r="1391" spans="1:33" ht="11.25" customHeight="1" x14ac:dyDescent="0.25">
      <c r="A1391" s="4" t="s">
        <v>28</v>
      </c>
      <c r="B1391" s="4" t="s">
        <v>22</v>
      </c>
      <c r="C1391" s="4" t="s">
        <v>23</v>
      </c>
      <c r="D1391" s="4" t="s">
        <v>24</v>
      </c>
      <c r="E1391" s="4" t="s">
        <v>30</v>
      </c>
      <c r="F1391" s="4" t="s">
        <v>25</v>
      </c>
      <c r="G1391" s="4" t="s">
        <v>25</v>
      </c>
      <c r="H1391" s="4" t="s">
        <v>25</v>
      </c>
      <c r="I1391" s="5">
        <v>44348</v>
      </c>
      <c r="J1391" s="6">
        <v>0</v>
      </c>
      <c r="K1391" s="6">
        <v>0</v>
      </c>
      <c r="L1391" s="6">
        <v>2.9750000000000001</v>
      </c>
      <c r="M1391" s="6">
        <v>2.9750000000000001</v>
      </c>
      <c r="N1391" s="6">
        <v>2.9750000000000001</v>
      </c>
      <c r="O1391" s="6">
        <v>2.9750000000000001</v>
      </c>
      <c r="P1391" s="6">
        <v>6</v>
      </c>
      <c r="Q1391" s="4" t="s">
        <v>26</v>
      </c>
      <c r="R1391" s="4">
        <v>0</v>
      </c>
      <c r="S1391" s="6">
        <v>0</v>
      </c>
      <c r="T1391" s="6">
        <v>43</v>
      </c>
      <c r="U1391" s="6">
        <v>86</v>
      </c>
      <c r="V1391" s="6">
        <f>IF(ISERROR(VLOOKUP($S$1391,'TAR FIN'!$A$1:$O$116,15,0)),0,VLOOKUP($S$1391,'TAR FIN'!$A$1:$O$116,15,0))</f>
        <v>0</v>
      </c>
      <c r="W1391" s="6">
        <f>IF(ISERROR(VLOOKUP($T$1391,'TAR FIN'!$A$1:$O$116,15,0)),0,VLOOKUP($T$1391,'TAR FIN'!$A$1:$O$116,15,0))</f>
        <v>161.62</v>
      </c>
      <c r="X1391" s="6">
        <f>IF(ISERROR(VLOOKUP($U$1391,'TAR FIN'!$A$1:$O$116,15,0)),0,VLOOKUP($U$1391,'TAR FIN'!$A$1:$O$116,15,0))</f>
        <v>195.88</v>
      </c>
      <c r="Y1391" s="6"/>
      <c r="Z139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1" s="6">
        <f>('TE BE'!$AB$16+'TE BF'!$AB$16+'TE CVA'!$AB$16)*(1-CUSTOS!$M$35)</f>
        <v>197.7784865237158</v>
      </c>
      <c r="AB1391" s="6">
        <f>$K$1391*$V$1391</f>
        <v>0</v>
      </c>
      <c r="AC1391" s="6">
        <f>$M$1391*$W$1391</f>
        <v>480.81950000000001</v>
      </c>
      <c r="AD1391" s="6">
        <f>$O$1391*$X$1391</f>
        <v>582.74300000000005</v>
      </c>
      <c r="AE1391" s="6">
        <f>$K$1391*$Y$1391</f>
        <v>0</v>
      </c>
      <c r="AF1391" s="6">
        <f ca="1">$M$1391*$Z$1391</f>
        <v>552.28313486166894</v>
      </c>
      <c r="AG1391" s="6">
        <f>$O$1391*$AA$1391</f>
        <v>588.39099740805455</v>
      </c>
    </row>
    <row r="1392" spans="1:33" ht="11.25" customHeight="1" x14ac:dyDescent="0.25">
      <c r="A1392" s="4" t="s">
        <v>21</v>
      </c>
      <c r="B1392" s="4" t="s">
        <v>22</v>
      </c>
      <c r="C1392" s="4" t="s">
        <v>23</v>
      </c>
      <c r="D1392" s="4" t="s">
        <v>24</v>
      </c>
      <c r="E1392" s="4" t="s">
        <v>30</v>
      </c>
      <c r="F1392" s="4" t="s">
        <v>25</v>
      </c>
      <c r="G1392" s="4" t="s">
        <v>25</v>
      </c>
      <c r="H1392" s="4" t="s">
        <v>25</v>
      </c>
      <c r="I1392" s="5">
        <v>44378</v>
      </c>
      <c r="J1392" s="6">
        <v>0</v>
      </c>
      <c r="K1392" s="6">
        <v>0</v>
      </c>
      <c r="L1392" s="6">
        <v>4621.8729999999996</v>
      </c>
      <c r="M1392" s="6">
        <v>4621.8729999999996</v>
      </c>
      <c r="N1392" s="6">
        <v>4621.8729999999996</v>
      </c>
      <c r="O1392" s="6">
        <v>4621.8729999999996</v>
      </c>
      <c r="P1392" s="6">
        <v>29844</v>
      </c>
      <c r="Q1392" s="4" t="s">
        <v>26</v>
      </c>
      <c r="R1392" s="4">
        <v>0</v>
      </c>
      <c r="S1392" s="6">
        <v>0</v>
      </c>
      <c r="T1392" s="6">
        <v>43</v>
      </c>
      <c r="U1392" s="6">
        <v>86</v>
      </c>
      <c r="V1392" s="6">
        <f>IF(ISERROR(VLOOKUP($S$1392,'TAR FIN'!$A$1:$O$116,15,0)),0,VLOOKUP($S$1392,'TAR FIN'!$A$1:$O$116,15,0))</f>
        <v>0</v>
      </c>
      <c r="W1392" s="6">
        <f>IF(ISERROR(VLOOKUP($T$1392,'TAR FIN'!$A$1:$O$116,15,0)),0,VLOOKUP($T$1392,'TAR FIN'!$A$1:$O$116,15,0))</f>
        <v>161.62</v>
      </c>
      <c r="X1392" s="6">
        <f>IF(ISERROR(VLOOKUP($U$1392,'TAR FIN'!$A$1:$O$116,15,0)),0,VLOOKUP($U$1392,'TAR FIN'!$A$1:$O$116,15,0))</f>
        <v>195.88</v>
      </c>
      <c r="Y1392" s="6"/>
      <c r="Z139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2" s="6">
        <f>('TE BE'!$AB$16+'TE BF'!$AB$16+'TE CVA'!$AB$16)*(1-CUSTOS!$M$35)</f>
        <v>197.7784865237158</v>
      </c>
      <c r="AB1392" s="6">
        <f>$K$1392*$V$1392</f>
        <v>0</v>
      </c>
      <c r="AC1392" s="6">
        <f>$M$1392*$W$1392</f>
        <v>746987.11425999994</v>
      </c>
      <c r="AD1392" s="6">
        <f>$O$1392*$X$1392</f>
        <v>905332.48323999986</v>
      </c>
      <c r="AE1392" s="6">
        <f>$K$1392*$Y$1392</f>
        <v>0</v>
      </c>
      <c r="AF1392" s="6">
        <f ca="1">$M$1392*$Z$1392</f>
        <v>858010.92752017011</v>
      </c>
      <c r="AG1392" s="6">
        <f>$O$1392*$AA$1392</f>
        <v>914107.04684482585</v>
      </c>
    </row>
    <row r="1393" spans="1:33" ht="11.25" customHeight="1" x14ac:dyDescent="0.25">
      <c r="A1393" s="4" t="s">
        <v>27</v>
      </c>
      <c r="B1393" s="4" t="s">
        <v>22</v>
      </c>
      <c r="C1393" s="4" t="s">
        <v>23</v>
      </c>
      <c r="D1393" s="4" t="s">
        <v>24</v>
      </c>
      <c r="E1393" s="4" t="s">
        <v>30</v>
      </c>
      <c r="F1393" s="4" t="s">
        <v>25</v>
      </c>
      <c r="G1393" s="4" t="s">
        <v>25</v>
      </c>
      <c r="H1393" s="4" t="s">
        <v>25</v>
      </c>
      <c r="I1393" s="5">
        <v>44378</v>
      </c>
      <c r="J1393" s="6">
        <v>0</v>
      </c>
      <c r="K1393" s="6">
        <v>0</v>
      </c>
      <c r="L1393" s="6">
        <v>-0.42</v>
      </c>
      <c r="M1393" s="6">
        <v>-0.42</v>
      </c>
      <c r="N1393" s="6">
        <v>-0.42</v>
      </c>
      <c r="O1393" s="6">
        <v>-0.42</v>
      </c>
      <c r="P1393" s="6">
        <v>0</v>
      </c>
      <c r="Q1393" s="4" t="s">
        <v>26</v>
      </c>
      <c r="R1393" s="4">
        <v>0</v>
      </c>
      <c r="S1393" s="6">
        <v>0</v>
      </c>
      <c r="T1393" s="6">
        <v>43</v>
      </c>
      <c r="U1393" s="6">
        <v>86</v>
      </c>
      <c r="V1393" s="6">
        <f>IF(ISERROR(VLOOKUP($S$1393,'TAR FIN'!$A$1:$O$116,15,0)),0,VLOOKUP($S$1393,'TAR FIN'!$A$1:$O$116,15,0))</f>
        <v>0</v>
      </c>
      <c r="W1393" s="6">
        <f>IF(ISERROR(VLOOKUP($T$1393,'TAR FIN'!$A$1:$O$116,15,0)),0,VLOOKUP($T$1393,'TAR FIN'!$A$1:$O$116,15,0))</f>
        <v>161.62</v>
      </c>
      <c r="X1393" s="6">
        <f>IF(ISERROR(VLOOKUP($U$1393,'TAR FIN'!$A$1:$O$116,15,0)),0,VLOOKUP($U$1393,'TAR FIN'!$A$1:$O$116,15,0))</f>
        <v>195.88</v>
      </c>
      <c r="Y1393" s="6"/>
      <c r="Z139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3" s="6">
        <f>('TE BE'!$AB$16+'TE BF'!$AB$16+'TE CVA'!$AB$16)*(1-CUSTOS!$M$35)</f>
        <v>197.7784865237158</v>
      </c>
      <c r="AB1393" s="6">
        <f>$K$1393*$V$1393</f>
        <v>0</v>
      </c>
      <c r="AC1393" s="6">
        <f>$M$1393*$W$1393</f>
        <v>-67.880399999999995</v>
      </c>
      <c r="AD1393" s="6">
        <f>$O$1393*$X$1393</f>
        <v>-82.269599999999997</v>
      </c>
      <c r="AE1393" s="6">
        <f>$K$1393*$Y$1393</f>
        <v>0</v>
      </c>
      <c r="AF1393" s="6">
        <f ca="1">$M$1393*$Z$1393</f>
        <v>-77.969383745176785</v>
      </c>
      <c r="AG1393" s="6">
        <f>$O$1393*$AA$1393</f>
        <v>-83.066964339960634</v>
      </c>
    </row>
    <row r="1394" spans="1:33" ht="11.25" customHeight="1" x14ac:dyDescent="0.25">
      <c r="A1394" s="4" t="s">
        <v>28</v>
      </c>
      <c r="B1394" s="4" t="s">
        <v>22</v>
      </c>
      <c r="C1394" s="4" t="s">
        <v>23</v>
      </c>
      <c r="D1394" s="4" t="s">
        <v>24</v>
      </c>
      <c r="E1394" s="4" t="s">
        <v>30</v>
      </c>
      <c r="F1394" s="4" t="s">
        <v>25</v>
      </c>
      <c r="G1394" s="4" t="s">
        <v>25</v>
      </c>
      <c r="H1394" s="4" t="s">
        <v>25</v>
      </c>
      <c r="I1394" s="5">
        <v>44378</v>
      </c>
      <c r="J1394" s="6">
        <v>0</v>
      </c>
      <c r="K1394" s="6">
        <v>0</v>
      </c>
      <c r="L1394" s="6">
        <v>3.081</v>
      </c>
      <c r="M1394" s="6">
        <v>3.081</v>
      </c>
      <c r="N1394" s="6">
        <v>3.081</v>
      </c>
      <c r="O1394" s="6">
        <v>3.081</v>
      </c>
      <c r="P1394" s="6">
        <v>9</v>
      </c>
      <c r="Q1394" s="4" t="s">
        <v>26</v>
      </c>
      <c r="R1394" s="4">
        <v>0</v>
      </c>
      <c r="S1394" s="6">
        <v>0</v>
      </c>
      <c r="T1394" s="6">
        <v>43</v>
      </c>
      <c r="U1394" s="6">
        <v>86</v>
      </c>
      <c r="V1394" s="6">
        <f>IF(ISERROR(VLOOKUP($S$1394,'TAR FIN'!$A$1:$O$116,15,0)),0,VLOOKUP($S$1394,'TAR FIN'!$A$1:$O$116,15,0))</f>
        <v>0</v>
      </c>
      <c r="W1394" s="6">
        <f>IF(ISERROR(VLOOKUP($T$1394,'TAR FIN'!$A$1:$O$116,15,0)),0,VLOOKUP($T$1394,'TAR FIN'!$A$1:$O$116,15,0))</f>
        <v>161.62</v>
      </c>
      <c r="X1394" s="6">
        <f>IF(ISERROR(VLOOKUP($U$1394,'TAR FIN'!$A$1:$O$116,15,0)),0,VLOOKUP($U$1394,'TAR FIN'!$A$1:$O$116,15,0))</f>
        <v>195.88</v>
      </c>
      <c r="Y1394" s="6"/>
      <c r="Z139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4" s="6">
        <f>('TE BE'!$AB$16+'TE BF'!$AB$16+'TE CVA'!$AB$16)*(1-CUSTOS!$M$35)</f>
        <v>197.7784865237158</v>
      </c>
      <c r="AB1394" s="6">
        <f>$K$1394*$V$1394</f>
        <v>0</v>
      </c>
      <c r="AC1394" s="6">
        <f>$M$1394*$W$1394</f>
        <v>497.95122000000003</v>
      </c>
      <c r="AD1394" s="6">
        <f>$O$1394*$X$1394</f>
        <v>603.50627999999995</v>
      </c>
      <c r="AE1394" s="6">
        <f>$K$1394*$Y$1394</f>
        <v>0</v>
      </c>
      <c r="AF1394" s="6">
        <f ca="1">$M$1394*$Z$1394</f>
        <v>571.96112218783264</v>
      </c>
      <c r="AG1394" s="6">
        <f>$O$1394*$AA$1394</f>
        <v>609.35551697956839</v>
      </c>
    </row>
    <row r="1395" spans="1:33" ht="11.25" customHeight="1" x14ac:dyDescent="0.25">
      <c r="A1395" s="4" t="s">
        <v>21</v>
      </c>
      <c r="B1395" s="4" t="s">
        <v>22</v>
      </c>
      <c r="C1395" s="4" t="s">
        <v>23</v>
      </c>
      <c r="D1395" s="4" t="s">
        <v>24</v>
      </c>
      <c r="E1395" s="4" t="s">
        <v>30</v>
      </c>
      <c r="F1395" s="4" t="s">
        <v>25</v>
      </c>
      <c r="G1395" s="4" t="s">
        <v>25</v>
      </c>
      <c r="H1395" s="4" t="s">
        <v>25</v>
      </c>
      <c r="I1395" s="5">
        <v>44409</v>
      </c>
      <c r="J1395" s="6">
        <v>0</v>
      </c>
      <c r="K1395" s="6">
        <v>0</v>
      </c>
      <c r="L1395" s="6">
        <v>4693.6400000000003</v>
      </c>
      <c r="M1395" s="6">
        <v>4693.6400000000003</v>
      </c>
      <c r="N1395" s="6">
        <v>4693.6400000000003</v>
      </c>
      <c r="O1395" s="6">
        <v>4693.6400000000003</v>
      </c>
      <c r="P1395" s="6">
        <v>29496</v>
      </c>
      <c r="Q1395" s="4" t="s">
        <v>26</v>
      </c>
      <c r="R1395" s="4">
        <v>0</v>
      </c>
      <c r="S1395" s="6">
        <v>0</v>
      </c>
      <c r="T1395" s="6">
        <v>43</v>
      </c>
      <c r="U1395" s="6">
        <v>86</v>
      </c>
      <c r="V1395" s="6">
        <f>IF(ISERROR(VLOOKUP($S$1395,'TAR FIN'!$A$1:$O$116,15,0)),0,VLOOKUP($S$1395,'TAR FIN'!$A$1:$O$116,15,0))</f>
        <v>0</v>
      </c>
      <c r="W1395" s="6">
        <f>IF(ISERROR(VLOOKUP($T$1395,'TAR FIN'!$A$1:$O$116,15,0)),0,VLOOKUP($T$1395,'TAR FIN'!$A$1:$O$116,15,0))</f>
        <v>161.62</v>
      </c>
      <c r="X1395" s="6">
        <f>IF(ISERROR(VLOOKUP($U$1395,'TAR FIN'!$A$1:$O$116,15,0)),0,VLOOKUP($U$1395,'TAR FIN'!$A$1:$O$116,15,0))</f>
        <v>195.88</v>
      </c>
      <c r="Y1395" s="6"/>
      <c r="Z139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5" s="6">
        <f>('TE BE'!$AB$16+'TE BF'!$AB$16+'TE CVA'!$AB$16)*(1-CUSTOS!$M$35)</f>
        <v>197.7784865237158</v>
      </c>
      <c r="AB1395" s="6">
        <f>$K$1395*$V$1395</f>
        <v>0</v>
      </c>
      <c r="AC1395" s="6">
        <f>$M$1395*$W$1395</f>
        <v>758586.09680000006</v>
      </c>
      <c r="AD1395" s="6">
        <f>$O$1395*$X$1395</f>
        <v>919390.20319999999</v>
      </c>
      <c r="AE1395" s="6">
        <f>$K$1395*$Y$1395</f>
        <v>0</v>
      </c>
      <c r="AF1395" s="6">
        <f ca="1">$M$1395*$Z$1395</f>
        <v>871333.85314693244</v>
      </c>
      <c r="AG1395" s="6">
        <f>$O$1395*$AA$1395</f>
        <v>928301.01548717346</v>
      </c>
    </row>
    <row r="1396" spans="1:33" ht="11.25" customHeight="1" x14ac:dyDescent="0.25">
      <c r="A1396" s="4" t="s">
        <v>27</v>
      </c>
      <c r="B1396" s="4" t="s">
        <v>22</v>
      </c>
      <c r="C1396" s="4" t="s">
        <v>23</v>
      </c>
      <c r="D1396" s="4" t="s">
        <v>24</v>
      </c>
      <c r="E1396" s="4" t="s">
        <v>30</v>
      </c>
      <c r="F1396" s="4" t="s">
        <v>25</v>
      </c>
      <c r="G1396" s="4" t="s">
        <v>25</v>
      </c>
      <c r="H1396" s="4" t="s">
        <v>25</v>
      </c>
      <c r="I1396" s="5">
        <v>44409</v>
      </c>
      <c r="J1396" s="6">
        <v>0</v>
      </c>
      <c r="K1396" s="6">
        <v>0</v>
      </c>
      <c r="L1396" s="6">
        <v>-1.2050000000000001</v>
      </c>
      <c r="M1396" s="6">
        <v>-1.2050000000000001</v>
      </c>
      <c r="N1396" s="6">
        <v>-1.2050000000000001</v>
      </c>
      <c r="O1396" s="6">
        <v>-1.2050000000000001</v>
      </c>
      <c r="P1396" s="6">
        <v>-3</v>
      </c>
      <c r="Q1396" s="4" t="s">
        <v>26</v>
      </c>
      <c r="R1396" s="4">
        <v>0</v>
      </c>
      <c r="S1396" s="6">
        <v>0</v>
      </c>
      <c r="T1396" s="6">
        <v>43</v>
      </c>
      <c r="U1396" s="6">
        <v>86</v>
      </c>
      <c r="V1396" s="6">
        <f>IF(ISERROR(VLOOKUP($S$1396,'TAR FIN'!$A$1:$O$116,15,0)),0,VLOOKUP($S$1396,'TAR FIN'!$A$1:$O$116,15,0))</f>
        <v>0</v>
      </c>
      <c r="W1396" s="6">
        <f>IF(ISERROR(VLOOKUP($T$1396,'TAR FIN'!$A$1:$O$116,15,0)),0,VLOOKUP($T$1396,'TAR FIN'!$A$1:$O$116,15,0))</f>
        <v>161.62</v>
      </c>
      <c r="X1396" s="6">
        <f>IF(ISERROR(VLOOKUP($U$1396,'TAR FIN'!$A$1:$O$116,15,0)),0,VLOOKUP($U$1396,'TAR FIN'!$A$1:$O$116,15,0))</f>
        <v>195.88</v>
      </c>
      <c r="Y1396" s="6"/>
      <c r="Z139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6" s="6">
        <f>('TE BE'!$AB$16+'TE BF'!$AB$16+'TE CVA'!$AB$16)*(1-CUSTOS!$M$35)</f>
        <v>197.7784865237158</v>
      </c>
      <c r="AB1396" s="6">
        <f>$K$1396*$V$1396</f>
        <v>0</v>
      </c>
      <c r="AC1396" s="6">
        <f>$M$1396*$W$1396</f>
        <v>-194.75210000000001</v>
      </c>
      <c r="AD1396" s="6">
        <f>$O$1396*$X$1396</f>
        <v>-236.03540000000001</v>
      </c>
      <c r="AE1396" s="6">
        <f>$K$1396*$Y$1396</f>
        <v>0</v>
      </c>
      <c r="AF1396" s="6">
        <f ca="1">$M$1396*$Z$1396</f>
        <v>-223.69787479270963</v>
      </c>
      <c r="AG1396" s="6">
        <f>$O$1396*$AA$1396</f>
        <v>-238.32307626107755</v>
      </c>
    </row>
    <row r="1397" spans="1:33" ht="11.25" customHeight="1" x14ac:dyDescent="0.25">
      <c r="A1397" s="4" t="s">
        <v>28</v>
      </c>
      <c r="B1397" s="4" t="s">
        <v>22</v>
      </c>
      <c r="C1397" s="4" t="s">
        <v>23</v>
      </c>
      <c r="D1397" s="4" t="s">
        <v>24</v>
      </c>
      <c r="E1397" s="4" t="s">
        <v>30</v>
      </c>
      <c r="F1397" s="4" t="s">
        <v>25</v>
      </c>
      <c r="G1397" s="4" t="s">
        <v>25</v>
      </c>
      <c r="H1397" s="4" t="s">
        <v>25</v>
      </c>
      <c r="I1397" s="5">
        <v>44409</v>
      </c>
      <c r="J1397" s="6">
        <v>0</v>
      </c>
      <c r="K1397" s="6">
        <v>0</v>
      </c>
      <c r="L1397" s="6">
        <v>3.3479999999999999</v>
      </c>
      <c r="M1397" s="6">
        <v>3.3479999999999999</v>
      </c>
      <c r="N1397" s="6">
        <v>3.3479999999999999</v>
      </c>
      <c r="O1397" s="6">
        <v>3.3479999999999999</v>
      </c>
      <c r="P1397" s="6">
        <v>10</v>
      </c>
      <c r="Q1397" s="4" t="s">
        <v>26</v>
      </c>
      <c r="R1397" s="4">
        <v>0</v>
      </c>
      <c r="S1397" s="6">
        <v>0</v>
      </c>
      <c r="T1397" s="6">
        <v>43</v>
      </c>
      <c r="U1397" s="6">
        <v>86</v>
      </c>
      <c r="V1397" s="6">
        <f>IF(ISERROR(VLOOKUP($S$1397,'TAR FIN'!$A$1:$O$116,15,0)),0,VLOOKUP($S$1397,'TAR FIN'!$A$1:$O$116,15,0))</f>
        <v>0</v>
      </c>
      <c r="W1397" s="6">
        <f>IF(ISERROR(VLOOKUP($T$1397,'TAR FIN'!$A$1:$O$116,15,0)),0,VLOOKUP($T$1397,'TAR FIN'!$A$1:$O$116,15,0))</f>
        <v>161.62</v>
      </c>
      <c r="X1397" s="6">
        <f>IF(ISERROR(VLOOKUP($U$1397,'TAR FIN'!$A$1:$O$116,15,0)),0,VLOOKUP($U$1397,'TAR FIN'!$A$1:$O$116,15,0))</f>
        <v>195.88</v>
      </c>
      <c r="Y1397" s="6"/>
      <c r="Z139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7" s="6">
        <f>('TE BE'!$AB$16+'TE BF'!$AB$16+'TE CVA'!$AB$16)*(1-CUSTOS!$M$35)</f>
        <v>197.7784865237158</v>
      </c>
      <c r="AB1397" s="6">
        <f>$K$1397*$V$1397</f>
        <v>0</v>
      </c>
      <c r="AC1397" s="6">
        <f>$M$1397*$W$1397</f>
        <v>541.10375999999997</v>
      </c>
      <c r="AD1397" s="6">
        <f>$O$1397*$X$1397</f>
        <v>655.80624</v>
      </c>
      <c r="AE1397" s="6">
        <f>$K$1397*$Y$1397</f>
        <v>0</v>
      </c>
      <c r="AF1397" s="6">
        <f ca="1">$M$1397*$Z$1397</f>
        <v>621.52737328298065</v>
      </c>
      <c r="AG1397" s="6">
        <f>$O$1397*$AA$1397</f>
        <v>662.16237288140042</v>
      </c>
    </row>
    <row r="1398" spans="1:33" ht="11.25" customHeight="1" x14ac:dyDescent="0.25">
      <c r="A1398" s="4" t="s">
        <v>21</v>
      </c>
      <c r="B1398" s="4" t="s">
        <v>22</v>
      </c>
      <c r="C1398" s="4" t="s">
        <v>23</v>
      </c>
      <c r="D1398" s="4" t="s">
        <v>24</v>
      </c>
      <c r="E1398" s="4" t="s">
        <v>30</v>
      </c>
      <c r="F1398" s="4" t="s">
        <v>25</v>
      </c>
      <c r="G1398" s="4" t="s">
        <v>25</v>
      </c>
      <c r="H1398" s="4" t="s">
        <v>25</v>
      </c>
      <c r="I1398" s="5">
        <v>44440</v>
      </c>
      <c r="J1398" s="6">
        <v>0</v>
      </c>
      <c r="K1398" s="6">
        <v>0</v>
      </c>
      <c r="L1398" s="6">
        <v>4801.6289999999999</v>
      </c>
      <c r="M1398" s="6">
        <v>4801.6289999999999</v>
      </c>
      <c r="N1398" s="6">
        <v>4801.6289999999999</v>
      </c>
      <c r="O1398" s="6">
        <v>4801.6289999999999</v>
      </c>
      <c r="P1398" s="6">
        <v>23540</v>
      </c>
      <c r="Q1398" s="4" t="s">
        <v>26</v>
      </c>
      <c r="R1398" s="4">
        <v>0</v>
      </c>
      <c r="S1398" s="6">
        <v>0</v>
      </c>
      <c r="T1398" s="6">
        <v>43</v>
      </c>
      <c r="U1398" s="6">
        <v>86</v>
      </c>
      <c r="V1398" s="6">
        <f>IF(ISERROR(VLOOKUP($S$1398,'TAR FIN'!$A$1:$O$116,15,0)),0,VLOOKUP($S$1398,'TAR FIN'!$A$1:$O$116,15,0))</f>
        <v>0</v>
      </c>
      <c r="W1398" s="6">
        <f>IF(ISERROR(VLOOKUP($T$1398,'TAR FIN'!$A$1:$O$116,15,0)),0,VLOOKUP($T$1398,'TAR FIN'!$A$1:$O$116,15,0))</f>
        <v>161.62</v>
      </c>
      <c r="X1398" s="6">
        <f>IF(ISERROR(VLOOKUP($U$1398,'TAR FIN'!$A$1:$O$116,15,0)),0,VLOOKUP($U$1398,'TAR FIN'!$A$1:$O$116,15,0))</f>
        <v>195.88</v>
      </c>
      <c r="Y1398" s="6"/>
      <c r="Z139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8" s="6">
        <f>('TE BE'!$AB$16+'TE BF'!$AB$16+'TE CVA'!$AB$16)*(1-CUSTOS!$M$35)</f>
        <v>197.7784865237158</v>
      </c>
      <c r="AB1398" s="6">
        <f>$K$1398*$V$1398</f>
        <v>0</v>
      </c>
      <c r="AC1398" s="6">
        <f>$M$1398*$W$1398</f>
        <v>776039.27898000006</v>
      </c>
      <c r="AD1398" s="6">
        <f>$O$1398*$X$1398</f>
        <v>940543.08851999999</v>
      </c>
      <c r="AE1398" s="6">
        <f>$K$1398*$Y$1398</f>
        <v>0</v>
      </c>
      <c r="AF1398" s="6">
        <f ca="1">$M$1398*$Z$1398</f>
        <v>891381.08119754645</v>
      </c>
      <c r="AG1398" s="6">
        <f>$O$1398*$AA$1398</f>
        <v>949658.91646838293</v>
      </c>
    </row>
    <row r="1399" spans="1:33" ht="11.25" customHeight="1" x14ac:dyDescent="0.25">
      <c r="A1399" s="4" t="s">
        <v>27</v>
      </c>
      <c r="B1399" s="4" t="s">
        <v>22</v>
      </c>
      <c r="C1399" s="4" t="s">
        <v>23</v>
      </c>
      <c r="D1399" s="4" t="s">
        <v>24</v>
      </c>
      <c r="E1399" s="4" t="s">
        <v>30</v>
      </c>
      <c r="F1399" s="4" t="s">
        <v>25</v>
      </c>
      <c r="G1399" s="4" t="s">
        <v>25</v>
      </c>
      <c r="H1399" s="4" t="s">
        <v>25</v>
      </c>
      <c r="I1399" s="5">
        <v>44440</v>
      </c>
      <c r="J1399" s="6">
        <v>0</v>
      </c>
      <c r="K1399" s="6">
        <v>0</v>
      </c>
      <c r="L1399" s="6">
        <v>-1.07</v>
      </c>
      <c r="M1399" s="6">
        <v>-1.07</v>
      </c>
      <c r="N1399" s="6">
        <v>-1.07</v>
      </c>
      <c r="O1399" s="6">
        <v>-1.07</v>
      </c>
      <c r="P1399" s="6">
        <v>-1</v>
      </c>
      <c r="Q1399" s="4" t="s">
        <v>26</v>
      </c>
      <c r="R1399" s="4">
        <v>0</v>
      </c>
      <c r="S1399" s="6">
        <v>0</v>
      </c>
      <c r="T1399" s="6">
        <v>43</v>
      </c>
      <c r="U1399" s="6">
        <v>86</v>
      </c>
      <c r="V1399" s="6">
        <f>IF(ISERROR(VLOOKUP($S$1399,'TAR FIN'!$A$1:$O$116,15,0)),0,VLOOKUP($S$1399,'TAR FIN'!$A$1:$O$116,15,0))</f>
        <v>0</v>
      </c>
      <c r="W1399" s="6">
        <f>IF(ISERROR(VLOOKUP($T$1399,'TAR FIN'!$A$1:$O$116,15,0)),0,VLOOKUP($T$1399,'TAR FIN'!$A$1:$O$116,15,0))</f>
        <v>161.62</v>
      </c>
      <c r="X1399" s="6">
        <f>IF(ISERROR(VLOOKUP($U$1399,'TAR FIN'!$A$1:$O$116,15,0)),0,VLOOKUP($U$1399,'TAR FIN'!$A$1:$O$116,15,0))</f>
        <v>195.88</v>
      </c>
      <c r="Y1399" s="6"/>
      <c r="Z139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399" s="6">
        <f>('TE BE'!$AB$16+'TE BF'!$AB$16+'TE CVA'!$AB$16)*(1-CUSTOS!$M$35)</f>
        <v>197.7784865237158</v>
      </c>
      <c r="AB1399" s="6">
        <f>$K$1399*$V$1399</f>
        <v>0</v>
      </c>
      <c r="AC1399" s="6">
        <f>$M$1399*$W$1399</f>
        <v>-172.93340000000001</v>
      </c>
      <c r="AD1399" s="6">
        <f>$O$1399*$X$1399</f>
        <v>-209.5916</v>
      </c>
      <c r="AE1399" s="6">
        <f>$K$1399*$Y$1399</f>
        <v>0</v>
      </c>
      <c r="AF1399" s="6">
        <f ca="1">$M$1399*$Z$1399</f>
        <v>-198.63628716033136</v>
      </c>
      <c r="AG1399" s="6">
        <f>$O$1399*$AA$1399</f>
        <v>-211.62298058037592</v>
      </c>
    </row>
    <row r="1400" spans="1:33" ht="11.25" customHeight="1" x14ac:dyDescent="0.25">
      <c r="A1400" s="4" t="s">
        <v>28</v>
      </c>
      <c r="B1400" s="4" t="s">
        <v>22</v>
      </c>
      <c r="C1400" s="4" t="s">
        <v>23</v>
      </c>
      <c r="D1400" s="4" t="s">
        <v>24</v>
      </c>
      <c r="E1400" s="4" t="s">
        <v>30</v>
      </c>
      <c r="F1400" s="4" t="s">
        <v>25</v>
      </c>
      <c r="G1400" s="4" t="s">
        <v>25</v>
      </c>
      <c r="H1400" s="4" t="s">
        <v>25</v>
      </c>
      <c r="I1400" s="5">
        <v>44440</v>
      </c>
      <c r="J1400" s="6">
        <v>0</v>
      </c>
      <c r="K1400" s="6">
        <v>0</v>
      </c>
      <c r="L1400" s="6">
        <v>3.45</v>
      </c>
      <c r="M1400" s="6">
        <v>3.45</v>
      </c>
      <c r="N1400" s="6">
        <v>3.45</v>
      </c>
      <c r="O1400" s="6">
        <v>3.45</v>
      </c>
      <c r="P1400" s="6">
        <v>6</v>
      </c>
      <c r="Q1400" s="4" t="s">
        <v>26</v>
      </c>
      <c r="R1400" s="4">
        <v>0</v>
      </c>
      <c r="S1400" s="6">
        <v>0</v>
      </c>
      <c r="T1400" s="6">
        <v>43</v>
      </c>
      <c r="U1400" s="6">
        <v>86</v>
      </c>
      <c r="V1400" s="6">
        <f>IF(ISERROR(VLOOKUP($S$1400,'TAR FIN'!$A$1:$O$116,15,0)),0,VLOOKUP($S$1400,'TAR FIN'!$A$1:$O$116,15,0))</f>
        <v>0</v>
      </c>
      <c r="W1400" s="6">
        <f>IF(ISERROR(VLOOKUP($T$1400,'TAR FIN'!$A$1:$O$116,15,0)),0,VLOOKUP($T$1400,'TAR FIN'!$A$1:$O$116,15,0))</f>
        <v>161.62</v>
      </c>
      <c r="X1400" s="6">
        <f>IF(ISERROR(VLOOKUP($U$1400,'TAR FIN'!$A$1:$O$116,15,0)),0,VLOOKUP($U$1400,'TAR FIN'!$A$1:$O$116,15,0))</f>
        <v>195.88</v>
      </c>
      <c r="Y1400" s="6"/>
      <c r="Z140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0" s="6">
        <f>('TE BE'!$AB$16+'TE BF'!$AB$16+'TE CVA'!$AB$16)*(1-CUSTOS!$M$35)</f>
        <v>197.7784865237158</v>
      </c>
      <c r="AB1400" s="6">
        <f>$K$1400*$V$1400</f>
        <v>0</v>
      </c>
      <c r="AC1400" s="6">
        <f>$M$1400*$W$1400</f>
        <v>557.58900000000006</v>
      </c>
      <c r="AD1400" s="6">
        <f>$O$1400*$X$1400</f>
        <v>675.78600000000006</v>
      </c>
      <c r="AE1400" s="6">
        <f>$K$1400*$Y$1400</f>
        <v>0</v>
      </c>
      <c r="AF1400" s="6">
        <f ca="1">$M$1400*$Z$1400</f>
        <v>640.46279504966651</v>
      </c>
      <c r="AG1400" s="6">
        <f>$O$1400*$AA$1400</f>
        <v>682.33577850681957</v>
      </c>
    </row>
    <row r="1401" spans="1:33" ht="11.25" customHeight="1" x14ac:dyDescent="0.25">
      <c r="A1401" s="4" t="s">
        <v>21</v>
      </c>
      <c r="B1401" s="4" t="s">
        <v>22</v>
      </c>
      <c r="C1401" s="4" t="s">
        <v>23</v>
      </c>
      <c r="D1401" s="4" t="s">
        <v>24</v>
      </c>
      <c r="E1401" s="4" t="s">
        <v>30</v>
      </c>
      <c r="F1401" s="4" t="s">
        <v>25</v>
      </c>
      <c r="G1401" s="4" t="s">
        <v>25</v>
      </c>
      <c r="H1401" s="4" t="s">
        <v>25</v>
      </c>
      <c r="I1401" s="5">
        <v>44470</v>
      </c>
      <c r="J1401" s="6">
        <v>0</v>
      </c>
      <c r="K1401" s="6">
        <v>0</v>
      </c>
      <c r="L1401" s="6">
        <v>4794.1509999999998</v>
      </c>
      <c r="M1401" s="6">
        <v>4794.1509999999998</v>
      </c>
      <c r="N1401" s="6">
        <v>4794.1509999999998</v>
      </c>
      <c r="O1401" s="6">
        <v>4794.1509999999998</v>
      </c>
      <c r="P1401" s="6">
        <v>27366</v>
      </c>
      <c r="Q1401" s="4" t="s">
        <v>26</v>
      </c>
      <c r="R1401" s="4">
        <v>0</v>
      </c>
      <c r="S1401" s="6">
        <v>0</v>
      </c>
      <c r="T1401" s="6">
        <v>43</v>
      </c>
      <c r="U1401" s="6">
        <v>86</v>
      </c>
      <c r="V1401" s="6">
        <f>IF(ISERROR(VLOOKUP($S$1401,'TAR FIN'!$A$1:$O$116,15,0)),0,VLOOKUP($S$1401,'TAR FIN'!$A$1:$O$116,15,0))</f>
        <v>0</v>
      </c>
      <c r="W1401" s="6">
        <f>IF(ISERROR(VLOOKUP($T$1401,'TAR FIN'!$A$1:$O$116,15,0)),0,VLOOKUP($T$1401,'TAR FIN'!$A$1:$O$116,15,0))</f>
        <v>161.62</v>
      </c>
      <c r="X1401" s="6">
        <f>IF(ISERROR(VLOOKUP($U$1401,'TAR FIN'!$A$1:$O$116,15,0)),0,VLOOKUP($U$1401,'TAR FIN'!$A$1:$O$116,15,0))</f>
        <v>195.88</v>
      </c>
      <c r="Y1401" s="6"/>
      <c r="Z140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1" s="6">
        <f>('TE BE'!$AB$16+'TE BF'!$AB$16+'TE CVA'!$AB$16)*(1-CUSTOS!$M$35)</f>
        <v>197.7784865237158</v>
      </c>
      <c r="AB1401" s="6">
        <f>$K$1401*$V$1401</f>
        <v>0</v>
      </c>
      <c r="AC1401" s="6">
        <f>$M$1401*$W$1401</f>
        <v>774830.68461999996</v>
      </c>
      <c r="AD1401" s="6">
        <f>$O$1401*$X$1401</f>
        <v>939078.29787999997</v>
      </c>
      <c r="AE1401" s="6">
        <f>$K$1401*$Y$1401</f>
        <v>0</v>
      </c>
      <c r="AF1401" s="6">
        <f ca="1">$M$1401*$Z$1401</f>
        <v>889992.85488410247</v>
      </c>
      <c r="AG1401" s="6">
        <f>$O$1401*$AA$1401</f>
        <v>948179.92894615862</v>
      </c>
    </row>
    <row r="1402" spans="1:33" ht="11.25" customHeight="1" x14ac:dyDescent="0.25">
      <c r="A1402" s="4" t="s">
        <v>27</v>
      </c>
      <c r="B1402" s="4" t="s">
        <v>22</v>
      </c>
      <c r="C1402" s="4" t="s">
        <v>23</v>
      </c>
      <c r="D1402" s="4" t="s">
        <v>24</v>
      </c>
      <c r="E1402" s="4" t="s">
        <v>30</v>
      </c>
      <c r="F1402" s="4" t="s">
        <v>25</v>
      </c>
      <c r="G1402" s="4" t="s">
        <v>25</v>
      </c>
      <c r="H1402" s="4" t="s">
        <v>25</v>
      </c>
      <c r="I1402" s="5">
        <v>44470</v>
      </c>
      <c r="J1402" s="6">
        <v>0</v>
      </c>
      <c r="K1402" s="6">
        <v>0</v>
      </c>
      <c r="L1402" s="6">
        <v>-0.88600000000000001</v>
      </c>
      <c r="M1402" s="6">
        <v>-0.88600000000000001</v>
      </c>
      <c r="N1402" s="6">
        <v>-0.88600000000000001</v>
      </c>
      <c r="O1402" s="6">
        <v>-0.88600000000000001</v>
      </c>
      <c r="P1402" s="6">
        <v>-4</v>
      </c>
      <c r="Q1402" s="4" t="s">
        <v>26</v>
      </c>
      <c r="R1402" s="4">
        <v>0</v>
      </c>
      <c r="S1402" s="6">
        <v>0</v>
      </c>
      <c r="T1402" s="6">
        <v>43</v>
      </c>
      <c r="U1402" s="6">
        <v>86</v>
      </c>
      <c r="V1402" s="6">
        <f>IF(ISERROR(VLOOKUP($S$1402,'TAR FIN'!$A$1:$O$116,15,0)),0,VLOOKUP($S$1402,'TAR FIN'!$A$1:$O$116,15,0))</f>
        <v>0</v>
      </c>
      <c r="W1402" s="6">
        <f>IF(ISERROR(VLOOKUP($T$1402,'TAR FIN'!$A$1:$O$116,15,0)),0,VLOOKUP($T$1402,'TAR FIN'!$A$1:$O$116,15,0))</f>
        <v>161.62</v>
      </c>
      <c r="X1402" s="6">
        <f>IF(ISERROR(VLOOKUP($U$1402,'TAR FIN'!$A$1:$O$116,15,0)),0,VLOOKUP($U$1402,'TAR FIN'!$A$1:$O$116,15,0))</f>
        <v>195.88</v>
      </c>
      <c r="Y1402" s="6"/>
      <c r="Z140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2" s="6">
        <f>('TE BE'!$AB$16+'TE BF'!$AB$16+'TE CVA'!$AB$16)*(1-CUSTOS!$M$35)</f>
        <v>197.7784865237158</v>
      </c>
      <c r="AB1402" s="6">
        <f>$K$1402*$V$1402</f>
        <v>0</v>
      </c>
      <c r="AC1402" s="6">
        <f>$M$1402*$W$1402</f>
        <v>-143.19532000000001</v>
      </c>
      <c r="AD1402" s="6">
        <f>$O$1402*$X$1402</f>
        <v>-173.54968</v>
      </c>
      <c r="AE1402" s="6">
        <f>$K$1402*$Y$1402</f>
        <v>0</v>
      </c>
      <c r="AF1402" s="6">
        <f ca="1">$M$1402*$Z$1402</f>
        <v>-164.47827142434915</v>
      </c>
      <c r="AG1402" s="6">
        <f>$O$1402*$AA$1402</f>
        <v>-175.23173906001219</v>
      </c>
    </row>
    <row r="1403" spans="1:33" ht="11.25" customHeight="1" x14ac:dyDescent="0.25">
      <c r="A1403" s="4" t="s">
        <v>28</v>
      </c>
      <c r="B1403" s="4" t="s">
        <v>22</v>
      </c>
      <c r="C1403" s="4" t="s">
        <v>23</v>
      </c>
      <c r="D1403" s="4" t="s">
        <v>24</v>
      </c>
      <c r="E1403" s="4" t="s">
        <v>30</v>
      </c>
      <c r="F1403" s="4" t="s">
        <v>25</v>
      </c>
      <c r="G1403" s="4" t="s">
        <v>25</v>
      </c>
      <c r="H1403" s="4" t="s">
        <v>25</v>
      </c>
      <c r="I1403" s="5">
        <v>44470</v>
      </c>
      <c r="J1403" s="6">
        <v>0</v>
      </c>
      <c r="K1403" s="6">
        <v>0</v>
      </c>
      <c r="L1403" s="6">
        <v>3.9369999999999998</v>
      </c>
      <c r="M1403" s="6">
        <v>3.9369999999999998</v>
      </c>
      <c r="N1403" s="6">
        <v>3.9369999999999998</v>
      </c>
      <c r="O1403" s="6">
        <v>3.9369999999999998</v>
      </c>
      <c r="P1403" s="6">
        <v>8</v>
      </c>
      <c r="Q1403" s="4" t="s">
        <v>26</v>
      </c>
      <c r="R1403" s="4">
        <v>0</v>
      </c>
      <c r="S1403" s="6">
        <v>0</v>
      </c>
      <c r="T1403" s="6">
        <v>43</v>
      </c>
      <c r="U1403" s="6">
        <v>86</v>
      </c>
      <c r="V1403" s="6">
        <f>IF(ISERROR(VLOOKUP($S$1403,'TAR FIN'!$A$1:$O$116,15,0)),0,VLOOKUP($S$1403,'TAR FIN'!$A$1:$O$116,15,0))</f>
        <v>0</v>
      </c>
      <c r="W1403" s="6">
        <f>IF(ISERROR(VLOOKUP($T$1403,'TAR FIN'!$A$1:$O$116,15,0)),0,VLOOKUP($T$1403,'TAR FIN'!$A$1:$O$116,15,0))</f>
        <v>161.62</v>
      </c>
      <c r="X1403" s="6">
        <f>IF(ISERROR(VLOOKUP($U$1403,'TAR FIN'!$A$1:$O$116,15,0)),0,VLOOKUP($U$1403,'TAR FIN'!$A$1:$O$116,15,0))</f>
        <v>195.88</v>
      </c>
      <c r="Y1403" s="6"/>
      <c r="Z140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3" s="6">
        <f>('TE BE'!$AB$16+'TE BF'!$AB$16+'TE CVA'!$AB$16)*(1-CUSTOS!$M$35)</f>
        <v>197.7784865237158</v>
      </c>
      <c r="AB1403" s="6">
        <f>$K$1403*$V$1403</f>
        <v>0</v>
      </c>
      <c r="AC1403" s="6">
        <f>$M$1403*$W$1403</f>
        <v>636.29794000000004</v>
      </c>
      <c r="AD1403" s="6">
        <f>$O$1403*$X$1403</f>
        <v>771.17955999999992</v>
      </c>
      <c r="AE1403" s="6">
        <f>$K$1403*$Y$1403</f>
        <v>0</v>
      </c>
      <c r="AF1403" s="6">
        <f ca="1">$M$1403*$Z$1403</f>
        <v>730.87015191609771</v>
      </c>
      <c r="AG1403" s="6">
        <f>$O$1403*$AA$1403</f>
        <v>778.65390144386902</v>
      </c>
    </row>
    <row r="1404" spans="1:33" ht="11.25" customHeight="1" x14ac:dyDescent="0.25">
      <c r="A1404" s="4" t="s">
        <v>21</v>
      </c>
      <c r="B1404" s="4" t="s">
        <v>22</v>
      </c>
      <c r="C1404" s="4" t="s">
        <v>23</v>
      </c>
      <c r="D1404" s="4" t="s">
        <v>24</v>
      </c>
      <c r="E1404" s="4" t="s">
        <v>30</v>
      </c>
      <c r="F1404" s="4" t="s">
        <v>25</v>
      </c>
      <c r="G1404" s="4" t="s">
        <v>25</v>
      </c>
      <c r="H1404" s="4" t="s">
        <v>25</v>
      </c>
      <c r="I1404" s="5">
        <v>44501</v>
      </c>
      <c r="J1404" s="6">
        <v>0</v>
      </c>
      <c r="K1404" s="6">
        <v>0</v>
      </c>
      <c r="L1404" s="6">
        <v>4867.0839999999998</v>
      </c>
      <c r="M1404" s="6">
        <v>4867.0839999999998</v>
      </c>
      <c r="N1404" s="6">
        <v>4867.0839999999998</v>
      </c>
      <c r="O1404" s="6">
        <v>4867.0839999999998</v>
      </c>
      <c r="P1404" s="6">
        <v>26621</v>
      </c>
      <c r="Q1404" s="4" t="s">
        <v>26</v>
      </c>
      <c r="R1404" s="4">
        <v>0</v>
      </c>
      <c r="S1404" s="6">
        <v>0</v>
      </c>
      <c r="T1404" s="6">
        <v>43</v>
      </c>
      <c r="U1404" s="6">
        <v>86</v>
      </c>
      <c r="V1404" s="6">
        <f>IF(ISERROR(VLOOKUP($S$1404,'TAR FIN'!$A$1:$O$116,15,0)),0,VLOOKUP($S$1404,'TAR FIN'!$A$1:$O$116,15,0))</f>
        <v>0</v>
      </c>
      <c r="W1404" s="6">
        <f>IF(ISERROR(VLOOKUP($T$1404,'TAR FIN'!$A$1:$O$116,15,0)),0,VLOOKUP($T$1404,'TAR FIN'!$A$1:$O$116,15,0))</f>
        <v>161.62</v>
      </c>
      <c r="X1404" s="6">
        <f>IF(ISERROR(VLOOKUP($U$1404,'TAR FIN'!$A$1:$O$116,15,0)),0,VLOOKUP($U$1404,'TAR FIN'!$A$1:$O$116,15,0))</f>
        <v>195.88</v>
      </c>
      <c r="Y1404" s="6"/>
      <c r="Z140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4" s="6">
        <f>('TE BE'!$AB$16+'TE BF'!$AB$16+'TE CVA'!$AB$16)*(1-CUSTOS!$M$35)</f>
        <v>197.7784865237158</v>
      </c>
      <c r="AB1404" s="6">
        <f>$K$1404*$V$1404</f>
        <v>0</v>
      </c>
      <c r="AC1404" s="6">
        <f>$M$1404*$W$1404</f>
        <v>786618.11607999995</v>
      </c>
      <c r="AD1404" s="6">
        <f>$O$1404*$X$1404</f>
        <v>953364.41391999996</v>
      </c>
      <c r="AE1404" s="6">
        <f>$K$1404*$Y$1404</f>
        <v>0</v>
      </c>
      <c r="AF1404" s="6">
        <f ca="1">$M$1404*$Z$1404</f>
        <v>903532.23837145243</v>
      </c>
      <c r="AG1404" s="6">
        <f>$O$1404*$AA$1404</f>
        <v>962604.50730379275</v>
      </c>
    </row>
    <row r="1405" spans="1:33" ht="11.25" customHeight="1" x14ac:dyDescent="0.25">
      <c r="A1405" s="4" t="s">
        <v>27</v>
      </c>
      <c r="B1405" s="4" t="s">
        <v>22</v>
      </c>
      <c r="C1405" s="4" t="s">
        <v>23</v>
      </c>
      <c r="D1405" s="4" t="s">
        <v>24</v>
      </c>
      <c r="E1405" s="4" t="s">
        <v>30</v>
      </c>
      <c r="F1405" s="4" t="s">
        <v>25</v>
      </c>
      <c r="G1405" s="4" t="s">
        <v>25</v>
      </c>
      <c r="H1405" s="4" t="s">
        <v>25</v>
      </c>
      <c r="I1405" s="5">
        <v>44501</v>
      </c>
      <c r="J1405" s="6">
        <v>0</v>
      </c>
      <c r="K1405" s="6">
        <v>0</v>
      </c>
      <c r="L1405" s="6">
        <v>-2.38</v>
      </c>
      <c r="M1405" s="6">
        <v>-2.38</v>
      </c>
      <c r="N1405" s="6">
        <v>-2.38</v>
      </c>
      <c r="O1405" s="6">
        <v>-2.38</v>
      </c>
      <c r="P1405" s="6">
        <v>-15</v>
      </c>
      <c r="Q1405" s="4" t="s">
        <v>26</v>
      </c>
      <c r="R1405" s="4">
        <v>0</v>
      </c>
      <c r="S1405" s="6">
        <v>0</v>
      </c>
      <c r="T1405" s="6">
        <v>43</v>
      </c>
      <c r="U1405" s="6">
        <v>86</v>
      </c>
      <c r="V1405" s="6">
        <f>IF(ISERROR(VLOOKUP($S$1405,'TAR FIN'!$A$1:$O$116,15,0)),0,VLOOKUP($S$1405,'TAR FIN'!$A$1:$O$116,15,0))</f>
        <v>0</v>
      </c>
      <c r="W1405" s="6">
        <f>IF(ISERROR(VLOOKUP($T$1405,'TAR FIN'!$A$1:$O$116,15,0)),0,VLOOKUP($T$1405,'TAR FIN'!$A$1:$O$116,15,0))</f>
        <v>161.62</v>
      </c>
      <c r="X1405" s="6">
        <f>IF(ISERROR(VLOOKUP($U$1405,'TAR FIN'!$A$1:$O$116,15,0)),0,VLOOKUP($U$1405,'TAR FIN'!$A$1:$O$116,15,0))</f>
        <v>195.88</v>
      </c>
      <c r="Y1405" s="6"/>
      <c r="Z140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5" s="6">
        <f>('TE BE'!$AB$16+'TE BF'!$AB$16+'TE CVA'!$AB$16)*(1-CUSTOS!$M$35)</f>
        <v>197.7784865237158</v>
      </c>
      <c r="AB1405" s="6">
        <f>$K$1405*$V$1405</f>
        <v>0</v>
      </c>
      <c r="AC1405" s="6">
        <f>$M$1405*$W$1405</f>
        <v>-384.65559999999999</v>
      </c>
      <c r="AD1405" s="6">
        <f>$O$1405*$X$1405</f>
        <v>-466.19439999999997</v>
      </c>
      <c r="AE1405" s="6">
        <f>$K$1405*$Y$1405</f>
        <v>0</v>
      </c>
      <c r="AF1405" s="6">
        <f ca="1">$M$1405*$Z$1405</f>
        <v>-441.82650788933512</v>
      </c>
      <c r="AG1405" s="6">
        <f>$O$1405*$AA$1405</f>
        <v>-470.71279792644356</v>
      </c>
    </row>
    <row r="1406" spans="1:33" ht="11.25" customHeight="1" x14ac:dyDescent="0.25">
      <c r="A1406" s="4" t="s">
        <v>28</v>
      </c>
      <c r="B1406" s="4" t="s">
        <v>22</v>
      </c>
      <c r="C1406" s="4" t="s">
        <v>23</v>
      </c>
      <c r="D1406" s="4" t="s">
        <v>24</v>
      </c>
      <c r="E1406" s="4" t="s">
        <v>30</v>
      </c>
      <c r="F1406" s="4" t="s">
        <v>25</v>
      </c>
      <c r="G1406" s="4" t="s">
        <v>25</v>
      </c>
      <c r="H1406" s="4" t="s">
        <v>25</v>
      </c>
      <c r="I1406" s="5">
        <v>44501</v>
      </c>
      <c r="J1406" s="6">
        <v>0</v>
      </c>
      <c r="K1406" s="6">
        <v>0</v>
      </c>
      <c r="L1406" s="6">
        <v>4.782</v>
      </c>
      <c r="M1406" s="6">
        <v>4.782</v>
      </c>
      <c r="N1406" s="6">
        <v>4.782</v>
      </c>
      <c r="O1406" s="6">
        <v>4.782</v>
      </c>
      <c r="P1406" s="6">
        <v>11</v>
      </c>
      <c r="Q1406" s="4" t="s">
        <v>26</v>
      </c>
      <c r="R1406" s="4">
        <v>0</v>
      </c>
      <c r="S1406" s="6">
        <v>0</v>
      </c>
      <c r="T1406" s="6">
        <v>43</v>
      </c>
      <c r="U1406" s="6">
        <v>86</v>
      </c>
      <c r="V1406" s="6">
        <f>IF(ISERROR(VLOOKUP($S$1406,'TAR FIN'!$A$1:$O$116,15,0)),0,VLOOKUP($S$1406,'TAR FIN'!$A$1:$O$116,15,0))</f>
        <v>0</v>
      </c>
      <c r="W1406" s="6">
        <f>IF(ISERROR(VLOOKUP($T$1406,'TAR FIN'!$A$1:$O$116,15,0)),0,VLOOKUP($T$1406,'TAR FIN'!$A$1:$O$116,15,0))</f>
        <v>161.62</v>
      </c>
      <c r="X1406" s="6">
        <f>IF(ISERROR(VLOOKUP($U$1406,'TAR FIN'!$A$1:$O$116,15,0)),0,VLOOKUP($U$1406,'TAR FIN'!$A$1:$O$116,15,0))</f>
        <v>195.88</v>
      </c>
      <c r="Y1406" s="6"/>
      <c r="Z140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6" s="6">
        <f>('TE BE'!$AB$16+'TE BF'!$AB$16+'TE CVA'!$AB$16)*(1-CUSTOS!$M$35)</f>
        <v>197.7784865237158</v>
      </c>
      <c r="AB1406" s="6">
        <f>$K$1406*$V$1406</f>
        <v>0</v>
      </c>
      <c r="AC1406" s="6">
        <f>$M$1406*$W$1406</f>
        <v>772.86684000000002</v>
      </c>
      <c r="AD1406" s="6">
        <f>$O$1406*$X$1406</f>
        <v>936.69816000000003</v>
      </c>
      <c r="AE1406" s="6">
        <f>$K$1406*$Y$1406</f>
        <v>0</v>
      </c>
      <c r="AF1406" s="6">
        <f ca="1">$M$1406*$Z$1406</f>
        <v>887.73712635579864</v>
      </c>
      <c r="AG1406" s="6">
        <f>$O$1406*$AA$1406</f>
        <v>945.77672255640891</v>
      </c>
    </row>
    <row r="1407" spans="1:33" ht="11.25" customHeight="1" x14ac:dyDescent="0.25">
      <c r="A1407" s="4" t="s">
        <v>21</v>
      </c>
      <c r="B1407" s="4" t="s">
        <v>22</v>
      </c>
      <c r="C1407" s="4" t="s">
        <v>23</v>
      </c>
      <c r="D1407" s="4" t="s">
        <v>24</v>
      </c>
      <c r="E1407" s="4" t="s">
        <v>30</v>
      </c>
      <c r="F1407" s="4" t="s">
        <v>25</v>
      </c>
      <c r="G1407" s="4" t="s">
        <v>25</v>
      </c>
      <c r="H1407" s="4" t="s">
        <v>25</v>
      </c>
      <c r="I1407" s="5">
        <v>44531</v>
      </c>
      <c r="J1407" s="6">
        <v>0</v>
      </c>
      <c r="K1407" s="6">
        <v>0</v>
      </c>
      <c r="L1407" s="6">
        <v>5031.3389999999999</v>
      </c>
      <c r="M1407" s="6">
        <v>5031.3389999999999</v>
      </c>
      <c r="N1407" s="6">
        <v>5031.3389999999999</v>
      </c>
      <c r="O1407" s="6">
        <v>5031.3389999999999</v>
      </c>
      <c r="P1407" s="6">
        <v>23910</v>
      </c>
      <c r="Q1407" s="4" t="s">
        <v>26</v>
      </c>
      <c r="R1407" s="4">
        <v>0</v>
      </c>
      <c r="S1407" s="6">
        <v>0</v>
      </c>
      <c r="T1407" s="6">
        <v>43</v>
      </c>
      <c r="U1407" s="6">
        <v>86</v>
      </c>
      <c r="V1407" s="6">
        <f>IF(ISERROR(VLOOKUP($S$1407,'TAR FIN'!$A$1:$O$116,15,0)),0,VLOOKUP($S$1407,'TAR FIN'!$A$1:$O$116,15,0))</f>
        <v>0</v>
      </c>
      <c r="W1407" s="6">
        <f>IF(ISERROR(VLOOKUP($T$1407,'TAR FIN'!$A$1:$O$116,15,0)),0,VLOOKUP($T$1407,'TAR FIN'!$A$1:$O$116,15,0))</f>
        <v>161.62</v>
      </c>
      <c r="X1407" s="6">
        <f>IF(ISERROR(VLOOKUP($U$1407,'TAR FIN'!$A$1:$O$116,15,0)),0,VLOOKUP($U$1407,'TAR FIN'!$A$1:$O$116,15,0))</f>
        <v>195.88</v>
      </c>
      <c r="Y1407" s="6"/>
      <c r="Z140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7" s="6">
        <f>('TE BE'!$AB$16+'TE BF'!$AB$16+'TE CVA'!$AB$16)*(1-CUSTOS!$M$35)</f>
        <v>197.7784865237158</v>
      </c>
      <c r="AB1407" s="6">
        <f>$K$1407*$V$1407</f>
        <v>0</v>
      </c>
      <c r="AC1407" s="6">
        <f>$M$1407*$W$1407</f>
        <v>813165.00918000005</v>
      </c>
      <c r="AD1407" s="6">
        <f>$O$1407*$X$1407</f>
        <v>985538.68331999995</v>
      </c>
      <c r="AE1407" s="6">
        <f>$K$1407*$Y$1407</f>
        <v>0</v>
      </c>
      <c r="AF1407" s="6">
        <f ca="1">$M$1407*$Z$1407</f>
        <v>934024.76486446208</v>
      </c>
      <c r="AG1407" s="6">
        <f>$O$1407*$AA$1407</f>
        <v>995090.61260774569</v>
      </c>
    </row>
    <row r="1408" spans="1:33" ht="11.25" customHeight="1" x14ac:dyDescent="0.25">
      <c r="A1408" s="4" t="s">
        <v>27</v>
      </c>
      <c r="B1408" s="4" t="s">
        <v>22</v>
      </c>
      <c r="C1408" s="4" t="s">
        <v>23</v>
      </c>
      <c r="D1408" s="4" t="s">
        <v>24</v>
      </c>
      <c r="E1408" s="4" t="s">
        <v>30</v>
      </c>
      <c r="F1408" s="4" t="s">
        <v>25</v>
      </c>
      <c r="G1408" s="4" t="s">
        <v>25</v>
      </c>
      <c r="H1408" s="4" t="s">
        <v>25</v>
      </c>
      <c r="I1408" s="5">
        <v>44531</v>
      </c>
      <c r="J1408" s="6">
        <v>0</v>
      </c>
      <c r="K1408" s="6">
        <v>0</v>
      </c>
      <c r="L1408" s="6">
        <v>-1.5660000000000001</v>
      </c>
      <c r="M1408" s="6">
        <v>-1.5660000000000001</v>
      </c>
      <c r="N1408" s="6">
        <v>-1.5660000000000001</v>
      </c>
      <c r="O1408" s="6">
        <v>-1.5660000000000001</v>
      </c>
      <c r="P1408" s="6">
        <v>-9</v>
      </c>
      <c r="Q1408" s="4" t="s">
        <v>26</v>
      </c>
      <c r="R1408" s="4">
        <v>0</v>
      </c>
      <c r="S1408" s="6">
        <v>0</v>
      </c>
      <c r="T1408" s="6">
        <v>43</v>
      </c>
      <c r="U1408" s="6">
        <v>86</v>
      </c>
      <c r="V1408" s="6">
        <f>IF(ISERROR(VLOOKUP($S$1408,'TAR FIN'!$A$1:$O$116,15,0)),0,VLOOKUP($S$1408,'TAR FIN'!$A$1:$O$116,15,0))</f>
        <v>0</v>
      </c>
      <c r="W1408" s="6">
        <f>IF(ISERROR(VLOOKUP($T$1408,'TAR FIN'!$A$1:$O$116,15,0)),0,VLOOKUP($T$1408,'TAR FIN'!$A$1:$O$116,15,0))</f>
        <v>161.62</v>
      </c>
      <c r="X1408" s="6">
        <f>IF(ISERROR(VLOOKUP($U$1408,'TAR FIN'!$A$1:$O$116,15,0)),0,VLOOKUP($U$1408,'TAR FIN'!$A$1:$O$116,15,0))</f>
        <v>195.88</v>
      </c>
      <c r="Y1408" s="6"/>
      <c r="Z140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8" s="6">
        <f>('TE BE'!$AB$16+'TE BF'!$AB$16+'TE CVA'!$AB$16)*(1-CUSTOS!$M$35)</f>
        <v>197.7784865237158</v>
      </c>
      <c r="AB1408" s="6">
        <f>$K$1408*$V$1408</f>
        <v>0</v>
      </c>
      <c r="AC1408" s="6">
        <f>$M$1408*$W$1408</f>
        <v>-253.09692000000001</v>
      </c>
      <c r="AD1408" s="6">
        <f>$O$1408*$X$1408</f>
        <v>-306.74808000000002</v>
      </c>
      <c r="AE1408" s="6">
        <f>$K$1408*$Y$1408</f>
        <v>0</v>
      </c>
      <c r="AF1408" s="6">
        <f ca="1">$M$1408*$Z$1408</f>
        <v>-290.71441653558776</v>
      </c>
      <c r="AG1408" s="6">
        <f>$O$1408*$AA$1408</f>
        <v>-309.72110989613896</v>
      </c>
    </row>
    <row r="1409" spans="1:33" ht="11.25" customHeight="1" x14ac:dyDescent="0.25">
      <c r="A1409" s="4" t="s">
        <v>28</v>
      </c>
      <c r="B1409" s="4" t="s">
        <v>22</v>
      </c>
      <c r="C1409" s="4" t="s">
        <v>23</v>
      </c>
      <c r="D1409" s="4" t="s">
        <v>24</v>
      </c>
      <c r="E1409" s="4" t="s">
        <v>30</v>
      </c>
      <c r="F1409" s="4" t="s">
        <v>25</v>
      </c>
      <c r="G1409" s="4" t="s">
        <v>25</v>
      </c>
      <c r="H1409" s="4" t="s">
        <v>25</v>
      </c>
      <c r="I1409" s="5">
        <v>44531</v>
      </c>
      <c r="J1409" s="6">
        <v>0</v>
      </c>
      <c r="K1409" s="6">
        <v>0</v>
      </c>
      <c r="L1409" s="6">
        <v>4.2110000000000003</v>
      </c>
      <c r="M1409" s="6">
        <v>4.2110000000000003</v>
      </c>
      <c r="N1409" s="6">
        <v>4.2110000000000003</v>
      </c>
      <c r="O1409" s="6">
        <v>4.2110000000000003</v>
      </c>
      <c r="P1409" s="6">
        <v>7</v>
      </c>
      <c r="Q1409" s="4" t="s">
        <v>26</v>
      </c>
      <c r="R1409" s="4">
        <v>0</v>
      </c>
      <c r="S1409" s="6">
        <v>0</v>
      </c>
      <c r="T1409" s="6">
        <v>43</v>
      </c>
      <c r="U1409" s="6">
        <v>86</v>
      </c>
      <c r="V1409" s="6">
        <f>IF(ISERROR(VLOOKUP($S$1409,'TAR FIN'!$A$1:$O$116,15,0)),0,VLOOKUP($S$1409,'TAR FIN'!$A$1:$O$116,15,0))</f>
        <v>0</v>
      </c>
      <c r="W1409" s="6">
        <f>IF(ISERROR(VLOOKUP($T$1409,'TAR FIN'!$A$1:$O$116,15,0)),0,VLOOKUP($T$1409,'TAR FIN'!$A$1:$O$116,15,0))</f>
        <v>161.62</v>
      </c>
      <c r="X1409" s="6">
        <f>IF(ISERROR(VLOOKUP($U$1409,'TAR FIN'!$A$1:$O$116,15,0)),0,VLOOKUP($U$1409,'TAR FIN'!$A$1:$O$116,15,0))</f>
        <v>195.88</v>
      </c>
      <c r="Y1409" s="6"/>
      <c r="Z140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09" s="6">
        <f>('TE BE'!$AB$16+'TE BF'!$AB$16+'TE CVA'!$AB$16)*(1-CUSTOS!$M$35)</f>
        <v>197.7784865237158</v>
      </c>
      <c r="AB1409" s="6">
        <f>$K$1409*$V$1409</f>
        <v>0</v>
      </c>
      <c r="AC1409" s="6">
        <f>$M$1409*$W$1409</f>
        <v>680.58182000000011</v>
      </c>
      <c r="AD1409" s="6">
        <f>$O$1409*$X$1409</f>
        <v>824.85068000000001</v>
      </c>
      <c r="AE1409" s="6">
        <f>$K$1409*$Y$1409</f>
        <v>0</v>
      </c>
      <c r="AF1409" s="6">
        <f ca="1">$M$1409*$Z$1409</f>
        <v>781.73589274033213</v>
      </c>
      <c r="AG1409" s="6">
        <f>$O$1409*$AA$1409</f>
        <v>832.8452067513673</v>
      </c>
    </row>
    <row r="1410" spans="1:33" ht="11.25" customHeight="1" x14ac:dyDescent="0.25">
      <c r="A1410" s="4" t="s">
        <v>21</v>
      </c>
      <c r="B1410" s="4" t="s">
        <v>22</v>
      </c>
      <c r="C1410" s="4" t="s">
        <v>23</v>
      </c>
      <c r="D1410" s="4" t="s">
        <v>24</v>
      </c>
      <c r="E1410" s="4" t="s">
        <v>30</v>
      </c>
      <c r="F1410" s="4" t="s">
        <v>25</v>
      </c>
      <c r="G1410" s="4" t="s">
        <v>25</v>
      </c>
      <c r="H1410" s="4" t="s">
        <v>25</v>
      </c>
      <c r="I1410" s="5">
        <v>44562</v>
      </c>
      <c r="J1410" s="6">
        <v>0</v>
      </c>
      <c r="K1410" s="6">
        <v>0</v>
      </c>
      <c r="L1410" s="6">
        <v>5165.143</v>
      </c>
      <c r="M1410" s="6">
        <v>5165.143</v>
      </c>
      <c r="N1410" s="6">
        <v>5165.143</v>
      </c>
      <c r="O1410" s="6">
        <v>5165.143</v>
      </c>
      <c r="P1410" s="6">
        <v>26001</v>
      </c>
      <c r="Q1410" s="4" t="s">
        <v>26</v>
      </c>
      <c r="R1410" s="4">
        <v>0</v>
      </c>
      <c r="S1410" s="6">
        <v>0</v>
      </c>
      <c r="T1410" s="6">
        <v>43</v>
      </c>
      <c r="U1410" s="6">
        <v>86</v>
      </c>
      <c r="V1410" s="6">
        <f>IF(ISERROR(VLOOKUP($S$1410,'TAR FIN'!$A$1:$O$116,15,0)),0,VLOOKUP($S$1410,'TAR FIN'!$A$1:$O$116,15,0))</f>
        <v>0</v>
      </c>
      <c r="W1410" s="6">
        <f>IF(ISERROR(VLOOKUP($T$1410,'TAR FIN'!$A$1:$O$116,15,0)),0,VLOOKUP($T$1410,'TAR FIN'!$A$1:$O$116,15,0))</f>
        <v>161.62</v>
      </c>
      <c r="X1410" s="6">
        <f>IF(ISERROR(VLOOKUP($U$1410,'TAR FIN'!$A$1:$O$116,15,0)),0,VLOOKUP($U$1410,'TAR FIN'!$A$1:$O$116,15,0))</f>
        <v>195.88</v>
      </c>
      <c r="Y1410" s="6"/>
      <c r="Z141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0" s="6">
        <f>('TE BE'!$AB$16+'TE BF'!$AB$16+'TE CVA'!$AB$16)*(1-CUSTOS!$M$35)</f>
        <v>197.7784865237158</v>
      </c>
      <c r="AB1410" s="6">
        <f>$K$1410*$V$1410</f>
        <v>0</v>
      </c>
      <c r="AC1410" s="6">
        <f>$M$1410*$W$1410</f>
        <v>834790.41165999998</v>
      </c>
      <c r="AD1410" s="6">
        <f>$O$1410*$X$1410</f>
        <v>1011748.21084</v>
      </c>
      <c r="AE1410" s="6">
        <f>$K$1410*$Y$1410</f>
        <v>0</v>
      </c>
      <c r="AF1410" s="6">
        <f ca="1">$M$1410*$Z$1410</f>
        <v>958864.32539455639</v>
      </c>
      <c r="AG1410" s="6">
        <f>$O$1410*$AA$1410</f>
        <v>1021554.165218565</v>
      </c>
    </row>
    <row r="1411" spans="1:33" ht="11.25" customHeight="1" x14ac:dyDescent="0.25">
      <c r="A1411" s="4" t="s">
        <v>27</v>
      </c>
      <c r="B1411" s="4" t="s">
        <v>22</v>
      </c>
      <c r="C1411" s="4" t="s">
        <v>23</v>
      </c>
      <c r="D1411" s="4" t="s">
        <v>24</v>
      </c>
      <c r="E1411" s="4" t="s">
        <v>30</v>
      </c>
      <c r="F1411" s="4" t="s">
        <v>25</v>
      </c>
      <c r="G1411" s="4" t="s">
        <v>25</v>
      </c>
      <c r="H1411" s="4" t="s">
        <v>25</v>
      </c>
      <c r="I1411" s="5">
        <v>44562</v>
      </c>
      <c r="J1411" s="6">
        <v>0</v>
      </c>
      <c r="K1411" s="6">
        <v>0</v>
      </c>
      <c r="L1411" s="6">
        <v>-0.629</v>
      </c>
      <c r="M1411" s="6">
        <v>-0.629</v>
      </c>
      <c r="N1411" s="6">
        <v>-0.629</v>
      </c>
      <c r="O1411" s="6">
        <v>-0.629</v>
      </c>
      <c r="P1411" s="6">
        <v>-1</v>
      </c>
      <c r="Q1411" s="4" t="s">
        <v>26</v>
      </c>
      <c r="R1411" s="4">
        <v>0</v>
      </c>
      <c r="S1411" s="6">
        <v>0</v>
      </c>
      <c r="T1411" s="6">
        <v>43</v>
      </c>
      <c r="U1411" s="6">
        <v>86</v>
      </c>
      <c r="V1411" s="6">
        <f>IF(ISERROR(VLOOKUP($S$1411,'TAR FIN'!$A$1:$O$116,15,0)),0,VLOOKUP($S$1411,'TAR FIN'!$A$1:$O$116,15,0))</f>
        <v>0</v>
      </c>
      <c r="W1411" s="6">
        <f>IF(ISERROR(VLOOKUP($T$1411,'TAR FIN'!$A$1:$O$116,15,0)),0,VLOOKUP($T$1411,'TAR FIN'!$A$1:$O$116,15,0))</f>
        <v>161.62</v>
      </c>
      <c r="X1411" s="6">
        <f>IF(ISERROR(VLOOKUP($U$1411,'TAR FIN'!$A$1:$O$116,15,0)),0,VLOOKUP($U$1411,'TAR FIN'!$A$1:$O$116,15,0))</f>
        <v>195.88</v>
      </c>
      <c r="Y1411" s="6"/>
      <c r="Z141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1" s="6">
        <f>('TE BE'!$AB$16+'TE BF'!$AB$16+'TE CVA'!$AB$16)*(1-CUSTOS!$M$35)</f>
        <v>197.7784865237158</v>
      </c>
      <c r="AB1411" s="6">
        <f>$K$1411*$V$1411</f>
        <v>0</v>
      </c>
      <c r="AC1411" s="6">
        <f>$M$1411*$W$1411</f>
        <v>-101.65898</v>
      </c>
      <c r="AD1411" s="6">
        <f>$O$1411*$X$1411</f>
        <v>-123.20851999999999</v>
      </c>
      <c r="AE1411" s="6">
        <f>$K$1411*$Y$1411</f>
        <v>0</v>
      </c>
      <c r="AF1411" s="6">
        <f ca="1">$M$1411*$Z$1411</f>
        <v>-116.76843422789572</v>
      </c>
      <c r="AG1411" s="6">
        <f>$O$1411*$AA$1411</f>
        <v>-124.40266802341723</v>
      </c>
    </row>
    <row r="1412" spans="1:33" ht="11.25" customHeight="1" x14ac:dyDescent="0.25">
      <c r="A1412" s="4" t="s">
        <v>28</v>
      </c>
      <c r="B1412" s="4" t="s">
        <v>22</v>
      </c>
      <c r="C1412" s="4" t="s">
        <v>23</v>
      </c>
      <c r="D1412" s="4" t="s">
        <v>24</v>
      </c>
      <c r="E1412" s="4" t="s">
        <v>30</v>
      </c>
      <c r="F1412" s="4" t="s">
        <v>25</v>
      </c>
      <c r="G1412" s="4" t="s">
        <v>25</v>
      </c>
      <c r="H1412" s="4" t="s">
        <v>25</v>
      </c>
      <c r="I1412" s="5">
        <v>44562</v>
      </c>
      <c r="J1412" s="6">
        <v>0</v>
      </c>
      <c r="K1412" s="6">
        <v>0</v>
      </c>
      <c r="L1412" s="6">
        <v>5.484</v>
      </c>
      <c r="M1412" s="6">
        <v>5.484</v>
      </c>
      <c r="N1412" s="6">
        <v>5.484</v>
      </c>
      <c r="O1412" s="6">
        <v>5.484</v>
      </c>
      <c r="P1412" s="6">
        <v>12</v>
      </c>
      <c r="Q1412" s="4" t="s">
        <v>26</v>
      </c>
      <c r="R1412" s="4">
        <v>0</v>
      </c>
      <c r="S1412" s="6">
        <v>0</v>
      </c>
      <c r="T1412" s="6">
        <v>43</v>
      </c>
      <c r="U1412" s="6">
        <v>86</v>
      </c>
      <c r="V1412" s="6">
        <f>IF(ISERROR(VLOOKUP($S$1412,'TAR FIN'!$A$1:$O$116,15,0)),0,VLOOKUP($S$1412,'TAR FIN'!$A$1:$O$116,15,0))</f>
        <v>0</v>
      </c>
      <c r="W1412" s="6">
        <f>IF(ISERROR(VLOOKUP($T$1412,'TAR FIN'!$A$1:$O$116,15,0)),0,VLOOKUP($T$1412,'TAR FIN'!$A$1:$O$116,15,0))</f>
        <v>161.62</v>
      </c>
      <c r="X1412" s="6">
        <f>IF(ISERROR(VLOOKUP($U$1412,'TAR FIN'!$A$1:$O$116,15,0)),0,VLOOKUP($U$1412,'TAR FIN'!$A$1:$O$116,15,0))</f>
        <v>195.88</v>
      </c>
      <c r="Y1412" s="6"/>
      <c r="Z141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2" s="6">
        <f>('TE BE'!$AB$16+'TE BF'!$AB$16+'TE CVA'!$AB$16)*(1-CUSTOS!$M$35)</f>
        <v>197.7784865237158</v>
      </c>
      <c r="AB1412" s="6">
        <f>$K$1412*$V$1412</f>
        <v>0</v>
      </c>
      <c r="AC1412" s="6">
        <f>$M$1412*$W$1412</f>
        <v>886.32407999999998</v>
      </c>
      <c r="AD1412" s="6">
        <f>$O$1412*$X$1412</f>
        <v>1074.2059199999999</v>
      </c>
      <c r="AE1412" s="6">
        <f>$K$1412*$Y$1412</f>
        <v>0</v>
      </c>
      <c r="AF1412" s="6">
        <f ca="1">$M$1412*$Z$1412</f>
        <v>1018.0573820441656</v>
      </c>
      <c r="AG1412" s="6">
        <f>$O$1412*$AA$1412</f>
        <v>1084.6172200960575</v>
      </c>
    </row>
    <row r="1413" spans="1:33" ht="11.25" customHeight="1" x14ac:dyDescent="0.25">
      <c r="A1413" s="4" t="s">
        <v>21</v>
      </c>
      <c r="B1413" s="4" t="s">
        <v>22</v>
      </c>
      <c r="C1413" s="4" t="s">
        <v>23</v>
      </c>
      <c r="D1413" s="4" t="s">
        <v>24</v>
      </c>
      <c r="E1413" s="4" t="s">
        <v>30</v>
      </c>
      <c r="F1413" s="4" t="s">
        <v>25</v>
      </c>
      <c r="G1413" s="4" t="s">
        <v>25</v>
      </c>
      <c r="H1413" s="4" t="s">
        <v>25</v>
      </c>
      <c r="I1413" s="5">
        <v>44593</v>
      </c>
      <c r="J1413" s="6">
        <v>0</v>
      </c>
      <c r="K1413" s="6">
        <v>0</v>
      </c>
      <c r="L1413" s="6">
        <v>5405.2929999999997</v>
      </c>
      <c r="M1413" s="6">
        <v>5405.2929999999997</v>
      </c>
      <c r="N1413" s="6">
        <v>5405.2929999999997</v>
      </c>
      <c r="O1413" s="6">
        <v>5405.2929999999997</v>
      </c>
      <c r="P1413" s="6">
        <v>32715</v>
      </c>
      <c r="Q1413" s="4" t="s">
        <v>26</v>
      </c>
      <c r="R1413" s="4">
        <v>0</v>
      </c>
      <c r="S1413" s="6">
        <v>0</v>
      </c>
      <c r="T1413" s="6">
        <v>43</v>
      </c>
      <c r="U1413" s="6">
        <v>86</v>
      </c>
      <c r="V1413" s="6">
        <f>IF(ISERROR(VLOOKUP($S$1413,'TAR FIN'!$A$1:$O$116,15,0)),0,VLOOKUP($S$1413,'TAR FIN'!$A$1:$O$116,15,0))</f>
        <v>0</v>
      </c>
      <c r="W1413" s="6">
        <f>IF(ISERROR(VLOOKUP($T$1413,'TAR FIN'!$A$1:$O$116,15,0)),0,VLOOKUP($T$1413,'TAR FIN'!$A$1:$O$116,15,0))</f>
        <v>161.62</v>
      </c>
      <c r="X1413" s="6">
        <f>IF(ISERROR(VLOOKUP($U$1413,'TAR FIN'!$A$1:$O$116,15,0)),0,VLOOKUP($U$1413,'TAR FIN'!$A$1:$O$116,15,0))</f>
        <v>195.88</v>
      </c>
      <c r="Y1413" s="6"/>
      <c r="Z141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3" s="6">
        <f>('TE BE'!$AB$16+'TE BF'!$AB$16+'TE CVA'!$AB$16)*(1-CUSTOS!$M$35)</f>
        <v>197.7784865237158</v>
      </c>
      <c r="AB1413" s="6">
        <f>$K$1413*$V$1413</f>
        <v>0</v>
      </c>
      <c r="AC1413" s="6">
        <f>$M$1413*$W$1413</f>
        <v>873603.45465999993</v>
      </c>
      <c r="AD1413" s="6">
        <f>$O$1413*$X$1413</f>
        <v>1058788.79284</v>
      </c>
      <c r="AE1413" s="6">
        <f>$K$1413*$Y$1413</f>
        <v>0</v>
      </c>
      <c r="AF1413" s="6">
        <f ca="1">$M$1413*$Z$1413</f>
        <v>1003446.1051717092</v>
      </c>
      <c r="AG1413" s="6">
        <f>$O$1413*$AA$1413</f>
        <v>1069050.6687572352</v>
      </c>
    </row>
    <row r="1414" spans="1:33" ht="11.25" customHeight="1" x14ac:dyDescent="0.25">
      <c r="A1414" s="4" t="s">
        <v>27</v>
      </c>
      <c r="B1414" s="4" t="s">
        <v>22</v>
      </c>
      <c r="C1414" s="4" t="s">
        <v>23</v>
      </c>
      <c r="D1414" s="4" t="s">
        <v>24</v>
      </c>
      <c r="E1414" s="4" t="s">
        <v>30</v>
      </c>
      <c r="F1414" s="4" t="s">
        <v>25</v>
      </c>
      <c r="G1414" s="4" t="s">
        <v>25</v>
      </c>
      <c r="H1414" s="4" t="s">
        <v>25</v>
      </c>
      <c r="I1414" s="5">
        <v>44593</v>
      </c>
      <c r="J1414" s="6">
        <v>0</v>
      </c>
      <c r="K1414" s="6">
        <v>0</v>
      </c>
      <c r="L1414" s="6">
        <v>-3.387</v>
      </c>
      <c r="M1414" s="6">
        <v>-3.387</v>
      </c>
      <c r="N1414" s="6">
        <v>-3.387</v>
      </c>
      <c r="O1414" s="6">
        <v>-3.387</v>
      </c>
      <c r="P1414" s="6">
        <v>-17</v>
      </c>
      <c r="Q1414" s="4" t="s">
        <v>26</v>
      </c>
      <c r="R1414" s="4">
        <v>0</v>
      </c>
      <c r="S1414" s="6">
        <v>0</v>
      </c>
      <c r="T1414" s="6">
        <v>43</v>
      </c>
      <c r="U1414" s="6">
        <v>86</v>
      </c>
      <c r="V1414" s="6">
        <f>IF(ISERROR(VLOOKUP($S$1414,'TAR FIN'!$A$1:$O$116,15,0)),0,VLOOKUP($S$1414,'TAR FIN'!$A$1:$O$116,15,0))</f>
        <v>0</v>
      </c>
      <c r="W1414" s="6">
        <f>IF(ISERROR(VLOOKUP($T$1414,'TAR FIN'!$A$1:$O$116,15,0)),0,VLOOKUP($T$1414,'TAR FIN'!$A$1:$O$116,15,0))</f>
        <v>161.62</v>
      </c>
      <c r="X1414" s="6">
        <f>IF(ISERROR(VLOOKUP($U$1414,'TAR FIN'!$A$1:$O$116,15,0)),0,VLOOKUP($U$1414,'TAR FIN'!$A$1:$O$116,15,0))</f>
        <v>195.88</v>
      </c>
      <c r="Y1414" s="6"/>
      <c r="Z141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4" s="6">
        <f>('TE BE'!$AB$16+'TE BF'!$AB$16+'TE CVA'!$AB$16)*(1-CUSTOS!$M$35)</f>
        <v>197.7784865237158</v>
      </c>
      <c r="AB1414" s="6">
        <f>$K$1414*$V$1414</f>
        <v>0</v>
      </c>
      <c r="AC1414" s="6">
        <f>$M$1414*$W$1414</f>
        <v>-547.40693999999996</v>
      </c>
      <c r="AD1414" s="6">
        <f>$O$1414*$X$1414</f>
        <v>-663.44556</v>
      </c>
      <c r="AE1414" s="6">
        <f>$K$1414*$Y$1414</f>
        <v>0</v>
      </c>
      <c r="AF1414" s="6">
        <f ca="1">$M$1414*$Z$1414</f>
        <v>-628.76738748789001</v>
      </c>
      <c r="AG1414" s="6">
        <f>$O$1414*$AA$1414</f>
        <v>-669.87573385582539</v>
      </c>
    </row>
    <row r="1415" spans="1:33" ht="11.25" customHeight="1" x14ac:dyDescent="0.25">
      <c r="A1415" s="4" t="s">
        <v>28</v>
      </c>
      <c r="B1415" s="4" t="s">
        <v>22</v>
      </c>
      <c r="C1415" s="4" t="s">
        <v>23</v>
      </c>
      <c r="D1415" s="4" t="s">
        <v>24</v>
      </c>
      <c r="E1415" s="4" t="s">
        <v>30</v>
      </c>
      <c r="F1415" s="4" t="s">
        <v>25</v>
      </c>
      <c r="G1415" s="4" t="s">
        <v>25</v>
      </c>
      <c r="H1415" s="4" t="s">
        <v>25</v>
      </c>
      <c r="I1415" s="5">
        <v>44593</v>
      </c>
      <c r="J1415" s="6">
        <v>0</v>
      </c>
      <c r="K1415" s="6">
        <v>0</v>
      </c>
      <c r="L1415" s="6">
        <v>5.9039999999999999</v>
      </c>
      <c r="M1415" s="6">
        <v>5.9039999999999999</v>
      </c>
      <c r="N1415" s="6">
        <v>5.9039999999999999</v>
      </c>
      <c r="O1415" s="6">
        <v>5.9039999999999999</v>
      </c>
      <c r="P1415" s="6">
        <v>17</v>
      </c>
      <c r="Q1415" s="4" t="s">
        <v>26</v>
      </c>
      <c r="R1415" s="4">
        <v>0</v>
      </c>
      <c r="S1415" s="6">
        <v>0</v>
      </c>
      <c r="T1415" s="6">
        <v>43</v>
      </c>
      <c r="U1415" s="6">
        <v>86</v>
      </c>
      <c r="V1415" s="6">
        <f>IF(ISERROR(VLOOKUP($S$1415,'TAR FIN'!$A$1:$O$116,15,0)),0,VLOOKUP($S$1415,'TAR FIN'!$A$1:$O$116,15,0))</f>
        <v>0</v>
      </c>
      <c r="W1415" s="6">
        <f>IF(ISERROR(VLOOKUP($T$1415,'TAR FIN'!$A$1:$O$116,15,0)),0,VLOOKUP($T$1415,'TAR FIN'!$A$1:$O$116,15,0))</f>
        <v>161.62</v>
      </c>
      <c r="X1415" s="6">
        <f>IF(ISERROR(VLOOKUP($U$1415,'TAR FIN'!$A$1:$O$116,15,0)),0,VLOOKUP($U$1415,'TAR FIN'!$A$1:$O$116,15,0))</f>
        <v>195.88</v>
      </c>
      <c r="Y1415" s="6"/>
      <c r="Z141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5" s="6">
        <f>('TE BE'!$AB$16+'TE BF'!$AB$16+'TE CVA'!$AB$16)*(1-CUSTOS!$M$35)</f>
        <v>197.7784865237158</v>
      </c>
      <c r="AB1415" s="6">
        <f>$K$1415*$V$1415</f>
        <v>0</v>
      </c>
      <c r="AC1415" s="6">
        <f>$M$1415*$W$1415</f>
        <v>954.20447999999999</v>
      </c>
      <c r="AD1415" s="6">
        <f>$O$1415*$X$1415</f>
        <v>1156.47552</v>
      </c>
      <c r="AE1415" s="6">
        <f>$K$1415*$Y$1415</f>
        <v>0</v>
      </c>
      <c r="AF1415" s="6">
        <f ca="1">$M$1415*$Z$1415</f>
        <v>1096.0267657893423</v>
      </c>
      <c r="AG1415" s="6">
        <f>$O$1415*$AA$1415</f>
        <v>1167.6841844360181</v>
      </c>
    </row>
    <row r="1416" spans="1:33" ht="11.25" customHeight="1" x14ac:dyDescent="0.25">
      <c r="A1416" s="4" t="s">
        <v>28</v>
      </c>
      <c r="B1416" s="4" t="s">
        <v>22</v>
      </c>
      <c r="C1416" s="4" t="s">
        <v>23</v>
      </c>
      <c r="D1416" s="4" t="s">
        <v>24</v>
      </c>
      <c r="E1416" s="4" t="s">
        <v>30</v>
      </c>
      <c r="F1416" s="4" t="s">
        <v>25</v>
      </c>
      <c r="G1416" s="4" t="s">
        <v>25</v>
      </c>
      <c r="H1416" s="4" t="s">
        <v>25</v>
      </c>
      <c r="I1416" s="5">
        <v>44593</v>
      </c>
      <c r="J1416" s="6">
        <v>0</v>
      </c>
      <c r="K1416" s="6">
        <v>0</v>
      </c>
      <c r="L1416" s="6">
        <v>-0.02</v>
      </c>
      <c r="M1416" s="6">
        <v>-0.02</v>
      </c>
      <c r="N1416" s="6">
        <v>-0.02</v>
      </c>
      <c r="O1416" s="6">
        <v>-0.02</v>
      </c>
      <c r="P1416" s="6">
        <v>0</v>
      </c>
      <c r="Q1416" s="4" t="s">
        <v>26</v>
      </c>
      <c r="R1416" s="4">
        <v>0</v>
      </c>
      <c r="S1416" s="6">
        <v>0</v>
      </c>
      <c r="T1416" s="6">
        <v>43</v>
      </c>
      <c r="U1416" s="6">
        <v>86</v>
      </c>
      <c r="V1416" s="6">
        <f>IF(ISERROR(VLOOKUP($S$1416,'TAR FIN'!$A$1:$O$116,15,0)),0,VLOOKUP($S$1416,'TAR FIN'!$A$1:$O$116,15,0))</f>
        <v>0</v>
      </c>
      <c r="W1416" s="6">
        <f>IF(ISERROR(VLOOKUP($T$1416,'TAR FIN'!$A$1:$O$116,15,0)),0,VLOOKUP($T$1416,'TAR FIN'!$A$1:$O$116,15,0))</f>
        <v>161.62</v>
      </c>
      <c r="X1416" s="6">
        <f>IF(ISERROR(VLOOKUP($U$1416,'TAR FIN'!$A$1:$O$116,15,0)),0,VLOOKUP($U$1416,'TAR FIN'!$A$1:$O$116,15,0))</f>
        <v>195.88</v>
      </c>
      <c r="Y1416" s="6"/>
      <c r="Z141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6" s="6">
        <f>('TE BE'!$AB$16+'TE BF'!$AB$16+'TE CVA'!$AB$16)*(1-CUSTOS!$M$35)</f>
        <v>197.7784865237158</v>
      </c>
      <c r="AB1416" s="6">
        <f>$K$1416*$V$1416</f>
        <v>0</v>
      </c>
      <c r="AC1416" s="6">
        <f>$M$1416*$W$1416</f>
        <v>-3.2324000000000002</v>
      </c>
      <c r="AD1416" s="6">
        <f>$O$1416*$X$1416</f>
        <v>-3.9176000000000002</v>
      </c>
      <c r="AE1416" s="6">
        <f>$K$1416*$Y$1416</f>
        <v>0</v>
      </c>
      <c r="AF1416" s="6">
        <f ca="1">$M$1416*$Z$1416</f>
        <v>-3.7128277973893713</v>
      </c>
      <c r="AG1416" s="6">
        <f>$O$1416*$AA$1416</f>
        <v>-3.9555697304743163</v>
      </c>
    </row>
    <row r="1417" spans="1:33" ht="11.25" customHeight="1" x14ac:dyDescent="0.25">
      <c r="A1417" s="4" t="s">
        <v>21</v>
      </c>
      <c r="B1417" s="4" t="s">
        <v>22</v>
      </c>
      <c r="C1417" s="4" t="s">
        <v>23</v>
      </c>
      <c r="D1417" s="4" t="s">
        <v>24</v>
      </c>
      <c r="E1417" s="4" t="s">
        <v>30</v>
      </c>
      <c r="F1417" s="4" t="s">
        <v>25</v>
      </c>
      <c r="G1417" s="4" t="s">
        <v>25</v>
      </c>
      <c r="H1417" s="4" t="s">
        <v>25</v>
      </c>
      <c r="I1417" s="5">
        <v>44621</v>
      </c>
      <c r="J1417" s="6">
        <v>0</v>
      </c>
      <c r="K1417" s="6">
        <v>0</v>
      </c>
      <c r="L1417" s="6">
        <v>5734.58</v>
      </c>
      <c r="M1417" s="6">
        <v>5734.58</v>
      </c>
      <c r="N1417" s="6">
        <v>5734.58</v>
      </c>
      <c r="O1417" s="6">
        <v>5734.58</v>
      </c>
      <c r="P1417" s="6">
        <v>27892</v>
      </c>
      <c r="Q1417" s="4" t="s">
        <v>26</v>
      </c>
      <c r="R1417" s="4">
        <v>0</v>
      </c>
      <c r="S1417" s="6">
        <v>0</v>
      </c>
      <c r="T1417" s="6">
        <v>43</v>
      </c>
      <c r="U1417" s="6">
        <v>86</v>
      </c>
      <c r="V1417" s="6">
        <f>IF(ISERROR(VLOOKUP($S$1417,'TAR FIN'!$A$1:$O$116,15,0)),0,VLOOKUP($S$1417,'TAR FIN'!$A$1:$O$116,15,0))</f>
        <v>0</v>
      </c>
      <c r="W1417" s="6">
        <f>IF(ISERROR(VLOOKUP($T$1417,'TAR FIN'!$A$1:$O$116,15,0)),0,VLOOKUP($T$1417,'TAR FIN'!$A$1:$O$116,15,0))</f>
        <v>161.62</v>
      </c>
      <c r="X1417" s="6">
        <f>IF(ISERROR(VLOOKUP($U$1417,'TAR FIN'!$A$1:$O$116,15,0)),0,VLOOKUP($U$1417,'TAR FIN'!$A$1:$O$116,15,0))</f>
        <v>195.88</v>
      </c>
      <c r="Y1417" s="6"/>
      <c r="Z141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7" s="6">
        <f>('TE BE'!$AB$16+'TE BF'!$AB$16+'TE CVA'!$AB$16)*(1-CUSTOS!$M$35)</f>
        <v>197.7784865237158</v>
      </c>
      <c r="AB1417" s="6">
        <f>$K$1417*$V$1417</f>
        <v>0</v>
      </c>
      <c r="AC1417" s="6">
        <f>$M$1417*$W$1417</f>
        <v>926822.81960000005</v>
      </c>
      <c r="AD1417" s="6">
        <f>$O$1417*$X$1417</f>
        <v>1123289.5304</v>
      </c>
      <c r="AE1417" s="6">
        <f>$K$1417*$Y$1417</f>
        <v>0</v>
      </c>
      <c r="AF1417" s="6">
        <f ca="1">$M$1417*$Z$1417</f>
        <v>1064575.4015176569</v>
      </c>
      <c r="AG1417" s="6">
        <f>$O$1417*$AA$1417</f>
        <v>1134176.5532491701</v>
      </c>
    </row>
    <row r="1418" spans="1:33" ht="11.25" customHeight="1" x14ac:dyDescent="0.25">
      <c r="A1418" s="4" t="s">
        <v>27</v>
      </c>
      <c r="B1418" s="4" t="s">
        <v>22</v>
      </c>
      <c r="C1418" s="4" t="s">
        <v>23</v>
      </c>
      <c r="D1418" s="4" t="s">
        <v>24</v>
      </c>
      <c r="E1418" s="4" t="s">
        <v>30</v>
      </c>
      <c r="F1418" s="4" t="s">
        <v>25</v>
      </c>
      <c r="G1418" s="4" t="s">
        <v>25</v>
      </c>
      <c r="H1418" s="4" t="s">
        <v>25</v>
      </c>
      <c r="I1418" s="5">
        <v>44621</v>
      </c>
      <c r="J1418" s="6">
        <v>0</v>
      </c>
      <c r="K1418" s="6">
        <v>0</v>
      </c>
      <c r="L1418" s="6">
        <v>-0.98899999999999999</v>
      </c>
      <c r="M1418" s="6">
        <v>-0.98899999999999999</v>
      </c>
      <c r="N1418" s="6">
        <v>-0.98899999999999999</v>
      </c>
      <c r="O1418" s="6">
        <v>-0.98899999999999999</v>
      </c>
      <c r="P1418" s="6">
        <v>-2</v>
      </c>
      <c r="Q1418" s="4" t="s">
        <v>26</v>
      </c>
      <c r="R1418" s="4">
        <v>0</v>
      </c>
      <c r="S1418" s="6">
        <v>0</v>
      </c>
      <c r="T1418" s="6">
        <v>43</v>
      </c>
      <c r="U1418" s="6">
        <v>86</v>
      </c>
      <c r="V1418" s="6">
        <f>IF(ISERROR(VLOOKUP($S$1418,'TAR FIN'!$A$1:$O$116,15,0)),0,VLOOKUP($S$1418,'TAR FIN'!$A$1:$O$116,15,0))</f>
        <v>0</v>
      </c>
      <c r="W1418" s="6">
        <f>IF(ISERROR(VLOOKUP($T$1418,'TAR FIN'!$A$1:$O$116,15,0)),0,VLOOKUP($T$1418,'TAR FIN'!$A$1:$O$116,15,0))</f>
        <v>161.62</v>
      </c>
      <c r="X1418" s="6">
        <f>IF(ISERROR(VLOOKUP($U$1418,'TAR FIN'!$A$1:$O$116,15,0)),0,VLOOKUP($U$1418,'TAR FIN'!$A$1:$O$116,15,0))</f>
        <v>195.88</v>
      </c>
      <c r="Y1418" s="6"/>
      <c r="Z141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8" s="6">
        <f>('TE BE'!$AB$16+'TE BF'!$AB$16+'TE CVA'!$AB$16)*(1-CUSTOS!$M$35)</f>
        <v>197.7784865237158</v>
      </c>
      <c r="AB1418" s="6">
        <f>$K$1418*$V$1418</f>
        <v>0</v>
      </c>
      <c r="AC1418" s="6">
        <f>$M$1418*$W$1418</f>
        <v>-159.84218000000001</v>
      </c>
      <c r="AD1418" s="6">
        <f>$O$1418*$X$1418</f>
        <v>-193.72531999999998</v>
      </c>
      <c r="AE1418" s="6">
        <f>$K$1418*$Y$1418</f>
        <v>0</v>
      </c>
      <c r="AF1418" s="6">
        <f ca="1">$M$1418*$Z$1418</f>
        <v>-183.59933458090441</v>
      </c>
      <c r="AG1418" s="6">
        <f>$O$1418*$AA$1418</f>
        <v>-195.60292317195493</v>
      </c>
    </row>
    <row r="1419" spans="1:33" ht="11.25" customHeight="1" x14ac:dyDescent="0.25">
      <c r="A1419" s="4" t="s">
        <v>28</v>
      </c>
      <c r="B1419" s="4" t="s">
        <v>22</v>
      </c>
      <c r="C1419" s="4" t="s">
        <v>23</v>
      </c>
      <c r="D1419" s="4" t="s">
        <v>24</v>
      </c>
      <c r="E1419" s="4" t="s">
        <v>30</v>
      </c>
      <c r="F1419" s="4" t="s">
        <v>25</v>
      </c>
      <c r="G1419" s="4" t="s">
        <v>25</v>
      </c>
      <c r="H1419" s="4" t="s">
        <v>25</v>
      </c>
      <c r="I1419" s="5">
        <v>44621</v>
      </c>
      <c r="J1419" s="6">
        <v>0</v>
      </c>
      <c r="K1419" s="6">
        <v>0</v>
      </c>
      <c r="L1419" s="6">
        <v>7.0460000000000003</v>
      </c>
      <c r="M1419" s="6">
        <v>7.0460000000000003</v>
      </c>
      <c r="N1419" s="6">
        <v>7.0460000000000003</v>
      </c>
      <c r="O1419" s="6">
        <v>7.0460000000000003</v>
      </c>
      <c r="P1419" s="6">
        <v>15</v>
      </c>
      <c r="Q1419" s="4" t="s">
        <v>26</v>
      </c>
      <c r="R1419" s="4">
        <v>0</v>
      </c>
      <c r="S1419" s="6">
        <v>0</v>
      </c>
      <c r="T1419" s="6">
        <v>43</v>
      </c>
      <c r="U1419" s="6">
        <v>86</v>
      </c>
      <c r="V1419" s="6">
        <f>IF(ISERROR(VLOOKUP($S$1419,'TAR FIN'!$A$1:$O$116,15,0)),0,VLOOKUP($S$1419,'TAR FIN'!$A$1:$O$116,15,0))</f>
        <v>0</v>
      </c>
      <c r="W1419" s="6">
        <f>IF(ISERROR(VLOOKUP($T$1419,'TAR FIN'!$A$1:$O$116,15,0)),0,VLOOKUP($T$1419,'TAR FIN'!$A$1:$O$116,15,0))</f>
        <v>161.62</v>
      </c>
      <c r="X1419" s="6">
        <f>IF(ISERROR(VLOOKUP($U$1419,'TAR FIN'!$A$1:$O$116,15,0)),0,VLOOKUP($U$1419,'TAR FIN'!$A$1:$O$116,15,0))</f>
        <v>195.88</v>
      </c>
      <c r="Y1419" s="6"/>
      <c r="Z141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19" s="6">
        <f>('TE BE'!$AB$16+'TE BF'!$AB$16+'TE CVA'!$AB$16)*(1-CUSTOS!$M$35)</f>
        <v>197.7784865237158</v>
      </c>
      <c r="AB1419" s="6">
        <f>$K$1419*$V$1419</f>
        <v>0</v>
      </c>
      <c r="AC1419" s="6">
        <f>$M$1419*$W$1419</f>
        <v>1138.7745200000002</v>
      </c>
      <c r="AD1419" s="6">
        <f>$O$1419*$X$1419</f>
        <v>1380.17048</v>
      </c>
      <c r="AE1419" s="6">
        <f>$K$1419*$Y$1419</f>
        <v>0</v>
      </c>
      <c r="AF1419" s="6">
        <f ca="1">$M$1419*$Z$1419</f>
        <v>1308.0292330202756</v>
      </c>
      <c r="AG1419" s="6">
        <f>$O$1419*$AA$1419</f>
        <v>1393.5472160461015</v>
      </c>
    </row>
    <row r="1420" spans="1:33" ht="11.25" customHeight="1" x14ac:dyDescent="0.25">
      <c r="A1420" s="4" t="s">
        <v>28</v>
      </c>
      <c r="B1420" s="4" t="s">
        <v>22</v>
      </c>
      <c r="C1420" s="4" t="s">
        <v>23</v>
      </c>
      <c r="D1420" s="4" t="s">
        <v>24</v>
      </c>
      <c r="E1420" s="4" t="s">
        <v>30</v>
      </c>
      <c r="F1420" s="4" t="s">
        <v>25</v>
      </c>
      <c r="G1420" s="4" t="s">
        <v>25</v>
      </c>
      <c r="H1420" s="4" t="s">
        <v>25</v>
      </c>
      <c r="I1420" s="5">
        <v>44621</v>
      </c>
      <c r="J1420" s="6">
        <v>0</v>
      </c>
      <c r="K1420" s="6">
        <v>0</v>
      </c>
      <c r="L1420" s="6">
        <v>-7.0000000000000007E-2</v>
      </c>
      <c r="M1420" s="6">
        <v>-7.0000000000000007E-2</v>
      </c>
      <c r="N1420" s="6">
        <v>-7.0000000000000007E-2</v>
      </c>
      <c r="O1420" s="6">
        <v>-7.0000000000000007E-2</v>
      </c>
      <c r="P1420" s="6">
        <v>0</v>
      </c>
      <c r="Q1420" s="4" t="s">
        <v>26</v>
      </c>
      <c r="R1420" s="4">
        <v>0</v>
      </c>
      <c r="S1420" s="6">
        <v>0</v>
      </c>
      <c r="T1420" s="6">
        <v>43</v>
      </c>
      <c r="U1420" s="6">
        <v>86</v>
      </c>
      <c r="V1420" s="6">
        <f>IF(ISERROR(VLOOKUP($S$1420,'TAR FIN'!$A$1:$O$116,15,0)),0,VLOOKUP($S$1420,'TAR FIN'!$A$1:$O$116,15,0))</f>
        <v>0</v>
      </c>
      <c r="W1420" s="6">
        <f>IF(ISERROR(VLOOKUP($T$1420,'TAR FIN'!$A$1:$O$116,15,0)),0,VLOOKUP($T$1420,'TAR FIN'!$A$1:$O$116,15,0))</f>
        <v>161.62</v>
      </c>
      <c r="X1420" s="6">
        <f>IF(ISERROR(VLOOKUP($U$1420,'TAR FIN'!$A$1:$O$116,15,0)),0,VLOOKUP($U$1420,'TAR FIN'!$A$1:$O$116,15,0))</f>
        <v>195.88</v>
      </c>
      <c r="Y1420" s="6"/>
      <c r="Z142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0" s="6">
        <f>('TE BE'!$AB$16+'TE BF'!$AB$16+'TE CVA'!$AB$16)*(1-CUSTOS!$M$35)</f>
        <v>197.7784865237158</v>
      </c>
      <c r="AB1420" s="6">
        <f>$K$1420*$V$1420</f>
        <v>0</v>
      </c>
      <c r="AC1420" s="6">
        <f>$M$1420*$W$1420</f>
        <v>-11.313400000000001</v>
      </c>
      <c r="AD1420" s="6">
        <f>$O$1420*$X$1420</f>
        <v>-13.711600000000001</v>
      </c>
      <c r="AE1420" s="6">
        <f>$K$1420*$Y$1420</f>
        <v>0</v>
      </c>
      <c r="AF1420" s="6">
        <f ca="1">$M$1420*$Z$1420</f>
        <v>-12.9948972908628</v>
      </c>
      <c r="AG1420" s="6">
        <f>$O$1420*$AA$1420</f>
        <v>-13.844494056660107</v>
      </c>
    </row>
    <row r="1421" spans="1:33" ht="11.25" customHeight="1" x14ac:dyDescent="0.25">
      <c r="A1421" s="4" t="s">
        <v>21</v>
      </c>
      <c r="B1421" s="4" t="s">
        <v>22</v>
      </c>
      <c r="C1421" s="4" t="s">
        <v>23</v>
      </c>
      <c r="D1421" s="4" t="s">
        <v>24</v>
      </c>
      <c r="E1421" s="4" t="s">
        <v>30</v>
      </c>
      <c r="F1421" s="4" t="s">
        <v>25</v>
      </c>
      <c r="G1421" s="4" t="s">
        <v>25</v>
      </c>
      <c r="H1421" s="4" t="s">
        <v>25</v>
      </c>
      <c r="I1421" s="5">
        <v>44652</v>
      </c>
      <c r="J1421" s="6">
        <v>0</v>
      </c>
      <c r="K1421" s="6">
        <v>0</v>
      </c>
      <c r="L1421" s="6">
        <v>5716.9080000000004</v>
      </c>
      <c r="M1421" s="6">
        <v>5716.9080000000004</v>
      </c>
      <c r="N1421" s="6">
        <v>5716.9080000000004</v>
      </c>
      <c r="O1421" s="6">
        <v>5716.9080000000004</v>
      </c>
      <c r="P1421" s="6">
        <v>31306</v>
      </c>
      <c r="Q1421" s="4" t="s">
        <v>26</v>
      </c>
      <c r="R1421" s="4">
        <v>0</v>
      </c>
      <c r="S1421" s="6">
        <v>0</v>
      </c>
      <c r="T1421" s="6">
        <v>43</v>
      </c>
      <c r="U1421" s="6">
        <v>86</v>
      </c>
      <c r="V1421" s="6">
        <f>IF(ISERROR(VLOOKUP($S$1421,'TAR FIN'!$A$1:$O$116,15,0)),0,VLOOKUP($S$1421,'TAR FIN'!$A$1:$O$116,15,0))</f>
        <v>0</v>
      </c>
      <c r="W1421" s="6">
        <f>IF(ISERROR(VLOOKUP($T$1421,'TAR FIN'!$A$1:$O$116,15,0)),0,VLOOKUP($T$1421,'TAR FIN'!$A$1:$O$116,15,0))</f>
        <v>161.62</v>
      </c>
      <c r="X1421" s="6">
        <f>IF(ISERROR(VLOOKUP($U$1421,'TAR FIN'!$A$1:$O$116,15,0)),0,VLOOKUP($U$1421,'TAR FIN'!$A$1:$O$116,15,0))</f>
        <v>195.88</v>
      </c>
      <c r="Y1421" s="6"/>
      <c r="Z142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1" s="6">
        <f>('TE BE'!$AB$16+'TE BF'!$AB$16+'TE CVA'!$AB$16)*(1-CUSTOS!$M$35)</f>
        <v>197.7784865237158</v>
      </c>
      <c r="AB1421" s="6">
        <f>$K$1421*$V$1421</f>
        <v>0</v>
      </c>
      <c r="AC1421" s="6">
        <f>$M$1421*$W$1421</f>
        <v>923966.67096000013</v>
      </c>
      <c r="AD1421" s="6">
        <f>$O$1421*$X$1421</f>
        <v>1119827.9390400001</v>
      </c>
      <c r="AE1421" s="6">
        <f>$K$1421*$Y$1421</f>
        <v>0</v>
      </c>
      <c r="AF1421" s="6">
        <f ca="1">$M$1421*$Z$1421</f>
        <v>1061294.7468758838</v>
      </c>
      <c r="AG1421" s="6">
        <f>$O$1421*$AA$1421</f>
        <v>1130681.4118353231</v>
      </c>
    </row>
    <row r="1422" spans="1:33" ht="11.25" customHeight="1" x14ac:dyDescent="0.25">
      <c r="A1422" s="4" t="s">
        <v>27</v>
      </c>
      <c r="B1422" s="4" t="s">
        <v>22</v>
      </c>
      <c r="C1422" s="4" t="s">
        <v>23</v>
      </c>
      <c r="D1422" s="4" t="s">
        <v>24</v>
      </c>
      <c r="E1422" s="4" t="s">
        <v>30</v>
      </c>
      <c r="F1422" s="4" t="s">
        <v>25</v>
      </c>
      <c r="G1422" s="4" t="s">
        <v>25</v>
      </c>
      <c r="H1422" s="4" t="s">
        <v>25</v>
      </c>
      <c r="I1422" s="5">
        <v>44652</v>
      </c>
      <c r="J1422" s="6">
        <v>0</v>
      </c>
      <c r="K1422" s="6">
        <v>0</v>
      </c>
      <c r="L1422" s="6">
        <v>-1.19</v>
      </c>
      <c r="M1422" s="6">
        <v>-1.19</v>
      </c>
      <c r="N1422" s="6">
        <v>-1.19</v>
      </c>
      <c r="O1422" s="6">
        <v>-1.19</v>
      </c>
      <c r="P1422" s="6">
        <v>-1</v>
      </c>
      <c r="Q1422" s="4" t="s">
        <v>26</v>
      </c>
      <c r="R1422" s="4">
        <v>0</v>
      </c>
      <c r="S1422" s="6">
        <v>0</v>
      </c>
      <c r="T1422" s="6">
        <v>43</v>
      </c>
      <c r="U1422" s="6">
        <v>86</v>
      </c>
      <c r="V1422" s="6">
        <f>IF(ISERROR(VLOOKUP($S$1422,'TAR FIN'!$A$1:$O$116,15,0)),0,VLOOKUP($S$1422,'TAR FIN'!$A$1:$O$116,15,0))</f>
        <v>0</v>
      </c>
      <c r="W1422" s="6">
        <f>IF(ISERROR(VLOOKUP($T$1422,'TAR FIN'!$A$1:$O$116,15,0)),0,VLOOKUP($T$1422,'TAR FIN'!$A$1:$O$116,15,0))</f>
        <v>161.62</v>
      </c>
      <c r="X1422" s="6">
        <f>IF(ISERROR(VLOOKUP($U$1422,'TAR FIN'!$A$1:$O$116,15,0)),0,VLOOKUP($U$1422,'TAR FIN'!$A$1:$O$116,15,0))</f>
        <v>195.88</v>
      </c>
      <c r="Y1422" s="6"/>
      <c r="Z142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2" s="6">
        <f>('TE BE'!$AB$16+'TE BF'!$AB$16+'TE CVA'!$AB$16)*(1-CUSTOS!$M$35)</f>
        <v>197.7784865237158</v>
      </c>
      <c r="AB1422" s="6">
        <f>$K$1422*$V$1422</f>
        <v>0</v>
      </c>
      <c r="AC1422" s="6">
        <f>$M$1422*$W$1422</f>
        <v>-192.3278</v>
      </c>
      <c r="AD1422" s="6">
        <f>$O$1422*$X$1422</f>
        <v>-233.09719999999999</v>
      </c>
      <c r="AE1422" s="6">
        <f>$K$1422*$Y$1422</f>
        <v>0</v>
      </c>
      <c r="AF1422" s="6">
        <f ca="1">$M$1422*$Z$1422</f>
        <v>-220.91325394466756</v>
      </c>
      <c r="AG1422" s="6">
        <f>$O$1422*$AA$1422</f>
        <v>-235.35639896322178</v>
      </c>
    </row>
    <row r="1423" spans="1:33" ht="11.25" customHeight="1" x14ac:dyDescent="0.25">
      <c r="A1423" s="4" t="s">
        <v>28</v>
      </c>
      <c r="B1423" s="4" t="s">
        <v>22</v>
      </c>
      <c r="C1423" s="4" t="s">
        <v>23</v>
      </c>
      <c r="D1423" s="4" t="s">
        <v>24</v>
      </c>
      <c r="E1423" s="4" t="s">
        <v>30</v>
      </c>
      <c r="F1423" s="4" t="s">
        <v>25</v>
      </c>
      <c r="G1423" s="4" t="s">
        <v>25</v>
      </c>
      <c r="H1423" s="4" t="s">
        <v>25</v>
      </c>
      <c r="I1423" s="5">
        <v>44652</v>
      </c>
      <c r="J1423" s="6">
        <v>0</v>
      </c>
      <c r="K1423" s="6">
        <v>0</v>
      </c>
      <c r="L1423" s="6">
        <v>7.681</v>
      </c>
      <c r="M1423" s="6">
        <v>7.681</v>
      </c>
      <c r="N1423" s="6">
        <v>7.681</v>
      </c>
      <c r="O1423" s="6">
        <v>7.681</v>
      </c>
      <c r="P1423" s="6">
        <v>15</v>
      </c>
      <c r="Q1423" s="4" t="s">
        <v>26</v>
      </c>
      <c r="R1423" s="4">
        <v>0</v>
      </c>
      <c r="S1423" s="6">
        <v>0</v>
      </c>
      <c r="T1423" s="6">
        <v>43</v>
      </c>
      <c r="U1423" s="6">
        <v>86</v>
      </c>
      <c r="V1423" s="6">
        <f>IF(ISERROR(VLOOKUP($S$1423,'TAR FIN'!$A$1:$O$116,15,0)),0,VLOOKUP($S$1423,'TAR FIN'!$A$1:$O$116,15,0))</f>
        <v>0</v>
      </c>
      <c r="W1423" s="6">
        <f>IF(ISERROR(VLOOKUP($T$1423,'TAR FIN'!$A$1:$O$116,15,0)),0,VLOOKUP($T$1423,'TAR FIN'!$A$1:$O$116,15,0))</f>
        <v>161.62</v>
      </c>
      <c r="X1423" s="6">
        <f>IF(ISERROR(VLOOKUP($U$1423,'TAR FIN'!$A$1:$O$116,15,0)),0,VLOOKUP($U$1423,'TAR FIN'!$A$1:$O$116,15,0))</f>
        <v>195.88</v>
      </c>
      <c r="Y1423" s="6"/>
      <c r="Z142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3" s="6">
        <f>('TE BE'!$AB$16+'TE BF'!$AB$16+'TE CVA'!$AB$16)*(1-CUSTOS!$M$35)</f>
        <v>197.7784865237158</v>
      </c>
      <c r="AB1423" s="6">
        <f>$K$1423*$V$1423</f>
        <v>0</v>
      </c>
      <c r="AC1423" s="6">
        <f>$M$1423*$W$1423</f>
        <v>1241.4032200000001</v>
      </c>
      <c r="AD1423" s="6">
        <f>$O$1423*$X$1423</f>
        <v>1504.5542800000001</v>
      </c>
      <c r="AE1423" s="6">
        <f>$K$1423*$Y$1423</f>
        <v>0</v>
      </c>
      <c r="AF1423" s="6">
        <f ca="1">$M$1423*$Z$1423</f>
        <v>1425.9115155873881</v>
      </c>
      <c r="AG1423" s="6">
        <f>$O$1423*$AA$1423</f>
        <v>1519.1365549886611</v>
      </c>
    </row>
    <row r="1424" spans="1:33" ht="11.25" customHeight="1" x14ac:dyDescent="0.25">
      <c r="A1424" s="4" t="s">
        <v>58</v>
      </c>
      <c r="B1424" s="4" t="s">
        <v>22</v>
      </c>
      <c r="C1424" s="4" t="s">
        <v>23</v>
      </c>
      <c r="D1424" s="4" t="s">
        <v>24</v>
      </c>
      <c r="E1424" s="4" t="s">
        <v>30</v>
      </c>
      <c r="F1424" s="4" t="s">
        <v>25</v>
      </c>
      <c r="G1424" s="4" t="s">
        <v>25</v>
      </c>
      <c r="H1424" s="4" t="s">
        <v>25</v>
      </c>
      <c r="I1424" s="5">
        <v>44682</v>
      </c>
      <c r="J1424" s="6">
        <v>0</v>
      </c>
      <c r="K1424" s="6">
        <v>0</v>
      </c>
      <c r="L1424" s="6">
        <v>5716.9080000000004</v>
      </c>
      <c r="M1424" s="6">
        <v>5716.9080000000004</v>
      </c>
      <c r="N1424" s="6">
        <v>5716.9080000000004</v>
      </c>
      <c r="O1424" s="6">
        <v>5716.9080000000004</v>
      </c>
      <c r="P1424" s="6">
        <v>31306</v>
      </c>
      <c r="Q1424" s="4" t="s">
        <v>26</v>
      </c>
      <c r="R1424" s="4">
        <v>0</v>
      </c>
      <c r="S1424" s="6">
        <v>0</v>
      </c>
      <c r="T1424" s="6">
        <v>43</v>
      </c>
      <c r="U1424" s="6">
        <v>86</v>
      </c>
      <c r="V1424" s="6">
        <f>IF(ISERROR(VLOOKUP($S$1424,'TAR FIN'!$A$1:$O$116,15,0)),0,VLOOKUP($S$1424,'TAR FIN'!$A$1:$O$116,15,0))</f>
        <v>0</v>
      </c>
      <c r="W1424" s="6">
        <f>IF(ISERROR(VLOOKUP($T$1424,'TAR FIN'!$A$1:$O$116,15,0)),0,VLOOKUP($T$1424,'TAR FIN'!$A$1:$O$116,15,0))</f>
        <v>161.62</v>
      </c>
      <c r="X1424" s="6">
        <f>IF(ISERROR(VLOOKUP($U$1424,'TAR FIN'!$A$1:$O$116,15,0)),0,VLOOKUP($U$1424,'TAR FIN'!$A$1:$O$116,15,0))</f>
        <v>195.88</v>
      </c>
      <c r="Y1424" s="6"/>
      <c r="Z142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4" s="6">
        <f>('TE BE'!$AB$16+'TE BF'!$AB$16+'TE CVA'!$AB$16)*(1-CUSTOS!$M$35)</f>
        <v>197.7784865237158</v>
      </c>
      <c r="AB1424" s="6">
        <f>$K$1424*$V$1424</f>
        <v>0</v>
      </c>
      <c r="AC1424" s="6">
        <f>$M$1424*$W$1424</f>
        <v>923966.67096000013</v>
      </c>
      <c r="AD1424" s="6">
        <f>$O$1424*$X$1424</f>
        <v>1119827.9390400001</v>
      </c>
      <c r="AE1424" s="6">
        <f>$K$1424*$Y$1424</f>
        <v>0</v>
      </c>
      <c r="AF1424" s="6">
        <f ca="1">$M$1424*$Z$1424</f>
        <v>1061294.7468758838</v>
      </c>
      <c r="AG1424" s="6">
        <f>$O$1424*$AA$1424</f>
        <v>1130681.4118353231</v>
      </c>
    </row>
    <row r="1425" spans="1:33" ht="11.25" customHeight="1" x14ac:dyDescent="0.25">
      <c r="A1425" s="4" t="s">
        <v>58</v>
      </c>
      <c r="B1425" s="4" t="s">
        <v>22</v>
      </c>
      <c r="C1425" s="4" t="s">
        <v>23</v>
      </c>
      <c r="D1425" s="4" t="s">
        <v>24</v>
      </c>
      <c r="E1425" s="4" t="s">
        <v>30</v>
      </c>
      <c r="F1425" s="4" t="s">
        <v>25</v>
      </c>
      <c r="G1425" s="4" t="s">
        <v>25</v>
      </c>
      <c r="H1425" s="4" t="s">
        <v>25</v>
      </c>
      <c r="I1425" s="5">
        <v>44682</v>
      </c>
      <c r="J1425" s="6">
        <v>0</v>
      </c>
      <c r="K1425" s="6">
        <v>0</v>
      </c>
      <c r="L1425" s="6">
        <v>-1.19</v>
      </c>
      <c r="M1425" s="6">
        <v>-1.19</v>
      </c>
      <c r="N1425" s="6">
        <v>-1.19</v>
      </c>
      <c r="O1425" s="6">
        <v>-1.19</v>
      </c>
      <c r="P1425" s="6">
        <v>-1</v>
      </c>
      <c r="Q1425" s="4" t="s">
        <v>26</v>
      </c>
      <c r="R1425" s="4">
        <v>0</v>
      </c>
      <c r="S1425" s="6">
        <v>0</v>
      </c>
      <c r="T1425" s="6">
        <v>43</v>
      </c>
      <c r="U1425" s="6">
        <v>86</v>
      </c>
      <c r="V1425" s="6">
        <f>IF(ISERROR(VLOOKUP($S$1425,'TAR FIN'!$A$1:$O$116,15,0)),0,VLOOKUP($S$1425,'TAR FIN'!$A$1:$O$116,15,0))</f>
        <v>0</v>
      </c>
      <c r="W1425" s="6">
        <f>IF(ISERROR(VLOOKUP($T$1425,'TAR FIN'!$A$1:$O$116,15,0)),0,VLOOKUP($T$1425,'TAR FIN'!$A$1:$O$116,15,0))</f>
        <v>161.62</v>
      </c>
      <c r="X1425" s="6">
        <f>IF(ISERROR(VLOOKUP($U$1425,'TAR FIN'!$A$1:$O$116,15,0)),0,VLOOKUP($U$1425,'TAR FIN'!$A$1:$O$116,15,0))</f>
        <v>195.88</v>
      </c>
      <c r="Y1425" s="6"/>
      <c r="Z142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5" s="6">
        <f>('TE BE'!$AB$16+'TE BF'!$AB$16+'TE CVA'!$AB$16)*(1-CUSTOS!$M$35)</f>
        <v>197.7784865237158</v>
      </c>
      <c r="AB1425" s="6">
        <f>$K$1425*$V$1425</f>
        <v>0</v>
      </c>
      <c r="AC1425" s="6">
        <f>$M$1425*$W$1425</f>
        <v>-192.3278</v>
      </c>
      <c r="AD1425" s="6">
        <f>$O$1425*$X$1425</f>
        <v>-233.09719999999999</v>
      </c>
      <c r="AE1425" s="6">
        <f>$K$1425*$Y$1425</f>
        <v>0</v>
      </c>
      <c r="AF1425" s="6">
        <f ca="1">$M$1425*$Z$1425</f>
        <v>-220.91325394466756</v>
      </c>
      <c r="AG1425" s="6">
        <f>$O$1425*$AA$1425</f>
        <v>-235.35639896322178</v>
      </c>
    </row>
    <row r="1426" spans="1:33" ht="11.25" customHeight="1" x14ac:dyDescent="0.25">
      <c r="A1426" s="4" t="s">
        <v>58</v>
      </c>
      <c r="B1426" s="4" t="s">
        <v>22</v>
      </c>
      <c r="C1426" s="4" t="s">
        <v>23</v>
      </c>
      <c r="D1426" s="4" t="s">
        <v>24</v>
      </c>
      <c r="E1426" s="4" t="s">
        <v>30</v>
      </c>
      <c r="F1426" s="4" t="s">
        <v>25</v>
      </c>
      <c r="G1426" s="4" t="s">
        <v>25</v>
      </c>
      <c r="H1426" s="4" t="s">
        <v>25</v>
      </c>
      <c r="I1426" s="5">
        <v>44682</v>
      </c>
      <c r="J1426" s="6">
        <v>0</v>
      </c>
      <c r="K1426" s="6">
        <v>0</v>
      </c>
      <c r="L1426" s="6">
        <v>7.681</v>
      </c>
      <c r="M1426" s="6">
        <v>7.681</v>
      </c>
      <c r="N1426" s="6">
        <v>7.681</v>
      </c>
      <c r="O1426" s="6">
        <v>7.681</v>
      </c>
      <c r="P1426" s="6">
        <v>15</v>
      </c>
      <c r="Q1426" s="4" t="s">
        <v>26</v>
      </c>
      <c r="R1426" s="4">
        <v>0</v>
      </c>
      <c r="S1426" s="6">
        <v>0</v>
      </c>
      <c r="T1426" s="6">
        <v>43</v>
      </c>
      <c r="U1426" s="6">
        <v>86</v>
      </c>
      <c r="V1426" s="6">
        <f>IF(ISERROR(VLOOKUP($S$1426,'TAR FIN'!$A$1:$O$116,15,0)),0,VLOOKUP($S$1426,'TAR FIN'!$A$1:$O$116,15,0))</f>
        <v>0</v>
      </c>
      <c r="W1426" s="6">
        <f>IF(ISERROR(VLOOKUP($T$1426,'TAR FIN'!$A$1:$O$116,15,0)),0,VLOOKUP($T$1426,'TAR FIN'!$A$1:$O$116,15,0))</f>
        <v>161.62</v>
      </c>
      <c r="X1426" s="6">
        <f>IF(ISERROR(VLOOKUP($U$1426,'TAR FIN'!$A$1:$O$116,15,0)),0,VLOOKUP($U$1426,'TAR FIN'!$A$1:$O$116,15,0))</f>
        <v>195.88</v>
      </c>
      <c r="Y1426" s="6"/>
      <c r="Z142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1426" s="6">
        <f>('TE BE'!$AB$16+'TE BF'!$AB$16+'TE CVA'!$AB$16)*(1-CUSTOS!$M$35)</f>
        <v>197.7784865237158</v>
      </c>
      <c r="AB1426" s="6">
        <f>$K$1426*$V$1426</f>
        <v>0</v>
      </c>
      <c r="AC1426" s="6">
        <f>$M$1426*$W$1426</f>
        <v>1241.4032200000001</v>
      </c>
      <c r="AD1426" s="6">
        <f>$O$1426*$X$1426</f>
        <v>1504.5542800000001</v>
      </c>
      <c r="AE1426" s="6">
        <f>$K$1426*$Y$1426</f>
        <v>0</v>
      </c>
      <c r="AF1426" s="6">
        <f ca="1">$M$1426*$Z$1426</f>
        <v>1425.9115155873881</v>
      </c>
      <c r="AG1426" s="6">
        <f>$O$1426*$AA$1426</f>
        <v>1519.1365549886611</v>
      </c>
    </row>
    <row r="1427" spans="1:33" ht="11.25" customHeight="1" x14ac:dyDescent="0.25">
      <c r="A1427" s="4" t="s">
        <v>21</v>
      </c>
      <c r="B1427" s="4" t="s">
        <v>22</v>
      </c>
      <c r="C1427" s="4" t="s">
        <v>23</v>
      </c>
      <c r="D1427" s="4" t="s">
        <v>24</v>
      </c>
      <c r="E1427" s="4" t="s">
        <v>31</v>
      </c>
      <c r="F1427" s="4" t="s">
        <v>25</v>
      </c>
      <c r="G1427" s="4" t="s">
        <v>25</v>
      </c>
      <c r="H1427" s="4" t="s">
        <v>25</v>
      </c>
      <c r="I1427" s="5">
        <v>44348</v>
      </c>
      <c r="J1427" s="6">
        <v>0</v>
      </c>
      <c r="K1427" s="6">
        <v>0</v>
      </c>
      <c r="L1427" s="6">
        <v>2711.098</v>
      </c>
      <c r="M1427" s="6">
        <v>2711.098</v>
      </c>
      <c r="N1427" s="6">
        <v>2711.098</v>
      </c>
      <c r="O1427" s="6">
        <v>2711.098</v>
      </c>
      <c r="P1427" s="6">
        <v>42605</v>
      </c>
      <c r="Q1427" s="4" t="s">
        <v>26</v>
      </c>
      <c r="R1427" s="4">
        <v>0</v>
      </c>
      <c r="S1427" s="6">
        <v>0</v>
      </c>
      <c r="T1427" s="6">
        <v>44</v>
      </c>
      <c r="U1427" s="6">
        <v>87</v>
      </c>
      <c r="V1427" s="6">
        <f>IF(ISERROR(VLOOKUP($S$1427,'TAR FIN'!$A$1:$O$116,15,0)),0,VLOOKUP($S$1427,'TAR FIN'!$A$1:$O$116,15,0))</f>
        <v>0</v>
      </c>
      <c r="W1427" s="6">
        <f>IF(ISERROR(VLOOKUP($T$1427,'TAR FIN'!$A$1:$O$116,15,0)),0,VLOOKUP($T$1427,'TAR FIN'!$A$1:$O$116,15,0))</f>
        <v>242.43</v>
      </c>
      <c r="X1427" s="6">
        <f>IF(ISERROR(VLOOKUP($U$1427,'TAR FIN'!$A$1:$O$116,15,0)),0,VLOOKUP($U$1427,'TAR FIN'!$A$1:$O$116,15,0))</f>
        <v>293.82</v>
      </c>
      <c r="Y1427" s="6"/>
      <c r="Z142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27" s="6">
        <f>('TE BE'!$AB$17+'TE BF'!$AB$17+'TE CVA'!$AB$17)*(1-CUSTOS!$M$36)</f>
        <v>296.66772978557373</v>
      </c>
      <c r="AB1427" s="6">
        <f>$K$1427*$V$1427</f>
        <v>0</v>
      </c>
      <c r="AC1427" s="6">
        <f>$M$1427*$W$1427</f>
        <v>657251.48814000003</v>
      </c>
      <c r="AD1427" s="6">
        <f>$O$1427*$X$1427</f>
        <v>796574.81435999996</v>
      </c>
      <c r="AE1427" s="6">
        <f>$K$1427*$Y$1427</f>
        <v>0</v>
      </c>
      <c r="AF1427" s="6">
        <f ca="1">$M$1427*$Z$1427</f>
        <v>754938.00118850474</v>
      </c>
      <c r="AG1427" s="6">
        <f>$O$1427*$AA$1427</f>
        <v>804295.28888620937</v>
      </c>
    </row>
    <row r="1428" spans="1:33" ht="11.25" customHeight="1" x14ac:dyDescent="0.25">
      <c r="A1428" s="4" t="s">
        <v>27</v>
      </c>
      <c r="B1428" s="4" t="s">
        <v>22</v>
      </c>
      <c r="C1428" s="4" t="s">
        <v>23</v>
      </c>
      <c r="D1428" s="4" t="s">
        <v>24</v>
      </c>
      <c r="E1428" s="4" t="s">
        <v>31</v>
      </c>
      <c r="F1428" s="4" t="s">
        <v>25</v>
      </c>
      <c r="G1428" s="4" t="s">
        <v>25</v>
      </c>
      <c r="H1428" s="4" t="s">
        <v>25</v>
      </c>
      <c r="I1428" s="5">
        <v>44348</v>
      </c>
      <c r="J1428" s="6">
        <v>0</v>
      </c>
      <c r="K1428" s="6">
        <v>0</v>
      </c>
      <c r="L1428" s="6">
        <v>-0.65300000000000002</v>
      </c>
      <c r="M1428" s="6">
        <v>-0.65300000000000002</v>
      </c>
      <c r="N1428" s="6">
        <v>-0.65300000000000002</v>
      </c>
      <c r="O1428" s="6">
        <v>-0.65300000000000002</v>
      </c>
      <c r="P1428" s="6">
        <v>-10</v>
      </c>
      <c r="Q1428" s="4" t="s">
        <v>26</v>
      </c>
      <c r="R1428" s="4">
        <v>0</v>
      </c>
      <c r="S1428" s="6">
        <v>0</v>
      </c>
      <c r="T1428" s="6">
        <v>44</v>
      </c>
      <c r="U1428" s="6">
        <v>87</v>
      </c>
      <c r="V1428" s="6">
        <f>IF(ISERROR(VLOOKUP($S$1428,'TAR FIN'!$A$1:$O$116,15,0)),0,VLOOKUP($S$1428,'TAR FIN'!$A$1:$O$116,15,0))</f>
        <v>0</v>
      </c>
      <c r="W1428" s="6">
        <f>IF(ISERROR(VLOOKUP($T$1428,'TAR FIN'!$A$1:$O$116,15,0)),0,VLOOKUP($T$1428,'TAR FIN'!$A$1:$O$116,15,0))</f>
        <v>242.43</v>
      </c>
      <c r="X1428" s="6">
        <f>IF(ISERROR(VLOOKUP($U$1428,'TAR FIN'!$A$1:$O$116,15,0)),0,VLOOKUP($U$1428,'TAR FIN'!$A$1:$O$116,15,0))</f>
        <v>293.82</v>
      </c>
      <c r="Y1428" s="6"/>
      <c r="Z142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28" s="6">
        <f>('TE BE'!$AB$17+'TE BF'!$AB$17+'TE CVA'!$AB$17)*(1-CUSTOS!$M$36)</f>
        <v>296.66772978557373</v>
      </c>
      <c r="AB1428" s="6">
        <f>$K$1428*$V$1428</f>
        <v>0</v>
      </c>
      <c r="AC1428" s="6">
        <f>$M$1428*$W$1428</f>
        <v>-158.30679000000001</v>
      </c>
      <c r="AD1428" s="6">
        <f>$O$1428*$X$1428</f>
        <v>-191.86446000000001</v>
      </c>
      <c r="AE1428" s="6">
        <f>$K$1428*$Y$1428</f>
        <v>0</v>
      </c>
      <c r="AF1428" s="6">
        <f ca="1">$M$1428*$Z$1428</f>
        <v>-181.83574137714447</v>
      </c>
      <c r="AG1428" s="6">
        <f>$O$1428*$AA$1428</f>
        <v>-193.72402754997964</v>
      </c>
    </row>
    <row r="1429" spans="1:33" ht="11.25" customHeight="1" x14ac:dyDescent="0.25">
      <c r="A1429" s="4" t="s">
        <v>28</v>
      </c>
      <c r="B1429" s="4" t="s">
        <v>22</v>
      </c>
      <c r="C1429" s="4" t="s">
        <v>23</v>
      </c>
      <c r="D1429" s="4" t="s">
        <v>24</v>
      </c>
      <c r="E1429" s="4" t="s">
        <v>31</v>
      </c>
      <c r="F1429" s="4" t="s">
        <v>25</v>
      </c>
      <c r="G1429" s="4" t="s">
        <v>25</v>
      </c>
      <c r="H1429" s="4" t="s">
        <v>25</v>
      </c>
      <c r="I1429" s="5">
        <v>44348</v>
      </c>
      <c r="J1429" s="6">
        <v>0</v>
      </c>
      <c r="K1429" s="6">
        <v>0</v>
      </c>
      <c r="L1429" s="6">
        <v>2.3570000000000002</v>
      </c>
      <c r="M1429" s="6">
        <v>2.3570000000000002</v>
      </c>
      <c r="N1429" s="6">
        <v>2.3570000000000002</v>
      </c>
      <c r="O1429" s="6">
        <v>2.3570000000000002</v>
      </c>
      <c r="P1429" s="6">
        <v>36</v>
      </c>
      <c r="Q1429" s="4" t="s">
        <v>26</v>
      </c>
      <c r="R1429" s="4">
        <v>0</v>
      </c>
      <c r="S1429" s="6">
        <v>0</v>
      </c>
      <c r="T1429" s="6">
        <v>44</v>
      </c>
      <c r="U1429" s="6">
        <v>87</v>
      </c>
      <c r="V1429" s="6">
        <f>IF(ISERROR(VLOOKUP($S$1429,'TAR FIN'!$A$1:$O$116,15,0)),0,VLOOKUP($S$1429,'TAR FIN'!$A$1:$O$116,15,0))</f>
        <v>0</v>
      </c>
      <c r="W1429" s="6">
        <f>IF(ISERROR(VLOOKUP($T$1429,'TAR FIN'!$A$1:$O$116,15,0)),0,VLOOKUP($T$1429,'TAR FIN'!$A$1:$O$116,15,0))</f>
        <v>242.43</v>
      </c>
      <c r="X1429" s="6">
        <f>IF(ISERROR(VLOOKUP($U$1429,'TAR FIN'!$A$1:$O$116,15,0)),0,VLOOKUP($U$1429,'TAR FIN'!$A$1:$O$116,15,0))</f>
        <v>293.82</v>
      </c>
      <c r="Y1429" s="6"/>
      <c r="Z142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29" s="6">
        <f>('TE BE'!$AB$17+'TE BF'!$AB$17+'TE CVA'!$AB$17)*(1-CUSTOS!$M$36)</f>
        <v>296.66772978557373</v>
      </c>
      <c r="AB1429" s="6">
        <f>$K$1429*$V$1429</f>
        <v>0</v>
      </c>
      <c r="AC1429" s="6">
        <f>$M$1429*$W$1429</f>
        <v>571.40751000000012</v>
      </c>
      <c r="AD1429" s="6">
        <f>$O$1429*$X$1429</f>
        <v>692.53374000000008</v>
      </c>
      <c r="AE1429" s="6">
        <f>$K$1429*$Y$1429</f>
        <v>0</v>
      </c>
      <c r="AF1429" s="6">
        <f ca="1">$M$1429*$Z$1429</f>
        <v>656.33513388350616</v>
      </c>
      <c r="AG1429" s="6">
        <f>$O$1429*$AA$1429</f>
        <v>699.24583910459728</v>
      </c>
    </row>
    <row r="1430" spans="1:33" ht="11.25" customHeight="1" x14ac:dyDescent="0.25">
      <c r="A1430" s="4" t="s">
        <v>21</v>
      </c>
      <c r="B1430" s="4" t="s">
        <v>22</v>
      </c>
      <c r="C1430" s="4" t="s">
        <v>23</v>
      </c>
      <c r="D1430" s="4" t="s">
        <v>24</v>
      </c>
      <c r="E1430" s="4" t="s">
        <v>31</v>
      </c>
      <c r="F1430" s="4" t="s">
        <v>25</v>
      </c>
      <c r="G1430" s="4" t="s">
        <v>25</v>
      </c>
      <c r="H1430" s="4" t="s">
        <v>25</v>
      </c>
      <c r="I1430" s="5">
        <v>44378</v>
      </c>
      <c r="J1430" s="6">
        <v>0</v>
      </c>
      <c r="K1430" s="6">
        <v>0</v>
      </c>
      <c r="L1430" s="6">
        <v>2669.2820000000002</v>
      </c>
      <c r="M1430" s="6">
        <v>2669.2820000000002</v>
      </c>
      <c r="N1430" s="6">
        <v>2669.2820000000002</v>
      </c>
      <c r="O1430" s="6">
        <v>2669.2820000000002</v>
      </c>
      <c r="P1430" s="6">
        <v>42079</v>
      </c>
      <c r="Q1430" s="4" t="s">
        <v>26</v>
      </c>
      <c r="R1430" s="4">
        <v>0</v>
      </c>
      <c r="S1430" s="6">
        <v>0</v>
      </c>
      <c r="T1430" s="6">
        <v>44</v>
      </c>
      <c r="U1430" s="6">
        <v>87</v>
      </c>
      <c r="V1430" s="6">
        <f>IF(ISERROR(VLOOKUP($S$1430,'TAR FIN'!$A$1:$O$116,15,0)),0,VLOOKUP($S$1430,'TAR FIN'!$A$1:$O$116,15,0))</f>
        <v>0</v>
      </c>
      <c r="W1430" s="6">
        <f>IF(ISERROR(VLOOKUP($T$1430,'TAR FIN'!$A$1:$O$116,15,0)),0,VLOOKUP($T$1430,'TAR FIN'!$A$1:$O$116,15,0))</f>
        <v>242.43</v>
      </c>
      <c r="X1430" s="6">
        <f>IF(ISERROR(VLOOKUP($U$1430,'TAR FIN'!$A$1:$O$116,15,0)),0,VLOOKUP($U$1430,'TAR FIN'!$A$1:$O$116,15,0))</f>
        <v>293.82</v>
      </c>
      <c r="Y1430" s="6"/>
      <c r="Z143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0" s="6">
        <f>('TE BE'!$AB$17+'TE BF'!$AB$17+'TE CVA'!$AB$17)*(1-CUSTOS!$M$36)</f>
        <v>296.66772978557373</v>
      </c>
      <c r="AB1430" s="6">
        <f>$K$1430*$V$1430</f>
        <v>0</v>
      </c>
      <c r="AC1430" s="6">
        <f>$M$1430*$W$1430</f>
        <v>647114.03526000003</v>
      </c>
      <c r="AD1430" s="6">
        <f>$O$1430*$X$1430</f>
        <v>784288.43724</v>
      </c>
      <c r="AE1430" s="6">
        <f>$K$1430*$Y$1430</f>
        <v>0</v>
      </c>
      <c r="AF1430" s="6">
        <f ca="1">$M$1430*$Z$1430</f>
        <v>743293.83065033227</v>
      </c>
      <c r="AG1430" s="6">
        <f>$O$1430*$AA$1430</f>
        <v>791889.83109749586</v>
      </c>
    </row>
    <row r="1431" spans="1:33" ht="11.25" customHeight="1" x14ac:dyDescent="0.25">
      <c r="A1431" s="4" t="s">
        <v>27</v>
      </c>
      <c r="B1431" s="4" t="s">
        <v>22</v>
      </c>
      <c r="C1431" s="4" t="s">
        <v>23</v>
      </c>
      <c r="D1431" s="4" t="s">
        <v>24</v>
      </c>
      <c r="E1431" s="4" t="s">
        <v>31</v>
      </c>
      <c r="F1431" s="4" t="s">
        <v>25</v>
      </c>
      <c r="G1431" s="4" t="s">
        <v>25</v>
      </c>
      <c r="H1431" s="4" t="s">
        <v>25</v>
      </c>
      <c r="I1431" s="5">
        <v>44378</v>
      </c>
      <c r="J1431" s="6">
        <v>0</v>
      </c>
      <c r="K1431" s="6">
        <v>0</v>
      </c>
      <c r="L1431" s="6">
        <v>-0.42399999999999999</v>
      </c>
      <c r="M1431" s="6">
        <v>-0.42399999999999999</v>
      </c>
      <c r="N1431" s="6">
        <v>-0.42399999999999999</v>
      </c>
      <c r="O1431" s="6">
        <v>-0.42399999999999999</v>
      </c>
      <c r="P1431" s="6">
        <v>-5</v>
      </c>
      <c r="Q1431" s="4" t="s">
        <v>26</v>
      </c>
      <c r="R1431" s="4">
        <v>0</v>
      </c>
      <c r="S1431" s="6">
        <v>0</v>
      </c>
      <c r="T1431" s="6">
        <v>44</v>
      </c>
      <c r="U1431" s="6">
        <v>87</v>
      </c>
      <c r="V1431" s="6">
        <f>IF(ISERROR(VLOOKUP($S$1431,'TAR FIN'!$A$1:$O$116,15,0)),0,VLOOKUP($S$1431,'TAR FIN'!$A$1:$O$116,15,0))</f>
        <v>0</v>
      </c>
      <c r="W1431" s="6">
        <f>IF(ISERROR(VLOOKUP($T$1431,'TAR FIN'!$A$1:$O$116,15,0)),0,VLOOKUP($T$1431,'TAR FIN'!$A$1:$O$116,15,0))</f>
        <v>242.43</v>
      </c>
      <c r="X1431" s="6">
        <f>IF(ISERROR(VLOOKUP($U$1431,'TAR FIN'!$A$1:$O$116,15,0)),0,VLOOKUP($U$1431,'TAR FIN'!$A$1:$O$116,15,0))</f>
        <v>293.82</v>
      </c>
      <c r="Y1431" s="6"/>
      <c r="Z143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1" s="6">
        <f>('TE BE'!$AB$17+'TE BF'!$AB$17+'TE CVA'!$AB$17)*(1-CUSTOS!$M$36)</f>
        <v>296.66772978557373</v>
      </c>
      <c r="AB1431" s="6">
        <f>$K$1431*$V$1431</f>
        <v>0</v>
      </c>
      <c r="AC1431" s="6">
        <f>$M$1431*$W$1431</f>
        <v>-102.79031999999999</v>
      </c>
      <c r="AD1431" s="6">
        <f>$O$1431*$X$1431</f>
        <v>-124.57968</v>
      </c>
      <c r="AE1431" s="6">
        <f>$K$1431*$Y$1431</f>
        <v>0</v>
      </c>
      <c r="AF1431" s="6">
        <f ca="1">$M$1431*$Z$1431</f>
        <v>-118.067923956982</v>
      </c>
      <c r="AG1431" s="6">
        <f>$O$1431*$AA$1431</f>
        <v>-125.78711742908325</v>
      </c>
    </row>
    <row r="1432" spans="1:33" ht="11.25" customHeight="1" x14ac:dyDescent="0.25">
      <c r="A1432" s="4" t="s">
        <v>28</v>
      </c>
      <c r="B1432" s="4" t="s">
        <v>22</v>
      </c>
      <c r="C1432" s="4" t="s">
        <v>23</v>
      </c>
      <c r="D1432" s="4" t="s">
        <v>24</v>
      </c>
      <c r="E1432" s="4" t="s">
        <v>31</v>
      </c>
      <c r="F1432" s="4" t="s">
        <v>25</v>
      </c>
      <c r="G1432" s="4" t="s">
        <v>25</v>
      </c>
      <c r="H1432" s="4" t="s">
        <v>25</v>
      </c>
      <c r="I1432" s="5">
        <v>44378</v>
      </c>
      <c r="J1432" s="6">
        <v>0</v>
      </c>
      <c r="K1432" s="6">
        <v>0</v>
      </c>
      <c r="L1432" s="6">
        <v>2.7730000000000001</v>
      </c>
      <c r="M1432" s="6">
        <v>2.7730000000000001</v>
      </c>
      <c r="N1432" s="6">
        <v>2.7730000000000001</v>
      </c>
      <c r="O1432" s="6">
        <v>2.7730000000000001</v>
      </c>
      <c r="P1432" s="6">
        <v>41</v>
      </c>
      <c r="Q1432" s="4" t="s">
        <v>26</v>
      </c>
      <c r="R1432" s="4">
        <v>0</v>
      </c>
      <c r="S1432" s="6">
        <v>0</v>
      </c>
      <c r="T1432" s="6">
        <v>44</v>
      </c>
      <c r="U1432" s="6">
        <v>87</v>
      </c>
      <c r="V1432" s="6">
        <f>IF(ISERROR(VLOOKUP($S$1432,'TAR FIN'!$A$1:$O$116,15,0)),0,VLOOKUP($S$1432,'TAR FIN'!$A$1:$O$116,15,0))</f>
        <v>0</v>
      </c>
      <c r="W1432" s="6">
        <f>IF(ISERROR(VLOOKUP($T$1432,'TAR FIN'!$A$1:$O$116,15,0)),0,VLOOKUP($T$1432,'TAR FIN'!$A$1:$O$116,15,0))</f>
        <v>242.43</v>
      </c>
      <c r="X1432" s="6">
        <f>IF(ISERROR(VLOOKUP($U$1432,'TAR FIN'!$A$1:$O$116,15,0)),0,VLOOKUP($U$1432,'TAR FIN'!$A$1:$O$116,15,0))</f>
        <v>293.82</v>
      </c>
      <c r="Y1432" s="6"/>
      <c r="Z143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2" s="6">
        <f>('TE BE'!$AB$17+'TE BF'!$AB$17+'TE CVA'!$AB$17)*(1-CUSTOS!$M$36)</f>
        <v>296.66772978557373</v>
      </c>
      <c r="AB1432" s="6">
        <f>$K$1432*$V$1432</f>
        <v>0</v>
      </c>
      <c r="AC1432" s="6">
        <f>$M$1432*$W$1432</f>
        <v>672.25839000000008</v>
      </c>
      <c r="AD1432" s="6">
        <f>$O$1432*$X$1432</f>
        <v>814.76286000000005</v>
      </c>
      <c r="AE1432" s="6">
        <f>$K$1432*$Y$1432</f>
        <v>0</v>
      </c>
      <c r="AF1432" s="6">
        <f ca="1">$M$1432*$Z$1432</f>
        <v>772.17536116205451</v>
      </c>
      <c r="AG1432" s="6">
        <f>$O$1432*$AA$1432</f>
        <v>822.65961469539593</v>
      </c>
    </row>
    <row r="1433" spans="1:33" ht="11.25" customHeight="1" x14ac:dyDescent="0.25">
      <c r="A1433" s="4" t="s">
        <v>21</v>
      </c>
      <c r="B1433" s="4" t="s">
        <v>22</v>
      </c>
      <c r="C1433" s="4" t="s">
        <v>23</v>
      </c>
      <c r="D1433" s="4" t="s">
        <v>24</v>
      </c>
      <c r="E1433" s="4" t="s">
        <v>31</v>
      </c>
      <c r="F1433" s="4" t="s">
        <v>25</v>
      </c>
      <c r="G1433" s="4" t="s">
        <v>25</v>
      </c>
      <c r="H1433" s="4" t="s">
        <v>25</v>
      </c>
      <c r="I1433" s="5">
        <v>44409</v>
      </c>
      <c r="J1433" s="6">
        <v>0</v>
      </c>
      <c r="K1433" s="6">
        <v>0</v>
      </c>
      <c r="L1433" s="6">
        <v>2759.5949999999998</v>
      </c>
      <c r="M1433" s="6">
        <v>2759.5949999999998</v>
      </c>
      <c r="N1433" s="6">
        <v>2759.5949999999998</v>
      </c>
      <c r="O1433" s="6">
        <v>2759.5949999999998</v>
      </c>
      <c r="P1433" s="6">
        <v>42968</v>
      </c>
      <c r="Q1433" s="4" t="s">
        <v>26</v>
      </c>
      <c r="R1433" s="4">
        <v>0</v>
      </c>
      <c r="S1433" s="6">
        <v>0</v>
      </c>
      <c r="T1433" s="6">
        <v>44</v>
      </c>
      <c r="U1433" s="6">
        <v>87</v>
      </c>
      <c r="V1433" s="6">
        <f>IF(ISERROR(VLOOKUP($S$1433,'TAR FIN'!$A$1:$O$116,15,0)),0,VLOOKUP($S$1433,'TAR FIN'!$A$1:$O$116,15,0))</f>
        <v>0</v>
      </c>
      <c r="W1433" s="6">
        <f>IF(ISERROR(VLOOKUP($T$1433,'TAR FIN'!$A$1:$O$116,15,0)),0,VLOOKUP($T$1433,'TAR FIN'!$A$1:$O$116,15,0))</f>
        <v>242.43</v>
      </c>
      <c r="X1433" s="6">
        <f>IF(ISERROR(VLOOKUP($U$1433,'TAR FIN'!$A$1:$O$116,15,0)),0,VLOOKUP($U$1433,'TAR FIN'!$A$1:$O$116,15,0))</f>
        <v>293.82</v>
      </c>
      <c r="Y1433" s="6"/>
      <c r="Z143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3" s="6">
        <f>('TE BE'!$AB$17+'TE BF'!$AB$17+'TE CVA'!$AB$17)*(1-CUSTOS!$M$36)</f>
        <v>296.66772978557373</v>
      </c>
      <c r="AB1433" s="6">
        <f>$K$1433*$V$1433</f>
        <v>0</v>
      </c>
      <c r="AC1433" s="6">
        <f>$M$1433*$W$1433</f>
        <v>669008.61584999994</v>
      </c>
      <c r="AD1433" s="6">
        <f>$O$1433*$X$1433</f>
        <v>810824.20289999992</v>
      </c>
      <c r="AE1433" s="6">
        <f>$K$1433*$Y$1433</f>
        <v>0</v>
      </c>
      <c r="AF1433" s="6">
        <f ca="1">$M$1433*$Z$1433</f>
        <v>768442.57691525412</v>
      </c>
      <c r="AG1433" s="6">
        <f>$O$1433*$AA$1433</f>
        <v>818682.78377762029</v>
      </c>
    </row>
    <row r="1434" spans="1:33" ht="11.25" customHeight="1" x14ac:dyDescent="0.25">
      <c r="A1434" s="4" t="s">
        <v>27</v>
      </c>
      <c r="B1434" s="4" t="s">
        <v>22</v>
      </c>
      <c r="C1434" s="4" t="s">
        <v>23</v>
      </c>
      <c r="D1434" s="4" t="s">
        <v>24</v>
      </c>
      <c r="E1434" s="4" t="s">
        <v>31</v>
      </c>
      <c r="F1434" s="4" t="s">
        <v>25</v>
      </c>
      <c r="G1434" s="4" t="s">
        <v>25</v>
      </c>
      <c r="H1434" s="4" t="s">
        <v>25</v>
      </c>
      <c r="I1434" s="5">
        <v>44409</v>
      </c>
      <c r="J1434" s="6">
        <v>0</v>
      </c>
      <c r="K1434" s="6">
        <v>0</v>
      </c>
      <c r="L1434" s="6">
        <v>-1.3959999999999999</v>
      </c>
      <c r="M1434" s="6">
        <v>-1.3959999999999999</v>
      </c>
      <c r="N1434" s="6">
        <v>-1.3959999999999999</v>
      </c>
      <c r="O1434" s="6">
        <v>-1.3959999999999999</v>
      </c>
      <c r="P1434" s="6">
        <v>-7</v>
      </c>
      <c r="Q1434" s="4" t="s">
        <v>26</v>
      </c>
      <c r="R1434" s="4">
        <v>0</v>
      </c>
      <c r="S1434" s="6">
        <v>0</v>
      </c>
      <c r="T1434" s="6">
        <v>44</v>
      </c>
      <c r="U1434" s="6">
        <v>87</v>
      </c>
      <c r="V1434" s="6">
        <f>IF(ISERROR(VLOOKUP($S$1434,'TAR FIN'!$A$1:$O$116,15,0)),0,VLOOKUP($S$1434,'TAR FIN'!$A$1:$O$116,15,0))</f>
        <v>0</v>
      </c>
      <c r="W1434" s="6">
        <f>IF(ISERROR(VLOOKUP($T$1434,'TAR FIN'!$A$1:$O$116,15,0)),0,VLOOKUP($T$1434,'TAR FIN'!$A$1:$O$116,15,0))</f>
        <v>242.43</v>
      </c>
      <c r="X1434" s="6">
        <f>IF(ISERROR(VLOOKUP($U$1434,'TAR FIN'!$A$1:$O$116,15,0)),0,VLOOKUP($U$1434,'TAR FIN'!$A$1:$O$116,15,0))</f>
        <v>293.82</v>
      </c>
      <c r="Y1434" s="6"/>
      <c r="Z143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4" s="6">
        <f>('TE BE'!$AB$17+'TE BF'!$AB$17+'TE CVA'!$AB$17)*(1-CUSTOS!$M$36)</f>
        <v>296.66772978557373</v>
      </c>
      <c r="AB1434" s="6">
        <f>$K$1434*$V$1434</f>
        <v>0</v>
      </c>
      <c r="AC1434" s="6">
        <f>$M$1434*$W$1434</f>
        <v>-338.43227999999999</v>
      </c>
      <c r="AD1434" s="6">
        <f>$O$1434*$X$1434</f>
        <v>-410.17271999999997</v>
      </c>
      <c r="AE1434" s="6">
        <f>$K$1434*$Y$1434</f>
        <v>0</v>
      </c>
      <c r="AF1434" s="6">
        <f ca="1">$M$1434*$Z$1434</f>
        <v>-388.73307038666712</v>
      </c>
      <c r="AG1434" s="6">
        <f>$O$1434*$AA$1434</f>
        <v>-414.1481507806609</v>
      </c>
    </row>
    <row r="1435" spans="1:33" ht="11.25" customHeight="1" x14ac:dyDescent="0.25">
      <c r="A1435" s="4" t="s">
        <v>28</v>
      </c>
      <c r="B1435" s="4" t="s">
        <v>22</v>
      </c>
      <c r="C1435" s="4" t="s">
        <v>23</v>
      </c>
      <c r="D1435" s="4" t="s">
        <v>24</v>
      </c>
      <c r="E1435" s="4" t="s">
        <v>31</v>
      </c>
      <c r="F1435" s="4" t="s">
        <v>25</v>
      </c>
      <c r="G1435" s="4" t="s">
        <v>25</v>
      </c>
      <c r="H1435" s="4" t="s">
        <v>25</v>
      </c>
      <c r="I1435" s="5">
        <v>44409</v>
      </c>
      <c r="J1435" s="6">
        <v>0</v>
      </c>
      <c r="K1435" s="6">
        <v>0</v>
      </c>
      <c r="L1435" s="6">
        <v>3.17</v>
      </c>
      <c r="M1435" s="6">
        <v>3.17</v>
      </c>
      <c r="N1435" s="6">
        <v>3.17</v>
      </c>
      <c r="O1435" s="6">
        <v>3.17</v>
      </c>
      <c r="P1435" s="6">
        <v>43</v>
      </c>
      <c r="Q1435" s="4" t="s">
        <v>26</v>
      </c>
      <c r="R1435" s="4">
        <v>0</v>
      </c>
      <c r="S1435" s="6">
        <v>0</v>
      </c>
      <c r="T1435" s="6">
        <v>44</v>
      </c>
      <c r="U1435" s="6">
        <v>87</v>
      </c>
      <c r="V1435" s="6">
        <f>IF(ISERROR(VLOOKUP($S$1435,'TAR FIN'!$A$1:$O$116,15,0)),0,VLOOKUP($S$1435,'TAR FIN'!$A$1:$O$116,15,0))</f>
        <v>0</v>
      </c>
      <c r="W1435" s="6">
        <f>IF(ISERROR(VLOOKUP($T$1435,'TAR FIN'!$A$1:$O$116,15,0)),0,VLOOKUP($T$1435,'TAR FIN'!$A$1:$O$116,15,0))</f>
        <v>242.43</v>
      </c>
      <c r="X1435" s="6">
        <f>IF(ISERROR(VLOOKUP($U$1435,'TAR FIN'!$A$1:$O$116,15,0)),0,VLOOKUP($U$1435,'TAR FIN'!$A$1:$O$116,15,0))</f>
        <v>293.82</v>
      </c>
      <c r="Y1435" s="6"/>
      <c r="Z143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5" s="6">
        <f>('TE BE'!$AB$17+'TE BF'!$AB$17+'TE CVA'!$AB$17)*(1-CUSTOS!$M$36)</f>
        <v>296.66772978557373</v>
      </c>
      <c r="AB1435" s="6">
        <f>$K$1435*$V$1435</f>
        <v>0</v>
      </c>
      <c r="AC1435" s="6">
        <f>$M$1435*$W$1435</f>
        <v>768.50310000000002</v>
      </c>
      <c r="AD1435" s="6">
        <f>$O$1435*$X$1435</f>
        <v>931.40940000000001</v>
      </c>
      <c r="AE1435" s="6">
        <f>$K$1435*$Y$1435</f>
        <v>0</v>
      </c>
      <c r="AF1435" s="6">
        <f ca="1">$M$1435*$Z$1435</f>
        <v>882.72480882932302</v>
      </c>
      <c r="AG1435" s="6">
        <f>$O$1435*$AA$1435</f>
        <v>940.43670342026871</v>
      </c>
    </row>
    <row r="1436" spans="1:33" ht="11.25" customHeight="1" x14ac:dyDescent="0.25">
      <c r="A1436" s="4" t="s">
        <v>21</v>
      </c>
      <c r="B1436" s="4" t="s">
        <v>22</v>
      </c>
      <c r="C1436" s="4" t="s">
        <v>23</v>
      </c>
      <c r="D1436" s="4" t="s">
        <v>24</v>
      </c>
      <c r="E1436" s="4" t="s">
        <v>31</v>
      </c>
      <c r="F1436" s="4" t="s">
        <v>25</v>
      </c>
      <c r="G1436" s="4" t="s">
        <v>25</v>
      </c>
      <c r="H1436" s="4" t="s">
        <v>25</v>
      </c>
      <c r="I1436" s="5">
        <v>44440</v>
      </c>
      <c r="J1436" s="6">
        <v>0</v>
      </c>
      <c r="K1436" s="6">
        <v>0</v>
      </c>
      <c r="L1436" s="6">
        <v>3327.1289999999999</v>
      </c>
      <c r="M1436" s="6">
        <v>3327.1289999999999</v>
      </c>
      <c r="N1436" s="6">
        <v>3327.1289999999999</v>
      </c>
      <c r="O1436" s="6">
        <v>3327.1289999999999</v>
      </c>
      <c r="P1436" s="6">
        <v>44946</v>
      </c>
      <c r="Q1436" s="4" t="s">
        <v>26</v>
      </c>
      <c r="R1436" s="4">
        <v>0</v>
      </c>
      <c r="S1436" s="6">
        <v>0</v>
      </c>
      <c r="T1436" s="6">
        <v>44</v>
      </c>
      <c r="U1436" s="6">
        <v>87</v>
      </c>
      <c r="V1436" s="6">
        <f>IF(ISERROR(VLOOKUP($S$1436,'TAR FIN'!$A$1:$O$116,15,0)),0,VLOOKUP($S$1436,'TAR FIN'!$A$1:$O$116,15,0))</f>
        <v>0</v>
      </c>
      <c r="W1436" s="6">
        <f>IF(ISERROR(VLOOKUP($T$1436,'TAR FIN'!$A$1:$O$116,15,0)),0,VLOOKUP($T$1436,'TAR FIN'!$A$1:$O$116,15,0))</f>
        <v>242.43</v>
      </c>
      <c r="X1436" s="6">
        <f>IF(ISERROR(VLOOKUP($U$1436,'TAR FIN'!$A$1:$O$116,15,0)),0,VLOOKUP($U$1436,'TAR FIN'!$A$1:$O$116,15,0))</f>
        <v>293.82</v>
      </c>
      <c r="Y1436" s="6"/>
      <c r="Z143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6" s="6">
        <f>('TE BE'!$AB$17+'TE BF'!$AB$17+'TE CVA'!$AB$17)*(1-CUSTOS!$M$36)</f>
        <v>296.66772978557373</v>
      </c>
      <c r="AB1436" s="6">
        <f>$K$1436*$V$1436</f>
        <v>0</v>
      </c>
      <c r="AC1436" s="6">
        <f>$M$1436*$W$1436</f>
        <v>806595.88347</v>
      </c>
      <c r="AD1436" s="6">
        <f>$O$1436*$X$1436</f>
        <v>977577.0427799999</v>
      </c>
      <c r="AE1436" s="6">
        <f>$K$1436*$Y$1436</f>
        <v>0</v>
      </c>
      <c r="AF1436" s="6">
        <f ca="1">$M$1436*$Z$1436</f>
        <v>926479.27775252261</v>
      </c>
      <c r="AG1436" s="6">
        <f>$O$1436*$AA$1436</f>
        <v>987051.8071337461</v>
      </c>
    </row>
    <row r="1437" spans="1:33" ht="11.25" customHeight="1" x14ac:dyDescent="0.25">
      <c r="A1437" s="4" t="s">
        <v>27</v>
      </c>
      <c r="B1437" s="4" t="s">
        <v>22</v>
      </c>
      <c r="C1437" s="4" t="s">
        <v>23</v>
      </c>
      <c r="D1437" s="4" t="s">
        <v>24</v>
      </c>
      <c r="E1437" s="4" t="s">
        <v>31</v>
      </c>
      <c r="F1437" s="4" t="s">
        <v>25</v>
      </c>
      <c r="G1437" s="4" t="s">
        <v>25</v>
      </c>
      <c r="H1437" s="4" t="s">
        <v>25</v>
      </c>
      <c r="I1437" s="5">
        <v>44440</v>
      </c>
      <c r="J1437" s="6">
        <v>0</v>
      </c>
      <c r="K1437" s="6">
        <v>0</v>
      </c>
      <c r="L1437" s="6">
        <v>-1.381</v>
      </c>
      <c r="M1437" s="6">
        <v>-1.381</v>
      </c>
      <c r="N1437" s="6">
        <v>-1.381</v>
      </c>
      <c r="O1437" s="6">
        <v>-1.381</v>
      </c>
      <c r="P1437" s="6">
        <v>-8</v>
      </c>
      <c r="Q1437" s="4" t="s">
        <v>26</v>
      </c>
      <c r="R1437" s="4">
        <v>0</v>
      </c>
      <c r="S1437" s="6">
        <v>0</v>
      </c>
      <c r="T1437" s="6">
        <v>44</v>
      </c>
      <c r="U1437" s="6">
        <v>87</v>
      </c>
      <c r="V1437" s="6">
        <f>IF(ISERROR(VLOOKUP($S$1437,'TAR FIN'!$A$1:$O$116,15,0)),0,VLOOKUP($S$1437,'TAR FIN'!$A$1:$O$116,15,0))</f>
        <v>0</v>
      </c>
      <c r="W1437" s="6">
        <f>IF(ISERROR(VLOOKUP($T$1437,'TAR FIN'!$A$1:$O$116,15,0)),0,VLOOKUP($T$1437,'TAR FIN'!$A$1:$O$116,15,0))</f>
        <v>242.43</v>
      </c>
      <c r="X1437" s="6">
        <f>IF(ISERROR(VLOOKUP($U$1437,'TAR FIN'!$A$1:$O$116,15,0)),0,VLOOKUP($U$1437,'TAR FIN'!$A$1:$O$116,15,0))</f>
        <v>293.82</v>
      </c>
      <c r="Y1437" s="6"/>
      <c r="Z143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7" s="6">
        <f>('TE BE'!$AB$17+'TE BF'!$AB$17+'TE CVA'!$AB$17)*(1-CUSTOS!$M$36)</f>
        <v>296.66772978557373</v>
      </c>
      <c r="AB1437" s="6">
        <f>$K$1437*$V$1437</f>
        <v>0</v>
      </c>
      <c r="AC1437" s="6">
        <f>$M$1437*$W$1437</f>
        <v>-334.79583000000002</v>
      </c>
      <c r="AD1437" s="6">
        <f>$O$1437*$X$1437</f>
        <v>-405.76542000000001</v>
      </c>
      <c r="AE1437" s="6">
        <f>$K$1437*$Y$1437</f>
        <v>0</v>
      </c>
      <c r="AF1437" s="6">
        <f ca="1">$M$1437*$Z$1437</f>
        <v>-384.55613911460415</v>
      </c>
      <c r="AG1437" s="6">
        <f>$O$1437*$AA$1437</f>
        <v>-409.6981348338773</v>
      </c>
    </row>
    <row r="1438" spans="1:33" ht="11.25" customHeight="1" x14ac:dyDescent="0.25">
      <c r="A1438" s="4" t="s">
        <v>28</v>
      </c>
      <c r="B1438" s="4" t="s">
        <v>22</v>
      </c>
      <c r="C1438" s="4" t="s">
        <v>23</v>
      </c>
      <c r="D1438" s="4" t="s">
        <v>24</v>
      </c>
      <c r="E1438" s="4" t="s">
        <v>31</v>
      </c>
      <c r="F1438" s="4" t="s">
        <v>25</v>
      </c>
      <c r="G1438" s="4" t="s">
        <v>25</v>
      </c>
      <c r="H1438" s="4" t="s">
        <v>25</v>
      </c>
      <c r="I1438" s="5">
        <v>44440</v>
      </c>
      <c r="J1438" s="6">
        <v>0</v>
      </c>
      <c r="K1438" s="6">
        <v>0</v>
      </c>
      <c r="L1438" s="6">
        <v>2.5190000000000001</v>
      </c>
      <c r="M1438" s="6">
        <v>2.5190000000000001</v>
      </c>
      <c r="N1438" s="6">
        <v>2.5190000000000001</v>
      </c>
      <c r="O1438" s="6">
        <v>2.5190000000000001</v>
      </c>
      <c r="P1438" s="6">
        <v>41</v>
      </c>
      <c r="Q1438" s="4" t="s">
        <v>26</v>
      </c>
      <c r="R1438" s="4">
        <v>0</v>
      </c>
      <c r="S1438" s="6">
        <v>0</v>
      </c>
      <c r="T1438" s="6">
        <v>44</v>
      </c>
      <c r="U1438" s="6">
        <v>87</v>
      </c>
      <c r="V1438" s="6">
        <f>IF(ISERROR(VLOOKUP($S$1438,'TAR FIN'!$A$1:$O$116,15,0)),0,VLOOKUP($S$1438,'TAR FIN'!$A$1:$O$116,15,0))</f>
        <v>0</v>
      </c>
      <c r="W1438" s="6">
        <f>IF(ISERROR(VLOOKUP($T$1438,'TAR FIN'!$A$1:$O$116,15,0)),0,VLOOKUP($T$1438,'TAR FIN'!$A$1:$O$116,15,0))</f>
        <v>242.43</v>
      </c>
      <c r="X1438" s="6">
        <f>IF(ISERROR(VLOOKUP($U$1438,'TAR FIN'!$A$1:$O$116,15,0)),0,VLOOKUP($U$1438,'TAR FIN'!$A$1:$O$116,15,0))</f>
        <v>293.82</v>
      </c>
      <c r="Y1438" s="6"/>
      <c r="Z143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8" s="6">
        <f>('TE BE'!$AB$17+'TE BF'!$AB$17+'TE CVA'!$AB$17)*(1-CUSTOS!$M$36)</f>
        <v>296.66772978557373</v>
      </c>
      <c r="AB1438" s="6">
        <f>$K$1438*$V$1438</f>
        <v>0</v>
      </c>
      <c r="AC1438" s="6">
        <f>$M$1438*$W$1438</f>
        <v>610.68117000000007</v>
      </c>
      <c r="AD1438" s="6">
        <f>$O$1438*$X$1438</f>
        <v>740.13258000000008</v>
      </c>
      <c r="AE1438" s="6">
        <f>$K$1438*$Y$1438</f>
        <v>0</v>
      </c>
      <c r="AF1438" s="6">
        <f ca="1">$M$1438*$Z$1438</f>
        <v>701.44599162178702</v>
      </c>
      <c r="AG1438" s="6">
        <f>$O$1438*$AA$1438</f>
        <v>747.30601132986021</v>
      </c>
    </row>
    <row r="1439" spans="1:33" ht="11.25" customHeight="1" x14ac:dyDescent="0.25">
      <c r="A1439" s="4" t="s">
        <v>21</v>
      </c>
      <c r="B1439" s="4" t="s">
        <v>22</v>
      </c>
      <c r="C1439" s="4" t="s">
        <v>23</v>
      </c>
      <c r="D1439" s="4" t="s">
        <v>24</v>
      </c>
      <c r="E1439" s="4" t="s">
        <v>31</v>
      </c>
      <c r="F1439" s="4" t="s">
        <v>25</v>
      </c>
      <c r="G1439" s="4" t="s">
        <v>25</v>
      </c>
      <c r="H1439" s="4" t="s">
        <v>25</v>
      </c>
      <c r="I1439" s="5">
        <v>44470</v>
      </c>
      <c r="J1439" s="6">
        <v>0</v>
      </c>
      <c r="K1439" s="6">
        <v>0</v>
      </c>
      <c r="L1439" s="6">
        <v>2989.3139999999999</v>
      </c>
      <c r="M1439" s="6">
        <v>2989.3139999999999</v>
      </c>
      <c r="N1439" s="6">
        <v>2989.3139999999999</v>
      </c>
      <c r="O1439" s="6">
        <v>2989.3139999999999</v>
      </c>
      <c r="P1439" s="6">
        <v>44214</v>
      </c>
      <c r="Q1439" s="4" t="s">
        <v>26</v>
      </c>
      <c r="R1439" s="4">
        <v>0</v>
      </c>
      <c r="S1439" s="6">
        <v>0</v>
      </c>
      <c r="T1439" s="6">
        <v>44</v>
      </c>
      <c r="U1439" s="6">
        <v>87</v>
      </c>
      <c r="V1439" s="6">
        <f>IF(ISERROR(VLOOKUP($S$1439,'TAR FIN'!$A$1:$O$116,15,0)),0,VLOOKUP($S$1439,'TAR FIN'!$A$1:$O$116,15,0))</f>
        <v>0</v>
      </c>
      <c r="W1439" s="6">
        <f>IF(ISERROR(VLOOKUP($T$1439,'TAR FIN'!$A$1:$O$116,15,0)),0,VLOOKUP($T$1439,'TAR FIN'!$A$1:$O$116,15,0))</f>
        <v>242.43</v>
      </c>
      <c r="X1439" s="6">
        <f>IF(ISERROR(VLOOKUP($U$1439,'TAR FIN'!$A$1:$O$116,15,0)),0,VLOOKUP($U$1439,'TAR FIN'!$A$1:$O$116,15,0))</f>
        <v>293.82</v>
      </c>
      <c r="Y1439" s="6"/>
      <c r="Z143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39" s="6">
        <f>('TE BE'!$AB$17+'TE BF'!$AB$17+'TE CVA'!$AB$17)*(1-CUSTOS!$M$36)</f>
        <v>296.66772978557373</v>
      </c>
      <c r="AB1439" s="6">
        <f>$K$1439*$V$1439</f>
        <v>0</v>
      </c>
      <c r="AC1439" s="6">
        <f>$M$1439*$W$1439</f>
        <v>724699.39301999996</v>
      </c>
      <c r="AD1439" s="6">
        <f>$O$1439*$X$1439</f>
        <v>878320.23947999999</v>
      </c>
      <c r="AE1439" s="6">
        <f>$K$1439*$Y$1439</f>
        <v>0</v>
      </c>
      <c r="AF1439" s="6">
        <f ca="1">$M$1439*$Z$1439</f>
        <v>832410.60857439076</v>
      </c>
      <c r="AG1439" s="6">
        <f>$O$1439*$AA$1439</f>
        <v>886832.99799623247</v>
      </c>
    </row>
    <row r="1440" spans="1:33" ht="11.25" customHeight="1" x14ac:dyDescent="0.25">
      <c r="A1440" s="4" t="s">
        <v>27</v>
      </c>
      <c r="B1440" s="4" t="s">
        <v>22</v>
      </c>
      <c r="C1440" s="4" t="s">
        <v>23</v>
      </c>
      <c r="D1440" s="4" t="s">
        <v>24</v>
      </c>
      <c r="E1440" s="4" t="s">
        <v>31</v>
      </c>
      <c r="F1440" s="4" t="s">
        <v>25</v>
      </c>
      <c r="G1440" s="4" t="s">
        <v>25</v>
      </c>
      <c r="H1440" s="4" t="s">
        <v>25</v>
      </c>
      <c r="I1440" s="5">
        <v>44470</v>
      </c>
      <c r="J1440" s="6">
        <v>0</v>
      </c>
      <c r="K1440" s="6">
        <v>0</v>
      </c>
      <c r="L1440" s="6">
        <v>-0.65900000000000003</v>
      </c>
      <c r="M1440" s="6">
        <v>-0.65900000000000003</v>
      </c>
      <c r="N1440" s="6">
        <v>-0.65900000000000003</v>
      </c>
      <c r="O1440" s="6">
        <v>-0.65900000000000003</v>
      </c>
      <c r="P1440" s="6">
        <v>-7</v>
      </c>
      <c r="Q1440" s="4" t="s">
        <v>26</v>
      </c>
      <c r="R1440" s="4">
        <v>0</v>
      </c>
      <c r="S1440" s="6">
        <v>0</v>
      </c>
      <c r="T1440" s="6">
        <v>44</v>
      </c>
      <c r="U1440" s="6">
        <v>87</v>
      </c>
      <c r="V1440" s="6">
        <f>IF(ISERROR(VLOOKUP($S$1440,'TAR FIN'!$A$1:$O$116,15,0)),0,VLOOKUP($S$1440,'TAR FIN'!$A$1:$O$116,15,0))</f>
        <v>0</v>
      </c>
      <c r="W1440" s="6">
        <f>IF(ISERROR(VLOOKUP($T$1440,'TAR FIN'!$A$1:$O$116,15,0)),0,VLOOKUP($T$1440,'TAR FIN'!$A$1:$O$116,15,0))</f>
        <v>242.43</v>
      </c>
      <c r="X1440" s="6">
        <f>IF(ISERROR(VLOOKUP($U$1440,'TAR FIN'!$A$1:$O$116,15,0)),0,VLOOKUP($U$1440,'TAR FIN'!$A$1:$O$116,15,0))</f>
        <v>293.82</v>
      </c>
      <c r="Y1440" s="6"/>
      <c r="Z144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0" s="6">
        <f>('TE BE'!$AB$17+'TE BF'!$AB$17+'TE CVA'!$AB$17)*(1-CUSTOS!$M$36)</f>
        <v>296.66772978557373</v>
      </c>
      <c r="AB1440" s="6">
        <f>$K$1440*$V$1440</f>
        <v>0</v>
      </c>
      <c r="AC1440" s="6">
        <f>$M$1440*$W$1440</f>
        <v>-159.76137</v>
      </c>
      <c r="AD1440" s="6">
        <f>$O$1440*$X$1440</f>
        <v>-193.62738000000002</v>
      </c>
      <c r="AE1440" s="6">
        <f>$K$1440*$Y$1440</f>
        <v>0</v>
      </c>
      <c r="AF1440" s="6">
        <f ca="1">$M$1440*$Z$1440</f>
        <v>-183.5065138859697</v>
      </c>
      <c r="AG1440" s="6">
        <f>$O$1440*$AA$1440</f>
        <v>-195.5040339286931</v>
      </c>
    </row>
    <row r="1441" spans="1:33" ht="11.25" customHeight="1" x14ac:dyDescent="0.25">
      <c r="A1441" s="4" t="s">
        <v>28</v>
      </c>
      <c r="B1441" s="4" t="s">
        <v>22</v>
      </c>
      <c r="C1441" s="4" t="s">
        <v>23</v>
      </c>
      <c r="D1441" s="4" t="s">
        <v>24</v>
      </c>
      <c r="E1441" s="4" t="s">
        <v>31</v>
      </c>
      <c r="F1441" s="4" t="s">
        <v>25</v>
      </c>
      <c r="G1441" s="4" t="s">
        <v>25</v>
      </c>
      <c r="H1441" s="4" t="s">
        <v>25</v>
      </c>
      <c r="I1441" s="5">
        <v>44470</v>
      </c>
      <c r="J1441" s="6">
        <v>0</v>
      </c>
      <c r="K1441" s="6">
        <v>0</v>
      </c>
      <c r="L1441" s="6">
        <v>2.9409999999999998</v>
      </c>
      <c r="M1441" s="6">
        <v>2.9409999999999998</v>
      </c>
      <c r="N1441" s="6">
        <v>2.9409999999999998</v>
      </c>
      <c r="O1441" s="6">
        <v>2.9409999999999998</v>
      </c>
      <c r="P1441" s="6">
        <v>42</v>
      </c>
      <c r="Q1441" s="4" t="s">
        <v>26</v>
      </c>
      <c r="R1441" s="4">
        <v>0</v>
      </c>
      <c r="S1441" s="6">
        <v>0</v>
      </c>
      <c r="T1441" s="6">
        <v>44</v>
      </c>
      <c r="U1441" s="6">
        <v>87</v>
      </c>
      <c r="V1441" s="6">
        <f>IF(ISERROR(VLOOKUP($S$1441,'TAR FIN'!$A$1:$O$116,15,0)),0,VLOOKUP($S$1441,'TAR FIN'!$A$1:$O$116,15,0))</f>
        <v>0</v>
      </c>
      <c r="W1441" s="6">
        <f>IF(ISERROR(VLOOKUP($T$1441,'TAR FIN'!$A$1:$O$116,15,0)),0,VLOOKUP($T$1441,'TAR FIN'!$A$1:$O$116,15,0))</f>
        <v>242.43</v>
      </c>
      <c r="X1441" s="6">
        <f>IF(ISERROR(VLOOKUP($U$1441,'TAR FIN'!$A$1:$O$116,15,0)),0,VLOOKUP($U$1441,'TAR FIN'!$A$1:$O$116,15,0))</f>
        <v>293.82</v>
      </c>
      <c r="Y1441" s="6"/>
      <c r="Z144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1" s="6">
        <f>('TE BE'!$AB$17+'TE BF'!$AB$17+'TE CVA'!$AB$17)*(1-CUSTOS!$M$36)</f>
        <v>296.66772978557373</v>
      </c>
      <c r="AB1441" s="6">
        <f>$K$1441*$V$1441</f>
        <v>0</v>
      </c>
      <c r="AC1441" s="6">
        <f>$M$1441*$W$1441</f>
        <v>712.98662999999999</v>
      </c>
      <c r="AD1441" s="6">
        <f>$O$1441*$X$1441</f>
        <v>864.12461999999994</v>
      </c>
      <c r="AE1441" s="6">
        <f>$K$1441*$Y$1441</f>
        <v>0</v>
      </c>
      <c r="AF1441" s="6">
        <f ca="1">$M$1441*$Z$1441</f>
        <v>818.95699140916054</v>
      </c>
      <c r="AG1441" s="6">
        <f>$O$1441*$AA$1441</f>
        <v>872.4997932993723</v>
      </c>
    </row>
    <row r="1442" spans="1:33" ht="11.25" customHeight="1" x14ac:dyDescent="0.25">
      <c r="A1442" s="4" t="s">
        <v>21</v>
      </c>
      <c r="B1442" s="4" t="s">
        <v>22</v>
      </c>
      <c r="C1442" s="4" t="s">
        <v>23</v>
      </c>
      <c r="D1442" s="4" t="s">
        <v>24</v>
      </c>
      <c r="E1442" s="4" t="s">
        <v>31</v>
      </c>
      <c r="F1442" s="4" t="s">
        <v>25</v>
      </c>
      <c r="G1442" s="4" t="s">
        <v>25</v>
      </c>
      <c r="H1442" s="4" t="s">
        <v>25</v>
      </c>
      <c r="I1442" s="5">
        <v>44501</v>
      </c>
      <c r="J1442" s="6">
        <v>0</v>
      </c>
      <c r="K1442" s="6">
        <v>0</v>
      </c>
      <c r="L1442" s="6">
        <v>3090.9580000000001</v>
      </c>
      <c r="M1442" s="6">
        <v>3090.9580000000001</v>
      </c>
      <c r="N1442" s="6">
        <v>3090.9580000000001</v>
      </c>
      <c r="O1442" s="6">
        <v>3090.9580000000001</v>
      </c>
      <c r="P1442" s="6">
        <v>45323</v>
      </c>
      <c r="Q1442" s="4" t="s">
        <v>26</v>
      </c>
      <c r="R1442" s="4">
        <v>0</v>
      </c>
      <c r="S1442" s="6">
        <v>0</v>
      </c>
      <c r="T1442" s="6">
        <v>44</v>
      </c>
      <c r="U1442" s="6">
        <v>87</v>
      </c>
      <c r="V1442" s="6">
        <f>IF(ISERROR(VLOOKUP($S$1442,'TAR FIN'!$A$1:$O$116,15,0)),0,VLOOKUP($S$1442,'TAR FIN'!$A$1:$O$116,15,0))</f>
        <v>0</v>
      </c>
      <c r="W1442" s="6">
        <f>IF(ISERROR(VLOOKUP($T$1442,'TAR FIN'!$A$1:$O$116,15,0)),0,VLOOKUP($T$1442,'TAR FIN'!$A$1:$O$116,15,0))</f>
        <v>242.43</v>
      </c>
      <c r="X1442" s="6">
        <f>IF(ISERROR(VLOOKUP($U$1442,'TAR FIN'!$A$1:$O$116,15,0)),0,VLOOKUP($U$1442,'TAR FIN'!$A$1:$O$116,15,0))</f>
        <v>293.82</v>
      </c>
      <c r="Y1442" s="6"/>
      <c r="Z144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2" s="6">
        <f>('TE BE'!$AB$17+'TE BF'!$AB$17+'TE CVA'!$AB$17)*(1-CUSTOS!$M$36)</f>
        <v>296.66772978557373</v>
      </c>
      <c r="AB1442" s="6">
        <f>$K$1442*$V$1442</f>
        <v>0</v>
      </c>
      <c r="AC1442" s="6">
        <f>$M$1442*$W$1442</f>
        <v>749340.94793999998</v>
      </c>
      <c r="AD1442" s="6">
        <f>$O$1442*$X$1442</f>
        <v>908185.27956000005</v>
      </c>
      <c r="AE1442" s="6">
        <f>$K$1442*$Y$1442</f>
        <v>0</v>
      </c>
      <c r="AF1442" s="6">
        <f ca="1">$M$1442*$Z$1442</f>
        <v>860714.60872222926</v>
      </c>
      <c r="AG1442" s="6">
        <f>$O$1442*$AA$1442</f>
        <v>916987.49272255739</v>
      </c>
    </row>
    <row r="1443" spans="1:33" ht="11.25" customHeight="1" x14ac:dyDescent="0.25">
      <c r="A1443" s="4" t="s">
        <v>27</v>
      </c>
      <c r="B1443" s="4" t="s">
        <v>22</v>
      </c>
      <c r="C1443" s="4" t="s">
        <v>23</v>
      </c>
      <c r="D1443" s="4" t="s">
        <v>24</v>
      </c>
      <c r="E1443" s="4" t="s">
        <v>31</v>
      </c>
      <c r="F1443" s="4" t="s">
        <v>25</v>
      </c>
      <c r="G1443" s="4" t="s">
        <v>25</v>
      </c>
      <c r="H1443" s="4" t="s">
        <v>25</v>
      </c>
      <c r="I1443" s="5">
        <v>44501</v>
      </c>
      <c r="J1443" s="6">
        <v>0</v>
      </c>
      <c r="K1443" s="6">
        <v>0</v>
      </c>
      <c r="L1443" s="6">
        <v>-1.4450000000000001</v>
      </c>
      <c r="M1443" s="6">
        <v>-1.4450000000000001</v>
      </c>
      <c r="N1443" s="6">
        <v>-1.4450000000000001</v>
      </c>
      <c r="O1443" s="6">
        <v>-1.4450000000000001</v>
      </c>
      <c r="P1443" s="6">
        <v>-22</v>
      </c>
      <c r="Q1443" s="4" t="s">
        <v>26</v>
      </c>
      <c r="R1443" s="4">
        <v>0</v>
      </c>
      <c r="S1443" s="6">
        <v>0</v>
      </c>
      <c r="T1443" s="6">
        <v>44</v>
      </c>
      <c r="U1443" s="6">
        <v>87</v>
      </c>
      <c r="V1443" s="6">
        <f>IF(ISERROR(VLOOKUP($S$1443,'TAR FIN'!$A$1:$O$116,15,0)),0,VLOOKUP($S$1443,'TAR FIN'!$A$1:$O$116,15,0))</f>
        <v>0</v>
      </c>
      <c r="W1443" s="6">
        <f>IF(ISERROR(VLOOKUP($T$1443,'TAR FIN'!$A$1:$O$116,15,0)),0,VLOOKUP($T$1443,'TAR FIN'!$A$1:$O$116,15,0))</f>
        <v>242.43</v>
      </c>
      <c r="X1443" s="6">
        <f>IF(ISERROR(VLOOKUP($U$1443,'TAR FIN'!$A$1:$O$116,15,0)),0,VLOOKUP($U$1443,'TAR FIN'!$A$1:$O$116,15,0))</f>
        <v>293.82</v>
      </c>
      <c r="Y1443" s="6"/>
      <c r="Z144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3" s="6">
        <f>('TE BE'!$AB$17+'TE BF'!$AB$17+'TE CVA'!$AB$17)*(1-CUSTOS!$M$36)</f>
        <v>296.66772978557373</v>
      </c>
      <c r="AB1443" s="6">
        <f>$K$1443*$V$1443</f>
        <v>0</v>
      </c>
      <c r="AC1443" s="6">
        <f>$M$1443*$W$1443</f>
        <v>-350.31135</v>
      </c>
      <c r="AD1443" s="6">
        <f>$O$1443*$X$1443</f>
        <v>-424.56990000000002</v>
      </c>
      <c r="AE1443" s="6">
        <f>$K$1443*$Y$1443</f>
        <v>0</v>
      </c>
      <c r="AF1443" s="6">
        <f ca="1">$M$1443*$Z$1443</f>
        <v>-402.37771254207314</v>
      </c>
      <c r="AG1443" s="6">
        <f>$O$1443*$AA$1443</f>
        <v>-428.68486954015407</v>
      </c>
    </row>
    <row r="1444" spans="1:33" ht="11.25" customHeight="1" x14ac:dyDescent="0.25">
      <c r="A1444" s="4" t="s">
        <v>28</v>
      </c>
      <c r="B1444" s="4" t="s">
        <v>22</v>
      </c>
      <c r="C1444" s="4" t="s">
        <v>23</v>
      </c>
      <c r="D1444" s="4" t="s">
        <v>24</v>
      </c>
      <c r="E1444" s="4" t="s">
        <v>31</v>
      </c>
      <c r="F1444" s="4" t="s">
        <v>25</v>
      </c>
      <c r="G1444" s="4" t="s">
        <v>25</v>
      </c>
      <c r="H1444" s="4" t="s">
        <v>25</v>
      </c>
      <c r="I1444" s="5">
        <v>44501</v>
      </c>
      <c r="J1444" s="6">
        <v>0</v>
      </c>
      <c r="K1444" s="6">
        <v>0</v>
      </c>
      <c r="L1444" s="6">
        <v>3.6320000000000001</v>
      </c>
      <c r="M1444" s="6">
        <v>3.6320000000000001</v>
      </c>
      <c r="N1444" s="6">
        <v>3.6320000000000001</v>
      </c>
      <c r="O1444" s="6">
        <v>3.6320000000000001</v>
      </c>
      <c r="P1444" s="6">
        <v>53</v>
      </c>
      <c r="Q1444" s="4" t="s">
        <v>26</v>
      </c>
      <c r="R1444" s="4">
        <v>0</v>
      </c>
      <c r="S1444" s="6">
        <v>0</v>
      </c>
      <c r="T1444" s="6">
        <v>44</v>
      </c>
      <c r="U1444" s="6">
        <v>87</v>
      </c>
      <c r="V1444" s="6">
        <f>IF(ISERROR(VLOOKUP($S$1444,'TAR FIN'!$A$1:$O$116,15,0)),0,VLOOKUP($S$1444,'TAR FIN'!$A$1:$O$116,15,0))</f>
        <v>0</v>
      </c>
      <c r="W1444" s="6">
        <f>IF(ISERROR(VLOOKUP($T$1444,'TAR FIN'!$A$1:$O$116,15,0)),0,VLOOKUP($T$1444,'TAR FIN'!$A$1:$O$116,15,0))</f>
        <v>242.43</v>
      </c>
      <c r="X1444" s="6">
        <f>IF(ISERROR(VLOOKUP($U$1444,'TAR FIN'!$A$1:$O$116,15,0)),0,VLOOKUP($U$1444,'TAR FIN'!$A$1:$O$116,15,0))</f>
        <v>293.82</v>
      </c>
      <c r="Y1444" s="6"/>
      <c r="Z144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4" s="6">
        <f>('TE BE'!$AB$17+'TE BF'!$AB$17+'TE CVA'!$AB$17)*(1-CUSTOS!$M$36)</f>
        <v>296.66772978557373</v>
      </c>
      <c r="AB1444" s="6">
        <f>$K$1444*$V$1444</f>
        <v>0</v>
      </c>
      <c r="AC1444" s="6">
        <f>$M$1444*$W$1444</f>
        <v>880.50576000000001</v>
      </c>
      <c r="AD1444" s="6">
        <f>$O$1444*$X$1444</f>
        <v>1067.1542400000001</v>
      </c>
      <c r="AE1444" s="6">
        <f>$K$1444*$Y$1444</f>
        <v>0</v>
      </c>
      <c r="AF1444" s="6">
        <f ca="1">$M$1444*$Z$1444</f>
        <v>1011.3742920088648</v>
      </c>
      <c r="AG1444" s="6">
        <f>$O$1444*$AA$1444</f>
        <v>1077.4971945812038</v>
      </c>
    </row>
    <row r="1445" spans="1:33" ht="11.25" customHeight="1" x14ac:dyDescent="0.25">
      <c r="A1445" s="4" t="s">
        <v>21</v>
      </c>
      <c r="B1445" s="4" t="s">
        <v>22</v>
      </c>
      <c r="C1445" s="4" t="s">
        <v>23</v>
      </c>
      <c r="D1445" s="4" t="s">
        <v>24</v>
      </c>
      <c r="E1445" s="4" t="s">
        <v>31</v>
      </c>
      <c r="F1445" s="4" t="s">
        <v>25</v>
      </c>
      <c r="G1445" s="4" t="s">
        <v>25</v>
      </c>
      <c r="H1445" s="4" t="s">
        <v>25</v>
      </c>
      <c r="I1445" s="5">
        <v>44531</v>
      </c>
      <c r="J1445" s="6">
        <v>0</v>
      </c>
      <c r="K1445" s="6">
        <v>0</v>
      </c>
      <c r="L1445" s="6">
        <v>3567.2890000000002</v>
      </c>
      <c r="M1445" s="6">
        <v>3567.2890000000002</v>
      </c>
      <c r="N1445" s="6">
        <v>3567.2890000000002</v>
      </c>
      <c r="O1445" s="6">
        <v>3567.2890000000002</v>
      </c>
      <c r="P1445" s="6">
        <v>46719</v>
      </c>
      <c r="Q1445" s="4" t="s">
        <v>26</v>
      </c>
      <c r="R1445" s="4">
        <v>0</v>
      </c>
      <c r="S1445" s="6">
        <v>0</v>
      </c>
      <c r="T1445" s="6">
        <v>44</v>
      </c>
      <c r="U1445" s="6">
        <v>87</v>
      </c>
      <c r="V1445" s="6">
        <f>IF(ISERROR(VLOOKUP($S$1445,'TAR FIN'!$A$1:$O$116,15,0)),0,VLOOKUP($S$1445,'TAR FIN'!$A$1:$O$116,15,0))</f>
        <v>0</v>
      </c>
      <c r="W1445" s="6">
        <f>IF(ISERROR(VLOOKUP($T$1445,'TAR FIN'!$A$1:$O$116,15,0)),0,VLOOKUP($T$1445,'TAR FIN'!$A$1:$O$116,15,0))</f>
        <v>242.43</v>
      </c>
      <c r="X1445" s="6">
        <f>IF(ISERROR(VLOOKUP($U$1445,'TAR FIN'!$A$1:$O$116,15,0)),0,VLOOKUP($U$1445,'TAR FIN'!$A$1:$O$116,15,0))</f>
        <v>293.82</v>
      </c>
      <c r="Y1445" s="6"/>
      <c r="Z144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5" s="6">
        <f>('TE BE'!$AB$17+'TE BF'!$AB$17+'TE CVA'!$AB$17)*(1-CUSTOS!$M$36)</f>
        <v>296.66772978557373</v>
      </c>
      <c r="AB1445" s="6">
        <f>$K$1445*$V$1445</f>
        <v>0</v>
      </c>
      <c r="AC1445" s="6">
        <f>$M$1445*$W$1445</f>
        <v>864817.87227000005</v>
      </c>
      <c r="AD1445" s="6">
        <f>$O$1445*$X$1445</f>
        <v>1048140.85398</v>
      </c>
      <c r="AE1445" s="6">
        <f>$K$1445*$Y$1445</f>
        <v>0</v>
      </c>
      <c r="AF1445" s="6">
        <f ca="1">$M$1445*$Z$1445</f>
        <v>993354.73203910002</v>
      </c>
      <c r="AG1445" s="6">
        <f>$O$1445*$AA$1445</f>
        <v>1058299.5291190497</v>
      </c>
    </row>
    <row r="1446" spans="1:33" ht="11.25" customHeight="1" x14ac:dyDescent="0.25">
      <c r="A1446" s="4" t="s">
        <v>27</v>
      </c>
      <c r="B1446" s="4" t="s">
        <v>22</v>
      </c>
      <c r="C1446" s="4" t="s">
        <v>23</v>
      </c>
      <c r="D1446" s="4" t="s">
        <v>24</v>
      </c>
      <c r="E1446" s="4" t="s">
        <v>31</v>
      </c>
      <c r="F1446" s="4" t="s">
        <v>25</v>
      </c>
      <c r="G1446" s="4" t="s">
        <v>25</v>
      </c>
      <c r="H1446" s="4" t="s">
        <v>25</v>
      </c>
      <c r="I1446" s="5">
        <v>44531</v>
      </c>
      <c r="J1446" s="6">
        <v>0</v>
      </c>
      <c r="K1446" s="6">
        <v>0</v>
      </c>
      <c r="L1446" s="6">
        <v>-1.488</v>
      </c>
      <c r="M1446" s="6">
        <v>-1.488</v>
      </c>
      <c r="N1446" s="6">
        <v>-1.488</v>
      </c>
      <c r="O1446" s="6">
        <v>-1.488</v>
      </c>
      <c r="P1446" s="6">
        <v>-10</v>
      </c>
      <c r="Q1446" s="4" t="s">
        <v>26</v>
      </c>
      <c r="R1446" s="4">
        <v>0</v>
      </c>
      <c r="S1446" s="6">
        <v>0</v>
      </c>
      <c r="T1446" s="6">
        <v>44</v>
      </c>
      <c r="U1446" s="6">
        <v>87</v>
      </c>
      <c r="V1446" s="6">
        <f>IF(ISERROR(VLOOKUP($S$1446,'TAR FIN'!$A$1:$O$116,15,0)),0,VLOOKUP($S$1446,'TAR FIN'!$A$1:$O$116,15,0))</f>
        <v>0</v>
      </c>
      <c r="W1446" s="6">
        <f>IF(ISERROR(VLOOKUP($T$1446,'TAR FIN'!$A$1:$O$116,15,0)),0,VLOOKUP($T$1446,'TAR FIN'!$A$1:$O$116,15,0))</f>
        <v>242.43</v>
      </c>
      <c r="X1446" s="6">
        <f>IF(ISERROR(VLOOKUP($U$1446,'TAR FIN'!$A$1:$O$116,15,0)),0,VLOOKUP($U$1446,'TAR FIN'!$A$1:$O$116,15,0))</f>
        <v>293.82</v>
      </c>
      <c r="Y1446" s="6"/>
      <c r="Z144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6" s="6">
        <f>('TE BE'!$AB$17+'TE BF'!$AB$17+'TE CVA'!$AB$17)*(1-CUSTOS!$M$36)</f>
        <v>296.66772978557373</v>
      </c>
      <c r="AB1446" s="6">
        <f>$K$1446*$V$1446</f>
        <v>0</v>
      </c>
      <c r="AC1446" s="6">
        <f>$M$1446*$W$1446</f>
        <v>-360.73584</v>
      </c>
      <c r="AD1446" s="6">
        <f>$O$1446*$X$1446</f>
        <v>-437.20416</v>
      </c>
      <c r="AE1446" s="6">
        <f>$K$1446*$Y$1446</f>
        <v>0</v>
      </c>
      <c r="AF1446" s="6">
        <f ca="1">$M$1446*$Z$1446</f>
        <v>-414.35158218865382</v>
      </c>
      <c r="AG1446" s="6">
        <f>$O$1446*$AA$1446</f>
        <v>-441.44158192093369</v>
      </c>
    </row>
    <row r="1447" spans="1:33" ht="11.25" customHeight="1" x14ac:dyDescent="0.25">
      <c r="A1447" s="4" t="s">
        <v>28</v>
      </c>
      <c r="B1447" s="4" t="s">
        <v>22</v>
      </c>
      <c r="C1447" s="4" t="s">
        <v>23</v>
      </c>
      <c r="D1447" s="4" t="s">
        <v>24</v>
      </c>
      <c r="E1447" s="4" t="s">
        <v>31</v>
      </c>
      <c r="F1447" s="4" t="s">
        <v>25</v>
      </c>
      <c r="G1447" s="4" t="s">
        <v>25</v>
      </c>
      <c r="H1447" s="4" t="s">
        <v>25</v>
      </c>
      <c r="I1447" s="5">
        <v>44531</v>
      </c>
      <c r="J1447" s="6">
        <v>0</v>
      </c>
      <c r="K1447" s="6">
        <v>0</v>
      </c>
      <c r="L1447" s="6">
        <v>3.3340000000000001</v>
      </c>
      <c r="M1447" s="6">
        <v>3.3340000000000001</v>
      </c>
      <c r="N1447" s="6">
        <v>3.3340000000000001</v>
      </c>
      <c r="O1447" s="6">
        <v>3.3340000000000001</v>
      </c>
      <c r="P1447" s="6">
        <v>54</v>
      </c>
      <c r="Q1447" s="4" t="s">
        <v>26</v>
      </c>
      <c r="R1447" s="4">
        <v>0</v>
      </c>
      <c r="S1447" s="6">
        <v>0</v>
      </c>
      <c r="T1447" s="6">
        <v>44</v>
      </c>
      <c r="U1447" s="6">
        <v>87</v>
      </c>
      <c r="V1447" s="6">
        <f>IF(ISERROR(VLOOKUP($S$1447,'TAR FIN'!$A$1:$O$116,15,0)),0,VLOOKUP($S$1447,'TAR FIN'!$A$1:$O$116,15,0))</f>
        <v>0</v>
      </c>
      <c r="W1447" s="6">
        <f>IF(ISERROR(VLOOKUP($T$1447,'TAR FIN'!$A$1:$O$116,15,0)),0,VLOOKUP($T$1447,'TAR FIN'!$A$1:$O$116,15,0))</f>
        <v>242.43</v>
      </c>
      <c r="X1447" s="6">
        <f>IF(ISERROR(VLOOKUP($U$1447,'TAR FIN'!$A$1:$O$116,15,0)),0,VLOOKUP($U$1447,'TAR FIN'!$A$1:$O$116,15,0))</f>
        <v>293.82</v>
      </c>
      <c r="Y1447" s="6"/>
      <c r="Z144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7" s="6">
        <f>('TE BE'!$AB$17+'TE BF'!$AB$17+'TE CVA'!$AB$17)*(1-CUSTOS!$M$36)</f>
        <v>296.66772978557373</v>
      </c>
      <c r="AB1447" s="6">
        <f>$K$1447*$V$1447</f>
        <v>0</v>
      </c>
      <c r="AC1447" s="6">
        <f>$M$1447*$W$1447</f>
        <v>808.26161999999999</v>
      </c>
      <c r="AD1447" s="6">
        <f>$O$1447*$X$1447</f>
        <v>979.59587999999997</v>
      </c>
      <c r="AE1447" s="6">
        <f>$K$1447*$Y$1447</f>
        <v>0</v>
      </c>
      <c r="AF1447" s="6">
        <f ca="1">$M$1447*$Z$1447</f>
        <v>928.39259073721234</v>
      </c>
      <c r="AG1447" s="6">
        <f>$O$1447*$AA$1447</f>
        <v>989.09021110510287</v>
      </c>
    </row>
    <row r="1448" spans="1:33" ht="11.25" customHeight="1" x14ac:dyDescent="0.25">
      <c r="A1448" s="4" t="s">
        <v>21</v>
      </c>
      <c r="B1448" s="4" t="s">
        <v>22</v>
      </c>
      <c r="C1448" s="4" t="s">
        <v>23</v>
      </c>
      <c r="D1448" s="4" t="s">
        <v>24</v>
      </c>
      <c r="E1448" s="4" t="s">
        <v>31</v>
      </c>
      <c r="F1448" s="4" t="s">
        <v>25</v>
      </c>
      <c r="G1448" s="4" t="s">
        <v>25</v>
      </c>
      <c r="H1448" s="4" t="s">
        <v>25</v>
      </c>
      <c r="I1448" s="5">
        <v>44562</v>
      </c>
      <c r="J1448" s="6">
        <v>0</v>
      </c>
      <c r="K1448" s="6">
        <v>0</v>
      </c>
      <c r="L1448" s="6">
        <v>3565.6320000000001</v>
      </c>
      <c r="M1448" s="6">
        <v>3565.6320000000001</v>
      </c>
      <c r="N1448" s="6">
        <v>3565.6320000000001</v>
      </c>
      <c r="O1448" s="6">
        <v>3565.6320000000001</v>
      </c>
      <c r="P1448" s="6">
        <v>47479</v>
      </c>
      <c r="Q1448" s="4" t="s">
        <v>26</v>
      </c>
      <c r="R1448" s="4">
        <v>0</v>
      </c>
      <c r="S1448" s="6">
        <v>0</v>
      </c>
      <c r="T1448" s="6">
        <v>44</v>
      </c>
      <c r="U1448" s="6">
        <v>87</v>
      </c>
      <c r="V1448" s="6">
        <f>IF(ISERROR(VLOOKUP($S$1448,'TAR FIN'!$A$1:$O$116,15,0)),0,VLOOKUP($S$1448,'TAR FIN'!$A$1:$O$116,15,0))</f>
        <v>0</v>
      </c>
      <c r="W1448" s="6">
        <f>IF(ISERROR(VLOOKUP($T$1448,'TAR FIN'!$A$1:$O$116,15,0)),0,VLOOKUP($T$1448,'TAR FIN'!$A$1:$O$116,15,0))</f>
        <v>242.43</v>
      </c>
      <c r="X1448" s="6">
        <f>IF(ISERROR(VLOOKUP($U$1448,'TAR FIN'!$A$1:$O$116,15,0)),0,VLOOKUP($U$1448,'TAR FIN'!$A$1:$O$116,15,0))</f>
        <v>293.82</v>
      </c>
      <c r="Y1448" s="6"/>
      <c r="Z144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8" s="6">
        <f>('TE BE'!$AB$17+'TE BF'!$AB$17+'TE CVA'!$AB$17)*(1-CUSTOS!$M$36)</f>
        <v>296.66772978557373</v>
      </c>
      <c r="AB1448" s="6">
        <f>$K$1448*$V$1448</f>
        <v>0</v>
      </c>
      <c r="AC1448" s="6">
        <f>$M$1448*$W$1448</f>
        <v>864416.16576</v>
      </c>
      <c r="AD1448" s="6">
        <f>$O$1448*$X$1448</f>
        <v>1047653.99424</v>
      </c>
      <c r="AE1448" s="6">
        <f>$K$1448*$Y$1448</f>
        <v>0</v>
      </c>
      <c r="AF1448" s="6">
        <f ca="1">$M$1448*$Z$1448</f>
        <v>992893.32036457944</v>
      </c>
      <c r="AG1448" s="6">
        <f>$O$1448*$AA$1448</f>
        <v>1057807.9506907947</v>
      </c>
    </row>
    <row r="1449" spans="1:33" ht="11.25" customHeight="1" x14ac:dyDescent="0.25">
      <c r="A1449" s="4" t="s">
        <v>27</v>
      </c>
      <c r="B1449" s="4" t="s">
        <v>22</v>
      </c>
      <c r="C1449" s="4" t="s">
        <v>23</v>
      </c>
      <c r="D1449" s="4" t="s">
        <v>24</v>
      </c>
      <c r="E1449" s="4" t="s">
        <v>31</v>
      </c>
      <c r="F1449" s="4" t="s">
        <v>25</v>
      </c>
      <c r="G1449" s="4" t="s">
        <v>25</v>
      </c>
      <c r="H1449" s="4" t="s">
        <v>25</v>
      </c>
      <c r="I1449" s="5">
        <v>44562</v>
      </c>
      <c r="J1449" s="6">
        <v>0</v>
      </c>
      <c r="K1449" s="6">
        <v>0</v>
      </c>
      <c r="L1449" s="6">
        <v>-0.56299999999999994</v>
      </c>
      <c r="M1449" s="6">
        <v>-0.56299999999999994</v>
      </c>
      <c r="N1449" s="6">
        <v>-0.56299999999999994</v>
      </c>
      <c r="O1449" s="6">
        <v>-0.56299999999999994</v>
      </c>
      <c r="P1449" s="6">
        <v>-5</v>
      </c>
      <c r="Q1449" s="4" t="s">
        <v>26</v>
      </c>
      <c r="R1449" s="4">
        <v>0</v>
      </c>
      <c r="S1449" s="6">
        <v>0</v>
      </c>
      <c r="T1449" s="6">
        <v>44</v>
      </c>
      <c r="U1449" s="6">
        <v>87</v>
      </c>
      <c r="V1449" s="6">
        <f>IF(ISERROR(VLOOKUP($S$1449,'TAR FIN'!$A$1:$O$116,15,0)),0,VLOOKUP($S$1449,'TAR FIN'!$A$1:$O$116,15,0))</f>
        <v>0</v>
      </c>
      <c r="W1449" s="6">
        <f>IF(ISERROR(VLOOKUP($T$1449,'TAR FIN'!$A$1:$O$116,15,0)),0,VLOOKUP($T$1449,'TAR FIN'!$A$1:$O$116,15,0))</f>
        <v>242.43</v>
      </c>
      <c r="X1449" s="6">
        <f>IF(ISERROR(VLOOKUP($U$1449,'TAR FIN'!$A$1:$O$116,15,0)),0,VLOOKUP($U$1449,'TAR FIN'!$A$1:$O$116,15,0))</f>
        <v>293.82</v>
      </c>
      <c r="Y1449" s="6"/>
      <c r="Z144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49" s="6">
        <f>('TE BE'!$AB$17+'TE BF'!$AB$17+'TE CVA'!$AB$17)*(1-CUSTOS!$M$36)</f>
        <v>296.66772978557373</v>
      </c>
      <c r="AB1449" s="6">
        <f>$K$1449*$V$1449</f>
        <v>0</v>
      </c>
      <c r="AC1449" s="6">
        <f>$M$1449*$W$1449</f>
        <v>-136.48809</v>
      </c>
      <c r="AD1449" s="6">
        <f>$O$1449*$X$1449</f>
        <v>-165.42065999999997</v>
      </c>
      <c r="AE1449" s="6">
        <f>$K$1449*$Y$1449</f>
        <v>0</v>
      </c>
      <c r="AF1449" s="6">
        <f ca="1">$M$1449*$Z$1449</f>
        <v>-156.77415374476618</v>
      </c>
      <c r="AG1449" s="6">
        <f>$O$1449*$AA$1449</f>
        <v>-167.02393186927799</v>
      </c>
    </row>
    <row r="1450" spans="1:33" ht="11.25" customHeight="1" x14ac:dyDescent="0.25">
      <c r="A1450" s="4" t="s">
        <v>28</v>
      </c>
      <c r="B1450" s="4" t="s">
        <v>22</v>
      </c>
      <c r="C1450" s="4" t="s">
        <v>23</v>
      </c>
      <c r="D1450" s="4" t="s">
        <v>24</v>
      </c>
      <c r="E1450" s="4" t="s">
        <v>31</v>
      </c>
      <c r="F1450" s="4" t="s">
        <v>25</v>
      </c>
      <c r="G1450" s="4" t="s">
        <v>25</v>
      </c>
      <c r="H1450" s="4" t="s">
        <v>25</v>
      </c>
      <c r="I1450" s="5">
        <v>44562</v>
      </c>
      <c r="J1450" s="6">
        <v>0</v>
      </c>
      <c r="K1450" s="6">
        <v>0</v>
      </c>
      <c r="L1450" s="6">
        <v>3.9670000000000001</v>
      </c>
      <c r="M1450" s="6">
        <v>3.9670000000000001</v>
      </c>
      <c r="N1450" s="6">
        <v>3.9670000000000001</v>
      </c>
      <c r="O1450" s="6">
        <v>3.9670000000000001</v>
      </c>
      <c r="P1450" s="6">
        <v>64</v>
      </c>
      <c r="Q1450" s="4" t="s">
        <v>26</v>
      </c>
      <c r="R1450" s="4">
        <v>0</v>
      </c>
      <c r="S1450" s="6">
        <v>0</v>
      </c>
      <c r="T1450" s="6">
        <v>44</v>
      </c>
      <c r="U1450" s="6">
        <v>87</v>
      </c>
      <c r="V1450" s="6">
        <f>IF(ISERROR(VLOOKUP($S$1450,'TAR FIN'!$A$1:$O$116,15,0)),0,VLOOKUP($S$1450,'TAR FIN'!$A$1:$O$116,15,0))</f>
        <v>0</v>
      </c>
      <c r="W1450" s="6">
        <f>IF(ISERROR(VLOOKUP($T$1450,'TAR FIN'!$A$1:$O$116,15,0)),0,VLOOKUP($T$1450,'TAR FIN'!$A$1:$O$116,15,0))</f>
        <v>242.43</v>
      </c>
      <c r="X1450" s="6">
        <f>IF(ISERROR(VLOOKUP($U$1450,'TAR FIN'!$A$1:$O$116,15,0)),0,VLOOKUP($U$1450,'TAR FIN'!$A$1:$O$116,15,0))</f>
        <v>293.82</v>
      </c>
      <c r="Y1450" s="6"/>
      <c r="Z145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0" s="6">
        <f>('TE BE'!$AB$17+'TE BF'!$AB$17+'TE CVA'!$AB$17)*(1-CUSTOS!$M$36)</f>
        <v>296.66772978557373</v>
      </c>
      <c r="AB1450" s="6">
        <f>$K$1450*$V$1450</f>
        <v>0</v>
      </c>
      <c r="AC1450" s="6">
        <f>$M$1450*$W$1450</f>
        <v>961.71981000000005</v>
      </c>
      <c r="AD1450" s="6">
        <f>$O$1450*$X$1450</f>
        <v>1165.58394</v>
      </c>
      <c r="AE1450" s="6">
        <f>$K$1450*$Y$1450</f>
        <v>0</v>
      </c>
      <c r="AF1450" s="6">
        <f ca="1">$M$1450*$Z$1450</f>
        <v>1104.6590904182726</v>
      </c>
      <c r="AG1450" s="6">
        <f>$O$1450*$AA$1450</f>
        <v>1176.8808840593711</v>
      </c>
    </row>
    <row r="1451" spans="1:33" ht="11.25" customHeight="1" x14ac:dyDescent="0.25">
      <c r="A1451" s="4" t="s">
        <v>21</v>
      </c>
      <c r="B1451" s="4" t="s">
        <v>22</v>
      </c>
      <c r="C1451" s="4" t="s">
        <v>23</v>
      </c>
      <c r="D1451" s="4" t="s">
        <v>24</v>
      </c>
      <c r="E1451" s="4" t="s">
        <v>31</v>
      </c>
      <c r="F1451" s="4" t="s">
        <v>25</v>
      </c>
      <c r="G1451" s="4" t="s">
        <v>25</v>
      </c>
      <c r="H1451" s="4" t="s">
        <v>25</v>
      </c>
      <c r="I1451" s="5">
        <v>44593</v>
      </c>
      <c r="J1451" s="6">
        <v>0</v>
      </c>
      <c r="K1451" s="6">
        <v>0</v>
      </c>
      <c r="L1451" s="6">
        <v>3335.3310000000001</v>
      </c>
      <c r="M1451" s="6">
        <v>3335.3310000000001</v>
      </c>
      <c r="N1451" s="6">
        <v>3335.3310000000001</v>
      </c>
      <c r="O1451" s="6">
        <v>3335.3310000000001</v>
      </c>
      <c r="P1451" s="6">
        <v>48530</v>
      </c>
      <c r="Q1451" s="4" t="s">
        <v>26</v>
      </c>
      <c r="R1451" s="4">
        <v>0</v>
      </c>
      <c r="S1451" s="6">
        <v>0</v>
      </c>
      <c r="T1451" s="6">
        <v>44</v>
      </c>
      <c r="U1451" s="6">
        <v>87</v>
      </c>
      <c r="V1451" s="6">
        <f>IF(ISERROR(VLOOKUP($S$1451,'TAR FIN'!$A$1:$O$116,15,0)),0,VLOOKUP($S$1451,'TAR FIN'!$A$1:$O$116,15,0))</f>
        <v>0</v>
      </c>
      <c r="W1451" s="6">
        <f>IF(ISERROR(VLOOKUP($T$1451,'TAR FIN'!$A$1:$O$116,15,0)),0,VLOOKUP($T$1451,'TAR FIN'!$A$1:$O$116,15,0))</f>
        <v>242.43</v>
      </c>
      <c r="X1451" s="6">
        <f>IF(ISERROR(VLOOKUP($U$1451,'TAR FIN'!$A$1:$O$116,15,0)),0,VLOOKUP($U$1451,'TAR FIN'!$A$1:$O$116,15,0))</f>
        <v>293.82</v>
      </c>
      <c r="Y1451" s="6"/>
      <c r="Z145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1" s="6">
        <f>('TE BE'!$AB$17+'TE BF'!$AB$17+'TE CVA'!$AB$17)*(1-CUSTOS!$M$36)</f>
        <v>296.66772978557373</v>
      </c>
      <c r="AB1451" s="6">
        <f>$K$1451*$V$1451</f>
        <v>0</v>
      </c>
      <c r="AC1451" s="6">
        <f>$M$1451*$W$1451</f>
        <v>808584.29433000006</v>
      </c>
      <c r="AD1451" s="6">
        <f>$O$1451*$X$1451</f>
        <v>979986.95441999997</v>
      </c>
      <c r="AE1451" s="6">
        <f>$K$1451*$Y$1451</f>
        <v>0</v>
      </c>
      <c r="AF1451" s="6">
        <f ca="1">$M$1451*$Z$1451</f>
        <v>928763.22377208667</v>
      </c>
      <c r="AG1451" s="6">
        <f>$O$1451*$AA$1451</f>
        <v>989485.07585344743</v>
      </c>
    </row>
    <row r="1452" spans="1:33" ht="11.25" customHeight="1" x14ac:dyDescent="0.25">
      <c r="A1452" s="4" t="s">
        <v>27</v>
      </c>
      <c r="B1452" s="4" t="s">
        <v>22</v>
      </c>
      <c r="C1452" s="4" t="s">
        <v>23</v>
      </c>
      <c r="D1452" s="4" t="s">
        <v>24</v>
      </c>
      <c r="E1452" s="4" t="s">
        <v>31</v>
      </c>
      <c r="F1452" s="4" t="s">
        <v>25</v>
      </c>
      <c r="G1452" s="4" t="s">
        <v>25</v>
      </c>
      <c r="H1452" s="4" t="s">
        <v>25</v>
      </c>
      <c r="I1452" s="5">
        <v>44593</v>
      </c>
      <c r="J1452" s="6">
        <v>0</v>
      </c>
      <c r="K1452" s="6">
        <v>0</v>
      </c>
      <c r="L1452" s="6">
        <v>-3.4079999999999999</v>
      </c>
      <c r="M1452" s="6">
        <v>-3.4079999999999999</v>
      </c>
      <c r="N1452" s="6">
        <v>-3.4079999999999999</v>
      </c>
      <c r="O1452" s="6">
        <v>-3.4079999999999999</v>
      </c>
      <c r="P1452" s="6">
        <v>-30</v>
      </c>
      <c r="Q1452" s="4" t="s">
        <v>26</v>
      </c>
      <c r="R1452" s="4">
        <v>0</v>
      </c>
      <c r="S1452" s="6">
        <v>0</v>
      </c>
      <c r="T1452" s="6">
        <v>44</v>
      </c>
      <c r="U1452" s="6">
        <v>87</v>
      </c>
      <c r="V1452" s="6">
        <f>IF(ISERROR(VLOOKUP($S$1452,'TAR FIN'!$A$1:$O$116,15,0)),0,VLOOKUP($S$1452,'TAR FIN'!$A$1:$O$116,15,0))</f>
        <v>0</v>
      </c>
      <c r="W1452" s="6">
        <f>IF(ISERROR(VLOOKUP($T$1452,'TAR FIN'!$A$1:$O$116,15,0)),0,VLOOKUP($T$1452,'TAR FIN'!$A$1:$O$116,15,0))</f>
        <v>242.43</v>
      </c>
      <c r="X1452" s="6">
        <f>IF(ISERROR(VLOOKUP($U$1452,'TAR FIN'!$A$1:$O$116,15,0)),0,VLOOKUP($U$1452,'TAR FIN'!$A$1:$O$116,15,0))</f>
        <v>293.82</v>
      </c>
      <c r="Y1452" s="6"/>
      <c r="Z145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2" s="6">
        <f>('TE BE'!$AB$17+'TE BF'!$AB$17+'TE CVA'!$AB$17)*(1-CUSTOS!$M$36)</f>
        <v>296.66772978557373</v>
      </c>
      <c r="AB1452" s="6">
        <f>$K$1452*$V$1452</f>
        <v>0</v>
      </c>
      <c r="AC1452" s="6">
        <f>$M$1452*$W$1452</f>
        <v>-826.20144000000005</v>
      </c>
      <c r="AD1452" s="6">
        <f>$O$1452*$X$1452</f>
        <v>-1001.3385599999999</v>
      </c>
      <c r="AE1452" s="6">
        <f>$K$1452*$Y$1452</f>
        <v>0</v>
      </c>
      <c r="AF1452" s="6">
        <f ca="1">$M$1452*$Z$1452</f>
        <v>-948.99878501272326</v>
      </c>
      <c r="AG1452" s="6">
        <f>$O$1452*$AA$1452</f>
        <v>-1011.0436231092352</v>
      </c>
    </row>
    <row r="1453" spans="1:33" ht="11.25" customHeight="1" x14ac:dyDescent="0.25">
      <c r="A1453" s="4" t="s">
        <v>28</v>
      </c>
      <c r="B1453" s="4" t="s">
        <v>22</v>
      </c>
      <c r="C1453" s="4" t="s">
        <v>23</v>
      </c>
      <c r="D1453" s="4" t="s">
        <v>24</v>
      </c>
      <c r="E1453" s="4" t="s">
        <v>31</v>
      </c>
      <c r="F1453" s="4" t="s">
        <v>25</v>
      </c>
      <c r="G1453" s="4" t="s">
        <v>25</v>
      </c>
      <c r="H1453" s="4" t="s">
        <v>25</v>
      </c>
      <c r="I1453" s="5">
        <v>44593</v>
      </c>
      <c r="J1453" s="6">
        <v>0</v>
      </c>
      <c r="K1453" s="6">
        <v>0</v>
      </c>
      <c r="L1453" s="6">
        <v>4.6959999999999997</v>
      </c>
      <c r="M1453" s="6">
        <v>4.6959999999999997</v>
      </c>
      <c r="N1453" s="6">
        <v>4.6959999999999997</v>
      </c>
      <c r="O1453" s="6">
        <v>4.6959999999999997</v>
      </c>
      <c r="P1453" s="6">
        <v>78</v>
      </c>
      <c r="Q1453" s="4" t="s">
        <v>26</v>
      </c>
      <c r="R1453" s="4">
        <v>0</v>
      </c>
      <c r="S1453" s="6">
        <v>0</v>
      </c>
      <c r="T1453" s="6">
        <v>44</v>
      </c>
      <c r="U1453" s="6">
        <v>87</v>
      </c>
      <c r="V1453" s="6">
        <f>IF(ISERROR(VLOOKUP($S$1453,'TAR FIN'!$A$1:$O$116,15,0)),0,VLOOKUP($S$1453,'TAR FIN'!$A$1:$O$116,15,0))</f>
        <v>0</v>
      </c>
      <c r="W1453" s="6">
        <f>IF(ISERROR(VLOOKUP($T$1453,'TAR FIN'!$A$1:$O$116,15,0)),0,VLOOKUP($T$1453,'TAR FIN'!$A$1:$O$116,15,0))</f>
        <v>242.43</v>
      </c>
      <c r="X1453" s="6">
        <f>IF(ISERROR(VLOOKUP($U$1453,'TAR FIN'!$A$1:$O$116,15,0)),0,VLOOKUP($U$1453,'TAR FIN'!$A$1:$O$116,15,0))</f>
        <v>293.82</v>
      </c>
      <c r="Y1453" s="6"/>
      <c r="Z145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3" s="6">
        <f>('TE BE'!$AB$17+'TE BF'!$AB$17+'TE CVA'!$AB$17)*(1-CUSTOS!$M$36)</f>
        <v>296.66772978557373</v>
      </c>
      <c r="AB1453" s="6">
        <f>$K$1453*$V$1453</f>
        <v>0</v>
      </c>
      <c r="AC1453" s="6">
        <f>$M$1453*$W$1453</f>
        <v>1138.45128</v>
      </c>
      <c r="AD1453" s="6">
        <f>$O$1453*$X$1453</f>
        <v>1379.7787199999998</v>
      </c>
      <c r="AE1453" s="6">
        <f>$K$1453*$Y$1453</f>
        <v>0</v>
      </c>
      <c r="AF1453" s="6">
        <f ca="1">$M$1453*$Z$1453</f>
        <v>1307.6579502405366</v>
      </c>
      <c r="AG1453" s="6">
        <f>$O$1453*$AA$1453</f>
        <v>1393.1516590730541</v>
      </c>
    </row>
    <row r="1454" spans="1:33" ht="11.25" customHeight="1" x14ac:dyDescent="0.25">
      <c r="A1454" s="4" t="s">
        <v>21</v>
      </c>
      <c r="B1454" s="4" t="s">
        <v>22</v>
      </c>
      <c r="C1454" s="4" t="s">
        <v>23</v>
      </c>
      <c r="D1454" s="4" t="s">
        <v>24</v>
      </c>
      <c r="E1454" s="4" t="s">
        <v>31</v>
      </c>
      <c r="F1454" s="4" t="s">
        <v>25</v>
      </c>
      <c r="G1454" s="4" t="s">
        <v>25</v>
      </c>
      <c r="H1454" s="4" t="s">
        <v>25</v>
      </c>
      <c r="I1454" s="5">
        <v>44621</v>
      </c>
      <c r="J1454" s="6">
        <v>0</v>
      </c>
      <c r="K1454" s="6">
        <v>0</v>
      </c>
      <c r="L1454" s="6">
        <v>4144.8900000000003</v>
      </c>
      <c r="M1454" s="6">
        <v>4144.8900000000003</v>
      </c>
      <c r="N1454" s="6">
        <v>4144.8900000000003</v>
      </c>
      <c r="O1454" s="6">
        <v>4144.8900000000003</v>
      </c>
      <c r="P1454" s="6">
        <v>51712</v>
      </c>
      <c r="Q1454" s="4" t="s">
        <v>26</v>
      </c>
      <c r="R1454" s="4">
        <v>0</v>
      </c>
      <c r="S1454" s="6">
        <v>0</v>
      </c>
      <c r="T1454" s="6">
        <v>44</v>
      </c>
      <c r="U1454" s="6">
        <v>87</v>
      </c>
      <c r="V1454" s="6">
        <f>IF(ISERROR(VLOOKUP($S$1454,'TAR FIN'!$A$1:$O$116,15,0)),0,VLOOKUP($S$1454,'TAR FIN'!$A$1:$O$116,15,0))</f>
        <v>0</v>
      </c>
      <c r="W1454" s="6">
        <f>IF(ISERROR(VLOOKUP($T$1454,'TAR FIN'!$A$1:$O$116,15,0)),0,VLOOKUP($T$1454,'TAR FIN'!$A$1:$O$116,15,0))</f>
        <v>242.43</v>
      </c>
      <c r="X1454" s="6">
        <f>IF(ISERROR(VLOOKUP($U$1454,'TAR FIN'!$A$1:$O$116,15,0)),0,VLOOKUP($U$1454,'TAR FIN'!$A$1:$O$116,15,0))</f>
        <v>293.82</v>
      </c>
      <c r="Y1454" s="6"/>
      <c r="Z145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4" s="6">
        <f>('TE BE'!$AB$17+'TE BF'!$AB$17+'TE CVA'!$AB$17)*(1-CUSTOS!$M$36)</f>
        <v>296.66772978557373</v>
      </c>
      <c r="AB1454" s="6">
        <f>$K$1454*$V$1454</f>
        <v>0</v>
      </c>
      <c r="AC1454" s="6">
        <f>$M$1454*$W$1454</f>
        <v>1004845.6827000001</v>
      </c>
      <c r="AD1454" s="6">
        <f>$O$1454*$X$1454</f>
        <v>1217851.5798000002</v>
      </c>
      <c r="AE1454" s="6">
        <f>$K$1454*$Y$1454</f>
        <v>0</v>
      </c>
      <c r="AF1454" s="6">
        <f ca="1">$M$1454*$Z$1454</f>
        <v>1154194.7106840925</v>
      </c>
      <c r="AG1454" s="6">
        <f>$O$1454*$AA$1454</f>
        <v>1229655.1065109267</v>
      </c>
    </row>
    <row r="1455" spans="1:33" ht="11.25" customHeight="1" x14ac:dyDescent="0.25">
      <c r="A1455" s="4" t="s">
        <v>27</v>
      </c>
      <c r="B1455" s="4" t="s">
        <v>22</v>
      </c>
      <c r="C1455" s="4" t="s">
        <v>23</v>
      </c>
      <c r="D1455" s="4" t="s">
        <v>24</v>
      </c>
      <c r="E1455" s="4" t="s">
        <v>31</v>
      </c>
      <c r="F1455" s="4" t="s">
        <v>25</v>
      </c>
      <c r="G1455" s="4" t="s">
        <v>25</v>
      </c>
      <c r="H1455" s="4" t="s">
        <v>25</v>
      </c>
      <c r="I1455" s="5">
        <v>44621</v>
      </c>
      <c r="J1455" s="6">
        <v>0</v>
      </c>
      <c r="K1455" s="6">
        <v>0</v>
      </c>
      <c r="L1455" s="6">
        <v>-0.98499999999999999</v>
      </c>
      <c r="M1455" s="6">
        <v>-0.98499999999999999</v>
      </c>
      <c r="N1455" s="6">
        <v>-0.98499999999999999</v>
      </c>
      <c r="O1455" s="6">
        <v>-0.98499999999999999</v>
      </c>
      <c r="P1455" s="6">
        <v>-9</v>
      </c>
      <c r="Q1455" s="4" t="s">
        <v>26</v>
      </c>
      <c r="R1455" s="4">
        <v>0</v>
      </c>
      <c r="S1455" s="6">
        <v>0</v>
      </c>
      <c r="T1455" s="6">
        <v>44</v>
      </c>
      <c r="U1455" s="6">
        <v>87</v>
      </c>
      <c r="V1455" s="6">
        <f>IF(ISERROR(VLOOKUP($S$1455,'TAR FIN'!$A$1:$O$116,15,0)),0,VLOOKUP($S$1455,'TAR FIN'!$A$1:$O$116,15,0))</f>
        <v>0</v>
      </c>
      <c r="W1455" s="6">
        <f>IF(ISERROR(VLOOKUP($T$1455,'TAR FIN'!$A$1:$O$116,15,0)),0,VLOOKUP($T$1455,'TAR FIN'!$A$1:$O$116,15,0))</f>
        <v>242.43</v>
      </c>
      <c r="X1455" s="6">
        <f>IF(ISERROR(VLOOKUP($U$1455,'TAR FIN'!$A$1:$O$116,15,0)),0,VLOOKUP($U$1455,'TAR FIN'!$A$1:$O$116,15,0))</f>
        <v>293.82</v>
      </c>
      <c r="Y1455" s="6"/>
      <c r="Z145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5" s="6">
        <f>('TE BE'!$AB$17+'TE BF'!$AB$17+'TE CVA'!$AB$17)*(1-CUSTOS!$M$36)</f>
        <v>296.66772978557373</v>
      </c>
      <c r="AB1455" s="6">
        <f>$K$1455*$V$1455</f>
        <v>0</v>
      </c>
      <c r="AC1455" s="6">
        <f>$M$1455*$W$1455</f>
        <v>-238.79355000000001</v>
      </c>
      <c r="AD1455" s="6">
        <f>$O$1455*$X$1455</f>
        <v>-289.41269999999997</v>
      </c>
      <c r="AE1455" s="6">
        <f>$K$1455*$Y$1455</f>
        <v>0</v>
      </c>
      <c r="AF1455" s="6">
        <f ca="1">$M$1455*$Z$1455</f>
        <v>-274.28515353213982</v>
      </c>
      <c r="AG1455" s="6">
        <f>$O$1455*$AA$1455</f>
        <v>-292.21771383879013</v>
      </c>
    </row>
    <row r="1456" spans="1:33" ht="11.25" customHeight="1" x14ac:dyDescent="0.25">
      <c r="A1456" s="4" t="s">
        <v>28</v>
      </c>
      <c r="B1456" s="4" t="s">
        <v>22</v>
      </c>
      <c r="C1456" s="4" t="s">
        <v>23</v>
      </c>
      <c r="D1456" s="4" t="s">
        <v>24</v>
      </c>
      <c r="E1456" s="4" t="s">
        <v>31</v>
      </c>
      <c r="F1456" s="4" t="s">
        <v>25</v>
      </c>
      <c r="G1456" s="4" t="s">
        <v>25</v>
      </c>
      <c r="H1456" s="4" t="s">
        <v>25</v>
      </c>
      <c r="I1456" s="5">
        <v>44621</v>
      </c>
      <c r="J1456" s="6">
        <v>0</v>
      </c>
      <c r="K1456" s="6">
        <v>0</v>
      </c>
      <c r="L1456" s="6">
        <v>5.1989999999999998</v>
      </c>
      <c r="M1456" s="6">
        <v>5.1989999999999998</v>
      </c>
      <c r="N1456" s="6">
        <v>5.1989999999999998</v>
      </c>
      <c r="O1456" s="6">
        <v>5.1989999999999998</v>
      </c>
      <c r="P1456" s="6">
        <v>72</v>
      </c>
      <c r="Q1456" s="4" t="s">
        <v>26</v>
      </c>
      <c r="R1456" s="4">
        <v>0</v>
      </c>
      <c r="S1456" s="6">
        <v>0</v>
      </c>
      <c r="T1456" s="6">
        <v>44</v>
      </c>
      <c r="U1456" s="6">
        <v>87</v>
      </c>
      <c r="V1456" s="6">
        <f>IF(ISERROR(VLOOKUP($S$1456,'TAR FIN'!$A$1:$O$116,15,0)),0,VLOOKUP($S$1456,'TAR FIN'!$A$1:$O$116,15,0))</f>
        <v>0</v>
      </c>
      <c r="W1456" s="6">
        <f>IF(ISERROR(VLOOKUP($T$1456,'TAR FIN'!$A$1:$O$116,15,0)),0,VLOOKUP($T$1456,'TAR FIN'!$A$1:$O$116,15,0))</f>
        <v>242.43</v>
      </c>
      <c r="X1456" s="6">
        <f>IF(ISERROR(VLOOKUP($U$1456,'TAR FIN'!$A$1:$O$116,15,0)),0,VLOOKUP($U$1456,'TAR FIN'!$A$1:$O$116,15,0))</f>
        <v>293.82</v>
      </c>
      <c r="Y1456" s="6"/>
      <c r="Z145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6" s="6">
        <f>('TE BE'!$AB$17+'TE BF'!$AB$17+'TE CVA'!$AB$17)*(1-CUSTOS!$M$36)</f>
        <v>296.66772978557373</v>
      </c>
      <c r="AB1456" s="6">
        <f>$K$1456*$V$1456</f>
        <v>0</v>
      </c>
      <c r="AC1456" s="6">
        <f>$M$1456*$W$1456</f>
        <v>1260.39357</v>
      </c>
      <c r="AD1456" s="6">
        <f>$O$1456*$X$1456</f>
        <v>1527.5701799999999</v>
      </c>
      <c r="AE1456" s="6">
        <f>$K$1456*$Y$1456</f>
        <v>0</v>
      </c>
      <c r="AF1456" s="6">
        <f ca="1">$M$1456*$Z$1456</f>
        <v>1447.7243788970507</v>
      </c>
      <c r="AG1456" s="6">
        <f>$O$1456*$AA$1456</f>
        <v>1542.3755271551977</v>
      </c>
    </row>
    <row r="1457" spans="1:33" ht="11.25" customHeight="1" x14ac:dyDescent="0.25">
      <c r="A1457" s="4" t="s">
        <v>28</v>
      </c>
      <c r="B1457" s="4" t="s">
        <v>22</v>
      </c>
      <c r="C1457" s="4" t="s">
        <v>23</v>
      </c>
      <c r="D1457" s="4" t="s">
        <v>24</v>
      </c>
      <c r="E1457" s="4" t="s">
        <v>31</v>
      </c>
      <c r="F1457" s="4" t="s">
        <v>25</v>
      </c>
      <c r="G1457" s="4" t="s">
        <v>25</v>
      </c>
      <c r="H1457" s="4" t="s">
        <v>25</v>
      </c>
      <c r="I1457" s="5">
        <v>44621</v>
      </c>
      <c r="J1457" s="6">
        <v>0</v>
      </c>
      <c r="K1457" s="6">
        <v>0</v>
      </c>
      <c r="L1457" s="6">
        <v>-0.12</v>
      </c>
      <c r="M1457" s="6">
        <v>-0.12</v>
      </c>
      <c r="N1457" s="6">
        <v>-0.12</v>
      </c>
      <c r="O1457" s="6">
        <v>-0.12</v>
      </c>
      <c r="P1457" s="6">
        <v>0</v>
      </c>
      <c r="Q1457" s="4" t="s">
        <v>26</v>
      </c>
      <c r="R1457" s="4">
        <v>0</v>
      </c>
      <c r="S1457" s="6">
        <v>0</v>
      </c>
      <c r="T1457" s="6">
        <v>44</v>
      </c>
      <c r="U1457" s="6">
        <v>87</v>
      </c>
      <c r="V1457" s="6">
        <f>IF(ISERROR(VLOOKUP($S$1457,'TAR FIN'!$A$1:$O$116,15,0)),0,VLOOKUP($S$1457,'TAR FIN'!$A$1:$O$116,15,0))</f>
        <v>0</v>
      </c>
      <c r="W1457" s="6">
        <f>IF(ISERROR(VLOOKUP($T$1457,'TAR FIN'!$A$1:$O$116,15,0)),0,VLOOKUP($T$1457,'TAR FIN'!$A$1:$O$116,15,0))</f>
        <v>242.43</v>
      </c>
      <c r="X1457" s="6">
        <f>IF(ISERROR(VLOOKUP($U$1457,'TAR FIN'!$A$1:$O$116,15,0)),0,VLOOKUP($U$1457,'TAR FIN'!$A$1:$O$116,15,0))</f>
        <v>293.82</v>
      </c>
      <c r="Y1457" s="6"/>
      <c r="Z145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7" s="6">
        <f>('TE BE'!$AB$17+'TE BF'!$AB$17+'TE CVA'!$AB$17)*(1-CUSTOS!$M$36)</f>
        <v>296.66772978557373</v>
      </c>
      <c r="AB1457" s="6">
        <f>$K$1457*$V$1457</f>
        <v>0</v>
      </c>
      <c r="AC1457" s="6">
        <f>$M$1457*$W$1457</f>
        <v>-29.0916</v>
      </c>
      <c r="AD1457" s="6">
        <f>$O$1457*$X$1457</f>
        <v>-35.258399999999995</v>
      </c>
      <c r="AE1457" s="6">
        <f>$K$1457*$Y$1457</f>
        <v>0</v>
      </c>
      <c r="AF1457" s="6">
        <f ca="1">$M$1457*$Z$1457</f>
        <v>-33.415450176504343</v>
      </c>
      <c r="AG1457" s="6">
        <f>$O$1457*$AA$1457</f>
        <v>-35.600127574268846</v>
      </c>
    </row>
    <row r="1458" spans="1:33" ht="11.25" customHeight="1" x14ac:dyDescent="0.25">
      <c r="A1458" s="4" t="s">
        <v>21</v>
      </c>
      <c r="B1458" s="4" t="s">
        <v>22</v>
      </c>
      <c r="C1458" s="4" t="s">
        <v>23</v>
      </c>
      <c r="D1458" s="4" t="s">
        <v>24</v>
      </c>
      <c r="E1458" s="4" t="s">
        <v>31</v>
      </c>
      <c r="F1458" s="4" t="s">
        <v>25</v>
      </c>
      <c r="G1458" s="4" t="s">
        <v>25</v>
      </c>
      <c r="H1458" s="4" t="s">
        <v>25</v>
      </c>
      <c r="I1458" s="5">
        <v>44652</v>
      </c>
      <c r="J1458" s="6">
        <v>0</v>
      </c>
      <c r="K1458" s="6">
        <v>0</v>
      </c>
      <c r="L1458" s="6">
        <v>3805.0160000000001</v>
      </c>
      <c r="M1458" s="6">
        <v>3805.0160000000001</v>
      </c>
      <c r="N1458" s="6">
        <v>3805.0160000000001</v>
      </c>
      <c r="O1458" s="6">
        <v>3805.0160000000001</v>
      </c>
      <c r="P1458" s="6">
        <v>51648</v>
      </c>
      <c r="Q1458" s="4" t="s">
        <v>26</v>
      </c>
      <c r="R1458" s="4">
        <v>0</v>
      </c>
      <c r="S1458" s="6">
        <v>0</v>
      </c>
      <c r="T1458" s="6">
        <v>44</v>
      </c>
      <c r="U1458" s="6">
        <v>87</v>
      </c>
      <c r="V1458" s="6">
        <f>IF(ISERROR(VLOOKUP($S$1458,'TAR FIN'!$A$1:$O$116,15,0)),0,VLOOKUP($S$1458,'TAR FIN'!$A$1:$O$116,15,0))</f>
        <v>0</v>
      </c>
      <c r="W1458" s="6">
        <f>IF(ISERROR(VLOOKUP($T$1458,'TAR FIN'!$A$1:$O$116,15,0)),0,VLOOKUP($T$1458,'TAR FIN'!$A$1:$O$116,15,0))</f>
        <v>242.43</v>
      </c>
      <c r="X1458" s="6">
        <f>IF(ISERROR(VLOOKUP($U$1458,'TAR FIN'!$A$1:$O$116,15,0)),0,VLOOKUP($U$1458,'TAR FIN'!$A$1:$O$116,15,0))</f>
        <v>293.82</v>
      </c>
      <c r="Y1458" s="6"/>
      <c r="Z145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8" s="6">
        <f>('TE BE'!$AB$17+'TE BF'!$AB$17+'TE CVA'!$AB$17)*(1-CUSTOS!$M$36)</f>
        <v>296.66772978557373</v>
      </c>
      <c r="AB1458" s="6">
        <f>$K$1458*$V$1458</f>
        <v>0</v>
      </c>
      <c r="AC1458" s="6">
        <f>$M$1458*$W$1458</f>
        <v>922450.02888</v>
      </c>
      <c r="AD1458" s="6">
        <f>$O$1458*$X$1458</f>
        <v>1117989.80112</v>
      </c>
      <c r="AE1458" s="6">
        <f>$K$1458*$Y$1458</f>
        <v>0</v>
      </c>
      <c r="AF1458" s="6">
        <f ca="1">$M$1458*$Z$1458</f>
        <v>1059552.6880733487</v>
      </c>
      <c r="AG1458" s="6">
        <f>$O$1458*$AA$1458</f>
        <v>1128825.4585177847</v>
      </c>
    </row>
    <row r="1459" spans="1:33" ht="11.25" customHeight="1" x14ac:dyDescent="0.25">
      <c r="A1459" s="4" t="s">
        <v>27</v>
      </c>
      <c r="B1459" s="4" t="s">
        <v>22</v>
      </c>
      <c r="C1459" s="4" t="s">
        <v>23</v>
      </c>
      <c r="D1459" s="4" t="s">
        <v>24</v>
      </c>
      <c r="E1459" s="4" t="s">
        <v>31</v>
      </c>
      <c r="F1459" s="4" t="s">
        <v>25</v>
      </c>
      <c r="G1459" s="4" t="s">
        <v>25</v>
      </c>
      <c r="H1459" s="4" t="s">
        <v>25</v>
      </c>
      <c r="I1459" s="5">
        <v>44652</v>
      </c>
      <c r="J1459" s="6">
        <v>0</v>
      </c>
      <c r="K1459" s="6">
        <v>0</v>
      </c>
      <c r="L1459" s="6">
        <v>-1.4490000000000001</v>
      </c>
      <c r="M1459" s="6">
        <v>-1.4490000000000001</v>
      </c>
      <c r="N1459" s="6">
        <v>-1.4490000000000001</v>
      </c>
      <c r="O1459" s="6">
        <v>-1.4490000000000001</v>
      </c>
      <c r="P1459" s="6">
        <v>-8</v>
      </c>
      <c r="Q1459" s="4" t="s">
        <v>26</v>
      </c>
      <c r="R1459" s="4">
        <v>0</v>
      </c>
      <c r="S1459" s="6">
        <v>0</v>
      </c>
      <c r="T1459" s="6">
        <v>44</v>
      </c>
      <c r="U1459" s="6">
        <v>87</v>
      </c>
      <c r="V1459" s="6">
        <f>IF(ISERROR(VLOOKUP($S$1459,'TAR FIN'!$A$1:$O$116,15,0)),0,VLOOKUP($S$1459,'TAR FIN'!$A$1:$O$116,15,0))</f>
        <v>0</v>
      </c>
      <c r="W1459" s="6">
        <f>IF(ISERROR(VLOOKUP($T$1459,'TAR FIN'!$A$1:$O$116,15,0)),0,VLOOKUP($T$1459,'TAR FIN'!$A$1:$O$116,15,0))</f>
        <v>242.43</v>
      </c>
      <c r="X1459" s="6">
        <f>IF(ISERROR(VLOOKUP($U$1459,'TAR FIN'!$A$1:$O$116,15,0)),0,VLOOKUP($U$1459,'TAR FIN'!$A$1:$O$116,15,0))</f>
        <v>293.82</v>
      </c>
      <c r="Y1459" s="6"/>
      <c r="Z145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59" s="6">
        <f>('TE BE'!$AB$17+'TE BF'!$AB$17+'TE CVA'!$AB$17)*(1-CUSTOS!$M$36)</f>
        <v>296.66772978557373</v>
      </c>
      <c r="AB1459" s="6">
        <f>$K$1459*$V$1459</f>
        <v>0</v>
      </c>
      <c r="AC1459" s="6">
        <f>$M$1459*$W$1459</f>
        <v>-351.28107</v>
      </c>
      <c r="AD1459" s="6">
        <f>$O$1459*$X$1459</f>
        <v>-425.74518</v>
      </c>
      <c r="AE1459" s="6">
        <f>$K$1459*$Y$1459</f>
        <v>0</v>
      </c>
      <c r="AF1459" s="6">
        <f ca="1">$M$1459*$Z$1459</f>
        <v>-403.49156088128996</v>
      </c>
      <c r="AG1459" s="6">
        <f>$O$1459*$AA$1459</f>
        <v>-429.87154045929634</v>
      </c>
    </row>
    <row r="1460" spans="1:33" ht="11.25" customHeight="1" x14ac:dyDescent="0.25">
      <c r="A1460" s="4" t="s">
        <v>28</v>
      </c>
      <c r="B1460" s="4" t="s">
        <v>22</v>
      </c>
      <c r="C1460" s="4" t="s">
        <v>23</v>
      </c>
      <c r="D1460" s="4" t="s">
        <v>24</v>
      </c>
      <c r="E1460" s="4" t="s">
        <v>31</v>
      </c>
      <c r="F1460" s="4" t="s">
        <v>25</v>
      </c>
      <c r="G1460" s="4" t="s">
        <v>25</v>
      </c>
      <c r="H1460" s="4" t="s">
        <v>25</v>
      </c>
      <c r="I1460" s="5">
        <v>44652</v>
      </c>
      <c r="J1460" s="6">
        <v>0</v>
      </c>
      <c r="K1460" s="6">
        <v>0</v>
      </c>
      <c r="L1460" s="6">
        <v>5.6509999999999998</v>
      </c>
      <c r="M1460" s="6">
        <v>5.6509999999999998</v>
      </c>
      <c r="N1460" s="6">
        <v>5.6509999999999998</v>
      </c>
      <c r="O1460" s="6">
        <v>5.6509999999999998</v>
      </c>
      <c r="P1460" s="6">
        <v>82</v>
      </c>
      <c r="Q1460" s="4" t="s">
        <v>26</v>
      </c>
      <c r="R1460" s="4">
        <v>0</v>
      </c>
      <c r="S1460" s="6">
        <v>0</v>
      </c>
      <c r="T1460" s="6">
        <v>44</v>
      </c>
      <c r="U1460" s="6">
        <v>87</v>
      </c>
      <c r="V1460" s="6">
        <f>IF(ISERROR(VLOOKUP($S$1460,'TAR FIN'!$A$1:$O$116,15,0)),0,VLOOKUP($S$1460,'TAR FIN'!$A$1:$O$116,15,0))</f>
        <v>0</v>
      </c>
      <c r="W1460" s="6">
        <f>IF(ISERROR(VLOOKUP($T$1460,'TAR FIN'!$A$1:$O$116,15,0)),0,VLOOKUP($T$1460,'TAR FIN'!$A$1:$O$116,15,0))</f>
        <v>242.43</v>
      </c>
      <c r="X1460" s="6">
        <f>IF(ISERROR(VLOOKUP($U$1460,'TAR FIN'!$A$1:$O$116,15,0)),0,VLOOKUP($U$1460,'TAR FIN'!$A$1:$O$116,15,0))</f>
        <v>293.82</v>
      </c>
      <c r="Y1460" s="6"/>
      <c r="Z146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60" s="6">
        <f>('TE BE'!$AB$17+'TE BF'!$AB$17+'TE CVA'!$AB$17)*(1-CUSTOS!$M$36)</f>
        <v>296.66772978557373</v>
      </c>
      <c r="AB1460" s="6">
        <f>$K$1460*$V$1460</f>
        <v>0</v>
      </c>
      <c r="AC1460" s="6">
        <f>$M$1460*$W$1460</f>
        <v>1369.9719299999999</v>
      </c>
      <c r="AD1460" s="6">
        <f>$O$1460*$X$1460</f>
        <v>1660.37682</v>
      </c>
      <c r="AE1460" s="6">
        <f>$K$1460*$Y$1460</f>
        <v>0</v>
      </c>
      <c r="AF1460" s="6">
        <f ca="1">$M$1460*$Z$1460</f>
        <v>1573.5892412285502</v>
      </c>
      <c r="AG1460" s="6">
        <f>$O$1460*$AA$1460</f>
        <v>1676.469341018277</v>
      </c>
    </row>
    <row r="1461" spans="1:33" ht="11.25" customHeight="1" x14ac:dyDescent="0.25">
      <c r="A1461" s="4" t="s">
        <v>58</v>
      </c>
      <c r="B1461" s="4" t="s">
        <v>22</v>
      </c>
      <c r="C1461" s="4" t="s">
        <v>23</v>
      </c>
      <c r="D1461" s="4" t="s">
        <v>24</v>
      </c>
      <c r="E1461" s="4" t="s">
        <v>31</v>
      </c>
      <c r="F1461" s="4" t="s">
        <v>25</v>
      </c>
      <c r="G1461" s="4" t="s">
        <v>25</v>
      </c>
      <c r="H1461" s="4" t="s">
        <v>25</v>
      </c>
      <c r="I1461" s="5">
        <v>44682</v>
      </c>
      <c r="J1461" s="6">
        <v>0</v>
      </c>
      <c r="K1461" s="6">
        <v>0</v>
      </c>
      <c r="L1461" s="6">
        <v>3805.0160000000001</v>
      </c>
      <c r="M1461" s="6">
        <v>3805.0160000000001</v>
      </c>
      <c r="N1461" s="6">
        <v>3805.0160000000001</v>
      </c>
      <c r="O1461" s="6">
        <v>3805.0160000000001</v>
      </c>
      <c r="P1461" s="6">
        <v>51648</v>
      </c>
      <c r="Q1461" s="4" t="s">
        <v>26</v>
      </c>
      <c r="R1461" s="4">
        <v>0</v>
      </c>
      <c r="S1461" s="6">
        <v>0</v>
      </c>
      <c r="T1461" s="6">
        <v>44</v>
      </c>
      <c r="U1461" s="6">
        <v>87</v>
      </c>
      <c r="V1461" s="6">
        <f>IF(ISERROR(VLOOKUP($S$1461,'TAR FIN'!$A$1:$O$116,15,0)),0,VLOOKUP($S$1461,'TAR FIN'!$A$1:$O$116,15,0))</f>
        <v>0</v>
      </c>
      <c r="W1461" s="6">
        <f>IF(ISERROR(VLOOKUP($T$1461,'TAR FIN'!$A$1:$O$116,15,0)),0,VLOOKUP($T$1461,'TAR FIN'!$A$1:$O$116,15,0))</f>
        <v>242.43</v>
      </c>
      <c r="X1461" s="6">
        <f>IF(ISERROR(VLOOKUP($U$1461,'TAR FIN'!$A$1:$O$116,15,0)),0,VLOOKUP($U$1461,'TAR FIN'!$A$1:$O$116,15,0))</f>
        <v>293.82</v>
      </c>
      <c r="Y1461" s="6"/>
      <c r="Z146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61" s="6">
        <f>('TE BE'!$AB$17+'TE BF'!$AB$17+'TE CVA'!$AB$17)*(1-CUSTOS!$M$36)</f>
        <v>296.66772978557373</v>
      </c>
      <c r="AB1461" s="6">
        <f>$K$1461*$V$1461</f>
        <v>0</v>
      </c>
      <c r="AC1461" s="6">
        <f>$M$1461*$W$1461</f>
        <v>922450.02888</v>
      </c>
      <c r="AD1461" s="6">
        <f>$O$1461*$X$1461</f>
        <v>1117989.80112</v>
      </c>
      <c r="AE1461" s="6">
        <f>$K$1461*$Y$1461</f>
        <v>0</v>
      </c>
      <c r="AF1461" s="6">
        <f ca="1">$M$1461*$Z$1461</f>
        <v>1059552.6880733487</v>
      </c>
      <c r="AG1461" s="6">
        <f>$O$1461*$AA$1461</f>
        <v>1128825.4585177847</v>
      </c>
    </row>
    <row r="1462" spans="1:33" ht="11.25" customHeight="1" x14ac:dyDescent="0.25">
      <c r="A1462" s="4" t="s">
        <v>58</v>
      </c>
      <c r="B1462" s="4" t="s">
        <v>22</v>
      </c>
      <c r="C1462" s="4" t="s">
        <v>23</v>
      </c>
      <c r="D1462" s="4" t="s">
        <v>24</v>
      </c>
      <c r="E1462" s="4" t="s">
        <v>31</v>
      </c>
      <c r="F1462" s="4" t="s">
        <v>25</v>
      </c>
      <c r="G1462" s="4" t="s">
        <v>25</v>
      </c>
      <c r="H1462" s="4" t="s">
        <v>25</v>
      </c>
      <c r="I1462" s="5">
        <v>44682</v>
      </c>
      <c r="J1462" s="6">
        <v>0</v>
      </c>
      <c r="K1462" s="6">
        <v>0</v>
      </c>
      <c r="L1462" s="6">
        <v>-1.4490000000000001</v>
      </c>
      <c r="M1462" s="6">
        <v>-1.4490000000000001</v>
      </c>
      <c r="N1462" s="6">
        <v>-1.4490000000000001</v>
      </c>
      <c r="O1462" s="6">
        <v>-1.4490000000000001</v>
      </c>
      <c r="P1462" s="6">
        <v>-8</v>
      </c>
      <c r="Q1462" s="4" t="s">
        <v>26</v>
      </c>
      <c r="R1462" s="4">
        <v>0</v>
      </c>
      <c r="S1462" s="6">
        <v>0</v>
      </c>
      <c r="T1462" s="6">
        <v>44</v>
      </c>
      <c r="U1462" s="6">
        <v>87</v>
      </c>
      <c r="V1462" s="6">
        <f>IF(ISERROR(VLOOKUP($S$1462,'TAR FIN'!$A$1:$O$116,15,0)),0,VLOOKUP($S$1462,'TAR FIN'!$A$1:$O$116,15,0))</f>
        <v>0</v>
      </c>
      <c r="W1462" s="6">
        <f>IF(ISERROR(VLOOKUP($T$1462,'TAR FIN'!$A$1:$O$116,15,0)),0,VLOOKUP($T$1462,'TAR FIN'!$A$1:$O$116,15,0))</f>
        <v>242.43</v>
      </c>
      <c r="X1462" s="6">
        <f>IF(ISERROR(VLOOKUP($U$1462,'TAR FIN'!$A$1:$O$116,15,0)),0,VLOOKUP($U$1462,'TAR FIN'!$A$1:$O$116,15,0))</f>
        <v>293.82</v>
      </c>
      <c r="Y1462" s="6"/>
      <c r="Z146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62" s="6">
        <f>('TE BE'!$AB$17+'TE BF'!$AB$17+'TE CVA'!$AB$17)*(1-CUSTOS!$M$36)</f>
        <v>296.66772978557373</v>
      </c>
      <c r="AB1462" s="6">
        <f>$K$1462*$V$1462</f>
        <v>0</v>
      </c>
      <c r="AC1462" s="6">
        <f>$M$1462*$W$1462</f>
        <v>-351.28107</v>
      </c>
      <c r="AD1462" s="6">
        <f>$O$1462*$X$1462</f>
        <v>-425.74518</v>
      </c>
      <c r="AE1462" s="6">
        <f>$K$1462*$Y$1462</f>
        <v>0</v>
      </c>
      <c r="AF1462" s="6">
        <f ca="1">$M$1462*$Z$1462</f>
        <v>-403.49156088128996</v>
      </c>
      <c r="AG1462" s="6">
        <f>$O$1462*$AA$1462</f>
        <v>-429.87154045929634</v>
      </c>
    </row>
    <row r="1463" spans="1:33" ht="11.25" customHeight="1" x14ac:dyDescent="0.25">
      <c r="A1463" s="4" t="s">
        <v>58</v>
      </c>
      <c r="B1463" s="4" t="s">
        <v>22</v>
      </c>
      <c r="C1463" s="4" t="s">
        <v>23</v>
      </c>
      <c r="D1463" s="4" t="s">
        <v>24</v>
      </c>
      <c r="E1463" s="4" t="s">
        <v>31</v>
      </c>
      <c r="F1463" s="4" t="s">
        <v>25</v>
      </c>
      <c r="G1463" s="4" t="s">
        <v>25</v>
      </c>
      <c r="H1463" s="4" t="s">
        <v>25</v>
      </c>
      <c r="I1463" s="5">
        <v>44682</v>
      </c>
      <c r="J1463" s="6">
        <v>0</v>
      </c>
      <c r="K1463" s="6">
        <v>0</v>
      </c>
      <c r="L1463" s="6">
        <v>5.6509999999999998</v>
      </c>
      <c r="M1463" s="6">
        <v>5.6509999999999998</v>
      </c>
      <c r="N1463" s="6">
        <v>5.6509999999999998</v>
      </c>
      <c r="O1463" s="6">
        <v>5.6509999999999998</v>
      </c>
      <c r="P1463" s="6">
        <v>82</v>
      </c>
      <c r="Q1463" s="4" t="s">
        <v>26</v>
      </c>
      <c r="R1463" s="4">
        <v>0</v>
      </c>
      <c r="S1463" s="6">
        <v>0</v>
      </c>
      <c r="T1463" s="6">
        <v>44</v>
      </c>
      <c r="U1463" s="6">
        <v>87</v>
      </c>
      <c r="V1463" s="6">
        <f>IF(ISERROR(VLOOKUP($S$1463,'TAR FIN'!$A$1:$O$116,15,0)),0,VLOOKUP($S$1463,'TAR FIN'!$A$1:$O$116,15,0))</f>
        <v>0</v>
      </c>
      <c r="W1463" s="6">
        <f>IF(ISERROR(VLOOKUP($T$1463,'TAR FIN'!$A$1:$O$116,15,0)),0,VLOOKUP($T$1463,'TAR FIN'!$A$1:$O$116,15,0))</f>
        <v>242.43</v>
      </c>
      <c r="X1463" s="6">
        <f>IF(ISERROR(VLOOKUP($U$1463,'TAR FIN'!$A$1:$O$116,15,0)),0,VLOOKUP($U$1463,'TAR FIN'!$A$1:$O$116,15,0))</f>
        <v>293.82</v>
      </c>
      <c r="Y1463" s="6"/>
      <c r="Z146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1463" s="6">
        <f>('TE BE'!$AB$17+'TE BF'!$AB$17+'TE CVA'!$AB$17)*(1-CUSTOS!$M$36)</f>
        <v>296.66772978557373</v>
      </c>
      <c r="AB1463" s="6">
        <f>$K$1463*$V$1463</f>
        <v>0</v>
      </c>
      <c r="AC1463" s="6">
        <f>$M$1463*$W$1463</f>
        <v>1369.9719299999999</v>
      </c>
      <c r="AD1463" s="6">
        <f>$O$1463*$X$1463</f>
        <v>1660.37682</v>
      </c>
      <c r="AE1463" s="6">
        <f>$K$1463*$Y$1463</f>
        <v>0</v>
      </c>
      <c r="AF1463" s="6">
        <f ca="1">$M$1463*$Z$1463</f>
        <v>1573.5892412285502</v>
      </c>
      <c r="AG1463" s="6">
        <f>$O$1463*$AA$1463</f>
        <v>1676.469341018277</v>
      </c>
    </row>
    <row r="1464" spans="1:33" ht="11.25" customHeight="1" x14ac:dyDescent="0.25">
      <c r="A1464" s="4" t="s">
        <v>21</v>
      </c>
      <c r="B1464" s="4" t="s">
        <v>22</v>
      </c>
      <c r="C1464" s="4" t="s">
        <v>23</v>
      </c>
      <c r="D1464" s="4" t="s">
        <v>24</v>
      </c>
      <c r="E1464" s="4" t="s">
        <v>32</v>
      </c>
      <c r="F1464" s="4" t="s">
        <v>25</v>
      </c>
      <c r="G1464" s="4" t="s">
        <v>25</v>
      </c>
      <c r="H1464" s="4" t="s">
        <v>25</v>
      </c>
      <c r="I1464" s="5">
        <v>44348</v>
      </c>
      <c r="J1464" s="6">
        <v>0</v>
      </c>
      <c r="K1464" s="6">
        <v>0</v>
      </c>
      <c r="L1464" s="6">
        <v>416.46699999999998</v>
      </c>
      <c r="M1464" s="6">
        <v>416.46699999999998</v>
      </c>
      <c r="N1464" s="6">
        <v>416.46699999999998</v>
      </c>
      <c r="O1464" s="6">
        <v>416.46699999999998</v>
      </c>
      <c r="P1464" s="6">
        <v>6318</v>
      </c>
      <c r="Q1464" s="4" t="s">
        <v>26</v>
      </c>
      <c r="R1464" s="4">
        <v>0</v>
      </c>
      <c r="S1464" s="6">
        <v>0</v>
      </c>
      <c r="T1464" s="6">
        <v>45</v>
      </c>
      <c r="U1464" s="6">
        <v>88</v>
      </c>
      <c r="V1464" s="6">
        <f>IF(ISERROR(VLOOKUP($S$1464,'TAR FIN'!$A$1:$O$116,15,0)),0,VLOOKUP($S$1464,'TAR FIN'!$A$1:$O$116,15,0))</f>
        <v>0</v>
      </c>
      <c r="W1464" s="6">
        <f>IF(ISERROR(VLOOKUP($T$1464,'TAR FIN'!$A$1:$O$116,15,0)),0,VLOOKUP($T$1464,'TAR FIN'!$A$1:$O$116,15,0))</f>
        <v>269.37</v>
      </c>
      <c r="X1464" s="6">
        <f>IF(ISERROR(VLOOKUP($U$1464,'TAR FIN'!$A$1:$O$116,15,0)),0,VLOOKUP($U$1464,'TAR FIN'!$A$1:$O$116,15,0))</f>
        <v>326.47000000000003</v>
      </c>
      <c r="Y1464" s="6"/>
      <c r="Z146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64" s="6">
        <f>('TE BE'!$AB$18+'TE BF'!$AB$18+'TE CVA'!$AB$18)*(1-CUSTOS!$M$37)</f>
        <v>329.63081087285968</v>
      </c>
      <c r="AB1464" s="6">
        <f>$K$1464*$V$1464</f>
        <v>0</v>
      </c>
      <c r="AC1464" s="6">
        <f>$M$1464*$W$1464</f>
        <v>112183.71579</v>
      </c>
      <c r="AD1464" s="6">
        <f>$O$1464*$X$1464</f>
        <v>135963.98149000001</v>
      </c>
      <c r="AE1464" s="6">
        <f>$K$1464*$Y$1464</f>
        <v>0</v>
      </c>
      <c r="AF1464" s="6">
        <f ca="1">$M$1464*$Z$1464</f>
        <v>128855.85452461327</v>
      </c>
      <c r="AG1464" s="6">
        <f>$O$1464*$AA$1464</f>
        <v>137280.35491178726</v>
      </c>
    </row>
    <row r="1465" spans="1:33" ht="11.25" customHeight="1" x14ac:dyDescent="0.25">
      <c r="A1465" s="4" t="s">
        <v>27</v>
      </c>
      <c r="B1465" s="4" t="s">
        <v>22</v>
      </c>
      <c r="C1465" s="4" t="s">
        <v>23</v>
      </c>
      <c r="D1465" s="4" t="s">
        <v>24</v>
      </c>
      <c r="E1465" s="4" t="s">
        <v>32</v>
      </c>
      <c r="F1465" s="4" t="s">
        <v>25</v>
      </c>
      <c r="G1465" s="4" t="s">
        <v>25</v>
      </c>
      <c r="H1465" s="4" t="s">
        <v>25</v>
      </c>
      <c r="I1465" s="5">
        <v>44348</v>
      </c>
      <c r="J1465" s="6">
        <v>0</v>
      </c>
      <c r="K1465" s="6">
        <v>0</v>
      </c>
      <c r="L1465" s="6">
        <v>-4.2999999999999997E-2</v>
      </c>
      <c r="M1465" s="6">
        <v>-4.2999999999999997E-2</v>
      </c>
      <c r="N1465" s="6">
        <v>-4.2999999999999997E-2</v>
      </c>
      <c r="O1465" s="6">
        <v>-4.2999999999999997E-2</v>
      </c>
      <c r="P1465" s="6">
        <v>-1</v>
      </c>
      <c r="Q1465" s="4" t="s">
        <v>26</v>
      </c>
      <c r="R1465" s="4">
        <v>0</v>
      </c>
      <c r="S1465" s="6">
        <v>0</v>
      </c>
      <c r="T1465" s="6">
        <v>45</v>
      </c>
      <c r="U1465" s="6">
        <v>88</v>
      </c>
      <c r="V1465" s="6">
        <f>IF(ISERROR(VLOOKUP($S$1465,'TAR FIN'!$A$1:$O$116,15,0)),0,VLOOKUP($S$1465,'TAR FIN'!$A$1:$O$116,15,0))</f>
        <v>0</v>
      </c>
      <c r="W1465" s="6">
        <f>IF(ISERROR(VLOOKUP($T$1465,'TAR FIN'!$A$1:$O$116,15,0)),0,VLOOKUP($T$1465,'TAR FIN'!$A$1:$O$116,15,0))</f>
        <v>269.37</v>
      </c>
      <c r="X1465" s="6">
        <f>IF(ISERROR(VLOOKUP($U$1465,'TAR FIN'!$A$1:$O$116,15,0)),0,VLOOKUP($U$1465,'TAR FIN'!$A$1:$O$116,15,0))</f>
        <v>326.47000000000003</v>
      </c>
      <c r="Y1465" s="6"/>
      <c r="Z146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65" s="6">
        <f>('TE BE'!$AB$18+'TE BF'!$AB$18+'TE CVA'!$AB$18)*(1-CUSTOS!$M$37)</f>
        <v>329.63081087285968</v>
      </c>
      <c r="AB1465" s="6">
        <f>$K$1465*$V$1465</f>
        <v>0</v>
      </c>
      <c r="AC1465" s="6">
        <f>$M$1465*$W$1465</f>
        <v>-11.58291</v>
      </c>
      <c r="AD1465" s="6">
        <f>$O$1465*$X$1465</f>
        <v>-14.038209999999999</v>
      </c>
      <c r="AE1465" s="6">
        <f>$K$1465*$Y$1465</f>
        <v>0</v>
      </c>
      <c r="AF1465" s="6">
        <f ca="1">$M$1465*$Z$1465</f>
        <v>-13.304299607311913</v>
      </c>
      <c r="AG1465" s="6">
        <f>$O$1465*$AA$1465</f>
        <v>-14.174124867532965</v>
      </c>
    </row>
    <row r="1466" spans="1:33" ht="11.25" customHeight="1" x14ac:dyDescent="0.25">
      <c r="A1466" s="4" t="s">
        <v>28</v>
      </c>
      <c r="B1466" s="4" t="s">
        <v>22</v>
      </c>
      <c r="C1466" s="4" t="s">
        <v>23</v>
      </c>
      <c r="D1466" s="4" t="s">
        <v>24</v>
      </c>
      <c r="E1466" s="4" t="s">
        <v>32</v>
      </c>
      <c r="F1466" s="4" t="s">
        <v>25</v>
      </c>
      <c r="G1466" s="4" t="s">
        <v>25</v>
      </c>
      <c r="H1466" s="4" t="s">
        <v>25</v>
      </c>
      <c r="I1466" s="5">
        <v>44348</v>
      </c>
      <c r="J1466" s="6">
        <v>0</v>
      </c>
      <c r="K1466" s="6">
        <v>0</v>
      </c>
      <c r="L1466" s="6">
        <v>3.3460000000000001</v>
      </c>
      <c r="M1466" s="6">
        <v>3.3460000000000001</v>
      </c>
      <c r="N1466" s="6">
        <v>3.3460000000000001</v>
      </c>
      <c r="O1466" s="6">
        <v>3.3460000000000001</v>
      </c>
      <c r="P1466" s="6">
        <v>31</v>
      </c>
      <c r="Q1466" s="4" t="s">
        <v>26</v>
      </c>
      <c r="R1466" s="4">
        <v>0</v>
      </c>
      <c r="S1466" s="6">
        <v>0</v>
      </c>
      <c r="T1466" s="6">
        <v>45</v>
      </c>
      <c r="U1466" s="6">
        <v>88</v>
      </c>
      <c r="V1466" s="6">
        <f>IF(ISERROR(VLOOKUP($S$1466,'TAR FIN'!$A$1:$O$116,15,0)),0,VLOOKUP($S$1466,'TAR FIN'!$A$1:$O$116,15,0))</f>
        <v>0</v>
      </c>
      <c r="W1466" s="6">
        <f>IF(ISERROR(VLOOKUP($T$1466,'TAR FIN'!$A$1:$O$116,15,0)),0,VLOOKUP($T$1466,'TAR FIN'!$A$1:$O$116,15,0))</f>
        <v>269.37</v>
      </c>
      <c r="X1466" s="6">
        <f>IF(ISERROR(VLOOKUP($U$1466,'TAR FIN'!$A$1:$O$116,15,0)),0,VLOOKUP($U$1466,'TAR FIN'!$A$1:$O$116,15,0))</f>
        <v>326.47000000000003</v>
      </c>
      <c r="Y1466" s="6"/>
      <c r="Z146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66" s="6">
        <f>('TE BE'!$AB$18+'TE BF'!$AB$18+'TE CVA'!$AB$18)*(1-CUSTOS!$M$37)</f>
        <v>329.63081087285968</v>
      </c>
      <c r="AB1466" s="6">
        <f>$K$1466*$V$1466</f>
        <v>0</v>
      </c>
      <c r="AC1466" s="6">
        <f>$M$1466*$W$1466</f>
        <v>901.31202000000008</v>
      </c>
      <c r="AD1466" s="6">
        <f>$O$1466*$X$1466</f>
        <v>1092.3686200000002</v>
      </c>
      <c r="AE1466" s="6">
        <f>$K$1466*$Y$1466</f>
        <v>0</v>
      </c>
      <c r="AF1466" s="6">
        <f ca="1">$M$1466*$Z$1466</f>
        <v>1035.2601508387363</v>
      </c>
      <c r="AG1466" s="6">
        <f>$O$1466*$AA$1466</f>
        <v>1102.9446931805885</v>
      </c>
    </row>
    <row r="1467" spans="1:33" ht="11.25" customHeight="1" x14ac:dyDescent="0.25">
      <c r="A1467" s="4" t="s">
        <v>21</v>
      </c>
      <c r="B1467" s="4" t="s">
        <v>22</v>
      </c>
      <c r="C1467" s="4" t="s">
        <v>23</v>
      </c>
      <c r="D1467" s="4" t="s">
        <v>24</v>
      </c>
      <c r="E1467" s="4" t="s">
        <v>32</v>
      </c>
      <c r="F1467" s="4" t="s">
        <v>25</v>
      </c>
      <c r="G1467" s="4" t="s">
        <v>25</v>
      </c>
      <c r="H1467" s="4" t="s">
        <v>25</v>
      </c>
      <c r="I1467" s="5">
        <v>44378</v>
      </c>
      <c r="J1467" s="6">
        <v>0</v>
      </c>
      <c r="K1467" s="6">
        <v>0</v>
      </c>
      <c r="L1467" s="6">
        <v>395.661</v>
      </c>
      <c r="M1467" s="6">
        <v>395.661</v>
      </c>
      <c r="N1467" s="6">
        <v>395.661</v>
      </c>
      <c r="O1467" s="6">
        <v>395.661</v>
      </c>
      <c r="P1467" s="6">
        <v>6291</v>
      </c>
      <c r="Q1467" s="4" t="s">
        <v>26</v>
      </c>
      <c r="R1467" s="4">
        <v>0</v>
      </c>
      <c r="S1467" s="6">
        <v>0</v>
      </c>
      <c r="T1467" s="6">
        <v>45</v>
      </c>
      <c r="U1467" s="6">
        <v>88</v>
      </c>
      <c r="V1467" s="6">
        <f>IF(ISERROR(VLOOKUP($S$1467,'TAR FIN'!$A$1:$O$116,15,0)),0,VLOOKUP($S$1467,'TAR FIN'!$A$1:$O$116,15,0))</f>
        <v>0</v>
      </c>
      <c r="W1467" s="6">
        <f>IF(ISERROR(VLOOKUP($T$1467,'TAR FIN'!$A$1:$O$116,15,0)),0,VLOOKUP($T$1467,'TAR FIN'!$A$1:$O$116,15,0))</f>
        <v>269.37</v>
      </c>
      <c r="X1467" s="6">
        <f>IF(ISERROR(VLOOKUP($U$1467,'TAR FIN'!$A$1:$O$116,15,0)),0,VLOOKUP($U$1467,'TAR FIN'!$A$1:$O$116,15,0))</f>
        <v>326.47000000000003</v>
      </c>
      <c r="Y1467" s="6"/>
      <c r="Z146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67" s="6">
        <f>('TE BE'!$AB$18+'TE BF'!$AB$18+'TE CVA'!$AB$18)*(1-CUSTOS!$M$37)</f>
        <v>329.63081087285968</v>
      </c>
      <c r="AB1467" s="6">
        <f>$K$1467*$V$1467</f>
        <v>0</v>
      </c>
      <c r="AC1467" s="6">
        <f>$M$1467*$W$1467</f>
        <v>106579.20357</v>
      </c>
      <c r="AD1467" s="6">
        <f>$O$1467*$X$1467</f>
        <v>129171.44667</v>
      </c>
      <c r="AE1467" s="6">
        <f>$K$1467*$Y$1467</f>
        <v>0</v>
      </c>
      <c r="AF1467" s="6">
        <f ca="1">$M$1467*$Z$1467</f>
        <v>122418.42992857299</v>
      </c>
      <c r="AG1467" s="6">
        <f>$O$1467*$AA$1467</f>
        <v>130422.05626076653</v>
      </c>
    </row>
    <row r="1468" spans="1:33" ht="11.25" customHeight="1" x14ac:dyDescent="0.25">
      <c r="A1468" s="4" t="s">
        <v>27</v>
      </c>
      <c r="B1468" s="4" t="s">
        <v>22</v>
      </c>
      <c r="C1468" s="4" t="s">
        <v>23</v>
      </c>
      <c r="D1468" s="4" t="s">
        <v>24</v>
      </c>
      <c r="E1468" s="4" t="s">
        <v>32</v>
      </c>
      <c r="F1468" s="4" t="s">
        <v>25</v>
      </c>
      <c r="G1468" s="4" t="s">
        <v>25</v>
      </c>
      <c r="H1468" s="4" t="s">
        <v>25</v>
      </c>
      <c r="I1468" s="5">
        <v>44378</v>
      </c>
      <c r="J1468" s="6">
        <v>0</v>
      </c>
      <c r="K1468" s="6">
        <v>0</v>
      </c>
      <c r="L1468" s="6">
        <v>-3.0000000000000001E-3</v>
      </c>
      <c r="M1468" s="6">
        <v>-3.0000000000000001E-3</v>
      </c>
      <c r="N1468" s="6">
        <v>-3.0000000000000001E-3</v>
      </c>
      <c r="O1468" s="6">
        <v>-3.0000000000000001E-3</v>
      </c>
      <c r="P1468" s="6">
        <v>-1</v>
      </c>
      <c r="Q1468" s="4" t="s">
        <v>26</v>
      </c>
      <c r="R1468" s="4">
        <v>0</v>
      </c>
      <c r="S1468" s="6">
        <v>0</v>
      </c>
      <c r="T1468" s="6">
        <v>45</v>
      </c>
      <c r="U1468" s="6">
        <v>88</v>
      </c>
      <c r="V1468" s="6">
        <f>IF(ISERROR(VLOOKUP($S$1468,'TAR FIN'!$A$1:$O$116,15,0)),0,VLOOKUP($S$1468,'TAR FIN'!$A$1:$O$116,15,0))</f>
        <v>0</v>
      </c>
      <c r="W1468" s="6">
        <f>IF(ISERROR(VLOOKUP($T$1468,'TAR FIN'!$A$1:$O$116,15,0)),0,VLOOKUP($T$1468,'TAR FIN'!$A$1:$O$116,15,0))</f>
        <v>269.37</v>
      </c>
      <c r="X1468" s="6">
        <f>IF(ISERROR(VLOOKUP($U$1468,'TAR FIN'!$A$1:$O$116,15,0)),0,VLOOKUP($U$1468,'TAR FIN'!$A$1:$O$116,15,0))</f>
        <v>326.47000000000003</v>
      </c>
      <c r="Y1468" s="6"/>
      <c r="Z146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68" s="6">
        <f>('TE BE'!$AB$18+'TE BF'!$AB$18+'TE CVA'!$AB$18)*(1-CUSTOS!$M$37)</f>
        <v>329.63081087285968</v>
      </c>
      <c r="AB1468" s="6">
        <f>$K$1468*$V$1468</f>
        <v>0</v>
      </c>
      <c r="AC1468" s="6">
        <f>$M$1468*$W$1468</f>
        <v>-0.80810999999999999</v>
      </c>
      <c r="AD1468" s="6">
        <f>$O$1468*$X$1468</f>
        <v>-0.97941000000000011</v>
      </c>
      <c r="AE1468" s="6">
        <f>$K$1468*$Y$1468</f>
        <v>0</v>
      </c>
      <c r="AF1468" s="6">
        <f ca="1">$M$1468*$Z$1468</f>
        <v>-0.92820694934734282</v>
      </c>
      <c r="AG1468" s="6">
        <f>$O$1468*$AA$1468</f>
        <v>-0.98889243261857906</v>
      </c>
    </row>
    <row r="1469" spans="1:33" ht="11.25" customHeight="1" x14ac:dyDescent="0.25">
      <c r="A1469" s="4" t="s">
        <v>28</v>
      </c>
      <c r="B1469" s="4" t="s">
        <v>22</v>
      </c>
      <c r="C1469" s="4" t="s">
        <v>23</v>
      </c>
      <c r="D1469" s="4" t="s">
        <v>24</v>
      </c>
      <c r="E1469" s="4" t="s">
        <v>32</v>
      </c>
      <c r="F1469" s="4" t="s">
        <v>25</v>
      </c>
      <c r="G1469" s="4" t="s">
        <v>25</v>
      </c>
      <c r="H1469" s="4" t="s">
        <v>25</v>
      </c>
      <c r="I1469" s="5">
        <v>44378</v>
      </c>
      <c r="J1469" s="6">
        <v>0</v>
      </c>
      <c r="K1469" s="6">
        <v>0</v>
      </c>
      <c r="L1469" s="6">
        <v>3.145</v>
      </c>
      <c r="M1469" s="6">
        <v>3.145</v>
      </c>
      <c r="N1469" s="6">
        <v>3.145</v>
      </c>
      <c r="O1469" s="6">
        <v>3.145</v>
      </c>
      <c r="P1469" s="6">
        <v>31</v>
      </c>
      <c r="Q1469" s="4" t="s">
        <v>26</v>
      </c>
      <c r="R1469" s="4">
        <v>0</v>
      </c>
      <c r="S1469" s="6">
        <v>0</v>
      </c>
      <c r="T1469" s="6">
        <v>45</v>
      </c>
      <c r="U1469" s="6">
        <v>88</v>
      </c>
      <c r="V1469" s="6">
        <f>IF(ISERROR(VLOOKUP($S$1469,'TAR FIN'!$A$1:$O$116,15,0)),0,VLOOKUP($S$1469,'TAR FIN'!$A$1:$O$116,15,0))</f>
        <v>0</v>
      </c>
      <c r="W1469" s="6">
        <f>IF(ISERROR(VLOOKUP($T$1469,'TAR FIN'!$A$1:$O$116,15,0)),0,VLOOKUP($T$1469,'TAR FIN'!$A$1:$O$116,15,0))</f>
        <v>269.37</v>
      </c>
      <c r="X1469" s="6">
        <f>IF(ISERROR(VLOOKUP($U$1469,'TAR FIN'!$A$1:$O$116,15,0)),0,VLOOKUP($U$1469,'TAR FIN'!$A$1:$O$116,15,0))</f>
        <v>326.47000000000003</v>
      </c>
      <c r="Y1469" s="6"/>
      <c r="Z146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69" s="6">
        <f>('TE BE'!$AB$18+'TE BF'!$AB$18+'TE CVA'!$AB$18)*(1-CUSTOS!$M$37)</f>
        <v>329.63081087285968</v>
      </c>
      <c r="AB1469" s="6">
        <f>$K$1469*$V$1469</f>
        <v>0</v>
      </c>
      <c r="AC1469" s="6">
        <f>$M$1469*$W$1469</f>
        <v>847.16865000000007</v>
      </c>
      <c r="AD1469" s="6">
        <f>$O$1469*$X$1469</f>
        <v>1026.7481500000001</v>
      </c>
      <c r="AE1469" s="6">
        <f>$K$1469*$Y$1469</f>
        <v>0</v>
      </c>
      <c r="AF1469" s="6">
        <f ca="1">$M$1469*$Z$1469</f>
        <v>973.07028523246436</v>
      </c>
      <c r="AG1469" s="6">
        <f>$O$1469*$AA$1469</f>
        <v>1036.6889001951438</v>
      </c>
    </row>
    <row r="1470" spans="1:33" ht="11.25" customHeight="1" x14ac:dyDescent="0.25">
      <c r="A1470" s="4" t="s">
        <v>21</v>
      </c>
      <c r="B1470" s="4" t="s">
        <v>22</v>
      </c>
      <c r="C1470" s="4" t="s">
        <v>23</v>
      </c>
      <c r="D1470" s="4" t="s">
        <v>24</v>
      </c>
      <c r="E1470" s="4" t="s">
        <v>32</v>
      </c>
      <c r="F1470" s="4" t="s">
        <v>25</v>
      </c>
      <c r="G1470" s="4" t="s">
        <v>25</v>
      </c>
      <c r="H1470" s="4" t="s">
        <v>25</v>
      </c>
      <c r="I1470" s="5">
        <v>44409</v>
      </c>
      <c r="J1470" s="6">
        <v>0</v>
      </c>
      <c r="K1470" s="6">
        <v>0</v>
      </c>
      <c r="L1470" s="6">
        <v>415.32299999999998</v>
      </c>
      <c r="M1470" s="6">
        <v>415.32299999999998</v>
      </c>
      <c r="N1470" s="6">
        <v>415.32299999999998</v>
      </c>
      <c r="O1470" s="6">
        <v>415.32299999999998</v>
      </c>
      <c r="P1470" s="6">
        <v>6611</v>
      </c>
      <c r="Q1470" s="4" t="s">
        <v>26</v>
      </c>
      <c r="R1470" s="4">
        <v>0</v>
      </c>
      <c r="S1470" s="6">
        <v>0</v>
      </c>
      <c r="T1470" s="6">
        <v>45</v>
      </c>
      <c r="U1470" s="6">
        <v>88</v>
      </c>
      <c r="V1470" s="6">
        <f>IF(ISERROR(VLOOKUP($S$1470,'TAR FIN'!$A$1:$O$116,15,0)),0,VLOOKUP($S$1470,'TAR FIN'!$A$1:$O$116,15,0))</f>
        <v>0</v>
      </c>
      <c r="W1470" s="6">
        <f>IF(ISERROR(VLOOKUP($T$1470,'TAR FIN'!$A$1:$O$116,15,0)),0,VLOOKUP($T$1470,'TAR FIN'!$A$1:$O$116,15,0))</f>
        <v>269.37</v>
      </c>
      <c r="X1470" s="6">
        <f>IF(ISERROR(VLOOKUP($U$1470,'TAR FIN'!$A$1:$O$116,15,0)),0,VLOOKUP($U$1470,'TAR FIN'!$A$1:$O$116,15,0))</f>
        <v>326.47000000000003</v>
      </c>
      <c r="Y1470" s="6"/>
      <c r="Z147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0" s="6">
        <f>('TE BE'!$AB$18+'TE BF'!$AB$18+'TE CVA'!$AB$18)*(1-CUSTOS!$M$37)</f>
        <v>329.63081087285968</v>
      </c>
      <c r="AB1470" s="6">
        <f>$K$1470*$V$1470</f>
        <v>0</v>
      </c>
      <c r="AC1470" s="6">
        <f>$M$1470*$W$1470</f>
        <v>111875.55650999999</v>
      </c>
      <c r="AD1470" s="6">
        <f>$O$1470*$X$1470</f>
        <v>135590.49981000001</v>
      </c>
      <c r="AE1470" s="6">
        <f>$K$1470*$Y$1470</f>
        <v>0</v>
      </c>
      <c r="AF1470" s="6">
        <f ca="1">$M$1470*$Z$1470</f>
        <v>128501.89827459547</v>
      </c>
      <c r="AG1470" s="6">
        <f>$O$1470*$AA$1470</f>
        <v>136903.25726414871</v>
      </c>
    </row>
    <row r="1471" spans="1:33" ht="11.25" customHeight="1" x14ac:dyDescent="0.25">
      <c r="A1471" s="4" t="s">
        <v>27</v>
      </c>
      <c r="B1471" s="4" t="s">
        <v>22</v>
      </c>
      <c r="C1471" s="4" t="s">
        <v>23</v>
      </c>
      <c r="D1471" s="4" t="s">
        <v>24</v>
      </c>
      <c r="E1471" s="4" t="s">
        <v>32</v>
      </c>
      <c r="F1471" s="4" t="s">
        <v>25</v>
      </c>
      <c r="G1471" s="4" t="s">
        <v>25</v>
      </c>
      <c r="H1471" s="4" t="s">
        <v>25</v>
      </c>
      <c r="I1471" s="5">
        <v>44409</v>
      </c>
      <c r="J1471" s="6">
        <v>0</v>
      </c>
      <c r="K1471" s="6">
        <v>0</v>
      </c>
      <c r="L1471" s="6">
        <v>-3.7890000000000001</v>
      </c>
      <c r="M1471" s="6">
        <v>-3.7890000000000001</v>
      </c>
      <c r="N1471" s="6">
        <v>-3.7890000000000001</v>
      </c>
      <c r="O1471" s="6">
        <v>-3.7890000000000001</v>
      </c>
      <c r="P1471" s="6">
        <v>-8</v>
      </c>
      <c r="Q1471" s="4" t="s">
        <v>26</v>
      </c>
      <c r="R1471" s="4">
        <v>0</v>
      </c>
      <c r="S1471" s="6">
        <v>0</v>
      </c>
      <c r="T1471" s="6">
        <v>45</v>
      </c>
      <c r="U1471" s="6">
        <v>88</v>
      </c>
      <c r="V1471" s="6">
        <f>IF(ISERROR(VLOOKUP($S$1471,'TAR FIN'!$A$1:$O$116,15,0)),0,VLOOKUP($S$1471,'TAR FIN'!$A$1:$O$116,15,0))</f>
        <v>0</v>
      </c>
      <c r="W1471" s="6">
        <f>IF(ISERROR(VLOOKUP($T$1471,'TAR FIN'!$A$1:$O$116,15,0)),0,VLOOKUP($T$1471,'TAR FIN'!$A$1:$O$116,15,0))</f>
        <v>269.37</v>
      </c>
      <c r="X1471" s="6">
        <f>IF(ISERROR(VLOOKUP($U$1471,'TAR FIN'!$A$1:$O$116,15,0)),0,VLOOKUP($U$1471,'TAR FIN'!$A$1:$O$116,15,0))</f>
        <v>326.47000000000003</v>
      </c>
      <c r="Y1471" s="6"/>
      <c r="Z147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1" s="6">
        <f>('TE BE'!$AB$18+'TE BF'!$AB$18+'TE CVA'!$AB$18)*(1-CUSTOS!$M$37)</f>
        <v>329.63081087285968</v>
      </c>
      <c r="AB1471" s="6">
        <f>$K$1471*$V$1471</f>
        <v>0</v>
      </c>
      <c r="AC1471" s="6">
        <f>$M$1471*$W$1471</f>
        <v>-1020.6429300000001</v>
      </c>
      <c r="AD1471" s="6">
        <f>$O$1471*$X$1471</f>
        <v>-1236.9948300000001</v>
      </c>
      <c r="AE1471" s="6">
        <f>$K$1471*$Y$1471</f>
        <v>0</v>
      </c>
      <c r="AF1471" s="6">
        <f ca="1">$M$1471*$Z$1471</f>
        <v>-1172.325377025694</v>
      </c>
      <c r="AG1471" s="6">
        <f>$O$1471*$AA$1471</f>
        <v>-1248.9711423972653</v>
      </c>
    </row>
    <row r="1472" spans="1:33" ht="11.25" customHeight="1" x14ac:dyDescent="0.25">
      <c r="A1472" s="4" t="s">
        <v>28</v>
      </c>
      <c r="B1472" s="4" t="s">
        <v>22</v>
      </c>
      <c r="C1472" s="4" t="s">
        <v>23</v>
      </c>
      <c r="D1472" s="4" t="s">
        <v>24</v>
      </c>
      <c r="E1472" s="4" t="s">
        <v>32</v>
      </c>
      <c r="F1472" s="4" t="s">
        <v>25</v>
      </c>
      <c r="G1472" s="4" t="s">
        <v>25</v>
      </c>
      <c r="H1472" s="4" t="s">
        <v>25</v>
      </c>
      <c r="I1472" s="5">
        <v>44409</v>
      </c>
      <c r="J1472" s="6">
        <v>0</v>
      </c>
      <c r="K1472" s="6">
        <v>0</v>
      </c>
      <c r="L1472" s="6">
        <v>3.2330000000000001</v>
      </c>
      <c r="M1472" s="6">
        <v>3.2330000000000001</v>
      </c>
      <c r="N1472" s="6">
        <v>3.2330000000000001</v>
      </c>
      <c r="O1472" s="6">
        <v>3.2330000000000001</v>
      </c>
      <c r="P1472" s="6">
        <v>40</v>
      </c>
      <c r="Q1472" s="4" t="s">
        <v>26</v>
      </c>
      <c r="R1472" s="4">
        <v>0</v>
      </c>
      <c r="S1472" s="6">
        <v>0</v>
      </c>
      <c r="T1472" s="6">
        <v>45</v>
      </c>
      <c r="U1472" s="6">
        <v>88</v>
      </c>
      <c r="V1472" s="6">
        <f>IF(ISERROR(VLOOKUP($S$1472,'TAR FIN'!$A$1:$O$116,15,0)),0,VLOOKUP($S$1472,'TAR FIN'!$A$1:$O$116,15,0))</f>
        <v>0</v>
      </c>
      <c r="W1472" s="6">
        <f>IF(ISERROR(VLOOKUP($T$1472,'TAR FIN'!$A$1:$O$116,15,0)),0,VLOOKUP($T$1472,'TAR FIN'!$A$1:$O$116,15,0))</f>
        <v>269.37</v>
      </c>
      <c r="X1472" s="6">
        <f>IF(ISERROR(VLOOKUP($U$1472,'TAR FIN'!$A$1:$O$116,15,0)),0,VLOOKUP($U$1472,'TAR FIN'!$A$1:$O$116,15,0))</f>
        <v>326.47000000000003</v>
      </c>
      <c r="Y1472" s="6"/>
      <c r="Z147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2" s="6">
        <f>('TE BE'!$AB$18+'TE BF'!$AB$18+'TE CVA'!$AB$18)*(1-CUSTOS!$M$37)</f>
        <v>329.63081087285968</v>
      </c>
      <c r="AB1472" s="6">
        <f>$K$1472*$V$1472</f>
        <v>0</v>
      </c>
      <c r="AC1472" s="6">
        <f>$M$1472*$W$1472</f>
        <v>870.87321000000009</v>
      </c>
      <c r="AD1472" s="6">
        <f>$O$1472*$X$1472</f>
        <v>1055.4775100000002</v>
      </c>
      <c r="AE1472" s="6">
        <f>$K$1472*$Y$1472</f>
        <v>0</v>
      </c>
      <c r="AF1472" s="6">
        <f ca="1">$M$1472*$Z$1472</f>
        <v>1000.2976890799864</v>
      </c>
      <c r="AG1472" s="6">
        <f>$O$1472*$AA$1472</f>
        <v>1065.6964115519554</v>
      </c>
    </row>
    <row r="1473" spans="1:33" ht="11.25" customHeight="1" x14ac:dyDescent="0.25">
      <c r="A1473" s="4" t="s">
        <v>21</v>
      </c>
      <c r="B1473" s="4" t="s">
        <v>22</v>
      </c>
      <c r="C1473" s="4" t="s">
        <v>23</v>
      </c>
      <c r="D1473" s="4" t="s">
        <v>24</v>
      </c>
      <c r="E1473" s="4" t="s">
        <v>32</v>
      </c>
      <c r="F1473" s="4" t="s">
        <v>25</v>
      </c>
      <c r="G1473" s="4" t="s">
        <v>25</v>
      </c>
      <c r="H1473" s="4" t="s">
        <v>25</v>
      </c>
      <c r="I1473" s="5">
        <v>44440</v>
      </c>
      <c r="J1473" s="6">
        <v>0</v>
      </c>
      <c r="K1473" s="6">
        <v>0</v>
      </c>
      <c r="L1473" s="6">
        <v>642.28399999999999</v>
      </c>
      <c r="M1473" s="6">
        <v>642.28399999999999</v>
      </c>
      <c r="N1473" s="6">
        <v>642.28399999999999</v>
      </c>
      <c r="O1473" s="6">
        <v>642.28399999999999</v>
      </c>
      <c r="P1473" s="6">
        <v>9346</v>
      </c>
      <c r="Q1473" s="4" t="s">
        <v>26</v>
      </c>
      <c r="R1473" s="4">
        <v>0</v>
      </c>
      <c r="S1473" s="6">
        <v>0</v>
      </c>
      <c r="T1473" s="6">
        <v>45</v>
      </c>
      <c r="U1473" s="6">
        <v>88</v>
      </c>
      <c r="V1473" s="6">
        <f>IF(ISERROR(VLOOKUP($S$1473,'TAR FIN'!$A$1:$O$116,15,0)),0,VLOOKUP($S$1473,'TAR FIN'!$A$1:$O$116,15,0))</f>
        <v>0</v>
      </c>
      <c r="W1473" s="6">
        <f>IF(ISERROR(VLOOKUP($T$1473,'TAR FIN'!$A$1:$O$116,15,0)),0,VLOOKUP($T$1473,'TAR FIN'!$A$1:$O$116,15,0))</f>
        <v>269.37</v>
      </c>
      <c r="X1473" s="6">
        <f>IF(ISERROR(VLOOKUP($U$1473,'TAR FIN'!$A$1:$O$116,15,0)),0,VLOOKUP($U$1473,'TAR FIN'!$A$1:$O$116,15,0))</f>
        <v>326.47000000000003</v>
      </c>
      <c r="Y1473" s="6"/>
      <c r="Z147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3" s="6">
        <f>('TE BE'!$AB$18+'TE BF'!$AB$18+'TE CVA'!$AB$18)*(1-CUSTOS!$M$37)</f>
        <v>329.63081087285968</v>
      </c>
      <c r="AB1473" s="6">
        <f>$K$1473*$V$1473</f>
        <v>0</v>
      </c>
      <c r="AC1473" s="6">
        <f>$M$1473*$W$1473</f>
        <v>173012.04108</v>
      </c>
      <c r="AD1473" s="6">
        <f>$O$1473*$X$1473</f>
        <v>209686.45748000001</v>
      </c>
      <c r="AE1473" s="6">
        <f>$K$1473*$Y$1473</f>
        <v>0</v>
      </c>
      <c r="AF1473" s="6">
        <f ca="1">$M$1473*$Z$1473</f>
        <v>198724.1574182029</v>
      </c>
      <c r="AG1473" s="6">
        <f>$O$1473*$AA$1473</f>
        <v>211716.5957306638</v>
      </c>
    </row>
    <row r="1474" spans="1:33" ht="11.25" customHeight="1" x14ac:dyDescent="0.25">
      <c r="A1474" s="4" t="s">
        <v>27</v>
      </c>
      <c r="B1474" s="4" t="s">
        <v>22</v>
      </c>
      <c r="C1474" s="4" t="s">
        <v>23</v>
      </c>
      <c r="D1474" s="4" t="s">
        <v>24</v>
      </c>
      <c r="E1474" s="4" t="s">
        <v>32</v>
      </c>
      <c r="F1474" s="4" t="s">
        <v>25</v>
      </c>
      <c r="G1474" s="4" t="s">
        <v>25</v>
      </c>
      <c r="H1474" s="4" t="s">
        <v>25</v>
      </c>
      <c r="I1474" s="5">
        <v>44440</v>
      </c>
      <c r="J1474" s="6">
        <v>0</v>
      </c>
      <c r="K1474" s="6">
        <v>0</v>
      </c>
      <c r="L1474" s="6">
        <v>-3.7919999999999998</v>
      </c>
      <c r="M1474" s="6">
        <v>-3.7919999999999998</v>
      </c>
      <c r="N1474" s="6">
        <v>-3.7919999999999998</v>
      </c>
      <c r="O1474" s="6">
        <v>-3.7919999999999998</v>
      </c>
      <c r="P1474" s="6">
        <v>-7</v>
      </c>
      <c r="Q1474" s="4" t="s">
        <v>26</v>
      </c>
      <c r="R1474" s="4">
        <v>0</v>
      </c>
      <c r="S1474" s="6">
        <v>0</v>
      </c>
      <c r="T1474" s="6">
        <v>45</v>
      </c>
      <c r="U1474" s="6">
        <v>88</v>
      </c>
      <c r="V1474" s="6">
        <f>IF(ISERROR(VLOOKUP($S$1474,'TAR FIN'!$A$1:$O$116,15,0)),0,VLOOKUP($S$1474,'TAR FIN'!$A$1:$O$116,15,0))</f>
        <v>0</v>
      </c>
      <c r="W1474" s="6">
        <f>IF(ISERROR(VLOOKUP($T$1474,'TAR FIN'!$A$1:$O$116,15,0)),0,VLOOKUP($T$1474,'TAR FIN'!$A$1:$O$116,15,0))</f>
        <v>269.37</v>
      </c>
      <c r="X1474" s="6">
        <f>IF(ISERROR(VLOOKUP($U$1474,'TAR FIN'!$A$1:$O$116,15,0)),0,VLOOKUP($U$1474,'TAR FIN'!$A$1:$O$116,15,0))</f>
        <v>326.47000000000003</v>
      </c>
      <c r="Y1474" s="6"/>
      <c r="Z147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4" s="6">
        <f>('TE BE'!$AB$18+'TE BF'!$AB$18+'TE CVA'!$AB$18)*(1-CUSTOS!$M$37)</f>
        <v>329.63081087285968</v>
      </c>
      <c r="AB1474" s="6">
        <f>$K$1474*$V$1474</f>
        <v>0</v>
      </c>
      <c r="AC1474" s="6">
        <f>$M$1474*$W$1474</f>
        <v>-1021.4510399999999</v>
      </c>
      <c r="AD1474" s="6">
        <f>$O$1474*$X$1474</f>
        <v>-1237.97424</v>
      </c>
      <c r="AE1474" s="6">
        <f>$K$1474*$Y$1474</f>
        <v>0</v>
      </c>
      <c r="AF1474" s="6">
        <f ca="1">$M$1474*$Z$1474</f>
        <v>-1173.2535839750412</v>
      </c>
      <c r="AG1474" s="6">
        <f>$O$1474*$AA$1474</f>
        <v>-1249.9600348298839</v>
      </c>
    </row>
    <row r="1475" spans="1:33" ht="11.25" customHeight="1" x14ac:dyDescent="0.25">
      <c r="A1475" s="4" t="s">
        <v>28</v>
      </c>
      <c r="B1475" s="4" t="s">
        <v>22</v>
      </c>
      <c r="C1475" s="4" t="s">
        <v>23</v>
      </c>
      <c r="D1475" s="4" t="s">
        <v>24</v>
      </c>
      <c r="E1475" s="4" t="s">
        <v>32</v>
      </c>
      <c r="F1475" s="4" t="s">
        <v>25</v>
      </c>
      <c r="G1475" s="4" t="s">
        <v>25</v>
      </c>
      <c r="H1475" s="4" t="s">
        <v>25</v>
      </c>
      <c r="I1475" s="5">
        <v>44440</v>
      </c>
      <c r="J1475" s="6">
        <v>0</v>
      </c>
      <c r="K1475" s="6">
        <v>0</v>
      </c>
      <c r="L1475" s="6">
        <v>4.22</v>
      </c>
      <c r="M1475" s="6">
        <v>4.22</v>
      </c>
      <c r="N1475" s="6">
        <v>4.22</v>
      </c>
      <c r="O1475" s="6">
        <v>4.22</v>
      </c>
      <c r="P1475" s="6">
        <v>47</v>
      </c>
      <c r="Q1475" s="4" t="s">
        <v>26</v>
      </c>
      <c r="R1475" s="4">
        <v>0</v>
      </c>
      <c r="S1475" s="6">
        <v>0</v>
      </c>
      <c r="T1475" s="6">
        <v>45</v>
      </c>
      <c r="U1475" s="6">
        <v>88</v>
      </c>
      <c r="V1475" s="6">
        <f>IF(ISERROR(VLOOKUP($S$1475,'TAR FIN'!$A$1:$O$116,15,0)),0,VLOOKUP($S$1475,'TAR FIN'!$A$1:$O$116,15,0))</f>
        <v>0</v>
      </c>
      <c r="W1475" s="6">
        <f>IF(ISERROR(VLOOKUP($T$1475,'TAR FIN'!$A$1:$O$116,15,0)),0,VLOOKUP($T$1475,'TAR FIN'!$A$1:$O$116,15,0))</f>
        <v>269.37</v>
      </c>
      <c r="X1475" s="6">
        <f>IF(ISERROR(VLOOKUP($U$1475,'TAR FIN'!$A$1:$O$116,15,0)),0,VLOOKUP($U$1475,'TAR FIN'!$A$1:$O$116,15,0))</f>
        <v>326.47000000000003</v>
      </c>
      <c r="Y1475" s="6"/>
      <c r="Z147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5" s="6">
        <f>('TE BE'!$AB$18+'TE BF'!$AB$18+'TE CVA'!$AB$18)*(1-CUSTOS!$M$37)</f>
        <v>329.63081087285968</v>
      </c>
      <c r="AB1475" s="6">
        <f>$K$1475*$V$1475</f>
        <v>0</v>
      </c>
      <c r="AC1475" s="6">
        <f>$M$1475*$W$1475</f>
        <v>1136.7413999999999</v>
      </c>
      <c r="AD1475" s="6">
        <f>$O$1475*$X$1475</f>
        <v>1377.7034000000001</v>
      </c>
      <c r="AE1475" s="6">
        <f>$K$1475*$Y$1475</f>
        <v>0</v>
      </c>
      <c r="AF1475" s="6">
        <f ca="1">$M$1475*$Z$1475</f>
        <v>1305.6777754152622</v>
      </c>
      <c r="AG1475" s="6">
        <f>$O$1475*$AA$1475</f>
        <v>1391.0420218834677</v>
      </c>
    </row>
    <row r="1476" spans="1:33" ht="11.25" customHeight="1" x14ac:dyDescent="0.25">
      <c r="A1476" s="4" t="s">
        <v>21</v>
      </c>
      <c r="B1476" s="4" t="s">
        <v>22</v>
      </c>
      <c r="C1476" s="4" t="s">
        <v>23</v>
      </c>
      <c r="D1476" s="4" t="s">
        <v>24</v>
      </c>
      <c r="E1476" s="4" t="s">
        <v>32</v>
      </c>
      <c r="F1476" s="4" t="s">
        <v>25</v>
      </c>
      <c r="G1476" s="4" t="s">
        <v>25</v>
      </c>
      <c r="H1476" s="4" t="s">
        <v>25</v>
      </c>
      <c r="I1476" s="5">
        <v>44470</v>
      </c>
      <c r="J1476" s="6">
        <v>0</v>
      </c>
      <c r="K1476" s="6">
        <v>0</v>
      </c>
      <c r="L1476" s="6">
        <v>515.21600000000001</v>
      </c>
      <c r="M1476" s="6">
        <v>515.21600000000001</v>
      </c>
      <c r="N1476" s="6">
        <v>515.21600000000001</v>
      </c>
      <c r="O1476" s="6">
        <v>515.21600000000001</v>
      </c>
      <c r="P1476" s="6">
        <v>7642</v>
      </c>
      <c r="Q1476" s="4" t="s">
        <v>26</v>
      </c>
      <c r="R1476" s="4">
        <v>0</v>
      </c>
      <c r="S1476" s="6">
        <v>0</v>
      </c>
      <c r="T1476" s="6">
        <v>45</v>
      </c>
      <c r="U1476" s="6">
        <v>88</v>
      </c>
      <c r="V1476" s="6">
        <f>IF(ISERROR(VLOOKUP($S$1476,'TAR FIN'!$A$1:$O$116,15,0)),0,VLOOKUP($S$1476,'TAR FIN'!$A$1:$O$116,15,0))</f>
        <v>0</v>
      </c>
      <c r="W1476" s="6">
        <f>IF(ISERROR(VLOOKUP($T$1476,'TAR FIN'!$A$1:$O$116,15,0)),0,VLOOKUP($T$1476,'TAR FIN'!$A$1:$O$116,15,0))</f>
        <v>269.37</v>
      </c>
      <c r="X1476" s="6">
        <f>IF(ISERROR(VLOOKUP($U$1476,'TAR FIN'!$A$1:$O$116,15,0)),0,VLOOKUP($U$1476,'TAR FIN'!$A$1:$O$116,15,0))</f>
        <v>326.47000000000003</v>
      </c>
      <c r="Y1476" s="6"/>
      <c r="Z147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6" s="6">
        <f>('TE BE'!$AB$18+'TE BF'!$AB$18+'TE CVA'!$AB$18)*(1-CUSTOS!$M$37)</f>
        <v>329.63081087285968</v>
      </c>
      <c r="AB1476" s="6">
        <f>$K$1476*$V$1476</f>
        <v>0</v>
      </c>
      <c r="AC1476" s="6">
        <f>$M$1476*$W$1476</f>
        <v>138783.73392</v>
      </c>
      <c r="AD1476" s="6">
        <f>$O$1476*$X$1476</f>
        <v>168202.56752000001</v>
      </c>
      <c r="AE1476" s="6">
        <f>$K$1476*$Y$1476</f>
        <v>0</v>
      </c>
      <c r="AF1476" s="6">
        <f ca="1">$M$1476*$Z$1476</f>
        <v>159409.02387164684</v>
      </c>
      <c r="AG1476" s="6">
        <f>$O$1476*$AA$1476</f>
        <v>169831.06785467127</v>
      </c>
    </row>
    <row r="1477" spans="1:33" ht="11.25" customHeight="1" x14ac:dyDescent="0.25">
      <c r="A1477" s="4" t="s">
        <v>27</v>
      </c>
      <c r="B1477" s="4" t="s">
        <v>22</v>
      </c>
      <c r="C1477" s="4" t="s">
        <v>23</v>
      </c>
      <c r="D1477" s="4" t="s">
        <v>24</v>
      </c>
      <c r="E1477" s="4" t="s">
        <v>32</v>
      </c>
      <c r="F1477" s="4" t="s">
        <v>25</v>
      </c>
      <c r="G1477" s="4" t="s">
        <v>25</v>
      </c>
      <c r="H1477" s="4" t="s">
        <v>25</v>
      </c>
      <c r="I1477" s="5">
        <v>44470</v>
      </c>
      <c r="J1477" s="6">
        <v>0</v>
      </c>
      <c r="K1477" s="6">
        <v>0</v>
      </c>
      <c r="L1477" s="6">
        <v>-0.76200000000000001</v>
      </c>
      <c r="M1477" s="6">
        <v>-0.76200000000000001</v>
      </c>
      <c r="N1477" s="6">
        <v>-0.76200000000000001</v>
      </c>
      <c r="O1477" s="6">
        <v>-0.76200000000000001</v>
      </c>
      <c r="P1477" s="6">
        <v>-3</v>
      </c>
      <c r="Q1477" s="4" t="s">
        <v>26</v>
      </c>
      <c r="R1477" s="4">
        <v>0</v>
      </c>
      <c r="S1477" s="6">
        <v>0</v>
      </c>
      <c r="T1477" s="6">
        <v>45</v>
      </c>
      <c r="U1477" s="6">
        <v>88</v>
      </c>
      <c r="V1477" s="6">
        <f>IF(ISERROR(VLOOKUP($S$1477,'TAR FIN'!$A$1:$O$116,15,0)),0,VLOOKUP($S$1477,'TAR FIN'!$A$1:$O$116,15,0))</f>
        <v>0</v>
      </c>
      <c r="W1477" s="6">
        <f>IF(ISERROR(VLOOKUP($T$1477,'TAR FIN'!$A$1:$O$116,15,0)),0,VLOOKUP($T$1477,'TAR FIN'!$A$1:$O$116,15,0))</f>
        <v>269.37</v>
      </c>
      <c r="X1477" s="6">
        <f>IF(ISERROR(VLOOKUP($U$1477,'TAR FIN'!$A$1:$O$116,15,0)),0,VLOOKUP($U$1477,'TAR FIN'!$A$1:$O$116,15,0))</f>
        <v>326.47000000000003</v>
      </c>
      <c r="Y1477" s="6"/>
      <c r="Z147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7" s="6">
        <f>('TE BE'!$AB$18+'TE BF'!$AB$18+'TE CVA'!$AB$18)*(1-CUSTOS!$M$37)</f>
        <v>329.63081087285968</v>
      </c>
      <c r="AB1477" s="6">
        <f>$K$1477*$V$1477</f>
        <v>0</v>
      </c>
      <c r="AC1477" s="6">
        <f>$M$1477*$W$1477</f>
        <v>-205.25994</v>
      </c>
      <c r="AD1477" s="6">
        <f>$O$1477*$X$1477</f>
        <v>-248.77014000000003</v>
      </c>
      <c r="AE1477" s="6">
        <f>$K$1477*$Y$1477</f>
        <v>0</v>
      </c>
      <c r="AF1477" s="6">
        <f ca="1">$M$1477*$Z$1477</f>
        <v>-235.76456513422508</v>
      </c>
      <c r="AG1477" s="6">
        <f>$O$1477*$AA$1477</f>
        <v>-251.17867788511907</v>
      </c>
    </row>
    <row r="1478" spans="1:33" ht="11.25" customHeight="1" x14ac:dyDescent="0.25">
      <c r="A1478" s="4" t="s">
        <v>28</v>
      </c>
      <c r="B1478" s="4" t="s">
        <v>22</v>
      </c>
      <c r="C1478" s="4" t="s">
        <v>23</v>
      </c>
      <c r="D1478" s="4" t="s">
        <v>24</v>
      </c>
      <c r="E1478" s="4" t="s">
        <v>32</v>
      </c>
      <c r="F1478" s="4" t="s">
        <v>25</v>
      </c>
      <c r="G1478" s="4" t="s">
        <v>25</v>
      </c>
      <c r="H1478" s="4" t="s">
        <v>25</v>
      </c>
      <c r="I1478" s="5">
        <v>44470</v>
      </c>
      <c r="J1478" s="6">
        <v>0</v>
      </c>
      <c r="K1478" s="6">
        <v>0</v>
      </c>
      <c r="L1478" s="6">
        <v>6.4749999999999996</v>
      </c>
      <c r="M1478" s="6">
        <v>6.4749999999999996</v>
      </c>
      <c r="N1478" s="6">
        <v>6.4749999999999996</v>
      </c>
      <c r="O1478" s="6">
        <v>6.4749999999999996</v>
      </c>
      <c r="P1478" s="6">
        <v>55</v>
      </c>
      <c r="Q1478" s="4" t="s">
        <v>26</v>
      </c>
      <c r="R1478" s="4">
        <v>0</v>
      </c>
      <c r="S1478" s="6">
        <v>0</v>
      </c>
      <c r="T1478" s="6">
        <v>45</v>
      </c>
      <c r="U1478" s="6">
        <v>88</v>
      </c>
      <c r="V1478" s="6">
        <f>IF(ISERROR(VLOOKUP($S$1478,'TAR FIN'!$A$1:$O$116,15,0)),0,VLOOKUP($S$1478,'TAR FIN'!$A$1:$O$116,15,0))</f>
        <v>0</v>
      </c>
      <c r="W1478" s="6">
        <f>IF(ISERROR(VLOOKUP($T$1478,'TAR FIN'!$A$1:$O$116,15,0)),0,VLOOKUP($T$1478,'TAR FIN'!$A$1:$O$116,15,0))</f>
        <v>269.37</v>
      </c>
      <c r="X1478" s="6">
        <f>IF(ISERROR(VLOOKUP($U$1478,'TAR FIN'!$A$1:$O$116,15,0)),0,VLOOKUP($U$1478,'TAR FIN'!$A$1:$O$116,15,0))</f>
        <v>326.47000000000003</v>
      </c>
      <c r="Y1478" s="6"/>
      <c r="Z147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8" s="6">
        <f>('TE BE'!$AB$18+'TE BF'!$AB$18+'TE CVA'!$AB$18)*(1-CUSTOS!$M$37)</f>
        <v>329.63081087285968</v>
      </c>
      <c r="AB1478" s="6">
        <f>$K$1478*$V$1478</f>
        <v>0</v>
      </c>
      <c r="AC1478" s="6">
        <f>$M$1478*$W$1478</f>
        <v>1744.17075</v>
      </c>
      <c r="AD1478" s="6">
        <f>$O$1478*$X$1478</f>
        <v>2113.8932500000001</v>
      </c>
      <c r="AE1478" s="6">
        <f>$K$1478*$Y$1478</f>
        <v>0</v>
      </c>
      <c r="AF1478" s="6">
        <f ca="1">$M$1478*$Z$1478</f>
        <v>2003.3799990080147</v>
      </c>
      <c r="AG1478" s="6">
        <f>$O$1478*$AA$1478</f>
        <v>2134.3595004017661</v>
      </c>
    </row>
    <row r="1479" spans="1:33" ht="11.25" customHeight="1" x14ac:dyDescent="0.25">
      <c r="A1479" s="4" t="s">
        <v>21</v>
      </c>
      <c r="B1479" s="4" t="s">
        <v>22</v>
      </c>
      <c r="C1479" s="4" t="s">
        <v>23</v>
      </c>
      <c r="D1479" s="4" t="s">
        <v>24</v>
      </c>
      <c r="E1479" s="4" t="s">
        <v>32</v>
      </c>
      <c r="F1479" s="4" t="s">
        <v>25</v>
      </c>
      <c r="G1479" s="4" t="s">
        <v>25</v>
      </c>
      <c r="H1479" s="4" t="s">
        <v>25</v>
      </c>
      <c r="I1479" s="5">
        <v>44501</v>
      </c>
      <c r="J1479" s="6">
        <v>0</v>
      </c>
      <c r="K1479" s="6">
        <v>0</v>
      </c>
      <c r="L1479" s="6">
        <v>528.21600000000001</v>
      </c>
      <c r="M1479" s="6">
        <v>528.21600000000001</v>
      </c>
      <c r="N1479" s="6">
        <v>528.21600000000001</v>
      </c>
      <c r="O1479" s="6">
        <v>528.21600000000001</v>
      </c>
      <c r="P1479" s="6">
        <v>7959</v>
      </c>
      <c r="Q1479" s="4" t="s">
        <v>26</v>
      </c>
      <c r="R1479" s="4">
        <v>0</v>
      </c>
      <c r="S1479" s="6">
        <v>0</v>
      </c>
      <c r="T1479" s="6">
        <v>45</v>
      </c>
      <c r="U1479" s="6">
        <v>88</v>
      </c>
      <c r="V1479" s="6">
        <f>IF(ISERROR(VLOOKUP($S$1479,'TAR FIN'!$A$1:$O$116,15,0)),0,VLOOKUP($S$1479,'TAR FIN'!$A$1:$O$116,15,0))</f>
        <v>0</v>
      </c>
      <c r="W1479" s="6">
        <f>IF(ISERROR(VLOOKUP($T$1479,'TAR FIN'!$A$1:$O$116,15,0)),0,VLOOKUP($T$1479,'TAR FIN'!$A$1:$O$116,15,0))</f>
        <v>269.37</v>
      </c>
      <c r="X1479" s="6">
        <f>IF(ISERROR(VLOOKUP($U$1479,'TAR FIN'!$A$1:$O$116,15,0)),0,VLOOKUP($U$1479,'TAR FIN'!$A$1:$O$116,15,0))</f>
        <v>326.47000000000003</v>
      </c>
      <c r="Y1479" s="6"/>
      <c r="Z147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79" s="6">
        <f>('TE BE'!$AB$18+'TE BF'!$AB$18+'TE CVA'!$AB$18)*(1-CUSTOS!$M$37)</f>
        <v>329.63081087285968</v>
      </c>
      <c r="AB1479" s="6">
        <f>$K$1479*$V$1479</f>
        <v>0</v>
      </c>
      <c r="AC1479" s="6">
        <f>$M$1479*$W$1479</f>
        <v>142285.54392</v>
      </c>
      <c r="AD1479" s="6">
        <f>$O$1479*$X$1479</f>
        <v>172446.67752000003</v>
      </c>
      <c r="AE1479" s="6">
        <f>$K$1479*$Y$1479</f>
        <v>0</v>
      </c>
      <c r="AF1479" s="6">
        <f ca="1">$M$1479*$Z$1479</f>
        <v>163431.25398548535</v>
      </c>
      <c r="AG1479" s="6">
        <f>$O$1479*$AA$1479</f>
        <v>174116.26839601845</v>
      </c>
    </row>
    <row r="1480" spans="1:33" ht="11.25" customHeight="1" x14ac:dyDescent="0.25">
      <c r="A1480" s="4" t="s">
        <v>27</v>
      </c>
      <c r="B1480" s="4" t="s">
        <v>22</v>
      </c>
      <c r="C1480" s="4" t="s">
        <v>23</v>
      </c>
      <c r="D1480" s="4" t="s">
        <v>24</v>
      </c>
      <c r="E1480" s="4" t="s">
        <v>32</v>
      </c>
      <c r="F1480" s="4" t="s">
        <v>25</v>
      </c>
      <c r="G1480" s="4" t="s">
        <v>25</v>
      </c>
      <c r="H1480" s="4" t="s">
        <v>25</v>
      </c>
      <c r="I1480" s="5">
        <v>44501</v>
      </c>
      <c r="J1480" s="6">
        <v>0</v>
      </c>
      <c r="K1480" s="6">
        <v>0</v>
      </c>
      <c r="L1480" s="6">
        <v>-0.152</v>
      </c>
      <c r="M1480" s="6">
        <v>-0.152</v>
      </c>
      <c r="N1480" s="6">
        <v>-0.152</v>
      </c>
      <c r="O1480" s="6">
        <v>-0.152</v>
      </c>
      <c r="P1480" s="6">
        <v>-2</v>
      </c>
      <c r="Q1480" s="4" t="s">
        <v>26</v>
      </c>
      <c r="R1480" s="4">
        <v>0</v>
      </c>
      <c r="S1480" s="6">
        <v>0</v>
      </c>
      <c r="T1480" s="6">
        <v>45</v>
      </c>
      <c r="U1480" s="6">
        <v>88</v>
      </c>
      <c r="V1480" s="6">
        <f>IF(ISERROR(VLOOKUP($S$1480,'TAR FIN'!$A$1:$O$116,15,0)),0,VLOOKUP($S$1480,'TAR FIN'!$A$1:$O$116,15,0))</f>
        <v>0</v>
      </c>
      <c r="W1480" s="6">
        <f>IF(ISERROR(VLOOKUP($T$1480,'TAR FIN'!$A$1:$O$116,15,0)),0,VLOOKUP($T$1480,'TAR FIN'!$A$1:$O$116,15,0))</f>
        <v>269.37</v>
      </c>
      <c r="X1480" s="6">
        <f>IF(ISERROR(VLOOKUP($U$1480,'TAR FIN'!$A$1:$O$116,15,0)),0,VLOOKUP($U$1480,'TAR FIN'!$A$1:$O$116,15,0))</f>
        <v>326.47000000000003</v>
      </c>
      <c r="Y1480" s="6"/>
      <c r="Z148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0" s="6">
        <f>('TE BE'!$AB$18+'TE BF'!$AB$18+'TE CVA'!$AB$18)*(1-CUSTOS!$M$37)</f>
        <v>329.63081087285968</v>
      </c>
      <c r="AB1480" s="6">
        <f>$K$1480*$V$1480</f>
        <v>0</v>
      </c>
      <c r="AC1480" s="6">
        <f>$M$1480*$W$1480</f>
        <v>-40.944240000000001</v>
      </c>
      <c r="AD1480" s="6">
        <f>$O$1480*$X$1480</f>
        <v>-49.623440000000002</v>
      </c>
      <c r="AE1480" s="6">
        <f>$K$1480*$Y$1480</f>
        <v>0</v>
      </c>
      <c r="AF1480" s="6">
        <f ca="1">$M$1480*$Z$1480</f>
        <v>-47.029152100265364</v>
      </c>
      <c r="AG1480" s="6">
        <f>$O$1480*$AA$1480</f>
        <v>-50.10388325267467</v>
      </c>
    </row>
    <row r="1481" spans="1:33" ht="11.25" customHeight="1" x14ac:dyDescent="0.25">
      <c r="A1481" s="4" t="s">
        <v>28</v>
      </c>
      <c r="B1481" s="4" t="s">
        <v>22</v>
      </c>
      <c r="C1481" s="4" t="s">
        <v>23</v>
      </c>
      <c r="D1481" s="4" t="s">
        <v>24</v>
      </c>
      <c r="E1481" s="4" t="s">
        <v>32</v>
      </c>
      <c r="F1481" s="4" t="s">
        <v>25</v>
      </c>
      <c r="G1481" s="4" t="s">
        <v>25</v>
      </c>
      <c r="H1481" s="4" t="s">
        <v>25</v>
      </c>
      <c r="I1481" s="5">
        <v>44501</v>
      </c>
      <c r="J1481" s="6">
        <v>0</v>
      </c>
      <c r="K1481" s="6">
        <v>0</v>
      </c>
      <c r="L1481" s="6">
        <v>7.4710000000000001</v>
      </c>
      <c r="M1481" s="6">
        <v>7.4710000000000001</v>
      </c>
      <c r="N1481" s="6">
        <v>7.4710000000000001</v>
      </c>
      <c r="O1481" s="6">
        <v>7.4710000000000001</v>
      </c>
      <c r="P1481" s="6">
        <v>56</v>
      </c>
      <c r="Q1481" s="4" t="s">
        <v>26</v>
      </c>
      <c r="R1481" s="4">
        <v>0</v>
      </c>
      <c r="S1481" s="6">
        <v>0</v>
      </c>
      <c r="T1481" s="6">
        <v>45</v>
      </c>
      <c r="U1481" s="6">
        <v>88</v>
      </c>
      <c r="V1481" s="6">
        <f>IF(ISERROR(VLOOKUP($S$1481,'TAR FIN'!$A$1:$O$116,15,0)),0,VLOOKUP($S$1481,'TAR FIN'!$A$1:$O$116,15,0))</f>
        <v>0</v>
      </c>
      <c r="W1481" s="6">
        <f>IF(ISERROR(VLOOKUP($T$1481,'TAR FIN'!$A$1:$O$116,15,0)),0,VLOOKUP($T$1481,'TAR FIN'!$A$1:$O$116,15,0))</f>
        <v>269.37</v>
      </c>
      <c r="X1481" s="6">
        <f>IF(ISERROR(VLOOKUP($U$1481,'TAR FIN'!$A$1:$O$116,15,0)),0,VLOOKUP($U$1481,'TAR FIN'!$A$1:$O$116,15,0))</f>
        <v>326.47000000000003</v>
      </c>
      <c r="Y1481" s="6"/>
      <c r="Z148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1" s="6">
        <f>('TE BE'!$AB$18+'TE BF'!$AB$18+'TE CVA'!$AB$18)*(1-CUSTOS!$M$37)</f>
        <v>329.63081087285968</v>
      </c>
      <c r="AB1481" s="6">
        <f>$K$1481*$V$1481</f>
        <v>0</v>
      </c>
      <c r="AC1481" s="6">
        <f>$M$1481*$W$1481</f>
        <v>2012.46327</v>
      </c>
      <c r="AD1481" s="6">
        <f>$O$1481*$X$1481</f>
        <v>2439.0573700000004</v>
      </c>
      <c r="AE1481" s="6">
        <f>$K$1481*$Y$1481</f>
        <v>0</v>
      </c>
      <c r="AF1481" s="6">
        <f ca="1">$M$1481*$Z$1481</f>
        <v>2311.5447061913328</v>
      </c>
      <c r="AG1481" s="6">
        <f>$O$1481*$AA$1481</f>
        <v>2462.6717880311348</v>
      </c>
    </row>
    <row r="1482" spans="1:33" ht="11.25" customHeight="1" x14ac:dyDescent="0.25">
      <c r="A1482" s="4" t="s">
        <v>21</v>
      </c>
      <c r="B1482" s="4" t="s">
        <v>22</v>
      </c>
      <c r="C1482" s="4" t="s">
        <v>23</v>
      </c>
      <c r="D1482" s="4" t="s">
        <v>24</v>
      </c>
      <c r="E1482" s="4" t="s">
        <v>32</v>
      </c>
      <c r="F1482" s="4" t="s">
        <v>25</v>
      </c>
      <c r="G1482" s="4" t="s">
        <v>25</v>
      </c>
      <c r="H1482" s="4" t="s">
        <v>25</v>
      </c>
      <c r="I1482" s="5">
        <v>44531</v>
      </c>
      <c r="J1482" s="6">
        <v>0</v>
      </c>
      <c r="K1482" s="6">
        <v>0</v>
      </c>
      <c r="L1482" s="6">
        <v>725.89</v>
      </c>
      <c r="M1482" s="6">
        <v>725.89</v>
      </c>
      <c r="N1482" s="6">
        <v>725.89</v>
      </c>
      <c r="O1482" s="6">
        <v>725.89</v>
      </c>
      <c r="P1482" s="6">
        <v>10407</v>
      </c>
      <c r="Q1482" s="4" t="s">
        <v>26</v>
      </c>
      <c r="R1482" s="4">
        <v>0</v>
      </c>
      <c r="S1482" s="6">
        <v>0</v>
      </c>
      <c r="T1482" s="6">
        <v>45</v>
      </c>
      <c r="U1482" s="6">
        <v>88</v>
      </c>
      <c r="V1482" s="6">
        <f>IF(ISERROR(VLOOKUP($S$1482,'TAR FIN'!$A$1:$O$116,15,0)),0,VLOOKUP($S$1482,'TAR FIN'!$A$1:$O$116,15,0))</f>
        <v>0</v>
      </c>
      <c r="W1482" s="6">
        <f>IF(ISERROR(VLOOKUP($T$1482,'TAR FIN'!$A$1:$O$116,15,0)),0,VLOOKUP($T$1482,'TAR FIN'!$A$1:$O$116,15,0))</f>
        <v>269.37</v>
      </c>
      <c r="X1482" s="6">
        <f>IF(ISERROR(VLOOKUP($U$1482,'TAR FIN'!$A$1:$O$116,15,0)),0,VLOOKUP($U$1482,'TAR FIN'!$A$1:$O$116,15,0))</f>
        <v>326.47000000000003</v>
      </c>
      <c r="Y1482" s="6"/>
      <c r="Z148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2" s="6">
        <f>('TE BE'!$AB$18+'TE BF'!$AB$18+'TE CVA'!$AB$18)*(1-CUSTOS!$M$37)</f>
        <v>329.63081087285968</v>
      </c>
      <c r="AB1482" s="6">
        <f>$K$1482*$V$1482</f>
        <v>0</v>
      </c>
      <c r="AC1482" s="6">
        <f>$M$1482*$W$1482</f>
        <v>195532.98929999999</v>
      </c>
      <c r="AD1482" s="6">
        <f>$O$1482*$X$1482</f>
        <v>236981.3083</v>
      </c>
      <c r="AE1482" s="6">
        <f>$K$1482*$Y$1482</f>
        <v>0</v>
      </c>
      <c r="AF1482" s="6">
        <f ca="1">$M$1482*$Z$1482</f>
        <v>224592.04748724756</v>
      </c>
      <c r="AG1482" s="6">
        <f>$O$1482*$AA$1482</f>
        <v>239275.70930450011</v>
      </c>
    </row>
    <row r="1483" spans="1:33" ht="11.25" customHeight="1" x14ac:dyDescent="0.25">
      <c r="A1483" s="4" t="s">
        <v>27</v>
      </c>
      <c r="B1483" s="4" t="s">
        <v>22</v>
      </c>
      <c r="C1483" s="4" t="s">
        <v>23</v>
      </c>
      <c r="D1483" s="4" t="s">
        <v>24</v>
      </c>
      <c r="E1483" s="4" t="s">
        <v>32</v>
      </c>
      <c r="F1483" s="4" t="s">
        <v>25</v>
      </c>
      <c r="G1483" s="4" t="s">
        <v>25</v>
      </c>
      <c r="H1483" s="4" t="s">
        <v>25</v>
      </c>
      <c r="I1483" s="5">
        <v>44531</v>
      </c>
      <c r="J1483" s="6">
        <v>0</v>
      </c>
      <c r="K1483" s="6">
        <v>0</v>
      </c>
      <c r="L1483" s="6">
        <v>-3.0390000000000001</v>
      </c>
      <c r="M1483" s="6">
        <v>-3.0390000000000001</v>
      </c>
      <c r="N1483" s="6">
        <v>-3.0390000000000001</v>
      </c>
      <c r="O1483" s="6">
        <v>-3.0390000000000001</v>
      </c>
      <c r="P1483" s="6">
        <v>-8</v>
      </c>
      <c r="Q1483" s="4" t="s">
        <v>26</v>
      </c>
      <c r="R1483" s="4">
        <v>0</v>
      </c>
      <c r="S1483" s="6">
        <v>0</v>
      </c>
      <c r="T1483" s="6">
        <v>45</v>
      </c>
      <c r="U1483" s="6">
        <v>88</v>
      </c>
      <c r="V1483" s="6">
        <f>IF(ISERROR(VLOOKUP($S$1483,'TAR FIN'!$A$1:$O$116,15,0)),0,VLOOKUP($S$1483,'TAR FIN'!$A$1:$O$116,15,0))</f>
        <v>0</v>
      </c>
      <c r="W1483" s="6">
        <f>IF(ISERROR(VLOOKUP($T$1483,'TAR FIN'!$A$1:$O$116,15,0)),0,VLOOKUP($T$1483,'TAR FIN'!$A$1:$O$116,15,0))</f>
        <v>269.37</v>
      </c>
      <c r="X1483" s="6">
        <f>IF(ISERROR(VLOOKUP($U$1483,'TAR FIN'!$A$1:$O$116,15,0)),0,VLOOKUP($U$1483,'TAR FIN'!$A$1:$O$116,15,0))</f>
        <v>326.47000000000003</v>
      </c>
      <c r="Y1483" s="6"/>
      <c r="Z148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3" s="6">
        <f>('TE BE'!$AB$18+'TE BF'!$AB$18+'TE CVA'!$AB$18)*(1-CUSTOS!$M$37)</f>
        <v>329.63081087285968</v>
      </c>
      <c r="AB1483" s="6">
        <f>$K$1483*$V$1483</f>
        <v>0</v>
      </c>
      <c r="AC1483" s="6">
        <f>$M$1483*$W$1483</f>
        <v>-818.61543000000006</v>
      </c>
      <c r="AD1483" s="6">
        <f>$O$1483*$X$1483</f>
        <v>-992.14233000000013</v>
      </c>
      <c r="AE1483" s="6">
        <f>$K$1483*$Y$1483</f>
        <v>0</v>
      </c>
      <c r="AF1483" s="6">
        <f ca="1">$M$1483*$Z$1483</f>
        <v>-940.27363968885834</v>
      </c>
      <c r="AG1483" s="6">
        <f>$O$1483*$AA$1483</f>
        <v>-1001.7480342426206</v>
      </c>
    </row>
    <row r="1484" spans="1:33" ht="11.25" customHeight="1" x14ac:dyDescent="0.25">
      <c r="A1484" s="4" t="s">
        <v>28</v>
      </c>
      <c r="B1484" s="4" t="s">
        <v>22</v>
      </c>
      <c r="C1484" s="4" t="s">
        <v>23</v>
      </c>
      <c r="D1484" s="4" t="s">
        <v>24</v>
      </c>
      <c r="E1484" s="4" t="s">
        <v>32</v>
      </c>
      <c r="F1484" s="4" t="s">
        <v>25</v>
      </c>
      <c r="G1484" s="4" t="s">
        <v>25</v>
      </c>
      <c r="H1484" s="4" t="s">
        <v>25</v>
      </c>
      <c r="I1484" s="5">
        <v>44531</v>
      </c>
      <c r="J1484" s="6">
        <v>0</v>
      </c>
      <c r="K1484" s="6">
        <v>0</v>
      </c>
      <c r="L1484" s="6">
        <v>6.5940000000000003</v>
      </c>
      <c r="M1484" s="6">
        <v>6.5940000000000003</v>
      </c>
      <c r="N1484" s="6">
        <v>6.5940000000000003</v>
      </c>
      <c r="O1484" s="6">
        <v>6.5940000000000003</v>
      </c>
      <c r="P1484" s="6">
        <v>76</v>
      </c>
      <c r="Q1484" s="4" t="s">
        <v>26</v>
      </c>
      <c r="R1484" s="4">
        <v>0</v>
      </c>
      <c r="S1484" s="6">
        <v>0</v>
      </c>
      <c r="T1484" s="6">
        <v>45</v>
      </c>
      <c r="U1484" s="6">
        <v>88</v>
      </c>
      <c r="V1484" s="6">
        <f>IF(ISERROR(VLOOKUP($S$1484,'TAR FIN'!$A$1:$O$116,15,0)),0,VLOOKUP($S$1484,'TAR FIN'!$A$1:$O$116,15,0))</f>
        <v>0</v>
      </c>
      <c r="W1484" s="6">
        <f>IF(ISERROR(VLOOKUP($T$1484,'TAR FIN'!$A$1:$O$116,15,0)),0,VLOOKUP($T$1484,'TAR FIN'!$A$1:$O$116,15,0))</f>
        <v>269.37</v>
      </c>
      <c r="X1484" s="6">
        <f>IF(ISERROR(VLOOKUP($U$1484,'TAR FIN'!$A$1:$O$116,15,0)),0,VLOOKUP($U$1484,'TAR FIN'!$A$1:$O$116,15,0))</f>
        <v>326.47000000000003</v>
      </c>
      <c r="Y1484" s="6"/>
      <c r="Z148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4" s="6">
        <f>('TE BE'!$AB$18+'TE BF'!$AB$18+'TE CVA'!$AB$18)*(1-CUSTOS!$M$37)</f>
        <v>329.63081087285968</v>
      </c>
      <c r="AB1484" s="6">
        <f>$K$1484*$V$1484</f>
        <v>0</v>
      </c>
      <c r="AC1484" s="6">
        <f>$M$1484*$W$1484</f>
        <v>1776.2257800000002</v>
      </c>
      <c r="AD1484" s="6">
        <f>$O$1484*$X$1484</f>
        <v>2152.7431800000004</v>
      </c>
      <c r="AE1484" s="6">
        <f>$K$1484*$Y$1484</f>
        <v>0</v>
      </c>
      <c r="AF1484" s="6">
        <f ca="1">$M$1484*$Z$1484</f>
        <v>2040.1988746654595</v>
      </c>
      <c r="AG1484" s="6">
        <f>$O$1484*$AA$1484</f>
        <v>2173.5855668956369</v>
      </c>
    </row>
    <row r="1485" spans="1:33" ht="11.25" customHeight="1" x14ac:dyDescent="0.25">
      <c r="A1485" s="4" t="s">
        <v>21</v>
      </c>
      <c r="B1485" s="4" t="s">
        <v>22</v>
      </c>
      <c r="C1485" s="4" t="s">
        <v>23</v>
      </c>
      <c r="D1485" s="4" t="s">
        <v>24</v>
      </c>
      <c r="E1485" s="4" t="s">
        <v>32</v>
      </c>
      <c r="F1485" s="4" t="s">
        <v>25</v>
      </c>
      <c r="G1485" s="4" t="s">
        <v>25</v>
      </c>
      <c r="H1485" s="4" t="s">
        <v>25</v>
      </c>
      <c r="I1485" s="5">
        <v>44562</v>
      </c>
      <c r="J1485" s="6">
        <v>0</v>
      </c>
      <c r="K1485" s="6">
        <v>0</v>
      </c>
      <c r="L1485" s="6">
        <v>737.99099999999999</v>
      </c>
      <c r="M1485" s="6">
        <v>737.99099999999999</v>
      </c>
      <c r="N1485" s="6">
        <v>737.99099999999999</v>
      </c>
      <c r="O1485" s="6">
        <v>737.99099999999999</v>
      </c>
      <c r="P1485" s="6">
        <v>10440</v>
      </c>
      <c r="Q1485" s="4" t="s">
        <v>26</v>
      </c>
      <c r="R1485" s="4">
        <v>0</v>
      </c>
      <c r="S1485" s="6">
        <v>0</v>
      </c>
      <c r="T1485" s="6">
        <v>45</v>
      </c>
      <c r="U1485" s="6">
        <v>88</v>
      </c>
      <c r="V1485" s="6">
        <f>IF(ISERROR(VLOOKUP($S$1485,'TAR FIN'!$A$1:$O$116,15,0)),0,VLOOKUP($S$1485,'TAR FIN'!$A$1:$O$116,15,0))</f>
        <v>0</v>
      </c>
      <c r="W1485" s="6">
        <f>IF(ISERROR(VLOOKUP($T$1485,'TAR FIN'!$A$1:$O$116,15,0)),0,VLOOKUP($T$1485,'TAR FIN'!$A$1:$O$116,15,0))</f>
        <v>269.37</v>
      </c>
      <c r="X1485" s="6">
        <f>IF(ISERROR(VLOOKUP($U$1485,'TAR FIN'!$A$1:$O$116,15,0)),0,VLOOKUP($U$1485,'TAR FIN'!$A$1:$O$116,15,0))</f>
        <v>326.47000000000003</v>
      </c>
      <c r="Y1485" s="6"/>
      <c r="Z148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5" s="6">
        <f>('TE BE'!$AB$18+'TE BF'!$AB$18+'TE CVA'!$AB$18)*(1-CUSTOS!$M$37)</f>
        <v>329.63081087285968</v>
      </c>
      <c r="AB1485" s="6">
        <f>$K$1485*$V$1485</f>
        <v>0</v>
      </c>
      <c r="AC1485" s="6">
        <f>$M$1485*$W$1485</f>
        <v>198792.63566999999</v>
      </c>
      <c r="AD1485" s="6">
        <f>$O$1485*$X$1485</f>
        <v>240931.92177000002</v>
      </c>
      <c r="AE1485" s="6">
        <f>$K$1485*$Y$1485</f>
        <v>0</v>
      </c>
      <c r="AF1485" s="6">
        <f ca="1">$M$1485*$Z$1485</f>
        <v>228336.12491859827</v>
      </c>
      <c r="AG1485" s="6">
        <f>$O$1485*$AA$1485</f>
        <v>243264.57174687259</v>
      </c>
    </row>
    <row r="1486" spans="1:33" ht="11.25" customHeight="1" x14ac:dyDescent="0.25">
      <c r="A1486" s="4" t="s">
        <v>27</v>
      </c>
      <c r="B1486" s="4" t="s">
        <v>22</v>
      </c>
      <c r="C1486" s="4" t="s">
        <v>23</v>
      </c>
      <c r="D1486" s="4" t="s">
        <v>24</v>
      </c>
      <c r="E1486" s="4" t="s">
        <v>32</v>
      </c>
      <c r="F1486" s="4" t="s">
        <v>25</v>
      </c>
      <c r="G1486" s="4" t="s">
        <v>25</v>
      </c>
      <c r="H1486" s="4" t="s">
        <v>25</v>
      </c>
      <c r="I1486" s="5">
        <v>44562</v>
      </c>
      <c r="J1486" s="6">
        <v>0</v>
      </c>
      <c r="K1486" s="6">
        <v>0</v>
      </c>
      <c r="L1486" s="6">
        <v>-0.34699999999999998</v>
      </c>
      <c r="M1486" s="6">
        <v>-0.34699999999999998</v>
      </c>
      <c r="N1486" s="6">
        <v>-0.34699999999999998</v>
      </c>
      <c r="O1486" s="6">
        <v>-0.34699999999999998</v>
      </c>
      <c r="P1486" s="6">
        <v>-3</v>
      </c>
      <c r="Q1486" s="4" t="s">
        <v>26</v>
      </c>
      <c r="R1486" s="4">
        <v>0</v>
      </c>
      <c r="S1486" s="6">
        <v>0</v>
      </c>
      <c r="T1486" s="6">
        <v>45</v>
      </c>
      <c r="U1486" s="6">
        <v>88</v>
      </c>
      <c r="V1486" s="6">
        <f>IF(ISERROR(VLOOKUP($S$1486,'TAR FIN'!$A$1:$O$116,15,0)),0,VLOOKUP($S$1486,'TAR FIN'!$A$1:$O$116,15,0))</f>
        <v>0</v>
      </c>
      <c r="W1486" s="6">
        <f>IF(ISERROR(VLOOKUP($T$1486,'TAR FIN'!$A$1:$O$116,15,0)),0,VLOOKUP($T$1486,'TAR FIN'!$A$1:$O$116,15,0))</f>
        <v>269.37</v>
      </c>
      <c r="X1486" s="6">
        <f>IF(ISERROR(VLOOKUP($U$1486,'TAR FIN'!$A$1:$O$116,15,0)),0,VLOOKUP($U$1486,'TAR FIN'!$A$1:$O$116,15,0))</f>
        <v>326.47000000000003</v>
      </c>
      <c r="Y1486" s="6"/>
      <c r="Z148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6" s="6">
        <f>('TE BE'!$AB$18+'TE BF'!$AB$18+'TE CVA'!$AB$18)*(1-CUSTOS!$M$37)</f>
        <v>329.63081087285968</v>
      </c>
      <c r="AB1486" s="6">
        <f>$K$1486*$V$1486</f>
        <v>0</v>
      </c>
      <c r="AC1486" s="6">
        <f>$M$1486*$W$1486</f>
        <v>-93.47139</v>
      </c>
      <c r="AD1486" s="6">
        <f>$O$1486*$X$1486</f>
        <v>-113.28509</v>
      </c>
      <c r="AE1486" s="6">
        <f>$K$1486*$Y$1486</f>
        <v>0</v>
      </c>
      <c r="AF1486" s="6">
        <f ca="1">$M$1486*$Z$1486</f>
        <v>-107.36260380784265</v>
      </c>
      <c r="AG1486" s="6">
        <f>$O$1486*$AA$1486</f>
        <v>-114.38189137288231</v>
      </c>
    </row>
    <row r="1487" spans="1:33" ht="11.25" customHeight="1" x14ac:dyDescent="0.25">
      <c r="A1487" s="4" t="s">
        <v>28</v>
      </c>
      <c r="B1487" s="4" t="s">
        <v>22</v>
      </c>
      <c r="C1487" s="4" t="s">
        <v>23</v>
      </c>
      <c r="D1487" s="4" t="s">
        <v>24</v>
      </c>
      <c r="E1487" s="4" t="s">
        <v>32</v>
      </c>
      <c r="F1487" s="4" t="s">
        <v>25</v>
      </c>
      <c r="G1487" s="4" t="s">
        <v>25</v>
      </c>
      <c r="H1487" s="4" t="s">
        <v>25</v>
      </c>
      <c r="I1487" s="5">
        <v>44562</v>
      </c>
      <c r="J1487" s="6">
        <v>0</v>
      </c>
      <c r="K1487" s="6">
        <v>0</v>
      </c>
      <c r="L1487" s="6">
        <v>6.468</v>
      </c>
      <c r="M1487" s="6">
        <v>6.468</v>
      </c>
      <c r="N1487" s="6">
        <v>6.468</v>
      </c>
      <c r="O1487" s="6">
        <v>6.468</v>
      </c>
      <c r="P1487" s="6">
        <v>82</v>
      </c>
      <c r="Q1487" s="4" t="s">
        <v>26</v>
      </c>
      <c r="R1487" s="4">
        <v>0</v>
      </c>
      <c r="S1487" s="6">
        <v>0</v>
      </c>
      <c r="T1487" s="6">
        <v>45</v>
      </c>
      <c r="U1487" s="6">
        <v>88</v>
      </c>
      <c r="V1487" s="6">
        <f>IF(ISERROR(VLOOKUP($S$1487,'TAR FIN'!$A$1:$O$116,15,0)),0,VLOOKUP($S$1487,'TAR FIN'!$A$1:$O$116,15,0))</f>
        <v>0</v>
      </c>
      <c r="W1487" s="6">
        <f>IF(ISERROR(VLOOKUP($T$1487,'TAR FIN'!$A$1:$O$116,15,0)),0,VLOOKUP($T$1487,'TAR FIN'!$A$1:$O$116,15,0))</f>
        <v>269.37</v>
      </c>
      <c r="X1487" s="6">
        <f>IF(ISERROR(VLOOKUP($U$1487,'TAR FIN'!$A$1:$O$116,15,0)),0,VLOOKUP($U$1487,'TAR FIN'!$A$1:$O$116,15,0))</f>
        <v>326.47000000000003</v>
      </c>
      <c r="Y1487" s="6"/>
      <c r="Z148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7" s="6">
        <f>('TE BE'!$AB$18+'TE BF'!$AB$18+'TE CVA'!$AB$18)*(1-CUSTOS!$M$37)</f>
        <v>329.63081087285968</v>
      </c>
      <c r="AB1487" s="6">
        <f>$K$1487*$V$1487</f>
        <v>0</v>
      </c>
      <c r="AC1487" s="6">
        <f>$M$1487*$W$1487</f>
        <v>1742.2851600000001</v>
      </c>
      <c r="AD1487" s="6">
        <f>$O$1487*$X$1487</f>
        <v>2111.6079600000003</v>
      </c>
      <c r="AE1487" s="6">
        <f>$K$1487*$Y$1487</f>
        <v>0</v>
      </c>
      <c r="AF1487" s="6">
        <f ca="1">$M$1487*$Z$1487</f>
        <v>2001.214182792871</v>
      </c>
      <c r="AG1487" s="6">
        <f>$O$1487*$AA$1487</f>
        <v>2132.0520847256566</v>
      </c>
    </row>
    <row r="1488" spans="1:33" ht="11.25" customHeight="1" x14ac:dyDescent="0.25">
      <c r="A1488" s="4" t="s">
        <v>21</v>
      </c>
      <c r="B1488" s="4" t="s">
        <v>22</v>
      </c>
      <c r="C1488" s="4" t="s">
        <v>23</v>
      </c>
      <c r="D1488" s="4" t="s">
        <v>24</v>
      </c>
      <c r="E1488" s="4" t="s">
        <v>32</v>
      </c>
      <c r="F1488" s="4" t="s">
        <v>25</v>
      </c>
      <c r="G1488" s="4" t="s">
        <v>25</v>
      </c>
      <c r="H1488" s="4" t="s">
        <v>25</v>
      </c>
      <c r="I1488" s="5">
        <v>44593</v>
      </c>
      <c r="J1488" s="6">
        <v>0</v>
      </c>
      <c r="K1488" s="6">
        <v>0</v>
      </c>
      <c r="L1488" s="6">
        <v>661.35900000000004</v>
      </c>
      <c r="M1488" s="6">
        <v>661.35900000000004</v>
      </c>
      <c r="N1488" s="6">
        <v>661.35900000000004</v>
      </c>
      <c r="O1488" s="6">
        <v>661.35900000000004</v>
      </c>
      <c r="P1488" s="6">
        <v>8982</v>
      </c>
      <c r="Q1488" s="4" t="s">
        <v>26</v>
      </c>
      <c r="R1488" s="4">
        <v>0</v>
      </c>
      <c r="S1488" s="6">
        <v>0</v>
      </c>
      <c r="T1488" s="6">
        <v>45</v>
      </c>
      <c r="U1488" s="6">
        <v>88</v>
      </c>
      <c r="V1488" s="6">
        <f>IF(ISERROR(VLOOKUP($S$1488,'TAR FIN'!$A$1:$O$116,15,0)),0,VLOOKUP($S$1488,'TAR FIN'!$A$1:$O$116,15,0))</f>
        <v>0</v>
      </c>
      <c r="W1488" s="6">
        <f>IF(ISERROR(VLOOKUP($T$1488,'TAR FIN'!$A$1:$O$116,15,0)),0,VLOOKUP($T$1488,'TAR FIN'!$A$1:$O$116,15,0))</f>
        <v>269.37</v>
      </c>
      <c r="X1488" s="6">
        <f>IF(ISERROR(VLOOKUP($U$1488,'TAR FIN'!$A$1:$O$116,15,0)),0,VLOOKUP($U$1488,'TAR FIN'!$A$1:$O$116,15,0))</f>
        <v>326.47000000000003</v>
      </c>
      <c r="Y1488" s="6"/>
      <c r="Z148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8" s="6">
        <f>('TE BE'!$AB$18+'TE BF'!$AB$18+'TE CVA'!$AB$18)*(1-CUSTOS!$M$37)</f>
        <v>329.63081087285968</v>
      </c>
      <c r="AB1488" s="6">
        <f>$K$1488*$V$1488</f>
        <v>0</v>
      </c>
      <c r="AC1488" s="6">
        <f>$M$1488*$W$1488</f>
        <v>178150.27383000002</v>
      </c>
      <c r="AD1488" s="6">
        <f>$O$1488*$X$1488</f>
        <v>215913.87273000003</v>
      </c>
      <c r="AE1488" s="6">
        <f>$K$1488*$Y$1488</f>
        <v>0</v>
      </c>
      <c r="AF1488" s="6">
        <f ca="1">$M$1488*$Z$1488</f>
        <v>204626.00660446976</v>
      </c>
      <c r="AG1488" s="6">
        <f>$O$1488*$AA$1488</f>
        <v>218004.30344806361</v>
      </c>
    </row>
    <row r="1489" spans="1:33" ht="11.25" customHeight="1" x14ac:dyDescent="0.25">
      <c r="A1489" s="4" t="s">
        <v>27</v>
      </c>
      <c r="B1489" s="4" t="s">
        <v>22</v>
      </c>
      <c r="C1489" s="4" t="s">
        <v>23</v>
      </c>
      <c r="D1489" s="4" t="s">
        <v>24</v>
      </c>
      <c r="E1489" s="4" t="s">
        <v>32</v>
      </c>
      <c r="F1489" s="4" t="s">
        <v>25</v>
      </c>
      <c r="G1489" s="4" t="s">
        <v>25</v>
      </c>
      <c r="H1489" s="4" t="s">
        <v>25</v>
      </c>
      <c r="I1489" s="5">
        <v>44593</v>
      </c>
      <c r="J1489" s="6">
        <v>0</v>
      </c>
      <c r="K1489" s="6">
        <v>0</v>
      </c>
      <c r="L1489" s="6">
        <v>-3.1120000000000001</v>
      </c>
      <c r="M1489" s="6">
        <v>-3.1120000000000001</v>
      </c>
      <c r="N1489" s="6">
        <v>-3.1120000000000001</v>
      </c>
      <c r="O1489" s="6">
        <v>-3.1120000000000001</v>
      </c>
      <c r="P1489" s="6">
        <v>-11</v>
      </c>
      <c r="Q1489" s="4" t="s">
        <v>26</v>
      </c>
      <c r="R1489" s="4">
        <v>0</v>
      </c>
      <c r="S1489" s="6">
        <v>0</v>
      </c>
      <c r="T1489" s="6">
        <v>45</v>
      </c>
      <c r="U1489" s="6">
        <v>88</v>
      </c>
      <c r="V1489" s="6">
        <f>IF(ISERROR(VLOOKUP($S$1489,'TAR FIN'!$A$1:$O$116,15,0)),0,VLOOKUP($S$1489,'TAR FIN'!$A$1:$O$116,15,0))</f>
        <v>0</v>
      </c>
      <c r="W1489" s="6">
        <f>IF(ISERROR(VLOOKUP($T$1489,'TAR FIN'!$A$1:$O$116,15,0)),0,VLOOKUP($T$1489,'TAR FIN'!$A$1:$O$116,15,0))</f>
        <v>269.37</v>
      </c>
      <c r="X1489" s="6">
        <f>IF(ISERROR(VLOOKUP($U$1489,'TAR FIN'!$A$1:$O$116,15,0)),0,VLOOKUP($U$1489,'TAR FIN'!$A$1:$O$116,15,0))</f>
        <v>326.47000000000003</v>
      </c>
      <c r="Y1489" s="6"/>
      <c r="Z148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89" s="6">
        <f>('TE BE'!$AB$18+'TE BF'!$AB$18+'TE CVA'!$AB$18)*(1-CUSTOS!$M$37)</f>
        <v>329.63081087285968</v>
      </c>
      <c r="AB1489" s="6">
        <f>$K$1489*$V$1489</f>
        <v>0</v>
      </c>
      <c r="AC1489" s="6">
        <f>$M$1489*$W$1489</f>
        <v>-838.27944000000002</v>
      </c>
      <c r="AD1489" s="6">
        <f>$O$1489*$X$1489</f>
        <v>-1015.9746400000001</v>
      </c>
      <c r="AE1489" s="6">
        <f>$K$1489*$Y$1489</f>
        <v>0</v>
      </c>
      <c r="AF1489" s="6">
        <f ca="1">$M$1489*$Z$1489</f>
        <v>-962.86000878964364</v>
      </c>
      <c r="AG1489" s="6">
        <f>$O$1489*$AA$1489</f>
        <v>-1025.8110834363395</v>
      </c>
    </row>
    <row r="1490" spans="1:33" ht="11.25" customHeight="1" x14ac:dyDescent="0.25">
      <c r="A1490" s="4" t="s">
        <v>28</v>
      </c>
      <c r="B1490" s="4" t="s">
        <v>22</v>
      </c>
      <c r="C1490" s="4" t="s">
        <v>23</v>
      </c>
      <c r="D1490" s="4" t="s">
        <v>24</v>
      </c>
      <c r="E1490" s="4" t="s">
        <v>32</v>
      </c>
      <c r="F1490" s="4" t="s">
        <v>25</v>
      </c>
      <c r="G1490" s="4" t="s">
        <v>25</v>
      </c>
      <c r="H1490" s="4" t="s">
        <v>25</v>
      </c>
      <c r="I1490" s="5">
        <v>44593</v>
      </c>
      <c r="J1490" s="6">
        <v>0</v>
      </c>
      <c r="K1490" s="6">
        <v>0</v>
      </c>
      <c r="L1490" s="6">
        <v>7.89</v>
      </c>
      <c r="M1490" s="6">
        <v>7.89</v>
      </c>
      <c r="N1490" s="6">
        <v>7.89</v>
      </c>
      <c r="O1490" s="6">
        <v>7.89</v>
      </c>
      <c r="P1490" s="6">
        <v>94</v>
      </c>
      <c r="Q1490" s="4" t="s">
        <v>26</v>
      </c>
      <c r="R1490" s="4">
        <v>0</v>
      </c>
      <c r="S1490" s="6">
        <v>0</v>
      </c>
      <c r="T1490" s="6">
        <v>45</v>
      </c>
      <c r="U1490" s="6">
        <v>88</v>
      </c>
      <c r="V1490" s="6">
        <f>IF(ISERROR(VLOOKUP($S$1490,'TAR FIN'!$A$1:$O$116,15,0)),0,VLOOKUP($S$1490,'TAR FIN'!$A$1:$O$116,15,0))</f>
        <v>0</v>
      </c>
      <c r="W1490" s="6">
        <f>IF(ISERROR(VLOOKUP($T$1490,'TAR FIN'!$A$1:$O$116,15,0)),0,VLOOKUP($T$1490,'TAR FIN'!$A$1:$O$116,15,0))</f>
        <v>269.37</v>
      </c>
      <c r="X1490" s="6">
        <f>IF(ISERROR(VLOOKUP($U$1490,'TAR FIN'!$A$1:$O$116,15,0)),0,VLOOKUP($U$1490,'TAR FIN'!$A$1:$O$116,15,0))</f>
        <v>326.47000000000003</v>
      </c>
      <c r="Y1490" s="6"/>
      <c r="Z149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0" s="6">
        <f>('TE BE'!$AB$18+'TE BF'!$AB$18+'TE CVA'!$AB$18)*(1-CUSTOS!$M$37)</f>
        <v>329.63081087285968</v>
      </c>
      <c r="AB1490" s="6">
        <f>$K$1490*$V$1490</f>
        <v>0</v>
      </c>
      <c r="AC1490" s="6">
        <f>$M$1490*$W$1490</f>
        <v>2125.3292999999999</v>
      </c>
      <c r="AD1490" s="6">
        <f>$O$1490*$X$1490</f>
        <v>2575.8483000000001</v>
      </c>
      <c r="AE1490" s="6">
        <f>$K$1490*$Y$1490</f>
        <v>0</v>
      </c>
      <c r="AF1490" s="6">
        <f ca="1">$M$1490*$Z$1490</f>
        <v>2441.1842767835115</v>
      </c>
      <c r="AG1490" s="6">
        <f>$O$1490*$AA$1490</f>
        <v>2600.7870977868629</v>
      </c>
    </row>
    <row r="1491" spans="1:33" ht="11.25" customHeight="1" x14ac:dyDescent="0.25">
      <c r="A1491" s="4" t="s">
        <v>21</v>
      </c>
      <c r="B1491" s="4" t="s">
        <v>22</v>
      </c>
      <c r="C1491" s="4" t="s">
        <v>23</v>
      </c>
      <c r="D1491" s="4" t="s">
        <v>24</v>
      </c>
      <c r="E1491" s="4" t="s">
        <v>32</v>
      </c>
      <c r="F1491" s="4" t="s">
        <v>25</v>
      </c>
      <c r="G1491" s="4" t="s">
        <v>25</v>
      </c>
      <c r="H1491" s="4" t="s">
        <v>25</v>
      </c>
      <c r="I1491" s="5">
        <v>44621</v>
      </c>
      <c r="J1491" s="6">
        <v>0</v>
      </c>
      <c r="K1491" s="6">
        <v>0</v>
      </c>
      <c r="L1491" s="6">
        <v>1014.8150000000001</v>
      </c>
      <c r="M1491" s="6">
        <v>1014.8150000000001</v>
      </c>
      <c r="N1491" s="6">
        <v>1014.8150000000001</v>
      </c>
      <c r="O1491" s="6">
        <v>1014.8150000000001</v>
      </c>
      <c r="P1491" s="6">
        <v>13119</v>
      </c>
      <c r="Q1491" s="4" t="s">
        <v>26</v>
      </c>
      <c r="R1491" s="4">
        <v>0</v>
      </c>
      <c r="S1491" s="6">
        <v>0</v>
      </c>
      <c r="T1491" s="6">
        <v>45</v>
      </c>
      <c r="U1491" s="6">
        <v>88</v>
      </c>
      <c r="V1491" s="6">
        <f>IF(ISERROR(VLOOKUP($S$1491,'TAR FIN'!$A$1:$O$116,15,0)),0,VLOOKUP($S$1491,'TAR FIN'!$A$1:$O$116,15,0))</f>
        <v>0</v>
      </c>
      <c r="W1491" s="6">
        <f>IF(ISERROR(VLOOKUP($T$1491,'TAR FIN'!$A$1:$O$116,15,0)),0,VLOOKUP($T$1491,'TAR FIN'!$A$1:$O$116,15,0))</f>
        <v>269.37</v>
      </c>
      <c r="X1491" s="6">
        <f>IF(ISERROR(VLOOKUP($U$1491,'TAR FIN'!$A$1:$O$116,15,0)),0,VLOOKUP($U$1491,'TAR FIN'!$A$1:$O$116,15,0))</f>
        <v>326.47000000000003</v>
      </c>
      <c r="Y1491" s="6"/>
      <c r="Z149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1" s="6">
        <f>('TE BE'!$AB$18+'TE BF'!$AB$18+'TE CVA'!$AB$18)*(1-CUSTOS!$M$37)</f>
        <v>329.63081087285968</v>
      </c>
      <c r="AB1491" s="6">
        <f>$K$1491*$V$1491</f>
        <v>0</v>
      </c>
      <c r="AC1491" s="6">
        <f>$M$1491*$W$1491</f>
        <v>273360.71655000001</v>
      </c>
      <c r="AD1491" s="6">
        <f>$O$1491*$X$1491</f>
        <v>331306.65305000002</v>
      </c>
      <c r="AE1491" s="6">
        <f>$K$1491*$Y$1491</f>
        <v>0</v>
      </c>
      <c r="AF1491" s="6">
        <f ca="1">$M$1491*$Z$1491</f>
        <v>313986.11176730791</v>
      </c>
      <c r="AG1491" s="6">
        <f>$O$1491*$AA$1491</f>
        <v>334514.29133594112</v>
      </c>
    </row>
    <row r="1492" spans="1:33" ht="11.25" customHeight="1" x14ac:dyDescent="0.25">
      <c r="A1492" s="4" t="s">
        <v>27</v>
      </c>
      <c r="B1492" s="4" t="s">
        <v>22</v>
      </c>
      <c r="C1492" s="4" t="s">
        <v>23</v>
      </c>
      <c r="D1492" s="4" t="s">
        <v>24</v>
      </c>
      <c r="E1492" s="4" t="s">
        <v>32</v>
      </c>
      <c r="F1492" s="4" t="s">
        <v>25</v>
      </c>
      <c r="G1492" s="4" t="s">
        <v>25</v>
      </c>
      <c r="H1492" s="4" t="s">
        <v>25</v>
      </c>
      <c r="I1492" s="5">
        <v>44621</v>
      </c>
      <c r="J1492" s="6">
        <v>0</v>
      </c>
      <c r="K1492" s="6">
        <v>0</v>
      </c>
      <c r="L1492" s="6">
        <v>-1.018</v>
      </c>
      <c r="M1492" s="6">
        <v>-1.018</v>
      </c>
      <c r="N1492" s="6">
        <v>-1.018</v>
      </c>
      <c r="O1492" s="6">
        <v>-1.018</v>
      </c>
      <c r="P1492" s="6">
        <v>-4</v>
      </c>
      <c r="Q1492" s="4" t="s">
        <v>26</v>
      </c>
      <c r="R1492" s="4">
        <v>0</v>
      </c>
      <c r="S1492" s="6">
        <v>0</v>
      </c>
      <c r="T1492" s="6">
        <v>45</v>
      </c>
      <c r="U1492" s="6">
        <v>88</v>
      </c>
      <c r="V1492" s="6">
        <f>IF(ISERROR(VLOOKUP($S$1492,'TAR FIN'!$A$1:$O$116,15,0)),0,VLOOKUP($S$1492,'TAR FIN'!$A$1:$O$116,15,0))</f>
        <v>0</v>
      </c>
      <c r="W1492" s="6">
        <f>IF(ISERROR(VLOOKUP($T$1492,'TAR FIN'!$A$1:$O$116,15,0)),0,VLOOKUP($T$1492,'TAR FIN'!$A$1:$O$116,15,0))</f>
        <v>269.37</v>
      </c>
      <c r="X1492" s="6">
        <f>IF(ISERROR(VLOOKUP($U$1492,'TAR FIN'!$A$1:$O$116,15,0)),0,VLOOKUP($U$1492,'TAR FIN'!$A$1:$O$116,15,0))</f>
        <v>326.47000000000003</v>
      </c>
      <c r="Y1492" s="6"/>
      <c r="Z149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2" s="6">
        <f>('TE BE'!$AB$18+'TE BF'!$AB$18+'TE CVA'!$AB$18)*(1-CUSTOS!$M$37)</f>
        <v>329.63081087285968</v>
      </c>
      <c r="AB1492" s="6">
        <f>$K$1492*$V$1492</f>
        <v>0</v>
      </c>
      <c r="AC1492" s="6">
        <f>$M$1492*$W$1492</f>
        <v>-274.21866</v>
      </c>
      <c r="AD1492" s="6">
        <f>$O$1492*$X$1492</f>
        <v>-332.34646000000004</v>
      </c>
      <c r="AE1492" s="6">
        <f>$K$1492*$Y$1492</f>
        <v>0</v>
      </c>
      <c r="AF1492" s="6">
        <f ca="1">$M$1492*$Z$1492</f>
        <v>-314.97155814519834</v>
      </c>
      <c r="AG1492" s="6">
        <f>$O$1492*$AA$1492</f>
        <v>-335.56416546857116</v>
      </c>
    </row>
    <row r="1493" spans="1:33" ht="11.25" customHeight="1" x14ac:dyDescent="0.25">
      <c r="A1493" s="4" t="s">
        <v>28</v>
      </c>
      <c r="B1493" s="4" t="s">
        <v>22</v>
      </c>
      <c r="C1493" s="4" t="s">
        <v>23</v>
      </c>
      <c r="D1493" s="4" t="s">
        <v>24</v>
      </c>
      <c r="E1493" s="4" t="s">
        <v>32</v>
      </c>
      <c r="F1493" s="4" t="s">
        <v>25</v>
      </c>
      <c r="G1493" s="4" t="s">
        <v>25</v>
      </c>
      <c r="H1493" s="4" t="s">
        <v>25</v>
      </c>
      <c r="I1493" s="5">
        <v>44621</v>
      </c>
      <c r="J1493" s="6">
        <v>0</v>
      </c>
      <c r="K1493" s="6">
        <v>0</v>
      </c>
      <c r="L1493" s="6">
        <v>8.6530000000000005</v>
      </c>
      <c r="M1493" s="6">
        <v>8.6530000000000005</v>
      </c>
      <c r="N1493" s="6">
        <v>8.6530000000000005</v>
      </c>
      <c r="O1493" s="6">
        <v>8.6530000000000005</v>
      </c>
      <c r="P1493" s="6">
        <v>121</v>
      </c>
      <c r="Q1493" s="4" t="s">
        <v>26</v>
      </c>
      <c r="R1493" s="4">
        <v>0</v>
      </c>
      <c r="S1493" s="6">
        <v>0</v>
      </c>
      <c r="T1493" s="6">
        <v>45</v>
      </c>
      <c r="U1493" s="6">
        <v>88</v>
      </c>
      <c r="V1493" s="6">
        <f>IF(ISERROR(VLOOKUP($S$1493,'TAR FIN'!$A$1:$O$116,15,0)),0,VLOOKUP($S$1493,'TAR FIN'!$A$1:$O$116,15,0))</f>
        <v>0</v>
      </c>
      <c r="W1493" s="6">
        <f>IF(ISERROR(VLOOKUP($T$1493,'TAR FIN'!$A$1:$O$116,15,0)),0,VLOOKUP($T$1493,'TAR FIN'!$A$1:$O$116,15,0))</f>
        <v>269.37</v>
      </c>
      <c r="X1493" s="6">
        <f>IF(ISERROR(VLOOKUP($U$1493,'TAR FIN'!$A$1:$O$116,15,0)),0,VLOOKUP($U$1493,'TAR FIN'!$A$1:$O$116,15,0))</f>
        <v>326.47000000000003</v>
      </c>
      <c r="Y1493" s="6"/>
      <c r="Z149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3" s="6">
        <f>('TE BE'!$AB$18+'TE BF'!$AB$18+'TE CVA'!$AB$18)*(1-CUSTOS!$M$37)</f>
        <v>329.63081087285968</v>
      </c>
      <c r="AB1493" s="6">
        <f>$K$1493*$V$1493</f>
        <v>0</v>
      </c>
      <c r="AC1493" s="6">
        <f>$M$1493*$W$1493</f>
        <v>2330.8586100000002</v>
      </c>
      <c r="AD1493" s="6">
        <f>$O$1493*$X$1493</f>
        <v>2824.9449100000002</v>
      </c>
      <c r="AE1493" s="6">
        <f>$K$1493*$Y$1493</f>
        <v>0</v>
      </c>
      <c r="AF1493" s="6">
        <f ca="1">$M$1493*$Z$1493</f>
        <v>2677.2582442341859</v>
      </c>
      <c r="AG1493" s="6">
        <f>$O$1493*$AA$1493</f>
        <v>2852.295406482855</v>
      </c>
    </row>
    <row r="1494" spans="1:33" ht="11.25" customHeight="1" x14ac:dyDescent="0.25">
      <c r="A1494" s="4" t="s">
        <v>28</v>
      </c>
      <c r="B1494" s="4" t="s">
        <v>22</v>
      </c>
      <c r="C1494" s="4" t="s">
        <v>23</v>
      </c>
      <c r="D1494" s="4" t="s">
        <v>24</v>
      </c>
      <c r="E1494" s="4" t="s">
        <v>32</v>
      </c>
      <c r="F1494" s="4" t="s">
        <v>25</v>
      </c>
      <c r="G1494" s="4" t="s">
        <v>25</v>
      </c>
      <c r="H1494" s="4" t="s">
        <v>25</v>
      </c>
      <c r="I1494" s="5">
        <v>44621</v>
      </c>
      <c r="J1494" s="6">
        <v>0</v>
      </c>
      <c r="K1494" s="6">
        <v>0</v>
      </c>
      <c r="L1494" s="6">
        <v>-0.42399999999999999</v>
      </c>
      <c r="M1494" s="6">
        <v>-0.42399999999999999</v>
      </c>
      <c r="N1494" s="6">
        <v>-0.42399999999999999</v>
      </c>
      <c r="O1494" s="6">
        <v>-0.42399999999999999</v>
      </c>
      <c r="P1494" s="6">
        <v>-1</v>
      </c>
      <c r="Q1494" s="4" t="s">
        <v>26</v>
      </c>
      <c r="R1494" s="4">
        <v>0</v>
      </c>
      <c r="S1494" s="6">
        <v>0</v>
      </c>
      <c r="T1494" s="6">
        <v>45</v>
      </c>
      <c r="U1494" s="6">
        <v>88</v>
      </c>
      <c r="V1494" s="6">
        <f>IF(ISERROR(VLOOKUP($S$1494,'TAR FIN'!$A$1:$O$116,15,0)),0,VLOOKUP($S$1494,'TAR FIN'!$A$1:$O$116,15,0))</f>
        <v>0</v>
      </c>
      <c r="W1494" s="6">
        <f>IF(ISERROR(VLOOKUP($T$1494,'TAR FIN'!$A$1:$O$116,15,0)),0,VLOOKUP($T$1494,'TAR FIN'!$A$1:$O$116,15,0))</f>
        <v>269.37</v>
      </c>
      <c r="X1494" s="6">
        <f>IF(ISERROR(VLOOKUP($U$1494,'TAR FIN'!$A$1:$O$116,15,0)),0,VLOOKUP($U$1494,'TAR FIN'!$A$1:$O$116,15,0))</f>
        <v>326.47000000000003</v>
      </c>
      <c r="Y1494" s="6"/>
      <c r="Z149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4" s="6">
        <f>('TE BE'!$AB$18+'TE BF'!$AB$18+'TE CVA'!$AB$18)*(1-CUSTOS!$M$37)</f>
        <v>329.63081087285968</v>
      </c>
      <c r="AB1494" s="6">
        <f>$K$1494*$V$1494</f>
        <v>0</v>
      </c>
      <c r="AC1494" s="6">
        <f>$M$1494*$W$1494</f>
        <v>-114.21288</v>
      </c>
      <c r="AD1494" s="6">
        <f>$O$1494*$X$1494</f>
        <v>-138.42328000000001</v>
      </c>
      <c r="AE1494" s="6">
        <f>$K$1494*$Y$1494</f>
        <v>0</v>
      </c>
      <c r="AF1494" s="6">
        <f ca="1">$M$1494*$Z$1494</f>
        <v>-131.18658217442444</v>
      </c>
      <c r="AG1494" s="6">
        <f>$O$1494*$AA$1494</f>
        <v>-139.7634638100925</v>
      </c>
    </row>
    <row r="1495" spans="1:33" ht="11.25" customHeight="1" x14ac:dyDescent="0.25">
      <c r="A1495" s="4" t="s">
        <v>21</v>
      </c>
      <c r="B1495" s="4" t="s">
        <v>22</v>
      </c>
      <c r="C1495" s="4" t="s">
        <v>23</v>
      </c>
      <c r="D1495" s="4" t="s">
        <v>24</v>
      </c>
      <c r="E1495" s="4" t="s">
        <v>32</v>
      </c>
      <c r="F1495" s="4" t="s">
        <v>25</v>
      </c>
      <c r="G1495" s="4" t="s">
        <v>25</v>
      </c>
      <c r="H1495" s="4" t="s">
        <v>25</v>
      </c>
      <c r="I1495" s="5">
        <v>44652</v>
      </c>
      <c r="J1495" s="6">
        <v>0</v>
      </c>
      <c r="K1495" s="6">
        <v>0</v>
      </c>
      <c r="L1495" s="6">
        <v>830.82799999999997</v>
      </c>
      <c r="M1495" s="6">
        <v>830.82799999999997</v>
      </c>
      <c r="N1495" s="6">
        <v>830.82799999999997</v>
      </c>
      <c r="O1495" s="6">
        <v>830.82799999999997</v>
      </c>
      <c r="P1495" s="6">
        <v>11004</v>
      </c>
      <c r="Q1495" s="4" t="s">
        <v>26</v>
      </c>
      <c r="R1495" s="4">
        <v>0</v>
      </c>
      <c r="S1495" s="6">
        <v>0</v>
      </c>
      <c r="T1495" s="6">
        <v>45</v>
      </c>
      <c r="U1495" s="6">
        <v>88</v>
      </c>
      <c r="V1495" s="6">
        <f>IF(ISERROR(VLOOKUP($S$1495,'TAR FIN'!$A$1:$O$116,15,0)),0,VLOOKUP($S$1495,'TAR FIN'!$A$1:$O$116,15,0))</f>
        <v>0</v>
      </c>
      <c r="W1495" s="6">
        <f>IF(ISERROR(VLOOKUP($T$1495,'TAR FIN'!$A$1:$O$116,15,0)),0,VLOOKUP($T$1495,'TAR FIN'!$A$1:$O$116,15,0))</f>
        <v>269.37</v>
      </c>
      <c r="X1495" s="6">
        <f>IF(ISERROR(VLOOKUP($U$1495,'TAR FIN'!$A$1:$O$116,15,0)),0,VLOOKUP($U$1495,'TAR FIN'!$A$1:$O$116,15,0))</f>
        <v>326.47000000000003</v>
      </c>
      <c r="Y1495" s="6"/>
      <c r="Z149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5" s="6">
        <f>('TE BE'!$AB$18+'TE BF'!$AB$18+'TE CVA'!$AB$18)*(1-CUSTOS!$M$37)</f>
        <v>329.63081087285968</v>
      </c>
      <c r="AB1495" s="6">
        <f>$K$1495*$V$1495</f>
        <v>0</v>
      </c>
      <c r="AC1495" s="6">
        <f>$M$1495*$W$1495</f>
        <v>223800.13835999998</v>
      </c>
      <c r="AD1495" s="6">
        <f>$O$1495*$X$1495</f>
        <v>271240.41716000001</v>
      </c>
      <c r="AE1495" s="6">
        <f>$K$1495*$Y$1495</f>
        <v>0</v>
      </c>
      <c r="AF1495" s="6">
        <f ca="1">$M$1495*$Z$1495</f>
        <v>257060.1077707847</v>
      </c>
      <c r="AG1495" s="6">
        <f>$O$1495*$AA$1495</f>
        <v>273866.50733587623</v>
      </c>
    </row>
    <row r="1496" spans="1:33" ht="11.25" customHeight="1" x14ac:dyDescent="0.25">
      <c r="A1496" s="4" t="s">
        <v>27</v>
      </c>
      <c r="B1496" s="4" t="s">
        <v>22</v>
      </c>
      <c r="C1496" s="4" t="s">
        <v>23</v>
      </c>
      <c r="D1496" s="4" t="s">
        <v>24</v>
      </c>
      <c r="E1496" s="4" t="s">
        <v>32</v>
      </c>
      <c r="F1496" s="4" t="s">
        <v>25</v>
      </c>
      <c r="G1496" s="4" t="s">
        <v>25</v>
      </c>
      <c r="H1496" s="4" t="s">
        <v>25</v>
      </c>
      <c r="I1496" s="5">
        <v>44652</v>
      </c>
      <c r="J1496" s="6">
        <v>0</v>
      </c>
      <c r="K1496" s="6">
        <v>0</v>
      </c>
      <c r="L1496" s="6">
        <v>-1.01</v>
      </c>
      <c r="M1496" s="6">
        <v>-1.01</v>
      </c>
      <c r="N1496" s="6">
        <v>-1.01</v>
      </c>
      <c r="O1496" s="6">
        <v>-1.01</v>
      </c>
      <c r="P1496" s="6">
        <v>-8</v>
      </c>
      <c r="Q1496" s="4" t="s">
        <v>26</v>
      </c>
      <c r="R1496" s="4">
        <v>0</v>
      </c>
      <c r="S1496" s="6">
        <v>0</v>
      </c>
      <c r="T1496" s="6">
        <v>45</v>
      </c>
      <c r="U1496" s="6">
        <v>88</v>
      </c>
      <c r="V1496" s="6">
        <f>IF(ISERROR(VLOOKUP($S$1496,'TAR FIN'!$A$1:$O$116,15,0)),0,VLOOKUP($S$1496,'TAR FIN'!$A$1:$O$116,15,0))</f>
        <v>0</v>
      </c>
      <c r="W1496" s="6">
        <f>IF(ISERROR(VLOOKUP($T$1496,'TAR FIN'!$A$1:$O$116,15,0)),0,VLOOKUP($T$1496,'TAR FIN'!$A$1:$O$116,15,0))</f>
        <v>269.37</v>
      </c>
      <c r="X1496" s="6">
        <f>IF(ISERROR(VLOOKUP($U$1496,'TAR FIN'!$A$1:$O$116,15,0)),0,VLOOKUP($U$1496,'TAR FIN'!$A$1:$O$116,15,0))</f>
        <v>326.47000000000003</v>
      </c>
      <c r="Y1496" s="6"/>
      <c r="Z149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6" s="6">
        <f>('TE BE'!$AB$18+'TE BF'!$AB$18+'TE CVA'!$AB$18)*(1-CUSTOS!$M$37)</f>
        <v>329.63081087285968</v>
      </c>
      <c r="AB1496" s="6">
        <f>$K$1496*$V$1496</f>
        <v>0</v>
      </c>
      <c r="AC1496" s="6">
        <f>$M$1496*$W$1496</f>
        <v>-272.06369999999998</v>
      </c>
      <c r="AD1496" s="6">
        <f>$O$1496*$X$1496</f>
        <v>-329.73470000000003</v>
      </c>
      <c r="AE1496" s="6">
        <f>$K$1496*$Y$1496</f>
        <v>0</v>
      </c>
      <c r="AF1496" s="6">
        <f ca="1">$M$1496*$Z$1496</f>
        <v>-312.49633961360541</v>
      </c>
      <c r="AG1496" s="6">
        <f>$O$1496*$AA$1496</f>
        <v>-332.92711898158831</v>
      </c>
    </row>
    <row r="1497" spans="1:33" ht="11.25" customHeight="1" x14ac:dyDescent="0.25">
      <c r="A1497" s="4" t="s">
        <v>28</v>
      </c>
      <c r="B1497" s="4" t="s">
        <v>22</v>
      </c>
      <c r="C1497" s="4" t="s">
        <v>23</v>
      </c>
      <c r="D1497" s="4" t="s">
        <v>24</v>
      </c>
      <c r="E1497" s="4" t="s">
        <v>32</v>
      </c>
      <c r="F1497" s="4" t="s">
        <v>25</v>
      </c>
      <c r="G1497" s="4" t="s">
        <v>25</v>
      </c>
      <c r="H1497" s="4" t="s">
        <v>25</v>
      </c>
      <c r="I1497" s="5">
        <v>44652</v>
      </c>
      <c r="J1497" s="6">
        <v>0</v>
      </c>
      <c r="K1497" s="6">
        <v>0</v>
      </c>
      <c r="L1497" s="6">
        <v>13.771000000000001</v>
      </c>
      <c r="M1497" s="6">
        <v>13.771000000000001</v>
      </c>
      <c r="N1497" s="6">
        <v>13.771000000000001</v>
      </c>
      <c r="O1497" s="6">
        <v>13.771000000000001</v>
      </c>
      <c r="P1497" s="6">
        <v>134</v>
      </c>
      <c r="Q1497" s="4" t="s">
        <v>26</v>
      </c>
      <c r="R1497" s="4">
        <v>0</v>
      </c>
      <c r="S1497" s="6">
        <v>0</v>
      </c>
      <c r="T1497" s="6">
        <v>45</v>
      </c>
      <c r="U1497" s="6">
        <v>88</v>
      </c>
      <c r="V1497" s="6">
        <f>IF(ISERROR(VLOOKUP($S$1497,'TAR FIN'!$A$1:$O$116,15,0)),0,VLOOKUP($S$1497,'TAR FIN'!$A$1:$O$116,15,0))</f>
        <v>0</v>
      </c>
      <c r="W1497" s="6">
        <f>IF(ISERROR(VLOOKUP($T$1497,'TAR FIN'!$A$1:$O$116,15,0)),0,VLOOKUP($T$1497,'TAR FIN'!$A$1:$O$116,15,0))</f>
        <v>269.37</v>
      </c>
      <c r="X1497" s="6">
        <f>IF(ISERROR(VLOOKUP($U$1497,'TAR FIN'!$A$1:$O$116,15,0)),0,VLOOKUP($U$1497,'TAR FIN'!$A$1:$O$116,15,0))</f>
        <v>326.47000000000003</v>
      </c>
      <c r="Y1497" s="6"/>
      <c r="Z149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7" s="6">
        <f>('TE BE'!$AB$18+'TE BF'!$AB$18+'TE CVA'!$AB$18)*(1-CUSTOS!$M$37)</f>
        <v>329.63081087285968</v>
      </c>
      <c r="AB1497" s="6">
        <f>$K$1497*$V$1497</f>
        <v>0</v>
      </c>
      <c r="AC1497" s="6">
        <f>$M$1497*$W$1497</f>
        <v>3709.4942700000001</v>
      </c>
      <c r="AD1497" s="6">
        <f>$O$1497*$X$1497</f>
        <v>4495.8183700000009</v>
      </c>
      <c r="AE1497" s="6">
        <f>$K$1497*$Y$1497</f>
        <v>0</v>
      </c>
      <c r="AF1497" s="6">
        <f ca="1">$M$1497*$Z$1497</f>
        <v>4260.7792998207524</v>
      </c>
      <c r="AG1497" s="6">
        <f>$O$1497*$AA$1497</f>
        <v>4539.3458965301506</v>
      </c>
    </row>
    <row r="1498" spans="1:33" ht="11.25" customHeight="1" x14ac:dyDescent="0.25">
      <c r="A1498" s="4" t="s">
        <v>58</v>
      </c>
      <c r="B1498" s="4" t="s">
        <v>22</v>
      </c>
      <c r="C1498" s="4" t="s">
        <v>23</v>
      </c>
      <c r="D1498" s="4" t="s">
        <v>24</v>
      </c>
      <c r="E1498" s="4" t="s">
        <v>32</v>
      </c>
      <c r="F1498" s="4" t="s">
        <v>25</v>
      </c>
      <c r="G1498" s="4" t="s">
        <v>25</v>
      </c>
      <c r="H1498" s="4" t="s">
        <v>25</v>
      </c>
      <c r="I1498" s="5">
        <v>44682</v>
      </c>
      <c r="J1498" s="6">
        <v>0</v>
      </c>
      <c r="K1498" s="6">
        <v>0</v>
      </c>
      <c r="L1498" s="6">
        <v>830.82799999999997</v>
      </c>
      <c r="M1498" s="6">
        <v>830.82799999999997</v>
      </c>
      <c r="N1498" s="6">
        <v>830.82799999999997</v>
      </c>
      <c r="O1498" s="6">
        <v>830.82799999999997</v>
      </c>
      <c r="P1498" s="6">
        <v>11004</v>
      </c>
      <c r="Q1498" s="4" t="s">
        <v>26</v>
      </c>
      <c r="R1498" s="4">
        <v>0</v>
      </c>
      <c r="S1498" s="6">
        <v>0</v>
      </c>
      <c r="T1498" s="6">
        <v>45</v>
      </c>
      <c r="U1498" s="6">
        <v>88</v>
      </c>
      <c r="V1498" s="6">
        <f>IF(ISERROR(VLOOKUP($S$1498,'TAR FIN'!$A$1:$O$116,15,0)),0,VLOOKUP($S$1498,'TAR FIN'!$A$1:$O$116,15,0))</f>
        <v>0</v>
      </c>
      <c r="W1498" s="6">
        <f>IF(ISERROR(VLOOKUP($T$1498,'TAR FIN'!$A$1:$O$116,15,0)),0,VLOOKUP($T$1498,'TAR FIN'!$A$1:$O$116,15,0))</f>
        <v>269.37</v>
      </c>
      <c r="X1498" s="6">
        <f>IF(ISERROR(VLOOKUP($U$1498,'TAR FIN'!$A$1:$O$116,15,0)),0,VLOOKUP($U$1498,'TAR FIN'!$A$1:$O$116,15,0))</f>
        <v>326.47000000000003</v>
      </c>
      <c r="Y1498" s="6"/>
      <c r="Z149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8" s="6">
        <f>('TE BE'!$AB$18+'TE BF'!$AB$18+'TE CVA'!$AB$18)*(1-CUSTOS!$M$37)</f>
        <v>329.63081087285968</v>
      </c>
      <c r="AB1498" s="6">
        <f>$K$1498*$V$1498</f>
        <v>0</v>
      </c>
      <c r="AC1498" s="6">
        <f>$M$1498*$W$1498</f>
        <v>223800.13835999998</v>
      </c>
      <c r="AD1498" s="6">
        <f>$O$1498*$X$1498</f>
        <v>271240.41716000001</v>
      </c>
      <c r="AE1498" s="6">
        <f>$K$1498*$Y$1498</f>
        <v>0</v>
      </c>
      <c r="AF1498" s="6">
        <f ca="1">$M$1498*$Z$1498</f>
        <v>257060.1077707847</v>
      </c>
      <c r="AG1498" s="6">
        <f>$O$1498*$AA$1498</f>
        <v>273866.50733587623</v>
      </c>
    </row>
    <row r="1499" spans="1:33" ht="11.25" customHeight="1" x14ac:dyDescent="0.25">
      <c r="A1499" s="4" t="s">
        <v>58</v>
      </c>
      <c r="B1499" s="4" t="s">
        <v>22</v>
      </c>
      <c r="C1499" s="4" t="s">
        <v>23</v>
      </c>
      <c r="D1499" s="4" t="s">
        <v>24</v>
      </c>
      <c r="E1499" s="4" t="s">
        <v>32</v>
      </c>
      <c r="F1499" s="4" t="s">
        <v>25</v>
      </c>
      <c r="G1499" s="4" t="s">
        <v>25</v>
      </c>
      <c r="H1499" s="4" t="s">
        <v>25</v>
      </c>
      <c r="I1499" s="5">
        <v>44682</v>
      </c>
      <c r="J1499" s="6">
        <v>0</v>
      </c>
      <c r="K1499" s="6">
        <v>0</v>
      </c>
      <c r="L1499" s="6">
        <v>-1.01</v>
      </c>
      <c r="M1499" s="6">
        <v>-1.01</v>
      </c>
      <c r="N1499" s="6">
        <v>-1.01</v>
      </c>
      <c r="O1499" s="6">
        <v>-1.01</v>
      </c>
      <c r="P1499" s="6">
        <v>-8</v>
      </c>
      <c r="Q1499" s="4" t="s">
        <v>26</v>
      </c>
      <c r="R1499" s="4">
        <v>0</v>
      </c>
      <c r="S1499" s="6">
        <v>0</v>
      </c>
      <c r="T1499" s="6">
        <v>45</v>
      </c>
      <c r="U1499" s="6">
        <v>88</v>
      </c>
      <c r="V1499" s="6">
        <f>IF(ISERROR(VLOOKUP($S$1499,'TAR FIN'!$A$1:$O$116,15,0)),0,VLOOKUP($S$1499,'TAR FIN'!$A$1:$O$116,15,0))</f>
        <v>0</v>
      </c>
      <c r="W1499" s="6">
        <f>IF(ISERROR(VLOOKUP($T$1499,'TAR FIN'!$A$1:$O$116,15,0)),0,VLOOKUP($T$1499,'TAR FIN'!$A$1:$O$116,15,0))</f>
        <v>269.37</v>
      </c>
      <c r="X1499" s="6">
        <f>IF(ISERROR(VLOOKUP($U$1499,'TAR FIN'!$A$1:$O$116,15,0)),0,VLOOKUP($U$1499,'TAR FIN'!$A$1:$O$116,15,0))</f>
        <v>326.47000000000003</v>
      </c>
      <c r="Y1499" s="6"/>
      <c r="Z149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499" s="6">
        <f>('TE BE'!$AB$18+'TE BF'!$AB$18+'TE CVA'!$AB$18)*(1-CUSTOS!$M$37)</f>
        <v>329.63081087285968</v>
      </c>
      <c r="AB1499" s="6">
        <f>$K$1499*$V$1499</f>
        <v>0</v>
      </c>
      <c r="AC1499" s="6">
        <f>$M$1499*$W$1499</f>
        <v>-272.06369999999998</v>
      </c>
      <c r="AD1499" s="6">
        <f>$O$1499*$X$1499</f>
        <v>-329.73470000000003</v>
      </c>
      <c r="AE1499" s="6">
        <f>$K$1499*$Y$1499</f>
        <v>0</v>
      </c>
      <c r="AF1499" s="6">
        <f ca="1">$M$1499*$Z$1499</f>
        <v>-312.49633961360541</v>
      </c>
      <c r="AG1499" s="6">
        <f>$O$1499*$AA$1499</f>
        <v>-332.92711898158831</v>
      </c>
    </row>
    <row r="1500" spans="1:33" ht="11.25" customHeight="1" x14ac:dyDescent="0.25">
      <c r="A1500" s="4" t="s">
        <v>58</v>
      </c>
      <c r="B1500" s="4" t="s">
        <v>22</v>
      </c>
      <c r="C1500" s="4" t="s">
        <v>23</v>
      </c>
      <c r="D1500" s="4" t="s">
        <v>24</v>
      </c>
      <c r="E1500" s="4" t="s">
        <v>32</v>
      </c>
      <c r="F1500" s="4" t="s">
        <v>25</v>
      </c>
      <c r="G1500" s="4" t="s">
        <v>25</v>
      </c>
      <c r="H1500" s="4" t="s">
        <v>25</v>
      </c>
      <c r="I1500" s="5">
        <v>44682</v>
      </c>
      <c r="J1500" s="6">
        <v>0</v>
      </c>
      <c r="K1500" s="6">
        <v>0</v>
      </c>
      <c r="L1500" s="6">
        <v>13.771000000000001</v>
      </c>
      <c r="M1500" s="6">
        <v>13.771000000000001</v>
      </c>
      <c r="N1500" s="6">
        <v>13.771000000000001</v>
      </c>
      <c r="O1500" s="6">
        <v>13.771000000000001</v>
      </c>
      <c r="P1500" s="6">
        <v>134</v>
      </c>
      <c r="Q1500" s="4" t="s">
        <v>26</v>
      </c>
      <c r="R1500" s="4">
        <v>0</v>
      </c>
      <c r="S1500" s="6">
        <v>0</v>
      </c>
      <c r="T1500" s="6">
        <v>45</v>
      </c>
      <c r="U1500" s="6">
        <v>88</v>
      </c>
      <c r="V1500" s="6">
        <f>IF(ISERROR(VLOOKUP($S$1500,'TAR FIN'!$A$1:$O$116,15,0)),0,VLOOKUP($S$1500,'TAR FIN'!$A$1:$O$116,15,0))</f>
        <v>0</v>
      </c>
      <c r="W1500" s="6">
        <f>IF(ISERROR(VLOOKUP($T$1500,'TAR FIN'!$A$1:$O$116,15,0)),0,VLOOKUP($T$1500,'TAR FIN'!$A$1:$O$116,15,0))</f>
        <v>269.37</v>
      </c>
      <c r="X1500" s="6">
        <f>IF(ISERROR(VLOOKUP($U$1500,'TAR FIN'!$A$1:$O$116,15,0)),0,VLOOKUP($U$1500,'TAR FIN'!$A$1:$O$116,15,0))</f>
        <v>326.47000000000003</v>
      </c>
      <c r="Y1500" s="6"/>
      <c r="Z150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1500" s="6">
        <f>('TE BE'!$AB$18+'TE BF'!$AB$18+'TE CVA'!$AB$18)*(1-CUSTOS!$M$37)</f>
        <v>329.63081087285968</v>
      </c>
      <c r="AB1500" s="6">
        <f>$K$1500*$V$1500</f>
        <v>0</v>
      </c>
      <c r="AC1500" s="6">
        <f>$M$1500*$W$1500</f>
        <v>3709.4942700000001</v>
      </c>
      <c r="AD1500" s="6">
        <f>$O$1500*$X$1500</f>
        <v>4495.8183700000009</v>
      </c>
      <c r="AE1500" s="6">
        <f>$K$1500*$Y$1500</f>
        <v>0</v>
      </c>
      <c r="AF1500" s="6">
        <f ca="1">$M$1500*$Z$1500</f>
        <v>4260.7792998207524</v>
      </c>
      <c r="AG1500" s="6">
        <f>$O$1500*$AA$1500</f>
        <v>4539.3458965301506</v>
      </c>
    </row>
    <row r="1501" spans="1:33" ht="11.25" customHeight="1" x14ac:dyDescent="0.25">
      <c r="A1501" s="4" t="s">
        <v>21</v>
      </c>
      <c r="B1501" s="4" t="s">
        <v>44</v>
      </c>
      <c r="C1501" s="4" t="s">
        <v>33</v>
      </c>
      <c r="D1501" s="4" t="s">
        <v>45</v>
      </c>
      <c r="E1501" s="4" t="s">
        <v>25</v>
      </c>
      <c r="F1501" s="4" t="s">
        <v>25</v>
      </c>
      <c r="G1501" s="4" t="s">
        <v>25</v>
      </c>
      <c r="H1501" s="4" t="s">
        <v>35</v>
      </c>
      <c r="I1501" s="5">
        <v>44348</v>
      </c>
      <c r="J1501" s="6">
        <v>0</v>
      </c>
      <c r="K1501" s="6">
        <v>0</v>
      </c>
      <c r="L1501" s="6">
        <v>0.19800000000000001</v>
      </c>
      <c r="M1501" s="6">
        <v>0.19800000000000001</v>
      </c>
      <c r="N1501" s="6">
        <v>0.19800000000000001</v>
      </c>
      <c r="O1501" s="6">
        <v>0.19800000000000001</v>
      </c>
      <c r="P1501" s="6">
        <v>0</v>
      </c>
      <c r="Q1501" s="4" t="s">
        <v>26</v>
      </c>
      <c r="R1501" s="4">
        <v>0</v>
      </c>
      <c r="S1501" s="6">
        <v>0</v>
      </c>
      <c r="T1501" s="6">
        <v>53</v>
      </c>
      <c r="U1501" s="6">
        <v>96</v>
      </c>
      <c r="V1501" s="6">
        <f>IF(ISERROR(VLOOKUP($S$1501,'TAR FIN'!$A$1:$O$116,15,0)),0,VLOOKUP($S$1501,'TAR FIN'!$A$1:$O$116,15,0))</f>
        <v>0</v>
      </c>
      <c r="W1501" s="6">
        <f>IF(ISERROR(VLOOKUP($T$1501,'TAR FIN'!$A$1:$O$116,15,0)),0,VLOOKUP($T$1501,'TAR FIN'!$A$1:$O$116,15,0))</f>
        <v>216.45</v>
      </c>
      <c r="X1501" s="6">
        <f>IF(ISERROR(VLOOKUP($U$1501,'TAR FIN'!$A$1:$O$116,15,0)),0,VLOOKUP($U$1501,'TAR FIN'!$A$1:$O$116,15,0))</f>
        <v>273.72000000000003</v>
      </c>
      <c r="Y1501" s="6"/>
      <c r="Z1501" s="6">
        <f ca="1">('TUSD BE'!$AM$55+'TUSD BF'!$AM$55+'TUSD CVA'!$AM$55)*(1-CUSTOS!$M$38)</f>
        <v>305.85761784551431</v>
      </c>
      <c r="AA1501" s="6">
        <f>('TE BE'!$AB$26+'TE BF'!$AB$26+'TE CVA'!$AB$26)*(1-CUSTOS!$M$38)</f>
        <v>294.4353281211304</v>
      </c>
      <c r="AB1501" s="6">
        <f>$K$1501*$V$1501</f>
        <v>0</v>
      </c>
      <c r="AC1501" s="6">
        <f>$M$1501*$W$1501</f>
        <v>42.857100000000003</v>
      </c>
      <c r="AD1501" s="6">
        <f>$O$1501*$X$1501</f>
        <v>54.196560000000005</v>
      </c>
      <c r="AE1501" s="6">
        <f>$K$1501*$Y$1501</f>
        <v>0</v>
      </c>
      <c r="AF1501" s="6">
        <f ca="1">$M$1501*$Z$1501</f>
        <v>60.559808333411837</v>
      </c>
      <c r="AG1501" s="6">
        <f>$O$1501*$AA$1501</f>
        <v>58.298194967983818</v>
      </c>
    </row>
    <row r="1502" spans="1:33" ht="11.25" customHeight="1" x14ac:dyDescent="0.25">
      <c r="A1502" s="4" t="s">
        <v>21</v>
      </c>
      <c r="B1502" s="4" t="s">
        <v>44</v>
      </c>
      <c r="C1502" s="4" t="s">
        <v>33</v>
      </c>
      <c r="D1502" s="4" t="s">
        <v>45</v>
      </c>
      <c r="E1502" s="4" t="s">
        <v>25</v>
      </c>
      <c r="F1502" s="4" t="s">
        <v>25</v>
      </c>
      <c r="G1502" s="4" t="s">
        <v>25</v>
      </c>
      <c r="H1502" s="4" t="s">
        <v>35</v>
      </c>
      <c r="I1502" s="5">
        <v>44378</v>
      </c>
      <c r="J1502" s="6">
        <v>0</v>
      </c>
      <c r="K1502" s="6">
        <v>0</v>
      </c>
      <c r="L1502" s="6">
        <v>0.501</v>
      </c>
      <c r="M1502" s="6">
        <v>0.501</v>
      </c>
      <c r="N1502" s="6">
        <v>0.501</v>
      </c>
      <c r="O1502" s="6">
        <v>0.501</v>
      </c>
      <c r="P1502" s="6">
        <v>0</v>
      </c>
      <c r="Q1502" s="4" t="s">
        <v>26</v>
      </c>
      <c r="R1502" s="4">
        <v>0</v>
      </c>
      <c r="S1502" s="6">
        <v>0</v>
      </c>
      <c r="T1502" s="6">
        <v>53</v>
      </c>
      <c r="U1502" s="6">
        <v>96</v>
      </c>
      <c r="V1502" s="6">
        <f>IF(ISERROR(VLOOKUP($S$1502,'TAR FIN'!$A$1:$O$116,15,0)),0,VLOOKUP($S$1502,'TAR FIN'!$A$1:$O$116,15,0))</f>
        <v>0</v>
      </c>
      <c r="W1502" s="6">
        <f>IF(ISERROR(VLOOKUP($T$1502,'TAR FIN'!$A$1:$O$116,15,0)),0,VLOOKUP($T$1502,'TAR FIN'!$A$1:$O$116,15,0))</f>
        <v>216.45</v>
      </c>
      <c r="X1502" s="6">
        <f>IF(ISERROR(VLOOKUP($U$1502,'TAR FIN'!$A$1:$O$116,15,0)),0,VLOOKUP($U$1502,'TAR FIN'!$A$1:$O$116,15,0))</f>
        <v>273.72000000000003</v>
      </c>
      <c r="Y1502" s="6"/>
      <c r="Z1502" s="6">
        <f ca="1">('TUSD BE'!$AM$55+'TUSD BF'!$AM$55+'TUSD CVA'!$AM$55)*(1-CUSTOS!$M$38)</f>
        <v>305.85761784551431</v>
      </c>
      <c r="AA1502" s="6">
        <f>('TE BE'!$AB$26+'TE BF'!$AB$26+'TE CVA'!$AB$26)*(1-CUSTOS!$M$38)</f>
        <v>294.4353281211304</v>
      </c>
      <c r="AB1502" s="6">
        <f>$K$1502*$V$1502</f>
        <v>0</v>
      </c>
      <c r="AC1502" s="6">
        <f>$M$1502*$W$1502</f>
        <v>108.44144999999999</v>
      </c>
      <c r="AD1502" s="6">
        <f>$O$1502*$X$1502</f>
        <v>137.13372000000001</v>
      </c>
      <c r="AE1502" s="6">
        <f>$K$1502*$Y$1502</f>
        <v>0</v>
      </c>
      <c r="AF1502" s="6">
        <f ca="1">$M$1502*$Z$1502</f>
        <v>153.23466654060266</v>
      </c>
      <c r="AG1502" s="6">
        <f>$O$1502*$AA$1502</f>
        <v>147.51209938868632</v>
      </c>
    </row>
    <row r="1503" spans="1:33" ht="11.25" customHeight="1" x14ac:dyDescent="0.25">
      <c r="A1503" s="4" t="s">
        <v>21</v>
      </c>
      <c r="B1503" s="4" t="s">
        <v>44</v>
      </c>
      <c r="C1503" s="4" t="s">
        <v>33</v>
      </c>
      <c r="D1503" s="4" t="s">
        <v>45</v>
      </c>
      <c r="E1503" s="4" t="s">
        <v>25</v>
      </c>
      <c r="F1503" s="4" t="s">
        <v>25</v>
      </c>
      <c r="G1503" s="4" t="s">
        <v>25</v>
      </c>
      <c r="H1503" s="4" t="s">
        <v>35</v>
      </c>
      <c r="I1503" s="5">
        <v>44409</v>
      </c>
      <c r="J1503" s="6">
        <v>0</v>
      </c>
      <c r="K1503" s="6">
        <v>0</v>
      </c>
      <c r="L1503" s="6">
        <v>0.252</v>
      </c>
      <c r="M1503" s="6">
        <v>0.252</v>
      </c>
      <c r="N1503" s="6">
        <v>0.252</v>
      </c>
      <c r="O1503" s="6">
        <v>0.252</v>
      </c>
      <c r="P1503" s="6">
        <v>0</v>
      </c>
      <c r="Q1503" s="4" t="s">
        <v>26</v>
      </c>
      <c r="R1503" s="4">
        <v>0</v>
      </c>
      <c r="S1503" s="6">
        <v>0</v>
      </c>
      <c r="T1503" s="6">
        <v>53</v>
      </c>
      <c r="U1503" s="6">
        <v>96</v>
      </c>
      <c r="V1503" s="6">
        <f>IF(ISERROR(VLOOKUP($S$1503,'TAR FIN'!$A$1:$O$116,15,0)),0,VLOOKUP($S$1503,'TAR FIN'!$A$1:$O$116,15,0))</f>
        <v>0</v>
      </c>
      <c r="W1503" s="6">
        <f>IF(ISERROR(VLOOKUP($T$1503,'TAR FIN'!$A$1:$O$116,15,0)),0,VLOOKUP($T$1503,'TAR FIN'!$A$1:$O$116,15,0))</f>
        <v>216.45</v>
      </c>
      <c r="X1503" s="6">
        <f>IF(ISERROR(VLOOKUP($U$1503,'TAR FIN'!$A$1:$O$116,15,0)),0,VLOOKUP($U$1503,'TAR FIN'!$A$1:$O$116,15,0))</f>
        <v>273.72000000000003</v>
      </c>
      <c r="Y1503" s="6"/>
      <c r="Z1503" s="6">
        <f ca="1">('TUSD BE'!$AM$55+'TUSD BF'!$AM$55+'TUSD CVA'!$AM$55)*(1-CUSTOS!$M$38)</f>
        <v>305.85761784551431</v>
      </c>
      <c r="AA1503" s="6">
        <f>('TE BE'!$AB$26+'TE BF'!$AB$26+'TE CVA'!$AB$26)*(1-CUSTOS!$M$38)</f>
        <v>294.4353281211304</v>
      </c>
      <c r="AB1503" s="6">
        <f>$K$1503*$V$1503</f>
        <v>0</v>
      </c>
      <c r="AC1503" s="6">
        <f>$M$1503*$W$1503</f>
        <v>54.545400000000001</v>
      </c>
      <c r="AD1503" s="6">
        <f>$O$1503*$X$1503</f>
        <v>68.977440000000001</v>
      </c>
      <c r="AE1503" s="6">
        <f>$K$1503*$Y$1503</f>
        <v>0</v>
      </c>
      <c r="AF1503" s="6">
        <f ca="1">$M$1503*$Z$1503</f>
        <v>77.076119697069601</v>
      </c>
      <c r="AG1503" s="6">
        <f>$O$1503*$AA$1503</f>
        <v>74.197702686524863</v>
      </c>
    </row>
    <row r="1504" spans="1:33" ht="11.25" customHeight="1" x14ac:dyDescent="0.25">
      <c r="A1504" s="4" t="s">
        <v>21</v>
      </c>
      <c r="B1504" s="4" t="s">
        <v>44</v>
      </c>
      <c r="C1504" s="4" t="s">
        <v>33</v>
      </c>
      <c r="D1504" s="4" t="s">
        <v>45</v>
      </c>
      <c r="E1504" s="4" t="s">
        <v>25</v>
      </c>
      <c r="F1504" s="4" t="s">
        <v>25</v>
      </c>
      <c r="G1504" s="4" t="s">
        <v>25</v>
      </c>
      <c r="H1504" s="4" t="s">
        <v>35</v>
      </c>
      <c r="I1504" s="5">
        <v>44440</v>
      </c>
      <c r="J1504" s="6">
        <v>0</v>
      </c>
      <c r="K1504" s="6">
        <v>0</v>
      </c>
      <c r="L1504" s="6">
        <v>0.47499999999999998</v>
      </c>
      <c r="M1504" s="6">
        <v>0.47499999999999998</v>
      </c>
      <c r="N1504" s="6">
        <v>0.47499999999999998</v>
      </c>
      <c r="O1504" s="6">
        <v>0.47499999999999998</v>
      </c>
      <c r="P1504" s="6">
        <v>0</v>
      </c>
      <c r="Q1504" s="4" t="s">
        <v>26</v>
      </c>
      <c r="R1504" s="4">
        <v>0</v>
      </c>
      <c r="S1504" s="6">
        <v>0</v>
      </c>
      <c r="T1504" s="6">
        <v>53</v>
      </c>
      <c r="U1504" s="6">
        <v>96</v>
      </c>
      <c r="V1504" s="6">
        <f>IF(ISERROR(VLOOKUP($S$1504,'TAR FIN'!$A$1:$O$116,15,0)),0,VLOOKUP($S$1504,'TAR FIN'!$A$1:$O$116,15,0))</f>
        <v>0</v>
      </c>
      <c r="W1504" s="6">
        <f>IF(ISERROR(VLOOKUP($T$1504,'TAR FIN'!$A$1:$O$116,15,0)),0,VLOOKUP($T$1504,'TAR FIN'!$A$1:$O$116,15,0))</f>
        <v>216.45</v>
      </c>
      <c r="X1504" s="6">
        <f>IF(ISERROR(VLOOKUP($U$1504,'TAR FIN'!$A$1:$O$116,15,0)),0,VLOOKUP($U$1504,'TAR FIN'!$A$1:$O$116,15,0))</f>
        <v>273.72000000000003</v>
      </c>
      <c r="Y1504" s="6"/>
      <c r="Z1504" s="6">
        <f ca="1">('TUSD BE'!$AM$55+'TUSD BF'!$AM$55+'TUSD CVA'!$AM$55)*(1-CUSTOS!$M$38)</f>
        <v>305.85761784551431</v>
      </c>
      <c r="AA1504" s="6">
        <f>('TE BE'!$AB$26+'TE BF'!$AB$26+'TE CVA'!$AB$26)*(1-CUSTOS!$M$38)</f>
        <v>294.4353281211304</v>
      </c>
      <c r="AB1504" s="6">
        <f>$K$1504*$V$1504</f>
        <v>0</v>
      </c>
      <c r="AC1504" s="6">
        <f>$M$1504*$W$1504</f>
        <v>102.81374999999998</v>
      </c>
      <c r="AD1504" s="6">
        <f>$O$1504*$X$1504</f>
        <v>130.017</v>
      </c>
      <c r="AE1504" s="6">
        <f>$K$1504*$Y$1504</f>
        <v>0</v>
      </c>
      <c r="AF1504" s="6">
        <f ca="1">$M$1504*$Z$1504</f>
        <v>145.2823684766193</v>
      </c>
      <c r="AG1504" s="6">
        <f>$O$1504*$AA$1504</f>
        <v>139.85678085753693</v>
      </c>
    </row>
    <row r="1505" spans="1:33" ht="11.25" customHeight="1" x14ac:dyDescent="0.25">
      <c r="A1505" s="4" t="s">
        <v>21</v>
      </c>
      <c r="B1505" s="4" t="s">
        <v>44</v>
      </c>
      <c r="C1505" s="4" t="s">
        <v>33</v>
      </c>
      <c r="D1505" s="4" t="s">
        <v>45</v>
      </c>
      <c r="E1505" s="4" t="s">
        <v>25</v>
      </c>
      <c r="F1505" s="4" t="s">
        <v>25</v>
      </c>
      <c r="G1505" s="4" t="s">
        <v>25</v>
      </c>
      <c r="H1505" s="4" t="s">
        <v>35</v>
      </c>
      <c r="I1505" s="5">
        <v>44470</v>
      </c>
      <c r="J1505" s="6">
        <v>0</v>
      </c>
      <c r="K1505" s="6">
        <v>0</v>
      </c>
      <c r="L1505" s="6">
        <v>0.63600000000000001</v>
      </c>
      <c r="M1505" s="6">
        <v>0.63600000000000001</v>
      </c>
      <c r="N1505" s="6">
        <v>0.63600000000000001</v>
      </c>
      <c r="O1505" s="6">
        <v>0.63600000000000001</v>
      </c>
      <c r="P1505" s="6">
        <v>0</v>
      </c>
      <c r="Q1505" s="4" t="s">
        <v>26</v>
      </c>
      <c r="R1505" s="4">
        <v>0</v>
      </c>
      <c r="S1505" s="6">
        <v>0</v>
      </c>
      <c r="T1505" s="6">
        <v>53</v>
      </c>
      <c r="U1505" s="6">
        <v>96</v>
      </c>
      <c r="V1505" s="6">
        <f>IF(ISERROR(VLOOKUP($S$1505,'TAR FIN'!$A$1:$O$116,15,0)),0,VLOOKUP($S$1505,'TAR FIN'!$A$1:$O$116,15,0))</f>
        <v>0</v>
      </c>
      <c r="W1505" s="6">
        <f>IF(ISERROR(VLOOKUP($T$1505,'TAR FIN'!$A$1:$O$116,15,0)),0,VLOOKUP($T$1505,'TAR FIN'!$A$1:$O$116,15,0))</f>
        <v>216.45</v>
      </c>
      <c r="X1505" s="6">
        <f>IF(ISERROR(VLOOKUP($U$1505,'TAR FIN'!$A$1:$O$116,15,0)),0,VLOOKUP($U$1505,'TAR FIN'!$A$1:$O$116,15,0))</f>
        <v>273.72000000000003</v>
      </c>
      <c r="Y1505" s="6"/>
      <c r="Z1505" s="6">
        <f ca="1">('TUSD BE'!$AM$55+'TUSD BF'!$AM$55+'TUSD CVA'!$AM$55)*(1-CUSTOS!$M$38)</f>
        <v>305.85761784551431</v>
      </c>
      <c r="AA1505" s="6">
        <f>('TE BE'!$AB$26+'TE BF'!$AB$26+'TE CVA'!$AB$26)*(1-CUSTOS!$M$38)</f>
        <v>294.4353281211304</v>
      </c>
      <c r="AB1505" s="6">
        <f>$K$1505*$V$1505</f>
        <v>0</v>
      </c>
      <c r="AC1505" s="6">
        <f>$M$1505*$W$1505</f>
        <v>137.66219999999998</v>
      </c>
      <c r="AD1505" s="6">
        <f>$O$1505*$X$1505</f>
        <v>174.08592000000002</v>
      </c>
      <c r="AE1505" s="6">
        <f>$K$1505*$Y$1505</f>
        <v>0</v>
      </c>
      <c r="AF1505" s="6">
        <f ca="1">$M$1505*$Z$1505</f>
        <v>194.52544494974711</v>
      </c>
      <c r="AG1505" s="6">
        <f>$O$1505*$AA$1505</f>
        <v>187.26086868503893</v>
      </c>
    </row>
    <row r="1506" spans="1:33" ht="11.25" customHeight="1" x14ac:dyDescent="0.25">
      <c r="A1506" s="4" t="s">
        <v>21</v>
      </c>
      <c r="B1506" s="4" t="s">
        <v>44</v>
      </c>
      <c r="C1506" s="4" t="s">
        <v>33</v>
      </c>
      <c r="D1506" s="4" t="s">
        <v>45</v>
      </c>
      <c r="E1506" s="4" t="s">
        <v>25</v>
      </c>
      <c r="F1506" s="4" t="s">
        <v>25</v>
      </c>
      <c r="G1506" s="4" t="s">
        <v>25</v>
      </c>
      <c r="H1506" s="4" t="s">
        <v>35</v>
      </c>
      <c r="I1506" s="5">
        <v>44501</v>
      </c>
      <c r="J1506" s="6">
        <v>0</v>
      </c>
      <c r="K1506" s="6">
        <v>0</v>
      </c>
      <c r="L1506" s="6">
        <v>4.8179999999999996</v>
      </c>
      <c r="M1506" s="6">
        <v>4.8179999999999996</v>
      </c>
      <c r="N1506" s="6">
        <v>4.8179999999999996</v>
      </c>
      <c r="O1506" s="6">
        <v>4.8179999999999996</v>
      </c>
      <c r="P1506" s="6">
        <v>0</v>
      </c>
      <c r="Q1506" s="4" t="s">
        <v>26</v>
      </c>
      <c r="R1506" s="4">
        <v>0</v>
      </c>
      <c r="S1506" s="6">
        <v>0</v>
      </c>
      <c r="T1506" s="6">
        <v>53</v>
      </c>
      <c r="U1506" s="6">
        <v>96</v>
      </c>
      <c r="V1506" s="6">
        <f>IF(ISERROR(VLOOKUP($S$1506,'TAR FIN'!$A$1:$O$116,15,0)),0,VLOOKUP($S$1506,'TAR FIN'!$A$1:$O$116,15,0))</f>
        <v>0</v>
      </c>
      <c r="W1506" s="6">
        <f>IF(ISERROR(VLOOKUP($T$1506,'TAR FIN'!$A$1:$O$116,15,0)),0,VLOOKUP($T$1506,'TAR FIN'!$A$1:$O$116,15,0))</f>
        <v>216.45</v>
      </c>
      <c r="X1506" s="6">
        <f>IF(ISERROR(VLOOKUP($U$1506,'TAR FIN'!$A$1:$O$116,15,0)),0,VLOOKUP($U$1506,'TAR FIN'!$A$1:$O$116,15,0))</f>
        <v>273.72000000000003</v>
      </c>
      <c r="Y1506" s="6"/>
      <c r="Z1506" s="6">
        <f ca="1">('TUSD BE'!$AM$55+'TUSD BF'!$AM$55+'TUSD CVA'!$AM$55)*(1-CUSTOS!$M$38)</f>
        <v>305.85761784551431</v>
      </c>
      <c r="AA1506" s="6">
        <f>('TE BE'!$AB$26+'TE BF'!$AB$26+'TE CVA'!$AB$26)*(1-CUSTOS!$M$38)</f>
        <v>294.4353281211304</v>
      </c>
      <c r="AB1506" s="6">
        <f>$K$1506*$V$1506</f>
        <v>0</v>
      </c>
      <c r="AC1506" s="6">
        <f>$M$1506*$W$1506</f>
        <v>1042.8561</v>
      </c>
      <c r="AD1506" s="6">
        <f>$O$1506*$X$1506</f>
        <v>1318.78296</v>
      </c>
      <c r="AE1506" s="6">
        <f>$K$1506*$Y$1506</f>
        <v>0</v>
      </c>
      <c r="AF1506" s="6">
        <f ca="1">$M$1506*$Z$1506</f>
        <v>1473.6220027796878</v>
      </c>
      <c r="AG1506" s="6">
        <f>$O$1506*$AA$1506</f>
        <v>1418.5894108876062</v>
      </c>
    </row>
    <row r="1507" spans="1:33" ht="11.25" customHeight="1" x14ac:dyDescent="0.25">
      <c r="A1507" s="4" t="s">
        <v>21</v>
      </c>
      <c r="B1507" s="4" t="s">
        <v>44</v>
      </c>
      <c r="C1507" s="4" t="s">
        <v>33</v>
      </c>
      <c r="D1507" s="4" t="s">
        <v>45</v>
      </c>
      <c r="E1507" s="4" t="s">
        <v>25</v>
      </c>
      <c r="F1507" s="4" t="s">
        <v>25</v>
      </c>
      <c r="G1507" s="4" t="s">
        <v>25</v>
      </c>
      <c r="H1507" s="4" t="s">
        <v>35</v>
      </c>
      <c r="I1507" s="5">
        <v>44531</v>
      </c>
      <c r="J1507" s="6">
        <v>0</v>
      </c>
      <c r="K1507" s="6">
        <v>0</v>
      </c>
      <c r="L1507" s="6">
        <v>2.1040000000000001</v>
      </c>
      <c r="M1507" s="6">
        <v>2.1040000000000001</v>
      </c>
      <c r="N1507" s="6">
        <v>2.1040000000000001</v>
      </c>
      <c r="O1507" s="6">
        <v>2.1040000000000001</v>
      </c>
      <c r="P1507" s="6">
        <v>0</v>
      </c>
      <c r="Q1507" s="4" t="s">
        <v>26</v>
      </c>
      <c r="R1507" s="4">
        <v>0</v>
      </c>
      <c r="S1507" s="6">
        <v>0</v>
      </c>
      <c r="T1507" s="6">
        <v>53</v>
      </c>
      <c r="U1507" s="6">
        <v>96</v>
      </c>
      <c r="V1507" s="6">
        <f>IF(ISERROR(VLOOKUP($S$1507,'TAR FIN'!$A$1:$O$116,15,0)),0,VLOOKUP($S$1507,'TAR FIN'!$A$1:$O$116,15,0))</f>
        <v>0</v>
      </c>
      <c r="W1507" s="6">
        <f>IF(ISERROR(VLOOKUP($T$1507,'TAR FIN'!$A$1:$O$116,15,0)),0,VLOOKUP($T$1507,'TAR FIN'!$A$1:$O$116,15,0))</f>
        <v>216.45</v>
      </c>
      <c r="X1507" s="6">
        <f>IF(ISERROR(VLOOKUP($U$1507,'TAR FIN'!$A$1:$O$116,15,0)),0,VLOOKUP($U$1507,'TAR FIN'!$A$1:$O$116,15,0))</f>
        <v>273.72000000000003</v>
      </c>
      <c r="Y1507" s="6"/>
      <c r="Z1507" s="6">
        <f ca="1">('TUSD BE'!$AM$55+'TUSD BF'!$AM$55+'TUSD CVA'!$AM$55)*(1-CUSTOS!$M$38)</f>
        <v>305.85761784551431</v>
      </c>
      <c r="AA1507" s="6">
        <f>('TE BE'!$AB$26+'TE BF'!$AB$26+'TE CVA'!$AB$26)*(1-CUSTOS!$M$38)</f>
        <v>294.4353281211304</v>
      </c>
      <c r="AB1507" s="6">
        <f>$K$1507*$V$1507</f>
        <v>0</v>
      </c>
      <c r="AC1507" s="6">
        <f>$M$1507*$W$1507</f>
        <v>455.41079999999999</v>
      </c>
      <c r="AD1507" s="6">
        <f>$O$1507*$X$1507</f>
        <v>575.90688000000011</v>
      </c>
      <c r="AE1507" s="6">
        <f>$K$1507*$Y$1507</f>
        <v>0</v>
      </c>
      <c r="AF1507" s="6">
        <f ca="1">$M$1507*$Z$1507</f>
        <v>643.52442794696219</v>
      </c>
      <c r="AG1507" s="6">
        <f>$O$1507*$AA$1507</f>
        <v>619.49193036685836</v>
      </c>
    </row>
    <row r="1508" spans="1:33" ht="11.25" customHeight="1" x14ac:dyDescent="0.25">
      <c r="A1508" s="4" t="s">
        <v>21</v>
      </c>
      <c r="B1508" s="4" t="s">
        <v>44</v>
      </c>
      <c r="C1508" s="4" t="s">
        <v>33</v>
      </c>
      <c r="D1508" s="4" t="s">
        <v>45</v>
      </c>
      <c r="E1508" s="4" t="s">
        <v>25</v>
      </c>
      <c r="F1508" s="4" t="s">
        <v>25</v>
      </c>
      <c r="G1508" s="4" t="s">
        <v>25</v>
      </c>
      <c r="H1508" s="4" t="s">
        <v>35</v>
      </c>
      <c r="I1508" s="5">
        <v>44562</v>
      </c>
      <c r="J1508" s="6">
        <v>0</v>
      </c>
      <c r="K1508" s="6">
        <v>0</v>
      </c>
      <c r="L1508" s="6">
        <v>0.48199999999999998</v>
      </c>
      <c r="M1508" s="6">
        <v>0.48199999999999998</v>
      </c>
      <c r="N1508" s="6">
        <v>0.48199999999999998</v>
      </c>
      <c r="O1508" s="6">
        <v>0.48199999999999998</v>
      </c>
      <c r="P1508" s="6">
        <v>0</v>
      </c>
      <c r="Q1508" s="4" t="s">
        <v>26</v>
      </c>
      <c r="R1508" s="4">
        <v>0</v>
      </c>
      <c r="S1508" s="6">
        <v>0</v>
      </c>
      <c r="T1508" s="6">
        <v>53</v>
      </c>
      <c r="U1508" s="6">
        <v>96</v>
      </c>
      <c r="V1508" s="6">
        <f>IF(ISERROR(VLOOKUP($S$1508,'TAR FIN'!$A$1:$O$116,15,0)),0,VLOOKUP($S$1508,'TAR FIN'!$A$1:$O$116,15,0))</f>
        <v>0</v>
      </c>
      <c r="W1508" s="6">
        <f>IF(ISERROR(VLOOKUP($T$1508,'TAR FIN'!$A$1:$O$116,15,0)),0,VLOOKUP($T$1508,'TAR FIN'!$A$1:$O$116,15,0))</f>
        <v>216.45</v>
      </c>
      <c r="X1508" s="6">
        <f>IF(ISERROR(VLOOKUP($U$1508,'TAR FIN'!$A$1:$O$116,15,0)),0,VLOOKUP($U$1508,'TAR FIN'!$A$1:$O$116,15,0))</f>
        <v>273.72000000000003</v>
      </c>
      <c r="Y1508" s="6"/>
      <c r="Z1508" s="6">
        <f ca="1">('TUSD BE'!$AM$55+'TUSD BF'!$AM$55+'TUSD CVA'!$AM$55)*(1-CUSTOS!$M$38)</f>
        <v>305.85761784551431</v>
      </c>
      <c r="AA1508" s="6">
        <f>('TE BE'!$AB$26+'TE BF'!$AB$26+'TE CVA'!$AB$26)*(1-CUSTOS!$M$38)</f>
        <v>294.4353281211304</v>
      </c>
      <c r="AB1508" s="6">
        <f>$K$1508*$V$1508</f>
        <v>0</v>
      </c>
      <c r="AC1508" s="6">
        <f>$M$1508*$W$1508</f>
        <v>104.32889999999999</v>
      </c>
      <c r="AD1508" s="6">
        <f>$O$1508*$X$1508</f>
        <v>131.93304000000001</v>
      </c>
      <c r="AE1508" s="6">
        <f>$K$1508*$Y$1508</f>
        <v>0</v>
      </c>
      <c r="AF1508" s="6">
        <f ca="1">$M$1508*$Z$1508</f>
        <v>147.42337180153788</v>
      </c>
      <c r="AG1508" s="6">
        <f>$O$1508*$AA$1508</f>
        <v>141.91782815438484</v>
      </c>
    </row>
    <row r="1509" spans="1:33" ht="11.25" customHeight="1" x14ac:dyDescent="0.25">
      <c r="A1509" s="4" t="s">
        <v>27</v>
      </c>
      <c r="B1509" s="4" t="s">
        <v>44</v>
      </c>
      <c r="C1509" s="4" t="s">
        <v>33</v>
      </c>
      <c r="D1509" s="4" t="s">
        <v>45</v>
      </c>
      <c r="E1509" s="4" t="s">
        <v>25</v>
      </c>
      <c r="F1509" s="4" t="s">
        <v>25</v>
      </c>
      <c r="G1509" s="4" t="s">
        <v>25</v>
      </c>
      <c r="H1509" s="4" t="s">
        <v>35</v>
      </c>
      <c r="I1509" s="5">
        <v>44562</v>
      </c>
      <c r="J1509" s="6">
        <v>0</v>
      </c>
      <c r="K1509" s="6">
        <v>0</v>
      </c>
      <c r="L1509" s="6">
        <v>-5.9160000000000004</v>
      </c>
      <c r="M1509" s="6">
        <v>-5.9160000000000004</v>
      </c>
      <c r="N1509" s="6">
        <v>-5.9160000000000004</v>
      </c>
      <c r="O1509" s="6">
        <v>-5.9160000000000004</v>
      </c>
      <c r="P1509" s="6">
        <v>0</v>
      </c>
      <c r="Q1509" s="4" t="s">
        <v>26</v>
      </c>
      <c r="R1509" s="4">
        <v>0</v>
      </c>
      <c r="S1509" s="6">
        <v>0</v>
      </c>
      <c r="T1509" s="6">
        <v>53</v>
      </c>
      <c r="U1509" s="6">
        <v>96</v>
      </c>
      <c r="V1509" s="6">
        <f>IF(ISERROR(VLOOKUP($S$1509,'TAR FIN'!$A$1:$O$116,15,0)),0,VLOOKUP($S$1509,'TAR FIN'!$A$1:$O$116,15,0))</f>
        <v>0</v>
      </c>
      <c r="W1509" s="6">
        <f>IF(ISERROR(VLOOKUP($T$1509,'TAR FIN'!$A$1:$O$116,15,0)),0,VLOOKUP($T$1509,'TAR FIN'!$A$1:$O$116,15,0))</f>
        <v>216.45</v>
      </c>
      <c r="X1509" s="6">
        <f>IF(ISERROR(VLOOKUP($U$1509,'TAR FIN'!$A$1:$O$116,15,0)),0,VLOOKUP($U$1509,'TAR FIN'!$A$1:$O$116,15,0))</f>
        <v>273.72000000000003</v>
      </c>
      <c r="Y1509" s="6"/>
      <c r="Z1509" s="6">
        <f ca="1">('TUSD BE'!$AM$55+'TUSD BF'!$AM$55+'TUSD CVA'!$AM$55)*(1-CUSTOS!$M$38)</f>
        <v>305.85761784551431</v>
      </c>
      <c r="AA1509" s="6">
        <f>('TE BE'!$AB$26+'TE BF'!$AB$26+'TE CVA'!$AB$26)*(1-CUSTOS!$M$38)</f>
        <v>294.4353281211304</v>
      </c>
      <c r="AB1509" s="6">
        <f>$K$1509*$V$1509</f>
        <v>0</v>
      </c>
      <c r="AC1509" s="6">
        <f>$M$1509*$W$1509</f>
        <v>-1280.5182</v>
      </c>
      <c r="AD1509" s="6">
        <f>$O$1509*$X$1509</f>
        <v>-1619.3275200000003</v>
      </c>
      <c r="AE1509" s="6">
        <f>$K$1509*$Y$1509</f>
        <v>0</v>
      </c>
      <c r="AF1509" s="6">
        <f ca="1">$M$1509*$Z$1509</f>
        <v>-1809.4536671740627</v>
      </c>
      <c r="AG1509" s="6">
        <f>$O$1509*$AA$1509</f>
        <v>-1741.8794011646075</v>
      </c>
    </row>
    <row r="1510" spans="1:33" ht="11.25" customHeight="1" x14ac:dyDescent="0.25">
      <c r="A1510" s="4" t="s">
        <v>21</v>
      </c>
      <c r="B1510" s="4" t="s">
        <v>44</v>
      </c>
      <c r="C1510" s="4" t="s">
        <v>33</v>
      </c>
      <c r="D1510" s="4" t="s">
        <v>45</v>
      </c>
      <c r="E1510" s="4" t="s">
        <v>25</v>
      </c>
      <c r="F1510" s="4" t="s">
        <v>25</v>
      </c>
      <c r="G1510" s="4" t="s">
        <v>25</v>
      </c>
      <c r="H1510" s="4" t="s">
        <v>35</v>
      </c>
      <c r="I1510" s="5">
        <v>44593</v>
      </c>
      <c r="J1510" s="6">
        <v>0</v>
      </c>
      <c r="K1510" s="6">
        <v>0</v>
      </c>
      <c r="L1510" s="6">
        <v>0.26800000000000002</v>
      </c>
      <c r="M1510" s="6">
        <v>0.26800000000000002</v>
      </c>
      <c r="N1510" s="6">
        <v>0.26800000000000002</v>
      </c>
      <c r="O1510" s="6">
        <v>0.26800000000000002</v>
      </c>
      <c r="P1510" s="6">
        <v>0</v>
      </c>
      <c r="Q1510" s="4" t="s">
        <v>26</v>
      </c>
      <c r="R1510" s="4">
        <v>0</v>
      </c>
      <c r="S1510" s="6">
        <v>0</v>
      </c>
      <c r="T1510" s="6">
        <v>53</v>
      </c>
      <c r="U1510" s="6">
        <v>96</v>
      </c>
      <c r="V1510" s="6">
        <f>IF(ISERROR(VLOOKUP($S$1510,'TAR FIN'!$A$1:$O$116,15,0)),0,VLOOKUP($S$1510,'TAR FIN'!$A$1:$O$116,15,0))</f>
        <v>0</v>
      </c>
      <c r="W1510" s="6">
        <f>IF(ISERROR(VLOOKUP($T$1510,'TAR FIN'!$A$1:$O$116,15,0)),0,VLOOKUP($T$1510,'TAR FIN'!$A$1:$O$116,15,0))</f>
        <v>216.45</v>
      </c>
      <c r="X1510" s="6">
        <f>IF(ISERROR(VLOOKUP($U$1510,'TAR FIN'!$A$1:$O$116,15,0)),0,VLOOKUP($U$1510,'TAR FIN'!$A$1:$O$116,15,0))</f>
        <v>273.72000000000003</v>
      </c>
      <c r="Y1510" s="6"/>
      <c r="Z1510" s="6">
        <f ca="1">('TUSD BE'!$AM$55+'TUSD BF'!$AM$55+'TUSD CVA'!$AM$55)*(1-CUSTOS!$M$38)</f>
        <v>305.85761784551431</v>
      </c>
      <c r="AA1510" s="6">
        <f>('TE BE'!$AB$26+'TE BF'!$AB$26+'TE CVA'!$AB$26)*(1-CUSTOS!$M$38)</f>
        <v>294.4353281211304</v>
      </c>
      <c r="AB1510" s="6">
        <f>$K$1510*$V$1510</f>
        <v>0</v>
      </c>
      <c r="AC1510" s="6">
        <f>$M$1510*$W$1510</f>
        <v>58.008600000000001</v>
      </c>
      <c r="AD1510" s="6">
        <f>$O$1510*$X$1510</f>
        <v>73.356960000000015</v>
      </c>
      <c r="AE1510" s="6">
        <f>$K$1510*$Y$1510</f>
        <v>0</v>
      </c>
      <c r="AF1510" s="6">
        <f ca="1">$M$1510*$Z$1510</f>
        <v>81.969841582597837</v>
      </c>
      <c r="AG1510" s="6">
        <f>$O$1510*$AA$1510</f>
        <v>78.908667936462948</v>
      </c>
    </row>
    <row r="1511" spans="1:33" ht="11.25" customHeight="1" x14ac:dyDescent="0.25">
      <c r="A1511" s="4" t="s">
        <v>21</v>
      </c>
      <c r="B1511" s="4" t="s">
        <v>44</v>
      </c>
      <c r="C1511" s="4" t="s">
        <v>33</v>
      </c>
      <c r="D1511" s="4" t="s">
        <v>45</v>
      </c>
      <c r="E1511" s="4" t="s">
        <v>25</v>
      </c>
      <c r="F1511" s="4" t="s">
        <v>25</v>
      </c>
      <c r="G1511" s="4" t="s">
        <v>25</v>
      </c>
      <c r="H1511" s="4" t="s">
        <v>35</v>
      </c>
      <c r="I1511" s="5">
        <v>44621</v>
      </c>
      <c r="J1511" s="6">
        <v>0</v>
      </c>
      <c r="K1511" s="6">
        <v>0</v>
      </c>
      <c r="L1511" s="6">
        <v>0.42599999999999999</v>
      </c>
      <c r="M1511" s="6">
        <v>0.42599999999999999</v>
      </c>
      <c r="N1511" s="6">
        <v>0.42599999999999999</v>
      </c>
      <c r="O1511" s="6">
        <v>0.42599999999999999</v>
      </c>
      <c r="P1511" s="6">
        <v>0</v>
      </c>
      <c r="Q1511" s="4" t="s">
        <v>26</v>
      </c>
      <c r="R1511" s="4">
        <v>0</v>
      </c>
      <c r="S1511" s="6">
        <v>0</v>
      </c>
      <c r="T1511" s="6">
        <v>53</v>
      </c>
      <c r="U1511" s="6">
        <v>96</v>
      </c>
      <c r="V1511" s="6">
        <f>IF(ISERROR(VLOOKUP($S$1511,'TAR FIN'!$A$1:$O$116,15,0)),0,VLOOKUP($S$1511,'TAR FIN'!$A$1:$O$116,15,0))</f>
        <v>0</v>
      </c>
      <c r="W1511" s="6">
        <f>IF(ISERROR(VLOOKUP($T$1511,'TAR FIN'!$A$1:$O$116,15,0)),0,VLOOKUP($T$1511,'TAR FIN'!$A$1:$O$116,15,0))</f>
        <v>216.45</v>
      </c>
      <c r="X1511" s="6">
        <f>IF(ISERROR(VLOOKUP($U$1511,'TAR FIN'!$A$1:$O$116,15,0)),0,VLOOKUP($U$1511,'TAR FIN'!$A$1:$O$116,15,0))</f>
        <v>273.72000000000003</v>
      </c>
      <c r="Y1511" s="6"/>
      <c r="Z1511" s="6">
        <f ca="1">('TUSD BE'!$AM$55+'TUSD BF'!$AM$55+'TUSD CVA'!$AM$55)*(1-CUSTOS!$M$38)</f>
        <v>305.85761784551431</v>
      </c>
      <c r="AA1511" s="6">
        <f>('TE BE'!$AB$26+'TE BF'!$AB$26+'TE CVA'!$AB$26)*(1-CUSTOS!$M$38)</f>
        <v>294.4353281211304</v>
      </c>
      <c r="AB1511" s="6">
        <f>$K$1511*$V$1511</f>
        <v>0</v>
      </c>
      <c r="AC1511" s="6">
        <f>$M$1511*$W$1511</f>
        <v>92.207699999999988</v>
      </c>
      <c r="AD1511" s="6">
        <f>$O$1511*$X$1511</f>
        <v>116.60472000000001</v>
      </c>
      <c r="AE1511" s="6">
        <f>$K$1511*$Y$1511</f>
        <v>0</v>
      </c>
      <c r="AF1511" s="6">
        <f ca="1">$M$1511*$Z$1511</f>
        <v>130.29534520218908</v>
      </c>
      <c r="AG1511" s="6">
        <f>$O$1511*$AA$1511</f>
        <v>125.42944977960154</v>
      </c>
    </row>
    <row r="1512" spans="1:33" ht="11.25" customHeight="1" x14ac:dyDescent="0.25">
      <c r="A1512" s="4" t="s">
        <v>21</v>
      </c>
      <c r="B1512" s="4" t="s">
        <v>44</v>
      </c>
      <c r="C1512" s="4" t="s">
        <v>33</v>
      </c>
      <c r="D1512" s="4" t="s">
        <v>45</v>
      </c>
      <c r="E1512" s="4" t="s">
        <v>25</v>
      </c>
      <c r="F1512" s="4" t="s">
        <v>25</v>
      </c>
      <c r="G1512" s="4" t="s">
        <v>25</v>
      </c>
      <c r="H1512" s="4" t="s">
        <v>35</v>
      </c>
      <c r="I1512" s="5">
        <v>44652</v>
      </c>
      <c r="J1512" s="6">
        <v>0</v>
      </c>
      <c r="K1512" s="6">
        <v>0</v>
      </c>
      <c r="L1512" s="6">
        <v>0.44500000000000001</v>
      </c>
      <c r="M1512" s="6">
        <v>0.44500000000000001</v>
      </c>
      <c r="N1512" s="6">
        <v>0.44500000000000001</v>
      </c>
      <c r="O1512" s="6">
        <v>0.44500000000000001</v>
      </c>
      <c r="P1512" s="6">
        <v>0</v>
      </c>
      <c r="Q1512" s="4" t="s">
        <v>26</v>
      </c>
      <c r="R1512" s="4">
        <v>0</v>
      </c>
      <c r="S1512" s="6">
        <v>0</v>
      </c>
      <c r="T1512" s="6">
        <v>53</v>
      </c>
      <c r="U1512" s="6">
        <v>96</v>
      </c>
      <c r="V1512" s="6">
        <f>IF(ISERROR(VLOOKUP($S$1512,'TAR FIN'!$A$1:$O$116,15,0)),0,VLOOKUP($S$1512,'TAR FIN'!$A$1:$O$116,15,0))</f>
        <v>0</v>
      </c>
      <c r="W1512" s="6">
        <f>IF(ISERROR(VLOOKUP($T$1512,'TAR FIN'!$A$1:$O$116,15,0)),0,VLOOKUP($T$1512,'TAR FIN'!$A$1:$O$116,15,0))</f>
        <v>216.45</v>
      </c>
      <c r="X1512" s="6">
        <f>IF(ISERROR(VLOOKUP($U$1512,'TAR FIN'!$A$1:$O$116,15,0)),0,VLOOKUP($U$1512,'TAR FIN'!$A$1:$O$116,15,0))</f>
        <v>273.72000000000003</v>
      </c>
      <c r="Y1512" s="6"/>
      <c r="Z1512" s="6">
        <f ca="1">('TUSD BE'!$AM$55+'TUSD BF'!$AM$55+'TUSD CVA'!$AM$55)*(1-CUSTOS!$M$38)</f>
        <v>305.85761784551431</v>
      </c>
      <c r="AA1512" s="6">
        <f>('TE BE'!$AB$26+'TE BF'!$AB$26+'TE CVA'!$AB$26)*(1-CUSTOS!$M$38)</f>
        <v>294.4353281211304</v>
      </c>
      <c r="AB1512" s="6">
        <f>$K$1512*$V$1512</f>
        <v>0</v>
      </c>
      <c r="AC1512" s="6">
        <f>$M$1512*$W$1512</f>
        <v>96.320250000000001</v>
      </c>
      <c r="AD1512" s="6">
        <f>$O$1512*$X$1512</f>
        <v>121.80540000000002</v>
      </c>
      <c r="AE1512" s="6">
        <f>$K$1512*$Y$1512</f>
        <v>0</v>
      </c>
      <c r="AF1512" s="6">
        <f ca="1">$M$1512*$Z$1512</f>
        <v>136.10663994125386</v>
      </c>
      <c r="AG1512" s="6">
        <f>$O$1512*$AA$1512</f>
        <v>131.02372101390304</v>
      </c>
    </row>
    <row r="1513" spans="1:33" ht="11.25" customHeight="1" x14ac:dyDescent="0.25">
      <c r="A1513" s="4" t="s">
        <v>58</v>
      </c>
      <c r="B1513" s="4" t="s">
        <v>44</v>
      </c>
      <c r="C1513" s="4" t="s">
        <v>33</v>
      </c>
      <c r="D1513" s="4" t="s">
        <v>45</v>
      </c>
      <c r="E1513" s="4" t="s">
        <v>25</v>
      </c>
      <c r="F1513" s="4" t="s">
        <v>25</v>
      </c>
      <c r="G1513" s="4" t="s">
        <v>25</v>
      </c>
      <c r="H1513" s="4" t="s">
        <v>35</v>
      </c>
      <c r="I1513" s="5">
        <v>44682</v>
      </c>
      <c r="J1513" s="6">
        <v>0</v>
      </c>
      <c r="K1513" s="6">
        <v>0</v>
      </c>
      <c r="L1513" s="6">
        <v>0.44500000000000001</v>
      </c>
      <c r="M1513" s="6">
        <v>0.44500000000000001</v>
      </c>
      <c r="N1513" s="6">
        <v>0.44500000000000001</v>
      </c>
      <c r="O1513" s="6">
        <v>0.44500000000000001</v>
      </c>
      <c r="P1513" s="6">
        <v>0</v>
      </c>
      <c r="Q1513" s="4" t="s">
        <v>26</v>
      </c>
      <c r="R1513" s="4">
        <v>0</v>
      </c>
      <c r="S1513" s="6">
        <v>0</v>
      </c>
      <c r="T1513" s="6">
        <v>53</v>
      </c>
      <c r="U1513" s="6">
        <v>96</v>
      </c>
      <c r="V1513" s="6">
        <f>IF(ISERROR(VLOOKUP($S$1513,'TAR FIN'!$A$1:$O$116,15,0)),0,VLOOKUP($S$1513,'TAR FIN'!$A$1:$O$116,15,0))</f>
        <v>0</v>
      </c>
      <c r="W1513" s="6">
        <f>IF(ISERROR(VLOOKUP($T$1513,'TAR FIN'!$A$1:$O$116,15,0)),0,VLOOKUP($T$1513,'TAR FIN'!$A$1:$O$116,15,0))</f>
        <v>216.45</v>
      </c>
      <c r="X1513" s="6">
        <f>IF(ISERROR(VLOOKUP($U$1513,'TAR FIN'!$A$1:$O$116,15,0)),0,VLOOKUP($U$1513,'TAR FIN'!$A$1:$O$116,15,0))</f>
        <v>273.72000000000003</v>
      </c>
      <c r="Y1513" s="6"/>
      <c r="Z1513" s="6">
        <f ca="1">('TUSD BE'!$AM$55+'TUSD BF'!$AM$55+'TUSD CVA'!$AM$55)*(1-CUSTOS!$M$38)</f>
        <v>305.85761784551431</v>
      </c>
      <c r="AA1513" s="6">
        <f>('TE BE'!$AB$26+'TE BF'!$AB$26+'TE CVA'!$AB$26)*(1-CUSTOS!$M$38)</f>
        <v>294.4353281211304</v>
      </c>
      <c r="AB1513" s="6">
        <f>$K$1513*$V$1513</f>
        <v>0</v>
      </c>
      <c r="AC1513" s="6">
        <f>$M$1513*$W$1513</f>
        <v>96.320250000000001</v>
      </c>
      <c r="AD1513" s="6">
        <f>$O$1513*$X$1513</f>
        <v>121.80540000000002</v>
      </c>
      <c r="AE1513" s="6">
        <f>$K$1513*$Y$1513</f>
        <v>0</v>
      </c>
      <c r="AF1513" s="6">
        <f ca="1">$M$1513*$Z$1513</f>
        <v>136.10663994125386</v>
      </c>
      <c r="AG1513" s="6">
        <f>$O$1513*$AA$1513</f>
        <v>131.02372101390304</v>
      </c>
    </row>
    <row r="1514" spans="1:33" ht="11.25" customHeight="1" x14ac:dyDescent="0.25">
      <c r="A1514" s="4" t="s">
        <v>21</v>
      </c>
      <c r="B1514" s="4" t="s">
        <v>44</v>
      </c>
      <c r="C1514" s="4" t="s">
        <v>33</v>
      </c>
      <c r="D1514" s="4" t="s">
        <v>45</v>
      </c>
      <c r="E1514" s="4" t="s">
        <v>25</v>
      </c>
      <c r="F1514" s="4" t="s">
        <v>25</v>
      </c>
      <c r="G1514" s="4" t="s">
        <v>25</v>
      </c>
      <c r="H1514" s="4" t="s">
        <v>36</v>
      </c>
      <c r="I1514" s="5">
        <v>44348</v>
      </c>
      <c r="J1514" s="6">
        <v>0</v>
      </c>
      <c r="K1514" s="6">
        <v>0</v>
      </c>
      <c r="L1514" s="6">
        <v>3.0000000000000001E-3</v>
      </c>
      <c r="M1514" s="6">
        <v>3.0000000000000001E-3</v>
      </c>
      <c r="N1514" s="6">
        <v>3.0000000000000001E-3</v>
      </c>
      <c r="O1514" s="6">
        <v>3.0000000000000001E-3</v>
      </c>
      <c r="P1514" s="6">
        <v>0</v>
      </c>
      <c r="Q1514" s="4" t="s">
        <v>26</v>
      </c>
      <c r="R1514" s="4">
        <v>0</v>
      </c>
      <c r="S1514" s="6">
        <v>0</v>
      </c>
      <c r="T1514" s="6">
        <v>52</v>
      </c>
      <c r="U1514" s="6">
        <v>95</v>
      </c>
      <c r="V1514" s="6">
        <f>IF(ISERROR(VLOOKUP($S$1514,'TAR FIN'!$A$1:$O$116,15,0)),0,VLOOKUP($S$1514,'TAR FIN'!$A$1:$O$116,15,0))</f>
        <v>0</v>
      </c>
      <c r="W1514" s="6">
        <f>IF(ISERROR(VLOOKUP($T$1514,'TAR FIN'!$A$1:$O$116,15,0)),0,VLOOKUP($T$1514,'TAR FIN'!$A$1:$O$116,15,0))</f>
        <v>441.63</v>
      </c>
      <c r="X1514" s="6">
        <f>IF(ISERROR(VLOOKUP($U$1514,'TAR FIN'!$A$1:$O$116,15,0)),0,VLOOKUP($U$1514,'TAR FIN'!$A$1:$O$116,15,0))</f>
        <v>273.72000000000003</v>
      </c>
      <c r="Y1514" s="6"/>
      <c r="Z1514" s="6">
        <f ca="1">('TUSD BE'!$AM$54+'TUSD BF'!$AM$54+'TUSD CVA'!$AM$54)*(1-CUSTOS!$M$38)</f>
        <v>583.48771702027136</v>
      </c>
      <c r="AA1514" s="6">
        <f>('TE BE'!$AB$25+'TE BF'!$AB$25+'TE CVA'!$AB$25)*(1-CUSTOS!$M$38)</f>
        <v>294.4353281211304</v>
      </c>
      <c r="AB1514" s="6">
        <f>$K$1514*$V$1514</f>
        <v>0</v>
      </c>
      <c r="AC1514" s="6">
        <f>$M$1514*$W$1514</f>
        <v>1.3248900000000001</v>
      </c>
      <c r="AD1514" s="6">
        <f>$O$1514*$X$1514</f>
        <v>0.82116000000000011</v>
      </c>
      <c r="AE1514" s="6">
        <f>$K$1514*$Y$1514</f>
        <v>0</v>
      </c>
      <c r="AF1514" s="6">
        <f ca="1">$M$1514*$Z$1514</f>
        <v>1.7504631510608142</v>
      </c>
      <c r="AG1514" s="6">
        <f>$O$1514*$AA$1514</f>
        <v>0.88330598436339125</v>
      </c>
    </row>
    <row r="1515" spans="1:33" ht="11.25" customHeight="1" x14ac:dyDescent="0.25">
      <c r="A1515" s="4" t="s">
        <v>21</v>
      </c>
      <c r="B1515" s="4" t="s">
        <v>44</v>
      </c>
      <c r="C1515" s="4" t="s">
        <v>33</v>
      </c>
      <c r="D1515" s="4" t="s">
        <v>45</v>
      </c>
      <c r="E1515" s="4" t="s">
        <v>25</v>
      </c>
      <c r="F1515" s="4" t="s">
        <v>25</v>
      </c>
      <c r="G1515" s="4" t="s">
        <v>25</v>
      </c>
      <c r="H1515" s="4" t="s">
        <v>36</v>
      </c>
      <c r="I1515" s="5">
        <v>44378</v>
      </c>
      <c r="J1515" s="6">
        <v>0</v>
      </c>
      <c r="K1515" s="6">
        <v>0</v>
      </c>
      <c r="L1515" s="6">
        <v>3.2000000000000001E-2</v>
      </c>
      <c r="M1515" s="6">
        <v>3.2000000000000001E-2</v>
      </c>
      <c r="N1515" s="6">
        <v>3.2000000000000001E-2</v>
      </c>
      <c r="O1515" s="6">
        <v>3.2000000000000001E-2</v>
      </c>
      <c r="P1515" s="6">
        <v>0</v>
      </c>
      <c r="Q1515" s="4" t="s">
        <v>26</v>
      </c>
      <c r="R1515" s="4">
        <v>0</v>
      </c>
      <c r="S1515" s="6">
        <v>0</v>
      </c>
      <c r="T1515" s="6">
        <v>52</v>
      </c>
      <c r="U1515" s="6">
        <v>95</v>
      </c>
      <c r="V1515" s="6">
        <f>IF(ISERROR(VLOOKUP($S$1515,'TAR FIN'!$A$1:$O$116,15,0)),0,VLOOKUP($S$1515,'TAR FIN'!$A$1:$O$116,15,0))</f>
        <v>0</v>
      </c>
      <c r="W1515" s="6">
        <f>IF(ISERROR(VLOOKUP($T$1515,'TAR FIN'!$A$1:$O$116,15,0)),0,VLOOKUP($T$1515,'TAR FIN'!$A$1:$O$116,15,0))</f>
        <v>441.63</v>
      </c>
      <c r="X1515" s="6">
        <f>IF(ISERROR(VLOOKUP($U$1515,'TAR FIN'!$A$1:$O$116,15,0)),0,VLOOKUP($U$1515,'TAR FIN'!$A$1:$O$116,15,0))</f>
        <v>273.72000000000003</v>
      </c>
      <c r="Y1515" s="6"/>
      <c r="Z1515" s="6">
        <f ca="1">('TUSD BE'!$AM$54+'TUSD BF'!$AM$54+'TUSD CVA'!$AM$54)*(1-CUSTOS!$M$38)</f>
        <v>583.48771702027136</v>
      </c>
      <c r="AA1515" s="6">
        <f>('TE BE'!$AB$25+'TE BF'!$AB$25+'TE CVA'!$AB$25)*(1-CUSTOS!$M$38)</f>
        <v>294.4353281211304</v>
      </c>
      <c r="AB1515" s="6">
        <f>$K$1515*$V$1515</f>
        <v>0</v>
      </c>
      <c r="AC1515" s="6">
        <f>$M$1515*$W$1515</f>
        <v>14.132160000000001</v>
      </c>
      <c r="AD1515" s="6">
        <f>$O$1515*$X$1515</f>
        <v>8.7590400000000006</v>
      </c>
      <c r="AE1515" s="6">
        <f>$K$1515*$Y$1515</f>
        <v>0</v>
      </c>
      <c r="AF1515" s="6">
        <f ca="1">$M$1515*$Z$1515</f>
        <v>18.671606944648683</v>
      </c>
      <c r="AG1515" s="6">
        <f>$O$1515*$AA$1515</f>
        <v>9.4219304998761721</v>
      </c>
    </row>
    <row r="1516" spans="1:33" ht="11.25" customHeight="1" x14ac:dyDescent="0.25">
      <c r="A1516" s="4" t="s">
        <v>21</v>
      </c>
      <c r="B1516" s="4" t="s">
        <v>44</v>
      </c>
      <c r="C1516" s="4" t="s">
        <v>33</v>
      </c>
      <c r="D1516" s="4" t="s">
        <v>45</v>
      </c>
      <c r="E1516" s="4" t="s">
        <v>25</v>
      </c>
      <c r="F1516" s="4" t="s">
        <v>25</v>
      </c>
      <c r="G1516" s="4" t="s">
        <v>25</v>
      </c>
      <c r="H1516" s="4" t="s">
        <v>36</v>
      </c>
      <c r="I1516" s="5">
        <v>44409</v>
      </c>
      <c r="J1516" s="6">
        <v>0</v>
      </c>
      <c r="K1516" s="6">
        <v>0</v>
      </c>
      <c r="L1516" s="6">
        <v>7.0000000000000001E-3</v>
      </c>
      <c r="M1516" s="6">
        <v>7.0000000000000001E-3</v>
      </c>
      <c r="N1516" s="6">
        <v>7.0000000000000001E-3</v>
      </c>
      <c r="O1516" s="6">
        <v>7.0000000000000001E-3</v>
      </c>
      <c r="P1516" s="6">
        <v>0</v>
      </c>
      <c r="Q1516" s="4" t="s">
        <v>26</v>
      </c>
      <c r="R1516" s="4">
        <v>0</v>
      </c>
      <c r="S1516" s="6">
        <v>0</v>
      </c>
      <c r="T1516" s="6">
        <v>52</v>
      </c>
      <c r="U1516" s="6">
        <v>95</v>
      </c>
      <c r="V1516" s="6">
        <f>IF(ISERROR(VLOOKUP($S$1516,'TAR FIN'!$A$1:$O$116,15,0)),0,VLOOKUP($S$1516,'TAR FIN'!$A$1:$O$116,15,0))</f>
        <v>0</v>
      </c>
      <c r="W1516" s="6">
        <f>IF(ISERROR(VLOOKUP($T$1516,'TAR FIN'!$A$1:$O$116,15,0)),0,VLOOKUP($T$1516,'TAR FIN'!$A$1:$O$116,15,0))</f>
        <v>441.63</v>
      </c>
      <c r="X1516" s="6">
        <f>IF(ISERROR(VLOOKUP($U$1516,'TAR FIN'!$A$1:$O$116,15,0)),0,VLOOKUP($U$1516,'TAR FIN'!$A$1:$O$116,15,0))</f>
        <v>273.72000000000003</v>
      </c>
      <c r="Y1516" s="6"/>
      <c r="Z1516" s="6">
        <f ca="1">('TUSD BE'!$AM$54+'TUSD BF'!$AM$54+'TUSD CVA'!$AM$54)*(1-CUSTOS!$M$38)</f>
        <v>583.48771702027136</v>
      </c>
      <c r="AA1516" s="6">
        <f>('TE BE'!$AB$25+'TE BF'!$AB$25+'TE CVA'!$AB$25)*(1-CUSTOS!$M$38)</f>
        <v>294.4353281211304</v>
      </c>
      <c r="AB1516" s="6">
        <f>$K$1516*$V$1516</f>
        <v>0</v>
      </c>
      <c r="AC1516" s="6">
        <f>$M$1516*$W$1516</f>
        <v>3.0914100000000002</v>
      </c>
      <c r="AD1516" s="6">
        <f>$O$1516*$X$1516</f>
        <v>1.9160400000000002</v>
      </c>
      <c r="AE1516" s="6">
        <f>$K$1516*$Y$1516</f>
        <v>0</v>
      </c>
      <c r="AF1516" s="6">
        <f ca="1">$M$1516*$Z$1516</f>
        <v>4.0844140191418994</v>
      </c>
      <c r="AG1516" s="6">
        <f>$O$1516*$AA$1516</f>
        <v>2.0610472968479128</v>
      </c>
    </row>
    <row r="1517" spans="1:33" ht="11.25" customHeight="1" x14ac:dyDescent="0.25">
      <c r="A1517" s="4" t="s">
        <v>21</v>
      </c>
      <c r="B1517" s="4" t="s">
        <v>44</v>
      </c>
      <c r="C1517" s="4" t="s">
        <v>33</v>
      </c>
      <c r="D1517" s="4" t="s">
        <v>45</v>
      </c>
      <c r="E1517" s="4" t="s">
        <v>25</v>
      </c>
      <c r="F1517" s="4" t="s">
        <v>25</v>
      </c>
      <c r="G1517" s="4" t="s">
        <v>25</v>
      </c>
      <c r="H1517" s="4" t="s">
        <v>36</v>
      </c>
      <c r="I1517" s="5">
        <v>44440</v>
      </c>
      <c r="J1517" s="6">
        <v>0</v>
      </c>
      <c r="K1517" s="6">
        <v>0</v>
      </c>
      <c r="L1517" s="6">
        <v>2.9000000000000001E-2</v>
      </c>
      <c r="M1517" s="6">
        <v>2.9000000000000001E-2</v>
      </c>
      <c r="N1517" s="6">
        <v>2.9000000000000001E-2</v>
      </c>
      <c r="O1517" s="6">
        <v>2.9000000000000001E-2</v>
      </c>
      <c r="P1517" s="6">
        <v>0</v>
      </c>
      <c r="Q1517" s="4" t="s">
        <v>26</v>
      </c>
      <c r="R1517" s="4">
        <v>0</v>
      </c>
      <c r="S1517" s="6">
        <v>0</v>
      </c>
      <c r="T1517" s="6">
        <v>52</v>
      </c>
      <c r="U1517" s="6">
        <v>95</v>
      </c>
      <c r="V1517" s="6">
        <f>IF(ISERROR(VLOOKUP($S$1517,'TAR FIN'!$A$1:$O$116,15,0)),0,VLOOKUP($S$1517,'TAR FIN'!$A$1:$O$116,15,0))</f>
        <v>0</v>
      </c>
      <c r="W1517" s="6">
        <f>IF(ISERROR(VLOOKUP($T$1517,'TAR FIN'!$A$1:$O$116,15,0)),0,VLOOKUP($T$1517,'TAR FIN'!$A$1:$O$116,15,0))</f>
        <v>441.63</v>
      </c>
      <c r="X1517" s="6">
        <f>IF(ISERROR(VLOOKUP($U$1517,'TAR FIN'!$A$1:$O$116,15,0)),0,VLOOKUP($U$1517,'TAR FIN'!$A$1:$O$116,15,0))</f>
        <v>273.72000000000003</v>
      </c>
      <c r="Y1517" s="6"/>
      <c r="Z1517" s="6">
        <f ca="1">('TUSD BE'!$AM$54+'TUSD BF'!$AM$54+'TUSD CVA'!$AM$54)*(1-CUSTOS!$M$38)</f>
        <v>583.48771702027136</v>
      </c>
      <c r="AA1517" s="6">
        <f>('TE BE'!$AB$25+'TE BF'!$AB$25+'TE CVA'!$AB$25)*(1-CUSTOS!$M$38)</f>
        <v>294.4353281211304</v>
      </c>
      <c r="AB1517" s="6">
        <f>$K$1517*$V$1517</f>
        <v>0</v>
      </c>
      <c r="AC1517" s="6">
        <f>$M$1517*$W$1517</f>
        <v>12.807270000000001</v>
      </c>
      <c r="AD1517" s="6">
        <f>$O$1517*$X$1517</f>
        <v>7.9378800000000016</v>
      </c>
      <c r="AE1517" s="6">
        <f>$K$1517*$Y$1517</f>
        <v>0</v>
      </c>
      <c r="AF1517" s="6">
        <f ca="1">$M$1517*$Z$1517</f>
        <v>16.92114379358787</v>
      </c>
      <c r="AG1517" s="6">
        <f>$O$1517*$AA$1517</f>
        <v>8.5386245155127813</v>
      </c>
    </row>
    <row r="1518" spans="1:33" ht="11.25" customHeight="1" x14ac:dyDescent="0.25">
      <c r="A1518" s="4" t="s">
        <v>21</v>
      </c>
      <c r="B1518" s="4" t="s">
        <v>44</v>
      </c>
      <c r="C1518" s="4" t="s">
        <v>33</v>
      </c>
      <c r="D1518" s="4" t="s">
        <v>45</v>
      </c>
      <c r="E1518" s="4" t="s">
        <v>25</v>
      </c>
      <c r="F1518" s="4" t="s">
        <v>25</v>
      </c>
      <c r="G1518" s="4" t="s">
        <v>25</v>
      </c>
      <c r="H1518" s="4" t="s">
        <v>36</v>
      </c>
      <c r="I1518" s="5">
        <v>44470</v>
      </c>
      <c r="J1518" s="6">
        <v>0</v>
      </c>
      <c r="K1518" s="6">
        <v>0</v>
      </c>
      <c r="L1518" s="6">
        <v>3.5000000000000003E-2</v>
      </c>
      <c r="M1518" s="6">
        <v>3.5000000000000003E-2</v>
      </c>
      <c r="N1518" s="6">
        <v>3.5000000000000003E-2</v>
      </c>
      <c r="O1518" s="6">
        <v>3.5000000000000003E-2</v>
      </c>
      <c r="P1518" s="6">
        <v>0</v>
      </c>
      <c r="Q1518" s="4" t="s">
        <v>26</v>
      </c>
      <c r="R1518" s="4">
        <v>0</v>
      </c>
      <c r="S1518" s="6">
        <v>0</v>
      </c>
      <c r="T1518" s="6">
        <v>52</v>
      </c>
      <c r="U1518" s="6">
        <v>95</v>
      </c>
      <c r="V1518" s="6">
        <f>IF(ISERROR(VLOOKUP($S$1518,'TAR FIN'!$A$1:$O$116,15,0)),0,VLOOKUP($S$1518,'TAR FIN'!$A$1:$O$116,15,0))</f>
        <v>0</v>
      </c>
      <c r="W1518" s="6">
        <f>IF(ISERROR(VLOOKUP($T$1518,'TAR FIN'!$A$1:$O$116,15,0)),0,VLOOKUP($T$1518,'TAR FIN'!$A$1:$O$116,15,0))</f>
        <v>441.63</v>
      </c>
      <c r="X1518" s="6">
        <f>IF(ISERROR(VLOOKUP($U$1518,'TAR FIN'!$A$1:$O$116,15,0)),0,VLOOKUP($U$1518,'TAR FIN'!$A$1:$O$116,15,0))</f>
        <v>273.72000000000003</v>
      </c>
      <c r="Y1518" s="6"/>
      <c r="Z1518" s="6">
        <f ca="1">('TUSD BE'!$AM$54+'TUSD BF'!$AM$54+'TUSD CVA'!$AM$54)*(1-CUSTOS!$M$38)</f>
        <v>583.48771702027136</v>
      </c>
      <c r="AA1518" s="6">
        <f>('TE BE'!$AB$25+'TE BF'!$AB$25+'TE CVA'!$AB$25)*(1-CUSTOS!$M$38)</f>
        <v>294.4353281211304</v>
      </c>
      <c r="AB1518" s="6">
        <f>$K$1518*$V$1518</f>
        <v>0</v>
      </c>
      <c r="AC1518" s="6">
        <f>$M$1518*$W$1518</f>
        <v>15.457050000000001</v>
      </c>
      <c r="AD1518" s="6">
        <f>$O$1518*$X$1518</f>
        <v>9.5802000000000014</v>
      </c>
      <c r="AE1518" s="6">
        <f>$K$1518*$Y$1518</f>
        <v>0</v>
      </c>
      <c r="AF1518" s="6">
        <f ca="1">$M$1518*$Z$1518</f>
        <v>20.4220700957095</v>
      </c>
      <c r="AG1518" s="6">
        <f>$O$1518*$AA$1518</f>
        <v>10.305236484239565</v>
      </c>
    </row>
    <row r="1519" spans="1:33" ht="11.25" customHeight="1" x14ac:dyDescent="0.25">
      <c r="A1519" s="4" t="s">
        <v>21</v>
      </c>
      <c r="B1519" s="4" t="s">
        <v>44</v>
      </c>
      <c r="C1519" s="4" t="s">
        <v>33</v>
      </c>
      <c r="D1519" s="4" t="s">
        <v>45</v>
      </c>
      <c r="E1519" s="4" t="s">
        <v>25</v>
      </c>
      <c r="F1519" s="4" t="s">
        <v>25</v>
      </c>
      <c r="G1519" s="4" t="s">
        <v>25</v>
      </c>
      <c r="H1519" s="4" t="s">
        <v>36</v>
      </c>
      <c r="I1519" s="5">
        <v>44501</v>
      </c>
      <c r="J1519" s="6">
        <v>0</v>
      </c>
      <c r="K1519" s="6">
        <v>0</v>
      </c>
      <c r="L1519" s="6">
        <v>7.0000000000000001E-3</v>
      </c>
      <c r="M1519" s="6">
        <v>7.0000000000000001E-3</v>
      </c>
      <c r="N1519" s="6">
        <v>7.0000000000000001E-3</v>
      </c>
      <c r="O1519" s="6">
        <v>7.0000000000000001E-3</v>
      </c>
      <c r="P1519" s="6">
        <v>0</v>
      </c>
      <c r="Q1519" s="4" t="s">
        <v>26</v>
      </c>
      <c r="R1519" s="4">
        <v>0</v>
      </c>
      <c r="S1519" s="6">
        <v>0</v>
      </c>
      <c r="T1519" s="6">
        <v>52</v>
      </c>
      <c r="U1519" s="6">
        <v>95</v>
      </c>
      <c r="V1519" s="6">
        <f>IF(ISERROR(VLOOKUP($S$1519,'TAR FIN'!$A$1:$O$116,15,0)),0,VLOOKUP($S$1519,'TAR FIN'!$A$1:$O$116,15,0))</f>
        <v>0</v>
      </c>
      <c r="W1519" s="6">
        <f>IF(ISERROR(VLOOKUP($T$1519,'TAR FIN'!$A$1:$O$116,15,0)),0,VLOOKUP($T$1519,'TAR FIN'!$A$1:$O$116,15,0))</f>
        <v>441.63</v>
      </c>
      <c r="X1519" s="6">
        <f>IF(ISERROR(VLOOKUP($U$1519,'TAR FIN'!$A$1:$O$116,15,0)),0,VLOOKUP($U$1519,'TAR FIN'!$A$1:$O$116,15,0))</f>
        <v>273.72000000000003</v>
      </c>
      <c r="Y1519" s="6"/>
      <c r="Z1519" s="6">
        <f ca="1">('TUSD BE'!$AM$54+'TUSD BF'!$AM$54+'TUSD CVA'!$AM$54)*(1-CUSTOS!$M$38)</f>
        <v>583.48771702027136</v>
      </c>
      <c r="AA1519" s="6">
        <f>('TE BE'!$AB$25+'TE BF'!$AB$25+'TE CVA'!$AB$25)*(1-CUSTOS!$M$38)</f>
        <v>294.4353281211304</v>
      </c>
      <c r="AB1519" s="6">
        <f>$K$1519*$V$1519</f>
        <v>0</v>
      </c>
      <c r="AC1519" s="6">
        <f>$M$1519*$W$1519</f>
        <v>3.0914100000000002</v>
      </c>
      <c r="AD1519" s="6">
        <f>$O$1519*$X$1519</f>
        <v>1.9160400000000002</v>
      </c>
      <c r="AE1519" s="6">
        <f>$K$1519*$Y$1519</f>
        <v>0</v>
      </c>
      <c r="AF1519" s="6">
        <f ca="1">$M$1519*$Z$1519</f>
        <v>4.0844140191418994</v>
      </c>
      <c r="AG1519" s="6">
        <f>$O$1519*$AA$1519</f>
        <v>2.0610472968479128</v>
      </c>
    </row>
    <row r="1520" spans="1:33" ht="11.25" customHeight="1" x14ac:dyDescent="0.25">
      <c r="A1520" s="4" t="s">
        <v>21</v>
      </c>
      <c r="B1520" s="4" t="s">
        <v>44</v>
      </c>
      <c r="C1520" s="4" t="s">
        <v>33</v>
      </c>
      <c r="D1520" s="4" t="s">
        <v>45</v>
      </c>
      <c r="E1520" s="4" t="s">
        <v>25</v>
      </c>
      <c r="F1520" s="4" t="s">
        <v>25</v>
      </c>
      <c r="G1520" s="4" t="s">
        <v>25</v>
      </c>
      <c r="H1520" s="4" t="s">
        <v>36</v>
      </c>
      <c r="I1520" s="5">
        <v>44531</v>
      </c>
      <c r="J1520" s="6">
        <v>0</v>
      </c>
      <c r="K1520" s="6">
        <v>0</v>
      </c>
      <c r="L1520" s="6">
        <v>0.01</v>
      </c>
      <c r="M1520" s="6">
        <v>0.01</v>
      </c>
      <c r="N1520" s="6">
        <v>0.01</v>
      </c>
      <c r="O1520" s="6">
        <v>0.01</v>
      </c>
      <c r="P1520" s="6">
        <v>0</v>
      </c>
      <c r="Q1520" s="4" t="s">
        <v>26</v>
      </c>
      <c r="R1520" s="4">
        <v>0</v>
      </c>
      <c r="S1520" s="6">
        <v>0</v>
      </c>
      <c r="T1520" s="6">
        <v>52</v>
      </c>
      <c r="U1520" s="6">
        <v>95</v>
      </c>
      <c r="V1520" s="6">
        <f>IF(ISERROR(VLOOKUP($S$1520,'TAR FIN'!$A$1:$O$116,15,0)),0,VLOOKUP($S$1520,'TAR FIN'!$A$1:$O$116,15,0))</f>
        <v>0</v>
      </c>
      <c r="W1520" s="6">
        <f>IF(ISERROR(VLOOKUP($T$1520,'TAR FIN'!$A$1:$O$116,15,0)),0,VLOOKUP($T$1520,'TAR FIN'!$A$1:$O$116,15,0))</f>
        <v>441.63</v>
      </c>
      <c r="X1520" s="6">
        <f>IF(ISERROR(VLOOKUP($U$1520,'TAR FIN'!$A$1:$O$116,15,0)),0,VLOOKUP($U$1520,'TAR FIN'!$A$1:$O$116,15,0))</f>
        <v>273.72000000000003</v>
      </c>
      <c r="Y1520" s="6"/>
      <c r="Z1520" s="6">
        <f ca="1">('TUSD BE'!$AM$54+'TUSD BF'!$AM$54+'TUSD CVA'!$AM$54)*(1-CUSTOS!$M$38)</f>
        <v>583.48771702027136</v>
      </c>
      <c r="AA1520" s="6">
        <f>('TE BE'!$AB$25+'TE BF'!$AB$25+'TE CVA'!$AB$25)*(1-CUSTOS!$M$38)</f>
        <v>294.4353281211304</v>
      </c>
      <c r="AB1520" s="6">
        <f>$K$1520*$V$1520</f>
        <v>0</v>
      </c>
      <c r="AC1520" s="6">
        <f>$M$1520*$W$1520</f>
        <v>4.4162999999999997</v>
      </c>
      <c r="AD1520" s="6">
        <f>$O$1520*$X$1520</f>
        <v>2.7372000000000005</v>
      </c>
      <c r="AE1520" s="6">
        <f>$K$1520*$Y$1520</f>
        <v>0</v>
      </c>
      <c r="AF1520" s="6">
        <f ca="1">$M$1520*$Z$1520</f>
        <v>5.8348771702027138</v>
      </c>
      <c r="AG1520" s="6">
        <f>$O$1520*$AA$1520</f>
        <v>2.944353281211304</v>
      </c>
    </row>
    <row r="1521" spans="1:33" ht="11.25" customHeight="1" x14ac:dyDescent="0.25">
      <c r="A1521" s="4" t="s">
        <v>21</v>
      </c>
      <c r="B1521" s="4" t="s">
        <v>44</v>
      </c>
      <c r="C1521" s="4" t="s">
        <v>33</v>
      </c>
      <c r="D1521" s="4" t="s">
        <v>45</v>
      </c>
      <c r="E1521" s="4" t="s">
        <v>25</v>
      </c>
      <c r="F1521" s="4" t="s">
        <v>25</v>
      </c>
      <c r="G1521" s="4" t="s">
        <v>25</v>
      </c>
      <c r="H1521" s="4" t="s">
        <v>36</v>
      </c>
      <c r="I1521" s="5">
        <v>44562</v>
      </c>
      <c r="J1521" s="6">
        <v>0</v>
      </c>
      <c r="K1521" s="6">
        <v>0</v>
      </c>
      <c r="L1521" s="6">
        <v>2.5999999999999999E-2</v>
      </c>
      <c r="M1521" s="6">
        <v>2.5999999999999999E-2</v>
      </c>
      <c r="N1521" s="6">
        <v>2.5999999999999999E-2</v>
      </c>
      <c r="O1521" s="6">
        <v>2.5999999999999999E-2</v>
      </c>
      <c r="P1521" s="6">
        <v>0</v>
      </c>
      <c r="Q1521" s="4" t="s">
        <v>26</v>
      </c>
      <c r="R1521" s="4">
        <v>0</v>
      </c>
      <c r="S1521" s="6">
        <v>0</v>
      </c>
      <c r="T1521" s="6">
        <v>52</v>
      </c>
      <c r="U1521" s="6">
        <v>95</v>
      </c>
      <c r="V1521" s="6">
        <f>IF(ISERROR(VLOOKUP($S$1521,'TAR FIN'!$A$1:$O$116,15,0)),0,VLOOKUP($S$1521,'TAR FIN'!$A$1:$O$116,15,0))</f>
        <v>0</v>
      </c>
      <c r="W1521" s="6">
        <f>IF(ISERROR(VLOOKUP($T$1521,'TAR FIN'!$A$1:$O$116,15,0)),0,VLOOKUP($T$1521,'TAR FIN'!$A$1:$O$116,15,0))</f>
        <v>441.63</v>
      </c>
      <c r="X1521" s="6">
        <f>IF(ISERROR(VLOOKUP($U$1521,'TAR FIN'!$A$1:$O$116,15,0)),0,VLOOKUP($U$1521,'TAR FIN'!$A$1:$O$116,15,0))</f>
        <v>273.72000000000003</v>
      </c>
      <c r="Y1521" s="6"/>
      <c r="Z1521" s="6">
        <f ca="1">('TUSD BE'!$AM$54+'TUSD BF'!$AM$54+'TUSD CVA'!$AM$54)*(1-CUSTOS!$M$38)</f>
        <v>583.48771702027136</v>
      </c>
      <c r="AA1521" s="6">
        <f>('TE BE'!$AB$25+'TE BF'!$AB$25+'TE CVA'!$AB$25)*(1-CUSTOS!$M$38)</f>
        <v>294.4353281211304</v>
      </c>
      <c r="AB1521" s="6">
        <f>$K$1521*$V$1521</f>
        <v>0</v>
      </c>
      <c r="AC1521" s="6">
        <f>$M$1521*$W$1521</f>
        <v>11.482379999999999</v>
      </c>
      <c r="AD1521" s="6">
        <f>$O$1521*$X$1521</f>
        <v>7.1167200000000008</v>
      </c>
      <c r="AE1521" s="6">
        <f>$K$1521*$Y$1521</f>
        <v>0</v>
      </c>
      <c r="AF1521" s="6">
        <f ca="1">$M$1521*$Z$1521</f>
        <v>15.170680642527055</v>
      </c>
      <c r="AG1521" s="6">
        <f>$O$1521*$AA$1521</f>
        <v>7.6553185311493896</v>
      </c>
    </row>
    <row r="1522" spans="1:33" ht="11.25" customHeight="1" x14ac:dyDescent="0.25">
      <c r="A1522" s="4" t="s">
        <v>27</v>
      </c>
      <c r="B1522" s="4" t="s">
        <v>44</v>
      </c>
      <c r="C1522" s="4" t="s">
        <v>33</v>
      </c>
      <c r="D1522" s="4" t="s">
        <v>45</v>
      </c>
      <c r="E1522" s="4" t="s">
        <v>25</v>
      </c>
      <c r="F1522" s="4" t="s">
        <v>25</v>
      </c>
      <c r="G1522" s="4" t="s">
        <v>25</v>
      </c>
      <c r="H1522" s="4" t="s">
        <v>36</v>
      </c>
      <c r="I1522" s="5">
        <v>44562</v>
      </c>
      <c r="J1522" s="6">
        <v>0</v>
      </c>
      <c r="K1522" s="6">
        <v>0</v>
      </c>
      <c r="L1522" s="6">
        <v>0.04</v>
      </c>
      <c r="M1522" s="6">
        <v>0.04</v>
      </c>
      <c r="N1522" s="6">
        <v>0.04</v>
      </c>
      <c r="O1522" s="6">
        <v>0.04</v>
      </c>
      <c r="P1522" s="6">
        <v>0</v>
      </c>
      <c r="Q1522" s="4" t="s">
        <v>26</v>
      </c>
      <c r="R1522" s="4">
        <v>0</v>
      </c>
      <c r="S1522" s="6">
        <v>0</v>
      </c>
      <c r="T1522" s="6">
        <v>52</v>
      </c>
      <c r="U1522" s="6">
        <v>95</v>
      </c>
      <c r="V1522" s="6">
        <f>IF(ISERROR(VLOOKUP($S$1522,'TAR FIN'!$A$1:$O$116,15,0)),0,VLOOKUP($S$1522,'TAR FIN'!$A$1:$O$116,15,0))</f>
        <v>0</v>
      </c>
      <c r="W1522" s="6">
        <f>IF(ISERROR(VLOOKUP($T$1522,'TAR FIN'!$A$1:$O$116,15,0)),0,VLOOKUP($T$1522,'TAR FIN'!$A$1:$O$116,15,0))</f>
        <v>441.63</v>
      </c>
      <c r="X1522" s="6">
        <f>IF(ISERROR(VLOOKUP($U$1522,'TAR FIN'!$A$1:$O$116,15,0)),0,VLOOKUP($U$1522,'TAR FIN'!$A$1:$O$116,15,0))</f>
        <v>273.72000000000003</v>
      </c>
      <c r="Y1522" s="6"/>
      <c r="Z1522" s="6">
        <f ca="1">('TUSD BE'!$AM$54+'TUSD BF'!$AM$54+'TUSD CVA'!$AM$54)*(1-CUSTOS!$M$38)</f>
        <v>583.48771702027136</v>
      </c>
      <c r="AA1522" s="6">
        <f>('TE BE'!$AB$25+'TE BF'!$AB$25+'TE CVA'!$AB$25)*(1-CUSTOS!$M$38)</f>
        <v>294.4353281211304</v>
      </c>
      <c r="AB1522" s="6">
        <f>$K$1522*$V$1522</f>
        <v>0</v>
      </c>
      <c r="AC1522" s="6">
        <f>$M$1522*$W$1522</f>
        <v>17.665199999999999</v>
      </c>
      <c r="AD1522" s="6">
        <f>$O$1522*$X$1522</f>
        <v>10.948800000000002</v>
      </c>
      <c r="AE1522" s="6">
        <f>$K$1522*$Y$1522</f>
        <v>0</v>
      </c>
      <c r="AF1522" s="6">
        <f ca="1">$M$1522*$Z$1522</f>
        <v>23.339508680810855</v>
      </c>
      <c r="AG1522" s="6">
        <f>$O$1522*$AA$1522</f>
        <v>11.777413124845216</v>
      </c>
    </row>
    <row r="1523" spans="1:33" ht="11.25" customHeight="1" x14ac:dyDescent="0.25">
      <c r="A1523" s="4" t="s">
        <v>21</v>
      </c>
      <c r="B1523" s="4" t="s">
        <v>44</v>
      </c>
      <c r="C1523" s="4" t="s">
        <v>33</v>
      </c>
      <c r="D1523" s="4" t="s">
        <v>45</v>
      </c>
      <c r="E1523" s="4" t="s">
        <v>25</v>
      </c>
      <c r="F1523" s="4" t="s">
        <v>25</v>
      </c>
      <c r="G1523" s="4" t="s">
        <v>25</v>
      </c>
      <c r="H1523" s="4" t="s">
        <v>36</v>
      </c>
      <c r="I1523" s="5">
        <v>44593</v>
      </c>
      <c r="J1523" s="6">
        <v>0</v>
      </c>
      <c r="K1523" s="6">
        <v>0</v>
      </c>
      <c r="L1523" s="6">
        <v>1.4E-2</v>
      </c>
      <c r="M1523" s="6">
        <v>1.4E-2</v>
      </c>
      <c r="N1523" s="6">
        <v>1.4E-2</v>
      </c>
      <c r="O1523" s="6">
        <v>1.4E-2</v>
      </c>
      <c r="P1523" s="6">
        <v>0</v>
      </c>
      <c r="Q1523" s="4" t="s">
        <v>26</v>
      </c>
      <c r="R1523" s="4">
        <v>0</v>
      </c>
      <c r="S1523" s="6">
        <v>0</v>
      </c>
      <c r="T1523" s="6">
        <v>52</v>
      </c>
      <c r="U1523" s="6">
        <v>95</v>
      </c>
      <c r="V1523" s="6">
        <f>IF(ISERROR(VLOOKUP($S$1523,'TAR FIN'!$A$1:$O$116,15,0)),0,VLOOKUP($S$1523,'TAR FIN'!$A$1:$O$116,15,0))</f>
        <v>0</v>
      </c>
      <c r="W1523" s="6">
        <f>IF(ISERROR(VLOOKUP($T$1523,'TAR FIN'!$A$1:$O$116,15,0)),0,VLOOKUP($T$1523,'TAR FIN'!$A$1:$O$116,15,0))</f>
        <v>441.63</v>
      </c>
      <c r="X1523" s="6">
        <f>IF(ISERROR(VLOOKUP($U$1523,'TAR FIN'!$A$1:$O$116,15,0)),0,VLOOKUP($U$1523,'TAR FIN'!$A$1:$O$116,15,0))</f>
        <v>273.72000000000003</v>
      </c>
      <c r="Y1523" s="6"/>
      <c r="Z1523" s="6">
        <f ca="1">('TUSD BE'!$AM$54+'TUSD BF'!$AM$54+'TUSD CVA'!$AM$54)*(1-CUSTOS!$M$38)</f>
        <v>583.48771702027136</v>
      </c>
      <c r="AA1523" s="6">
        <f>('TE BE'!$AB$25+'TE BF'!$AB$25+'TE CVA'!$AB$25)*(1-CUSTOS!$M$38)</f>
        <v>294.4353281211304</v>
      </c>
      <c r="AB1523" s="6">
        <f>$K$1523*$V$1523</f>
        <v>0</v>
      </c>
      <c r="AC1523" s="6">
        <f>$M$1523*$W$1523</f>
        <v>6.1828200000000004</v>
      </c>
      <c r="AD1523" s="6">
        <f>$O$1523*$X$1523</f>
        <v>3.8320800000000004</v>
      </c>
      <c r="AE1523" s="6">
        <f>$K$1523*$Y$1523</f>
        <v>0</v>
      </c>
      <c r="AF1523" s="6">
        <f ca="1">$M$1523*$Z$1523</f>
        <v>8.1688280382837988</v>
      </c>
      <c r="AG1523" s="6">
        <f>$O$1523*$AA$1523</f>
        <v>4.1220945936958255</v>
      </c>
    </row>
    <row r="1524" spans="1:33" ht="11.25" customHeight="1" x14ac:dyDescent="0.25">
      <c r="A1524" s="4" t="s">
        <v>21</v>
      </c>
      <c r="B1524" s="4" t="s">
        <v>44</v>
      </c>
      <c r="C1524" s="4" t="s">
        <v>33</v>
      </c>
      <c r="D1524" s="4" t="s">
        <v>45</v>
      </c>
      <c r="E1524" s="4" t="s">
        <v>25</v>
      </c>
      <c r="F1524" s="4" t="s">
        <v>25</v>
      </c>
      <c r="G1524" s="4" t="s">
        <v>25</v>
      </c>
      <c r="H1524" s="4" t="s">
        <v>36</v>
      </c>
      <c r="I1524" s="5">
        <v>44621</v>
      </c>
      <c r="J1524" s="6">
        <v>0</v>
      </c>
      <c r="K1524" s="6">
        <v>0</v>
      </c>
      <c r="L1524" s="6">
        <v>2.3E-2</v>
      </c>
      <c r="M1524" s="6">
        <v>2.3E-2</v>
      </c>
      <c r="N1524" s="6">
        <v>2.3E-2</v>
      </c>
      <c r="O1524" s="6">
        <v>2.3E-2</v>
      </c>
      <c r="P1524" s="6">
        <v>0</v>
      </c>
      <c r="Q1524" s="4" t="s">
        <v>26</v>
      </c>
      <c r="R1524" s="4">
        <v>0</v>
      </c>
      <c r="S1524" s="6">
        <v>0</v>
      </c>
      <c r="T1524" s="6">
        <v>52</v>
      </c>
      <c r="U1524" s="6">
        <v>95</v>
      </c>
      <c r="V1524" s="6">
        <f>IF(ISERROR(VLOOKUP($S$1524,'TAR FIN'!$A$1:$O$116,15,0)),0,VLOOKUP($S$1524,'TAR FIN'!$A$1:$O$116,15,0))</f>
        <v>0</v>
      </c>
      <c r="W1524" s="6">
        <f>IF(ISERROR(VLOOKUP($T$1524,'TAR FIN'!$A$1:$O$116,15,0)),0,VLOOKUP($T$1524,'TAR FIN'!$A$1:$O$116,15,0))</f>
        <v>441.63</v>
      </c>
      <c r="X1524" s="6">
        <f>IF(ISERROR(VLOOKUP($U$1524,'TAR FIN'!$A$1:$O$116,15,0)),0,VLOOKUP($U$1524,'TAR FIN'!$A$1:$O$116,15,0))</f>
        <v>273.72000000000003</v>
      </c>
      <c r="Y1524" s="6"/>
      <c r="Z1524" s="6">
        <f ca="1">('TUSD BE'!$AM$54+'TUSD BF'!$AM$54+'TUSD CVA'!$AM$54)*(1-CUSTOS!$M$38)</f>
        <v>583.48771702027136</v>
      </c>
      <c r="AA1524" s="6">
        <f>('TE BE'!$AB$25+'TE BF'!$AB$25+'TE CVA'!$AB$25)*(1-CUSTOS!$M$38)</f>
        <v>294.4353281211304</v>
      </c>
      <c r="AB1524" s="6">
        <f>$K$1524*$V$1524</f>
        <v>0</v>
      </c>
      <c r="AC1524" s="6">
        <f>$M$1524*$W$1524</f>
        <v>10.157489999999999</v>
      </c>
      <c r="AD1524" s="6">
        <f>$O$1524*$X$1524</f>
        <v>6.2955600000000009</v>
      </c>
      <c r="AE1524" s="6">
        <f>$K$1524*$Y$1524</f>
        <v>0</v>
      </c>
      <c r="AF1524" s="6">
        <f ca="1">$M$1524*$Z$1524</f>
        <v>13.420217491466241</v>
      </c>
      <c r="AG1524" s="6">
        <f>$O$1524*$AA$1524</f>
        <v>6.7720125467859988</v>
      </c>
    </row>
    <row r="1525" spans="1:33" ht="11.25" customHeight="1" x14ac:dyDescent="0.25">
      <c r="A1525" s="4" t="s">
        <v>21</v>
      </c>
      <c r="B1525" s="4" t="s">
        <v>44</v>
      </c>
      <c r="C1525" s="4" t="s">
        <v>33</v>
      </c>
      <c r="D1525" s="4" t="s">
        <v>45</v>
      </c>
      <c r="E1525" s="4" t="s">
        <v>25</v>
      </c>
      <c r="F1525" s="4" t="s">
        <v>25</v>
      </c>
      <c r="G1525" s="4" t="s">
        <v>25</v>
      </c>
      <c r="H1525" s="4" t="s">
        <v>36</v>
      </c>
      <c r="I1525" s="5">
        <v>44652</v>
      </c>
      <c r="J1525" s="6">
        <v>0</v>
      </c>
      <c r="K1525" s="6">
        <v>0</v>
      </c>
      <c r="L1525" s="6">
        <v>2.5000000000000001E-2</v>
      </c>
      <c r="M1525" s="6">
        <v>2.5000000000000001E-2</v>
      </c>
      <c r="N1525" s="6">
        <v>2.5000000000000001E-2</v>
      </c>
      <c r="O1525" s="6">
        <v>2.5000000000000001E-2</v>
      </c>
      <c r="P1525" s="6">
        <v>0</v>
      </c>
      <c r="Q1525" s="4" t="s">
        <v>26</v>
      </c>
      <c r="R1525" s="4">
        <v>0</v>
      </c>
      <c r="S1525" s="6">
        <v>0</v>
      </c>
      <c r="T1525" s="6">
        <v>52</v>
      </c>
      <c r="U1525" s="6">
        <v>95</v>
      </c>
      <c r="V1525" s="6">
        <f>IF(ISERROR(VLOOKUP($S$1525,'TAR FIN'!$A$1:$O$116,15,0)),0,VLOOKUP($S$1525,'TAR FIN'!$A$1:$O$116,15,0))</f>
        <v>0</v>
      </c>
      <c r="W1525" s="6">
        <f>IF(ISERROR(VLOOKUP($T$1525,'TAR FIN'!$A$1:$O$116,15,0)),0,VLOOKUP($T$1525,'TAR FIN'!$A$1:$O$116,15,0))</f>
        <v>441.63</v>
      </c>
      <c r="X1525" s="6">
        <f>IF(ISERROR(VLOOKUP($U$1525,'TAR FIN'!$A$1:$O$116,15,0)),0,VLOOKUP($U$1525,'TAR FIN'!$A$1:$O$116,15,0))</f>
        <v>273.72000000000003</v>
      </c>
      <c r="Y1525" s="6"/>
      <c r="Z1525" s="6">
        <f ca="1">('TUSD BE'!$AM$54+'TUSD BF'!$AM$54+'TUSD CVA'!$AM$54)*(1-CUSTOS!$M$38)</f>
        <v>583.48771702027136</v>
      </c>
      <c r="AA1525" s="6">
        <f>('TE BE'!$AB$25+'TE BF'!$AB$25+'TE CVA'!$AB$25)*(1-CUSTOS!$M$38)</f>
        <v>294.4353281211304</v>
      </c>
      <c r="AB1525" s="6">
        <f>$K$1525*$V$1525</f>
        <v>0</v>
      </c>
      <c r="AC1525" s="6">
        <f>$M$1525*$W$1525</f>
        <v>11.040750000000001</v>
      </c>
      <c r="AD1525" s="6">
        <f>$O$1525*$X$1525</f>
        <v>6.8430000000000009</v>
      </c>
      <c r="AE1525" s="6">
        <f>$K$1525*$Y$1525</f>
        <v>0</v>
      </c>
      <c r="AF1525" s="6">
        <f ca="1">$M$1525*$Z$1525</f>
        <v>14.587192925506784</v>
      </c>
      <c r="AG1525" s="6">
        <f>$O$1525*$AA$1525</f>
        <v>7.3608832030282603</v>
      </c>
    </row>
    <row r="1526" spans="1:33" ht="11.25" customHeight="1" x14ac:dyDescent="0.25">
      <c r="A1526" s="4" t="s">
        <v>58</v>
      </c>
      <c r="B1526" s="4" t="s">
        <v>44</v>
      </c>
      <c r="C1526" s="4" t="s">
        <v>33</v>
      </c>
      <c r="D1526" s="4" t="s">
        <v>45</v>
      </c>
      <c r="E1526" s="4" t="s">
        <v>25</v>
      </c>
      <c r="F1526" s="4" t="s">
        <v>25</v>
      </c>
      <c r="G1526" s="4" t="s">
        <v>25</v>
      </c>
      <c r="H1526" s="4" t="s">
        <v>36</v>
      </c>
      <c r="I1526" s="5">
        <v>44682</v>
      </c>
      <c r="J1526" s="6">
        <v>0</v>
      </c>
      <c r="K1526" s="6">
        <v>0</v>
      </c>
      <c r="L1526" s="6">
        <v>2.5000000000000001E-2</v>
      </c>
      <c r="M1526" s="6">
        <v>2.5000000000000001E-2</v>
      </c>
      <c r="N1526" s="6">
        <v>2.5000000000000001E-2</v>
      </c>
      <c r="O1526" s="6">
        <v>2.5000000000000001E-2</v>
      </c>
      <c r="P1526" s="6">
        <v>0</v>
      </c>
      <c r="Q1526" s="4" t="s">
        <v>26</v>
      </c>
      <c r="R1526" s="4">
        <v>0</v>
      </c>
      <c r="S1526" s="6">
        <v>0</v>
      </c>
      <c r="T1526" s="6">
        <v>52</v>
      </c>
      <c r="U1526" s="6">
        <v>95</v>
      </c>
      <c r="V1526" s="6">
        <f>IF(ISERROR(VLOOKUP($S$1526,'TAR FIN'!$A$1:$O$116,15,0)),0,VLOOKUP($S$1526,'TAR FIN'!$A$1:$O$116,15,0))</f>
        <v>0</v>
      </c>
      <c r="W1526" s="6">
        <f>IF(ISERROR(VLOOKUP($T$1526,'TAR FIN'!$A$1:$O$116,15,0)),0,VLOOKUP($T$1526,'TAR FIN'!$A$1:$O$116,15,0))</f>
        <v>441.63</v>
      </c>
      <c r="X1526" s="6">
        <f>IF(ISERROR(VLOOKUP($U$1526,'TAR FIN'!$A$1:$O$116,15,0)),0,VLOOKUP($U$1526,'TAR FIN'!$A$1:$O$116,15,0))</f>
        <v>273.72000000000003</v>
      </c>
      <c r="Y1526" s="6"/>
      <c r="Z1526" s="6">
        <f ca="1">('TUSD BE'!$AM$54+'TUSD BF'!$AM$54+'TUSD CVA'!$AM$54)*(1-CUSTOS!$M$38)</f>
        <v>583.48771702027136</v>
      </c>
      <c r="AA1526" s="6">
        <f>('TE BE'!$AB$25+'TE BF'!$AB$25+'TE CVA'!$AB$25)*(1-CUSTOS!$M$38)</f>
        <v>294.4353281211304</v>
      </c>
      <c r="AB1526" s="6">
        <f>$K$1526*$V$1526</f>
        <v>0</v>
      </c>
      <c r="AC1526" s="6">
        <f>$M$1526*$W$1526</f>
        <v>11.040750000000001</v>
      </c>
      <c r="AD1526" s="6">
        <f>$O$1526*$X$1526</f>
        <v>6.8430000000000009</v>
      </c>
      <c r="AE1526" s="6">
        <f>$K$1526*$Y$1526</f>
        <v>0</v>
      </c>
      <c r="AF1526" s="6">
        <f ca="1">$M$1526*$Z$1526</f>
        <v>14.587192925506784</v>
      </c>
      <c r="AG1526" s="6">
        <f>$O$1526*$AA$1526</f>
        <v>7.3608832030282603</v>
      </c>
    </row>
    <row r="1527" spans="1:33" ht="11.25" customHeight="1" x14ac:dyDescent="0.25">
      <c r="A1527" s="4" t="s">
        <v>21</v>
      </c>
      <c r="B1527" s="4" t="s">
        <v>44</v>
      </c>
      <c r="C1527" s="4" t="s">
        <v>33</v>
      </c>
      <c r="D1527" s="4" t="s">
        <v>45</v>
      </c>
      <c r="E1527" s="4" t="s">
        <v>25</v>
      </c>
      <c r="F1527" s="4" t="s">
        <v>25</v>
      </c>
      <c r="G1527" s="4" t="s">
        <v>25</v>
      </c>
      <c r="H1527" s="4" t="s">
        <v>34</v>
      </c>
      <c r="I1527" s="5">
        <v>44378</v>
      </c>
      <c r="J1527" s="6">
        <v>0</v>
      </c>
      <c r="K1527" s="6">
        <v>0</v>
      </c>
      <c r="L1527" s="6">
        <v>0.06</v>
      </c>
      <c r="M1527" s="6">
        <v>0.06</v>
      </c>
      <c r="N1527" s="6">
        <v>0.06</v>
      </c>
      <c r="O1527" s="6">
        <v>0.06</v>
      </c>
      <c r="P1527" s="6">
        <v>0</v>
      </c>
      <c r="Q1527" s="4" t="s">
        <v>26</v>
      </c>
      <c r="R1527" s="4">
        <v>0</v>
      </c>
      <c r="S1527" s="6">
        <v>0</v>
      </c>
      <c r="T1527" s="6">
        <v>51</v>
      </c>
      <c r="U1527" s="6">
        <v>94</v>
      </c>
      <c r="V1527" s="6">
        <f>IF(ISERROR(VLOOKUP($S$1527,'TAR FIN'!$A$1:$O$116,15,0)),0,VLOOKUP($S$1527,'TAR FIN'!$A$1:$O$116,15,0))</f>
        <v>0</v>
      </c>
      <c r="W1527" s="6">
        <f>IF(ISERROR(VLOOKUP($T$1527,'TAR FIN'!$A$1:$O$116,15,0)),0,VLOOKUP($T$1527,'TAR FIN'!$A$1:$O$116,15,0))</f>
        <v>666.8</v>
      </c>
      <c r="X1527" s="6">
        <f>IF(ISERROR(VLOOKUP($U$1527,'TAR FIN'!$A$1:$O$116,15,0)),0,VLOOKUP($U$1527,'TAR FIN'!$A$1:$O$116,15,0))</f>
        <v>436.61</v>
      </c>
      <c r="Y1527" s="6"/>
      <c r="Z1527" s="6">
        <f ca="1">('TUSD BE'!$AM$53+'TUSD BF'!$AM$53+'TUSD CVA'!$AM$53)*(1-CUSTOS!$M$38)</f>
        <v>861.11782756949015</v>
      </c>
      <c r="AA1527" s="6">
        <f>('TE BE'!$AB$24+'TE BF'!$AB$24+'TE CVA'!$AB$24)*(1-CUSTOS!$M$38)</f>
        <v>479.44693731342215</v>
      </c>
      <c r="AB1527" s="6">
        <f>$K$1527*$V$1527</f>
        <v>0</v>
      </c>
      <c r="AC1527" s="6">
        <f>$M$1527*$W$1527</f>
        <v>40.007999999999996</v>
      </c>
      <c r="AD1527" s="6">
        <f>$O$1527*$X$1527</f>
        <v>26.1966</v>
      </c>
      <c r="AE1527" s="6">
        <f>$K$1527*$Y$1527</f>
        <v>0</v>
      </c>
      <c r="AF1527" s="6">
        <f ca="1">$M$1527*$Z$1527</f>
        <v>51.66706965416941</v>
      </c>
      <c r="AG1527" s="6">
        <f>$O$1527*$AA$1527</f>
        <v>28.76681623880533</v>
      </c>
    </row>
    <row r="1528" spans="1:33" ht="11.25" customHeight="1" x14ac:dyDescent="0.25">
      <c r="A1528" s="4" t="s">
        <v>21</v>
      </c>
      <c r="B1528" s="4" t="s">
        <v>44</v>
      </c>
      <c r="C1528" s="4" t="s">
        <v>33</v>
      </c>
      <c r="D1528" s="4" t="s">
        <v>45</v>
      </c>
      <c r="E1528" s="4" t="s">
        <v>25</v>
      </c>
      <c r="F1528" s="4" t="s">
        <v>25</v>
      </c>
      <c r="G1528" s="4" t="s">
        <v>25</v>
      </c>
      <c r="H1528" s="4" t="s">
        <v>34</v>
      </c>
      <c r="I1528" s="5">
        <v>44409</v>
      </c>
      <c r="J1528" s="6">
        <v>0</v>
      </c>
      <c r="K1528" s="6">
        <v>0</v>
      </c>
      <c r="L1528" s="6">
        <v>1.4999999999999999E-2</v>
      </c>
      <c r="M1528" s="6">
        <v>1.4999999999999999E-2</v>
      </c>
      <c r="N1528" s="6">
        <v>1.4999999999999999E-2</v>
      </c>
      <c r="O1528" s="6">
        <v>1.4999999999999999E-2</v>
      </c>
      <c r="P1528" s="6">
        <v>0</v>
      </c>
      <c r="Q1528" s="4" t="s">
        <v>26</v>
      </c>
      <c r="R1528" s="4">
        <v>0</v>
      </c>
      <c r="S1528" s="6">
        <v>0</v>
      </c>
      <c r="T1528" s="6">
        <v>51</v>
      </c>
      <c r="U1528" s="6">
        <v>94</v>
      </c>
      <c r="V1528" s="6">
        <f>IF(ISERROR(VLOOKUP($S$1528,'TAR FIN'!$A$1:$O$116,15,0)),0,VLOOKUP($S$1528,'TAR FIN'!$A$1:$O$116,15,0))</f>
        <v>0</v>
      </c>
      <c r="W1528" s="6">
        <f>IF(ISERROR(VLOOKUP($T$1528,'TAR FIN'!$A$1:$O$116,15,0)),0,VLOOKUP($T$1528,'TAR FIN'!$A$1:$O$116,15,0))</f>
        <v>666.8</v>
      </c>
      <c r="X1528" s="6">
        <f>IF(ISERROR(VLOOKUP($U$1528,'TAR FIN'!$A$1:$O$116,15,0)),0,VLOOKUP($U$1528,'TAR FIN'!$A$1:$O$116,15,0))</f>
        <v>436.61</v>
      </c>
      <c r="Y1528" s="6"/>
      <c r="Z1528" s="6">
        <f ca="1">('TUSD BE'!$AM$53+'TUSD BF'!$AM$53+'TUSD CVA'!$AM$53)*(1-CUSTOS!$M$38)</f>
        <v>861.11782756949015</v>
      </c>
      <c r="AA1528" s="6">
        <f>('TE BE'!$AB$24+'TE BF'!$AB$24+'TE CVA'!$AB$24)*(1-CUSTOS!$M$38)</f>
        <v>479.44693731342215</v>
      </c>
      <c r="AB1528" s="6">
        <f>$K$1528*$V$1528</f>
        <v>0</v>
      </c>
      <c r="AC1528" s="6">
        <f>$M$1528*$W$1528</f>
        <v>10.001999999999999</v>
      </c>
      <c r="AD1528" s="6">
        <f>$O$1528*$X$1528</f>
        <v>6.54915</v>
      </c>
      <c r="AE1528" s="6">
        <f>$K$1528*$Y$1528</f>
        <v>0</v>
      </c>
      <c r="AF1528" s="6">
        <f ca="1">$M$1528*$Z$1528</f>
        <v>12.916767413542352</v>
      </c>
      <c r="AG1528" s="6">
        <f>$O$1528*$AA$1528</f>
        <v>7.1917040597013324</v>
      </c>
    </row>
    <row r="1529" spans="1:33" ht="11.25" customHeight="1" x14ac:dyDescent="0.25">
      <c r="A1529" s="4" t="s">
        <v>21</v>
      </c>
      <c r="B1529" s="4" t="s">
        <v>44</v>
      </c>
      <c r="C1529" s="4" t="s">
        <v>33</v>
      </c>
      <c r="D1529" s="4" t="s">
        <v>45</v>
      </c>
      <c r="E1529" s="4" t="s">
        <v>25</v>
      </c>
      <c r="F1529" s="4" t="s">
        <v>25</v>
      </c>
      <c r="G1529" s="4" t="s">
        <v>25</v>
      </c>
      <c r="H1529" s="4" t="s">
        <v>34</v>
      </c>
      <c r="I1529" s="5">
        <v>44440</v>
      </c>
      <c r="J1529" s="6">
        <v>0</v>
      </c>
      <c r="K1529" s="6">
        <v>0</v>
      </c>
      <c r="L1529" s="6">
        <v>5.3999999999999999E-2</v>
      </c>
      <c r="M1529" s="6">
        <v>5.3999999999999999E-2</v>
      </c>
      <c r="N1529" s="6">
        <v>5.3999999999999999E-2</v>
      </c>
      <c r="O1529" s="6">
        <v>5.3999999999999999E-2</v>
      </c>
      <c r="P1529" s="6">
        <v>0</v>
      </c>
      <c r="Q1529" s="4" t="s">
        <v>26</v>
      </c>
      <c r="R1529" s="4">
        <v>0</v>
      </c>
      <c r="S1529" s="6">
        <v>0</v>
      </c>
      <c r="T1529" s="6">
        <v>51</v>
      </c>
      <c r="U1529" s="6">
        <v>94</v>
      </c>
      <c r="V1529" s="6">
        <f>IF(ISERROR(VLOOKUP($S$1529,'TAR FIN'!$A$1:$O$116,15,0)),0,VLOOKUP($S$1529,'TAR FIN'!$A$1:$O$116,15,0))</f>
        <v>0</v>
      </c>
      <c r="W1529" s="6">
        <f>IF(ISERROR(VLOOKUP($T$1529,'TAR FIN'!$A$1:$O$116,15,0)),0,VLOOKUP($T$1529,'TAR FIN'!$A$1:$O$116,15,0))</f>
        <v>666.8</v>
      </c>
      <c r="X1529" s="6">
        <f>IF(ISERROR(VLOOKUP($U$1529,'TAR FIN'!$A$1:$O$116,15,0)),0,VLOOKUP($U$1529,'TAR FIN'!$A$1:$O$116,15,0))</f>
        <v>436.61</v>
      </c>
      <c r="Y1529" s="6"/>
      <c r="Z1529" s="6">
        <f ca="1">('TUSD BE'!$AM$53+'TUSD BF'!$AM$53+'TUSD CVA'!$AM$53)*(1-CUSTOS!$M$38)</f>
        <v>861.11782756949015</v>
      </c>
      <c r="AA1529" s="6">
        <f>('TE BE'!$AB$24+'TE BF'!$AB$24+'TE CVA'!$AB$24)*(1-CUSTOS!$M$38)</f>
        <v>479.44693731342215</v>
      </c>
      <c r="AB1529" s="6">
        <f>$K$1529*$V$1529</f>
        <v>0</v>
      </c>
      <c r="AC1529" s="6">
        <f>$M$1529*$W$1529</f>
        <v>36.007199999999997</v>
      </c>
      <c r="AD1529" s="6">
        <f>$O$1529*$X$1529</f>
        <v>23.57694</v>
      </c>
      <c r="AE1529" s="6">
        <f>$K$1529*$Y$1529</f>
        <v>0</v>
      </c>
      <c r="AF1529" s="6">
        <f ca="1">$M$1529*$Z$1529</f>
        <v>46.500362688752467</v>
      </c>
      <c r="AG1529" s="6">
        <f>$O$1529*$AA$1529</f>
        <v>25.890134614924797</v>
      </c>
    </row>
    <row r="1530" spans="1:33" ht="11.25" customHeight="1" x14ac:dyDescent="0.25">
      <c r="A1530" s="4" t="s">
        <v>21</v>
      </c>
      <c r="B1530" s="4" t="s">
        <v>44</v>
      </c>
      <c r="C1530" s="4" t="s">
        <v>33</v>
      </c>
      <c r="D1530" s="4" t="s">
        <v>45</v>
      </c>
      <c r="E1530" s="4" t="s">
        <v>25</v>
      </c>
      <c r="F1530" s="4" t="s">
        <v>25</v>
      </c>
      <c r="G1530" s="4" t="s">
        <v>25</v>
      </c>
      <c r="H1530" s="4" t="s">
        <v>34</v>
      </c>
      <c r="I1530" s="5">
        <v>44470</v>
      </c>
      <c r="J1530" s="6">
        <v>0</v>
      </c>
      <c r="K1530" s="6">
        <v>0</v>
      </c>
      <c r="L1530" s="6">
        <v>5.8000000000000003E-2</v>
      </c>
      <c r="M1530" s="6">
        <v>5.8000000000000003E-2</v>
      </c>
      <c r="N1530" s="6">
        <v>5.8000000000000003E-2</v>
      </c>
      <c r="O1530" s="6">
        <v>5.8000000000000003E-2</v>
      </c>
      <c r="P1530" s="6">
        <v>0</v>
      </c>
      <c r="Q1530" s="4" t="s">
        <v>26</v>
      </c>
      <c r="R1530" s="4">
        <v>0</v>
      </c>
      <c r="S1530" s="6">
        <v>0</v>
      </c>
      <c r="T1530" s="6">
        <v>51</v>
      </c>
      <c r="U1530" s="6">
        <v>94</v>
      </c>
      <c r="V1530" s="6">
        <f>IF(ISERROR(VLOOKUP($S$1530,'TAR FIN'!$A$1:$O$116,15,0)),0,VLOOKUP($S$1530,'TAR FIN'!$A$1:$O$116,15,0))</f>
        <v>0</v>
      </c>
      <c r="W1530" s="6">
        <f>IF(ISERROR(VLOOKUP($T$1530,'TAR FIN'!$A$1:$O$116,15,0)),0,VLOOKUP($T$1530,'TAR FIN'!$A$1:$O$116,15,0))</f>
        <v>666.8</v>
      </c>
      <c r="X1530" s="6">
        <f>IF(ISERROR(VLOOKUP($U$1530,'TAR FIN'!$A$1:$O$116,15,0)),0,VLOOKUP($U$1530,'TAR FIN'!$A$1:$O$116,15,0))</f>
        <v>436.61</v>
      </c>
      <c r="Y1530" s="6"/>
      <c r="Z1530" s="6">
        <f ca="1">('TUSD BE'!$AM$53+'TUSD BF'!$AM$53+'TUSD CVA'!$AM$53)*(1-CUSTOS!$M$38)</f>
        <v>861.11782756949015</v>
      </c>
      <c r="AA1530" s="6">
        <f>('TE BE'!$AB$24+'TE BF'!$AB$24+'TE CVA'!$AB$24)*(1-CUSTOS!$M$38)</f>
        <v>479.44693731342215</v>
      </c>
      <c r="AB1530" s="6">
        <f>$K$1530*$V$1530</f>
        <v>0</v>
      </c>
      <c r="AC1530" s="6">
        <f>$M$1530*$W$1530</f>
        <v>38.674399999999999</v>
      </c>
      <c r="AD1530" s="6">
        <f>$O$1530*$X$1530</f>
        <v>25.323380000000004</v>
      </c>
      <c r="AE1530" s="6">
        <f>$K$1530*$Y$1530</f>
        <v>0</v>
      </c>
      <c r="AF1530" s="6">
        <f ca="1">$M$1530*$Z$1530</f>
        <v>49.944833999030429</v>
      </c>
      <c r="AG1530" s="6">
        <f>$O$1530*$AA$1530</f>
        <v>27.807922364178488</v>
      </c>
    </row>
    <row r="1531" spans="1:33" ht="11.25" customHeight="1" x14ac:dyDescent="0.25">
      <c r="A1531" s="4" t="s">
        <v>21</v>
      </c>
      <c r="B1531" s="4" t="s">
        <v>44</v>
      </c>
      <c r="C1531" s="4" t="s">
        <v>33</v>
      </c>
      <c r="D1531" s="4" t="s">
        <v>45</v>
      </c>
      <c r="E1531" s="4" t="s">
        <v>25</v>
      </c>
      <c r="F1531" s="4" t="s">
        <v>25</v>
      </c>
      <c r="G1531" s="4" t="s">
        <v>25</v>
      </c>
      <c r="H1531" s="4" t="s">
        <v>34</v>
      </c>
      <c r="I1531" s="5">
        <v>44501</v>
      </c>
      <c r="J1531" s="6">
        <v>0</v>
      </c>
      <c r="K1531" s="6">
        <v>0</v>
      </c>
      <c r="L1531" s="6">
        <v>0.64300000000000002</v>
      </c>
      <c r="M1531" s="6">
        <v>0.64300000000000002</v>
      </c>
      <c r="N1531" s="6">
        <v>0.64300000000000002</v>
      </c>
      <c r="O1531" s="6">
        <v>0.64300000000000002</v>
      </c>
      <c r="P1531" s="6">
        <v>0</v>
      </c>
      <c r="Q1531" s="4" t="s">
        <v>26</v>
      </c>
      <c r="R1531" s="4">
        <v>0</v>
      </c>
      <c r="S1531" s="6">
        <v>0</v>
      </c>
      <c r="T1531" s="6">
        <v>51</v>
      </c>
      <c r="U1531" s="6">
        <v>94</v>
      </c>
      <c r="V1531" s="6">
        <f>IF(ISERROR(VLOOKUP($S$1531,'TAR FIN'!$A$1:$O$116,15,0)),0,VLOOKUP($S$1531,'TAR FIN'!$A$1:$O$116,15,0))</f>
        <v>0</v>
      </c>
      <c r="W1531" s="6">
        <f>IF(ISERROR(VLOOKUP($T$1531,'TAR FIN'!$A$1:$O$116,15,0)),0,VLOOKUP($T$1531,'TAR FIN'!$A$1:$O$116,15,0))</f>
        <v>666.8</v>
      </c>
      <c r="X1531" s="6">
        <f>IF(ISERROR(VLOOKUP($U$1531,'TAR FIN'!$A$1:$O$116,15,0)),0,VLOOKUP($U$1531,'TAR FIN'!$A$1:$O$116,15,0))</f>
        <v>436.61</v>
      </c>
      <c r="Y1531" s="6"/>
      <c r="Z1531" s="6">
        <f ca="1">('TUSD BE'!$AM$53+'TUSD BF'!$AM$53+'TUSD CVA'!$AM$53)*(1-CUSTOS!$M$38)</f>
        <v>861.11782756949015</v>
      </c>
      <c r="AA1531" s="6">
        <f>('TE BE'!$AB$24+'TE BF'!$AB$24+'TE CVA'!$AB$24)*(1-CUSTOS!$M$38)</f>
        <v>479.44693731342215</v>
      </c>
      <c r="AB1531" s="6">
        <f>$K$1531*$V$1531</f>
        <v>0</v>
      </c>
      <c r="AC1531" s="6">
        <f>$M$1531*$W$1531</f>
        <v>428.75239999999997</v>
      </c>
      <c r="AD1531" s="6">
        <f>$O$1531*$X$1531</f>
        <v>280.74023</v>
      </c>
      <c r="AE1531" s="6">
        <f>$K$1531*$Y$1531</f>
        <v>0</v>
      </c>
      <c r="AF1531" s="6">
        <f ca="1">$M$1531*$Z$1531</f>
        <v>553.69876312718213</v>
      </c>
      <c r="AG1531" s="6">
        <f>$O$1531*$AA$1531</f>
        <v>308.28438069253048</v>
      </c>
    </row>
    <row r="1532" spans="1:33" ht="11.25" customHeight="1" x14ac:dyDescent="0.25">
      <c r="A1532" s="4" t="s">
        <v>21</v>
      </c>
      <c r="B1532" s="4" t="s">
        <v>44</v>
      </c>
      <c r="C1532" s="4" t="s">
        <v>33</v>
      </c>
      <c r="D1532" s="4" t="s">
        <v>45</v>
      </c>
      <c r="E1532" s="4" t="s">
        <v>25</v>
      </c>
      <c r="F1532" s="4" t="s">
        <v>25</v>
      </c>
      <c r="G1532" s="4" t="s">
        <v>25</v>
      </c>
      <c r="H1532" s="4" t="s">
        <v>34</v>
      </c>
      <c r="I1532" s="5">
        <v>44531</v>
      </c>
      <c r="J1532" s="6">
        <v>0</v>
      </c>
      <c r="K1532" s="6">
        <v>0</v>
      </c>
      <c r="L1532" s="6">
        <v>7.4999999999999997E-2</v>
      </c>
      <c r="M1532" s="6">
        <v>7.4999999999999997E-2</v>
      </c>
      <c r="N1532" s="6">
        <v>7.4999999999999997E-2</v>
      </c>
      <c r="O1532" s="6">
        <v>7.4999999999999997E-2</v>
      </c>
      <c r="P1532" s="6">
        <v>0</v>
      </c>
      <c r="Q1532" s="4" t="s">
        <v>26</v>
      </c>
      <c r="R1532" s="4">
        <v>0</v>
      </c>
      <c r="S1532" s="6">
        <v>0</v>
      </c>
      <c r="T1532" s="6">
        <v>51</v>
      </c>
      <c r="U1532" s="6">
        <v>94</v>
      </c>
      <c r="V1532" s="6">
        <f>IF(ISERROR(VLOOKUP($S$1532,'TAR FIN'!$A$1:$O$116,15,0)),0,VLOOKUP($S$1532,'TAR FIN'!$A$1:$O$116,15,0))</f>
        <v>0</v>
      </c>
      <c r="W1532" s="6">
        <f>IF(ISERROR(VLOOKUP($T$1532,'TAR FIN'!$A$1:$O$116,15,0)),0,VLOOKUP($T$1532,'TAR FIN'!$A$1:$O$116,15,0))</f>
        <v>666.8</v>
      </c>
      <c r="X1532" s="6">
        <f>IF(ISERROR(VLOOKUP($U$1532,'TAR FIN'!$A$1:$O$116,15,0)),0,VLOOKUP($U$1532,'TAR FIN'!$A$1:$O$116,15,0))</f>
        <v>436.61</v>
      </c>
      <c r="Y1532" s="6"/>
      <c r="Z1532" s="6">
        <f ca="1">('TUSD BE'!$AM$53+'TUSD BF'!$AM$53+'TUSD CVA'!$AM$53)*(1-CUSTOS!$M$38)</f>
        <v>861.11782756949015</v>
      </c>
      <c r="AA1532" s="6">
        <f>('TE BE'!$AB$24+'TE BF'!$AB$24+'TE CVA'!$AB$24)*(1-CUSTOS!$M$38)</f>
        <v>479.44693731342215</v>
      </c>
      <c r="AB1532" s="6">
        <f>$K$1532*$V$1532</f>
        <v>0</v>
      </c>
      <c r="AC1532" s="6">
        <f>$M$1532*$W$1532</f>
        <v>50.01</v>
      </c>
      <c r="AD1532" s="6">
        <f>$O$1532*$X$1532</f>
        <v>32.745750000000001</v>
      </c>
      <c r="AE1532" s="6">
        <f>$K$1532*$Y$1532</f>
        <v>0</v>
      </c>
      <c r="AF1532" s="6">
        <f ca="1">$M$1532*$Z$1532</f>
        <v>64.583837067711755</v>
      </c>
      <c r="AG1532" s="6">
        <f>$O$1532*$AA$1532</f>
        <v>35.958520298506663</v>
      </c>
    </row>
    <row r="1533" spans="1:33" ht="11.25" customHeight="1" x14ac:dyDescent="0.25">
      <c r="A1533" s="4" t="s">
        <v>21</v>
      </c>
      <c r="B1533" s="4" t="s">
        <v>44</v>
      </c>
      <c r="C1533" s="4" t="s">
        <v>33</v>
      </c>
      <c r="D1533" s="4" t="s">
        <v>45</v>
      </c>
      <c r="E1533" s="4" t="s">
        <v>25</v>
      </c>
      <c r="F1533" s="4" t="s">
        <v>25</v>
      </c>
      <c r="G1533" s="4" t="s">
        <v>25</v>
      </c>
      <c r="H1533" s="4" t="s">
        <v>34</v>
      </c>
      <c r="I1533" s="5">
        <v>44562</v>
      </c>
      <c r="J1533" s="6">
        <v>0</v>
      </c>
      <c r="K1533" s="6">
        <v>0</v>
      </c>
      <c r="L1533" s="6">
        <v>4.8000000000000001E-2</v>
      </c>
      <c r="M1533" s="6">
        <v>4.8000000000000001E-2</v>
      </c>
      <c r="N1533" s="6">
        <v>4.8000000000000001E-2</v>
      </c>
      <c r="O1533" s="6">
        <v>4.8000000000000001E-2</v>
      </c>
      <c r="P1533" s="6">
        <v>0</v>
      </c>
      <c r="Q1533" s="4" t="s">
        <v>26</v>
      </c>
      <c r="R1533" s="4">
        <v>0</v>
      </c>
      <c r="S1533" s="6">
        <v>0</v>
      </c>
      <c r="T1533" s="6">
        <v>51</v>
      </c>
      <c r="U1533" s="6">
        <v>94</v>
      </c>
      <c r="V1533" s="6">
        <f>IF(ISERROR(VLOOKUP($S$1533,'TAR FIN'!$A$1:$O$116,15,0)),0,VLOOKUP($S$1533,'TAR FIN'!$A$1:$O$116,15,0))</f>
        <v>0</v>
      </c>
      <c r="W1533" s="6">
        <f>IF(ISERROR(VLOOKUP($T$1533,'TAR FIN'!$A$1:$O$116,15,0)),0,VLOOKUP($T$1533,'TAR FIN'!$A$1:$O$116,15,0))</f>
        <v>666.8</v>
      </c>
      <c r="X1533" s="6">
        <f>IF(ISERROR(VLOOKUP($U$1533,'TAR FIN'!$A$1:$O$116,15,0)),0,VLOOKUP($U$1533,'TAR FIN'!$A$1:$O$116,15,0))</f>
        <v>436.61</v>
      </c>
      <c r="Y1533" s="6"/>
      <c r="Z1533" s="6">
        <f ca="1">('TUSD BE'!$AM$53+'TUSD BF'!$AM$53+'TUSD CVA'!$AM$53)*(1-CUSTOS!$M$38)</f>
        <v>861.11782756949015</v>
      </c>
      <c r="AA1533" s="6">
        <f>('TE BE'!$AB$24+'TE BF'!$AB$24+'TE CVA'!$AB$24)*(1-CUSTOS!$M$38)</f>
        <v>479.44693731342215</v>
      </c>
      <c r="AB1533" s="6">
        <f>$K$1533*$V$1533</f>
        <v>0</v>
      </c>
      <c r="AC1533" s="6">
        <f>$M$1533*$W$1533</f>
        <v>32.006399999999999</v>
      </c>
      <c r="AD1533" s="6">
        <f>$O$1533*$X$1533</f>
        <v>20.957280000000001</v>
      </c>
      <c r="AE1533" s="6">
        <f>$K$1533*$Y$1533</f>
        <v>0</v>
      </c>
      <c r="AF1533" s="6">
        <f ca="1">$M$1533*$Z$1533</f>
        <v>41.333655723335525</v>
      </c>
      <c r="AG1533" s="6">
        <f>$O$1533*$AA$1533</f>
        <v>23.013452991044264</v>
      </c>
    </row>
    <row r="1534" spans="1:33" ht="11.25" customHeight="1" x14ac:dyDescent="0.25">
      <c r="A1534" s="4" t="s">
        <v>27</v>
      </c>
      <c r="B1534" s="4" t="s">
        <v>44</v>
      </c>
      <c r="C1534" s="4" t="s">
        <v>33</v>
      </c>
      <c r="D1534" s="4" t="s">
        <v>45</v>
      </c>
      <c r="E1534" s="4" t="s">
        <v>25</v>
      </c>
      <c r="F1534" s="4" t="s">
        <v>25</v>
      </c>
      <c r="G1534" s="4" t="s">
        <v>25</v>
      </c>
      <c r="H1534" s="4" t="s">
        <v>34</v>
      </c>
      <c r="I1534" s="5">
        <v>44562</v>
      </c>
      <c r="J1534" s="6">
        <v>0</v>
      </c>
      <c r="K1534" s="6">
        <v>0</v>
      </c>
      <c r="L1534" s="6">
        <v>-0.61699999999999999</v>
      </c>
      <c r="M1534" s="6">
        <v>-0.61699999999999999</v>
      </c>
      <c r="N1534" s="6">
        <v>-0.61699999999999999</v>
      </c>
      <c r="O1534" s="6">
        <v>-0.61699999999999999</v>
      </c>
      <c r="P1534" s="6">
        <v>0</v>
      </c>
      <c r="Q1534" s="4" t="s">
        <v>26</v>
      </c>
      <c r="R1534" s="4">
        <v>0</v>
      </c>
      <c r="S1534" s="6">
        <v>0</v>
      </c>
      <c r="T1534" s="6">
        <v>51</v>
      </c>
      <c r="U1534" s="6">
        <v>94</v>
      </c>
      <c r="V1534" s="6">
        <f>IF(ISERROR(VLOOKUP($S$1534,'TAR FIN'!$A$1:$O$116,15,0)),0,VLOOKUP($S$1534,'TAR FIN'!$A$1:$O$116,15,0))</f>
        <v>0</v>
      </c>
      <c r="W1534" s="6">
        <f>IF(ISERROR(VLOOKUP($T$1534,'TAR FIN'!$A$1:$O$116,15,0)),0,VLOOKUP($T$1534,'TAR FIN'!$A$1:$O$116,15,0))</f>
        <v>666.8</v>
      </c>
      <c r="X1534" s="6">
        <f>IF(ISERROR(VLOOKUP($U$1534,'TAR FIN'!$A$1:$O$116,15,0)),0,VLOOKUP($U$1534,'TAR FIN'!$A$1:$O$116,15,0))</f>
        <v>436.61</v>
      </c>
      <c r="Y1534" s="6"/>
      <c r="Z1534" s="6">
        <f ca="1">('TUSD BE'!$AM$53+'TUSD BF'!$AM$53+'TUSD CVA'!$AM$53)*(1-CUSTOS!$M$38)</f>
        <v>861.11782756949015</v>
      </c>
      <c r="AA1534" s="6">
        <f>('TE BE'!$AB$24+'TE BF'!$AB$24+'TE CVA'!$AB$24)*(1-CUSTOS!$M$38)</f>
        <v>479.44693731342215</v>
      </c>
      <c r="AB1534" s="6">
        <f>$K$1534*$V$1534</f>
        <v>0</v>
      </c>
      <c r="AC1534" s="6">
        <f>$M$1534*$W$1534</f>
        <v>-411.41559999999998</v>
      </c>
      <c r="AD1534" s="6">
        <f>$O$1534*$X$1534</f>
        <v>-269.38837000000001</v>
      </c>
      <c r="AE1534" s="6">
        <f>$K$1534*$Y$1534</f>
        <v>0</v>
      </c>
      <c r="AF1534" s="6">
        <f ca="1">$M$1534*$Z$1534</f>
        <v>-531.30969961037545</v>
      </c>
      <c r="AG1534" s="6">
        <f>$O$1534*$AA$1534</f>
        <v>-295.81876032238148</v>
      </c>
    </row>
    <row r="1535" spans="1:33" ht="11.25" customHeight="1" x14ac:dyDescent="0.25">
      <c r="A1535" s="4" t="s">
        <v>21</v>
      </c>
      <c r="B1535" s="4" t="s">
        <v>44</v>
      </c>
      <c r="C1535" s="4" t="s">
        <v>33</v>
      </c>
      <c r="D1535" s="4" t="s">
        <v>45</v>
      </c>
      <c r="E1535" s="4" t="s">
        <v>25</v>
      </c>
      <c r="F1535" s="4" t="s">
        <v>25</v>
      </c>
      <c r="G1535" s="4" t="s">
        <v>25</v>
      </c>
      <c r="H1535" s="4" t="s">
        <v>34</v>
      </c>
      <c r="I1535" s="5">
        <v>44593</v>
      </c>
      <c r="J1535" s="6">
        <v>0</v>
      </c>
      <c r="K1535" s="6">
        <v>0</v>
      </c>
      <c r="L1535" s="6">
        <v>3.1E-2</v>
      </c>
      <c r="M1535" s="6">
        <v>3.1E-2</v>
      </c>
      <c r="N1535" s="6">
        <v>3.1E-2</v>
      </c>
      <c r="O1535" s="6">
        <v>3.1E-2</v>
      </c>
      <c r="P1535" s="6">
        <v>0</v>
      </c>
      <c r="Q1535" s="4" t="s">
        <v>26</v>
      </c>
      <c r="R1535" s="4">
        <v>0</v>
      </c>
      <c r="S1535" s="6">
        <v>0</v>
      </c>
      <c r="T1535" s="6">
        <v>51</v>
      </c>
      <c r="U1535" s="6">
        <v>94</v>
      </c>
      <c r="V1535" s="6">
        <f>IF(ISERROR(VLOOKUP($S$1535,'TAR FIN'!$A$1:$O$116,15,0)),0,VLOOKUP($S$1535,'TAR FIN'!$A$1:$O$116,15,0))</f>
        <v>0</v>
      </c>
      <c r="W1535" s="6">
        <f>IF(ISERROR(VLOOKUP($T$1535,'TAR FIN'!$A$1:$O$116,15,0)),0,VLOOKUP($T$1535,'TAR FIN'!$A$1:$O$116,15,0))</f>
        <v>666.8</v>
      </c>
      <c r="X1535" s="6">
        <f>IF(ISERROR(VLOOKUP($U$1535,'TAR FIN'!$A$1:$O$116,15,0)),0,VLOOKUP($U$1535,'TAR FIN'!$A$1:$O$116,15,0))</f>
        <v>436.61</v>
      </c>
      <c r="Y1535" s="6"/>
      <c r="Z1535" s="6">
        <f ca="1">('TUSD BE'!$AM$53+'TUSD BF'!$AM$53+'TUSD CVA'!$AM$53)*(1-CUSTOS!$M$38)</f>
        <v>861.11782756949015</v>
      </c>
      <c r="AA1535" s="6">
        <f>('TE BE'!$AB$24+'TE BF'!$AB$24+'TE CVA'!$AB$24)*(1-CUSTOS!$M$38)</f>
        <v>479.44693731342215</v>
      </c>
      <c r="AB1535" s="6">
        <f>$K$1535*$V$1535</f>
        <v>0</v>
      </c>
      <c r="AC1535" s="6">
        <f>$M$1535*$W$1535</f>
        <v>20.6708</v>
      </c>
      <c r="AD1535" s="6">
        <f>$O$1535*$X$1535</f>
        <v>13.53491</v>
      </c>
      <c r="AE1535" s="6">
        <f>$K$1535*$Y$1535</f>
        <v>0</v>
      </c>
      <c r="AF1535" s="6">
        <f ca="1">$M$1535*$Z$1535</f>
        <v>26.694652654654195</v>
      </c>
      <c r="AG1535" s="6">
        <f>$O$1535*$AA$1535</f>
        <v>14.862855056716088</v>
      </c>
    </row>
    <row r="1536" spans="1:33" ht="11.25" customHeight="1" x14ac:dyDescent="0.25">
      <c r="A1536" s="4" t="s">
        <v>21</v>
      </c>
      <c r="B1536" s="4" t="s">
        <v>44</v>
      </c>
      <c r="C1536" s="4" t="s">
        <v>33</v>
      </c>
      <c r="D1536" s="4" t="s">
        <v>45</v>
      </c>
      <c r="E1536" s="4" t="s">
        <v>25</v>
      </c>
      <c r="F1536" s="4" t="s">
        <v>25</v>
      </c>
      <c r="G1536" s="4" t="s">
        <v>25</v>
      </c>
      <c r="H1536" s="4" t="s">
        <v>34</v>
      </c>
      <c r="I1536" s="5">
        <v>44621</v>
      </c>
      <c r="J1536" s="6">
        <v>0</v>
      </c>
      <c r="K1536" s="6">
        <v>0</v>
      </c>
      <c r="L1536" s="6">
        <v>4.1000000000000002E-2</v>
      </c>
      <c r="M1536" s="6">
        <v>4.1000000000000002E-2</v>
      </c>
      <c r="N1536" s="6">
        <v>4.1000000000000002E-2</v>
      </c>
      <c r="O1536" s="6">
        <v>4.1000000000000002E-2</v>
      </c>
      <c r="P1536" s="6">
        <v>0</v>
      </c>
      <c r="Q1536" s="4" t="s">
        <v>26</v>
      </c>
      <c r="R1536" s="4">
        <v>0</v>
      </c>
      <c r="S1536" s="6">
        <v>0</v>
      </c>
      <c r="T1536" s="6">
        <v>51</v>
      </c>
      <c r="U1536" s="6">
        <v>94</v>
      </c>
      <c r="V1536" s="6">
        <f>IF(ISERROR(VLOOKUP($S$1536,'TAR FIN'!$A$1:$O$116,15,0)),0,VLOOKUP($S$1536,'TAR FIN'!$A$1:$O$116,15,0))</f>
        <v>0</v>
      </c>
      <c r="W1536" s="6">
        <f>IF(ISERROR(VLOOKUP($T$1536,'TAR FIN'!$A$1:$O$116,15,0)),0,VLOOKUP($T$1536,'TAR FIN'!$A$1:$O$116,15,0))</f>
        <v>666.8</v>
      </c>
      <c r="X1536" s="6">
        <f>IF(ISERROR(VLOOKUP($U$1536,'TAR FIN'!$A$1:$O$116,15,0)),0,VLOOKUP($U$1536,'TAR FIN'!$A$1:$O$116,15,0))</f>
        <v>436.61</v>
      </c>
      <c r="Y1536" s="6"/>
      <c r="Z1536" s="6">
        <f ca="1">('TUSD BE'!$AM$53+'TUSD BF'!$AM$53+'TUSD CVA'!$AM$53)*(1-CUSTOS!$M$38)</f>
        <v>861.11782756949015</v>
      </c>
      <c r="AA1536" s="6">
        <f>('TE BE'!$AB$24+'TE BF'!$AB$24+'TE CVA'!$AB$24)*(1-CUSTOS!$M$38)</f>
        <v>479.44693731342215</v>
      </c>
      <c r="AB1536" s="6">
        <f>$K$1536*$V$1536</f>
        <v>0</v>
      </c>
      <c r="AC1536" s="6">
        <f>$M$1536*$W$1536</f>
        <v>27.338799999999999</v>
      </c>
      <c r="AD1536" s="6">
        <f>$O$1536*$X$1536</f>
        <v>17.901010000000003</v>
      </c>
      <c r="AE1536" s="6">
        <f>$K$1536*$Y$1536</f>
        <v>0</v>
      </c>
      <c r="AF1536" s="6">
        <f ca="1">$M$1536*$Z$1536</f>
        <v>35.305830930349096</v>
      </c>
      <c r="AG1536" s="6">
        <f>$O$1536*$AA$1536</f>
        <v>19.657324429850309</v>
      </c>
    </row>
    <row r="1537" spans="1:33" ht="11.25" customHeight="1" x14ac:dyDescent="0.25">
      <c r="A1537" s="4" t="s">
        <v>21</v>
      </c>
      <c r="B1537" s="4" t="s">
        <v>44</v>
      </c>
      <c r="C1537" s="4" t="s">
        <v>33</v>
      </c>
      <c r="D1537" s="4" t="s">
        <v>45</v>
      </c>
      <c r="E1537" s="4" t="s">
        <v>25</v>
      </c>
      <c r="F1537" s="4" t="s">
        <v>25</v>
      </c>
      <c r="G1537" s="4" t="s">
        <v>25</v>
      </c>
      <c r="H1537" s="4" t="s">
        <v>34</v>
      </c>
      <c r="I1537" s="5">
        <v>44652</v>
      </c>
      <c r="J1537" s="6">
        <v>0</v>
      </c>
      <c r="K1537" s="6">
        <v>0</v>
      </c>
      <c r="L1537" s="6">
        <v>4.3999999999999997E-2</v>
      </c>
      <c r="M1537" s="6">
        <v>4.3999999999999997E-2</v>
      </c>
      <c r="N1537" s="6">
        <v>4.3999999999999997E-2</v>
      </c>
      <c r="O1537" s="6">
        <v>4.3999999999999997E-2</v>
      </c>
      <c r="P1537" s="6">
        <v>0</v>
      </c>
      <c r="Q1537" s="4" t="s">
        <v>26</v>
      </c>
      <c r="R1537" s="4">
        <v>0</v>
      </c>
      <c r="S1537" s="6">
        <v>0</v>
      </c>
      <c r="T1537" s="6">
        <v>51</v>
      </c>
      <c r="U1537" s="6">
        <v>94</v>
      </c>
      <c r="V1537" s="6">
        <f>IF(ISERROR(VLOOKUP($S$1537,'TAR FIN'!$A$1:$O$116,15,0)),0,VLOOKUP($S$1537,'TAR FIN'!$A$1:$O$116,15,0))</f>
        <v>0</v>
      </c>
      <c r="W1537" s="6">
        <f>IF(ISERROR(VLOOKUP($T$1537,'TAR FIN'!$A$1:$O$116,15,0)),0,VLOOKUP($T$1537,'TAR FIN'!$A$1:$O$116,15,0))</f>
        <v>666.8</v>
      </c>
      <c r="X1537" s="6">
        <f>IF(ISERROR(VLOOKUP($U$1537,'TAR FIN'!$A$1:$O$116,15,0)),0,VLOOKUP($U$1537,'TAR FIN'!$A$1:$O$116,15,0))</f>
        <v>436.61</v>
      </c>
      <c r="Y1537" s="6"/>
      <c r="Z1537" s="6">
        <f ca="1">('TUSD BE'!$AM$53+'TUSD BF'!$AM$53+'TUSD CVA'!$AM$53)*(1-CUSTOS!$M$38)</f>
        <v>861.11782756949015</v>
      </c>
      <c r="AA1537" s="6">
        <f>('TE BE'!$AB$24+'TE BF'!$AB$24+'TE CVA'!$AB$24)*(1-CUSTOS!$M$38)</f>
        <v>479.44693731342215</v>
      </c>
      <c r="AB1537" s="6">
        <f>$K$1537*$V$1537</f>
        <v>0</v>
      </c>
      <c r="AC1537" s="6">
        <f>$M$1537*$W$1537</f>
        <v>29.339199999999995</v>
      </c>
      <c r="AD1537" s="6">
        <f>$O$1537*$X$1537</f>
        <v>19.210840000000001</v>
      </c>
      <c r="AE1537" s="6">
        <f>$K$1537*$Y$1537</f>
        <v>0</v>
      </c>
      <c r="AF1537" s="6">
        <f ca="1">$M$1537*$Z$1537</f>
        <v>37.889184413057563</v>
      </c>
      <c r="AG1537" s="6">
        <f>$O$1537*$AA$1537</f>
        <v>21.095665241790574</v>
      </c>
    </row>
    <row r="1538" spans="1:33" ht="11.25" customHeight="1" x14ac:dyDescent="0.25">
      <c r="A1538" s="4" t="s">
        <v>58</v>
      </c>
      <c r="B1538" s="4" t="s">
        <v>44</v>
      </c>
      <c r="C1538" s="4" t="s">
        <v>33</v>
      </c>
      <c r="D1538" s="4" t="s">
        <v>45</v>
      </c>
      <c r="E1538" s="4" t="s">
        <v>25</v>
      </c>
      <c r="F1538" s="4" t="s">
        <v>25</v>
      </c>
      <c r="G1538" s="4" t="s">
        <v>25</v>
      </c>
      <c r="H1538" s="4" t="s">
        <v>34</v>
      </c>
      <c r="I1538" s="5">
        <v>44682</v>
      </c>
      <c r="J1538" s="6">
        <v>0</v>
      </c>
      <c r="K1538" s="6">
        <v>0</v>
      </c>
      <c r="L1538" s="6">
        <v>4.3999999999999997E-2</v>
      </c>
      <c r="M1538" s="6">
        <v>4.3999999999999997E-2</v>
      </c>
      <c r="N1538" s="6">
        <v>4.3999999999999997E-2</v>
      </c>
      <c r="O1538" s="6">
        <v>4.3999999999999997E-2</v>
      </c>
      <c r="P1538" s="6">
        <v>0</v>
      </c>
      <c r="Q1538" s="4" t="s">
        <v>26</v>
      </c>
      <c r="R1538" s="4">
        <v>0</v>
      </c>
      <c r="S1538" s="6">
        <v>0</v>
      </c>
      <c r="T1538" s="6">
        <v>51</v>
      </c>
      <c r="U1538" s="6">
        <v>94</v>
      </c>
      <c r="V1538" s="6">
        <f>IF(ISERROR(VLOOKUP($S$1538,'TAR FIN'!$A$1:$O$116,15,0)),0,VLOOKUP($S$1538,'TAR FIN'!$A$1:$O$116,15,0))</f>
        <v>0</v>
      </c>
      <c r="W1538" s="6">
        <f>IF(ISERROR(VLOOKUP($T$1538,'TAR FIN'!$A$1:$O$116,15,0)),0,VLOOKUP($T$1538,'TAR FIN'!$A$1:$O$116,15,0))</f>
        <v>666.8</v>
      </c>
      <c r="X1538" s="6">
        <f>IF(ISERROR(VLOOKUP($U$1538,'TAR FIN'!$A$1:$O$116,15,0)),0,VLOOKUP($U$1538,'TAR FIN'!$A$1:$O$116,15,0))</f>
        <v>436.61</v>
      </c>
      <c r="Y1538" s="6"/>
      <c r="Z1538" s="6">
        <f ca="1">('TUSD BE'!$AM$53+'TUSD BF'!$AM$53+'TUSD CVA'!$AM$53)*(1-CUSTOS!$M$38)</f>
        <v>861.11782756949015</v>
      </c>
      <c r="AA1538" s="6">
        <f>('TE BE'!$AB$24+'TE BF'!$AB$24+'TE CVA'!$AB$24)*(1-CUSTOS!$M$38)</f>
        <v>479.44693731342215</v>
      </c>
      <c r="AB1538" s="6">
        <f>$K$1538*$V$1538</f>
        <v>0</v>
      </c>
      <c r="AC1538" s="6">
        <f>$M$1538*$W$1538</f>
        <v>29.339199999999995</v>
      </c>
      <c r="AD1538" s="6">
        <f>$O$1538*$X$1538</f>
        <v>19.210840000000001</v>
      </c>
      <c r="AE1538" s="6">
        <f>$K$1538*$Y$1538</f>
        <v>0</v>
      </c>
      <c r="AF1538" s="6">
        <f ca="1">$M$1538*$Z$1538</f>
        <v>37.889184413057563</v>
      </c>
      <c r="AG1538" s="6">
        <f>$O$1538*$AA$1538</f>
        <v>21.095665241790574</v>
      </c>
    </row>
    <row r="1539" spans="1:33" ht="11.25" customHeight="1" x14ac:dyDescent="0.25">
      <c r="A1539" s="4" t="s">
        <v>21</v>
      </c>
      <c r="B1539" s="4" t="s">
        <v>44</v>
      </c>
      <c r="C1539" s="4" t="s">
        <v>23</v>
      </c>
      <c r="D1539" s="4" t="s">
        <v>45</v>
      </c>
      <c r="E1539" s="4" t="s">
        <v>54</v>
      </c>
      <c r="F1539" s="4" t="s">
        <v>55</v>
      </c>
      <c r="G1539" s="4" t="s">
        <v>25</v>
      </c>
      <c r="H1539" s="4" t="s">
        <v>25</v>
      </c>
      <c r="I1539" s="5">
        <v>44348</v>
      </c>
      <c r="J1539" s="6">
        <v>0</v>
      </c>
      <c r="K1539" s="6">
        <v>0</v>
      </c>
      <c r="L1539" s="6">
        <v>55.131</v>
      </c>
      <c r="M1539" s="6">
        <v>55.131</v>
      </c>
      <c r="N1539" s="6">
        <v>55.131</v>
      </c>
      <c r="O1539" s="6">
        <v>55.131</v>
      </c>
      <c r="P1539" s="6">
        <v>0</v>
      </c>
      <c r="Q1539" s="4" t="s">
        <v>26</v>
      </c>
      <c r="R1539" s="4">
        <v>0</v>
      </c>
      <c r="S1539" s="6">
        <v>0</v>
      </c>
      <c r="T1539" s="6">
        <v>54</v>
      </c>
      <c r="U1539" s="6">
        <v>97</v>
      </c>
      <c r="V1539" s="6">
        <f>IF(ISERROR(VLOOKUP($S$1539,'TAR FIN'!$A$1:$O$116,15,0)),0,VLOOKUP($S$1539,'TAR FIN'!$A$1:$O$116,15,0))</f>
        <v>0</v>
      </c>
      <c r="W1539" s="6">
        <f>IF(ISERROR(VLOOKUP($T$1539,'TAR FIN'!$A$1:$O$116,15,0)),0,VLOOKUP($T$1539,'TAR FIN'!$A$1:$O$116,15,0))</f>
        <v>301.38</v>
      </c>
      <c r="X1539" s="6">
        <f>IF(ISERROR(VLOOKUP($U$1539,'TAR FIN'!$A$1:$O$116,15,0)),0,VLOOKUP($U$1539,'TAR FIN'!$A$1:$O$116,15,0))</f>
        <v>287.29000000000002</v>
      </c>
      <c r="Y1539" s="6"/>
      <c r="Z1539" s="6">
        <f ca="1">('TUSD BE'!$AM$56+'TUSD BF'!$AM$56+'TUSD CVA'!$AM$56)*(1-CUSTOS!$M$38)</f>
        <v>410.57781128100521</v>
      </c>
      <c r="AA1539" s="6">
        <f>('TE BE'!$AB$27+'TE BF'!$AB$27+'TE CVA'!$AB$27)*(1-CUSTOS!$M$38)</f>
        <v>309.85296222048811</v>
      </c>
      <c r="AB1539" s="6">
        <f>$K$1539*$V$1539</f>
        <v>0</v>
      </c>
      <c r="AC1539" s="6">
        <f>$M$1539*$W$1539</f>
        <v>16615.38078</v>
      </c>
      <c r="AD1539" s="6">
        <f>$O$1539*$X$1539</f>
        <v>15838.584990000001</v>
      </c>
      <c r="AE1539" s="6">
        <f>$K$1539*$Y$1539</f>
        <v>0</v>
      </c>
      <c r="AF1539" s="6">
        <f ca="1">$M$1539*$Z$1539</f>
        <v>22635.565313733099</v>
      </c>
      <c r="AG1539" s="6">
        <f>$O$1539*$AA$1539</f>
        <v>17082.503660177728</v>
      </c>
    </row>
    <row r="1540" spans="1:33" ht="11.25" customHeight="1" x14ac:dyDescent="0.25">
      <c r="A1540" s="4" t="s">
        <v>28</v>
      </c>
      <c r="B1540" s="4" t="s">
        <v>44</v>
      </c>
      <c r="C1540" s="4" t="s">
        <v>23</v>
      </c>
      <c r="D1540" s="4" t="s">
        <v>45</v>
      </c>
      <c r="E1540" s="4" t="s">
        <v>54</v>
      </c>
      <c r="F1540" s="4" t="s">
        <v>55</v>
      </c>
      <c r="G1540" s="4" t="s">
        <v>25</v>
      </c>
      <c r="H1540" s="4" t="s">
        <v>25</v>
      </c>
      <c r="I1540" s="5">
        <v>44348</v>
      </c>
      <c r="J1540" s="6">
        <v>0</v>
      </c>
      <c r="K1540" s="6">
        <v>0</v>
      </c>
      <c r="L1540" s="6">
        <v>5.1470000000000002</v>
      </c>
      <c r="M1540" s="6">
        <v>5.1470000000000002</v>
      </c>
      <c r="N1540" s="6">
        <v>5.1470000000000002</v>
      </c>
      <c r="O1540" s="6">
        <v>5.1470000000000002</v>
      </c>
      <c r="P1540" s="6">
        <v>0</v>
      </c>
      <c r="Q1540" s="4" t="s">
        <v>26</v>
      </c>
      <c r="R1540" s="4">
        <v>0</v>
      </c>
      <c r="S1540" s="6">
        <v>0</v>
      </c>
      <c r="T1540" s="6">
        <v>54</v>
      </c>
      <c r="U1540" s="6">
        <v>97</v>
      </c>
      <c r="V1540" s="6">
        <f>IF(ISERROR(VLOOKUP($S$1540,'TAR FIN'!$A$1:$O$116,15,0)),0,VLOOKUP($S$1540,'TAR FIN'!$A$1:$O$116,15,0))</f>
        <v>0</v>
      </c>
      <c r="W1540" s="6">
        <f>IF(ISERROR(VLOOKUP($T$1540,'TAR FIN'!$A$1:$O$116,15,0)),0,VLOOKUP($T$1540,'TAR FIN'!$A$1:$O$116,15,0))</f>
        <v>301.38</v>
      </c>
      <c r="X1540" s="6">
        <f>IF(ISERROR(VLOOKUP($U$1540,'TAR FIN'!$A$1:$O$116,15,0)),0,VLOOKUP($U$1540,'TAR FIN'!$A$1:$O$116,15,0))</f>
        <v>287.29000000000002</v>
      </c>
      <c r="Y1540" s="6"/>
      <c r="Z1540" s="6">
        <f ca="1">('TUSD BE'!$AM$56+'TUSD BF'!$AM$56+'TUSD CVA'!$AM$56)*(1-CUSTOS!$M$38)</f>
        <v>410.57781128100521</v>
      </c>
      <c r="AA1540" s="6">
        <f>('TE BE'!$AB$27+'TE BF'!$AB$27+'TE CVA'!$AB$27)*(1-CUSTOS!$M$38)</f>
        <v>309.85296222048811</v>
      </c>
      <c r="AB1540" s="6">
        <f>$K$1540*$V$1540</f>
        <v>0</v>
      </c>
      <c r="AC1540" s="6">
        <f>$M$1540*$W$1540</f>
        <v>1551.2028600000001</v>
      </c>
      <c r="AD1540" s="6">
        <f>$O$1540*$X$1540</f>
        <v>1478.6816300000003</v>
      </c>
      <c r="AE1540" s="6">
        <f>$K$1540*$Y$1540</f>
        <v>0</v>
      </c>
      <c r="AF1540" s="6">
        <f ca="1">$M$1540*$Z$1540</f>
        <v>2113.243994663334</v>
      </c>
      <c r="AG1540" s="6">
        <f>$O$1540*$AA$1540</f>
        <v>1594.8131965488524</v>
      </c>
    </row>
    <row r="1541" spans="1:33" ht="11.25" customHeight="1" x14ac:dyDescent="0.25">
      <c r="A1541" s="4" t="s">
        <v>21</v>
      </c>
      <c r="B1541" s="4" t="s">
        <v>44</v>
      </c>
      <c r="C1541" s="4" t="s">
        <v>23</v>
      </c>
      <c r="D1541" s="4" t="s">
        <v>45</v>
      </c>
      <c r="E1541" s="4" t="s">
        <v>54</v>
      </c>
      <c r="F1541" s="4" t="s">
        <v>55</v>
      </c>
      <c r="G1541" s="4" t="s">
        <v>25</v>
      </c>
      <c r="H1541" s="4" t="s">
        <v>25</v>
      </c>
      <c r="I1541" s="5">
        <v>44378</v>
      </c>
      <c r="J1541" s="6">
        <v>0</v>
      </c>
      <c r="K1541" s="6">
        <v>0</v>
      </c>
      <c r="L1541" s="6">
        <v>57.106999999999999</v>
      </c>
      <c r="M1541" s="6">
        <v>57.106999999999999</v>
      </c>
      <c r="N1541" s="6">
        <v>57.106999999999999</v>
      </c>
      <c r="O1541" s="6">
        <v>57.106999999999999</v>
      </c>
      <c r="P1541" s="6">
        <v>0</v>
      </c>
      <c r="Q1541" s="4" t="s">
        <v>26</v>
      </c>
      <c r="R1541" s="4">
        <v>0</v>
      </c>
      <c r="S1541" s="6">
        <v>0</v>
      </c>
      <c r="T1541" s="6">
        <v>54</v>
      </c>
      <c r="U1541" s="6">
        <v>97</v>
      </c>
      <c r="V1541" s="6">
        <f>IF(ISERROR(VLOOKUP($S$1541,'TAR FIN'!$A$1:$O$116,15,0)),0,VLOOKUP($S$1541,'TAR FIN'!$A$1:$O$116,15,0))</f>
        <v>0</v>
      </c>
      <c r="W1541" s="6">
        <f>IF(ISERROR(VLOOKUP($T$1541,'TAR FIN'!$A$1:$O$116,15,0)),0,VLOOKUP($T$1541,'TAR FIN'!$A$1:$O$116,15,0))</f>
        <v>301.38</v>
      </c>
      <c r="X1541" s="6">
        <f>IF(ISERROR(VLOOKUP($U$1541,'TAR FIN'!$A$1:$O$116,15,0)),0,VLOOKUP($U$1541,'TAR FIN'!$A$1:$O$116,15,0))</f>
        <v>287.29000000000002</v>
      </c>
      <c r="Y1541" s="6"/>
      <c r="Z1541" s="6">
        <f ca="1">('TUSD BE'!$AM$56+'TUSD BF'!$AM$56+'TUSD CVA'!$AM$56)*(1-CUSTOS!$M$38)</f>
        <v>410.57781128100521</v>
      </c>
      <c r="AA1541" s="6">
        <f>('TE BE'!$AB$27+'TE BF'!$AB$27+'TE CVA'!$AB$27)*(1-CUSTOS!$M$38)</f>
        <v>309.85296222048811</v>
      </c>
      <c r="AB1541" s="6">
        <f>$K$1541*$V$1541</f>
        <v>0</v>
      </c>
      <c r="AC1541" s="6">
        <f>$M$1541*$W$1541</f>
        <v>17210.907660000001</v>
      </c>
      <c r="AD1541" s="6">
        <f>$O$1541*$X$1541</f>
        <v>16406.27003</v>
      </c>
      <c r="AE1541" s="6">
        <f>$K$1541*$Y$1541</f>
        <v>0</v>
      </c>
      <c r="AF1541" s="6">
        <f ca="1">$M$1541*$Z$1541</f>
        <v>23446.867068824366</v>
      </c>
      <c r="AG1541" s="6">
        <f>$O$1541*$AA$1541</f>
        <v>17694.773113525414</v>
      </c>
    </row>
    <row r="1542" spans="1:33" ht="11.25" customHeight="1" x14ac:dyDescent="0.25">
      <c r="A1542" s="4" t="s">
        <v>27</v>
      </c>
      <c r="B1542" s="4" t="s">
        <v>44</v>
      </c>
      <c r="C1542" s="4" t="s">
        <v>23</v>
      </c>
      <c r="D1542" s="4" t="s">
        <v>45</v>
      </c>
      <c r="E1542" s="4" t="s">
        <v>54</v>
      </c>
      <c r="F1542" s="4" t="s">
        <v>55</v>
      </c>
      <c r="G1542" s="4" t="s">
        <v>25</v>
      </c>
      <c r="H1542" s="4" t="s">
        <v>25</v>
      </c>
      <c r="I1542" s="5">
        <v>44378</v>
      </c>
      <c r="J1542" s="6">
        <v>0</v>
      </c>
      <c r="K1542" s="6">
        <v>0</v>
      </c>
      <c r="L1542" s="6">
        <v>-3.52</v>
      </c>
      <c r="M1542" s="6">
        <v>-3.52</v>
      </c>
      <c r="N1542" s="6">
        <v>-3.52</v>
      </c>
      <c r="O1542" s="6">
        <v>-3.52</v>
      </c>
      <c r="P1542" s="6">
        <v>0</v>
      </c>
      <c r="Q1542" s="4" t="s">
        <v>26</v>
      </c>
      <c r="R1542" s="4">
        <v>0</v>
      </c>
      <c r="S1542" s="6">
        <v>0</v>
      </c>
      <c r="T1542" s="6">
        <v>54</v>
      </c>
      <c r="U1542" s="6">
        <v>97</v>
      </c>
      <c r="V1542" s="6">
        <f>IF(ISERROR(VLOOKUP($S$1542,'TAR FIN'!$A$1:$O$116,15,0)),0,VLOOKUP($S$1542,'TAR FIN'!$A$1:$O$116,15,0))</f>
        <v>0</v>
      </c>
      <c r="W1542" s="6">
        <f>IF(ISERROR(VLOOKUP($T$1542,'TAR FIN'!$A$1:$O$116,15,0)),0,VLOOKUP($T$1542,'TAR FIN'!$A$1:$O$116,15,0))</f>
        <v>301.38</v>
      </c>
      <c r="X1542" s="6">
        <f>IF(ISERROR(VLOOKUP($U$1542,'TAR FIN'!$A$1:$O$116,15,0)),0,VLOOKUP($U$1542,'TAR FIN'!$A$1:$O$116,15,0))</f>
        <v>287.29000000000002</v>
      </c>
      <c r="Y1542" s="6"/>
      <c r="Z1542" s="6">
        <f ca="1">('TUSD BE'!$AM$56+'TUSD BF'!$AM$56+'TUSD CVA'!$AM$56)*(1-CUSTOS!$M$38)</f>
        <v>410.57781128100521</v>
      </c>
      <c r="AA1542" s="6">
        <f>('TE BE'!$AB$27+'TE BF'!$AB$27+'TE CVA'!$AB$27)*(1-CUSTOS!$M$38)</f>
        <v>309.85296222048811</v>
      </c>
      <c r="AB1542" s="6">
        <f>$K$1542*$V$1542</f>
        <v>0</v>
      </c>
      <c r="AC1542" s="6">
        <f>$M$1542*$W$1542</f>
        <v>-1060.8576</v>
      </c>
      <c r="AD1542" s="6">
        <f>$O$1542*$X$1542</f>
        <v>-1011.2608000000001</v>
      </c>
      <c r="AE1542" s="6">
        <f>$K$1542*$Y$1542</f>
        <v>0</v>
      </c>
      <c r="AF1542" s="6">
        <f ca="1">$M$1542*$Z$1542</f>
        <v>-1445.2338957091383</v>
      </c>
      <c r="AG1542" s="6">
        <f>$O$1542*$AA$1542</f>
        <v>-1090.6824270161183</v>
      </c>
    </row>
    <row r="1543" spans="1:33" ht="11.25" customHeight="1" x14ac:dyDescent="0.25">
      <c r="A1543" s="4" t="s">
        <v>28</v>
      </c>
      <c r="B1543" s="4" t="s">
        <v>44</v>
      </c>
      <c r="C1543" s="4" t="s">
        <v>23</v>
      </c>
      <c r="D1543" s="4" t="s">
        <v>45</v>
      </c>
      <c r="E1543" s="4" t="s">
        <v>54</v>
      </c>
      <c r="F1543" s="4" t="s">
        <v>55</v>
      </c>
      <c r="G1543" s="4" t="s">
        <v>25</v>
      </c>
      <c r="H1543" s="4" t="s">
        <v>25</v>
      </c>
      <c r="I1543" s="5">
        <v>44378</v>
      </c>
      <c r="J1543" s="6">
        <v>0</v>
      </c>
      <c r="K1543" s="6">
        <v>0</v>
      </c>
      <c r="L1543" s="6">
        <v>6.2130000000000001</v>
      </c>
      <c r="M1543" s="6">
        <v>6.2130000000000001</v>
      </c>
      <c r="N1543" s="6">
        <v>6.2130000000000001</v>
      </c>
      <c r="O1543" s="6">
        <v>6.2130000000000001</v>
      </c>
      <c r="P1543" s="6">
        <v>0</v>
      </c>
      <c r="Q1543" s="4" t="s">
        <v>26</v>
      </c>
      <c r="R1543" s="4">
        <v>0</v>
      </c>
      <c r="S1543" s="6">
        <v>0</v>
      </c>
      <c r="T1543" s="6">
        <v>54</v>
      </c>
      <c r="U1543" s="6">
        <v>97</v>
      </c>
      <c r="V1543" s="6">
        <f>IF(ISERROR(VLOOKUP($S$1543,'TAR FIN'!$A$1:$O$116,15,0)),0,VLOOKUP($S$1543,'TAR FIN'!$A$1:$O$116,15,0))</f>
        <v>0</v>
      </c>
      <c r="W1543" s="6">
        <f>IF(ISERROR(VLOOKUP($T$1543,'TAR FIN'!$A$1:$O$116,15,0)),0,VLOOKUP($T$1543,'TAR FIN'!$A$1:$O$116,15,0))</f>
        <v>301.38</v>
      </c>
      <c r="X1543" s="6">
        <f>IF(ISERROR(VLOOKUP($U$1543,'TAR FIN'!$A$1:$O$116,15,0)),0,VLOOKUP($U$1543,'TAR FIN'!$A$1:$O$116,15,0))</f>
        <v>287.29000000000002</v>
      </c>
      <c r="Y1543" s="6"/>
      <c r="Z1543" s="6">
        <f ca="1">('TUSD BE'!$AM$56+'TUSD BF'!$AM$56+'TUSD CVA'!$AM$56)*(1-CUSTOS!$M$38)</f>
        <v>410.57781128100521</v>
      </c>
      <c r="AA1543" s="6">
        <f>('TE BE'!$AB$27+'TE BF'!$AB$27+'TE CVA'!$AB$27)*(1-CUSTOS!$M$38)</f>
        <v>309.85296222048811</v>
      </c>
      <c r="AB1543" s="6">
        <f>$K$1543*$V$1543</f>
        <v>0</v>
      </c>
      <c r="AC1543" s="6">
        <f>$M$1543*$W$1543</f>
        <v>1872.4739400000001</v>
      </c>
      <c r="AD1543" s="6">
        <f>$O$1543*$X$1543</f>
        <v>1784.9327700000001</v>
      </c>
      <c r="AE1543" s="6">
        <f>$K$1543*$Y$1543</f>
        <v>0</v>
      </c>
      <c r="AF1543" s="6">
        <f ca="1">$M$1543*$Z$1543</f>
        <v>2550.9199414888853</v>
      </c>
      <c r="AG1543" s="6">
        <f>$O$1543*$AA$1543</f>
        <v>1925.1164542758927</v>
      </c>
    </row>
    <row r="1544" spans="1:33" ht="11.25" customHeight="1" x14ac:dyDescent="0.25">
      <c r="A1544" s="4" t="s">
        <v>28</v>
      </c>
      <c r="B1544" s="4" t="s">
        <v>44</v>
      </c>
      <c r="C1544" s="4" t="s">
        <v>23</v>
      </c>
      <c r="D1544" s="4" t="s">
        <v>45</v>
      </c>
      <c r="E1544" s="4" t="s">
        <v>54</v>
      </c>
      <c r="F1544" s="4" t="s">
        <v>55</v>
      </c>
      <c r="G1544" s="4" t="s">
        <v>25</v>
      </c>
      <c r="H1544" s="4" t="s">
        <v>25</v>
      </c>
      <c r="I1544" s="5">
        <v>44378</v>
      </c>
      <c r="J1544" s="6">
        <v>0</v>
      </c>
      <c r="K1544" s="6">
        <v>0</v>
      </c>
      <c r="L1544" s="6">
        <v>-113.19199999999999</v>
      </c>
      <c r="M1544" s="6">
        <v>-113.19199999999999</v>
      </c>
      <c r="N1544" s="6">
        <v>-113.19199999999999</v>
      </c>
      <c r="O1544" s="6">
        <v>-113.19199999999999</v>
      </c>
      <c r="P1544" s="6">
        <v>0</v>
      </c>
      <c r="Q1544" s="4" t="s">
        <v>26</v>
      </c>
      <c r="R1544" s="4">
        <v>0</v>
      </c>
      <c r="S1544" s="6">
        <v>0</v>
      </c>
      <c r="T1544" s="6">
        <v>54</v>
      </c>
      <c r="U1544" s="6">
        <v>97</v>
      </c>
      <c r="V1544" s="6">
        <f>IF(ISERROR(VLOOKUP($S$1544,'TAR FIN'!$A$1:$O$116,15,0)),0,VLOOKUP($S$1544,'TAR FIN'!$A$1:$O$116,15,0))</f>
        <v>0</v>
      </c>
      <c r="W1544" s="6">
        <f>IF(ISERROR(VLOOKUP($T$1544,'TAR FIN'!$A$1:$O$116,15,0)),0,VLOOKUP($T$1544,'TAR FIN'!$A$1:$O$116,15,0))</f>
        <v>301.38</v>
      </c>
      <c r="X1544" s="6">
        <f>IF(ISERROR(VLOOKUP($U$1544,'TAR FIN'!$A$1:$O$116,15,0)),0,VLOOKUP($U$1544,'TAR FIN'!$A$1:$O$116,15,0))</f>
        <v>287.29000000000002</v>
      </c>
      <c r="Y1544" s="6"/>
      <c r="Z1544" s="6">
        <f ca="1">('TUSD BE'!$AM$56+'TUSD BF'!$AM$56+'TUSD CVA'!$AM$56)*(1-CUSTOS!$M$38)</f>
        <v>410.57781128100521</v>
      </c>
      <c r="AA1544" s="6">
        <f>('TE BE'!$AB$27+'TE BF'!$AB$27+'TE CVA'!$AB$27)*(1-CUSTOS!$M$38)</f>
        <v>309.85296222048811</v>
      </c>
      <c r="AB1544" s="6">
        <f>$K$1544*$V$1544</f>
        <v>0</v>
      </c>
      <c r="AC1544" s="6">
        <f>$M$1544*$W$1544</f>
        <v>-34113.804959999994</v>
      </c>
      <c r="AD1544" s="6">
        <f>$O$1544*$X$1544</f>
        <v>-32518.929680000001</v>
      </c>
      <c r="AE1544" s="6">
        <f>$K$1544*$Y$1544</f>
        <v>0</v>
      </c>
      <c r="AF1544" s="6">
        <f ca="1">$M$1544*$Z$1544</f>
        <v>-46474.123614519536</v>
      </c>
      <c r="AG1544" s="6">
        <f>$O$1544*$AA$1544</f>
        <v>-35072.876499661485</v>
      </c>
    </row>
    <row r="1545" spans="1:33" ht="11.25" customHeight="1" x14ac:dyDescent="0.25">
      <c r="A1545" s="4" t="s">
        <v>21</v>
      </c>
      <c r="B1545" s="4" t="s">
        <v>44</v>
      </c>
      <c r="C1545" s="4" t="s">
        <v>23</v>
      </c>
      <c r="D1545" s="4" t="s">
        <v>45</v>
      </c>
      <c r="E1545" s="4" t="s">
        <v>54</v>
      </c>
      <c r="F1545" s="4" t="s">
        <v>55</v>
      </c>
      <c r="G1545" s="4" t="s">
        <v>25</v>
      </c>
      <c r="H1545" s="4" t="s">
        <v>25</v>
      </c>
      <c r="I1545" s="5">
        <v>44409</v>
      </c>
      <c r="J1545" s="6">
        <v>0</v>
      </c>
      <c r="K1545" s="6">
        <v>0</v>
      </c>
      <c r="L1545" s="6">
        <v>55.843000000000004</v>
      </c>
      <c r="M1545" s="6">
        <v>55.843000000000004</v>
      </c>
      <c r="N1545" s="6">
        <v>55.843000000000004</v>
      </c>
      <c r="O1545" s="6">
        <v>55.843000000000004</v>
      </c>
      <c r="P1545" s="6">
        <v>0</v>
      </c>
      <c r="Q1545" s="4" t="s">
        <v>26</v>
      </c>
      <c r="R1545" s="4">
        <v>0</v>
      </c>
      <c r="S1545" s="6">
        <v>0</v>
      </c>
      <c r="T1545" s="6">
        <v>54</v>
      </c>
      <c r="U1545" s="6">
        <v>97</v>
      </c>
      <c r="V1545" s="6">
        <f>IF(ISERROR(VLOOKUP($S$1545,'TAR FIN'!$A$1:$O$116,15,0)),0,VLOOKUP($S$1545,'TAR FIN'!$A$1:$O$116,15,0))</f>
        <v>0</v>
      </c>
      <c r="W1545" s="6">
        <f>IF(ISERROR(VLOOKUP($T$1545,'TAR FIN'!$A$1:$O$116,15,0)),0,VLOOKUP($T$1545,'TAR FIN'!$A$1:$O$116,15,0))</f>
        <v>301.38</v>
      </c>
      <c r="X1545" s="6">
        <f>IF(ISERROR(VLOOKUP($U$1545,'TAR FIN'!$A$1:$O$116,15,0)),0,VLOOKUP($U$1545,'TAR FIN'!$A$1:$O$116,15,0))</f>
        <v>287.29000000000002</v>
      </c>
      <c r="Y1545" s="6"/>
      <c r="Z1545" s="6">
        <f ca="1">('TUSD BE'!$AM$56+'TUSD BF'!$AM$56+'TUSD CVA'!$AM$56)*(1-CUSTOS!$M$38)</f>
        <v>410.57781128100521</v>
      </c>
      <c r="AA1545" s="6">
        <f>('TE BE'!$AB$27+'TE BF'!$AB$27+'TE CVA'!$AB$27)*(1-CUSTOS!$M$38)</f>
        <v>309.85296222048811</v>
      </c>
      <c r="AB1545" s="6">
        <f>$K$1545*$V$1545</f>
        <v>0</v>
      </c>
      <c r="AC1545" s="6">
        <f>$M$1545*$W$1545</f>
        <v>16829.963340000002</v>
      </c>
      <c r="AD1545" s="6">
        <f>$O$1545*$X$1545</f>
        <v>16043.135470000003</v>
      </c>
      <c r="AE1545" s="6">
        <f>$K$1545*$Y$1545</f>
        <v>0</v>
      </c>
      <c r="AF1545" s="6">
        <f ca="1">$M$1545*$Z$1545</f>
        <v>22927.896715365176</v>
      </c>
      <c r="AG1545" s="6">
        <f>$O$1545*$AA$1545</f>
        <v>17303.118969278719</v>
      </c>
    </row>
    <row r="1546" spans="1:33" ht="11.25" customHeight="1" x14ac:dyDescent="0.25">
      <c r="A1546" s="4" t="s">
        <v>27</v>
      </c>
      <c r="B1546" s="4" t="s">
        <v>44</v>
      </c>
      <c r="C1546" s="4" t="s">
        <v>23</v>
      </c>
      <c r="D1546" s="4" t="s">
        <v>45</v>
      </c>
      <c r="E1546" s="4" t="s">
        <v>54</v>
      </c>
      <c r="F1546" s="4" t="s">
        <v>55</v>
      </c>
      <c r="G1546" s="4" t="s">
        <v>25</v>
      </c>
      <c r="H1546" s="4" t="s">
        <v>25</v>
      </c>
      <c r="I1546" s="5">
        <v>44409</v>
      </c>
      <c r="J1546" s="6">
        <v>0</v>
      </c>
      <c r="K1546" s="6">
        <v>0</v>
      </c>
      <c r="L1546" s="6">
        <v>-11.164999999999999</v>
      </c>
      <c r="M1546" s="6">
        <v>-11.164999999999999</v>
      </c>
      <c r="N1546" s="6">
        <v>-11.164999999999999</v>
      </c>
      <c r="O1546" s="6">
        <v>-11.164999999999999</v>
      </c>
      <c r="P1546" s="6">
        <v>0</v>
      </c>
      <c r="Q1546" s="4" t="s">
        <v>26</v>
      </c>
      <c r="R1546" s="4">
        <v>0</v>
      </c>
      <c r="S1546" s="6">
        <v>0</v>
      </c>
      <c r="T1546" s="6">
        <v>54</v>
      </c>
      <c r="U1546" s="6">
        <v>97</v>
      </c>
      <c r="V1546" s="6">
        <f>IF(ISERROR(VLOOKUP($S$1546,'TAR FIN'!$A$1:$O$116,15,0)),0,VLOOKUP($S$1546,'TAR FIN'!$A$1:$O$116,15,0))</f>
        <v>0</v>
      </c>
      <c r="W1546" s="6">
        <f>IF(ISERROR(VLOOKUP($T$1546,'TAR FIN'!$A$1:$O$116,15,0)),0,VLOOKUP($T$1546,'TAR FIN'!$A$1:$O$116,15,0))</f>
        <v>301.38</v>
      </c>
      <c r="X1546" s="6">
        <f>IF(ISERROR(VLOOKUP($U$1546,'TAR FIN'!$A$1:$O$116,15,0)),0,VLOOKUP($U$1546,'TAR FIN'!$A$1:$O$116,15,0))</f>
        <v>287.29000000000002</v>
      </c>
      <c r="Y1546" s="6"/>
      <c r="Z1546" s="6">
        <f ca="1">('TUSD BE'!$AM$56+'TUSD BF'!$AM$56+'TUSD CVA'!$AM$56)*(1-CUSTOS!$M$38)</f>
        <v>410.57781128100521</v>
      </c>
      <c r="AA1546" s="6">
        <f>('TE BE'!$AB$27+'TE BF'!$AB$27+'TE CVA'!$AB$27)*(1-CUSTOS!$M$38)</f>
        <v>309.85296222048811</v>
      </c>
      <c r="AB1546" s="6">
        <f>$K$1546*$V$1546</f>
        <v>0</v>
      </c>
      <c r="AC1546" s="6">
        <f>$M$1546*$W$1546</f>
        <v>-3364.9076999999997</v>
      </c>
      <c r="AD1546" s="6">
        <f>$O$1546*$X$1546</f>
        <v>-3207.59285</v>
      </c>
      <c r="AE1546" s="6">
        <f>$K$1546*$Y$1546</f>
        <v>0</v>
      </c>
      <c r="AF1546" s="6">
        <f ca="1">$M$1546*$Z$1546</f>
        <v>-4584.101262952423</v>
      </c>
      <c r="AG1546" s="6">
        <f>$O$1546*$AA$1546</f>
        <v>-3459.5083231917497</v>
      </c>
    </row>
    <row r="1547" spans="1:33" ht="11.25" customHeight="1" x14ac:dyDescent="0.25">
      <c r="A1547" s="4" t="s">
        <v>28</v>
      </c>
      <c r="B1547" s="4" t="s">
        <v>44</v>
      </c>
      <c r="C1547" s="4" t="s">
        <v>23</v>
      </c>
      <c r="D1547" s="4" t="s">
        <v>45</v>
      </c>
      <c r="E1547" s="4" t="s">
        <v>54</v>
      </c>
      <c r="F1547" s="4" t="s">
        <v>55</v>
      </c>
      <c r="G1547" s="4" t="s">
        <v>25</v>
      </c>
      <c r="H1547" s="4" t="s">
        <v>25</v>
      </c>
      <c r="I1547" s="5">
        <v>44409</v>
      </c>
      <c r="J1547" s="6">
        <v>0</v>
      </c>
      <c r="K1547" s="6">
        <v>0</v>
      </c>
      <c r="L1547" s="6">
        <v>4.6390000000000002</v>
      </c>
      <c r="M1547" s="6">
        <v>4.6390000000000002</v>
      </c>
      <c r="N1547" s="6">
        <v>4.6390000000000002</v>
      </c>
      <c r="O1547" s="6">
        <v>4.6390000000000002</v>
      </c>
      <c r="P1547" s="6">
        <v>0</v>
      </c>
      <c r="Q1547" s="4" t="s">
        <v>26</v>
      </c>
      <c r="R1547" s="4">
        <v>0</v>
      </c>
      <c r="S1547" s="6">
        <v>0</v>
      </c>
      <c r="T1547" s="6">
        <v>54</v>
      </c>
      <c r="U1547" s="6">
        <v>97</v>
      </c>
      <c r="V1547" s="6">
        <f>IF(ISERROR(VLOOKUP($S$1547,'TAR FIN'!$A$1:$O$116,15,0)),0,VLOOKUP($S$1547,'TAR FIN'!$A$1:$O$116,15,0))</f>
        <v>0</v>
      </c>
      <c r="W1547" s="6">
        <f>IF(ISERROR(VLOOKUP($T$1547,'TAR FIN'!$A$1:$O$116,15,0)),0,VLOOKUP($T$1547,'TAR FIN'!$A$1:$O$116,15,0))</f>
        <v>301.38</v>
      </c>
      <c r="X1547" s="6">
        <f>IF(ISERROR(VLOOKUP($U$1547,'TAR FIN'!$A$1:$O$116,15,0)),0,VLOOKUP($U$1547,'TAR FIN'!$A$1:$O$116,15,0))</f>
        <v>287.29000000000002</v>
      </c>
      <c r="Y1547" s="6"/>
      <c r="Z1547" s="6">
        <f ca="1">('TUSD BE'!$AM$56+'TUSD BF'!$AM$56+'TUSD CVA'!$AM$56)*(1-CUSTOS!$M$38)</f>
        <v>410.57781128100521</v>
      </c>
      <c r="AA1547" s="6">
        <f>('TE BE'!$AB$27+'TE BF'!$AB$27+'TE CVA'!$AB$27)*(1-CUSTOS!$M$38)</f>
        <v>309.85296222048811</v>
      </c>
      <c r="AB1547" s="6">
        <f>$K$1547*$V$1547</f>
        <v>0</v>
      </c>
      <c r="AC1547" s="6">
        <f>$M$1547*$W$1547</f>
        <v>1398.1018200000001</v>
      </c>
      <c r="AD1547" s="6">
        <f>$O$1547*$X$1547</f>
        <v>1332.7383100000002</v>
      </c>
      <c r="AE1547" s="6">
        <f>$K$1547*$Y$1547</f>
        <v>0</v>
      </c>
      <c r="AF1547" s="6">
        <f ca="1">$M$1547*$Z$1547</f>
        <v>1904.6704665325833</v>
      </c>
      <c r="AG1547" s="6">
        <f>$O$1547*$AA$1547</f>
        <v>1437.4078917408444</v>
      </c>
    </row>
    <row r="1548" spans="1:33" ht="11.25" customHeight="1" x14ac:dyDescent="0.25">
      <c r="A1548" s="4" t="s">
        <v>21</v>
      </c>
      <c r="B1548" s="4" t="s">
        <v>44</v>
      </c>
      <c r="C1548" s="4" t="s">
        <v>23</v>
      </c>
      <c r="D1548" s="4" t="s">
        <v>45</v>
      </c>
      <c r="E1548" s="4" t="s">
        <v>54</v>
      </c>
      <c r="F1548" s="4" t="s">
        <v>55</v>
      </c>
      <c r="G1548" s="4" t="s">
        <v>25</v>
      </c>
      <c r="H1548" s="4" t="s">
        <v>25</v>
      </c>
      <c r="I1548" s="5">
        <v>44440</v>
      </c>
      <c r="J1548" s="6">
        <v>0</v>
      </c>
      <c r="K1548" s="6">
        <v>0</v>
      </c>
      <c r="L1548" s="6">
        <v>73.084000000000003</v>
      </c>
      <c r="M1548" s="6">
        <v>73.084000000000003</v>
      </c>
      <c r="N1548" s="6">
        <v>73.084000000000003</v>
      </c>
      <c r="O1548" s="6">
        <v>73.084000000000003</v>
      </c>
      <c r="P1548" s="6">
        <v>0</v>
      </c>
      <c r="Q1548" s="4" t="s">
        <v>26</v>
      </c>
      <c r="R1548" s="4">
        <v>0</v>
      </c>
      <c r="S1548" s="6">
        <v>0</v>
      </c>
      <c r="T1548" s="6">
        <v>54</v>
      </c>
      <c r="U1548" s="6">
        <v>97</v>
      </c>
      <c r="V1548" s="6">
        <f>IF(ISERROR(VLOOKUP($S$1548,'TAR FIN'!$A$1:$O$116,15,0)),0,VLOOKUP($S$1548,'TAR FIN'!$A$1:$O$116,15,0))</f>
        <v>0</v>
      </c>
      <c r="W1548" s="6">
        <f>IF(ISERROR(VLOOKUP($T$1548,'TAR FIN'!$A$1:$O$116,15,0)),0,VLOOKUP($T$1548,'TAR FIN'!$A$1:$O$116,15,0))</f>
        <v>301.38</v>
      </c>
      <c r="X1548" s="6">
        <f>IF(ISERROR(VLOOKUP($U$1548,'TAR FIN'!$A$1:$O$116,15,0)),0,VLOOKUP($U$1548,'TAR FIN'!$A$1:$O$116,15,0))</f>
        <v>287.29000000000002</v>
      </c>
      <c r="Y1548" s="6"/>
      <c r="Z1548" s="6">
        <f ca="1">('TUSD BE'!$AM$56+'TUSD BF'!$AM$56+'TUSD CVA'!$AM$56)*(1-CUSTOS!$M$38)</f>
        <v>410.57781128100521</v>
      </c>
      <c r="AA1548" s="6">
        <f>('TE BE'!$AB$27+'TE BF'!$AB$27+'TE CVA'!$AB$27)*(1-CUSTOS!$M$38)</f>
        <v>309.85296222048811</v>
      </c>
      <c r="AB1548" s="6">
        <f>$K$1548*$V$1548</f>
        <v>0</v>
      </c>
      <c r="AC1548" s="6">
        <f>$M$1548*$W$1548</f>
        <v>22026.055919999999</v>
      </c>
      <c r="AD1548" s="6">
        <f>$O$1548*$X$1548</f>
        <v>20996.302360000001</v>
      </c>
      <c r="AE1548" s="6">
        <f>$K$1548*$Y$1548</f>
        <v>0</v>
      </c>
      <c r="AF1548" s="6">
        <f ca="1">$M$1548*$Z$1548</f>
        <v>30006.668759660985</v>
      </c>
      <c r="AG1548" s="6">
        <f>$O$1548*$AA$1548</f>
        <v>22645.293890922156</v>
      </c>
    </row>
    <row r="1549" spans="1:33" ht="11.25" customHeight="1" x14ac:dyDescent="0.25">
      <c r="A1549" s="4" t="s">
        <v>27</v>
      </c>
      <c r="B1549" s="4" t="s">
        <v>44</v>
      </c>
      <c r="C1549" s="4" t="s">
        <v>23</v>
      </c>
      <c r="D1549" s="4" t="s">
        <v>45</v>
      </c>
      <c r="E1549" s="4" t="s">
        <v>54</v>
      </c>
      <c r="F1549" s="4" t="s">
        <v>55</v>
      </c>
      <c r="G1549" s="4" t="s">
        <v>25</v>
      </c>
      <c r="H1549" s="4" t="s">
        <v>25</v>
      </c>
      <c r="I1549" s="5">
        <v>44440</v>
      </c>
      <c r="J1549" s="6">
        <v>0</v>
      </c>
      <c r="K1549" s="6">
        <v>0</v>
      </c>
      <c r="L1549" s="6">
        <v>5.0999999999999997E-2</v>
      </c>
      <c r="M1549" s="6">
        <v>5.0999999999999997E-2</v>
      </c>
      <c r="N1549" s="6">
        <v>5.0999999999999997E-2</v>
      </c>
      <c r="O1549" s="6">
        <v>5.0999999999999997E-2</v>
      </c>
      <c r="P1549" s="6">
        <v>0</v>
      </c>
      <c r="Q1549" s="4" t="s">
        <v>26</v>
      </c>
      <c r="R1549" s="4">
        <v>0</v>
      </c>
      <c r="S1549" s="6">
        <v>0</v>
      </c>
      <c r="T1549" s="6">
        <v>54</v>
      </c>
      <c r="U1549" s="6">
        <v>97</v>
      </c>
      <c r="V1549" s="6">
        <f>IF(ISERROR(VLOOKUP($S$1549,'TAR FIN'!$A$1:$O$116,15,0)),0,VLOOKUP($S$1549,'TAR FIN'!$A$1:$O$116,15,0))</f>
        <v>0</v>
      </c>
      <c r="W1549" s="6">
        <f>IF(ISERROR(VLOOKUP($T$1549,'TAR FIN'!$A$1:$O$116,15,0)),0,VLOOKUP($T$1549,'TAR FIN'!$A$1:$O$116,15,0))</f>
        <v>301.38</v>
      </c>
      <c r="X1549" s="6">
        <f>IF(ISERROR(VLOOKUP($U$1549,'TAR FIN'!$A$1:$O$116,15,0)),0,VLOOKUP($U$1549,'TAR FIN'!$A$1:$O$116,15,0))</f>
        <v>287.29000000000002</v>
      </c>
      <c r="Y1549" s="6"/>
      <c r="Z1549" s="6">
        <f ca="1">('TUSD BE'!$AM$56+'TUSD BF'!$AM$56+'TUSD CVA'!$AM$56)*(1-CUSTOS!$M$38)</f>
        <v>410.57781128100521</v>
      </c>
      <c r="AA1549" s="6">
        <f>('TE BE'!$AB$27+'TE BF'!$AB$27+'TE CVA'!$AB$27)*(1-CUSTOS!$M$38)</f>
        <v>309.85296222048811</v>
      </c>
      <c r="AB1549" s="6">
        <f>$K$1549*$V$1549</f>
        <v>0</v>
      </c>
      <c r="AC1549" s="6">
        <f>$M$1549*$W$1549</f>
        <v>15.370379999999999</v>
      </c>
      <c r="AD1549" s="6">
        <f>$O$1549*$X$1549</f>
        <v>14.65179</v>
      </c>
      <c r="AE1549" s="6">
        <f>$K$1549*$Y$1549</f>
        <v>0</v>
      </c>
      <c r="AF1549" s="6">
        <f ca="1">$M$1549*$Z$1549</f>
        <v>20.939468375331263</v>
      </c>
      <c r="AG1549" s="6">
        <f>$O$1549*$AA$1549</f>
        <v>15.802501073244892</v>
      </c>
    </row>
    <row r="1550" spans="1:33" ht="11.25" customHeight="1" x14ac:dyDescent="0.25">
      <c r="A1550" s="4" t="s">
        <v>28</v>
      </c>
      <c r="B1550" s="4" t="s">
        <v>44</v>
      </c>
      <c r="C1550" s="4" t="s">
        <v>23</v>
      </c>
      <c r="D1550" s="4" t="s">
        <v>45</v>
      </c>
      <c r="E1550" s="4" t="s">
        <v>54</v>
      </c>
      <c r="F1550" s="4" t="s">
        <v>55</v>
      </c>
      <c r="G1550" s="4" t="s">
        <v>25</v>
      </c>
      <c r="H1550" s="4" t="s">
        <v>25</v>
      </c>
      <c r="I1550" s="5">
        <v>44440</v>
      </c>
      <c r="J1550" s="6">
        <v>0</v>
      </c>
      <c r="K1550" s="6">
        <v>0</v>
      </c>
      <c r="L1550" s="6">
        <v>4.1539999999999999</v>
      </c>
      <c r="M1550" s="6">
        <v>4.1539999999999999</v>
      </c>
      <c r="N1550" s="6">
        <v>4.1539999999999999</v>
      </c>
      <c r="O1550" s="6">
        <v>4.1539999999999999</v>
      </c>
      <c r="P1550" s="6">
        <v>0</v>
      </c>
      <c r="Q1550" s="4" t="s">
        <v>26</v>
      </c>
      <c r="R1550" s="4">
        <v>0</v>
      </c>
      <c r="S1550" s="6">
        <v>0</v>
      </c>
      <c r="T1550" s="6">
        <v>54</v>
      </c>
      <c r="U1550" s="6">
        <v>97</v>
      </c>
      <c r="V1550" s="6">
        <f>IF(ISERROR(VLOOKUP($S$1550,'TAR FIN'!$A$1:$O$116,15,0)),0,VLOOKUP($S$1550,'TAR FIN'!$A$1:$O$116,15,0))</f>
        <v>0</v>
      </c>
      <c r="W1550" s="6">
        <f>IF(ISERROR(VLOOKUP($T$1550,'TAR FIN'!$A$1:$O$116,15,0)),0,VLOOKUP($T$1550,'TAR FIN'!$A$1:$O$116,15,0))</f>
        <v>301.38</v>
      </c>
      <c r="X1550" s="6">
        <f>IF(ISERROR(VLOOKUP($U$1550,'TAR FIN'!$A$1:$O$116,15,0)),0,VLOOKUP($U$1550,'TAR FIN'!$A$1:$O$116,15,0))</f>
        <v>287.29000000000002</v>
      </c>
      <c r="Y1550" s="6"/>
      <c r="Z1550" s="6">
        <f ca="1">('TUSD BE'!$AM$56+'TUSD BF'!$AM$56+'TUSD CVA'!$AM$56)*(1-CUSTOS!$M$38)</f>
        <v>410.57781128100521</v>
      </c>
      <c r="AA1550" s="6">
        <f>('TE BE'!$AB$27+'TE BF'!$AB$27+'TE CVA'!$AB$27)*(1-CUSTOS!$M$38)</f>
        <v>309.85296222048811</v>
      </c>
      <c r="AB1550" s="6">
        <f>$K$1550*$V$1550</f>
        <v>0</v>
      </c>
      <c r="AC1550" s="6">
        <f>$M$1550*$W$1550</f>
        <v>1251.9325200000001</v>
      </c>
      <c r="AD1550" s="6">
        <f>$O$1550*$X$1550</f>
        <v>1193.40266</v>
      </c>
      <c r="AE1550" s="6">
        <f>$K$1550*$Y$1550</f>
        <v>0</v>
      </c>
      <c r="AF1550" s="6">
        <f ca="1">$M$1550*$Z$1550</f>
        <v>1705.5402280612957</v>
      </c>
      <c r="AG1550" s="6">
        <f>$O$1550*$AA$1550</f>
        <v>1287.1292050639076</v>
      </c>
    </row>
    <row r="1551" spans="1:33" ht="11.25" customHeight="1" x14ac:dyDescent="0.25">
      <c r="A1551" s="4" t="s">
        <v>28</v>
      </c>
      <c r="B1551" s="4" t="s">
        <v>44</v>
      </c>
      <c r="C1551" s="4" t="s">
        <v>23</v>
      </c>
      <c r="D1551" s="4" t="s">
        <v>45</v>
      </c>
      <c r="E1551" s="4" t="s">
        <v>54</v>
      </c>
      <c r="F1551" s="4" t="s">
        <v>55</v>
      </c>
      <c r="G1551" s="4" t="s">
        <v>25</v>
      </c>
      <c r="H1551" s="4" t="s">
        <v>25</v>
      </c>
      <c r="I1551" s="5">
        <v>44440</v>
      </c>
      <c r="J1551" s="6">
        <v>0</v>
      </c>
      <c r="K1551" s="6">
        <v>0</v>
      </c>
      <c r="L1551" s="6">
        <v>-0.35799999999999998</v>
      </c>
      <c r="M1551" s="6">
        <v>-0.35799999999999998</v>
      </c>
      <c r="N1551" s="6">
        <v>-0.35799999999999998</v>
      </c>
      <c r="O1551" s="6">
        <v>-0.35799999999999998</v>
      </c>
      <c r="P1551" s="6">
        <v>0</v>
      </c>
      <c r="Q1551" s="4" t="s">
        <v>26</v>
      </c>
      <c r="R1551" s="4">
        <v>0</v>
      </c>
      <c r="S1551" s="6">
        <v>0</v>
      </c>
      <c r="T1551" s="6">
        <v>54</v>
      </c>
      <c r="U1551" s="6">
        <v>97</v>
      </c>
      <c r="V1551" s="6">
        <f>IF(ISERROR(VLOOKUP($S$1551,'TAR FIN'!$A$1:$O$116,15,0)),0,VLOOKUP($S$1551,'TAR FIN'!$A$1:$O$116,15,0))</f>
        <v>0</v>
      </c>
      <c r="W1551" s="6">
        <f>IF(ISERROR(VLOOKUP($T$1551,'TAR FIN'!$A$1:$O$116,15,0)),0,VLOOKUP($T$1551,'TAR FIN'!$A$1:$O$116,15,0))</f>
        <v>301.38</v>
      </c>
      <c r="X1551" s="6">
        <f>IF(ISERROR(VLOOKUP($U$1551,'TAR FIN'!$A$1:$O$116,15,0)),0,VLOOKUP($U$1551,'TAR FIN'!$A$1:$O$116,15,0))</f>
        <v>287.29000000000002</v>
      </c>
      <c r="Y1551" s="6"/>
      <c r="Z1551" s="6">
        <f ca="1">('TUSD BE'!$AM$56+'TUSD BF'!$AM$56+'TUSD CVA'!$AM$56)*(1-CUSTOS!$M$38)</f>
        <v>410.57781128100521</v>
      </c>
      <c r="AA1551" s="6">
        <f>('TE BE'!$AB$27+'TE BF'!$AB$27+'TE CVA'!$AB$27)*(1-CUSTOS!$M$38)</f>
        <v>309.85296222048811</v>
      </c>
      <c r="AB1551" s="6">
        <f>$K$1551*$V$1551</f>
        <v>0</v>
      </c>
      <c r="AC1551" s="6">
        <f>$M$1551*$W$1551</f>
        <v>-107.89403999999999</v>
      </c>
      <c r="AD1551" s="6">
        <f>$O$1551*$X$1551</f>
        <v>-102.84982000000001</v>
      </c>
      <c r="AE1551" s="6">
        <f>$K$1551*$Y$1551</f>
        <v>0</v>
      </c>
      <c r="AF1551" s="6">
        <f ca="1">$M$1551*$Z$1551</f>
        <v>-146.98685643859986</v>
      </c>
      <c r="AG1551" s="6">
        <f>$O$1551*$AA$1551</f>
        <v>-110.92736047493474</v>
      </c>
    </row>
    <row r="1552" spans="1:33" ht="11.25" customHeight="1" x14ac:dyDescent="0.25">
      <c r="A1552" s="4" t="s">
        <v>21</v>
      </c>
      <c r="B1552" s="4" t="s">
        <v>44</v>
      </c>
      <c r="C1552" s="4" t="s">
        <v>23</v>
      </c>
      <c r="D1552" s="4" t="s">
        <v>45</v>
      </c>
      <c r="E1552" s="4" t="s">
        <v>54</v>
      </c>
      <c r="F1552" s="4" t="s">
        <v>55</v>
      </c>
      <c r="G1552" s="4" t="s">
        <v>25</v>
      </c>
      <c r="H1552" s="4" t="s">
        <v>25</v>
      </c>
      <c r="I1552" s="5">
        <v>44470</v>
      </c>
      <c r="J1552" s="6">
        <v>0</v>
      </c>
      <c r="K1552" s="6">
        <v>0</v>
      </c>
      <c r="L1552" s="6">
        <v>44.103000000000002</v>
      </c>
      <c r="M1552" s="6">
        <v>44.103000000000002</v>
      </c>
      <c r="N1552" s="6">
        <v>44.103000000000002</v>
      </c>
      <c r="O1552" s="6">
        <v>44.103000000000002</v>
      </c>
      <c r="P1552" s="6">
        <v>0</v>
      </c>
      <c r="Q1552" s="4" t="s">
        <v>26</v>
      </c>
      <c r="R1552" s="4">
        <v>0</v>
      </c>
      <c r="S1552" s="6">
        <v>0</v>
      </c>
      <c r="T1552" s="6">
        <v>54</v>
      </c>
      <c r="U1552" s="6">
        <v>97</v>
      </c>
      <c r="V1552" s="6">
        <f>IF(ISERROR(VLOOKUP($S$1552,'TAR FIN'!$A$1:$O$116,15,0)),0,VLOOKUP($S$1552,'TAR FIN'!$A$1:$O$116,15,0))</f>
        <v>0</v>
      </c>
      <c r="W1552" s="6">
        <f>IF(ISERROR(VLOOKUP($T$1552,'TAR FIN'!$A$1:$O$116,15,0)),0,VLOOKUP($T$1552,'TAR FIN'!$A$1:$O$116,15,0))</f>
        <v>301.38</v>
      </c>
      <c r="X1552" s="6">
        <f>IF(ISERROR(VLOOKUP($U$1552,'TAR FIN'!$A$1:$O$116,15,0)),0,VLOOKUP($U$1552,'TAR FIN'!$A$1:$O$116,15,0))</f>
        <v>287.29000000000002</v>
      </c>
      <c r="Y1552" s="6"/>
      <c r="Z1552" s="6">
        <f ca="1">('TUSD BE'!$AM$56+'TUSD BF'!$AM$56+'TUSD CVA'!$AM$56)*(1-CUSTOS!$M$38)</f>
        <v>410.57781128100521</v>
      </c>
      <c r="AA1552" s="6">
        <f>('TE BE'!$AB$27+'TE BF'!$AB$27+'TE CVA'!$AB$27)*(1-CUSTOS!$M$38)</f>
        <v>309.85296222048811</v>
      </c>
      <c r="AB1552" s="6">
        <f>$K$1552*$V$1552</f>
        <v>0</v>
      </c>
      <c r="AC1552" s="6">
        <f>$M$1552*$W$1552</f>
        <v>13291.762140000001</v>
      </c>
      <c r="AD1552" s="6">
        <f>$O$1552*$X$1552</f>
        <v>12670.350870000002</v>
      </c>
      <c r="AE1552" s="6">
        <f>$K$1552*$Y$1552</f>
        <v>0</v>
      </c>
      <c r="AF1552" s="6">
        <f ca="1">$M$1552*$Z$1552</f>
        <v>18107.713210926173</v>
      </c>
      <c r="AG1552" s="6">
        <f>$O$1552*$AA$1552</f>
        <v>13665.445192810188</v>
      </c>
    </row>
    <row r="1553" spans="1:33" ht="11.25" customHeight="1" x14ac:dyDescent="0.25">
      <c r="A1553" s="4" t="s">
        <v>27</v>
      </c>
      <c r="B1553" s="4" t="s">
        <v>44</v>
      </c>
      <c r="C1553" s="4" t="s">
        <v>23</v>
      </c>
      <c r="D1553" s="4" t="s">
        <v>45</v>
      </c>
      <c r="E1553" s="4" t="s">
        <v>54</v>
      </c>
      <c r="F1553" s="4" t="s">
        <v>55</v>
      </c>
      <c r="G1553" s="4" t="s">
        <v>25</v>
      </c>
      <c r="H1553" s="4" t="s">
        <v>25</v>
      </c>
      <c r="I1553" s="5">
        <v>44470</v>
      </c>
      <c r="J1553" s="6">
        <v>0</v>
      </c>
      <c r="K1553" s="6">
        <v>0</v>
      </c>
      <c r="L1553" s="6">
        <v>-1.7809999999999999</v>
      </c>
      <c r="M1553" s="6">
        <v>-1.7809999999999999</v>
      </c>
      <c r="N1553" s="6">
        <v>-1.7809999999999999</v>
      </c>
      <c r="O1553" s="6">
        <v>-1.7809999999999999</v>
      </c>
      <c r="P1553" s="6">
        <v>0</v>
      </c>
      <c r="Q1553" s="4" t="s">
        <v>26</v>
      </c>
      <c r="R1553" s="4">
        <v>0</v>
      </c>
      <c r="S1553" s="6">
        <v>0</v>
      </c>
      <c r="T1553" s="6">
        <v>54</v>
      </c>
      <c r="U1553" s="6">
        <v>97</v>
      </c>
      <c r="V1553" s="6">
        <f>IF(ISERROR(VLOOKUP($S$1553,'TAR FIN'!$A$1:$O$116,15,0)),0,VLOOKUP($S$1553,'TAR FIN'!$A$1:$O$116,15,0))</f>
        <v>0</v>
      </c>
      <c r="W1553" s="6">
        <f>IF(ISERROR(VLOOKUP($T$1553,'TAR FIN'!$A$1:$O$116,15,0)),0,VLOOKUP($T$1553,'TAR FIN'!$A$1:$O$116,15,0))</f>
        <v>301.38</v>
      </c>
      <c r="X1553" s="6">
        <f>IF(ISERROR(VLOOKUP($U$1553,'TAR FIN'!$A$1:$O$116,15,0)),0,VLOOKUP($U$1553,'TAR FIN'!$A$1:$O$116,15,0))</f>
        <v>287.29000000000002</v>
      </c>
      <c r="Y1553" s="6"/>
      <c r="Z1553" s="6">
        <f ca="1">('TUSD BE'!$AM$56+'TUSD BF'!$AM$56+'TUSD CVA'!$AM$56)*(1-CUSTOS!$M$38)</f>
        <v>410.57781128100521</v>
      </c>
      <c r="AA1553" s="6">
        <f>('TE BE'!$AB$27+'TE BF'!$AB$27+'TE CVA'!$AB$27)*(1-CUSTOS!$M$38)</f>
        <v>309.85296222048811</v>
      </c>
      <c r="AB1553" s="6">
        <f>$K$1553*$V$1553</f>
        <v>0</v>
      </c>
      <c r="AC1553" s="6">
        <f>$M$1553*$W$1553</f>
        <v>-536.75777999999991</v>
      </c>
      <c r="AD1553" s="6">
        <f>$O$1553*$X$1553</f>
        <v>-511.66349000000002</v>
      </c>
      <c r="AE1553" s="6">
        <f>$K$1553*$Y$1553</f>
        <v>0</v>
      </c>
      <c r="AF1553" s="6">
        <f ca="1">$M$1553*$Z$1553</f>
        <v>-731.23908189147028</v>
      </c>
      <c r="AG1553" s="6">
        <f>$O$1553*$AA$1553</f>
        <v>-551.84812571468933</v>
      </c>
    </row>
    <row r="1554" spans="1:33" ht="11.25" customHeight="1" x14ac:dyDescent="0.25">
      <c r="A1554" s="4" t="s">
        <v>28</v>
      </c>
      <c r="B1554" s="4" t="s">
        <v>44</v>
      </c>
      <c r="C1554" s="4" t="s">
        <v>23</v>
      </c>
      <c r="D1554" s="4" t="s">
        <v>45</v>
      </c>
      <c r="E1554" s="4" t="s">
        <v>54</v>
      </c>
      <c r="F1554" s="4" t="s">
        <v>55</v>
      </c>
      <c r="G1554" s="4" t="s">
        <v>25</v>
      </c>
      <c r="H1554" s="4" t="s">
        <v>25</v>
      </c>
      <c r="I1554" s="5">
        <v>44470</v>
      </c>
      <c r="J1554" s="6">
        <v>0</v>
      </c>
      <c r="K1554" s="6">
        <v>0</v>
      </c>
      <c r="L1554" s="6">
        <v>9.7949999999999999</v>
      </c>
      <c r="M1554" s="6">
        <v>9.7949999999999999</v>
      </c>
      <c r="N1554" s="6">
        <v>9.7949999999999999</v>
      </c>
      <c r="O1554" s="6">
        <v>9.7949999999999999</v>
      </c>
      <c r="P1554" s="6">
        <v>0</v>
      </c>
      <c r="Q1554" s="4" t="s">
        <v>26</v>
      </c>
      <c r="R1554" s="4">
        <v>0</v>
      </c>
      <c r="S1554" s="6">
        <v>0</v>
      </c>
      <c r="T1554" s="6">
        <v>54</v>
      </c>
      <c r="U1554" s="6">
        <v>97</v>
      </c>
      <c r="V1554" s="6">
        <f>IF(ISERROR(VLOOKUP($S$1554,'TAR FIN'!$A$1:$O$116,15,0)),0,VLOOKUP($S$1554,'TAR FIN'!$A$1:$O$116,15,0))</f>
        <v>0</v>
      </c>
      <c r="W1554" s="6">
        <f>IF(ISERROR(VLOOKUP($T$1554,'TAR FIN'!$A$1:$O$116,15,0)),0,VLOOKUP($T$1554,'TAR FIN'!$A$1:$O$116,15,0))</f>
        <v>301.38</v>
      </c>
      <c r="X1554" s="6">
        <f>IF(ISERROR(VLOOKUP($U$1554,'TAR FIN'!$A$1:$O$116,15,0)),0,VLOOKUP($U$1554,'TAR FIN'!$A$1:$O$116,15,0))</f>
        <v>287.29000000000002</v>
      </c>
      <c r="Y1554" s="6"/>
      <c r="Z1554" s="6">
        <f ca="1">('TUSD BE'!$AM$56+'TUSD BF'!$AM$56+'TUSD CVA'!$AM$56)*(1-CUSTOS!$M$38)</f>
        <v>410.57781128100521</v>
      </c>
      <c r="AA1554" s="6">
        <f>('TE BE'!$AB$27+'TE BF'!$AB$27+'TE CVA'!$AB$27)*(1-CUSTOS!$M$38)</f>
        <v>309.85296222048811</v>
      </c>
      <c r="AB1554" s="6">
        <f>$K$1554*$V$1554</f>
        <v>0</v>
      </c>
      <c r="AC1554" s="6">
        <f>$M$1554*$W$1554</f>
        <v>2952.0171</v>
      </c>
      <c r="AD1554" s="6">
        <f>$O$1554*$X$1554</f>
        <v>2814.0055500000003</v>
      </c>
      <c r="AE1554" s="6">
        <f>$K$1554*$Y$1554</f>
        <v>0</v>
      </c>
      <c r="AF1554" s="6">
        <f ca="1">$M$1554*$Z$1554</f>
        <v>4021.6096614974458</v>
      </c>
      <c r="AG1554" s="6">
        <f>$O$1554*$AA$1554</f>
        <v>3035.0097649496811</v>
      </c>
    </row>
    <row r="1555" spans="1:33" ht="11.25" customHeight="1" x14ac:dyDescent="0.25">
      <c r="A1555" s="4" t="s">
        <v>21</v>
      </c>
      <c r="B1555" s="4" t="s">
        <v>44</v>
      </c>
      <c r="C1555" s="4" t="s">
        <v>23</v>
      </c>
      <c r="D1555" s="4" t="s">
        <v>45</v>
      </c>
      <c r="E1555" s="4" t="s">
        <v>54</v>
      </c>
      <c r="F1555" s="4" t="s">
        <v>55</v>
      </c>
      <c r="G1555" s="4" t="s">
        <v>25</v>
      </c>
      <c r="H1555" s="4" t="s">
        <v>25</v>
      </c>
      <c r="I1555" s="5">
        <v>44501</v>
      </c>
      <c r="J1555" s="6">
        <v>0</v>
      </c>
      <c r="K1555" s="6">
        <v>0</v>
      </c>
      <c r="L1555" s="6">
        <v>39.124000000000002</v>
      </c>
      <c r="M1555" s="6">
        <v>39.124000000000002</v>
      </c>
      <c r="N1555" s="6">
        <v>39.124000000000002</v>
      </c>
      <c r="O1555" s="6">
        <v>39.124000000000002</v>
      </c>
      <c r="P1555" s="6">
        <v>0</v>
      </c>
      <c r="Q1555" s="4" t="s">
        <v>26</v>
      </c>
      <c r="R1555" s="4">
        <v>0</v>
      </c>
      <c r="S1555" s="6">
        <v>0</v>
      </c>
      <c r="T1555" s="6">
        <v>54</v>
      </c>
      <c r="U1555" s="6">
        <v>97</v>
      </c>
      <c r="V1555" s="6">
        <f>IF(ISERROR(VLOOKUP($S$1555,'TAR FIN'!$A$1:$O$116,15,0)),0,VLOOKUP($S$1555,'TAR FIN'!$A$1:$O$116,15,0))</f>
        <v>0</v>
      </c>
      <c r="W1555" s="6">
        <f>IF(ISERROR(VLOOKUP($T$1555,'TAR FIN'!$A$1:$O$116,15,0)),0,VLOOKUP($T$1555,'TAR FIN'!$A$1:$O$116,15,0))</f>
        <v>301.38</v>
      </c>
      <c r="X1555" s="6">
        <f>IF(ISERROR(VLOOKUP($U$1555,'TAR FIN'!$A$1:$O$116,15,0)),0,VLOOKUP($U$1555,'TAR FIN'!$A$1:$O$116,15,0))</f>
        <v>287.29000000000002</v>
      </c>
      <c r="Y1555" s="6"/>
      <c r="Z1555" s="6">
        <f ca="1">('TUSD BE'!$AM$56+'TUSD BF'!$AM$56+'TUSD CVA'!$AM$56)*(1-CUSTOS!$M$38)</f>
        <v>410.57781128100521</v>
      </c>
      <c r="AA1555" s="6">
        <f>('TE BE'!$AB$27+'TE BF'!$AB$27+'TE CVA'!$AB$27)*(1-CUSTOS!$M$38)</f>
        <v>309.85296222048811</v>
      </c>
      <c r="AB1555" s="6">
        <f>$K$1555*$V$1555</f>
        <v>0</v>
      </c>
      <c r="AC1555" s="6">
        <f>$M$1555*$W$1555</f>
        <v>11791.191120000001</v>
      </c>
      <c r="AD1555" s="6">
        <f>$O$1555*$X$1555</f>
        <v>11239.933960000002</v>
      </c>
      <c r="AE1555" s="6">
        <f>$K$1555*$Y$1555</f>
        <v>0</v>
      </c>
      <c r="AF1555" s="6">
        <f ca="1">$M$1555*$Z$1555</f>
        <v>16063.446288558049</v>
      </c>
      <c r="AG1555" s="6">
        <f>$O$1555*$AA$1555</f>
        <v>12122.687293914378</v>
      </c>
    </row>
    <row r="1556" spans="1:33" ht="11.25" customHeight="1" x14ac:dyDescent="0.25">
      <c r="A1556" s="4" t="s">
        <v>28</v>
      </c>
      <c r="B1556" s="4" t="s">
        <v>44</v>
      </c>
      <c r="C1556" s="4" t="s">
        <v>23</v>
      </c>
      <c r="D1556" s="4" t="s">
        <v>45</v>
      </c>
      <c r="E1556" s="4" t="s">
        <v>54</v>
      </c>
      <c r="F1556" s="4" t="s">
        <v>55</v>
      </c>
      <c r="G1556" s="4" t="s">
        <v>25</v>
      </c>
      <c r="H1556" s="4" t="s">
        <v>25</v>
      </c>
      <c r="I1556" s="5">
        <v>44501</v>
      </c>
      <c r="J1556" s="6">
        <v>0</v>
      </c>
      <c r="K1556" s="6">
        <v>0</v>
      </c>
      <c r="L1556" s="6">
        <v>1.9970000000000001</v>
      </c>
      <c r="M1556" s="6">
        <v>1.9970000000000001</v>
      </c>
      <c r="N1556" s="6">
        <v>1.9970000000000001</v>
      </c>
      <c r="O1556" s="6">
        <v>1.9970000000000001</v>
      </c>
      <c r="P1556" s="6">
        <v>0</v>
      </c>
      <c r="Q1556" s="4" t="s">
        <v>26</v>
      </c>
      <c r="R1556" s="4">
        <v>0</v>
      </c>
      <c r="S1556" s="6">
        <v>0</v>
      </c>
      <c r="T1556" s="6">
        <v>54</v>
      </c>
      <c r="U1556" s="6">
        <v>97</v>
      </c>
      <c r="V1556" s="6">
        <f>IF(ISERROR(VLOOKUP($S$1556,'TAR FIN'!$A$1:$O$116,15,0)),0,VLOOKUP($S$1556,'TAR FIN'!$A$1:$O$116,15,0))</f>
        <v>0</v>
      </c>
      <c r="W1556" s="6">
        <f>IF(ISERROR(VLOOKUP($T$1556,'TAR FIN'!$A$1:$O$116,15,0)),0,VLOOKUP($T$1556,'TAR FIN'!$A$1:$O$116,15,0))</f>
        <v>301.38</v>
      </c>
      <c r="X1556" s="6">
        <f>IF(ISERROR(VLOOKUP($U$1556,'TAR FIN'!$A$1:$O$116,15,0)),0,VLOOKUP($U$1556,'TAR FIN'!$A$1:$O$116,15,0))</f>
        <v>287.29000000000002</v>
      </c>
      <c r="Y1556" s="6"/>
      <c r="Z1556" s="6">
        <f ca="1">('TUSD BE'!$AM$56+'TUSD BF'!$AM$56+'TUSD CVA'!$AM$56)*(1-CUSTOS!$M$38)</f>
        <v>410.57781128100521</v>
      </c>
      <c r="AA1556" s="6">
        <f>('TE BE'!$AB$27+'TE BF'!$AB$27+'TE CVA'!$AB$27)*(1-CUSTOS!$M$38)</f>
        <v>309.85296222048811</v>
      </c>
      <c r="AB1556" s="6">
        <f>$K$1556*$V$1556</f>
        <v>0</v>
      </c>
      <c r="AC1556" s="6">
        <f>$M$1556*$W$1556</f>
        <v>601.85586000000001</v>
      </c>
      <c r="AD1556" s="6">
        <f>$O$1556*$X$1556</f>
        <v>573.71813000000009</v>
      </c>
      <c r="AE1556" s="6">
        <f>$K$1556*$Y$1556</f>
        <v>0</v>
      </c>
      <c r="AF1556" s="6">
        <f ca="1">$M$1556*$Z$1556</f>
        <v>819.9238891281675</v>
      </c>
      <c r="AG1556" s="6">
        <f>$O$1556*$AA$1556</f>
        <v>618.77636555431479</v>
      </c>
    </row>
    <row r="1557" spans="1:33" ht="11.25" customHeight="1" x14ac:dyDescent="0.25">
      <c r="A1557" s="4" t="s">
        <v>21</v>
      </c>
      <c r="B1557" s="4" t="s">
        <v>44</v>
      </c>
      <c r="C1557" s="4" t="s">
        <v>23</v>
      </c>
      <c r="D1557" s="4" t="s">
        <v>45</v>
      </c>
      <c r="E1557" s="4" t="s">
        <v>54</v>
      </c>
      <c r="F1557" s="4" t="s">
        <v>55</v>
      </c>
      <c r="G1557" s="4" t="s">
        <v>25</v>
      </c>
      <c r="H1557" s="4" t="s">
        <v>25</v>
      </c>
      <c r="I1557" s="5">
        <v>44531</v>
      </c>
      <c r="J1557" s="6">
        <v>0</v>
      </c>
      <c r="K1557" s="6">
        <v>0</v>
      </c>
      <c r="L1557" s="6">
        <v>32.83</v>
      </c>
      <c r="M1557" s="6">
        <v>32.83</v>
      </c>
      <c r="N1557" s="6">
        <v>32.83</v>
      </c>
      <c r="O1557" s="6">
        <v>32.83</v>
      </c>
      <c r="P1557" s="6">
        <v>0</v>
      </c>
      <c r="Q1557" s="4" t="s">
        <v>26</v>
      </c>
      <c r="R1557" s="4">
        <v>0</v>
      </c>
      <c r="S1557" s="6">
        <v>0</v>
      </c>
      <c r="T1557" s="6">
        <v>54</v>
      </c>
      <c r="U1557" s="6">
        <v>97</v>
      </c>
      <c r="V1557" s="6">
        <f>IF(ISERROR(VLOOKUP($S$1557,'TAR FIN'!$A$1:$O$116,15,0)),0,VLOOKUP($S$1557,'TAR FIN'!$A$1:$O$116,15,0))</f>
        <v>0</v>
      </c>
      <c r="W1557" s="6">
        <f>IF(ISERROR(VLOOKUP($T$1557,'TAR FIN'!$A$1:$O$116,15,0)),0,VLOOKUP($T$1557,'TAR FIN'!$A$1:$O$116,15,0))</f>
        <v>301.38</v>
      </c>
      <c r="X1557" s="6">
        <f>IF(ISERROR(VLOOKUP($U$1557,'TAR FIN'!$A$1:$O$116,15,0)),0,VLOOKUP($U$1557,'TAR FIN'!$A$1:$O$116,15,0))</f>
        <v>287.29000000000002</v>
      </c>
      <c r="Y1557" s="6"/>
      <c r="Z1557" s="6">
        <f ca="1">('TUSD BE'!$AM$56+'TUSD BF'!$AM$56+'TUSD CVA'!$AM$56)*(1-CUSTOS!$M$38)</f>
        <v>410.57781128100521</v>
      </c>
      <c r="AA1557" s="6">
        <f>('TE BE'!$AB$27+'TE BF'!$AB$27+'TE CVA'!$AB$27)*(1-CUSTOS!$M$38)</f>
        <v>309.85296222048811</v>
      </c>
      <c r="AB1557" s="6">
        <f>$K$1557*$V$1557</f>
        <v>0</v>
      </c>
      <c r="AC1557" s="6">
        <f>$M$1557*$W$1557</f>
        <v>9894.3053999999993</v>
      </c>
      <c r="AD1557" s="6">
        <f>$O$1557*$X$1557</f>
        <v>9431.7307000000001</v>
      </c>
      <c r="AE1557" s="6">
        <f>$K$1557*$Y$1557</f>
        <v>0</v>
      </c>
      <c r="AF1557" s="6">
        <f ca="1">$M$1557*$Z$1557</f>
        <v>13479.2695443554</v>
      </c>
      <c r="AG1557" s="6">
        <f>$O$1557*$AA$1557</f>
        <v>10172.472749698623</v>
      </c>
    </row>
    <row r="1558" spans="1:33" ht="11.25" customHeight="1" x14ac:dyDescent="0.25">
      <c r="A1558" s="4" t="s">
        <v>28</v>
      </c>
      <c r="B1558" s="4" t="s">
        <v>44</v>
      </c>
      <c r="C1558" s="4" t="s">
        <v>23</v>
      </c>
      <c r="D1558" s="4" t="s">
        <v>45</v>
      </c>
      <c r="E1558" s="4" t="s">
        <v>54</v>
      </c>
      <c r="F1558" s="4" t="s">
        <v>55</v>
      </c>
      <c r="G1558" s="4" t="s">
        <v>25</v>
      </c>
      <c r="H1558" s="4" t="s">
        <v>25</v>
      </c>
      <c r="I1558" s="5">
        <v>44531</v>
      </c>
      <c r="J1558" s="6">
        <v>0</v>
      </c>
      <c r="K1558" s="6">
        <v>0</v>
      </c>
      <c r="L1558" s="6">
        <v>19.34</v>
      </c>
      <c r="M1558" s="6">
        <v>19.34</v>
      </c>
      <c r="N1558" s="6">
        <v>19.34</v>
      </c>
      <c r="O1558" s="6">
        <v>19.34</v>
      </c>
      <c r="P1558" s="6">
        <v>0</v>
      </c>
      <c r="Q1558" s="4" t="s">
        <v>26</v>
      </c>
      <c r="R1558" s="4">
        <v>0</v>
      </c>
      <c r="S1558" s="6">
        <v>0</v>
      </c>
      <c r="T1558" s="6">
        <v>54</v>
      </c>
      <c r="U1558" s="6">
        <v>97</v>
      </c>
      <c r="V1558" s="6">
        <f>IF(ISERROR(VLOOKUP($S$1558,'TAR FIN'!$A$1:$O$116,15,0)),0,VLOOKUP($S$1558,'TAR FIN'!$A$1:$O$116,15,0))</f>
        <v>0</v>
      </c>
      <c r="W1558" s="6">
        <f>IF(ISERROR(VLOOKUP($T$1558,'TAR FIN'!$A$1:$O$116,15,0)),0,VLOOKUP($T$1558,'TAR FIN'!$A$1:$O$116,15,0))</f>
        <v>301.38</v>
      </c>
      <c r="X1558" s="6">
        <f>IF(ISERROR(VLOOKUP($U$1558,'TAR FIN'!$A$1:$O$116,15,0)),0,VLOOKUP($U$1558,'TAR FIN'!$A$1:$O$116,15,0))</f>
        <v>287.29000000000002</v>
      </c>
      <c r="Y1558" s="6"/>
      <c r="Z1558" s="6">
        <f ca="1">('TUSD BE'!$AM$56+'TUSD BF'!$AM$56+'TUSD CVA'!$AM$56)*(1-CUSTOS!$M$38)</f>
        <v>410.57781128100521</v>
      </c>
      <c r="AA1558" s="6">
        <f>('TE BE'!$AB$27+'TE BF'!$AB$27+'TE CVA'!$AB$27)*(1-CUSTOS!$M$38)</f>
        <v>309.85296222048811</v>
      </c>
      <c r="AB1558" s="6">
        <f>$K$1558*$V$1558</f>
        <v>0</v>
      </c>
      <c r="AC1558" s="6">
        <f>$M$1558*$W$1558</f>
        <v>5828.6891999999998</v>
      </c>
      <c r="AD1558" s="6">
        <f>$O$1558*$X$1558</f>
        <v>5556.1886000000004</v>
      </c>
      <c r="AE1558" s="6">
        <f>$K$1558*$Y$1558</f>
        <v>0</v>
      </c>
      <c r="AF1558" s="6">
        <f ca="1">$M$1558*$Z$1558</f>
        <v>7940.5748701746406</v>
      </c>
      <c r="AG1558" s="6">
        <f>$O$1558*$AA$1558</f>
        <v>5992.5562893442402</v>
      </c>
    </row>
    <row r="1559" spans="1:33" ht="11.25" customHeight="1" x14ac:dyDescent="0.25">
      <c r="A1559" s="4" t="s">
        <v>21</v>
      </c>
      <c r="B1559" s="4" t="s">
        <v>44</v>
      </c>
      <c r="C1559" s="4" t="s">
        <v>23</v>
      </c>
      <c r="D1559" s="4" t="s">
        <v>45</v>
      </c>
      <c r="E1559" s="4" t="s">
        <v>54</v>
      </c>
      <c r="F1559" s="4" t="s">
        <v>55</v>
      </c>
      <c r="G1559" s="4" t="s">
        <v>25</v>
      </c>
      <c r="H1559" s="4" t="s">
        <v>25</v>
      </c>
      <c r="I1559" s="5">
        <v>44562</v>
      </c>
      <c r="J1559" s="6">
        <v>0</v>
      </c>
      <c r="K1559" s="6">
        <v>0</v>
      </c>
      <c r="L1559" s="6">
        <v>26.302</v>
      </c>
      <c r="M1559" s="6">
        <v>26.302</v>
      </c>
      <c r="N1559" s="6">
        <v>26.302</v>
      </c>
      <c r="O1559" s="6">
        <v>26.302</v>
      </c>
      <c r="P1559" s="6">
        <v>0</v>
      </c>
      <c r="Q1559" s="4" t="s">
        <v>26</v>
      </c>
      <c r="R1559" s="4">
        <v>0</v>
      </c>
      <c r="S1559" s="6">
        <v>0</v>
      </c>
      <c r="T1559" s="6">
        <v>54</v>
      </c>
      <c r="U1559" s="6">
        <v>97</v>
      </c>
      <c r="V1559" s="6">
        <f>IF(ISERROR(VLOOKUP($S$1559,'TAR FIN'!$A$1:$O$116,15,0)),0,VLOOKUP($S$1559,'TAR FIN'!$A$1:$O$116,15,0))</f>
        <v>0</v>
      </c>
      <c r="W1559" s="6">
        <f>IF(ISERROR(VLOOKUP($T$1559,'TAR FIN'!$A$1:$O$116,15,0)),0,VLOOKUP($T$1559,'TAR FIN'!$A$1:$O$116,15,0))</f>
        <v>301.38</v>
      </c>
      <c r="X1559" s="6">
        <f>IF(ISERROR(VLOOKUP($U$1559,'TAR FIN'!$A$1:$O$116,15,0)),0,VLOOKUP($U$1559,'TAR FIN'!$A$1:$O$116,15,0))</f>
        <v>287.29000000000002</v>
      </c>
      <c r="Y1559" s="6"/>
      <c r="Z1559" s="6">
        <f ca="1">('TUSD BE'!$AM$56+'TUSD BF'!$AM$56+'TUSD CVA'!$AM$56)*(1-CUSTOS!$M$38)</f>
        <v>410.57781128100521</v>
      </c>
      <c r="AA1559" s="6">
        <f>('TE BE'!$AB$27+'TE BF'!$AB$27+'TE CVA'!$AB$27)*(1-CUSTOS!$M$38)</f>
        <v>309.85296222048811</v>
      </c>
      <c r="AB1559" s="6">
        <f>$K$1559*$V$1559</f>
        <v>0</v>
      </c>
      <c r="AC1559" s="6">
        <f>$M$1559*$W$1559</f>
        <v>7926.8967599999996</v>
      </c>
      <c r="AD1559" s="6">
        <f>$O$1559*$X$1559</f>
        <v>7556.3015800000003</v>
      </c>
      <c r="AE1559" s="6">
        <f>$K$1559*$Y$1559</f>
        <v>0</v>
      </c>
      <c r="AF1559" s="6">
        <f ca="1">$M$1559*$Z$1559</f>
        <v>10799.017592312999</v>
      </c>
      <c r="AG1559" s="6">
        <f>$O$1559*$AA$1559</f>
        <v>8149.7526123232783</v>
      </c>
    </row>
    <row r="1560" spans="1:33" ht="11.25" customHeight="1" x14ac:dyDescent="0.25">
      <c r="A1560" s="4" t="s">
        <v>27</v>
      </c>
      <c r="B1560" s="4" t="s">
        <v>44</v>
      </c>
      <c r="C1560" s="4" t="s">
        <v>23</v>
      </c>
      <c r="D1560" s="4" t="s">
        <v>45</v>
      </c>
      <c r="E1560" s="4" t="s">
        <v>54</v>
      </c>
      <c r="F1560" s="4" t="s">
        <v>55</v>
      </c>
      <c r="G1560" s="4" t="s">
        <v>25</v>
      </c>
      <c r="H1560" s="4" t="s">
        <v>25</v>
      </c>
      <c r="I1560" s="5">
        <v>44562</v>
      </c>
      <c r="J1560" s="6">
        <v>0</v>
      </c>
      <c r="K1560" s="6">
        <v>0</v>
      </c>
      <c r="L1560" s="6">
        <v>0.35</v>
      </c>
      <c r="M1560" s="6">
        <v>0.35</v>
      </c>
      <c r="N1560" s="6">
        <v>0.35</v>
      </c>
      <c r="O1560" s="6">
        <v>0.35</v>
      </c>
      <c r="P1560" s="6">
        <v>0</v>
      </c>
      <c r="Q1560" s="4" t="s">
        <v>26</v>
      </c>
      <c r="R1560" s="4">
        <v>0</v>
      </c>
      <c r="S1560" s="6">
        <v>0</v>
      </c>
      <c r="T1560" s="6">
        <v>54</v>
      </c>
      <c r="U1560" s="6">
        <v>97</v>
      </c>
      <c r="V1560" s="6">
        <f>IF(ISERROR(VLOOKUP($S$1560,'TAR FIN'!$A$1:$O$116,15,0)),0,VLOOKUP($S$1560,'TAR FIN'!$A$1:$O$116,15,0))</f>
        <v>0</v>
      </c>
      <c r="W1560" s="6">
        <f>IF(ISERROR(VLOOKUP($T$1560,'TAR FIN'!$A$1:$O$116,15,0)),0,VLOOKUP($T$1560,'TAR FIN'!$A$1:$O$116,15,0))</f>
        <v>301.38</v>
      </c>
      <c r="X1560" s="6">
        <f>IF(ISERROR(VLOOKUP($U$1560,'TAR FIN'!$A$1:$O$116,15,0)),0,VLOOKUP($U$1560,'TAR FIN'!$A$1:$O$116,15,0))</f>
        <v>287.29000000000002</v>
      </c>
      <c r="Y1560" s="6"/>
      <c r="Z1560" s="6">
        <f ca="1">('TUSD BE'!$AM$56+'TUSD BF'!$AM$56+'TUSD CVA'!$AM$56)*(1-CUSTOS!$M$38)</f>
        <v>410.57781128100521</v>
      </c>
      <c r="AA1560" s="6">
        <f>('TE BE'!$AB$27+'TE BF'!$AB$27+'TE CVA'!$AB$27)*(1-CUSTOS!$M$38)</f>
        <v>309.85296222048811</v>
      </c>
      <c r="AB1560" s="6">
        <f>$K$1560*$V$1560</f>
        <v>0</v>
      </c>
      <c r="AC1560" s="6">
        <f>$M$1560*$W$1560</f>
        <v>105.48299999999999</v>
      </c>
      <c r="AD1560" s="6">
        <f>$O$1560*$X$1560</f>
        <v>100.5515</v>
      </c>
      <c r="AE1560" s="6">
        <f>$K$1560*$Y$1560</f>
        <v>0</v>
      </c>
      <c r="AF1560" s="6">
        <f ca="1">$M$1560*$Z$1560</f>
        <v>143.70223394835182</v>
      </c>
      <c r="AG1560" s="6">
        <f>$O$1560*$AA$1560</f>
        <v>108.44853677717083</v>
      </c>
    </row>
    <row r="1561" spans="1:33" ht="11.25" customHeight="1" x14ac:dyDescent="0.25">
      <c r="A1561" s="4" t="s">
        <v>28</v>
      </c>
      <c r="B1561" s="4" t="s">
        <v>44</v>
      </c>
      <c r="C1561" s="4" t="s">
        <v>23</v>
      </c>
      <c r="D1561" s="4" t="s">
        <v>45</v>
      </c>
      <c r="E1561" s="4" t="s">
        <v>54</v>
      </c>
      <c r="F1561" s="4" t="s">
        <v>55</v>
      </c>
      <c r="G1561" s="4" t="s">
        <v>25</v>
      </c>
      <c r="H1561" s="4" t="s">
        <v>25</v>
      </c>
      <c r="I1561" s="5">
        <v>44562</v>
      </c>
      <c r="J1561" s="6">
        <v>0</v>
      </c>
      <c r="K1561" s="6">
        <v>0</v>
      </c>
      <c r="L1561" s="6">
        <v>9.1129999999999995</v>
      </c>
      <c r="M1561" s="6">
        <v>9.1129999999999995</v>
      </c>
      <c r="N1561" s="6">
        <v>9.1129999999999995</v>
      </c>
      <c r="O1561" s="6">
        <v>9.1129999999999995</v>
      </c>
      <c r="P1561" s="6">
        <v>0</v>
      </c>
      <c r="Q1561" s="4" t="s">
        <v>26</v>
      </c>
      <c r="R1561" s="4">
        <v>0</v>
      </c>
      <c r="S1561" s="6">
        <v>0</v>
      </c>
      <c r="T1561" s="6">
        <v>54</v>
      </c>
      <c r="U1561" s="6">
        <v>97</v>
      </c>
      <c r="V1561" s="6">
        <f>IF(ISERROR(VLOOKUP($S$1561,'TAR FIN'!$A$1:$O$116,15,0)),0,VLOOKUP($S$1561,'TAR FIN'!$A$1:$O$116,15,0))</f>
        <v>0</v>
      </c>
      <c r="W1561" s="6">
        <f>IF(ISERROR(VLOOKUP($T$1561,'TAR FIN'!$A$1:$O$116,15,0)),0,VLOOKUP($T$1561,'TAR FIN'!$A$1:$O$116,15,0))</f>
        <v>301.38</v>
      </c>
      <c r="X1561" s="6">
        <f>IF(ISERROR(VLOOKUP($U$1561,'TAR FIN'!$A$1:$O$116,15,0)),0,VLOOKUP($U$1561,'TAR FIN'!$A$1:$O$116,15,0))</f>
        <v>287.29000000000002</v>
      </c>
      <c r="Y1561" s="6"/>
      <c r="Z1561" s="6">
        <f ca="1">('TUSD BE'!$AM$56+'TUSD BF'!$AM$56+'TUSD CVA'!$AM$56)*(1-CUSTOS!$M$38)</f>
        <v>410.57781128100521</v>
      </c>
      <c r="AA1561" s="6">
        <f>('TE BE'!$AB$27+'TE BF'!$AB$27+'TE CVA'!$AB$27)*(1-CUSTOS!$M$38)</f>
        <v>309.85296222048811</v>
      </c>
      <c r="AB1561" s="6">
        <f>$K$1561*$V$1561</f>
        <v>0</v>
      </c>
      <c r="AC1561" s="6">
        <f>$M$1561*$W$1561</f>
        <v>2746.4759399999998</v>
      </c>
      <c r="AD1561" s="6">
        <f>$O$1561*$X$1561</f>
        <v>2618.07377</v>
      </c>
      <c r="AE1561" s="6">
        <f>$K$1561*$Y$1561</f>
        <v>0</v>
      </c>
      <c r="AF1561" s="6">
        <f ca="1">$M$1561*$Z$1561</f>
        <v>3741.5955942038004</v>
      </c>
      <c r="AG1561" s="6">
        <f>$O$1561*$AA$1561</f>
        <v>2823.690044715308</v>
      </c>
    </row>
    <row r="1562" spans="1:33" ht="11.25" customHeight="1" x14ac:dyDescent="0.25">
      <c r="A1562" s="4" t="s">
        <v>21</v>
      </c>
      <c r="B1562" s="4" t="s">
        <v>44</v>
      </c>
      <c r="C1562" s="4" t="s">
        <v>23</v>
      </c>
      <c r="D1562" s="4" t="s">
        <v>45</v>
      </c>
      <c r="E1562" s="4" t="s">
        <v>54</v>
      </c>
      <c r="F1562" s="4" t="s">
        <v>55</v>
      </c>
      <c r="G1562" s="4" t="s">
        <v>25</v>
      </c>
      <c r="H1562" s="4" t="s">
        <v>25</v>
      </c>
      <c r="I1562" s="5">
        <v>44593</v>
      </c>
      <c r="J1562" s="6">
        <v>0</v>
      </c>
      <c r="K1562" s="6">
        <v>0</v>
      </c>
      <c r="L1562" s="6">
        <v>26.707000000000001</v>
      </c>
      <c r="M1562" s="6">
        <v>26.707000000000001</v>
      </c>
      <c r="N1562" s="6">
        <v>26.707000000000001</v>
      </c>
      <c r="O1562" s="6">
        <v>26.707000000000001</v>
      </c>
      <c r="P1562" s="6">
        <v>0</v>
      </c>
      <c r="Q1562" s="4" t="s">
        <v>26</v>
      </c>
      <c r="R1562" s="4">
        <v>0</v>
      </c>
      <c r="S1562" s="6">
        <v>0</v>
      </c>
      <c r="T1562" s="6">
        <v>54</v>
      </c>
      <c r="U1562" s="6">
        <v>97</v>
      </c>
      <c r="V1562" s="6">
        <f>IF(ISERROR(VLOOKUP($S$1562,'TAR FIN'!$A$1:$O$116,15,0)),0,VLOOKUP($S$1562,'TAR FIN'!$A$1:$O$116,15,0))</f>
        <v>0</v>
      </c>
      <c r="W1562" s="6">
        <f>IF(ISERROR(VLOOKUP($T$1562,'TAR FIN'!$A$1:$O$116,15,0)),0,VLOOKUP($T$1562,'TAR FIN'!$A$1:$O$116,15,0))</f>
        <v>301.38</v>
      </c>
      <c r="X1562" s="6">
        <f>IF(ISERROR(VLOOKUP($U$1562,'TAR FIN'!$A$1:$O$116,15,0)),0,VLOOKUP($U$1562,'TAR FIN'!$A$1:$O$116,15,0))</f>
        <v>287.29000000000002</v>
      </c>
      <c r="Y1562" s="6"/>
      <c r="Z1562" s="6">
        <f ca="1">('TUSD BE'!$AM$56+'TUSD BF'!$AM$56+'TUSD CVA'!$AM$56)*(1-CUSTOS!$M$38)</f>
        <v>410.57781128100521</v>
      </c>
      <c r="AA1562" s="6">
        <f>('TE BE'!$AB$27+'TE BF'!$AB$27+'TE CVA'!$AB$27)*(1-CUSTOS!$M$38)</f>
        <v>309.85296222048811</v>
      </c>
      <c r="AB1562" s="6">
        <f>$K$1562*$V$1562</f>
        <v>0</v>
      </c>
      <c r="AC1562" s="6">
        <f>$M$1562*$W$1562</f>
        <v>8048.9556600000005</v>
      </c>
      <c r="AD1562" s="6">
        <f>$O$1562*$X$1562</f>
        <v>7672.6540300000006</v>
      </c>
      <c r="AE1562" s="6">
        <f>$K$1562*$Y$1562</f>
        <v>0</v>
      </c>
      <c r="AF1562" s="6">
        <f ca="1">$M$1562*$Z$1562</f>
        <v>10965.301605881807</v>
      </c>
      <c r="AG1562" s="6">
        <f>$O$1562*$AA$1562</f>
        <v>8275.2430620225769</v>
      </c>
    </row>
    <row r="1563" spans="1:33" ht="11.25" customHeight="1" x14ac:dyDescent="0.25">
      <c r="A1563" s="4" t="s">
        <v>27</v>
      </c>
      <c r="B1563" s="4" t="s">
        <v>44</v>
      </c>
      <c r="C1563" s="4" t="s">
        <v>23</v>
      </c>
      <c r="D1563" s="4" t="s">
        <v>45</v>
      </c>
      <c r="E1563" s="4" t="s">
        <v>54</v>
      </c>
      <c r="F1563" s="4" t="s">
        <v>55</v>
      </c>
      <c r="G1563" s="4" t="s">
        <v>25</v>
      </c>
      <c r="H1563" s="4" t="s">
        <v>25</v>
      </c>
      <c r="I1563" s="5">
        <v>44593</v>
      </c>
      <c r="J1563" s="6">
        <v>0</v>
      </c>
      <c r="K1563" s="6">
        <v>0</v>
      </c>
      <c r="L1563" s="6">
        <v>-0.14799999999999999</v>
      </c>
      <c r="M1563" s="6">
        <v>-0.14799999999999999</v>
      </c>
      <c r="N1563" s="6">
        <v>-0.14799999999999999</v>
      </c>
      <c r="O1563" s="6">
        <v>-0.14799999999999999</v>
      </c>
      <c r="P1563" s="6">
        <v>0</v>
      </c>
      <c r="Q1563" s="4" t="s">
        <v>26</v>
      </c>
      <c r="R1563" s="4">
        <v>0</v>
      </c>
      <c r="S1563" s="6">
        <v>0</v>
      </c>
      <c r="T1563" s="6">
        <v>54</v>
      </c>
      <c r="U1563" s="6">
        <v>97</v>
      </c>
      <c r="V1563" s="6">
        <f>IF(ISERROR(VLOOKUP($S$1563,'TAR FIN'!$A$1:$O$116,15,0)),0,VLOOKUP($S$1563,'TAR FIN'!$A$1:$O$116,15,0))</f>
        <v>0</v>
      </c>
      <c r="W1563" s="6">
        <f>IF(ISERROR(VLOOKUP($T$1563,'TAR FIN'!$A$1:$O$116,15,0)),0,VLOOKUP($T$1563,'TAR FIN'!$A$1:$O$116,15,0))</f>
        <v>301.38</v>
      </c>
      <c r="X1563" s="6">
        <f>IF(ISERROR(VLOOKUP($U$1563,'TAR FIN'!$A$1:$O$116,15,0)),0,VLOOKUP($U$1563,'TAR FIN'!$A$1:$O$116,15,0))</f>
        <v>287.29000000000002</v>
      </c>
      <c r="Y1563" s="6"/>
      <c r="Z1563" s="6">
        <f ca="1">('TUSD BE'!$AM$56+'TUSD BF'!$AM$56+'TUSD CVA'!$AM$56)*(1-CUSTOS!$M$38)</f>
        <v>410.57781128100521</v>
      </c>
      <c r="AA1563" s="6">
        <f>('TE BE'!$AB$27+'TE BF'!$AB$27+'TE CVA'!$AB$27)*(1-CUSTOS!$M$38)</f>
        <v>309.85296222048811</v>
      </c>
      <c r="AB1563" s="6">
        <f>$K$1563*$V$1563</f>
        <v>0</v>
      </c>
      <c r="AC1563" s="6">
        <f>$M$1563*$W$1563</f>
        <v>-44.604239999999997</v>
      </c>
      <c r="AD1563" s="6">
        <f>$O$1563*$X$1563</f>
        <v>-42.518920000000001</v>
      </c>
      <c r="AE1563" s="6">
        <f>$K$1563*$Y$1563</f>
        <v>0</v>
      </c>
      <c r="AF1563" s="6">
        <f ca="1">$M$1563*$Z$1563</f>
        <v>-60.76551606958877</v>
      </c>
      <c r="AG1563" s="6">
        <f>$O$1563*$AA$1563</f>
        <v>-45.858238408632239</v>
      </c>
    </row>
    <row r="1564" spans="1:33" ht="11.25" customHeight="1" x14ac:dyDescent="0.25">
      <c r="A1564" s="4" t="s">
        <v>28</v>
      </c>
      <c r="B1564" s="4" t="s">
        <v>44</v>
      </c>
      <c r="C1564" s="4" t="s">
        <v>23</v>
      </c>
      <c r="D1564" s="4" t="s">
        <v>45</v>
      </c>
      <c r="E1564" s="4" t="s">
        <v>54</v>
      </c>
      <c r="F1564" s="4" t="s">
        <v>55</v>
      </c>
      <c r="G1564" s="4" t="s">
        <v>25</v>
      </c>
      <c r="H1564" s="4" t="s">
        <v>25</v>
      </c>
      <c r="I1564" s="5">
        <v>44593</v>
      </c>
      <c r="J1564" s="6">
        <v>0</v>
      </c>
      <c r="K1564" s="6">
        <v>0</v>
      </c>
      <c r="L1564" s="6">
        <v>9.19</v>
      </c>
      <c r="M1564" s="6">
        <v>9.19</v>
      </c>
      <c r="N1564" s="6">
        <v>9.19</v>
      </c>
      <c r="O1564" s="6">
        <v>9.19</v>
      </c>
      <c r="P1564" s="6">
        <v>0</v>
      </c>
      <c r="Q1564" s="4" t="s">
        <v>26</v>
      </c>
      <c r="R1564" s="4">
        <v>0</v>
      </c>
      <c r="S1564" s="6">
        <v>0</v>
      </c>
      <c r="T1564" s="6">
        <v>54</v>
      </c>
      <c r="U1564" s="6">
        <v>97</v>
      </c>
      <c r="V1564" s="6">
        <f>IF(ISERROR(VLOOKUP($S$1564,'TAR FIN'!$A$1:$O$116,15,0)),0,VLOOKUP($S$1564,'TAR FIN'!$A$1:$O$116,15,0))</f>
        <v>0</v>
      </c>
      <c r="W1564" s="6">
        <f>IF(ISERROR(VLOOKUP($T$1564,'TAR FIN'!$A$1:$O$116,15,0)),0,VLOOKUP($T$1564,'TAR FIN'!$A$1:$O$116,15,0))</f>
        <v>301.38</v>
      </c>
      <c r="X1564" s="6">
        <f>IF(ISERROR(VLOOKUP($U$1564,'TAR FIN'!$A$1:$O$116,15,0)),0,VLOOKUP($U$1564,'TAR FIN'!$A$1:$O$116,15,0))</f>
        <v>287.29000000000002</v>
      </c>
      <c r="Y1564" s="6"/>
      <c r="Z1564" s="6">
        <f ca="1">('TUSD BE'!$AM$56+'TUSD BF'!$AM$56+'TUSD CVA'!$AM$56)*(1-CUSTOS!$M$38)</f>
        <v>410.57781128100521</v>
      </c>
      <c r="AA1564" s="6">
        <f>('TE BE'!$AB$27+'TE BF'!$AB$27+'TE CVA'!$AB$27)*(1-CUSTOS!$M$38)</f>
        <v>309.85296222048811</v>
      </c>
      <c r="AB1564" s="6">
        <f>$K$1564*$V$1564</f>
        <v>0</v>
      </c>
      <c r="AC1564" s="6">
        <f>$M$1564*$W$1564</f>
        <v>2769.6821999999997</v>
      </c>
      <c r="AD1564" s="6">
        <f>$O$1564*$X$1564</f>
        <v>2640.1950999999999</v>
      </c>
      <c r="AE1564" s="6">
        <f>$K$1564*$Y$1564</f>
        <v>0</v>
      </c>
      <c r="AF1564" s="6">
        <f ca="1">$M$1564*$Z$1564</f>
        <v>3773.2100856724378</v>
      </c>
      <c r="AG1564" s="6">
        <f>$O$1564*$AA$1564</f>
        <v>2847.5487228062857</v>
      </c>
    </row>
    <row r="1565" spans="1:33" ht="11.25" customHeight="1" x14ac:dyDescent="0.25">
      <c r="A1565" s="4" t="s">
        <v>21</v>
      </c>
      <c r="B1565" s="4" t="s">
        <v>44</v>
      </c>
      <c r="C1565" s="4" t="s">
        <v>23</v>
      </c>
      <c r="D1565" s="4" t="s">
        <v>45</v>
      </c>
      <c r="E1565" s="4" t="s">
        <v>54</v>
      </c>
      <c r="F1565" s="4" t="s">
        <v>55</v>
      </c>
      <c r="G1565" s="4" t="s">
        <v>25</v>
      </c>
      <c r="H1565" s="4" t="s">
        <v>25</v>
      </c>
      <c r="I1565" s="5">
        <v>44621</v>
      </c>
      <c r="J1565" s="6">
        <v>0</v>
      </c>
      <c r="K1565" s="6">
        <v>0</v>
      </c>
      <c r="L1565" s="6">
        <v>28.422999999999998</v>
      </c>
      <c r="M1565" s="6">
        <v>28.422999999999998</v>
      </c>
      <c r="N1565" s="6">
        <v>28.422999999999998</v>
      </c>
      <c r="O1565" s="6">
        <v>28.422999999999998</v>
      </c>
      <c r="P1565" s="6">
        <v>0</v>
      </c>
      <c r="Q1565" s="4" t="s">
        <v>26</v>
      </c>
      <c r="R1565" s="4">
        <v>0</v>
      </c>
      <c r="S1565" s="6">
        <v>0</v>
      </c>
      <c r="T1565" s="6">
        <v>54</v>
      </c>
      <c r="U1565" s="6">
        <v>97</v>
      </c>
      <c r="V1565" s="6">
        <f>IF(ISERROR(VLOOKUP($S$1565,'TAR FIN'!$A$1:$O$116,15,0)),0,VLOOKUP($S$1565,'TAR FIN'!$A$1:$O$116,15,0))</f>
        <v>0</v>
      </c>
      <c r="W1565" s="6">
        <f>IF(ISERROR(VLOOKUP($T$1565,'TAR FIN'!$A$1:$O$116,15,0)),0,VLOOKUP($T$1565,'TAR FIN'!$A$1:$O$116,15,0))</f>
        <v>301.38</v>
      </c>
      <c r="X1565" s="6">
        <f>IF(ISERROR(VLOOKUP($U$1565,'TAR FIN'!$A$1:$O$116,15,0)),0,VLOOKUP($U$1565,'TAR FIN'!$A$1:$O$116,15,0))</f>
        <v>287.29000000000002</v>
      </c>
      <c r="Y1565" s="6"/>
      <c r="Z1565" s="6">
        <f ca="1">('TUSD BE'!$AM$56+'TUSD BF'!$AM$56+'TUSD CVA'!$AM$56)*(1-CUSTOS!$M$38)</f>
        <v>410.57781128100521</v>
      </c>
      <c r="AA1565" s="6">
        <f>('TE BE'!$AB$27+'TE BF'!$AB$27+'TE CVA'!$AB$27)*(1-CUSTOS!$M$38)</f>
        <v>309.85296222048811</v>
      </c>
      <c r="AB1565" s="6">
        <f>$K$1565*$V$1565</f>
        <v>0</v>
      </c>
      <c r="AC1565" s="6">
        <f>$M$1565*$W$1565</f>
        <v>8566.1237399999991</v>
      </c>
      <c r="AD1565" s="6">
        <f>$O$1565*$X$1565</f>
        <v>8165.6436700000004</v>
      </c>
      <c r="AE1565" s="6">
        <f>$K$1565*$Y$1565</f>
        <v>0</v>
      </c>
      <c r="AF1565" s="6">
        <f ca="1">$M$1565*$Z$1565</f>
        <v>11669.85313004001</v>
      </c>
      <c r="AG1565" s="6">
        <f>$O$1565*$AA$1565</f>
        <v>8806.950745192933</v>
      </c>
    </row>
    <row r="1566" spans="1:33" ht="11.25" customHeight="1" x14ac:dyDescent="0.25">
      <c r="A1566" s="4" t="s">
        <v>28</v>
      </c>
      <c r="B1566" s="4" t="s">
        <v>44</v>
      </c>
      <c r="C1566" s="4" t="s">
        <v>23</v>
      </c>
      <c r="D1566" s="4" t="s">
        <v>45</v>
      </c>
      <c r="E1566" s="4" t="s">
        <v>54</v>
      </c>
      <c r="F1566" s="4" t="s">
        <v>55</v>
      </c>
      <c r="G1566" s="4" t="s">
        <v>25</v>
      </c>
      <c r="H1566" s="4" t="s">
        <v>25</v>
      </c>
      <c r="I1566" s="5">
        <v>44621</v>
      </c>
      <c r="J1566" s="6">
        <v>0</v>
      </c>
      <c r="K1566" s="6">
        <v>0</v>
      </c>
      <c r="L1566" s="6">
        <v>5.3840000000000003</v>
      </c>
      <c r="M1566" s="6">
        <v>5.3840000000000003</v>
      </c>
      <c r="N1566" s="6">
        <v>5.3840000000000003</v>
      </c>
      <c r="O1566" s="6">
        <v>5.3840000000000003</v>
      </c>
      <c r="P1566" s="6">
        <v>0</v>
      </c>
      <c r="Q1566" s="4" t="s">
        <v>26</v>
      </c>
      <c r="R1566" s="4">
        <v>0</v>
      </c>
      <c r="S1566" s="6">
        <v>0</v>
      </c>
      <c r="T1566" s="6">
        <v>54</v>
      </c>
      <c r="U1566" s="6">
        <v>97</v>
      </c>
      <c r="V1566" s="6">
        <f>IF(ISERROR(VLOOKUP($S$1566,'TAR FIN'!$A$1:$O$116,15,0)),0,VLOOKUP($S$1566,'TAR FIN'!$A$1:$O$116,15,0))</f>
        <v>0</v>
      </c>
      <c r="W1566" s="6">
        <f>IF(ISERROR(VLOOKUP($T$1566,'TAR FIN'!$A$1:$O$116,15,0)),0,VLOOKUP($T$1566,'TAR FIN'!$A$1:$O$116,15,0))</f>
        <v>301.38</v>
      </c>
      <c r="X1566" s="6">
        <f>IF(ISERROR(VLOOKUP($U$1566,'TAR FIN'!$A$1:$O$116,15,0)),0,VLOOKUP($U$1566,'TAR FIN'!$A$1:$O$116,15,0))</f>
        <v>287.29000000000002</v>
      </c>
      <c r="Y1566" s="6"/>
      <c r="Z1566" s="6">
        <f ca="1">('TUSD BE'!$AM$56+'TUSD BF'!$AM$56+'TUSD CVA'!$AM$56)*(1-CUSTOS!$M$38)</f>
        <v>410.57781128100521</v>
      </c>
      <c r="AA1566" s="6">
        <f>('TE BE'!$AB$27+'TE BF'!$AB$27+'TE CVA'!$AB$27)*(1-CUSTOS!$M$38)</f>
        <v>309.85296222048811</v>
      </c>
      <c r="AB1566" s="6">
        <f>$K$1566*$V$1566</f>
        <v>0</v>
      </c>
      <c r="AC1566" s="6">
        <f>$M$1566*$W$1566</f>
        <v>1622.6299200000001</v>
      </c>
      <c r="AD1566" s="6">
        <f>$O$1566*$X$1566</f>
        <v>1546.7693600000002</v>
      </c>
      <c r="AE1566" s="6">
        <f>$K$1566*$Y$1566</f>
        <v>0</v>
      </c>
      <c r="AF1566" s="6">
        <f ca="1">$M$1566*$Z$1566</f>
        <v>2210.5509359369321</v>
      </c>
      <c r="AG1566" s="6">
        <f>$O$1566*$AA$1566</f>
        <v>1668.2483485951082</v>
      </c>
    </row>
    <row r="1567" spans="1:33" ht="11.25" customHeight="1" x14ac:dyDescent="0.25">
      <c r="A1567" s="4" t="s">
        <v>21</v>
      </c>
      <c r="B1567" s="4" t="s">
        <v>44</v>
      </c>
      <c r="C1567" s="4" t="s">
        <v>23</v>
      </c>
      <c r="D1567" s="4" t="s">
        <v>45</v>
      </c>
      <c r="E1567" s="4" t="s">
        <v>54</v>
      </c>
      <c r="F1567" s="4" t="s">
        <v>55</v>
      </c>
      <c r="G1567" s="4" t="s">
        <v>25</v>
      </c>
      <c r="H1567" s="4" t="s">
        <v>25</v>
      </c>
      <c r="I1567" s="5">
        <v>44652</v>
      </c>
      <c r="J1567" s="6">
        <v>0</v>
      </c>
      <c r="K1567" s="6">
        <v>0</v>
      </c>
      <c r="L1567" s="6">
        <v>31.181000000000001</v>
      </c>
      <c r="M1567" s="6">
        <v>31.181000000000001</v>
      </c>
      <c r="N1567" s="6">
        <v>31.181000000000001</v>
      </c>
      <c r="O1567" s="6">
        <v>31.181000000000001</v>
      </c>
      <c r="P1567" s="6">
        <v>0</v>
      </c>
      <c r="Q1567" s="4" t="s">
        <v>26</v>
      </c>
      <c r="R1567" s="4">
        <v>0</v>
      </c>
      <c r="S1567" s="6">
        <v>0</v>
      </c>
      <c r="T1567" s="6">
        <v>54</v>
      </c>
      <c r="U1567" s="6">
        <v>97</v>
      </c>
      <c r="V1567" s="6">
        <f>IF(ISERROR(VLOOKUP($S$1567,'TAR FIN'!$A$1:$O$116,15,0)),0,VLOOKUP($S$1567,'TAR FIN'!$A$1:$O$116,15,0))</f>
        <v>0</v>
      </c>
      <c r="W1567" s="6">
        <f>IF(ISERROR(VLOOKUP($T$1567,'TAR FIN'!$A$1:$O$116,15,0)),0,VLOOKUP($T$1567,'TAR FIN'!$A$1:$O$116,15,0))</f>
        <v>301.38</v>
      </c>
      <c r="X1567" s="6">
        <f>IF(ISERROR(VLOOKUP($U$1567,'TAR FIN'!$A$1:$O$116,15,0)),0,VLOOKUP($U$1567,'TAR FIN'!$A$1:$O$116,15,0))</f>
        <v>287.29000000000002</v>
      </c>
      <c r="Y1567" s="6"/>
      <c r="Z1567" s="6">
        <f ca="1">('TUSD BE'!$AM$56+'TUSD BF'!$AM$56+'TUSD CVA'!$AM$56)*(1-CUSTOS!$M$38)</f>
        <v>410.57781128100521</v>
      </c>
      <c r="AA1567" s="6">
        <f>('TE BE'!$AB$27+'TE BF'!$AB$27+'TE CVA'!$AB$27)*(1-CUSTOS!$M$38)</f>
        <v>309.85296222048811</v>
      </c>
      <c r="AB1567" s="6">
        <f>$K$1567*$V$1567</f>
        <v>0</v>
      </c>
      <c r="AC1567" s="6">
        <f>$M$1567*$W$1567</f>
        <v>9397.32978</v>
      </c>
      <c r="AD1567" s="6">
        <f>$O$1567*$X$1567</f>
        <v>8957.9894900000018</v>
      </c>
      <c r="AE1567" s="6">
        <f>$K$1567*$Y$1567</f>
        <v>0</v>
      </c>
      <c r="AF1567" s="6">
        <f ca="1">$M$1567*$Z$1567</f>
        <v>12802.226733553023</v>
      </c>
      <c r="AG1567" s="6">
        <f>$O$1567*$AA$1567</f>
        <v>9661.5252149970402</v>
      </c>
    </row>
    <row r="1568" spans="1:33" ht="11.25" customHeight="1" x14ac:dyDescent="0.25">
      <c r="A1568" s="4" t="s">
        <v>28</v>
      </c>
      <c r="B1568" s="4" t="s">
        <v>44</v>
      </c>
      <c r="C1568" s="4" t="s">
        <v>23</v>
      </c>
      <c r="D1568" s="4" t="s">
        <v>45</v>
      </c>
      <c r="E1568" s="4" t="s">
        <v>54</v>
      </c>
      <c r="F1568" s="4" t="s">
        <v>55</v>
      </c>
      <c r="G1568" s="4" t="s">
        <v>25</v>
      </c>
      <c r="H1568" s="4" t="s">
        <v>25</v>
      </c>
      <c r="I1568" s="5">
        <v>44652</v>
      </c>
      <c r="J1568" s="6">
        <v>0</v>
      </c>
      <c r="K1568" s="6">
        <v>0</v>
      </c>
      <c r="L1568" s="6">
        <v>10.276</v>
      </c>
      <c r="M1568" s="6">
        <v>10.276</v>
      </c>
      <c r="N1568" s="6">
        <v>10.276</v>
      </c>
      <c r="O1568" s="6">
        <v>10.276</v>
      </c>
      <c r="P1568" s="6">
        <v>0</v>
      </c>
      <c r="Q1568" s="4" t="s">
        <v>26</v>
      </c>
      <c r="R1568" s="4">
        <v>0</v>
      </c>
      <c r="S1568" s="6">
        <v>0</v>
      </c>
      <c r="T1568" s="6">
        <v>54</v>
      </c>
      <c r="U1568" s="6">
        <v>97</v>
      </c>
      <c r="V1568" s="6">
        <f>IF(ISERROR(VLOOKUP($S$1568,'TAR FIN'!$A$1:$O$116,15,0)),0,VLOOKUP($S$1568,'TAR FIN'!$A$1:$O$116,15,0))</f>
        <v>0</v>
      </c>
      <c r="W1568" s="6">
        <f>IF(ISERROR(VLOOKUP($T$1568,'TAR FIN'!$A$1:$O$116,15,0)),0,VLOOKUP($T$1568,'TAR FIN'!$A$1:$O$116,15,0))</f>
        <v>301.38</v>
      </c>
      <c r="X1568" s="6">
        <f>IF(ISERROR(VLOOKUP($U$1568,'TAR FIN'!$A$1:$O$116,15,0)),0,VLOOKUP($U$1568,'TAR FIN'!$A$1:$O$116,15,0))</f>
        <v>287.29000000000002</v>
      </c>
      <c r="Y1568" s="6"/>
      <c r="Z1568" s="6">
        <f ca="1">('TUSD BE'!$AM$56+'TUSD BF'!$AM$56+'TUSD CVA'!$AM$56)*(1-CUSTOS!$M$38)</f>
        <v>410.57781128100521</v>
      </c>
      <c r="AA1568" s="6">
        <f>('TE BE'!$AB$27+'TE BF'!$AB$27+'TE CVA'!$AB$27)*(1-CUSTOS!$M$38)</f>
        <v>309.85296222048811</v>
      </c>
      <c r="AB1568" s="6">
        <f>$K$1568*$V$1568</f>
        <v>0</v>
      </c>
      <c r="AC1568" s="6">
        <f>$M$1568*$W$1568</f>
        <v>3096.9808800000001</v>
      </c>
      <c r="AD1568" s="6">
        <f>$O$1568*$X$1568</f>
        <v>2952.1920400000004</v>
      </c>
      <c r="AE1568" s="6">
        <f>$K$1568*$Y$1568</f>
        <v>0</v>
      </c>
      <c r="AF1568" s="6">
        <f ca="1">$M$1568*$Z$1568</f>
        <v>4219.0975887236091</v>
      </c>
      <c r="AG1568" s="6">
        <f>$O$1568*$AA$1568</f>
        <v>3184.0490397777357</v>
      </c>
    </row>
    <row r="1569" spans="1:33" ht="11.25" customHeight="1" x14ac:dyDescent="0.25">
      <c r="A1569" s="4" t="s">
        <v>58</v>
      </c>
      <c r="B1569" s="4" t="s">
        <v>44</v>
      </c>
      <c r="C1569" s="4" t="s">
        <v>23</v>
      </c>
      <c r="D1569" s="4" t="s">
        <v>45</v>
      </c>
      <c r="E1569" s="4" t="s">
        <v>54</v>
      </c>
      <c r="F1569" s="4" t="s">
        <v>55</v>
      </c>
      <c r="G1569" s="4" t="s">
        <v>25</v>
      </c>
      <c r="H1569" s="4" t="s">
        <v>25</v>
      </c>
      <c r="I1569" s="5">
        <v>44682</v>
      </c>
      <c r="J1569" s="6">
        <v>0</v>
      </c>
      <c r="K1569" s="6">
        <v>0</v>
      </c>
      <c r="L1569" s="6">
        <v>31.181000000000001</v>
      </c>
      <c r="M1569" s="6">
        <v>31.181000000000001</v>
      </c>
      <c r="N1569" s="6">
        <v>31.181000000000001</v>
      </c>
      <c r="O1569" s="6">
        <v>31.181000000000001</v>
      </c>
      <c r="P1569" s="6">
        <v>0</v>
      </c>
      <c r="Q1569" s="4" t="s">
        <v>26</v>
      </c>
      <c r="R1569" s="4">
        <v>0</v>
      </c>
      <c r="S1569" s="6">
        <v>0</v>
      </c>
      <c r="T1569" s="6">
        <v>54</v>
      </c>
      <c r="U1569" s="6">
        <v>97</v>
      </c>
      <c r="V1569" s="6">
        <f>IF(ISERROR(VLOOKUP($S$1569,'TAR FIN'!$A$1:$O$116,15,0)),0,VLOOKUP($S$1569,'TAR FIN'!$A$1:$O$116,15,0))</f>
        <v>0</v>
      </c>
      <c r="W1569" s="6">
        <f>IF(ISERROR(VLOOKUP($T$1569,'TAR FIN'!$A$1:$O$116,15,0)),0,VLOOKUP($T$1569,'TAR FIN'!$A$1:$O$116,15,0))</f>
        <v>301.38</v>
      </c>
      <c r="X1569" s="6">
        <f>IF(ISERROR(VLOOKUP($U$1569,'TAR FIN'!$A$1:$O$116,15,0)),0,VLOOKUP($U$1569,'TAR FIN'!$A$1:$O$116,15,0))</f>
        <v>287.29000000000002</v>
      </c>
      <c r="Y1569" s="6"/>
      <c r="Z1569" s="6">
        <f ca="1">('TUSD BE'!$AM$56+'TUSD BF'!$AM$56+'TUSD CVA'!$AM$56)*(1-CUSTOS!$M$38)</f>
        <v>410.57781128100521</v>
      </c>
      <c r="AA1569" s="6">
        <f>('TE BE'!$AB$27+'TE BF'!$AB$27+'TE CVA'!$AB$27)*(1-CUSTOS!$M$38)</f>
        <v>309.85296222048811</v>
      </c>
      <c r="AB1569" s="6">
        <f>$K$1569*$V$1569</f>
        <v>0</v>
      </c>
      <c r="AC1569" s="6">
        <f>$M$1569*$W$1569</f>
        <v>9397.32978</v>
      </c>
      <c r="AD1569" s="6">
        <f>$O$1569*$X$1569</f>
        <v>8957.9894900000018</v>
      </c>
      <c r="AE1569" s="6">
        <f>$K$1569*$Y$1569</f>
        <v>0</v>
      </c>
      <c r="AF1569" s="6">
        <f ca="1">$M$1569*$Z$1569</f>
        <v>12802.226733553023</v>
      </c>
      <c r="AG1569" s="6">
        <f>$O$1569*$AA$1569</f>
        <v>9661.5252149970402</v>
      </c>
    </row>
    <row r="1570" spans="1:33" ht="11.25" customHeight="1" x14ac:dyDescent="0.25">
      <c r="A1570" s="4" t="s">
        <v>58</v>
      </c>
      <c r="B1570" s="4" t="s">
        <v>44</v>
      </c>
      <c r="C1570" s="4" t="s">
        <v>23</v>
      </c>
      <c r="D1570" s="4" t="s">
        <v>45</v>
      </c>
      <c r="E1570" s="4" t="s">
        <v>54</v>
      </c>
      <c r="F1570" s="4" t="s">
        <v>55</v>
      </c>
      <c r="G1570" s="4" t="s">
        <v>25</v>
      </c>
      <c r="H1570" s="4" t="s">
        <v>25</v>
      </c>
      <c r="I1570" s="5">
        <v>44682</v>
      </c>
      <c r="J1570" s="6">
        <v>0</v>
      </c>
      <c r="K1570" s="6">
        <v>0</v>
      </c>
      <c r="L1570" s="6">
        <v>10.276</v>
      </c>
      <c r="M1570" s="6">
        <v>10.276</v>
      </c>
      <c r="N1570" s="6">
        <v>10.276</v>
      </c>
      <c r="O1570" s="6">
        <v>10.276</v>
      </c>
      <c r="P1570" s="6">
        <v>0</v>
      </c>
      <c r="Q1570" s="4" t="s">
        <v>26</v>
      </c>
      <c r="R1570" s="4">
        <v>0</v>
      </c>
      <c r="S1570" s="6">
        <v>0</v>
      </c>
      <c r="T1570" s="6">
        <v>54</v>
      </c>
      <c r="U1570" s="6">
        <v>97</v>
      </c>
      <c r="V1570" s="6">
        <f>IF(ISERROR(VLOOKUP($S$1570,'TAR FIN'!$A$1:$O$116,15,0)),0,VLOOKUP($S$1570,'TAR FIN'!$A$1:$O$116,15,0))</f>
        <v>0</v>
      </c>
      <c r="W1570" s="6">
        <f>IF(ISERROR(VLOOKUP($T$1570,'TAR FIN'!$A$1:$O$116,15,0)),0,VLOOKUP($T$1570,'TAR FIN'!$A$1:$O$116,15,0))</f>
        <v>301.38</v>
      </c>
      <c r="X1570" s="6">
        <f>IF(ISERROR(VLOOKUP($U$1570,'TAR FIN'!$A$1:$O$116,15,0)),0,VLOOKUP($U$1570,'TAR FIN'!$A$1:$O$116,15,0))</f>
        <v>287.29000000000002</v>
      </c>
      <c r="Y1570" s="6"/>
      <c r="Z1570" s="6">
        <f ca="1">('TUSD BE'!$AM$56+'TUSD BF'!$AM$56+'TUSD CVA'!$AM$56)*(1-CUSTOS!$M$38)</f>
        <v>410.57781128100521</v>
      </c>
      <c r="AA1570" s="6">
        <f>('TE BE'!$AB$27+'TE BF'!$AB$27+'TE CVA'!$AB$27)*(1-CUSTOS!$M$38)</f>
        <v>309.85296222048811</v>
      </c>
      <c r="AB1570" s="6">
        <f>$K$1570*$V$1570</f>
        <v>0</v>
      </c>
      <c r="AC1570" s="6">
        <f>$M$1570*$W$1570</f>
        <v>3096.9808800000001</v>
      </c>
      <c r="AD1570" s="6">
        <f>$O$1570*$X$1570</f>
        <v>2952.1920400000004</v>
      </c>
      <c r="AE1570" s="6">
        <f>$K$1570*$Y$1570</f>
        <v>0</v>
      </c>
      <c r="AF1570" s="6">
        <f ca="1">$M$1570*$Z$1570</f>
        <v>4219.0975887236091</v>
      </c>
      <c r="AG1570" s="6">
        <f>$O$1570*$AA$1570</f>
        <v>3184.0490397777357</v>
      </c>
    </row>
    <row r="1571" spans="1:33" ht="11.25" customHeight="1" x14ac:dyDescent="0.25">
      <c r="A1571" s="4" t="s">
        <v>21</v>
      </c>
      <c r="B1571" s="4" t="s">
        <v>44</v>
      </c>
      <c r="C1571" s="4" t="s">
        <v>23</v>
      </c>
      <c r="D1571" s="4" t="s">
        <v>45</v>
      </c>
      <c r="E1571" s="4" t="s">
        <v>54</v>
      </c>
      <c r="F1571" s="4" t="s">
        <v>56</v>
      </c>
      <c r="G1571" s="4" t="s">
        <v>25</v>
      </c>
      <c r="H1571" s="4" t="s">
        <v>25</v>
      </c>
      <c r="I1571" s="5">
        <v>44348</v>
      </c>
      <c r="J1571" s="6">
        <v>0</v>
      </c>
      <c r="K1571" s="6">
        <v>0</v>
      </c>
      <c r="L1571" s="6">
        <v>56.932000000000002</v>
      </c>
      <c r="M1571" s="6">
        <v>18.787559999999999</v>
      </c>
      <c r="N1571" s="6">
        <v>56.932000000000002</v>
      </c>
      <c r="O1571" s="6">
        <v>18.787559999999999</v>
      </c>
      <c r="P1571" s="6">
        <v>0</v>
      </c>
      <c r="Q1571" s="4" t="s">
        <v>26</v>
      </c>
      <c r="R1571" s="4">
        <v>0</v>
      </c>
      <c r="S1571" s="6">
        <v>0</v>
      </c>
      <c r="T1571" s="6">
        <v>54</v>
      </c>
      <c r="U1571" s="6">
        <v>97</v>
      </c>
      <c r="V1571" s="6">
        <f>IF(ISERROR(VLOOKUP($S$1571,'TAR FIN'!$A$1:$O$116,15,0)),0,VLOOKUP($S$1571,'TAR FIN'!$A$1:$O$116,15,0))</f>
        <v>0</v>
      </c>
      <c r="W1571" s="6">
        <f>IF(ISERROR(VLOOKUP($T$1571,'TAR FIN'!$A$1:$O$116,15,0)),0,VLOOKUP($T$1571,'TAR FIN'!$A$1:$O$116,15,0))</f>
        <v>301.38</v>
      </c>
      <c r="X1571" s="6">
        <f>IF(ISERROR(VLOOKUP($U$1571,'TAR FIN'!$A$1:$O$116,15,0)),0,VLOOKUP($U$1571,'TAR FIN'!$A$1:$O$116,15,0))</f>
        <v>287.29000000000002</v>
      </c>
      <c r="Y1571" s="6"/>
      <c r="Z1571" s="6">
        <f ca="1">('TUSD BE'!$AM$56+'TUSD BF'!$AM$56+'TUSD CVA'!$AM$56)*(1-CUSTOS!$M$38)</f>
        <v>410.57781128100521</v>
      </c>
      <c r="AA1571" s="6">
        <f>('TE BE'!$AB$27+'TE BF'!$AB$27+'TE CVA'!$AB$27)*(1-CUSTOS!$M$38)</f>
        <v>309.85296222048811</v>
      </c>
      <c r="AB1571" s="6">
        <f>$K$1571*$V$1571</f>
        <v>0</v>
      </c>
      <c r="AC1571" s="6">
        <f>$M$1571*$W$1571</f>
        <v>5662.1948327999999</v>
      </c>
      <c r="AD1571" s="6">
        <f>$O$1571*$X$1571</f>
        <v>5397.4781124000001</v>
      </c>
      <c r="AE1571" s="6">
        <f>$K$1571*$Y$1571</f>
        <v>0</v>
      </c>
      <c r="AF1571" s="6">
        <f ca="1">$M$1571*$Z$1571</f>
        <v>7713.7552641105622</v>
      </c>
      <c r="AG1571" s="6">
        <f>$O$1571*$AA$1571</f>
        <v>5821.3811188951531</v>
      </c>
    </row>
    <row r="1572" spans="1:33" ht="11.25" customHeight="1" x14ac:dyDescent="0.25">
      <c r="A1572" s="4" t="s">
        <v>28</v>
      </c>
      <c r="B1572" s="4" t="s">
        <v>44</v>
      </c>
      <c r="C1572" s="4" t="s">
        <v>23</v>
      </c>
      <c r="D1572" s="4" t="s">
        <v>45</v>
      </c>
      <c r="E1572" s="4" t="s">
        <v>54</v>
      </c>
      <c r="F1572" s="4" t="s">
        <v>56</v>
      </c>
      <c r="G1572" s="4" t="s">
        <v>25</v>
      </c>
      <c r="H1572" s="4" t="s">
        <v>25</v>
      </c>
      <c r="I1572" s="5">
        <v>44348</v>
      </c>
      <c r="J1572" s="6">
        <v>0</v>
      </c>
      <c r="K1572" s="6">
        <v>0</v>
      </c>
      <c r="L1572" s="6">
        <v>13.337999999999999</v>
      </c>
      <c r="M1572" s="6">
        <v>4.4015399999999998</v>
      </c>
      <c r="N1572" s="6">
        <v>13.337999999999999</v>
      </c>
      <c r="O1572" s="6">
        <v>4.4015399999999998</v>
      </c>
      <c r="P1572" s="6">
        <v>0</v>
      </c>
      <c r="Q1572" s="4" t="s">
        <v>26</v>
      </c>
      <c r="R1572" s="4">
        <v>0</v>
      </c>
      <c r="S1572" s="6">
        <v>0</v>
      </c>
      <c r="T1572" s="6">
        <v>54</v>
      </c>
      <c r="U1572" s="6">
        <v>97</v>
      </c>
      <c r="V1572" s="6">
        <f>IF(ISERROR(VLOOKUP($S$1572,'TAR FIN'!$A$1:$O$116,15,0)),0,VLOOKUP($S$1572,'TAR FIN'!$A$1:$O$116,15,0))</f>
        <v>0</v>
      </c>
      <c r="W1572" s="6">
        <f>IF(ISERROR(VLOOKUP($T$1572,'TAR FIN'!$A$1:$O$116,15,0)),0,VLOOKUP($T$1572,'TAR FIN'!$A$1:$O$116,15,0))</f>
        <v>301.38</v>
      </c>
      <c r="X1572" s="6">
        <f>IF(ISERROR(VLOOKUP($U$1572,'TAR FIN'!$A$1:$O$116,15,0)),0,VLOOKUP($U$1572,'TAR FIN'!$A$1:$O$116,15,0))</f>
        <v>287.29000000000002</v>
      </c>
      <c r="Y1572" s="6"/>
      <c r="Z1572" s="6">
        <f ca="1">('TUSD BE'!$AM$56+'TUSD BF'!$AM$56+'TUSD CVA'!$AM$56)*(1-CUSTOS!$M$38)</f>
        <v>410.57781128100521</v>
      </c>
      <c r="AA1572" s="6">
        <f>('TE BE'!$AB$27+'TE BF'!$AB$27+'TE CVA'!$AB$27)*(1-CUSTOS!$M$38)</f>
        <v>309.85296222048811</v>
      </c>
      <c r="AB1572" s="6">
        <f>$K$1572*$V$1572</f>
        <v>0</v>
      </c>
      <c r="AC1572" s="6">
        <f>$M$1572*$W$1572</f>
        <v>1326.5361252</v>
      </c>
      <c r="AD1572" s="6">
        <f>$O$1572*$X$1572</f>
        <v>1264.5184266000001</v>
      </c>
      <c r="AE1572" s="6">
        <f>$K$1572*$Y$1572</f>
        <v>0</v>
      </c>
      <c r="AF1572" s="6">
        <f ca="1">$M$1572*$Z$1572</f>
        <v>1807.1746594657957</v>
      </c>
      <c r="AG1572" s="6">
        <f>$O$1572*$AA$1572</f>
        <v>1363.8302073319671</v>
      </c>
    </row>
    <row r="1573" spans="1:33" ht="11.25" customHeight="1" x14ac:dyDescent="0.25">
      <c r="A1573" s="4" t="s">
        <v>21</v>
      </c>
      <c r="B1573" s="4" t="s">
        <v>44</v>
      </c>
      <c r="C1573" s="4" t="s">
        <v>23</v>
      </c>
      <c r="D1573" s="4" t="s">
        <v>45</v>
      </c>
      <c r="E1573" s="4" t="s">
        <v>54</v>
      </c>
      <c r="F1573" s="4" t="s">
        <v>56</v>
      </c>
      <c r="G1573" s="4" t="s">
        <v>25</v>
      </c>
      <c r="H1573" s="4" t="s">
        <v>25</v>
      </c>
      <c r="I1573" s="5">
        <v>44378</v>
      </c>
      <c r="J1573" s="6">
        <v>0</v>
      </c>
      <c r="K1573" s="6">
        <v>0</v>
      </c>
      <c r="L1573" s="6">
        <v>65.763999999999996</v>
      </c>
      <c r="M1573" s="6">
        <v>21.702120000000001</v>
      </c>
      <c r="N1573" s="6">
        <v>65.763999999999996</v>
      </c>
      <c r="O1573" s="6">
        <v>21.702120000000001</v>
      </c>
      <c r="P1573" s="6">
        <v>0</v>
      </c>
      <c r="Q1573" s="4" t="s">
        <v>26</v>
      </c>
      <c r="R1573" s="4">
        <v>0</v>
      </c>
      <c r="S1573" s="6">
        <v>0</v>
      </c>
      <c r="T1573" s="6">
        <v>54</v>
      </c>
      <c r="U1573" s="6">
        <v>97</v>
      </c>
      <c r="V1573" s="6">
        <f>IF(ISERROR(VLOOKUP($S$1573,'TAR FIN'!$A$1:$O$116,15,0)),0,VLOOKUP($S$1573,'TAR FIN'!$A$1:$O$116,15,0))</f>
        <v>0</v>
      </c>
      <c r="W1573" s="6">
        <f>IF(ISERROR(VLOOKUP($T$1573,'TAR FIN'!$A$1:$O$116,15,0)),0,VLOOKUP($T$1573,'TAR FIN'!$A$1:$O$116,15,0))</f>
        <v>301.38</v>
      </c>
      <c r="X1573" s="6">
        <f>IF(ISERROR(VLOOKUP($U$1573,'TAR FIN'!$A$1:$O$116,15,0)),0,VLOOKUP($U$1573,'TAR FIN'!$A$1:$O$116,15,0))</f>
        <v>287.29000000000002</v>
      </c>
      <c r="Y1573" s="6"/>
      <c r="Z1573" s="6">
        <f ca="1">('TUSD BE'!$AM$56+'TUSD BF'!$AM$56+'TUSD CVA'!$AM$56)*(1-CUSTOS!$M$38)</f>
        <v>410.57781128100521</v>
      </c>
      <c r="AA1573" s="6">
        <f>('TE BE'!$AB$27+'TE BF'!$AB$27+'TE CVA'!$AB$27)*(1-CUSTOS!$M$38)</f>
        <v>309.85296222048811</v>
      </c>
      <c r="AB1573" s="6">
        <f>$K$1573*$V$1573</f>
        <v>0</v>
      </c>
      <c r="AC1573" s="6">
        <f>$M$1573*$W$1573</f>
        <v>6540.5849256000001</v>
      </c>
      <c r="AD1573" s="6">
        <f>$O$1573*$X$1573</f>
        <v>6234.8020548000004</v>
      </c>
      <c r="AE1573" s="6">
        <f>$K$1573*$Y$1573</f>
        <v>0</v>
      </c>
      <c r="AF1573" s="6">
        <f ca="1">$M$1573*$Z$1573</f>
        <v>8910.4089297577284</v>
      </c>
      <c r="AG1573" s="6">
        <f>$O$1573*$AA$1573</f>
        <v>6724.4661684644998</v>
      </c>
    </row>
    <row r="1574" spans="1:33" ht="11.25" customHeight="1" x14ac:dyDescent="0.25">
      <c r="A1574" s="4" t="s">
        <v>27</v>
      </c>
      <c r="B1574" s="4" t="s">
        <v>44</v>
      </c>
      <c r="C1574" s="4" t="s">
        <v>23</v>
      </c>
      <c r="D1574" s="4" t="s">
        <v>45</v>
      </c>
      <c r="E1574" s="4" t="s">
        <v>54</v>
      </c>
      <c r="F1574" s="4" t="s">
        <v>56</v>
      </c>
      <c r="G1574" s="4" t="s">
        <v>25</v>
      </c>
      <c r="H1574" s="4" t="s">
        <v>25</v>
      </c>
      <c r="I1574" s="5">
        <v>44378</v>
      </c>
      <c r="J1574" s="6">
        <v>0</v>
      </c>
      <c r="K1574" s="6">
        <v>0</v>
      </c>
      <c r="L1574" s="6">
        <v>-0.1</v>
      </c>
      <c r="M1574" s="6">
        <v>-3.3000000000000002E-2</v>
      </c>
      <c r="N1574" s="6">
        <v>-0.1</v>
      </c>
      <c r="O1574" s="6">
        <v>-3.3000000000000002E-2</v>
      </c>
      <c r="P1574" s="6">
        <v>0</v>
      </c>
      <c r="Q1574" s="4" t="s">
        <v>26</v>
      </c>
      <c r="R1574" s="4">
        <v>0</v>
      </c>
      <c r="S1574" s="6">
        <v>0</v>
      </c>
      <c r="T1574" s="6">
        <v>54</v>
      </c>
      <c r="U1574" s="6">
        <v>97</v>
      </c>
      <c r="V1574" s="6">
        <f>IF(ISERROR(VLOOKUP($S$1574,'TAR FIN'!$A$1:$O$116,15,0)),0,VLOOKUP($S$1574,'TAR FIN'!$A$1:$O$116,15,0))</f>
        <v>0</v>
      </c>
      <c r="W1574" s="6">
        <f>IF(ISERROR(VLOOKUP($T$1574,'TAR FIN'!$A$1:$O$116,15,0)),0,VLOOKUP($T$1574,'TAR FIN'!$A$1:$O$116,15,0))</f>
        <v>301.38</v>
      </c>
      <c r="X1574" s="6">
        <f>IF(ISERROR(VLOOKUP($U$1574,'TAR FIN'!$A$1:$O$116,15,0)),0,VLOOKUP($U$1574,'TAR FIN'!$A$1:$O$116,15,0))</f>
        <v>287.29000000000002</v>
      </c>
      <c r="Y1574" s="6"/>
      <c r="Z1574" s="6">
        <f ca="1">('TUSD BE'!$AM$56+'TUSD BF'!$AM$56+'TUSD CVA'!$AM$56)*(1-CUSTOS!$M$38)</f>
        <v>410.57781128100521</v>
      </c>
      <c r="AA1574" s="6">
        <f>('TE BE'!$AB$27+'TE BF'!$AB$27+'TE CVA'!$AB$27)*(1-CUSTOS!$M$38)</f>
        <v>309.85296222048811</v>
      </c>
      <c r="AB1574" s="6">
        <f>$K$1574*$V$1574</f>
        <v>0</v>
      </c>
      <c r="AC1574" s="6">
        <f>$M$1574*$W$1574</f>
        <v>-9.9455400000000012</v>
      </c>
      <c r="AD1574" s="6">
        <f>$O$1574*$X$1574</f>
        <v>-9.4805700000000019</v>
      </c>
      <c r="AE1574" s="6">
        <f>$K$1574*$Y$1574</f>
        <v>0</v>
      </c>
      <c r="AF1574" s="6">
        <f ca="1">$M$1574*$Z$1574</f>
        <v>-13.549067772273172</v>
      </c>
      <c r="AG1574" s="6">
        <f>$O$1574*$AA$1574</f>
        <v>-10.225147753276108</v>
      </c>
    </row>
    <row r="1575" spans="1:33" ht="11.25" customHeight="1" x14ac:dyDescent="0.25">
      <c r="A1575" s="4" t="s">
        <v>28</v>
      </c>
      <c r="B1575" s="4" t="s">
        <v>44</v>
      </c>
      <c r="C1575" s="4" t="s">
        <v>23</v>
      </c>
      <c r="D1575" s="4" t="s">
        <v>45</v>
      </c>
      <c r="E1575" s="4" t="s">
        <v>54</v>
      </c>
      <c r="F1575" s="4" t="s">
        <v>56</v>
      </c>
      <c r="G1575" s="4" t="s">
        <v>25</v>
      </c>
      <c r="H1575" s="4" t="s">
        <v>25</v>
      </c>
      <c r="I1575" s="5">
        <v>44378</v>
      </c>
      <c r="J1575" s="6">
        <v>0</v>
      </c>
      <c r="K1575" s="6">
        <v>0</v>
      </c>
      <c r="L1575" s="6">
        <v>13.084</v>
      </c>
      <c r="M1575" s="6">
        <v>4.3177199999999996</v>
      </c>
      <c r="N1575" s="6">
        <v>13.084</v>
      </c>
      <c r="O1575" s="6">
        <v>4.3177199999999996</v>
      </c>
      <c r="P1575" s="6">
        <v>0</v>
      </c>
      <c r="Q1575" s="4" t="s">
        <v>26</v>
      </c>
      <c r="R1575" s="4">
        <v>0</v>
      </c>
      <c r="S1575" s="6">
        <v>0</v>
      </c>
      <c r="T1575" s="6">
        <v>54</v>
      </c>
      <c r="U1575" s="6">
        <v>97</v>
      </c>
      <c r="V1575" s="6">
        <f>IF(ISERROR(VLOOKUP($S$1575,'TAR FIN'!$A$1:$O$116,15,0)),0,VLOOKUP($S$1575,'TAR FIN'!$A$1:$O$116,15,0))</f>
        <v>0</v>
      </c>
      <c r="W1575" s="6">
        <f>IF(ISERROR(VLOOKUP($T$1575,'TAR FIN'!$A$1:$O$116,15,0)),0,VLOOKUP($T$1575,'TAR FIN'!$A$1:$O$116,15,0))</f>
        <v>301.38</v>
      </c>
      <c r="X1575" s="6">
        <f>IF(ISERROR(VLOOKUP($U$1575,'TAR FIN'!$A$1:$O$116,15,0)),0,VLOOKUP($U$1575,'TAR FIN'!$A$1:$O$116,15,0))</f>
        <v>287.29000000000002</v>
      </c>
      <c r="Y1575" s="6"/>
      <c r="Z1575" s="6">
        <f ca="1">('TUSD BE'!$AM$56+'TUSD BF'!$AM$56+'TUSD CVA'!$AM$56)*(1-CUSTOS!$M$38)</f>
        <v>410.57781128100521</v>
      </c>
      <c r="AA1575" s="6">
        <f>('TE BE'!$AB$27+'TE BF'!$AB$27+'TE CVA'!$AB$27)*(1-CUSTOS!$M$38)</f>
        <v>309.85296222048811</v>
      </c>
      <c r="AB1575" s="6">
        <f>$K$1575*$V$1575</f>
        <v>0</v>
      </c>
      <c r="AC1575" s="6">
        <f>$M$1575*$W$1575</f>
        <v>1301.2744535999998</v>
      </c>
      <c r="AD1575" s="6">
        <f>$O$1575*$X$1575</f>
        <v>1240.4377787999999</v>
      </c>
      <c r="AE1575" s="6">
        <f>$K$1575*$Y$1575</f>
        <v>0</v>
      </c>
      <c r="AF1575" s="6">
        <f ca="1">$M$1575*$Z$1575</f>
        <v>1772.7600273242217</v>
      </c>
      <c r="AG1575" s="6">
        <f>$O$1575*$AA$1575</f>
        <v>1337.8583320386458</v>
      </c>
    </row>
    <row r="1576" spans="1:33" ht="11.25" customHeight="1" x14ac:dyDescent="0.25">
      <c r="A1576" s="4" t="s">
        <v>28</v>
      </c>
      <c r="B1576" s="4" t="s">
        <v>44</v>
      </c>
      <c r="C1576" s="4" t="s">
        <v>23</v>
      </c>
      <c r="D1576" s="4" t="s">
        <v>45</v>
      </c>
      <c r="E1576" s="4" t="s">
        <v>54</v>
      </c>
      <c r="F1576" s="4" t="s">
        <v>56</v>
      </c>
      <c r="G1576" s="4" t="s">
        <v>25</v>
      </c>
      <c r="H1576" s="4" t="s">
        <v>25</v>
      </c>
      <c r="I1576" s="5">
        <v>44378</v>
      </c>
      <c r="J1576" s="6">
        <v>0</v>
      </c>
      <c r="K1576" s="6">
        <v>0</v>
      </c>
      <c r="L1576" s="6">
        <v>9.7569999999999997</v>
      </c>
      <c r="M1576" s="6">
        <v>3.2198099999999998</v>
      </c>
      <c r="N1576" s="6">
        <v>9.7569999999999997</v>
      </c>
      <c r="O1576" s="6">
        <v>3.2198099999999998</v>
      </c>
      <c r="P1576" s="6">
        <v>0</v>
      </c>
      <c r="Q1576" s="4" t="s">
        <v>26</v>
      </c>
      <c r="R1576" s="4">
        <v>0</v>
      </c>
      <c r="S1576" s="6">
        <v>0</v>
      </c>
      <c r="T1576" s="6">
        <v>54</v>
      </c>
      <c r="U1576" s="6">
        <v>97</v>
      </c>
      <c r="V1576" s="6">
        <f>IF(ISERROR(VLOOKUP($S$1576,'TAR FIN'!$A$1:$O$116,15,0)),0,VLOOKUP($S$1576,'TAR FIN'!$A$1:$O$116,15,0))</f>
        <v>0</v>
      </c>
      <c r="W1576" s="6">
        <f>IF(ISERROR(VLOOKUP($T$1576,'TAR FIN'!$A$1:$O$116,15,0)),0,VLOOKUP($T$1576,'TAR FIN'!$A$1:$O$116,15,0))</f>
        <v>301.38</v>
      </c>
      <c r="X1576" s="6">
        <f>IF(ISERROR(VLOOKUP($U$1576,'TAR FIN'!$A$1:$O$116,15,0)),0,VLOOKUP($U$1576,'TAR FIN'!$A$1:$O$116,15,0))</f>
        <v>287.29000000000002</v>
      </c>
      <c r="Y1576" s="6"/>
      <c r="Z1576" s="6">
        <f ca="1">('TUSD BE'!$AM$56+'TUSD BF'!$AM$56+'TUSD CVA'!$AM$56)*(1-CUSTOS!$M$38)</f>
        <v>410.57781128100521</v>
      </c>
      <c r="AA1576" s="6">
        <f>('TE BE'!$AB$27+'TE BF'!$AB$27+'TE CVA'!$AB$27)*(1-CUSTOS!$M$38)</f>
        <v>309.85296222048811</v>
      </c>
      <c r="AB1576" s="6">
        <f>$K$1576*$V$1576</f>
        <v>0</v>
      </c>
      <c r="AC1576" s="6">
        <f>$M$1576*$W$1576</f>
        <v>970.38633779999998</v>
      </c>
      <c r="AD1576" s="6">
        <f>$O$1576*$X$1576</f>
        <v>925.01921490000007</v>
      </c>
      <c r="AE1576" s="6">
        <f>$K$1576*$Y$1576</f>
        <v>0</v>
      </c>
      <c r="AF1576" s="6">
        <f ca="1">$M$1576*$Z$1576</f>
        <v>1321.9825425406934</v>
      </c>
      <c r="AG1576" s="6">
        <f>$O$1576*$AA$1576</f>
        <v>997.66766628714981</v>
      </c>
    </row>
    <row r="1577" spans="1:33" ht="11.25" customHeight="1" x14ac:dyDescent="0.25">
      <c r="A1577" s="4" t="s">
        <v>21</v>
      </c>
      <c r="B1577" s="4" t="s">
        <v>44</v>
      </c>
      <c r="C1577" s="4" t="s">
        <v>23</v>
      </c>
      <c r="D1577" s="4" t="s">
        <v>45</v>
      </c>
      <c r="E1577" s="4" t="s">
        <v>54</v>
      </c>
      <c r="F1577" s="4" t="s">
        <v>56</v>
      </c>
      <c r="G1577" s="4" t="s">
        <v>25</v>
      </c>
      <c r="H1577" s="4" t="s">
        <v>25</v>
      </c>
      <c r="I1577" s="5">
        <v>44409</v>
      </c>
      <c r="J1577" s="6">
        <v>0</v>
      </c>
      <c r="K1577" s="6">
        <v>0</v>
      </c>
      <c r="L1577" s="6">
        <v>59.670999999999999</v>
      </c>
      <c r="M1577" s="6">
        <v>19.69143</v>
      </c>
      <c r="N1577" s="6">
        <v>59.670999999999999</v>
      </c>
      <c r="O1577" s="6">
        <v>19.69143</v>
      </c>
      <c r="P1577" s="6">
        <v>0</v>
      </c>
      <c r="Q1577" s="4" t="s">
        <v>26</v>
      </c>
      <c r="R1577" s="4">
        <v>0</v>
      </c>
      <c r="S1577" s="6">
        <v>0</v>
      </c>
      <c r="T1577" s="6">
        <v>54</v>
      </c>
      <c r="U1577" s="6">
        <v>97</v>
      </c>
      <c r="V1577" s="6">
        <f>IF(ISERROR(VLOOKUP($S$1577,'TAR FIN'!$A$1:$O$116,15,0)),0,VLOOKUP($S$1577,'TAR FIN'!$A$1:$O$116,15,0))</f>
        <v>0</v>
      </c>
      <c r="W1577" s="6">
        <f>IF(ISERROR(VLOOKUP($T$1577,'TAR FIN'!$A$1:$O$116,15,0)),0,VLOOKUP($T$1577,'TAR FIN'!$A$1:$O$116,15,0))</f>
        <v>301.38</v>
      </c>
      <c r="X1577" s="6">
        <f>IF(ISERROR(VLOOKUP($U$1577,'TAR FIN'!$A$1:$O$116,15,0)),0,VLOOKUP($U$1577,'TAR FIN'!$A$1:$O$116,15,0))</f>
        <v>287.29000000000002</v>
      </c>
      <c r="Y1577" s="6"/>
      <c r="Z1577" s="6">
        <f ca="1">('TUSD BE'!$AM$56+'TUSD BF'!$AM$56+'TUSD CVA'!$AM$56)*(1-CUSTOS!$M$38)</f>
        <v>410.57781128100521</v>
      </c>
      <c r="AA1577" s="6">
        <f>('TE BE'!$AB$27+'TE BF'!$AB$27+'TE CVA'!$AB$27)*(1-CUSTOS!$M$38)</f>
        <v>309.85296222048811</v>
      </c>
      <c r="AB1577" s="6">
        <f>$K$1577*$V$1577</f>
        <v>0</v>
      </c>
      <c r="AC1577" s="6">
        <f>$M$1577*$W$1577</f>
        <v>5934.6031733999998</v>
      </c>
      <c r="AD1577" s="6">
        <f>$O$1577*$X$1577</f>
        <v>5657.1509247000004</v>
      </c>
      <c r="AE1577" s="6">
        <f>$K$1577*$Y$1577</f>
        <v>0</v>
      </c>
      <c r="AF1577" s="6">
        <f ca="1">$M$1577*$Z$1577</f>
        <v>8084.8642303931247</v>
      </c>
      <c r="AG1577" s="6">
        <f>$O$1577*$AA$1577</f>
        <v>6101.4479158573859</v>
      </c>
    </row>
    <row r="1578" spans="1:33" ht="11.25" customHeight="1" x14ac:dyDescent="0.25">
      <c r="A1578" s="4" t="s">
        <v>27</v>
      </c>
      <c r="B1578" s="4" t="s">
        <v>44</v>
      </c>
      <c r="C1578" s="4" t="s">
        <v>23</v>
      </c>
      <c r="D1578" s="4" t="s">
        <v>45</v>
      </c>
      <c r="E1578" s="4" t="s">
        <v>54</v>
      </c>
      <c r="F1578" s="4" t="s">
        <v>56</v>
      </c>
      <c r="G1578" s="4" t="s">
        <v>25</v>
      </c>
      <c r="H1578" s="4" t="s">
        <v>25</v>
      </c>
      <c r="I1578" s="5">
        <v>44409</v>
      </c>
      <c r="J1578" s="6">
        <v>0</v>
      </c>
      <c r="K1578" s="6">
        <v>0</v>
      </c>
      <c r="L1578" s="6">
        <v>1.6</v>
      </c>
      <c r="M1578" s="6">
        <v>0.52800000000000002</v>
      </c>
      <c r="N1578" s="6">
        <v>1.6</v>
      </c>
      <c r="O1578" s="6">
        <v>0.52800000000000002</v>
      </c>
      <c r="P1578" s="6">
        <v>0</v>
      </c>
      <c r="Q1578" s="4" t="s">
        <v>26</v>
      </c>
      <c r="R1578" s="4">
        <v>0</v>
      </c>
      <c r="S1578" s="6">
        <v>0</v>
      </c>
      <c r="T1578" s="6">
        <v>54</v>
      </c>
      <c r="U1578" s="6">
        <v>97</v>
      </c>
      <c r="V1578" s="6">
        <f>IF(ISERROR(VLOOKUP($S$1578,'TAR FIN'!$A$1:$O$116,15,0)),0,VLOOKUP($S$1578,'TAR FIN'!$A$1:$O$116,15,0))</f>
        <v>0</v>
      </c>
      <c r="W1578" s="6">
        <f>IF(ISERROR(VLOOKUP($T$1578,'TAR FIN'!$A$1:$O$116,15,0)),0,VLOOKUP($T$1578,'TAR FIN'!$A$1:$O$116,15,0))</f>
        <v>301.38</v>
      </c>
      <c r="X1578" s="6">
        <f>IF(ISERROR(VLOOKUP($U$1578,'TAR FIN'!$A$1:$O$116,15,0)),0,VLOOKUP($U$1578,'TAR FIN'!$A$1:$O$116,15,0))</f>
        <v>287.29000000000002</v>
      </c>
      <c r="Y1578" s="6"/>
      <c r="Z1578" s="6">
        <f ca="1">('TUSD BE'!$AM$56+'TUSD BF'!$AM$56+'TUSD CVA'!$AM$56)*(1-CUSTOS!$M$38)</f>
        <v>410.57781128100521</v>
      </c>
      <c r="AA1578" s="6">
        <f>('TE BE'!$AB$27+'TE BF'!$AB$27+'TE CVA'!$AB$27)*(1-CUSTOS!$M$38)</f>
        <v>309.85296222048811</v>
      </c>
      <c r="AB1578" s="6">
        <f>$K$1578*$V$1578</f>
        <v>0</v>
      </c>
      <c r="AC1578" s="6">
        <f>$M$1578*$W$1578</f>
        <v>159.12864000000002</v>
      </c>
      <c r="AD1578" s="6">
        <f>$O$1578*$X$1578</f>
        <v>151.68912000000003</v>
      </c>
      <c r="AE1578" s="6">
        <f>$K$1578*$Y$1578</f>
        <v>0</v>
      </c>
      <c r="AF1578" s="6">
        <f ca="1">$M$1578*$Z$1578</f>
        <v>216.78508435637076</v>
      </c>
      <c r="AG1578" s="6">
        <f>$O$1578*$AA$1578</f>
        <v>163.60236405241773</v>
      </c>
    </row>
    <row r="1579" spans="1:33" ht="11.25" customHeight="1" x14ac:dyDescent="0.25">
      <c r="A1579" s="4" t="s">
        <v>28</v>
      </c>
      <c r="B1579" s="4" t="s">
        <v>44</v>
      </c>
      <c r="C1579" s="4" t="s">
        <v>23</v>
      </c>
      <c r="D1579" s="4" t="s">
        <v>45</v>
      </c>
      <c r="E1579" s="4" t="s">
        <v>54</v>
      </c>
      <c r="F1579" s="4" t="s">
        <v>56</v>
      </c>
      <c r="G1579" s="4" t="s">
        <v>25</v>
      </c>
      <c r="H1579" s="4" t="s">
        <v>25</v>
      </c>
      <c r="I1579" s="5">
        <v>44409</v>
      </c>
      <c r="J1579" s="6">
        <v>0</v>
      </c>
      <c r="K1579" s="6">
        <v>0</v>
      </c>
      <c r="L1579" s="6">
        <v>12.503</v>
      </c>
      <c r="M1579" s="6">
        <v>4.1259899999999998</v>
      </c>
      <c r="N1579" s="6">
        <v>12.503</v>
      </c>
      <c r="O1579" s="6">
        <v>4.1259899999999998</v>
      </c>
      <c r="P1579" s="6">
        <v>0</v>
      </c>
      <c r="Q1579" s="4" t="s">
        <v>26</v>
      </c>
      <c r="R1579" s="4">
        <v>0</v>
      </c>
      <c r="S1579" s="6">
        <v>0</v>
      </c>
      <c r="T1579" s="6">
        <v>54</v>
      </c>
      <c r="U1579" s="6">
        <v>97</v>
      </c>
      <c r="V1579" s="6">
        <f>IF(ISERROR(VLOOKUP($S$1579,'TAR FIN'!$A$1:$O$116,15,0)),0,VLOOKUP($S$1579,'TAR FIN'!$A$1:$O$116,15,0))</f>
        <v>0</v>
      </c>
      <c r="W1579" s="6">
        <f>IF(ISERROR(VLOOKUP($T$1579,'TAR FIN'!$A$1:$O$116,15,0)),0,VLOOKUP($T$1579,'TAR FIN'!$A$1:$O$116,15,0))</f>
        <v>301.38</v>
      </c>
      <c r="X1579" s="6">
        <f>IF(ISERROR(VLOOKUP($U$1579,'TAR FIN'!$A$1:$O$116,15,0)),0,VLOOKUP($U$1579,'TAR FIN'!$A$1:$O$116,15,0))</f>
        <v>287.29000000000002</v>
      </c>
      <c r="Y1579" s="6"/>
      <c r="Z1579" s="6">
        <f ca="1">('TUSD BE'!$AM$56+'TUSD BF'!$AM$56+'TUSD CVA'!$AM$56)*(1-CUSTOS!$M$38)</f>
        <v>410.57781128100521</v>
      </c>
      <c r="AA1579" s="6">
        <f>('TE BE'!$AB$27+'TE BF'!$AB$27+'TE CVA'!$AB$27)*(1-CUSTOS!$M$38)</f>
        <v>309.85296222048811</v>
      </c>
      <c r="AB1579" s="6">
        <f>$K$1579*$V$1579</f>
        <v>0</v>
      </c>
      <c r="AC1579" s="6">
        <f>$M$1579*$W$1579</f>
        <v>1243.4908662</v>
      </c>
      <c r="AD1579" s="6">
        <f>$O$1579*$X$1579</f>
        <v>1185.3556671000001</v>
      </c>
      <c r="AE1579" s="6">
        <f>$K$1579*$Y$1579</f>
        <v>0</v>
      </c>
      <c r="AF1579" s="6">
        <f ca="1">$M$1579*$Z$1579</f>
        <v>1694.0399435673146</v>
      </c>
      <c r="AG1579" s="6">
        <f>$O$1579*$AA$1579</f>
        <v>1278.4502235921116</v>
      </c>
    </row>
    <row r="1580" spans="1:33" ht="11.25" customHeight="1" x14ac:dyDescent="0.25">
      <c r="A1580" s="4" t="s">
        <v>21</v>
      </c>
      <c r="B1580" s="4" t="s">
        <v>44</v>
      </c>
      <c r="C1580" s="4" t="s">
        <v>23</v>
      </c>
      <c r="D1580" s="4" t="s">
        <v>45</v>
      </c>
      <c r="E1580" s="4" t="s">
        <v>54</v>
      </c>
      <c r="F1580" s="4" t="s">
        <v>56</v>
      </c>
      <c r="G1580" s="4" t="s">
        <v>25</v>
      </c>
      <c r="H1580" s="4" t="s">
        <v>25</v>
      </c>
      <c r="I1580" s="5">
        <v>44440</v>
      </c>
      <c r="J1580" s="6">
        <v>0</v>
      </c>
      <c r="K1580" s="6">
        <v>0</v>
      </c>
      <c r="L1580" s="6">
        <v>65.034999999999997</v>
      </c>
      <c r="M1580" s="6">
        <v>21.461549999999999</v>
      </c>
      <c r="N1580" s="6">
        <v>65.034999999999997</v>
      </c>
      <c r="O1580" s="6">
        <v>21.461549999999999</v>
      </c>
      <c r="P1580" s="6">
        <v>0</v>
      </c>
      <c r="Q1580" s="4" t="s">
        <v>26</v>
      </c>
      <c r="R1580" s="4">
        <v>0</v>
      </c>
      <c r="S1580" s="6">
        <v>0</v>
      </c>
      <c r="T1580" s="6">
        <v>54</v>
      </c>
      <c r="U1580" s="6">
        <v>97</v>
      </c>
      <c r="V1580" s="6">
        <f>IF(ISERROR(VLOOKUP($S$1580,'TAR FIN'!$A$1:$O$116,15,0)),0,VLOOKUP($S$1580,'TAR FIN'!$A$1:$O$116,15,0))</f>
        <v>0</v>
      </c>
      <c r="W1580" s="6">
        <f>IF(ISERROR(VLOOKUP($T$1580,'TAR FIN'!$A$1:$O$116,15,0)),0,VLOOKUP($T$1580,'TAR FIN'!$A$1:$O$116,15,0))</f>
        <v>301.38</v>
      </c>
      <c r="X1580" s="6">
        <f>IF(ISERROR(VLOOKUP($U$1580,'TAR FIN'!$A$1:$O$116,15,0)),0,VLOOKUP($U$1580,'TAR FIN'!$A$1:$O$116,15,0))</f>
        <v>287.29000000000002</v>
      </c>
      <c r="Y1580" s="6"/>
      <c r="Z1580" s="6">
        <f ca="1">('TUSD BE'!$AM$56+'TUSD BF'!$AM$56+'TUSD CVA'!$AM$56)*(1-CUSTOS!$M$38)</f>
        <v>410.57781128100521</v>
      </c>
      <c r="AA1580" s="6">
        <f>('TE BE'!$AB$27+'TE BF'!$AB$27+'TE CVA'!$AB$27)*(1-CUSTOS!$M$38)</f>
        <v>309.85296222048811</v>
      </c>
      <c r="AB1580" s="6">
        <f>$K$1580*$V$1580</f>
        <v>0</v>
      </c>
      <c r="AC1580" s="6">
        <f>$M$1580*$W$1580</f>
        <v>6468.0819389999997</v>
      </c>
      <c r="AD1580" s="6">
        <f>$O$1580*$X$1580</f>
        <v>6165.6886995000004</v>
      </c>
      <c r="AE1580" s="6">
        <f>$K$1580*$Y$1580</f>
        <v>0</v>
      </c>
      <c r="AF1580" s="6">
        <f ca="1">$M$1580*$Z$1580</f>
        <v>8811.6362256978573</v>
      </c>
      <c r="AG1580" s="6">
        <f>$O$1580*$AA$1580</f>
        <v>6649.924841343116</v>
      </c>
    </row>
    <row r="1581" spans="1:33" ht="11.25" customHeight="1" x14ac:dyDescent="0.25">
      <c r="A1581" s="4" t="s">
        <v>27</v>
      </c>
      <c r="B1581" s="4" t="s">
        <v>44</v>
      </c>
      <c r="C1581" s="4" t="s">
        <v>23</v>
      </c>
      <c r="D1581" s="4" t="s">
        <v>45</v>
      </c>
      <c r="E1581" s="4" t="s">
        <v>54</v>
      </c>
      <c r="F1581" s="4" t="s">
        <v>56</v>
      </c>
      <c r="G1581" s="4" t="s">
        <v>25</v>
      </c>
      <c r="H1581" s="4" t="s">
        <v>25</v>
      </c>
      <c r="I1581" s="5">
        <v>44440</v>
      </c>
      <c r="J1581" s="6">
        <v>0</v>
      </c>
      <c r="K1581" s="6">
        <v>0</v>
      </c>
      <c r="L1581" s="6">
        <v>1.71</v>
      </c>
      <c r="M1581" s="6">
        <v>0.56430000000000002</v>
      </c>
      <c r="N1581" s="6">
        <v>1.71</v>
      </c>
      <c r="O1581" s="6">
        <v>0.56430000000000002</v>
      </c>
      <c r="P1581" s="6">
        <v>0</v>
      </c>
      <c r="Q1581" s="4" t="s">
        <v>26</v>
      </c>
      <c r="R1581" s="4">
        <v>0</v>
      </c>
      <c r="S1581" s="6">
        <v>0</v>
      </c>
      <c r="T1581" s="6">
        <v>54</v>
      </c>
      <c r="U1581" s="6">
        <v>97</v>
      </c>
      <c r="V1581" s="6">
        <f>IF(ISERROR(VLOOKUP($S$1581,'TAR FIN'!$A$1:$O$116,15,0)),0,VLOOKUP($S$1581,'TAR FIN'!$A$1:$O$116,15,0))</f>
        <v>0</v>
      </c>
      <c r="W1581" s="6">
        <f>IF(ISERROR(VLOOKUP($T$1581,'TAR FIN'!$A$1:$O$116,15,0)),0,VLOOKUP($T$1581,'TAR FIN'!$A$1:$O$116,15,0))</f>
        <v>301.38</v>
      </c>
      <c r="X1581" s="6">
        <f>IF(ISERROR(VLOOKUP($U$1581,'TAR FIN'!$A$1:$O$116,15,0)),0,VLOOKUP($U$1581,'TAR FIN'!$A$1:$O$116,15,0))</f>
        <v>287.29000000000002</v>
      </c>
      <c r="Y1581" s="6"/>
      <c r="Z1581" s="6">
        <f ca="1">('TUSD BE'!$AM$56+'TUSD BF'!$AM$56+'TUSD CVA'!$AM$56)*(1-CUSTOS!$M$38)</f>
        <v>410.57781128100521</v>
      </c>
      <c r="AA1581" s="6">
        <f>('TE BE'!$AB$27+'TE BF'!$AB$27+'TE CVA'!$AB$27)*(1-CUSTOS!$M$38)</f>
        <v>309.85296222048811</v>
      </c>
      <c r="AB1581" s="6">
        <f>$K$1581*$V$1581</f>
        <v>0</v>
      </c>
      <c r="AC1581" s="6">
        <f>$M$1581*$W$1581</f>
        <v>170.06873400000001</v>
      </c>
      <c r="AD1581" s="6">
        <f>$O$1581*$X$1581</f>
        <v>162.11774700000001</v>
      </c>
      <c r="AE1581" s="6">
        <f>$K$1581*$Y$1581</f>
        <v>0</v>
      </c>
      <c r="AF1581" s="6">
        <f ca="1">$M$1581*$Z$1581</f>
        <v>231.68905890587126</v>
      </c>
      <c r="AG1581" s="6">
        <f>$O$1581*$AA$1581</f>
        <v>174.85002658102144</v>
      </c>
    </row>
    <row r="1582" spans="1:33" ht="11.25" customHeight="1" x14ac:dyDescent="0.25">
      <c r="A1582" s="4" t="s">
        <v>28</v>
      </c>
      <c r="B1582" s="4" t="s">
        <v>44</v>
      </c>
      <c r="C1582" s="4" t="s">
        <v>23</v>
      </c>
      <c r="D1582" s="4" t="s">
        <v>45</v>
      </c>
      <c r="E1582" s="4" t="s">
        <v>54</v>
      </c>
      <c r="F1582" s="4" t="s">
        <v>56</v>
      </c>
      <c r="G1582" s="4" t="s">
        <v>25</v>
      </c>
      <c r="H1582" s="4" t="s">
        <v>25</v>
      </c>
      <c r="I1582" s="5">
        <v>44440</v>
      </c>
      <c r="J1582" s="6">
        <v>0</v>
      </c>
      <c r="K1582" s="6">
        <v>0</v>
      </c>
      <c r="L1582" s="6">
        <v>11.603</v>
      </c>
      <c r="M1582" s="6">
        <v>3.8289900000000001</v>
      </c>
      <c r="N1582" s="6">
        <v>11.603</v>
      </c>
      <c r="O1582" s="6">
        <v>3.8289900000000001</v>
      </c>
      <c r="P1582" s="6">
        <v>0</v>
      </c>
      <c r="Q1582" s="4" t="s">
        <v>26</v>
      </c>
      <c r="R1582" s="4">
        <v>0</v>
      </c>
      <c r="S1582" s="6">
        <v>0</v>
      </c>
      <c r="T1582" s="6">
        <v>54</v>
      </c>
      <c r="U1582" s="6">
        <v>97</v>
      </c>
      <c r="V1582" s="6">
        <f>IF(ISERROR(VLOOKUP($S$1582,'TAR FIN'!$A$1:$O$116,15,0)),0,VLOOKUP($S$1582,'TAR FIN'!$A$1:$O$116,15,0))</f>
        <v>0</v>
      </c>
      <c r="W1582" s="6">
        <f>IF(ISERROR(VLOOKUP($T$1582,'TAR FIN'!$A$1:$O$116,15,0)),0,VLOOKUP($T$1582,'TAR FIN'!$A$1:$O$116,15,0))</f>
        <v>301.38</v>
      </c>
      <c r="X1582" s="6">
        <f>IF(ISERROR(VLOOKUP($U$1582,'TAR FIN'!$A$1:$O$116,15,0)),0,VLOOKUP($U$1582,'TAR FIN'!$A$1:$O$116,15,0))</f>
        <v>287.29000000000002</v>
      </c>
      <c r="Y1582" s="6"/>
      <c r="Z1582" s="6">
        <f ca="1">('TUSD BE'!$AM$56+'TUSD BF'!$AM$56+'TUSD CVA'!$AM$56)*(1-CUSTOS!$M$38)</f>
        <v>410.57781128100521</v>
      </c>
      <c r="AA1582" s="6">
        <f>('TE BE'!$AB$27+'TE BF'!$AB$27+'TE CVA'!$AB$27)*(1-CUSTOS!$M$38)</f>
        <v>309.85296222048811</v>
      </c>
      <c r="AB1582" s="6">
        <f>$K$1582*$V$1582</f>
        <v>0</v>
      </c>
      <c r="AC1582" s="6">
        <f>$M$1582*$W$1582</f>
        <v>1153.9810061999999</v>
      </c>
      <c r="AD1582" s="6">
        <f>$O$1582*$X$1582</f>
        <v>1100.0305371000002</v>
      </c>
      <c r="AE1582" s="6">
        <f>$K$1582*$Y$1582</f>
        <v>0</v>
      </c>
      <c r="AF1582" s="6">
        <f ca="1">$M$1582*$Z$1582</f>
        <v>1572.0983336168563</v>
      </c>
      <c r="AG1582" s="6">
        <f>$O$1582*$AA$1582</f>
        <v>1186.4238938126268</v>
      </c>
    </row>
    <row r="1583" spans="1:33" ht="11.25" customHeight="1" x14ac:dyDescent="0.25">
      <c r="A1583" s="4" t="s">
        <v>21</v>
      </c>
      <c r="B1583" s="4" t="s">
        <v>44</v>
      </c>
      <c r="C1583" s="4" t="s">
        <v>23</v>
      </c>
      <c r="D1583" s="4" t="s">
        <v>45</v>
      </c>
      <c r="E1583" s="4" t="s">
        <v>54</v>
      </c>
      <c r="F1583" s="4" t="s">
        <v>56</v>
      </c>
      <c r="G1583" s="4" t="s">
        <v>25</v>
      </c>
      <c r="H1583" s="4" t="s">
        <v>25</v>
      </c>
      <c r="I1583" s="5">
        <v>44470</v>
      </c>
      <c r="J1583" s="6">
        <v>0</v>
      </c>
      <c r="K1583" s="6">
        <v>0</v>
      </c>
      <c r="L1583" s="6">
        <v>55.828000000000003</v>
      </c>
      <c r="M1583" s="6">
        <v>18.42324</v>
      </c>
      <c r="N1583" s="6">
        <v>55.828000000000003</v>
      </c>
      <c r="O1583" s="6">
        <v>18.42324</v>
      </c>
      <c r="P1583" s="6">
        <v>0</v>
      </c>
      <c r="Q1583" s="4" t="s">
        <v>26</v>
      </c>
      <c r="R1583" s="4">
        <v>0</v>
      </c>
      <c r="S1583" s="6">
        <v>0</v>
      </c>
      <c r="T1583" s="6">
        <v>54</v>
      </c>
      <c r="U1583" s="6">
        <v>97</v>
      </c>
      <c r="V1583" s="6">
        <f>IF(ISERROR(VLOOKUP($S$1583,'TAR FIN'!$A$1:$O$116,15,0)),0,VLOOKUP($S$1583,'TAR FIN'!$A$1:$O$116,15,0))</f>
        <v>0</v>
      </c>
      <c r="W1583" s="6">
        <f>IF(ISERROR(VLOOKUP($T$1583,'TAR FIN'!$A$1:$O$116,15,0)),0,VLOOKUP($T$1583,'TAR FIN'!$A$1:$O$116,15,0))</f>
        <v>301.38</v>
      </c>
      <c r="X1583" s="6">
        <f>IF(ISERROR(VLOOKUP($U$1583,'TAR FIN'!$A$1:$O$116,15,0)),0,VLOOKUP($U$1583,'TAR FIN'!$A$1:$O$116,15,0))</f>
        <v>287.29000000000002</v>
      </c>
      <c r="Y1583" s="6"/>
      <c r="Z1583" s="6">
        <f ca="1">('TUSD BE'!$AM$56+'TUSD BF'!$AM$56+'TUSD CVA'!$AM$56)*(1-CUSTOS!$M$38)</f>
        <v>410.57781128100521</v>
      </c>
      <c r="AA1583" s="6">
        <f>('TE BE'!$AB$27+'TE BF'!$AB$27+'TE CVA'!$AB$27)*(1-CUSTOS!$M$38)</f>
        <v>309.85296222048811</v>
      </c>
      <c r="AB1583" s="6">
        <f>$K$1583*$V$1583</f>
        <v>0</v>
      </c>
      <c r="AC1583" s="6">
        <f>$M$1583*$W$1583</f>
        <v>5552.3960711999998</v>
      </c>
      <c r="AD1583" s="6">
        <f>$O$1583*$X$1583</f>
        <v>5292.8126196000003</v>
      </c>
      <c r="AE1583" s="6">
        <f>$K$1583*$Y$1583</f>
        <v>0</v>
      </c>
      <c r="AF1583" s="6">
        <f ca="1">$M$1583*$Z$1583</f>
        <v>7564.1735559046665</v>
      </c>
      <c r="AG1583" s="6">
        <f>$O$1583*$AA$1583</f>
        <v>5708.495487698985</v>
      </c>
    </row>
    <row r="1584" spans="1:33" ht="11.25" customHeight="1" x14ac:dyDescent="0.25">
      <c r="A1584" s="4" t="s">
        <v>27</v>
      </c>
      <c r="B1584" s="4" t="s">
        <v>44</v>
      </c>
      <c r="C1584" s="4" t="s">
        <v>23</v>
      </c>
      <c r="D1584" s="4" t="s">
        <v>45</v>
      </c>
      <c r="E1584" s="4" t="s">
        <v>54</v>
      </c>
      <c r="F1584" s="4" t="s">
        <v>56</v>
      </c>
      <c r="G1584" s="4" t="s">
        <v>25</v>
      </c>
      <c r="H1584" s="4" t="s">
        <v>25</v>
      </c>
      <c r="I1584" s="5">
        <v>44470</v>
      </c>
      <c r="J1584" s="6">
        <v>0</v>
      </c>
      <c r="K1584" s="6">
        <v>0</v>
      </c>
      <c r="L1584" s="6">
        <v>-0.70199999999999996</v>
      </c>
      <c r="M1584" s="6">
        <v>-0.23166</v>
      </c>
      <c r="N1584" s="6">
        <v>-0.70199999999999996</v>
      </c>
      <c r="O1584" s="6">
        <v>-0.23166</v>
      </c>
      <c r="P1584" s="6">
        <v>0</v>
      </c>
      <c r="Q1584" s="4" t="s">
        <v>26</v>
      </c>
      <c r="R1584" s="4">
        <v>0</v>
      </c>
      <c r="S1584" s="6">
        <v>0</v>
      </c>
      <c r="T1584" s="6">
        <v>54</v>
      </c>
      <c r="U1584" s="6">
        <v>97</v>
      </c>
      <c r="V1584" s="6">
        <f>IF(ISERROR(VLOOKUP($S$1584,'TAR FIN'!$A$1:$O$116,15,0)),0,VLOOKUP($S$1584,'TAR FIN'!$A$1:$O$116,15,0))</f>
        <v>0</v>
      </c>
      <c r="W1584" s="6">
        <f>IF(ISERROR(VLOOKUP($T$1584,'TAR FIN'!$A$1:$O$116,15,0)),0,VLOOKUP($T$1584,'TAR FIN'!$A$1:$O$116,15,0))</f>
        <v>301.38</v>
      </c>
      <c r="X1584" s="6">
        <f>IF(ISERROR(VLOOKUP($U$1584,'TAR FIN'!$A$1:$O$116,15,0)),0,VLOOKUP($U$1584,'TAR FIN'!$A$1:$O$116,15,0))</f>
        <v>287.29000000000002</v>
      </c>
      <c r="Y1584" s="6"/>
      <c r="Z1584" s="6">
        <f ca="1">('TUSD BE'!$AM$56+'TUSD BF'!$AM$56+'TUSD CVA'!$AM$56)*(1-CUSTOS!$M$38)</f>
        <v>410.57781128100521</v>
      </c>
      <c r="AA1584" s="6">
        <f>('TE BE'!$AB$27+'TE BF'!$AB$27+'TE CVA'!$AB$27)*(1-CUSTOS!$M$38)</f>
        <v>309.85296222048811</v>
      </c>
      <c r="AB1584" s="6">
        <f>$K$1584*$V$1584</f>
        <v>0</v>
      </c>
      <c r="AC1584" s="6">
        <f>$M$1584*$W$1584</f>
        <v>-69.817690799999994</v>
      </c>
      <c r="AD1584" s="6">
        <f>$O$1584*$X$1584</f>
        <v>-66.553601400000005</v>
      </c>
      <c r="AE1584" s="6">
        <f>$K$1584*$Y$1584</f>
        <v>0</v>
      </c>
      <c r="AF1584" s="6">
        <f ca="1">$M$1584*$Z$1584</f>
        <v>-95.114455761357675</v>
      </c>
      <c r="AG1584" s="6">
        <f>$O$1584*$AA$1584</f>
        <v>-71.780537227998281</v>
      </c>
    </row>
    <row r="1585" spans="1:33" ht="11.25" customHeight="1" x14ac:dyDescent="0.25">
      <c r="A1585" s="4" t="s">
        <v>28</v>
      </c>
      <c r="B1585" s="4" t="s">
        <v>44</v>
      </c>
      <c r="C1585" s="4" t="s">
        <v>23</v>
      </c>
      <c r="D1585" s="4" t="s">
        <v>45</v>
      </c>
      <c r="E1585" s="4" t="s">
        <v>54</v>
      </c>
      <c r="F1585" s="4" t="s">
        <v>56</v>
      </c>
      <c r="G1585" s="4" t="s">
        <v>25</v>
      </c>
      <c r="H1585" s="4" t="s">
        <v>25</v>
      </c>
      <c r="I1585" s="5">
        <v>44470</v>
      </c>
      <c r="J1585" s="6">
        <v>0</v>
      </c>
      <c r="K1585" s="6">
        <v>0</v>
      </c>
      <c r="L1585" s="6">
        <v>20.202999999999999</v>
      </c>
      <c r="M1585" s="6">
        <v>6.6669900000000002</v>
      </c>
      <c r="N1585" s="6">
        <v>20.202999999999999</v>
      </c>
      <c r="O1585" s="6">
        <v>6.6669900000000002</v>
      </c>
      <c r="P1585" s="6">
        <v>0</v>
      </c>
      <c r="Q1585" s="4" t="s">
        <v>26</v>
      </c>
      <c r="R1585" s="4">
        <v>0</v>
      </c>
      <c r="S1585" s="6">
        <v>0</v>
      </c>
      <c r="T1585" s="6">
        <v>54</v>
      </c>
      <c r="U1585" s="6">
        <v>97</v>
      </c>
      <c r="V1585" s="6">
        <f>IF(ISERROR(VLOOKUP($S$1585,'TAR FIN'!$A$1:$O$116,15,0)),0,VLOOKUP($S$1585,'TAR FIN'!$A$1:$O$116,15,0))</f>
        <v>0</v>
      </c>
      <c r="W1585" s="6">
        <f>IF(ISERROR(VLOOKUP($T$1585,'TAR FIN'!$A$1:$O$116,15,0)),0,VLOOKUP($T$1585,'TAR FIN'!$A$1:$O$116,15,0))</f>
        <v>301.38</v>
      </c>
      <c r="X1585" s="6">
        <f>IF(ISERROR(VLOOKUP($U$1585,'TAR FIN'!$A$1:$O$116,15,0)),0,VLOOKUP($U$1585,'TAR FIN'!$A$1:$O$116,15,0))</f>
        <v>287.29000000000002</v>
      </c>
      <c r="Y1585" s="6"/>
      <c r="Z1585" s="6">
        <f ca="1">('TUSD BE'!$AM$56+'TUSD BF'!$AM$56+'TUSD CVA'!$AM$56)*(1-CUSTOS!$M$38)</f>
        <v>410.57781128100521</v>
      </c>
      <c r="AA1585" s="6">
        <f>('TE BE'!$AB$27+'TE BF'!$AB$27+'TE CVA'!$AB$27)*(1-CUSTOS!$M$38)</f>
        <v>309.85296222048811</v>
      </c>
      <c r="AB1585" s="6">
        <f>$K$1585*$V$1585</f>
        <v>0</v>
      </c>
      <c r="AC1585" s="6">
        <f>$M$1585*$W$1585</f>
        <v>2009.2974462</v>
      </c>
      <c r="AD1585" s="6">
        <f>$O$1585*$X$1585</f>
        <v>1915.3595571000003</v>
      </c>
      <c r="AE1585" s="6">
        <f>$K$1585*$Y$1585</f>
        <v>0</v>
      </c>
      <c r="AF1585" s="6">
        <f ca="1">$M$1585*$Z$1585</f>
        <v>2737.3181620323489</v>
      </c>
      <c r="AG1585" s="6">
        <f>$O$1585*$AA$1585</f>
        <v>2065.786600594372</v>
      </c>
    </row>
    <row r="1586" spans="1:33" ht="11.25" customHeight="1" x14ac:dyDescent="0.25">
      <c r="A1586" s="4" t="s">
        <v>21</v>
      </c>
      <c r="B1586" s="4" t="s">
        <v>44</v>
      </c>
      <c r="C1586" s="4" t="s">
        <v>23</v>
      </c>
      <c r="D1586" s="4" t="s">
        <v>45</v>
      </c>
      <c r="E1586" s="4" t="s">
        <v>54</v>
      </c>
      <c r="F1586" s="4" t="s">
        <v>56</v>
      </c>
      <c r="G1586" s="4" t="s">
        <v>25</v>
      </c>
      <c r="H1586" s="4" t="s">
        <v>25</v>
      </c>
      <c r="I1586" s="5">
        <v>44501</v>
      </c>
      <c r="J1586" s="6">
        <v>0</v>
      </c>
      <c r="K1586" s="6">
        <v>0</v>
      </c>
      <c r="L1586" s="6">
        <v>47.411000000000001</v>
      </c>
      <c r="M1586" s="6">
        <v>15.645630000000001</v>
      </c>
      <c r="N1586" s="6">
        <v>47.411000000000001</v>
      </c>
      <c r="O1586" s="6">
        <v>15.645630000000001</v>
      </c>
      <c r="P1586" s="6">
        <v>0</v>
      </c>
      <c r="Q1586" s="4" t="s">
        <v>26</v>
      </c>
      <c r="R1586" s="4">
        <v>0</v>
      </c>
      <c r="S1586" s="6">
        <v>0</v>
      </c>
      <c r="T1586" s="6">
        <v>54</v>
      </c>
      <c r="U1586" s="6">
        <v>97</v>
      </c>
      <c r="V1586" s="6">
        <f>IF(ISERROR(VLOOKUP($S$1586,'TAR FIN'!$A$1:$O$116,15,0)),0,VLOOKUP($S$1586,'TAR FIN'!$A$1:$O$116,15,0))</f>
        <v>0</v>
      </c>
      <c r="W1586" s="6">
        <f>IF(ISERROR(VLOOKUP($T$1586,'TAR FIN'!$A$1:$O$116,15,0)),0,VLOOKUP($T$1586,'TAR FIN'!$A$1:$O$116,15,0))</f>
        <v>301.38</v>
      </c>
      <c r="X1586" s="6">
        <f>IF(ISERROR(VLOOKUP($U$1586,'TAR FIN'!$A$1:$O$116,15,0)),0,VLOOKUP($U$1586,'TAR FIN'!$A$1:$O$116,15,0))</f>
        <v>287.29000000000002</v>
      </c>
      <c r="Y1586" s="6"/>
      <c r="Z1586" s="6">
        <f ca="1">('TUSD BE'!$AM$56+'TUSD BF'!$AM$56+'TUSD CVA'!$AM$56)*(1-CUSTOS!$M$38)</f>
        <v>410.57781128100521</v>
      </c>
      <c r="AA1586" s="6">
        <f>('TE BE'!$AB$27+'TE BF'!$AB$27+'TE CVA'!$AB$27)*(1-CUSTOS!$M$38)</f>
        <v>309.85296222048811</v>
      </c>
      <c r="AB1586" s="6">
        <f>$K$1586*$V$1586</f>
        <v>0</v>
      </c>
      <c r="AC1586" s="6">
        <f>$M$1586*$W$1586</f>
        <v>4715.2799694000005</v>
      </c>
      <c r="AD1586" s="6">
        <f>$O$1586*$X$1586</f>
        <v>4494.8330427000001</v>
      </c>
      <c r="AE1586" s="6">
        <f>$K$1586*$Y$1586</f>
        <v>0</v>
      </c>
      <c r="AF1586" s="6">
        <f ca="1">$M$1586*$Z$1586</f>
        <v>6423.7485215124334</v>
      </c>
      <c r="AG1586" s="6">
        <f>$O$1586*$AA$1586</f>
        <v>4847.8448013057359</v>
      </c>
    </row>
    <row r="1587" spans="1:33" ht="11.25" customHeight="1" x14ac:dyDescent="0.25">
      <c r="A1587" s="4" t="s">
        <v>28</v>
      </c>
      <c r="B1587" s="4" t="s">
        <v>44</v>
      </c>
      <c r="C1587" s="4" t="s">
        <v>23</v>
      </c>
      <c r="D1587" s="4" t="s">
        <v>45</v>
      </c>
      <c r="E1587" s="4" t="s">
        <v>54</v>
      </c>
      <c r="F1587" s="4" t="s">
        <v>56</v>
      </c>
      <c r="G1587" s="4" t="s">
        <v>25</v>
      </c>
      <c r="H1587" s="4" t="s">
        <v>25</v>
      </c>
      <c r="I1587" s="5">
        <v>44501</v>
      </c>
      <c r="J1587" s="6">
        <v>0</v>
      </c>
      <c r="K1587" s="6">
        <v>0</v>
      </c>
      <c r="L1587" s="6">
        <v>10.212999999999999</v>
      </c>
      <c r="M1587" s="6">
        <v>3.3702899999999998</v>
      </c>
      <c r="N1587" s="6">
        <v>10.212999999999999</v>
      </c>
      <c r="O1587" s="6">
        <v>3.3702899999999998</v>
      </c>
      <c r="P1587" s="6">
        <v>0</v>
      </c>
      <c r="Q1587" s="4" t="s">
        <v>26</v>
      </c>
      <c r="R1587" s="4">
        <v>0</v>
      </c>
      <c r="S1587" s="6">
        <v>0</v>
      </c>
      <c r="T1587" s="6">
        <v>54</v>
      </c>
      <c r="U1587" s="6">
        <v>97</v>
      </c>
      <c r="V1587" s="6">
        <f>IF(ISERROR(VLOOKUP($S$1587,'TAR FIN'!$A$1:$O$116,15,0)),0,VLOOKUP($S$1587,'TAR FIN'!$A$1:$O$116,15,0))</f>
        <v>0</v>
      </c>
      <c r="W1587" s="6">
        <f>IF(ISERROR(VLOOKUP($T$1587,'TAR FIN'!$A$1:$O$116,15,0)),0,VLOOKUP($T$1587,'TAR FIN'!$A$1:$O$116,15,0))</f>
        <v>301.38</v>
      </c>
      <c r="X1587" s="6">
        <f>IF(ISERROR(VLOOKUP($U$1587,'TAR FIN'!$A$1:$O$116,15,0)),0,VLOOKUP($U$1587,'TAR FIN'!$A$1:$O$116,15,0))</f>
        <v>287.29000000000002</v>
      </c>
      <c r="Y1587" s="6"/>
      <c r="Z1587" s="6">
        <f ca="1">('TUSD BE'!$AM$56+'TUSD BF'!$AM$56+'TUSD CVA'!$AM$56)*(1-CUSTOS!$M$38)</f>
        <v>410.57781128100521</v>
      </c>
      <c r="AA1587" s="6">
        <f>('TE BE'!$AB$27+'TE BF'!$AB$27+'TE CVA'!$AB$27)*(1-CUSTOS!$M$38)</f>
        <v>309.85296222048811</v>
      </c>
      <c r="AB1587" s="6">
        <f>$K$1587*$V$1587</f>
        <v>0</v>
      </c>
      <c r="AC1587" s="6">
        <f>$M$1587*$W$1587</f>
        <v>1015.7380001999999</v>
      </c>
      <c r="AD1587" s="6">
        <f>$O$1587*$X$1587</f>
        <v>968.25061410000001</v>
      </c>
      <c r="AE1587" s="6">
        <f>$K$1587*$Y$1587</f>
        <v>0</v>
      </c>
      <c r="AF1587" s="6">
        <f ca="1">$M$1587*$Z$1587</f>
        <v>1383.7662915822589</v>
      </c>
      <c r="AG1587" s="6">
        <f>$O$1587*$AA$1587</f>
        <v>1044.2943400420888</v>
      </c>
    </row>
    <row r="1588" spans="1:33" ht="11.25" customHeight="1" x14ac:dyDescent="0.25">
      <c r="A1588" s="4" t="s">
        <v>21</v>
      </c>
      <c r="B1588" s="4" t="s">
        <v>44</v>
      </c>
      <c r="C1588" s="4" t="s">
        <v>23</v>
      </c>
      <c r="D1588" s="4" t="s">
        <v>45</v>
      </c>
      <c r="E1588" s="4" t="s">
        <v>54</v>
      </c>
      <c r="F1588" s="4" t="s">
        <v>56</v>
      </c>
      <c r="G1588" s="4" t="s">
        <v>25</v>
      </c>
      <c r="H1588" s="4" t="s">
        <v>25</v>
      </c>
      <c r="I1588" s="5">
        <v>44531</v>
      </c>
      <c r="J1588" s="6">
        <v>0</v>
      </c>
      <c r="K1588" s="6">
        <v>0</v>
      </c>
      <c r="L1588" s="6">
        <v>27.486999999999998</v>
      </c>
      <c r="M1588" s="6">
        <v>9.0707100000000001</v>
      </c>
      <c r="N1588" s="6">
        <v>27.486999999999998</v>
      </c>
      <c r="O1588" s="6">
        <v>9.0707100000000001</v>
      </c>
      <c r="P1588" s="6">
        <v>0</v>
      </c>
      <c r="Q1588" s="4" t="s">
        <v>26</v>
      </c>
      <c r="R1588" s="4">
        <v>0</v>
      </c>
      <c r="S1588" s="6">
        <v>0</v>
      </c>
      <c r="T1588" s="6">
        <v>54</v>
      </c>
      <c r="U1588" s="6">
        <v>97</v>
      </c>
      <c r="V1588" s="6">
        <f>IF(ISERROR(VLOOKUP($S$1588,'TAR FIN'!$A$1:$O$116,15,0)),0,VLOOKUP($S$1588,'TAR FIN'!$A$1:$O$116,15,0))</f>
        <v>0</v>
      </c>
      <c r="W1588" s="6">
        <f>IF(ISERROR(VLOOKUP($T$1588,'TAR FIN'!$A$1:$O$116,15,0)),0,VLOOKUP($T$1588,'TAR FIN'!$A$1:$O$116,15,0))</f>
        <v>301.38</v>
      </c>
      <c r="X1588" s="6">
        <f>IF(ISERROR(VLOOKUP($U$1588,'TAR FIN'!$A$1:$O$116,15,0)),0,VLOOKUP($U$1588,'TAR FIN'!$A$1:$O$116,15,0))</f>
        <v>287.29000000000002</v>
      </c>
      <c r="Y1588" s="6"/>
      <c r="Z1588" s="6">
        <f ca="1">('TUSD BE'!$AM$56+'TUSD BF'!$AM$56+'TUSD CVA'!$AM$56)*(1-CUSTOS!$M$38)</f>
        <v>410.57781128100521</v>
      </c>
      <c r="AA1588" s="6">
        <f>('TE BE'!$AB$27+'TE BF'!$AB$27+'TE CVA'!$AB$27)*(1-CUSTOS!$M$38)</f>
        <v>309.85296222048811</v>
      </c>
      <c r="AB1588" s="6">
        <f>$K$1588*$V$1588</f>
        <v>0</v>
      </c>
      <c r="AC1588" s="6">
        <f>$M$1588*$W$1588</f>
        <v>2733.7305797999998</v>
      </c>
      <c r="AD1588" s="6">
        <f>$O$1588*$X$1588</f>
        <v>2605.9242759000003</v>
      </c>
      <c r="AE1588" s="6">
        <f>$K$1588*$Y$1588</f>
        <v>0</v>
      </c>
      <c r="AF1588" s="6">
        <f ca="1">$M$1588*$Z$1588</f>
        <v>3724.2322585647266</v>
      </c>
      <c r="AG1588" s="6">
        <f>$O$1588*$AA$1588</f>
        <v>2810.5863629430037</v>
      </c>
    </row>
    <row r="1589" spans="1:33" ht="11.25" customHeight="1" x14ac:dyDescent="0.25">
      <c r="A1589" s="4" t="s">
        <v>28</v>
      </c>
      <c r="B1589" s="4" t="s">
        <v>44</v>
      </c>
      <c r="C1589" s="4" t="s">
        <v>23</v>
      </c>
      <c r="D1589" s="4" t="s">
        <v>45</v>
      </c>
      <c r="E1589" s="4" t="s">
        <v>54</v>
      </c>
      <c r="F1589" s="4" t="s">
        <v>56</v>
      </c>
      <c r="G1589" s="4" t="s">
        <v>25</v>
      </c>
      <c r="H1589" s="4" t="s">
        <v>25</v>
      </c>
      <c r="I1589" s="5">
        <v>44531</v>
      </c>
      <c r="J1589" s="6">
        <v>0</v>
      </c>
      <c r="K1589" s="6">
        <v>0</v>
      </c>
      <c r="L1589" s="6">
        <v>24.318999999999999</v>
      </c>
      <c r="M1589" s="6">
        <v>8.0252700000000008</v>
      </c>
      <c r="N1589" s="6">
        <v>24.318999999999999</v>
      </c>
      <c r="O1589" s="6">
        <v>8.0252700000000008</v>
      </c>
      <c r="P1589" s="6">
        <v>0</v>
      </c>
      <c r="Q1589" s="4" t="s">
        <v>26</v>
      </c>
      <c r="R1589" s="4">
        <v>0</v>
      </c>
      <c r="S1589" s="6">
        <v>0</v>
      </c>
      <c r="T1589" s="6">
        <v>54</v>
      </c>
      <c r="U1589" s="6">
        <v>97</v>
      </c>
      <c r="V1589" s="6">
        <f>IF(ISERROR(VLOOKUP($S$1589,'TAR FIN'!$A$1:$O$116,15,0)),0,VLOOKUP($S$1589,'TAR FIN'!$A$1:$O$116,15,0))</f>
        <v>0</v>
      </c>
      <c r="W1589" s="6">
        <f>IF(ISERROR(VLOOKUP($T$1589,'TAR FIN'!$A$1:$O$116,15,0)),0,VLOOKUP($T$1589,'TAR FIN'!$A$1:$O$116,15,0))</f>
        <v>301.38</v>
      </c>
      <c r="X1589" s="6">
        <f>IF(ISERROR(VLOOKUP($U$1589,'TAR FIN'!$A$1:$O$116,15,0)),0,VLOOKUP($U$1589,'TAR FIN'!$A$1:$O$116,15,0))</f>
        <v>287.29000000000002</v>
      </c>
      <c r="Y1589" s="6"/>
      <c r="Z1589" s="6">
        <f ca="1">('TUSD BE'!$AM$56+'TUSD BF'!$AM$56+'TUSD CVA'!$AM$56)*(1-CUSTOS!$M$38)</f>
        <v>410.57781128100521</v>
      </c>
      <c r="AA1589" s="6">
        <f>('TE BE'!$AB$27+'TE BF'!$AB$27+'TE CVA'!$AB$27)*(1-CUSTOS!$M$38)</f>
        <v>309.85296222048811</v>
      </c>
      <c r="AB1589" s="6">
        <f>$K$1589*$V$1589</f>
        <v>0</v>
      </c>
      <c r="AC1589" s="6">
        <f>$M$1589*$W$1589</f>
        <v>2418.6558726000003</v>
      </c>
      <c r="AD1589" s="6">
        <f>$O$1589*$X$1589</f>
        <v>2305.5798183000002</v>
      </c>
      <c r="AE1589" s="6">
        <f>$K$1589*$Y$1589</f>
        <v>0</v>
      </c>
      <c r="AF1589" s="6">
        <f ca="1">$M$1589*$Z$1589</f>
        <v>3294.9977915391132</v>
      </c>
      <c r="AG1589" s="6">
        <f>$O$1589*$AA$1589</f>
        <v>2486.6536821192167</v>
      </c>
    </row>
    <row r="1590" spans="1:33" ht="11.25" customHeight="1" x14ac:dyDescent="0.25">
      <c r="A1590" s="4" t="s">
        <v>21</v>
      </c>
      <c r="B1590" s="4" t="s">
        <v>44</v>
      </c>
      <c r="C1590" s="4" t="s">
        <v>23</v>
      </c>
      <c r="D1590" s="4" t="s">
        <v>45</v>
      </c>
      <c r="E1590" s="4" t="s">
        <v>54</v>
      </c>
      <c r="F1590" s="4" t="s">
        <v>56</v>
      </c>
      <c r="G1590" s="4" t="s">
        <v>25</v>
      </c>
      <c r="H1590" s="4" t="s">
        <v>25</v>
      </c>
      <c r="I1590" s="5">
        <v>44562</v>
      </c>
      <c r="J1590" s="6">
        <v>0</v>
      </c>
      <c r="K1590" s="6">
        <v>0</v>
      </c>
      <c r="L1590" s="6">
        <v>30.481000000000002</v>
      </c>
      <c r="M1590" s="6">
        <v>10.058730000000001</v>
      </c>
      <c r="N1590" s="6">
        <v>30.481000000000002</v>
      </c>
      <c r="O1590" s="6">
        <v>10.058730000000001</v>
      </c>
      <c r="P1590" s="6">
        <v>0</v>
      </c>
      <c r="Q1590" s="4" t="s">
        <v>26</v>
      </c>
      <c r="R1590" s="4">
        <v>0</v>
      </c>
      <c r="S1590" s="6">
        <v>0</v>
      </c>
      <c r="T1590" s="6">
        <v>54</v>
      </c>
      <c r="U1590" s="6">
        <v>97</v>
      </c>
      <c r="V1590" s="6">
        <f>IF(ISERROR(VLOOKUP($S$1590,'TAR FIN'!$A$1:$O$116,15,0)),0,VLOOKUP($S$1590,'TAR FIN'!$A$1:$O$116,15,0))</f>
        <v>0</v>
      </c>
      <c r="W1590" s="6">
        <f>IF(ISERROR(VLOOKUP($T$1590,'TAR FIN'!$A$1:$O$116,15,0)),0,VLOOKUP($T$1590,'TAR FIN'!$A$1:$O$116,15,0))</f>
        <v>301.38</v>
      </c>
      <c r="X1590" s="6">
        <f>IF(ISERROR(VLOOKUP($U$1590,'TAR FIN'!$A$1:$O$116,15,0)),0,VLOOKUP($U$1590,'TAR FIN'!$A$1:$O$116,15,0))</f>
        <v>287.29000000000002</v>
      </c>
      <c r="Y1590" s="6"/>
      <c r="Z1590" s="6">
        <f ca="1">('TUSD BE'!$AM$56+'TUSD BF'!$AM$56+'TUSD CVA'!$AM$56)*(1-CUSTOS!$M$38)</f>
        <v>410.57781128100521</v>
      </c>
      <c r="AA1590" s="6">
        <f>('TE BE'!$AB$27+'TE BF'!$AB$27+'TE CVA'!$AB$27)*(1-CUSTOS!$M$38)</f>
        <v>309.85296222048811</v>
      </c>
      <c r="AB1590" s="6">
        <f>$K$1590*$V$1590</f>
        <v>0</v>
      </c>
      <c r="AC1590" s="6">
        <f>$M$1590*$W$1590</f>
        <v>3031.5000474000003</v>
      </c>
      <c r="AD1590" s="6">
        <f>$O$1590*$X$1590</f>
        <v>2889.7725417000006</v>
      </c>
      <c r="AE1590" s="6">
        <f>$K$1590*$Y$1590</f>
        <v>0</v>
      </c>
      <c r="AF1590" s="6">
        <f ca="1">$M$1590*$Z$1590</f>
        <v>4129.8913476665857</v>
      </c>
      <c r="AG1590" s="6">
        <f>$O$1590*$AA$1590</f>
        <v>3116.7272866760904</v>
      </c>
    </row>
    <row r="1591" spans="1:33" ht="11.25" customHeight="1" x14ac:dyDescent="0.25">
      <c r="A1591" s="4" t="s">
        <v>27</v>
      </c>
      <c r="B1591" s="4" t="s">
        <v>44</v>
      </c>
      <c r="C1591" s="4" t="s">
        <v>23</v>
      </c>
      <c r="D1591" s="4" t="s">
        <v>45</v>
      </c>
      <c r="E1591" s="4" t="s">
        <v>54</v>
      </c>
      <c r="F1591" s="4" t="s">
        <v>56</v>
      </c>
      <c r="G1591" s="4" t="s">
        <v>25</v>
      </c>
      <c r="H1591" s="4" t="s">
        <v>25</v>
      </c>
      <c r="I1591" s="5">
        <v>44562</v>
      </c>
      <c r="J1591" s="6">
        <v>0</v>
      </c>
      <c r="K1591" s="6">
        <v>0</v>
      </c>
      <c r="L1591" s="6">
        <v>0.38600000000000001</v>
      </c>
      <c r="M1591" s="6">
        <v>0.12737999999999999</v>
      </c>
      <c r="N1591" s="6">
        <v>0.38600000000000001</v>
      </c>
      <c r="O1591" s="6">
        <v>0.12737999999999999</v>
      </c>
      <c r="P1591" s="6">
        <v>0</v>
      </c>
      <c r="Q1591" s="4" t="s">
        <v>26</v>
      </c>
      <c r="R1591" s="4">
        <v>0</v>
      </c>
      <c r="S1591" s="6">
        <v>0</v>
      </c>
      <c r="T1591" s="6">
        <v>54</v>
      </c>
      <c r="U1591" s="6">
        <v>97</v>
      </c>
      <c r="V1591" s="6">
        <f>IF(ISERROR(VLOOKUP($S$1591,'TAR FIN'!$A$1:$O$116,15,0)),0,VLOOKUP($S$1591,'TAR FIN'!$A$1:$O$116,15,0))</f>
        <v>0</v>
      </c>
      <c r="W1591" s="6">
        <f>IF(ISERROR(VLOOKUP($T$1591,'TAR FIN'!$A$1:$O$116,15,0)),0,VLOOKUP($T$1591,'TAR FIN'!$A$1:$O$116,15,0))</f>
        <v>301.38</v>
      </c>
      <c r="X1591" s="6">
        <f>IF(ISERROR(VLOOKUP($U$1591,'TAR FIN'!$A$1:$O$116,15,0)),0,VLOOKUP($U$1591,'TAR FIN'!$A$1:$O$116,15,0))</f>
        <v>287.29000000000002</v>
      </c>
      <c r="Y1591" s="6"/>
      <c r="Z1591" s="6">
        <f ca="1">('TUSD BE'!$AM$56+'TUSD BF'!$AM$56+'TUSD CVA'!$AM$56)*(1-CUSTOS!$M$38)</f>
        <v>410.57781128100521</v>
      </c>
      <c r="AA1591" s="6">
        <f>('TE BE'!$AB$27+'TE BF'!$AB$27+'TE CVA'!$AB$27)*(1-CUSTOS!$M$38)</f>
        <v>309.85296222048811</v>
      </c>
      <c r="AB1591" s="6">
        <f>$K$1591*$V$1591</f>
        <v>0</v>
      </c>
      <c r="AC1591" s="6">
        <f>$M$1591*$W$1591</f>
        <v>38.389784399999996</v>
      </c>
      <c r="AD1591" s="6">
        <f>$O$1591*$X$1591</f>
        <v>36.595000200000001</v>
      </c>
      <c r="AE1591" s="6">
        <f>$K$1591*$Y$1591</f>
        <v>0</v>
      </c>
      <c r="AF1591" s="6">
        <f ca="1">$M$1591*$Z$1591</f>
        <v>52.299401600974441</v>
      </c>
      <c r="AG1591" s="6">
        <f>$O$1591*$AA$1591</f>
        <v>39.469070327645774</v>
      </c>
    </row>
    <row r="1592" spans="1:33" ht="11.25" customHeight="1" x14ac:dyDescent="0.25">
      <c r="A1592" s="4" t="s">
        <v>28</v>
      </c>
      <c r="B1592" s="4" t="s">
        <v>44</v>
      </c>
      <c r="C1592" s="4" t="s">
        <v>23</v>
      </c>
      <c r="D1592" s="4" t="s">
        <v>45</v>
      </c>
      <c r="E1592" s="4" t="s">
        <v>54</v>
      </c>
      <c r="F1592" s="4" t="s">
        <v>56</v>
      </c>
      <c r="G1592" s="4" t="s">
        <v>25</v>
      </c>
      <c r="H1592" s="4" t="s">
        <v>25</v>
      </c>
      <c r="I1592" s="5">
        <v>44562</v>
      </c>
      <c r="J1592" s="6">
        <v>0</v>
      </c>
      <c r="K1592" s="6">
        <v>0</v>
      </c>
      <c r="L1592" s="6">
        <v>17.096</v>
      </c>
      <c r="M1592" s="6">
        <v>5.64168</v>
      </c>
      <c r="N1592" s="6">
        <v>17.096</v>
      </c>
      <c r="O1592" s="6">
        <v>5.64168</v>
      </c>
      <c r="P1592" s="6">
        <v>0</v>
      </c>
      <c r="Q1592" s="4" t="s">
        <v>26</v>
      </c>
      <c r="R1592" s="4">
        <v>0</v>
      </c>
      <c r="S1592" s="6">
        <v>0</v>
      </c>
      <c r="T1592" s="6">
        <v>54</v>
      </c>
      <c r="U1592" s="6">
        <v>97</v>
      </c>
      <c r="V1592" s="6">
        <f>IF(ISERROR(VLOOKUP($S$1592,'TAR FIN'!$A$1:$O$116,15,0)),0,VLOOKUP($S$1592,'TAR FIN'!$A$1:$O$116,15,0))</f>
        <v>0</v>
      </c>
      <c r="W1592" s="6">
        <f>IF(ISERROR(VLOOKUP($T$1592,'TAR FIN'!$A$1:$O$116,15,0)),0,VLOOKUP($T$1592,'TAR FIN'!$A$1:$O$116,15,0))</f>
        <v>301.38</v>
      </c>
      <c r="X1592" s="6">
        <f>IF(ISERROR(VLOOKUP($U$1592,'TAR FIN'!$A$1:$O$116,15,0)),0,VLOOKUP($U$1592,'TAR FIN'!$A$1:$O$116,15,0))</f>
        <v>287.29000000000002</v>
      </c>
      <c r="Y1592" s="6"/>
      <c r="Z1592" s="6">
        <f ca="1">('TUSD BE'!$AM$56+'TUSD BF'!$AM$56+'TUSD CVA'!$AM$56)*(1-CUSTOS!$M$38)</f>
        <v>410.57781128100521</v>
      </c>
      <c r="AA1592" s="6">
        <f>('TE BE'!$AB$27+'TE BF'!$AB$27+'TE CVA'!$AB$27)*(1-CUSTOS!$M$38)</f>
        <v>309.85296222048811</v>
      </c>
      <c r="AB1592" s="6">
        <f>$K$1592*$V$1592</f>
        <v>0</v>
      </c>
      <c r="AC1592" s="6">
        <f>$M$1592*$W$1592</f>
        <v>1700.2895183999999</v>
      </c>
      <c r="AD1592" s="6">
        <f>$O$1592*$X$1592</f>
        <v>1620.7982472000001</v>
      </c>
      <c r="AE1592" s="6">
        <f>$K$1592*$Y$1592</f>
        <v>0</v>
      </c>
      <c r="AF1592" s="6">
        <f ca="1">$M$1592*$Z$1592</f>
        <v>2316.3486263478217</v>
      </c>
      <c r="AG1592" s="6">
        <f>$O$1592*$AA$1592</f>
        <v>1748.0912599000833</v>
      </c>
    </row>
    <row r="1593" spans="1:33" ht="11.25" customHeight="1" x14ac:dyDescent="0.25">
      <c r="A1593" s="4" t="s">
        <v>21</v>
      </c>
      <c r="B1593" s="4" t="s">
        <v>44</v>
      </c>
      <c r="C1593" s="4" t="s">
        <v>23</v>
      </c>
      <c r="D1593" s="4" t="s">
        <v>45</v>
      </c>
      <c r="E1593" s="4" t="s">
        <v>54</v>
      </c>
      <c r="F1593" s="4" t="s">
        <v>56</v>
      </c>
      <c r="G1593" s="4" t="s">
        <v>25</v>
      </c>
      <c r="H1593" s="4" t="s">
        <v>25</v>
      </c>
      <c r="I1593" s="5">
        <v>44593</v>
      </c>
      <c r="J1593" s="6">
        <v>0</v>
      </c>
      <c r="K1593" s="6">
        <v>0</v>
      </c>
      <c r="L1593" s="6">
        <v>25.31</v>
      </c>
      <c r="M1593" s="6">
        <v>8.3522999999999996</v>
      </c>
      <c r="N1593" s="6">
        <v>25.31</v>
      </c>
      <c r="O1593" s="6">
        <v>8.3522999999999996</v>
      </c>
      <c r="P1593" s="6">
        <v>0</v>
      </c>
      <c r="Q1593" s="4" t="s">
        <v>26</v>
      </c>
      <c r="R1593" s="4">
        <v>0</v>
      </c>
      <c r="S1593" s="6">
        <v>0</v>
      </c>
      <c r="T1593" s="6">
        <v>54</v>
      </c>
      <c r="U1593" s="6">
        <v>97</v>
      </c>
      <c r="V1593" s="6">
        <f>IF(ISERROR(VLOOKUP($S$1593,'TAR FIN'!$A$1:$O$116,15,0)),0,VLOOKUP($S$1593,'TAR FIN'!$A$1:$O$116,15,0))</f>
        <v>0</v>
      </c>
      <c r="W1593" s="6">
        <f>IF(ISERROR(VLOOKUP($T$1593,'TAR FIN'!$A$1:$O$116,15,0)),0,VLOOKUP($T$1593,'TAR FIN'!$A$1:$O$116,15,0))</f>
        <v>301.38</v>
      </c>
      <c r="X1593" s="6">
        <f>IF(ISERROR(VLOOKUP($U$1593,'TAR FIN'!$A$1:$O$116,15,0)),0,VLOOKUP($U$1593,'TAR FIN'!$A$1:$O$116,15,0))</f>
        <v>287.29000000000002</v>
      </c>
      <c r="Y1593" s="6"/>
      <c r="Z1593" s="6">
        <f ca="1">('TUSD BE'!$AM$56+'TUSD BF'!$AM$56+'TUSD CVA'!$AM$56)*(1-CUSTOS!$M$38)</f>
        <v>410.57781128100521</v>
      </c>
      <c r="AA1593" s="6">
        <f>('TE BE'!$AB$27+'TE BF'!$AB$27+'TE CVA'!$AB$27)*(1-CUSTOS!$M$38)</f>
        <v>309.85296222048811</v>
      </c>
      <c r="AB1593" s="6">
        <f>$K$1593*$V$1593</f>
        <v>0</v>
      </c>
      <c r="AC1593" s="6">
        <f>$M$1593*$W$1593</f>
        <v>2517.2161739999997</v>
      </c>
      <c r="AD1593" s="6">
        <f>$O$1593*$X$1593</f>
        <v>2399.532267</v>
      </c>
      <c r="AE1593" s="6">
        <f>$K$1593*$Y$1593</f>
        <v>0</v>
      </c>
      <c r="AF1593" s="6">
        <f ca="1">$M$1593*$Z$1593</f>
        <v>3429.2690531623398</v>
      </c>
      <c r="AG1593" s="6">
        <f>$O$1593*$AA$1593</f>
        <v>2587.9848963541826</v>
      </c>
    </row>
    <row r="1594" spans="1:33" ht="11.25" customHeight="1" x14ac:dyDescent="0.25">
      <c r="A1594" s="4" t="s">
        <v>27</v>
      </c>
      <c r="B1594" s="4" t="s">
        <v>44</v>
      </c>
      <c r="C1594" s="4" t="s">
        <v>23</v>
      </c>
      <c r="D1594" s="4" t="s">
        <v>45</v>
      </c>
      <c r="E1594" s="4" t="s">
        <v>54</v>
      </c>
      <c r="F1594" s="4" t="s">
        <v>56</v>
      </c>
      <c r="G1594" s="4" t="s">
        <v>25</v>
      </c>
      <c r="H1594" s="4" t="s">
        <v>25</v>
      </c>
      <c r="I1594" s="5">
        <v>44593</v>
      </c>
      <c r="J1594" s="6">
        <v>0</v>
      </c>
      <c r="K1594" s="6">
        <v>0</v>
      </c>
      <c r="L1594" s="6">
        <v>-1.518</v>
      </c>
      <c r="M1594" s="6">
        <v>-0.50094000000000005</v>
      </c>
      <c r="N1594" s="6">
        <v>-1.518</v>
      </c>
      <c r="O1594" s="6">
        <v>-0.50094000000000005</v>
      </c>
      <c r="P1594" s="6">
        <v>0</v>
      </c>
      <c r="Q1594" s="4" t="s">
        <v>26</v>
      </c>
      <c r="R1594" s="4">
        <v>0</v>
      </c>
      <c r="S1594" s="6">
        <v>0</v>
      </c>
      <c r="T1594" s="6">
        <v>54</v>
      </c>
      <c r="U1594" s="6">
        <v>97</v>
      </c>
      <c r="V1594" s="6">
        <f>IF(ISERROR(VLOOKUP($S$1594,'TAR FIN'!$A$1:$O$116,15,0)),0,VLOOKUP($S$1594,'TAR FIN'!$A$1:$O$116,15,0))</f>
        <v>0</v>
      </c>
      <c r="W1594" s="6">
        <f>IF(ISERROR(VLOOKUP($T$1594,'TAR FIN'!$A$1:$O$116,15,0)),0,VLOOKUP($T$1594,'TAR FIN'!$A$1:$O$116,15,0))</f>
        <v>301.38</v>
      </c>
      <c r="X1594" s="6">
        <f>IF(ISERROR(VLOOKUP($U$1594,'TAR FIN'!$A$1:$O$116,15,0)),0,VLOOKUP($U$1594,'TAR FIN'!$A$1:$O$116,15,0))</f>
        <v>287.29000000000002</v>
      </c>
      <c r="Y1594" s="6"/>
      <c r="Z1594" s="6">
        <f ca="1">('TUSD BE'!$AM$56+'TUSD BF'!$AM$56+'TUSD CVA'!$AM$56)*(1-CUSTOS!$M$38)</f>
        <v>410.57781128100521</v>
      </c>
      <c r="AA1594" s="6">
        <f>('TE BE'!$AB$27+'TE BF'!$AB$27+'TE CVA'!$AB$27)*(1-CUSTOS!$M$38)</f>
        <v>309.85296222048811</v>
      </c>
      <c r="AB1594" s="6">
        <f>$K$1594*$V$1594</f>
        <v>0</v>
      </c>
      <c r="AC1594" s="6">
        <f>$M$1594*$W$1594</f>
        <v>-150.97329720000002</v>
      </c>
      <c r="AD1594" s="6">
        <f>$O$1594*$X$1594</f>
        <v>-143.91505260000002</v>
      </c>
      <c r="AE1594" s="6">
        <f>$K$1594*$Y$1594</f>
        <v>0</v>
      </c>
      <c r="AF1594" s="6">
        <f ca="1">$M$1594*$Z$1594</f>
        <v>-205.67484878310677</v>
      </c>
      <c r="AG1594" s="6">
        <f>$O$1594*$AA$1594</f>
        <v>-155.21774289473132</v>
      </c>
    </row>
    <row r="1595" spans="1:33" ht="11.25" customHeight="1" x14ac:dyDescent="0.25">
      <c r="A1595" s="4" t="s">
        <v>28</v>
      </c>
      <c r="B1595" s="4" t="s">
        <v>44</v>
      </c>
      <c r="C1595" s="4" t="s">
        <v>23</v>
      </c>
      <c r="D1595" s="4" t="s">
        <v>45</v>
      </c>
      <c r="E1595" s="4" t="s">
        <v>54</v>
      </c>
      <c r="F1595" s="4" t="s">
        <v>56</v>
      </c>
      <c r="G1595" s="4" t="s">
        <v>25</v>
      </c>
      <c r="H1595" s="4" t="s">
        <v>25</v>
      </c>
      <c r="I1595" s="5">
        <v>44593</v>
      </c>
      <c r="J1595" s="6">
        <v>0</v>
      </c>
      <c r="K1595" s="6">
        <v>0</v>
      </c>
      <c r="L1595" s="6">
        <v>17.771999999999998</v>
      </c>
      <c r="M1595" s="6">
        <v>5.8647600000000004</v>
      </c>
      <c r="N1595" s="6">
        <v>17.771999999999998</v>
      </c>
      <c r="O1595" s="6">
        <v>5.8647600000000004</v>
      </c>
      <c r="P1595" s="6">
        <v>0</v>
      </c>
      <c r="Q1595" s="4" t="s">
        <v>26</v>
      </c>
      <c r="R1595" s="4">
        <v>0</v>
      </c>
      <c r="S1595" s="6">
        <v>0</v>
      </c>
      <c r="T1595" s="6">
        <v>54</v>
      </c>
      <c r="U1595" s="6">
        <v>97</v>
      </c>
      <c r="V1595" s="6">
        <f>IF(ISERROR(VLOOKUP($S$1595,'TAR FIN'!$A$1:$O$116,15,0)),0,VLOOKUP($S$1595,'TAR FIN'!$A$1:$O$116,15,0))</f>
        <v>0</v>
      </c>
      <c r="W1595" s="6">
        <f>IF(ISERROR(VLOOKUP($T$1595,'TAR FIN'!$A$1:$O$116,15,0)),0,VLOOKUP($T$1595,'TAR FIN'!$A$1:$O$116,15,0))</f>
        <v>301.38</v>
      </c>
      <c r="X1595" s="6">
        <f>IF(ISERROR(VLOOKUP($U$1595,'TAR FIN'!$A$1:$O$116,15,0)),0,VLOOKUP($U$1595,'TAR FIN'!$A$1:$O$116,15,0))</f>
        <v>287.29000000000002</v>
      </c>
      <c r="Y1595" s="6"/>
      <c r="Z1595" s="6">
        <f ca="1">('TUSD BE'!$AM$56+'TUSD BF'!$AM$56+'TUSD CVA'!$AM$56)*(1-CUSTOS!$M$38)</f>
        <v>410.57781128100521</v>
      </c>
      <c r="AA1595" s="6">
        <f>('TE BE'!$AB$27+'TE BF'!$AB$27+'TE CVA'!$AB$27)*(1-CUSTOS!$M$38)</f>
        <v>309.85296222048811</v>
      </c>
      <c r="AB1595" s="6">
        <f>$K$1595*$V$1595</f>
        <v>0</v>
      </c>
      <c r="AC1595" s="6">
        <f>$M$1595*$W$1595</f>
        <v>1767.5213688000001</v>
      </c>
      <c r="AD1595" s="6">
        <f>$O$1595*$X$1595</f>
        <v>1684.8869004000003</v>
      </c>
      <c r="AE1595" s="6">
        <f>$K$1595*$Y$1595</f>
        <v>0</v>
      </c>
      <c r="AF1595" s="6">
        <f ca="1">$M$1595*$Z$1595</f>
        <v>2407.9403244883883</v>
      </c>
      <c r="AG1595" s="6">
        <f>$O$1595*$AA$1595</f>
        <v>1817.2132587122301</v>
      </c>
    </row>
    <row r="1596" spans="1:33" ht="11.25" customHeight="1" x14ac:dyDescent="0.25">
      <c r="A1596" s="4" t="s">
        <v>21</v>
      </c>
      <c r="B1596" s="4" t="s">
        <v>44</v>
      </c>
      <c r="C1596" s="4" t="s">
        <v>23</v>
      </c>
      <c r="D1596" s="4" t="s">
        <v>45</v>
      </c>
      <c r="E1596" s="4" t="s">
        <v>54</v>
      </c>
      <c r="F1596" s="4" t="s">
        <v>56</v>
      </c>
      <c r="G1596" s="4" t="s">
        <v>25</v>
      </c>
      <c r="H1596" s="4" t="s">
        <v>25</v>
      </c>
      <c r="I1596" s="5">
        <v>44621</v>
      </c>
      <c r="J1596" s="6">
        <v>0</v>
      </c>
      <c r="K1596" s="6">
        <v>0</v>
      </c>
      <c r="L1596" s="6">
        <v>32.883000000000003</v>
      </c>
      <c r="M1596" s="6">
        <v>10.85139</v>
      </c>
      <c r="N1596" s="6">
        <v>32.883000000000003</v>
      </c>
      <c r="O1596" s="6">
        <v>10.85139</v>
      </c>
      <c r="P1596" s="6">
        <v>0</v>
      </c>
      <c r="Q1596" s="4" t="s">
        <v>26</v>
      </c>
      <c r="R1596" s="4">
        <v>0</v>
      </c>
      <c r="S1596" s="6">
        <v>0</v>
      </c>
      <c r="T1596" s="6">
        <v>54</v>
      </c>
      <c r="U1596" s="6">
        <v>97</v>
      </c>
      <c r="V1596" s="6">
        <f>IF(ISERROR(VLOOKUP($S$1596,'TAR FIN'!$A$1:$O$116,15,0)),0,VLOOKUP($S$1596,'TAR FIN'!$A$1:$O$116,15,0))</f>
        <v>0</v>
      </c>
      <c r="W1596" s="6">
        <f>IF(ISERROR(VLOOKUP($T$1596,'TAR FIN'!$A$1:$O$116,15,0)),0,VLOOKUP($T$1596,'TAR FIN'!$A$1:$O$116,15,0))</f>
        <v>301.38</v>
      </c>
      <c r="X1596" s="6">
        <f>IF(ISERROR(VLOOKUP($U$1596,'TAR FIN'!$A$1:$O$116,15,0)),0,VLOOKUP($U$1596,'TAR FIN'!$A$1:$O$116,15,0))</f>
        <v>287.29000000000002</v>
      </c>
      <c r="Y1596" s="6"/>
      <c r="Z1596" s="6">
        <f ca="1">('TUSD BE'!$AM$56+'TUSD BF'!$AM$56+'TUSD CVA'!$AM$56)*(1-CUSTOS!$M$38)</f>
        <v>410.57781128100521</v>
      </c>
      <c r="AA1596" s="6">
        <f>('TE BE'!$AB$27+'TE BF'!$AB$27+'TE CVA'!$AB$27)*(1-CUSTOS!$M$38)</f>
        <v>309.85296222048811</v>
      </c>
      <c r="AB1596" s="6">
        <f>$K$1596*$V$1596</f>
        <v>0</v>
      </c>
      <c r="AC1596" s="6">
        <f>$M$1596*$W$1596</f>
        <v>3270.3919182</v>
      </c>
      <c r="AD1596" s="6">
        <f>$O$1596*$X$1596</f>
        <v>3117.4958331000003</v>
      </c>
      <c r="AE1596" s="6">
        <f>$K$1596*$Y$1596</f>
        <v>0</v>
      </c>
      <c r="AF1596" s="6">
        <f ca="1">$M$1596*$Z$1596</f>
        <v>4455.3399555565875</v>
      </c>
      <c r="AG1596" s="6">
        <f>$O$1596*$AA$1596</f>
        <v>3362.3353357097826</v>
      </c>
    </row>
    <row r="1597" spans="1:33" ht="11.25" customHeight="1" x14ac:dyDescent="0.25">
      <c r="A1597" s="4" t="s">
        <v>27</v>
      </c>
      <c r="B1597" s="4" t="s">
        <v>44</v>
      </c>
      <c r="C1597" s="4" t="s">
        <v>23</v>
      </c>
      <c r="D1597" s="4" t="s">
        <v>45</v>
      </c>
      <c r="E1597" s="4" t="s">
        <v>54</v>
      </c>
      <c r="F1597" s="4" t="s">
        <v>56</v>
      </c>
      <c r="G1597" s="4" t="s">
        <v>25</v>
      </c>
      <c r="H1597" s="4" t="s">
        <v>25</v>
      </c>
      <c r="I1597" s="5">
        <v>44621</v>
      </c>
      <c r="J1597" s="6">
        <v>0</v>
      </c>
      <c r="K1597" s="6">
        <v>0</v>
      </c>
      <c r="L1597" s="6">
        <v>-0.29599999999999999</v>
      </c>
      <c r="M1597" s="6">
        <v>-9.7680000000000003E-2</v>
      </c>
      <c r="N1597" s="6">
        <v>-0.29599999999999999</v>
      </c>
      <c r="O1597" s="6">
        <v>-9.7680000000000003E-2</v>
      </c>
      <c r="P1597" s="6">
        <v>0</v>
      </c>
      <c r="Q1597" s="4" t="s">
        <v>26</v>
      </c>
      <c r="R1597" s="4">
        <v>0</v>
      </c>
      <c r="S1597" s="6">
        <v>0</v>
      </c>
      <c r="T1597" s="6">
        <v>54</v>
      </c>
      <c r="U1597" s="6">
        <v>97</v>
      </c>
      <c r="V1597" s="6">
        <f>IF(ISERROR(VLOOKUP($S$1597,'TAR FIN'!$A$1:$O$116,15,0)),0,VLOOKUP($S$1597,'TAR FIN'!$A$1:$O$116,15,0))</f>
        <v>0</v>
      </c>
      <c r="W1597" s="6">
        <f>IF(ISERROR(VLOOKUP($T$1597,'TAR FIN'!$A$1:$O$116,15,0)),0,VLOOKUP($T$1597,'TAR FIN'!$A$1:$O$116,15,0))</f>
        <v>301.38</v>
      </c>
      <c r="X1597" s="6">
        <f>IF(ISERROR(VLOOKUP($U$1597,'TAR FIN'!$A$1:$O$116,15,0)),0,VLOOKUP($U$1597,'TAR FIN'!$A$1:$O$116,15,0))</f>
        <v>287.29000000000002</v>
      </c>
      <c r="Y1597" s="6"/>
      <c r="Z1597" s="6">
        <f ca="1">('TUSD BE'!$AM$56+'TUSD BF'!$AM$56+'TUSD CVA'!$AM$56)*(1-CUSTOS!$M$38)</f>
        <v>410.57781128100521</v>
      </c>
      <c r="AA1597" s="6">
        <f>('TE BE'!$AB$27+'TE BF'!$AB$27+'TE CVA'!$AB$27)*(1-CUSTOS!$M$38)</f>
        <v>309.85296222048811</v>
      </c>
      <c r="AB1597" s="6">
        <f>$K$1597*$V$1597</f>
        <v>0</v>
      </c>
      <c r="AC1597" s="6">
        <f>$M$1597*$W$1597</f>
        <v>-29.4387984</v>
      </c>
      <c r="AD1597" s="6">
        <f>$O$1597*$X$1597</f>
        <v>-28.062487200000003</v>
      </c>
      <c r="AE1597" s="6">
        <f>$K$1597*$Y$1597</f>
        <v>0</v>
      </c>
      <c r="AF1597" s="6">
        <f ca="1">$M$1597*$Z$1597</f>
        <v>-40.105240605928593</v>
      </c>
      <c r="AG1597" s="6">
        <f>$O$1597*$AA$1597</f>
        <v>-30.266437349697281</v>
      </c>
    </row>
    <row r="1598" spans="1:33" ht="11.25" customHeight="1" x14ac:dyDescent="0.25">
      <c r="A1598" s="4" t="s">
        <v>28</v>
      </c>
      <c r="B1598" s="4" t="s">
        <v>44</v>
      </c>
      <c r="C1598" s="4" t="s">
        <v>23</v>
      </c>
      <c r="D1598" s="4" t="s">
        <v>45</v>
      </c>
      <c r="E1598" s="4" t="s">
        <v>54</v>
      </c>
      <c r="F1598" s="4" t="s">
        <v>56</v>
      </c>
      <c r="G1598" s="4" t="s">
        <v>25</v>
      </c>
      <c r="H1598" s="4" t="s">
        <v>25</v>
      </c>
      <c r="I1598" s="5">
        <v>44621</v>
      </c>
      <c r="J1598" s="6">
        <v>0</v>
      </c>
      <c r="K1598" s="6">
        <v>0</v>
      </c>
      <c r="L1598" s="6">
        <v>13.196999999999999</v>
      </c>
      <c r="M1598" s="6">
        <v>4.35501</v>
      </c>
      <c r="N1598" s="6">
        <v>13.196999999999999</v>
      </c>
      <c r="O1598" s="6">
        <v>4.35501</v>
      </c>
      <c r="P1598" s="6">
        <v>0</v>
      </c>
      <c r="Q1598" s="4" t="s">
        <v>26</v>
      </c>
      <c r="R1598" s="4">
        <v>0</v>
      </c>
      <c r="S1598" s="6">
        <v>0</v>
      </c>
      <c r="T1598" s="6">
        <v>54</v>
      </c>
      <c r="U1598" s="6">
        <v>97</v>
      </c>
      <c r="V1598" s="6">
        <f>IF(ISERROR(VLOOKUP($S$1598,'TAR FIN'!$A$1:$O$116,15,0)),0,VLOOKUP($S$1598,'TAR FIN'!$A$1:$O$116,15,0))</f>
        <v>0</v>
      </c>
      <c r="W1598" s="6">
        <f>IF(ISERROR(VLOOKUP($T$1598,'TAR FIN'!$A$1:$O$116,15,0)),0,VLOOKUP($T$1598,'TAR FIN'!$A$1:$O$116,15,0))</f>
        <v>301.38</v>
      </c>
      <c r="X1598" s="6">
        <f>IF(ISERROR(VLOOKUP($U$1598,'TAR FIN'!$A$1:$O$116,15,0)),0,VLOOKUP($U$1598,'TAR FIN'!$A$1:$O$116,15,0))</f>
        <v>287.29000000000002</v>
      </c>
      <c r="Y1598" s="6"/>
      <c r="Z1598" s="6">
        <f ca="1">('TUSD BE'!$AM$56+'TUSD BF'!$AM$56+'TUSD CVA'!$AM$56)*(1-CUSTOS!$M$38)</f>
        <v>410.57781128100521</v>
      </c>
      <c r="AA1598" s="6">
        <f>('TE BE'!$AB$27+'TE BF'!$AB$27+'TE CVA'!$AB$27)*(1-CUSTOS!$M$38)</f>
        <v>309.85296222048811</v>
      </c>
      <c r="AB1598" s="6">
        <f>$K$1598*$V$1598</f>
        <v>0</v>
      </c>
      <c r="AC1598" s="6">
        <f>$M$1598*$W$1598</f>
        <v>1312.5129138</v>
      </c>
      <c r="AD1598" s="6">
        <f>$O$1598*$X$1598</f>
        <v>1251.1508229000001</v>
      </c>
      <c r="AE1598" s="6">
        <f>$K$1598*$Y$1598</f>
        <v>0</v>
      </c>
      <c r="AF1598" s="6">
        <f ca="1">$M$1598*$Z$1598</f>
        <v>1788.0704739068906</v>
      </c>
      <c r="AG1598" s="6">
        <f>$O$1598*$AA$1598</f>
        <v>1349.412748999848</v>
      </c>
    </row>
    <row r="1599" spans="1:33" ht="11.25" customHeight="1" x14ac:dyDescent="0.25">
      <c r="A1599" s="4" t="s">
        <v>21</v>
      </c>
      <c r="B1599" s="4" t="s">
        <v>44</v>
      </c>
      <c r="C1599" s="4" t="s">
        <v>23</v>
      </c>
      <c r="D1599" s="4" t="s">
        <v>45</v>
      </c>
      <c r="E1599" s="4" t="s">
        <v>54</v>
      </c>
      <c r="F1599" s="4" t="s">
        <v>56</v>
      </c>
      <c r="G1599" s="4" t="s">
        <v>25</v>
      </c>
      <c r="H1599" s="4" t="s">
        <v>25</v>
      </c>
      <c r="I1599" s="5">
        <v>44652</v>
      </c>
      <c r="J1599" s="6">
        <v>0</v>
      </c>
      <c r="K1599" s="6">
        <v>0</v>
      </c>
      <c r="L1599" s="6">
        <v>29.815000000000001</v>
      </c>
      <c r="M1599" s="6">
        <v>9.8389500000000005</v>
      </c>
      <c r="N1599" s="6">
        <v>29.815000000000001</v>
      </c>
      <c r="O1599" s="6">
        <v>9.8389500000000005</v>
      </c>
      <c r="P1599" s="6">
        <v>0</v>
      </c>
      <c r="Q1599" s="4" t="s">
        <v>26</v>
      </c>
      <c r="R1599" s="4">
        <v>0</v>
      </c>
      <c r="S1599" s="6">
        <v>0</v>
      </c>
      <c r="T1599" s="6">
        <v>54</v>
      </c>
      <c r="U1599" s="6">
        <v>97</v>
      </c>
      <c r="V1599" s="6">
        <f>IF(ISERROR(VLOOKUP($S$1599,'TAR FIN'!$A$1:$O$116,15,0)),0,VLOOKUP($S$1599,'TAR FIN'!$A$1:$O$116,15,0))</f>
        <v>0</v>
      </c>
      <c r="W1599" s="6">
        <f>IF(ISERROR(VLOOKUP($T$1599,'TAR FIN'!$A$1:$O$116,15,0)),0,VLOOKUP($T$1599,'TAR FIN'!$A$1:$O$116,15,0))</f>
        <v>301.38</v>
      </c>
      <c r="X1599" s="6">
        <f>IF(ISERROR(VLOOKUP($U$1599,'TAR FIN'!$A$1:$O$116,15,0)),0,VLOOKUP($U$1599,'TAR FIN'!$A$1:$O$116,15,0))</f>
        <v>287.29000000000002</v>
      </c>
      <c r="Y1599" s="6"/>
      <c r="Z1599" s="6">
        <f ca="1">('TUSD BE'!$AM$56+'TUSD BF'!$AM$56+'TUSD CVA'!$AM$56)*(1-CUSTOS!$M$38)</f>
        <v>410.57781128100521</v>
      </c>
      <c r="AA1599" s="6">
        <f>('TE BE'!$AB$27+'TE BF'!$AB$27+'TE CVA'!$AB$27)*(1-CUSTOS!$M$38)</f>
        <v>309.85296222048811</v>
      </c>
      <c r="AB1599" s="6">
        <f>$K$1599*$V$1599</f>
        <v>0</v>
      </c>
      <c r="AC1599" s="6">
        <f>$M$1599*$W$1599</f>
        <v>2965.2627510000002</v>
      </c>
      <c r="AD1599" s="6">
        <f>$O$1599*$X$1599</f>
        <v>2826.6319455000003</v>
      </c>
      <c r="AE1599" s="6">
        <f>$K$1599*$Y$1599</f>
        <v>0</v>
      </c>
      <c r="AF1599" s="6">
        <f ca="1">$M$1599*$Z$1599</f>
        <v>4039.6545563032464</v>
      </c>
      <c r="AG1599" s="6">
        <f>$O$1599*$AA$1599</f>
        <v>3048.6278026392715</v>
      </c>
    </row>
    <row r="1600" spans="1:33" ht="11.25" customHeight="1" x14ac:dyDescent="0.25">
      <c r="A1600" s="4" t="s">
        <v>28</v>
      </c>
      <c r="B1600" s="4" t="s">
        <v>44</v>
      </c>
      <c r="C1600" s="4" t="s">
        <v>23</v>
      </c>
      <c r="D1600" s="4" t="s">
        <v>45</v>
      </c>
      <c r="E1600" s="4" t="s">
        <v>54</v>
      </c>
      <c r="F1600" s="4" t="s">
        <v>56</v>
      </c>
      <c r="G1600" s="4" t="s">
        <v>25</v>
      </c>
      <c r="H1600" s="4" t="s">
        <v>25</v>
      </c>
      <c r="I1600" s="5">
        <v>44652</v>
      </c>
      <c r="J1600" s="6">
        <v>0</v>
      </c>
      <c r="K1600" s="6">
        <v>0</v>
      </c>
      <c r="L1600" s="6">
        <v>14.513999999999999</v>
      </c>
      <c r="M1600" s="6">
        <v>4.7896200000000002</v>
      </c>
      <c r="N1600" s="6">
        <v>14.513999999999999</v>
      </c>
      <c r="O1600" s="6">
        <v>4.7896200000000002</v>
      </c>
      <c r="P1600" s="6">
        <v>0</v>
      </c>
      <c r="Q1600" s="4" t="s">
        <v>26</v>
      </c>
      <c r="R1600" s="4">
        <v>0</v>
      </c>
      <c r="S1600" s="6">
        <v>0</v>
      </c>
      <c r="T1600" s="6">
        <v>54</v>
      </c>
      <c r="U1600" s="6">
        <v>97</v>
      </c>
      <c r="V1600" s="6">
        <f>IF(ISERROR(VLOOKUP($S$1600,'TAR FIN'!$A$1:$O$116,15,0)),0,VLOOKUP($S$1600,'TAR FIN'!$A$1:$O$116,15,0))</f>
        <v>0</v>
      </c>
      <c r="W1600" s="6">
        <f>IF(ISERROR(VLOOKUP($T$1600,'TAR FIN'!$A$1:$O$116,15,0)),0,VLOOKUP($T$1600,'TAR FIN'!$A$1:$O$116,15,0))</f>
        <v>301.38</v>
      </c>
      <c r="X1600" s="6">
        <f>IF(ISERROR(VLOOKUP($U$1600,'TAR FIN'!$A$1:$O$116,15,0)),0,VLOOKUP($U$1600,'TAR FIN'!$A$1:$O$116,15,0))</f>
        <v>287.29000000000002</v>
      </c>
      <c r="Y1600" s="6"/>
      <c r="Z1600" s="6">
        <f ca="1">('TUSD BE'!$AM$56+'TUSD BF'!$AM$56+'TUSD CVA'!$AM$56)*(1-CUSTOS!$M$38)</f>
        <v>410.57781128100521</v>
      </c>
      <c r="AA1600" s="6">
        <f>('TE BE'!$AB$27+'TE BF'!$AB$27+'TE CVA'!$AB$27)*(1-CUSTOS!$M$38)</f>
        <v>309.85296222048811</v>
      </c>
      <c r="AB1600" s="6">
        <f>$K$1600*$V$1600</f>
        <v>0</v>
      </c>
      <c r="AC1600" s="6">
        <f>$M$1600*$W$1600</f>
        <v>1443.4956756000001</v>
      </c>
      <c r="AD1600" s="6">
        <f>$O$1600*$X$1600</f>
        <v>1376.0099298000002</v>
      </c>
      <c r="AE1600" s="6">
        <f>$K$1600*$Y$1600</f>
        <v>0</v>
      </c>
      <c r="AF1600" s="6">
        <f ca="1">$M$1600*$Z$1600</f>
        <v>1966.5116964677284</v>
      </c>
      <c r="AG1600" s="6">
        <f>$O$1600*$AA$1600</f>
        <v>1484.0779449104944</v>
      </c>
    </row>
    <row r="1601" spans="1:33" ht="11.25" customHeight="1" x14ac:dyDescent="0.25">
      <c r="A1601" s="4" t="s">
        <v>58</v>
      </c>
      <c r="B1601" s="4" t="s">
        <v>44</v>
      </c>
      <c r="C1601" s="4" t="s">
        <v>23</v>
      </c>
      <c r="D1601" s="4" t="s">
        <v>45</v>
      </c>
      <c r="E1601" s="4" t="s">
        <v>54</v>
      </c>
      <c r="F1601" s="4" t="s">
        <v>56</v>
      </c>
      <c r="G1601" s="4" t="s">
        <v>25</v>
      </c>
      <c r="H1601" s="4" t="s">
        <v>25</v>
      </c>
      <c r="I1601" s="5">
        <v>44682</v>
      </c>
      <c r="J1601" s="6">
        <v>0</v>
      </c>
      <c r="K1601" s="6">
        <v>0</v>
      </c>
      <c r="L1601" s="6">
        <v>29.815000000000001</v>
      </c>
      <c r="M1601" s="6">
        <v>9.8389500000000005</v>
      </c>
      <c r="N1601" s="6">
        <v>29.815000000000001</v>
      </c>
      <c r="O1601" s="6">
        <v>9.8389500000000005</v>
      </c>
      <c r="P1601" s="6">
        <v>0</v>
      </c>
      <c r="Q1601" s="4" t="s">
        <v>26</v>
      </c>
      <c r="R1601" s="4">
        <v>0</v>
      </c>
      <c r="S1601" s="6">
        <v>0</v>
      </c>
      <c r="T1601" s="6">
        <v>54</v>
      </c>
      <c r="U1601" s="6">
        <v>97</v>
      </c>
      <c r="V1601" s="6">
        <f>IF(ISERROR(VLOOKUP($S$1601,'TAR FIN'!$A$1:$O$116,15,0)),0,VLOOKUP($S$1601,'TAR FIN'!$A$1:$O$116,15,0))</f>
        <v>0</v>
      </c>
      <c r="W1601" s="6">
        <f>IF(ISERROR(VLOOKUP($T$1601,'TAR FIN'!$A$1:$O$116,15,0)),0,VLOOKUP($T$1601,'TAR FIN'!$A$1:$O$116,15,0))</f>
        <v>301.38</v>
      </c>
      <c r="X1601" s="6">
        <f>IF(ISERROR(VLOOKUP($U$1601,'TAR FIN'!$A$1:$O$116,15,0)),0,VLOOKUP($U$1601,'TAR FIN'!$A$1:$O$116,15,0))</f>
        <v>287.29000000000002</v>
      </c>
      <c r="Y1601" s="6"/>
      <c r="Z1601" s="6">
        <f ca="1">('TUSD BE'!$AM$56+'TUSD BF'!$AM$56+'TUSD CVA'!$AM$56)*(1-CUSTOS!$M$38)</f>
        <v>410.57781128100521</v>
      </c>
      <c r="AA1601" s="6">
        <f>('TE BE'!$AB$27+'TE BF'!$AB$27+'TE CVA'!$AB$27)*(1-CUSTOS!$M$38)</f>
        <v>309.85296222048811</v>
      </c>
      <c r="AB1601" s="6">
        <f>$K$1601*$V$1601</f>
        <v>0</v>
      </c>
      <c r="AC1601" s="6">
        <f>$M$1601*$W$1601</f>
        <v>2965.2627510000002</v>
      </c>
      <c r="AD1601" s="6">
        <f>$O$1601*$X$1601</f>
        <v>2826.6319455000003</v>
      </c>
      <c r="AE1601" s="6">
        <f>$K$1601*$Y$1601</f>
        <v>0</v>
      </c>
      <c r="AF1601" s="6">
        <f ca="1">$M$1601*$Z$1601</f>
        <v>4039.6545563032464</v>
      </c>
      <c r="AG1601" s="6">
        <f>$O$1601*$AA$1601</f>
        <v>3048.6278026392715</v>
      </c>
    </row>
    <row r="1602" spans="1:33" ht="11.25" customHeight="1" x14ac:dyDescent="0.25">
      <c r="A1602" s="4" t="s">
        <v>58</v>
      </c>
      <c r="B1602" s="4" t="s">
        <v>44</v>
      </c>
      <c r="C1602" s="4" t="s">
        <v>23</v>
      </c>
      <c r="D1602" s="4" t="s">
        <v>45</v>
      </c>
      <c r="E1602" s="4" t="s">
        <v>54</v>
      </c>
      <c r="F1602" s="4" t="s">
        <v>56</v>
      </c>
      <c r="G1602" s="4" t="s">
        <v>25</v>
      </c>
      <c r="H1602" s="4" t="s">
        <v>25</v>
      </c>
      <c r="I1602" s="5">
        <v>44682</v>
      </c>
      <c r="J1602" s="6">
        <v>0</v>
      </c>
      <c r="K1602" s="6">
        <v>0</v>
      </c>
      <c r="L1602" s="6">
        <v>14.513999999999999</v>
      </c>
      <c r="M1602" s="6">
        <v>4.7896200000000002</v>
      </c>
      <c r="N1602" s="6">
        <v>14.513999999999999</v>
      </c>
      <c r="O1602" s="6">
        <v>4.7896200000000002</v>
      </c>
      <c r="P1602" s="6">
        <v>0</v>
      </c>
      <c r="Q1602" s="4" t="s">
        <v>26</v>
      </c>
      <c r="R1602" s="4">
        <v>0</v>
      </c>
      <c r="S1602" s="6">
        <v>0</v>
      </c>
      <c r="T1602" s="6">
        <v>54</v>
      </c>
      <c r="U1602" s="6">
        <v>97</v>
      </c>
      <c r="V1602" s="6">
        <f>IF(ISERROR(VLOOKUP($S$1602,'TAR FIN'!$A$1:$O$116,15,0)),0,VLOOKUP($S$1602,'TAR FIN'!$A$1:$O$116,15,0))</f>
        <v>0</v>
      </c>
      <c r="W1602" s="6">
        <f>IF(ISERROR(VLOOKUP($T$1602,'TAR FIN'!$A$1:$O$116,15,0)),0,VLOOKUP($T$1602,'TAR FIN'!$A$1:$O$116,15,0))</f>
        <v>301.38</v>
      </c>
      <c r="X1602" s="6">
        <f>IF(ISERROR(VLOOKUP($U$1602,'TAR FIN'!$A$1:$O$116,15,0)),0,VLOOKUP($U$1602,'TAR FIN'!$A$1:$O$116,15,0))</f>
        <v>287.29000000000002</v>
      </c>
      <c r="Y1602" s="6"/>
      <c r="Z1602" s="6">
        <f ca="1">('TUSD BE'!$AM$56+'TUSD BF'!$AM$56+'TUSD CVA'!$AM$56)*(1-CUSTOS!$M$38)</f>
        <v>410.57781128100521</v>
      </c>
      <c r="AA1602" s="6">
        <f>('TE BE'!$AB$27+'TE BF'!$AB$27+'TE CVA'!$AB$27)*(1-CUSTOS!$M$38)</f>
        <v>309.85296222048811</v>
      </c>
      <c r="AB1602" s="6">
        <f>$K$1602*$V$1602</f>
        <v>0</v>
      </c>
      <c r="AC1602" s="6">
        <f>$M$1602*$W$1602</f>
        <v>1443.4956756000001</v>
      </c>
      <c r="AD1602" s="6">
        <f>$O$1602*$X$1602</f>
        <v>1376.0099298000002</v>
      </c>
      <c r="AE1602" s="6">
        <f>$K$1602*$Y$1602</f>
        <v>0</v>
      </c>
      <c r="AF1602" s="6">
        <f ca="1">$M$1602*$Z$1602</f>
        <v>1966.5116964677284</v>
      </c>
      <c r="AG1602" s="6">
        <f>$O$1602*$AA$1602</f>
        <v>1484.0779449104944</v>
      </c>
    </row>
    <row r="1603" spans="1:33" ht="11.25" customHeight="1" x14ac:dyDescent="0.25">
      <c r="A1603" s="4" t="s">
        <v>21</v>
      </c>
      <c r="B1603" s="4" t="s">
        <v>44</v>
      </c>
      <c r="C1603" s="4" t="s">
        <v>23</v>
      </c>
      <c r="D1603" s="4" t="s">
        <v>45</v>
      </c>
      <c r="E1603" s="4" t="s">
        <v>57</v>
      </c>
      <c r="F1603" s="4" t="s">
        <v>55</v>
      </c>
      <c r="G1603" s="4" t="s">
        <v>25</v>
      </c>
      <c r="H1603" s="4" t="s">
        <v>25</v>
      </c>
      <c r="I1603" s="5">
        <v>44348</v>
      </c>
      <c r="J1603" s="6">
        <v>0</v>
      </c>
      <c r="K1603" s="6">
        <v>0</v>
      </c>
      <c r="L1603" s="6">
        <v>0.89400000000000002</v>
      </c>
      <c r="M1603" s="6">
        <v>0.89400000000000002</v>
      </c>
      <c r="N1603" s="6">
        <v>0.89400000000000002</v>
      </c>
      <c r="O1603" s="6">
        <v>0.89400000000000002</v>
      </c>
      <c r="P1603" s="6">
        <v>0</v>
      </c>
      <c r="Q1603" s="4" t="s">
        <v>26</v>
      </c>
      <c r="R1603" s="4">
        <v>0</v>
      </c>
      <c r="S1603" s="6">
        <v>0</v>
      </c>
      <c r="T1603" s="6">
        <v>54</v>
      </c>
      <c r="U1603" s="6">
        <v>97</v>
      </c>
      <c r="V1603" s="6">
        <f>IF(ISERROR(VLOOKUP($S$1603,'TAR FIN'!$A$1:$O$116,15,0)),0,VLOOKUP($S$1603,'TAR FIN'!$A$1:$O$116,15,0))</f>
        <v>0</v>
      </c>
      <c r="W1603" s="6">
        <f>IF(ISERROR(VLOOKUP($T$1603,'TAR FIN'!$A$1:$O$116,15,0)),0,VLOOKUP($T$1603,'TAR FIN'!$A$1:$O$116,15,0))</f>
        <v>301.38</v>
      </c>
      <c r="X1603" s="6">
        <f>IF(ISERROR(VLOOKUP($U$1603,'TAR FIN'!$A$1:$O$116,15,0)),0,VLOOKUP($U$1603,'TAR FIN'!$A$1:$O$116,15,0))</f>
        <v>287.29000000000002</v>
      </c>
      <c r="Y1603" s="6"/>
      <c r="Z1603" s="6">
        <f ca="1">('TUSD BE'!$AM$56+'TUSD BF'!$AM$56+'TUSD CVA'!$AM$56)*(1-CUSTOS!$M$38)</f>
        <v>410.57781128100521</v>
      </c>
      <c r="AA1603" s="6">
        <f>('TE BE'!$AB$27+'TE BF'!$AB$27+'TE CVA'!$AB$27)*(1-CUSTOS!$M$38)</f>
        <v>309.85296222048811</v>
      </c>
      <c r="AB1603" s="6">
        <f>$K$1603*$V$1603</f>
        <v>0</v>
      </c>
      <c r="AC1603" s="6">
        <f>$M$1603*$W$1603</f>
        <v>269.43371999999999</v>
      </c>
      <c r="AD1603" s="6">
        <f>$O$1603*$X$1603</f>
        <v>256.83726000000001</v>
      </c>
      <c r="AE1603" s="6">
        <f>$K$1603*$Y$1603</f>
        <v>0</v>
      </c>
      <c r="AF1603" s="6">
        <f ca="1">$M$1603*$Z$1603</f>
        <v>367.05656328521866</v>
      </c>
      <c r="AG1603" s="6">
        <f>$O$1603*$AA$1603</f>
        <v>277.00854822511639</v>
      </c>
    </row>
    <row r="1604" spans="1:33" ht="11.25" customHeight="1" x14ac:dyDescent="0.25">
      <c r="A1604" s="4" t="s">
        <v>21</v>
      </c>
      <c r="B1604" s="4" t="s">
        <v>44</v>
      </c>
      <c r="C1604" s="4" t="s">
        <v>23</v>
      </c>
      <c r="D1604" s="4" t="s">
        <v>45</v>
      </c>
      <c r="E1604" s="4" t="s">
        <v>57</v>
      </c>
      <c r="F1604" s="4" t="s">
        <v>55</v>
      </c>
      <c r="G1604" s="4" t="s">
        <v>25</v>
      </c>
      <c r="H1604" s="4" t="s">
        <v>25</v>
      </c>
      <c r="I1604" s="5">
        <v>44378</v>
      </c>
      <c r="J1604" s="6">
        <v>0</v>
      </c>
      <c r="K1604" s="6">
        <v>0</v>
      </c>
      <c r="L1604" s="6">
        <v>1.3440000000000001</v>
      </c>
      <c r="M1604" s="6">
        <v>1.3440000000000001</v>
      </c>
      <c r="N1604" s="6">
        <v>1.3440000000000001</v>
      </c>
      <c r="O1604" s="6">
        <v>1.3440000000000001</v>
      </c>
      <c r="P1604" s="6">
        <v>0</v>
      </c>
      <c r="Q1604" s="4" t="s">
        <v>26</v>
      </c>
      <c r="R1604" s="4">
        <v>0</v>
      </c>
      <c r="S1604" s="6">
        <v>0</v>
      </c>
      <c r="T1604" s="6">
        <v>54</v>
      </c>
      <c r="U1604" s="6">
        <v>97</v>
      </c>
      <c r="V1604" s="6">
        <f>IF(ISERROR(VLOOKUP($S$1604,'TAR FIN'!$A$1:$O$116,15,0)),0,VLOOKUP($S$1604,'TAR FIN'!$A$1:$O$116,15,0))</f>
        <v>0</v>
      </c>
      <c r="W1604" s="6">
        <f>IF(ISERROR(VLOOKUP($T$1604,'TAR FIN'!$A$1:$O$116,15,0)),0,VLOOKUP($T$1604,'TAR FIN'!$A$1:$O$116,15,0))</f>
        <v>301.38</v>
      </c>
      <c r="X1604" s="6">
        <f>IF(ISERROR(VLOOKUP($U$1604,'TAR FIN'!$A$1:$O$116,15,0)),0,VLOOKUP($U$1604,'TAR FIN'!$A$1:$O$116,15,0))</f>
        <v>287.29000000000002</v>
      </c>
      <c r="Y1604" s="6"/>
      <c r="Z1604" s="6">
        <f ca="1">('TUSD BE'!$AM$56+'TUSD BF'!$AM$56+'TUSD CVA'!$AM$56)*(1-CUSTOS!$M$38)</f>
        <v>410.57781128100521</v>
      </c>
      <c r="AA1604" s="6">
        <f>('TE BE'!$AB$27+'TE BF'!$AB$27+'TE CVA'!$AB$27)*(1-CUSTOS!$M$38)</f>
        <v>309.85296222048811</v>
      </c>
      <c r="AB1604" s="6">
        <f>$K$1604*$V$1604</f>
        <v>0</v>
      </c>
      <c r="AC1604" s="6">
        <f>$M$1604*$W$1604</f>
        <v>405.05472000000003</v>
      </c>
      <c r="AD1604" s="6">
        <f>$O$1604*$X$1604</f>
        <v>386.11776000000003</v>
      </c>
      <c r="AE1604" s="6">
        <f>$K$1604*$Y$1604</f>
        <v>0</v>
      </c>
      <c r="AF1604" s="6">
        <f ca="1">$M$1604*$Z$1604</f>
        <v>551.81657836167108</v>
      </c>
      <c r="AG1604" s="6">
        <f>$O$1604*$AA$1604</f>
        <v>416.44238122433603</v>
      </c>
    </row>
    <row r="1605" spans="1:33" ht="11.25" customHeight="1" x14ac:dyDescent="0.25">
      <c r="A1605" s="4" t="s">
        <v>28</v>
      </c>
      <c r="B1605" s="4" t="s">
        <v>44</v>
      </c>
      <c r="C1605" s="4" t="s">
        <v>23</v>
      </c>
      <c r="D1605" s="4" t="s">
        <v>45</v>
      </c>
      <c r="E1605" s="4" t="s">
        <v>57</v>
      </c>
      <c r="F1605" s="4" t="s">
        <v>55</v>
      </c>
      <c r="G1605" s="4" t="s">
        <v>25</v>
      </c>
      <c r="H1605" s="4" t="s">
        <v>25</v>
      </c>
      <c r="I1605" s="5">
        <v>44378</v>
      </c>
      <c r="J1605" s="6">
        <v>0</v>
      </c>
      <c r="K1605" s="6">
        <v>0</v>
      </c>
      <c r="L1605" s="6">
        <v>1.2E-2</v>
      </c>
      <c r="M1605" s="6">
        <v>1.2E-2</v>
      </c>
      <c r="N1605" s="6">
        <v>1.2E-2</v>
      </c>
      <c r="O1605" s="6">
        <v>1.2E-2</v>
      </c>
      <c r="P1605" s="6">
        <v>0</v>
      </c>
      <c r="Q1605" s="4" t="s">
        <v>26</v>
      </c>
      <c r="R1605" s="4">
        <v>0</v>
      </c>
      <c r="S1605" s="6">
        <v>0</v>
      </c>
      <c r="T1605" s="6">
        <v>54</v>
      </c>
      <c r="U1605" s="6">
        <v>97</v>
      </c>
      <c r="V1605" s="6">
        <f>IF(ISERROR(VLOOKUP($S$1605,'TAR FIN'!$A$1:$O$116,15,0)),0,VLOOKUP($S$1605,'TAR FIN'!$A$1:$O$116,15,0))</f>
        <v>0</v>
      </c>
      <c r="W1605" s="6">
        <f>IF(ISERROR(VLOOKUP($T$1605,'TAR FIN'!$A$1:$O$116,15,0)),0,VLOOKUP($T$1605,'TAR FIN'!$A$1:$O$116,15,0))</f>
        <v>301.38</v>
      </c>
      <c r="X1605" s="6">
        <f>IF(ISERROR(VLOOKUP($U$1605,'TAR FIN'!$A$1:$O$116,15,0)),0,VLOOKUP($U$1605,'TAR FIN'!$A$1:$O$116,15,0))</f>
        <v>287.29000000000002</v>
      </c>
      <c r="Y1605" s="6"/>
      <c r="Z1605" s="6">
        <f ca="1">('TUSD BE'!$AM$56+'TUSD BF'!$AM$56+'TUSD CVA'!$AM$56)*(1-CUSTOS!$M$38)</f>
        <v>410.57781128100521</v>
      </c>
      <c r="AA1605" s="6">
        <f>('TE BE'!$AB$27+'TE BF'!$AB$27+'TE CVA'!$AB$27)*(1-CUSTOS!$M$38)</f>
        <v>309.85296222048811</v>
      </c>
      <c r="AB1605" s="6">
        <f>$K$1605*$V$1605</f>
        <v>0</v>
      </c>
      <c r="AC1605" s="6">
        <f>$M$1605*$W$1605</f>
        <v>3.6165600000000002</v>
      </c>
      <c r="AD1605" s="6">
        <f>$O$1605*$X$1605</f>
        <v>3.4474800000000001</v>
      </c>
      <c r="AE1605" s="6">
        <f>$K$1605*$Y$1605</f>
        <v>0</v>
      </c>
      <c r="AF1605" s="6">
        <f ca="1">$M$1605*$Z$1605</f>
        <v>4.9269337353720628</v>
      </c>
      <c r="AG1605" s="6">
        <f>$O$1605*$AA$1605</f>
        <v>3.7182355466458574</v>
      </c>
    </row>
    <row r="1606" spans="1:33" ht="11.25" customHeight="1" x14ac:dyDescent="0.25">
      <c r="A1606" s="4" t="s">
        <v>21</v>
      </c>
      <c r="B1606" s="4" t="s">
        <v>44</v>
      </c>
      <c r="C1606" s="4" t="s">
        <v>23</v>
      </c>
      <c r="D1606" s="4" t="s">
        <v>45</v>
      </c>
      <c r="E1606" s="4" t="s">
        <v>57</v>
      </c>
      <c r="F1606" s="4" t="s">
        <v>55</v>
      </c>
      <c r="G1606" s="4" t="s">
        <v>25</v>
      </c>
      <c r="H1606" s="4" t="s">
        <v>25</v>
      </c>
      <c r="I1606" s="5">
        <v>44409</v>
      </c>
      <c r="J1606" s="6">
        <v>0</v>
      </c>
      <c r="K1606" s="6">
        <v>0</v>
      </c>
      <c r="L1606" s="6">
        <v>0.55000000000000004</v>
      </c>
      <c r="M1606" s="6">
        <v>0.55000000000000004</v>
      </c>
      <c r="N1606" s="6">
        <v>0.55000000000000004</v>
      </c>
      <c r="O1606" s="6">
        <v>0.55000000000000004</v>
      </c>
      <c r="P1606" s="6">
        <v>0</v>
      </c>
      <c r="Q1606" s="4" t="s">
        <v>26</v>
      </c>
      <c r="R1606" s="4">
        <v>0</v>
      </c>
      <c r="S1606" s="6">
        <v>0</v>
      </c>
      <c r="T1606" s="6">
        <v>54</v>
      </c>
      <c r="U1606" s="6">
        <v>97</v>
      </c>
      <c r="V1606" s="6">
        <f>IF(ISERROR(VLOOKUP($S$1606,'TAR FIN'!$A$1:$O$116,15,0)),0,VLOOKUP($S$1606,'TAR FIN'!$A$1:$O$116,15,0))</f>
        <v>0</v>
      </c>
      <c r="W1606" s="6">
        <f>IF(ISERROR(VLOOKUP($T$1606,'TAR FIN'!$A$1:$O$116,15,0)),0,VLOOKUP($T$1606,'TAR FIN'!$A$1:$O$116,15,0))</f>
        <v>301.38</v>
      </c>
      <c r="X1606" s="6">
        <f>IF(ISERROR(VLOOKUP($U$1606,'TAR FIN'!$A$1:$O$116,15,0)),0,VLOOKUP($U$1606,'TAR FIN'!$A$1:$O$116,15,0))</f>
        <v>287.29000000000002</v>
      </c>
      <c r="Y1606" s="6"/>
      <c r="Z1606" s="6">
        <f ca="1">('TUSD BE'!$AM$56+'TUSD BF'!$AM$56+'TUSD CVA'!$AM$56)*(1-CUSTOS!$M$38)</f>
        <v>410.57781128100521</v>
      </c>
      <c r="AA1606" s="6">
        <f>('TE BE'!$AB$27+'TE BF'!$AB$27+'TE CVA'!$AB$27)*(1-CUSTOS!$M$38)</f>
        <v>309.85296222048811</v>
      </c>
      <c r="AB1606" s="6">
        <f>$K$1606*$V$1606</f>
        <v>0</v>
      </c>
      <c r="AC1606" s="6">
        <f>$M$1606*$W$1606</f>
        <v>165.75900000000001</v>
      </c>
      <c r="AD1606" s="6">
        <f>$O$1606*$X$1606</f>
        <v>158.00950000000003</v>
      </c>
      <c r="AE1606" s="6">
        <f>$K$1606*$Y$1606</f>
        <v>0</v>
      </c>
      <c r="AF1606" s="6">
        <f ca="1">$M$1606*$Z$1606</f>
        <v>225.81779620455288</v>
      </c>
      <c r="AG1606" s="6">
        <f>$O$1606*$AA$1606</f>
        <v>170.41912922126846</v>
      </c>
    </row>
    <row r="1607" spans="1:33" ht="11.25" customHeight="1" x14ac:dyDescent="0.25">
      <c r="A1607" s="4" t="s">
        <v>28</v>
      </c>
      <c r="B1607" s="4" t="s">
        <v>44</v>
      </c>
      <c r="C1607" s="4" t="s">
        <v>23</v>
      </c>
      <c r="D1607" s="4" t="s">
        <v>45</v>
      </c>
      <c r="E1607" s="4" t="s">
        <v>57</v>
      </c>
      <c r="F1607" s="4" t="s">
        <v>55</v>
      </c>
      <c r="G1607" s="4" t="s">
        <v>25</v>
      </c>
      <c r="H1607" s="4" t="s">
        <v>25</v>
      </c>
      <c r="I1607" s="5">
        <v>44409</v>
      </c>
      <c r="J1607" s="6">
        <v>0</v>
      </c>
      <c r="K1607" s="6">
        <v>0</v>
      </c>
      <c r="L1607" s="6">
        <v>0.16800000000000001</v>
      </c>
      <c r="M1607" s="6">
        <v>0.16800000000000001</v>
      </c>
      <c r="N1607" s="6">
        <v>0.16800000000000001</v>
      </c>
      <c r="O1607" s="6">
        <v>0.16800000000000001</v>
      </c>
      <c r="P1607" s="6">
        <v>0</v>
      </c>
      <c r="Q1607" s="4" t="s">
        <v>26</v>
      </c>
      <c r="R1607" s="4">
        <v>0</v>
      </c>
      <c r="S1607" s="6">
        <v>0</v>
      </c>
      <c r="T1607" s="6">
        <v>54</v>
      </c>
      <c r="U1607" s="6">
        <v>97</v>
      </c>
      <c r="V1607" s="6">
        <f>IF(ISERROR(VLOOKUP($S$1607,'TAR FIN'!$A$1:$O$116,15,0)),0,VLOOKUP($S$1607,'TAR FIN'!$A$1:$O$116,15,0))</f>
        <v>0</v>
      </c>
      <c r="W1607" s="6">
        <f>IF(ISERROR(VLOOKUP($T$1607,'TAR FIN'!$A$1:$O$116,15,0)),0,VLOOKUP($T$1607,'TAR FIN'!$A$1:$O$116,15,0))</f>
        <v>301.38</v>
      </c>
      <c r="X1607" s="6">
        <f>IF(ISERROR(VLOOKUP($U$1607,'TAR FIN'!$A$1:$O$116,15,0)),0,VLOOKUP($U$1607,'TAR FIN'!$A$1:$O$116,15,0))</f>
        <v>287.29000000000002</v>
      </c>
      <c r="Y1607" s="6"/>
      <c r="Z1607" s="6">
        <f ca="1">('TUSD BE'!$AM$56+'TUSD BF'!$AM$56+'TUSD CVA'!$AM$56)*(1-CUSTOS!$M$38)</f>
        <v>410.57781128100521</v>
      </c>
      <c r="AA1607" s="6">
        <f>('TE BE'!$AB$27+'TE BF'!$AB$27+'TE CVA'!$AB$27)*(1-CUSTOS!$M$38)</f>
        <v>309.85296222048811</v>
      </c>
      <c r="AB1607" s="6">
        <f>$K$1607*$V$1607</f>
        <v>0</v>
      </c>
      <c r="AC1607" s="6">
        <f>$M$1607*$W$1607</f>
        <v>50.631840000000004</v>
      </c>
      <c r="AD1607" s="6">
        <f>$O$1607*$X$1607</f>
        <v>48.264720000000004</v>
      </c>
      <c r="AE1607" s="6">
        <f>$K$1607*$Y$1607</f>
        <v>0</v>
      </c>
      <c r="AF1607" s="6">
        <f ca="1">$M$1607*$Z$1607</f>
        <v>68.977072295208885</v>
      </c>
      <c r="AG1607" s="6">
        <f>$O$1607*$AA$1607</f>
        <v>52.055297653042004</v>
      </c>
    </row>
    <row r="1608" spans="1:33" ht="11.25" customHeight="1" x14ac:dyDescent="0.25">
      <c r="A1608" s="4" t="s">
        <v>21</v>
      </c>
      <c r="B1608" s="4" t="s">
        <v>44</v>
      </c>
      <c r="C1608" s="4" t="s">
        <v>23</v>
      </c>
      <c r="D1608" s="4" t="s">
        <v>45</v>
      </c>
      <c r="E1608" s="4" t="s">
        <v>57</v>
      </c>
      <c r="F1608" s="4" t="s">
        <v>55</v>
      </c>
      <c r="G1608" s="4" t="s">
        <v>25</v>
      </c>
      <c r="H1608" s="4" t="s">
        <v>25</v>
      </c>
      <c r="I1608" s="5">
        <v>44440</v>
      </c>
      <c r="J1608" s="6">
        <v>0</v>
      </c>
      <c r="K1608" s="6">
        <v>0</v>
      </c>
      <c r="L1608" s="6">
        <v>0.90100000000000002</v>
      </c>
      <c r="M1608" s="6">
        <v>0.90100000000000002</v>
      </c>
      <c r="N1608" s="6">
        <v>0.90100000000000002</v>
      </c>
      <c r="O1608" s="6">
        <v>0.90100000000000002</v>
      </c>
      <c r="P1608" s="6">
        <v>0</v>
      </c>
      <c r="Q1608" s="4" t="s">
        <v>26</v>
      </c>
      <c r="R1608" s="4">
        <v>0</v>
      </c>
      <c r="S1608" s="6">
        <v>0</v>
      </c>
      <c r="T1608" s="6">
        <v>54</v>
      </c>
      <c r="U1608" s="6">
        <v>97</v>
      </c>
      <c r="V1608" s="6">
        <f>IF(ISERROR(VLOOKUP($S$1608,'TAR FIN'!$A$1:$O$116,15,0)),0,VLOOKUP($S$1608,'TAR FIN'!$A$1:$O$116,15,0))</f>
        <v>0</v>
      </c>
      <c r="W1608" s="6">
        <f>IF(ISERROR(VLOOKUP($T$1608,'TAR FIN'!$A$1:$O$116,15,0)),0,VLOOKUP($T$1608,'TAR FIN'!$A$1:$O$116,15,0))</f>
        <v>301.38</v>
      </c>
      <c r="X1608" s="6">
        <f>IF(ISERROR(VLOOKUP($U$1608,'TAR FIN'!$A$1:$O$116,15,0)),0,VLOOKUP($U$1608,'TAR FIN'!$A$1:$O$116,15,0))</f>
        <v>287.29000000000002</v>
      </c>
      <c r="Y1608" s="6"/>
      <c r="Z1608" s="6">
        <f ca="1">('TUSD BE'!$AM$56+'TUSD BF'!$AM$56+'TUSD CVA'!$AM$56)*(1-CUSTOS!$M$38)</f>
        <v>410.57781128100521</v>
      </c>
      <c r="AA1608" s="6">
        <f>('TE BE'!$AB$27+'TE BF'!$AB$27+'TE CVA'!$AB$27)*(1-CUSTOS!$M$38)</f>
        <v>309.85296222048811</v>
      </c>
      <c r="AB1608" s="6">
        <f>$K$1608*$V$1608</f>
        <v>0</v>
      </c>
      <c r="AC1608" s="6">
        <f>$M$1608*$W$1608</f>
        <v>271.54338000000001</v>
      </c>
      <c r="AD1608" s="6">
        <f>$O$1608*$X$1608</f>
        <v>258.84829000000002</v>
      </c>
      <c r="AE1608" s="6">
        <f>$K$1608*$Y$1608</f>
        <v>0</v>
      </c>
      <c r="AF1608" s="6">
        <f ca="1">$M$1608*$Z$1608</f>
        <v>369.9306079641857</v>
      </c>
      <c r="AG1608" s="6">
        <f>$O$1608*$AA$1608</f>
        <v>279.17751896065977</v>
      </c>
    </row>
    <row r="1609" spans="1:33" ht="11.25" customHeight="1" x14ac:dyDescent="0.25">
      <c r="A1609" s="4" t="s">
        <v>28</v>
      </c>
      <c r="B1609" s="4" t="s">
        <v>44</v>
      </c>
      <c r="C1609" s="4" t="s">
        <v>23</v>
      </c>
      <c r="D1609" s="4" t="s">
        <v>45</v>
      </c>
      <c r="E1609" s="4" t="s">
        <v>57</v>
      </c>
      <c r="F1609" s="4" t="s">
        <v>55</v>
      </c>
      <c r="G1609" s="4" t="s">
        <v>25</v>
      </c>
      <c r="H1609" s="4" t="s">
        <v>25</v>
      </c>
      <c r="I1609" s="5">
        <v>44440</v>
      </c>
      <c r="J1609" s="6">
        <v>0</v>
      </c>
      <c r="K1609" s="6">
        <v>0</v>
      </c>
      <c r="L1609" s="6">
        <v>8.4000000000000005E-2</v>
      </c>
      <c r="M1609" s="6">
        <v>8.4000000000000005E-2</v>
      </c>
      <c r="N1609" s="6">
        <v>8.4000000000000005E-2</v>
      </c>
      <c r="O1609" s="6">
        <v>8.4000000000000005E-2</v>
      </c>
      <c r="P1609" s="6">
        <v>0</v>
      </c>
      <c r="Q1609" s="4" t="s">
        <v>26</v>
      </c>
      <c r="R1609" s="4">
        <v>0</v>
      </c>
      <c r="S1609" s="6">
        <v>0</v>
      </c>
      <c r="T1609" s="6">
        <v>54</v>
      </c>
      <c r="U1609" s="6">
        <v>97</v>
      </c>
      <c r="V1609" s="6">
        <f>IF(ISERROR(VLOOKUP($S$1609,'TAR FIN'!$A$1:$O$116,15,0)),0,VLOOKUP($S$1609,'TAR FIN'!$A$1:$O$116,15,0))</f>
        <v>0</v>
      </c>
      <c r="W1609" s="6">
        <f>IF(ISERROR(VLOOKUP($T$1609,'TAR FIN'!$A$1:$O$116,15,0)),0,VLOOKUP($T$1609,'TAR FIN'!$A$1:$O$116,15,0))</f>
        <v>301.38</v>
      </c>
      <c r="X1609" s="6">
        <f>IF(ISERROR(VLOOKUP($U$1609,'TAR FIN'!$A$1:$O$116,15,0)),0,VLOOKUP($U$1609,'TAR FIN'!$A$1:$O$116,15,0))</f>
        <v>287.29000000000002</v>
      </c>
      <c r="Y1609" s="6"/>
      <c r="Z1609" s="6">
        <f ca="1">('TUSD BE'!$AM$56+'TUSD BF'!$AM$56+'TUSD CVA'!$AM$56)*(1-CUSTOS!$M$38)</f>
        <v>410.57781128100521</v>
      </c>
      <c r="AA1609" s="6">
        <f>('TE BE'!$AB$27+'TE BF'!$AB$27+'TE CVA'!$AB$27)*(1-CUSTOS!$M$38)</f>
        <v>309.85296222048811</v>
      </c>
      <c r="AB1609" s="6">
        <f>$K$1609*$V$1609</f>
        <v>0</v>
      </c>
      <c r="AC1609" s="6">
        <f>$M$1609*$W$1609</f>
        <v>25.315920000000002</v>
      </c>
      <c r="AD1609" s="6">
        <f>$O$1609*$X$1609</f>
        <v>24.132360000000002</v>
      </c>
      <c r="AE1609" s="6">
        <f>$K$1609*$Y$1609</f>
        <v>0</v>
      </c>
      <c r="AF1609" s="6">
        <f ca="1">$M$1609*$Z$1609</f>
        <v>34.488536147604442</v>
      </c>
      <c r="AG1609" s="6">
        <f>$O$1609*$AA$1609</f>
        <v>26.027648826521002</v>
      </c>
    </row>
    <row r="1610" spans="1:33" ht="11.25" customHeight="1" x14ac:dyDescent="0.25">
      <c r="A1610" s="4" t="s">
        <v>21</v>
      </c>
      <c r="B1610" s="4" t="s">
        <v>44</v>
      </c>
      <c r="C1610" s="4" t="s">
        <v>23</v>
      </c>
      <c r="D1610" s="4" t="s">
        <v>45</v>
      </c>
      <c r="E1610" s="4" t="s">
        <v>57</v>
      </c>
      <c r="F1610" s="4" t="s">
        <v>55</v>
      </c>
      <c r="G1610" s="4" t="s">
        <v>25</v>
      </c>
      <c r="H1610" s="4" t="s">
        <v>25</v>
      </c>
      <c r="I1610" s="5">
        <v>44470</v>
      </c>
      <c r="J1610" s="6">
        <v>0</v>
      </c>
      <c r="K1610" s="6">
        <v>0</v>
      </c>
      <c r="L1610" s="6">
        <v>0.54900000000000004</v>
      </c>
      <c r="M1610" s="6">
        <v>0.54900000000000004</v>
      </c>
      <c r="N1610" s="6">
        <v>0.54900000000000004</v>
      </c>
      <c r="O1610" s="6">
        <v>0.54900000000000004</v>
      </c>
      <c r="P1610" s="6">
        <v>0</v>
      </c>
      <c r="Q1610" s="4" t="s">
        <v>26</v>
      </c>
      <c r="R1610" s="4">
        <v>0</v>
      </c>
      <c r="S1610" s="6">
        <v>0</v>
      </c>
      <c r="T1610" s="6">
        <v>54</v>
      </c>
      <c r="U1610" s="6">
        <v>97</v>
      </c>
      <c r="V1610" s="6">
        <f>IF(ISERROR(VLOOKUP($S$1610,'TAR FIN'!$A$1:$O$116,15,0)),0,VLOOKUP($S$1610,'TAR FIN'!$A$1:$O$116,15,0))</f>
        <v>0</v>
      </c>
      <c r="W1610" s="6">
        <f>IF(ISERROR(VLOOKUP($T$1610,'TAR FIN'!$A$1:$O$116,15,0)),0,VLOOKUP($T$1610,'TAR FIN'!$A$1:$O$116,15,0))</f>
        <v>301.38</v>
      </c>
      <c r="X1610" s="6">
        <f>IF(ISERROR(VLOOKUP($U$1610,'TAR FIN'!$A$1:$O$116,15,0)),0,VLOOKUP($U$1610,'TAR FIN'!$A$1:$O$116,15,0))</f>
        <v>287.29000000000002</v>
      </c>
      <c r="Y1610" s="6"/>
      <c r="Z1610" s="6">
        <f ca="1">('TUSD BE'!$AM$56+'TUSD BF'!$AM$56+'TUSD CVA'!$AM$56)*(1-CUSTOS!$M$38)</f>
        <v>410.57781128100521</v>
      </c>
      <c r="AA1610" s="6">
        <f>('TE BE'!$AB$27+'TE BF'!$AB$27+'TE CVA'!$AB$27)*(1-CUSTOS!$M$38)</f>
        <v>309.85296222048811</v>
      </c>
      <c r="AB1610" s="6">
        <f>$K$1610*$V$1610</f>
        <v>0</v>
      </c>
      <c r="AC1610" s="6">
        <f>$M$1610*$W$1610</f>
        <v>165.45762000000002</v>
      </c>
      <c r="AD1610" s="6">
        <f>$O$1610*$X$1610</f>
        <v>157.72221000000002</v>
      </c>
      <c r="AE1610" s="6">
        <f>$K$1610*$Y$1610</f>
        <v>0</v>
      </c>
      <c r="AF1610" s="6">
        <f ca="1">$M$1610*$Z$1610</f>
        <v>225.40721839327188</v>
      </c>
      <c r="AG1610" s="6">
        <f>$O$1610*$AA$1610</f>
        <v>170.10927625904799</v>
      </c>
    </row>
    <row r="1611" spans="1:33" ht="11.25" customHeight="1" x14ac:dyDescent="0.25">
      <c r="A1611" s="4" t="s">
        <v>28</v>
      </c>
      <c r="B1611" s="4" t="s">
        <v>44</v>
      </c>
      <c r="C1611" s="4" t="s">
        <v>23</v>
      </c>
      <c r="D1611" s="4" t="s">
        <v>45</v>
      </c>
      <c r="E1611" s="4" t="s">
        <v>57</v>
      </c>
      <c r="F1611" s="4" t="s">
        <v>55</v>
      </c>
      <c r="G1611" s="4" t="s">
        <v>25</v>
      </c>
      <c r="H1611" s="4" t="s">
        <v>25</v>
      </c>
      <c r="I1611" s="5">
        <v>44470</v>
      </c>
      <c r="J1611" s="6">
        <v>0</v>
      </c>
      <c r="K1611" s="6">
        <v>0</v>
      </c>
      <c r="L1611" s="6">
        <v>5.8000000000000003E-2</v>
      </c>
      <c r="M1611" s="6">
        <v>5.8000000000000003E-2</v>
      </c>
      <c r="N1611" s="6">
        <v>5.8000000000000003E-2</v>
      </c>
      <c r="O1611" s="6">
        <v>5.8000000000000003E-2</v>
      </c>
      <c r="P1611" s="6">
        <v>0</v>
      </c>
      <c r="Q1611" s="4" t="s">
        <v>26</v>
      </c>
      <c r="R1611" s="4">
        <v>0</v>
      </c>
      <c r="S1611" s="6">
        <v>0</v>
      </c>
      <c r="T1611" s="6">
        <v>54</v>
      </c>
      <c r="U1611" s="6">
        <v>97</v>
      </c>
      <c r="V1611" s="6">
        <f>IF(ISERROR(VLOOKUP($S$1611,'TAR FIN'!$A$1:$O$116,15,0)),0,VLOOKUP($S$1611,'TAR FIN'!$A$1:$O$116,15,0))</f>
        <v>0</v>
      </c>
      <c r="W1611" s="6">
        <f>IF(ISERROR(VLOOKUP($T$1611,'TAR FIN'!$A$1:$O$116,15,0)),0,VLOOKUP($T$1611,'TAR FIN'!$A$1:$O$116,15,0))</f>
        <v>301.38</v>
      </c>
      <c r="X1611" s="6">
        <f>IF(ISERROR(VLOOKUP($U$1611,'TAR FIN'!$A$1:$O$116,15,0)),0,VLOOKUP($U$1611,'TAR FIN'!$A$1:$O$116,15,0))</f>
        <v>287.29000000000002</v>
      </c>
      <c r="Y1611" s="6"/>
      <c r="Z1611" s="6">
        <f ca="1">('TUSD BE'!$AM$56+'TUSD BF'!$AM$56+'TUSD CVA'!$AM$56)*(1-CUSTOS!$M$38)</f>
        <v>410.57781128100521</v>
      </c>
      <c r="AA1611" s="6">
        <f>('TE BE'!$AB$27+'TE BF'!$AB$27+'TE CVA'!$AB$27)*(1-CUSTOS!$M$38)</f>
        <v>309.85296222048811</v>
      </c>
      <c r="AB1611" s="6">
        <f>$K$1611*$V$1611</f>
        <v>0</v>
      </c>
      <c r="AC1611" s="6">
        <f>$M$1611*$W$1611</f>
        <v>17.480039999999999</v>
      </c>
      <c r="AD1611" s="6">
        <f>$O$1611*$X$1611</f>
        <v>16.662820000000004</v>
      </c>
      <c r="AE1611" s="6">
        <f>$K$1611*$Y$1611</f>
        <v>0</v>
      </c>
      <c r="AF1611" s="6">
        <f ca="1">$M$1611*$Z$1611</f>
        <v>23.813513054298305</v>
      </c>
      <c r="AG1611" s="6">
        <f>$O$1611*$AA$1611</f>
        <v>17.971471808788312</v>
      </c>
    </row>
    <row r="1612" spans="1:33" ht="11.25" customHeight="1" x14ac:dyDescent="0.25">
      <c r="A1612" s="4" t="s">
        <v>21</v>
      </c>
      <c r="B1612" s="4" t="s">
        <v>44</v>
      </c>
      <c r="C1612" s="4" t="s">
        <v>23</v>
      </c>
      <c r="D1612" s="4" t="s">
        <v>45</v>
      </c>
      <c r="E1612" s="4" t="s">
        <v>57</v>
      </c>
      <c r="F1612" s="4" t="s">
        <v>55</v>
      </c>
      <c r="G1612" s="4" t="s">
        <v>25</v>
      </c>
      <c r="H1612" s="4" t="s">
        <v>25</v>
      </c>
      <c r="I1612" s="5">
        <v>44501</v>
      </c>
      <c r="J1612" s="6">
        <v>0</v>
      </c>
      <c r="K1612" s="6">
        <v>0</v>
      </c>
      <c r="L1612" s="6">
        <v>1.3979999999999999</v>
      </c>
      <c r="M1612" s="6">
        <v>1.3979999999999999</v>
      </c>
      <c r="N1612" s="6">
        <v>1.3979999999999999</v>
      </c>
      <c r="O1612" s="6">
        <v>1.3979999999999999</v>
      </c>
      <c r="P1612" s="6">
        <v>0</v>
      </c>
      <c r="Q1612" s="4" t="s">
        <v>26</v>
      </c>
      <c r="R1612" s="4">
        <v>0</v>
      </c>
      <c r="S1612" s="6">
        <v>0</v>
      </c>
      <c r="T1612" s="6">
        <v>54</v>
      </c>
      <c r="U1612" s="6">
        <v>97</v>
      </c>
      <c r="V1612" s="6">
        <f>IF(ISERROR(VLOOKUP($S$1612,'TAR FIN'!$A$1:$O$116,15,0)),0,VLOOKUP($S$1612,'TAR FIN'!$A$1:$O$116,15,0))</f>
        <v>0</v>
      </c>
      <c r="W1612" s="6">
        <f>IF(ISERROR(VLOOKUP($T$1612,'TAR FIN'!$A$1:$O$116,15,0)),0,VLOOKUP($T$1612,'TAR FIN'!$A$1:$O$116,15,0))</f>
        <v>301.38</v>
      </c>
      <c r="X1612" s="6">
        <f>IF(ISERROR(VLOOKUP($U$1612,'TAR FIN'!$A$1:$O$116,15,0)),0,VLOOKUP($U$1612,'TAR FIN'!$A$1:$O$116,15,0))</f>
        <v>287.29000000000002</v>
      </c>
      <c r="Y1612" s="6"/>
      <c r="Z1612" s="6">
        <f ca="1">('TUSD BE'!$AM$56+'TUSD BF'!$AM$56+'TUSD CVA'!$AM$56)*(1-CUSTOS!$M$38)</f>
        <v>410.57781128100521</v>
      </c>
      <c r="AA1612" s="6">
        <f>('TE BE'!$AB$27+'TE BF'!$AB$27+'TE CVA'!$AB$27)*(1-CUSTOS!$M$38)</f>
        <v>309.85296222048811</v>
      </c>
      <c r="AB1612" s="6">
        <f>$K$1612*$V$1612</f>
        <v>0</v>
      </c>
      <c r="AC1612" s="6">
        <f>$M$1612*$W$1612</f>
        <v>421.32923999999997</v>
      </c>
      <c r="AD1612" s="6">
        <f>$O$1612*$X$1612</f>
        <v>401.63141999999999</v>
      </c>
      <c r="AE1612" s="6">
        <f>$K$1612*$Y$1612</f>
        <v>0</v>
      </c>
      <c r="AF1612" s="6">
        <f ca="1">$M$1612*$Z$1612</f>
        <v>573.98778017084521</v>
      </c>
      <c r="AG1612" s="6">
        <f>$O$1612*$AA$1612</f>
        <v>433.17444118424237</v>
      </c>
    </row>
    <row r="1613" spans="1:33" ht="11.25" customHeight="1" x14ac:dyDescent="0.25">
      <c r="A1613" s="4" t="s">
        <v>28</v>
      </c>
      <c r="B1613" s="4" t="s">
        <v>44</v>
      </c>
      <c r="C1613" s="4" t="s">
        <v>23</v>
      </c>
      <c r="D1613" s="4" t="s">
        <v>45</v>
      </c>
      <c r="E1613" s="4" t="s">
        <v>57</v>
      </c>
      <c r="F1613" s="4" t="s">
        <v>55</v>
      </c>
      <c r="G1613" s="4" t="s">
        <v>25</v>
      </c>
      <c r="H1613" s="4" t="s">
        <v>25</v>
      </c>
      <c r="I1613" s="5">
        <v>44501</v>
      </c>
      <c r="J1613" s="6">
        <v>0</v>
      </c>
      <c r="K1613" s="6">
        <v>0</v>
      </c>
      <c r="L1613" s="6">
        <v>0.02</v>
      </c>
      <c r="M1613" s="6">
        <v>0.02</v>
      </c>
      <c r="N1613" s="6">
        <v>0.02</v>
      </c>
      <c r="O1613" s="6">
        <v>0.02</v>
      </c>
      <c r="P1613" s="6">
        <v>0</v>
      </c>
      <c r="Q1613" s="4" t="s">
        <v>26</v>
      </c>
      <c r="R1613" s="4">
        <v>0</v>
      </c>
      <c r="S1613" s="6">
        <v>0</v>
      </c>
      <c r="T1613" s="6">
        <v>54</v>
      </c>
      <c r="U1613" s="6">
        <v>97</v>
      </c>
      <c r="V1613" s="6">
        <f>IF(ISERROR(VLOOKUP($S$1613,'TAR FIN'!$A$1:$O$116,15,0)),0,VLOOKUP($S$1613,'TAR FIN'!$A$1:$O$116,15,0))</f>
        <v>0</v>
      </c>
      <c r="W1613" s="6">
        <f>IF(ISERROR(VLOOKUP($T$1613,'TAR FIN'!$A$1:$O$116,15,0)),0,VLOOKUP($T$1613,'TAR FIN'!$A$1:$O$116,15,0))</f>
        <v>301.38</v>
      </c>
      <c r="X1613" s="6">
        <f>IF(ISERROR(VLOOKUP($U$1613,'TAR FIN'!$A$1:$O$116,15,0)),0,VLOOKUP($U$1613,'TAR FIN'!$A$1:$O$116,15,0))</f>
        <v>287.29000000000002</v>
      </c>
      <c r="Y1613" s="6"/>
      <c r="Z1613" s="6">
        <f ca="1">('TUSD BE'!$AM$56+'TUSD BF'!$AM$56+'TUSD CVA'!$AM$56)*(1-CUSTOS!$M$38)</f>
        <v>410.57781128100521</v>
      </c>
      <c r="AA1613" s="6">
        <f>('TE BE'!$AB$27+'TE BF'!$AB$27+'TE CVA'!$AB$27)*(1-CUSTOS!$M$38)</f>
        <v>309.85296222048811</v>
      </c>
      <c r="AB1613" s="6">
        <f>$K$1613*$V$1613</f>
        <v>0</v>
      </c>
      <c r="AC1613" s="6">
        <f>$M$1613*$W$1613</f>
        <v>6.0275999999999996</v>
      </c>
      <c r="AD1613" s="6">
        <f>$O$1613*$X$1613</f>
        <v>5.7458000000000009</v>
      </c>
      <c r="AE1613" s="6">
        <f>$K$1613*$Y$1613</f>
        <v>0</v>
      </c>
      <c r="AF1613" s="6">
        <f ca="1">$M$1613*$Z$1613</f>
        <v>8.2115562256201038</v>
      </c>
      <c r="AG1613" s="6">
        <f>$O$1613*$AA$1613</f>
        <v>6.1970592444097621</v>
      </c>
    </row>
    <row r="1614" spans="1:33" ht="11.25" customHeight="1" x14ac:dyDescent="0.25">
      <c r="A1614" s="4" t="s">
        <v>21</v>
      </c>
      <c r="B1614" s="4" t="s">
        <v>44</v>
      </c>
      <c r="C1614" s="4" t="s">
        <v>23</v>
      </c>
      <c r="D1614" s="4" t="s">
        <v>45</v>
      </c>
      <c r="E1614" s="4" t="s">
        <v>57</v>
      </c>
      <c r="F1614" s="4" t="s">
        <v>55</v>
      </c>
      <c r="G1614" s="4" t="s">
        <v>25</v>
      </c>
      <c r="H1614" s="4" t="s">
        <v>25</v>
      </c>
      <c r="I1614" s="5">
        <v>44531</v>
      </c>
      <c r="J1614" s="6">
        <v>0</v>
      </c>
      <c r="K1614" s="6">
        <v>0</v>
      </c>
      <c r="L1614" s="6">
        <v>0.75800000000000001</v>
      </c>
      <c r="M1614" s="6">
        <v>0.75800000000000001</v>
      </c>
      <c r="N1614" s="6">
        <v>0.75800000000000001</v>
      </c>
      <c r="O1614" s="6">
        <v>0.75800000000000001</v>
      </c>
      <c r="P1614" s="6">
        <v>0</v>
      </c>
      <c r="Q1614" s="4" t="s">
        <v>26</v>
      </c>
      <c r="R1614" s="4">
        <v>0</v>
      </c>
      <c r="S1614" s="6">
        <v>0</v>
      </c>
      <c r="T1614" s="6">
        <v>54</v>
      </c>
      <c r="U1614" s="6">
        <v>97</v>
      </c>
      <c r="V1614" s="6">
        <f>IF(ISERROR(VLOOKUP($S$1614,'TAR FIN'!$A$1:$O$116,15,0)),0,VLOOKUP($S$1614,'TAR FIN'!$A$1:$O$116,15,0))</f>
        <v>0</v>
      </c>
      <c r="W1614" s="6">
        <f>IF(ISERROR(VLOOKUP($T$1614,'TAR FIN'!$A$1:$O$116,15,0)),0,VLOOKUP($T$1614,'TAR FIN'!$A$1:$O$116,15,0))</f>
        <v>301.38</v>
      </c>
      <c r="X1614" s="6">
        <f>IF(ISERROR(VLOOKUP($U$1614,'TAR FIN'!$A$1:$O$116,15,0)),0,VLOOKUP($U$1614,'TAR FIN'!$A$1:$O$116,15,0))</f>
        <v>287.29000000000002</v>
      </c>
      <c r="Y1614" s="6"/>
      <c r="Z1614" s="6">
        <f ca="1">('TUSD BE'!$AM$56+'TUSD BF'!$AM$56+'TUSD CVA'!$AM$56)*(1-CUSTOS!$M$38)</f>
        <v>410.57781128100521</v>
      </c>
      <c r="AA1614" s="6">
        <f>('TE BE'!$AB$27+'TE BF'!$AB$27+'TE CVA'!$AB$27)*(1-CUSTOS!$M$38)</f>
        <v>309.85296222048811</v>
      </c>
      <c r="AB1614" s="6">
        <f>$K$1614*$V$1614</f>
        <v>0</v>
      </c>
      <c r="AC1614" s="6">
        <f>$M$1614*$W$1614</f>
        <v>228.44604000000001</v>
      </c>
      <c r="AD1614" s="6">
        <f>$O$1614*$X$1614</f>
        <v>217.76582000000002</v>
      </c>
      <c r="AE1614" s="6">
        <f>$K$1614*$Y$1614</f>
        <v>0</v>
      </c>
      <c r="AF1614" s="6">
        <f ca="1">$M$1614*$Z$1614</f>
        <v>311.21798095100195</v>
      </c>
      <c r="AG1614" s="6">
        <f>$O$1614*$AA$1614</f>
        <v>234.86854536312998</v>
      </c>
    </row>
    <row r="1615" spans="1:33" ht="11.25" customHeight="1" x14ac:dyDescent="0.25">
      <c r="A1615" s="4" t="s">
        <v>28</v>
      </c>
      <c r="B1615" s="4" t="s">
        <v>44</v>
      </c>
      <c r="C1615" s="4" t="s">
        <v>23</v>
      </c>
      <c r="D1615" s="4" t="s">
        <v>45</v>
      </c>
      <c r="E1615" s="4" t="s">
        <v>57</v>
      </c>
      <c r="F1615" s="4" t="s">
        <v>55</v>
      </c>
      <c r="G1615" s="4" t="s">
        <v>25</v>
      </c>
      <c r="H1615" s="4" t="s">
        <v>25</v>
      </c>
      <c r="I1615" s="5">
        <v>44531</v>
      </c>
      <c r="J1615" s="6">
        <v>0</v>
      </c>
      <c r="K1615" s="6">
        <v>0</v>
      </c>
      <c r="L1615" s="6">
        <v>1.0209999999999999</v>
      </c>
      <c r="M1615" s="6">
        <v>1.0209999999999999</v>
      </c>
      <c r="N1615" s="6">
        <v>1.0209999999999999</v>
      </c>
      <c r="O1615" s="6">
        <v>1.0209999999999999</v>
      </c>
      <c r="P1615" s="6">
        <v>0</v>
      </c>
      <c r="Q1615" s="4" t="s">
        <v>26</v>
      </c>
      <c r="R1615" s="4">
        <v>0</v>
      </c>
      <c r="S1615" s="6">
        <v>0</v>
      </c>
      <c r="T1615" s="6">
        <v>54</v>
      </c>
      <c r="U1615" s="6">
        <v>97</v>
      </c>
      <c r="V1615" s="6">
        <f>IF(ISERROR(VLOOKUP($S$1615,'TAR FIN'!$A$1:$O$116,15,0)),0,VLOOKUP($S$1615,'TAR FIN'!$A$1:$O$116,15,0))</f>
        <v>0</v>
      </c>
      <c r="W1615" s="6">
        <f>IF(ISERROR(VLOOKUP($T$1615,'TAR FIN'!$A$1:$O$116,15,0)),0,VLOOKUP($T$1615,'TAR FIN'!$A$1:$O$116,15,0))</f>
        <v>301.38</v>
      </c>
      <c r="X1615" s="6">
        <f>IF(ISERROR(VLOOKUP($U$1615,'TAR FIN'!$A$1:$O$116,15,0)),0,VLOOKUP($U$1615,'TAR FIN'!$A$1:$O$116,15,0))</f>
        <v>287.29000000000002</v>
      </c>
      <c r="Y1615" s="6"/>
      <c r="Z1615" s="6">
        <f ca="1">('TUSD BE'!$AM$56+'TUSD BF'!$AM$56+'TUSD CVA'!$AM$56)*(1-CUSTOS!$M$38)</f>
        <v>410.57781128100521</v>
      </c>
      <c r="AA1615" s="6">
        <f>('TE BE'!$AB$27+'TE BF'!$AB$27+'TE CVA'!$AB$27)*(1-CUSTOS!$M$38)</f>
        <v>309.85296222048811</v>
      </c>
      <c r="AB1615" s="6">
        <f>$K$1615*$V$1615</f>
        <v>0</v>
      </c>
      <c r="AC1615" s="6">
        <f>$M$1615*$W$1615</f>
        <v>307.70897999999994</v>
      </c>
      <c r="AD1615" s="6">
        <f>$O$1615*$X$1615</f>
        <v>293.32308999999998</v>
      </c>
      <c r="AE1615" s="6">
        <f>$K$1615*$Y$1615</f>
        <v>0</v>
      </c>
      <c r="AF1615" s="6">
        <f ca="1">$M$1615*$Z$1615</f>
        <v>419.19994531790627</v>
      </c>
      <c r="AG1615" s="6">
        <f>$O$1615*$AA$1615</f>
        <v>316.35987442711831</v>
      </c>
    </row>
    <row r="1616" spans="1:33" ht="11.25" customHeight="1" x14ac:dyDescent="0.25">
      <c r="A1616" s="4" t="s">
        <v>21</v>
      </c>
      <c r="B1616" s="4" t="s">
        <v>44</v>
      </c>
      <c r="C1616" s="4" t="s">
        <v>23</v>
      </c>
      <c r="D1616" s="4" t="s">
        <v>45</v>
      </c>
      <c r="E1616" s="4" t="s">
        <v>57</v>
      </c>
      <c r="F1616" s="4" t="s">
        <v>55</v>
      </c>
      <c r="G1616" s="4" t="s">
        <v>25</v>
      </c>
      <c r="H1616" s="4" t="s">
        <v>25</v>
      </c>
      <c r="I1616" s="5">
        <v>44562</v>
      </c>
      <c r="J1616" s="6">
        <v>0</v>
      </c>
      <c r="K1616" s="6">
        <v>0</v>
      </c>
      <c r="L1616" s="6">
        <v>1.95</v>
      </c>
      <c r="M1616" s="6">
        <v>1.95</v>
      </c>
      <c r="N1616" s="6">
        <v>1.95</v>
      </c>
      <c r="O1616" s="6">
        <v>1.95</v>
      </c>
      <c r="P1616" s="6">
        <v>0</v>
      </c>
      <c r="Q1616" s="4" t="s">
        <v>26</v>
      </c>
      <c r="R1616" s="4">
        <v>0</v>
      </c>
      <c r="S1616" s="6">
        <v>0</v>
      </c>
      <c r="T1616" s="6">
        <v>54</v>
      </c>
      <c r="U1616" s="6">
        <v>97</v>
      </c>
      <c r="V1616" s="6">
        <f>IF(ISERROR(VLOOKUP($S$1616,'TAR FIN'!$A$1:$O$116,15,0)),0,VLOOKUP($S$1616,'TAR FIN'!$A$1:$O$116,15,0))</f>
        <v>0</v>
      </c>
      <c r="W1616" s="6">
        <f>IF(ISERROR(VLOOKUP($T$1616,'TAR FIN'!$A$1:$O$116,15,0)),0,VLOOKUP($T$1616,'TAR FIN'!$A$1:$O$116,15,0))</f>
        <v>301.38</v>
      </c>
      <c r="X1616" s="6">
        <f>IF(ISERROR(VLOOKUP($U$1616,'TAR FIN'!$A$1:$O$116,15,0)),0,VLOOKUP($U$1616,'TAR FIN'!$A$1:$O$116,15,0))</f>
        <v>287.29000000000002</v>
      </c>
      <c r="Y1616" s="6"/>
      <c r="Z1616" s="6">
        <f ca="1">('TUSD BE'!$AM$56+'TUSD BF'!$AM$56+'TUSD CVA'!$AM$56)*(1-CUSTOS!$M$38)</f>
        <v>410.57781128100521</v>
      </c>
      <c r="AA1616" s="6">
        <f>('TE BE'!$AB$27+'TE BF'!$AB$27+'TE CVA'!$AB$27)*(1-CUSTOS!$M$38)</f>
        <v>309.85296222048811</v>
      </c>
      <c r="AB1616" s="6">
        <f>$K$1616*$V$1616</f>
        <v>0</v>
      </c>
      <c r="AC1616" s="6">
        <f>$M$1616*$W$1616</f>
        <v>587.69100000000003</v>
      </c>
      <c r="AD1616" s="6">
        <f>$O$1616*$X$1616</f>
        <v>560.21550000000002</v>
      </c>
      <c r="AE1616" s="6">
        <f>$K$1616*$Y$1616</f>
        <v>0</v>
      </c>
      <c r="AF1616" s="6">
        <f ca="1">$M$1616*$Z$1616</f>
        <v>800.62673199796018</v>
      </c>
      <c r="AG1616" s="6">
        <f>$O$1616*$AA$1616</f>
        <v>604.21327632995178</v>
      </c>
    </row>
    <row r="1617" spans="1:33" ht="11.25" customHeight="1" x14ac:dyDescent="0.25">
      <c r="A1617" s="4" t="s">
        <v>28</v>
      </c>
      <c r="B1617" s="4" t="s">
        <v>44</v>
      </c>
      <c r="C1617" s="4" t="s">
        <v>23</v>
      </c>
      <c r="D1617" s="4" t="s">
        <v>45</v>
      </c>
      <c r="E1617" s="4" t="s">
        <v>57</v>
      </c>
      <c r="F1617" s="4" t="s">
        <v>55</v>
      </c>
      <c r="G1617" s="4" t="s">
        <v>25</v>
      </c>
      <c r="H1617" s="4" t="s">
        <v>25</v>
      </c>
      <c r="I1617" s="5">
        <v>44562</v>
      </c>
      <c r="J1617" s="6">
        <v>0</v>
      </c>
      <c r="K1617" s="6">
        <v>0</v>
      </c>
      <c r="L1617" s="6">
        <v>2.1999999999999999E-2</v>
      </c>
      <c r="M1617" s="6">
        <v>2.1999999999999999E-2</v>
      </c>
      <c r="N1617" s="6">
        <v>2.1999999999999999E-2</v>
      </c>
      <c r="O1617" s="6">
        <v>2.1999999999999999E-2</v>
      </c>
      <c r="P1617" s="6">
        <v>0</v>
      </c>
      <c r="Q1617" s="4" t="s">
        <v>26</v>
      </c>
      <c r="R1617" s="4">
        <v>0</v>
      </c>
      <c r="S1617" s="6">
        <v>0</v>
      </c>
      <c r="T1617" s="6">
        <v>54</v>
      </c>
      <c r="U1617" s="6">
        <v>97</v>
      </c>
      <c r="V1617" s="6">
        <f>IF(ISERROR(VLOOKUP($S$1617,'TAR FIN'!$A$1:$O$116,15,0)),0,VLOOKUP($S$1617,'TAR FIN'!$A$1:$O$116,15,0))</f>
        <v>0</v>
      </c>
      <c r="W1617" s="6">
        <f>IF(ISERROR(VLOOKUP($T$1617,'TAR FIN'!$A$1:$O$116,15,0)),0,VLOOKUP($T$1617,'TAR FIN'!$A$1:$O$116,15,0))</f>
        <v>301.38</v>
      </c>
      <c r="X1617" s="6">
        <f>IF(ISERROR(VLOOKUP($U$1617,'TAR FIN'!$A$1:$O$116,15,0)),0,VLOOKUP($U$1617,'TAR FIN'!$A$1:$O$116,15,0))</f>
        <v>287.29000000000002</v>
      </c>
      <c r="Y1617" s="6"/>
      <c r="Z1617" s="6">
        <f ca="1">('TUSD BE'!$AM$56+'TUSD BF'!$AM$56+'TUSD CVA'!$AM$56)*(1-CUSTOS!$M$38)</f>
        <v>410.57781128100521</v>
      </c>
      <c r="AA1617" s="6">
        <f>('TE BE'!$AB$27+'TE BF'!$AB$27+'TE CVA'!$AB$27)*(1-CUSTOS!$M$38)</f>
        <v>309.85296222048811</v>
      </c>
      <c r="AB1617" s="6">
        <f>$K$1617*$V$1617</f>
        <v>0</v>
      </c>
      <c r="AC1617" s="6">
        <f>$M$1617*$W$1617</f>
        <v>6.6303599999999996</v>
      </c>
      <c r="AD1617" s="6">
        <f>$O$1617*$X$1617</f>
        <v>6.3203800000000001</v>
      </c>
      <c r="AE1617" s="6">
        <f>$K$1617*$Y$1617</f>
        <v>0</v>
      </c>
      <c r="AF1617" s="6">
        <f ca="1">$M$1617*$Z$1617</f>
        <v>9.0327118481821138</v>
      </c>
      <c r="AG1617" s="6">
        <f>$O$1617*$AA$1617</f>
        <v>6.816765168850738</v>
      </c>
    </row>
    <row r="1618" spans="1:33" ht="11.25" customHeight="1" x14ac:dyDescent="0.25">
      <c r="A1618" s="4" t="s">
        <v>21</v>
      </c>
      <c r="B1618" s="4" t="s">
        <v>44</v>
      </c>
      <c r="C1618" s="4" t="s">
        <v>23</v>
      </c>
      <c r="D1618" s="4" t="s">
        <v>45</v>
      </c>
      <c r="E1618" s="4" t="s">
        <v>57</v>
      </c>
      <c r="F1618" s="4" t="s">
        <v>55</v>
      </c>
      <c r="G1618" s="4" t="s">
        <v>25</v>
      </c>
      <c r="H1618" s="4" t="s">
        <v>25</v>
      </c>
      <c r="I1618" s="5">
        <v>44593</v>
      </c>
      <c r="J1618" s="6">
        <v>0</v>
      </c>
      <c r="K1618" s="6">
        <v>0</v>
      </c>
      <c r="L1618" s="6">
        <v>0.81399999999999995</v>
      </c>
      <c r="M1618" s="6">
        <v>0.81399999999999995</v>
      </c>
      <c r="N1618" s="6">
        <v>0.81399999999999995</v>
      </c>
      <c r="O1618" s="6">
        <v>0.81399999999999995</v>
      </c>
      <c r="P1618" s="6">
        <v>0</v>
      </c>
      <c r="Q1618" s="4" t="s">
        <v>26</v>
      </c>
      <c r="R1618" s="4">
        <v>0</v>
      </c>
      <c r="S1618" s="6">
        <v>0</v>
      </c>
      <c r="T1618" s="6">
        <v>54</v>
      </c>
      <c r="U1618" s="6">
        <v>97</v>
      </c>
      <c r="V1618" s="6">
        <f>IF(ISERROR(VLOOKUP($S$1618,'TAR FIN'!$A$1:$O$116,15,0)),0,VLOOKUP($S$1618,'TAR FIN'!$A$1:$O$116,15,0))</f>
        <v>0</v>
      </c>
      <c r="W1618" s="6">
        <f>IF(ISERROR(VLOOKUP($T$1618,'TAR FIN'!$A$1:$O$116,15,0)),0,VLOOKUP($T$1618,'TAR FIN'!$A$1:$O$116,15,0))</f>
        <v>301.38</v>
      </c>
      <c r="X1618" s="6">
        <f>IF(ISERROR(VLOOKUP($U$1618,'TAR FIN'!$A$1:$O$116,15,0)),0,VLOOKUP($U$1618,'TAR FIN'!$A$1:$O$116,15,0))</f>
        <v>287.29000000000002</v>
      </c>
      <c r="Y1618" s="6"/>
      <c r="Z1618" s="6">
        <f ca="1">('TUSD BE'!$AM$56+'TUSD BF'!$AM$56+'TUSD CVA'!$AM$56)*(1-CUSTOS!$M$38)</f>
        <v>410.57781128100521</v>
      </c>
      <c r="AA1618" s="6">
        <f>('TE BE'!$AB$27+'TE BF'!$AB$27+'TE CVA'!$AB$27)*(1-CUSTOS!$M$38)</f>
        <v>309.85296222048811</v>
      </c>
      <c r="AB1618" s="6">
        <f>$K$1618*$V$1618</f>
        <v>0</v>
      </c>
      <c r="AC1618" s="6">
        <f>$M$1618*$W$1618</f>
        <v>245.32331999999997</v>
      </c>
      <c r="AD1618" s="6">
        <f>$O$1618*$X$1618</f>
        <v>233.85406</v>
      </c>
      <c r="AE1618" s="6">
        <f>$K$1618*$Y$1618</f>
        <v>0</v>
      </c>
      <c r="AF1618" s="6">
        <f ca="1">$M$1618*$Z$1618</f>
        <v>334.2103383827382</v>
      </c>
      <c r="AG1618" s="6">
        <f>$O$1618*$AA$1618</f>
        <v>252.2203112474773</v>
      </c>
    </row>
    <row r="1619" spans="1:33" ht="11.25" customHeight="1" x14ac:dyDescent="0.25">
      <c r="A1619" s="4" t="s">
        <v>28</v>
      </c>
      <c r="B1619" s="4" t="s">
        <v>44</v>
      </c>
      <c r="C1619" s="4" t="s">
        <v>23</v>
      </c>
      <c r="D1619" s="4" t="s">
        <v>45</v>
      </c>
      <c r="E1619" s="4" t="s">
        <v>57</v>
      </c>
      <c r="F1619" s="4" t="s">
        <v>55</v>
      </c>
      <c r="G1619" s="4" t="s">
        <v>25</v>
      </c>
      <c r="H1619" s="4" t="s">
        <v>25</v>
      </c>
      <c r="I1619" s="5">
        <v>44593</v>
      </c>
      <c r="J1619" s="6">
        <v>0</v>
      </c>
      <c r="K1619" s="6">
        <v>0</v>
      </c>
      <c r="L1619" s="6">
        <v>0.12</v>
      </c>
      <c r="M1619" s="6">
        <v>0.12</v>
      </c>
      <c r="N1619" s="6">
        <v>0.12</v>
      </c>
      <c r="O1619" s="6">
        <v>0.12</v>
      </c>
      <c r="P1619" s="6">
        <v>0</v>
      </c>
      <c r="Q1619" s="4" t="s">
        <v>26</v>
      </c>
      <c r="R1619" s="4">
        <v>0</v>
      </c>
      <c r="S1619" s="6">
        <v>0</v>
      </c>
      <c r="T1619" s="6">
        <v>54</v>
      </c>
      <c r="U1619" s="6">
        <v>97</v>
      </c>
      <c r="V1619" s="6">
        <f>IF(ISERROR(VLOOKUP($S$1619,'TAR FIN'!$A$1:$O$116,15,0)),0,VLOOKUP($S$1619,'TAR FIN'!$A$1:$O$116,15,0))</f>
        <v>0</v>
      </c>
      <c r="W1619" s="6">
        <f>IF(ISERROR(VLOOKUP($T$1619,'TAR FIN'!$A$1:$O$116,15,0)),0,VLOOKUP($T$1619,'TAR FIN'!$A$1:$O$116,15,0))</f>
        <v>301.38</v>
      </c>
      <c r="X1619" s="6">
        <f>IF(ISERROR(VLOOKUP($U$1619,'TAR FIN'!$A$1:$O$116,15,0)),0,VLOOKUP($U$1619,'TAR FIN'!$A$1:$O$116,15,0))</f>
        <v>287.29000000000002</v>
      </c>
      <c r="Y1619" s="6"/>
      <c r="Z1619" s="6">
        <f ca="1">('TUSD BE'!$AM$56+'TUSD BF'!$AM$56+'TUSD CVA'!$AM$56)*(1-CUSTOS!$M$38)</f>
        <v>410.57781128100521</v>
      </c>
      <c r="AA1619" s="6">
        <f>('TE BE'!$AB$27+'TE BF'!$AB$27+'TE CVA'!$AB$27)*(1-CUSTOS!$M$38)</f>
        <v>309.85296222048811</v>
      </c>
      <c r="AB1619" s="6">
        <f>$K$1619*$V$1619</f>
        <v>0</v>
      </c>
      <c r="AC1619" s="6">
        <f>$M$1619*$W$1619</f>
        <v>36.165599999999998</v>
      </c>
      <c r="AD1619" s="6">
        <f>$O$1619*$X$1619</f>
        <v>34.474800000000002</v>
      </c>
      <c r="AE1619" s="6">
        <f>$K$1619*$Y$1619</f>
        <v>0</v>
      </c>
      <c r="AF1619" s="6">
        <f ca="1">$M$1619*$Z$1619</f>
        <v>49.269337353720623</v>
      </c>
      <c r="AG1619" s="6">
        <f>$O$1619*$AA$1619</f>
        <v>37.182355466458574</v>
      </c>
    </row>
    <row r="1620" spans="1:33" ht="11.25" customHeight="1" x14ac:dyDescent="0.25">
      <c r="A1620" s="4" t="s">
        <v>21</v>
      </c>
      <c r="B1620" s="4" t="s">
        <v>44</v>
      </c>
      <c r="C1620" s="4" t="s">
        <v>23</v>
      </c>
      <c r="D1620" s="4" t="s">
        <v>45</v>
      </c>
      <c r="E1620" s="4" t="s">
        <v>57</v>
      </c>
      <c r="F1620" s="4" t="s">
        <v>55</v>
      </c>
      <c r="G1620" s="4" t="s">
        <v>25</v>
      </c>
      <c r="H1620" s="4" t="s">
        <v>25</v>
      </c>
      <c r="I1620" s="5">
        <v>44621</v>
      </c>
      <c r="J1620" s="6">
        <v>0</v>
      </c>
      <c r="K1620" s="6">
        <v>0</v>
      </c>
      <c r="L1620" s="6">
        <v>1.58</v>
      </c>
      <c r="M1620" s="6">
        <v>1.58</v>
      </c>
      <c r="N1620" s="6">
        <v>1.58</v>
      </c>
      <c r="O1620" s="6">
        <v>1.58</v>
      </c>
      <c r="P1620" s="6">
        <v>0</v>
      </c>
      <c r="Q1620" s="4" t="s">
        <v>26</v>
      </c>
      <c r="R1620" s="4">
        <v>0</v>
      </c>
      <c r="S1620" s="6">
        <v>0</v>
      </c>
      <c r="T1620" s="6">
        <v>54</v>
      </c>
      <c r="U1620" s="6">
        <v>97</v>
      </c>
      <c r="V1620" s="6">
        <f>IF(ISERROR(VLOOKUP($S$1620,'TAR FIN'!$A$1:$O$116,15,0)),0,VLOOKUP($S$1620,'TAR FIN'!$A$1:$O$116,15,0))</f>
        <v>0</v>
      </c>
      <c r="W1620" s="6">
        <f>IF(ISERROR(VLOOKUP($T$1620,'TAR FIN'!$A$1:$O$116,15,0)),0,VLOOKUP($T$1620,'TAR FIN'!$A$1:$O$116,15,0))</f>
        <v>301.38</v>
      </c>
      <c r="X1620" s="6">
        <f>IF(ISERROR(VLOOKUP($U$1620,'TAR FIN'!$A$1:$O$116,15,0)),0,VLOOKUP($U$1620,'TAR FIN'!$A$1:$O$116,15,0))</f>
        <v>287.29000000000002</v>
      </c>
      <c r="Y1620" s="6"/>
      <c r="Z1620" s="6">
        <f ca="1">('TUSD BE'!$AM$56+'TUSD BF'!$AM$56+'TUSD CVA'!$AM$56)*(1-CUSTOS!$M$38)</f>
        <v>410.57781128100521</v>
      </c>
      <c r="AA1620" s="6">
        <f>('TE BE'!$AB$27+'TE BF'!$AB$27+'TE CVA'!$AB$27)*(1-CUSTOS!$M$38)</f>
        <v>309.85296222048811</v>
      </c>
      <c r="AB1620" s="6">
        <f>$K$1620*$V$1620</f>
        <v>0</v>
      </c>
      <c r="AC1620" s="6">
        <f>$M$1620*$W$1620</f>
        <v>476.18040000000002</v>
      </c>
      <c r="AD1620" s="6">
        <f>$O$1620*$X$1620</f>
        <v>453.91820000000007</v>
      </c>
      <c r="AE1620" s="6">
        <f>$K$1620*$Y$1620</f>
        <v>0</v>
      </c>
      <c r="AF1620" s="6">
        <f ca="1">$M$1620*$Z$1620</f>
        <v>648.71294182398822</v>
      </c>
      <c r="AG1620" s="6">
        <f>$O$1620*$AA$1620</f>
        <v>489.56768030837122</v>
      </c>
    </row>
    <row r="1621" spans="1:33" ht="11.25" customHeight="1" x14ac:dyDescent="0.25">
      <c r="A1621" s="4" t="s">
        <v>28</v>
      </c>
      <c r="B1621" s="4" t="s">
        <v>44</v>
      </c>
      <c r="C1621" s="4" t="s">
        <v>23</v>
      </c>
      <c r="D1621" s="4" t="s">
        <v>45</v>
      </c>
      <c r="E1621" s="4" t="s">
        <v>57</v>
      </c>
      <c r="F1621" s="4" t="s">
        <v>55</v>
      </c>
      <c r="G1621" s="4" t="s">
        <v>25</v>
      </c>
      <c r="H1621" s="4" t="s">
        <v>25</v>
      </c>
      <c r="I1621" s="5">
        <v>44621</v>
      </c>
      <c r="J1621" s="6">
        <v>0</v>
      </c>
      <c r="K1621" s="6">
        <v>0</v>
      </c>
      <c r="L1621" s="6">
        <v>1.7999999999999999E-2</v>
      </c>
      <c r="M1621" s="6">
        <v>1.7999999999999999E-2</v>
      </c>
      <c r="N1621" s="6">
        <v>1.7999999999999999E-2</v>
      </c>
      <c r="O1621" s="6">
        <v>1.7999999999999999E-2</v>
      </c>
      <c r="P1621" s="6">
        <v>0</v>
      </c>
      <c r="Q1621" s="4" t="s">
        <v>26</v>
      </c>
      <c r="R1621" s="4">
        <v>0</v>
      </c>
      <c r="S1621" s="6">
        <v>0</v>
      </c>
      <c r="T1621" s="6">
        <v>54</v>
      </c>
      <c r="U1621" s="6">
        <v>97</v>
      </c>
      <c r="V1621" s="6">
        <f>IF(ISERROR(VLOOKUP($S$1621,'TAR FIN'!$A$1:$O$116,15,0)),0,VLOOKUP($S$1621,'TAR FIN'!$A$1:$O$116,15,0))</f>
        <v>0</v>
      </c>
      <c r="W1621" s="6">
        <f>IF(ISERROR(VLOOKUP($T$1621,'TAR FIN'!$A$1:$O$116,15,0)),0,VLOOKUP($T$1621,'TAR FIN'!$A$1:$O$116,15,0))</f>
        <v>301.38</v>
      </c>
      <c r="X1621" s="6">
        <f>IF(ISERROR(VLOOKUP($U$1621,'TAR FIN'!$A$1:$O$116,15,0)),0,VLOOKUP($U$1621,'TAR FIN'!$A$1:$O$116,15,0))</f>
        <v>287.29000000000002</v>
      </c>
      <c r="Y1621" s="6"/>
      <c r="Z1621" s="6">
        <f ca="1">('TUSD BE'!$AM$56+'TUSD BF'!$AM$56+'TUSD CVA'!$AM$56)*(1-CUSTOS!$M$38)</f>
        <v>410.57781128100521</v>
      </c>
      <c r="AA1621" s="6">
        <f>('TE BE'!$AB$27+'TE BF'!$AB$27+'TE CVA'!$AB$27)*(1-CUSTOS!$M$38)</f>
        <v>309.85296222048811</v>
      </c>
      <c r="AB1621" s="6">
        <f>$K$1621*$V$1621</f>
        <v>0</v>
      </c>
      <c r="AC1621" s="6">
        <f>$M$1621*$W$1621</f>
        <v>5.4248399999999997</v>
      </c>
      <c r="AD1621" s="6">
        <f>$O$1621*$X$1621</f>
        <v>5.1712199999999999</v>
      </c>
      <c r="AE1621" s="6">
        <f>$K$1621*$Y$1621</f>
        <v>0</v>
      </c>
      <c r="AF1621" s="6">
        <f ca="1">$M$1621*$Z$1621</f>
        <v>7.3904006030580929</v>
      </c>
      <c r="AG1621" s="6">
        <f>$O$1621*$AA$1621</f>
        <v>5.5773533199687853</v>
      </c>
    </row>
    <row r="1622" spans="1:33" ht="11.25" customHeight="1" x14ac:dyDescent="0.25">
      <c r="A1622" s="4" t="s">
        <v>21</v>
      </c>
      <c r="B1622" s="4" t="s">
        <v>44</v>
      </c>
      <c r="C1622" s="4" t="s">
        <v>23</v>
      </c>
      <c r="D1622" s="4" t="s">
        <v>45</v>
      </c>
      <c r="E1622" s="4" t="s">
        <v>57</v>
      </c>
      <c r="F1622" s="4" t="s">
        <v>55</v>
      </c>
      <c r="G1622" s="4" t="s">
        <v>25</v>
      </c>
      <c r="H1622" s="4" t="s">
        <v>25</v>
      </c>
      <c r="I1622" s="5">
        <v>44652</v>
      </c>
      <c r="J1622" s="6">
        <v>0</v>
      </c>
      <c r="K1622" s="6">
        <v>0</v>
      </c>
      <c r="L1622" s="6">
        <v>0.92100000000000004</v>
      </c>
      <c r="M1622" s="6">
        <v>0.92100000000000004</v>
      </c>
      <c r="N1622" s="6">
        <v>0.92100000000000004</v>
      </c>
      <c r="O1622" s="6">
        <v>0.92100000000000004</v>
      </c>
      <c r="P1622" s="6">
        <v>0</v>
      </c>
      <c r="Q1622" s="4" t="s">
        <v>26</v>
      </c>
      <c r="R1622" s="4">
        <v>0</v>
      </c>
      <c r="S1622" s="6">
        <v>0</v>
      </c>
      <c r="T1622" s="6">
        <v>54</v>
      </c>
      <c r="U1622" s="6">
        <v>97</v>
      </c>
      <c r="V1622" s="6">
        <f>IF(ISERROR(VLOOKUP($S$1622,'TAR FIN'!$A$1:$O$116,15,0)),0,VLOOKUP($S$1622,'TAR FIN'!$A$1:$O$116,15,0))</f>
        <v>0</v>
      </c>
      <c r="W1622" s="6">
        <f>IF(ISERROR(VLOOKUP($T$1622,'TAR FIN'!$A$1:$O$116,15,0)),0,VLOOKUP($T$1622,'TAR FIN'!$A$1:$O$116,15,0))</f>
        <v>301.38</v>
      </c>
      <c r="X1622" s="6">
        <f>IF(ISERROR(VLOOKUP($U$1622,'TAR FIN'!$A$1:$O$116,15,0)),0,VLOOKUP($U$1622,'TAR FIN'!$A$1:$O$116,15,0))</f>
        <v>287.29000000000002</v>
      </c>
      <c r="Y1622" s="6"/>
      <c r="Z1622" s="6">
        <f ca="1">('TUSD BE'!$AM$56+'TUSD BF'!$AM$56+'TUSD CVA'!$AM$56)*(1-CUSTOS!$M$38)</f>
        <v>410.57781128100521</v>
      </c>
      <c r="AA1622" s="6">
        <f>('TE BE'!$AB$27+'TE BF'!$AB$27+'TE CVA'!$AB$27)*(1-CUSTOS!$M$38)</f>
        <v>309.85296222048811</v>
      </c>
      <c r="AB1622" s="6">
        <f>$K$1622*$V$1622</f>
        <v>0</v>
      </c>
      <c r="AC1622" s="6">
        <f>$M$1622*$W$1622</f>
        <v>277.57098000000002</v>
      </c>
      <c r="AD1622" s="6">
        <f>$O$1622*$X$1622</f>
        <v>264.59409000000005</v>
      </c>
      <c r="AE1622" s="6">
        <f>$K$1622*$Y$1622</f>
        <v>0</v>
      </c>
      <c r="AF1622" s="6">
        <f ca="1">$M$1622*$Z$1622</f>
        <v>378.14216418980584</v>
      </c>
      <c r="AG1622" s="6">
        <f>$O$1622*$AA$1622</f>
        <v>285.37457820506955</v>
      </c>
    </row>
    <row r="1623" spans="1:33" ht="11.25" customHeight="1" x14ac:dyDescent="0.25">
      <c r="A1623" s="4" t="s">
        <v>58</v>
      </c>
      <c r="B1623" s="4" t="s">
        <v>44</v>
      </c>
      <c r="C1623" s="4" t="s">
        <v>23</v>
      </c>
      <c r="D1623" s="4" t="s">
        <v>45</v>
      </c>
      <c r="E1623" s="4" t="s">
        <v>57</v>
      </c>
      <c r="F1623" s="4" t="s">
        <v>55</v>
      </c>
      <c r="G1623" s="4" t="s">
        <v>25</v>
      </c>
      <c r="H1623" s="4" t="s">
        <v>25</v>
      </c>
      <c r="I1623" s="5">
        <v>44682</v>
      </c>
      <c r="J1623" s="6">
        <v>0</v>
      </c>
      <c r="K1623" s="6">
        <v>0</v>
      </c>
      <c r="L1623" s="6">
        <v>0.92100000000000004</v>
      </c>
      <c r="M1623" s="6">
        <v>0.92100000000000004</v>
      </c>
      <c r="N1623" s="6">
        <v>0.92100000000000004</v>
      </c>
      <c r="O1623" s="6">
        <v>0.92100000000000004</v>
      </c>
      <c r="P1623" s="6">
        <v>0</v>
      </c>
      <c r="Q1623" s="4" t="s">
        <v>26</v>
      </c>
      <c r="R1623" s="4">
        <v>0</v>
      </c>
      <c r="S1623" s="6">
        <v>0</v>
      </c>
      <c r="T1623" s="6">
        <v>54</v>
      </c>
      <c r="U1623" s="6">
        <v>97</v>
      </c>
      <c r="V1623" s="6">
        <f>IF(ISERROR(VLOOKUP($S$1623,'TAR FIN'!$A$1:$O$116,15,0)),0,VLOOKUP($S$1623,'TAR FIN'!$A$1:$O$116,15,0))</f>
        <v>0</v>
      </c>
      <c r="W1623" s="6">
        <f>IF(ISERROR(VLOOKUP($T$1623,'TAR FIN'!$A$1:$O$116,15,0)),0,VLOOKUP($T$1623,'TAR FIN'!$A$1:$O$116,15,0))</f>
        <v>301.38</v>
      </c>
      <c r="X1623" s="6">
        <f>IF(ISERROR(VLOOKUP($U$1623,'TAR FIN'!$A$1:$O$116,15,0)),0,VLOOKUP($U$1623,'TAR FIN'!$A$1:$O$116,15,0))</f>
        <v>287.29000000000002</v>
      </c>
      <c r="Y1623" s="6"/>
      <c r="Z1623" s="6">
        <f ca="1">('TUSD BE'!$AM$56+'TUSD BF'!$AM$56+'TUSD CVA'!$AM$56)*(1-CUSTOS!$M$38)</f>
        <v>410.57781128100521</v>
      </c>
      <c r="AA1623" s="6">
        <f>('TE BE'!$AB$27+'TE BF'!$AB$27+'TE CVA'!$AB$27)*(1-CUSTOS!$M$38)</f>
        <v>309.85296222048811</v>
      </c>
      <c r="AB1623" s="6">
        <f>$K$1623*$V$1623</f>
        <v>0</v>
      </c>
      <c r="AC1623" s="6">
        <f>$M$1623*$W$1623</f>
        <v>277.57098000000002</v>
      </c>
      <c r="AD1623" s="6">
        <f>$O$1623*$X$1623</f>
        <v>264.59409000000005</v>
      </c>
      <c r="AE1623" s="6">
        <f>$K$1623*$Y$1623</f>
        <v>0</v>
      </c>
      <c r="AF1623" s="6">
        <f ca="1">$M$1623*$Z$1623</f>
        <v>378.14216418980584</v>
      </c>
      <c r="AG1623" s="6">
        <f>$O$1623*$AA$1623</f>
        <v>285.37457820506955</v>
      </c>
    </row>
    <row r="1624" spans="1:33" ht="11.25" customHeight="1" x14ac:dyDescent="0.25">
      <c r="A1624" s="4" t="s">
        <v>21</v>
      </c>
      <c r="B1624" s="4" t="s">
        <v>44</v>
      </c>
      <c r="C1624" s="4" t="s">
        <v>23</v>
      </c>
      <c r="D1624" s="4" t="s">
        <v>45</v>
      </c>
      <c r="E1624" s="4" t="s">
        <v>57</v>
      </c>
      <c r="F1624" s="4" t="s">
        <v>56</v>
      </c>
      <c r="G1624" s="4" t="s">
        <v>25</v>
      </c>
      <c r="H1624" s="4" t="s">
        <v>25</v>
      </c>
      <c r="I1624" s="5">
        <v>44348</v>
      </c>
      <c r="J1624" s="6">
        <v>0</v>
      </c>
      <c r="K1624" s="6">
        <v>0</v>
      </c>
      <c r="L1624" s="6">
        <v>0.65100000000000002</v>
      </c>
      <c r="M1624" s="6">
        <v>0.21482999999999999</v>
      </c>
      <c r="N1624" s="6">
        <v>0.65100000000000002</v>
      </c>
      <c r="O1624" s="6">
        <v>0.21482999999999999</v>
      </c>
      <c r="P1624" s="6">
        <v>0</v>
      </c>
      <c r="Q1624" s="4" t="s">
        <v>26</v>
      </c>
      <c r="R1624" s="4">
        <v>0</v>
      </c>
      <c r="S1624" s="6">
        <v>0</v>
      </c>
      <c r="T1624" s="6">
        <v>54</v>
      </c>
      <c r="U1624" s="6">
        <v>97</v>
      </c>
      <c r="V1624" s="6">
        <f>IF(ISERROR(VLOOKUP($S$1624,'TAR FIN'!$A$1:$O$116,15,0)),0,VLOOKUP($S$1624,'TAR FIN'!$A$1:$O$116,15,0))</f>
        <v>0</v>
      </c>
      <c r="W1624" s="6">
        <f>IF(ISERROR(VLOOKUP($T$1624,'TAR FIN'!$A$1:$O$116,15,0)),0,VLOOKUP($T$1624,'TAR FIN'!$A$1:$O$116,15,0))</f>
        <v>301.38</v>
      </c>
      <c r="X1624" s="6">
        <f>IF(ISERROR(VLOOKUP($U$1624,'TAR FIN'!$A$1:$O$116,15,0)),0,VLOOKUP($U$1624,'TAR FIN'!$A$1:$O$116,15,0))</f>
        <v>287.29000000000002</v>
      </c>
      <c r="Y1624" s="6"/>
      <c r="Z1624" s="6">
        <f ca="1">('TUSD BE'!$AM$56+'TUSD BF'!$AM$56+'TUSD CVA'!$AM$56)*(1-CUSTOS!$M$38)</f>
        <v>410.57781128100521</v>
      </c>
      <c r="AA1624" s="6">
        <f>('TE BE'!$AB$27+'TE BF'!$AB$27+'TE CVA'!$AB$27)*(1-CUSTOS!$M$38)</f>
        <v>309.85296222048811</v>
      </c>
      <c r="AB1624" s="6">
        <f>$K$1624*$V$1624</f>
        <v>0</v>
      </c>
      <c r="AC1624" s="6">
        <f>$M$1624*$W$1624</f>
        <v>64.7454654</v>
      </c>
      <c r="AD1624" s="6">
        <f>$O$1624*$X$1624</f>
        <v>61.718510700000003</v>
      </c>
      <c r="AE1624" s="6">
        <f>$K$1624*$Y$1624</f>
        <v>0</v>
      </c>
      <c r="AF1624" s="6">
        <f ca="1">$M$1624*$Z$1624</f>
        <v>88.204431197498351</v>
      </c>
      <c r="AG1624" s="6">
        <f>$O$1624*$AA$1624</f>
        <v>66.565711873827453</v>
      </c>
    </row>
    <row r="1625" spans="1:33" ht="11.25" customHeight="1" x14ac:dyDescent="0.25">
      <c r="A1625" s="4" t="s">
        <v>28</v>
      </c>
      <c r="B1625" s="4" t="s">
        <v>44</v>
      </c>
      <c r="C1625" s="4" t="s">
        <v>23</v>
      </c>
      <c r="D1625" s="4" t="s">
        <v>45</v>
      </c>
      <c r="E1625" s="4" t="s">
        <v>57</v>
      </c>
      <c r="F1625" s="4" t="s">
        <v>56</v>
      </c>
      <c r="G1625" s="4" t="s">
        <v>25</v>
      </c>
      <c r="H1625" s="4" t="s">
        <v>25</v>
      </c>
      <c r="I1625" s="5">
        <v>44348</v>
      </c>
      <c r="J1625" s="6">
        <v>0</v>
      </c>
      <c r="K1625" s="6">
        <v>0</v>
      </c>
      <c r="L1625" s="6">
        <v>0.114</v>
      </c>
      <c r="M1625" s="6">
        <v>3.7620000000000001E-2</v>
      </c>
      <c r="N1625" s="6">
        <v>0.114</v>
      </c>
      <c r="O1625" s="6">
        <v>3.7620000000000001E-2</v>
      </c>
      <c r="P1625" s="6">
        <v>0</v>
      </c>
      <c r="Q1625" s="4" t="s">
        <v>26</v>
      </c>
      <c r="R1625" s="4">
        <v>0</v>
      </c>
      <c r="S1625" s="6">
        <v>0</v>
      </c>
      <c r="T1625" s="6">
        <v>54</v>
      </c>
      <c r="U1625" s="6">
        <v>97</v>
      </c>
      <c r="V1625" s="6">
        <f>IF(ISERROR(VLOOKUP($S$1625,'TAR FIN'!$A$1:$O$116,15,0)),0,VLOOKUP($S$1625,'TAR FIN'!$A$1:$O$116,15,0))</f>
        <v>0</v>
      </c>
      <c r="W1625" s="6">
        <f>IF(ISERROR(VLOOKUP($T$1625,'TAR FIN'!$A$1:$O$116,15,0)),0,VLOOKUP($T$1625,'TAR FIN'!$A$1:$O$116,15,0))</f>
        <v>301.38</v>
      </c>
      <c r="X1625" s="6">
        <f>IF(ISERROR(VLOOKUP($U$1625,'TAR FIN'!$A$1:$O$116,15,0)),0,VLOOKUP($U$1625,'TAR FIN'!$A$1:$O$116,15,0))</f>
        <v>287.29000000000002</v>
      </c>
      <c r="Y1625" s="6"/>
      <c r="Z1625" s="6">
        <f ca="1">('TUSD BE'!$AM$56+'TUSD BF'!$AM$56+'TUSD CVA'!$AM$56)*(1-CUSTOS!$M$38)</f>
        <v>410.57781128100521</v>
      </c>
      <c r="AA1625" s="6">
        <f>('TE BE'!$AB$27+'TE BF'!$AB$27+'TE CVA'!$AB$27)*(1-CUSTOS!$M$38)</f>
        <v>309.85296222048811</v>
      </c>
      <c r="AB1625" s="6">
        <f>$K$1625*$V$1625</f>
        <v>0</v>
      </c>
      <c r="AC1625" s="6">
        <f>$M$1625*$W$1625</f>
        <v>11.337915600000001</v>
      </c>
      <c r="AD1625" s="6">
        <f>$O$1625*$X$1625</f>
        <v>10.807849800000001</v>
      </c>
      <c r="AE1625" s="6">
        <f>$K$1625*$Y$1625</f>
        <v>0</v>
      </c>
      <c r="AF1625" s="6">
        <f ca="1">$M$1625*$Z$1625</f>
        <v>15.445937260391416</v>
      </c>
      <c r="AG1625" s="6">
        <f>$O$1625*$AA$1625</f>
        <v>11.656668438734762</v>
      </c>
    </row>
    <row r="1626" spans="1:33" ht="11.25" customHeight="1" x14ac:dyDescent="0.25">
      <c r="A1626" s="4" t="s">
        <v>21</v>
      </c>
      <c r="B1626" s="4" t="s">
        <v>44</v>
      </c>
      <c r="C1626" s="4" t="s">
        <v>23</v>
      </c>
      <c r="D1626" s="4" t="s">
        <v>45</v>
      </c>
      <c r="E1626" s="4" t="s">
        <v>57</v>
      </c>
      <c r="F1626" s="4" t="s">
        <v>56</v>
      </c>
      <c r="G1626" s="4" t="s">
        <v>25</v>
      </c>
      <c r="H1626" s="4" t="s">
        <v>25</v>
      </c>
      <c r="I1626" s="5">
        <v>44378</v>
      </c>
      <c r="J1626" s="6">
        <v>0</v>
      </c>
      <c r="K1626" s="6">
        <v>0</v>
      </c>
      <c r="L1626" s="6">
        <v>0.83199999999999996</v>
      </c>
      <c r="M1626" s="6">
        <v>0.27456000000000003</v>
      </c>
      <c r="N1626" s="6">
        <v>0.83199999999999996</v>
      </c>
      <c r="O1626" s="6">
        <v>0.27456000000000003</v>
      </c>
      <c r="P1626" s="6">
        <v>0</v>
      </c>
      <c r="Q1626" s="4" t="s">
        <v>26</v>
      </c>
      <c r="R1626" s="4">
        <v>0</v>
      </c>
      <c r="S1626" s="6">
        <v>0</v>
      </c>
      <c r="T1626" s="6">
        <v>54</v>
      </c>
      <c r="U1626" s="6">
        <v>97</v>
      </c>
      <c r="V1626" s="6">
        <f>IF(ISERROR(VLOOKUP($S$1626,'TAR FIN'!$A$1:$O$116,15,0)),0,VLOOKUP($S$1626,'TAR FIN'!$A$1:$O$116,15,0))</f>
        <v>0</v>
      </c>
      <c r="W1626" s="6">
        <f>IF(ISERROR(VLOOKUP($T$1626,'TAR FIN'!$A$1:$O$116,15,0)),0,VLOOKUP($T$1626,'TAR FIN'!$A$1:$O$116,15,0))</f>
        <v>301.38</v>
      </c>
      <c r="X1626" s="6">
        <f>IF(ISERROR(VLOOKUP($U$1626,'TAR FIN'!$A$1:$O$116,15,0)),0,VLOOKUP($U$1626,'TAR FIN'!$A$1:$O$116,15,0))</f>
        <v>287.29000000000002</v>
      </c>
      <c r="Y1626" s="6"/>
      <c r="Z1626" s="6">
        <f ca="1">('TUSD BE'!$AM$56+'TUSD BF'!$AM$56+'TUSD CVA'!$AM$56)*(1-CUSTOS!$M$38)</f>
        <v>410.57781128100521</v>
      </c>
      <c r="AA1626" s="6">
        <f>('TE BE'!$AB$27+'TE BF'!$AB$27+'TE CVA'!$AB$27)*(1-CUSTOS!$M$38)</f>
        <v>309.85296222048811</v>
      </c>
      <c r="AB1626" s="6">
        <f>$K$1626*$V$1626</f>
        <v>0</v>
      </c>
      <c r="AC1626" s="6">
        <f>$M$1626*$W$1626</f>
        <v>82.746892800000012</v>
      </c>
      <c r="AD1626" s="6">
        <f>$O$1626*$X$1626</f>
        <v>78.878342400000008</v>
      </c>
      <c r="AE1626" s="6">
        <f>$K$1626*$Y$1626</f>
        <v>0</v>
      </c>
      <c r="AF1626" s="6">
        <f ca="1">$M$1626*$Z$1626</f>
        <v>112.72824386531281</v>
      </c>
      <c r="AG1626" s="6">
        <f>$O$1626*$AA$1626</f>
        <v>85.073229307257222</v>
      </c>
    </row>
    <row r="1627" spans="1:33" ht="11.25" customHeight="1" x14ac:dyDescent="0.25">
      <c r="A1627" s="4" t="s">
        <v>28</v>
      </c>
      <c r="B1627" s="4" t="s">
        <v>44</v>
      </c>
      <c r="C1627" s="4" t="s">
        <v>23</v>
      </c>
      <c r="D1627" s="4" t="s">
        <v>45</v>
      </c>
      <c r="E1627" s="4" t="s">
        <v>57</v>
      </c>
      <c r="F1627" s="4" t="s">
        <v>56</v>
      </c>
      <c r="G1627" s="4" t="s">
        <v>25</v>
      </c>
      <c r="H1627" s="4" t="s">
        <v>25</v>
      </c>
      <c r="I1627" s="5">
        <v>44378</v>
      </c>
      <c r="J1627" s="6">
        <v>0</v>
      </c>
      <c r="K1627" s="6">
        <v>0</v>
      </c>
      <c r="L1627" s="6">
        <v>0.11799999999999999</v>
      </c>
      <c r="M1627" s="6">
        <v>3.8940000000000002E-2</v>
      </c>
      <c r="N1627" s="6">
        <v>0.11799999999999999</v>
      </c>
      <c r="O1627" s="6">
        <v>3.8940000000000002E-2</v>
      </c>
      <c r="P1627" s="6">
        <v>0</v>
      </c>
      <c r="Q1627" s="4" t="s">
        <v>26</v>
      </c>
      <c r="R1627" s="4">
        <v>0</v>
      </c>
      <c r="S1627" s="6">
        <v>0</v>
      </c>
      <c r="T1627" s="6">
        <v>54</v>
      </c>
      <c r="U1627" s="6">
        <v>97</v>
      </c>
      <c r="V1627" s="6">
        <f>IF(ISERROR(VLOOKUP($S$1627,'TAR FIN'!$A$1:$O$116,15,0)),0,VLOOKUP($S$1627,'TAR FIN'!$A$1:$O$116,15,0))</f>
        <v>0</v>
      </c>
      <c r="W1627" s="6">
        <f>IF(ISERROR(VLOOKUP($T$1627,'TAR FIN'!$A$1:$O$116,15,0)),0,VLOOKUP($T$1627,'TAR FIN'!$A$1:$O$116,15,0))</f>
        <v>301.38</v>
      </c>
      <c r="X1627" s="6">
        <f>IF(ISERROR(VLOOKUP($U$1627,'TAR FIN'!$A$1:$O$116,15,0)),0,VLOOKUP($U$1627,'TAR FIN'!$A$1:$O$116,15,0))</f>
        <v>287.29000000000002</v>
      </c>
      <c r="Y1627" s="6"/>
      <c r="Z1627" s="6">
        <f ca="1">('TUSD BE'!$AM$56+'TUSD BF'!$AM$56+'TUSD CVA'!$AM$56)*(1-CUSTOS!$M$38)</f>
        <v>410.57781128100521</v>
      </c>
      <c r="AA1627" s="6">
        <f>('TE BE'!$AB$27+'TE BF'!$AB$27+'TE CVA'!$AB$27)*(1-CUSTOS!$M$38)</f>
        <v>309.85296222048811</v>
      </c>
      <c r="AB1627" s="6">
        <f>$K$1627*$V$1627</f>
        <v>0</v>
      </c>
      <c r="AC1627" s="6">
        <f>$M$1627*$W$1627</f>
        <v>11.735737200000001</v>
      </c>
      <c r="AD1627" s="6">
        <f>$O$1627*$X$1627</f>
        <v>11.187072600000002</v>
      </c>
      <c r="AE1627" s="6">
        <f>$K$1627*$Y$1627</f>
        <v>0</v>
      </c>
      <c r="AF1627" s="6">
        <f ca="1">$M$1627*$Z$1627</f>
        <v>15.987899971282344</v>
      </c>
      <c r="AG1627" s="6">
        <f>$O$1627*$AA$1627</f>
        <v>12.065674348865807</v>
      </c>
    </row>
    <row r="1628" spans="1:33" ht="11.25" customHeight="1" x14ac:dyDescent="0.25">
      <c r="A1628" s="4" t="s">
        <v>21</v>
      </c>
      <c r="B1628" s="4" t="s">
        <v>44</v>
      </c>
      <c r="C1628" s="4" t="s">
        <v>23</v>
      </c>
      <c r="D1628" s="4" t="s">
        <v>45</v>
      </c>
      <c r="E1628" s="4" t="s">
        <v>57</v>
      </c>
      <c r="F1628" s="4" t="s">
        <v>56</v>
      </c>
      <c r="G1628" s="4" t="s">
        <v>25</v>
      </c>
      <c r="H1628" s="4" t="s">
        <v>25</v>
      </c>
      <c r="I1628" s="5">
        <v>44409</v>
      </c>
      <c r="J1628" s="6">
        <v>0</v>
      </c>
      <c r="K1628" s="6">
        <v>0</v>
      </c>
      <c r="L1628" s="6">
        <v>0.65600000000000003</v>
      </c>
      <c r="M1628" s="6">
        <v>0.21648000000000001</v>
      </c>
      <c r="N1628" s="6">
        <v>0.65600000000000003</v>
      </c>
      <c r="O1628" s="6">
        <v>0.21648000000000001</v>
      </c>
      <c r="P1628" s="6">
        <v>0</v>
      </c>
      <c r="Q1628" s="4" t="s">
        <v>26</v>
      </c>
      <c r="R1628" s="4">
        <v>0</v>
      </c>
      <c r="S1628" s="6">
        <v>0</v>
      </c>
      <c r="T1628" s="6">
        <v>54</v>
      </c>
      <c r="U1628" s="6">
        <v>97</v>
      </c>
      <c r="V1628" s="6">
        <f>IF(ISERROR(VLOOKUP($S$1628,'TAR FIN'!$A$1:$O$116,15,0)),0,VLOOKUP($S$1628,'TAR FIN'!$A$1:$O$116,15,0))</f>
        <v>0</v>
      </c>
      <c r="W1628" s="6">
        <f>IF(ISERROR(VLOOKUP($T$1628,'TAR FIN'!$A$1:$O$116,15,0)),0,VLOOKUP($T$1628,'TAR FIN'!$A$1:$O$116,15,0))</f>
        <v>301.38</v>
      </c>
      <c r="X1628" s="6">
        <f>IF(ISERROR(VLOOKUP($U$1628,'TAR FIN'!$A$1:$O$116,15,0)),0,VLOOKUP($U$1628,'TAR FIN'!$A$1:$O$116,15,0))</f>
        <v>287.29000000000002</v>
      </c>
      <c r="Y1628" s="6"/>
      <c r="Z1628" s="6">
        <f ca="1">('TUSD BE'!$AM$56+'TUSD BF'!$AM$56+'TUSD CVA'!$AM$56)*(1-CUSTOS!$M$38)</f>
        <v>410.57781128100521</v>
      </c>
      <c r="AA1628" s="6">
        <f>('TE BE'!$AB$27+'TE BF'!$AB$27+'TE CVA'!$AB$27)*(1-CUSTOS!$M$38)</f>
        <v>309.85296222048811</v>
      </c>
      <c r="AB1628" s="6">
        <f>$K$1628*$V$1628</f>
        <v>0</v>
      </c>
      <c r="AC1628" s="6">
        <f>$M$1628*$W$1628</f>
        <v>65.242742399999997</v>
      </c>
      <c r="AD1628" s="6">
        <f>$O$1628*$X$1628</f>
        <v>62.192539200000006</v>
      </c>
      <c r="AE1628" s="6">
        <f>$K$1628*$Y$1628</f>
        <v>0</v>
      </c>
      <c r="AF1628" s="6">
        <f ca="1">$M$1628*$Z$1628</f>
        <v>88.881884586112008</v>
      </c>
      <c r="AG1628" s="6">
        <f>$O$1628*$AA$1628</f>
        <v>67.076969261491271</v>
      </c>
    </row>
    <row r="1629" spans="1:33" ht="11.25" customHeight="1" x14ac:dyDescent="0.25">
      <c r="A1629" s="4" t="s">
        <v>28</v>
      </c>
      <c r="B1629" s="4" t="s">
        <v>44</v>
      </c>
      <c r="C1629" s="4" t="s">
        <v>23</v>
      </c>
      <c r="D1629" s="4" t="s">
        <v>45</v>
      </c>
      <c r="E1629" s="4" t="s">
        <v>57</v>
      </c>
      <c r="F1629" s="4" t="s">
        <v>56</v>
      </c>
      <c r="G1629" s="4" t="s">
        <v>25</v>
      </c>
      <c r="H1629" s="4" t="s">
        <v>25</v>
      </c>
      <c r="I1629" s="5">
        <v>44409</v>
      </c>
      <c r="J1629" s="6">
        <v>0</v>
      </c>
      <c r="K1629" s="6">
        <v>0</v>
      </c>
      <c r="L1629" s="6">
        <v>0.121</v>
      </c>
      <c r="M1629" s="6">
        <v>3.993E-2</v>
      </c>
      <c r="N1629" s="6">
        <v>0.121</v>
      </c>
      <c r="O1629" s="6">
        <v>3.993E-2</v>
      </c>
      <c r="P1629" s="6">
        <v>0</v>
      </c>
      <c r="Q1629" s="4" t="s">
        <v>26</v>
      </c>
      <c r="R1629" s="4">
        <v>0</v>
      </c>
      <c r="S1629" s="6">
        <v>0</v>
      </c>
      <c r="T1629" s="6">
        <v>54</v>
      </c>
      <c r="U1629" s="6">
        <v>97</v>
      </c>
      <c r="V1629" s="6">
        <f>IF(ISERROR(VLOOKUP($S$1629,'TAR FIN'!$A$1:$O$116,15,0)),0,VLOOKUP($S$1629,'TAR FIN'!$A$1:$O$116,15,0))</f>
        <v>0</v>
      </c>
      <c r="W1629" s="6">
        <f>IF(ISERROR(VLOOKUP($T$1629,'TAR FIN'!$A$1:$O$116,15,0)),0,VLOOKUP($T$1629,'TAR FIN'!$A$1:$O$116,15,0))</f>
        <v>301.38</v>
      </c>
      <c r="X1629" s="6">
        <f>IF(ISERROR(VLOOKUP($U$1629,'TAR FIN'!$A$1:$O$116,15,0)),0,VLOOKUP($U$1629,'TAR FIN'!$A$1:$O$116,15,0))</f>
        <v>287.29000000000002</v>
      </c>
      <c r="Y1629" s="6"/>
      <c r="Z1629" s="6">
        <f ca="1">('TUSD BE'!$AM$56+'TUSD BF'!$AM$56+'TUSD CVA'!$AM$56)*(1-CUSTOS!$M$38)</f>
        <v>410.57781128100521</v>
      </c>
      <c r="AA1629" s="6">
        <f>('TE BE'!$AB$27+'TE BF'!$AB$27+'TE CVA'!$AB$27)*(1-CUSTOS!$M$38)</f>
        <v>309.85296222048811</v>
      </c>
      <c r="AB1629" s="6">
        <f>$K$1629*$V$1629</f>
        <v>0</v>
      </c>
      <c r="AC1629" s="6">
        <f>$M$1629*$W$1629</f>
        <v>12.034103399999999</v>
      </c>
      <c r="AD1629" s="6">
        <f>$O$1629*$X$1629</f>
        <v>11.471489700000001</v>
      </c>
      <c r="AE1629" s="6">
        <f>$K$1629*$Y$1629</f>
        <v>0</v>
      </c>
      <c r="AF1629" s="6">
        <f ca="1">$M$1629*$Z$1629</f>
        <v>16.394372004450538</v>
      </c>
      <c r="AG1629" s="6">
        <f>$O$1629*$AA$1629</f>
        <v>12.372428781464091</v>
      </c>
    </row>
    <row r="1630" spans="1:33" ht="11.25" customHeight="1" x14ac:dyDescent="0.25">
      <c r="A1630" s="4" t="s">
        <v>21</v>
      </c>
      <c r="B1630" s="4" t="s">
        <v>44</v>
      </c>
      <c r="C1630" s="4" t="s">
        <v>23</v>
      </c>
      <c r="D1630" s="4" t="s">
        <v>45</v>
      </c>
      <c r="E1630" s="4" t="s">
        <v>57</v>
      </c>
      <c r="F1630" s="4" t="s">
        <v>56</v>
      </c>
      <c r="G1630" s="4" t="s">
        <v>25</v>
      </c>
      <c r="H1630" s="4" t="s">
        <v>25</v>
      </c>
      <c r="I1630" s="5">
        <v>44440</v>
      </c>
      <c r="J1630" s="6">
        <v>0</v>
      </c>
      <c r="K1630" s="6">
        <v>0</v>
      </c>
      <c r="L1630" s="6">
        <v>0.91400000000000003</v>
      </c>
      <c r="M1630" s="6">
        <v>0.30162</v>
      </c>
      <c r="N1630" s="6">
        <v>0.91400000000000003</v>
      </c>
      <c r="O1630" s="6">
        <v>0.30162</v>
      </c>
      <c r="P1630" s="6">
        <v>0</v>
      </c>
      <c r="Q1630" s="4" t="s">
        <v>26</v>
      </c>
      <c r="R1630" s="4">
        <v>0</v>
      </c>
      <c r="S1630" s="6">
        <v>0</v>
      </c>
      <c r="T1630" s="6">
        <v>54</v>
      </c>
      <c r="U1630" s="6">
        <v>97</v>
      </c>
      <c r="V1630" s="6">
        <f>IF(ISERROR(VLOOKUP($S$1630,'TAR FIN'!$A$1:$O$116,15,0)),0,VLOOKUP($S$1630,'TAR FIN'!$A$1:$O$116,15,0))</f>
        <v>0</v>
      </c>
      <c r="W1630" s="6">
        <f>IF(ISERROR(VLOOKUP($T$1630,'TAR FIN'!$A$1:$O$116,15,0)),0,VLOOKUP($T$1630,'TAR FIN'!$A$1:$O$116,15,0))</f>
        <v>301.38</v>
      </c>
      <c r="X1630" s="6">
        <f>IF(ISERROR(VLOOKUP($U$1630,'TAR FIN'!$A$1:$O$116,15,0)),0,VLOOKUP($U$1630,'TAR FIN'!$A$1:$O$116,15,0))</f>
        <v>287.29000000000002</v>
      </c>
      <c r="Y1630" s="6"/>
      <c r="Z1630" s="6">
        <f ca="1">('TUSD BE'!$AM$56+'TUSD BF'!$AM$56+'TUSD CVA'!$AM$56)*(1-CUSTOS!$M$38)</f>
        <v>410.57781128100521</v>
      </c>
      <c r="AA1630" s="6">
        <f>('TE BE'!$AB$27+'TE BF'!$AB$27+'TE CVA'!$AB$27)*(1-CUSTOS!$M$38)</f>
        <v>309.85296222048811</v>
      </c>
      <c r="AB1630" s="6">
        <f>$K$1630*$V$1630</f>
        <v>0</v>
      </c>
      <c r="AC1630" s="6">
        <f>$M$1630*$W$1630</f>
        <v>90.902235599999997</v>
      </c>
      <c r="AD1630" s="6">
        <f>$O$1630*$X$1630</f>
        <v>86.652409800000001</v>
      </c>
      <c r="AE1630" s="6">
        <f>$K$1630*$Y$1630</f>
        <v>0</v>
      </c>
      <c r="AF1630" s="6">
        <f ca="1">$M$1630*$Z$1630</f>
        <v>123.8384794385768</v>
      </c>
      <c r="AG1630" s="6">
        <f>$O$1630*$AA$1630</f>
        <v>93.457850464943618</v>
      </c>
    </row>
    <row r="1631" spans="1:33" ht="11.25" customHeight="1" x14ac:dyDescent="0.25">
      <c r="A1631" s="4" t="s">
        <v>28</v>
      </c>
      <c r="B1631" s="4" t="s">
        <v>44</v>
      </c>
      <c r="C1631" s="4" t="s">
        <v>23</v>
      </c>
      <c r="D1631" s="4" t="s">
        <v>45</v>
      </c>
      <c r="E1631" s="4" t="s">
        <v>57</v>
      </c>
      <c r="F1631" s="4" t="s">
        <v>56</v>
      </c>
      <c r="G1631" s="4" t="s">
        <v>25</v>
      </c>
      <c r="H1631" s="4" t="s">
        <v>25</v>
      </c>
      <c r="I1631" s="5">
        <v>44440</v>
      </c>
      <c r="J1631" s="6">
        <v>0</v>
      </c>
      <c r="K1631" s="6">
        <v>0</v>
      </c>
      <c r="L1631" s="6">
        <v>0.27400000000000002</v>
      </c>
      <c r="M1631" s="6">
        <v>9.042E-2</v>
      </c>
      <c r="N1631" s="6">
        <v>0.27400000000000002</v>
      </c>
      <c r="O1631" s="6">
        <v>9.042E-2</v>
      </c>
      <c r="P1631" s="6">
        <v>0</v>
      </c>
      <c r="Q1631" s="4" t="s">
        <v>26</v>
      </c>
      <c r="R1631" s="4">
        <v>0</v>
      </c>
      <c r="S1631" s="6">
        <v>0</v>
      </c>
      <c r="T1631" s="6">
        <v>54</v>
      </c>
      <c r="U1631" s="6">
        <v>97</v>
      </c>
      <c r="V1631" s="6">
        <f>IF(ISERROR(VLOOKUP($S$1631,'TAR FIN'!$A$1:$O$116,15,0)),0,VLOOKUP($S$1631,'TAR FIN'!$A$1:$O$116,15,0))</f>
        <v>0</v>
      </c>
      <c r="W1631" s="6">
        <f>IF(ISERROR(VLOOKUP($T$1631,'TAR FIN'!$A$1:$O$116,15,0)),0,VLOOKUP($T$1631,'TAR FIN'!$A$1:$O$116,15,0))</f>
        <v>301.38</v>
      </c>
      <c r="X1631" s="6">
        <f>IF(ISERROR(VLOOKUP($U$1631,'TAR FIN'!$A$1:$O$116,15,0)),0,VLOOKUP($U$1631,'TAR FIN'!$A$1:$O$116,15,0))</f>
        <v>287.29000000000002</v>
      </c>
      <c r="Y1631" s="6"/>
      <c r="Z1631" s="6">
        <f ca="1">('TUSD BE'!$AM$56+'TUSD BF'!$AM$56+'TUSD CVA'!$AM$56)*(1-CUSTOS!$M$38)</f>
        <v>410.57781128100521</v>
      </c>
      <c r="AA1631" s="6">
        <f>('TE BE'!$AB$27+'TE BF'!$AB$27+'TE CVA'!$AB$27)*(1-CUSTOS!$M$38)</f>
        <v>309.85296222048811</v>
      </c>
      <c r="AB1631" s="6">
        <f>$K$1631*$V$1631</f>
        <v>0</v>
      </c>
      <c r="AC1631" s="6">
        <f>$M$1631*$W$1631</f>
        <v>27.250779600000001</v>
      </c>
      <c r="AD1631" s="6">
        <f>$O$1631*$X$1631</f>
        <v>25.976761800000002</v>
      </c>
      <c r="AE1631" s="6">
        <f>$K$1631*$Y$1631</f>
        <v>0</v>
      </c>
      <c r="AF1631" s="6">
        <f ca="1">$M$1631*$Z$1631</f>
        <v>37.124445696028488</v>
      </c>
      <c r="AG1631" s="6">
        <f>$O$1631*$AA$1631</f>
        <v>28.016904843976533</v>
      </c>
    </row>
    <row r="1632" spans="1:33" ht="11.25" customHeight="1" x14ac:dyDescent="0.25">
      <c r="A1632" s="4" t="s">
        <v>21</v>
      </c>
      <c r="B1632" s="4" t="s">
        <v>44</v>
      </c>
      <c r="C1632" s="4" t="s">
        <v>23</v>
      </c>
      <c r="D1632" s="4" t="s">
        <v>45</v>
      </c>
      <c r="E1632" s="4" t="s">
        <v>57</v>
      </c>
      <c r="F1632" s="4" t="s">
        <v>56</v>
      </c>
      <c r="G1632" s="4" t="s">
        <v>25</v>
      </c>
      <c r="H1632" s="4" t="s">
        <v>25</v>
      </c>
      <c r="I1632" s="5">
        <v>44470</v>
      </c>
      <c r="J1632" s="6">
        <v>0</v>
      </c>
      <c r="K1632" s="6">
        <v>0</v>
      </c>
      <c r="L1632" s="6">
        <v>0.63500000000000001</v>
      </c>
      <c r="M1632" s="6">
        <v>0.20954999999999999</v>
      </c>
      <c r="N1632" s="6">
        <v>0.63500000000000001</v>
      </c>
      <c r="O1632" s="6">
        <v>0.20954999999999999</v>
      </c>
      <c r="P1632" s="6">
        <v>0</v>
      </c>
      <c r="Q1632" s="4" t="s">
        <v>26</v>
      </c>
      <c r="R1632" s="4">
        <v>0</v>
      </c>
      <c r="S1632" s="6">
        <v>0</v>
      </c>
      <c r="T1632" s="6">
        <v>54</v>
      </c>
      <c r="U1632" s="6">
        <v>97</v>
      </c>
      <c r="V1632" s="6">
        <f>IF(ISERROR(VLOOKUP($S$1632,'TAR FIN'!$A$1:$O$116,15,0)),0,VLOOKUP($S$1632,'TAR FIN'!$A$1:$O$116,15,0))</f>
        <v>0</v>
      </c>
      <c r="W1632" s="6">
        <f>IF(ISERROR(VLOOKUP($T$1632,'TAR FIN'!$A$1:$O$116,15,0)),0,VLOOKUP($T$1632,'TAR FIN'!$A$1:$O$116,15,0))</f>
        <v>301.38</v>
      </c>
      <c r="X1632" s="6">
        <f>IF(ISERROR(VLOOKUP($U$1632,'TAR FIN'!$A$1:$O$116,15,0)),0,VLOOKUP($U$1632,'TAR FIN'!$A$1:$O$116,15,0))</f>
        <v>287.29000000000002</v>
      </c>
      <c r="Y1632" s="6"/>
      <c r="Z1632" s="6">
        <f ca="1">('TUSD BE'!$AM$56+'TUSD BF'!$AM$56+'TUSD CVA'!$AM$56)*(1-CUSTOS!$M$38)</f>
        <v>410.57781128100521</v>
      </c>
      <c r="AA1632" s="6">
        <f>('TE BE'!$AB$27+'TE BF'!$AB$27+'TE CVA'!$AB$27)*(1-CUSTOS!$M$38)</f>
        <v>309.85296222048811</v>
      </c>
      <c r="AB1632" s="6">
        <f>$K$1632*$V$1632</f>
        <v>0</v>
      </c>
      <c r="AC1632" s="6">
        <f>$M$1632*$W$1632</f>
        <v>63.154178999999992</v>
      </c>
      <c r="AD1632" s="6">
        <f>$O$1632*$X$1632</f>
        <v>60.2016195</v>
      </c>
      <c r="AE1632" s="6">
        <f>$K$1632*$Y$1632</f>
        <v>0</v>
      </c>
      <c r="AF1632" s="6">
        <f ca="1">$M$1632*$Z$1632</f>
        <v>86.036580353934639</v>
      </c>
      <c r="AG1632" s="6">
        <f>$O$1632*$AA$1632</f>
        <v>64.929688233303281</v>
      </c>
    </row>
    <row r="1633" spans="1:33" ht="11.25" customHeight="1" x14ac:dyDescent="0.25">
      <c r="A1633" s="4" t="s">
        <v>28</v>
      </c>
      <c r="B1633" s="4" t="s">
        <v>44</v>
      </c>
      <c r="C1633" s="4" t="s">
        <v>23</v>
      </c>
      <c r="D1633" s="4" t="s">
        <v>45</v>
      </c>
      <c r="E1633" s="4" t="s">
        <v>57</v>
      </c>
      <c r="F1633" s="4" t="s">
        <v>56</v>
      </c>
      <c r="G1633" s="4" t="s">
        <v>25</v>
      </c>
      <c r="H1633" s="4" t="s">
        <v>25</v>
      </c>
      <c r="I1633" s="5">
        <v>44470</v>
      </c>
      <c r="J1633" s="6">
        <v>0</v>
      </c>
      <c r="K1633" s="6">
        <v>0</v>
      </c>
      <c r="L1633" s="6">
        <v>0.184</v>
      </c>
      <c r="M1633" s="6">
        <v>6.0720000000000003E-2</v>
      </c>
      <c r="N1633" s="6">
        <v>0.184</v>
      </c>
      <c r="O1633" s="6">
        <v>6.0720000000000003E-2</v>
      </c>
      <c r="P1633" s="6">
        <v>0</v>
      </c>
      <c r="Q1633" s="4" t="s">
        <v>26</v>
      </c>
      <c r="R1633" s="4">
        <v>0</v>
      </c>
      <c r="S1633" s="6">
        <v>0</v>
      </c>
      <c r="T1633" s="6">
        <v>54</v>
      </c>
      <c r="U1633" s="6">
        <v>97</v>
      </c>
      <c r="V1633" s="6">
        <f>IF(ISERROR(VLOOKUP($S$1633,'TAR FIN'!$A$1:$O$116,15,0)),0,VLOOKUP($S$1633,'TAR FIN'!$A$1:$O$116,15,0))</f>
        <v>0</v>
      </c>
      <c r="W1633" s="6">
        <f>IF(ISERROR(VLOOKUP($T$1633,'TAR FIN'!$A$1:$O$116,15,0)),0,VLOOKUP($T$1633,'TAR FIN'!$A$1:$O$116,15,0))</f>
        <v>301.38</v>
      </c>
      <c r="X1633" s="6">
        <f>IF(ISERROR(VLOOKUP($U$1633,'TAR FIN'!$A$1:$O$116,15,0)),0,VLOOKUP($U$1633,'TAR FIN'!$A$1:$O$116,15,0))</f>
        <v>287.29000000000002</v>
      </c>
      <c r="Y1633" s="6"/>
      <c r="Z1633" s="6">
        <f ca="1">('TUSD BE'!$AM$56+'TUSD BF'!$AM$56+'TUSD CVA'!$AM$56)*(1-CUSTOS!$M$38)</f>
        <v>410.57781128100521</v>
      </c>
      <c r="AA1633" s="6">
        <f>('TE BE'!$AB$27+'TE BF'!$AB$27+'TE CVA'!$AB$27)*(1-CUSTOS!$M$38)</f>
        <v>309.85296222048811</v>
      </c>
      <c r="AB1633" s="6">
        <f>$K$1633*$V$1633</f>
        <v>0</v>
      </c>
      <c r="AC1633" s="6">
        <f>$M$1633*$W$1633</f>
        <v>18.299793600000001</v>
      </c>
      <c r="AD1633" s="6">
        <f>$O$1633*$X$1633</f>
        <v>17.4442488</v>
      </c>
      <c r="AE1633" s="6">
        <f>$K$1633*$Y$1633</f>
        <v>0</v>
      </c>
      <c r="AF1633" s="6">
        <f ca="1">$M$1633*$Z$1633</f>
        <v>24.930284700982639</v>
      </c>
      <c r="AG1633" s="6">
        <f>$O$1633*$AA$1633</f>
        <v>18.81427186602804</v>
      </c>
    </row>
    <row r="1634" spans="1:33" ht="11.25" customHeight="1" x14ac:dyDescent="0.25">
      <c r="A1634" s="4" t="s">
        <v>21</v>
      </c>
      <c r="B1634" s="4" t="s">
        <v>44</v>
      </c>
      <c r="C1634" s="4" t="s">
        <v>23</v>
      </c>
      <c r="D1634" s="4" t="s">
        <v>45</v>
      </c>
      <c r="E1634" s="4" t="s">
        <v>57</v>
      </c>
      <c r="F1634" s="4" t="s">
        <v>56</v>
      </c>
      <c r="G1634" s="4" t="s">
        <v>25</v>
      </c>
      <c r="H1634" s="4" t="s">
        <v>25</v>
      </c>
      <c r="I1634" s="5">
        <v>44501</v>
      </c>
      <c r="J1634" s="6">
        <v>0</v>
      </c>
      <c r="K1634" s="6">
        <v>0</v>
      </c>
      <c r="L1634" s="6">
        <v>1.3839999999999999</v>
      </c>
      <c r="M1634" s="6">
        <v>0.45672000000000001</v>
      </c>
      <c r="N1634" s="6">
        <v>1.3839999999999999</v>
      </c>
      <c r="O1634" s="6">
        <v>0.45672000000000001</v>
      </c>
      <c r="P1634" s="6">
        <v>0</v>
      </c>
      <c r="Q1634" s="4" t="s">
        <v>26</v>
      </c>
      <c r="R1634" s="4">
        <v>0</v>
      </c>
      <c r="S1634" s="6">
        <v>0</v>
      </c>
      <c r="T1634" s="6">
        <v>54</v>
      </c>
      <c r="U1634" s="6">
        <v>97</v>
      </c>
      <c r="V1634" s="6">
        <f>IF(ISERROR(VLOOKUP($S$1634,'TAR FIN'!$A$1:$O$116,15,0)),0,VLOOKUP($S$1634,'TAR FIN'!$A$1:$O$116,15,0))</f>
        <v>0</v>
      </c>
      <c r="W1634" s="6">
        <f>IF(ISERROR(VLOOKUP($T$1634,'TAR FIN'!$A$1:$O$116,15,0)),0,VLOOKUP($T$1634,'TAR FIN'!$A$1:$O$116,15,0))</f>
        <v>301.38</v>
      </c>
      <c r="X1634" s="6">
        <f>IF(ISERROR(VLOOKUP($U$1634,'TAR FIN'!$A$1:$O$116,15,0)),0,VLOOKUP($U$1634,'TAR FIN'!$A$1:$O$116,15,0))</f>
        <v>287.29000000000002</v>
      </c>
      <c r="Y1634" s="6"/>
      <c r="Z1634" s="6">
        <f ca="1">('TUSD BE'!$AM$56+'TUSD BF'!$AM$56+'TUSD CVA'!$AM$56)*(1-CUSTOS!$M$38)</f>
        <v>410.57781128100521</v>
      </c>
      <c r="AA1634" s="6">
        <f>('TE BE'!$AB$27+'TE BF'!$AB$27+'TE CVA'!$AB$27)*(1-CUSTOS!$M$38)</f>
        <v>309.85296222048811</v>
      </c>
      <c r="AB1634" s="6">
        <f>$K$1634*$V$1634</f>
        <v>0</v>
      </c>
      <c r="AC1634" s="6">
        <f>$M$1634*$W$1634</f>
        <v>137.6462736</v>
      </c>
      <c r="AD1634" s="6">
        <f>$O$1634*$X$1634</f>
        <v>131.21108880000003</v>
      </c>
      <c r="AE1634" s="6">
        <f>$K$1634*$Y$1634</f>
        <v>0</v>
      </c>
      <c r="AF1634" s="6">
        <f ca="1">$M$1634*$Z$1634</f>
        <v>187.5190979682607</v>
      </c>
      <c r="AG1634" s="6">
        <f>$O$1634*$AA$1634</f>
        <v>141.51604490534135</v>
      </c>
    </row>
    <row r="1635" spans="1:33" ht="11.25" customHeight="1" x14ac:dyDescent="0.25">
      <c r="A1635" s="4" t="s">
        <v>28</v>
      </c>
      <c r="B1635" s="4" t="s">
        <v>44</v>
      </c>
      <c r="C1635" s="4" t="s">
        <v>23</v>
      </c>
      <c r="D1635" s="4" t="s">
        <v>45</v>
      </c>
      <c r="E1635" s="4" t="s">
        <v>57</v>
      </c>
      <c r="F1635" s="4" t="s">
        <v>56</v>
      </c>
      <c r="G1635" s="4" t="s">
        <v>25</v>
      </c>
      <c r="H1635" s="4" t="s">
        <v>25</v>
      </c>
      <c r="I1635" s="5">
        <v>44501</v>
      </c>
      <c r="J1635" s="6">
        <v>0</v>
      </c>
      <c r="K1635" s="6">
        <v>0</v>
      </c>
      <c r="L1635" s="6">
        <v>0.08</v>
      </c>
      <c r="M1635" s="6">
        <v>2.64E-2</v>
      </c>
      <c r="N1635" s="6">
        <v>0.08</v>
      </c>
      <c r="O1635" s="6">
        <v>2.64E-2</v>
      </c>
      <c r="P1635" s="6">
        <v>0</v>
      </c>
      <c r="Q1635" s="4" t="s">
        <v>26</v>
      </c>
      <c r="R1635" s="4">
        <v>0</v>
      </c>
      <c r="S1635" s="6">
        <v>0</v>
      </c>
      <c r="T1635" s="6">
        <v>54</v>
      </c>
      <c r="U1635" s="6">
        <v>97</v>
      </c>
      <c r="V1635" s="6">
        <f>IF(ISERROR(VLOOKUP($S$1635,'TAR FIN'!$A$1:$O$116,15,0)),0,VLOOKUP($S$1635,'TAR FIN'!$A$1:$O$116,15,0))</f>
        <v>0</v>
      </c>
      <c r="W1635" s="6">
        <f>IF(ISERROR(VLOOKUP($T$1635,'TAR FIN'!$A$1:$O$116,15,0)),0,VLOOKUP($T$1635,'TAR FIN'!$A$1:$O$116,15,0))</f>
        <v>301.38</v>
      </c>
      <c r="X1635" s="6">
        <f>IF(ISERROR(VLOOKUP($U$1635,'TAR FIN'!$A$1:$O$116,15,0)),0,VLOOKUP($U$1635,'TAR FIN'!$A$1:$O$116,15,0))</f>
        <v>287.29000000000002</v>
      </c>
      <c r="Y1635" s="6"/>
      <c r="Z1635" s="6">
        <f ca="1">('TUSD BE'!$AM$56+'TUSD BF'!$AM$56+'TUSD CVA'!$AM$56)*(1-CUSTOS!$M$38)</f>
        <v>410.57781128100521</v>
      </c>
      <c r="AA1635" s="6">
        <f>('TE BE'!$AB$27+'TE BF'!$AB$27+'TE CVA'!$AB$27)*(1-CUSTOS!$M$38)</f>
        <v>309.85296222048811</v>
      </c>
      <c r="AB1635" s="6">
        <f>$K$1635*$V$1635</f>
        <v>0</v>
      </c>
      <c r="AC1635" s="6">
        <f>$M$1635*$W$1635</f>
        <v>7.9564319999999995</v>
      </c>
      <c r="AD1635" s="6">
        <f>$O$1635*$X$1635</f>
        <v>7.5844560000000003</v>
      </c>
      <c r="AE1635" s="6">
        <f>$K$1635*$Y$1635</f>
        <v>0</v>
      </c>
      <c r="AF1635" s="6">
        <f ca="1">$M$1635*$Z$1635</f>
        <v>10.839254217818537</v>
      </c>
      <c r="AG1635" s="6">
        <f>$O$1635*$AA$1635</f>
        <v>8.1801182026208856</v>
      </c>
    </row>
    <row r="1636" spans="1:33" ht="11.25" customHeight="1" x14ac:dyDescent="0.25">
      <c r="A1636" s="4" t="s">
        <v>21</v>
      </c>
      <c r="B1636" s="4" t="s">
        <v>44</v>
      </c>
      <c r="C1636" s="4" t="s">
        <v>23</v>
      </c>
      <c r="D1636" s="4" t="s">
        <v>45</v>
      </c>
      <c r="E1636" s="4" t="s">
        <v>57</v>
      </c>
      <c r="F1636" s="4" t="s">
        <v>56</v>
      </c>
      <c r="G1636" s="4" t="s">
        <v>25</v>
      </c>
      <c r="H1636" s="4" t="s">
        <v>25</v>
      </c>
      <c r="I1636" s="5">
        <v>44531</v>
      </c>
      <c r="J1636" s="6">
        <v>0</v>
      </c>
      <c r="K1636" s="6">
        <v>0</v>
      </c>
      <c r="L1636" s="6">
        <v>0.72</v>
      </c>
      <c r="M1636" s="6">
        <v>0.23760000000000001</v>
      </c>
      <c r="N1636" s="6">
        <v>0.72</v>
      </c>
      <c r="O1636" s="6">
        <v>0.23760000000000001</v>
      </c>
      <c r="P1636" s="6">
        <v>0</v>
      </c>
      <c r="Q1636" s="4" t="s">
        <v>26</v>
      </c>
      <c r="R1636" s="4">
        <v>0</v>
      </c>
      <c r="S1636" s="6">
        <v>0</v>
      </c>
      <c r="T1636" s="6">
        <v>54</v>
      </c>
      <c r="U1636" s="6">
        <v>97</v>
      </c>
      <c r="V1636" s="6">
        <f>IF(ISERROR(VLOOKUP($S$1636,'TAR FIN'!$A$1:$O$116,15,0)),0,VLOOKUP($S$1636,'TAR FIN'!$A$1:$O$116,15,0))</f>
        <v>0</v>
      </c>
      <c r="W1636" s="6">
        <f>IF(ISERROR(VLOOKUP($T$1636,'TAR FIN'!$A$1:$O$116,15,0)),0,VLOOKUP($T$1636,'TAR FIN'!$A$1:$O$116,15,0))</f>
        <v>301.38</v>
      </c>
      <c r="X1636" s="6">
        <f>IF(ISERROR(VLOOKUP($U$1636,'TAR FIN'!$A$1:$O$116,15,0)),0,VLOOKUP($U$1636,'TAR FIN'!$A$1:$O$116,15,0))</f>
        <v>287.29000000000002</v>
      </c>
      <c r="Y1636" s="6"/>
      <c r="Z1636" s="6">
        <f ca="1">('TUSD BE'!$AM$56+'TUSD BF'!$AM$56+'TUSD CVA'!$AM$56)*(1-CUSTOS!$M$38)</f>
        <v>410.57781128100521</v>
      </c>
      <c r="AA1636" s="6">
        <f>('TE BE'!$AB$27+'TE BF'!$AB$27+'TE CVA'!$AB$27)*(1-CUSTOS!$M$38)</f>
        <v>309.85296222048811</v>
      </c>
      <c r="AB1636" s="6">
        <f>$K$1636*$V$1636</f>
        <v>0</v>
      </c>
      <c r="AC1636" s="6">
        <f>$M$1636*$W$1636</f>
        <v>71.607888000000003</v>
      </c>
      <c r="AD1636" s="6">
        <f>$O$1636*$X$1636</f>
        <v>68.260104000000013</v>
      </c>
      <c r="AE1636" s="6">
        <f>$K$1636*$Y$1636</f>
        <v>0</v>
      </c>
      <c r="AF1636" s="6">
        <f ca="1">$M$1636*$Z$1636</f>
        <v>97.553287960366845</v>
      </c>
      <c r="AG1636" s="6">
        <f>$O$1636*$AA$1636</f>
        <v>73.621063823587974</v>
      </c>
    </row>
    <row r="1637" spans="1:33" ht="11.25" customHeight="1" x14ac:dyDescent="0.25">
      <c r="A1637" s="4" t="s">
        <v>21</v>
      </c>
      <c r="B1637" s="4" t="s">
        <v>44</v>
      </c>
      <c r="C1637" s="4" t="s">
        <v>23</v>
      </c>
      <c r="D1637" s="4" t="s">
        <v>45</v>
      </c>
      <c r="E1637" s="4" t="s">
        <v>57</v>
      </c>
      <c r="F1637" s="4" t="s">
        <v>56</v>
      </c>
      <c r="G1637" s="4" t="s">
        <v>25</v>
      </c>
      <c r="H1637" s="4" t="s">
        <v>25</v>
      </c>
      <c r="I1637" s="5">
        <v>44562</v>
      </c>
      <c r="J1637" s="6">
        <v>0</v>
      </c>
      <c r="K1637" s="6">
        <v>0</v>
      </c>
      <c r="L1637" s="6">
        <v>2.0819999999999999</v>
      </c>
      <c r="M1637" s="6">
        <v>0.68706</v>
      </c>
      <c r="N1637" s="6">
        <v>2.0819999999999999</v>
      </c>
      <c r="O1637" s="6">
        <v>0.68706</v>
      </c>
      <c r="P1637" s="6">
        <v>0</v>
      </c>
      <c r="Q1637" s="4" t="s">
        <v>26</v>
      </c>
      <c r="R1637" s="4">
        <v>0</v>
      </c>
      <c r="S1637" s="6">
        <v>0</v>
      </c>
      <c r="T1637" s="6">
        <v>54</v>
      </c>
      <c r="U1637" s="6">
        <v>97</v>
      </c>
      <c r="V1637" s="6">
        <f>IF(ISERROR(VLOOKUP($S$1637,'TAR FIN'!$A$1:$O$116,15,0)),0,VLOOKUP($S$1637,'TAR FIN'!$A$1:$O$116,15,0))</f>
        <v>0</v>
      </c>
      <c r="W1637" s="6">
        <f>IF(ISERROR(VLOOKUP($T$1637,'TAR FIN'!$A$1:$O$116,15,0)),0,VLOOKUP($T$1637,'TAR FIN'!$A$1:$O$116,15,0))</f>
        <v>301.38</v>
      </c>
      <c r="X1637" s="6">
        <f>IF(ISERROR(VLOOKUP($U$1637,'TAR FIN'!$A$1:$O$116,15,0)),0,VLOOKUP($U$1637,'TAR FIN'!$A$1:$O$116,15,0))</f>
        <v>287.29000000000002</v>
      </c>
      <c r="Y1637" s="6"/>
      <c r="Z1637" s="6">
        <f ca="1">('TUSD BE'!$AM$56+'TUSD BF'!$AM$56+'TUSD CVA'!$AM$56)*(1-CUSTOS!$M$38)</f>
        <v>410.57781128100521</v>
      </c>
      <c r="AA1637" s="6">
        <f>('TE BE'!$AB$27+'TE BF'!$AB$27+'TE CVA'!$AB$27)*(1-CUSTOS!$M$38)</f>
        <v>309.85296222048811</v>
      </c>
      <c r="AB1637" s="6">
        <f>$K$1637*$V$1637</f>
        <v>0</v>
      </c>
      <c r="AC1637" s="6">
        <f>$M$1637*$W$1637</f>
        <v>207.06614279999999</v>
      </c>
      <c r="AD1637" s="6">
        <f>$O$1637*$X$1637</f>
        <v>197.38546740000001</v>
      </c>
      <c r="AE1637" s="6">
        <f>$K$1637*$Y$1637</f>
        <v>0</v>
      </c>
      <c r="AF1637" s="6">
        <f ca="1">$M$1637*$Z$1637</f>
        <v>282.09159101872746</v>
      </c>
      <c r="AG1637" s="6">
        <f>$O$1637*$AA$1637</f>
        <v>212.88757622320855</v>
      </c>
    </row>
    <row r="1638" spans="1:33" ht="11.25" customHeight="1" x14ac:dyDescent="0.25">
      <c r="A1638" s="4" t="s">
        <v>28</v>
      </c>
      <c r="B1638" s="4" t="s">
        <v>44</v>
      </c>
      <c r="C1638" s="4" t="s">
        <v>23</v>
      </c>
      <c r="D1638" s="4" t="s">
        <v>45</v>
      </c>
      <c r="E1638" s="4" t="s">
        <v>57</v>
      </c>
      <c r="F1638" s="4" t="s">
        <v>56</v>
      </c>
      <c r="G1638" s="4" t="s">
        <v>25</v>
      </c>
      <c r="H1638" s="4" t="s">
        <v>25</v>
      </c>
      <c r="I1638" s="5">
        <v>44562</v>
      </c>
      <c r="J1638" s="6">
        <v>0</v>
      </c>
      <c r="K1638" s="6">
        <v>0</v>
      </c>
      <c r="L1638" s="6">
        <v>2.8000000000000001E-2</v>
      </c>
      <c r="M1638" s="6">
        <v>9.2399999999999999E-3</v>
      </c>
      <c r="N1638" s="6">
        <v>2.8000000000000001E-2</v>
      </c>
      <c r="O1638" s="6">
        <v>9.2399999999999999E-3</v>
      </c>
      <c r="P1638" s="6">
        <v>0</v>
      </c>
      <c r="Q1638" s="4" t="s">
        <v>26</v>
      </c>
      <c r="R1638" s="4">
        <v>0</v>
      </c>
      <c r="S1638" s="6">
        <v>0</v>
      </c>
      <c r="T1638" s="6">
        <v>54</v>
      </c>
      <c r="U1638" s="6">
        <v>97</v>
      </c>
      <c r="V1638" s="6">
        <f>IF(ISERROR(VLOOKUP($S$1638,'TAR FIN'!$A$1:$O$116,15,0)),0,VLOOKUP($S$1638,'TAR FIN'!$A$1:$O$116,15,0))</f>
        <v>0</v>
      </c>
      <c r="W1638" s="6">
        <f>IF(ISERROR(VLOOKUP($T$1638,'TAR FIN'!$A$1:$O$116,15,0)),0,VLOOKUP($T$1638,'TAR FIN'!$A$1:$O$116,15,0))</f>
        <v>301.38</v>
      </c>
      <c r="X1638" s="6">
        <f>IF(ISERROR(VLOOKUP($U$1638,'TAR FIN'!$A$1:$O$116,15,0)),0,VLOOKUP($U$1638,'TAR FIN'!$A$1:$O$116,15,0))</f>
        <v>287.29000000000002</v>
      </c>
      <c r="Y1638" s="6"/>
      <c r="Z1638" s="6">
        <f ca="1">('TUSD BE'!$AM$56+'TUSD BF'!$AM$56+'TUSD CVA'!$AM$56)*(1-CUSTOS!$M$38)</f>
        <v>410.57781128100521</v>
      </c>
      <c r="AA1638" s="6">
        <f>('TE BE'!$AB$27+'TE BF'!$AB$27+'TE CVA'!$AB$27)*(1-CUSTOS!$M$38)</f>
        <v>309.85296222048811</v>
      </c>
      <c r="AB1638" s="6">
        <f>$K$1638*$V$1638</f>
        <v>0</v>
      </c>
      <c r="AC1638" s="6">
        <f>$M$1638*$W$1638</f>
        <v>2.7847512000000001</v>
      </c>
      <c r="AD1638" s="6">
        <f>$O$1638*$X$1638</f>
        <v>2.6545596000000002</v>
      </c>
      <c r="AE1638" s="6">
        <f>$K$1638*$Y$1638</f>
        <v>0</v>
      </c>
      <c r="AF1638" s="6">
        <f ca="1">$M$1638*$Z$1638</f>
        <v>3.7937389762364879</v>
      </c>
      <c r="AG1638" s="6">
        <f>$O$1638*$AA$1638</f>
        <v>2.8630413709173101</v>
      </c>
    </row>
    <row r="1639" spans="1:33" ht="11.25" customHeight="1" x14ac:dyDescent="0.25">
      <c r="A1639" s="4" t="s">
        <v>21</v>
      </c>
      <c r="B1639" s="4" t="s">
        <v>44</v>
      </c>
      <c r="C1639" s="4" t="s">
        <v>23</v>
      </c>
      <c r="D1639" s="4" t="s">
        <v>45</v>
      </c>
      <c r="E1639" s="4" t="s">
        <v>57</v>
      </c>
      <c r="F1639" s="4" t="s">
        <v>56</v>
      </c>
      <c r="G1639" s="4" t="s">
        <v>25</v>
      </c>
      <c r="H1639" s="4" t="s">
        <v>25</v>
      </c>
      <c r="I1639" s="5">
        <v>44593</v>
      </c>
      <c r="J1639" s="6">
        <v>0</v>
      </c>
      <c r="K1639" s="6">
        <v>0</v>
      </c>
      <c r="L1639" s="6">
        <v>0.89300000000000002</v>
      </c>
      <c r="M1639" s="6">
        <v>0.29469000000000001</v>
      </c>
      <c r="N1639" s="6">
        <v>0.89300000000000002</v>
      </c>
      <c r="O1639" s="6">
        <v>0.29469000000000001</v>
      </c>
      <c r="P1639" s="6">
        <v>0</v>
      </c>
      <c r="Q1639" s="4" t="s">
        <v>26</v>
      </c>
      <c r="R1639" s="4">
        <v>0</v>
      </c>
      <c r="S1639" s="6">
        <v>0</v>
      </c>
      <c r="T1639" s="6">
        <v>54</v>
      </c>
      <c r="U1639" s="6">
        <v>97</v>
      </c>
      <c r="V1639" s="6">
        <f>IF(ISERROR(VLOOKUP($S$1639,'TAR FIN'!$A$1:$O$116,15,0)),0,VLOOKUP($S$1639,'TAR FIN'!$A$1:$O$116,15,0))</f>
        <v>0</v>
      </c>
      <c r="W1639" s="6">
        <f>IF(ISERROR(VLOOKUP($T$1639,'TAR FIN'!$A$1:$O$116,15,0)),0,VLOOKUP($T$1639,'TAR FIN'!$A$1:$O$116,15,0))</f>
        <v>301.38</v>
      </c>
      <c r="X1639" s="6">
        <f>IF(ISERROR(VLOOKUP($U$1639,'TAR FIN'!$A$1:$O$116,15,0)),0,VLOOKUP($U$1639,'TAR FIN'!$A$1:$O$116,15,0))</f>
        <v>287.29000000000002</v>
      </c>
      <c r="Y1639" s="6"/>
      <c r="Z1639" s="6">
        <f ca="1">('TUSD BE'!$AM$56+'TUSD BF'!$AM$56+'TUSD CVA'!$AM$56)*(1-CUSTOS!$M$38)</f>
        <v>410.57781128100521</v>
      </c>
      <c r="AA1639" s="6">
        <f>('TE BE'!$AB$27+'TE BF'!$AB$27+'TE CVA'!$AB$27)*(1-CUSTOS!$M$38)</f>
        <v>309.85296222048811</v>
      </c>
      <c r="AB1639" s="6">
        <f>$K$1639*$V$1639</f>
        <v>0</v>
      </c>
      <c r="AC1639" s="6">
        <f>$M$1639*$W$1639</f>
        <v>88.813672199999999</v>
      </c>
      <c r="AD1639" s="6">
        <f>$O$1639*$X$1639</f>
        <v>84.661490100000009</v>
      </c>
      <c r="AE1639" s="6">
        <f>$K$1639*$Y$1639</f>
        <v>0</v>
      </c>
      <c r="AF1639" s="6">
        <f ca="1">$M$1639*$Z$1639</f>
        <v>120.99317520639943</v>
      </c>
      <c r="AG1639" s="6">
        <f>$O$1639*$AA$1639</f>
        <v>91.310569436755642</v>
      </c>
    </row>
    <row r="1640" spans="1:33" ht="11.25" customHeight="1" x14ac:dyDescent="0.25">
      <c r="A1640" s="4" t="s">
        <v>28</v>
      </c>
      <c r="B1640" s="4" t="s">
        <v>44</v>
      </c>
      <c r="C1640" s="4" t="s">
        <v>23</v>
      </c>
      <c r="D1640" s="4" t="s">
        <v>45</v>
      </c>
      <c r="E1640" s="4" t="s">
        <v>57</v>
      </c>
      <c r="F1640" s="4" t="s">
        <v>56</v>
      </c>
      <c r="G1640" s="4" t="s">
        <v>25</v>
      </c>
      <c r="H1640" s="4" t="s">
        <v>25</v>
      </c>
      <c r="I1640" s="5">
        <v>44593</v>
      </c>
      <c r="J1640" s="6">
        <v>0</v>
      </c>
      <c r="K1640" s="6">
        <v>0</v>
      </c>
      <c r="L1640" s="6">
        <v>0.10299999999999999</v>
      </c>
      <c r="M1640" s="6">
        <v>3.3989999999999999E-2</v>
      </c>
      <c r="N1640" s="6">
        <v>0.10299999999999999</v>
      </c>
      <c r="O1640" s="6">
        <v>3.3989999999999999E-2</v>
      </c>
      <c r="P1640" s="6">
        <v>0</v>
      </c>
      <c r="Q1640" s="4" t="s">
        <v>26</v>
      </c>
      <c r="R1640" s="4">
        <v>0</v>
      </c>
      <c r="S1640" s="6">
        <v>0</v>
      </c>
      <c r="T1640" s="6">
        <v>54</v>
      </c>
      <c r="U1640" s="6">
        <v>97</v>
      </c>
      <c r="V1640" s="6">
        <f>IF(ISERROR(VLOOKUP($S$1640,'TAR FIN'!$A$1:$O$116,15,0)),0,VLOOKUP($S$1640,'TAR FIN'!$A$1:$O$116,15,0))</f>
        <v>0</v>
      </c>
      <c r="W1640" s="6">
        <f>IF(ISERROR(VLOOKUP($T$1640,'TAR FIN'!$A$1:$O$116,15,0)),0,VLOOKUP($T$1640,'TAR FIN'!$A$1:$O$116,15,0))</f>
        <v>301.38</v>
      </c>
      <c r="X1640" s="6">
        <f>IF(ISERROR(VLOOKUP($U$1640,'TAR FIN'!$A$1:$O$116,15,0)),0,VLOOKUP($U$1640,'TAR FIN'!$A$1:$O$116,15,0))</f>
        <v>287.29000000000002</v>
      </c>
      <c r="Y1640" s="6"/>
      <c r="Z1640" s="6">
        <f ca="1">('TUSD BE'!$AM$56+'TUSD BF'!$AM$56+'TUSD CVA'!$AM$56)*(1-CUSTOS!$M$38)</f>
        <v>410.57781128100521</v>
      </c>
      <c r="AA1640" s="6">
        <f>('TE BE'!$AB$27+'TE BF'!$AB$27+'TE CVA'!$AB$27)*(1-CUSTOS!$M$38)</f>
        <v>309.85296222048811</v>
      </c>
      <c r="AB1640" s="6">
        <f>$K$1640*$V$1640</f>
        <v>0</v>
      </c>
      <c r="AC1640" s="6">
        <f>$M$1640*$W$1640</f>
        <v>10.2439062</v>
      </c>
      <c r="AD1640" s="6">
        <f>$O$1640*$X$1640</f>
        <v>9.7649871000000008</v>
      </c>
      <c r="AE1640" s="6">
        <f>$K$1640*$Y$1640</f>
        <v>0</v>
      </c>
      <c r="AF1640" s="6">
        <f ca="1">$M$1640*$Z$1640</f>
        <v>13.955539805441367</v>
      </c>
      <c r="AG1640" s="6">
        <f>$O$1640*$AA$1640</f>
        <v>10.53190218587439</v>
      </c>
    </row>
    <row r="1641" spans="1:33" ht="11.25" customHeight="1" x14ac:dyDescent="0.25">
      <c r="A1641" s="4" t="s">
        <v>21</v>
      </c>
      <c r="B1641" s="4" t="s">
        <v>44</v>
      </c>
      <c r="C1641" s="4" t="s">
        <v>23</v>
      </c>
      <c r="D1641" s="4" t="s">
        <v>45</v>
      </c>
      <c r="E1641" s="4" t="s">
        <v>57</v>
      </c>
      <c r="F1641" s="4" t="s">
        <v>56</v>
      </c>
      <c r="G1641" s="4" t="s">
        <v>25</v>
      </c>
      <c r="H1641" s="4" t="s">
        <v>25</v>
      </c>
      <c r="I1641" s="5">
        <v>44621</v>
      </c>
      <c r="J1641" s="6">
        <v>0</v>
      </c>
      <c r="K1641" s="6">
        <v>0</v>
      </c>
      <c r="L1641" s="6">
        <v>1.7450000000000001</v>
      </c>
      <c r="M1641" s="6">
        <v>0.57584999999999997</v>
      </c>
      <c r="N1641" s="6">
        <v>1.7450000000000001</v>
      </c>
      <c r="O1641" s="6">
        <v>0.57584999999999997</v>
      </c>
      <c r="P1641" s="6">
        <v>0</v>
      </c>
      <c r="Q1641" s="4" t="s">
        <v>26</v>
      </c>
      <c r="R1641" s="4">
        <v>0</v>
      </c>
      <c r="S1641" s="6">
        <v>0</v>
      </c>
      <c r="T1641" s="6">
        <v>54</v>
      </c>
      <c r="U1641" s="6">
        <v>97</v>
      </c>
      <c r="V1641" s="6">
        <f>IF(ISERROR(VLOOKUP($S$1641,'TAR FIN'!$A$1:$O$116,15,0)),0,VLOOKUP($S$1641,'TAR FIN'!$A$1:$O$116,15,0))</f>
        <v>0</v>
      </c>
      <c r="W1641" s="6">
        <f>IF(ISERROR(VLOOKUP($T$1641,'TAR FIN'!$A$1:$O$116,15,0)),0,VLOOKUP($T$1641,'TAR FIN'!$A$1:$O$116,15,0))</f>
        <v>301.38</v>
      </c>
      <c r="X1641" s="6">
        <f>IF(ISERROR(VLOOKUP($U$1641,'TAR FIN'!$A$1:$O$116,15,0)),0,VLOOKUP($U$1641,'TAR FIN'!$A$1:$O$116,15,0))</f>
        <v>287.29000000000002</v>
      </c>
      <c r="Y1641" s="6"/>
      <c r="Z1641" s="6">
        <f ca="1">('TUSD BE'!$AM$56+'TUSD BF'!$AM$56+'TUSD CVA'!$AM$56)*(1-CUSTOS!$M$38)</f>
        <v>410.57781128100521</v>
      </c>
      <c r="AA1641" s="6">
        <f>('TE BE'!$AB$27+'TE BF'!$AB$27+'TE CVA'!$AB$27)*(1-CUSTOS!$M$38)</f>
        <v>309.85296222048811</v>
      </c>
      <c r="AB1641" s="6">
        <f>$K$1641*$V$1641</f>
        <v>0</v>
      </c>
      <c r="AC1641" s="6">
        <f>$M$1641*$W$1641</f>
        <v>173.54967299999998</v>
      </c>
      <c r="AD1641" s="6">
        <f>$O$1641*$X$1641</f>
        <v>165.4359465</v>
      </c>
      <c r="AE1641" s="6">
        <f>$K$1641*$Y$1641</f>
        <v>0</v>
      </c>
      <c r="AF1641" s="6">
        <f ca="1">$M$1641*$Z$1641</f>
        <v>236.43123262616683</v>
      </c>
      <c r="AG1641" s="6">
        <f>$O$1641*$AA$1641</f>
        <v>178.42882829466808</v>
      </c>
    </row>
    <row r="1642" spans="1:33" ht="11.25" customHeight="1" x14ac:dyDescent="0.25">
      <c r="A1642" s="4" t="s">
        <v>28</v>
      </c>
      <c r="B1642" s="4" t="s">
        <v>44</v>
      </c>
      <c r="C1642" s="4" t="s">
        <v>23</v>
      </c>
      <c r="D1642" s="4" t="s">
        <v>45</v>
      </c>
      <c r="E1642" s="4" t="s">
        <v>57</v>
      </c>
      <c r="F1642" s="4" t="s">
        <v>56</v>
      </c>
      <c r="G1642" s="4" t="s">
        <v>25</v>
      </c>
      <c r="H1642" s="4" t="s">
        <v>25</v>
      </c>
      <c r="I1642" s="5">
        <v>44621</v>
      </c>
      <c r="J1642" s="6">
        <v>0</v>
      </c>
      <c r="K1642" s="6">
        <v>0</v>
      </c>
      <c r="L1642" s="6">
        <v>3.2000000000000001E-2</v>
      </c>
      <c r="M1642" s="6">
        <v>1.056E-2</v>
      </c>
      <c r="N1642" s="6">
        <v>3.2000000000000001E-2</v>
      </c>
      <c r="O1642" s="6">
        <v>1.056E-2</v>
      </c>
      <c r="P1642" s="6">
        <v>0</v>
      </c>
      <c r="Q1642" s="4" t="s">
        <v>26</v>
      </c>
      <c r="R1642" s="4">
        <v>0</v>
      </c>
      <c r="S1642" s="6">
        <v>0</v>
      </c>
      <c r="T1642" s="6">
        <v>54</v>
      </c>
      <c r="U1642" s="6">
        <v>97</v>
      </c>
      <c r="V1642" s="6">
        <f>IF(ISERROR(VLOOKUP($S$1642,'TAR FIN'!$A$1:$O$116,15,0)),0,VLOOKUP($S$1642,'TAR FIN'!$A$1:$O$116,15,0))</f>
        <v>0</v>
      </c>
      <c r="W1642" s="6">
        <f>IF(ISERROR(VLOOKUP($T$1642,'TAR FIN'!$A$1:$O$116,15,0)),0,VLOOKUP($T$1642,'TAR FIN'!$A$1:$O$116,15,0))</f>
        <v>301.38</v>
      </c>
      <c r="X1642" s="6">
        <f>IF(ISERROR(VLOOKUP($U$1642,'TAR FIN'!$A$1:$O$116,15,0)),0,VLOOKUP($U$1642,'TAR FIN'!$A$1:$O$116,15,0))</f>
        <v>287.29000000000002</v>
      </c>
      <c r="Y1642" s="6"/>
      <c r="Z1642" s="6">
        <f ca="1">('TUSD BE'!$AM$56+'TUSD BF'!$AM$56+'TUSD CVA'!$AM$56)*(1-CUSTOS!$M$38)</f>
        <v>410.57781128100521</v>
      </c>
      <c r="AA1642" s="6">
        <f>('TE BE'!$AB$27+'TE BF'!$AB$27+'TE CVA'!$AB$27)*(1-CUSTOS!$M$38)</f>
        <v>309.85296222048811</v>
      </c>
      <c r="AB1642" s="6">
        <f>$K$1642*$V$1642</f>
        <v>0</v>
      </c>
      <c r="AC1642" s="6">
        <f>$M$1642*$W$1642</f>
        <v>3.1825728</v>
      </c>
      <c r="AD1642" s="6">
        <f>$O$1642*$X$1642</f>
        <v>3.0337824000000002</v>
      </c>
      <c r="AE1642" s="6">
        <f>$K$1642*$Y$1642</f>
        <v>0</v>
      </c>
      <c r="AF1642" s="6">
        <f ca="1">$M$1642*$Z$1642</f>
        <v>4.3357016871274148</v>
      </c>
      <c r="AG1642" s="6">
        <f>$O$1642*$AA$1642</f>
        <v>3.2720472810483545</v>
      </c>
    </row>
    <row r="1643" spans="1:33" ht="11.25" customHeight="1" x14ac:dyDescent="0.25">
      <c r="A1643" s="4" t="s">
        <v>21</v>
      </c>
      <c r="B1643" s="4" t="s">
        <v>44</v>
      </c>
      <c r="C1643" s="4" t="s">
        <v>23</v>
      </c>
      <c r="D1643" s="4" t="s">
        <v>45</v>
      </c>
      <c r="E1643" s="4" t="s">
        <v>57</v>
      </c>
      <c r="F1643" s="4" t="s">
        <v>56</v>
      </c>
      <c r="G1643" s="4" t="s">
        <v>25</v>
      </c>
      <c r="H1643" s="4" t="s">
        <v>25</v>
      </c>
      <c r="I1643" s="5">
        <v>44652</v>
      </c>
      <c r="J1643" s="6">
        <v>0</v>
      </c>
      <c r="K1643" s="6">
        <v>0</v>
      </c>
      <c r="L1643" s="6">
        <v>1.008</v>
      </c>
      <c r="M1643" s="6">
        <v>0.33263999999999999</v>
      </c>
      <c r="N1643" s="6">
        <v>1.008</v>
      </c>
      <c r="O1643" s="6">
        <v>0.33263999999999999</v>
      </c>
      <c r="P1643" s="6">
        <v>0</v>
      </c>
      <c r="Q1643" s="4" t="s">
        <v>26</v>
      </c>
      <c r="R1643" s="4">
        <v>0</v>
      </c>
      <c r="S1643" s="6">
        <v>0</v>
      </c>
      <c r="T1643" s="6">
        <v>54</v>
      </c>
      <c r="U1643" s="6">
        <v>97</v>
      </c>
      <c r="V1643" s="6">
        <f>IF(ISERROR(VLOOKUP($S$1643,'TAR FIN'!$A$1:$O$116,15,0)),0,VLOOKUP($S$1643,'TAR FIN'!$A$1:$O$116,15,0))</f>
        <v>0</v>
      </c>
      <c r="W1643" s="6">
        <f>IF(ISERROR(VLOOKUP($T$1643,'TAR FIN'!$A$1:$O$116,15,0)),0,VLOOKUP($T$1643,'TAR FIN'!$A$1:$O$116,15,0))</f>
        <v>301.38</v>
      </c>
      <c r="X1643" s="6">
        <f>IF(ISERROR(VLOOKUP($U$1643,'TAR FIN'!$A$1:$O$116,15,0)),0,VLOOKUP($U$1643,'TAR FIN'!$A$1:$O$116,15,0))</f>
        <v>287.29000000000002</v>
      </c>
      <c r="Y1643" s="6"/>
      <c r="Z1643" s="6">
        <f ca="1">('TUSD BE'!$AM$56+'TUSD BF'!$AM$56+'TUSD CVA'!$AM$56)*(1-CUSTOS!$M$38)</f>
        <v>410.57781128100521</v>
      </c>
      <c r="AA1643" s="6">
        <f>('TE BE'!$AB$27+'TE BF'!$AB$27+'TE CVA'!$AB$27)*(1-CUSTOS!$M$38)</f>
        <v>309.85296222048811</v>
      </c>
      <c r="AB1643" s="6">
        <f>$K$1643*$V$1643</f>
        <v>0</v>
      </c>
      <c r="AC1643" s="6">
        <f>$M$1643*$W$1643</f>
        <v>100.2510432</v>
      </c>
      <c r="AD1643" s="6">
        <f>$O$1643*$X$1643</f>
        <v>95.564145600000003</v>
      </c>
      <c r="AE1643" s="6">
        <f>$K$1643*$Y$1643</f>
        <v>0</v>
      </c>
      <c r="AF1643" s="6">
        <f ca="1">$M$1643*$Z$1643</f>
        <v>136.57460314451356</v>
      </c>
      <c r="AG1643" s="6">
        <f>$O$1643*$AA$1643</f>
        <v>103.06948935302316</v>
      </c>
    </row>
    <row r="1644" spans="1:33" ht="11.25" customHeight="1" x14ac:dyDescent="0.25">
      <c r="A1644" s="4" t="s">
        <v>58</v>
      </c>
      <c r="B1644" s="4" t="s">
        <v>44</v>
      </c>
      <c r="C1644" s="4" t="s">
        <v>23</v>
      </c>
      <c r="D1644" s="4" t="s">
        <v>45</v>
      </c>
      <c r="E1644" s="4" t="s">
        <v>57</v>
      </c>
      <c r="F1644" s="4" t="s">
        <v>56</v>
      </c>
      <c r="G1644" s="4" t="s">
        <v>25</v>
      </c>
      <c r="H1644" s="4" t="s">
        <v>25</v>
      </c>
      <c r="I1644" s="5">
        <v>44682</v>
      </c>
      <c r="J1644" s="6">
        <v>0</v>
      </c>
      <c r="K1644" s="6">
        <v>0</v>
      </c>
      <c r="L1644" s="6">
        <v>1.008</v>
      </c>
      <c r="M1644" s="6">
        <v>0.33263999999999999</v>
      </c>
      <c r="N1644" s="6">
        <v>1.008</v>
      </c>
      <c r="O1644" s="6">
        <v>0.33263999999999999</v>
      </c>
      <c r="P1644" s="6">
        <v>0</v>
      </c>
      <c r="Q1644" s="4" t="s">
        <v>26</v>
      </c>
      <c r="R1644" s="4">
        <v>0</v>
      </c>
      <c r="S1644" s="6">
        <v>0</v>
      </c>
      <c r="T1644" s="6">
        <v>54</v>
      </c>
      <c r="U1644" s="6">
        <v>97</v>
      </c>
      <c r="V1644" s="6">
        <f>IF(ISERROR(VLOOKUP($S$1644,'TAR FIN'!$A$1:$O$116,15,0)),0,VLOOKUP($S$1644,'TAR FIN'!$A$1:$O$116,15,0))</f>
        <v>0</v>
      </c>
      <c r="W1644" s="6">
        <f>IF(ISERROR(VLOOKUP($T$1644,'TAR FIN'!$A$1:$O$116,15,0)),0,VLOOKUP($T$1644,'TAR FIN'!$A$1:$O$116,15,0))</f>
        <v>301.38</v>
      </c>
      <c r="X1644" s="6">
        <f>IF(ISERROR(VLOOKUP($U$1644,'TAR FIN'!$A$1:$O$116,15,0)),0,VLOOKUP($U$1644,'TAR FIN'!$A$1:$O$116,15,0))</f>
        <v>287.29000000000002</v>
      </c>
      <c r="Y1644" s="6"/>
      <c r="Z1644" s="6">
        <f ca="1">('TUSD BE'!$AM$56+'TUSD BF'!$AM$56+'TUSD CVA'!$AM$56)*(1-CUSTOS!$M$38)</f>
        <v>410.57781128100521</v>
      </c>
      <c r="AA1644" s="6">
        <f>('TE BE'!$AB$27+'TE BF'!$AB$27+'TE CVA'!$AB$27)*(1-CUSTOS!$M$38)</f>
        <v>309.85296222048811</v>
      </c>
      <c r="AB1644" s="6">
        <f>$K$1644*$V$1644</f>
        <v>0</v>
      </c>
      <c r="AC1644" s="6">
        <f>$M$1644*$W$1644</f>
        <v>100.2510432</v>
      </c>
      <c r="AD1644" s="6">
        <f>$O$1644*$X$1644</f>
        <v>95.564145600000003</v>
      </c>
      <c r="AE1644" s="6">
        <f>$K$1644*$Y$1644</f>
        <v>0</v>
      </c>
      <c r="AF1644" s="6">
        <f ca="1">$M$1644*$Z$1644</f>
        <v>136.57460314451356</v>
      </c>
      <c r="AG1644" s="6">
        <f>$O$1644*$AA$1644</f>
        <v>103.06948935302316</v>
      </c>
    </row>
    <row r="1645" spans="1:33" ht="11.25" customHeight="1" x14ac:dyDescent="0.25">
      <c r="A1645" s="4" t="s">
        <v>21</v>
      </c>
      <c r="B1645" s="4" t="s">
        <v>44</v>
      </c>
      <c r="C1645" s="4" t="s">
        <v>23</v>
      </c>
      <c r="D1645" s="4" t="s">
        <v>45</v>
      </c>
      <c r="E1645" s="4" t="s">
        <v>25</v>
      </c>
      <c r="F1645" s="4" t="s">
        <v>25</v>
      </c>
      <c r="G1645" s="4" t="s">
        <v>25</v>
      </c>
      <c r="H1645" s="4" t="s">
        <v>25</v>
      </c>
      <c r="I1645" s="5">
        <v>44348</v>
      </c>
      <c r="J1645" s="6">
        <v>0</v>
      </c>
      <c r="K1645" s="6">
        <v>0</v>
      </c>
      <c r="L1645" s="6">
        <v>14813.543</v>
      </c>
      <c r="M1645" s="6">
        <v>14813.543</v>
      </c>
      <c r="N1645" s="6">
        <v>14813.543</v>
      </c>
      <c r="O1645" s="6">
        <v>14813.543</v>
      </c>
      <c r="P1645" s="6">
        <v>70360</v>
      </c>
      <c r="Q1645" s="4" t="s">
        <v>26</v>
      </c>
      <c r="R1645" s="4">
        <v>0</v>
      </c>
      <c r="S1645" s="6">
        <v>0</v>
      </c>
      <c r="T1645" s="6">
        <v>54</v>
      </c>
      <c r="U1645" s="6">
        <v>97</v>
      </c>
      <c r="V1645" s="6">
        <f>IF(ISERROR(VLOOKUP($S$1645,'TAR FIN'!$A$1:$O$116,15,0)),0,VLOOKUP($S$1645,'TAR FIN'!$A$1:$O$116,15,0))</f>
        <v>0</v>
      </c>
      <c r="W1645" s="6">
        <f>IF(ISERROR(VLOOKUP($T$1645,'TAR FIN'!$A$1:$O$116,15,0)),0,VLOOKUP($T$1645,'TAR FIN'!$A$1:$O$116,15,0))</f>
        <v>301.38</v>
      </c>
      <c r="X1645" s="6">
        <f>IF(ISERROR(VLOOKUP($U$1645,'TAR FIN'!$A$1:$O$116,15,0)),0,VLOOKUP($U$1645,'TAR FIN'!$A$1:$O$116,15,0))</f>
        <v>287.29000000000002</v>
      </c>
      <c r="Y1645" s="6"/>
      <c r="Z1645" s="6">
        <f ca="1">('TUSD BE'!$AM$56+'TUSD BF'!$AM$56+'TUSD CVA'!$AM$56)*(1-CUSTOS!$M$38)</f>
        <v>410.57781128100521</v>
      </c>
      <c r="AA1645" s="6">
        <f>('TE BE'!$AB$27+'TE BF'!$AB$27+'TE CVA'!$AB$27)*(1-CUSTOS!$M$38)</f>
        <v>309.85296222048811</v>
      </c>
      <c r="AB1645" s="6">
        <f>$K$1645*$V$1645</f>
        <v>0</v>
      </c>
      <c r="AC1645" s="6">
        <f>$M$1645*$W$1645</f>
        <v>4464505.5893399995</v>
      </c>
      <c r="AD1645" s="6">
        <f>$O$1645*$X$1645</f>
        <v>4255782.7684700005</v>
      </c>
      <c r="AE1645" s="6">
        <f>$K$1645*$Y$1645</f>
        <v>0</v>
      </c>
      <c r="AF1645" s="6">
        <f ca="1">$M$1645*$Z$1645</f>
        <v>6082112.0622570552</v>
      </c>
      <c r="AG1645" s="6">
        <f>$O$1645*$AA$1645</f>
        <v>4590020.1795305759</v>
      </c>
    </row>
    <row r="1646" spans="1:33" ht="11.25" customHeight="1" x14ac:dyDescent="0.25">
      <c r="A1646" s="4" t="s">
        <v>27</v>
      </c>
      <c r="B1646" s="4" t="s">
        <v>44</v>
      </c>
      <c r="C1646" s="4" t="s">
        <v>23</v>
      </c>
      <c r="D1646" s="4" t="s">
        <v>45</v>
      </c>
      <c r="E1646" s="4" t="s">
        <v>25</v>
      </c>
      <c r="F1646" s="4" t="s">
        <v>25</v>
      </c>
      <c r="G1646" s="4" t="s">
        <v>25</v>
      </c>
      <c r="H1646" s="4" t="s">
        <v>25</v>
      </c>
      <c r="I1646" s="5">
        <v>44348</v>
      </c>
      <c r="J1646" s="6">
        <v>0</v>
      </c>
      <c r="K1646" s="6">
        <v>0</v>
      </c>
      <c r="L1646" s="6">
        <v>-56.155000000000001</v>
      </c>
      <c r="M1646" s="6">
        <v>-56.155000000000001</v>
      </c>
      <c r="N1646" s="6">
        <v>-56.155000000000001</v>
      </c>
      <c r="O1646" s="6">
        <v>-56.155000000000001</v>
      </c>
      <c r="P1646" s="6">
        <v>-1</v>
      </c>
      <c r="Q1646" s="4" t="s">
        <v>26</v>
      </c>
      <c r="R1646" s="4">
        <v>0</v>
      </c>
      <c r="S1646" s="6">
        <v>0</v>
      </c>
      <c r="T1646" s="6">
        <v>54</v>
      </c>
      <c r="U1646" s="6">
        <v>97</v>
      </c>
      <c r="V1646" s="6">
        <f>IF(ISERROR(VLOOKUP($S$1646,'TAR FIN'!$A$1:$O$116,15,0)),0,VLOOKUP($S$1646,'TAR FIN'!$A$1:$O$116,15,0))</f>
        <v>0</v>
      </c>
      <c r="W1646" s="6">
        <f>IF(ISERROR(VLOOKUP($T$1646,'TAR FIN'!$A$1:$O$116,15,0)),0,VLOOKUP($T$1646,'TAR FIN'!$A$1:$O$116,15,0))</f>
        <v>301.38</v>
      </c>
      <c r="X1646" s="6">
        <f>IF(ISERROR(VLOOKUP($U$1646,'TAR FIN'!$A$1:$O$116,15,0)),0,VLOOKUP($U$1646,'TAR FIN'!$A$1:$O$116,15,0))</f>
        <v>287.29000000000002</v>
      </c>
      <c r="Y1646" s="6"/>
      <c r="Z1646" s="6">
        <f ca="1">('TUSD BE'!$AM$56+'TUSD BF'!$AM$56+'TUSD CVA'!$AM$56)*(1-CUSTOS!$M$38)</f>
        <v>410.57781128100521</v>
      </c>
      <c r="AA1646" s="6">
        <f>('TE BE'!$AB$27+'TE BF'!$AB$27+'TE CVA'!$AB$27)*(1-CUSTOS!$M$38)</f>
        <v>309.85296222048811</v>
      </c>
      <c r="AB1646" s="6">
        <f>$K$1646*$V$1646</f>
        <v>0</v>
      </c>
      <c r="AC1646" s="6">
        <f>$M$1646*$W$1646</f>
        <v>-16923.993900000001</v>
      </c>
      <c r="AD1646" s="6">
        <f>$O$1646*$X$1646</f>
        <v>-16132.769950000002</v>
      </c>
      <c r="AE1646" s="6">
        <f>$K$1646*$Y$1646</f>
        <v>0</v>
      </c>
      <c r="AF1646" s="6">
        <f ca="1">$M$1646*$Z$1646</f>
        <v>-23055.996992484848</v>
      </c>
      <c r="AG1646" s="6">
        <f>$O$1646*$AA$1646</f>
        <v>-17399.793093491509</v>
      </c>
    </row>
    <row r="1647" spans="1:33" ht="11.25" customHeight="1" x14ac:dyDescent="0.25">
      <c r="A1647" s="4" t="s">
        <v>28</v>
      </c>
      <c r="B1647" s="4" t="s">
        <v>44</v>
      </c>
      <c r="C1647" s="4" t="s">
        <v>23</v>
      </c>
      <c r="D1647" s="4" t="s">
        <v>45</v>
      </c>
      <c r="E1647" s="4" t="s">
        <v>25</v>
      </c>
      <c r="F1647" s="4" t="s">
        <v>25</v>
      </c>
      <c r="G1647" s="4" t="s">
        <v>25</v>
      </c>
      <c r="H1647" s="4" t="s">
        <v>25</v>
      </c>
      <c r="I1647" s="5">
        <v>44348</v>
      </c>
      <c r="J1647" s="6">
        <v>0</v>
      </c>
      <c r="K1647" s="6">
        <v>0</v>
      </c>
      <c r="L1647" s="6">
        <v>658.303</v>
      </c>
      <c r="M1647" s="6">
        <v>658.303</v>
      </c>
      <c r="N1647" s="6">
        <v>658.303</v>
      </c>
      <c r="O1647" s="6">
        <v>658.303</v>
      </c>
      <c r="P1647" s="6">
        <v>1878</v>
      </c>
      <c r="Q1647" s="4" t="s">
        <v>26</v>
      </c>
      <c r="R1647" s="4">
        <v>0</v>
      </c>
      <c r="S1647" s="6">
        <v>0</v>
      </c>
      <c r="T1647" s="6">
        <v>54</v>
      </c>
      <c r="U1647" s="6">
        <v>97</v>
      </c>
      <c r="V1647" s="6">
        <f>IF(ISERROR(VLOOKUP($S$1647,'TAR FIN'!$A$1:$O$116,15,0)),0,VLOOKUP($S$1647,'TAR FIN'!$A$1:$O$116,15,0))</f>
        <v>0</v>
      </c>
      <c r="W1647" s="6">
        <f>IF(ISERROR(VLOOKUP($T$1647,'TAR FIN'!$A$1:$O$116,15,0)),0,VLOOKUP($T$1647,'TAR FIN'!$A$1:$O$116,15,0))</f>
        <v>301.38</v>
      </c>
      <c r="X1647" s="6">
        <f>IF(ISERROR(VLOOKUP($U$1647,'TAR FIN'!$A$1:$O$116,15,0)),0,VLOOKUP($U$1647,'TAR FIN'!$A$1:$O$116,15,0))</f>
        <v>287.29000000000002</v>
      </c>
      <c r="Y1647" s="6"/>
      <c r="Z1647" s="6">
        <f ca="1">('TUSD BE'!$AM$56+'TUSD BF'!$AM$56+'TUSD CVA'!$AM$56)*(1-CUSTOS!$M$38)</f>
        <v>410.57781128100521</v>
      </c>
      <c r="AA1647" s="6">
        <f>('TE BE'!$AB$27+'TE BF'!$AB$27+'TE CVA'!$AB$27)*(1-CUSTOS!$M$38)</f>
        <v>309.85296222048811</v>
      </c>
      <c r="AB1647" s="6">
        <f>$K$1647*$V$1647</f>
        <v>0</v>
      </c>
      <c r="AC1647" s="6">
        <f>$M$1647*$W$1647</f>
        <v>198399.35814</v>
      </c>
      <c r="AD1647" s="6">
        <f>$O$1647*$X$1647</f>
        <v>189123.86887000001</v>
      </c>
      <c r="AE1647" s="6">
        <f>$K$1647*$Y$1647</f>
        <v>0</v>
      </c>
      <c r="AF1647" s="6">
        <f ca="1">$M$1647*$Z$1647</f>
        <v>270284.60489971959</v>
      </c>
      <c r="AG1647" s="6">
        <f>$O$1647*$AA$1647</f>
        <v>203977.13458863398</v>
      </c>
    </row>
    <row r="1648" spans="1:33" ht="11.25" customHeight="1" x14ac:dyDescent="0.25">
      <c r="A1648" s="4" t="s">
        <v>28</v>
      </c>
      <c r="B1648" s="4" t="s">
        <v>44</v>
      </c>
      <c r="C1648" s="4" t="s">
        <v>23</v>
      </c>
      <c r="D1648" s="4" t="s">
        <v>45</v>
      </c>
      <c r="E1648" s="4" t="s">
        <v>25</v>
      </c>
      <c r="F1648" s="4" t="s">
        <v>25</v>
      </c>
      <c r="G1648" s="4" t="s">
        <v>25</v>
      </c>
      <c r="H1648" s="4" t="s">
        <v>25</v>
      </c>
      <c r="I1648" s="5">
        <v>44348</v>
      </c>
      <c r="J1648" s="6">
        <v>0</v>
      </c>
      <c r="K1648" s="6">
        <v>0</v>
      </c>
      <c r="L1648" s="6">
        <v>-18.38</v>
      </c>
      <c r="M1648" s="6">
        <v>-18.38</v>
      </c>
      <c r="N1648" s="6">
        <v>-18.38</v>
      </c>
      <c r="O1648" s="6">
        <v>-18.38</v>
      </c>
      <c r="P1648" s="6">
        <v>0</v>
      </c>
      <c r="Q1648" s="4" t="s">
        <v>26</v>
      </c>
      <c r="R1648" s="4">
        <v>0</v>
      </c>
      <c r="S1648" s="6">
        <v>0</v>
      </c>
      <c r="T1648" s="6">
        <v>54</v>
      </c>
      <c r="U1648" s="6">
        <v>97</v>
      </c>
      <c r="V1648" s="6">
        <f>IF(ISERROR(VLOOKUP($S$1648,'TAR FIN'!$A$1:$O$116,15,0)),0,VLOOKUP($S$1648,'TAR FIN'!$A$1:$O$116,15,0))</f>
        <v>0</v>
      </c>
      <c r="W1648" s="6">
        <f>IF(ISERROR(VLOOKUP($T$1648,'TAR FIN'!$A$1:$O$116,15,0)),0,VLOOKUP($T$1648,'TAR FIN'!$A$1:$O$116,15,0))</f>
        <v>301.38</v>
      </c>
      <c r="X1648" s="6">
        <f>IF(ISERROR(VLOOKUP($U$1648,'TAR FIN'!$A$1:$O$116,15,0)),0,VLOOKUP($U$1648,'TAR FIN'!$A$1:$O$116,15,0))</f>
        <v>287.29000000000002</v>
      </c>
      <c r="Y1648" s="6"/>
      <c r="Z1648" s="6">
        <f ca="1">('TUSD BE'!$AM$56+'TUSD BF'!$AM$56+'TUSD CVA'!$AM$56)*(1-CUSTOS!$M$38)</f>
        <v>410.57781128100521</v>
      </c>
      <c r="AA1648" s="6">
        <f>('TE BE'!$AB$27+'TE BF'!$AB$27+'TE CVA'!$AB$27)*(1-CUSTOS!$M$38)</f>
        <v>309.85296222048811</v>
      </c>
      <c r="AB1648" s="6">
        <f>$K$1648*$V$1648</f>
        <v>0</v>
      </c>
      <c r="AC1648" s="6">
        <f>$M$1648*$W$1648</f>
        <v>-5539.3643999999995</v>
      </c>
      <c r="AD1648" s="6">
        <f>$O$1648*$X$1648</f>
        <v>-5280.3901999999998</v>
      </c>
      <c r="AE1648" s="6">
        <f>$K$1648*$Y$1648</f>
        <v>0</v>
      </c>
      <c r="AF1648" s="6">
        <f ca="1">$M$1648*$Z$1648</f>
        <v>-7546.4201713448756</v>
      </c>
      <c r="AG1648" s="6">
        <f>$O$1648*$AA$1648</f>
        <v>-5695.0974456125714</v>
      </c>
    </row>
    <row r="1649" spans="1:33" ht="11.25" customHeight="1" x14ac:dyDescent="0.25">
      <c r="A1649" s="4" t="s">
        <v>21</v>
      </c>
      <c r="B1649" s="4" t="s">
        <v>44</v>
      </c>
      <c r="C1649" s="4" t="s">
        <v>23</v>
      </c>
      <c r="D1649" s="4" t="s">
        <v>45</v>
      </c>
      <c r="E1649" s="4" t="s">
        <v>25</v>
      </c>
      <c r="F1649" s="4" t="s">
        <v>25</v>
      </c>
      <c r="G1649" s="4" t="s">
        <v>25</v>
      </c>
      <c r="H1649" s="4" t="s">
        <v>25</v>
      </c>
      <c r="I1649" s="5">
        <v>44378</v>
      </c>
      <c r="J1649" s="6">
        <v>0</v>
      </c>
      <c r="K1649" s="6">
        <v>0</v>
      </c>
      <c r="L1649" s="6">
        <v>14538.329</v>
      </c>
      <c r="M1649" s="6">
        <v>14538.329</v>
      </c>
      <c r="N1649" s="6">
        <v>14538.329</v>
      </c>
      <c r="O1649" s="6">
        <v>14538.329</v>
      </c>
      <c r="P1649" s="6">
        <v>70338</v>
      </c>
      <c r="Q1649" s="4" t="s">
        <v>26</v>
      </c>
      <c r="R1649" s="4">
        <v>0</v>
      </c>
      <c r="S1649" s="6">
        <v>0</v>
      </c>
      <c r="T1649" s="6">
        <v>54</v>
      </c>
      <c r="U1649" s="6">
        <v>97</v>
      </c>
      <c r="V1649" s="6">
        <f>IF(ISERROR(VLOOKUP($S$1649,'TAR FIN'!$A$1:$O$116,15,0)),0,VLOOKUP($S$1649,'TAR FIN'!$A$1:$O$116,15,0))</f>
        <v>0</v>
      </c>
      <c r="W1649" s="6">
        <f>IF(ISERROR(VLOOKUP($T$1649,'TAR FIN'!$A$1:$O$116,15,0)),0,VLOOKUP($T$1649,'TAR FIN'!$A$1:$O$116,15,0))</f>
        <v>301.38</v>
      </c>
      <c r="X1649" s="6">
        <f>IF(ISERROR(VLOOKUP($U$1649,'TAR FIN'!$A$1:$O$116,15,0)),0,VLOOKUP($U$1649,'TAR FIN'!$A$1:$O$116,15,0))</f>
        <v>287.29000000000002</v>
      </c>
      <c r="Y1649" s="6"/>
      <c r="Z1649" s="6">
        <f ca="1">('TUSD BE'!$AM$56+'TUSD BF'!$AM$56+'TUSD CVA'!$AM$56)*(1-CUSTOS!$M$38)</f>
        <v>410.57781128100521</v>
      </c>
      <c r="AA1649" s="6">
        <f>('TE BE'!$AB$27+'TE BF'!$AB$27+'TE CVA'!$AB$27)*(1-CUSTOS!$M$38)</f>
        <v>309.85296222048811</v>
      </c>
      <c r="AB1649" s="6">
        <f>$K$1649*$V$1649</f>
        <v>0</v>
      </c>
      <c r="AC1649" s="6">
        <f>$M$1649*$W$1649</f>
        <v>4381561.5940199997</v>
      </c>
      <c r="AD1649" s="6">
        <f>$O$1649*$X$1649</f>
        <v>4176716.53841</v>
      </c>
      <c r="AE1649" s="6">
        <f>$K$1649*$Y$1649</f>
        <v>0</v>
      </c>
      <c r="AF1649" s="6">
        <f ca="1">$M$1649*$Z$1649</f>
        <v>5969115.3005031655</v>
      </c>
      <c r="AG1649" s="6">
        <f>$O$1649*$AA$1649</f>
        <v>4504744.3063860266</v>
      </c>
    </row>
    <row r="1650" spans="1:33" ht="11.25" customHeight="1" x14ac:dyDescent="0.25">
      <c r="A1650" s="4" t="s">
        <v>27</v>
      </c>
      <c r="B1650" s="4" t="s">
        <v>44</v>
      </c>
      <c r="C1650" s="4" t="s">
        <v>23</v>
      </c>
      <c r="D1650" s="4" t="s">
        <v>45</v>
      </c>
      <c r="E1650" s="4" t="s">
        <v>25</v>
      </c>
      <c r="F1650" s="4" t="s">
        <v>25</v>
      </c>
      <c r="G1650" s="4" t="s">
        <v>25</v>
      </c>
      <c r="H1650" s="4" t="s">
        <v>25</v>
      </c>
      <c r="I1650" s="5">
        <v>44378</v>
      </c>
      <c r="J1650" s="6">
        <v>0</v>
      </c>
      <c r="K1650" s="6">
        <v>0</v>
      </c>
      <c r="L1650" s="6">
        <v>-37.585999999999999</v>
      </c>
      <c r="M1650" s="6">
        <v>-37.585999999999999</v>
      </c>
      <c r="N1650" s="6">
        <v>-37.585999999999999</v>
      </c>
      <c r="O1650" s="6">
        <v>-37.585999999999999</v>
      </c>
      <c r="P1650" s="6">
        <v>-1</v>
      </c>
      <c r="Q1650" s="4" t="s">
        <v>26</v>
      </c>
      <c r="R1650" s="4">
        <v>0</v>
      </c>
      <c r="S1650" s="6">
        <v>0</v>
      </c>
      <c r="T1650" s="6">
        <v>54</v>
      </c>
      <c r="U1650" s="6">
        <v>97</v>
      </c>
      <c r="V1650" s="6">
        <f>IF(ISERROR(VLOOKUP($S$1650,'TAR FIN'!$A$1:$O$116,15,0)),0,VLOOKUP($S$1650,'TAR FIN'!$A$1:$O$116,15,0))</f>
        <v>0</v>
      </c>
      <c r="W1650" s="6">
        <f>IF(ISERROR(VLOOKUP($T$1650,'TAR FIN'!$A$1:$O$116,15,0)),0,VLOOKUP($T$1650,'TAR FIN'!$A$1:$O$116,15,0))</f>
        <v>301.38</v>
      </c>
      <c r="X1650" s="6">
        <f>IF(ISERROR(VLOOKUP($U$1650,'TAR FIN'!$A$1:$O$116,15,0)),0,VLOOKUP($U$1650,'TAR FIN'!$A$1:$O$116,15,0))</f>
        <v>287.29000000000002</v>
      </c>
      <c r="Y1650" s="6"/>
      <c r="Z1650" s="6">
        <f ca="1">('TUSD BE'!$AM$56+'TUSD BF'!$AM$56+'TUSD CVA'!$AM$56)*(1-CUSTOS!$M$38)</f>
        <v>410.57781128100521</v>
      </c>
      <c r="AA1650" s="6">
        <f>('TE BE'!$AB$27+'TE BF'!$AB$27+'TE CVA'!$AB$27)*(1-CUSTOS!$M$38)</f>
        <v>309.85296222048811</v>
      </c>
      <c r="AB1650" s="6">
        <f>$K$1650*$V$1650</f>
        <v>0</v>
      </c>
      <c r="AC1650" s="6">
        <f>$M$1650*$W$1650</f>
        <v>-11327.668679999999</v>
      </c>
      <c r="AD1650" s="6">
        <f>$O$1650*$X$1650</f>
        <v>-10798.08194</v>
      </c>
      <c r="AE1650" s="6">
        <f>$K$1650*$Y$1650</f>
        <v>0</v>
      </c>
      <c r="AF1650" s="6">
        <f ca="1">$M$1650*$Z$1650</f>
        <v>-15431.977614807862</v>
      </c>
      <c r="AG1650" s="6">
        <f>$O$1650*$AA$1650</f>
        <v>-11646.133438019266</v>
      </c>
    </row>
    <row r="1651" spans="1:33" ht="11.25" customHeight="1" x14ac:dyDescent="0.25">
      <c r="A1651" s="4" t="s">
        <v>28</v>
      </c>
      <c r="B1651" s="4" t="s">
        <v>44</v>
      </c>
      <c r="C1651" s="4" t="s">
        <v>23</v>
      </c>
      <c r="D1651" s="4" t="s">
        <v>45</v>
      </c>
      <c r="E1651" s="4" t="s">
        <v>25</v>
      </c>
      <c r="F1651" s="4" t="s">
        <v>25</v>
      </c>
      <c r="G1651" s="4" t="s">
        <v>25</v>
      </c>
      <c r="H1651" s="4" t="s">
        <v>25</v>
      </c>
      <c r="I1651" s="5">
        <v>44378</v>
      </c>
      <c r="J1651" s="6">
        <v>0</v>
      </c>
      <c r="K1651" s="6">
        <v>0</v>
      </c>
      <c r="L1651" s="6">
        <v>676.66600000000005</v>
      </c>
      <c r="M1651" s="6">
        <v>676.66600000000005</v>
      </c>
      <c r="N1651" s="6">
        <v>676.66600000000005</v>
      </c>
      <c r="O1651" s="6">
        <v>676.66600000000005</v>
      </c>
      <c r="P1651" s="6">
        <v>2040</v>
      </c>
      <c r="Q1651" s="4" t="s">
        <v>26</v>
      </c>
      <c r="R1651" s="4">
        <v>0</v>
      </c>
      <c r="S1651" s="6">
        <v>0</v>
      </c>
      <c r="T1651" s="6">
        <v>54</v>
      </c>
      <c r="U1651" s="6">
        <v>97</v>
      </c>
      <c r="V1651" s="6">
        <f>IF(ISERROR(VLOOKUP($S$1651,'TAR FIN'!$A$1:$O$116,15,0)),0,VLOOKUP($S$1651,'TAR FIN'!$A$1:$O$116,15,0))</f>
        <v>0</v>
      </c>
      <c r="W1651" s="6">
        <f>IF(ISERROR(VLOOKUP($T$1651,'TAR FIN'!$A$1:$O$116,15,0)),0,VLOOKUP($T$1651,'TAR FIN'!$A$1:$O$116,15,0))</f>
        <v>301.38</v>
      </c>
      <c r="X1651" s="6">
        <f>IF(ISERROR(VLOOKUP($U$1651,'TAR FIN'!$A$1:$O$116,15,0)),0,VLOOKUP($U$1651,'TAR FIN'!$A$1:$O$116,15,0))</f>
        <v>287.29000000000002</v>
      </c>
      <c r="Y1651" s="6"/>
      <c r="Z1651" s="6">
        <f ca="1">('TUSD BE'!$AM$56+'TUSD BF'!$AM$56+'TUSD CVA'!$AM$56)*(1-CUSTOS!$M$38)</f>
        <v>410.57781128100521</v>
      </c>
      <c r="AA1651" s="6">
        <f>('TE BE'!$AB$27+'TE BF'!$AB$27+'TE CVA'!$AB$27)*(1-CUSTOS!$M$38)</f>
        <v>309.85296222048811</v>
      </c>
      <c r="AB1651" s="6">
        <f>$K$1651*$V$1651</f>
        <v>0</v>
      </c>
      <c r="AC1651" s="6">
        <f>$M$1651*$W$1651</f>
        <v>203933.59908000001</v>
      </c>
      <c r="AD1651" s="6">
        <f>$O$1651*$X$1651</f>
        <v>194399.37514000002</v>
      </c>
      <c r="AE1651" s="6">
        <f>$K$1651*$Y$1651</f>
        <v>0</v>
      </c>
      <c r="AF1651" s="6">
        <f ca="1">$M$1651*$Z$1651</f>
        <v>277824.04524827271</v>
      </c>
      <c r="AG1651" s="6">
        <f>$O$1651*$AA$1651</f>
        <v>209666.96453388882</v>
      </c>
    </row>
    <row r="1652" spans="1:33" ht="11.25" customHeight="1" x14ac:dyDescent="0.25">
      <c r="A1652" s="4" t="s">
        <v>28</v>
      </c>
      <c r="B1652" s="4" t="s">
        <v>44</v>
      </c>
      <c r="C1652" s="4" t="s">
        <v>23</v>
      </c>
      <c r="D1652" s="4" t="s">
        <v>45</v>
      </c>
      <c r="E1652" s="4" t="s">
        <v>25</v>
      </c>
      <c r="F1652" s="4" t="s">
        <v>25</v>
      </c>
      <c r="G1652" s="4" t="s">
        <v>25</v>
      </c>
      <c r="H1652" s="4" t="s">
        <v>25</v>
      </c>
      <c r="I1652" s="5">
        <v>44378</v>
      </c>
      <c r="J1652" s="6">
        <v>0</v>
      </c>
      <c r="K1652" s="6">
        <v>0</v>
      </c>
      <c r="L1652" s="6">
        <v>-50.750999999999998</v>
      </c>
      <c r="M1652" s="6">
        <v>-50.750999999999998</v>
      </c>
      <c r="N1652" s="6">
        <v>-50.750999999999998</v>
      </c>
      <c r="O1652" s="6">
        <v>-50.750999999999998</v>
      </c>
      <c r="P1652" s="6">
        <v>0</v>
      </c>
      <c r="Q1652" s="4" t="s">
        <v>26</v>
      </c>
      <c r="R1652" s="4">
        <v>0</v>
      </c>
      <c r="S1652" s="6">
        <v>0</v>
      </c>
      <c r="T1652" s="6">
        <v>54</v>
      </c>
      <c r="U1652" s="6">
        <v>97</v>
      </c>
      <c r="V1652" s="6">
        <f>IF(ISERROR(VLOOKUP($S$1652,'TAR FIN'!$A$1:$O$116,15,0)),0,VLOOKUP($S$1652,'TAR FIN'!$A$1:$O$116,15,0))</f>
        <v>0</v>
      </c>
      <c r="W1652" s="6">
        <f>IF(ISERROR(VLOOKUP($T$1652,'TAR FIN'!$A$1:$O$116,15,0)),0,VLOOKUP($T$1652,'TAR FIN'!$A$1:$O$116,15,0))</f>
        <v>301.38</v>
      </c>
      <c r="X1652" s="6">
        <f>IF(ISERROR(VLOOKUP($U$1652,'TAR FIN'!$A$1:$O$116,15,0)),0,VLOOKUP($U$1652,'TAR FIN'!$A$1:$O$116,15,0))</f>
        <v>287.29000000000002</v>
      </c>
      <c r="Y1652" s="6"/>
      <c r="Z1652" s="6">
        <f ca="1">('TUSD BE'!$AM$56+'TUSD BF'!$AM$56+'TUSD CVA'!$AM$56)*(1-CUSTOS!$M$38)</f>
        <v>410.57781128100521</v>
      </c>
      <c r="AA1652" s="6">
        <f>('TE BE'!$AB$27+'TE BF'!$AB$27+'TE CVA'!$AB$27)*(1-CUSTOS!$M$38)</f>
        <v>309.85296222048811</v>
      </c>
      <c r="AB1652" s="6">
        <f>$K$1652*$V$1652</f>
        <v>0</v>
      </c>
      <c r="AC1652" s="6">
        <f>$M$1652*$W$1652</f>
        <v>-15295.336379999999</v>
      </c>
      <c r="AD1652" s="6">
        <f>$O$1652*$X$1652</f>
        <v>-14580.254790000001</v>
      </c>
      <c r="AE1652" s="6">
        <f>$K$1652*$Y$1652</f>
        <v>0</v>
      </c>
      <c r="AF1652" s="6">
        <f ca="1">$M$1652*$Z$1652</f>
        <v>-20837.234500322294</v>
      </c>
      <c r="AG1652" s="6">
        <f>$O$1652*$AA$1652</f>
        <v>-15725.347685651992</v>
      </c>
    </row>
    <row r="1653" spans="1:33" ht="11.25" customHeight="1" x14ac:dyDescent="0.25">
      <c r="A1653" s="4" t="s">
        <v>21</v>
      </c>
      <c r="B1653" s="4" t="s">
        <v>44</v>
      </c>
      <c r="C1653" s="4" t="s">
        <v>23</v>
      </c>
      <c r="D1653" s="4" t="s">
        <v>45</v>
      </c>
      <c r="E1653" s="4" t="s">
        <v>25</v>
      </c>
      <c r="F1653" s="4" t="s">
        <v>25</v>
      </c>
      <c r="G1653" s="4" t="s">
        <v>25</v>
      </c>
      <c r="H1653" s="4" t="s">
        <v>25</v>
      </c>
      <c r="I1653" s="5">
        <v>44409</v>
      </c>
      <c r="J1653" s="6">
        <v>0</v>
      </c>
      <c r="K1653" s="6">
        <v>0</v>
      </c>
      <c r="L1653" s="6">
        <v>14118.491</v>
      </c>
      <c r="M1653" s="6">
        <v>14118.491</v>
      </c>
      <c r="N1653" s="6">
        <v>14118.491</v>
      </c>
      <c r="O1653" s="6">
        <v>14118.491</v>
      </c>
      <c r="P1653" s="6">
        <v>70098</v>
      </c>
      <c r="Q1653" s="4" t="s">
        <v>26</v>
      </c>
      <c r="R1653" s="4">
        <v>0</v>
      </c>
      <c r="S1653" s="6">
        <v>0</v>
      </c>
      <c r="T1653" s="6">
        <v>54</v>
      </c>
      <c r="U1653" s="6">
        <v>97</v>
      </c>
      <c r="V1653" s="6">
        <f>IF(ISERROR(VLOOKUP($S$1653,'TAR FIN'!$A$1:$O$116,15,0)),0,VLOOKUP($S$1653,'TAR FIN'!$A$1:$O$116,15,0))</f>
        <v>0</v>
      </c>
      <c r="W1653" s="6">
        <f>IF(ISERROR(VLOOKUP($T$1653,'TAR FIN'!$A$1:$O$116,15,0)),0,VLOOKUP($T$1653,'TAR FIN'!$A$1:$O$116,15,0))</f>
        <v>301.38</v>
      </c>
      <c r="X1653" s="6">
        <f>IF(ISERROR(VLOOKUP($U$1653,'TAR FIN'!$A$1:$O$116,15,0)),0,VLOOKUP($U$1653,'TAR FIN'!$A$1:$O$116,15,0))</f>
        <v>287.29000000000002</v>
      </c>
      <c r="Y1653" s="6"/>
      <c r="Z1653" s="6">
        <f ca="1">('TUSD BE'!$AM$56+'TUSD BF'!$AM$56+'TUSD CVA'!$AM$56)*(1-CUSTOS!$M$38)</f>
        <v>410.57781128100521</v>
      </c>
      <c r="AA1653" s="6">
        <f>('TE BE'!$AB$27+'TE BF'!$AB$27+'TE CVA'!$AB$27)*(1-CUSTOS!$M$38)</f>
        <v>309.85296222048811</v>
      </c>
      <c r="AB1653" s="6">
        <f>$K$1653*$V$1653</f>
        <v>0</v>
      </c>
      <c r="AC1653" s="6">
        <f>$M$1653*$W$1653</f>
        <v>4255030.8175799996</v>
      </c>
      <c r="AD1653" s="6">
        <f>$O$1653*$X$1653</f>
        <v>4056101.2793900003</v>
      </c>
      <c r="AE1653" s="6">
        <f>$K$1653*$Y$1653</f>
        <v>0</v>
      </c>
      <c r="AF1653" s="6">
        <f ca="1">$M$1653*$Z$1653</f>
        <v>5796739.1333705708</v>
      </c>
      <c r="AG1653" s="6">
        <f>$O$1653*$AA$1653</f>
        <v>4374656.258433301</v>
      </c>
    </row>
    <row r="1654" spans="1:33" ht="11.25" customHeight="1" x14ac:dyDescent="0.25">
      <c r="A1654" s="4" t="s">
        <v>27</v>
      </c>
      <c r="B1654" s="4" t="s">
        <v>44</v>
      </c>
      <c r="C1654" s="4" t="s">
        <v>23</v>
      </c>
      <c r="D1654" s="4" t="s">
        <v>45</v>
      </c>
      <c r="E1654" s="4" t="s">
        <v>25</v>
      </c>
      <c r="F1654" s="4" t="s">
        <v>25</v>
      </c>
      <c r="G1654" s="4" t="s">
        <v>25</v>
      </c>
      <c r="H1654" s="4" t="s">
        <v>25</v>
      </c>
      <c r="I1654" s="5">
        <v>44409</v>
      </c>
      <c r="J1654" s="6">
        <v>0</v>
      </c>
      <c r="K1654" s="6">
        <v>0</v>
      </c>
      <c r="L1654" s="6">
        <v>-38.347000000000001</v>
      </c>
      <c r="M1654" s="6">
        <v>-38.347000000000001</v>
      </c>
      <c r="N1654" s="6">
        <v>-38.347000000000001</v>
      </c>
      <c r="O1654" s="6">
        <v>-38.347000000000001</v>
      </c>
      <c r="P1654" s="6">
        <v>-4</v>
      </c>
      <c r="Q1654" s="4" t="s">
        <v>26</v>
      </c>
      <c r="R1654" s="4">
        <v>0</v>
      </c>
      <c r="S1654" s="6">
        <v>0</v>
      </c>
      <c r="T1654" s="6">
        <v>54</v>
      </c>
      <c r="U1654" s="6">
        <v>97</v>
      </c>
      <c r="V1654" s="6">
        <f>IF(ISERROR(VLOOKUP($S$1654,'TAR FIN'!$A$1:$O$116,15,0)),0,VLOOKUP($S$1654,'TAR FIN'!$A$1:$O$116,15,0))</f>
        <v>0</v>
      </c>
      <c r="W1654" s="6">
        <f>IF(ISERROR(VLOOKUP($T$1654,'TAR FIN'!$A$1:$O$116,15,0)),0,VLOOKUP($T$1654,'TAR FIN'!$A$1:$O$116,15,0))</f>
        <v>301.38</v>
      </c>
      <c r="X1654" s="6">
        <f>IF(ISERROR(VLOOKUP($U$1654,'TAR FIN'!$A$1:$O$116,15,0)),0,VLOOKUP($U$1654,'TAR FIN'!$A$1:$O$116,15,0))</f>
        <v>287.29000000000002</v>
      </c>
      <c r="Y1654" s="6"/>
      <c r="Z1654" s="6">
        <f ca="1">('TUSD BE'!$AM$56+'TUSD BF'!$AM$56+'TUSD CVA'!$AM$56)*(1-CUSTOS!$M$38)</f>
        <v>410.57781128100521</v>
      </c>
      <c r="AA1654" s="6">
        <f>('TE BE'!$AB$27+'TE BF'!$AB$27+'TE CVA'!$AB$27)*(1-CUSTOS!$M$38)</f>
        <v>309.85296222048811</v>
      </c>
      <c r="AB1654" s="6">
        <f>$K$1654*$V$1654</f>
        <v>0</v>
      </c>
      <c r="AC1654" s="6">
        <f>$M$1654*$W$1654</f>
        <v>-11557.01886</v>
      </c>
      <c r="AD1654" s="6">
        <f>$O$1654*$X$1654</f>
        <v>-11016.709630000001</v>
      </c>
      <c r="AE1654" s="6">
        <f>$K$1654*$Y$1654</f>
        <v>0</v>
      </c>
      <c r="AF1654" s="6">
        <f ca="1">$M$1654*$Z$1654</f>
        <v>-15744.427329192707</v>
      </c>
      <c r="AG1654" s="6">
        <f>$O$1654*$AA$1654</f>
        <v>-11881.931542269058</v>
      </c>
    </row>
    <row r="1655" spans="1:33" ht="11.25" customHeight="1" x14ac:dyDescent="0.25">
      <c r="A1655" s="4" t="s">
        <v>28</v>
      </c>
      <c r="B1655" s="4" t="s">
        <v>44</v>
      </c>
      <c r="C1655" s="4" t="s">
        <v>23</v>
      </c>
      <c r="D1655" s="4" t="s">
        <v>45</v>
      </c>
      <c r="E1655" s="4" t="s">
        <v>25</v>
      </c>
      <c r="F1655" s="4" t="s">
        <v>25</v>
      </c>
      <c r="G1655" s="4" t="s">
        <v>25</v>
      </c>
      <c r="H1655" s="4" t="s">
        <v>25</v>
      </c>
      <c r="I1655" s="5">
        <v>44409</v>
      </c>
      <c r="J1655" s="6">
        <v>0</v>
      </c>
      <c r="K1655" s="6">
        <v>0</v>
      </c>
      <c r="L1655" s="6">
        <v>629.87099999999998</v>
      </c>
      <c r="M1655" s="6">
        <v>629.87099999999998</v>
      </c>
      <c r="N1655" s="6">
        <v>629.87099999999998</v>
      </c>
      <c r="O1655" s="6">
        <v>629.87099999999998</v>
      </c>
      <c r="P1655" s="6">
        <v>2216</v>
      </c>
      <c r="Q1655" s="4" t="s">
        <v>26</v>
      </c>
      <c r="R1655" s="4">
        <v>0</v>
      </c>
      <c r="S1655" s="6">
        <v>0</v>
      </c>
      <c r="T1655" s="6">
        <v>54</v>
      </c>
      <c r="U1655" s="6">
        <v>97</v>
      </c>
      <c r="V1655" s="6">
        <f>IF(ISERROR(VLOOKUP($S$1655,'TAR FIN'!$A$1:$O$116,15,0)),0,VLOOKUP($S$1655,'TAR FIN'!$A$1:$O$116,15,0))</f>
        <v>0</v>
      </c>
      <c r="W1655" s="6">
        <f>IF(ISERROR(VLOOKUP($T$1655,'TAR FIN'!$A$1:$O$116,15,0)),0,VLOOKUP($T$1655,'TAR FIN'!$A$1:$O$116,15,0))</f>
        <v>301.38</v>
      </c>
      <c r="X1655" s="6">
        <f>IF(ISERROR(VLOOKUP($U$1655,'TAR FIN'!$A$1:$O$116,15,0)),0,VLOOKUP($U$1655,'TAR FIN'!$A$1:$O$116,15,0))</f>
        <v>287.29000000000002</v>
      </c>
      <c r="Y1655" s="6"/>
      <c r="Z1655" s="6">
        <f ca="1">('TUSD BE'!$AM$56+'TUSD BF'!$AM$56+'TUSD CVA'!$AM$56)*(1-CUSTOS!$M$38)</f>
        <v>410.57781128100521</v>
      </c>
      <c r="AA1655" s="6">
        <f>('TE BE'!$AB$27+'TE BF'!$AB$27+'TE CVA'!$AB$27)*(1-CUSTOS!$M$38)</f>
        <v>309.85296222048811</v>
      </c>
      <c r="AB1655" s="6">
        <f>$K$1655*$V$1655</f>
        <v>0</v>
      </c>
      <c r="AC1655" s="6">
        <f>$M$1655*$W$1655</f>
        <v>189830.52197999999</v>
      </c>
      <c r="AD1655" s="6">
        <f>$O$1655*$X$1655</f>
        <v>180955.63959000001</v>
      </c>
      <c r="AE1655" s="6">
        <f>$K$1655*$Y$1655</f>
        <v>0</v>
      </c>
      <c r="AF1655" s="6">
        <f ca="1">$M$1655*$Z$1655</f>
        <v>258611.05656937804</v>
      </c>
      <c r="AG1655" s="6">
        <f>$O$1655*$AA$1655</f>
        <v>195167.39516678106</v>
      </c>
    </row>
    <row r="1656" spans="1:33" ht="11.25" customHeight="1" x14ac:dyDescent="0.25">
      <c r="A1656" s="4" t="s">
        <v>28</v>
      </c>
      <c r="B1656" s="4" t="s">
        <v>44</v>
      </c>
      <c r="C1656" s="4" t="s">
        <v>23</v>
      </c>
      <c r="D1656" s="4" t="s">
        <v>45</v>
      </c>
      <c r="E1656" s="4" t="s">
        <v>25</v>
      </c>
      <c r="F1656" s="4" t="s">
        <v>25</v>
      </c>
      <c r="G1656" s="4" t="s">
        <v>25</v>
      </c>
      <c r="H1656" s="4" t="s">
        <v>25</v>
      </c>
      <c r="I1656" s="5">
        <v>44409</v>
      </c>
      <c r="J1656" s="6">
        <v>0</v>
      </c>
      <c r="K1656" s="6">
        <v>0</v>
      </c>
      <c r="L1656" s="6">
        <v>-22.225999999999999</v>
      </c>
      <c r="M1656" s="6">
        <v>-22.225999999999999</v>
      </c>
      <c r="N1656" s="6">
        <v>-22.225999999999999</v>
      </c>
      <c r="O1656" s="6">
        <v>-22.225999999999999</v>
      </c>
      <c r="P1656" s="6">
        <v>0</v>
      </c>
      <c r="Q1656" s="4" t="s">
        <v>26</v>
      </c>
      <c r="R1656" s="4">
        <v>0</v>
      </c>
      <c r="S1656" s="6">
        <v>0</v>
      </c>
      <c r="T1656" s="6">
        <v>54</v>
      </c>
      <c r="U1656" s="6">
        <v>97</v>
      </c>
      <c r="V1656" s="6">
        <f>IF(ISERROR(VLOOKUP($S$1656,'TAR FIN'!$A$1:$O$116,15,0)),0,VLOOKUP($S$1656,'TAR FIN'!$A$1:$O$116,15,0))</f>
        <v>0</v>
      </c>
      <c r="W1656" s="6">
        <f>IF(ISERROR(VLOOKUP($T$1656,'TAR FIN'!$A$1:$O$116,15,0)),0,VLOOKUP($T$1656,'TAR FIN'!$A$1:$O$116,15,0))</f>
        <v>301.38</v>
      </c>
      <c r="X1656" s="6">
        <f>IF(ISERROR(VLOOKUP($U$1656,'TAR FIN'!$A$1:$O$116,15,0)),0,VLOOKUP($U$1656,'TAR FIN'!$A$1:$O$116,15,0))</f>
        <v>287.29000000000002</v>
      </c>
      <c r="Y1656" s="6"/>
      <c r="Z1656" s="6">
        <f ca="1">('TUSD BE'!$AM$56+'TUSD BF'!$AM$56+'TUSD CVA'!$AM$56)*(1-CUSTOS!$M$38)</f>
        <v>410.57781128100521</v>
      </c>
      <c r="AA1656" s="6">
        <f>('TE BE'!$AB$27+'TE BF'!$AB$27+'TE CVA'!$AB$27)*(1-CUSTOS!$M$38)</f>
        <v>309.85296222048811</v>
      </c>
      <c r="AB1656" s="6">
        <f>$K$1656*$V$1656</f>
        <v>0</v>
      </c>
      <c r="AC1656" s="6">
        <f>$M$1656*$W$1656</f>
        <v>-6698.4718800000001</v>
      </c>
      <c r="AD1656" s="6">
        <f>$O$1656*$X$1656</f>
        <v>-6385.3075399999998</v>
      </c>
      <c r="AE1656" s="6">
        <f>$K$1656*$Y$1656</f>
        <v>0</v>
      </c>
      <c r="AF1656" s="6">
        <f ca="1">$M$1656*$Z$1656</f>
        <v>-9125.5024335316211</v>
      </c>
      <c r="AG1656" s="6">
        <f>$O$1656*$AA$1656</f>
        <v>-6886.7919383125682</v>
      </c>
    </row>
    <row r="1657" spans="1:33" ht="11.25" customHeight="1" x14ac:dyDescent="0.25">
      <c r="A1657" s="4" t="s">
        <v>21</v>
      </c>
      <c r="B1657" s="4" t="s">
        <v>44</v>
      </c>
      <c r="C1657" s="4" t="s">
        <v>23</v>
      </c>
      <c r="D1657" s="4" t="s">
        <v>45</v>
      </c>
      <c r="E1657" s="4" t="s">
        <v>25</v>
      </c>
      <c r="F1657" s="4" t="s">
        <v>25</v>
      </c>
      <c r="G1657" s="4" t="s">
        <v>25</v>
      </c>
      <c r="H1657" s="4" t="s">
        <v>25</v>
      </c>
      <c r="I1657" s="5">
        <v>44440</v>
      </c>
      <c r="J1657" s="6">
        <v>0</v>
      </c>
      <c r="K1657" s="6">
        <v>0</v>
      </c>
      <c r="L1657" s="6">
        <v>13952.401</v>
      </c>
      <c r="M1657" s="6">
        <v>13952.401</v>
      </c>
      <c r="N1657" s="6">
        <v>13952.401</v>
      </c>
      <c r="O1657" s="6">
        <v>13952.401</v>
      </c>
      <c r="P1657" s="6">
        <v>69713</v>
      </c>
      <c r="Q1657" s="4" t="s">
        <v>26</v>
      </c>
      <c r="R1657" s="4">
        <v>0</v>
      </c>
      <c r="S1657" s="6">
        <v>0</v>
      </c>
      <c r="T1657" s="6">
        <v>54</v>
      </c>
      <c r="U1657" s="6">
        <v>97</v>
      </c>
      <c r="V1657" s="6">
        <f>IF(ISERROR(VLOOKUP($S$1657,'TAR FIN'!$A$1:$O$116,15,0)),0,VLOOKUP($S$1657,'TAR FIN'!$A$1:$O$116,15,0))</f>
        <v>0</v>
      </c>
      <c r="W1657" s="6">
        <f>IF(ISERROR(VLOOKUP($T$1657,'TAR FIN'!$A$1:$O$116,15,0)),0,VLOOKUP($T$1657,'TAR FIN'!$A$1:$O$116,15,0))</f>
        <v>301.38</v>
      </c>
      <c r="X1657" s="6">
        <f>IF(ISERROR(VLOOKUP($U$1657,'TAR FIN'!$A$1:$O$116,15,0)),0,VLOOKUP($U$1657,'TAR FIN'!$A$1:$O$116,15,0))</f>
        <v>287.29000000000002</v>
      </c>
      <c r="Y1657" s="6"/>
      <c r="Z1657" s="6">
        <f ca="1">('TUSD BE'!$AM$56+'TUSD BF'!$AM$56+'TUSD CVA'!$AM$56)*(1-CUSTOS!$M$38)</f>
        <v>410.57781128100521</v>
      </c>
      <c r="AA1657" s="6">
        <f>('TE BE'!$AB$27+'TE BF'!$AB$27+'TE CVA'!$AB$27)*(1-CUSTOS!$M$38)</f>
        <v>309.85296222048811</v>
      </c>
      <c r="AB1657" s="6">
        <f>$K$1657*$V$1657</f>
        <v>0</v>
      </c>
      <c r="AC1657" s="6">
        <f>$M$1657*$W$1657</f>
        <v>4204974.61338</v>
      </c>
      <c r="AD1657" s="6">
        <f>$O$1657*$X$1657</f>
        <v>4008385.2832900002</v>
      </c>
      <c r="AE1657" s="6">
        <f>$K$1657*$Y$1657</f>
        <v>0</v>
      </c>
      <c r="AF1657" s="6">
        <f ca="1">$M$1657*$Z$1657</f>
        <v>5728546.2646949086</v>
      </c>
      <c r="AG1657" s="6">
        <f>$O$1657*$AA$1657</f>
        <v>4323192.7799381008</v>
      </c>
    </row>
    <row r="1658" spans="1:33" ht="11.25" customHeight="1" x14ac:dyDescent="0.25">
      <c r="A1658" s="4" t="s">
        <v>27</v>
      </c>
      <c r="B1658" s="4" t="s">
        <v>44</v>
      </c>
      <c r="C1658" s="4" t="s">
        <v>23</v>
      </c>
      <c r="D1658" s="4" t="s">
        <v>45</v>
      </c>
      <c r="E1658" s="4" t="s">
        <v>25</v>
      </c>
      <c r="F1658" s="4" t="s">
        <v>25</v>
      </c>
      <c r="G1658" s="4" t="s">
        <v>25</v>
      </c>
      <c r="H1658" s="4" t="s">
        <v>25</v>
      </c>
      <c r="I1658" s="5">
        <v>44440</v>
      </c>
      <c r="J1658" s="6">
        <v>0</v>
      </c>
      <c r="K1658" s="6">
        <v>0</v>
      </c>
      <c r="L1658" s="6">
        <v>-34.853000000000002</v>
      </c>
      <c r="M1658" s="6">
        <v>-34.853000000000002</v>
      </c>
      <c r="N1658" s="6">
        <v>-34.853000000000002</v>
      </c>
      <c r="O1658" s="6">
        <v>-34.853000000000002</v>
      </c>
      <c r="P1658" s="6">
        <v>-8</v>
      </c>
      <c r="Q1658" s="4" t="s">
        <v>26</v>
      </c>
      <c r="R1658" s="4">
        <v>0</v>
      </c>
      <c r="S1658" s="6">
        <v>0</v>
      </c>
      <c r="T1658" s="6">
        <v>54</v>
      </c>
      <c r="U1658" s="6">
        <v>97</v>
      </c>
      <c r="V1658" s="6">
        <f>IF(ISERROR(VLOOKUP($S$1658,'TAR FIN'!$A$1:$O$116,15,0)),0,VLOOKUP($S$1658,'TAR FIN'!$A$1:$O$116,15,0))</f>
        <v>0</v>
      </c>
      <c r="W1658" s="6">
        <f>IF(ISERROR(VLOOKUP($T$1658,'TAR FIN'!$A$1:$O$116,15,0)),0,VLOOKUP($T$1658,'TAR FIN'!$A$1:$O$116,15,0))</f>
        <v>301.38</v>
      </c>
      <c r="X1658" s="6">
        <f>IF(ISERROR(VLOOKUP($U$1658,'TAR FIN'!$A$1:$O$116,15,0)),0,VLOOKUP($U$1658,'TAR FIN'!$A$1:$O$116,15,0))</f>
        <v>287.29000000000002</v>
      </c>
      <c r="Y1658" s="6"/>
      <c r="Z1658" s="6">
        <f ca="1">('TUSD BE'!$AM$56+'TUSD BF'!$AM$56+'TUSD CVA'!$AM$56)*(1-CUSTOS!$M$38)</f>
        <v>410.57781128100521</v>
      </c>
      <c r="AA1658" s="6">
        <f>('TE BE'!$AB$27+'TE BF'!$AB$27+'TE CVA'!$AB$27)*(1-CUSTOS!$M$38)</f>
        <v>309.85296222048811</v>
      </c>
      <c r="AB1658" s="6">
        <f>$K$1658*$V$1658</f>
        <v>0</v>
      </c>
      <c r="AC1658" s="6">
        <f>$M$1658*$W$1658</f>
        <v>-10503.997139999999</v>
      </c>
      <c r="AD1658" s="6">
        <f>$O$1658*$X$1658</f>
        <v>-10012.918370000001</v>
      </c>
      <c r="AE1658" s="6">
        <f>$K$1658*$Y$1658</f>
        <v>0</v>
      </c>
      <c r="AF1658" s="6">
        <f ca="1">$M$1658*$Z$1658</f>
        <v>-14309.868456576874</v>
      </c>
      <c r="AG1658" s="6">
        <f>$O$1658*$AA$1658</f>
        <v>-10799.305292270672</v>
      </c>
    </row>
    <row r="1659" spans="1:33" ht="11.25" customHeight="1" x14ac:dyDescent="0.25">
      <c r="A1659" s="4" t="s">
        <v>28</v>
      </c>
      <c r="B1659" s="4" t="s">
        <v>44</v>
      </c>
      <c r="C1659" s="4" t="s">
        <v>23</v>
      </c>
      <c r="D1659" s="4" t="s">
        <v>45</v>
      </c>
      <c r="E1659" s="4" t="s">
        <v>25</v>
      </c>
      <c r="F1659" s="4" t="s">
        <v>25</v>
      </c>
      <c r="G1659" s="4" t="s">
        <v>25</v>
      </c>
      <c r="H1659" s="4" t="s">
        <v>25</v>
      </c>
      <c r="I1659" s="5">
        <v>44440</v>
      </c>
      <c r="J1659" s="6">
        <v>0</v>
      </c>
      <c r="K1659" s="6">
        <v>0</v>
      </c>
      <c r="L1659" s="6">
        <v>630.15599999999995</v>
      </c>
      <c r="M1659" s="6">
        <v>630.15599999999995</v>
      </c>
      <c r="N1659" s="6">
        <v>630.15599999999995</v>
      </c>
      <c r="O1659" s="6">
        <v>630.15599999999995</v>
      </c>
      <c r="P1659" s="6">
        <v>2358</v>
      </c>
      <c r="Q1659" s="4" t="s">
        <v>26</v>
      </c>
      <c r="R1659" s="4">
        <v>0</v>
      </c>
      <c r="S1659" s="6">
        <v>0</v>
      </c>
      <c r="T1659" s="6">
        <v>54</v>
      </c>
      <c r="U1659" s="6">
        <v>97</v>
      </c>
      <c r="V1659" s="6">
        <f>IF(ISERROR(VLOOKUP($S$1659,'TAR FIN'!$A$1:$O$116,15,0)),0,VLOOKUP($S$1659,'TAR FIN'!$A$1:$O$116,15,0))</f>
        <v>0</v>
      </c>
      <c r="W1659" s="6">
        <f>IF(ISERROR(VLOOKUP($T$1659,'TAR FIN'!$A$1:$O$116,15,0)),0,VLOOKUP($T$1659,'TAR FIN'!$A$1:$O$116,15,0))</f>
        <v>301.38</v>
      </c>
      <c r="X1659" s="6">
        <f>IF(ISERROR(VLOOKUP($U$1659,'TAR FIN'!$A$1:$O$116,15,0)),0,VLOOKUP($U$1659,'TAR FIN'!$A$1:$O$116,15,0))</f>
        <v>287.29000000000002</v>
      </c>
      <c r="Y1659" s="6"/>
      <c r="Z1659" s="6">
        <f ca="1">('TUSD BE'!$AM$56+'TUSD BF'!$AM$56+'TUSD CVA'!$AM$56)*(1-CUSTOS!$M$38)</f>
        <v>410.57781128100521</v>
      </c>
      <c r="AA1659" s="6">
        <f>('TE BE'!$AB$27+'TE BF'!$AB$27+'TE CVA'!$AB$27)*(1-CUSTOS!$M$38)</f>
        <v>309.85296222048811</v>
      </c>
      <c r="AB1659" s="6">
        <f>$K$1659*$V$1659</f>
        <v>0</v>
      </c>
      <c r="AC1659" s="6">
        <f>$M$1659*$W$1659</f>
        <v>189916.41527999999</v>
      </c>
      <c r="AD1659" s="6">
        <f>$O$1659*$X$1659</f>
        <v>181037.51723999999</v>
      </c>
      <c r="AE1659" s="6">
        <f>$K$1659*$Y$1659</f>
        <v>0</v>
      </c>
      <c r="AF1659" s="6">
        <f ca="1">$M$1659*$Z$1659</f>
        <v>258728.07124559311</v>
      </c>
      <c r="AG1659" s="6">
        <f>$O$1659*$AA$1659</f>
        <v>195255.7032610139</v>
      </c>
    </row>
    <row r="1660" spans="1:33" ht="11.25" customHeight="1" x14ac:dyDescent="0.25">
      <c r="A1660" s="4" t="s">
        <v>28</v>
      </c>
      <c r="B1660" s="4" t="s">
        <v>44</v>
      </c>
      <c r="C1660" s="4" t="s">
        <v>23</v>
      </c>
      <c r="D1660" s="4" t="s">
        <v>45</v>
      </c>
      <c r="E1660" s="4" t="s">
        <v>25</v>
      </c>
      <c r="F1660" s="4" t="s">
        <v>25</v>
      </c>
      <c r="G1660" s="4" t="s">
        <v>25</v>
      </c>
      <c r="H1660" s="4" t="s">
        <v>25</v>
      </c>
      <c r="I1660" s="5">
        <v>44440</v>
      </c>
      <c r="J1660" s="6">
        <v>0</v>
      </c>
      <c r="K1660" s="6">
        <v>0</v>
      </c>
      <c r="L1660" s="6">
        <v>-18.785</v>
      </c>
      <c r="M1660" s="6">
        <v>-18.785</v>
      </c>
      <c r="N1660" s="6">
        <v>-18.785</v>
      </c>
      <c r="O1660" s="6">
        <v>-18.785</v>
      </c>
      <c r="P1660" s="6">
        <v>0</v>
      </c>
      <c r="Q1660" s="4" t="s">
        <v>26</v>
      </c>
      <c r="R1660" s="4">
        <v>0</v>
      </c>
      <c r="S1660" s="6">
        <v>0</v>
      </c>
      <c r="T1660" s="6">
        <v>54</v>
      </c>
      <c r="U1660" s="6">
        <v>97</v>
      </c>
      <c r="V1660" s="6">
        <f>IF(ISERROR(VLOOKUP($S$1660,'TAR FIN'!$A$1:$O$116,15,0)),0,VLOOKUP($S$1660,'TAR FIN'!$A$1:$O$116,15,0))</f>
        <v>0</v>
      </c>
      <c r="W1660" s="6">
        <f>IF(ISERROR(VLOOKUP($T$1660,'TAR FIN'!$A$1:$O$116,15,0)),0,VLOOKUP($T$1660,'TAR FIN'!$A$1:$O$116,15,0))</f>
        <v>301.38</v>
      </c>
      <c r="X1660" s="6">
        <f>IF(ISERROR(VLOOKUP($U$1660,'TAR FIN'!$A$1:$O$116,15,0)),0,VLOOKUP($U$1660,'TAR FIN'!$A$1:$O$116,15,0))</f>
        <v>287.29000000000002</v>
      </c>
      <c r="Y1660" s="6"/>
      <c r="Z1660" s="6">
        <f ca="1">('TUSD BE'!$AM$56+'TUSD BF'!$AM$56+'TUSD CVA'!$AM$56)*(1-CUSTOS!$M$38)</f>
        <v>410.57781128100521</v>
      </c>
      <c r="AA1660" s="6">
        <f>('TE BE'!$AB$27+'TE BF'!$AB$27+'TE CVA'!$AB$27)*(1-CUSTOS!$M$38)</f>
        <v>309.85296222048811</v>
      </c>
      <c r="AB1660" s="6">
        <f>$K$1660*$V$1660</f>
        <v>0</v>
      </c>
      <c r="AC1660" s="6">
        <f>$M$1660*$W$1660</f>
        <v>-5661.4233000000004</v>
      </c>
      <c r="AD1660" s="6">
        <f>$O$1660*$X$1660</f>
        <v>-5396.7426500000001</v>
      </c>
      <c r="AE1660" s="6">
        <f>$K$1660*$Y$1660</f>
        <v>0</v>
      </c>
      <c r="AF1660" s="6">
        <f ca="1">$M$1660*$Z$1660</f>
        <v>-7712.7041849136831</v>
      </c>
      <c r="AG1660" s="6">
        <f>$O$1660*$AA$1660</f>
        <v>-5820.587895311869</v>
      </c>
    </row>
    <row r="1661" spans="1:33" ht="11.25" customHeight="1" x14ac:dyDescent="0.25">
      <c r="A1661" s="4" t="s">
        <v>21</v>
      </c>
      <c r="B1661" s="4" t="s">
        <v>44</v>
      </c>
      <c r="C1661" s="4" t="s">
        <v>23</v>
      </c>
      <c r="D1661" s="4" t="s">
        <v>45</v>
      </c>
      <c r="E1661" s="4" t="s">
        <v>25</v>
      </c>
      <c r="F1661" s="4" t="s">
        <v>25</v>
      </c>
      <c r="G1661" s="4" t="s">
        <v>25</v>
      </c>
      <c r="H1661" s="4" t="s">
        <v>25</v>
      </c>
      <c r="I1661" s="5">
        <v>44470</v>
      </c>
      <c r="J1661" s="6">
        <v>0</v>
      </c>
      <c r="K1661" s="6">
        <v>0</v>
      </c>
      <c r="L1661" s="6">
        <v>13645.282999999999</v>
      </c>
      <c r="M1661" s="6">
        <v>13645.282999999999</v>
      </c>
      <c r="N1661" s="6">
        <v>13645.282999999999</v>
      </c>
      <c r="O1661" s="6">
        <v>13645.282999999999</v>
      </c>
      <c r="P1661" s="6">
        <v>69569</v>
      </c>
      <c r="Q1661" s="4" t="s">
        <v>26</v>
      </c>
      <c r="R1661" s="4">
        <v>0</v>
      </c>
      <c r="S1661" s="6">
        <v>0</v>
      </c>
      <c r="T1661" s="6">
        <v>54</v>
      </c>
      <c r="U1661" s="6">
        <v>97</v>
      </c>
      <c r="V1661" s="6">
        <f>IF(ISERROR(VLOOKUP($S$1661,'TAR FIN'!$A$1:$O$116,15,0)),0,VLOOKUP($S$1661,'TAR FIN'!$A$1:$O$116,15,0))</f>
        <v>0</v>
      </c>
      <c r="W1661" s="6">
        <f>IF(ISERROR(VLOOKUP($T$1661,'TAR FIN'!$A$1:$O$116,15,0)),0,VLOOKUP($T$1661,'TAR FIN'!$A$1:$O$116,15,0))</f>
        <v>301.38</v>
      </c>
      <c r="X1661" s="6">
        <f>IF(ISERROR(VLOOKUP($U$1661,'TAR FIN'!$A$1:$O$116,15,0)),0,VLOOKUP($U$1661,'TAR FIN'!$A$1:$O$116,15,0))</f>
        <v>287.29000000000002</v>
      </c>
      <c r="Y1661" s="6"/>
      <c r="Z1661" s="6">
        <f ca="1">('TUSD BE'!$AM$56+'TUSD BF'!$AM$56+'TUSD CVA'!$AM$56)*(1-CUSTOS!$M$38)</f>
        <v>410.57781128100521</v>
      </c>
      <c r="AA1661" s="6">
        <f>('TE BE'!$AB$27+'TE BF'!$AB$27+'TE CVA'!$AB$27)*(1-CUSTOS!$M$38)</f>
        <v>309.85296222048811</v>
      </c>
      <c r="AB1661" s="6">
        <f>$K$1661*$V$1661</f>
        <v>0</v>
      </c>
      <c r="AC1661" s="6">
        <f>$M$1661*$W$1661</f>
        <v>4112415.3905399996</v>
      </c>
      <c r="AD1661" s="6">
        <f>$O$1661*$X$1661</f>
        <v>3920153.3530700002</v>
      </c>
      <c r="AE1661" s="6">
        <f>$K$1661*$Y$1661</f>
        <v>0</v>
      </c>
      <c r="AF1661" s="6">
        <f ca="1">$M$1661*$Z$1661</f>
        <v>5602450.4284499083</v>
      </c>
      <c r="AG1661" s="6">
        <f>$O$1661*$AA$1661</f>
        <v>4228031.3578868685</v>
      </c>
    </row>
    <row r="1662" spans="1:33" ht="11.25" customHeight="1" x14ac:dyDescent="0.25">
      <c r="A1662" s="4" t="s">
        <v>27</v>
      </c>
      <c r="B1662" s="4" t="s">
        <v>44</v>
      </c>
      <c r="C1662" s="4" t="s">
        <v>23</v>
      </c>
      <c r="D1662" s="4" t="s">
        <v>45</v>
      </c>
      <c r="E1662" s="4" t="s">
        <v>25</v>
      </c>
      <c r="F1662" s="4" t="s">
        <v>25</v>
      </c>
      <c r="G1662" s="4" t="s">
        <v>25</v>
      </c>
      <c r="H1662" s="4" t="s">
        <v>25</v>
      </c>
      <c r="I1662" s="5">
        <v>44470</v>
      </c>
      <c r="J1662" s="6">
        <v>0</v>
      </c>
      <c r="K1662" s="6">
        <v>0</v>
      </c>
      <c r="L1662" s="6">
        <v>-34.405999999999999</v>
      </c>
      <c r="M1662" s="6">
        <v>-34.405999999999999</v>
      </c>
      <c r="N1662" s="6">
        <v>-34.405999999999999</v>
      </c>
      <c r="O1662" s="6">
        <v>-34.405999999999999</v>
      </c>
      <c r="P1662" s="6">
        <v>-1</v>
      </c>
      <c r="Q1662" s="4" t="s">
        <v>26</v>
      </c>
      <c r="R1662" s="4">
        <v>0</v>
      </c>
      <c r="S1662" s="6">
        <v>0</v>
      </c>
      <c r="T1662" s="6">
        <v>54</v>
      </c>
      <c r="U1662" s="6">
        <v>97</v>
      </c>
      <c r="V1662" s="6">
        <f>IF(ISERROR(VLOOKUP($S$1662,'TAR FIN'!$A$1:$O$116,15,0)),0,VLOOKUP($S$1662,'TAR FIN'!$A$1:$O$116,15,0))</f>
        <v>0</v>
      </c>
      <c r="W1662" s="6">
        <f>IF(ISERROR(VLOOKUP($T$1662,'TAR FIN'!$A$1:$O$116,15,0)),0,VLOOKUP($T$1662,'TAR FIN'!$A$1:$O$116,15,0))</f>
        <v>301.38</v>
      </c>
      <c r="X1662" s="6">
        <f>IF(ISERROR(VLOOKUP($U$1662,'TAR FIN'!$A$1:$O$116,15,0)),0,VLOOKUP($U$1662,'TAR FIN'!$A$1:$O$116,15,0))</f>
        <v>287.29000000000002</v>
      </c>
      <c r="Y1662" s="6"/>
      <c r="Z1662" s="6">
        <f ca="1">('TUSD BE'!$AM$56+'TUSD BF'!$AM$56+'TUSD CVA'!$AM$56)*(1-CUSTOS!$M$38)</f>
        <v>410.57781128100521</v>
      </c>
      <c r="AA1662" s="6">
        <f>('TE BE'!$AB$27+'TE BF'!$AB$27+'TE CVA'!$AB$27)*(1-CUSTOS!$M$38)</f>
        <v>309.85296222048811</v>
      </c>
      <c r="AB1662" s="6">
        <f>$K$1662*$V$1662</f>
        <v>0</v>
      </c>
      <c r="AC1662" s="6">
        <f>$M$1662*$W$1662</f>
        <v>-10369.280279999999</v>
      </c>
      <c r="AD1662" s="6">
        <f>$O$1662*$X$1662</f>
        <v>-9884.4997400000011</v>
      </c>
      <c r="AE1662" s="6">
        <f>$K$1662*$Y$1662</f>
        <v>0</v>
      </c>
      <c r="AF1662" s="6">
        <f ca="1">$M$1662*$Z$1662</f>
        <v>-14126.340174934265</v>
      </c>
      <c r="AG1662" s="6">
        <f>$O$1662*$AA$1662</f>
        <v>-10660.801018158114</v>
      </c>
    </row>
    <row r="1663" spans="1:33" ht="11.25" customHeight="1" x14ac:dyDescent="0.25">
      <c r="A1663" s="4" t="s">
        <v>28</v>
      </c>
      <c r="B1663" s="4" t="s">
        <v>44</v>
      </c>
      <c r="C1663" s="4" t="s">
        <v>23</v>
      </c>
      <c r="D1663" s="4" t="s">
        <v>45</v>
      </c>
      <c r="E1663" s="4" t="s">
        <v>25</v>
      </c>
      <c r="F1663" s="4" t="s">
        <v>25</v>
      </c>
      <c r="G1663" s="4" t="s">
        <v>25</v>
      </c>
      <c r="H1663" s="4" t="s">
        <v>25</v>
      </c>
      <c r="I1663" s="5">
        <v>44470</v>
      </c>
      <c r="J1663" s="6">
        <v>0</v>
      </c>
      <c r="K1663" s="6">
        <v>0</v>
      </c>
      <c r="L1663" s="6">
        <v>731.678</v>
      </c>
      <c r="M1663" s="6">
        <v>731.678</v>
      </c>
      <c r="N1663" s="6">
        <v>731.678</v>
      </c>
      <c r="O1663" s="6">
        <v>731.678</v>
      </c>
      <c r="P1663" s="6">
        <v>2487</v>
      </c>
      <c r="Q1663" s="4" t="s">
        <v>26</v>
      </c>
      <c r="R1663" s="4">
        <v>0</v>
      </c>
      <c r="S1663" s="6">
        <v>0</v>
      </c>
      <c r="T1663" s="6">
        <v>54</v>
      </c>
      <c r="U1663" s="6">
        <v>97</v>
      </c>
      <c r="V1663" s="6">
        <f>IF(ISERROR(VLOOKUP($S$1663,'TAR FIN'!$A$1:$O$116,15,0)),0,VLOOKUP($S$1663,'TAR FIN'!$A$1:$O$116,15,0))</f>
        <v>0</v>
      </c>
      <c r="W1663" s="6">
        <f>IF(ISERROR(VLOOKUP($T$1663,'TAR FIN'!$A$1:$O$116,15,0)),0,VLOOKUP($T$1663,'TAR FIN'!$A$1:$O$116,15,0))</f>
        <v>301.38</v>
      </c>
      <c r="X1663" s="6">
        <f>IF(ISERROR(VLOOKUP($U$1663,'TAR FIN'!$A$1:$O$116,15,0)),0,VLOOKUP($U$1663,'TAR FIN'!$A$1:$O$116,15,0))</f>
        <v>287.29000000000002</v>
      </c>
      <c r="Y1663" s="6"/>
      <c r="Z1663" s="6">
        <f ca="1">('TUSD BE'!$AM$56+'TUSD BF'!$AM$56+'TUSD CVA'!$AM$56)*(1-CUSTOS!$M$38)</f>
        <v>410.57781128100521</v>
      </c>
      <c r="AA1663" s="6">
        <f>('TE BE'!$AB$27+'TE BF'!$AB$27+'TE CVA'!$AB$27)*(1-CUSTOS!$M$38)</f>
        <v>309.85296222048811</v>
      </c>
      <c r="AB1663" s="6">
        <f>$K$1663*$V$1663</f>
        <v>0</v>
      </c>
      <c r="AC1663" s="6">
        <f>$M$1663*$W$1663</f>
        <v>220513.11564</v>
      </c>
      <c r="AD1663" s="6">
        <f>$O$1663*$X$1663</f>
        <v>210203.77262</v>
      </c>
      <c r="AE1663" s="6">
        <f>$K$1663*$Y$1663</f>
        <v>0</v>
      </c>
      <c r="AF1663" s="6">
        <f ca="1">$M$1663*$Z$1663</f>
        <v>300410.75180246332</v>
      </c>
      <c r="AG1663" s="6">
        <f>$O$1663*$AA$1663</f>
        <v>226712.59569156231</v>
      </c>
    </row>
    <row r="1664" spans="1:33" ht="11.25" customHeight="1" x14ac:dyDescent="0.25">
      <c r="A1664" s="4" t="s">
        <v>28</v>
      </c>
      <c r="B1664" s="4" t="s">
        <v>44</v>
      </c>
      <c r="C1664" s="4" t="s">
        <v>23</v>
      </c>
      <c r="D1664" s="4" t="s">
        <v>45</v>
      </c>
      <c r="E1664" s="4" t="s">
        <v>25</v>
      </c>
      <c r="F1664" s="4" t="s">
        <v>25</v>
      </c>
      <c r="G1664" s="4" t="s">
        <v>25</v>
      </c>
      <c r="H1664" s="4" t="s">
        <v>25</v>
      </c>
      <c r="I1664" s="5">
        <v>44470</v>
      </c>
      <c r="J1664" s="6">
        <v>0</v>
      </c>
      <c r="K1664" s="6">
        <v>0</v>
      </c>
      <c r="L1664" s="6">
        <v>-8.0990000000000002</v>
      </c>
      <c r="M1664" s="6">
        <v>-8.0990000000000002</v>
      </c>
      <c r="N1664" s="6">
        <v>-8.0990000000000002</v>
      </c>
      <c r="O1664" s="6">
        <v>-8.0990000000000002</v>
      </c>
      <c r="P1664" s="6">
        <v>0</v>
      </c>
      <c r="Q1664" s="4" t="s">
        <v>26</v>
      </c>
      <c r="R1664" s="4">
        <v>0</v>
      </c>
      <c r="S1664" s="6">
        <v>0</v>
      </c>
      <c r="T1664" s="6">
        <v>54</v>
      </c>
      <c r="U1664" s="6">
        <v>97</v>
      </c>
      <c r="V1664" s="6">
        <f>IF(ISERROR(VLOOKUP($S$1664,'TAR FIN'!$A$1:$O$116,15,0)),0,VLOOKUP($S$1664,'TAR FIN'!$A$1:$O$116,15,0))</f>
        <v>0</v>
      </c>
      <c r="W1664" s="6">
        <f>IF(ISERROR(VLOOKUP($T$1664,'TAR FIN'!$A$1:$O$116,15,0)),0,VLOOKUP($T$1664,'TAR FIN'!$A$1:$O$116,15,0))</f>
        <v>301.38</v>
      </c>
      <c r="X1664" s="6">
        <f>IF(ISERROR(VLOOKUP($U$1664,'TAR FIN'!$A$1:$O$116,15,0)),0,VLOOKUP($U$1664,'TAR FIN'!$A$1:$O$116,15,0))</f>
        <v>287.29000000000002</v>
      </c>
      <c r="Y1664" s="6"/>
      <c r="Z1664" s="6">
        <f ca="1">('TUSD BE'!$AM$56+'TUSD BF'!$AM$56+'TUSD CVA'!$AM$56)*(1-CUSTOS!$M$38)</f>
        <v>410.57781128100521</v>
      </c>
      <c r="AA1664" s="6">
        <f>('TE BE'!$AB$27+'TE BF'!$AB$27+'TE CVA'!$AB$27)*(1-CUSTOS!$M$38)</f>
        <v>309.85296222048811</v>
      </c>
      <c r="AB1664" s="6">
        <f>$K$1664*$V$1664</f>
        <v>0</v>
      </c>
      <c r="AC1664" s="6">
        <f>$M$1664*$W$1664</f>
        <v>-2440.87662</v>
      </c>
      <c r="AD1664" s="6">
        <f>$O$1664*$X$1664</f>
        <v>-2326.7617100000002</v>
      </c>
      <c r="AE1664" s="6">
        <f>$K$1664*$Y$1664</f>
        <v>0</v>
      </c>
      <c r="AF1664" s="6">
        <f ca="1">$M$1664*$Z$1664</f>
        <v>-3325.2696935648614</v>
      </c>
      <c r="AG1664" s="6">
        <f>$O$1664*$AA$1664</f>
        <v>-2509.499141023733</v>
      </c>
    </row>
    <row r="1665" spans="1:33" ht="11.25" customHeight="1" x14ac:dyDescent="0.25">
      <c r="A1665" s="4" t="s">
        <v>21</v>
      </c>
      <c r="B1665" s="4" t="s">
        <v>44</v>
      </c>
      <c r="C1665" s="4" t="s">
        <v>23</v>
      </c>
      <c r="D1665" s="4" t="s">
        <v>45</v>
      </c>
      <c r="E1665" s="4" t="s">
        <v>25</v>
      </c>
      <c r="F1665" s="4" t="s">
        <v>25</v>
      </c>
      <c r="G1665" s="4" t="s">
        <v>25</v>
      </c>
      <c r="H1665" s="4" t="s">
        <v>25</v>
      </c>
      <c r="I1665" s="5">
        <v>44501</v>
      </c>
      <c r="J1665" s="6">
        <v>0</v>
      </c>
      <c r="K1665" s="6">
        <v>0</v>
      </c>
      <c r="L1665" s="6">
        <v>13051.726000000001</v>
      </c>
      <c r="M1665" s="6">
        <v>13051.726000000001</v>
      </c>
      <c r="N1665" s="6">
        <v>13051.726000000001</v>
      </c>
      <c r="O1665" s="6">
        <v>13051.726000000001</v>
      </c>
      <c r="P1665" s="6">
        <v>69267</v>
      </c>
      <c r="Q1665" s="4" t="s">
        <v>26</v>
      </c>
      <c r="R1665" s="4">
        <v>0</v>
      </c>
      <c r="S1665" s="6">
        <v>0</v>
      </c>
      <c r="T1665" s="6">
        <v>54</v>
      </c>
      <c r="U1665" s="6">
        <v>97</v>
      </c>
      <c r="V1665" s="6">
        <f>IF(ISERROR(VLOOKUP($S$1665,'TAR FIN'!$A$1:$O$116,15,0)),0,VLOOKUP($S$1665,'TAR FIN'!$A$1:$O$116,15,0))</f>
        <v>0</v>
      </c>
      <c r="W1665" s="6">
        <f>IF(ISERROR(VLOOKUP($T$1665,'TAR FIN'!$A$1:$O$116,15,0)),0,VLOOKUP($T$1665,'TAR FIN'!$A$1:$O$116,15,0))</f>
        <v>301.38</v>
      </c>
      <c r="X1665" s="6">
        <f>IF(ISERROR(VLOOKUP($U$1665,'TAR FIN'!$A$1:$O$116,15,0)),0,VLOOKUP($U$1665,'TAR FIN'!$A$1:$O$116,15,0))</f>
        <v>287.29000000000002</v>
      </c>
      <c r="Y1665" s="6"/>
      <c r="Z1665" s="6">
        <f ca="1">('TUSD BE'!$AM$56+'TUSD BF'!$AM$56+'TUSD CVA'!$AM$56)*(1-CUSTOS!$M$38)</f>
        <v>410.57781128100521</v>
      </c>
      <c r="AA1665" s="6">
        <f>('TE BE'!$AB$27+'TE BF'!$AB$27+'TE CVA'!$AB$27)*(1-CUSTOS!$M$38)</f>
        <v>309.85296222048811</v>
      </c>
      <c r="AB1665" s="6">
        <f>$K$1665*$V$1665</f>
        <v>0</v>
      </c>
      <c r="AC1665" s="6">
        <f>$M$1665*$W$1665</f>
        <v>3933529.18188</v>
      </c>
      <c r="AD1665" s="6">
        <f>$O$1665*$X$1665</f>
        <v>3749630.3625400006</v>
      </c>
      <c r="AE1665" s="6">
        <f>$K$1665*$Y$1665</f>
        <v>0</v>
      </c>
      <c r="AF1665" s="6">
        <f ca="1">$M$1665*$Z$1665</f>
        <v>5358749.0945193889</v>
      </c>
      <c r="AG1665" s="6">
        <f>$O$1665*$AA$1665</f>
        <v>4044115.9631901626</v>
      </c>
    </row>
    <row r="1666" spans="1:33" ht="11.25" customHeight="1" x14ac:dyDescent="0.25">
      <c r="A1666" s="4" t="s">
        <v>27</v>
      </c>
      <c r="B1666" s="4" t="s">
        <v>44</v>
      </c>
      <c r="C1666" s="4" t="s">
        <v>23</v>
      </c>
      <c r="D1666" s="4" t="s">
        <v>45</v>
      </c>
      <c r="E1666" s="4" t="s">
        <v>25</v>
      </c>
      <c r="F1666" s="4" t="s">
        <v>25</v>
      </c>
      <c r="G1666" s="4" t="s">
        <v>25</v>
      </c>
      <c r="H1666" s="4" t="s">
        <v>25</v>
      </c>
      <c r="I1666" s="5">
        <v>44501</v>
      </c>
      <c r="J1666" s="6">
        <v>0</v>
      </c>
      <c r="K1666" s="6">
        <v>0</v>
      </c>
      <c r="L1666" s="6">
        <v>-31.488</v>
      </c>
      <c r="M1666" s="6">
        <v>-31.488</v>
      </c>
      <c r="N1666" s="6">
        <v>-31.488</v>
      </c>
      <c r="O1666" s="6">
        <v>-31.488</v>
      </c>
      <c r="P1666" s="6">
        <v>0</v>
      </c>
      <c r="Q1666" s="4" t="s">
        <v>26</v>
      </c>
      <c r="R1666" s="4">
        <v>0</v>
      </c>
      <c r="S1666" s="6">
        <v>0</v>
      </c>
      <c r="T1666" s="6">
        <v>54</v>
      </c>
      <c r="U1666" s="6">
        <v>97</v>
      </c>
      <c r="V1666" s="6">
        <f>IF(ISERROR(VLOOKUP($S$1666,'TAR FIN'!$A$1:$O$116,15,0)),0,VLOOKUP($S$1666,'TAR FIN'!$A$1:$O$116,15,0))</f>
        <v>0</v>
      </c>
      <c r="W1666" s="6">
        <f>IF(ISERROR(VLOOKUP($T$1666,'TAR FIN'!$A$1:$O$116,15,0)),0,VLOOKUP($T$1666,'TAR FIN'!$A$1:$O$116,15,0))</f>
        <v>301.38</v>
      </c>
      <c r="X1666" s="6">
        <f>IF(ISERROR(VLOOKUP($U$1666,'TAR FIN'!$A$1:$O$116,15,0)),0,VLOOKUP($U$1666,'TAR FIN'!$A$1:$O$116,15,0))</f>
        <v>287.29000000000002</v>
      </c>
      <c r="Y1666" s="6"/>
      <c r="Z1666" s="6">
        <f ca="1">('TUSD BE'!$AM$56+'TUSD BF'!$AM$56+'TUSD CVA'!$AM$56)*(1-CUSTOS!$M$38)</f>
        <v>410.57781128100521</v>
      </c>
      <c r="AA1666" s="6">
        <f>('TE BE'!$AB$27+'TE BF'!$AB$27+'TE CVA'!$AB$27)*(1-CUSTOS!$M$38)</f>
        <v>309.85296222048811</v>
      </c>
      <c r="AB1666" s="6">
        <f>$K$1666*$V$1666</f>
        <v>0</v>
      </c>
      <c r="AC1666" s="6">
        <f>$M$1666*$W$1666</f>
        <v>-9489.853439999999</v>
      </c>
      <c r="AD1666" s="6">
        <f>$O$1666*$X$1666</f>
        <v>-9046.1875200000013</v>
      </c>
      <c r="AE1666" s="6">
        <f>$K$1666*$Y$1666</f>
        <v>0</v>
      </c>
      <c r="AF1666" s="6">
        <f ca="1">$M$1666*$Z$1666</f>
        <v>-12928.274121616292</v>
      </c>
      <c r="AG1666" s="6">
        <f>$O$1666*$AA$1666</f>
        <v>-9756.650074398729</v>
      </c>
    </row>
    <row r="1667" spans="1:33" ht="11.25" customHeight="1" x14ac:dyDescent="0.25">
      <c r="A1667" s="4" t="s">
        <v>28</v>
      </c>
      <c r="B1667" s="4" t="s">
        <v>44</v>
      </c>
      <c r="C1667" s="4" t="s">
        <v>23</v>
      </c>
      <c r="D1667" s="4" t="s">
        <v>45</v>
      </c>
      <c r="E1667" s="4" t="s">
        <v>25</v>
      </c>
      <c r="F1667" s="4" t="s">
        <v>25</v>
      </c>
      <c r="G1667" s="4" t="s">
        <v>25</v>
      </c>
      <c r="H1667" s="4" t="s">
        <v>25</v>
      </c>
      <c r="I1667" s="5">
        <v>44501</v>
      </c>
      <c r="J1667" s="6">
        <v>0</v>
      </c>
      <c r="K1667" s="6">
        <v>0</v>
      </c>
      <c r="L1667" s="6">
        <v>762.12599999999998</v>
      </c>
      <c r="M1667" s="6">
        <v>762.12599999999998</v>
      </c>
      <c r="N1667" s="6">
        <v>762.12599999999998</v>
      </c>
      <c r="O1667" s="6">
        <v>762.12599999999998</v>
      </c>
      <c r="P1667" s="6">
        <v>2670</v>
      </c>
      <c r="Q1667" s="4" t="s">
        <v>26</v>
      </c>
      <c r="R1667" s="4">
        <v>0</v>
      </c>
      <c r="S1667" s="6">
        <v>0</v>
      </c>
      <c r="T1667" s="6">
        <v>54</v>
      </c>
      <c r="U1667" s="6">
        <v>97</v>
      </c>
      <c r="V1667" s="6">
        <f>IF(ISERROR(VLOOKUP($S$1667,'TAR FIN'!$A$1:$O$116,15,0)),0,VLOOKUP($S$1667,'TAR FIN'!$A$1:$O$116,15,0))</f>
        <v>0</v>
      </c>
      <c r="W1667" s="6">
        <f>IF(ISERROR(VLOOKUP($T$1667,'TAR FIN'!$A$1:$O$116,15,0)),0,VLOOKUP($T$1667,'TAR FIN'!$A$1:$O$116,15,0))</f>
        <v>301.38</v>
      </c>
      <c r="X1667" s="6">
        <f>IF(ISERROR(VLOOKUP($U$1667,'TAR FIN'!$A$1:$O$116,15,0)),0,VLOOKUP($U$1667,'TAR FIN'!$A$1:$O$116,15,0))</f>
        <v>287.29000000000002</v>
      </c>
      <c r="Y1667" s="6"/>
      <c r="Z1667" s="6">
        <f ca="1">('TUSD BE'!$AM$56+'TUSD BF'!$AM$56+'TUSD CVA'!$AM$56)*(1-CUSTOS!$M$38)</f>
        <v>410.57781128100521</v>
      </c>
      <c r="AA1667" s="6">
        <f>('TE BE'!$AB$27+'TE BF'!$AB$27+'TE CVA'!$AB$27)*(1-CUSTOS!$M$38)</f>
        <v>309.85296222048811</v>
      </c>
      <c r="AB1667" s="6">
        <f>$K$1667*$V$1667</f>
        <v>0</v>
      </c>
      <c r="AC1667" s="6">
        <f>$M$1667*$W$1667</f>
        <v>229689.53388</v>
      </c>
      <c r="AD1667" s="6">
        <f>$O$1667*$X$1667</f>
        <v>218951.17854000002</v>
      </c>
      <c r="AE1667" s="6">
        <f>$K$1667*$Y$1667</f>
        <v>0</v>
      </c>
      <c r="AF1667" s="6">
        <f ca="1">$M$1667*$Z$1667</f>
        <v>312912.02500034735</v>
      </c>
      <c r="AG1667" s="6">
        <f>$O$1667*$AA$1667</f>
        <v>236146.99868525172</v>
      </c>
    </row>
    <row r="1668" spans="1:33" ht="11.25" customHeight="1" x14ac:dyDescent="0.25">
      <c r="A1668" s="4" t="s">
        <v>28</v>
      </c>
      <c r="B1668" s="4" t="s">
        <v>44</v>
      </c>
      <c r="C1668" s="4" t="s">
        <v>23</v>
      </c>
      <c r="D1668" s="4" t="s">
        <v>45</v>
      </c>
      <c r="E1668" s="4" t="s">
        <v>25</v>
      </c>
      <c r="F1668" s="4" t="s">
        <v>25</v>
      </c>
      <c r="G1668" s="4" t="s">
        <v>25</v>
      </c>
      <c r="H1668" s="4" t="s">
        <v>25</v>
      </c>
      <c r="I1668" s="5">
        <v>44501</v>
      </c>
      <c r="J1668" s="6">
        <v>0</v>
      </c>
      <c r="K1668" s="6">
        <v>0</v>
      </c>
      <c r="L1668" s="6">
        <v>-17.606999999999999</v>
      </c>
      <c r="M1668" s="6">
        <v>-17.606999999999999</v>
      </c>
      <c r="N1668" s="6">
        <v>-17.606999999999999</v>
      </c>
      <c r="O1668" s="6">
        <v>-17.606999999999999</v>
      </c>
      <c r="P1668" s="6">
        <v>0</v>
      </c>
      <c r="Q1668" s="4" t="s">
        <v>26</v>
      </c>
      <c r="R1668" s="4">
        <v>0</v>
      </c>
      <c r="S1668" s="6">
        <v>0</v>
      </c>
      <c r="T1668" s="6">
        <v>54</v>
      </c>
      <c r="U1668" s="6">
        <v>97</v>
      </c>
      <c r="V1668" s="6">
        <f>IF(ISERROR(VLOOKUP($S$1668,'TAR FIN'!$A$1:$O$116,15,0)),0,VLOOKUP($S$1668,'TAR FIN'!$A$1:$O$116,15,0))</f>
        <v>0</v>
      </c>
      <c r="W1668" s="6">
        <f>IF(ISERROR(VLOOKUP($T$1668,'TAR FIN'!$A$1:$O$116,15,0)),0,VLOOKUP($T$1668,'TAR FIN'!$A$1:$O$116,15,0))</f>
        <v>301.38</v>
      </c>
      <c r="X1668" s="6">
        <f>IF(ISERROR(VLOOKUP($U$1668,'TAR FIN'!$A$1:$O$116,15,0)),0,VLOOKUP($U$1668,'TAR FIN'!$A$1:$O$116,15,0))</f>
        <v>287.29000000000002</v>
      </c>
      <c r="Y1668" s="6"/>
      <c r="Z1668" s="6">
        <f ca="1">('TUSD BE'!$AM$56+'TUSD BF'!$AM$56+'TUSD CVA'!$AM$56)*(1-CUSTOS!$M$38)</f>
        <v>410.57781128100521</v>
      </c>
      <c r="AA1668" s="6">
        <f>('TE BE'!$AB$27+'TE BF'!$AB$27+'TE CVA'!$AB$27)*(1-CUSTOS!$M$38)</f>
        <v>309.85296222048811</v>
      </c>
      <c r="AB1668" s="6">
        <f>$K$1668*$V$1668</f>
        <v>0</v>
      </c>
      <c r="AC1668" s="6">
        <f>$M$1668*$W$1668</f>
        <v>-5306.3976599999996</v>
      </c>
      <c r="AD1668" s="6">
        <f>$O$1668*$X$1668</f>
        <v>-5058.3150299999998</v>
      </c>
      <c r="AE1668" s="6">
        <f>$K$1668*$Y$1668</f>
        <v>0</v>
      </c>
      <c r="AF1668" s="6">
        <f ca="1">$M$1668*$Z$1668</f>
        <v>-7229.0435232246582</v>
      </c>
      <c r="AG1668" s="6">
        <f>$O$1668*$AA$1668</f>
        <v>-5455.5811058161344</v>
      </c>
    </row>
    <row r="1669" spans="1:33" ht="11.25" customHeight="1" x14ac:dyDescent="0.25">
      <c r="A1669" s="4" t="s">
        <v>21</v>
      </c>
      <c r="B1669" s="4" t="s">
        <v>44</v>
      </c>
      <c r="C1669" s="4" t="s">
        <v>23</v>
      </c>
      <c r="D1669" s="4" t="s">
        <v>45</v>
      </c>
      <c r="E1669" s="4" t="s">
        <v>25</v>
      </c>
      <c r="F1669" s="4" t="s">
        <v>25</v>
      </c>
      <c r="G1669" s="4" t="s">
        <v>25</v>
      </c>
      <c r="H1669" s="4" t="s">
        <v>25</v>
      </c>
      <c r="I1669" s="5">
        <v>44531</v>
      </c>
      <c r="J1669" s="6">
        <v>0</v>
      </c>
      <c r="K1669" s="6">
        <v>0</v>
      </c>
      <c r="L1669" s="6">
        <v>13130.179</v>
      </c>
      <c r="M1669" s="6">
        <v>13130.179</v>
      </c>
      <c r="N1669" s="6">
        <v>13130.179</v>
      </c>
      <c r="O1669" s="6">
        <v>13130.179</v>
      </c>
      <c r="P1669" s="6">
        <v>69133</v>
      </c>
      <c r="Q1669" s="4" t="s">
        <v>26</v>
      </c>
      <c r="R1669" s="4">
        <v>0</v>
      </c>
      <c r="S1669" s="6">
        <v>0</v>
      </c>
      <c r="T1669" s="6">
        <v>54</v>
      </c>
      <c r="U1669" s="6">
        <v>97</v>
      </c>
      <c r="V1669" s="6">
        <f>IF(ISERROR(VLOOKUP($S$1669,'TAR FIN'!$A$1:$O$116,15,0)),0,VLOOKUP($S$1669,'TAR FIN'!$A$1:$O$116,15,0))</f>
        <v>0</v>
      </c>
      <c r="W1669" s="6">
        <f>IF(ISERROR(VLOOKUP($T$1669,'TAR FIN'!$A$1:$O$116,15,0)),0,VLOOKUP($T$1669,'TAR FIN'!$A$1:$O$116,15,0))</f>
        <v>301.38</v>
      </c>
      <c r="X1669" s="6">
        <f>IF(ISERROR(VLOOKUP($U$1669,'TAR FIN'!$A$1:$O$116,15,0)),0,VLOOKUP($U$1669,'TAR FIN'!$A$1:$O$116,15,0))</f>
        <v>287.29000000000002</v>
      </c>
      <c r="Y1669" s="6"/>
      <c r="Z1669" s="6">
        <f ca="1">('TUSD BE'!$AM$56+'TUSD BF'!$AM$56+'TUSD CVA'!$AM$56)*(1-CUSTOS!$M$38)</f>
        <v>410.57781128100521</v>
      </c>
      <c r="AA1669" s="6">
        <f>('TE BE'!$AB$27+'TE BF'!$AB$27+'TE CVA'!$AB$27)*(1-CUSTOS!$M$38)</f>
        <v>309.85296222048811</v>
      </c>
      <c r="AB1669" s="6">
        <f>$K$1669*$V$1669</f>
        <v>0</v>
      </c>
      <c r="AC1669" s="6">
        <f>$M$1669*$W$1669</f>
        <v>3957173.3470199998</v>
      </c>
      <c r="AD1669" s="6">
        <f>$O$1669*$X$1669</f>
        <v>3772169.1249100002</v>
      </c>
      <c r="AE1669" s="6">
        <f>$K$1669*$Y$1669</f>
        <v>0</v>
      </c>
      <c r="AF1669" s="6">
        <f ca="1">$M$1669*$Z$1669</f>
        <v>5390960.1555478182</v>
      </c>
      <c r="AG1669" s="6">
        <f>$O$1669*$AA$1669</f>
        <v>4068424.8576352466</v>
      </c>
    </row>
    <row r="1670" spans="1:33" ht="11.25" customHeight="1" x14ac:dyDescent="0.25">
      <c r="A1670" s="4" t="s">
        <v>27</v>
      </c>
      <c r="B1670" s="4" t="s">
        <v>44</v>
      </c>
      <c r="C1670" s="4" t="s">
        <v>23</v>
      </c>
      <c r="D1670" s="4" t="s">
        <v>45</v>
      </c>
      <c r="E1670" s="4" t="s">
        <v>25</v>
      </c>
      <c r="F1670" s="4" t="s">
        <v>25</v>
      </c>
      <c r="G1670" s="4" t="s">
        <v>25</v>
      </c>
      <c r="H1670" s="4" t="s">
        <v>25</v>
      </c>
      <c r="I1670" s="5">
        <v>44531</v>
      </c>
      <c r="J1670" s="6">
        <v>0</v>
      </c>
      <c r="K1670" s="6">
        <v>0</v>
      </c>
      <c r="L1670" s="6">
        <v>-73.209999999999994</v>
      </c>
      <c r="M1670" s="6">
        <v>-73.209999999999994</v>
      </c>
      <c r="N1670" s="6">
        <v>-73.209999999999994</v>
      </c>
      <c r="O1670" s="6">
        <v>-73.209999999999994</v>
      </c>
      <c r="P1670" s="6">
        <v>-11</v>
      </c>
      <c r="Q1670" s="4" t="s">
        <v>26</v>
      </c>
      <c r="R1670" s="4">
        <v>0</v>
      </c>
      <c r="S1670" s="6">
        <v>0</v>
      </c>
      <c r="T1670" s="6">
        <v>54</v>
      </c>
      <c r="U1670" s="6">
        <v>97</v>
      </c>
      <c r="V1670" s="6">
        <f>IF(ISERROR(VLOOKUP($S$1670,'TAR FIN'!$A$1:$O$116,15,0)),0,VLOOKUP($S$1670,'TAR FIN'!$A$1:$O$116,15,0))</f>
        <v>0</v>
      </c>
      <c r="W1670" s="6">
        <f>IF(ISERROR(VLOOKUP($T$1670,'TAR FIN'!$A$1:$O$116,15,0)),0,VLOOKUP($T$1670,'TAR FIN'!$A$1:$O$116,15,0))</f>
        <v>301.38</v>
      </c>
      <c r="X1670" s="6">
        <f>IF(ISERROR(VLOOKUP($U$1670,'TAR FIN'!$A$1:$O$116,15,0)),0,VLOOKUP($U$1670,'TAR FIN'!$A$1:$O$116,15,0))</f>
        <v>287.29000000000002</v>
      </c>
      <c r="Y1670" s="6"/>
      <c r="Z1670" s="6">
        <f ca="1">('TUSD BE'!$AM$56+'TUSD BF'!$AM$56+'TUSD CVA'!$AM$56)*(1-CUSTOS!$M$38)</f>
        <v>410.57781128100521</v>
      </c>
      <c r="AA1670" s="6">
        <f>('TE BE'!$AB$27+'TE BF'!$AB$27+'TE CVA'!$AB$27)*(1-CUSTOS!$M$38)</f>
        <v>309.85296222048811</v>
      </c>
      <c r="AB1670" s="6">
        <f>$K$1670*$V$1670</f>
        <v>0</v>
      </c>
      <c r="AC1670" s="6">
        <f>$M$1670*$W$1670</f>
        <v>-22064.029799999997</v>
      </c>
      <c r="AD1670" s="6">
        <f>$O$1670*$X$1670</f>
        <v>-21032.500899999999</v>
      </c>
      <c r="AE1670" s="6">
        <f>$K$1670*$Y$1670</f>
        <v>0</v>
      </c>
      <c r="AF1670" s="6">
        <f ca="1">$M$1670*$Z$1670</f>
        <v>-30058.401563882388</v>
      </c>
      <c r="AG1670" s="6">
        <f>$O$1670*$AA$1670</f>
        <v>-22684.335364161932</v>
      </c>
    </row>
    <row r="1671" spans="1:33" ht="11.25" customHeight="1" x14ac:dyDescent="0.25">
      <c r="A1671" s="4" t="s">
        <v>28</v>
      </c>
      <c r="B1671" s="4" t="s">
        <v>44</v>
      </c>
      <c r="C1671" s="4" t="s">
        <v>23</v>
      </c>
      <c r="D1671" s="4" t="s">
        <v>45</v>
      </c>
      <c r="E1671" s="4" t="s">
        <v>25</v>
      </c>
      <c r="F1671" s="4" t="s">
        <v>25</v>
      </c>
      <c r="G1671" s="4" t="s">
        <v>25</v>
      </c>
      <c r="H1671" s="4" t="s">
        <v>25</v>
      </c>
      <c r="I1671" s="5">
        <v>44531</v>
      </c>
      <c r="J1671" s="6">
        <v>0</v>
      </c>
      <c r="K1671" s="6">
        <v>0</v>
      </c>
      <c r="L1671" s="6">
        <v>746.39300000000003</v>
      </c>
      <c r="M1671" s="6">
        <v>746.39300000000003</v>
      </c>
      <c r="N1671" s="6">
        <v>746.39300000000003</v>
      </c>
      <c r="O1671" s="6">
        <v>746.39300000000003</v>
      </c>
      <c r="P1671" s="6">
        <v>2870</v>
      </c>
      <c r="Q1671" s="4" t="s">
        <v>26</v>
      </c>
      <c r="R1671" s="4">
        <v>0</v>
      </c>
      <c r="S1671" s="6">
        <v>0</v>
      </c>
      <c r="T1671" s="6">
        <v>54</v>
      </c>
      <c r="U1671" s="6">
        <v>97</v>
      </c>
      <c r="V1671" s="6">
        <f>IF(ISERROR(VLOOKUP($S$1671,'TAR FIN'!$A$1:$O$116,15,0)),0,VLOOKUP($S$1671,'TAR FIN'!$A$1:$O$116,15,0))</f>
        <v>0</v>
      </c>
      <c r="W1671" s="6">
        <f>IF(ISERROR(VLOOKUP($T$1671,'TAR FIN'!$A$1:$O$116,15,0)),0,VLOOKUP($T$1671,'TAR FIN'!$A$1:$O$116,15,0))</f>
        <v>301.38</v>
      </c>
      <c r="X1671" s="6">
        <f>IF(ISERROR(VLOOKUP($U$1671,'TAR FIN'!$A$1:$O$116,15,0)),0,VLOOKUP($U$1671,'TAR FIN'!$A$1:$O$116,15,0))</f>
        <v>287.29000000000002</v>
      </c>
      <c r="Y1671" s="6"/>
      <c r="Z1671" s="6">
        <f ca="1">('TUSD BE'!$AM$56+'TUSD BF'!$AM$56+'TUSD CVA'!$AM$56)*(1-CUSTOS!$M$38)</f>
        <v>410.57781128100521</v>
      </c>
      <c r="AA1671" s="6">
        <f>('TE BE'!$AB$27+'TE BF'!$AB$27+'TE CVA'!$AB$27)*(1-CUSTOS!$M$38)</f>
        <v>309.85296222048811</v>
      </c>
      <c r="AB1671" s="6">
        <f>$K$1671*$V$1671</f>
        <v>0</v>
      </c>
      <c r="AC1671" s="6">
        <f>$M$1671*$W$1671</f>
        <v>224947.92234000002</v>
      </c>
      <c r="AD1671" s="6">
        <f>$O$1671*$X$1671</f>
        <v>214431.24497000003</v>
      </c>
      <c r="AE1671" s="6">
        <f>$K$1671*$Y$1671</f>
        <v>0</v>
      </c>
      <c r="AF1671" s="6">
        <f ca="1">$M$1671*$Z$1671</f>
        <v>306452.40429546335</v>
      </c>
      <c r="AG1671" s="6">
        <f>$O$1671*$AA$1671</f>
        <v>231272.08203063678</v>
      </c>
    </row>
    <row r="1672" spans="1:33" ht="11.25" customHeight="1" x14ac:dyDescent="0.25">
      <c r="A1672" s="4" t="s">
        <v>28</v>
      </c>
      <c r="B1672" s="4" t="s">
        <v>44</v>
      </c>
      <c r="C1672" s="4" t="s">
        <v>23</v>
      </c>
      <c r="D1672" s="4" t="s">
        <v>45</v>
      </c>
      <c r="E1672" s="4" t="s">
        <v>25</v>
      </c>
      <c r="F1672" s="4" t="s">
        <v>25</v>
      </c>
      <c r="G1672" s="4" t="s">
        <v>25</v>
      </c>
      <c r="H1672" s="4" t="s">
        <v>25</v>
      </c>
      <c r="I1672" s="5">
        <v>44531</v>
      </c>
      <c r="J1672" s="6">
        <v>0</v>
      </c>
      <c r="K1672" s="6">
        <v>0</v>
      </c>
      <c r="L1672" s="6">
        <v>-25.323</v>
      </c>
      <c r="M1672" s="6">
        <v>-25.323</v>
      </c>
      <c r="N1672" s="6">
        <v>-25.323</v>
      </c>
      <c r="O1672" s="6">
        <v>-25.323</v>
      </c>
      <c r="P1672" s="6">
        <v>0</v>
      </c>
      <c r="Q1672" s="4" t="s">
        <v>26</v>
      </c>
      <c r="R1672" s="4">
        <v>0</v>
      </c>
      <c r="S1672" s="6">
        <v>0</v>
      </c>
      <c r="T1672" s="6">
        <v>54</v>
      </c>
      <c r="U1672" s="6">
        <v>97</v>
      </c>
      <c r="V1672" s="6">
        <f>IF(ISERROR(VLOOKUP($S$1672,'TAR FIN'!$A$1:$O$116,15,0)),0,VLOOKUP($S$1672,'TAR FIN'!$A$1:$O$116,15,0))</f>
        <v>0</v>
      </c>
      <c r="W1672" s="6">
        <f>IF(ISERROR(VLOOKUP($T$1672,'TAR FIN'!$A$1:$O$116,15,0)),0,VLOOKUP($T$1672,'TAR FIN'!$A$1:$O$116,15,0))</f>
        <v>301.38</v>
      </c>
      <c r="X1672" s="6">
        <f>IF(ISERROR(VLOOKUP($U$1672,'TAR FIN'!$A$1:$O$116,15,0)),0,VLOOKUP($U$1672,'TAR FIN'!$A$1:$O$116,15,0))</f>
        <v>287.29000000000002</v>
      </c>
      <c r="Y1672" s="6"/>
      <c r="Z1672" s="6">
        <f ca="1">('TUSD BE'!$AM$56+'TUSD BF'!$AM$56+'TUSD CVA'!$AM$56)*(1-CUSTOS!$M$38)</f>
        <v>410.57781128100521</v>
      </c>
      <c r="AA1672" s="6">
        <f>('TE BE'!$AB$27+'TE BF'!$AB$27+'TE CVA'!$AB$27)*(1-CUSTOS!$M$38)</f>
        <v>309.85296222048811</v>
      </c>
      <c r="AB1672" s="6">
        <f>$K$1672*$V$1672</f>
        <v>0</v>
      </c>
      <c r="AC1672" s="6">
        <f>$M$1672*$W$1672</f>
        <v>-7631.8457399999998</v>
      </c>
      <c r="AD1672" s="6">
        <f>$O$1672*$X$1672</f>
        <v>-7275.0446700000002</v>
      </c>
      <c r="AE1672" s="6">
        <f>$K$1672*$Y$1672</f>
        <v>0</v>
      </c>
      <c r="AF1672" s="6">
        <f ca="1">$M$1672*$Z$1672</f>
        <v>-10397.061915068894</v>
      </c>
      <c r="AG1672" s="6">
        <f>$O$1672*$AA$1672</f>
        <v>-7846.4065623094202</v>
      </c>
    </row>
    <row r="1673" spans="1:33" ht="11.25" customHeight="1" x14ac:dyDescent="0.25">
      <c r="A1673" s="4" t="s">
        <v>21</v>
      </c>
      <c r="B1673" s="4" t="s">
        <v>44</v>
      </c>
      <c r="C1673" s="4" t="s">
        <v>23</v>
      </c>
      <c r="D1673" s="4" t="s">
        <v>45</v>
      </c>
      <c r="E1673" s="4" t="s">
        <v>25</v>
      </c>
      <c r="F1673" s="4" t="s">
        <v>25</v>
      </c>
      <c r="G1673" s="4" t="s">
        <v>25</v>
      </c>
      <c r="H1673" s="4" t="s">
        <v>25</v>
      </c>
      <c r="I1673" s="5">
        <v>44562</v>
      </c>
      <c r="J1673" s="6">
        <v>0</v>
      </c>
      <c r="K1673" s="6">
        <v>0</v>
      </c>
      <c r="L1673" s="6">
        <v>12697.468000000001</v>
      </c>
      <c r="M1673" s="6">
        <v>12697.468000000001</v>
      </c>
      <c r="N1673" s="6">
        <v>12697.468000000001</v>
      </c>
      <c r="O1673" s="6">
        <v>12697.468000000001</v>
      </c>
      <c r="P1673" s="6">
        <v>66146</v>
      </c>
      <c r="Q1673" s="4" t="s">
        <v>26</v>
      </c>
      <c r="R1673" s="4">
        <v>0</v>
      </c>
      <c r="S1673" s="6">
        <v>0</v>
      </c>
      <c r="T1673" s="6">
        <v>54</v>
      </c>
      <c r="U1673" s="6">
        <v>97</v>
      </c>
      <c r="V1673" s="6">
        <f>IF(ISERROR(VLOOKUP($S$1673,'TAR FIN'!$A$1:$O$116,15,0)),0,VLOOKUP($S$1673,'TAR FIN'!$A$1:$O$116,15,0))</f>
        <v>0</v>
      </c>
      <c r="W1673" s="6">
        <f>IF(ISERROR(VLOOKUP($T$1673,'TAR FIN'!$A$1:$O$116,15,0)),0,VLOOKUP($T$1673,'TAR FIN'!$A$1:$O$116,15,0))</f>
        <v>301.38</v>
      </c>
      <c r="X1673" s="6">
        <f>IF(ISERROR(VLOOKUP($U$1673,'TAR FIN'!$A$1:$O$116,15,0)),0,VLOOKUP($U$1673,'TAR FIN'!$A$1:$O$116,15,0))</f>
        <v>287.29000000000002</v>
      </c>
      <c r="Y1673" s="6"/>
      <c r="Z1673" s="6">
        <f ca="1">('TUSD BE'!$AM$56+'TUSD BF'!$AM$56+'TUSD CVA'!$AM$56)*(1-CUSTOS!$M$38)</f>
        <v>410.57781128100521</v>
      </c>
      <c r="AA1673" s="6">
        <f>('TE BE'!$AB$27+'TE BF'!$AB$27+'TE CVA'!$AB$27)*(1-CUSTOS!$M$38)</f>
        <v>309.85296222048811</v>
      </c>
      <c r="AB1673" s="6">
        <f>$K$1673*$V$1673</f>
        <v>0</v>
      </c>
      <c r="AC1673" s="6">
        <f>$M$1673*$W$1673</f>
        <v>3826762.9058400001</v>
      </c>
      <c r="AD1673" s="6">
        <f>$O$1673*$X$1673</f>
        <v>3647855.5817200006</v>
      </c>
      <c r="AE1673" s="6">
        <f>$K$1673*$Y$1673</f>
        <v>0</v>
      </c>
      <c r="AF1673" s="6">
        <f ca="1">$M$1673*$Z$1673</f>
        <v>5213298.6202506032</v>
      </c>
      <c r="AG1673" s="6">
        <f>$O$1673*$AA$1673</f>
        <v>3934348.0724998568</v>
      </c>
    </row>
    <row r="1674" spans="1:33" ht="11.25" customHeight="1" x14ac:dyDescent="0.25">
      <c r="A1674" s="4" t="s">
        <v>27</v>
      </c>
      <c r="B1674" s="4" t="s">
        <v>44</v>
      </c>
      <c r="C1674" s="4" t="s">
        <v>23</v>
      </c>
      <c r="D1674" s="4" t="s">
        <v>45</v>
      </c>
      <c r="E1674" s="4" t="s">
        <v>25</v>
      </c>
      <c r="F1674" s="4" t="s">
        <v>25</v>
      </c>
      <c r="G1674" s="4" t="s">
        <v>25</v>
      </c>
      <c r="H1674" s="4" t="s">
        <v>25</v>
      </c>
      <c r="I1674" s="5">
        <v>44562</v>
      </c>
      <c r="J1674" s="6">
        <v>0</v>
      </c>
      <c r="K1674" s="6">
        <v>0</v>
      </c>
      <c r="L1674" s="6">
        <v>126.062</v>
      </c>
      <c r="M1674" s="6">
        <v>126.062</v>
      </c>
      <c r="N1674" s="6">
        <v>126.062</v>
      </c>
      <c r="O1674" s="6">
        <v>126.062</v>
      </c>
      <c r="P1674" s="6">
        <v>109</v>
      </c>
      <c r="Q1674" s="4" t="s">
        <v>26</v>
      </c>
      <c r="R1674" s="4">
        <v>0</v>
      </c>
      <c r="S1674" s="6">
        <v>0</v>
      </c>
      <c r="T1674" s="6">
        <v>54</v>
      </c>
      <c r="U1674" s="6">
        <v>97</v>
      </c>
      <c r="V1674" s="6">
        <f>IF(ISERROR(VLOOKUP($S$1674,'TAR FIN'!$A$1:$O$116,15,0)),0,VLOOKUP($S$1674,'TAR FIN'!$A$1:$O$116,15,0))</f>
        <v>0</v>
      </c>
      <c r="W1674" s="6">
        <f>IF(ISERROR(VLOOKUP($T$1674,'TAR FIN'!$A$1:$O$116,15,0)),0,VLOOKUP($T$1674,'TAR FIN'!$A$1:$O$116,15,0))</f>
        <v>301.38</v>
      </c>
      <c r="X1674" s="6">
        <f>IF(ISERROR(VLOOKUP($U$1674,'TAR FIN'!$A$1:$O$116,15,0)),0,VLOOKUP($U$1674,'TAR FIN'!$A$1:$O$116,15,0))</f>
        <v>287.29000000000002</v>
      </c>
      <c r="Y1674" s="6"/>
      <c r="Z1674" s="6">
        <f ca="1">('TUSD BE'!$AM$56+'TUSD BF'!$AM$56+'TUSD CVA'!$AM$56)*(1-CUSTOS!$M$38)</f>
        <v>410.57781128100521</v>
      </c>
      <c r="AA1674" s="6">
        <f>('TE BE'!$AB$27+'TE BF'!$AB$27+'TE CVA'!$AB$27)*(1-CUSTOS!$M$38)</f>
        <v>309.85296222048811</v>
      </c>
      <c r="AB1674" s="6">
        <f>$K$1674*$V$1674</f>
        <v>0</v>
      </c>
      <c r="AC1674" s="6">
        <f>$M$1674*$W$1674</f>
        <v>37992.565559999995</v>
      </c>
      <c r="AD1674" s="6">
        <f>$O$1674*$X$1674</f>
        <v>36216.351979999999</v>
      </c>
      <c r="AE1674" s="6">
        <f>$K$1674*$Y$1674</f>
        <v>0</v>
      </c>
      <c r="AF1674" s="6">
        <f ca="1">$M$1674*$Z$1674</f>
        <v>51758.260045706076</v>
      </c>
      <c r="AG1674" s="6">
        <f>$O$1674*$AA$1674</f>
        <v>39060.684123439169</v>
      </c>
    </row>
    <row r="1675" spans="1:33" ht="11.25" customHeight="1" x14ac:dyDescent="0.25">
      <c r="A1675" s="4" t="s">
        <v>28</v>
      </c>
      <c r="B1675" s="4" t="s">
        <v>44</v>
      </c>
      <c r="C1675" s="4" t="s">
        <v>23</v>
      </c>
      <c r="D1675" s="4" t="s">
        <v>45</v>
      </c>
      <c r="E1675" s="4" t="s">
        <v>25</v>
      </c>
      <c r="F1675" s="4" t="s">
        <v>25</v>
      </c>
      <c r="G1675" s="4" t="s">
        <v>25</v>
      </c>
      <c r="H1675" s="4" t="s">
        <v>25</v>
      </c>
      <c r="I1675" s="5">
        <v>44562</v>
      </c>
      <c r="J1675" s="6">
        <v>0</v>
      </c>
      <c r="K1675" s="6">
        <v>0</v>
      </c>
      <c r="L1675" s="6">
        <v>717.596</v>
      </c>
      <c r="M1675" s="6">
        <v>717.596</v>
      </c>
      <c r="N1675" s="6">
        <v>717.596</v>
      </c>
      <c r="O1675" s="6">
        <v>717.596</v>
      </c>
      <c r="P1675" s="6">
        <v>3038</v>
      </c>
      <c r="Q1675" s="4" t="s">
        <v>26</v>
      </c>
      <c r="R1675" s="4">
        <v>0</v>
      </c>
      <c r="S1675" s="6">
        <v>0</v>
      </c>
      <c r="T1675" s="6">
        <v>54</v>
      </c>
      <c r="U1675" s="6">
        <v>97</v>
      </c>
      <c r="V1675" s="6">
        <f>IF(ISERROR(VLOOKUP($S$1675,'TAR FIN'!$A$1:$O$116,15,0)),0,VLOOKUP($S$1675,'TAR FIN'!$A$1:$O$116,15,0))</f>
        <v>0</v>
      </c>
      <c r="W1675" s="6">
        <f>IF(ISERROR(VLOOKUP($T$1675,'TAR FIN'!$A$1:$O$116,15,0)),0,VLOOKUP($T$1675,'TAR FIN'!$A$1:$O$116,15,0))</f>
        <v>301.38</v>
      </c>
      <c r="X1675" s="6">
        <f>IF(ISERROR(VLOOKUP($U$1675,'TAR FIN'!$A$1:$O$116,15,0)),0,VLOOKUP($U$1675,'TAR FIN'!$A$1:$O$116,15,0))</f>
        <v>287.29000000000002</v>
      </c>
      <c r="Y1675" s="6"/>
      <c r="Z1675" s="6">
        <f ca="1">('TUSD BE'!$AM$56+'TUSD BF'!$AM$56+'TUSD CVA'!$AM$56)*(1-CUSTOS!$M$38)</f>
        <v>410.57781128100521</v>
      </c>
      <c r="AA1675" s="6">
        <f>('TE BE'!$AB$27+'TE BF'!$AB$27+'TE CVA'!$AB$27)*(1-CUSTOS!$M$38)</f>
        <v>309.85296222048811</v>
      </c>
      <c r="AB1675" s="6">
        <f>$K$1675*$V$1675</f>
        <v>0</v>
      </c>
      <c r="AC1675" s="6">
        <f>$M$1675*$W$1675</f>
        <v>216269.08248000001</v>
      </c>
      <c r="AD1675" s="6">
        <f>$O$1675*$X$1675</f>
        <v>206158.15484</v>
      </c>
      <c r="AE1675" s="6">
        <f>$K$1675*$Y$1675</f>
        <v>0</v>
      </c>
      <c r="AF1675" s="6">
        <f ca="1">$M$1675*$Z$1675</f>
        <v>294628.99506400421</v>
      </c>
      <c r="AG1675" s="6">
        <f>$O$1675*$AA$1675</f>
        <v>222349.24627757337</v>
      </c>
    </row>
    <row r="1676" spans="1:33" ht="11.25" customHeight="1" x14ac:dyDescent="0.25">
      <c r="A1676" s="4" t="s">
        <v>28</v>
      </c>
      <c r="B1676" s="4" t="s">
        <v>44</v>
      </c>
      <c r="C1676" s="4" t="s">
        <v>23</v>
      </c>
      <c r="D1676" s="4" t="s">
        <v>45</v>
      </c>
      <c r="E1676" s="4" t="s">
        <v>25</v>
      </c>
      <c r="F1676" s="4" t="s">
        <v>25</v>
      </c>
      <c r="G1676" s="4" t="s">
        <v>25</v>
      </c>
      <c r="H1676" s="4" t="s">
        <v>25</v>
      </c>
      <c r="I1676" s="5">
        <v>44562</v>
      </c>
      <c r="J1676" s="6">
        <v>0</v>
      </c>
      <c r="K1676" s="6">
        <v>0</v>
      </c>
      <c r="L1676" s="6">
        <v>-9.07</v>
      </c>
      <c r="M1676" s="6">
        <v>-9.07</v>
      </c>
      <c r="N1676" s="6">
        <v>-9.07</v>
      </c>
      <c r="O1676" s="6">
        <v>-9.07</v>
      </c>
      <c r="P1676" s="6">
        <v>0</v>
      </c>
      <c r="Q1676" s="4" t="s">
        <v>26</v>
      </c>
      <c r="R1676" s="4">
        <v>0</v>
      </c>
      <c r="S1676" s="6">
        <v>0</v>
      </c>
      <c r="T1676" s="6">
        <v>54</v>
      </c>
      <c r="U1676" s="6">
        <v>97</v>
      </c>
      <c r="V1676" s="6">
        <f>IF(ISERROR(VLOOKUP($S$1676,'TAR FIN'!$A$1:$O$116,15,0)),0,VLOOKUP($S$1676,'TAR FIN'!$A$1:$O$116,15,0))</f>
        <v>0</v>
      </c>
      <c r="W1676" s="6">
        <f>IF(ISERROR(VLOOKUP($T$1676,'TAR FIN'!$A$1:$O$116,15,0)),0,VLOOKUP($T$1676,'TAR FIN'!$A$1:$O$116,15,0))</f>
        <v>301.38</v>
      </c>
      <c r="X1676" s="6">
        <f>IF(ISERROR(VLOOKUP($U$1676,'TAR FIN'!$A$1:$O$116,15,0)),0,VLOOKUP($U$1676,'TAR FIN'!$A$1:$O$116,15,0))</f>
        <v>287.29000000000002</v>
      </c>
      <c r="Y1676" s="6"/>
      <c r="Z1676" s="6">
        <f ca="1">('TUSD BE'!$AM$56+'TUSD BF'!$AM$56+'TUSD CVA'!$AM$56)*(1-CUSTOS!$M$38)</f>
        <v>410.57781128100521</v>
      </c>
      <c r="AA1676" s="6">
        <f>('TE BE'!$AB$27+'TE BF'!$AB$27+'TE CVA'!$AB$27)*(1-CUSTOS!$M$38)</f>
        <v>309.85296222048811</v>
      </c>
      <c r="AB1676" s="6">
        <f>$K$1676*$V$1676</f>
        <v>0</v>
      </c>
      <c r="AC1676" s="6">
        <f>$M$1676*$W$1676</f>
        <v>-2733.5165999999999</v>
      </c>
      <c r="AD1676" s="6">
        <f>$O$1676*$X$1676</f>
        <v>-2605.7203000000004</v>
      </c>
      <c r="AE1676" s="6">
        <f>$K$1676*$Y$1676</f>
        <v>0</v>
      </c>
      <c r="AF1676" s="6">
        <f ca="1">$M$1676*$Z$1676</f>
        <v>-3723.9407483187174</v>
      </c>
      <c r="AG1676" s="6">
        <f>$O$1676*$AA$1676</f>
        <v>-2810.3663673398273</v>
      </c>
    </row>
    <row r="1677" spans="1:33" ht="11.25" customHeight="1" x14ac:dyDescent="0.25">
      <c r="A1677" s="4" t="s">
        <v>21</v>
      </c>
      <c r="B1677" s="4" t="s">
        <v>44</v>
      </c>
      <c r="C1677" s="4" t="s">
        <v>23</v>
      </c>
      <c r="D1677" s="4" t="s">
        <v>45</v>
      </c>
      <c r="E1677" s="4" t="s">
        <v>25</v>
      </c>
      <c r="F1677" s="4" t="s">
        <v>25</v>
      </c>
      <c r="G1677" s="4" t="s">
        <v>25</v>
      </c>
      <c r="H1677" s="4" t="s">
        <v>25</v>
      </c>
      <c r="I1677" s="5">
        <v>44593</v>
      </c>
      <c r="J1677" s="6">
        <v>0</v>
      </c>
      <c r="K1677" s="6">
        <v>0</v>
      </c>
      <c r="L1677" s="6">
        <v>10315.221</v>
      </c>
      <c r="M1677" s="6">
        <v>10315.221</v>
      </c>
      <c r="N1677" s="6">
        <v>10315.221</v>
      </c>
      <c r="O1677" s="6">
        <v>10315.221</v>
      </c>
      <c r="P1677" s="6">
        <v>53898</v>
      </c>
      <c r="Q1677" s="4" t="s">
        <v>26</v>
      </c>
      <c r="R1677" s="4">
        <v>0</v>
      </c>
      <c r="S1677" s="6">
        <v>0</v>
      </c>
      <c r="T1677" s="6">
        <v>54</v>
      </c>
      <c r="U1677" s="6">
        <v>97</v>
      </c>
      <c r="V1677" s="6">
        <f>IF(ISERROR(VLOOKUP($S$1677,'TAR FIN'!$A$1:$O$116,15,0)),0,VLOOKUP($S$1677,'TAR FIN'!$A$1:$O$116,15,0))</f>
        <v>0</v>
      </c>
      <c r="W1677" s="6">
        <f>IF(ISERROR(VLOOKUP($T$1677,'TAR FIN'!$A$1:$O$116,15,0)),0,VLOOKUP($T$1677,'TAR FIN'!$A$1:$O$116,15,0))</f>
        <v>301.38</v>
      </c>
      <c r="X1677" s="6">
        <f>IF(ISERROR(VLOOKUP($U$1677,'TAR FIN'!$A$1:$O$116,15,0)),0,VLOOKUP($U$1677,'TAR FIN'!$A$1:$O$116,15,0))</f>
        <v>287.29000000000002</v>
      </c>
      <c r="Y1677" s="6"/>
      <c r="Z1677" s="6">
        <f ca="1">('TUSD BE'!$AM$56+'TUSD BF'!$AM$56+'TUSD CVA'!$AM$56)*(1-CUSTOS!$M$38)</f>
        <v>410.57781128100521</v>
      </c>
      <c r="AA1677" s="6">
        <f>('TE BE'!$AB$27+'TE BF'!$AB$27+'TE CVA'!$AB$27)*(1-CUSTOS!$M$38)</f>
        <v>309.85296222048811</v>
      </c>
      <c r="AB1677" s="6">
        <f>$K$1677*$V$1677</f>
        <v>0</v>
      </c>
      <c r="AC1677" s="6">
        <f>$M$1677*$W$1677</f>
        <v>3108801.30498</v>
      </c>
      <c r="AD1677" s="6">
        <f>$O$1677*$X$1677</f>
        <v>2963459.8410900002</v>
      </c>
      <c r="AE1677" s="6">
        <f>$K$1677*$Y$1677</f>
        <v>0</v>
      </c>
      <c r="AF1677" s="6">
        <f ca="1">$M$1677*$Z$1677</f>
        <v>4235200.8610598613</v>
      </c>
      <c r="AG1677" s="6">
        <f>$O$1677*$AA$1677</f>
        <v>3196201.7828089856</v>
      </c>
    </row>
    <row r="1678" spans="1:33" ht="11.25" customHeight="1" x14ac:dyDescent="0.25">
      <c r="A1678" s="4" t="s">
        <v>27</v>
      </c>
      <c r="B1678" s="4" t="s">
        <v>44</v>
      </c>
      <c r="C1678" s="4" t="s">
        <v>23</v>
      </c>
      <c r="D1678" s="4" t="s">
        <v>45</v>
      </c>
      <c r="E1678" s="4" t="s">
        <v>25</v>
      </c>
      <c r="F1678" s="4" t="s">
        <v>25</v>
      </c>
      <c r="G1678" s="4" t="s">
        <v>25</v>
      </c>
      <c r="H1678" s="4" t="s">
        <v>25</v>
      </c>
      <c r="I1678" s="5">
        <v>44593</v>
      </c>
      <c r="J1678" s="6">
        <v>0</v>
      </c>
      <c r="K1678" s="6">
        <v>0</v>
      </c>
      <c r="L1678" s="6">
        <v>-39.162999999999997</v>
      </c>
      <c r="M1678" s="6">
        <v>-39.162999999999997</v>
      </c>
      <c r="N1678" s="6">
        <v>-39.162999999999997</v>
      </c>
      <c r="O1678" s="6">
        <v>-39.162999999999997</v>
      </c>
      <c r="P1678" s="6">
        <v>7</v>
      </c>
      <c r="Q1678" s="4" t="s">
        <v>26</v>
      </c>
      <c r="R1678" s="4">
        <v>0</v>
      </c>
      <c r="S1678" s="6">
        <v>0</v>
      </c>
      <c r="T1678" s="6">
        <v>54</v>
      </c>
      <c r="U1678" s="6">
        <v>97</v>
      </c>
      <c r="V1678" s="6">
        <f>IF(ISERROR(VLOOKUP($S$1678,'TAR FIN'!$A$1:$O$116,15,0)),0,VLOOKUP($S$1678,'TAR FIN'!$A$1:$O$116,15,0))</f>
        <v>0</v>
      </c>
      <c r="W1678" s="6">
        <f>IF(ISERROR(VLOOKUP($T$1678,'TAR FIN'!$A$1:$O$116,15,0)),0,VLOOKUP($T$1678,'TAR FIN'!$A$1:$O$116,15,0))</f>
        <v>301.38</v>
      </c>
      <c r="X1678" s="6">
        <f>IF(ISERROR(VLOOKUP($U$1678,'TAR FIN'!$A$1:$O$116,15,0)),0,VLOOKUP($U$1678,'TAR FIN'!$A$1:$O$116,15,0))</f>
        <v>287.29000000000002</v>
      </c>
      <c r="Y1678" s="6"/>
      <c r="Z1678" s="6">
        <f ca="1">('TUSD BE'!$AM$56+'TUSD BF'!$AM$56+'TUSD CVA'!$AM$56)*(1-CUSTOS!$M$38)</f>
        <v>410.57781128100521</v>
      </c>
      <c r="AA1678" s="6">
        <f>('TE BE'!$AB$27+'TE BF'!$AB$27+'TE CVA'!$AB$27)*(1-CUSTOS!$M$38)</f>
        <v>309.85296222048811</v>
      </c>
      <c r="AB1678" s="6">
        <f>$K$1678*$V$1678</f>
        <v>0</v>
      </c>
      <c r="AC1678" s="6">
        <f>$M$1678*$W$1678</f>
        <v>-11802.944939999999</v>
      </c>
      <c r="AD1678" s="6">
        <f>$O$1678*$X$1678</f>
        <v>-11251.138269999999</v>
      </c>
      <c r="AE1678" s="6">
        <f>$K$1678*$Y$1678</f>
        <v>0</v>
      </c>
      <c r="AF1678" s="6">
        <f ca="1">$M$1678*$Z$1678</f>
        <v>-16079.458823198005</v>
      </c>
      <c r="AG1678" s="6">
        <f>$O$1678*$AA$1678</f>
        <v>-12134.771559440975</v>
      </c>
    </row>
    <row r="1679" spans="1:33" ht="11.25" customHeight="1" x14ac:dyDescent="0.25">
      <c r="A1679" s="4" t="s">
        <v>28</v>
      </c>
      <c r="B1679" s="4" t="s">
        <v>44</v>
      </c>
      <c r="C1679" s="4" t="s">
        <v>23</v>
      </c>
      <c r="D1679" s="4" t="s">
        <v>45</v>
      </c>
      <c r="E1679" s="4" t="s">
        <v>25</v>
      </c>
      <c r="F1679" s="4" t="s">
        <v>25</v>
      </c>
      <c r="G1679" s="4" t="s">
        <v>25</v>
      </c>
      <c r="H1679" s="4" t="s">
        <v>25</v>
      </c>
      <c r="I1679" s="5">
        <v>44593</v>
      </c>
      <c r="J1679" s="6">
        <v>0</v>
      </c>
      <c r="K1679" s="6">
        <v>0</v>
      </c>
      <c r="L1679" s="6">
        <v>776.41700000000003</v>
      </c>
      <c r="M1679" s="6">
        <v>776.41700000000003</v>
      </c>
      <c r="N1679" s="6">
        <v>776.41700000000003</v>
      </c>
      <c r="O1679" s="6">
        <v>776.41700000000003</v>
      </c>
      <c r="P1679" s="6">
        <v>3002</v>
      </c>
      <c r="Q1679" s="4" t="s">
        <v>26</v>
      </c>
      <c r="R1679" s="4">
        <v>0</v>
      </c>
      <c r="S1679" s="6">
        <v>0</v>
      </c>
      <c r="T1679" s="6">
        <v>54</v>
      </c>
      <c r="U1679" s="6">
        <v>97</v>
      </c>
      <c r="V1679" s="6">
        <f>IF(ISERROR(VLOOKUP($S$1679,'TAR FIN'!$A$1:$O$116,15,0)),0,VLOOKUP($S$1679,'TAR FIN'!$A$1:$O$116,15,0))</f>
        <v>0</v>
      </c>
      <c r="W1679" s="6">
        <f>IF(ISERROR(VLOOKUP($T$1679,'TAR FIN'!$A$1:$O$116,15,0)),0,VLOOKUP($T$1679,'TAR FIN'!$A$1:$O$116,15,0))</f>
        <v>301.38</v>
      </c>
      <c r="X1679" s="6">
        <f>IF(ISERROR(VLOOKUP($U$1679,'TAR FIN'!$A$1:$O$116,15,0)),0,VLOOKUP($U$1679,'TAR FIN'!$A$1:$O$116,15,0))</f>
        <v>287.29000000000002</v>
      </c>
      <c r="Y1679" s="6"/>
      <c r="Z1679" s="6">
        <f ca="1">('TUSD BE'!$AM$56+'TUSD BF'!$AM$56+'TUSD CVA'!$AM$56)*(1-CUSTOS!$M$38)</f>
        <v>410.57781128100521</v>
      </c>
      <c r="AA1679" s="6">
        <f>('TE BE'!$AB$27+'TE BF'!$AB$27+'TE CVA'!$AB$27)*(1-CUSTOS!$M$38)</f>
        <v>309.85296222048811</v>
      </c>
      <c r="AB1679" s="6">
        <f>$K$1679*$V$1679</f>
        <v>0</v>
      </c>
      <c r="AC1679" s="6">
        <f>$M$1679*$W$1679</f>
        <v>233996.55546</v>
      </c>
      <c r="AD1679" s="6">
        <f>$O$1679*$X$1679</f>
        <v>223056.83993000002</v>
      </c>
      <c r="AE1679" s="6">
        <f>$K$1679*$Y$1679</f>
        <v>0</v>
      </c>
      <c r="AF1679" s="6">
        <f ca="1">$M$1679*$Z$1679</f>
        <v>318779.59250136424</v>
      </c>
      <c r="AG1679" s="6">
        <f>$O$1679*$AA$1679</f>
        <v>240575.10736834473</v>
      </c>
    </row>
    <row r="1680" spans="1:33" ht="11.25" customHeight="1" x14ac:dyDescent="0.25">
      <c r="A1680" s="4" t="s">
        <v>28</v>
      </c>
      <c r="B1680" s="4" t="s">
        <v>44</v>
      </c>
      <c r="C1680" s="4" t="s">
        <v>23</v>
      </c>
      <c r="D1680" s="4" t="s">
        <v>45</v>
      </c>
      <c r="E1680" s="4" t="s">
        <v>25</v>
      </c>
      <c r="F1680" s="4" t="s">
        <v>25</v>
      </c>
      <c r="G1680" s="4" t="s">
        <v>25</v>
      </c>
      <c r="H1680" s="4" t="s">
        <v>25</v>
      </c>
      <c r="I1680" s="5">
        <v>44593</v>
      </c>
      <c r="J1680" s="6">
        <v>0</v>
      </c>
      <c r="K1680" s="6">
        <v>0</v>
      </c>
      <c r="L1680" s="6">
        <v>-1.3919999999999999</v>
      </c>
      <c r="M1680" s="6">
        <v>-1.3919999999999999</v>
      </c>
      <c r="N1680" s="6">
        <v>-1.3919999999999999</v>
      </c>
      <c r="O1680" s="6">
        <v>-1.3919999999999999</v>
      </c>
      <c r="P1680" s="6">
        <v>0</v>
      </c>
      <c r="Q1680" s="4" t="s">
        <v>26</v>
      </c>
      <c r="R1680" s="4">
        <v>0</v>
      </c>
      <c r="S1680" s="6">
        <v>0</v>
      </c>
      <c r="T1680" s="6">
        <v>54</v>
      </c>
      <c r="U1680" s="6">
        <v>97</v>
      </c>
      <c r="V1680" s="6">
        <f>IF(ISERROR(VLOOKUP($S$1680,'TAR FIN'!$A$1:$O$116,15,0)),0,VLOOKUP($S$1680,'TAR FIN'!$A$1:$O$116,15,0))</f>
        <v>0</v>
      </c>
      <c r="W1680" s="6">
        <f>IF(ISERROR(VLOOKUP($T$1680,'TAR FIN'!$A$1:$O$116,15,0)),0,VLOOKUP($T$1680,'TAR FIN'!$A$1:$O$116,15,0))</f>
        <v>301.38</v>
      </c>
      <c r="X1680" s="6">
        <f>IF(ISERROR(VLOOKUP($U$1680,'TAR FIN'!$A$1:$O$116,15,0)),0,VLOOKUP($U$1680,'TAR FIN'!$A$1:$O$116,15,0))</f>
        <v>287.29000000000002</v>
      </c>
      <c r="Y1680" s="6"/>
      <c r="Z1680" s="6">
        <f ca="1">('TUSD BE'!$AM$56+'TUSD BF'!$AM$56+'TUSD CVA'!$AM$56)*(1-CUSTOS!$M$38)</f>
        <v>410.57781128100521</v>
      </c>
      <c r="AA1680" s="6">
        <f>('TE BE'!$AB$27+'TE BF'!$AB$27+'TE CVA'!$AB$27)*(1-CUSTOS!$M$38)</f>
        <v>309.85296222048811</v>
      </c>
      <c r="AB1680" s="6">
        <f>$K$1680*$V$1680</f>
        <v>0</v>
      </c>
      <c r="AC1680" s="6">
        <f>$M$1680*$W$1680</f>
        <v>-419.52095999999995</v>
      </c>
      <c r="AD1680" s="6">
        <f>$O$1680*$X$1680</f>
        <v>-399.90768000000003</v>
      </c>
      <c r="AE1680" s="6">
        <f>$K$1680*$Y$1680</f>
        <v>0</v>
      </c>
      <c r="AF1680" s="6">
        <f ca="1">$M$1680*$Z$1680</f>
        <v>-571.52431330315926</v>
      </c>
      <c r="AG1680" s="6">
        <f>$O$1680*$AA$1680</f>
        <v>-431.3153234109194</v>
      </c>
    </row>
    <row r="1681" spans="1:33" ht="11.25" customHeight="1" x14ac:dyDescent="0.25">
      <c r="A1681" s="4" t="s">
        <v>21</v>
      </c>
      <c r="B1681" s="4" t="s">
        <v>44</v>
      </c>
      <c r="C1681" s="4" t="s">
        <v>23</v>
      </c>
      <c r="D1681" s="4" t="s">
        <v>45</v>
      </c>
      <c r="E1681" s="4" t="s">
        <v>25</v>
      </c>
      <c r="F1681" s="4" t="s">
        <v>25</v>
      </c>
      <c r="G1681" s="4" t="s">
        <v>25</v>
      </c>
      <c r="H1681" s="4" t="s">
        <v>25</v>
      </c>
      <c r="I1681" s="5">
        <v>44621</v>
      </c>
      <c r="J1681" s="6">
        <v>0</v>
      </c>
      <c r="K1681" s="6">
        <v>0</v>
      </c>
      <c r="L1681" s="6">
        <v>10406.697</v>
      </c>
      <c r="M1681" s="6">
        <v>10406.697</v>
      </c>
      <c r="N1681" s="6">
        <v>10406.697</v>
      </c>
      <c r="O1681" s="6">
        <v>10406.697</v>
      </c>
      <c r="P1681" s="6">
        <v>53732</v>
      </c>
      <c r="Q1681" s="4" t="s">
        <v>26</v>
      </c>
      <c r="R1681" s="4">
        <v>0</v>
      </c>
      <c r="S1681" s="6">
        <v>0</v>
      </c>
      <c r="T1681" s="6">
        <v>54</v>
      </c>
      <c r="U1681" s="6">
        <v>97</v>
      </c>
      <c r="V1681" s="6">
        <f>IF(ISERROR(VLOOKUP($S$1681,'TAR FIN'!$A$1:$O$116,15,0)),0,VLOOKUP($S$1681,'TAR FIN'!$A$1:$O$116,15,0))</f>
        <v>0</v>
      </c>
      <c r="W1681" s="6">
        <f>IF(ISERROR(VLOOKUP($T$1681,'TAR FIN'!$A$1:$O$116,15,0)),0,VLOOKUP($T$1681,'TAR FIN'!$A$1:$O$116,15,0))</f>
        <v>301.38</v>
      </c>
      <c r="X1681" s="6">
        <f>IF(ISERROR(VLOOKUP($U$1681,'TAR FIN'!$A$1:$O$116,15,0)),0,VLOOKUP($U$1681,'TAR FIN'!$A$1:$O$116,15,0))</f>
        <v>287.29000000000002</v>
      </c>
      <c r="Y1681" s="6"/>
      <c r="Z1681" s="6">
        <f ca="1">('TUSD BE'!$AM$56+'TUSD BF'!$AM$56+'TUSD CVA'!$AM$56)*(1-CUSTOS!$M$38)</f>
        <v>410.57781128100521</v>
      </c>
      <c r="AA1681" s="6">
        <f>('TE BE'!$AB$27+'TE BF'!$AB$27+'TE CVA'!$AB$27)*(1-CUSTOS!$M$38)</f>
        <v>309.85296222048811</v>
      </c>
      <c r="AB1681" s="6">
        <f>$K$1681*$V$1681</f>
        <v>0</v>
      </c>
      <c r="AC1681" s="6">
        <f>$M$1681*$W$1681</f>
        <v>3136370.34186</v>
      </c>
      <c r="AD1681" s="6">
        <f>$O$1681*$X$1681</f>
        <v>2989739.9811300002</v>
      </c>
      <c r="AE1681" s="6">
        <f>$K$1681*$Y$1681</f>
        <v>0</v>
      </c>
      <c r="AF1681" s="6">
        <f ca="1">$M$1681*$Z$1681</f>
        <v>4272758.8769246032</v>
      </c>
      <c r="AG1681" s="6">
        <f>$O$1681*$AA$1681</f>
        <v>3224545.8923810669</v>
      </c>
    </row>
    <row r="1682" spans="1:33" ht="11.25" customHeight="1" x14ac:dyDescent="0.25">
      <c r="A1682" s="4" t="s">
        <v>27</v>
      </c>
      <c r="B1682" s="4" t="s">
        <v>44</v>
      </c>
      <c r="C1682" s="4" t="s">
        <v>23</v>
      </c>
      <c r="D1682" s="4" t="s">
        <v>45</v>
      </c>
      <c r="E1682" s="4" t="s">
        <v>25</v>
      </c>
      <c r="F1682" s="4" t="s">
        <v>25</v>
      </c>
      <c r="G1682" s="4" t="s">
        <v>25</v>
      </c>
      <c r="H1682" s="4" t="s">
        <v>25</v>
      </c>
      <c r="I1682" s="5">
        <v>44621</v>
      </c>
      <c r="J1682" s="6">
        <v>0</v>
      </c>
      <c r="K1682" s="6">
        <v>0</v>
      </c>
      <c r="L1682" s="6">
        <v>-48.32</v>
      </c>
      <c r="M1682" s="6">
        <v>-48.32</v>
      </c>
      <c r="N1682" s="6">
        <v>-48.32</v>
      </c>
      <c r="O1682" s="6">
        <v>-48.32</v>
      </c>
      <c r="P1682" s="6">
        <v>0</v>
      </c>
      <c r="Q1682" s="4" t="s">
        <v>26</v>
      </c>
      <c r="R1682" s="4">
        <v>0</v>
      </c>
      <c r="S1682" s="6">
        <v>0</v>
      </c>
      <c r="T1682" s="6">
        <v>54</v>
      </c>
      <c r="U1682" s="6">
        <v>97</v>
      </c>
      <c r="V1682" s="6">
        <f>IF(ISERROR(VLOOKUP($S$1682,'TAR FIN'!$A$1:$O$116,15,0)),0,VLOOKUP($S$1682,'TAR FIN'!$A$1:$O$116,15,0))</f>
        <v>0</v>
      </c>
      <c r="W1682" s="6">
        <f>IF(ISERROR(VLOOKUP($T$1682,'TAR FIN'!$A$1:$O$116,15,0)),0,VLOOKUP($T$1682,'TAR FIN'!$A$1:$O$116,15,0))</f>
        <v>301.38</v>
      </c>
      <c r="X1682" s="6">
        <f>IF(ISERROR(VLOOKUP($U$1682,'TAR FIN'!$A$1:$O$116,15,0)),0,VLOOKUP($U$1682,'TAR FIN'!$A$1:$O$116,15,0))</f>
        <v>287.29000000000002</v>
      </c>
      <c r="Y1682" s="6"/>
      <c r="Z1682" s="6">
        <f ca="1">('TUSD BE'!$AM$56+'TUSD BF'!$AM$56+'TUSD CVA'!$AM$56)*(1-CUSTOS!$M$38)</f>
        <v>410.57781128100521</v>
      </c>
      <c r="AA1682" s="6">
        <f>('TE BE'!$AB$27+'TE BF'!$AB$27+'TE CVA'!$AB$27)*(1-CUSTOS!$M$38)</f>
        <v>309.85296222048811</v>
      </c>
      <c r="AB1682" s="6">
        <f>$K$1682*$V$1682</f>
        <v>0</v>
      </c>
      <c r="AC1682" s="6">
        <f>$M$1682*$W$1682</f>
        <v>-14562.6816</v>
      </c>
      <c r="AD1682" s="6">
        <f>$O$1682*$X$1682</f>
        <v>-13881.852800000001</v>
      </c>
      <c r="AE1682" s="6">
        <f>$K$1682*$Y$1682</f>
        <v>0</v>
      </c>
      <c r="AF1682" s="6">
        <f ca="1">$M$1682*$Z$1682</f>
        <v>-19839.119841098171</v>
      </c>
      <c r="AG1682" s="6">
        <f>$O$1682*$AA$1682</f>
        <v>-14972.095134493986</v>
      </c>
    </row>
    <row r="1683" spans="1:33" ht="11.25" customHeight="1" x14ac:dyDescent="0.25">
      <c r="A1683" s="4" t="s">
        <v>28</v>
      </c>
      <c r="B1683" s="4" t="s">
        <v>44</v>
      </c>
      <c r="C1683" s="4" t="s">
        <v>23</v>
      </c>
      <c r="D1683" s="4" t="s">
        <v>45</v>
      </c>
      <c r="E1683" s="4" t="s">
        <v>25</v>
      </c>
      <c r="F1683" s="4" t="s">
        <v>25</v>
      </c>
      <c r="G1683" s="4" t="s">
        <v>25</v>
      </c>
      <c r="H1683" s="4" t="s">
        <v>25</v>
      </c>
      <c r="I1683" s="5">
        <v>44621</v>
      </c>
      <c r="J1683" s="6">
        <v>0</v>
      </c>
      <c r="K1683" s="6">
        <v>0</v>
      </c>
      <c r="L1683" s="6">
        <v>716.80499999999995</v>
      </c>
      <c r="M1683" s="6">
        <v>716.80499999999995</v>
      </c>
      <c r="N1683" s="6">
        <v>716.80499999999995</v>
      </c>
      <c r="O1683" s="6">
        <v>716.80499999999995</v>
      </c>
      <c r="P1683" s="6">
        <v>3229</v>
      </c>
      <c r="Q1683" s="4" t="s">
        <v>26</v>
      </c>
      <c r="R1683" s="4">
        <v>0</v>
      </c>
      <c r="S1683" s="6">
        <v>0</v>
      </c>
      <c r="T1683" s="6">
        <v>54</v>
      </c>
      <c r="U1683" s="6">
        <v>97</v>
      </c>
      <c r="V1683" s="6">
        <f>IF(ISERROR(VLOOKUP($S$1683,'TAR FIN'!$A$1:$O$116,15,0)),0,VLOOKUP($S$1683,'TAR FIN'!$A$1:$O$116,15,0))</f>
        <v>0</v>
      </c>
      <c r="W1683" s="6">
        <f>IF(ISERROR(VLOOKUP($T$1683,'TAR FIN'!$A$1:$O$116,15,0)),0,VLOOKUP($T$1683,'TAR FIN'!$A$1:$O$116,15,0))</f>
        <v>301.38</v>
      </c>
      <c r="X1683" s="6">
        <f>IF(ISERROR(VLOOKUP($U$1683,'TAR FIN'!$A$1:$O$116,15,0)),0,VLOOKUP($U$1683,'TAR FIN'!$A$1:$O$116,15,0))</f>
        <v>287.29000000000002</v>
      </c>
      <c r="Y1683" s="6"/>
      <c r="Z1683" s="6">
        <f ca="1">('TUSD BE'!$AM$56+'TUSD BF'!$AM$56+'TUSD CVA'!$AM$56)*(1-CUSTOS!$M$38)</f>
        <v>410.57781128100521</v>
      </c>
      <c r="AA1683" s="6">
        <f>('TE BE'!$AB$27+'TE BF'!$AB$27+'TE CVA'!$AB$27)*(1-CUSTOS!$M$38)</f>
        <v>309.85296222048811</v>
      </c>
      <c r="AB1683" s="6">
        <f>$K$1683*$V$1683</f>
        <v>0</v>
      </c>
      <c r="AC1683" s="6">
        <f>$M$1683*$W$1683</f>
        <v>216030.69089999999</v>
      </c>
      <c r="AD1683" s="6">
        <f>$O$1683*$X$1683</f>
        <v>205930.90844999999</v>
      </c>
      <c r="AE1683" s="6">
        <f>$K$1683*$Y$1683</f>
        <v>0</v>
      </c>
      <c r="AF1683" s="6">
        <f ca="1">$M$1683*$Z$1683</f>
        <v>294304.22801528091</v>
      </c>
      <c r="AG1683" s="6">
        <f>$O$1683*$AA$1683</f>
        <v>222104.15258445696</v>
      </c>
    </row>
    <row r="1684" spans="1:33" ht="11.25" customHeight="1" x14ac:dyDescent="0.25">
      <c r="A1684" s="4" t="s">
        <v>28</v>
      </c>
      <c r="B1684" s="4" t="s">
        <v>44</v>
      </c>
      <c r="C1684" s="4" t="s">
        <v>23</v>
      </c>
      <c r="D1684" s="4" t="s">
        <v>45</v>
      </c>
      <c r="E1684" s="4" t="s">
        <v>25</v>
      </c>
      <c r="F1684" s="4" t="s">
        <v>25</v>
      </c>
      <c r="G1684" s="4" t="s">
        <v>25</v>
      </c>
      <c r="H1684" s="4" t="s">
        <v>25</v>
      </c>
      <c r="I1684" s="5">
        <v>44621</v>
      </c>
      <c r="J1684" s="6">
        <v>0</v>
      </c>
      <c r="K1684" s="6">
        <v>0</v>
      </c>
      <c r="L1684" s="6">
        <v>-36.679000000000002</v>
      </c>
      <c r="M1684" s="6">
        <v>-36.679000000000002</v>
      </c>
      <c r="N1684" s="6">
        <v>-36.679000000000002</v>
      </c>
      <c r="O1684" s="6">
        <v>-36.679000000000002</v>
      </c>
      <c r="P1684" s="6">
        <v>1</v>
      </c>
      <c r="Q1684" s="4" t="s">
        <v>26</v>
      </c>
      <c r="R1684" s="4">
        <v>0</v>
      </c>
      <c r="S1684" s="6">
        <v>0</v>
      </c>
      <c r="T1684" s="6">
        <v>54</v>
      </c>
      <c r="U1684" s="6">
        <v>97</v>
      </c>
      <c r="V1684" s="6">
        <f>IF(ISERROR(VLOOKUP($S$1684,'TAR FIN'!$A$1:$O$116,15,0)),0,VLOOKUP($S$1684,'TAR FIN'!$A$1:$O$116,15,0))</f>
        <v>0</v>
      </c>
      <c r="W1684" s="6">
        <f>IF(ISERROR(VLOOKUP($T$1684,'TAR FIN'!$A$1:$O$116,15,0)),0,VLOOKUP($T$1684,'TAR FIN'!$A$1:$O$116,15,0))</f>
        <v>301.38</v>
      </c>
      <c r="X1684" s="6">
        <f>IF(ISERROR(VLOOKUP($U$1684,'TAR FIN'!$A$1:$O$116,15,0)),0,VLOOKUP($U$1684,'TAR FIN'!$A$1:$O$116,15,0))</f>
        <v>287.29000000000002</v>
      </c>
      <c r="Y1684" s="6"/>
      <c r="Z1684" s="6">
        <f ca="1">('TUSD BE'!$AM$56+'TUSD BF'!$AM$56+'TUSD CVA'!$AM$56)*(1-CUSTOS!$M$38)</f>
        <v>410.57781128100521</v>
      </c>
      <c r="AA1684" s="6">
        <f>('TE BE'!$AB$27+'TE BF'!$AB$27+'TE CVA'!$AB$27)*(1-CUSTOS!$M$38)</f>
        <v>309.85296222048811</v>
      </c>
      <c r="AB1684" s="6">
        <f>$K$1684*$V$1684</f>
        <v>0</v>
      </c>
      <c r="AC1684" s="6">
        <f>$M$1684*$W$1684</f>
        <v>-11054.31702</v>
      </c>
      <c r="AD1684" s="6">
        <f>$O$1684*$X$1684</f>
        <v>-10537.509910000001</v>
      </c>
      <c r="AE1684" s="6">
        <f>$K$1684*$Y$1684</f>
        <v>0</v>
      </c>
      <c r="AF1684" s="6">
        <f ca="1">$M$1684*$Z$1684</f>
        <v>-15059.583539975991</v>
      </c>
      <c r="AG1684" s="6">
        <f>$O$1684*$AA$1684</f>
        <v>-11365.096801285285</v>
      </c>
    </row>
    <row r="1685" spans="1:33" ht="11.25" customHeight="1" x14ac:dyDescent="0.25">
      <c r="A1685" s="4" t="s">
        <v>21</v>
      </c>
      <c r="B1685" s="4" t="s">
        <v>44</v>
      </c>
      <c r="C1685" s="4" t="s">
        <v>23</v>
      </c>
      <c r="D1685" s="4" t="s">
        <v>45</v>
      </c>
      <c r="E1685" s="4" t="s">
        <v>25</v>
      </c>
      <c r="F1685" s="4" t="s">
        <v>25</v>
      </c>
      <c r="G1685" s="4" t="s">
        <v>25</v>
      </c>
      <c r="H1685" s="4" t="s">
        <v>25</v>
      </c>
      <c r="I1685" s="5">
        <v>44652</v>
      </c>
      <c r="J1685" s="6">
        <v>0</v>
      </c>
      <c r="K1685" s="6">
        <v>0</v>
      </c>
      <c r="L1685" s="6">
        <v>10525.566999999999</v>
      </c>
      <c r="M1685" s="6">
        <v>10525.566999999999</v>
      </c>
      <c r="N1685" s="6">
        <v>10525.566999999999</v>
      </c>
      <c r="O1685" s="6">
        <v>10525.566999999999</v>
      </c>
      <c r="P1685" s="6">
        <v>53843</v>
      </c>
      <c r="Q1685" s="4" t="s">
        <v>26</v>
      </c>
      <c r="R1685" s="4">
        <v>0</v>
      </c>
      <c r="S1685" s="6">
        <v>0</v>
      </c>
      <c r="T1685" s="6">
        <v>54</v>
      </c>
      <c r="U1685" s="6">
        <v>97</v>
      </c>
      <c r="V1685" s="6">
        <f>IF(ISERROR(VLOOKUP($S$1685,'TAR FIN'!$A$1:$O$116,15,0)),0,VLOOKUP($S$1685,'TAR FIN'!$A$1:$O$116,15,0))</f>
        <v>0</v>
      </c>
      <c r="W1685" s="6">
        <f>IF(ISERROR(VLOOKUP($T$1685,'TAR FIN'!$A$1:$O$116,15,0)),0,VLOOKUP($T$1685,'TAR FIN'!$A$1:$O$116,15,0))</f>
        <v>301.38</v>
      </c>
      <c r="X1685" s="6">
        <f>IF(ISERROR(VLOOKUP($U$1685,'TAR FIN'!$A$1:$O$116,15,0)),0,VLOOKUP($U$1685,'TAR FIN'!$A$1:$O$116,15,0))</f>
        <v>287.29000000000002</v>
      </c>
      <c r="Y1685" s="6"/>
      <c r="Z1685" s="6">
        <f ca="1">('TUSD BE'!$AM$56+'TUSD BF'!$AM$56+'TUSD CVA'!$AM$56)*(1-CUSTOS!$M$38)</f>
        <v>410.57781128100521</v>
      </c>
      <c r="AA1685" s="6">
        <f>('TE BE'!$AB$27+'TE BF'!$AB$27+'TE CVA'!$AB$27)*(1-CUSTOS!$M$38)</f>
        <v>309.85296222048811</v>
      </c>
      <c r="AB1685" s="6">
        <f>$K$1685*$V$1685</f>
        <v>0</v>
      </c>
      <c r="AC1685" s="6">
        <f>$M$1685*$W$1685</f>
        <v>3172195.3824599995</v>
      </c>
      <c r="AD1685" s="6">
        <f>$O$1685*$X$1685</f>
        <v>3023890.1434300002</v>
      </c>
      <c r="AE1685" s="6">
        <f>$K$1685*$Y$1685</f>
        <v>0</v>
      </c>
      <c r="AF1685" s="6">
        <f ca="1">$M$1685*$Z$1685</f>
        <v>4321564.2613515761</v>
      </c>
      <c r="AG1685" s="6">
        <f>$O$1685*$AA$1685</f>
        <v>3261378.1140002161</v>
      </c>
    </row>
    <row r="1686" spans="1:33" ht="11.25" customHeight="1" x14ac:dyDescent="0.25">
      <c r="A1686" s="4" t="s">
        <v>27</v>
      </c>
      <c r="B1686" s="4" t="s">
        <v>44</v>
      </c>
      <c r="C1686" s="4" t="s">
        <v>23</v>
      </c>
      <c r="D1686" s="4" t="s">
        <v>45</v>
      </c>
      <c r="E1686" s="4" t="s">
        <v>25</v>
      </c>
      <c r="F1686" s="4" t="s">
        <v>25</v>
      </c>
      <c r="G1686" s="4" t="s">
        <v>25</v>
      </c>
      <c r="H1686" s="4" t="s">
        <v>25</v>
      </c>
      <c r="I1686" s="5">
        <v>44652</v>
      </c>
      <c r="J1686" s="6">
        <v>0</v>
      </c>
      <c r="K1686" s="6">
        <v>0</v>
      </c>
      <c r="L1686" s="6">
        <v>-49.116</v>
      </c>
      <c r="M1686" s="6">
        <v>-49.116</v>
      </c>
      <c r="N1686" s="6">
        <v>-49.116</v>
      </c>
      <c r="O1686" s="6">
        <v>-49.116</v>
      </c>
      <c r="P1686" s="6">
        <v>0</v>
      </c>
      <c r="Q1686" s="4" t="s">
        <v>26</v>
      </c>
      <c r="R1686" s="4">
        <v>0</v>
      </c>
      <c r="S1686" s="6">
        <v>0</v>
      </c>
      <c r="T1686" s="6">
        <v>54</v>
      </c>
      <c r="U1686" s="6">
        <v>97</v>
      </c>
      <c r="V1686" s="6">
        <f>IF(ISERROR(VLOOKUP($S$1686,'TAR FIN'!$A$1:$O$116,15,0)),0,VLOOKUP($S$1686,'TAR FIN'!$A$1:$O$116,15,0))</f>
        <v>0</v>
      </c>
      <c r="W1686" s="6">
        <f>IF(ISERROR(VLOOKUP($T$1686,'TAR FIN'!$A$1:$O$116,15,0)),0,VLOOKUP($T$1686,'TAR FIN'!$A$1:$O$116,15,0))</f>
        <v>301.38</v>
      </c>
      <c r="X1686" s="6">
        <f>IF(ISERROR(VLOOKUP($U$1686,'TAR FIN'!$A$1:$O$116,15,0)),0,VLOOKUP($U$1686,'TAR FIN'!$A$1:$O$116,15,0))</f>
        <v>287.29000000000002</v>
      </c>
      <c r="Y1686" s="6"/>
      <c r="Z1686" s="6">
        <f ca="1">('TUSD BE'!$AM$56+'TUSD BF'!$AM$56+'TUSD CVA'!$AM$56)*(1-CUSTOS!$M$38)</f>
        <v>410.57781128100521</v>
      </c>
      <c r="AA1686" s="6">
        <f>('TE BE'!$AB$27+'TE BF'!$AB$27+'TE CVA'!$AB$27)*(1-CUSTOS!$M$38)</f>
        <v>309.85296222048811</v>
      </c>
      <c r="AB1686" s="6">
        <f>$K$1686*$V$1686</f>
        <v>0</v>
      </c>
      <c r="AC1686" s="6">
        <f>$M$1686*$W$1686</f>
        <v>-14802.58008</v>
      </c>
      <c r="AD1686" s="6">
        <f>$O$1686*$X$1686</f>
        <v>-14110.53564</v>
      </c>
      <c r="AE1686" s="6">
        <f>$K$1686*$Y$1686</f>
        <v>0</v>
      </c>
      <c r="AF1686" s="6">
        <f ca="1">$M$1686*$Z$1686</f>
        <v>-20165.939778877851</v>
      </c>
      <c r="AG1686" s="6">
        <f>$O$1686*$AA$1686</f>
        <v>-15218.738092421494</v>
      </c>
    </row>
    <row r="1687" spans="1:33" ht="11.25" customHeight="1" x14ac:dyDescent="0.25">
      <c r="A1687" s="4" t="s">
        <v>28</v>
      </c>
      <c r="B1687" s="4" t="s">
        <v>44</v>
      </c>
      <c r="C1687" s="4" t="s">
        <v>23</v>
      </c>
      <c r="D1687" s="4" t="s">
        <v>45</v>
      </c>
      <c r="E1687" s="4" t="s">
        <v>25</v>
      </c>
      <c r="F1687" s="4" t="s">
        <v>25</v>
      </c>
      <c r="G1687" s="4" t="s">
        <v>25</v>
      </c>
      <c r="H1687" s="4" t="s">
        <v>25</v>
      </c>
      <c r="I1687" s="5">
        <v>44652</v>
      </c>
      <c r="J1687" s="6">
        <v>0</v>
      </c>
      <c r="K1687" s="6">
        <v>0</v>
      </c>
      <c r="L1687" s="6">
        <v>723.64099999999996</v>
      </c>
      <c r="M1687" s="6">
        <v>723.64099999999996</v>
      </c>
      <c r="N1687" s="6">
        <v>723.64099999999996</v>
      </c>
      <c r="O1687" s="6">
        <v>723.64099999999996</v>
      </c>
      <c r="P1687" s="6">
        <v>3403</v>
      </c>
      <c r="Q1687" s="4" t="s">
        <v>26</v>
      </c>
      <c r="R1687" s="4">
        <v>0</v>
      </c>
      <c r="S1687" s="6">
        <v>0</v>
      </c>
      <c r="T1687" s="6">
        <v>54</v>
      </c>
      <c r="U1687" s="6">
        <v>97</v>
      </c>
      <c r="V1687" s="6">
        <f>IF(ISERROR(VLOOKUP($S$1687,'TAR FIN'!$A$1:$O$116,15,0)),0,VLOOKUP($S$1687,'TAR FIN'!$A$1:$O$116,15,0))</f>
        <v>0</v>
      </c>
      <c r="W1687" s="6">
        <f>IF(ISERROR(VLOOKUP($T$1687,'TAR FIN'!$A$1:$O$116,15,0)),0,VLOOKUP($T$1687,'TAR FIN'!$A$1:$O$116,15,0))</f>
        <v>301.38</v>
      </c>
      <c r="X1687" s="6">
        <f>IF(ISERROR(VLOOKUP($U$1687,'TAR FIN'!$A$1:$O$116,15,0)),0,VLOOKUP($U$1687,'TAR FIN'!$A$1:$O$116,15,0))</f>
        <v>287.29000000000002</v>
      </c>
      <c r="Y1687" s="6"/>
      <c r="Z1687" s="6">
        <f ca="1">('TUSD BE'!$AM$56+'TUSD BF'!$AM$56+'TUSD CVA'!$AM$56)*(1-CUSTOS!$M$38)</f>
        <v>410.57781128100521</v>
      </c>
      <c r="AA1687" s="6">
        <f>('TE BE'!$AB$27+'TE BF'!$AB$27+'TE CVA'!$AB$27)*(1-CUSTOS!$M$38)</f>
        <v>309.85296222048811</v>
      </c>
      <c r="AB1687" s="6">
        <f>$K$1687*$V$1687</f>
        <v>0</v>
      </c>
      <c r="AC1687" s="6">
        <f>$M$1687*$W$1687</f>
        <v>218090.92457999999</v>
      </c>
      <c r="AD1687" s="6">
        <f>$O$1687*$X$1687</f>
        <v>207894.82289000001</v>
      </c>
      <c r="AE1687" s="6">
        <f>$K$1687*$Y$1687</f>
        <v>0</v>
      </c>
      <c r="AF1687" s="6">
        <f ca="1">$M$1687*$Z$1687</f>
        <v>297110.93793319789</v>
      </c>
      <c r="AG1687" s="6">
        <f>$O$1687*$AA$1687</f>
        <v>224222.30743419623</v>
      </c>
    </row>
    <row r="1688" spans="1:33" ht="11.25" customHeight="1" x14ac:dyDescent="0.25">
      <c r="A1688" s="4" t="s">
        <v>28</v>
      </c>
      <c r="B1688" s="4" t="s">
        <v>44</v>
      </c>
      <c r="C1688" s="4" t="s">
        <v>23</v>
      </c>
      <c r="D1688" s="4" t="s">
        <v>45</v>
      </c>
      <c r="E1688" s="4" t="s">
        <v>25</v>
      </c>
      <c r="F1688" s="4" t="s">
        <v>25</v>
      </c>
      <c r="G1688" s="4" t="s">
        <v>25</v>
      </c>
      <c r="H1688" s="4" t="s">
        <v>25</v>
      </c>
      <c r="I1688" s="5">
        <v>44652</v>
      </c>
      <c r="J1688" s="6">
        <v>0</v>
      </c>
      <c r="K1688" s="6">
        <v>0</v>
      </c>
      <c r="L1688" s="6">
        <v>-13.597</v>
      </c>
      <c r="M1688" s="6">
        <v>-13.597</v>
      </c>
      <c r="N1688" s="6">
        <v>-13.597</v>
      </c>
      <c r="O1688" s="6">
        <v>-13.597</v>
      </c>
      <c r="P1688" s="6">
        <v>0</v>
      </c>
      <c r="Q1688" s="4" t="s">
        <v>26</v>
      </c>
      <c r="R1688" s="4">
        <v>0</v>
      </c>
      <c r="S1688" s="6">
        <v>0</v>
      </c>
      <c r="T1688" s="6">
        <v>54</v>
      </c>
      <c r="U1688" s="6">
        <v>97</v>
      </c>
      <c r="V1688" s="6">
        <f>IF(ISERROR(VLOOKUP($S$1688,'TAR FIN'!$A$1:$O$116,15,0)),0,VLOOKUP($S$1688,'TAR FIN'!$A$1:$O$116,15,0))</f>
        <v>0</v>
      </c>
      <c r="W1688" s="6">
        <f>IF(ISERROR(VLOOKUP($T$1688,'TAR FIN'!$A$1:$O$116,15,0)),0,VLOOKUP($T$1688,'TAR FIN'!$A$1:$O$116,15,0))</f>
        <v>301.38</v>
      </c>
      <c r="X1688" s="6">
        <f>IF(ISERROR(VLOOKUP($U$1688,'TAR FIN'!$A$1:$O$116,15,0)),0,VLOOKUP($U$1688,'TAR FIN'!$A$1:$O$116,15,0))</f>
        <v>287.29000000000002</v>
      </c>
      <c r="Y1688" s="6"/>
      <c r="Z1688" s="6">
        <f ca="1">('TUSD BE'!$AM$56+'TUSD BF'!$AM$56+'TUSD CVA'!$AM$56)*(1-CUSTOS!$M$38)</f>
        <v>410.57781128100521</v>
      </c>
      <c r="AA1688" s="6">
        <f>('TE BE'!$AB$27+'TE BF'!$AB$27+'TE CVA'!$AB$27)*(1-CUSTOS!$M$38)</f>
        <v>309.85296222048811</v>
      </c>
      <c r="AB1688" s="6">
        <f>$K$1688*$V$1688</f>
        <v>0</v>
      </c>
      <c r="AC1688" s="6">
        <f>$M$1688*$W$1688</f>
        <v>-4097.8638599999995</v>
      </c>
      <c r="AD1688" s="6">
        <f>$O$1688*$X$1688</f>
        <v>-3906.2821300000001</v>
      </c>
      <c r="AE1688" s="6">
        <f>$K$1688*$Y$1688</f>
        <v>0</v>
      </c>
      <c r="AF1688" s="6">
        <f ca="1">$M$1688*$Z$1688</f>
        <v>-5582.6264999878276</v>
      </c>
      <c r="AG1688" s="6">
        <f>$O$1688*$AA$1688</f>
        <v>-4213.070727311977</v>
      </c>
    </row>
    <row r="1689" spans="1:33" ht="11.25" customHeight="1" x14ac:dyDescent="0.25">
      <c r="A1689" s="4" t="s">
        <v>58</v>
      </c>
      <c r="B1689" s="4" t="s">
        <v>44</v>
      </c>
      <c r="C1689" s="4" t="s">
        <v>23</v>
      </c>
      <c r="D1689" s="4" t="s">
        <v>45</v>
      </c>
      <c r="E1689" s="4" t="s">
        <v>25</v>
      </c>
      <c r="F1689" s="4" t="s">
        <v>25</v>
      </c>
      <c r="G1689" s="4" t="s">
        <v>25</v>
      </c>
      <c r="H1689" s="4" t="s">
        <v>25</v>
      </c>
      <c r="I1689" s="5">
        <v>44682</v>
      </c>
      <c r="J1689" s="6">
        <v>0</v>
      </c>
      <c r="K1689" s="6">
        <v>0</v>
      </c>
      <c r="L1689" s="6">
        <v>10525.566999999999</v>
      </c>
      <c r="M1689" s="6">
        <v>10525.566999999999</v>
      </c>
      <c r="N1689" s="6">
        <v>10525.566999999999</v>
      </c>
      <c r="O1689" s="6">
        <v>10525.566999999999</v>
      </c>
      <c r="P1689" s="6">
        <v>53843</v>
      </c>
      <c r="Q1689" s="4" t="s">
        <v>26</v>
      </c>
      <c r="R1689" s="4">
        <v>0</v>
      </c>
      <c r="S1689" s="6">
        <v>0</v>
      </c>
      <c r="T1689" s="6">
        <v>54</v>
      </c>
      <c r="U1689" s="6">
        <v>97</v>
      </c>
      <c r="V1689" s="6">
        <f>IF(ISERROR(VLOOKUP($S$1689,'TAR FIN'!$A$1:$O$116,15,0)),0,VLOOKUP($S$1689,'TAR FIN'!$A$1:$O$116,15,0))</f>
        <v>0</v>
      </c>
      <c r="W1689" s="6">
        <f>IF(ISERROR(VLOOKUP($T$1689,'TAR FIN'!$A$1:$O$116,15,0)),0,VLOOKUP($T$1689,'TAR FIN'!$A$1:$O$116,15,0))</f>
        <v>301.38</v>
      </c>
      <c r="X1689" s="6">
        <f>IF(ISERROR(VLOOKUP($U$1689,'TAR FIN'!$A$1:$O$116,15,0)),0,VLOOKUP($U$1689,'TAR FIN'!$A$1:$O$116,15,0))</f>
        <v>287.29000000000002</v>
      </c>
      <c r="Y1689" s="6"/>
      <c r="Z1689" s="6">
        <f ca="1">('TUSD BE'!$AM$56+'TUSD BF'!$AM$56+'TUSD CVA'!$AM$56)*(1-CUSTOS!$M$38)</f>
        <v>410.57781128100521</v>
      </c>
      <c r="AA1689" s="6">
        <f>('TE BE'!$AB$27+'TE BF'!$AB$27+'TE CVA'!$AB$27)*(1-CUSTOS!$M$38)</f>
        <v>309.85296222048811</v>
      </c>
      <c r="AB1689" s="6">
        <f>$K$1689*$V$1689</f>
        <v>0</v>
      </c>
      <c r="AC1689" s="6">
        <f>$M$1689*$W$1689</f>
        <v>3172195.3824599995</v>
      </c>
      <c r="AD1689" s="6">
        <f>$O$1689*$X$1689</f>
        <v>3023890.1434300002</v>
      </c>
      <c r="AE1689" s="6">
        <f>$K$1689*$Y$1689</f>
        <v>0</v>
      </c>
      <c r="AF1689" s="6">
        <f ca="1">$M$1689*$Z$1689</f>
        <v>4321564.2613515761</v>
      </c>
      <c r="AG1689" s="6">
        <f>$O$1689*$AA$1689</f>
        <v>3261378.1140002161</v>
      </c>
    </row>
    <row r="1690" spans="1:33" ht="11.25" customHeight="1" x14ac:dyDescent="0.25">
      <c r="A1690" s="4" t="s">
        <v>58</v>
      </c>
      <c r="B1690" s="4" t="s">
        <v>44</v>
      </c>
      <c r="C1690" s="4" t="s">
        <v>23</v>
      </c>
      <c r="D1690" s="4" t="s">
        <v>45</v>
      </c>
      <c r="E1690" s="4" t="s">
        <v>25</v>
      </c>
      <c r="F1690" s="4" t="s">
        <v>25</v>
      </c>
      <c r="G1690" s="4" t="s">
        <v>25</v>
      </c>
      <c r="H1690" s="4" t="s">
        <v>25</v>
      </c>
      <c r="I1690" s="5">
        <v>44682</v>
      </c>
      <c r="J1690" s="6">
        <v>0</v>
      </c>
      <c r="K1690" s="6">
        <v>0</v>
      </c>
      <c r="L1690" s="6">
        <v>-49.116</v>
      </c>
      <c r="M1690" s="6">
        <v>-49.116</v>
      </c>
      <c r="N1690" s="6">
        <v>-49.116</v>
      </c>
      <c r="O1690" s="6">
        <v>-49.116</v>
      </c>
      <c r="P1690" s="6">
        <v>0</v>
      </c>
      <c r="Q1690" s="4" t="s">
        <v>26</v>
      </c>
      <c r="R1690" s="4">
        <v>0</v>
      </c>
      <c r="S1690" s="6">
        <v>0</v>
      </c>
      <c r="T1690" s="6">
        <v>54</v>
      </c>
      <c r="U1690" s="6">
        <v>97</v>
      </c>
      <c r="V1690" s="6">
        <f>IF(ISERROR(VLOOKUP($S$1690,'TAR FIN'!$A$1:$O$116,15,0)),0,VLOOKUP($S$1690,'TAR FIN'!$A$1:$O$116,15,0))</f>
        <v>0</v>
      </c>
      <c r="W1690" s="6">
        <f>IF(ISERROR(VLOOKUP($T$1690,'TAR FIN'!$A$1:$O$116,15,0)),0,VLOOKUP($T$1690,'TAR FIN'!$A$1:$O$116,15,0))</f>
        <v>301.38</v>
      </c>
      <c r="X1690" s="6">
        <f>IF(ISERROR(VLOOKUP($U$1690,'TAR FIN'!$A$1:$O$116,15,0)),0,VLOOKUP($U$1690,'TAR FIN'!$A$1:$O$116,15,0))</f>
        <v>287.29000000000002</v>
      </c>
      <c r="Y1690" s="6"/>
      <c r="Z1690" s="6">
        <f ca="1">('TUSD BE'!$AM$56+'TUSD BF'!$AM$56+'TUSD CVA'!$AM$56)*(1-CUSTOS!$M$38)</f>
        <v>410.57781128100521</v>
      </c>
      <c r="AA1690" s="6">
        <f>('TE BE'!$AB$27+'TE BF'!$AB$27+'TE CVA'!$AB$27)*(1-CUSTOS!$M$38)</f>
        <v>309.85296222048811</v>
      </c>
      <c r="AB1690" s="6">
        <f>$K$1690*$V$1690</f>
        <v>0</v>
      </c>
      <c r="AC1690" s="6">
        <f>$M$1690*$W$1690</f>
        <v>-14802.58008</v>
      </c>
      <c r="AD1690" s="6">
        <f>$O$1690*$X$1690</f>
        <v>-14110.53564</v>
      </c>
      <c r="AE1690" s="6">
        <f>$K$1690*$Y$1690</f>
        <v>0</v>
      </c>
      <c r="AF1690" s="6">
        <f ca="1">$M$1690*$Z$1690</f>
        <v>-20165.939778877851</v>
      </c>
      <c r="AG1690" s="6">
        <f>$O$1690*$AA$1690</f>
        <v>-15218.738092421494</v>
      </c>
    </row>
    <row r="1691" spans="1:33" ht="11.25" customHeight="1" x14ac:dyDescent="0.25">
      <c r="A1691" s="4" t="s">
        <v>58</v>
      </c>
      <c r="B1691" s="4" t="s">
        <v>44</v>
      </c>
      <c r="C1691" s="4" t="s">
        <v>23</v>
      </c>
      <c r="D1691" s="4" t="s">
        <v>45</v>
      </c>
      <c r="E1691" s="4" t="s">
        <v>25</v>
      </c>
      <c r="F1691" s="4" t="s">
        <v>25</v>
      </c>
      <c r="G1691" s="4" t="s">
        <v>25</v>
      </c>
      <c r="H1691" s="4" t="s">
        <v>25</v>
      </c>
      <c r="I1691" s="5">
        <v>44682</v>
      </c>
      <c r="J1691" s="6">
        <v>0</v>
      </c>
      <c r="K1691" s="6">
        <v>0</v>
      </c>
      <c r="L1691" s="6">
        <v>723.64099999999996</v>
      </c>
      <c r="M1691" s="6">
        <v>723.64099999999996</v>
      </c>
      <c r="N1691" s="6">
        <v>723.64099999999996</v>
      </c>
      <c r="O1691" s="6">
        <v>723.64099999999996</v>
      </c>
      <c r="P1691" s="6">
        <v>3403</v>
      </c>
      <c r="Q1691" s="4" t="s">
        <v>26</v>
      </c>
      <c r="R1691" s="4">
        <v>0</v>
      </c>
      <c r="S1691" s="6">
        <v>0</v>
      </c>
      <c r="T1691" s="6">
        <v>54</v>
      </c>
      <c r="U1691" s="6">
        <v>97</v>
      </c>
      <c r="V1691" s="6">
        <f>IF(ISERROR(VLOOKUP($S$1691,'TAR FIN'!$A$1:$O$116,15,0)),0,VLOOKUP($S$1691,'TAR FIN'!$A$1:$O$116,15,0))</f>
        <v>0</v>
      </c>
      <c r="W1691" s="6">
        <f>IF(ISERROR(VLOOKUP($T$1691,'TAR FIN'!$A$1:$O$116,15,0)),0,VLOOKUP($T$1691,'TAR FIN'!$A$1:$O$116,15,0))</f>
        <v>301.38</v>
      </c>
      <c r="X1691" s="6">
        <f>IF(ISERROR(VLOOKUP($U$1691,'TAR FIN'!$A$1:$O$116,15,0)),0,VLOOKUP($U$1691,'TAR FIN'!$A$1:$O$116,15,0))</f>
        <v>287.29000000000002</v>
      </c>
      <c r="Y1691" s="6"/>
      <c r="Z1691" s="6">
        <f ca="1">('TUSD BE'!$AM$56+'TUSD BF'!$AM$56+'TUSD CVA'!$AM$56)*(1-CUSTOS!$M$38)</f>
        <v>410.57781128100521</v>
      </c>
      <c r="AA1691" s="6">
        <f>('TE BE'!$AB$27+'TE BF'!$AB$27+'TE CVA'!$AB$27)*(1-CUSTOS!$M$38)</f>
        <v>309.85296222048811</v>
      </c>
      <c r="AB1691" s="6">
        <f>$K$1691*$V$1691</f>
        <v>0</v>
      </c>
      <c r="AC1691" s="6">
        <f>$M$1691*$W$1691</f>
        <v>218090.92457999999</v>
      </c>
      <c r="AD1691" s="6">
        <f>$O$1691*$X$1691</f>
        <v>207894.82289000001</v>
      </c>
      <c r="AE1691" s="6">
        <f>$K$1691*$Y$1691</f>
        <v>0</v>
      </c>
      <c r="AF1691" s="6">
        <f ca="1">$M$1691*$Z$1691</f>
        <v>297110.93793319789</v>
      </c>
      <c r="AG1691" s="6">
        <f>$O$1691*$AA$1691</f>
        <v>224222.30743419623</v>
      </c>
    </row>
    <row r="1692" spans="1:33" ht="11.25" customHeight="1" x14ac:dyDescent="0.25">
      <c r="A1692" s="4" t="s">
        <v>58</v>
      </c>
      <c r="B1692" s="4" t="s">
        <v>44</v>
      </c>
      <c r="C1692" s="4" t="s">
        <v>23</v>
      </c>
      <c r="D1692" s="4" t="s">
        <v>45</v>
      </c>
      <c r="E1692" s="4" t="s">
        <v>25</v>
      </c>
      <c r="F1692" s="4" t="s">
        <v>25</v>
      </c>
      <c r="G1692" s="4" t="s">
        <v>25</v>
      </c>
      <c r="H1692" s="4" t="s">
        <v>25</v>
      </c>
      <c r="I1692" s="5">
        <v>44682</v>
      </c>
      <c r="J1692" s="6">
        <v>0</v>
      </c>
      <c r="K1692" s="6">
        <v>0</v>
      </c>
      <c r="L1692" s="6">
        <v>-13.597</v>
      </c>
      <c r="M1692" s="6">
        <v>-13.597</v>
      </c>
      <c r="N1692" s="6">
        <v>-13.597</v>
      </c>
      <c r="O1692" s="6">
        <v>-13.597</v>
      </c>
      <c r="P1692" s="6">
        <v>0</v>
      </c>
      <c r="Q1692" s="4" t="s">
        <v>26</v>
      </c>
      <c r="R1692" s="4">
        <v>0</v>
      </c>
      <c r="S1692" s="6">
        <v>0</v>
      </c>
      <c r="T1692" s="6">
        <v>54</v>
      </c>
      <c r="U1692" s="6">
        <v>97</v>
      </c>
      <c r="V1692" s="6">
        <f>IF(ISERROR(VLOOKUP($S$1692,'TAR FIN'!$A$1:$O$116,15,0)),0,VLOOKUP($S$1692,'TAR FIN'!$A$1:$O$116,15,0))</f>
        <v>0</v>
      </c>
      <c r="W1692" s="6">
        <f>IF(ISERROR(VLOOKUP($T$1692,'TAR FIN'!$A$1:$O$116,15,0)),0,VLOOKUP($T$1692,'TAR FIN'!$A$1:$O$116,15,0))</f>
        <v>301.38</v>
      </c>
      <c r="X1692" s="6">
        <f>IF(ISERROR(VLOOKUP($U$1692,'TAR FIN'!$A$1:$O$116,15,0)),0,VLOOKUP($U$1692,'TAR FIN'!$A$1:$O$116,15,0))</f>
        <v>287.29000000000002</v>
      </c>
      <c r="Y1692" s="6"/>
      <c r="Z1692" s="6">
        <f ca="1">('TUSD BE'!$AM$56+'TUSD BF'!$AM$56+'TUSD CVA'!$AM$56)*(1-CUSTOS!$M$38)</f>
        <v>410.57781128100521</v>
      </c>
      <c r="AA1692" s="6">
        <f>('TE BE'!$AB$27+'TE BF'!$AB$27+'TE CVA'!$AB$27)*(1-CUSTOS!$M$38)</f>
        <v>309.85296222048811</v>
      </c>
      <c r="AB1692" s="6">
        <f>$K$1692*$V$1692</f>
        <v>0</v>
      </c>
      <c r="AC1692" s="6">
        <f>$M$1692*$W$1692</f>
        <v>-4097.8638599999995</v>
      </c>
      <c r="AD1692" s="6">
        <f>$O$1692*$X$1692</f>
        <v>-3906.2821300000001</v>
      </c>
      <c r="AE1692" s="6">
        <f>$K$1692*$Y$1692</f>
        <v>0</v>
      </c>
      <c r="AF1692" s="6">
        <f ca="1">$M$1692*$Z$1692</f>
        <v>-5582.6264999878276</v>
      </c>
      <c r="AG1692" s="6">
        <f>$O$1692*$AA$1692</f>
        <v>-4213.070727311977</v>
      </c>
    </row>
    <row r="1693" spans="1:33" ht="11.25" customHeight="1" x14ac:dyDescent="0.25">
      <c r="A1693" s="4" t="s">
        <v>21</v>
      </c>
      <c r="B1693" s="4" t="s">
        <v>37</v>
      </c>
      <c r="C1693" s="4" t="s">
        <v>33</v>
      </c>
      <c r="D1693" s="4" t="s">
        <v>43</v>
      </c>
      <c r="E1693" s="4" t="s">
        <v>25</v>
      </c>
      <c r="F1693" s="4" t="s">
        <v>25</v>
      </c>
      <c r="G1693" s="4" t="s">
        <v>25</v>
      </c>
      <c r="H1693" s="4" t="s">
        <v>35</v>
      </c>
      <c r="I1693" s="5">
        <v>44348</v>
      </c>
      <c r="J1693" s="6">
        <v>0</v>
      </c>
      <c r="K1693" s="6">
        <v>0</v>
      </c>
      <c r="L1693" s="6">
        <v>20.437000000000001</v>
      </c>
      <c r="M1693" s="6">
        <v>20.437000000000001</v>
      </c>
      <c r="N1693" s="6">
        <v>20.437000000000001</v>
      </c>
      <c r="O1693" s="6">
        <v>20.437000000000001</v>
      </c>
      <c r="P1693" s="6">
        <v>0</v>
      </c>
      <c r="Q1693" s="4" t="s">
        <v>26</v>
      </c>
      <c r="R1693" s="4">
        <v>0</v>
      </c>
      <c r="S1693" s="6">
        <v>0</v>
      </c>
      <c r="T1693" s="6">
        <v>68</v>
      </c>
      <c r="U1693" s="6">
        <v>111</v>
      </c>
      <c r="V1693" s="6">
        <f>IF(ISERROR(VLOOKUP($S$1693,'TAR FIN'!$A$1:$O$116,15,0)),0,VLOOKUP($S$1693,'TAR FIN'!$A$1:$O$116,15,0))</f>
        <v>0</v>
      </c>
      <c r="W1693" s="6">
        <f>IF(ISERROR(VLOOKUP($T$1693,'TAR FIN'!$A$1:$O$116,15,0)),0,VLOOKUP($T$1693,'TAR FIN'!$A$1:$O$116,15,0))</f>
        <v>270.66000000000003</v>
      </c>
      <c r="X1693" s="6">
        <f>IF(ISERROR(VLOOKUP($U$1693,'TAR FIN'!$A$1:$O$116,15,0)),0,VLOOKUP($U$1693,'TAR FIN'!$A$1:$O$116,15,0))</f>
        <v>311.04000000000002</v>
      </c>
      <c r="Y1693" s="6"/>
      <c r="Z1693" s="6">
        <f ca="1">('TUSD BE'!$AM$70+'TUSD BF'!$AM$70+'TUSD CVA'!$AM$70)*1</f>
        <v>353.87930636185718</v>
      </c>
      <c r="AA1693" s="6">
        <f>('TE BE'!$AB$41+'TE BF'!$AB$41+'TE CVA'!$AB$41)*1</f>
        <v>313.22907246928764</v>
      </c>
      <c r="AB1693" s="6">
        <f>$K$1693*$V$1693</f>
        <v>0</v>
      </c>
      <c r="AC1693" s="6">
        <f>$M$1693*$W$1693</f>
        <v>5531.4784200000013</v>
      </c>
      <c r="AD1693" s="6">
        <f>$O$1693*$X$1693</f>
        <v>6356.7244800000008</v>
      </c>
      <c r="AE1693" s="6">
        <f>$K$1693*$Y$1693</f>
        <v>0</v>
      </c>
      <c r="AF1693" s="6">
        <f ca="1">$M$1693*$Z$1693</f>
        <v>7232.2313841172754</v>
      </c>
      <c r="AG1693" s="6">
        <f>$O$1693*$AA$1693</f>
        <v>6401.4625540548323</v>
      </c>
    </row>
    <row r="1694" spans="1:33" ht="11.25" customHeight="1" x14ac:dyDescent="0.25">
      <c r="A1694" s="4" t="s">
        <v>28</v>
      </c>
      <c r="B1694" s="4" t="s">
        <v>37</v>
      </c>
      <c r="C1694" s="4" t="s">
        <v>33</v>
      </c>
      <c r="D1694" s="4" t="s">
        <v>43</v>
      </c>
      <c r="E1694" s="4" t="s">
        <v>25</v>
      </c>
      <c r="F1694" s="4" t="s">
        <v>25</v>
      </c>
      <c r="G1694" s="4" t="s">
        <v>25</v>
      </c>
      <c r="H1694" s="4" t="s">
        <v>35</v>
      </c>
      <c r="I1694" s="5">
        <v>44348</v>
      </c>
      <c r="J1694" s="6">
        <v>0</v>
      </c>
      <c r="K1694" s="6">
        <v>0</v>
      </c>
      <c r="L1694" s="6">
        <v>0.21</v>
      </c>
      <c r="M1694" s="6">
        <v>0.21</v>
      </c>
      <c r="N1694" s="6">
        <v>0.21</v>
      </c>
      <c r="O1694" s="6">
        <v>0.21</v>
      </c>
      <c r="P1694" s="6">
        <v>0</v>
      </c>
      <c r="Q1694" s="4" t="s">
        <v>26</v>
      </c>
      <c r="R1694" s="4">
        <v>0</v>
      </c>
      <c r="S1694" s="6">
        <v>0</v>
      </c>
      <c r="T1694" s="6">
        <v>68</v>
      </c>
      <c r="U1694" s="6">
        <v>111</v>
      </c>
      <c r="V1694" s="6">
        <f>IF(ISERROR(VLOOKUP($S$1694,'TAR FIN'!$A$1:$O$116,15,0)),0,VLOOKUP($S$1694,'TAR FIN'!$A$1:$O$116,15,0))</f>
        <v>0</v>
      </c>
      <c r="W1694" s="6">
        <f>IF(ISERROR(VLOOKUP($T$1694,'TAR FIN'!$A$1:$O$116,15,0)),0,VLOOKUP($T$1694,'TAR FIN'!$A$1:$O$116,15,0))</f>
        <v>270.66000000000003</v>
      </c>
      <c r="X1694" s="6">
        <f>IF(ISERROR(VLOOKUP($U$1694,'TAR FIN'!$A$1:$O$116,15,0)),0,VLOOKUP($U$1694,'TAR FIN'!$A$1:$O$116,15,0))</f>
        <v>311.04000000000002</v>
      </c>
      <c r="Y1694" s="6"/>
      <c r="Z1694" s="6">
        <f ca="1">('TUSD BE'!$AM$70+'TUSD BF'!$AM$70+'TUSD CVA'!$AM$70)*1</f>
        <v>353.87930636185718</v>
      </c>
      <c r="AA1694" s="6">
        <f>('TE BE'!$AB$41+'TE BF'!$AB$41+'TE CVA'!$AB$41)*1</f>
        <v>313.22907246928764</v>
      </c>
      <c r="AB1694" s="6">
        <f>$K$1694*$V$1694</f>
        <v>0</v>
      </c>
      <c r="AC1694" s="6">
        <f>$M$1694*$W$1694</f>
        <v>56.838600000000007</v>
      </c>
      <c r="AD1694" s="6">
        <f>$O$1694*$X$1694</f>
        <v>65.318399999999997</v>
      </c>
      <c r="AE1694" s="6">
        <f>$K$1694*$Y$1694</f>
        <v>0</v>
      </c>
      <c r="AF1694" s="6">
        <f ca="1">$M$1694*$Z$1694</f>
        <v>74.314654335989999</v>
      </c>
      <c r="AG1694" s="6">
        <f>$O$1694*$AA$1694</f>
        <v>65.778105218550408</v>
      </c>
    </row>
    <row r="1695" spans="1:33" ht="11.25" customHeight="1" x14ac:dyDescent="0.25">
      <c r="A1695" s="4" t="s">
        <v>21</v>
      </c>
      <c r="B1695" s="4" t="s">
        <v>37</v>
      </c>
      <c r="C1695" s="4" t="s">
        <v>33</v>
      </c>
      <c r="D1695" s="4" t="s">
        <v>43</v>
      </c>
      <c r="E1695" s="4" t="s">
        <v>25</v>
      </c>
      <c r="F1695" s="4" t="s">
        <v>25</v>
      </c>
      <c r="G1695" s="4" t="s">
        <v>25</v>
      </c>
      <c r="H1695" s="4" t="s">
        <v>35</v>
      </c>
      <c r="I1695" s="5">
        <v>44378</v>
      </c>
      <c r="J1695" s="6">
        <v>0</v>
      </c>
      <c r="K1695" s="6">
        <v>0</v>
      </c>
      <c r="L1695" s="6">
        <v>18.786000000000001</v>
      </c>
      <c r="M1695" s="6">
        <v>18.786000000000001</v>
      </c>
      <c r="N1695" s="6">
        <v>18.786000000000001</v>
      </c>
      <c r="O1695" s="6">
        <v>18.786000000000001</v>
      </c>
      <c r="P1695" s="6">
        <v>0</v>
      </c>
      <c r="Q1695" s="4" t="s">
        <v>26</v>
      </c>
      <c r="R1695" s="4">
        <v>0</v>
      </c>
      <c r="S1695" s="6">
        <v>0</v>
      </c>
      <c r="T1695" s="6">
        <v>68</v>
      </c>
      <c r="U1695" s="6">
        <v>111</v>
      </c>
      <c r="V1695" s="6">
        <f>IF(ISERROR(VLOOKUP($S$1695,'TAR FIN'!$A$1:$O$116,15,0)),0,VLOOKUP($S$1695,'TAR FIN'!$A$1:$O$116,15,0))</f>
        <v>0</v>
      </c>
      <c r="W1695" s="6">
        <f>IF(ISERROR(VLOOKUP($T$1695,'TAR FIN'!$A$1:$O$116,15,0)),0,VLOOKUP($T$1695,'TAR FIN'!$A$1:$O$116,15,0))</f>
        <v>270.66000000000003</v>
      </c>
      <c r="X1695" s="6">
        <f>IF(ISERROR(VLOOKUP($U$1695,'TAR FIN'!$A$1:$O$116,15,0)),0,VLOOKUP($U$1695,'TAR FIN'!$A$1:$O$116,15,0))</f>
        <v>311.04000000000002</v>
      </c>
      <c r="Y1695" s="6"/>
      <c r="Z1695" s="6">
        <f ca="1">('TUSD BE'!$AM$70+'TUSD BF'!$AM$70+'TUSD CVA'!$AM$70)*1</f>
        <v>353.87930636185718</v>
      </c>
      <c r="AA1695" s="6">
        <f>('TE BE'!$AB$41+'TE BF'!$AB$41+'TE CVA'!$AB$41)*1</f>
        <v>313.22907246928764</v>
      </c>
      <c r="AB1695" s="6">
        <f>$K$1695*$V$1695</f>
        <v>0</v>
      </c>
      <c r="AC1695" s="6">
        <f>$M$1695*$W$1695</f>
        <v>5084.6187600000012</v>
      </c>
      <c r="AD1695" s="6">
        <f>$O$1695*$X$1695</f>
        <v>5843.1974400000008</v>
      </c>
      <c r="AE1695" s="6">
        <f>$K$1695*$Y$1695</f>
        <v>0</v>
      </c>
      <c r="AF1695" s="6">
        <f ca="1">$M$1695*$Z$1695</f>
        <v>6647.9766493138495</v>
      </c>
      <c r="AG1695" s="6">
        <f>$O$1695*$AA$1695</f>
        <v>5884.3213554080385</v>
      </c>
    </row>
    <row r="1696" spans="1:33" ht="11.25" customHeight="1" x14ac:dyDescent="0.25">
      <c r="A1696" s="4" t="s">
        <v>28</v>
      </c>
      <c r="B1696" s="4" t="s">
        <v>37</v>
      </c>
      <c r="C1696" s="4" t="s">
        <v>33</v>
      </c>
      <c r="D1696" s="4" t="s">
        <v>43</v>
      </c>
      <c r="E1696" s="4" t="s">
        <v>25</v>
      </c>
      <c r="F1696" s="4" t="s">
        <v>25</v>
      </c>
      <c r="G1696" s="4" t="s">
        <v>25</v>
      </c>
      <c r="H1696" s="4" t="s">
        <v>35</v>
      </c>
      <c r="I1696" s="5">
        <v>44378</v>
      </c>
      <c r="J1696" s="6">
        <v>0</v>
      </c>
      <c r="K1696" s="6">
        <v>0</v>
      </c>
      <c r="L1696" s="6">
        <v>0.76400000000000001</v>
      </c>
      <c r="M1696" s="6">
        <v>0.76400000000000001</v>
      </c>
      <c r="N1696" s="6">
        <v>0.76400000000000001</v>
      </c>
      <c r="O1696" s="6">
        <v>0.76400000000000001</v>
      </c>
      <c r="P1696" s="6">
        <v>0</v>
      </c>
      <c r="Q1696" s="4" t="s">
        <v>26</v>
      </c>
      <c r="R1696" s="4">
        <v>0</v>
      </c>
      <c r="S1696" s="6">
        <v>0</v>
      </c>
      <c r="T1696" s="6">
        <v>68</v>
      </c>
      <c r="U1696" s="6">
        <v>111</v>
      </c>
      <c r="V1696" s="6">
        <f>IF(ISERROR(VLOOKUP($S$1696,'TAR FIN'!$A$1:$O$116,15,0)),0,VLOOKUP($S$1696,'TAR FIN'!$A$1:$O$116,15,0))</f>
        <v>0</v>
      </c>
      <c r="W1696" s="6">
        <f>IF(ISERROR(VLOOKUP($T$1696,'TAR FIN'!$A$1:$O$116,15,0)),0,VLOOKUP($T$1696,'TAR FIN'!$A$1:$O$116,15,0))</f>
        <v>270.66000000000003</v>
      </c>
      <c r="X1696" s="6">
        <f>IF(ISERROR(VLOOKUP($U$1696,'TAR FIN'!$A$1:$O$116,15,0)),0,VLOOKUP($U$1696,'TAR FIN'!$A$1:$O$116,15,0))</f>
        <v>311.04000000000002</v>
      </c>
      <c r="Y1696" s="6"/>
      <c r="Z1696" s="6">
        <f ca="1">('TUSD BE'!$AM$70+'TUSD BF'!$AM$70+'TUSD CVA'!$AM$70)*1</f>
        <v>353.87930636185718</v>
      </c>
      <c r="AA1696" s="6">
        <f>('TE BE'!$AB$41+'TE BF'!$AB$41+'TE CVA'!$AB$41)*1</f>
        <v>313.22907246928764</v>
      </c>
      <c r="AB1696" s="6">
        <f>$K$1696*$V$1696</f>
        <v>0</v>
      </c>
      <c r="AC1696" s="6">
        <f>$M$1696*$W$1696</f>
        <v>206.78424000000001</v>
      </c>
      <c r="AD1696" s="6">
        <f>$O$1696*$X$1696</f>
        <v>237.63456000000002</v>
      </c>
      <c r="AE1696" s="6">
        <f>$K$1696*$Y$1696</f>
        <v>0</v>
      </c>
      <c r="AF1696" s="6">
        <f ca="1">$M$1696*$Z$1696</f>
        <v>270.36379006045888</v>
      </c>
      <c r="AG1696" s="6">
        <f>$O$1696*$AA$1696</f>
        <v>239.30701136653576</v>
      </c>
    </row>
    <row r="1697" spans="1:33" ht="11.25" customHeight="1" x14ac:dyDescent="0.25">
      <c r="A1697" s="4" t="s">
        <v>21</v>
      </c>
      <c r="B1697" s="4" t="s">
        <v>37</v>
      </c>
      <c r="C1697" s="4" t="s">
        <v>33</v>
      </c>
      <c r="D1697" s="4" t="s">
        <v>43</v>
      </c>
      <c r="E1697" s="4" t="s">
        <v>25</v>
      </c>
      <c r="F1697" s="4" t="s">
        <v>25</v>
      </c>
      <c r="G1697" s="4" t="s">
        <v>25</v>
      </c>
      <c r="H1697" s="4" t="s">
        <v>35</v>
      </c>
      <c r="I1697" s="5">
        <v>44409</v>
      </c>
      <c r="J1697" s="6">
        <v>0</v>
      </c>
      <c r="K1697" s="6">
        <v>0</v>
      </c>
      <c r="L1697" s="6">
        <v>19.821999999999999</v>
      </c>
      <c r="M1697" s="6">
        <v>19.821999999999999</v>
      </c>
      <c r="N1697" s="6">
        <v>19.821999999999999</v>
      </c>
      <c r="O1697" s="6">
        <v>19.821999999999999</v>
      </c>
      <c r="P1697" s="6">
        <v>0</v>
      </c>
      <c r="Q1697" s="4" t="s">
        <v>26</v>
      </c>
      <c r="R1697" s="4">
        <v>0</v>
      </c>
      <c r="S1697" s="6">
        <v>0</v>
      </c>
      <c r="T1697" s="6">
        <v>68</v>
      </c>
      <c r="U1697" s="6">
        <v>111</v>
      </c>
      <c r="V1697" s="6">
        <f>IF(ISERROR(VLOOKUP($S$1697,'TAR FIN'!$A$1:$O$116,15,0)),0,VLOOKUP($S$1697,'TAR FIN'!$A$1:$O$116,15,0))</f>
        <v>0</v>
      </c>
      <c r="W1697" s="6">
        <f>IF(ISERROR(VLOOKUP($T$1697,'TAR FIN'!$A$1:$O$116,15,0)),0,VLOOKUP($T$1697,'TAR FIN'!$A$1:$O$116,15,0))</f>
        <v>270.66000000000003</v>
      </c>
      <c r="X1697" s="6">
        <f>IF(ISERROR(VLOOKUP($U$1697,'TAR FIN'!$A$1:$O$116,15,0)),0,VLOOKUP($U$1697,'TAR FIN'!$A$1:$O$116,15,0))</f>
        <v>311.04000000000002</v>
      </c>
      <c r="Y1697" s="6"/>
      <c r="Z1697" s="6">
        <f ca="1">('TUSD BE'!$AM$70+'TUSD BF'!$AM$70+'TUSD CVA'!$AM$70)*1</f>
        <v>353.87930636185718</v>
      </c>
      <c r="AA1697" s="6">
        <f>('TE BE'!$AB$41+'TE BF'!$AB$41+'TE CVA'!$AB$41)*1</f>
        <v>313.22907246928764</v>
      </c>
      <c r="AB1697" s="6">
        <f>$K$1697*$V$1697</f>
        <v>0</v>
      </c>
      <c r="AC1697" s="6">
        <f>$M$1697*$W$1697</f>
        <v>5365.0225200000004</v>
      </c>
      <c r="AD1697" s="6">
        <f>$O$1697*$X$1697</f>
        <v>6165.4348799999998</v>
      </c>
      <c r="AE1697" s="6">
        <f>$K$1697*$Y$1697</f>
        <v>0</v>
      </c>
      <c r="AF1697" s="6">
        <f ca="1">$M$1697*$Z$1697</f>
        <v>7014.5956107047323</v>
      </c>
      <c r="AG1697" s="6">
        <f>$O$1697*$AA$1697</f>
        <v>6208.8266744862194</v>
      </c>
    </row>
    <row r="1698" spans="1:33" ht="11.25" customHeight="1" x14ac:dyDescent="0.25">
      <c r="A1698" s="4" t="s">
        <v>28</v>
      </c>
      <c r="B1698" s="4" t="s">
        <v>37</v>
      </c>
      <c r="C1698" s="4" t="s">
        <v>33</v>
      </c>
      <c r="D1698" s="4" t="s">
        <v>43</v>
      </c>
      <c r="E1698" s="4" t="s">
        <v>25</v>
      </c>
      <c r="F1698" s="4" t="s">
        <v>25</v>
      </c>
      <c r="G1698" s="4" t="s">
        <v>25</v>
      </c>
      <c r="H1698" s="4" t="s">
        <v>35</v>
      </c>
      <c r="I1698" s="5">
        <v>44409</v>
      </c>
      <c r="J1698" s="6">
        <v>0</v>
      </c>
      <c r="K1698" s="6">
        <v>0</v>
      </c>
      <c r="L1698" s="6">
        <v>0.41299999999999998</v>
      </c>
      <c r="M1698" s="6">
        <v>0.41299999999999998</v>
      </c>
      <c r="N1698" s="6">
        <v>0.41299999999999998</v>
      </c>
      <c r="O1698" s="6">
        <v>0.41299999999999998</v>
      </c>
      <c r="P1698" s="6">
        <v>0</v>
      </c>
      <c r="Q1698" s="4" t="s">
        <v>26</v>
      </c>
      <c r="R1698" s="4">
        <v>0</v>
      </c>
      <c r="S1698" s="6">
        <v>0</v>
      </c>
      <c r="T1698" s="6">
        <v>68</v>
      </c>
      <c r="U1698" s="6">
        <v>111</v>
      </c>
      <c r="V1698" s="6">
        <f>IF(ISERROR(VLOOKUP($S$1698,'TAR FIN'!$A$1:$O$116,15,0)),0,VLOOKUP($S$1698,'TAR FIN'!$A$1:$O$116,15,0))</f>
        <v>0</v>
      </c>
      <c r="W1698" s="6">
        <f>IF(ISERROR(VLOOKUP($T$1698,'TAR FIN'!$A$1:$O$116,15,0)),0,VLOOKUP($T$1698,'TAR FIN'!$A$1:$O$116,15,0))</f>
        <v>270.66000000000003</v>
      </c>
      <c r="X1698" s="6">
        <f>IF(ISERROR(VLOOKUP($U$1698,'TAR FIN'!$A$1:$O$116,15,0)),0,VLOOKUP($U$1698,'TAR FIN'!$A$1:$O$116,15,0))</f>
        <v>311.04000000000002</v>
      </c>
      <c r="Y1698" s="6"/>
      <c r="Z1698" s="6">
        <f ca="1">('TUSD BE'!$AM$70+'TUSD BF'!$AM$70+'TUSD CVA'!$AM$70)*1</f>
        <v>353.87930636185718</v>
      </c>
      <c r="AA1698" s="6">
        <f>('TE BE'!$AB$41+'TE BF'!$AB$41+'TE CVA'!$AB$41)*1</f>
        <v>313.22907246928764</v>
      </c>
      <c r="AB1698" s="6">
        <f>$K$1698*$V$1698</f>
        <v>0</v>
      </c>
      <c r="AC1698" s="6">
        <f>$M$1698*$W$1698</f>
        <v>111.78258000000001</v>
      </c>
      <c r="AD1698" s="6">
        <f>$O$1698*$X$1698</f>
        <v>128.45952</v>
      </c>
      <c r="AE1698" s="6">
        <f>$K$1698*$Y$1698</f>
        <v>0</v>
      </c>
      <c r="AF1698" s="6">
        <f ca="1">$M$1698*$Z$1698</f>
        <v>146.15215352744701</v>
      </c>
      <c r="AG1698" s="6">
        <f>$O$1698*$AA$1698</f>
        <v>129.3636069298158</v>
      </c>
    </row>
    <row r="1699" spans="1:33" ht="11.25" customHeight="1" x14ac:dyDescent="0.25">
      <c r="A1699" s="4" t="s">
        <v>21</v>
      </c>
      <c r="B1699" s="4" t="s">
        <v>37</v>
      </c>
      <c r="C1699" s="4" t="s">
        <v>33</v>
      </c>
      <c r="D1699" s="4" t="s">
        <v>43</v>
      </c>
      <c r="E1699" s="4" t="s">
        <v>25</v>
      </c>
      <c r="F1699" s="4" t="s">
        <v>25</v>
      </c>
      <c r="G1699" s="4" t="s">
        <v>25</v>
      </c>
      <c r="H1699" s="4" t="s">
        <v>35</v>
      </c>
      <c r="I1699" s="5">
        <v>44440</v>
      </c>
      <c r="J1699" s="6">
        <v>0</v>
      </c>
      <c r="K1699" s="6">
        <v>0</v>
      </c>
      <c r="L1699" s="6">
        <v>23.28</v>
      </c>
      <c r="M1699" s="6">
        <v>23.28</v>
      </c>
      <c r="N1699" s="6">
        <v>23.28</v>
      </c>
      <c r="O1699" s="6">
        <v>23.28</v>
      </c>
      <c r="P1699" s="6">
        <v>0</v>
      </c>
      <c r="Q1699" s="4" t="s">
        <v>26</v>
      </c>
      <c r="R1699" s="4">
        <v>0</v>
      </c>
      <c r="S1699" s="6">
        <v>0</v>
      </c>
      <c r="T1699" s="6">
        <v>68</v>
      </c>
      <c r="U1699" s="6">
        <v>111</v>
      </c>
      <c r="V1699" s="6">
        <f>IF(ISERROR(VLOOKUP($S$1699,'TAR FIN'!$A$1:$O$116,15,0)),0,VLOOKUP($S$1699,'TAR FIN'!$A$1:$O$116,15,0))</f>
        <v>0</v>
      </c>
      <c r="W1699" s="6">
        <f>IF(ISERROR(VLOOKUP($T$1699,'TAR FIN'!$A$1:$O$116,15,0)),0,VLOOKUP($T$1699,'TAR FIN'!$A$1:$O$116,15,0))</f>
        <v>270.66000000000003</v>
      </c>
      <c r="X1699" s="6">
        <f>IF(ISERROR(VLOOKUP($U$1699,'TAR FIN'!$A$1:$O$116,15,0)),0,VLOOKUP($U$1699,'TAR FIN'!$A$1:$O$116,15,0))</f>
        <v>311.04000000000002</v>
      </c>
      <c r="Y1699" s="6"/>
      <c r="Z1699" s="6">
        <f ca="1">('TUSD BE'!$AM$70+'TUSD BF'!$AM$70+'TUSD CVA'!$AM$70)*1</f>
        <v>353.87930636185718</v>
      </c>
      <c r="AA1699" s="6">
        <f>('TE BE'!$AB$41+'TE BF'!$AB$41+'TE CVA'!$AB$41)*1</f>
        <v>313.22907246928764</v>
      </c>
      <c r="AB1699" s="6">
        <f>$K$1699*$V$1699</f>
        <v>0</v>
      </c>
      <c r="AC1699" s="6">
        <f>$M$1699*$W$1699</f>
        <v>6300.9648000000007</v>
      </c>
      <c r="AD1699" s="6">
        <f>$O$1699*$X$1699</f>
        <v>7241.0112000000008</v>
      </c>
      <c r="AE1699" s="6">
        <f>$K$1699*$Y$1699</f>
        <v>0</v>
      </c>
      <c r="AF1699" s="6">
        <f ca="1">$M$1699*$Z$1699</f>
        <v>8238.3102521040346</v>
      </c>
      <c r="AG1699" s="6">
        <f>$O$1699*$AA$1699</f>
        <v>7291.9728070850169</v>
      </c>
    </row>
    <row r="1700" spans="1:33" ht="11.25" customHeight="1" x14ac:dyDescent="0.25">
      <c r="A1700" s="4" t="s">
        <v>28</v>
      </c>
      <c r="B1700" s="4" t="s">
        <v>37</v>
      </c>
      <c r="C1700" s="4" t="s">
        <v>33</v>
      </c>
      <c r="D1700" s="4" t="s">
        <v>43</v>
      </c>
      <c r="E1700" s="4" t="s">
        <v>25</v>
      </c>
      <c r="F1700" s="4" t="s">
        <v>25</v>
      </c>
      <c r="G1700" s="4" t="s">
        <v>25</v>
      </c>
      <c r="H1700" s="4" t="s">
        <v>35</v>
      </c>
      <c r="I1700" s="5">
        <v>44440</v>
      </c>
      <c r="J1700" s="6">
        <v>0</v>
      </c>
      <c r="K1700" s="6">
        <v>0</v>
      </c>
      <c r="L1700" s="6">
        <v>0.33300000000000002</v>
      </c>
      <c r="M1700" s="6">
        <v>0.33300000000000002</v>
      </c>
      <c r="N1700" s="6">
        <v>0.33300000000000002</v>
      </c>
      <c r="O1700" s="6">
        <v>0.33300000000000002</v>
      </c>
      <c r="P1700" s="6">
        <v>0</v>
      </c>
      <c r="Q1700" s="4" t="s">
        <v>26</v>
      </c>
      <c r="R1700" s="4">
        <v>0</v>
      </c>
      <c r="S1700" s="6">
        <v>0</v>
      </c>
      <c r="T1700" s="6">
        <v>68</v>
      </c>
      <c r="U1700" s="6">
        <v>111</v>
      </c>
      <c r="V1700" s="6">
        <f>IF(ISERROR(VLOOKUP($S$1700,'TAR FIN'!$A$1:$O$116,15,0)),0,VLOOKUP($S$1700,'TAR FIN'!$A$1:$O$116,15,0))</f>
        <v>0</v>
      </c>
      <c r="W1700" s="6">
        <f>IF(ISERROR(VLOOKUP($T$1700,'TAR FIN'!$A$1:$O$116,15,0)),0,VLOOKUP($T$1700,'TAR FIN'!$A$1:$O$116,15,0))</f>
        <v>270.66000000000003</v>
      </c>
      <c r="X1700" s="6">
        <f>IF(ISERROR(VLOOKUP($U$1700,'TAR FIN'!$A$1:$O$116,15,0)),0,VLOOKUP($U$1700,'TAR FIN'!$A$1:$O$116,15,0))</f>
        <v>311.04000000000002</v>
      </c>
      <c r="Y1700" s="6"/>
      <c r="Z1700" s="6">
        <f ca="1">('TUSD BE'!$AM$70+'TUSD BF'!$AM$70+'TUSD CVA'!$AM$70)*1</f>
        <v>353.87930636185718</v>
      </c>
      <c r="AA1700" s="6">
        <f>('TE BE'!$AB$41+'TE BF'!$AB$41+'TE CVA'!$AB$41)*1</f>
        <v>313.22907246928764</v>
      </c>
      <c r="AB1700" s="6">
        <f>$K$1700*$V$1700</f>
        <v>0</v>
      </c>
      <c r="AC1700" s="6">
        <f>$M$1700*$W$1700</f>
        <v>90.129780000000011</v>
      </c>
      <c r="AD1700" s="6">
        <f>$O$1700*$X$1700</f>
        <v>103.57632000000001</v>
      </c>
      <c r="AE1700" s="6">
        <f>$K$1700*$Y$1700</f>
        <v>0</v>
      </c>
      <c r="AF1700" s="6">
        <f ca="1">$M$1700*$Z$1700</f>
        <v>117.84180901849845</v>
      </c>
      <c r="AG1700" s="6">
        <f>$O$1700*$AA$1700</f>
        <v>104.3052811322728</v>
      </c>
    </row>
    <row r="1701" spans="1:33" ht="11.25" customHeight="1" x14ac:dyDescent="0.25">
      <c r="A1701" s="4" t="s">
        <v>21</v>
      </c>
      <c r="B1701" s="4" t="s">
        <v>37</v>
      </c>
      <c r="C1701" s="4" t="s">
        <v>33</v>
      </c>
      <c r="D1701" s="4" t="s">
        <v>43</v>
      </c>
      <c r="E1701" s="4" t="s">
        <v>25</v>
      </c>
      <c r="F1701" s="4" t="s">
        <v>25</v>
      </c>
      <c r="G1701" s="4" t="s">
        <v>25</v>
      </c>
      <c r="H1701" s="4" t="s">
        <v>35</v>
      </c>
      <c r="I1701" s="5">
        <v>44470</v>
      </c>
      <c r="J1701" s="6">
        <v>0</v>
      </c>
      <c r="K1701" s="6">
        <v>0</v>
      </c>
      <c r="L1701" s="6">
        <v>26.207999999999998</v>
      </c>
      <c r="M1701" s="6">
        <v>26.207999999999998</v>
      </c>
      <c r="N1701" s="6">
        <v>26.207999999999998</v>
      </c>
      <c r="O1701" s="6">
        <v>26.207999999999998</v>
      </c>
      <c r="P1701" s="6">
        <v>0</v>
      </c>
      <c r="Q1701" s="4" t="s">
        <v>26</v>
      </c>
      <c r="R1701" s="4">
        <v>0</v>
      </c>
      <c r="S1701" s="6">
        <v>0</v>
      </c>
      <c r="T1701" s="6">
        <v>68</v>
      </c>
      <c r="U1701" s="6">
        <v>111</v>
      </c>
      <c r="V1701" s="6">
        <f>IF(ISERROR(VLOOKUP($S$1701,'TAR FIN'!$A$1:$O$116,15,0)),0,VLOOKUP($S$1701,'TAR FIN'!$A$1:$O$116,15,0))</f>
        <v>0</v>
      </c>
      <c r="W1701" s="6">
        <f>IF(ISERROR(VLOOKUP($T$1701,'TAR FIN'!$A$1:$O$116,15,0)),0,VLOOKUP($T$1701,'TAR FIN'!$A$1:$O$116,15,0))</f>
        <v>270.66000000000003</v>
      </c>
      <c r="X1701" s="6">
        <f>IF(ISERROR(VLOOKUP($U$1701,'TAR FIN'!$A$1:$O$116,15,0)),0,VLOOKUP($U$1701,'TAR FIN'!$A$1:$O$116,15,0))</f>
        <v>311.04000000000002</v>
      </c>
      <c r="Y1701" s="6"/>
      <c r="Z1701" s="6">
        <f ca="1">('TUSD BE'!$AM$70+'TUSD BF'!$AM$70+'TUSD CVA'!$AM$70)*1</f>
        <v>353.87930636185718</v>
      </c>
      <c r="AA1701" s="6">
        <f>('TE BE'!$AB$41+'TE BF'!$AB$41+'TE CVA'!$AB$41)*1</f>
        <v>313.22907246928764</v>
      </c>
      <c r="AB1701" s="6">
        <f>$K$1701*$V$1701</f>
        <v>0</v>
      </c>
      <c r="AC1701" s="6">
        <f>$M$1701*$W$1701</f>
        <v>7093.4572800000005</v>
      </c>
      <c r="AD1701" s="6">
        <f>$O$1701*$X$1701</f>
        <v>8151.73632</v>
      </c>
      <c r="AE1701" s="6">
        <f>$K$1701*$Y$1701</f>
        <v>0</v>
      </c>
      <c r="AF1701" s="6">
        <f ca="1">$M$1701*$Z$1701</f>
        <v>9274.4688611315523</v>
      </c>
      <c r="AG1701" s="6">
        <f>$O$1701*$AA$1701</f>
        <v>8209.1075312750909</v>
      </c>
    </row>
    <row r="1702" spans="1:33" ht="11.25" customHeight="1" x14ac:dyDescent="0.25">
      <c r="A1702" s="4" t="s">
        <v>28</v>
      </c>
      <c r="B1702" s="4" t="s">
        <v>37</v>
      </c>
      <c r="C1702" s="4" t="s">
        <v>33</v>
      </c>
      <c r="D1702" s="4" t="s">
        <v>43</v>
      </c>
      <c r="E1702" s="4" t="s">
        <v>25</v>
      </c>
      <c r="F1702" s="4" t="s">
        <v>25</v>
      </c>
      <c r="G1702" s="4" t="s">
        <v>25</v>
      </c>
      <c r="H1702" s="4" t="s">
        <v>35</v>
      </c>
      <c r="I1702" s="5">
        <v>44470</v>
      </c>
      <c r="J1702" s="6">
        <v>0</v>
      </c>
      <c r="K1702" s="6">
        <v>0</v>
      </c>
      <c r="L1702" s="6">
        <v>0.24299999999999999</v>
      </c>
      <c r="M1702" s="6">
        <v>0.24299999999999999</v>
      </c>
      <c r="N1702" s="6">
        <v>0.24299999999999999</v>
      </c>
      <c r="O1702" s="6">
        <v>0.24299999999999999</v>
      </c>
      <c r="P1702" s="6">
        <v>0</v>
      </c>
      <c r="Q1702" s="4" t="s">
        <v>26</v>
      </c>
      <c r="R1702" s="4">
        <v>0</v>
      </c>
      <c r="S1702" s="6">
        <v>0</v>
      </c>
      <c r="T1702" s="6">
        <v>68</v>
      </c>
      <c r="U1702" s="6">
        <v>111</v>
      </c>
      <c r="V1702" s="6">
        <f>IF(ISERROR(VLOOKUP($S$1702,'TAR FIN'!$A$1:$O$116,15,0)),0,VLOOKUP($S$1702,'TAR FIN'!$A$1:$O$116,15,0))</f>
        <v>0</v>
      </c>
      <c r="W1702" s="6">
        <f>IF(ISERROR(VLOOKUP($T$1702,'TAR FIN'!$A$1:$O$116,15,0)),0,VLOOKUP($T$1702,'TAR FIN'!$A$1:$O$116,15,0))</f>
        <v>270.66000000000003</v>
      </c>
      <c r="X1702" s="6">
        <f>IF(ISERROR(VLOOKUP($U$1702,'TAR FIN'!$A$1:$O$116,15,0)),0,VLOOKUP($U$1702,'TAR FIN'!$A$1:$O$116,15,0))</f>
        <v>311.04000000000002</v>
      </c>
      <c r="Y1702" s="6"/>
      <c r="Z1702" s="6">
        <f ca="1">('TUSD BE'!$AM$70+'TUSD BF'!$AM$70+'TUSD CVA'!$AM$70)*1</f>
        <v>353.87930636185718</v>
      </c>
      <c r="AA1702" s="6">
        <f>('TE BE'!$AB$41+'TE BF'!$AB$41+'TE CVA'!$AB$41)*1</f>
        <v>313.22907246928764</v>
      </c>
      <c r="AB1702" s="6">
        <f>$K$1702*$V$1702</f>
        <v>0</v>
      </c>
      <c r="AC1702" s="6">
        <f>$M$1702*$W$1702</f>
        <v>65.770380000000003</v>
      </c>
      <c r="AD1702" s="6">
        <f>$O$1702*$X$1702</f>
        <v>75.582720000000009</v>
      </c>
      <c r="AE1702" s="6">
        <f>$K$1702*$Y$1702</f>
        <v>0</v>
      </c>
      <c r="AF1702" s="6">
        <f ca="1">$M$1702*$Z$1702</f>
        <v>85.992671445931293</v>
      </c>
      <c r="AG1702" s="6">
        <f>$O$1702*$AA$1702</f>
        <v>76.114664610036897</v>
      </c>
    </row>
    <row r="1703" spans="1:33" ht="11.25" customHeight="1" x14ac:dyDescent="0.25">
      <c r="A1703" s="4" t="s">
        <v>21</v>
      </c>
      <c r="B1703" s="4" t="s">
        <v>37</v>
      </c>
      <c r="C1703" s="4" t="s">
        <v>33</v>
      </c>
      <c r="D1703" s="4" t="s">
        <v>43</v>
      </c>
      <c r="E1703" s="4" t="s">
        <v>25</v>
      </c>
      <c r="F1703" s="4" t="s">
        <v>25</v>
      </c>
      <c r="G1703" s="4" t="s">
        <v>25</v>
      </c>
      <c r="H1703" s="4" t="s">
        <v>35</v>
      </c>
      <c r="I1703" s="5">
        <v>44501</v>
      </c>
      <c r="J1703" s="6">
        <v>0</v>
      </c>
      <c r="K1703" s="6">
        <v>0</v>
      </c>
      <c r="L1703" s="6">
        <v>24.140999999999998</v>
      </c>
      <c r="M1703" s="6">
        <v>24.140999999999998</v>
      </c>
      <c r="N1703" s="6">
        <v>24.140999999999998</v>
      </c>
      <c r="O1703" s="6">
        <v>24.140999999999998</v>
      </c>
      <c r="P1703" s="6">
        <v>0</v>
      </c>
      <c r="Q1703" s="4" t="s">
        <v>26</v>
      </c>
      <c r="R1703" s="4">
        <v>0</v>
      </c>
      <c r="S1703" s="6">
        <v>0</v>
      </c>
      <c r="T1703" s="6">
        <v>68</v>
      </c>
      <c r="U1703" s="6">
        <v>111</v>
      </c>
      <c r="V1703" s="6">
        <f>IF(ISERROR(VLOOKUP($S$1703,'TAR FIN'!$A$1:$O$116,15,0)),0,VLOOKUP($S$1703,'TAR FIN'!$A$1:$O$116,15,0))</f>
        <v>0</v>
      </c>
      <c r="W1703" s="6">
        <f>IF(ISERROR(VLOOKUP($T$1703,'TAR FIN'!$A$1:$O$116,15,0)),0,VLOOKUP($T$1703,'TAR FIN'!$A$1:$O$116,15,0))</f>
        <v>270.66000000000003</v>
      </c>
      <c r="X1703" s="6">
        <f>IF(ISERROR(VLOOKUP($U$1703,'TAR FIN'!$A$1:$O$116,15,0)),0,VLOOKUP($U$1703,'TAR FIN'!$A$1:$O$116,15,0))</f>
        <v>311.04000000000002</v>
      </c>
      <c r="Y1703" s="6"/>
      <c r="Z1703" s="6">
        <f ca="1">('TUSD BE'!$AM$70+'TUSD BF'!$AM$70+'TUSD CVA'!$AM$70)*1</f>
        <v>353.87930636185718</v>
      </c>
      <c r="AA1703" s="6">
        <f>('TE BE'!$AB$41+'TE BF'!$AB$41+'TE CVA'!$AB$41)*1</f>
        <v>313.22907246928764</v>
      </c>
      <c r="AB1703" s="6">
        <f>$K$1703*$V$1703</f>
        <v>0</v>
      </c>
      <c r="AC1703" s="6">
        <f>$M$1703*$W$1703</f>
        <v>6534.00306</v>
      </c>
      <c r="AD1703" s="6">
        <f>$O$1703*$X$1703</f>
        <v>7508.81664</v>
      </c>
      <c r="AE1703" s="6">
        <f>$K$1703*$Y$1703</f>
        <v>0</v>
      </c>
      <c r="AF1703" s="6">
        <f ca="1">$M$1703*$Z$1703</f>
        <v>8543.0003348815935</v>
      </c>
      <c r="AG1703" s="6">
        <f>$O$1703*$AA$1703</f>
        <v>7561.6630384810724</v>
      </c>
    </row>
    <row r="1704" spans="1:33" ht="11.25" customHeight="1" x14ac:dyDescent="0.25">
      <c r="A1704" s="4" t="s">
        <v>28</v>
      </c>
      <c r="B1704" s="4" t="s">
        <v>37</v>
      </c>
      <c r="C1704" s="4" t="s">
        <v>33</v>
      </c>
      <c r="D1704" s="4" t="s">
        <v>43</v>
      </c>
      <c r="E1704" s="4" t="s">
        <v>25</v>
      </c>
      <c r="F1704" s="4" t="s">
        <v>25</v>
      </c>
      <c r="G1704" s="4" t="s">
        <v>25</v>
      </c>
      <c r="H1704" s="4" t="s">
        <v>35</v>
      </c>
      <c r="I1704" s="5">
        <v>44501</v>
      </c>
      <c r="J1704" s="6">
        <v>0</v>
      </c>
      <c r="K1704" s="6">
        <v>0</v>
      </c>
      <c r="L1704" s="6">
        <v>1.292</v>
      </c>
      <c r="M1704" s="6">
        <v>1.292</v>
      </c>
      <c r="N1704" s="6">
        <v>1.292</v>
      </c>
      <c r="O1704" s="6">
        <v>1.292</v>
      </c>
      <c r="P1704" s="6">
        <v>0</v>
      </c>
      <c r="Q1704" s="4" t="s">
        <v>26</v>
      </c>
      <c r="R1704" s="4">
        <v>0</v>
      </c>
      <c r="S1704" s="6">
        <v>0</v>
      </c>
      <c r="T1704" s="6">
        <v>68</v>
      </c>
      <c r="U1704" s="6">
        <v>111</v>
      </c>
      <c r="V1704" s="6">
        <f>IF(ISERROR(VLOOKUP($S$1704,'TAR FIN'!$A$1:$O$116,15,0)),0,VLOOKUP($S$1704,'TAR FIN'!$A$1:$O$116,15,0))</f>
        <v>0</v>
      </c>
      <c r="W1704" s="6">
        <f>IF(ISERROR(VLOOKUP($T$1704,'TAR FIN'!$A$1:$O$116,15,0)),0,VLOOKUP($T$1704,'TAR FIN'!$A$1:$O$116,15,0))</f>
        <v>270.66000000000003</v>
      </c>
      <c r="X1704" s="6">
        <f>IF(ISERROR(VLOOKUP($U$1704,'TAR FIN'!$A$1:$O$116,15,0)),0,VLOOKUP($U$1704,'TAR FIN'!$A$1:$O$116,15,0))</f>
        <v>311.04000000000002</v>
      </c>
      <c r="Y1704" s="6"/>
      <c r="Z1704" s="6">
        <f ca="1">('TUSD BE'!$AM$70+'TUSD BF'!$AM$70+'TUSD CVA'!$AM$70)*1</f>
        <v>353.87930636185718</v>
      </c>
      <c r="AA1704" s="6">
        <f>('TE BE'!$AB$41+'TE BF'!$AB$41+'TE CVA'!$AB$41)*1</f>
        <v>313.22907246928764</v>
      </c>
      <c r="AB1704" s="6">
        <f>$K$1704*$V$1704</f>
        <v>0</v>
      </c>
      <c r="AC1704" s="6">
        <f>$M$1704*$W$1704</f>
        <v>349.69272000000007</v>
      </c>
      <c r="AD1704" s="6">
        <f>$O$1704*$X$1704</f>
        <v>401.86368000000004</v>
      </c>
      <c r="AE1704" s="6">
        <f>$K$1704*$Y$1704</f>
        <v>0</v>
      </c>
      <c r="AF1704" s="6">
        <f ca="1">$M$1704*$Z$1704</f>
        <v>457.21206381951947</v>
      </c>
      <c r="AG1704" s="6">
        <f>$O$1704*$AA$1704</f>
        <v>404.69196163031967</v>
      </c>
    </row>
    <row r="1705" spans="1:33" ht="11.25" customHeight="1" x14ac:dyDescent="0.25">
      <c r="A1705" s="4" t="s">
        <v>21</v>
      </c>
      <c r="B1705" s="4" t="s">
        <v>37</v>
      </c>
      <c r="C1705" s="4" t="s">
        <v>33</v>
      </c>
      <c r="D1705" s="4" t="s">
        <v>43</v>
      </c>
      <c r="E1705" s="4" t="s">
        <v>25</v>
      </c>
      <c r="F1705" s="4" t="s">
        <v>25</v>
      </c>
      <c r="G1705" s="4" t="s">
        <v>25</v>
      </c>
      <c r="H1705" s="4" t="s">
        <v>35</v>
      </c>
      <c r="I1705" s="5">
        <v>44531</v>
      </c>
      <c r="J1705" s="6">
        <v>0</v>
      </c>
      <c r="K1705" s="6">
        <v>0</v>
      </c>
      <c r="L1705" s="6">
        <v>32.573</v>
      </c>
      <c r="M1705" s="6">
        <v>32.573</v>
      </c>
      <c r="N1705" s="6">
        <v>32.573</v>
      </c>
      <c r="O1705" s="6">
        <v>32.573</v>
      </c>
      <c r="P1705" s="6">
        <v>0</v>
      </c>
      <c r="Q1705" s="4" t="s">
        <v>26</v>
      </c>
      <c r="R1705" s="4">
        <v>0</v>
      </c>
      <c r="S1705" s="6">
        <v>0</v>
      </c>
      <c r="T1705" s="6">
        <v>68</v>
      </c>
      <c r="U1705" s="6">
        <v>111</v>
      </c>
      <c r="V1705" s="6">
        <f>IF(ISERROR(VLOOKUP($S$1705,'TAR FIN'!$A$1:$O$116,15,0)),0,VLOOKUP($S$1705,'TAR FIN'!$A$1:$O$116,15,0))</f>
        <v>0</v>
      </c>
      <c r="W1705" s="6">
        <f>IF(ISERROR(VLOOKUP($T$1705,'TAR FIN'!$A$1:$O$116,15,0)),0,VLOOKUP($T$1705,'TAR FIN'!$A$1:$O$116,15,0))</f>
        <v>270.66000000000003</v>
      </c>
      <c r="X1705" s="6">
        <f>IF(ISERROR(VLOOKUP($U$1705,'TAR FIN'!$A$1:$O$116,15,0)),0,VLOOKUP($U$1705,'TAR FIN'!$A$1:$O$116,15,0))</f>
        <v>311.04000000000002</v>
      </c>
      <c r="Y1705" s="6"/>
      <c r="Z1705" s="6">
        <f ca="1">('TUSD BE'!$AM$70+'TUSD BF'!$AM$70+'TUSD CVA'!$AM$70)*1</f>
        <v>353.87930636185718</v>
      </c>
      <c r="AA1705" s="6">
        <f>('TE BE'!$AB$41+'TE BF'!$AB$41+'TE CVA'!$AB$41)*1</f>
        <v>313.22907246928764</v>
      </c>
      <c r="AB1705" s="6">
        <f>$K$1705*$V$1705</f>
        <v>0</v>
      </c>
      <c r="AC1705" s="6">
        <f>$M$1705*$W$1705</f>
        <v>8816.2081800000014</v>
      </c>
      <c r="AD1705" s="6">
        <f>$O$1705*$X$1705</f>
        <v>10131.505920000001</v>
      </c>
      <c r="AE1705" s="6">
        <f>$K$1705*$Y$1705</f>
        <v>0</v>
      </c>
      <c r="AF1705" s="6">
        <f ca="1">$M$1705*$Z$1705</f>
        <v>11526.910646124774</v>
      </c>
      <c r="AG1705" s="6">
        <f>$O$1705*$AA$1705</f>
        <v>10202.810577542106</v>
      </c>
    </row>
    <row r="1706" spans="1:33" ht="11.25" customHeight="1" x14ac:dyDescent="0.25">
      <c r="A1706" s="4" t="s">
        <v>28</v>
      </c>
      <c r="B1706" s="4" t="s">
        <v>37</v>
      </c>
      <c r="C1706" s="4" t="s">
        <v>33</v>
      </c>
      <c r="D1706" s="4" t="s">
        <v>43</v>
      </c>
      <c r="E1706" s="4" t="s">
        <v>25</v>
      </c>
      <c r="F1706" s="4" t="s">
        <v>25</v>
      </c>
      <c r="G1706" s="4" t="s">
        <v>25</v>
      </c>
      <c r="H1706" s="4" t="s">
        <v>35</v>
      </c>
      <c r="I1706" s="5">
        <v>44531</v>
      </c>
      <c r="J1706" s="6">
        <v>0</v>
      </c>
      <c r="K1706" s="6">
        <v>0</v>
      </c>
      <c r="L1706" s="6">
        <v>0.91600000000000004</v>
      </c>
      <c r="M1706" s="6">
        <v>0.91600000000000004</v>
      </c>
      <c r="N1706" s="6">
        <v>0.91600000000000004</v>
      </c>
      <c r="O1706" s="6">
        <v>0.91600000000000004</v>
      </c>
      <c r="P1706" s="6">
        <v>0</v>
      </c>
      <c r="Q1706" s="4" t="s">
        <v>26</v>
      </c>
      <c r="R1706" s="4">
        <v>0</v>
      </c>
      <c r="S1706" s="6">
        <v>0</v>
      </c>
      <c r="T1706" s="6">
        <v>68</v>
      </c>
      <c r="U1706" s="6">
        <v>111</v>
      </c>
      <c r="V1706" s="6">
        <f>IF(ISERROR(VLOOKUP($S$1706,'TAR FIN'!$A$1:$O$116,15,0)),0,VLOOKUP($S$1706,'TAR FIN'!$A$1:$O$116,15,0))</f>
        <v>0</v>
      </c>
      <c r="W1706" s="6">
        <f>IF(ISERROR(VLOOKUP($T$1706,'TAR FIN'!$A$1:$O$116,15,0)),0,VLOOKUP($T$1706,'TAR FIN'!$A$1:$O$116,15,0))</f>
        <v>270.66000000000003</v>
      </c>
      <c r="X1706" s="6">
        <f>IF(ISERROR(VLOOKUP($U$1706,'TAR FIN'!$A$1:$O$116,15,0)),0,VLOOKUP($U$1706,'TAR FIN'!$A$1:$O$116,15,0))</f>
        <v>311.04000000000002</v>
      </c>
      <c r="Y1706" s="6"/>
      <c r="Z1706" s="6">
        <f ca="1">('TUSD BE'!$AM$70+'TUSD BF'!$AM$70+'TUSD CVA'!$AM$70)*1</f>
        <v>353.87930636185718</v>
      </c>
      <c r="AA1706" s="6">
        <f>('TE BE'!$AB$41+'TE BF'!$AB$41+'TE CVA'!$AB$41)*1</f>
        <v>313.22907246928764</v>
      </c>
      <c r="AB1706" s="6">
        <f>$K$1706*$V$1706</f>
        <v>0</v>
      </c>
      <c r="AC1706" s="6">
        <f>$M$1706*$W$1706</f>
        <v>247.92456000000004</v>
      </c>
      <c r="AD1706" s="6">
        <f>$O$1706*$X$1706</f>
        <v>284.91264000000001</v>
      </c>
      <c r="AE1706" s="6">
        <f>$K$1706*$Y$1706</f>
        <v>0</v>
      </c>
      <c r="AF1706" s="6">
        <f ca="1">$M$1706*$Z$1706</f>
        <v>324.15344462746117</v>
      </c>
      <c r="AG1706" s="6">
        <f>$O$1706*$AA$1706</f>
        <v>286.91783038186747</v>
      </c>
    </row>
    <row r="1707" spans="1:33" ht="11.25" customHeight="1" x14ac:dyDescent="0.25">
      <c r="A1707" s="4" t="s">
        <v>21</v>
      </c>
      <c r="B1707" s="4" t="s">
        <v>37</v>
      </c>
      <c r="C1707" s="4" t="s">
        <v>33</v>
      </c>
      <c r="D1707" s="4" t="s">
        <v>43</v>
      </c>
      <c r="E1707" s="4" t="s">
        <v>25</v>
      </c>
      <c r="F1707" s="4" t="s">
        <v>25</v>
      </c>
      <c r="G1707" s="4" t="s">
        <v>25</v>
      </c>
      <c r="H1707" s="4" t="s">
        <v>35</v>
      </c>
      <c r="I1707" s="5">
        <v>44562</v>
      </c>
      <c r="J1707" s="6">
        <v>0</v>
      </c>
      <c r="K1707" s="6">
        <v>0</v>
      </c>
      <c r="L1707" s="6">
        <v>29.626000000000001</v>
      </c>
      <c r="M1707" s="6">
        <v>29.626000000000001</v>
      </c>
      <c r="N1707" s="6">
        <v>29.626000000000001</v>
      </c>
      <c r="O1707" s="6">
        <v>29.626000000000001</v>
      </c>
      <c r="P1707" s="6">
        <v>0</v>
      </c>
      <c r="Q1707" s="4" t="s">
        <v>26</v>
      </c>
      <c r="R1707" s="4">
        <v>0</v>
      </c>
      <c r="S1707" s="6">
        <v>0</v>
      </c>
      <c r="T1707" s="6">
        <v>68</v>
      </c>
      <c r="U1707" s="6">
        <v>111</v>
      </c>
      <c r="V1707" s="6">
        <f>IF(ISERROR(VLOOKUP($S$1707,'TAR FIN'!$A$1:$O$116,15,0)),0,VLOOKUP($S$1707,'TAR FIN'!$A$1:$O$116,15,0))</f>
        <v>0</v>
      </c>
      <c r="W1707" s="6">
        <f>IF(ISERROR(VLOOKUP($T$1707,'TAR FIN'!$A$1:$O$116,15,0)),0,VLOOKUP($T$1707,'TAR FIN'!$A$1:$O$116,15,0))</f>
        <v>270.66000000000003</v>
      </c>
      <c r="X1707" s="6">
        <f>IF(ISERROR(VLOOKUP($U$1707,'TAR FIN'!$A$1:$O$116,15,0)),0,VLOOKUP($U$1707,'TAR FIN'!$A$1:$O$116,15,0))</f>
        <v>311.04000000000002</v>
      </c>
      <c r="Y1707" s="6"/>
      <c r="Z1707" s="6">
        <f ca="1">('TUSD BE'!$AM$70+'TUSD BF'!$AM$70+'TUSD CVA'!$AM$70)*1</f>
        <v>353.87930636185718</v>
      </c>
      <c r="AA1707" s="6">
        <f>('TE BE'!$AB$41+'TE BF'!$AB$41+'TE CVA'!$AB$41)*1</f>
        <v>313.22907246928764</v>
      </c>
      <c r="AB1707" s="6">
        <f>$K$1707*$V$1707</f>
        <v>0</v>
      </c>
      <c r="AC1707" s="6">
        <f>$M$1707*$W$1707</f>
        <v>8018.5731600000008</v>
      </c>
      <c r="AD1707" s="6">
        <f>$O$1707*$X$1707</f>
        <v>9214.8710400000018</v>
      </c>
      <c r="AE1707" s="6">
        <f>$K$1707*$Y$1707</f>
        <v>0</v>
      </c>
      <c r="AF1707" s="6">
        <f ca="1">$M$1707*$Z$1707</f>
        <v>10484.028330276382</v>
      </c>
      <c r="AG1707" s="6">
        <f>$O$1707*$AA$1707</f>
        <v>9279.7245009751168</v>
      </c>
    </row>
    <row r="1708" spans="1:33" ht="11.25" customHeight="1" x14ac:dyDescent="0.25">
      <c r="A1708" s="4" t="s">
        <v>27</v>
      </c>
      <c r="B1708" s="4" t="s">
        <v>37</v>
      </c>
      <c r="C1708" s="4" t="s">
        <v>33</v>
      </c>
      <c r="D1708" s="4" t="s">
        <v>43</v>
      </c>
      <c r="E1708" s="4" t="s">
        <v>25</v>
      </c>
      <c r="F1708" s="4" t="s">
        <v>25</v>
      </c>
      <c r="G1708" s="4" t="s">
        <v>25</v>
      </c>
      <c r="H1708" s="4" t="s">
        <v>35</v>
      </c>
      <c r="I1708" s="5">
        <v>44562</v>
      </c>
      <c r="J1708" s="6">
        <v>0</v>
      </c>
      <c r="K1708" s="6">
        <v>0</v>
      </c>
      <c r="L1708" s="6">
        <v>-4.0430000000000001</v>
      </c>
      <c r="M1708" s="6">
        <v>-4.0430000000000001</v>
      </c>
      <c r="N1708" s="6">
        <v>-4.0430000000000001</v>
      </c>
      <c r="O1708" s="6">
        <v>-4.0430000000000001</v>
      </c>
      <c r="P1708" s="6">
        <v>0</v>
      </c>
      <c r="Q1708" s="4" t="s">
        <v>26</v>
      </c>
      <c r="R1708" s="4">
        <v>0</v>
      </c>
      <c r="S1708" s="6">
        <v>0</v>
      </c>
      <c r="T1708" s="6">
        <v>68</v>
      </c>
      <c r="U1708" s="6">
        <v>111</v>
      </c>
      <c r="V1708" s="6">
        <f>IF(ISERROR(VLOOKUP($S$1708,'TAR FIN'!$A$1:$O$116,15,0)),0,VLOOKUP($S$1708,'TAR FIN'!$A$1:$O$116,15,0))</f>
        <v>0</v>
      </c>
      <c r="W1708" s="6">
        <f>IF(ISERROR(VLOOKUP($T$1708,'TAR FIN'!$A$1:$O$116,15,0)),0,VLOOKUP($T$1708,'TAR FIN'!$A$1:$O$116,15,0))</f>
        <v>270.66000000000003</v>
      </c>
      <c r="X1708" s="6">
        <f>IF(ISERROR(VLOOKUP($U$1708,'TAR FIN'!$A$1:$O$116,15,0)),0,VLOOKUP($U$1708,'TAR FIN'!$A$1:$O$116,15,0))</f>
        <v>311.04000000000002</v>
      </c>
      <c r="Y1708" s="6"/>
      <c r="Z1708" s="6">
        <f ca="1">('TUSD BE'!$AM$70+'TUSD BF'!$AM$70+'TUSD CVA'!$AM$70)*1</f>
        <v>353.87930636185718</v>
      </c>
      <c r="AA1708" s="6">
        <f>('TE BE'!$AB$41+'TE BF'!$AB$41+'TE CVA'!$AB$41)*1</f>
        <v>313.22907246928764</v>
      </c>
      <c r="AB1708" s="6">
        <f>$K$1708*$V$1708</f>
        <v>0</v>
      </c>
      <c r="AC1708" s="6">
        <f>$M$1708*$W$1708</f>
        <v>-1094.2783800000002</v>
      </c>
      <c r="AD1708" s="6">
        <f>$O$1708*$X$1708</f>
        <v>-1257.5347200000001</v>
      </c>
      <c r="AE1708" s="6">
        <f>$K$1708*$Y$1708</f>
        <v>0</v>
      </c>
      <c r="AF1708" s="6">
        <f ca="1">$M$1708*$Z$1708</f>
        <v>-1430.7340356209886</v>
      </c>
      <c r="AG1708" s="6">
        <f>$O$1708*$AA$1708</f>
        <v>-1266.3851399933301</v>
      </c>
    </row>
    <row r="1709" spans="1:33" ht="11.25" customHeight="1" x14ac:dyDescent="0.25">
      <c r="A1709" s="4" t="s">
        <v>28</v>
      </c>
      <c r="B1709" s="4" t="s">
        <v>37</v>
      </c>
      <c r="C1709" s="4" t="s">
        <v>33</v>
      </c>
      <c r="D1709" s="4" t="s">
        <v>43</v>
      </c>
      <c r="E1709" s="4" t="s">
        <v>25</v>
      </c>
      <c r="F1709" s="4" t="s">
        <v>25</v>
      </c>
      <c r="G1709" s="4" t="s">
        <v>25</v>
      </c>
      <c r="H1709" s="4" t="s">
        <v>35</v>
      </c>
      <c r="I1709" s="5">
        <v>44562</v>
      </c>
      <c r="J1709" s="6">
        <v>0</v>
      </c>
      <c r="K1709" s="6">
        <v>0</v>
      </c>
      <c r="L1709" s="6">
        <v>1.5860000000000001</v>
      </c>
      <c r="M1709" s="6">
        <v>1.5860000000000001</v>
      </c>
      <c r="N1709" s="6">
        <v>1.5860000000000001</v>
      </c>
      <c r="O1709" s="6">
        <v>1.5860000000000001</v>
      </c>
      <c r="P1709" s="6">
        <v>0</v>
      </c>
      <c r="Q1709" s="4" t="s">
        <v>26</v>
      </c>
      <c r="R1709" s="4">
        <v>0</v>
      </c>
      <c r="S1709" s="6">
        <v>0</v>
      </c>
      <c r="T1709" s="6">
        <v>68</v>
      </c>
      <c r="U1709" s="6">
        <v>111</v>
      </c>
      <c r="V1709" s="6">
        <f>IF(ISERROR(VLOOKUP($S$1709,'TAR FIN'!$A$1:$O$116,15,0)),0,VLOOKUP($S$1709,'TAR FIN'!$A$1:$O$116,15,0))</f>
        <v>0</v>
      </c>
      <c r="W1709" s="6">
        <f>IF(ISERROR(VLOOKUP($T$1709,'TAR FIN'!$A$1:$O$116,15,0)),0,VLOOKUP($T$1709,'TAR FIN'!$A$1:$O$116,15,0))</f>
        <v>270.66000000000003</v>
      </c>
      <c r="X1709" s="6">
        <f>IF(ISERROR(VLOOKUP($U$1709,'TAR FIN'!$A$1:$O$116,15,0)),0,VLOOKUP($U$1709,'TAR FIN'!$A$1:$O$116,15,0))</f>
        <v>311.04000000000002</v>
      </c>
      <c r="Y1709" s="6"/>
      <c r="Z1709" s="6">
        <f ca="1">('TUSD BE'!$AM$70+'TUSD BF'!$AM$70+'TUSD CVA'!$AM$70)*1</f>
        <v>353.87930636185718</v>
      </c>
      <c r="AA1709" s="6">
        <f>('TE BE'!$AB$41+'TE BF'!$AB$41+'TE CVA'!$AB$41)*1</f>
        <v>313.22907246928764</v>
      </c>
      <c r="AB1709" s="6">
        <f>$K$1709*$V$1709</f>
        <v>0</v>
      </c>
      <c r="AC1709" s="6">
        <f>$M$1709*$W$1709</f>
        <v>429.26676000000003</v>
      </c>
      <c r="AD1709" s="6">
        <f>$O$1709*$X$1709</f>
        <v>493.30944000000005</v>
      </c>
      <c r="AE1709" s="6">
        <f>$K$1709*$Y$1709</f>
        <v>0</v>
      </c>
      <c r="AF1709" s="6">
        <f ca="1">$M$1709*$Z$1709</f>
        <v>561.25257988990552</v>
      </c>
      <c r="AG1709" s="6">
        <f>$O$1709*$AA$1709</f>
        <v>496.7813089362902</v>
      </c>
    </row>
    <row r="1710" spans="1:33" ht="11.25" customHeight="1" x14ac:dyDescent="0.25">
      <c r="A1710" s="4" t="s">
        <v>21</v>
      </c>
      <c r="B1710" s="4" t="s">
        <v>37</v>
      </c>
      <c r="C1710" s="4" t="s">
        <v>33</v>
      </c>
      <c r="D1710" s="4" t="s">
        <v>43</v>
      </c>
      <c r="E1710" s="4" t="s">
        <v>25</v>
      </c>
      <c r="F1710" s="4" t="s">
        <v>25</v>
      </c>
      <c r="G1710" s="4" t="s">
        <v>25</v>
      </c>
      <c r="H1710" s="4" t="s">
        <v>35</v>
      </c>
      <c r="I1710" s="5">
        <v>44593</v>
      </c>
      <c r="J1710" s="6">
        <v>0</v>
      </c>
      <c r="K1710" s="6">
        <v>0</v>
      </c>
      <c r="L1710" s="6">
        <v>30.038</v>
      </c>
      <c r="M1710" s="6">
        <v>30.038</v>
      </c>
      <c r="N1710" s="6">
        <v>30.038</v>
      </c>
      <c r="O1710" s="6">
        <v>30.038</v>
      </c>
      <c r="P1710" s="6">
        <v>0</v>
      </c>
      <c r="Q1710" s="4" t="s">
        <v>26</v>
      </c>
      <c r="R1710" s="4">
        <v>0</v>
      </c>
      <c r="S1710" s="6">
        <v>0</v>
      </c>
      <c r="T1710" s="6">
        <v>68</v>
      </c>
      <c r="U1710" s="6">
        <v>111</v>
      </c>
      <c r="V1710" s="6">
        <f>IF(ISERROR(VLOOKUP($S$1710,'TAR FIN'!$A$1:$O$116,15,0)),0,VLOOKUP($S$1710,'TAR FIN'!$A$1:$O$116,15,0))</f>
        <v>0</v>
      </c>
      <c r="W1710" s="6">
        <f>IF(ISERROR(VLOOKUP($T$1710,'TAR FIN'!$A$1:$O$116,15,0)),0,VLOOKUP($T$1710,'TAR FIN'!$A$1:$O$116,15,0))</f>
        <v>270.66000000000003</v>
      </c>
      <c r="X1710" s="6">
        <f>IF(ISERROR(VLOOKUP($U$1710,'TAR FIN'!$A$1:$O$116,15,0)),0,VLOOKUP($U$1710,'TAR FIN'!$A$1:$O$116,15,0))</f>
        <v>311.04000000000002</v>
      </c>
      <c r="Y1710" s="6"/>
      <c r="Z1710" s="6">
        <f ca="1">('TUSD BE'!$AM$70+'TUSD BF'!$AM$70+'TUSD CVA'!$AM$70)*1</f>
        <v>353.87930636185718</v>
      </c>
      <c r="AA1710" s="6">
        <f>('TE BE'!$AB$41+'TE BF'!$AB$41+'TE CVA'!$AB$41)*1</f>
        <v>313.22907246928764</v>
      </c>
      <c r="AB1710" s="6">
        <f>$K$1710*$V$1710</f>
        <v>0</v>
      </c>
      <c r="AC1710" s="6">
        <f>$M$1710*$W$1710</f>
        <v>8130.0850800000007</v>
      </c>
      <c r="AD1710" s="6">
        <f>$O$1710*$X$1710</f>
        <v>9343.0195199999998</v>
      </c>
      <c r="AE1710" s="6">
        <f>$K$1710*$Y$1710</f>
        <v>0</v>
      </c>
      <c r="AF1710" s="6">
        <f ca="1">$M$1710*$Z$1710</f>
        <v>10629.826604497466</v>
      </c>
      <c r="AG1710" s="6">
        <f>$O$1710*$AA$1710</f>
        <v>9408.7748788324625</v>
      </c>
    </row>
    <row r="1711" spans="1:33" ht="11.25" customHeight="1" x14ac:dyDescent="0.25">
      <c r="A1711" s="4" t="s">
        <v>28</v>
      </c>
      <c r="B1711" s="4" t="s">
        <v>37</v>
      </c>
      <c r="C1711" s="4" t="s">
        <v>33</v>
      </c>
      <c r="D1711" s="4" t="s">
        <v>43</v>
      </c>
      <c r="E1711" s="4" t="s">
        <v>25</v>
      </c>
      <c r="F1711" s="4" t="s">
        <v>25</v>
      </c>
      <c r="G1711" s="4" t="s">
        <v>25</v>
      </c>
      <c r="H1711" s="4" t="s">
        <v>35</v>
      </c>
      <c r="I1711" s="5">
        <v>44593</v>
      </c>
      <c r="J1711" s="6">
        <v>0</v>
      </c>
      <c r="K1711" s="6">
        <v>0</v>
      </c>
      <c r="L1711" s="6">
        <v>0.55500000000000005</v>
      </c>
      <c r="M1711" s="6">
        <v>0.55500000000000005</v>
      </c>
      <c r="N1711" s="6">
        <v>0.55500000000000005</v>
      </c>
      <c r="O1711" s="6">
        <v>0.55500000000000005</v>
      </c>
      <c r="P1711" s="6">
        <v>0</v>
      </c>
      <c r="Q1711" s="4" t="s">
        <v>26</v>
      </c>
      <c r="R1711" s="4">
        <v>0</v>
      </c>
      <c r="S1711" s="6">
        <v>0</v>
      </c>
      <c r="T1711" s="6">
        <v>68</v>
      </c>
      <c r="U1711" s="6">
        <v>111</v>
      </c>
      <c r="V1711" s="6">
        <f>IF(ISERROR(VLOOKUP($S$1711,'TAR FIN'!$A$1:$O$116,15,0)),0,VLOOKUP($S$1711,'TAR FIN'!$A$1:$O$116,15,0))</f>
        <v>0</v>
      </c>
      <c r="W1711" s="6">
        <f>IF(ISERROR(VLOOKUP($T$1711,'TAR FIN'!$A$1:$O$116,15,0)),0,VLOOKUP($T$1711,'TAR FIN'!$A$1:$O$116,15,0))</f>
        <v>270.66000000000003</v>
      </c>
      <c r="X1711" s="6">
        <f>IF(ISERROR(VLOOKUP($U$1711,'TAR FIN'!$A$1:$O$116,15,0)),0,VLOOKUP($U$1711,'TAR FIN'!$A$1:$O$116,15,0))</f>
        <v>311.04000000000002</v>
      </c>
      <c r="Y1711" s="6"/>
      <c r="Z1711" s="6">
        <f ca="1">('TUSD BE'!$AM$70+'TUSD BF'!$AM$70+'TUSD CVA'!$AM$70)*1</f>
        <v>353.87930636185718</v>
      </c>
      <c r="AA1711" s="6">
        <f>('TE BE'!$AB$41+'TE BF'!$AB$41+'TE CVA'!$AB$41)*1</f>
        <v>313.22907246928764</v>
      </c>
      <c r="AB1711" s="6">
        <f>$K$1711*$V$1711</f>
        <v>0</v>
      </c>
      <c r="AC1711" s="6">
        <f>$M$1711*$W$1711</f>
        <v>150.21630000000002</v>
      </c>
      <c r="AD1711" s="6">
        <f>$O$1711*$X$1711</f>
        <v>172.62720000000002</v>
      </c>
      <c r="AE1711" s="6">
        <f>$K$1711*$Y$1711</f>
        <v>0</v>
      </c>
      <c r="AF1711" s="6">
        <f ca="1">$M$1711*$Z$1711</f>
        <v>196.40301503083074</v>
      </c>
      <c r="AG1711" s="6">
        <f>$O$1711*$AA$1711</f>
        <v>173.84213522045465</v>
      </c>
    </row>
    <row r="1712" spans="1:33" ht="11.25" customHeight="1" x14ac:dyDescent="0.25">
      <c r="A1712" s="4" t="s">
        <v>21</v>
      </c>
      <c r="B1712" s="4" t="s">
        <v>37</v>
      </c>
      <c r="C1712" s="4" t="s">
        <v>33</v>
      </c>
      <c r="D1712" s="4" t="s">
        <v>43</v>
      </c>
      <c r="E1712" s="4" t="s">
        <v>25</v>
      </c>
      <c r="F1712" s="4" t="s">
        <v>25</v>
      </c>
      <c r="G1712" s="4" t="s">
        <v>25</v>
      </c>
      <c r="H1712" s="4" t="s">
        <v>35</v>
      </c>
      <c r="I1712" s="5">
        <v>44621</v>
      </c>
      <c r="J1712" s="6">
        <v>0</v>
      </c>
      <c r="K1712" s="6">
        <v>0</v>
      </c>
      <c r="L1712" s="6">
        <v>29.065000000000001</v>
      </c>
      <c r="M1712" s="6">
        <v>29.065000000000001</v>
      </c>
      <c r="N1712" s="6">
        <v>29.065000000000001</v>
      </c>
      <c r="O1712" s="6">
        <v>29.065000000000001</v>
      </c>
      <c r="P1712" s="6">
        <v>0</v>
      </c>
      <c r="Q1712" s="4" t="s">
        <v>26</v>
      </c>
      <c r="R1712" s="4">
        <v>0</v>
      </c>
      <c r="S1712" s="6">
        <v>0</v>
      </c>
      <c r="T1712" s="6">
        <v>68</v>
      </c>
      <c r="U1712" s="6">
        <v>111</v>
      </c>
      <c r="V1712" s="6">
        <f>IF(ISERROR(VLOOKUP($S$1712,'TAR FIN'!$A$1:$O$116,15,0)),0,VLOOKUP($S$1712,'TAR FIN'!$A$1:$O$116,15,0))</f>
        <v>0</v>
      </c>
      <c r="W1712" s="6">
        <f>IF(ISERROR(VLOOKUP($T$1712,'TAR FIN'!$A$1:$O$116,15,0)),0,VLOOKUP($T$1712,'TAR FIN'!$A$1:$O$116,15,0))</f>
        <v>270.66000000000003</v>
      </c>
      <c r="X1712" s="6">
        <f>IF(ISERROR(VLOOKUP($U$1712,'TAR FIN'!$A$1:$O$116,15,0)),0,VLOOKUP($U$1712,'TAR FIN'!$A$1:$O$116,15,0))</f>
        <v>311.04000000000002</v>
      </c>
      <c r="Y1712" s="6"/>
      <c r="Z1712" s="6">
        <f ca="1">('TUSD BE'!$AM$70+'TUSD BF'!$AM$70+'TUSD CVA'!$AM$70)*1</f>
        <v>353.87930636185718</v>
      </c>
      <c r="AA1712" s="6">
        <f>('TE BE'!$AB$41+'TE BF'!$AB$41+'TE CVA'!$AB$41)*1</f>
        <v>313.22907246928764</v>
      </c>
      <c r="AB1712" s="6">
        <f>$K$1712*$V$1712</f>
        <v>0</v>
      </c>
      <c r="AC1712" s="6">
        <f>$M$1712*$W$1712</f>
        <v>7866.7329000000009</v>
      </c>
      <c r="AD1712" s="6">
        <f>$O$1712*$X$1712</f>
        <v>9040.3776000000016</v>
      </c>
      <c r="AE1712" s="6">
        <f>$K$1712*$Y$1712</f>
        <v>0</v>
      </c>
      <c r="AF1712" s="6">
        <f ca="1">$M$1712*$Z$1712</f>
        <v>10285.50203940738</v>
      </c>
      <c r="AG1712" s="6">
        <f>$O$1712*$AA$1712</f>
        <v>9104.002991319845</v>
      </c>
    </row>
    <row r="1713" spans="1:33" ht="11.25" customHeight="1" x14ac:dyDescent="0.25">
      <c r="A1713" s="4" t="s">
        <v>28</v>
      </c>
      <c r="B1713" s="4" t="s">
        <v>37</v>
      </c>
      <c r="C1713" s="4" t="s">
        <v>33</v>
      </c>
      <c r="D1713" s="4" t="s">
        <v>43</v>
      </c>
      <c r="E1713" s="4" t="s">
        <v>25</v>
      </c>
      <c r="F1713" s="4" t="s">
        <v>25</v>
      </c>
      <c r="G1713" s="4" t="s">
        <v>25</v>
      </c>
      <c r="H1713" s="4" t="s">
        <v>35</v>
      </c>
      <c r="I1713" s="5">
        <v>44621</v>
      </c>
      <c r="J1713" s="6">
        <v>0</v>
      </c>
      <c r="K1713" s="6">
        <v>0</v>
      </c>
      <c r="L1713" s="6">
        <v>0.64200000000000002</v>
      </c>
      <c r="M1713" s="6">
        <v>0.64200000000000002</v>
      </c>
      <c r="N1713" s="6">
        <v>0.64200000000000002</v>
      </c>
      <c r="O1713" s="6">
        <v>0.64200000000000002</v>
      </c>
      <c r="P1713" s="6">
        <v>0</v>
      </c>
      <c r="Q1713" s="4" t="s">
        <v>26</v>
      </c>
      <c r="R1713" s="4">
        <v>0</v>
      </c>
      <c r="S1713" s="6">
        <v>0</v>
      </c>
      <c r="T1713" s="6">
        <v>68</v>
      </c>
      <c r="U1713" s="6">
        <v>111</v>
      </c>
      <c r="V1713" s="6">
        <f>IF(ISERROR(VLOOKUP($S$1713,'TAR FIN'!$A$1:$O$116,15,0)),0,VLOOKUP($S$1713,'TAR FIN'!$A$1:$O$116,15,0))</f>
        <v>0</v>
      </c>
      <c r="W1713" s="6">
        <f>IF(ISERROR(VLOOKUP($T$1713,'TAR FIN'!$A$1:$O$116,15,0)),0,VLOOKUP($T$1713,'TAR FIN'!$A$1:$O$116,15,0))</f>
        <v>270.66000000000003</v>
      </c>
      <c r="X1713" s="6">
        <f>IF(ISERROR(VLOOKUP($U$1713,'TAR FIN'!$A$1:$O$116,15,0)),0,VLOOKUP($U$1713,'TAR FIN'!$A$1:$O$116,15,0))</f>
        <v>311.04000000000002</v>
      </c>
      <c r="Y1713" s="6"/>
      <c r="Z1713" s="6">
        <f ca="1">('TUSD BE'!$AM$70+'TUSD BF'!$AM$70+'TUSD CVA'!$AM$70)*1</f>
        <v>353.87930636185718</v>
      </c>
      <c r="AA1713" s="6">
        <f>('TE BE'!$AB$41+'TE BF'!$AB$41+'TE CVA'!$AB$41)*1</f>
        <v>313.22907246928764</v>
      </c>
      <c r="AB1713" s="6">
        <f>$K$1713*$V$1713</f>
        <v>0</v>
      </c>
      <c r="AC1713" s="6">
        <f>$M$1713*$W$1713</f>
        <v>173.76372000000001</v>
      </c>
      <c r="AD1713" s="6">
        <f>$O$1713*$X$1713</f>
        <v>199.68768000000003</v>
      </c>
      <c r="AE1713" s="6">
        <f>$K$1713*$Y$1713</f>
        <v>0</v>
      </c>
      <c r="AF1713" s="6">
        <f ca="1">$M$1713*$Z$1713</f>
        <v>227.19051468431232</v>
      </c>
      <c r="AG1713" s="6">
        <f>$O$1713*$AA$1713</f>
        <v>201.09306452528267</v>
      </c>
    </row>
    <row r="1714" spans="1:33" ht="11.25" customHeight="1" x14ac:dyDescent="0.25">
      <c r="A1714" s="4" t="s">
        <v>21</v>
      </c>
      <c r="B1714" s="4" t="s">
        <v>37</v>
      </c>
      <c r="C1714" s="4" t="s">
        <v>33</v>
      </c>
      <c r="D1714" s="4" t="s">
        <v>43</v>
      </c>
      <c r="E1714" s="4" t="s">
        <v>25</v>
      </c>
      <c r="F1714" s="4" t="s">
        <v>25</v>
      </c>
      <c r="G1714" s="4" t="s">
        <v>25</v>
      </c>
      <c r="H1714" s="4" t="s">
        <v>35</v>
      </c>
      <c r="I1714" s="5">
        <v>44652</v>
      </c>
      <c r="J1714" s="6">
        <v>0</v>
      </c>
      <c r="K1714" s="6">
        <v>0</v>
      </c>
      <c r="L1714" s="6">
        <v>28.821999999999999</v>
      </c>
      <c r="M1714" s="6">
        <v>28.821999999999999</v>
      </c>
      <c r="N1714" s="6">
        <v>28.821999999999999</v>
      </c>
      <c r="O1714" s="6">
        <v>28.821999999999999</v>
      </c>
      <c r="P1714" s="6">
        <v>0</v>
      </c>
      <c r="Q1714" s="4" t="s">
        <v>26</v>
      </c>
      <c r="R1714" s="4">
        <v>0</v>
      </c>
      <c r="S1714" s="6">
        <v>0</v>
      </c>
      <c r="T1714" s="6">
        <v>68</v>
      </c>
      <c r="U1714" s="6">
        <v>111</v>
      </c>
      <c r="V1714" s="6">
        <f>IF(ISERROR(VLOOKUP($S$1714,'TAR FIN'!$A$1:$O$116,15,0)),0,VLOOKUP($S$1714,'TAR FIN'!$A$1:$O$116,15,0))</f>
        <v>0</v>
      </c>
      <c r="W1714" s="6">
        <f>IF(ISERROR(VLOOKUP($T$1714,'TAR FIN'!$A$1:$O$116,15,0)),0,VLOOKUP($T$1714,'TAR FIN'!$A$1:$O$116,15,0))</f>
        <v>270.66000000000003</v>
      </c>
      <c r="X1714" s="6">
        <f>IF(ISERROR(VLOOKUP($U$1714,'TAR FIN'!$A$1:$O$116,15,0)),0,VLOOKUP($U$1714,'TAR FIN'!$A$1:$O$116,15,0))</f>
        <v>311.04000000000002</v>
      </c>
      <c r="Y1714" s="6"/>
      <c r="Z1714" s="6">
        <f ca="1">('TUSD BE'!$AM$70+'TUSD BF'!$AM$70+'TUSD CVA'!$AM$70)*1</f>
        <v>353.87930636185718</v>
      </c>
      <c r="AA1714" s="6">
        <f>('TE BE'!$AB$41+'TE BF'!$AB$41+'TE CVA'!$AB$41)*1</f>
        <v>313.22907246928764</v>
      </c>
      <c r="AB1714" s="6">
        <f>$K$1714*$V$1714</f>
        <v>0</v>
      </c>
      <c r="AC1714" s="6">
        <f>$M$1714*$W$1714</f>
        <v>7800.9625200000009</v>
      </c>
      <c r="AD1714" s="6">
        <f>$O$1714*$X$1714</f>
        <v>8964.7948799999995</v>
      </c>
      <c r="AE1714" s="6">
        <f>$K$1714*$Y$1714</f>
        <v>0</v>
      </c>
      <c r="AF1714" s="6">
        <f ca="1">$M$1714*$Z$1714</f>
        <v>10199.509367961447</v>
      </c>
      <c r="AG1714" s="6">
        <f>$O$1714*$AA$1714</f>
        <v>9027.8883267098081</v>
      </c>
    </row>
    <row r="1715" spans="1:33" ht="11.25" customHeight="1" x14ac:dyDescent="0.25">
      <c r="A1715" s="4" t="s">
        <v>28</v>
      </c>
      <c r="B1715" s="4" t="s">
        <v>37</v>
      </c>
      <c r="C1715" s="4" t="s">
        <v>33</v>
      </c>
      <c r="D1715" s="4" t="s">
        <v>43</v>
      </c>
      <c r="E1715" s="4" t="s">
        <v>25</v>
      </c>
      <c r="F1715" s="4" t="s">
        <v>25</v>
      </c>
      <c r="G1715" s="4" t="s">
        <v>25</v>
      </c>
      <c r="H1715" s="4" t="s">
        <v>35</v>
      </c>
      <c r="I1715" s="5">
        <v>44652</v>
      </c>
      <c r="J1715" s="6">
        <v>0</v>
      </c>
      <c r="K1715" s="6">
        <v>0</v>
      </c>
      <c r="L1715" s="6">
        <v>0.17599999999999999</v>
      </c>
      <c r="M1715" s="6">
        <v>0.17599999999999999</v>
      </c>
      <c r="N1715" s="6">
        <v>0.17599999999999999</v>
      </c>
      <c r="O1715" s="6">
        <v>0.17599999999999999</v>
      </c>
      <c r="P1715" s="6">
        <v>0</v>
      </c>
      <c r="Q1715" s="4" t="s">
        <v>26</v>
      </c>
      <c r="R1715" s="4">
        <v>0</v>
      </c>
      <c r="S1715" s="6">
        <v>0</v>
      </c>
      <c r="T1715" s="6">
        <v>68</v>
      </c>
      <c r="U1715" s="6">
        <v>111</v>
      </c>
      <c r="V1715" s="6">
        <f>IF(ISERROR(VLOOKUP($S$1715,'TAR FIN'!$A$1:$O$116,15,0)),0,VLOOKUP($S$1715,'TAR FIN'!$A$1:$O$116,15,0))</f>
        <v>0</v>
      </c>
      <c r="W1715" s="6">
        <f>IF(ISERROR(VLOOKUP($T$1715,'TAR FIN'!$A$1:$O$116,15,0)),0,VLOOKUP($T$1715,'TAR FIN'!$A$1:$O$116,15,0))</f>
        <v>270.66000000000003</v>
      </c>
      <c r="X1715" s="6">
        <f>IF(ISERROR(VLOOKUP($U$1715,'TAR FIN'!$A$1:$O$116,15,0)),0,VLOOKUP($U$1715,'TAR FIN'!$A$1:$O$116,15,0))</f>
        <v>311.04000000000002</v>
      </c>
      <c r="Y1715" s="6"/>
      <c r="Z1715" s="6">
        <f ca="1">('TUSD BE'!$AM$70+'TUSD BF'!$AM$70+'TUSD CVA'!$AM$70)*1</f>
        <v>353.87930636185718</v>
      </c>
      <c r="AA1715" s="6">
        <f>('TE BE'!$AB$41+'TE BF'!$AB$41+'TE CVA'!$AB$41)*1</f>
        <v>313.22907246928764</v>
      </c>
      <c r="AB1715" s="6">
        <f>$K$1715*$V$1715</f>
        <v>0</v>
      </c>
      <c r="AC1715" s="6">
        <f>$M$1715*$W$1715</f>
        <v>47.636160000000004</v>
      </c>
      <c r="AD1715" s="6">
        <f>$O$1715*$X$1715</f>
        <v>54.743040000000001</v>
      </c>
      <c r="AE1715" s="6">
        <f>$K$1715*$Y$1715</f>
        <v>0</v>
      </c>
      <c r="AF1715" s="6">
        <f ca="1">$M$1715*$Z$1715</f>
        <v>62.282757919686858</v>
      </c>
      <c r="AG1715" s="6">
        <f>$O$1715*$AA$1715</f>
        <v>55.128316754594621</v>
      </c>
    </row>
    <row r="1716" spans="1:33" ht="11.25" customHeight="1" x14ac:dyDescent="0.25">
      <c r="A1716" s="4" t="s">
        <v>58</v>
      </c>
      <c r="B1716" s="4" t="s">
        <v>37</v>
      </c>
      <c r="C1716" s="4" t="s">
        <v>33</v>
      </c>
      <c r="D1716" s="4" t="s">
        <v>43</v>
      </c>
      <c r="E1716" s="4" t="s">
        <v>25</v>
      </c>
      <c r="F1716" s="4" t="s">
        <v>25</v>
      </c>
      <c r="G1716" s="4" t="s">
        <v>25</v>
      </c>
      <c r="H1716" s="4" t="s">
        <v>35</v>
      </c>
      <c r="I1716" s="5">
        <v>44682</v>
      </c>
      <c r="J1716" s="6">
        <v>0</v>
      </c>
      <c r="K1716" s="6">
        <v>0</v>
      </c>
      <c r="L1716" s="6">
        <v>28.821999999999999</v>
      </c>
      <c r="M1716" s="6">
        <v>28.821999999999999</v>
      </c>
      <c r="N1716" s="6">
        <v>28.821999999999999</v>
      </c>
      <c r="O1716" s="6">
        <v>28.821999999999999</v>
      </c>
      <c r="P1716" s="6">
        <v>0</v>
      </c>
      <c r="Q1716" s="4" t="s">
        <v>26</v>
      </c>
      <c r="R1716" s="4">
        <v>0</v>
      </c>
      <c r="S1716" s="6">
        <v>0</v>
      </c>
      <c r="T1716" s="6">
        <v>68</v>
      </c>
      <c r="U1716" s="6">
        <v>111</v>
      </c>
      <c r="V1716" s="6">
        <f>IF(ISERROR(VLOOKUP($S$1716,'TAR FIN'!$A$1:$O$116,15,0)),0,VLOOKUP($S$1716,'TAR FIN'!$A$1:$O$116,15,0))</f>
        <v>0</v>
      </c>
      <c r="W1716" s="6">
        <f>IF(ISERROR(VLOOKUP($T$1716,'TAR FIN'!$A$1:$O$116,15,0)),0,VLOOKUP($T$1716,'TAR FIN'!$A$1:$O$116,15,0))</f>
        <v>270.66000000000003</v>
      </c>
      <c r="X1716" s="6">
        <f>IF(ISERROR(VLOOKUP($U$1716,'TAR FIN'!$A$1:$O$116,15,0)),0,VLOOKUP($U$1716,'TAR FIN'!$A$1:$O$116,15,0))</f>
        <v>311.04000000000002</v>
      </c>
      <c r="Y1716" s="6"/>
      <c r="Z1716" s="6">
        <f ca="1">('TUSD BE'!$AM$70+'TUSD BF'!$AM$70+'TUSD CVA'!$AM$70)*1</f>
        <v>353.87930636185718</v>
      </c>
      <c r="AA1716" s="6">
        <f>('TE BE'!$AB$41+'TE BF'!$AB$41+'TE CVA'!$AB$41)*1</f>
        <v>313.22907246928764</v>
      </c>
      <c r="AB1716" s="6">
        <f>$K$1716*$V$1716</f>
        <v>0</v>
      </c>
      <c r="AC1716" s="6">
        <f>$M$1716*$W$1716</f>
        <v>7800.9625200000009</v>
      </c>
      <c r="AD1716" s="6">
        <f>$O$1716*$X$1716</f>
        <v>8964.7948799999995</v>
      </c>
      <c r="AE1716" s="6">
        <f>$K$1716*$Y$1716</f>
        <v>0</v>
      </c>
      <c r="AF1716" s="6">
        <f ca="1">$M$1716*$Z$1716</f>
        <v>10199.509367961447</v>
      </c>
      <c r="AG1716" s="6">
        <f>$O$1716*$AA$1716</f>
        <v>9027.8883267098081</v>
      </c>
    </row>
    <row r="1717" spans="1:33" ht="11.25" customHeight="1" x14ac:dyDescent="0.25">
      <c r="A1717" s="4" t="s">
        <v>58</v>
      </c>
      <c r="B1717" s="4" t="s">
        <v>37</v>
      </c>
      <c r="C1717" s="4" t="s">
        <v>33</v>
      </c>
      <c r="D1717" s="4" t="s">
        <v>43</v>
      </c>
      <c r="E1717" s="4" t="s">
        <v>25</v>
      </c>
      <c r="F1717" s="4" t="s">
        <v>25</v>
      </c>
      <c r="G1717" s="4" t="s">
        <v>25</v>
      </c>
      <c r="H1717" s="4" t="s">
        <v>35</v>
      </c>
      <c r="I1717" s="5">
        <v>44682</v>
      </c>
      <c r="J1717" s="6">
        <v>0</v>
      </c>
      <c r="K1717" s="6">
        <v>0</v>
      </c>
      <c r="L1717" s="6">
        <v>0.17599999999999999</v>
      </c>
      <c r="M1717" s="6">
        <v>0.17599999999999999</v>
      </c>
      <c r="N1717" s="6">
        <v>0.17599999999999999</v>
      </c>
      <c r="O1717" s="6">
        <v>0.17599999999999999</v>
      </c>
      <c r="P1717" s="6">
        <v>0</v>
      </c>
      <c r="Q1717" s="4" t="s">
        <v>26</v>
      </c>
      <c r="R1717" s="4">
        <v>0</v>
      </c>
      <c r="S1717" s="6">
        <v>0</v>
      </c>
      <c r="T1717" s="6">
        <v>68</v>
      </c>
      <c r="U1717" s="6">
        <v>111</v>
      </c>
      <c r="V1717" s="6">
        <f>IF(ISERROR(VLOOKUP($S$1717,'TAR FIN'!$A$1:$O$116,15,0)),0,VLOOKUP($S$1717,'TAR FIN'!$A$1:$O$116,15,0))</f>
        <v>0</v>
      </c>
      <c r="W1717" s="6">
        <f>IF(ISERROR(VLOOKUP($T$1717,'TAR FIN'!$A$1:$O$116,15,0)),0,VLOOKUP($T$1717,'TAR FIN'!$A$1:$O$116,15,0))</f>
        <v>270.66000000000003</v>
      </c>
      <c r="X1717" s="6">
        <f>IF(ISERROR(VLOOKUP($U$1717,'TAR FIN'!$A$1:$O$116,15,0)),0,VLOOKUP($U$1717,'TAR FIN'!$A$1:$O$116,15,0))</f>
        <v>311.04000000000002</v>
      </c>
      <c r="Y1717" s="6"/>
      <c r="Z1717" s="6">
        <f ca="1">('TUSD BE'!$AM$70+'TUSD BF'!$AM$70+'TUSD CVA'!$AM$70)*1</f>
        <v>353.87930636185718</v>
      </c>
      <c r="AA1717" s="6">
        <f>('TE BE'!$AB$41+'TE BF'!$AB$41+'TE CVA'!$AB$41)*1</f>
        <v>313.22907246928764</v>
      </c>
      <c r="AB1717" s="6">
        <f>$K$1717*$V$1717</f>
        <v>0</v>
      </c>
      <c r="AC1717" s="6">
        <f>$M$1717*$W$1717</f>
        <v>47.636160000000004</v>
      </c>
      <c r="AD1717" s="6">
        <f>$O$1717*$X$1717</f>
        <v>54.743040000000001</v>
      </c>
      <c r="AE1717" s="6">
        <f>$K$1717*$Y$1717</f>
        <v>0</v>
      </c>
      <c r="AF1717" s="6">
        <f ca="1">$M$1717*$Z$1717</f>
        <v>62.282757919686858</v>
      </c>
      <c r="AG1717" s="6">
        <f>$O$1717*$AA$1717</f>
        <v>55.128316754594621</v>
      </c>
    </row>
    <row r="1718" spans="1:33" ht="11.25" customHeight="1" x14ac:dyDescent="0.25">
      <c r="A1718" s="4" t="s">
        <v>21</v>
      </c>
      <c r="B1718" s="4" t="s">
        <v>37</v>
      </c>
      <c r="C1718" s="4" t="s">
        <v>33</v>
      </c>
      <c r="D1718" s="4" t="s">
        <v>43</v>
      </c>
      <c r="E1718" s="4" t="s">
        <v>25</v>
      </c>
      <c r="F1718" s="4" t="s">
        <v>25</v>
      </c>
      <c r="G1718" s="4" t="s">
        <v>25</v>
      </c>
      <c r="H1718" s="4" t="s">
        <v>36</v>
      </c>
      <c r="I1718" s="5">
        <v>44348</v>
      </c>
      <c r="J1718" s="6">
        <v>0</v>
      </c>
      <c r="K1718" s="6">
        <v>0</v>
      </c>
      <c r="L1718" s="6">
        <v>1.6850000000000001</v>
      </c>
      <c r="M1718" s="6">
        <v>1.6850000000000001</v>
      </c>
      <c r="N1718" s="6">
        <v>1.6850000000000001</v>
      </c>
      <c r="O1718" s="6">
        <v>1.6850000000000001</v>
      </c>
      <c r="P1718" s="6">
        <v>0</v>
      </c>
      <c r="Q1718" s="4" t="s">
        <v>26</v>
      </c>
      <c r="R1718" s="4">
        <v>0</v>
      </c>
      <c r="S1718" s="6">
        <v>0</v>
      </c>
      <c r="T1718" s="6">
        <v>67</v>
      </c>
      <c r="U1718" s="6">
        <v>110</v>
      </c>
      <c r="V1718" s="6">
        <f>IF(ISERROR(VLOOKUP($S$1718,'TAR FIN'!$A$1:$O$116,15,0)),0,VLOOKUP($S$1718,'TAR FIN'!$A$1:$O$116,15,0))</f>
        <v>0</v>
      </c>
      <c r="W1718" s="6">
        <f>IF(ISERROR(VLOOKUP($T$1718,'TAR FIN'!$A$1:$O$116,15,0)),0,VLOOKUP($T$1718,'TAR FIN'!$A$1:$O$116,15,0))</f>
        <v>575.91999999999996</v>
      </c>
      <c r="X1718" s="6">
        <f>IF(ISERROR(VLOOKUP($U$1718,'TAR FIN'!$A$1:$O$116,15,0)),0,VLOOKUP($U$1718,'TAR FIN'!$A$1:$O$116,15,0))</f>
        <v>311.04000000000002</v>
      </c>
      <c r="Y1718" s="6"/>
      <c r="Z1718" s="6">
        <f ca="1">('TUSD BE'!$AM$69+'TUSD BF'!$AM$69+'TUSD CVA'!$AM$69)*1</f>
        <v>706.22797575649349</v>
      </c>
      <c r="AA1718" s="6">
        <f>('TE BE'!$AB$40+'TE BF'!$AB$40+'TE CVA'!$AB$40)*1</f>
        <v>313.22907246928764</v>
      </c>
      <c r="AB1718" s="6">
        <f>$K$1718*$V$1718</f>
        <v>0</v>
      </c>
      <c r="AC1718" s="6">
        <f>$M$1718*$W$1718</f>
        <v>970.42520000000002</v>
      </c>
      <c r="AD1718" s="6">
        <f>$O$1718*$X$1718</f>
        <v>524.1024000000001</v>
      </c>
      <c r="AE1718" s="6">
        <f>$K$1718*$Y$1718</f>
        <v>0</v>
      </c>
      <c r="AF1718" s="6">
        <f ca="1">$M$1718*$Z$1718</f>
        <v>1189.9941391496916</v>
      </c>
      <c r="AG1718" s="6">
        <f>$O$1718*$AA$1718</f>
        <v>527.79098711074971</v>
      </c>
    </row>
    <row r="1719" spans="1:33" ht="11.25" customHeight="1" x14ac:dyDescent="0.25">
      <c r="A1719" s="4" t="s">
        <v>28</v>
      </c>
      <c r="B1719" s="4" t="s">
        <v>37</v>
      </c>
      <c r="C1719" s="4" t="s">
        <v>33</v>
      </c>
      <c r="D1719" s="4" t="s">
        <v>43</v>
      </c>
      <c r="E1719" s="4" t="s">
        <v>25</v>
      </c>
      <c r="F1719" s="4" t="s">
        <v>25</v>
      </c>
      <c r="G1719" s="4" t="s">
        <v>25</v>
      </c>
      <c r="H1719" s="4" t="s">
        <v>36</v>
      </c>
      <c r="I1719" s="5">
        <v>44348</v>
      </c>
      <c r="J1719" s="6">
        <v>0</v>
      </c>
      <c r="K1719" s="6">
        <v>0</v>
      </c>
      <c r="L1719" s="6">
        <v>0.151</v>
      </c>
      <c r="M1719" s="6">
        <v>0.151</v>
      </c>
      <c r="N1719" s="6">
        <v>0.151</v>
      </c>
      <c r="O1719" s="6">
        <v>0.151</v>
      </c>
      <c r="P1719" s="6">
        <v>0</v>
      </c>
      <c r="Q1719" s="4" t="s">
        <v>26</v>
      </c>
      <c r="R1719" s="4">
        <v>0</v>
      </c>
      <c r="S1719" s="6">
        <v>0</v>
      </c>
      <c r="T1719" s="6">
        <v>67</v>
      </c>
      <c r="U1719" s="6">
        <v>110</v>
      </c>
      <c r="V1719" s="6">
        <f>IF(ISERROR(VLOOKUP($S$1719,'TAR FIN'!$A$1:$O$116,15,0)),0,VLOOKUP($S$1719,'TAR FIN'!$A$1:$O$116,15,0))</f>
        <v>0</v>
      </c>
      <c r="W1719" s="6">
        <f>IF(ISERROR(VLOOKUP($T$1719,'TAR FIN'!$A$1:$O$116,15,0)),0,VLOOKUP($T$1719,'TAR FIN'!$A$1:$O$116,15,0))</f>
        <v>575.91999999999996</v>
      </c>
      <c r="X1719" s="6">
        <f>IF(ISERROR(VLOOKUP($U$1719,'TAR FIN'!$A$1:$O$116,15,0)),0,VLOOKUP($U$1719,'TAR FIN'!$A$1:$O$116,15,0))</f>
        <v>311.04000000000002</v>
      </c>
      <c r="Y1719" s="6"/>
      <c r="Z1719" s="6">
        <f ca="1">('TUSD BE'!$AM$69+'TUSD BF'!$AM$69+'TUSD CVA'!$AM$69)*1</f>
        <v>706.22797575649349</v>
      </c>
      <c r="AA1719" s="6">
        <f>('TE BE'!$AB$40+'TE BF'!$AB$40+'TE CVA'!$AB$40)*1</f>
        <v>313.22907246928764</v>
      </c>
      <c r="AB1719" s="6">
        <f>$K$1719*$V$1719</f>
        <v>0</v>
      </c>
      <c r="AC1719" s="6">
        <f>$M$1719*$W$1719</f>
        <v>86.963919999999987</v>
      </c>
      <c r="AD1719" s="6">
        <f>$O$1719*$X$1719</f>
        <v>46.967040000000004</v>
      </c>
      <c r="AE1719" s="6">
        <f>$K$1719*$Y$1719</f>
        <v>0</v>
      </c>
      <c r="AF1719" s="6">
        <f ca="1">$M$1719*$Z$1719</f>
        <v>106.64042433923052</v>
      </c>
      <c r="AG1719" s="6">
        <f>$O$1719*$AA$1719</f>
        <v>47.29758994286243</v>
      </c>
    </row>
    <row r="1720" spans="1:33" ht="11.25" customHeight="1" x14ac:dyDescent="0.25">
      <c r="A1720" s="4" t="s">
        <v>21</v>
      </c>
      <c r="B1720" s="4" t="s">
        <v>37</v>
      </c>
      <c r="C1720" s="4" t="s">
        <v>33</v>
      </c>
      <c r="D1720" s="4" t="s">
        <v>43</v>
      </c>
      <c r="E1720" s="4" t="s">
        <v>25</v>
      </c>
      <c r="F1720" s="4" t="s">
        <v>25</v>
      </c>
      <c r="G1720" s="4" t="s">
        <v>25</v>
      </c>
      <c r="H1720" s="4" t="s">
        <v>36</v>
      </c>
      <c r="I1720" s="5">
        <v>44378</v>
      </c>
      <c r="J1720" s="6">
        <v>0</v>
      </c>
      <c r="K1720" s="6">
        <v>0</v>
      </c>
      <c r="L1720" s="6">
        <v>1.4850000000000001</v>
      </c>
      <c r="M1720" s="6">
        <v>1.4850000000000001</v>
      </c>
      <c r="N1720" s="6">
        <v>1.4850000000000001</v>
      </c>
      <c r="O1720" s="6">
        <v>1.4850000000000001</v>
      </c>
      <c r="P1720" s="6">
        <v>0</v>
      </c>
      <c r="Q1720" s="4" t="s">
        <v>26</v>
      </c>
      <c r="R1720" s="4">
        <v>0</v>
      </c>
      <c r="S1720" s="6">
        <v>0</v>
      </c>
      <c r="T1720" s="6">
        <v>67</v>
      </c>
      <c r="U1720" s="6">
        <v>110</v>
      </c>
      <c r="V1720" s="6">
        <f>IF(ISERROR(VLOOKUP($S$1720,'TAR FIN'!$A$1:$O$116,15,0)),0,VLOOKUP($S$1720,'TAR FIN'!$A$1:$O$116,15,0))</f>
        <v>0</v>
      </c>
      <c r="W1720" s="6">
        <f>IF(ISERROR(VLOOKUP($T$1720,'TAR FIN'!$A$1:$O$116,15,0)),0,VLOOKUP($T$1720,'TAR FIN'!$A$1:$O$116,15,0))</f>
        <v>575.91999999999996</v>
      </c>
      <c r="X1720" s="6">
        <f>IF(ISERROR(VLOOKUP($U$1720,'TAR FIN'!$A$1:$O$116,15,0)),0,VLOOKUP($U$1720,'TAR FIN'!$A$1:$O$116,15,0))</f>
        <v>311.04000000000002</v>
      </c>
      <c r="Y1720" s="6"/>
      <c r="Z1720" s="6">
        <f ca="1">('TUSD BE'!$AM$69+'TUSD BF'!$AM$69+'TUSD CVA'!$AM$69)*1</f>
        <v>706.22797575649349</v>
      </c>
      <c r="AA1720" s="6">
        <f>('TE BE'!$AB$40+'TE BF'!$AB$40+'TE CVA'!$AB$40)*1</f>
        <v>313.22907246928764</v>
      </c>
      <c r="AB1720" s="6">
        <f>$K$1720*$V$1720</f>
        <v>0</v>
      </c>
      <c r="AC1720" s="6">
        <f>$M$1720*$W$1720</f>
        <v>855.24120000000005</v>
      </c>
      <c r="AD1720" s="6">
        <f>$O$1720*$X$1720</f>
        <v>461.89440000000008</v>
      </c>
      <c r="AE1720" s="6">
        <f>$K$1720*$Y$1720</f>
        <v>0</v>
      </c>
      <c r="AF1720" s="6">
        <f ca="1">$M$1720*$Z$1720</f>
        <v>1048.748543998393</v>
      </c>
      <c r="AG1720" s="6">
        <f>$O$1720*$AA$1720</f>
        <v>465.14517261689218</v>
      </c>
    </row>
    <row r="1721" spans="1:33" ht="11.25" customHeight="1" x14ac:dyDescent="0.25">
      <c r="A1721" s="4" t="s">
        <v>28</v>
      </c>
      <c r="B1721" s="4" t="s">
        <v>37</v>
      </c>
      <c r="C1721" s="4" t="s">
        <v>33</v>
      </c>
      <c r="D1721" s="4" t="s">
        <v>43</v>
      </c>
      <c r="E1721" s="4" t="s">
        <v>25</v>
      </c>
      <c r="F1721" s="4" t="s">
        <v>25</v>
      </c>
      <c r="G1721" s="4" t="s">
        <v>25</v>
      </c>
      <c r="H1721" s="4" t="s">
        <v>36</v>
      </c>
      <c r="I1721" s="5">
        <v>44378</v>
      </c>
      <c r="J1721" s="6">
        <v>0</v>
      </c>
      <c r="K1721" s="6">
        <v>0</v>
      </c>
      <c r="L1721" s="6">
        <v>0.153</v>
      </c>
      <c r="M1721" s="6">
        <v>0.153</v>
      </c>
      <c r="N1721" s="6">
        <v>0.153</v>
      </c>
      <c r="O1721" s="6">
        <v>0.153</v>
      </c>
      <c r="P1721" s="6">
        <v>0</v>
      </c>
      <c r="Q1721" s="4" t="s">
        <v>26</v>
      </c>
      <c r="R1721" s="4">
        <v>0</v>
      </c>
      <c r="S1721" s="6">
        <v>0</v>
      </c>
      <c r="T1721" s="6">
        <v>67</v>
      </c>
      <c r="U1721" s="6">
        <v>110</v>
      </c>
      <c r="V1721" s="6">
        <f>IF(ISERROR(VLOOKUP($S$1721,'TAR FIN'!$A$1:$O$116,15,0)),0,VLOOKUP($S$1721,'TAR FIN'!$A$1:$O$116,15,0))</f>
        <v>0</v>
      </c>
      <c r="W1721" s="6">
        <f>IF(ISERROR(VLOOKUP($T$1721,'TAR FIN'!$A$1:$O$116,15,0)),0,VLOOKUP($T$1721,'TAR FIN'!$A$1:$O$116,15,0))</f>
        <v>575.91999999999996</v>
      </c>
      <c r="X1721" s="6">
        <f>IF(ISERROR(VLOOKUP($U$1721,'TAR FIN'!$A$1:$O$116,15,0)),0,VLOOKUP($U$1721,'TAR FIN'!$A$1:$O$116,15,0))</f>
        <v>311.04000000000002</v>
      </c>
      <c r="Y1721" s="6"/>
      <c r="Z1721" s="6">
        <f ca="1">('TUSD BE'!$AM$69+'TUSD BF'!$AM$69+'TUSD CVA'!$AM$69)*1</f>
        <v>706.22797575649349</v>
      </c>
      <c r="AA1721" s="6">
        <f>('TE BE'!$AB$40+'TE BF'!$AB$40+'TE CVA'!$AB$40)*1</f>
        <v>313.22907246928764</v>
      </c>
      <c r="AB1721" s="6">
        <f>$K$1721*$V$1721</f>
        <v>0</v>
      </c>
      <c r="AC1721" s="6">
        <f>$M$1721*$W$1721</f>
        <v>88.115759999999995</v>
      </c>
      <c r="AD1721" s="6">
        <f>$O$1721*$X$1721</f>
        <v>47.589120000000001</v>
      </c>
      <c r="AE1721" s="6">
        <f>$K$1721*$Y$1721</f>
        <v>0</v>
      </c>
      <c r="AF1721" s="6">
        <f ca="1">$M$1721*$Z$1721</f>
        <v>108.0528802907435</v>
      </c>
      <c r="AG1721" s="6">
        <f>$O$1721*$AA$1721</f>
        <v>47.924048087801012</v>
      </c>
    </row>
    <row r="1722" spans="1:33" ht="11.25" customHeight="1" x14ac:dyDescent="0.25">
      <c r="A1722" s="4" t="s">
        <v>21</v>
      </c>
      <c r="B1722" s="4" t="s">
        <v>37</v>
      </c>
      <c r="C1722" s="4" t="s">
        <v>33</v>
      </c>
      <c r="D1722" s="4" t="s">
        <v>43</v>
      </c>
      <c r="E1722" s="4" t="s">
        <v>25</v>
      </c>
      <c r="F1722" s="4" t="s">
        <v>25</v>
      </c>
      <c r="G1722" s="4" t="s">
        <v>25</v>
      </c>
      <c r="H1722" s="4" t="s">
        <v>36</v>
      </c>
      <c r="I1722" s="5">
        <v>44409</v>
      </c>
      <c r="J1722" s="6">
        <v>0</v>
      </c>
      <c r="K1722" s="6">
        <v>0</v>
      </c>
      <c r="L1722" s="6">
        <v>1.59</v>
      </c>
      <c r="M1722" s="6">
        <v>1.59</v>
      </c>
      <c r="N1722" s="6">
        <v>1.59</v>
      </c>
      <c r="O1722" s="6">
        <v>1.59</v>
      </c>
      <c r="P1722" s="6">
        <v>0</v>
      </c>
      <c r="Q1722" s="4" t="s">
        <v>26</v>
      </c>
      <c r="R1722" s="4">
        <v>0</v>
      </c>
      <c r="S1722" s="6">
        <v>0</v>
      </c>
      <c r="T1722" s="6">
        <v>67</v>
      </c>
      <c r="U1722" s="6">
        <v>110</v>
      </c>
      <c r="V1722" s="6">
        <f>IF(ISERROR(VLOOKUP($S$1722,'TAR FIN'!$A$1:$O$116,15,0)),0,VLOOKUP($S$1722,'TAR FIN'!$A$1:$O$116,15,0))</f>
        <v>0</v>
      </c>
      <c r="W1722" s="6">
        <f>IF(ISERROR(VLOOKUP($T$1722,'TAR FIN'!$A$1:$O$116,15,0)),0,VLOOKUP($T$1722,'TAR FIN'!$A$1:$O$116,15,0))</f>
        <v>575.91999999999996</v>
      </c>
      <c r="X1722" s="6">
        <f>IF(ISERROR(VLOOKUP($U$1722,'TAR FIN'!$A$1:$O$116,15,0)),0,VLOOKUP($U$1722,'TAR FIN'!$A$1:$O$116,15,0))</f>
        <v>311.04000000000002</v>
      </c>
      <c r="Y1722" s="6"/>
      <c r="Z1722" s="6">
        <f ca="1">('TUSD BE'!$AM$69+'TUSD BF'!$AM$69+'TUSD CVA'!$AM$69)*1</f>
        <v>706.22797575649349</v>
      </c>
      <c r="AA1722" s="6">
        <f>('TE BE'!$AB$40+'TE BF'!$AB$40+'TE CVA'!$AB$40)*1</f>
        <v>313.22907246928764</v>
      </c>
      <c r="AB1722" s="6">
        <f>$K$1722*$V$1722</f>
        <v>0</v>
      </c>
      <c r="AC1722" s="6">
        <f>$M$1722*$W$1722</f>
        <v>915.71280000000002</v>
      </c>
      <c r="AD1722" s="6">
        <f>$O$1722*$X$1722</f>
        <v>494.55360000000007</v>
      </c>
      <c r="AE1722" s="6">
        <f>$K$1722*$Y$1722</f>
        <v>0</v>
      </c>
      <c r="AF1722" s="6">
        <f ca="1">$M$1722*$Z$1722</f>
        <v>1122.9024814528248</v>
      </c>
      <c r="AG1722" s="6">
        <f>$O$1722*$AA$1722</f>
        <v>498.03422522616739</v>
      </c>
    </row>
    <row r="1723" spans="1:33" ht="11.25" customHeight="1" x14ac:dyDescent="0.25">
      <c r="A1723" s="4" t="s">
        <v>28</v>
      </c>
      <c r="B1723" s="4" t="s">
        <v>37</v>
      </c>
      <c r="C1723" s="4" t="s">
        <v>33</v>
      </c>
      <c r="D1723" s="4" t="s">
        <v>43</v>
      </c>
      <c r="E1723" s="4" t="s">
        <v>25</v>
      </c>
      <c r="F1723" s="4" t="s">
        <v>25</v>
      </c>
      <c r="G1723" s="4" t="s">
        <v>25</v>
      </c>
      <c r="H1723" s="4" t="s">
        <v>36</v>
      </c>
      <c r="I1723" s="5">
        <v>44409</v>
      </c>
      <c r="J1723" s="6">
        <v>0</v>
      </c>
      <c r="K1723" s="6">
        <v>0</v>
      </c>
      <c r="L1723" s="6">
        <v>0.156</v>
      </c>
      <c r="M1723" s="6">
        <v>0.156</v>
      </c>
      <c r="N1723" s="6">
        <v>0.156</v>
      </c>
      <c r="O1723" s="6">
        <v>0.156</v>
      </c>
      <c r="P1723" s="6">
        <v>0</v>
      </c>
      <c r="Q1723" s="4" t="s">
        <v>26</v>
      </c>
      <c r="R1723" s="4">
        <v>0</v>
      </c>
      <c r="S1723" s="6">
        <v>0</v>
      </c>
      <c r="T1723" s="6">
        <v>67</v>
      </c>
      <c r="U1723" s="6">
        <v>110</v>
      </c>
      <c r="V1723" s="6">
        <f>IF(ISERROR(VLOOKUP($S$1723,'TAR FIN'!$A$1:$O$116,15,0)),0,VLOOKUP($S$1723,'TAR FIN'!$A$1:$O$116,15,0))</f>
        <v>0</v>
      </c>
      <c r="W1723" s="6">
        <f>IF(ISERROR(VLOOKUP($T$1723,'TAR FIN'!$A$1:$O$116,15,0)),0,VLOOKUP($T$1723,'TAR FIN'!$A$1:$O$116,15,0))</f>
        <v>575.91999999999996</v>
      </c>
      <c r="X1723" s="6">
        <f>IF(ISERROR(VLOOKUP($U$1723,'TAR FIN'!$A$1:$O$116,15,0)),0,VLOOKUP($U$1723,'TAR FIN'!$A$1:$O$116,15,0))</f>
        <v>311.04000000000002</v>
      </c>
      <c r="Y1723" s="6"/>
      <c r="Z1723" s="6">
        <f ca="1">('TUSD BE'!$AM$69+'TUSD BF'!$AM$69+'TUSD CVA'!$AM$69)*1</f>
        <v>706.22797575649349</v>
      </c>
      <c r="AA1723" s="6">
        <f>('TE BE'!$AB$40+'TE BF'!$AB$40+'TE CVA'!$AB$40)*1</f>
        <v>313.22907246928764</v>
      </c>
      <c r="AB1723" s="6">
        <f>$K$1723*$V$1723</f>
        <v>0</v>
      </c>
      <c r="AC1723" s="6">
        <f>$M$1723*$W$1723</f>
        <v>89.843519999999998</v>
      </c>
      <c r="AD1723" s="6">
        <f>$O$1723*$X$1723</f>
        <v>48.522240000000004</v>
      </c>
      <c r="AE1723" s="6">
        <f>$K$1723*$Y$1723</f>
        <v>0</v>
      </c>
      <c r="AF1723" s="6">
        <f ca="1">$M$1723*$Z$1723</f>
        <v>110.17156421801299</v>
      </c>
      <c r="AG1723" s="6">
        <f>$O$1723*$AA$1723</f>
        <v>48.86373530520887</v>
      </c>
    </row>
    <row r="1724" spans="1:33" ht="11.25" customHeight="1" x14ac:dyDescent="0.25">
      <c r="A1724" s="4" t="s">
        <v>21</v>
      </c>
      <c r="B1724" s="4" t="s">
        <v>37</v>
      </c>
      <c r="C1724" s="4" t="s">
        <v>33</v>
      </c>
      <c r="D1724" s="4" t="s">
        <v>43</v>
      </c>
      <c r="E1724" s="4" t="s">
        <v>25</v>
      </c>
      <c r="F1724" s="4" t="s">
        <v>25</v>
      </c>
      <c r="G1724" s="4" t="s">
        <v>25</v>
      </c>
      <c r="H1724" s="4" t="s">
        <v>36</v>
      </c>
      <c r="I1724" s="5">
        <v>44440</v>
      </c>
      <c r="J1724" s="6">
        <v>0</v>
      </c>
      <c r="K1724" s="6">
        <v>0</v>
      </c>
      <c r="L1724" s="6">
        <v>1.8169999999999999</v>
      </c>
      <c r="M1724" s="6">
        <v>1.8169999999999999</v>
      </c>
      <c r="N1724" s="6">
        <v>1.8169999999999999</v>
      </c>
      <c r="O1724" s="6">
        <v>1.8169999999999999</v>
      </c>
      <c r="P1724" s="6">
        <v>0</v>
      </c>
      <c r="Q1724" s="4" t="s">
        <v>26</v>
      </c>
      <c r="R1724" s="4">
        <v>0</v>
      </c>
      <c r="S1724" s="6">
        <v>0</v>
      </c>
      <c r="T1724" s="6">
        <v>67</v>
      </c>
      <c r="U1724" s="6">
        <v>110</v>
      </c>
      <c r="V1724" s="6">
        <f>IF(ISERROR(VLOOKUP($S$1724,'TAR FIN'!$A$1:$O$116,15,0)),0,VLOOKUP($S$1724,'TAR FIN'!$A$1:$O$116,15,0))</f>
        <v>0</v>
      </c>
      <c r="W1724" s="6">
        <f>IF(ISERROR(VLOOKUP($T$1724,'TAR FIN'!$A$1:$O$116,15,0)),0,VLOOKUP($T$1724,'TAR FIN'!$A$1:$O$116,15,0))</f>
        <v>575.91999999999996</v>
      </c>
      <c r="X1724" s="6">
        <f>IF(ISERROR(VLOOKUP($U$1724,'TAR FIN'!$A$1:$O$116,15,0)),0,VLOOKUP($U$1724,'TAR FIN'!$A$1:$O$116,15,0))</f>
        <v>311.04000000000002</v>
      </c>
      <c r="Y1724" s="6"/>
      <c r="Z1724" s="6">
        <f ca="1">('TUSD BE'!$AM$69+'TUSD BF'!$AM$69+'TUSD CVA'!$AM$69)*1</f>
        <v>706.22797575649349</v>
      </c>
      <c r="AA1724" s="6">
        <f>('TE BE'!$AB$40+'TE BF'!$AB$40+'TE CVA'!$AB$40)*1</f>
        <v>313.22907246928764</v>
      </c>
      <c r="AB1724" s="6">
        <f>$K$1724*$V$1724</f>
        <v>0</v>
      </c>
      <c r="AC1724" s="6">
        <f>$M$1724*$W$1724</f>
        <v>1046.4466399999999</v>
      </c>
      <c r="AD1724" s="6">
        <f>$O$1724*$X$1724</f>
        <v>565.15967999999998</v>
      </c>
      <c r="AE1724" s="6">
        <f>$K$1724*$Y$1724</f>
        <v>0</v>
      </c>
      <c r="AF1724" s="6">
        <f ca="1">$M$1724*$Z$1724</f>
        <v>1283.2162319495487</v>
      </c>
      <c r="AG1724" s="6">
        <f>$O$1724*$AA$1724</f>
        <v>569.13722467669561</v>
      </c>
    </row>
    <row r="1725" spans="1:33" ht="11.25" customHeight="1" x14ac:dyDescent="0.25">
      <c r="A1725" s="4" t="s">
        <v>28</v>
      </c>
      <c r="B1725" s="4" t="s">
        <v>37</v>
      </c>
      <c r="C1725" s="4" t="s">
        <v>33</v>
      </c>
      <c r="D1725" s="4" t="s">
        <v>43</v>
      </c>
      <c r="E1725" s="4" t="s">
        <v>25</v>
      </c>
      <c r="F1725" s="4" t="s">
        <v>25</v>
      </c>
      <c r="G1725" s="4" t="s">
        <v>25</v>
      </c>
      <c r="H1725" s="4" t="s">
        <v>36</v>
      </c>
      <c r="I1725" s="5">
        <v>44440</v>
      </c>
      <c r="J1725" s="6">
        <v>0</v>
      </c>
      <c r="K1725" s="6">
        <v>0</v>
      </c>
      <c r="L1725" s="6">
        <v>0.17100000000000001</v>
      </c>
      <c r="M1725" s="6">
        <v>0.17100000000000001</v>
      </c>
      <c r="N1725" s="6">
        <v>0.17100000000000001</v>
      </c>
      <c r="O1725" s="6">
        <v>0.17100000000000001</v>
      </c>
      <c r="P1725" s="6">
        <v>0</v>
      </c>
      <c r="Q1725" s="4" t="s">
        <v>26</v>
      </c>
      <c r="R1725" s="4">
        <v>0</v>
      </c>
      <c r="S1725" s="6">
        <v>0</v>
      </c>
      <c r="T1725" s="6">
        <v>67</v>
      </c>
      <c r="U1725" s="6">
        <v>110</v>
      </c>
      <c r="V1725" s="6">
        <f>IF(ISERROR(VLOOKUP($S$1725,'TAR FIN'!$A$1:$O$116,15,0)),0,VLOOKUP($S$1725,'TAR FIN'!$A$1:$O$116,15,0))</f>
        <v>0</v>
      </c>
      <c r="W1725" s="6">
        <f>IF(ISERROR(VLOOKUP($T$1725,'TAR FIN'!$A$1:$O$116,15,0)),0,VLOOKUP($T$1725,'TAR FIN'!$A$1:$O$116,15,0))</f>
        <v>575.91999999999996</v>
      </c>
      <c r="X1725" s="6">
        <f>IF(ISERROR(VLOOKUP($U$1725,'TAR FIN'!$A$1:$O$116,15,0)),0,VLOOKUP($U$1725,'TAR FIN'!$A$1:$O$116,15,0))</f>
        <v>311.04000000000002</v>
      </c>
      <c r="Y1725" s="6"/>
      <c r="Z1725" s="6">
        <f ca="1">('TUSD BE'!$AM$69+'TUSD BF'!$AM$69+'TUSD CVA'!$AM$69)*1</f>
        <v>706.22797575649349</v>
      </c>
      <c r="AA1725" s="6">
        <f>('TE BE'!$AB$40+'TE BF'!$AB$40+'TE CVA'!$AB$40)*1</f>
        <v>313.22907246928764</v>
      </c>
      <c r="AB1725" s="6">
        <f>$K$1725*$V$1725</f>
        <v>0</v>
      </c>
      <c r="AC1725" s="6">
        <f>$M$1725*$W$1725</f>
        <v>98.482320000000001</v>
      </c>
      <c r="AD1725" s="6">
        <f>$O$1725*$X$1725</f>
        <v>53.187840000000008</v>
      </c>
      <c r="AE1725" s="6">
        <f>$K$1725*$Y$1725</f>
        <v>0</v>
      </c>
      <c r="AF1725" s="6">
        <f ca="1">$M$1725*$Z$1725</f>
        <v>120.76498385436039</v>
      </c>
      <c r="AG1725" s="6">
        <f>$O$1725*$AA$1725</f>
        <v>53.562171392248189</v>
      </c>
    </row>
    <row r="1726" spans="1:33" ht="11.25" customHeight="1" x14ac:dyDescent="0.25">
      <c r="A1726" s="4" t="s">
        <v>21</v>
      </c>
      <c r="B1726" s="4" t="s">
        <v>37</v>
      </c>
      <c r="C1726" s="4" t="s">
        <v>33</v>
      </c>
      <c r="D1726" s="4" t="s">
        <v>43</v>
      </c>
      <c r="E1726" s="4" t="s">
        <v>25</v>
      </c>
      <c r="F1726" s="4" t="s">
        <v>25</v>
      </c>
      <c r="G1726" s="4" t="s">
        <v>25</v>
      </c>
      <c r="H1726" s="4" t="s">
        <v>36</v>
      </c>
      <c r="I1726" s="5">
        <v>44470</v>
      </c>
      <c r="J1726" s="6">
        <v>0</v>
      </c>
      <c r="K1726" s="6">
        <v>0</v>
      </c>
      <c r="L1726" s="6">
        <v>2.0070000000000001</v>
      </c>
      <c r="M1726" s="6">
        <v>2.0070000000000001</v>
      </c>
      <c r="N1726" s="6">
        <v>2.0070000000000001</v>
      </c>
      <c r="O1726" s="6">
        <v>2.0070000000000001</v>
      </c>
      <c r="P1726" s="6">
        <v>0</v>
      </c>
      <c r="Q1726" s="4" t="s">
        <v>26</v>
      </c>
      <c r="R1726" s="4">
        <v>0</v>
      </c>
      <c r="S1726" s="6">
        <v>0</v>
      </c>
      <c r="T1726" s="6">
        <v>67</v>
      </c>
      <c r="U1726" s="6">
        <v>110</v>
      </c>
      <c r="V1726" s="6">
        <f>IF(ISERROR(VLOOKUP($S$1726,'TAR FIN'!$A$1:$O$116,15,0)),0,VLOOKUP($S$1726,'TAR FIN'!$A$1:$O$116,15,0))</f>
        <v>0</v>
      </c>
      <c r="W1726" s="6">
        <f>IF(ISERROR(VLOOKUP($T$1726,'TAR FIN'!$A$1:$O$116,15,0)),0,VLOOKUP($T$1726,'TAR FIN'!$A$1:$O$116,15,0))</f>
        <v>575.91999999999996</v>
      </c>
      <c r="X1726" s="6">
        <f>IF(ISERROR(VLOOKUP($U$1726,'TAR FIN'!$A$1:$O$116,15,0)),0,VLOOKUP($U$1726,'TAR FIN'!$A$1:$O$116,15,0))</f>
        <v>311.04000000000002</v>
      </c>
      <c r="Y1726" s="6"/>
      <c r="Z1726" s="6">
        <f ca="1">('TUSD BE'!$AM$69+'TUSD BF'!$AM$69+'TUSD CVA'!$AM$69)*1</f>
        <v>706.22797575649349</v>
      </c>
      <c r="AA1726" s="6">
        <f>('TE BE'!$AB$40+'TE BF'!$AB$40+'TE CVA'!$AB$40)*1</f>
        <v>313.22907246928764</v>
      </c>
      <c r="AB1726" s="6">
        <f>$K$1726*$V$1726</f>
        <v>0</v>
      </c>
      <c r="AC1726" s="6">
        <f>$M$1726*$W$1726</f>
        <v>1155.8714399999999</v>
      </c>
      <c r="AD1726" s="6">
        <f>$O$1726*$X$1726</f>
        <v>624.25728000000004</v>
      </c>
      <c r="AE1726" s="6">
        <f>$K$1726*$Y$1726</f>
        <v>0</v>
      </c>
      <c r="AF1726" s="6">
        <f ca="1">$M$1726*$Z$1726</f>
        <v>1417.3995473432826</v>
      </c>
      <c r="AG1726" s="6">
        <f>$O$1726*$AA$1726</f>
        <v>628.65074844586036</v>
      </c>
    </row>
    <row r="1727" spans="1:33" ht="11.25" customHeight="1" x14ac:dyDescent="0.25">
      <c r="A1727" s="4" t="s">
        <v>28</v>
      </c>
      <c r="B1727" s="4" t="s">
        <v>37</v>
      </c>
      <c r="C1727" s="4" t="s">
        <v>33</v>
      </c>
      <c r="D1727" s="4" t="s">
        <v>43</v>
      </c>
      <c r="E1727" s="4" t="s">
        <v>25</v>
      </c>
      <c r="F1727" s="4" t="s">
        <v>25</v>
      </c>
      <c r="G1727" s="4" t="s">
        <v>25</v>
      </c>
      <c r="H1727" s="4" t="s">
        <v>36</v>
      </c>
      <c r="I1727" s="5">
        <v>44470</v>
      </c>
      <c r="J1727" s="6">
        <v>0</v>
      </c>
      <c r="K1727" s="6">
        <v>0</v>
      </c>
      <c r="L1727" s="6">
        <v>0.16700000000000001</v>
      </c>
      <c r="M1727" s="6">
        <v>0.16700000000000001</v>
      </c>
      <c r="N1727" s="6">
        <v>0.16700000000000001</v>
      </c>
      <c r="O1727" s="6">
        <v>0.16700000000000001</v>
      </c>
      <c r="P1727" s="6">
        <v>0</v>
      </c>
      <c r="Q1727" s="4" t="s">
        <v>26</v>
      </c>
      <c r="R1727" s="4">
        <v>0</v>
      </c>
      <c r="S1727" s="6">
        <v>0</v>
      </c>
      <c r="T1727" s="6">
        <v>67</v>
      </c>
      <c r="U1727" s="6">
        <v>110</v>
      </c>
      <c r="V1727" s="6">
        <f>IF(ISERROR(VLOOKUP($S$1727,'TAR FIN'!$A$1:$O$116,15,0)),0,VLOOKUP($S$1727,'TAR FIN'!$A$1:$O$116,15,0))</f>
        <v>0</v>
      </c>
      <c r="W1727" s="6">
        <f>IF(ISERROR(VLOOKUP($T$1727,'TAR FIN'!$A$1:$O$116,15,0)),0,VLOOKUP($T$1727,'TAR FIN'!$A$1:$O$116,15,0))</f>
        <v>575.91999999999996</v>
      </c>
      <c r="X1727" s="6">
        <f>IF(ISERROR(VLOOKUP($U$1727,'TAR FIN'!$A$1:$O$116,15,0)),0,VLOOKUP($U$1727,'TAR FIN'!$A$1:$O$116,15,0))</f>
        <v>311.04000000000002</v>
      </c>
      <c r="Y1727" s="6"/>
      <c r="Z1727" s="6">
        <f ca="1">('TUSD BE'!$AM$69+'TUSD BF'!$AM$69+'TUSD CVA'!$AM$69)*1</f>
        <v>706.22797575649349</v>
      </c>
      <c r="AA1727" s="6">
        <f>('TE BE'!$AB$40+'TE BF'!$AB$40+'TE CVA'!$AB$40)*1</f>
        <v>313.22907246928764</v>
      </c>
      <c r="AB1727" s="6">
        <f>$K$1727*$V$1727</f>
        <v>0</v>
      </c>
      <c r="AC1727" s="6">
        <f>$M$1727*$W$1727</f>
        <v>96.178640000000001</v>
      </c>
      <c r="AD1727" s="6">
        <f>$O$1727*$X$1727</f>
        <v>51.943680000000008</v>
      </c>
      <c r="AE1727" s="6">
        <f>$K$1727*$Y$1727</f>
        <v>0</v>
      </c>
      <c r="AF1727" s="6">
        <f ca="1">$M$1727*$Z$1727</f>
        <v>117.94007195133442</v>
      </c>
      <c r="AG1727" s="6">
        <f>$O$1727*$AA$1727</f>
        <v>52.30925510237104</v>
      </c>
    </row>
    <row r="1728" spans="1:33" ht="11.25" customHeight="1" x14ac:dyDescent="0.25">
      <c r="A1728" s="4" t="s">
        <v>21</v>
      </c>
      <c r="B1728" s="4" t="s">
        <v>37</v>
      </c>
      <c r="C1728" s="4" t="s">
        <v>33</v>
      </c>
      <c r="D1728" s="4" t="s">
        <v>43</v>
      </c>
      <c r="E1728" s="4" t="s">
        <v>25</v>
      </c>
      <c r="F1728" s="4" t="s">
        <v>25</v>
      </c>
      <c r="G1728" s="4" t="s">
        <v>25</v>
      </c>
      <c r="H1728" s="4" t="s">
        <v>36</v>
      </c>
      <c r="I1728" s="5">
        <v>44501</v>
      </c>
      <c r="J1728" s="6">
        <v>0</v>
      </c>
      <c r="K1728" s="6">
        <v>0</v>
      </c>
      <c r="L1728" s="6">
        <v>1.679</v>
      </c>
      <c r="M1728" s="6">
        <v>1.679</v>
      </c>
      <c r="N1728" s="6">
        <v>1.679</v>
      </c>
      <c r="O1728" s="6">
        <v>1.679</v>
      </c>
      <c r="P1728" s="6">
        <v>0</v>
      </c>
      <c r="Q1728" s="4" t="s">
        <v>26</v>
      </c>
      <c r="R1728" s="4">
        <v>0</v>
      </c>
      <c r="S1728" s="6">
        <v>0</v>
      </c>
      <c r="T1728" s="6">
        <v>67</v>
      </c>
      <c r="U1728" s="6">
        <v>110</v>
      </c>
      <c r="V1728" s="6">
        <f>IF(ISERROR(VLOOKUP($S$1728,'TAR FIN'!$A$1:$O$116,15,0)),0,VLOOKUP($S$1728,'TAR FIN'!$A$1:$O$116,15,0))</f>
        <v>0</v>
      </c>
      <c r="W1728" s="6">
        <f>IF(ISERROR(VLOOKUP($T$1728,'TAR FIN'!$A$1:$O$116,15,0)),0,VLOOKUP($T$1728,'TAR FIN'!$A$1:$O$116,15,0))</f>
        <v>575.91999999999996</v>
      </c>
      <c r="X1728" s="6">
        <f>IF(ISERROR(VLOOKUP($U$1728,'TAR FIN'!$A$1:$O$116,15,0)),0,VLOOKUP($U$1728,'TAR FIN'!$A$1:$O$116,15,0))</f>
        <v>311.04000000000002</v>
      </c>
      <c r="Y1728" s="6"/>
      <c r="Z1728" s="6">
        <f ca="1">('TUSD BE'!$AM$69+'TUSD BF'!$AM$69+'TUSD CVA'!$AM$69)*1</f>
        <v>706.22797575649349</v>
      </c>
      <c r="AA1728" s="6">
        <f>('TE BE'!$AB$40+'TE BF'!$AB$40+'TE CVA'!$AB$40)*1</f>
        <v>313.22907246928764</v>
      </c>
      <c r="AB1728" s="6">
        <f>$K$1728*$V$1728</f>
        <v>0</v>
      </c>
      <c r="AC1728" s="6">
        <f>$M$1728*$W$1728</f>
        <v>966.96967999999993</v>
      </c>
      <c r="AD1728" s="6">
        <f>$O$1728*$X$1728</f>
        <v>522.23616000000004</v>
      </c>
      <c r="AE1728" s="6">
        <f>$K$1728*$Y$1728</f>
        <v>0</v>
      </c>
      <c r="AF1728" s="6">
        <f ca="1">$M$1728*$Z$1728</f>
        <v>1185.7567712951527</v>
      </c>
      <c r="AG1728" s="6">
        <f>$O$1728*$AA$1728</f>
        <v>525.91161267593395</v>
      </c>
    </row>
    <row r="1729" spans="1:33" ht="11.25" customHeight="1" x14ac:dyDescent="0.25">
      <c r="A1729" s="4" t="s">
        <v>28</v>
      </c>
      <c r="B1729" s="4" t="s">
        <v>37</v>
      </c>
      <c r="C1729" s="4" t="s">
        <v>33</v>
      </c>
      <c r="D1729" s="4" t="s">
        <v>43</v>
      </c>
      <c r="E1729" s="4" t="s">
        <v>25</v>
      </c>
      <c r="F1729" s="4" t="s">
        <v>25</v>
      </c>
      <c r="G1729" s="4" t="s">
        <v>25</v>
      </c>
      <c r="H1729" s="4" t="s">
        <v>36</v>
      </c>
      <c r="I1729" s="5">
        <v>44501</v>
      </c>
      <c r="J1729" s="6">
        <v>0</v>
      </c>
      <c r="K1729" s="6">
        <v>0</v>
      </c>
      <c r="L1729" s="6">
        <v>0.161</v>
      </c>
      <c r="M1729" s="6">
        <v>0.161</v>
      </c>
      <c r="N1729" s="6">
        <v>0.161</v>
      </c>
      <c r="O1729" s="6">
        <v>0.161</v>
      </c>
      <c r="P1729" s="6">
        <v>0</v>
      </c>
      <c r="Q1729" s="4" t="s">
        <v>26</v>
      </c>
      <c r="R1729" s="4">
        <v>0</v>
      </c>
      <c r="S1729" s="6">
        <v>0</v>
      </c>
      <c r="T1729" s="6">
        <v>67</v>
      </c>
      <c r="U1729" s="6">
        <v>110</v>
      </c>
      <c r="V1729" s="6">
        <f>IF(ISERROR(VLOOKUP($S$1729,'TAR FIN'!$A$1:$O$116,15,0)),0,VLOOKUP($S$1729,'TAR FIN'!$A$1:$O$116,15,0))</f>
        <v>0</v>
      </c>
      <c r="W1729" s="6">
        <f>IF(ISERROR(VLOOKUP($T$1729,'TAR FIN'!$A$1:$O$116,15,0)),0,VLOOKUP($T$1729,'TAR FIN'!$A$1:$O$116,15,0))</f>
        <v>575.91999999999996</v>
      </c>
      <c r="X1729" s="6">
        <f>IF(ISERROR(VLOOKUP($U$1729,'TAR FIN'!$A$1:$O$116,15,0)),0,VLOOKUP($U$1729,'TAR FIN'!$A$1:$O$116,15,0))</f>
        <v>311.04000000000002</v>
      </c>
      <c r="Y1729" s="6"/>
      <c r="Z1729" s="6">
        <f ca="1">('TUSD BE'!$AM$69+'TUSD BF'!$AM$69+'TUSD CVA'!$AM$69)*1</f>
        <v>706.22797575649349</v>
      </c>
      <c r="AA1729" s="6">
        <f>('TE BE'!$AB$40+'TE BF'!$AB$40+'TE CVA'!$AB$40)*1</f>
        <v>313.22907246928764</v>
      </c>
      <c r="AB1729" s="6">
        <f>$K$1729*$V$1729</f>
        <v>0</v>
      </c>
      <c r="AC1729" s="6">
        <f>$M$1729*$W$1729</f>
        <v>92.723119999999994</v>
      </c>
      <c r="AD1729" s="6">
        <f>$O$1729*$X$1729</f>
        <v>50.077440000000003</v>
      </c>
      <c r="AE1729" s="6">
        <f>$K$1729*$Y$1729</f>
        <v>0</v>
      </c>
      <c r="AF1729" s="6">
        <f ca="1">$M$1729*$Z$1729</f>
        <v>113.70270409679546</v>
      </c>
      <c r="AG1729" s="6">
        <f>$O$1729*$AA$1729</f>
        <v>50.42988066755531</v>
      </c>
    </row>
    <row r="1730" spans="1:33" ht="11.25" customHeight="1" x14ac:dyDescent="0.25">
      <c r="A1730" s="4" t="s">
        <v>21</v>
      </c>
      <c r="B1730" s="4" t="s">
        <v>37</v>
      </c>
      <c r="C1730" s="4" t="s">
        <v>33</v>
      </c>
      <c r="D1730" s="4" t="s">
        <v>43</v>
      </c>
      <c r="E1730" s="4" t="s">
        <v>25</v>
      </c>
      <c r="F1730" s="4" t="s">
        <v>25</v>
      </c>
      <c r="G1730" s="4" t="s">
        <v>25</v>
      </c>
      <c r="H1730" s="4" t="s">
        <v>36</v>
      </c>
      <c r="I1730" s="5">
        <v>44531</v>
      </c>
      <c r="J1730" s="6">
        <v>0</v>
      </c>
      <c r="K1730" s="6">
        <v>0</v>
      </c>
      <c r="L1730" s="6">
        <v>2.3490000000000002</v>
      </c>
      <c r="M1730" s="6">
        <v>2.3490000000000002</v>
      </c>
      <c r="N1730" s="6">
        <v>2.3490000000000002</v>
      </c>
      <c r="O1730" s="6">
        <v>2.3490000000000002</v>
      </c>
      <c r="P1730" s="6">
        <v>0</v>
      </c>
      <c r="Q1730" s="4" t="s">
        <v>26</v>
      </c>
      <c r="R1730" s="4">
        <v>0</v>
      </c>
      <c r="S1730" s="6">
        <v>0</v>
      </c>
      <c r="T1730" s="6">
        <v>67</v>
      </c>
      <c r="U1730" s="6">
        <v>110</v>
      </c>
      <c r="V1730" s="6">
        <f>IF(ISERROR(VLOOKUP($S$1730,'TAR FIN'!$A$1:$O$116,15,0)),0,VLOOKUP($S$1730,'TAR FIN'!$A$1:$O$116,15,0))</f>
        <v>0</v>
      </c>
      <c r="W1730" s="6">
        <f>IF(ISERROR(VLOOKUP($T$1730,'TAR FIN'!$A$1:$O$116,15,0)),0,VLOOKUP($T$1730,'TAR FIN'!$A$1:$O$116,15,0))</f>
        <v>575.91999999999996</v>
      </c>
      <c r="X1730" s="6">
        <f>IF(ISERROR(VLOOKUP($U$1730,'TAR FIN'!$A$1:$O$116,15,0)),0,VLOOKUP($U$1730,'TAR FIN'!$A$1:$O$116,15,0))</f>
        <v>311.04000000000002</v>
      </c>
      <c r="Y1730" s="6"/>
      <c r="Z1730" s="6">
        <f ca="1">('TUSD BE'!$AM$69+'TUSD BF'!$AM$69+'TUSD CVA'!$AM$69)*1</f>
        <v>706.22797575649349</v>
      </c>
      <c r="AA1730" s="6">
        <f>('TE BE'!$AB$40+'TE BF'!$AB$40+'TE CVA'!$AB$40)*1</f>
        <v>313.22907246928764</v>
      </c>
      <c r="AB1730" s="6">
        <f>$K$1730*$V$1730</f>
        <v>0</v>
      </c>
      <c r="AC1730" s="6">
        <f>$M$1730*$W$1730</f>
        <v>1352.83608</v>
      </c>
      <c r="AD1730" s="6">
        <f>$O$1730*$X$1730</f>
        <v>730.63296000000014</v>
      </c>
      <c r="AE1730" s="6">
        <f>$K$1730*$Y$1730</f>
        <v>0</v>
      </c>
      <c r="AF1730" s="6">
        <f ca="1">$M$1730*$Z$1730</f>
        <v>1658.9295150520034</v>
      </c>
      <c r="AG1730" s="6">
        <f>$O$1730*$AA$1730</f>
        <v>735.77509123035679</v>
      </c>
    </row>
    <row r="1731" spans="1:33" ht="11.25" customHeight="1" x14ac:dyDescent="0.25">
      <c r="A1731" s="4" t="s">
        <v>28</v>
      </c>
      <c r="B1731" s="4" t="s">
        <v>37</v>
      </c>
      <c r="C1731" s="4" t="s">
        <v>33</v>
      </c>
      <c r="D1731" s="4" t="s">
        <v>43</v>
      </c>
      <c r="E1731" s="4" t="s">
        <v>25</v>
      </c>
      <c r="F1731" s="4" t="s">
        <v>25</v>
      </c>
      <c r="G1731" s="4" t="s">
        <v>25</v>
      </c>
      <c r="H1731" s="4" t="s">
        <v>36</v>
      </c>
      <c r="I1731" s="5">
        <v>44531</v>
      </c>
      <c r="J1731" s="6">
        <v>0</v>
      </c>
      <c r="K1731" s="6">
        <v>0</v>
      </c>
      <c r="L1731" s="6">
        <v>0.17799999999999999</v>
      </c>
      <c r="M1731" s="6">
        <v>0.17799999999999999</v>
      </c>
      <c r="N1731" s="6">
        <v>0.17799999999999999</v>
      </c>
      <c r="O1731" s="6">
        <v>0.17799999999999999</v>
      </c>
      <c r="P1731" s="6">
        <v>0</v>
      </c>
      <c r="Q1731" s="4" t="s">
        <v>26</v>
      </c>
      <c r="R1731" s="4">
        <v>0</v>
      </c>
      <c r="S1731" s="6">
        <v>0</v>
      </c>
      <c r="T1731" s="6">
        <v>67</v>
      </c>
      <c r="U1731" s="6">
        <v>110</v>
      </c>
      <c r="V1731" s="6">
        <f>IF(ISERROR(VLOOKUP($S$1731,'TAR FIN'!$A$1:$O$116,15,0)),0,VLOOKUP($S$1731,'TAR FIN'!$A$1:$O$116,15,0))</f>
        <v>0</v>
      </c>
      <c r="W1731" s="6">
        <f>IF(ISERROR(VLOOKUP($T$1731,'TAR FIN'!$A$1:$O$116,15,0)),0,VLOOKUP($T$1731,'TAR FIN'!$A$1:$O$116,15,0))</f>
        <v>575.91999999999996</v>
      </c>
      <c r="X1731" s="6">
        <f>IF(ISERROR(VLOOKUP($U$1731,'TAR FIN'!$A$1:$O$116,15,0)),0,VLOOKUP($U$1731,'TAR FIN'!$A$1:$O$116,15,0))</f>
        <v>311.04000000000002</v>
      </c>
      <c r="Y1731" s="6"/>
      <c r="Z1731" s="6">
        <f ca="1">('TUSD BE'!$AM$69+'TUSD BF'!$AM$69+'TUSD CVA'!$AM$69)*1</f>
        <v>706.22797575649349</v>
      </c>
      <c r="AA1731" s="6">
        <f>('TE BE'!$AB$40+'TE BF'!$AB$40+'TE CVA'!$AB$40)*1</f>
        <v>313.22907246928764</v>
      </c>
      <c r="AB1731" s="6">
        <f>$K$1731*$V$1731</f>
        <v>0</v>
      </c>
      <c r="AC1731" s="6">
        <f>$M$1731*$W$1731</f>
        <v>102.51375999999999</v>
      </c>
      <c r="AD1731" s="6">
        <f>$O$1731*$X$1731</f>
        <v>55.365120000000005</v>
      </c>
      <c r="AE1731" s="6">
        <f>$K$1731*$Y$1731</f>
        <v>0</v>
      </c>
      <c r="AF1731" s="6">
        <f ca="1">$M$1731*$Z$1731</f>
        <v>125.70857968465583</v>
      </c>
      <c r="AG1731" s="6">
        <f>$O$1731*$AA$1731</f>
        <v>55.754774899533196</v>
      </c>
    </row>
    <row r="1732" spans="1:33" ht="11.25" customHeight="1" x14ac:dyDescent="0.25">
      <c r="A1732" s="4" t="s">
        <v>21</v>
      </c>
      <c r="B1732" s="4" t="s">
        <v>37</v>
      </c>
      <c r="C1732" s="4" t="s">
        <v>33</v>
      </c>
      <c r="D1732" s="4" t="s">
        <v>43</v>
      </c>
      <c r="E1732" s="4" t="s">
        <v>25</v>
      </c>
      <c r="F1732" s="4" t="s">
        <v>25</v>
      </c>
      <c r="G1732" s="4" t="s">
        <v>25</v>
      </c>
      <c r="H1732" s="4" t="s">
        <v>36</v>
      </c>
      <c r="I1732" s="5">
        <v>44562</v>
      </c>
      <c r="J1732" s="6">
        <v>0</v>
      </c>
      <c r="K1732" s="6">
        <v>0</v>
      </c>
      <c r="L1732" s="6">
        <v>2.1150000000000002</v>
      </c>
      <c r="M1732" s="6">
        <v>2.1150000000000002</v>
      </c>
      <c r="N1732" s="6">
        <v>2.1150000000000002</v>
      </c>
      <c r="O1732" s="6">
        <v>2.1150000000000002</v>
      </c>
      <c r="P1732" s="6">
        <v>0</v>
      </c>
      <c r="Q1732" s="4" t="s">
        <v>26</v>
      </c>
      <c r="R1732" s="4">
        <v>0</v>
      </c>
      <c r="S1732" s="6">
        <v>0</v>
      </c>
      <c r="T1732" s="6">
        <v>67</v>
      </c>
      <c r="U1732" s="6">
        <v>110</v>
      </c>
      <c r="V1732" s="6">
        <f>IF(ISERROR(VLOOKUP($S$1732,'TAR FIN'!$A$1:$O$116,15,0)),0,VLOOKUP($S$1732,'TAR FIN'!$A$1:$O$116,15,0))</f>
        <v>0</v>
      </c>
      <c r="W1732" s="6">
        <f>IF(ISERROR(VLOOKUP($T$1732,'TAR FIN'!$A$1:$O$116,15,0)),0,VLOOKUP($T$1732,'TAR FIN'!$A$1:$O$116,15,0))</f>
        <v>575.91999999999996</v>
      </c>
      <c r="X1732" s="6">
        <f>IF(ISERROR(VLOOKUP($U$1732,'TAR FIN'!$A$1:$O$116,15,0)),0,VLOOKUP($U$1732,'TAR FIN'!$A$1:$O$116,15,0))</f>
        <v>311.04000000000002</v>
      </c>
      <c r="Y1732" s="6"/>
      <c r="Z1732" s="6">
        <f ca="1">('TUSD BE'!$AM$69+'TUSD BF'!$AM$69+'TUSD CVA'!$AM$69)*1</f>
        <v>706.22797575649349</v>
      </c>
      <c r="AA1732" s="6">
        <f>('TE BE'!$AB$40+'TE BF'!$AB$40+'TE CVA'!$AB$40)*1</f>
        <v>313.22907246928764</v>
      </c>
      <c r="AB1732" s="6">
        <f>$K$1732*$V$1732</f>
        <v>0</v>
      </c>
      <c r="AC1732" s="6">
        <f>$M$1732*$W$1732</f>
        <v>1218.0708</v>
      </c>
      <c r="AD1732" s="6">
        <f>$O$1732*$X$1732</f>
        <v>657.84960000000012</v>
      </c>
      <c r="AE1732" s="6">
        <f>$K$1732*$Y$1732</f>
        <v>0</v>
      </c>
      <c r="AF1732" s="6">
        <f ca="1">$M$1732*$Z$1732</f>
        <v>1493.672168724984</v>
      </c>
      <c r="AG1732" s="6">
        <f>$O$1732*$AA$1732</f>
        <v>662.47948827254345</v>
      </c>
    </row>
    <row r="1733" spans="1:33" ht="11.25" customHeight="1" x14ac:dyDescent="0.25">
      <c r="A1733" s="4" t="s">
        <v>27</v>
      </c>
      <c r="B1733" s="4" t="s">
        <v>37</v>
      </c>
      <c r="C1733" s="4" t="s">
        <v>33</v>
      </c>
      <c r="D1733" s="4" t="s">
        <v>43</v>
      </c>
      <c r="E1733" s="4" t="s">
        <v>25</v>
      </c>
      <c r="F1733" s="4" t="s">
        <v>25</v>
      </c>
      <c r="G1733" s="4" t="s">
        <v>25</v>
      </c>
      <c r="H1733" s="4" t="s">
        <v>36</v>
      </c>
      <c r="I1733" s="5">
        <v>44562</v>
      </c>
      <c r="J1733" s="6">
        <v>0</v>
      </c>
      <c r="K1733" s="6">
        <v>0</v>
      </c>
      <c r="L1733" s="6">
        <v>-0.36</v>
      </c>
      <c r="M1733" s="6">
        <v>-0.36</v>
      </c>
      <c r="N1733" s="6">
        <v>-0.36</v>
      </c>
      <c r="O1733" s="6">
        <v>-0.36</v>
      </c>
      <c r="P1733" s="6">
        <v>0</v>
      </c>
      <c r="Q1733" s="4" t="s">
        <v>26</v>
      </c>
      <c r="R1733" s="4">
        <v>0</v>
      </c>
      <c r="S1733" s="6">
        <v>0</v>
      </c>
      <c r="T1733" s="6">
        <v>67</v>
      </c>
      <c r="U1733" s="6">
        <v>110</v>
      </c>
      <c r="V1733" s="6">
        <f>IF(ISERROR(VLOOKUP($S$1733,'TAR FIN'!$A$1:$O$116,15,0)),0,VLOOKUP($S$1733,'TAR FIN'!$A$1:$O$116,15,0))</f>
        <v>0</v>
      </c>
      <c r="W1733" s="6">
        <f>IF(ISERROR(VLOOKUP($T$1733,'TAR FIN'!$A$1:$O$116,15,0)),0,VLOOKUP($T$1733,'TAR FIN'!$A$1:$O$116,15,0))</f>
        <v>575.91999999999996</v>
      </c>
      <c r="X1733" s="6">
        <f>IF(ISERROR(VLOOKUP($U$1733,'TAR FIN'!$A$1:$O$116,15,0)),0,VLOOKUP($U$1733,'TAR FIN'!$A$1:$O$116,15,0))</f>
        <v>311.04000000000002</v>
      </c>
      <c r="Y1733" s="6"/>
      <c r="Z1733" s="6">
        <f ca="1">('TUSD BE'!$AM$69+'TUSD BF'!$AM$69+'TUSD CVA'!$AM$69)*1</f>
        <v>706.22797575649349</v>
      </c>
      <c r="AA1733" s="6">
        <f>('TE BE'!$AB$40+'TE BF'!$AB$40+'TE CVA'!$AB$40)*1</f>
        <v>313.22907246928764</v>
      </c>
      <c r="AB1733" s="6">
        <f>$K$1733*$V$1733</f>
        <v>0</v>
      </c>
      <c r="AC1733" s="6">
        <f>$M$1733*$W$1733</f>
        <v>-207.33119999999997</v>
      </c>
      <c r="AD1733" s="6">
        <f>$O$1733*$X$1733</f>
        <v>-111.9744</v>
      </c>
      <c r="AE1733" s="6">
        <f>$K$1733*$Y$1733</f>
        <v>0</v>
      </c>
      <c r="AF1733" s="6">
        <f ca="1">$M$1733*$Z$1733</f>
        <v>-254.24207127233765</v>
      </c>
      <c r="AG1733" s="6">
        <f>$O$1733*$AA$1733</f>
        <v>-112.76246608894355</v>
      </c>
    </row>
    <row r="1734" spans="1:33" ht="11.25" customHeight="1" x14ac:dyDescent="0.25">
      <c r="A1734" s="4" t="s">
        <v>28</v>
      </c>
      <c r="B1734" s="4" t="s">
        <v>37</v>
      </c>
      <c r="C1734" s="4" t="s">
        <v>33</v>
      </c>
      <c r="D1734" s="4" t="s">
        <v>43</v>
      </c>
      <c r="E1734" s="4" t="s">
        <v>25</v>
      </c>
      <c r="F1734" s="4" t="s">
        <v>25</v>
      </c>
      <c r="G1734" s="4" t="s">
        <v>25</v>
      </c>
      <c r="H1734" s="4" t="s">
        <v>36</v>
      </c>
      <c r="I1734" s="5">
        <v>44562</v>
      </c>
      <c r="J1734" s="6">
        <v>0</v>
      </c>
      <c r="K1734" s="6">
        <v>0</v>
      </c>
      <c r="L1734" s="6">
        <v>0.191</v>
      </c>
      <c r="M1734" s="6">
        <v>0.191</v>
      </c>
      <c r="N1734" s="6">
        <v>0.191</v>
      </c>
      <c r="O1734" s="6">
        <v>0.191</v>
      </c>
      <c r="P1734" s="6">
        <v>0</v>
      </c>
      <c r="Q1734" s="4" t="s">
        <v>26</v>
      </c>
      <c r="R1734" s="4">
        <v>0</v>
      </c>
      <c r="S1734" s="6">
        <v>0</v>
      </c>
      <c r="T1734" s="6">
        <v>67</v>
      </c>
      <c r="U1734" s="6">
        <v>110</v>
      </c>
      <c r="V1734" s="6">
        <f>IF(ISERROR(VLOOKUP($S$1734,'TAR FIN'!$A$1:$O$116,15,0)),0,VLOOKUP($S$1734,'TAR FIN'!$A$1:$O$116,15,0))</f>
        <v>0</v>
      </c>
      <c r="W1734" s="6">
        <f>IF(ISERROR(VLOOKUP($T$1734,'TAR FIN'!$A$1:$O$116,15,0)),0,VLOOKUP($T$1734,'TAR FIN'!$A$1:$O$116,15,0))</f>
        <v>575.91999999999996</v>
      </c>
      <c r="X1734" s="6">
        <f>IF(ISERROR(VLOOKUP($U$1734,'TAR FIN'!$A$1:$O$116,15,0)),0,VLOOKUP($U$1734,'TAR FIN'!$A$1:$O$116,15,0))</f>
        <v>311.04000000000002</v>
      </c>
      <c r="Y1734" s="6"/>
      <c r="Z1734" s="6">
        <f ca="1">('TUSD BE'!$AM$69+'TUSD BF'!$AM$69+'TUSD CVA'!$AM$69)*1</f>
        <v>706.22797575649349</v>
      </c>
      <c r="AA1734" s="6">
        <f>('TE BE'!$AB$40+'TE BF'!$AB$40+'TE CVA'!$AB$40)*1</f>
        <v>313.22907246928764</v>
      </c>
      <c r="AB1734" s="6">
        <f>$K$1734*$V$1734</f>
        <v>0</v>
      </c>
      <c r="AC1734" s="6">
        <f>$M$1734*$W$1734</f>
        <v>110.00071999999999</v>
      </c>
      <c r="AD1734" s="6">
        <f>$O$1734*$X$1734</f>
        <v>59.408640000000005</v>
      </c>
      <c r="AE1734" s="6">
        <f>$K$1734*$Y$1734</f>
        <v>0</v>
      </c>
      <c r="AF1734" s="6">
        <f ca="1">$M$1734*$Z$1734</f>
        <v>134.88954336949027</v>
      </c>
      <c r="AG1734" s="6">
        <f>$O$1734*$AA$1734</f>
        <v>59.82675284163394</v>
      </c>
    </row>
    <row r="1735" spans="1:33" ht="11.25" customHeight="1" x14ac:dyDescent="0.25">
      <c r="A1735" s="4" t="s">
        <v>21</v>
      </c>
      <c r="B1735" s="4" t="s">
        <v>37</v>
      </c>
      <c r="C1735" s="4" t="s">
        <v>33</v>
      </c>
      <c r="D1735" s="4" t="s">
        <v>43</v>
      </c>
      <c r="E1735" s="4" t="s">
        <v>25</v>
      </c>
      <c r="F1735" s="4" t="s">
        <v>25</v>
      </c>
      <c r="G1735" s="4" t="s">
        <v>25</v>
      </c>
      <c r="H1735" s="4" t="s">
        <v>36</v>
      </c>
      <c r="I1735" s="5">
        <v>44593</v>
      </c>
      <c r="J1735" s="6">
        <v>0</v>
      </c>
      <c r="K1735" s="6">
        <v>0</v>
      </c>
      <c r="L1735" s="6">
        <v>2.2090000000000001</v>
      </c>
      <c r="M1735" s="6">
        <v>2.2090000000000001</v>
      </c>
      <c r="N1735" s="6">
        <v>2.2090000000000001</v>
      </c>
      <c r="O1735" s="6">
        <v>2.2090000000000001</v>
      </c>
      <c r="P1735" s="6">
        <v>0</v>
      </c>
      <c r="Q1735" s="4" t="s">
        <v>26</v>
      </c>
      <c r="R1735" s="4">
        <v>0</v>
      </c>
      <c r="S1735" s="6">
        <v>0</v>
      </c>
      <c r="T1735" s="6">
        <v>67</v>
      </c>
      <c r="U1735" s="6">
        <v>110</v>
      </c>
      <c r="V1735" s="6">
        <f>IF(ISERROR(VLOOKUP($S$1735,'TAR FIN'!$A$1:$O$116,15,0)),0,VLOOKUP($S$1735,'TAR FIN'!$A$1:$O$116,15,0))</f>
        <v>0</v>
      </c>
      <c r="W1735" s="6">
        <f>IF(ISERROR(VLOOKUP($T$1735,'TAR FIN'!$A$1:$O$116,15,0)),0,VLOOKUP($T$1735,'TAR FIN'!$A$1:$O$116,15,0))</f>
        <v>575.91999999999996</v>
      </c>
      <c r="X1735" s="6">
        <f>IF(ISERROR(VLOOKUP($U$1735,'TAR FIN'!$A$1:$O$116,15,0)),0,VLOOKUP($U$1735,'TAR FIN'!$A$1:$O$116,15,0))</f>
        <v>311.04000000000002</v>
      </c>
      <c r="Y1735" s="6"/>
      <c r="Z1735" s="6">
        <f ca="1">('TUSD BE'!$AM$69+'TUSD BF'!$AM$69+'TUSD CVA'!$AM$69)*1</f>
        <v>706.22797575649349</v>
      </c>
      <c r="AA1735" s="6">
        <f>('TE BE'!$AB$40+'TE BF'!$AB$40+'TE CVA'!$AB$40)*1</f>
        <v>313.22907246928764</v>
      </c>
      <c r="AB1735" s="6">
        <f>$K$1735*$V$1735</f>
        <v>0</v>
      </c>
      <c r="AC1735" s="6">
        <f>$M$1735*$W$1735</f>
        <v>1272.2072799999999</v>
      </c>
      <c r="AD1735" s="6">
        <f>$O$1735*$X$1735</f>
        <v>687.0873600000001</v>
      </c>
      <c r="AE1735" s="6">
        <f>$K$1735*$Y$1735</f>
        <v>0</v>
      </c>
      <c r="AF1735" s="6">
        <f ca="1">$M$1735*$Z$1735</f>
        <v>1560.0575984460943</v>
      </c>
      <c r="AG1735" s="6">
        <f>$O$1735*$AA$1735</f>
        <v>691.9230210846564</v>
      </c>
    </row>
    <row r="1736" spans="1:33" ht="11.25" customHeight="1" x14ac:dyDescent="0.25">
      <c r="A1736" s="4" t="s">
        <v>28</v>
      </c>
      <c r="B1736" s="4" t="s">
        <v>37</v>
      </c>
      <c r="C1736" s="4" t="s">
        <v>33</v>
      </c>
      <c r="D1736" s="4" t="s">
        <v>43</v>
      </c>
      <c r="E1736" s="4" t="s">
        <v>25</v>
      </c>
      <c r="F1736" s="4" t="s">
        <v>25</v>
      </c>
      <c r="G1736" s="4" t="s">
        <v>25</v>
      </c>
      <c r="H1736" s="4" t="s">
        <v>36</v>
      </c>
      <c r="I1736" s="5">
        <v>44593</v>
      </c>
      <c r="J1736" s="6">
        <v>0</v>
      </c>
      <c r="K1736" s="6">
        <v>0</v>
      </c>
      <c r="L1736" s="6">
        <v>0.16400000000000001</v>
      </c>
      <c r="M1736" s="6">
        <v>0.16400000000000001</v>
      </c>
      <c r="N1736" s="6">
        <v>0.16400000000000001</v>
      </c>
      <c r="O1736" s="6">
        <v>0.16400000000000001</v>
      </c>
      <c r="P1736" s="6">
        <v>0</v>
      </c>
      <c r="Q1736" s="4" t="s">
        <v>26</v>
      </c>
      <c r="R1736" s="4">
        <v>0</v>
      </c>
      <c r="S1736" s="6">
        <v>0</v>
      </c>
      <c r="T1736" s="6">
        <v>67</v>
      </c>
      <c r="U1736" s="6">
        <v>110</v>
      </c>
      <c r="V1736" s="6">
        <f>IF(ISERROR(VLOOKUP($S$1736,'TAR FIN'!$A$1:$O$116,15,0)),0,VLOOKUP($S$1736,'TAR FIN'!$A$1:$O$116,15,0))</f>
        <v>0</v>
      </c>
      <c r="W1736" s="6">
        <f>IF(ISERROR(VLOOKUP($T$1736,'TAR FIN'!$A$1:$O$116,15,0)),0,VLOOKUP($T$1736,'TAR FIN'!$A$1:$O$116,15,0))</f>
        <v>575.91999999999996</v>
      </c>
      <c r="X1736" s="6">
        <f>IF(ISERROR(VLOOKUP($U$1736,'TAR FIN'!$A$1:$O$116,15,0)),0,VLOOKUP($U$1736,'TAR FIN'!$A$1:$O$116,15,0))</f>
        <v>311.04000000000002</v>
      </c>
      <c r="Y1736" s="6"/>
      <c r="Z1736" s="6">
        <f ca="1">('TUSD BE'!$AM$69+'TUSD BF'!$AM$69+'TUSD CVA'!$AM$69)*1</f>
        <v>706.22797575649349</v>
      </c>
      <c r="AA1736" s="6">
        <f>('TE BE'!$AB$40+'TE BF'!$AB$40+'TE CVA'!$AB$40)*1</f>
        <v>313.22907246928764</v>
      </c>
      <c r="AB1736" s="6">
        <f>$K$1736*$V$1736</f>
        <v>0</v>
      </c>
      <c r="AC1736" s="6">
        <f>$M$1736*$W$1736</f>
        <v>94.450879999999998</v>
      </c>
      <c r="AD1736" s="6">
        <f>$O$1736*$X$1736</f>
        <v>51.010560000000005</v>
      </c>
      <c r="AE1736" s="6">
        <f>$K$1736*$Y$1736</f>
        <v>0</v>
      </c>
      <c r="AF1736" s="6">
        <f ca="1">$M$1736*$Z$1736</f>
        <v>115.82138802406494</v>
      </c>
      <c r="AG1736" s="6">
        <f>$O$1736*$AA$1736</f>
        <v>51.369567884963175</v>
      </c>
    </row>
    <row r="1737" spans="1:33" ht="11.25" customHeight="1" x14ac:dyDescent="0.25">
      <c r="A1737" s="4" t="s">
        <v>21</v>
      </c>
      <c r="B1737" s="4" t="s">
        <v>37</v>
      </c>
      <c r="C1737" s="4" t="s">
        <v>33</v>
      </c>
      <c r="D1737" s="4" t="s">
        <v>43</v>
      </c>
      <c r="E1737" s="4" t="s">
        <v>25</v>
      </c>
      <c r="F1737" s="4" t="s">
        <v>25</v>
      </c>
      <c r="G1737" s="4" t="s">
        <v>25</v>
      </c>
      <c r="H1737" s="4" t="s">
        <v>36</v>
      </c>
      <c r="I1737" s="5">
        <v>44621</v>
      </c>
      <c r="J1737" s="6">
        <v>0</v>
      </c>
      <c r="K1737" s="6">
        <v>0</v>
      </c>
      <c r="L1737" s="6">
        <v>2.0680000000000001</v>
      </c>
      <c r="M1737" s="6">
        <v>2.0680000000000001</v>
      </c>
      <c r="N1737" s="6">
        <v>2.0680000000000001</v>
      </c>
      <c r="O1737" s="6">
        <v>2.0680000000000001</v>
      </c>
      <c r="P1737" s="6">
        <v>0</v>
      </c>
      <c r="Q1737" s="4" t="s">
        <v>26</v>
      </c>
      <c r="R1737" s="4">
        <v>0</v>
      </c>
      <c r="S1737" s="6">
        <v>0</v>
      </c>
      <c r="T1737" s="6">
        <v>67</v>
      </c>
      <c r="U1737" s="6">
        <v>110</v>
      </c>
      <c r="V1737" s="6">
        <f>IF(ISERROR(VLOOKUP($S$1737,'TAR FIN'!$A$1:$O$116,15,0)),0,VLOOKUP($S$1737,'TAR FIN'!$A$1:$O$116,15,0))</f>
        <v>0</v>
      </c>
      <c r="W1737" s="6">
        <f>IF(ISERROR(VLOOKUP($T$1737,'TAR FIN'!$A$1:$O$116,15,0)),0,VLOOKUP($T$1737,'TAR FIN'!$A$1:$O$116,15,0))</f>
        <v>575.91999999999996</v>
      </c>
      <c r="X1737" s="6">
        <f>IF(ISERROR(VLOOKUP($U$1737,'TAR FIN'!$A$1:$O$116,15,0)),0,VLOOKUP($U$1737,'TAR FIN'!$A$1:$O$116,15,0))</f>
        <v>311.04000000000002</v>
      </c>
      <c r="Y1737" s="6"/>
      <c r="Z1737" s="6">
        <f ca="1">('TUSD BE'!$AM$69+'TUSD BF'!$AM$69+'TUSD CVA'!$AM$69)*1</f>
        <v>706.22797575649349</v>
      </c>
      <c r="AA1737" s="6">
        <f>('TE BE'!$AB$40+'TE BF'!$AB$40+'TE CVA'!$AB$40)*1</f>
        <v>313.22907246928764</v>
      </c>
      <c r="AB1737" s="6">
        <f>$K$1737*$V$1737</f>
        <v>0</v>
      </c>
      <c r="AC1737" s="6">
        <f>$M$1737*$W$1737</f>
        <v>1191.0025599999999</v>
      </c>
      <c r="AD1737" s="6">
        <f>$O$1737*$X$1737</f>
        <v>643.23072000000002</v>
      </c>
      <c r="AE1737" s="6">
        <f>$K$1737*$Y$1737</f>
        <v>0</v>
      </c>
      <c r="AF1737" s="6">
        <f ca="1">$M$1737*$Z$1737</f>
        <v>1460.4794538644285</v>
      </c>
      <c r="AG1737" s="6">
        <f>$O$1737*$AA$1737</f>
        <v>647.75772186648692</v>
      </c>
    </row>
    <row r="1738" spans="1:33" ht="11.25" customHeight="1" x14ac:dyDescent="0.25">
      <c r="A1738" s="4" t="s">
        <v>28</v>
      </c>
      <c r="B1738" s="4" t="s">
        <v>37</v>
      </c>
      <c r="C1738" s="4" t="s">
        <v>33</v>
      </c>
      <c r="D1738" s="4" t="s">
        <v>43</v>
      </c>
      <c r="E1738" s="4" t="s">
        <v>25</v>
      </c>
      <c r="F1738" s="4" t="s">
        <v>25</v>
      </c>
      <c r="G1738" s="4" t="s">
        <v>25</v>
      </c>
      <c r="H1738" s="4" t="s">
        <v>36</v>
      </c>
      <c r="I1738" s="5">
        <v>44621</v>
      </c>
      <c r="J1738" s="6">
        <v>0</v>
      </c>
      <c r="K1738" s="6">
        <v>0</v>
      </c>
      <c r="L1738" s="6">
        <v>3.7999999999999999E-2</v>
      </c>
      <c r="M1738" s="6">
        <v>3.7999999999999999E-2</v>
      </c>
      <c r="N1738" s="6">
        <v>3.7999999999999999E-2</v>
      </c>
      <c r="O1738" s="6">
        <v>3.7999999999999999E-2</v>
      </c>
      <c r="P1738" s="6">
        <v>0</v>
      </c>
      <c r="Q1738" s="4" t="s">
        <v>26</v>
      </c>
      <c r="R1738" s="4">
        <v>0</v>
      </c>
      <c r="S1738" s="6">
        <v>0</v>
      </c>
      <c r="T1738" s="6">
        <v>67</v>
      </c>
      <c r="U1738" s="6">
        <v>110</v>
      </c>
      <c r="V1738" s="6">
        <f>IF(ISERROR(VLOOKUP($S$1738,'TAR FIN'!$A$1:$O$116,15,0)),0,VLOOKUP($S$1738,'TAR FIN'!$A$1:$O$116,15,0))</f>
        <v>0</v>
      </c>
      <c r="W1738" s="6">
        <f>IF(ISERROR(VLOOKUP($T$1738,'TAR FIN'!$A$1:$O$116,15,0)),0,VLOOKUP($T$1738,'TAR FIN'!$A$1:$O$116,15,0))</f>
        <v>575.91999999999996</v>
      </c>
      <c r="X1738" s="6">
        <f>IF(ISERROR(VLOOKUP($U$1738,'TAR FIN'!$A$1:$O$116,15,0)),0,VLOOKUP($U$1738,'TAR FIN'!$A$1:$O$116,15,0))</f>
        <v>311.04000000000002</v>
      </c>
      <c r="Y1738" s="6"/>
      <c r="Z1738" s="6">
        <f ca="1">('TUSD BE'!$AM$69+'TUSD BF'!$AM$69+'TUSD CVA'!$AM$69)*1</f>
        <v>706.22797575649349</v>
      </c>
      <c r="AA1738" s="6">
        <f>('TE BE'!$AB$40+'TE BF'!$AB$40+'TE CVA'!$AB$40)*1</f>
        <v>313.22907246928764</v>
      </c>
      <c r="AB1738" s="6">
        <f>$K$1738*$V$1738</f>
        <v>0</v>
      </c>
      <c r="AC1738" s="6">
        <f>$M$1738*$W$1738</f>
        <v>21.88496</v>
      </c>
      <c r="AD1738" s="6">
        <f>$O$1738*$X$1738</f>
        <v>11.819520000000001</v>
      </c>
      <c r="AE1738" s="6">
        <f>$K$1738*$Y$1738</f>
        <v>0</v>
      </c>
      <c r="AF1738" s="6">
        <f ca="1">$M$1738*$Z$1738</f>
        <v>26.836663078746753</v>
      </c>
      <c r="AG1738" s="6">
        <f>$O$1738*$AA$1738</f>
        <v>11.90270475383293</v>
      </c>
    </row>
    <row r="1739" spans="1:33" ht="11.25" customHeight="1" x14ac:dyDescent="0.25">
      <c r="A1739" s="4" t="s">
        <v>21</v>
      </c>
      <c r="B1739" s="4" t="s">
        <v>37</v>
      </c>
      <c r="C1739" s="4" t="s">
        <v>33</v>
      </c>
      <c r="D1739" s="4" t="s">
        <v>43</v>
      </c>
      <c r="E1739" s="4" t="s">
        <v>25</v>
      </c>
      <c r="F1739" s="4" t="s">
        <v>25</v>
      </c>
      <c r="G1739" s="4" t="s">
        <v>25</v>
      </c>
      <c r="H1739" s="4" t="s">
        <v>36</v>
      </c>
      <c r="I1739" s="5">
        <v>44652</v>
      </c>
      <c r="J1739" s="6">
        <v>0</v>
      </c>
      <c r="K1739" s="6">
        <v>0</v>
      </c>
      <c r="L1739" s="6">
        <v>2.117</v>
      </c>
      <c r="M1739" s="6">
        <v>2.117</v>
      </c>
      <c r="N1739" s="6">
        <v>2.117</v>
      </c>
      <c r="O1739" s="6">
        <v>2.117</v>
      </c>
      <c r="P1739" s="6">
        <v>0</v>
      </c>
      <c r="Q1739" s="4" t="s">
        <v>26</v>
      </c>
      <c r="R1739" s="4">
        <v>0</v>
      </c>
      <c r="S1739" s="6">
        <v>0</v>
      </c>
      <c r="T1739" s="6">
        <v>67</v>
      </c>
      <c r="U1739" s="6">
        <v>110</v>
      </c>
      <c r="V1739" s="6">
        <f>IF(ISERROR(VLOOKUP($S$1739,'TAR FIN'!$A$1:$O$116,15,0)),0,VLOOKUP($S$1739,'TAR FIN'!$A$1:$O$116,15,0))</f>
        <v>0</v>
      </c>
      <c r="W1739" s="6">
        <f>IF(ISERROR(VLOOKUP($T$1739,'TAR FIN'!$A$1:$O$116,15,0)),0,VLOOKUP($T$1739,'TAR FIN'!$A$1:$O$116,15,0))</f>
        <v>575.91999999999996</v>
      </c>
      <c r="X1739" s="6">
        <f>IF(ISERROR(VLOOKUP($U$1739,'TAR FIN'!$A$1:$O$116,15,0)),0,VLOOKUP($U$1739,'TAR FIN'!$A$1:$O$116,15,0))</f>
        <v>311.04000000000002</v>
      </c>
      <c r="Y1739" s="6"/>
      <c r="Z1739" s="6">
        <f ca="1">('TUSD BE'!$AM$69+'TUSD BF'!$AM$69+'TUSD CVA'!$AM$69)*1</f>
        <v>706.22797575649349</v>
      </c>
      <c r="AA1739" s="6">
        <f>('TE BE'!$AB$40+'TE BF'!$AB$40+'TE CVA'!$AB$40)*1</f>
        <v>313.22907246928764</v>
      </c>
      <c r="AB1739" s="6">
        <f>$K$1739*$V$1739</f>
        <v>0</v>
      </c>
      <c r="AC1739" s="6">
        <f>$M$1739*$W$1739</f>
        <v>1219.22264</v>
      </c>
      <c r="AD1739" s="6">
        <f>$O$1739*$X$1739</f>
        <v>658.47167999999999</v>
      </c>
      <c r="AE1739" s="6">
        <f>$K$1739*$Y$1739</f>
        <v>0</v>
      </c>
      <c r="AF1739" s="6">
        <f ca="1">$M$1739*$Z$1739</f>
        <v>1495.0846246764968</v>
      </c>
      <c r="AG1739" s="6">
        <f>$O$1739*$AA$1739</f>
        <v>663.10594641748196</v>
      </c>
    </row>
    <row r="1740" spans="1:33" ht="11.25" customHeight="1" x14ac:dyDescent="0.25">
      <c r="A1740" s="4" t="s">
        <v>58</v>
      </c>
      <c r="B1740" s="4" t="s">
        <v>37</v>
      </c>
      <c r="C1740" s="4" t="s">
        <v>33</v>
      </c>
      <c r="D1740" s="4" t="s">
        <v>43</v>
      </c>
      <c r="E1740" s="4" t="s">
        <v>25</v>
      </c>
      <c r="F1740" s="4" t="s">
        <v>25</v>
      </c>
      <c r="G1740" s="4" t="s">
        <v>25</v>
      </c>
      <c r="H1740" s="4" t="s">
        <v>36</v>
      </c>
      <c r="I1740" s="5">
        <v>44682</v>
      </c>
      <c r="J1740" s="6">
        <v>0</v>
      </c>
      <c r="K1740" s="6">
        <v>0</v>
      </c>
      <c r="L1740" s="6">
        <v>2.117</v>
      </c>
      <c r="M1740" s="6">
        <v>2.117</v>
      </c>
      <c r="N1740" s="6">
        <v>2.117</v>
      </c>
      <c r="O1740" s="6">
        <v>2.117</v>
      </c>
      <c r="P1740" s="6">
        <v>0</v>
      </c>
      <c r="Q1740" s="4" t="s">
        <v>26</v>
      </c>
      <c r="R1740" s="4">
        <v>0</v>
      </c>
      <c r="S1740" s="6">
        <v>0</v>
      </c>
      <c r="T1740" s="6">
        <v>67</v>
      </c>
      <c r="U1740" s="6">
        <v>110</v>
      </c>
      <c r="V1740" s="6">
        <f>IF(ISERROR(VLOOKUP($S$1740,'TAR FIN'!$A$1:$O$116,15,0)),0,VLOOKUP($S$1740,'TAR FIN'!$A$1:$O$116,15,0))</f>
        <v>0</v>
      </c>
      <c r="W1740" s="6">
        <f>IF(ISERROR(VLOOKUP($T$1740,'TAR FIN'!$A$1:$O$116,15,0)),0,VLOOKUP($T$1740,'TAR FIN'!$A$1:$O$116,15,0))</f>
        <v>575.91999999999996</v>
      </c>
      <c r="X1740" s="6">
        <f>IF(ISERROR(VLOOKUP($U$1740,'TAR FIN'!$A$1:$O$116,15,0)),0,VLOOKUP($U$1740,'TAR FIN'!$A$1:$O$116,15,0))</f>
        <v>311.04000000000002</v>
      </c>
      <c r="Y1740" s="6"/>
      <c r="Z1740" s="6">
        <f ca="1">('TUSD BE'!$AM$69+'TUSD BF'!$AM$69+'TUSD CVA'!$AM$69)*1</f>
        <v>706.22797575649349</v>
      </c>
      <c r="AA1740" s="6">
        <f>('TE BE'!$AB$40+'TE BF'!$AB$40+'TE CVA'!$AB$40)*1</f>
        <v>313.22907246928764</v>
      </c>
      <c r="AB1740" s="6">
        <f>$K$1740*$V$1740</f>
        <v>0</v>
      </c>
      <c r="AC1740" s="6">
        <f>$M$1740*$W$1740</f>
        <v>1219.22264</v>
      </c>
      <c r="AD1740" s="6">
        <f>$O$1740*$X$1740</f>
        <v>658.47167999999999</v>
      </c>
      <c r="AE1740" s="6">
        <f>$K$1740*$Y$1740</f>
        <v>0</v>
      </c>
      <c r="AF1740" s="6">
        <f ca="1">$M$1740*$Z$1740</f>
        <v>1495.0846246764968</v>
      </c>
      <c r="AG1740" s="6">
        <f>$O$1740*$AA$1740</f>
        <v>663.10594641748196</v>
      </c>
    </row>
    <row r="1741" spans="1:33" ht="11.25" customHeight="1" x14ac:dyDescent="0.25">
      <c r="A1741" s="4" t="s">
        <v>21</v>
      </c>
      <c r="B1741" s="4" t="s">
        <v>37</v>
      </c>
      <c r="C1741" s="4" t="s">
        <v>33</v>
      </c>
      <c r="D1741" s="4" t="s">
        <v>43</v>
      </c>
      <c r="E1741" s="4" t="s">
        <v>25</v>
      </c>
      <c r="F1741" s="4" t="s">
        <v>25</v>
      </c>
      <c r="G1741" s="4" t="s">
        <v>25</v>
      </c>
      <c r="H1741" s="4" t="s">
        <v>34</v>
      </c>
      <c r="I1741" s="5">
        <v>44348</v>
      </c>
      <c r="J1741" s="6">
        <v>0</v>
      </c>
      <c r="K1741" s="6">
        <v>0</v>
      </c>
      <c r="L1741" s="6">
        <v>2.0649999999999999</v>
      </c>
      <c r="M1741" s="6">
        <v>2.0649999999999999</v>
      </c>
      <c r="N1741" s="6">
        <v>2.0649999999999999</v>
      </c>
      <c r="O1741" s="6">
        <v>2.0649999999999999</v>
      </c>
      <c r="P1741" s="6">
        <v>0</v>
      </c>
      <c r="Q1741" s="4" t="s">
        <v>26</v>
      </c>
      <c r="R1741" s="4">
        <v>0</v>
      </c>
      <c r="S1741" s="6">
        <v>0</v>
      </c>
      <c r="T1741" s="6">
        <v>66</v>
      </c>
      <c r="U1741" s="6">
        <v>109</v>
      </c>
      <c r="V1741" s="6">
        <f>IF(ISERROR(VLOOKUP($S$1741,'TAR FIN'!$A$1:$O$116,15,0)),0,VLOOKUP($S$1741,'TAR FIN'!$A$1:$O$116,15,0))</f>
        <v>0</v>
      </c>
      <c r="W1741" s="6">
        <f>IF(ISERROR(VLOOKUP($T$1741,'TAR FIN'!$A$1:$O$116,15,0)),0,VLOOKUP($T$1741,'TAR FIN'!$A$1:$O$116,15,0))</f>
        <v>881.18</v>
      </c>
      <c r="X1741" s="6">
        <f>IF(ISERROR(VLOOKUP($U$1741,'TAR FIN'!$A$1:$O$116,15,0)),0,VLOOKUP($U$1741,'TAR FIN'!$A$1:$O$116,15,0))</f>
        <v>496.15</v>
      </c>
      <c r="Y1741" s="6"/>
      <c r="Z1741" s="6">
        <f ca="1">('TUSD BE'!$AM$68+'TUSD BF'!$AM$68+'TUSD CVA'!$AM$68)*1</f>
        <v>1058.5766451511297</v>
      </c>
      <c r="AA1741" s="6">
        <f>('TE BE'!$AB$39+'TE BF'!$AB$39+'TE CVA'!$AB$39)*1</f>
        <v>510.04993331215127</v>
      </c>
      <c r="AB1741" s="6">
        <f>$K$1741*$V$1741</f>
        <v>0</v>
      </c>
      <c r="AC1741" s="6">
        <f>$M$1741*$W$1741</f>
        <v>1819.6366999999998</v>
      </c>
      <c r="AD1741" s="6">
        <f>$O$1741*$X$1741</f>
        <v>1024.5497499999999</v>
      </c>
      <c r="AE1741" s="6">
        <f>$K$1741*$Y$1741</f>
        <v>0</v>
      </c>
      <c r="AF1741" s="6">
        <f ca="1">$M$1741*$Z$1741</f>
        <v>2185.9607722370829</v>
      </c>
      <c r="AG1741" s="6">
        <f>$O$1741*$AA$1741</f>
        <v>1053.2531122895923</v>
      </c>
    </row>
    <row r="1742" spans="1:33" ht="11.25" customHeight="1" x14ac:dyDescent="0.25">
      <c r="A1742" s="4" t="s">
        <v>28</v>
      </c>
      <c r="B1742" s="4" t="s">
        <v>37</v>
      </c>
      <c r="C1742" s="4" t="s">
        <v>33</v>
      </c>
      <c r="D1742" s="4" t="s">
        <v>43</v>
      </c>
      <c r="E1742" s="4" t="s">
        <v>25</v>
      </c>
      <c r="F1742" s="4" t="s">
        <v>25</v>
      </c>
      <c r="G1742" s="4" t="s">
        <v>25</v>
      </c>
      <c r="H1742" s="4" t="s">
        <v>34</v>
      </c>
      <c r="I1742" s="5">
        <v>44348</v>
      </c>
      <c r="J1742" s="6">
        <v>0</v>
      </c>
      <c r="K1742" s="6">
        <v>0</v>
      </c>
      <c r="L1742" s="6">
        <v>0.217</v>
      </c>
      <c r="M1742" s="6">
        <v>0.217</v>
      </c>
      <c r="N1742" s="6">
        <v>0.217</v>
      </c>
      <c r="O1742" s="6">
        <v>0.217</v>
      </c>
      <c r="P1742" s="6">
        <v>0</v>
      </c>
      <c r="Q1742" s="4" t="s">
        <v>26</v>
      </c>
      <c r="R1742" s="4">
        <v>0</v>
      </c>
      <c r="S1742" s="6">
        <v>0</v>
      </c>
      <c r="T1742" s="6">
        <v>66</v>
      </c>
      <c r="U1742" s="6">
        <v>109</v>
      </c>
      <c r="V1742" s="6">
        <f>IF(ISERROR(VLOOKUP($S$1742,'TAR FIN'!$A$1:$O$116,15,0)),0,VLOOKUP($S$1742,'TAR FIN'!$A$1:$O$116,15,0))</f>
        <v>0</v>
      </c>
      <c r="W1742" s="6">
        <f>IF(ISERROR(VLOOKUP($T$1742,'TAR FIN'!$A$1:$O$116,15,0)),0,VLOOKUP($T$1742,'TAR FIN'!$A$1:$O$116,15,0))</f>
        <v>881.18</v>
      </c>
      <c r="X1742" s="6">
        <f>IF(ISERROR(VLOOKUP($U$1742,'TAR FIN'!$A$1:$O$116,15,0)),0,VLOOKUP($U$1742,'TAR FIN'!$A$1:$O$116,15,0))</f>
        <v>496.15</v>
      </c>
      <c r="Y1742" s="6"/>
      <c r="Z1742" s="6">
        <f ca="1">('TUSD BE'!$AM$68+'TUSD BF'!$AM$68+'TUSD CVA'!$AM$68)*1</f>
        <v>1058.5766451511297</v>
      </c>
      <c r="AA1742" s="6">
        <f>('TE BE'!$AB$39+'TE BF'!$AB$39+'TE CVA'!$AB$39)*1</f>
        <v>510.04993331215127</v>
      </c>
      <c r="AB1742" s="6">
        <f>$K$1742*$V$1742</f>
        <v>0</v>
      </c>
      <c r="AC1742" s="6">
        <f>$M$1742*$W$1742</f>
        <v>191.21606</v>
      </c>
      <c r="AD1742" s="6">
        <f>$O$1742*$X$1742</f>
        <v>107.66454999999999</v>
      </c>
      <c r="AE1742" s="6">
        <f>$K$1742*$Y$1742</f>
        <v>0</v>
      </c>
      <c r="AF1742" s="6">
        <f ca="1">$M$1742*$Z$1742</f>
        <v>229.71113199779515</v>
      </c>
      <c r="AG1742" s="6">
        <f>$O$1742*$AA$1742</f>
        <v>110.68083552873682</v>
      </c>
    </row>
    <row r="1743" spans="1:33" ht="11.25" customHeight="1" x14ac:dyDescent="0.25">
      <c r="A1743" s="4" t="s">
        <v>21</v>
      </c>
      <c r="B1743" s="4" t="s">
        <v>37</v>
      </c>
      <c r="C1743" s="4" t="s">
        <v>33</v>
      </c>
      <c r="D1743" s="4" t="s">
        <v>43</v>
      </c>
      <c r="E1743" s="4" t="s">
        <v>25</v>
      </c>
      <c r="F1743" s="4" t="s">
        <v>25</v>
      </c>
      <c r="G1743" s="4" t="s">
        <v>25</v>
      </c>
      <c r="H1743" s="4" t="s">
        <v>34</v>
      </c>
      <c r="I1743" s="5">
        <v>44378</v>
      </c>
      <c r="J1743" s="6">
        <v>0</v>
      </c>
      <c r="K1743" s="6">
        <v>0</v>
      </c>
      <c r="L1743" s="6">
        <v>2.024</v>
      </c>
      <c r="M1743" s="6">
        <v>2.024</v>
      </c>
      <c r="N1743" s="6">
        <v>2.024</v>
      </c>
      <c r="O1743" s="6">
        <v>2.024</v>
      </c>
      <c r="P1743" s="6">
        <v>0</v>
      </c>
      <c r="Q1743" s="4" t="s">
        <v>26</v>
      </c>
      <c r="R1743" s="4">
        <v>0</v>
      </c>
      <c r="S1743" s="6">
        <v>0</v>
      </c>
      <c r="T1743" s="6">
        <v>66</v>
      </c>
      <c r="U1743" s="6">
        <v>109</v>
      </c>
      <c r="V1743" s="6">
        <f>IF(ISERROR(VLOOKUP($S$1743,'TAR FIN'!$A$1:$O$116,15,0)),0,VLOOKUP($S$1743,'TAR FIN'!$A$1:$O$116,15,0))</f>
        <v>0</v>
      </c>
      <c r="W1743" s="6">
        <f>IF(ISERROR(VLOOKUP($T$1743,'TAR FIN'!$A$1:$O$116,15,0)),0,VLOOKUP($T$1743,'TAR FIN'!$A$1:$O$116,15,0))</f>
        <v>881.18</v>
      </c>
      <c r="X1743" s="6">
        <f>IF(ISERROR(VLOOKUP($U$1743,'TAR FIN'!$A$1:$O$116,15,0)),0,VLOOKUP($U$1743,'TAR FIN'!$A$1:$O$116,15,0))</f>
        <v>496.15</v>
      </c>
      <c r="Y1743" s="6"/>
      <c r="Z1743" s="6">
        <f ca="1">('TUSD BE'!$AM$68+'TUSD BF'!$AM$68+'TUSD CVA'!$AM$68)*1</f>
        <v>1058.5766451511297</v>
      </c>
      <c r="AA1743" s="6">
        <f>('TE BE'!$AB$39+'TE BF'!$AB$39+'TE CVA'!$AB$39)*1</f>
        <v>510.04993331215127</v>
      </c>
      <c r="AB1743" s="6">
        <f>$K$1743*$V$1743</f>
        <v>0</v>
      </c>
      <c r="AC1743" s="6">
        <f>$M$1743*$W$1743</f>
        <v>1783.5083199999999</v>
      </c>
      <c r="AD1743" s="6">
        <f>$O$1743*$X$1743</f>
        <v>1004.2076</v>
      </c>
      <c r="AE1743" s="6">
        <f>$K$1743*$Y$1743</f>
        <v>0</v>
      </c>
      <c r="AF1743" s="6">
        <f ca="1">$M$1743*$Z$1743</f>
        <v>2142.5591297858864</v>
      </c>
      <c r="AG1743" s="6">
        <f>$O$1743*$AA$1743</f>
        <v>1032.3410650237943</v>
      </c>
    </row>
    <row r="1744" spans="1:33" ht="11.25" customHeight="1" x14ac:dyDescent="0.25">
      <c r="A1744" s="4" t="s">
        <v>28</v>
      </c>
      <c r="B1744" s="4" t="s">
        <v>37</v>
      </c>
      <c r="C1744" s="4" t="s">
        <v>33</v>
      </c>
      <c r="D1744" s="4" t="s">
        <v>43</v>
      </c>
      <c r="E1744" s="4" t="s">
        <v>25</v>
      </c>
      <c r="F1744" s="4" t="s">
        <v>25</v>
      </c>
      <c r="G1744" s="4" t="s">
        <v>25</v>
      </c>
      <c r="H1744" s="4" t="s">
        <v>34</v>
      </c>
      <c r="I1744" s="5">
        <v>44378</v>
      </c>
      <c r="J1744" s="6">
        <v>0</v>
      </c>
      <c r="K1744" s="6">
        <v>0</v>
      </c>
      <c r="L1744" s="6">
        <v>0.22800000000000001</v>
      </c>
      <c r="M1744" s="6">
        <v>0.22800000000000001</v>
      </c>
      <c r="N1744" s="6">
        <v>0.22800000000000001</v>
      </c>
      <c r="O1744" s="6">
        <v>0.22800000000000001</v>
      </c>
      <c r="P1744" s="6">
        <v>0</v>
      </c>
      <c r="Q1744" s="4" t="s">
        <v>26</v>
      </c>
      <c r="R1744" s="4">
        <v>0</v>
      </c>
      <c r="S1744" s="6">
        <v>0</v>
      </c>
      <c r="T1744" s="6">
        <v>66</v>
      </c>
      <c r="U1744" s="6">
        <v>109</v>
      </c>
      <c r="V1744" s="6">
        <f>IF(ISERROR(VLOOKUP($S$1744,'TAR FIN'!$A$1:$O$116,15,0)),0,VLOOKUP($S$1744,'TAR FIN'!$A$1:$O$116,15,0))</f>
        <v>0</v>
      </c>
      <c r="W1744" s="6">
        <f>IF(ISERROR(VLOOKUP($T$1744,'TAR FIN'!$A$1:$O$116,15,0)),0,VLOOKUP($T$1744,'TAR FIN'!$A$1:$O$116,15,0))</f>
        <v>881.18</v>
      </c>
      <c r="X1744" s="6">
        <f>IF(ISERROR(VLOOKUP($U$1744,'TAR FIN'!$A$1:$O$116,15,0)),0,VLOOKUP($U$1744,'TAR FIN'!$A$1:$O$116,15,0))</f>
        <v>496.15</v>
      </c>
      <c r="Y1744" s="6"/>
      <c r="Z1744" s="6">
        <f ca="1">('TUSD BE'!$AM$68+'TUSD BF'!$AM$68+'TUSD CVA'!$AM$68)*1</f>
        <v>1058.5766451511297</v>
      </c>
      <c r="AA1744" s="6">
        <f>('TE BE'!$AB$39+'TE BF'!$AB$39+'TE CVA'!$AB$39)*1</f>
        <v>510.04993331215127</v>
      </c>
      <c r="AB1744" s="6">
        <f>$K$1744*$V$1744</f>
        <v>0</v>
      </c>
      <c r="AC1744" s="6">
        <f>$M$1744*$W$1744</f>
        <v>200.90904</v>
      </c>
      <c r="AD1744" s="6">
        <f>$O$1744*$X$1744</f>
        <v>113.12219999999999</v>
      </c>
      <c r="AE1744" s="6">
        <f>$K$1744*$Y$1744</f>
        <v>0</v>
      </c>
      <c r="AF1744" s="6">
        <f ca="1">$M$1744*$Z$1744</f>
        <v>241.35547509445757</v>
      </c>
      <c r="AG1744" s="6">
        <f>$O$1744*$AA$1744</f>
        <v>116.29138479517049</v>
      </c>
    </row>
    <row r="1745" spans="1:33" ht="11.25" customHeight="1" x14ac:dyDescent="0.25">
      <c r="A1745" s="4" t="s">
        <v>21</v>
      </c>
      <c r="B1745" s="4" t="s">
        <v>37</v>
      </c>
      <c r="C1745" s="4" t="s">
        <v>33</v>
      </c>
      <c r="D1745" s="4" t="s">
        <v>43</v>
      </c>
      <c r="E1745" s="4" t="s">
        <v>25</v>
      </c>
      <c r="F1745" s="4" t="s">
        <v>25</v>
      </c>
      <c r="G1745" s="4" t="s">
        <v>25</v>
      </c>
      <c r="H1745" s="4" t="s">
        <v>34</v>
      </c>
      <c r="I1745" s="5">
        <v>44409</v>
      </c>
      <c r="J1745" s="6">
        <v>0</v>
      </c>
      <c r="K1745" s="6">
        <v>0</v>
      </c>
      <c r="L1745" s="6">
        <v>2.0680000000000001</v>
      </c>
      <c r="M1745" s="6">
        <v>2.0680000000000001</v>
      </c>
      <c r="N1745" s="6">
        <v>2.0680000000000001</v>
      </c>
      <c r="O1745" s="6">
        <v>2.0680000000000001</v>
      </c>
      <c r="P1745" s="6">
        <v>0</v>
      </c>
      <c r="Q1745" s="4" t="s">
        <v>26</v>
      </c>
      <c r="R1745" s="4">
        <v>0</v>
      </c>
      <c r="S1745" s="6">
        <v>0</v>
      </c>
      <c r="T1745" s="6">
        <v>66</v>
      </c>
      <c r="U1745" s="6">
        <v>109</v>
      </c>
      <c r="V1745" s="6">
        <f>IF(ISERROR(VLOOKUP($S$1745,'TAR FIN'!$A$1:$O$116,15,0)),0,VLOOKUP($S$1745,'TAR FIN'!$A$1:$O$116,15,0))</f>
        <v>0</v>
      </c>
      <c r="W1745" s="6">
        <f>IF(ISERROR(VLOOKUP($T$1745,'TAR FIN'!$A$1:$O$116,15,0)),0,VLOOKUP($T$1745,'TAR FIN'!$A$1:$O$116,15,0))</f>
        <v>881.18</v>
      </c>
      <c r="X1745" s="6">
        <f>IF(ISERROR(VLOOKUP($U$1745,'TAR FIN'!$A$1:$O$116,15,0)),0,VLOOKUP($U$1745,'TAR FIN'!$A$1:$O$116,15,0))</f>
        <v>496.15</v>
      </c>
      <c r="Y1745" s="6"/>
      <c r="Z1745" s="6">
        <f ca="1">('TUSD BE'!$AM$68+'TUSD BF'!$AM$68+'TUSD CVA'!$AM$68)*1</f>
        <v>1058.5766451511297</v>
      </c>
      <c r="AA1745" s="6">
        <f>('TE BE'!$AB$39+'TE BF'!$AB$39+'TE CVA'!$AB$39)*1</f>
        <v>510.04993331215127</v>
      </c>
      <c r="AB1745" s="6">
        <f>$K$1745*$V$1745</f>
        <v>0</v>
      </c>
      <c r="AC1745" s="6">
        <f>$M$1745*$W$1745</f>
        <v>1822.28024</v>
      </c>
      <c r="AD1745" s="6">
        <f>$O$1745*$X$1745</f>
        <v>1026.0382</v>
      </c>
      <c r="AE1745" s="6">
        <f>$K$1745*$Y$1745</f>
        <v>0</v>
      </c>
      <c r="AF1745" s="6">
        <f ca="1">$M$1745*$Z$1745</f>
        <v>2189.1365021725364</v>
      </c>
      <c r="AG1745" s="6">
        <f>$O$1745*$AA$1745</f>
        <v>1054.7832620895288</v>
      </c>
    </row>
    <row r="1746" spans="1:33" ht="11.25" customHeight="1" x14ac:dyDescent="0.25">
      <c r="A1746" s="4" t="s">
        <v>28</v>
      </c>
      <c r="B1746" s="4" t="s">
        <v>37</v>
      </c>
      <c r="C1746" s="4" t="s">
        <v>33</v>
      </c>
      <c r="D1746" s="4" t="s">
        <v>43</v>
      </c>
      <c r="E1746" s="4" t="s">
        <v>25</v>
      </c>
      <c r="F1746" s="4" t="s">
        <v>25</v>
      </c>
      <c r="G1746" s="4" t="s">
        <v>25</v>
      </c>
      <c r="H1746" s="4" t="s">
        <v>34</v>
      </c>
      <c r="I1746" s="5">
        <v>44409</v>
      </c>
      <c r="J1746" s="6">
        <v>0</v>
      </c>
      <c r="K1746" s="6">
        <v>0</v>
      </c>
      <c r="L1746" s="6">
        <v>0.22800000000000001</v>
      </c>
      <c r="M1746" s="6">
        <v>0.22800000000000001</v>
      </c>
      <c r="N1746" s="6">
        <v>0.22800000000000001</v>
      </c>
      <c r="O1746" s="6">
        <v>0.22800000000000001</v>
      </c>
      <c r="P1746" s="6">
        <v>0</v>
      </c>
      <c r="Q1746" s="4" t="s">
        <v>26</v>
      </c>
      <c r="R1746" s="4">
        <v>0</v>
      </c>
      <c r="S1746" s="6">
        <v>0</v>
      </c>
      <c r="T1746" s="6">
        <v>66</v>
      </c>
      <c r="U1746" s="6">
        <v>109</v>
      </c>
      <c r="V1746" s="6">
        <f>IF(ISERROR(VLOOKUP($S$1746,'TAR FIN'!$A$1:$O$116,15,0)),0,VLOOKUP($S$1746,'TAR FIN'!$A$1:$O$116,15,0))</f>
        <v>0</v>
      </c>
      <c r="W1746" s="6">
        <f>IF(ISERROR(VLOOKUP($T$1746,'TAR FIN'!$A$1:$O$116,15,0)),0,VLOOKUP($T$1746,'TAR FIN'!$A$1:$O$116,15,0))</f>
        <v>881.18</v>
      </c>
      <c r="X1746" s="6">
        <f>IF(ISERROR(VLOOKUP($U$1746,'TAR FIN'!$A$1:$O$116,15,0)),0,VLOOKUP($U$1746,'TAR FIN'!$A$1:$O$116,15,0))</f>
        <v>496.15</v>
      </c>
      <c r="Y1746" s="6"/>
      <c r="Z1746" s="6">
        <f ca="1">('TUSD BE'!$AM$68+'TUSD BF'!$AM$68+'TUSD CVA'!$AM$68)*1</f>
        <v>1058.5766451511297</v>
      </c>
      <c r="AA1746" s="6">
        <f>('TE BE'!$AB$39+'TE BF'!$AB$39+'TE CVA'!$AB$39)*1</f>
        <v>510.04993331215127</v>
      </c>
      <c r="AB1746" s="6">
        <f>$K$1746*$V$1746</f>
        <v>0</v>
      </c>
      <c r="AC1746" s="6">
        <f>$M$1746*$W$1746</f>
        <v>200.90904</v>
      </c>
      <c r="AD1746" s="6">
        <f>$O$1746*$X$1746</f>
        <v>113.12219999999999</v>
      </c>
      <c r="AE1746" s="6">
        <f>$K$1746*$Y$1746</f>
        <v>0</v>
      </c>
      <c r="AF1746" s="6">
        <f ca="1">$M$1746*$Z$1746</f>
        <v>241.35547509445757</v>
      </c>
      <c r="AG1746" s="6">
        <f>$O$1746*$AA$1746</f>
        <v>116.29138479517049</v>
      </c>
    </row>
    <row r="1747" spans="1:33" ht="11.25" customHeight="1" x14ac:dyDescent="0.25">
      <c r="A1747" s="4" t="s">
        <v>21</v>
      </c>
      <c r="B1747" s="4" t="s">
        <v>37</v>
      </c>
      <c r="C1747" s="4" t="s">
        <v>33</v>
      </c>
      <c r="D1747" s="4" t="s">
        <v>43</v>
      </c>
      <c r="E1747" s="4" t="s">
        <v>25</v>
      </c>
      <c r="F1747" s="4" t="s">
        <v>25</v>
      </c>
      <c r="G1747" s="4" t="s">
        <v>25</v>
      </c>
      <c r="H1747" s="4" t="s">
        <v>34</v>
      </c>
      <c r="I1747" s="5">
        <v>44440</v>
      </c>
      <c r="J1747" s="6">
        <v>0</v>
      </c>
      <c r="K1747" s="6">
        <v>0</v>
      </c>
      <c r="L1747" s="6">
        <v>2.1429999999999998</v>
      </c>
      <c r="M1747" s="6">
        <v>2.1429999999999998</v>
      </c>
      <c r="N1747" s="6">
        <v>2.1429999999999998</v>
      </c>
      <c r="O1747" s="6">
        <v>2.1429999999999998</v>
      </c>
      <c r="P1747" s="6">
        <v>0</v>
      </c>
      <c r="Q1747" s="4" t="s">
        <v>26</v>
      </c>
      <c r="R1747" s="4">
        <v>0</v>
      </c>
      <c r="S1747" s="6">
        <v>0</v>
      </c>
      <c r="T1747" s="6">
        <v>66</v>
      </c>
      <c r="U1747" s="6">
        <v>109</v>
      </c>
      <c r="V1747" s="6">
        <f>IF(ISERROR(VLOOKUP($S$1747,'TAR FIN'!$A$1:$O$116,15,0)),0,VLOOKUP($S$1747,'TAR FIN'!$A$1:$O$116,15,0))</f>
        <v>0</v>
      </c>
      <c r="W1747" s="6">
        <f>IF(ISERROR(VLOOKUP($T$1747,'TAR FIN'!$A$1:$O$116,15,0)),0,VLOOKUP($T$1747,'TAR FIN'!$A$1:$O$116,15,0))</f>
        <v>881.18</v>
      </c>
      <c r="X1747" s="6">
        <f>IF(ISERROR(VLOOKUP($U$1747,'TAR FIN'!$A$1:$O$116,15,0)),0,VLOOKUP($U$1747,'TAR FIN'!$A$1:$O$116,15,0))</f>
        <v>496.15</v>
      </c>
      <c r="Y1747" s="6"/>
      <c r="Z1747" s="6">
        <f ca="1">('TUSD BE'!$AM$68+'TUSD BF'!$AM$68+'TUSD CVA'!$AM$68)*1</f>
        <v>1058.5766451511297</v>
      </c>
      <c r="AA1747" s="6">
        <f>('TE BE'!$AB$39+'TE BF'!$AB$39+'TE CVA'!$AB$39)*1</f>
        <v>510.04993331215127</v>
      </c>
      <c r="AB1747" s="6">
        <f>$K$1747*$V$1747</f>
        <v>0</v>
      </c>
      <c r="AC1747" s="6">
        <f>$M$1747*$W$1747</f>
        <v>1888.3687399999997</v>
      </c>
      <c r="AD1747" s="6">
        <f>$O$1747*$X$1747</f>
        <v>1063.2494499999998</v>
      </c>
      <c r="AE1747" s="6">
        <f>$K$1747*$Y$1747</f>
        <v>0</v>
      </c>
      <c r="AF1747" s="6">
        <f ca="1">$M$1747*$Z$1747</f>
        <v>2268.5297505588705</v>
      </c>
      <c r="AG1747" s="6">
        <f>$O$1747*$AA$1747</f>
        <v>1093.0370070879401</v>
      </c>
    </row>
    <row r="1748" spans="1:33" ht="11.25" customHeight="1" x14ac:dyDescent="0.25">
      <c r="A1748" s="4" t="s">
        <v>28</v>
      </c>
      <c r="B1748" s="4" t="s">
        <v>37</v>
      </c>
      <c r="C1748" s="4" t="s">
        <v>33</v>
      </c>
      <c r="D1748" s="4" t="s">
        <v>43</v>
      </c>
      <c r="E1748" s="4" t="s">
        <v>25</v>
      </c>
      <c r="F1748" s="4" t="s">
        <v>25</v>
      </c>
      <c r="G1748" s="4" t="s">
        <v>25</v>
      </c>
      <c r="H1748" s="4" t="s">
        <v>34</v>
      </c>
      <c r="I1748" s="5">
        <v>44440</v>
      </c>
      <c r="J1748" s="6">
        <v>0</v>
      </c>
      <c r="K1748" s="6">
        <v>0</v>
      </c>
      <c r="L1748" s="6">
        <v>0.251</v>
      </c>
      <c r="M1748" s="6">
        <v>0.251</v>
      </c>
      <c r="N1748" s="6">
        <v>0.251</v>
      </c>
      <c r="O1748" s="6">
        <v>0.251</v>
      </c>
      <c r="P1748" s="6">
        <v>0</v>
      </c>
      <c r="Q1748" s="4" t="s">
        <v>26</v>
      </c>
      <c r="R1748" s="4">
        <v>0</v>
      </c>
      <c r="S1748" s="6">
        <v>0</v>
      </c>
      <c r="T1748" s="6">
        <v>66</v>
      </c>
      <c r="U1748" s="6">
        <v>109</v>
      </c>
      <c r="V1748" s="6">
        <f>IF(ISERROR(VLOOKUP($S$1748,'TAR FIN'!$A$1:$O$116,15,0)),0,VLOOKUP($S$1748,'TAR FIN'!$A$1:$O$116,15,0))</f>
        <v>0</v>
      </c>
      <c r="W1748" s="6">
        <f>IF(ISERROR(VLOOKUP($T$1748,'TAR FIN'!$A$1:$O$116,15,0)),0,VLOOKUP($T$1748,'TAR FIN'!$A$1:$O$116,15,0))</f>
        <v>881.18</v>
      </c>
      <c r="X1748" s="6">
        <f>IF(ISERROR(VLOOKUP($U$1748,'TAR FIN'!$A$1:$O$116,15,0)),0,VLOOKUP($U$1748,'TAR FIN'!$A$1:$O$116,15,0))</f>
        <v>496.15</v>
      </c>
      <c r="Y1748" s="6"/>
      <c r="Z1748" s="6">
        <f ca="1">('TUSD BE'!$AM$68+'TUSD BF'!$AM$68+'TUSD CVA'!$AM$68)*1</f>
        <v>1058.5766451511297</v>
      </c>
      <c r="AA1748" s="6">
        <f>('TE BE'!$AB$39+'TE BF'!$AB$39+'TE CVA'!$AB$39)*1</f>
        <v>510.04993331215127</v>
      </c>
      <c r="AB1748" s="6">
        <f>$K$1748*$V$1748</f>
        <v>0</v>
      </c>
      <c r="AC1748" s="6">
        <f>$M$1748*$W$1748</f>
        <v>221.17617999999999</v>
      </c>
      <c r="AD1748" s="6">
        <f>$O$1748*$X$1748</f>
        <v>124.53364999999999</v>
      </c>
      <c r="AE1748" s="6">
        <f>$K$1748*$Y$1748</f>
        <v>0</v>
      </c>
      <c r="AF1748" s="6">
        <f ca="1">$M$1748*$Z$1748</f>
        <v>265.70273793293353</v>
      </c>
      <c r="AG1748" s="6">
        <f>$O$1748*$AA$1748</f>
        <v>128.02253326134996</v>
      </c>
    </row>
    <row r="1749" spans="1:33" ht="11.25" customHeight="1" x14ac:dyDescent="0.25">
      <c r="A1749" s="4" t="s">
        <v>21</v>
      </c>
      <c r="B1749" s="4" t="s">
        <v>37</v>
      </c>
      <c r="C1749" s="4" t="s">
        <v>33</v>
      </c>
      <c r="D1749" s="4" t="s">
        <v>43</v>
      </c>
      <c r="E1749" s="4" t="s">
        <v>25</v>
      </c>
      <c r="F1749" s="4" t="s">
        <v>25</v>
      </c>
      <c r="G1749" s="4" t="s">
        <v>25</v>
      </c>
      <c r="H1749" s="4" t="s">
        <v>34</v>
      </c>
      <c r="I1749" s="5">
        <v>44470</v>
      </c>
      <c r="J1749" s="6">
        <v>0</v>
      </c>
      <c r="K1749" s="6">
        <v>0</v>
      </c>
      <c r="L1749" s="6">
        <v>2.1869999999999998</v>
      </c>
      <c r="M1749" s="6">
        <v>2.1869999999999998</v>
      </c>
      <c r="N1749" s="6">
        <v>2.1869999999999998</v>
      </c>
      <c r="O1749" s="6">
        <v>2.1869999999999998</v>
      </c>
      <c r="P1749" s="6">
        <v>0</v>
      </c>
      <c r="Q1749" s="4" t="s">
        <v>26</v>
      </c>
      <c r="R1749" s="4">
        <v>0</v>
      </c>
      <c r="S1749" s="6">
        <v>0</v>
      </c>
      <c r="T1749" s="6">
        <v>66</v>
      </c>
      <c r="U1749" s="6">
        <v>109</v>
      </c>
      <c r="V1749" s="6">
        <f>IF(ISERROR(VLOOKUP($S$1749,'TAR FIN'!$A$1:$O$116,15,0)),0,VLOOKUP($S$1749,'TAR FIN'!$A$1:$O$116,15,0))</f>
        <v>0</v>
      </c>
      <c r="W1749" s="6">
        <f>IF(ISERROR(VLOOKUP($T$1749,'TAR FIN'!$A$1:$O$116,15,0)),0,VLOOKUP($T$1749,'TAR FIN'!$A$1:$O$116,15,0))</f>
        <v>881.18</v>
      </c>
      <c r="X1749" s="6">
        <f>IF(ISERROR(VLOOKUP($U$1749,'TAR FIN'!$A$1:$O$116,15,0)),0,VLOOKUP($U$1749,'TAR FIN'!$A$1:$O$116,15,0))</f>
        <v>496.15</v>
      </c>
      <c r="Y1749" s="6"/>
      <c r="Z1749" s="6">
        <f ca="1">('TUSD BE'!$AM$68+'TUSD BF'!$AM$68+'TUSD CVA'!$AM$68)*1</f>
        <v>1058.5766451511297</v>
      </c>
      <c r="AA1749" s="6">
        <f>('TE BE'!$AB$39+'TE BF'!$AB$39+'TE CVA'!$AB$39)*1</f>
        <v>510.04993331215127</v>
      </c>
      <c r="AB1749" s="6">
        <f>$K$1749*$V$1749</f>
        <v>0</v>
      </c>
      <c r="AC1749" s="6">
        <f>$M$1749*$W$1749</f>
        <v>1927.1406599999998</v>
      </c>
      <c r="AD1749" s="6">
        <f>$O$1749*$X$1749</f>
        <v>1085.0800499999998</v>
      </c>
      <c r="AE1749" s="6">
        <f>$K$1749*$Y$1749</f>
        <v>0</v>
      </c>
      <c r="AF1749" s="6">
        <f ca="1">$M$1749*$Z$1749</f>
        <v>2315.1071229455206</v>
      </c>
      <c r="AG1749" s="6">
        <f>$O$1749*$AA$1749</f>
        <v>1115.4792041536748</v>
      </c>
    </row>
    <row r="1750" spans="1:33" ht="11.25" customHeight="1" x14ac:dyDescent="0.25">
      <c r="A1750" s="4" t="s">
        <v>28</v>
      </c>
      <c r="B1750" s="4" t="s">
        <v>37</v>
      </c>
      <c r="C1750" s="4" t="s">
        <v>33</v>
      </c>
      <c r="D1750" s="4" t="s">
        <v>43</v>
      </c>
      <c r="E1750" s="4" t="s">
        <v>25</v>
      </c>
      <c r="F1750" s="4" t="s">
        <v>25</v>
      </c>
      <c r="G1750" s="4" t="s">
        <v>25</v>
      </c>
      <c r="H1750" s="4" t="s">
        <v>34</v>
      </c>
      <c r="I1750" s="5">
        <v>44470</v>
      </c>
      <c r="J1750" s="6">
        <v>0</v>
      </c>
      <c r="K1750" s="6">
        <v>0</v>
      </c>
      <c r="L1750" s="6">
        <v>0.249</v>
      </c>
      <c r="M1750" s="6">
        <v>0.249</v>
      </c>
      <c r="N1750" s="6">
        <v>0.249</v>
      </c>
      <c r="O1750" s="6">
        <v>0.249</v>
      </c>
      <c r="P1750" s="6">
        <v>0</v>
      </c>
      <c r="Q1750" s="4" t="s">
        <v>26</v>
      </c>
      <c r="R1750" s="4">
        <v>0</v>
      </c>
      <c r="S1750" s="6">
        <v>0</v>
      </c>
      <c r="T1750" s="6">
        <v>66</v>
      </c>
      <c r="U1750" s="6">
        <v>109</v>
      </c>
      <c r="V1750" s="6">
        <f>IF(ISERROR(VLOOKUP($S$1750,'TAR FIN'!$A$1:$O$116,15,0)),0,VLOOKUP($S$1750,'TAR FIN'!$A$1:$O$116,15,0))</f>
        <v>0</v>
      </c>
      <c r="W1750" s="6">
        <f>IF(ISERROR(VLOOKUP($T$1750,'TAR FIN'!$A$1:$O$116,15,0)),0,VLOOKUP($T$1750,'TAR FIN'!$A$1:$O$116,15,0))</f>
        <v>881.18</v>
      </c>
      <c r="X1750" s="6">
        <f>IF(ISERROR(VLOOKUP($U$1750,'TAR FIN'!$A$1:$O$116,15,0)),0,VLOOKUP($U$1750,'TAR FIN'!$A$1:$O$116,15,0))</f>
        <v>496.15</v>
      </c>
      <c r="Y1750" s="6"/>
      <c r="Z1750" s="6">
        <f ca="1">('TUSD BE'!$AM$68+'TUSD BF'!$AM$68+'TUSD CVA'!$AM$68)*1</f>
        <v>1058.5766451511297</v>
      </c>
      <c r="AA1750" s="6">
        <f>('TE BE'!$AB$39+'TE BF'!$AB$39+'TE CVA'!$AB$39)*1</f>
        <v>510.04993331215127</v>
      </c>
      <c r="AB1750" s="6">
        <f>$K$1750*$V$1750</f>
        <v>0</v>
      </c>
      <c r="AC1750" s="6">
        <f>$M$1750*$W$1750</f>
        <v>219.41381999999999</v>
      </c>
      <c r="AD1750" s="6">
        <f>$O$1750*$X$1750</f>
        <v>123.54134999999999</v>
      </c>
      <c r="AE1750" s="6">
        <f>$K$1750*$Y$1750</f>
        <v>0</v>
      </c>
      <c r="AF1750" s="6">
        <f ca="1">$M$1750*$Z$1750</f>
        <v>263.58558464263132</v>
      </c>
      <c r="AG1750" s="6">
        <f>$O$1750*$AA$1750</f>
        <v>127.00243339472567</v>
      </c>
    </row>
    <row r="1751" spans="1:33" ht="11.25" customHeight="1" x14ac:dyDescent="0.25">
      <c r="A1751" s="4" t="s">
        <v>21</v>
      </c>
      <c r="B1751" s="4" t="s">
        <v>37</v>
      </c>
      <c r="C1751" s="4" t="s">
        <v>33</v>
      </c>
      <c r="D1751" s="4" t="s">
        <v>43</v>
      </c>
      <c r="E1751" s="4" t="s">
        <v>25</v>
      </c>
      <c r="F1751" s="4" t="s">
        <v>25</v>
      </c>
      <c r="G1751" s="4" t="s">
        <v>25</v>
      </c>
      <c r="H1751" s="4" t="s">
        <v>34</v>
      </c>
      <c r="I1751" s="5">
        <v>44501</v>
      </c>
      <c r="J1751" s="6">
        <v>0</v>
      </c>
      <c r="K1751" s="6">
        <v>0</v>
      </c>
      <c r="L1751" s="6">
        <v>1.885</v>
      </c>
      <c r="M1751" s="6">
        <v>1.885</v>
      </c>
      <c r="N1751" s="6">
        <v>1.885</v>
      </c>
      <c r="O1751" s="6">
        <v>1.885</v>
      </c>
      <c r="P1751" s="6">
        <v>0</v>
      </c>
      <c r="Q1751" s="4" t="s">
        <v>26</v>
      </c>
      <c r="R1751" s="4">
        <v>0</v>
      </c>
      <c r="S1751" s="6">
        <v>0</v>
      </c>
      <c r="T1751" s="6">
        <v>66</v>
      </c>
      <c r="U1751" s="6">
        <v>109</v>
      </c>
      <c r="V1751" s="6">
        <f>IF(ISERROR(VLOOKUP($S$1751,'TAR FIN'!$A$1:$O$116,15,0)),0,VLOOKUP($S$1751,'TAR FIN'!$A$1:$O$116,15,0))</f>
        <v>0</v>
      </c>
      <c r="W1751" s="6">
        <f>IF(ISERROR(VLOOKUP($T$1751,'TAR FIN'!$A$1:$O$116,15,0)),0,VLOOKUP($T$1751,'TAR FIN'!$A$1:$O$116,15,0))</f>
        <v>881.18</v>
      </c>
      <c r="X1751" s="6">
        <f>IF(ISERROR(VLOOKUP($U$1751,'TAR FIN'!$A$1:$O$116,15,0)),0,VLOOKUP($U$1751,'TAR FIN'!$A$1:$O$116,15,0))</f>
        <v>496.15</v>
      </c>
      <c r="Y1751" s="6"/>
      <c r="Z1751" s="6">
        <f ca="1">('TUSD BE'!$AM$68+'TUSD BF'!$AM$68+'TUSD CVA'!$AM$68)*1</f>
        <v>1058.5766451511297</v>
      </c>
      <c r="AA1751" s="6">
        <f>('TE BE'!$AB$39+'TE BF'!$AB$39+'TE CVA'!$AB$39)*1</f>
        <v>510.04993331215127</v>
      </c>
      <c r="AB1751" s="6">
        <f>$K$1751*$V$1751</f>
        <v>0</v>
      </c>
      <c r="AC1751" s="6">
        <f>$M$1751*$W$1751</f>
        <v>1661.0242999999998</v>
      </c>
      <c r="AD1751" s="6">
        <f>$O$1751*$X$1751</f>
        <v>935.24275</v>
      </c>
      <c r="AE1751" s="6">
        <f>$K$1751*$Y$1751</f>
        <v>0</v>
      </c>
      <c r="AF1751" s="6">
        <f ca="1">$M$1751*$Z$1751</f>
        <v>1995.4169761098794</v>
      </c>
      <c r="AG1751" s="6">
        <f>$O$1751*$AA$1751</f>
        <v>961.44412429340514</v>
      </c>
    </row>
    <row r="1752" spans="1:33" ht="11.25" customHeight="1" x14ac:dyDescent="0.25">
      <c r="A1752" s="4" t="s">
        <v>28</v>
      </c>
      <c r="B1752" s="4" t="s">
        <v>37</v>
      </c>
      <c r="C1752" s="4" t="s">
        <v>33</v>
      </c>
      <c r="D1752" s="4" t="s">
        <v>43</v>
      </c>
      <c r="E1752" s="4" t="s">
        <v>25</v>
      </c>
      <c r="F1752" s="4" t="s">
        <v>25</v>
      </c>
      <c r="G1752" s="4" t="s">
        <v>25</v>
      </c>
      <c r="H1752" s="4" t="s">
        <v>34</v>
      </c>
      <c r="I1752" s="5">
        <v>44501</v>
      </c>
      <c r="J1752" s="6">
        <v>0</v>
      </c>
      <c r="K1752" s="6">
        <v>0</v>
      </c>
      <c r="L1752" s="6">
        <v>0.23899999999999999</v>
      </c>
      <c r="M1752" s="6">
        <v>0.23899999999999999</v>
      </c>
      <c r="N1752" s="6">
        <v>0.23899999999999999</v>
      </c>
      <c r="O1752" s="6">
        <v>0.23899999999999999</v>
      </c>
      <c r="P1752" s="6">
        <v>0</v>
      </c>
      <c r="Q1752" s="4" t="s">
        <v>26</v>
      </c>
      <c r="R1752" s="4">
        <v>0</v>
      </c>
      <c r="S1752" s="6">
        <v>0</v>
      </c>
      <c r="T1752" s="6">
        <v>66</v>
      </c>
      <c r="U1752" s="6">
        <v>109</v>
      </c>
      <c r="V1752" s="6">
        <f>IF(ISERROR(VLOOKUP($S$1752,'TAR FIN'!$A$1:$O$116,15,0)),0,VLOOKUP($S$1752,'TAR FIN'!$A$1:$O$116,15,0))</f>
        <v>0</v>
      </c>
      <c r="W1752" s="6">
        <f>IF(ISERROR(VLOOKUP($T$1752,'TAR FIN'!$A$1:$O$116,15,0)),0,VLOOKUP($T$1752,'TAR FIN'!$A$1:$O$116,15,0))</f>
        <v>881.18</v>
      </c>
      <c r="X1752" s="6">
        <f>IF(ISERROR(VLOOKUP($U$1752,'TAR FIN'!$A$1:$O$116,15,0)),0,VLOOKUP($U$1752,'TAR FIN'!$A$1:$O$116,15,0))</f>
        <v>496.15</v>
      </c>
      <c r="Y1752" s="6"/>
      <c r="Z1752" s="6">
        <f ca="1">('TUSD BE'!$AM$68+'TUSD BF'!$AM$68+'TUSD CVA'!$AM$68)*1</f>
        <v>1058.5766451511297</v>
      </c>
      <c r="AA1752" s="6">
        <f>('TE BE'!$AB$39+'TE BF'!$AB$39+'TE CVA'!$AB$39)*1</f>
        <v>510.04993331215127</v>
      </c>
      <c r="AB1752" s="6">
        <f>$K$1752*$V$1752</f>
        <v>0</v>
      </c>
      <c r="AC1752" s="6">
        <f>$M$1752*$W$1752</f>
        <v>210.60201999999998</v>
      </c>
      <c r="AD1752" s="6">
        <f>$O$1752*$X$1752</f>
        <v>118.57984999999999</v>
      </c>
      <c r="AE1752" s="6">
        <f>$K$1752*$Y$1752</f>
        <v>0</v>
      </c>
      <c r="AF1752" s="6">
        <f ca="1">$M$1752*$Z$1752</f>
        <v>252.99981819112</v>
      </c>
      <c r="AG1752" s="6">
        <f>$O$1752*$AA$1752</f>
        <v>121.90193406160415</v>
      </c>
    </row>
    <row r="1753" spans="1:33" ht="11.25" customHeight="1" x14ac:dyDescent="0.25">
      <c r="A1753" s="4" t="s">
        <v>21</v>
      </c>
      <c r="B1753" s="4" t="s">
        <v>37</v>
      </c>
      <c r="C1753" s="4" t="s">
        <v>33</v>
      </c>
      <c r="D1753" s="4" t="s">
        <v>43</v>
      </c>
      <c r="E1753" s="4" t="s">
        <v>25</v>
      </c>
      <c r="F1753" s="4" t="s">
        <v>25</v>
      </c>
      <c r="G1753" s="4" t="s">
        <v>25</v>
      </c>
      <c r="H1753" s="4" t="s">
        <v>34</v>
      </c>
      <c r="I1753" s="5">
        <v>44531</v>
      </c>
      <c r="J1753" s="6">
        <v>0</v>
      </c>
      <c r="K1753" s="6">
        <v>0</v>
      </c>
      <c r="L1753" s="6">
        <v>2.6659999999999999</v>
      </c>
      <c r="M1753" s="6">
        <v>2.6659999999999999</v>
      </c>
      <c r="N1753" s="6">
        <v>2.6659999999999999</v>
      </c>
      <c r="O1753" s="6">
        <v>2.6659999999999999</v>
      </c>
      <c r="P1753" s="6">
        <v>0</v>
      </c>
      <c r="Q1753" s="4" t="s">
        <v>26</v>
      </c>
      <c r="R1753" s="4">
        <v>0</v>
      </c>
      <c r="S1753" s="6">
        <v>0</v>
      </c>
      <c r="T1753" s="6">
        <v>66</v>
      </c>
      <c r="U1753" s="6">
        <v>109</v>
      </c>
      <c r="V1753" s="6">
        <f>IF(ISERROR(VLOOKUP($S$1753,'TAR FIN'!$A$1:$O$116,15,0)),0,VLOOKUP($S$1753,'TAR FIN'!$A$1:$O$116,15,0))</f>
        <v>0</v>
      </c>
      <c r="W1753" s="6">
        <f>IF(ISERROR(VLOOKUP($T$1753,'TAR FIN'!$A$1:$O$116,15,0)),0,VLOOKUP($T$1753,'TAR FIN'!$A$1:$O$116,15,0))</f>
        <v>881.18</v>
      </c>
      <c r="X1753" s="6">
        <f>IF(ISERROR(VLOOKUP($U$1753,'TAR FIN'!$A$1:$O$116,15,0)),0,VLOOKUP($U$1753,'TAR FIN'!$A$1:$O$116,15,0))</f>
        <v>496.15</v>
      </c>
      <c r="Y1753" s="6"/>
      <c r="Z1753" s="6">
        <f ca="1">('TUSD BE'!$AM$68+'TUSD BF'!$AM$68+'TUSD CVA'!$AM$68)*1</f>
        <v>1058.5766451511297</v>
      </c>
      <c r="AA1753" s="6">
        <f>('TE BE'!$AB$39+'TE BF'!$AB$39+'TE CVA'!$AB$39)*1</f>
        <v>510.04993331215127</v>
      </c>
      <c r="AB1753" s="6">
        <f>$K$1753*$V$1753</f>
        <v>0</v>
      </c>
      <c r="AC1753" s="6">
        <f>$M$1753*$W$1753</f>
        <v>2349.22588</v>
      </c>
      <c r="AD1753" s="6">
        <f>$O$1753*$X$1753</f>
        <v>1322.7358999999999</v>
      </c>
      <c r="AE1753" s="6">
        <f>$K$1753*$Y$1753</f>
        <v>0</v>
      </c>
      <c r="AF1753" s="6">
        <f ca="1">$M$1753*$Z$1753</f>
        <v>2822.1653359729116</v>
      </c>
      <c r="AG1753" s="6">
        <f>$O$1753*$AA$1753</f>
        <v>1359.7931222101952</v>
      </c>
    </row>
    <row r="1754" spans="1:33" ht="11.25" customHeight="1" x14ac:dyDescent="0.25">
      <c r="A1754" s="4" t="s">
        <v>28</v>
      </c>
      <c r="B1754" s="4" t="s">
        <v>37</v>
      </c>
      <c r="C1754" s="4" t="s">
        <v>33</v>
      </c>
      <c r="D1754" s="4" t="s">
        <v>43</v>
      </c>
      <c r="E1754" s="4" t="s">
        <v>25</v>
      </c>
      <c r="F1754" s="4" t="s">
        <v>25</v>
      </c>
      <c r="G1754" s="4" t="s">
        <v>25</v>
      </c>
      <c r="H1754" s="4" t="s">
        <v>34</v>
      </c>
      <c r="I1754" s="5">
        <v>44531</v>
      </c>
      <c r="J1754" s="6">
        <v>0</v>
      </c>
      <c r="K1754" s="6">
        <v>0</v>
      </c>
      <c r="L1754" s="6">
        <v>0.26300000000000001</v>
      </c>
      <c r="M1754" s="6">
        <v>0.26300000000000001</v>
      </c>
      <c r="N1754" s="6">
        <v>0.26300000000000001</v>
      </c>
      <c r="O1754" s="6">
        <v>0.26300000000000001</v>
      </c>
      <c r="P1754" s="6">
        <v>0</v>
      </c>
      <c r="Q1754" s="4" t="s">
        <v>26</v>
      </c>
      <c r="R1754" s="4">
        <v>0</v>
      </c>
      <c r="S1754" s="6">
        <v>0</v>
      </c>
      <c r="T1754" s="6">
        <v>66</v>
      </c>
      <c r="U1754" s="6">
        <v>109</v>
      </c>
      <c r="V1754" s="6">
        <f>IF(ISERROR(VLOOKUP($S$1754,'TAR FIN'!$A$1:$O$116,15,0)),0,VLOOKUP($S$1754,'TAR FIN'!$A$1:$O$116,15,0))</f>
        <v>0</v>
      </c>
      <c r="W1754" s="6">
        <f>IF(ISERROR(VLOOKUP($T$1754,'TAR FIN'!$A$1:$O$116,15,0)),0,VLOOKUP($T$1754,'TAR FIN'!$A$1:$O$116,15,0))</f>
        <v>881.18</v>
      </c>
      <c r="X1754" s="6">
        <f>IF(ISERROR(VLOOKUP($U$1754,'TAR FIN'!$A$1:$O$116,15,0)),0,VLOOKUP($U$1754,'TAR FIN'!$A$1:$O$116,15,0))</f>
        <v>496.15</v>
      </c>
      <c r="Y1754" s="6"/>
      <c r="Z1754" s="6">
        <f ca="1">('TUSD BE'!$AM$68+'TUSD BF'!$AM$68+'TUSD CVA'!$AM$68)*1</f>
        <v>1058.5766451511297</v>
      </c>
      <c r="AA1754" s="6">
        <f>('TE BE'!$AB$39+'TE BF'!$AB$39+'TE CVA'!$AB$39)*1</f>
        <v>510.04993331215127</v>
      </c>
      <c r="AB1754" s="6">
        <f>$K$1754*$V$1754</f>
        <v>0</v>
      </c>
      <c r="AC1754" s="6">
        <f>$M$1754*$W$1754</f>
        <v>231.75033999999999</v>
      </c>
      <c r="AD1754" s="6">
        <f>$O$1754*$X$1754</f>
        <v>130.48745</v>
      </c>
      <c r="AE1754" s="6">
        <f>$K$1754*$Y$1754</f>
        <v>0</v>
      </c>
      <c r="AF1754" s="6">
        <f ca="1">$M$1754*$Z$1754</f>
        <v>278.40565767474715</v>
      </c>
      <c r="AG1754" s="6">
        <f>$O$1754*$AA$1754</f>
        <v>134.1431324610958</v>
      </c>
    </row>
    <row r="1755" spans="1:33" ht="11.25" customHeight="1" x14ac:dyDescent="0.25">
      <c r="A1755" s="4" t="s">
        <v>21</v>
      </c>
      <c r="B1755" s="4" t="s">
        <v>37</v>
      </c>
      <c r="C1755" s="4" t="s">
        <v>33</v>
      </c>
      <c r="D1755" s="4" t="s">
        <v>43</v>
      </c>
      <c r="E1755" s="4" t="s">
        <v>25</v>
      </c>
      <c r="F1755" s="4" t="s">
        <v>25</v>
      </c>
      <c r="G1755" s="4" t="s">
        <v>25</v>
      </c>
      <c r="H1755" s="4" t="s">
        <v>34</v>
      </c>
      <c r="I1755" s="5">
        <v>44562</v>
      </c>
      <c r="J1755" s="6">
        <v>0</v>
      </c>
      <c r="K1755" s="6">
        <v>0</v>
      </c>
      <c r="L1755" s="6">
        <v>2.41</v>
      </c>
      <c r="M1755" s="6">
        <v>2.41</v>
      </c>
      <c r="N1755" s="6">
        <v>2.41</v>
      </c>
      <c r="O1755" s="6">
        <v>2.41</v>
      </c>
      <c r="P1755" s="6">
        <v>0</v>
      </c>
      <c r="Q1755" s="4" t="s">
        <v>26</v>
      </c>
      <c r="R1755" s="4">
        <v>0</v>
      </c>
      <c r="S1755" s="6">
        <v>0</v>
      </c>
      <c r="T1755" s="6">
        <v>66</v>
      </c>
      <c r="U1755" s="6">
        <v>109</v>
      </c>
      <c r="V1755" s="6">
        <f>IF(ISERROR(VLOOKUP($S$1755,'TAR FIN'!$A$1:$O$116,15,0)),0,VLOOKUP($S$1755,'TAR FIN'!$A$1:$O$116,15,0))</f>
        <v>0</v>
      </c>
      <c r="W1755" s="6">
        <f>IF(ISERROR(VLOOKUP($T$1755,'TAR FIN'!$A$1:$O$116,15,0)),0,VLOOKUP($T$1755,'TAR FIN'!$A$1:$O$116,15,0))</f>
        <v>881.18</v>
      </c>
      <c r="X1755" s="6">
        <f>IF(ISERROR(VLOOKUP($U$1755,'TAR FIN'!$A$1:$O$116,15,0)),0,VLOOKUP($U$1755,'TAR FIN'!$A$1:$O$116,15,0))</f>
        <v>496.15</v>
      </c>
      <c r="Y1755" s="6"/>
      <c r="Z1755" s="6">
        <f ca="1">('TUSD BE'!$AM$68+'TUSD BF'!$AM$68+'TUSD CVA'!$AM$68)*1</f>
        <v>1058.5766451511297</v>
      </c>
      <c r="AA1755" s="6">
        <f>('TE BE'!$AB$39+'TE BF'!$AB$39+'TE CVA'!$AB$39)*1</f>
        <v>510.04993331215127</v>
      </c>
      <c r="AB1755" s="6">
        <f>$K$1755*$V$1755</f>
        <v>0</v>
      </c>
      <c r="AC1755" s="6">
        <f>$M$1755*$W$1755</f>
        <v>2123.6437999999998</v>
      </c>
      <c r="AD1755" s="6">
        <f>$O$1755*$X$1755</f>
        <v>1195.7215000000001</v>
      </c>
      <c r="AE1755" s="6">
        <f>$K$1755*$Y$1755</f>
        <v>0</v>
      </c>
      <c r="AF1755" s="6">
        <f ca="1">$M$1755*$Z$1755</f>
        <v>2551.1697148142225</v>
      </c>
      <c r="AG1755" s="6">
        <f>$O$1755*$AA$1755</f>
        <v>1229.2203392822846</v>
      </c>
    </row>
    <row r="1756" spans="1:33" ht="11.25" customHeight="1" x14ac:dyDescent="0.25">
      <c r="A1756" s="4" t="s">
        <v>27</v>
      </c>
      <c r="B1756" s="4" t="s">
        <v>37</v>
      </c>
      <c r="C1756" s="4" t="s">
        <v>33</v>
      </c>
      <c r="D1756" s="4" t="s">
        <v>43</v>
      </c>
      <c r="E1756" s="4" t="s">
        <v>25</v>
      </c>
      <c r="F1756" s="4" t="s">
        <v>25</v>
      </c>
      <c r="G1756" s="4" t="s">
        <v>25</v>
      </c>
      <c r="H1756" s="4" t="s">
        <v>34</v>
      </c>
      <c r="I1756" s="5">
        <v>44562</v>
      </c>
      <c r="J1756" s="6">
        <v>0</v>
      </c>
      <c r="K1756" s="6">
        <v>0</v>
      </c>
      <c r="L1756" s="6">
        <v>-0.53600000000000003</v>
      </c>
      <c r="M1756" s="6">
        <v>-0.53600000000000003</v>
      </c>
      <c r="N1756" s="6">
        <v>-0.53600000000000003</v>
      </c>
      <c r="O1756" s="6">
        <v>-0.53600000000000003</v>
      </c>
      <c r="P1756" s="6">
        <v>0</v>
      </c>
      <c r="Q1756" s="4" t="s">
        <v>26</v>
      </c>
      <c r="R1756" s="4">
        <v>0</v>
      </c>
      <c r="S1756" s="6">
        <v>0</v>
      </c>
      <c r="T1756" s="6">
        <v>66</v>
      </c>
      <c r="U1756" s="6">
        <v>109</v>
      </c>
      <c r="V1756" s="6">
        <f>IF(ISERROR(VLOOKUP($S$1756,'TAR FIN'!$A$1:$O$116,15,0)),0,VLOOKUP($S$1756,'TAR FIN'!$A$1:$O$116,15,0))</f>
        <v>0</v>
      </c>
      <c r="W1756" s="6">
        <f>IF(ISERROR(VLOOKUP($T$1756,'TAR FIN'!$A$1:$O$116,15,0)),0,VLOOKUP($T$1756,'TAR FIN'!$A$1:$O$116,15,0))</f>
        <v>881.18</v>
      </c>
      <c r="X1756" s="6">
        <f>IF(ISERROR(VLOOKUP($U$1756,'TAR FIN'!$A$1:$O$116,15,0)),0,VLOOKUP($U$1756,'TAR FIN'!$A$1:$O$116,15,0))</f>
        <v>496.15</v>
      </c>
      <c r="Y1756" s="6"/>
      <c r="Z1756" s="6">
        <f ca="1">('TUSD BE'!$AM$68+'TUSD BF'!$AM$68+'TUSD CVA'!$AM$68)*1</f>
        <v>1058.5766451511297</v>
      </c>
      <c r="AA1756" s="6">
        <f>('TE BE'!$AB$39+'TE BF'!$AB$39+'TE CVA'!$AB$39)*1</f>
        <v>510.04993331215127</v>
      </c>
      <c r="AB1756" s="6">
        <f>$K$1756*$V$1756</f>
        <v>0</v>
      </c>
      <c r="AC1756" s="6">
        <f>$M$1756*$W$1756</f>
        <v>-472.31247999999999</v>
      </c>
      <c r="AD1756" s="6">
        <f>$O$1756*$X$1756</f>
        <v>-265.93639999999999</v>
      </c>
      <c r="AE1756" s="6">
        <f>$K$1756*$Y$1756</f>
        <v>0</v>
      </c>
      <c r="AF1756" s="6">
        <f ca="1">$M$1756*$Z$1756</f>
        <v>-567.39708180100558</v>
      </c>
      <c r="AG1756" s="6">
        <f>$O$1756*$AA$1756</f>
        <v>-273.3867642553131</v>
      </c>
    </row>
    <row r="1757" spans="1:33" ht="11.25" customHeight="1" x14ac:dyDescent="0.25">
      <c r="A1757" s="4" t="s">
        <v>28</v>
      </c>
      <c r="B1757" s="4" t="s">
        <v>37</v>
      </c>
      <c r="C1757" s="4" t="s">
        <v>33</v>
      </c>
      <c r="D1757" s="4" t="s">
        <v>43</v>
      </c>
      <c r="E1757" s="4" t="s">
        <v>25</v>
      </c>
      <c r="F1757" s="4" t="s">
        <v>25</v>
      </c>
      <c r="G1757" s="4" t="s">
        <v>25</v>
      </c>
      <c r="H1757" s="4" t="s">
        <v>34</v>
      </c>
      <c r="I1757" s="5">
        <v>44562</v>
      </c>
      <c r="J1757" s="6">
        <v>0</v>
      </c>
      <c r="K1757" s="6">
        <v>0</v>
      </c>
      <c r="L1757" s="6">
        <v>0.27400000000000002</v>
      </c>
      <c r="M1757" s="6">
        <v>0.27400000000000002</v>
      </c>
      <c r="N1757" s="6">
        <v>0.27400000000000002</v>
      </c>
      <c r="O1757" s="6">
        <v>0.27400000000000002</v>
      </c>
      <c r="P1757" s="6">
        <v>0</v>
      </c>
      <c r="Q1757" s="4" t="s">
        <v>26</v>
      </c>
      <c r="R1757" s="4">
        <v>0</v>
      </c>
      <c r="S1757" s="6">
        <v>0</v>
      </c>
      <c r="T1757" s="6">
        <v>66</v>
      </c>
      <c r="U1757" s="6">
        <v>109</v>
      </c>
      <c r="V1757" s="6">
        <f>IF(ISERROR(VLOOKUP($S$1757,'TAR FIN'!$A$1:$O$116,15,0)),0,VLOOKUP($S$1757,'TAR FIN'!$A$1:$O$116,15,0))</f>
        <v>0</v>
      </c>
      <c r="W1757" s="6">
        <f>IF(ISERROR(VLOOKUP($T$1757,'TAR FIN'!$A$1:$O$116,15,0)),0,VLOOKUP($T$1757,'TAR FIN'!$A$1:$O$116,15,0))</f>
        <v>881.18</v>
      </c>
      <c r="X1757" s="6">
        <f>IF(ISERROR(VLOOKUP($U$1757,'TAR FIN'!$A$1:$O$116,15,0)),0,VLOOKUP($U$1757,'TAR FIN'!$A$1:$O$116,15,0))</f>
        <v>496.15</v>
      </c>
      <c r="Y1757" s="6"/>
      <c r="Z1757" s="6">
        <f ca="1">('TUSD BE'!$AM$68+'TUSD BF'!$AM$68+'TUSD CVA'!$AM$68)*1</f>
        <v>1058.5766451511297</v>
      </c>
      <c r="AA1757" s="6">
        <f>('TE BE'!$AB$39+'TE BF'!$AB$39+'TE CVA'!$AB$39)*1</f>
        <v>510.04993331215127</v>
      </c>
      <c r="AB1757" s="6">
        <f>$K$1757*$V$1757</f>
        <v>0</v>
      </c>
      <c r="AC1757" s="6">
        <f>$M$1757*$W$1757</f>
        <v>241.44332</v>
      </c>
      <c r="AD1757" s="6">
        <f>$O$1757*$X$1757</f>
        <v>135.9451</v>
      </c>
      <c r="AE1757" s="6">
        <f>$K$1757*$Y$1757</f>
        <v>0</v>
      </c>
      <c r="AF1757" s="6">
        <f ca="1">$M$1757*$Z$1757</f>
        <v>290.05000077140954</v>
      </c>
      <c r="AG1757" s="6">
        <f>$O$1757*$AA$1757</f>
        <v>139.75368172752945</v>
      </c>
    </row>
    <row r="1758" spans="1:33" ht="11.25" customHeight="1" x14ac:dyDescent="0.25">
      <c r="A1758" s="4" t="s">
        <v>21</v>
      </c>
      <c r="B1758" s="4" t="s">
        <v>37</v>
      </c>
      <c r="C1758" s="4" t="s">
        <v>33</v>
      </c>
      <c r="D1758" s="4" t="s">
        <v>43</v>
      </c>
      <c r="E1758" s="4" t="s">
        <v>25</v>
      </c>
      <c r="F1758" s="4" t="s">
        <v>25</v>
      </c>
      <c r="G1758" s="4" t="s">
        <v>25</v>
      </c>
      <c r="H1758" s="4" t="s">
        <v>34</v>
      </c>
      <c r="I1758" s="5">
        <v>44593</v>
      </c>
      <c r="J1758" s="6">
        <v>0</v>
      </c>
      <c r="K1758" s="6">
        <v>0</v>
      </c>
      <c r="L1758" s="6">
        <v>2.2080000000000002</v>
      </c>
      <c r="M1758" s="6">
        <v>2.2080000000000002</v>
      </c>
      <c r="N1758" s="6">
        <v>2.2080000000000002</v>
      </c>
      <c r="O1758" s="6">
        <v>2.2080000000000002</v>
      </c>
      <c r="P1758" s="6">
        <v>0</v>
      </c>
      <c r="Q1758" s="4" t="s">
        <v>26</v>
      </c>
      <c r="R1758" s="4">
        <v>0</v>
      </c>
      <c r="S1758" s="6">
        <v>0</v>
      </c>
      <c r="T1758" s="6">
        <v>66</v>
      </c>
      <c r="U1758" s="6">
        <v>109</v>
      </c>
      <c r="V1758" s="6">
        <f>IF(ISERROR(VLOOKUP($S$1758,'TAR FIN'!$A$1:$O$116,15,0)),0,VLOOKUP($S$1758,'TAR FIN'!$A$1:$O$116,15,0))</f>
        <v>0</v>
      </c>
      <c r="W1758" s="6">
        <f>IF(ISERROR(VLOOKUP($T$1758,'TAR FIN'!$A$1:$O$116,15,0)),0,VLOOKUP($T$1758,'TAR FIN'!$A$1:$O$116,15,0))</f>
        <v>881.18</v>
      </c>
      <c r="X1758" s="6">
        <f>IF(ISERROR(VLOOKUP($U$1758,'TAR FIN'!$A$1:$O$116,15,0)),0,VLOOKUP($U$1758,'TAR FIN'!$A$1:$O$116,15,0))</f>
        <v>496.15</v>
      </c>
      <c r="Y1758" s="6"/>
      <c r="Z1758" s="6">
        <f ca="1">('TUSD BE'!$AM$68+'TUSD BF'!$AM$68+'TUSD CVA'!$AM$68)*1</f>
        <v>1058.5766451511297</v>
      </c>
      <c r="AA1758" s="6">
        <f>('TE BE'!$AB$39+'TE BF'!$AB$39+'TE CVA'!$AB$39)*1</f>
        <v>510.04993331215127</v>
      </c>
      <c r="AB1758" s="6">
        <f>$K$1758*$V$1758</f>
        <v>0</v>
      </c>
      <c r="AC1758" s="6">
        <f>$M$1758*$W$1758</f>
        <v>1945.64544</v>
      </c>
      <c r="AD1758" s="6">
        <f>$O$1758*$X$1758</f>
        <v>1095.4992</v>
      </c>
      <c r="AE1758" s="6">
        <f>$K$1758*$Y$1758</f>
        <v>0</v>
      </c>
      <c r="AF1758" s="6">
        <f ca="1">$M$1758*$Z$1758</f>
        <v>2337.3372324936945</v>
      </c>
      <c r="AG1758" s="6">
        <f>$O$1758*$AA$1758</f>
        <v>1126.1902527532302</v>
      </c>
    </row>
    <row r="1759" spans="1:33" ht="11.25" customHeight="1" x14ac:dyDescent="0.25">
      <c r="A1759" s="4" t="s">
        <v>28</v>
      </c>
      <c r="B1759" s="4" t="s">
        <v>37</v>
      </c>
      <c r="C1759" s="4" t="s">
        <v>33</v>
      </c>
      <c r="D1759" s="4" t="s">
        <v>43</v>
      </c>
      <c r="E1759" s="4" t="s">
        <v>25</v>
      </c>
      <c r="F1759" s="4" t="s">
        <v>25</v>
      </c>
      <c r="G1759" s="4" t="s">
        <v>25</v>
      </c>
      <c r="H1759" s="4" t="s">
        <v>34</v>
      </c>
      <c r="I1759" s="5">
        <v>44593</v>
      </c>
      <c r="J1759" s="6">
        <v>0</v>
      </c>
      <c r="K1759" s="6">
        <v>0</v>
      </c>
      <c r="L1759" s="6">
        <v>0.246</v>
      </c>
      <c r="M1759" s="6">
        <v>0.246</v>
      </c>
      <c r="N1759" s="6">
        <v>0.246</v>
      </c>
      <c r="O1759" s="6">
        <v>0.246</v>
      </c>
      <c r="P1759" s="6">
        <v>0</v>
      </c>
      <c r="Q1759" s="4" t="s">
        <v>26</v>
      </c>
      <c r="R1759" s="4">
        <v>0</v>
      </c>
      <c r="S1759" s="6">
        <v>0</v>
      </c>
      <c r="T1759" s="6">
        <v>66</v>
      </c>
      <c r="U1759" s="6">
        <v>109</v>
      </c>
      <c r="V1759" s="6">
        <f>IF(ISERROR(VLOOKUP($S$1759,'TAR FIN'!$A$1:$O$116,15,0)),0,VLOOKUP($S$1759,'TAR FIN'!$A$1:$O$116,15,0))</f>
        <v>0</v>
      </c>
      <c r="W1759" s="6">
        <f>IF(ISERROR(VLOOKUP($T$1759,'TAR FIN'!$A$1:$O$116,15,0)),0,VLOOKUP($T$1759,'TAR FIN'!$A$1:$O$116,15,0))</f>
        <v>881.18</v>
      </c>
      <c r="X1759" s="6">
        <f>IF(ISERROR(VLOOKUP($U$1759,'TAR FIN'!$A$1:$O$116,15,0)),0,VLOOKUP($U$1759,'TAR FIN'!$A$1:$O$116,15,0))</f>
        <v>496.15</v>
      </c>
      <c r="Y1759" s="6"/>
      <c r="Z1759" s="6">
        <f ca="1">('TUSD BE'!$AM$68+'TUSD BF'!$AM$68+'TUSD CVA'!$AM$68)*1</f>
        <v>1058.5766451511297</v>
      </c>
      <c r="AA1759" s="6">
        <f>('TE BE'!$AB$39+'TE BF'!$AB$39+'TE CVA'!$AB$39)*1</f>
        <v>510.04993331215127</v>
      </c>
      <c r="AB1759" s="6">
        <f>$K$1759*$V$1759</f>
        <v>0</v>
      </c>
      <c r="AC1759" s="6">
        <f>$M$1759*$W$1759</f>
        <v>216.77027999999999</v>
      </c>
      <c r="AD1759" s="6">
        <f>$O$1759*$X$1759</f>
        <v>122.05289999999999</v>
      </c>
      <c r="AE1759" s="6">
        <f>$K$1759*$Y$1759</f>
        <v>0</v>
      </c>
      <c r="AF1759" s="6">
        <f ca="1">$M$1759*$Z$1759</f>
        <v>260.40985470717789</v>
      </c>
      <c r="AG1759" s="6">
        <f>$O$1759*$AA$1759</f>
        <v>125.4722835947892</v>
      </c>
    </row>
    <row r="1760" spans="1:33" ht="11.25" customHeight="1" x14ac:dyDescent="0.25">
      <c r="A1760" s="4" t="s">
        <v>21</v>
      </c>
      <c r="B1760" s="4" t="s">
        <v>37</v>
      </c>
      <c r="C1760" s="4" t="s">
        <v>33</v>
      </c>
      <c r="D1760" s="4" t="s">
        <v>43</v>
      </c>
      <c r="E1760" s="4" t="s">
        <v>25</v>
      </c>
      <c r="F1760" s="4" t="s">
        <v>25</v>
      </c>
      <c r="G1760" s="4" t="s">
        <v>25</v>
      </c>
      <c r="H1760" s="4" t="s">
        <v>34</v>
      </c>
      <c r="I1760" s="5">
        <v>44621</v>
      </c>
      <c r="J1760" s="6">
        <v>0</v>
      </c>
      <c r="K1760" s="6">
        <v>0</v>
      </c>
      <c r="L1760" s="6">
        <v>2.0550000000000002</v>
      </c>
      <c r="M1760" s="6">
        <v>2.0550000000000002</v>
      </c>
      <c r="N1760" s="6">
        <v>2.0550000000000002</v>
      </c>
      <c r="O1760" s="6">
        <v>2.0550000000000002</v>
      </c>
      <c r="P1760" s="6">
        <v>0</v>
      </c>
      <c r="Q1760" s="4" t="s">
        <v>26</v>
      </c>
      <c r="R1760" s="4">
        <v>0</v>
      </c>
      <c r="S1760" s="6">
        <v>0</v>
      </c>
      <c r="T1760" s="6">
        <v>66</v>
      </c>
      <c r="U1760" s="6">
        <v>109</v>
      </c>
      <c r="V1760" s="6">
        <f>IF(ISERROR(VLOOKUP($S$1760,'TAR FIN'!$A$1:$O$116,15,0)),0,VLOOKUP($S$1760,'TAR FIN'!$A$1:$O$116,15,0))</f>
        <v>0</v>
      </c>
      <c r="W1760" s="6">
        <f>IF(ISERROR(VLOOKUP($T$1760,'TAR FIN'!$A$1:$O$116,15,0)),0,VLOOKUP($T$1760,'TAR FIN'!$A$1:$O$116,15,0))</f>
        <v>881.18</v>
      </c>
      <c r="X1760" s="6">
        <f>IF(ISERROR(VLOOKUP($U$1760,'TAR FIN'!$A$1:$O$116,15,0)),0,VLOOKUP($U$1760,'TAR FIN'!$A$1:$O$116,15,0))</f>
        <v>496.15</v>
      </c>
      <c r="Y1760" s="6"/>
      <c r="Z1760" s="6">
        <f ca="1">('TUSD BE'!$AM$68+'TUSD BF'!$AM$68+'TUSD CVA'!$AM$68)*1</f>
        <v>1058.5766451511297</v>
      </c>
      <c r="AA1760" s="6">
        <f>('TE BE'!$AB$39+'TE BF'!$AB$39+'TE CVA'!$AB$39)*1</f>
        <v>510.04993331215127</v>
      </c>
      <c r="AB1760" s="6">
        <f>$K$1760*$V$1760</f>
        <v>0</v>
      </c>
      <c r="AC1760" s="6">
        <f>$M$1760*$W$1760</f>
        <v>1810.8249000000001</v>
      </c>
      <c r="AD1760" s="6">
        <f>$O$1760*$X$1760</f>
        <v>1019.58825</v>
      </c>
      <c r="AE1760" s="6">
        <f>$K$1760*$Y$1760</f>
        <v>0</v>
      </c>
      <c r="AF1760" s="6">
        <f ca="1">$M$1760*$Z$1760</f>
        <v>2175.3750057855718</v>
      </c>
      <c r="AG1760" s="6">
        <f>$O$1760*$AA$1760</f>
        <v>1048.1526129564709</v>
      </c>
    </row>
    <row r="1761" spans="1:33" ht="11.25" customHeight="1" x14ac:dyDescent="0.25">
      <c r="A1761" s="4" t="s">
        <v>28</v>
      </c>
      <c r="B1761" s="4" t="s">
        <v>37</v>
      </c>
      <c r="C1761" s="4" t="s">
        <v>33</v>
      </c>
      <c r="D1761" s="4" t="s">
        <v>43</v>
      </c>
      <c r="E1761" s="4" t="s">
        <v>25</v>
      </c>
      <c r="F1761" s="4" t="s">
        <v>25</v>
      </c>
      <c r="G1761" s="4" t="s">
        <v>25</v>
      </c>
      <c r="H1761" s="4" t="s">
        <v>34</v>
      </c>
      <c r="I1761" s="5">
        <v>44621</v>
      </c>
      <c r="J1761" s="6">
        <v>0</v>
      </c>
      <c r="K1761" s="6">
        <v>0</v>
      </c>
      <c r="L1761" s="6">
        <v>3.4000000000000002E-2</v>
      </c>
      <c r="M1761" s="6">
        <v>3.4000000000000002E-2</v>
      </c>
      <c r="N1761" s="6">
        <v>3.4000000000000002E-2</v>
      </c>
      <c r="O1761" s="6">
        <v>3.4000000000000002E-2</v>
      </c>
      <c r="P1761" s="6">
        <v>0</v>
      </c>
      <c r="Q1761" s="4" t="s">
        <v>26</v>
      </c>
      <c r="R1761" s="4">
        <v>0</v>
      </c>
      <c r="S1761" s="6">
        <v>0</v>
      </c>
      <c r="T1761" s="6">
        <v>66</v>
      </c>
      <c r="U1761" s="6">
        <v>109</v>
      </c>
      <c r="V1761" s="6">
        <f>IF(ISERROR(VLOOKUP($S$1761,'TAR FIN'!$A$1:$O$116,15,0)),0,VLOOKUP($S$1761,'TAR FIN'!$A$1:$O$116,15,0))</f>
        <v>0</v>
      </c>
      <c r="W1761" s="6">
        <f>IF(ISERROR(VLOOKUP($T$1761,'TAR FIN'!$A$1:$O$116,15,0)),0,VLOOKUP($T$1761,'TAR FIN'!$A$1:$O$116,15,0))</f>
        <v>881.18</v>
      </c>
      <c r="X1761" s="6">
        <f>IF(ISERROR(VLOOKUP($U$1761,'TAR FIN'!$A$1:$O$116,15,0)),0,VLOOKUP($U$1761,'TAR FIN'!$A$1:$O$116,15,0))</f>
        <v>496.15</v>
      </c>
      <c r="Y1761" s="6"/>
      <c r="Z1761" s="6">
        <f ca="1">('TUSD BE'!$AM$68+'TUSD BF'!$AM$68+'TUSD CVA'!$AM$68)*1</f>
        <v>1058.5766451511297</v>
      </c>
      <c r="AA1761" s="6">
        <f>('TE BE'!$AB$39+'TE BF'!$AB$39+'TE CVA'!$AB$39)*1</f>
        <v>510.04993331215127</v>
      </c>
      <c r="AB1761" s="6">
        <f>$K$1761*$V$1761</f>
        <v>0</v>
      </c>
      <c r="AC1761" s="6">
        <f>$M$1761*$W$1761</f>
        <v>29.96012</v>
      </c>
      <c r="AD1761" s="6">
        <f>$O$1761*$X$1761</f>
        <v>16.8691</v>
      </c>
      <c r="AE1761" s="6">
        <f>$K$1761*$Y$1761</f>
        <v>0</v>
      </c>
      <c r="AF1761" s="6">
        <f ca="1">$M$1761*$Z$1761</f>
        <v>35.991605935138409</v>
      </c>
      <c r="AG1761" s="6">
        <f>$O$1761*$AA$1761</f>
        <v>17.341697732613145</v>
      </c>
    </row>
    <row r="1762" spans="1:33" ht="11.25" customHeight="1" x14ac:dyDescent="0.25">
      <c r="A1762" s="4" t="s">
        <v>21</v>
      </c>
      <c r="B1762" s="4" t="s">
        <v>37</v>
      </c>
      <c r="C1762" s="4" t="s">
        <v>33</v>
      </c>
      <c r="D1762" s="4" t="s">
        <v>43</v>
      </c>
      <c r="E1762" s="4" t="s">
        <v>25</v>
      </c>
      <c r="F1762" s="4" t="s">
        <v>25</v>
      </c>
      <c r="G1762" s="4" t="s">
        <v>25</v>
      </c>
      <c r="H1762" s="4" t="s">
        <v>34</v>
      </c>
      <c r="I1762" s="5">
        <v>44652</v>
      </c>
      <c r="J1762" s="6">
        <v>0</v>
      </c>
      <c r="K1762" s="6">
        <v>0</v>
      </c>
      <c r="L1762" s="6">
        <v>1.9570000000000001</v>
      </c>
      <c r="M1762" s="6">
        <v>1.9570000000000001</v>
      </c>
      <c r="N1762" s="6">
        <v>1.9570000000000001</v>
      </c>
      <c r="O1762" s="6">
        <v>1.9570000000000001</v>
      </c>
      <c r="P1762" s="6">
        <v>0</v>
      </c>
      <c r="Q1762" s="4" t="s">
        <v>26</v>
      </c>
      <c r="R1762" s="4">
        <v>0</v>
      </c>
      <c r="S1762" s="6">
        <v>0</v>
      </c>
      <c r="T1762" s="6">
        <v>66</v>
      </c>
      <c r="U1762" s="6">
        <v>109</v>
      </c>
      <c r="V1762" s="6">
        <f>IF(ISERROR(VLOOKUP($S$1762,'TAR FIN'!$A$1:$O$116,15,0)),0,VLOOKUP($S$1762,'TAR FIN'!$A$1:$O$116,15,0))</f>
        <v>0</v>
      </c>
      <c r="W1762" s="6">
        <f>IF(ISERROR(VLOOKUP($T$1762,'TAR FIN'!$A$1:$O$116,15,0)),0,VLOOKUP($T$1762,'TAR FIN'!$A$1:$O$116,15,0))</f>
        <v>881.18</v>
      </c>
      <c r="X1762" s="6">
        <f>IF(ISERROR(VLOOKUP($U$1762,'TAR FIN'!$A$1:$O$116,15,0)),0,VLOOKUP($U$1762,'TAR FIN'!$A$1:$O$116,15,0))</f>
        <v>496.15</v>
      </c>
      <c r="Y1762" s="6"/>
      <c r="Z1762" s="6">
        <f ca="1">('TUSD BE'!$AM$68+'TUSD BF'!$AM$68+'TUSD CVA'!$AM$68)*1</f>
        <v>1058.5766451511297</v>
      </c>
      <c r="AA1762" s="6">
        <f>('TE BE'!$AB$39+'TE BF'!$AB$39+'TE CVA'!$AB$39)*1</f>
        <v>510.04993331215127</v>
      </c>
      <c r="AB1762" s="6">
        <f>$K$1762*$V$1762</f>
        <v>0</v>
      </c>
      <c r="AC1762" s="6">
        <f>$M$1762*$W$1762</f>
        <v>1724.4692600000001</v>
      </c>
      <c r="AD1762" s="6">
        <f>$O$1762*$X$1762</f>
        <v>970.96555000000001</v>
      </c>
      <c r="AE1762" s="6">
        <f>$K$1762*$Y$1762</f>
        <v>0</v>
      </c>
      <c r="AF1762" s="6">
        <f ca="1">$M$1762*$Z$1762</f>
        <v>2071.6344945607607</v>
      </c>
      <c r="AG1762" s="6">
        <f>$O$1762*$AA$1762</f>
        <v>998.16771949188012</v>
      </c>
    </row>
    <row r="1763" spans="1:33" ht="11.25" customHeight="1" x14ac:dyDescent="0.25">
      <c r="A1763" s="4" t="s">
        <v>58</v>
      </c>
      <c r="B1763" s="4" t="s">
        <v>37</v>
      </c>
      <c r="C1763" s="4" t="s">
        <v>33</v>
      </c>
      <c r="D1763" s="4" t="s">
        <v>43</v>
      </c>
      <c r="E1763" s="4" t="s">
        <v>25</v>
      </c>
      <c r="F1763" s="4" t="s">
        <v>25</v>
      </c>
      <c r="G1763" s="4" t="s">
        <v>25</v>
      </c>
      <c r="H1763" s="4" t="s">
        <v>34</v>
      </c>
      <c r="I1763" s="5">
        <v>44682</v>
      </c>
      <c r="J1763" s="6">
        <v>0</v>
      </c>
      <c r="K1763" s="6">
        <v>0</v>
      </c>
      <c r="L1763" s="6">
        <v>1.9570000000000001</v>
      </c>
      <c r="M1763" s="6">
        <v>1.9570000000000001</v>
      </c>
      <c r="N1763" s="6">
        <v>1.9570000000000001</v>
      </c>
      <c r="O1763" s="6">
        <v>1.9570000000000001</v>
      </c>
      <c r="P1763" s="6">
        <v>0</v>
      </c>
      <c r="Q1763" s="4" t="s">
        <v>26</v>
      </c>
      <c r="R1763" s="4">
        <v>0</v>
      </c>
      <c r="S1763" s="6">
        <v>0</v>
      </c>
      <c r="T1763" s="6">
        <v>66</v>
      </c>
      <c r="U1763" s="6">
        <v>109</v>
      </c>
      <c r="V1763" s="6">
        <f>IF(ISERROR(VLOOKUP($S$1763,'TAR FIN'!$A$1:$O$116,15,0)),0,VLOOKUP($S$1763,'TAR FIN'!$A$1:$O$116,15,0))</f>
        <v>0</v>
      </c>
      <c r="W1763" s="6">
        <f>IF(ISERROR(VLOOKUP($T$1763,'TAR FIN'!$A$1:$O$116,15,0)),0,VLOOKUP($T$1763,'TAR FIN'!$A$1:$O$116,15,0))</f>
        <v>881.18</v>
      </c>
      <c r="X1763" s="6">
        <f>IF(ISERROR(VLOOKUP($U$1763,'TAR FIN'!$A$1:$O$116,15,0)),0,VLOOKUP($U$1763,'TAR FIN'!$A$1:$O$116,15,0))</f>
        <v>496.15</v>
      </c>
      <c r="Y1763" s="6"/>
      <c r="Z1763" s="6">
        <f ca="1">('TUSD BE'!$AM$68+'TUSD BF'!$AM$68+'TUSD CVA'!$AM$68)*1</f>
        <v>1058.5766451511297</v>
      </c>
      <c r="AA1763" s="6">
        <f>('TE BE'!$AB$39+'TE BF'!$AB$39+'TE CVA'!$AB$39)*1</f>
        <v>510.04993331215127</v>
      </c>
      <c r="AB1763" s="6">
        <f>$K$1763*$V$1763</f>
        <v>0</v>
      </c>
      <c r="AC1763" s="6">
        <f>$M$1763*$W$1763</f>
        <v>1724.4692600000001</v>
      </c>
      <c r="AD1763" s="6">
        <f>$O$1763*$X$1763</f>
        <v>970.96555000000001</v>
      </c>
      <c r="AE1763" s="6">
        <f>$K$1763*$Y$1763</f>
        <v>0</v>
      </c>
      <c r="AF1763" s="6">
        <f ca="1">$M$1763*$Z$1763</f>
        <v>2071.6344945607607</v>
      </c>
      <c r="AG1763" s="6">
        <f>$O$1763*$AA$1763</f>
        <v>998.16771949188012</v>
      </c>
    </row>
    <row r="1764" spans="1:33" ht="11.25" customHeight="1" x14ac:dyDescent="0.25">
      <c r="A1764" s="4" t="s">
        <v>21</v>
      </c>
      <c r="B1764" s="4" t="s">
        <v>37</v>
      </c>
      <c r="C1764" s="4" t="s">
        <v>33</v>
      </c>
      <c r="D1764" s="4" t="s">
        <v>38</v>
      </c>
      <c r="E1764" s="4" t="s">
        <v>25</v>
      </c>
      <c r="F1764" s="4" t="s">
        <v>25</v>
      </c>
      <c r="G1764" s="4" t="s">
        <v>25</v>
      </c>
      <c r="H1764" s="4" t="s">
        <v>35</v>
      </c>
      <c r="I1764" s="5">
        <v>44348</v>
      </c>
      <c r="J1764" s="6">
        <v>0</v>
      </c>
      <c r="K1764" s="6">
        <v>0</v>
      </c>
      <c r="L1764" s="6">
        <v>5.5110000000000001</v>
      </c>
      <c r="M1764" s="6">
        <v>5.5110000000000001</v>
      </c>
      <c r="N1764" s="6">
        <v>5.5110000000000001</v>
      </c>
      <c r="O1764" s="6">
        <v>5.5110000000000001</v>
      </c>
      <c r="P1764" s="6">
        <v>0</v>
      </c>
      <c r="Q1764" s="4" t="s">
        <v>26</v>
      </c>
      <c r="R1764" s="4">
        <v>0</v>
      </c>
      <c r="S1764" s="6">
        <v>0</v>
      </c>
      <c r="T1764" s="6">
        <v>68</v>
      </c>
      <c r="U1764" s="6">
        <v>111</v>
      </c>
      <c r="V1764" s="6">
        <f>IF(ISERROR(VLOOKUP($S$1764,'TAR FIN'!$A$1:$O$116,15,0)),0,VLOOKUP($S$1764,'TAR FIN'!$A$1:$O$116,15,0))</f>
        <v>0</v>
      </c>
      <c r="W1764" s="6">
        <f>IF(ISERROR(VLOOKUP($T$1764,'TAR FIN'!$A$1:$O$116,15,0)),0,VLOOKUP($T$1764,'TAR FIN'!$A$1:$O$116,15,0))</f>
        <v>270.66000000000003</v>
      </c>
      <c r="X1764" s="6">
        <f>IF(ISERROR(VLOOKUP($U$1764,'TAR FIN'!$A$1:$O$116,15,0)),0,VLOOKUP($U$1764,'TAR FIN'!$A$1:$O$116,15,0))</f>
        <v>311.04000000000002</v>
      </c>
      <c r="Y1764" s="6"/>
      <c r="Z1764" s="6">
        <f ca="1">('TUSD BE'!$AM$70+'TUSD BF'!$AM$70+'TUSD CVA'!$AM$70)*1</f>
        <v>353.87930636185718</v>
      </c>
      <c r="AA1764" s="6">
        <f>('TE BE'!$AB$41+'TE BF'!$AB$41+'TE CVA'!$AB$41)*1</f>
        <v>313.22907246928764</v>
      </c>
      <c r="AB1764" s="6">
        <f>$K$1764*$V$1764</f>
        <v>0</v>
      </c>
      <c r="AC1764" s="6">
        <f>$M$1764*$W$1764</f>
        <v>1491.6072600000002</v>
      </c>
      <c r="AD1764" s="6">
        <f>$O$1764*$X$1764</f>
        <v>1714.1414400000001</v>
      </c>
      <c r="AE1764" s="6">
        <f>$K$1764*$Y$1764</f>
        <v>0</v>
      </c>
      <c r="AF1764" s="6">
        <f ca="1">$M$1764*$Z$1764</f>
        <v>1950.228857360195</v>
      </c>
      <c r="AG1764" s="6">
        <f>$O$1764*$AA$1764</f>
        <v>1726.2054183782443</v>
      </c>
    </row>
    <row r="1765" spans="1:33" ht="11.25" customHeight="1" x14ac:dyDescent="0.25">
      <c r="A1765" s="4" t="s">
        <v>21</v>
      </c>
      <c r="B1765" s="4" t="s">
        <v>37</v>
      </c>
      <c r="C1765" s="4" t="s">
        <v>33</v>
      </c>
      <c r="D1765" s="4" t="s">
        <v>38</v>
      </c>
      <c r="E1765" s="4" t="s">
        <v>25</v>
      </c>
      <c r="F1765" s="4" t="s">
        <v>25</v>
      </c>
      <c r="G1765" s="4" t="s">
        <v>25</v>
      </c>
      <c r="H1765" s="4" t="s">
        <v>35</v>
      </c>
      <c r="I1765" s="5">
        <v>44378</v>
      </c>
      <c r="J1765" s="6">
        <v>0</v>
      </c>
      <c r="K1765" s="6">
        <v>0</v>
      </c>
      <c r="L1765" s="6">
        <v>5.2350000000000003</v>
      </c>
      <c r="M1765" s="6">
        <v>5.2350000000000003</v>
      </c>
      <c r="N1765" s="6">
        <v>5.2350000000000003</v>
      </c>
      <c r="O1765" s="6">
        <v>5.2350000000000003</v>
      </c>
      <c r="P1765" s="6">
        <v>0</v>
      </c>
      <c r="Q1765" s="4" t="s">
        <v>26</v>
      </c>
      <c r="R1765" s="4">
        <v>0</v>
      </c>
      <c r="S1765" s="6">
        <v>0</v>
      </c>
      <c r="T1765" s="6">
        <v>68</v>
      </c>
      <c r="U1765" s="6">
        <v>111</v>
      </c>
      <c r="V1765" s="6">
        <f>IF(ISERROR(VLOOKUP($S$1765,'TAR FIN'!$A$1:$O$116,15,0)),0,VLOOKUP($S$1765,'TAR FIN'!$A$1:$O$116,15,0))</f>
        <v>0</v>
      </c>
      <c r="W1765" s="6">
        <f>IF(ISERROR(VLOOKUP($T$1765,'TAR FIN'!$A$1:$O$116,15,0)),0,VLOOKUP($T$1765,'TAR FIN'!$A$1:$O$116,15,0))</f>
        <v>270.66000000000003</v>
      </c>
      <c r="X1765" s="6">
        <f>IF(ISERROR(VLOOKUP($U$1765,'TAR FIN'!$A$1:$O$116,15,0)),0,VLOOKUP($U$1765,'TAR FIN'!$A$1:$O$116,15,0))</f>
        <v>311.04000000000002</v>
      </c>
      <c r="Y1765" s="6"/>
      <c r="Z1765" s="6">
        <f ca="1">('TUSD BE'!$AM$70+'TUSD BF'!$AM$70+'TUSD CVA'!$AM$70)*1</f>
        <v>353.87930636185718</v>
      </c>
      <c r="AA1765" s="6">
        <f>('TE BE'!$AB$41+'TE BF'!$AB$41+'TE CVA'!$AB$41)*1</f>
        <v>313.22907246928764</v>
      </c>
      <c r="AB1765" s="6">
        <f>$K$1765*$V$1765</f>
        <v>0</v>
      </c>
      <c r="AC1765" s="6">
        <f>$M$1765*$W$1765</f>
        <v>1416.9051000000002</v>
      </c>
      <c r="AD1765" s="6">
        <f>$O$1765*$X$1765</f>
        <v>1628.2944000000002</v>
      </c>
      <c r="AE1765" s="6">
        <f>$K$1765*$Y$1765</f>
        <v>0</v>
      </c>
      <c r="AF1765" s="6">
        <f ca="1">$M$1765*$Z$1765</f>
        <v>1852.5581688043223</v>
      </c>
      <c r="AG1765" s="6">
        <f>$O$1765*$AA$1765</f>
        <v>1639.754194376721</v>
      </c>
    </row>
    <row r="1766" spans="1:33" ht="11.25" customHeight="1" x14ac:dyDescent="0.25">
      <c r="A1766" s="4" t="s">
        <v>21</v>
      </c>
      <c r="B1766" s="4" t="s">
        <v>37</v>
      </c>
      <c r="C1766" s="4" t="s">
        <v>33</v>
      </c>
      <c r="D1766" s="4" t="s">
        <v>38</v>
      </c>
      <c r="E1766" s="4" t="s">
        <v>25</v>
      </c>
      <c r="F1766" s="4" t="s">
        <v>25</v>
      </c>
      <c r="G1766" s="4" t="s">
        <v>25</v>
      </c>
      <c r="H1766" s="4" t="s">
        <v>35</v>
      </c>
      <c r="I1766" s="5">
        <v>44409</v>
      </c>
      <c r="J1766" s="6">
        <v>0</v>
      </c>
      <c r="K1766" s="6">
        <v>0</v>
      </c>
      <c r="L1766" s="6">
        <v>5.4720000000000004</v>
      </c>
      <c r="M1766" s="6">
        <v>5.4720000000000004</v>
      </c>
      <c r="N1766" s="6">
        <v>5.4720000000000004</v>
      </c>
      <c r="O1766" s="6">
        <v>5.4720000000000004</v>
      </c>
      <c r="P1766" s="6">
        <v>0</v>
      </c>
      <c r="Q1766" s="4" t="s">
        <v>26</v>
      </c>
      <c r="R1766" s="4">
        <v>0</v>
      </c>
      <c r="S1766" s="6">
        <v>0</v>
      </c>
      <c r="T1766" s="6">
        <v>68</v>
      </c>
      <c r="U1766" s="6">
        <v>111</v>
      </c>
      <c r="V1766" s="6">
        <f>IF(ISERROR(VLOOKUP($S$1766,'TAR FIN'!$A$1:$O$116,15,0)),0,VLOOKUP($S$1766,'TAR FIN'!$A$1:$O$116,15,0))</f>
        <v>0</v>
      </c>
      <c r="W1766" s="6">
        <f>IF(ISERROR(VLOOKUP($T$1766,'TAR FIN'!$A$1:$O$116,15,0)),0,VLOOKUP($T$1766,'TAR FIN'!$A$1:$O$116,15,0))</f>
        <v>270.66000000000003</v>
      </c>
      <c r="X1766" s="6">
        <f>IF(ISERROR(VLOOKUP($U$1766,'TAR FIN'!$A$1:$O$116,15,0)),0,VLOOKUP($U$1766,'TAR FIN'!$A$1:$O$116,15,0))</f>
        <v>311.04000000000002</v>
      </c>
      <c r="Y1766" s="6"/>
      <c r="Z1766" s="6">
        <f ca="1">('TUSD BE'!$AM$70+'TUSD BF'!$AM$70+'TUSD CVA'!$AM$70)*1</f>
        <v>353.87930636185718</v>
      </c>
      <c r="AA1766" s="6">
        <f>('TE BE'!$AB$41+'TE BF'!$AB$41+'TE CVA'!$AB$41)*1</f>
        <v>313.22907246928764</v>
      </c>
      <c r="AB1766" s="6">
        <f>$K$1766*$V$1766</f>
        <v>0</v>
      </c>
      <c r="AC1766" s="6">
        <f>$M$1766*$W$1766</f>
        <v>1481.0515200000002</v>
      </c>
      <c r="AD1766" s="6">
        <f>$O$1766*$X$1766</f>
        <v>1702.0108800000003</v>
      </c>
      <c r="AE1766" s="6">
        <f>$K$1766*$Y$1766</f>
        <v>0</v>
      </c>
      <c r="AF1766" s="6">
        <f ca="1">$M$1766*$Z$1766</f>
        <v>1936.4275644120826</v>
      </c>
      <c r="AG1766" s="6">
        <f>$O$1766*$AA$1766</f>
        <v>1713.989484551942</v>
      </c>
    </row>
    <row r="1767" spans="1:33" ht="11.25" customHeight="1" x14ac:dyDescent="0.25">
      <c r="A1767" s="4" t="s">
        <v>21</v>
      </c>
      <c r="B1767" s="4" t="s">
        <v>37</v>
      </c>
      <c r="C1767" s="4" t="s">
        <v>33</v>
      </c>
      <c r="D1767" s="4" t="s">
        <v>38</v>
      </c>
      <c r="E1767" s="4" t="s">
        <v>25</v>
      </c>
      <c r="F1767" s="4" t="s">
        <v>25</v>
      </c>
      <c r="G1767" s="4" t="s">
        <v>25</v>
      </c>
      <c r="H1767" s="4" t="s">
        <v>35</v>
      </c>
      <c r="I1767" s="5">
        <v>44440</v>
      </c>
      <c r="J1767" s="6">
        <v>0</v>
      </c>
      <c r="K1767" s="6">
        <v>0</v>
      </c>
      <c r="L1767" s="6">
        <v>7.5380000000000003</v>
      </c>
      <c r="M1767" s="6">
        <v>7.5380000000000003</v>
      </c>
      <c r="N1767" s="6">
        <v>7.5380000000000003</v>
      </c>
      <c r="O1767" s="6">
        <v>7.5380000000000003</v>
      </c>
      <c r="P1767" s="6">
        <v>0</v>
      </c>
      <c r="Q1767" s="4" t="s">
        <v>26</v>
      </c>
      <c r="R1767" s="4">
        <v>0</v>
      </c>
      <c r="S1767" s="6">
        <v>0</v>
      </c>
      <c r="T1767" s="6">
        <v>68</v>
      </c>
      <c r="U1767" s="6">
        <v>111</v>
      </c>
      <c r="V1767" s="6">
        <f>IF(ISERROR(VLOOKUP($S$1767,'TAR FIN'!$A$1:$O$116,15,0)),0,VLOOKUP($S$1767,'TAR FIN'!$A$1:$O$116,15,0))</f>
        <v>0</v>
      </c>
      <c r="W1767" s="6">
        <f>IF(ISERROR(VLOOKUP($T$1767,'TAR FIN'!$A$1:$O$116,15,0)),0,VLOOKUP($T$1767,'TAR FIN'!$A$1:$O$116,15,0))</f>
        <v>270.66000000000003</v>
      </c>
      <c r="X1767" s="6">
        <f>IF(ISERROR(VLOOKUP($U$1767,'TAR FIN'!$A$1:$O$116,15,0)),0,VLOOKUP($U$1767,'TAR FIN'!$A$1:$O$116,15,0))</f>
        <v>311.04000000000002</v>
      </c>
      <c r="Y1767" s="6"/>
      <c r="Z1767" s="6">
        <f ca="1">('TUSD BE'!$AM$70+'TUSD BF'!$AM$70+'TUSD CVA'!$AM$70)*1</f>
        <v>353.87930636185718</v>
      </c>
      <c r="AA1767" s="6">
        <f>('TE BE'!$AB$41+'TE BF'!$AB$41+'TE CVA'!$AB$41)*1</f>
        <v>313.22907246928764</v>
      </c>
      <c r="AB1767" s="6">
        <f>$K$1767*$V$1767</f>
        <v>0</v>
      </c>
      <c r="AC1767" s="6">
        <f>$M$1767*$W$1767</f>
        <v>2040.2350800000002</v>
      </c>
      <c r="AD1767" s="6">
        <f>$O$1767*$X$1767</f>
        <v>2344.6195200000002</v>
      </c>
      <c r="AE1767" s="6">
        <f>$K$1767*$Y$1767</f>
        <v>0</v>
      </c>
      <c r="AF1767" s="6">
        <f ca="1">$M$1767*$Z$1767</f>
        <v>2667.5422113556797</v>
      </c>
      <c r="AG1767" s="6">
        <f>$O$1767*$AA$1767</f>
        <v>2361.1207482734903</v>
      </c>
    </row>
    <row r="1768" spans="1:33" ht="11.25" customHeight="1" x14ac:dyDescent="0.25">
      <c r="A1768" s="4" t="s">
        <v>21</v>
      </c>
      <c r="B1768" s="4" t="s">
        <v>37</v>
      </c>
      <c r="C1768" s="4" t="s">
        <v>33</v>
      </c>
      <c r="D1768" s="4" t="s">
        <v>38</v>
      </c>
      <c r="E1768" s="4" t="s">
        <v>25</v>
      </c>
      <c r="F1768" s="4" t="s">
        <v>25</v>
      </c>
      <c r="G1768" s="4" t="s">
        <v>25</v>
      </c>
      <c r="H1768" s="4" t="s">
        <v>35</v>
      </c>
      <c r="I1768" s="5">
        <v>44470</v>
      </c>
      <c r="J1768" s="6">
        <v>0</v>
      </c>
      <c r="K1768" s="6">
        <v>0</v>
      </c>
      <c r="L1768" s="6">
        <v>4.875</v>
      </c>
      <c r="M1768" s="6">
        <v>4.875</v>
      </c>
      <c r="N1768" s="6">
        <v>4.875</v>
      </c>
      <c r="O1768" s="6">
        <v>4.875</v>
      </c>
      <c r="P1768" s="6">
        <v>0</v>
      </c>
      <c r="Q1768" s="4" t="s">
        <v>26</v>
      </c>
      <c r="R1768" s="4">
        <v>0</v>
      </c>
      <c r="S1768" s="6">
        <v>0</v>
      </c>
      <c r="T1768" s="6">
        <v>68</v>
      </c>
      <c r="U1768" s="6">
        <v>111</v>
      </c>
      <c r="V1768" s="6">
        <f>IF(ISERROR(VLOOKUP($S$1768,'TAR FIN'!$A$1:$O$116,15,0)),0,VLOOKUP($S$1768,'TAR FIN'!$A$1:$O$116,15,0))</f>
        <v>0</v>
      </c>
      <c r="W1768" s="6">
        <f>IF(ISERROR(VLOOKUP($T$1768,'TAR FIN'!$A$1:$O$116,15,0)),0,VLOOKUP($T$1768,'TAR FIN'!$A$1:$O$116,15,0))</f>
        <v>270.66000000000003</v>
      </c>
      <c r="X1768" s="6">
        <f>IF(ISERROR(VLOOKUP($U$1768,'TAR FIN'!$A$1:$O$116,15,0)),0,VLOOKUP($U$1768,'TAR FIN'!$A$1:$O$116,15,0))</f>
        <v>311.04000000000002</v>
      </c>
      <c r="Y1768" s="6"/>
      <c r="Z1768" s="6">
        <f ca="1">('TUSD BE'!$AM$70+'TUSD BF'!$AM$70+'TUSD CVA'!$AM$70)*1</f>
        <v>353.87930636185718</v>
      </c>
      <c r="AA1768" s="6">
        <f>('TE BE'!$AB$41+'TE BF'!$AB$41+'TE CVA'!$AB$41)*1</f>
        <v>313.22907246928764</v>
      </c>
      <c r="AB1768" s="6">
        <f>$K$1768*$V$1768</f>
        <v>0</v>
      </c>
      <c r="AC1768" s="6">
        <f>$M$1768*$W$1768</f>
        <v>1319.4675000000002</v>
      </c>
      <c r="AD1768" s="6">
        <f>$O$1768*$X$1768</f>
        <v>1516.3200000000002</v>
      </c>
      <c r="AE1768" s="6">
        <f>$K$1768*$Y$1768</f>
        <v>0</v>
      </c>
      <c r="AF1768" s="6">
        <f ca="1">$M$1768*$Z$1768</f>
        <v>1725.1616185140538</v>
      </c>
      <c r="AG1768" s="6">
        <f>$O$1768*$AA$1768</f>
        <v>1526.9917282877773</v>
      </c>
    </row>
    <row r="1769" spans="1:33" ht="11.25" customHeight="1" x14ac:dyDescent="0.25">
      <c r="A1769" s="4" t="s">
        <v>21</v>
      </c>
      <c r="B1769" s="4" t="s">
        <v>37</v>
      </c>
      <c r="C1769" s="4" t="s">
        <v>33</v>
      </c>
      <c r="D1769" s="4" t="s">
        <v>38</v>
      </c>
      <c r="E1769" s="4" t="s">
        <v>25</v>
      </c>
      <c r="F1769" s="4" t="s">
        <v>25</v>
      </c>
      <c r="G1769" s="4" t="s">
        <v>25</v>
      </c>
      <c r="H1769" s="4" t="s">
        <v>35</v>
      </c>
      <c r="I1769" s="5">
        <v>44501</v>
      </c>
      <c r="J1769" s="6">
        <v>0</v>
      </c>
      <c r="K1769" s="6">
        <v>0</v>
      </c>
      <c r="L1769" s="6">
        <v>5.6509999999999998</v>
      </c>
      <c r="M1769" s="6">
        <v>5.6509999999999998</v>
      </c>
      <c r="N1769" s="6">
        <v>5.6509999999999998</v>
      </c>
      <c r="O1769" s="6">
        <v>5.6509999999999998</v>
      </c>
      <c r="P1769" s="6">
        <v>0</v>
      </c>
      <c r="Q1769" s="4" t="s">
        <v>26</v>
      </c>
      <c r="R1769" s="4">
        <v>0</v>
      </c>
      <c r="S1769" s="6">
        <v>0</v>
      </c>
      <c r="T1769" s="6">
        <v>68</v>
      </c>
      <c r="U1769" s="6">
        <v>111</v>
      </c>
      <c r="V1769" s="6">
        <f>IF(ISERROR(VLOOKUP($S$1769,'TAR FIN'!$A$1:$O$116,15,0)),0,VLOOKUP($S$1769,'TAR FIN'!$A$1:$O$116,15,0))</f>
        <v>0</v>
      </c>
      <c r="W1769" s="6">
        <f>IF(ISERROR(VLOOKUP($T$1769,'TAR FIN'!$A$1:$O$116,15,0)),0,VLOOKUP($T$1769,'TAR FIN'!$A$1:$O$116,15,0))</f>
        <v>270.66000000000003</v>
      </c>
      <c r="X1769" s="6">
        <f>IF(ISERROR(VLOOKUP($U$1769,'TAR FIN'!$A$1:$O$116,15,0)),0,VLOOKUP($U$1769,'TAR FIN'!$A$1:$O$116,15,0))</f>
        <v>311.04000000000002</v>
      </c>
      <c r="Y1769" s="6"/>
      <c r="Z1769" s="6">
        <f ca="1">('TUSD BE'!$AM$70+'TUSD BF'!$AM$70+'TUSD CVA'!$AM$70)*1</f>
        <v>353.87930636185718</v>
      </c>
      <c r="AA1769" s="6">
        <f>('TE BE'!$AB$41+'TE BF'!$AB$41+'TE CVA'!$AB$41)*1</f>
        <v>313.22907246928764</v>
      </c>
      <c r="AB1769" s="6">
        <f>$K$1769*$V$1769</f>
        <v>0</v>
      </c>
      <c r="AC1769" s="6">
        <f>$M$1769*$W$1769</f>
        <v>1529.4996600000002</v>
      </c>
      <c r="AD1769" s="6">
        <f>$O$1769*$X$1769</f>
        <v>1757.68704</v>
      </c>
      <c r="AE1769" s="6">
        <f>$K$1769*$Y$1769</f>
        <v>0</v>
      </c>
      <c r="AF1769" s="6">
        <f ca="1">$M$1769*$Z$1769</f>
        <v>1999.7719602508548</v>
      </c>
      <c r="AG1769" s="6">
        <f>$O$1769*$AA$1769</f>
        <v>1770.0574885239444</v>
      </c>
    </row>
    <row r="1770" spans="1:33" ht="11.25" customHeight="1" x14ac:dyDescent="0.25">
      <c r="A1770" s="4" t="s">
        <v>21</v>
      </c>
      <c r="B1770" s="4" t="s">
        <v>37</v>
      </c>
      <c r="C1770" s="4" t="s">
        <v>33</v>
      </c>
      <c r="D1770" s="4" t="s">
        <v>38</v>
      </c>
      <c r="E1770" s="4" t="s">
        <v>25</v>
      </c>
      <c r="F1770" s="4" t="s">
        <v>25</v>
      </c>
      <c r="G1770" s="4" t="s">
        <v>25</v>
      </c>
      <c r="H1770" s="4" t="s">
        <v>35</v>
      </c>
      <c r="I1770" s="5">
        <v>44531</v>
      </c>
      <c r="J1770" s="6">
        <v>0</v>
      </c>
      <c r="K1770" s="6">
        <v>0</v>
      </c>
      <c r="L1770" s="6">
        <v>5.4909999999999997</v>
      </c>
      <c r="M1770" s="6">
        <v>5.4909999999999997</v>
      </c>
      <c r="N1770" s="6">
        <v>5.4909999999999997</v>
      </c>
      <c r="O1770" s="6">
        <v>5.4909999999999997</v>
      </c>
      <c r="P1770" s="6">
        <v>0</v>
      </c>
      <c r="Q1770" s="4" t="s">
        <v>26</v>
      </c>
      <c r="R1770" s="4">
        <v>0</v>
      </c>
      <c r="S1770" s="6">
        <v>0</v>
      </c>
      <c r="T1770" s="6">
        <v>68</v>
      </c>
      <c r="U1770" s="6">
        <v>111</v>
      </c>
      <c r="V1770" s="6">
        <f>IF(ISERROR(VLOOKUP($S$1770,'TAR FIN'!$A$1:$O$116,15,0)),0,VLOOKUP($S$1770,'TAR FIN'!$A$1:$O$116,15,0))</f>
        <v>0</v>
      </c>
      <c r="W1770" s="6">
        <f>IF(ISERROR(VLOOKUP($T$1770,'TAR FIN'!$A$1:$O$116,15,0)),0,VLOOKUP($T$1770,'TAR FIN'!$A$1:$O$116,15,0))</f>
        <v>270.66000000000003</v>
      </c>
      <c r="X1770" s="6">
        <f>IF(ISERROR(VLOOKUP($U$1770,'TAR FIN'!$A$1:$O$116,15,0)),0,VLOOKUP($U$1770,'TAR FIN'!$A$1:$O$116,15,0))</f>
        <v>311.04000000000002</v>
      </c>
      <c r="Y1770" s="6"/>
      <c r="Z1770" s="6">
        <f ca="1">('TUSD BE'!$AM$70+'TUSD BF'!$AM$70+'TUSD CVA'!$AM$70)*1</f>
        <v>353.87930636185718</v>
      </c>
      <c r="AA1770" s="6">
        <f>('TE BE'!$AB$41+'TE BF'!$AB$41+'TE CVA'!$AB$41)*1</f>
        <v>313.22907246928764</v>
      </c>
      <c r="AB1770" s="6">
        <f>$K$1770*$V$1770</f>
        <v>0</v>
      </c>
      <c r="AC1770" s="6">
        <f>$M$1770*$W$1770</f>
        <v>1486.19406</v>
      </c>
      <c r="AD1770" s="6">
        <f>$O$1770*$X$1770</f>
        <v>1707.92064</v>
      </c>
      <c r="AE1770" s="6">
        <f>$K$1770*$Y$1770</f>
        <v>0</v>
      </c>
      <c r="AF1770" s="6">
        <f ca="1">$M$1770*$Z$1770</f>
        <v>1943.1512712329577</v>
      </c>
      <c r="AG1770" s="6">
        <f>$O$1770*$AA$1770</f>
        <v>1719.9408369288583</v>
      </c>
    </row>
    <row r="1771" spans="1:33" ht="11.25" customHeight="1" x14ac:dyDescent="0.25">
      <c r="A1771" s="4" t="s">
        <v>21</v>
      </c>
      <c r="B1771" s="4" t="s">
        <v>37</v>
      </c>
      <c r="C1771" s="4" t="s">
        <v>33</v>
      </c>
      <c r="D1771" s="4" t="s">
        <v>38</v>
      </c>
      <c r="E1771" s="4" t="s">
        <v>25</v>
      </c>
      <c r="F1771" s="4" t="s">
        <v>25</v>
      </c>
      <c r="G1771" s="4" t="s">
        <v>25</v>
      </c>
      <c r="H1771" s="4" t="s">
        <v>35</v>
      </c>
      <c r="I1771" s="5">
        <v>44562</v>
      </c>
      <c r="J1771" s="6">
        <v>0</v>
      </c>
      <c r="K1771" s="6">
        <v>0</v>
      </c>
      <c r="L1771" s="6">
        <v>6.8760000000000003</v>
      </c>
      <c r="M1771" s="6">
        <v>6.8760000000000003</v>
      </c>
      <c r="N1771" s="6">
        <v>6.8760000000000003</v>
      </c>
      <c r="O1771" s="6">
        <v>6.8760000000000003</v>
      </c>
      <c r="P1771" s="6">
        <v>0</v>
      </c>
      <c r="Q1771" s="4" t="s">
        <v>26</v>
      </c>
      <c r="R1771" s="4">
        <v>0</v>
      </c>
      <c r="S1771" s="6">
        <v>0</v>
      </c>
      <c r="T1771" s="6">
        <v>68</v>
      </c>
      <c r="U1771" s="6">
        <v>111</v>
      </c>
      <c r="V1771" s="6">
        <f>IF(ISERROR(VLOOKUP($S$1771,'TAR FIN'!$A$1:$O$116,15,0)),0,VLOOKUP($S$1771,'TAR FIN'!$A$1:$O$116,15,0))</f>
        <v>0</v>
      </c>
      <c r="W1771" s="6">
        <f>IF(ISERROR(VLOOKUP($T$1771,'TAR FIN'!$A$1:$O$116,15,0)),0,VLOOKUP($T$1771,'TAR FIN'!$A$1:$O$116,15,0))</f>
        <v>270.66000000000003</v>
      </c>
      <c r="X1771" s="6">
        <f>IF(ISERROR(VLOOKUP($U$1771,'TAR FIN'!$A$1:$O$116,15,0)),0,VLOOKUP($U$1771,'TAR FIN'!$A$1:$O$116,15,0))</f>
        <v>311.04000000000002</v>
      </c>
      <c r="Y1771" s="6"/>
      <c r="Z1771" s="6">
        <f ca="1">('TUSD BE'!$AM$70+'TUSD BF'!$AM$70+'TUSD CVA'!$AM$70)*1</f>
        <v>353.87930636185718</v>
      </c>
      <c r="AA1771" s="6">
        <f>('TE BE'!$AB$41+'TE BF'!$AB$41+'TE CVA'!$AB$41)*1</f>
        <v>313.22907246928764</v>
      </c>
      <c r="AB1771" s="6">
        <f>$K$1771*$V$1771</f>
        <v>0</v>
      </c>
      <c r="AC1771" s="6">
        <f>$M$1771*$W$1771</f>
        <v>1861.0581600000003</v>
      </c>
      <c r="AD1771" s="6">
        <f>$O$1771*$X$1771</f>
        <v>2138.7110400000001</v>
      </c>
      <c r="AE1771" s="6">
        <f>$K$1771*$Y$1771</f>
        <v>0</v>
      </c>
      <c r="AF1771" s="6">
        <f ca="1">$M$1771*$Z$1771</f>
        <v>2433.2741105441301</v>
      </c>
      <c r="AG1771" s="6">
        <f>$O$1771*$AA$1771</f>
        <v>2153.7631022988221</v>
      </c>
    </row>
    <row r="1772" spans="1:33" ht="11.25" customHeight="1" x14ac:dyDescent="0.25">
      <c r="A1772" s="4" t="s">
        <v>21</v>
      </c>
      <c r="B1772" s="4" t="s">
        <v>37</v>
      </c>
      <c r="C1772" s="4" t="s">
        <v>33</v>
      </c>
      <c r="D1772" s="4" t="s">
        <v>38</v>
      </c>
      <c r="E1772" s="4" t="s">
        <v>25</v>
      </c>
      <c r="F1772" s="4" t="s">
        <v>25</v>
      </c>
      <c r="G1772" s="4" t="s">
        <v>25</v>
      </c>
      <c r="H1772" s="4" t="s">
        <v>35</v>
      </c>
      <c r="I1772" s="5">
        <v>44593</v>
      </c>
      <c r="J1772" s="6">
        <v>0</v>
      </c>
      <c r="K1772" s="6">
        <v>0</v>
      </c>
      <c r="L1772" s="6">
        <v>4.7169999999999996</v>
      </c>
      <c r="M1772" s="6">
        <v>4.7169999999999996</v>
      </c>
      <c r="N1772" s="6">
        <v>4.7169999999999996</v>
      </c>
      <c r="O1772" s="6">
        <v>4.7169999999999996</v>
      </c>
      <c r="P1772" s="6">
        <v>0</v>
      </c>
      <c r="Q1772" s="4" t="s">
        <v>26</v>
      </c>
      <c r="R1772" s="4">
        <v>0</v>
      </c>
      <c r="S1772" s="6">
        <v>0</v>
      </c>
      <c r="T1772" s="6">
        <v>68</v>
      </c>
      <c r="U1772" s="6">
        <v>111</v>
      </c>
      <c r="V1772" s="6">
        <f>IF(ISERROR(VLOOKUP($S$1772,'TAR FIN'!$A$1:$O$116,15,0)),0,VLOOKUP($S$1772,'TAR FIN'!$A$1:$O$116,15,0))</f>
        <v>0</v>
      </c>
      <c r="W1772" s="6">
        <f>IF(ISERROR(VLOOKUP($T$1772,'TAR FIN'!$A$1:$O$116,15,0)),0,VLOOKUP($T$1772,'TAR FIN'!$A$1:$O$116,15,0))</f>
        <v>270.66000000000003</v>
      </c>
      <c r="X1772" s="6">
        <f>IF(ISERROR(VLOOKUP($U$1772,'TAR FIN'!$A$1:$O$116,15,0)),0,VLOOKUP($U$1772,'TAR FIN'!$A$1:$O$116,15,0))</f>
        <v>311.04000000000002</v>
      </c>
      <c r="Y1772" s="6"/>
      <c r="Z1772" s="6">
        <f ca="1">('TUSD BE'!$AM$70+'TUSD BF'!$AM$70+'TUSD CVA'!$AM$70)*1</f>
        <v>353.87930636185718</v>
      </c>
      <c r="AA1772" s="6">
        <f>('TE BE'!$AB$41+'TE BF'!$AB$41+'TE CVA'!$AB$41)*1</f>
        <v>313.22907246928764</v>
      </c>
      <c r="AB1772" s="6">
        <f>$K$1772*$V$1772</f>
        <v>0</v>
      </c>
      <c r="AC1772" s="6">
        <f>$M$1772*$W$1772</f>
        <v>1276.7032200000001</v>
      </c>
      <c r="AD1772" s="6">
        <f>$O$1772*$X$1772</f>
        <v>1467.1756800000001</v>
      </c>
      <c r="AE1772" s="6">
        <f>$K$1772*$Y$1772</f>
        <v>0</v>
      </c>
      <c r="AF1772" s="6">
        <f ca="1">$M$1772*$Z$1772</f>
        <v>1669.2486881088801</v>
      </c>
      <c r="AG1772" s="6">
        <f>$O$1772*$AA$1772</f>
        <v>1477.5015348376296</v>
      </c>
    </row>
    <row r="1773" spans="1:33" ht="11.25" customHeight="1" x14ac:dyDescent="0.25">
      <c r="A1773" s="4" t="s">
        <v>21</v>
      </c>
      <c r="B1773" s="4" t="s">
        <v>37</v>
      </c>
      <c r="C1773" s="4" t="s">
        <v>33</v>
      </c>
      <c r="D1773" s="4" t="s">
        <v>38</v>
      </c>
      <c r="E1773" s="4" t="s">
        <v>25</v>
      </c>
      <c r="F1773" s="4" t="s">
        <v>25</v>
      </c>
      <c r="G1773" s="4" t="s">
        <v>25</v>
      </c>
      <c r="H1773" s="4" t="s">
        <v>35</v>
      </c>
      <c r="I1773" s="5">
        <v>44621</v>
      </c>
      <c r="J1773" s="6">
        <v>0</v>
      </c>
      <c r="K1773" s="6">
        <v>0</v>
      </c>
      <c r="L1773" s="6">
        <v>2.62</v>
      </c>
      <c r="M1773" s="6">
        <v>2.62</v>
      </c>
      <c r="N1773" s="6">
        <v>2.62</v>
      </c>
      <c r="O1773" s="6">
        <v>2.62</v>
      </c>
      <c r="P1773" s="6">
        <v>0</v>
      </c>
      <c r="Q1773" s="4" t="s">
        <v>26</v>
      </c>
      <c r="R1773" s="4">
        <v>0</v>
      </c>
      <c r="S1773" s="6">
        <v>0</v>
      </c>
      <c r="T1773" s="6">
        <v>68</v>
      </c>
      <c r="U1773" s="6">
        <v>111</v>
      </c>
      <c r="V1773" s="6">
        <f>IF(ISERROR(VLOOKUP($S$1773,'TAR FIN'!$A$1:$O$116,15,0)),0,VLOOKUP($S$1773,'TAR FIN'!$A$1:$O$116,15,0))</f>
        <v>0</v>
      </c>
      <c r="W1773" s="6">
        <f>IF(ISERROR(VLOOKUP($T$1773,'TAR FIN'!$A$1:$O$116,15,0)),0,VLOOKUP($T$1773,'TAR FIN'!$A$1:$O$116,15,0))</f>
        <v>270.66000000000003</v>
      </c>
      <c r="X1773" s="6">
        <f>IF(ISERROR(VLOOKUP($U$1773,'TAR FIN'!$A$1:$O$116,15,0)),0,VLOOKUP($U$1773,'TAR FIN'!$A$1:$O$116,15,0))</f>
        <v>311.04000000000002</v>
      </c>
      <c r="Y1773" s="6"/>
      <c r="Z1773" s="6">
        <f ca="1">('TUSD BE'!$AM$70+'TUSD BF'!$AM$70+'TUSD CVA'!$AM$70)*1</f>
        <v>353.87930636185718</v>
      </c>
      <c r="AA1773" s="6">
        <f>('TE BE'!$AB$41+'TE BF'!$AB$41+'TE CVA'!$AB$41)*1</f>
        <v>313.22907246928764</v>
      </c>
      <c r="AB1773" s="6">
        <f>$K$1773*$V$1773</f>
        <v>0</v>
      </c>
      <c r="AC1773" s="6">
        <f>$M$1773*$W$1773</f>
        <v>709.12920000000008</v>
      </c>
      <c r="AD1773" s="6">
        <f>$O$1773*$X$1773</f>
        <v>814.92480000000012</v>
      </c>
      <c r="AE1773" s="6">
        <f>$K$1773*$Y$1773</f>
        <v>0</v>
      </c>
      <c r="AF1773" s="6">
        <f ca="1">$M$1773*$Z$1773</f>
        <v>927.16378266806589</v>
      </c>
      <c r="AG1773" s="6">
        <f>$O$1773*$AA$1773</f>
        <v>820.66016986953366</v>
      </c>
    </row>
    <row r="1774" spans="1:33" ht="11.25" customHeight="1" x14ac:dyDescent="0.25">
      <c r="A1774" s="4" t="s">
        <v>21</v>
      </c>
      <c r="B1774" s="4" t="s">
        <v>37</v>
      </c>
      <c r="C1774" s="4" t="s">
        <v>33</v>
      </c>
      <c r="D1774" s="4" t="s">
        <v>38</v>
      </c>
      <c r="E1774" s="4" t="s">
        <v>25</v>
      </c>
      <c r="F1774" s="4" t="s">
        <v>25</v>
      </c>
      <c r="G1774" s="4" t="s">
        <v>25</v>
      </c>
      <c r="H1774" s="4" t="s">
        <v>35</v>
      </c>
      <c r="I1774" s="5">
        <v>44652</v>
      </c>
      <c r="J1774" s="6">
        <v>0</v>
      </c>
      <c r="K1774" s="6">
        <v>0</v>
      </c>
      <c r="L1774" s="6">
        <v>4.431</v>
      </c>
      <c r="M1774" s="6">
        <v>4.431</v>
      </c>
      <c r="N1774" s="6">
        <v>4.431</v>
      </c>
      <c r="O1774" s="6">
        <v>4.431</v>
      </c>
      <c r="P1774" s="6">
        <v>0</v>
      </c>
      <c r="Q1774" s="4" t="s">
        <v>26</v>
      </c>
      <c r="R1774" s="4">
        <v>0</v>
      </c>
      <c r="S1774" s="6">
        <v>0</v>
      </c>
      <c r="T1774" s="6">
        <v>68</v>
      </c>
      <c r="U1774" s="6">
        <v>111</v>
      </c>
      <c r="V1774" s="6">
        <f>IF(ISERROR(VLOOKUP($S$1774,'TAR FIN'!$A$1:$O$116,15,0)),0,VLOOKUP($S$1774,'TAR FIN'!$A$1:$O$116,15,0))</f>
        <v>0</v>
      </c>
      <c r="W1774" s="6">
        <f>IF(ISERROR(VLOOKUP($T$1774,'TAR FIN'!$A$1:$O$116,15,0)),0,VLOOKUP($T$1774,'TAR FIN'!$A$1:$O$116,15,0))</f>
        <v>270.66000000000003</v>
      </c>
      <c r="X1774" s="6">
        <f>IF(ISERROR(VLOOKUP($U$1774,'TAR FIN'!$A$1:$O$116,15,0)),0,VLOOKUP($U$1774,'TAR FIN'!$A$1:$O$116,15,0))</f>
        <v>311.04000000000002</v>
      </c>
      <c r="Y1774" s="6"/>
      <c r="Z1774" s="6">
        <f ca="1">('TUSD BE'!$AM$70+'TUSD BF'!$AM$70+'TUSD CVA'!$AM$70)*1</f>
        <v>353.87930636185718</v>
      </c>
      <c r="AA1774" s="6">
        <f>('TE BE'!$AB$41+'TE BF'!$AB$41+'TE CVA'!$AB$41)*1</f>
        <v>313.22907246928764</v>
      </c>
      <c r="AB1774" s="6">
        <f>$K$1774*$V$1774</f>
        <v>0</v>
      </c>
      <c r="AC1774" s="6">
        <f>$M$1774*$W$1774</f>
        <v>1199.2944600000001</v>
      </c>
      <c r="AD1774" s="6">
        <f>$O$1774*$X$1774</f>
        <v>1378.2182400000002</v>
      </c>
      <c r="AE1774" s="6">
        <f>$K$1774*$Y$1774</f>
        <v>0</v>
      </c>
      <c r="AF1774" s="6">
        <f ca="1">$M$1774*$Z$1774</f>
        <v>1568.0392064893892</v>
      </c>
      <c r="AG1774" s="6">
        <f>$O$1774*$AA$1774</f>
        <v>1387.9180201114136</v>
      </c>
    </row>
    <row r="1775" spans="1:33" ht="11.25" customHeight="1" x14ac:dyDescent="0.25">
      <c r="A1775" s="4" t="s">
        <v>58</v>
      </c>
      <c r="B1775" s="4" t="s">
        <v>37</v>
      </c>
      <c r="C1775" s="4" t="s">
        <v>33</v>
      </c>
      <c r="D1775" s="4" t="s">
        <v>38</v>
      </c>
      <c r="E1775" s="4" t="s">
        <v>25</v>
      </c>
      <c r="F1775" s="4" t="s">
        <v>25</v>
      </c>
      <c r="G1775" s="4" t="s">
        <v>25</v>
      </c>
      <c r="H1775" s="4" t="s">
        <v>35</v>
      </c>
      <c r="I1775" s="5">
        <v>44682</v>
      </c>
      <c r="J1775" s="6">
        <v>0</v>
      </c>
      <c r="K1775" s="6">
        <v>0</v>
      </c>
      <c r="L1775" s="6">
        <v>4.431</v>
      </c>
      <c r="M1775" s="6">
        <v>4.431</v>
      </c>
      <c r="N1775" s="6">
        <v>4.431</v>
      </c>
      <c r="O1775" s="6">
        <v>4.431</v>
      </c>
      <c r="P1775" s="6">
        <v>0</v>
      </c>
      <c r="Q1775" s="4" t="s">
        <v>26</v>
      </c>
      <c r="R1775" s="4">
        <v>0</v>
      </c>
      <c r="S1775" s="6">
        <v>0</v>
      </c>
      <c r="T1775" s="6">
        <v>68</v>
      </c>
      <c r="U1775" s="6">
        <v>111</v>
      </c>
      <c r="V1775" s="6">
        <f>IF(ISERROR(VLOOKUP($S$1775,'TAR FIN'!$A$1:$O$116,15,0)),0,VLOOKUP($S$1775,'TAR FIN'!$A$1:$O$116,15,0))</f>
        <v>0</v>
      </c>
      <c r="W1775" s="6">
        <f>IF(ISERROR(VLOOKUP($T$1775,'TAR FIN'!$A$1:$O$116,15,0)),0,VLOOKUP($T$1775,'TAR FIN'!$A$1:$O$116,15,0))</f>
        <v>270.66000000000003</v>
      </c>
      <c r="X1775" s="6">
        <f>IF(ISERROR(VLOOKUP($U$1775,'TAR FIN'!$A$1:$O$116,15,0)),0,VLOOKUP($U$1775,'TAR FIN'!$A$1:$O$116,15,0))</f>
        <v>311.04000000000002</v>
      </c>
      <c r="Y1775" s="6"/>
      <c r="Z1775" s="6">
        <f ca="1">('TUSD BE'!$AM$70+'TUSD BF'!$AM$70+'TUSD CVA'!$AM$70)*1</f>
        <v>353.87930636185718</v>
      </c>
      <c r="AA1775" s="6">
        <f>('TE BE'!$AB$41+'TE BF'!$AB$41+'TE CVA'!$AB$41)*1</f>
        <v>313.22907246928764</v>
      </c>
      <c r="AB1775" s="6">
        <f>$K$1775*$V$1775</f>
        <v>0</v>
      </c>
      <c r="AC1775" s="6">
        <f>$M$1775*$W$1775</f>
        <v>1199.2944600000001</v>
      </c>
      <c r="AD1775" s="6">
        <f>$O$1775*$X$1775</f>
        <v>1378.2182400000002</v>
      </c>
      <c r="AE1775" s="6">
        <f>$K$1775*$Y$1775</f>
        <v>0</v>
      </c>
      <c r="AF1775" s="6">
        <f ca="1">$M$1775*$Z$1775</f>
        <v>1568.0392064893892</v>
      </c>
      <c r="AG1775" s="6">
        <f>$O$1775*$AA$1775</f>
        <v>1387.9180201114136</v>
      </c>
    </row>
    <row r="1776" spans="1:33" ht="11.25" customHeight="1" x14ac:dyDescent="0.25">
      <c r="A1776" s="4" t="s">
        <v>21</v>
      </c>
      <c r="B1776" s="4" t="s">
        <v>37</v>
      </c>
      <c r="C1776" s="4" t="s">
        <v>33</v>
      </c>
      <c r="D1776" s="4" t="s">
        <v>38</v>
      </c>
      <c r="E1776" s="4" t="s">
        <v>25</v>
      </c>
      <c r="F1776" s="4" t="s">
        <v>25</v>
      </c>
      <c r="G1776" s="4" t="s">
        <v>25</v>
      </c>
      <c r="H1776" s="4" t="s">
        <v>36</v>
      </c>
      <c r="I1776" s="5">
        <v>44348</v>
      </c>
      <c r="J1776" s="6">
        <v>0</v>
      </c>
      <c r="K1776" s="6">
        <v>0</v>
      </c>
      <c r="L1776" s="6">
        <v>0.49099999999999999</v>
      </c>
      <c r="M1776" s="6">
        <v>0.49099999999999999</v>
      </c>
      <c r="N1776" s="6">
        <v>0.49099999999999999</v>
      </c>
      <c r="O1776" s="6">
        <v>0.49099999999999999</v>
      </c>
      <c r="P1776" s="6">
        <v>0</v>
      </c>
      <c r="Q1776" s="4" t="s">
        <v>26</v>
      </c>
      <c r="R1776" s="4">
        <v>0</v>
      </c>
      <c r="S1776" s="6">
        <v>0</v>
      </c>
      <c r="T1776" s="6">
        <v>67</v>
      </c>
      <c r="U1776" s="6">
        <v>110</v>
      </c>
      <c r="V1776" s="6">
        <f>IF(ISERROR(VLOOKUP($S$1776,'TAR FIN'!$A$1:$O$116,15,0)),0,VLOOKUP($S$1776,'TAR FIN'!$A$1:$O$116,15,0))</f>
        <v>0</v>
      </c>
      <c r="W1776" s="6">
        <f>IF(ISERROR(VLOOKUP($T$1776,'TAR FIN'!$A$1:$O$116,15,0)),0,VLOOKUP($T$1776,'TAR FIN'!$A$1:$O$116,15,0))</f>
        <v>575.91999999999996</v>
      </c>
      <c r="X1776" s="6">
        <f>IF(ISERROR(VLOOKUP($U$1776,'TAR FIN'!$A$1:$O$116,15,0)),0,VLOOKUP($U$1776,'TAR FIN'!$A$1:$O$116,15,0))</f>
        <v>311.04000000000002</v>
      </c>
      <c r="Y1776" s="6"/>
      <c r="Z1776" s="6">
        <f ca="1">('TUSD BE'!$AM$69+'TUSD BF'!$AM$69+'TUSD CVA'!$AM$69)*1</f>
        <v>706.22797575649349</v>
      </c>
      <c r="AA1776" s="6">
        <f>('TE BE'!$AB$40+'TE BF'!$AB$40+'TE CVA'!$AB$40)*1</f>
        <v>313.22907246928764</v>
      </c>
      <c r="AB1776" s="6">
        <f>$K$1776*$V$1776</f>
        <v>0</v>
      </c>
      <c r="AC1776" s="6">
        <f>$M$1776*$W$1776</f>
        <v>282.77671999999995</v>
      </c>
      <c r="AD1776" s="6">
        <f>$O$1776*$X$1776</f>
        <v>152.72064</v>
      </c>
      <c r="AE1776" s="6">
        <f>$K$1776*$Y$1776</f>
        <v>0</v>
      </c>
      <c r="AF1776" s="6">
        <f ca="1">$M$1776*$Z$1776</f>
        <v>346.7579360964383</v>
      </c>
      <c r="AG1776" s="6">
        <f>$O$1776*$AA$1776</f>
        <v>153.79547458242024</v>
      </c>
    </row>
    <row r="1777" spans="1:33" ht="11.25" customHeight="1" x14ac:dyDescent="0.25">
      <c r="A1777" s="4" t="s">
        <v>21</v>
      </c>
      <c r="B1777" s="4" t="s">
        <v>37</v>
      </c>
      <c r="C1777" s="4" t="s">
        <v>33</v>
      </c>
      <c r="D1777" s="4" t="s">
        <v>38</v>
      </c>
      <c r="E1777" s="4" t="s">
        <v>25</v>
      </c>
      <c r="F1777" s="4" t="s">
        <v>25</v>
      </c>
      <c r="G1777" s="4" t="s">
        <v>25</v>
      </c>
      <c r="H1777" s="4" t="s">
        <v>36</v>
      </c>
      <c r="I1777" s="5">
        <v>44378</v>
      </c>
      <c r="J1777" s="6">
        <v>0</v>
      </c>
      <c r="K1777" s="6">
        <v>0</v>
      </c>
      <c r="L1777" s="6">
        <v>0.42</v>
      </c>
      <c r="M1777" s="6">
        <v>0.42</v>
      </c>
      <c r="N1777" s="6">
        <v>0.42</v>
      </c>
      <c r="O1777" s="6">
        <v>0.42</v>
      </c>
      <c r="P1777" s="6">
        <v>0</v>
      </c>
      <c r="Q1777" s="4" t="s">
        <v>26</v>
      </c>
      <c r="R1777" s="4">
        <v>0</v>
      </c>
      <c r="S1777" s="6">
        <v>0</v>
      </c>
      <c r="T1777" s="6">
        <v>67</v>
      </c>
      <c r="U1777" s="6">
        <v>110</v>
      </c>
      <c r="V1777" s="6">
        <f>IF(ISERROR(VLOOKUP($S$1777,'TAR FIN'!$A$1:$O$116,15,0)),0,VLOOKUP($S$1777,'TAR FIN'!$A$1:$O$116,15,0))</f>
        <v>0</v>
      </c>
      <c r="W1777" s="6">
        <f>IF(ISERROR(VLOOKUP($T$1777,'TAR FIN'!$A$1:$O$116,15,0)),0,VLOOKUP($T$1777,'TAR FIN'!$A$1:$O$116,15,0))</f>
        <v>575.91999999999996</v>
      </c>
      <c r="X1777" s="6">
        <f>IF(ISERROR(VLOOKUP($U$1777,'TAR FIN'!$A$1:$O$116,15,0)),0,VLOOKUP($U$1777,'TAR FIN'!$A$1:$O$116,15,0))</f>
        <v>311.04000000000002</v>
      </c>
      <c r="Y1777" s="6"/>
      <c r="Z1777" s="6">
        <f ca="1">('TUSD BE'!$AM$69+'TUSD BF'!$AM$69+'TUSD CVA'!$AM$69)*1</f>
        <v>706.22797575649349</v>
      </c>
      <c r="AA1777" s="6">
        <f>('TE BE'!$AB$40+'TE BF'!$AB$40+'TE CVA'!$AB$40)*1</f>
        <v>313.22907246928764</v>
      </c>
      <c r="AB1777" s="6">
        <f>$K$1777*$V$1777</f>
        <v>0</v>
      </c>
      <c r="AC1777" s="6">
        <f>$M$1777*$W$1777</f>
        <v>241.88639999999998</v>
      </c>
      <c r="AD1777" s="6">
        <f>$O$1777*$X$1777</f>
        <v>130.63679999999999</v>
      </c>
      <c r="AE1777" s="6">
        <f>$K$1777*$Y$1777</f>
        <v>0</v>
      </c>
      <c r="AF1777" s="6">
        <f ca="1">$M$1777*$Z$1777</f>
        <v>296.61574981772725</v>
      </c>
      <c r="AG1777" s="6">
        <f>$O$1777*$AA$1777</f>
        <v>131.55621043710082</v>
      </c>
    </row>
    <row r="1778" spans="1:33" ht="11.25" customHeight="1" x14ac:dyDescent="0.25">
      <c r="A1778" s="4" t="s">
        <v>21</v>
      </c>
      <c r="B1778" s="4" t="s">
        <v>37</v>
      </c>
      <c r="C1778" s="4" t="s">
        <v>33</v>
      </c>
      <c r="D1778" s="4" t="s">
        <v>38</v>
      </c>
      <c r="E1778" s="4" t="s">
        <v>25</v>
      </c>
      <c r="F1778" s="4" t="s">
        <v>25</v>
      </c>
      <c r="G1778" s="4" t="s">
        <v>25</v>
      </c>
      <c r="H1778" s="4" t="s">
        <v>36</v>
      </c>
      <c r="I1778" s="5">
        <v>44409</v>
      </c>
      <c r="J1778" s="6">
        <v>0</v>
      </c>
      <c r="K1778" s="6">
        <v>0</v>
      </c>
      <c r="L1778" s="6">
        <v>0.54700000000000004</v>
      </c>
      <c r="M1778" s="6">
        <v>0.54700000000000004</v>
      </c>
      <c r="N1778" s="6">
        <v>0.54700000000000004</v>
      </c>
      <c r="O1778" s="6">
        <v>0.54700000000000004</v>
      </c>
      <c r="P1778" s="6">
        <v>0</v>
      </c>
      <c r="Q1778" s="4" t="s">
        <v>26</v>
      </c>
      <c r="R1778" s="4">
        <v>0</v>
      </c>
      <c r="S1778" s="6">
        <v>0</v>
      </c>
      <c r="T1778" s="6">
        <v>67</v>
      </c>
      <c r="U1778" s="6">
        <v>110</v>
      </c>
      <c r="V1778" s="6">
        <f>IF(ISERROR(VLOOKUP($S$1778,'TAR FIN'!$A$1:$O$116,15,0)),0,VLOOKUP($S$1778,'TAR FIN'!$A$1:$O$116,15,0))</f>
        <v>0</v>
      </c>
      <c r="W1778" s="6">
        <f>IF(ISERROR(VLOOKUP($T$1778,'TAR FIN'!$A$1:$O$116,15,0)),0,VLOOKUP($T$1778,'TAR FIN'!$A$1:$O$116,15,0))</f>
        <v>575.91999999999996</v>
      </c>
      <c r="X1778" s="6">
        <f>IF(ISERROR(VLOOKUP($U$1778,'TAR FIN'!$A$1:$O$116,15,0)),0,VLOOKUP($U$1778,'TAR FIN'!$A$1:$O$116,15,0))</f>
        <v>311.04000000000002</v>
      </c>
      <c r="Y1778" s="6"/>
      <c r="Z1778" s="6">
        <f ca="1">('TUSD BE'!$AM$69+'TUSD BF'!$AM$69+'TUSD CVA'!$AM$69)*1</f>
        <v>706.22797575649349</v>
      </c>
      <c r="AA1778" s="6">
        <f>('TE BE'!$AB$40+'TE BF'!$AB$40+'TE CVA'!$AB$40)*1</f>
        <v>313.22907246928764</v>
      </c>
      <c r="AB1778" s="6">
        <f>$K$1778*$V$1778</f>
        <v>0</v>
      </c>
      <c r="AC1778" s="6">
        <f>$M$1778*$W$1778</f>
        <v>315.02823999999998</v>
      </c>
      <c r="AD1778" s="6">
        <f>$O$1778*$X$1778</f>
        <v>170.13888000000003</v>
      </c>
      <c r="AE1778" s="6">
        <f>$K$1778*$Y$1778</f>
        <v>0</v>
      </c>
      <c r="AF1778" s="6">
        <f ca="1">$M$1778*$Z$1778</f>
        <v>386.30670273880196</v>
      </c>
      <c r="AG1778" s="6">
        <f>$O$1778*$AA$1778</f>
        <v>171.33630264070035</v>
      </c>
    </row>
    <row r="1779" spans="1:33" ht="11.25" customHeight="1" x14ac:dyDescent="0.25">
      <c r="A1779" s="4" t="s">
        <v>21</v>
      </c>
      <c r="B1779" s="4" t="s">
        <v>37</v>
      </c>
      <c r="C1779" s="4" t="s">
        <v>33</v>
      </c>
      <c r="D1779" s="4" t="s">
        <v>38</v>
      </c>
      <c r="E1779" s="4" t="s">
        <v>25</v>
      </c>
      <c r="F1779" s="4" t="s">
        <v>25</v>
      </c>
      <c r="G1779" s="4" t="s">
        <v>25</v>
      </c>
      <c r="H1779" s="4" t="s">
        <v>36</v>
      </c>
      <c r="I1779" s="5">
        <v>44440</v>
      </c>
      <c r="J1779" s="6">
        <v>0</v>
      </c>
      <c r="K1779" s="6">
        <v>0</v>
      </c>
      <c r="L1779" s="6">
        <v>0.80600000000000005</v>
      </c>
      <c r="M1779" s="6">
        <v>0.80600000000000005</v>
      </c>
      <c r="N1779" s="6">
        <v>0.80600000000000005</v>
      </c>
      <c r="O1779" s="6">
        <v>0.80600000000000005</v>
      </c>
      <c r="P1779" s="6">
        <v>0</v>
      </c>
      <c r="Q1779" s="4" t="s">
        <v>26</v>
      </c>
      <c r="R1779" s="4">
        <v>0</v>
      </c>
      <c r="S1779" s="6">
        <v>0</v>
      </c>
      <c r="T1779" s="6">
        <v>67</v>
      </c>
      <c r="U1779" s="6">
        <v>110</v>
      </c>
      <c r="V1779" s="6">
        <f>IF(ISERROR(VLOOKUP($S$1779,'TAR FIN'!$A$1:$O$116,15,0)),0,VLOOKUP($S$1779,'TAR FIN'!$A$1:$O$116,15,0))</f>
        <v>0</v>
      </c>
      <c r="W1779" s="6">
        <f>IF(ISERROR(VLOOKUP($T$1779,'TAR FIN'!$A$1:$O$116,15,0)),0,VLOOKUP($T$1779,'TAR FIN'!$A$1:$O$116,15,0))</f>
        <v>575.91999999999996</v>
      </c>
      <c r="X1779" s="6">
        <f>IF(ISERROR(VLOOKUP($U$1779,'TAR FIN'!$A$1:$O$116,15,0)),0,VLOOKUP($U$1779,'TAR FIN'!$A$1:$O$116,15,0))</f>
        <v>311.04000000000002</v>
      </c>
      <c r="Y1779" s="6"/>
      <c r="Z1779" s="6">
        <f ca="1">('TUSD BE'!$AM$69+'TUSD BF'!$AM$69+'TUSD CVA'!$AM$69)*1</f>
        <v>706.22797575649349</v>
      </c>
      <c r="AA1779" s="6">
        <f>('TE BE'!$AB$40+'TE BF'!$AB$40+'TE CVA'!$AB$40)*1</f>
        <v>313.22907246928764</v>
      </c>
      <c r="AB1779" s="6">
        <f>$K$1779*$V$1779</f>
        <v>0</v>
      </c>
      <c r="AC1779" s="6">
        <f>$M$1779*$W$1779</f>
        <v>464.19151999999997</v>
      </c>
      <c r="AD1779" s="6">
        <f>$O$1779*$X$1779</f>
        <v>250.69824000000003</v>
      </c>
      <c r="AE1779" s="6">
        <f>$K$1779*$Y$1779</f>
        <v>0</v>
      </c>
      <c r="AF1779" s="6">
        <f ca="1">$M$1779*$Z$1779</f>
        <v>569.21974845973375</v>
      </c>
      <c r="AG1779" s="6">
        <f>$O$1779*$AA$1779</f>
        <v>252.46263241024585</v>
      </c>
    </row>
    <row r="1780" spans="1:33" ht="11.25" customHeight="1" x14ac:dyDescent="0.25">
      <c r="A1780" s="4" t="s">
        <v>21</v>
      </c>
      <c r="B1780" s="4" t="s">
        <v>37</v>
      </c>
      <c r="C1780" s="4" t="s">
        <v>33</v>
      </c>
      <c r="D1780" s="4" t="s">
        <v>38</v>
      </c>
      <c r="E1780" s="4" t="s">
        <v>25</v>
      </c>
      <c r="F1780" s="4" t="s">
        <v>25</v>
      </c>
      <c r="G1780" s="4" t="s">
        <v>25</v>
      </c>
      <c r="H1780" s="4" t="s">
        <v>36</v>
      </c>
      <c r="I1780" s="5">
        <v>44470</v>
      </c>
      <c r="J1780" s="6">
        <v>0</v>
      </c>
      <c r="K1780" s="6">
        <v>0</v>
      </c>
      <c r="L1780" s="6">
        <v>0.47699999999999998</v>
      </c>
      <c r="M1780" s="6">
        <v>0.47699999999999998</v>
      </c>
      <c r="N1780" s="6">
        <v>0.47699999999999998</v>
      </c>
      <c r="O1780" s="6">
        <v>0.47699999999999998</v>
      </c>
      <c r="P1780" s="6">
        <v>0</v>
      </c>
      <c r="Q1780" s="4" t="s">
        <v>26</v>
      </c>
      <c r="R1780" s="4">
        <v>0</v>
      </c>
      <c r="S1780" s="6">
        <v>0</v>
      </c>
      <c r="T1780" s="6">
        <v>67</v>
      </c>
      <c r="U1780" s="6">
        <v>110</v>
      </c>
      <c r="V1780" s="6">
        <f>IF(ISERROR(VLOOKUP($S$1780,'TAR FIN'!$A$1:$O$116,15,0)),0,VLOOKUP($S$1780,'TAR FIN'!$A$1:$O$116,15,0))</f>
        <v>0</v>
      </c>
      <c r="W1780" s="6">
        <f>IF(ISERROR(VLOOKUP($T$1780,'TAR FIN'!$A$1:$O$116,15,0)),0,VLOOKUP($T$1780,'TAR FIN'!$A$1:$O$116,15,0))</f>
        <v>575.91999999999996</v>
      </c>
      <c r="X1780" s="6">
        <f>IF(ISERROR(VLOOKUP($U$1780,'TAR FIN'!$A$1:$O$116,15,0)),0,VLOOKUP($U$1780,'TAR FIN'!$A$1:$O$116,15,0))</f>
        <v>311.04000000000002</v>
      </c>
      <c r="Y1780" s="6"/>
      <c r="Z1780" s="6">
        <f ca="1">('TUSD BE'!$AM$69+'TUSD BF'!$AM$69+'TUSD CVA'!$AM$69)*1</f>
        <v>706.22797575649349</v>
      </c>
      <c r="AA1780" s="6">
        <f>('TE BE'!$AB$40+'TE BF'!$AB$40+'TE CVA'!$AB$40)*1</f>
        <v>313.22907246928764</v>
      </c>
      <c r="AB1780" s="6">
        <f>$K$1780*$V$1780</f>
        <v>0</v>
      </c>
      <c r="AC1780" s="6">
        <f>$M$1780*$W$1780</f>
        <v>274.71383999999995</v>
      </c>
      <c r="AD1780" s="6">
        <f>$O$1780*$X$1780</f>
        <v>148.36608000000001</v>
      </c>
      <c r="AE1780" s="6">
        <f>$K$1780*$Y$1780</f>
        <v>0</v>
      </c>
      <c r="AF1780" s="6">
        <f ca="1">$M$1780*$Z$1780</f>
        <v>336.87074443584737</v>
      </c>
      <c r="AG1780" s="6">
        <f>$O$1780*$AA$1780</f>
        <v>149.41026756785021</v>
      </c>
    </row>
    <row r="1781" spans="1:33" ht="11.25" customHeight="1" x14ac:dyDescent="0.25">
      <c r="A1781" s="4" t="s">
        <v>21</v>
      </c>
      <c r="B1781" s="4" t="s">
        <v>37</v>
      </c>
      <c r="C1781" s="4" t="s">
        <v>33</v>
      </c>
      <c r="D1781" s="4" t="s">
        <v>38</v>
      </c>
      <c r="E1781" s="4" t="s">
        <v>25</v>
      </c>
      <c r="F1781" s="4" t="s">
        <v>25</v>
      </c>
      <c r="G1781" s="4" t="s">
        <v>25</v>
      </c>
      <c r="H1781" s="4" t="s">
        <v>36</v>
      </c>
      <c r="I1781" s="5">
        <v>44501</v>
      </c>
      <c r="J1781" s="6">
        <v>0</v>
      </c>
      <c r="K1781" s="6">
        <v>0</v>
      </c>
      <c r="L1781" s="6">
        <v>0.68200000000000005</v>
      </c>
      <c r="M1781" s="6">
        <v>0.68200000000000005</v>
      </c>
      <c r="N1781" s="6">
        <v>0.68200000000000005</v>
      </c>
      <c r="O1781" s="6">
        <v>0.68200000000000005</v>
      </c>
      <c r="P1781" s="6">
        <v>0</v>
      </c>
      <c r="Q1781" s="4" t="s">
        <v>26</v>
      </c>
      <c r="R1781" s="4">
        <v>0</v>
      </c>
      <c r="S1781" s="6">
        <v>0</v>
      </c>
      <c r="T1781" s="6">
        <v>67</v>
      </c>
      <c r="U1781" s="6">
        <v>110</v>
      </c>
      <c r="V1781" s="6">
        <f>IF(ISERROR(VLOOKUP($S$1781,'TAR FIN'!$A$1:$O$116,15,0)),0,VLOOKUP($S$1781,'TAR FIN'!$A$1:$O$116,15,0))</f>
        <v>0</v>
      </c>
      <c r="W1781" s="6">
        <f>IF(ISERROR(VLOOKUP($T$1781,'TAR FIN'!$A$1:$O$116,15,0)),0,VLOOKUP($T$1781,'TAR FIN'!$A$1:$O$116,15,0))</f>
        <v>575.91999999999996</v>
      </c>
      <c r="X1781" s="6">
        <f>IF(ISERROR(VLOOKUP($U$1781,'TAR FIN'!$A$1:$O$116,15,0)),0,VLOOKUP($U$1781,'TAR FIN'!$A$1:$O$116,15,0))</f>
        <v>311.04000000000002</v>
      </c>
      <c r="Y1781" s="6"/>
      <c r="Z1781" s="6">
        <f ca="1">('TUSD BE'!$AM$69+'TUSD BF'!$AM$69+'TUSD CVA'!$AM$69)*1</f>
        <v>706.22797575649349</v>
      </c>
      <c r="AA1781" s="6">
        <f>('TE BE'!$AB$40+'TE BF'!$AB$40+'TE CVA'!$AB$40)*1</f>
        <v>313.22907246928764</v>
      </c>
      <c r="AB1781" s="6">
        <f>$K$1781*$V$1781</f>
        <v>0</v>
      </c>
      <c r="AC1781" s="6">
        <f>$M$1781*$W$1781</f>
        <v>392.77744000000001</v>
      </c>
      <c r="AD1781" s="6">
        <f>$O$1781*$X$1781</f>
        <v>212.12928000000002</v>
      </c>
      <c r="AE1781" s="6">
        <f>$K$1781*$Y$1781</f>
        <v>0</v>
      </c>
      <c r="AF1781" s="6">
        <f ca="1">$M$1781*$Z$1781</f>
        <v>481.6474794659286</v>
      </c>
      <c r="AG1781" s="6">
        <f>$O$1781*$AA$1781</f>
        <v>213.62222742405419</v>
      </c>
    </row>
    <row r="1782" spans="1:33" ht="11.25" customHeight="1" x14ac:dyDescent="0.25">
      <c r="A1782" s="4" t="s">
        <v>21</v>
      </c>
      <c r="B1782" s="4" t="s">
        <v>37</v>
      </c>
      <c r="C1782" s="4" t="s">
        <v>33</v>
      </c>
      <c r="D1782" s="4" t="s">
        <v>38</v>
      </c>
      <c r="E1782" s="4" t="s">
        <v>25</v>
      </c>
      <c r="F1782" s="4" t="s">
        <v>25</v>
      </c>
      <c r="G1782" s="4" t="s">
        <v>25</v>
      </c>
      <c r="H1782" s="4" t="s">
        <v>36</v>
      </c>
      <c r="I1782" s="5">
        <v>44531</v>
      </c>
      <c r="J1782" s="6">
        <v>0</v>
      </c>
      <c r="K1782" s="6">
        <v>0</v>
      </c>
      <c r="L1782" s="6">
        <v>0.55700000000000005</v>
      </c>
      <c r="M1782" s="6">
        <v>0.55700000000000005</v>
      </c>
      <c r="N1782" s="6">
        <v>0.55700000000000005</v>
      </c>
      <c r="O1782" s="6">
        <v>0.55700000000000005</v>
      </c>
      <c r="P1782" s="6">
        <v>0</v>
      </c>
      <c r="Q1782" s="4" t="s">
        <v>26</v>
      </c>
      <c r="R1782" s="4">
        <v>0</v>
      </c>
      <c r="S1782" s="6">
        <v>0</v>
      </c>
      <c r="T1782" s="6">
        <v>67</v>
      </c>
      <c r="U1782" s="6">
        <v>110</v>
      </c>
      <c r="V1782" s="6">
        <f>IF(ISERROR(VLOOKUP($S$1782,'TAR FIN'!$A$1:$O$116,15,0)),0,VLOOKUP($S$1782,'TAR FIN'!$A$1:$O$116,15,0))</f>
        <v>0</v>
      </c>
      <c r="W1782" s="6">
        <f>IF(ISERROR(VLOOKUP($T$1782,'TAR FIN'!$A$1:$O$116,15,0)),0,VLOOKUP($T$1782,'TAR FIN'!$A$1:$O$116,15,0))</f>
        <v>575.91999999999996</v>
      </c>
      <c r="X1782" s="6">
        <f>IF(ISERROR(VLOOKUP($U$1782,'TAR FIN'!$A$1:$O$116,15,0)),0,VLOOKUP($U$1782,'TAR FIN'!$A$1:$O$116,15,0))</f>
        <v>311.04000000000002</v>
      </c>
      <c r="Y1782" s="6"/>
      <c r="Z1782" s="6">
        <f ca="1">('TUSD BE'!$AM$69+'TUSD BF'!$AM$69+'TUSD CVA'!$AM$69)*1</f>
        <v>706.22797575649349</v>
      </c>
      <c r="AA1782" s="6">
        <f>('TE BE'!$AB$40+'TE BF'!$AB$40+'TE CVA'!$AB$40)*1</f>
        <v>313.22907246928764</v>
      </c>
      <c r="AB1782" s="6">
        <f>$K$1782*$V$1782</f>
        <v>0</v>
      </c>
      <c r="AC1782" s="6">
        <f>$M$1782*$W$1782</f>
        <v>320.78744</v>
      </c>
      <c r="AD1782" s="6">
        <f>$O$1782*$X$1782</f>
        <v>173.24928000000003</v>
      </c>
      <c r="AE1782" s="6">
        <f>$K$1782*$Y$1782</f>
        <v>0</v>
      </c>
      <c r="AF1782" s="6">
        <f ca="1">$M$1782*$Z$1782</f>
        <v>393.36898249636693</v>
      </c>
      <c r="AG1782" s="6">
        <f>$O$1782*$AA$1782</f>
        <v>174.46859336539325</v>
      </c>
    </row>
    <row r="1783" spans="1:33" ht="11.25" customHeight="1" x14ac:dyDescent="0.25">
      <c r="A1783" s="4" t="s">
        <v>21</v>
      </c>
      <c r="B1783" s="4" t="s">
        <v>37</v>
      </c>
      <c r="C1783" s="4" t="s">
        <v>33</v>
      </c>
      <c r="D1783" s="4" t="s">
        <v>38</v>
      </c>
      <c r="E1783" s="4" t="s">
        <v>25</v>
      </c>
      <c r="F1783" s="4" t="s">
        <v>25</v>
      </c>
      <c r="G1783" s="4" t="s">
        <v>25</v>
      </c>
      <c r="H1783" s="4" t="s">
        <v>36</v>
      </c>
      <c r="I1783" s="5">
        <v>44562</v>
      </c>
      <c r="J1783" s="6">
        <v>0</v>
      </c>
      <c r="K1783" s="6">
        <v>0</v>
      </c>
      <c r="L1783" s="6">
        <v>0.75900000000000001</v>
      </c>
      <c r="M1783" s="6">
        <v>0.75900000000000001</v>
      </c>
      <c r="N1783" s="6">
        <v>0.75900000000000001</v>
      </c>
      <c r="O1783" s="6">
        <v>0.75900000000000001</v>
      </c>
      <c r="P1783" s="6">
        <v>0</v>
      </c>
      <c r="Q1783" s="4" t="s">
        <v>26</v>
      </c>
      <c r="R1783" s="4">
        <v>0</v>
      </c>
      <c r="S1783" s="6">
        <v>0</v>
      </c>
      <c r="T1783" s="6">
        <v>67</v>
      </c>
      <c r="U1783" s="6">
        <v>110</v>
      </c>
      <c r="V1783" s="6">
        <f>IF(ISERROR(VLOOKUP($S$1783,'TAR FIN'!$A$1:$O$116,15,0)),0,VLOOKUP($S$1783,'TAR FIN'!$A$1:$O$116,15,0))</f>
        <v>0</v>
      </c>
      <c r="W1783" s="6">
        <f>IF(ISERROR(VLOOKUP($T$1783,'TAR FIN'!$A$1:$O$116,15,0)),0,VLOOKUP($T$1783,'TAR FIN'!$A$1:$O$116,15,0))</f>
        <v>575.91999999999996</v>
      </c>
      <c r="X1783" s="6">
        <f>IF(ISERROR(VLOOKUP($U$1783,'TAR FIN'!$A$1:$O$116,15,0)),0,VLOOKUP($U$1783,'TAR FIN'!$A$1:$O$116,15,0))</f>
        <v>311.04000000000002</v>
      </c>
      <c r="Y1783" s="6"/>
      <c r="Z1783" s="6">
        <f ca="1">('TUSD BE'!$AM$69+'TUSD BF'!$AM$69+'TUSD CVA'!$AM$69)*1</f>
        <v>706.22797575649349</v>
      </c>
      <c r="AA1783" s="6">
        <f>('TE BE'!$AB$40+'TE BF'!$AB$40+'TE CVA'!$AB$40)*1</f>
        <v>313.22907246928764</v>
      </c>
      <c r="AB1783" s="6">
        <f>$K$1783*$V$1783</f>
        <v>0</v>
      </c>
      <c r="AC1783" s="6">
        <f>$M$1783*$W$1783</f>
        <v>437.12327999999997</v>
      </c>
      <c r="AD1783" s="6">
        <f>$O$1783*$X$1783</f>
        <v>236.07936000000001</v>
      </c>
      <c r="AE1783" s="6">
        <f>$K$1783*$Y$1783</f>
        <v>0</v>
      </c>
      <c r="AF1783" s="6">
        <f ca="1">$M$1783*$Z$1783</f>
        <v>536.02703359917859</v>
      </c>
      <c r="AG1783" s="6">
        <f>$O$1783*$AA$1783</f>
        <v>237.74086600418931</v>
      </c>
    </row>
    <row r="1784" spans="1:33" ht="11.25" customHeight="1" x14ac:dyDescent="0.25">
      <c r="A1784" s="4" t="s">
        <v>21</v>
      </c>
      <c r="B1784" s="4" t="s">
        <v>37</v>
      </c>
      <c r="C1784" s="4" t="s">
        <v>33</v>
      </c>
      <c r="D1784" s="4" t="s">
        <v>38</v>
      </c>
      <c r="E1784" s="4" t="s">
        <v>25</v>
      </c>
      <c r="F1784" s="4" t="s">
        <v>25</v>
      </c>
      <c r="G1784" s="4" t="s">
        <v>25</v>
      </c>
      <c r="H1784" s="4" t="s">
        <v>36</v>
      </c>
      <c r="I1784" s="5">
        <v>44593</v>
      </c>
      <c r="J1784" s="6">
        <v>0</v>
      </c>
      <c r="K1784" s="6">
        <v>0</v>
      </c>
      <c r="L1784" s="6">
        <v>0.55300000000000005</v>
      </c>
      <c r="M1784" s="6">
        <v>0.55300000000000005</v>
      </c>
      <c r="N1784" s="6">
        <v>0.55300000000000005</v>
      </c>
      <c r="O1784" s="6">
        <v>0.55300000000000005</v>
      </c>
      <c r="P1784" s="6">
        <v>0</v>
      </c>
      <c r="Q1784" s="4" t="s">
        <v>26</v>
      </c>
      <c r="R1784" s="4">
        <v>0</v>
      </c>
      <c r="S1784" s="6">
        <v>0</v>
      </c>
      <c r="T1784" s="6">
        <v>67</v>
      </c>
      <c r="U1784" s="6">
        <v>110</v>
      </c>
      <c r="V1784" s="6">
        <f>IF(ISERROR(VLOOKUP($S$1784,'TAR FIN'!$A$1:$O$116,15,0)),0,VLOOKUP($S$1784,'TAR FIN'!$A$1:$O$116,15,0))</f>
        <v>0</v>
      </c>
      <c r="W1784" s="6">
        <f>IF(ISERROR(VLOOKUP($T$1784,'TAR FIN'!$A$1:$O$116,15,0)),0,VLOOKUP($T$1784,'TAR FIN'!$A$1:$O$116,15,0))</f>
        <v>575.91999999999996</v>
      </c>
      <c r="X1784" s="6">
        <f>IF(ISERROR(VLOOKUP($U$1784,'TAR FIN'!$A$1:$O$116,15,0)),0,VLOOKUP($U$1784,'TAR FIN'!$A$1:$O$116,15,0))</f>
        <v>311.04000000000002</v>
      </c>
      <c r="Y1784" s="6"/>
      <c r="Z1784" s="6">
        <f ca="1">('TUSD BE'!$AM$69+'TUSD BF'!$AM$69+'TUSD CVA'!$AM$69)*1</f>
        <v>706.22797575649349</v>
      </c>
      <c r="AA1784" s="6">
        <f>('TE BE'!$AB$40+'TE BF'!$AB$40+'TE CVA'!$AB$40)*1</f>
        <v>313.22907246928764</v>
      </c>
      <c r="AB1784" s="6">
        <f>$K$1784*$V$1784</f>
        <v>0</v>
      </c>
      <c r="AC1784" s="6">
        <f>$M$1784*$W$1784</f>
        <v>318.48376000000002</v>
      </c>
      <c r="AD1784" s="6">
        <f>$O$1784*$X$1784</f>
        <v>172.00512000000003</v>
      </c>
      <c r="AE1784" s="6">
        <f>$K$1784*$Y$1784</f>
        <v>0</v>
      </c>
      <c r="AF1784" s="6">
        <f ca="1">$M$1784*$Z$1784</f>
        <v>390.54407059334096</v>
      </c>
      <c r="AG1784" s="6">
        <f>$O$1784*$AA$1784</f>
        <v>173.21567707551608</v>
      </c>
    </row>
    <row r="1785" spans="1:33" ht="11.25" customHeight="1" x14ac:dyDescent="0.25">
      <c r="A1785" s="4" t="s">
        <v>21</v>
      </c>
      <c r="B1785" s="4" t="s">
        <v>37</v>
      </c>
      <c r="C1785" s="4" t="s">
        <v>33</v>
      </c>
      <c r="D1785" s="4" t="s">
        <v>38</v>
      </c>
      <c r="E1785" s="4" t="s">
        <v>25</v>
      </c>
      <c r="F1785" s="4" t="s">
        <v>25</v>
      </c>
      <c r="G1785" s="4" t="s">
        <v>25</v>
      </c>
      <c r="H1785" s="4" t="s">
        <v>36</v>
      </c>
      <c r="I1785" s="5">
        <v>44621</v>
      </c>
      <c r="J1785" s="6">
        <v>0</v>
      </c>
      <c r="K1785" s="6">
        <v>0</v>
      </c>
      <c r="L1785" s="6">
        <v>0.23899999999999999</v>
      </c>
      <c r="M1785" s="6">
        <v>0.23899999999999999</v>
      </c>
      <c r="N1785" s="6">
        <v>0.23899999999999999</v>
      </c>
      <c r="O1785" s="6">
        <v>0.23899999999999999</v>
      </c>
      <c r="P1785" s="6">
        <v>0</v>
      </c>
      <c r="Q1785" s="4" t="s">
        <v>26</v>
      </c>
      <c r="R1785" s="4">
        <v>0</v>
      </c>
      <c r="S1785" s="6">
        <v>0</v>
      </c>
      <c r="T1785" s="6">
        <v>67</v>
      </c>
      <c r="U1785" s="6">
        <v>110</v>
      </c>
      <c r="V1785" s="6">
        <f>IF(ISERROR(VLOOKUP($S$1785,'TAR FIN'!$A$1:$O$116,15,0)),0,VLOOKUP($S$1785,'TAR FIN'!$A$1:$O$116,15,0))</f>
        <v>0</v>
      </c>
      <c r="W1785" s="6">
        <f>IF(ISERROR(VLOOKUP($T$1785,'TAR FIN'!$A$1:$O$116,15,0)),0,VLOOKUP($T$1785,'TAR FIN'!$A$1:$O$116,15,0))</f>
        <v>575.91999999999996</v>
      </c>
      <c r="X1785" s="6">
        <f>IF(ISERROR(VLOOKUP($U$1785,'TAR FIN'!$A$1:$O$116,15,0)),0,VLOOKUP($U$1785,'TAR FIN'!$A$1:$O$116,15,0))</f>
        <v>311.04000000000002</v>
      </c>
      <c r="Y1785" s="6"/>
      <c r="Z1785" s="6">
        <f ca="1">('TUSD BE'!$AM$69+'TUSD BF'!$AM$69+'TUSD CVA'!$AM$69)*1</f>
        <v>706.22797575649349</v>
      </c>
      <c r="AA1785" s="6">
        <f>('TE BE'!$AB$40+'TE BF'!$AB$40+'TE CVA'!$AB$40)*1</f>
        <v>313.22907246928764</v>
      </c>
      <c r="AB1785" s="6">
        <f>$K$1785*$V$1785</f>
        <v>0</v>
      </c>
      <c r="AC1785" s="6">
        <f>$M$1785*$W$1785</f>
        <v>137.64487999999997</v>
      </c>
      <c r="AD1785" s="6">
        <f>$O$1785*$X$1785</f>
        <v>74.338560000000001</v>
      </c>
      <c r="AE1785" s="6">
        <f>$K$1785*$Y$1785</f>
        <v>0</v>
      </c>
      <c r="AF1785" s="6">
        <f ca="1">$M$1785*$Z$1785</f>
        <v>168.78848620580195</v>
      </c>
      <c r="AG1785" s="6">
        <f>$O$1785*$AA$1785</f>
        <v>74.861748320159748</v>
      </c>
    </row>
    <row r="1786" spans="1:33" ht="11.25" customHeight="1" x14ac:dyDescent="0.25">
      <c r="A1786" s="4" t="s">
        <v>21</v>
      </c>
      <c r="B1786" s="4" t="s">
        <v>37</v>
      </c>
      <c r="C1786" s="4" t="s">
        <v>33</v>
      </c>
      <c r="D1786" s="4" t="s">
        <v>38</v>
      </c>
      <c r="E1786" s="4" t="s">
        <v>25</v>
      </c>
      <c r="F1786" s="4" t="s">
        <v>25</v>
      </c>
      <c r="G1786" s="4" t="s">
        <v>25</v>
      </c>
      <c r="H1786" s="4" t="s">
        <v>36</v>
      </c>
      <c r="I1786" s="5">
        <v>44652</v>
      </c>
      <c r="J1786" s="6">
        <v>0</v>
      </c>
      <c r="K1786" s="6">
        <v>0</v>
      </c>
      <c r="L1786" s="6">
        <v>0.56499999999999995</v>
      </c>
      <c r="M1786" s="6">
        <v>0.56499999999999995</v>
      </c>
      <c r="N1786" s="6">
        <v>0.56499999999999995</v>
      </c>
      <c r="O1786" s="6">
        <v>0.56499999999999995</v>
      </c>
      <c r="P1786" s="6">
        <v>0</v>
      </c>
      <c r="Q1786" s="4" t="s">
        <v>26</v>
      </c>
      <c r="R1786" s="4">
        <v>0</v>
      </c>
      <c r="S1786" s="6">
        <v>0</v>
      </c>
      <c r="T1786" s="6">
        <v>67</v>
      </c>
      <c r="U1786" s="6">
        <v>110</v>
      </c>
      <c r="V1786" s="6">
        <f>IF(ISERROR(VLOOKUP($S$1786,'TAR FIN'!$A$1:$O$116,15,0)),0,VLOOKUP($S$1786,'TAR FIN'!$A$1:$O$116,15,0))</f>
        <v>0</v>
      </c>
      <c r="W1786" s="6">
        <f>IF(ISERROR(VLOOKUP($T$1786,'TAR FIN'!$A$1:$O$116,15,0)),0,VLOOKUP($T$1786,'TAR FIN'!$A$1:$O$116,15,0))</f>
        <v>575.91999999999996</v>
      </c>
      <c r="X1786" s="6">
        <f>IF(ISERROR(VLOOKUP($U$1786,'TAR FIN'!$A$1:$O$116,15,0)),0,VLOOKUP($U$1786,'TAR FIN'!$A$1:$O$116,15,0))</f>
        <v>311.04000000000002</v>
      </c>
      <c r="Y1786" s="6"/>
      <c r="Z1786" s="6">
        <f ca="1">('TUSD BE'!$AM$69+'TUSD BF'!$AM$69+'TUSD CVA'!$AM$69)*1</f>
        <v>706.22797575649349</v>
      </c>
      <c r="AA1786" s="6">
        <f>('TE BE'!$AB$40+'TE BF'!$AB$40+'TE CVA'!$AB$40)*1</f>
        <v>313.22907246928764</v>
      </c>
      <c r="AB1786" s="6">
        <f>$K$1786*$V$1786</f>
        <v>0</v>
      </c>
      <c r="AC1786" s="6">
        <f>$M$1786*$W$1786</f>
        <v>325.39479999999992</v>
      </c>
      <c r="AD1786" s="6">
        <f>$O$1786*$X$1786</f>
        <v>175.73759999999999</v>
      </c>
      <c r="AE1786" s="6">
        <f>$K$1786*$Y$1786</f>
        <v>0</v>
      </c>
      <c r="AF1786" s="6">
        <f ca="1">$M$1786*$Z$1786</f>
        <v>399.0188063024188</v>
      </c>
      <c r="AG1786" s="6">
        <f>$O$1786*$AA$1786</f>
        <v>176.97442594514752</v>
      </c>
    </row>
    <row r="1787" spans="1:33" ht="11.25" customHeight="1" x14ac:dyDescent="0.25">
      <c r="A1787" s="4" t="s">
        <v>58</v>
      </c>
      <c r="B1787" s="4" t="s">
        <v>37</v>
      </c>
      <c r="C1787" s="4" t="s">
        <v>33</v>
      </c>
      <c r="D1787" s="4" t="s">
        <v>38</v>
      </c>
      <c r="E1787" s="4" t="s">
        <v>25</v>
      </c>
      <c r="F1787" s="4" t="s">
        <v>25</v>
      </c>
      <c r="G1787" s="4" t="s">
        <v>25</v>
      </c>
      <c r="H1787" s="4" t="s">
        <v>36</v>
      </c>
      <c r="I1787" s="5">
        <v>44682</v>
      </c>
      <c r="J1787" s="6">
        <v>0</v>
      </c>
      <c r="K1787" s="6">
        <v>0</v>
      </c>
      <c r="L1787" s="6">
        <v>0.56499999999999995</v>
      </c>
      <c r="M1787" s="6">
        <v>0.56499999999999995</v>
      </c>
      <c r="N1787" s="6">
        <v>0.56499999999999995</v>
      </c>
      <c r="O1787" s="6">
        <v>0.56499999999999995</v>
      </c>
      <c r="P1787" s="6">
        <v>0</v>
      </c>
      <c r="Q1787" s="4" t="s">
        <v>26</v>
      </c>
      <c r="R1787" s="4">
        <v>0</v>
      </c>
      <c r="S1787" s="6">
        <v>0</v>
      </c>
      <c r="T1787" s="6">
        <v>67</v>
      </c>
      <c r="U1787" s="6">
        <v>110</v>
      </c>
      <c r="V1787" s="6">
        <f>IF(ISERROR(VLOOKUP($S$1787,'TAR FIN'!$A$1:$O$116,15,0)),0,VLOOKUP($S$1787,'TAR FIN'!$A$1:$O$116,15,0))</f>
        <v>0</v>
      </c>
      <c r="W1787" s="6">
        <f>IF(ISERROR(VLOOKUP($T$1787,'TAR FIN'!$A$1:$O$116,15,0)),0,VLOOKUP($T$1787,'TAR FIN'!$A$1:$O$116,15,0))</f>
        <v>575.91999999999996</v>
      </c>
      <c r="X1787" s="6">
        <f>IF(ISERROR(VLOOKUP($U$1787,'TAR FIN'!$A$1:$O$116,15,0)),0,VLOOKUP($U$1787,'TAR FIN'!$A$1:$O$116,15,0))</f>
        <v>311.04000000000002</v>
      </c>
      <c r="Y1787" s="6"/>
      <c r="Z1787" s="6">
        <f ca="1">('TUSD BE'!$AM$69+'TUSD BF'!$AM$69+'TUSD CVA'!$AM$69)*1</f>
        <v>706.22797575649349</v>
      </c>
      <c r="AA1787" s="6">
        <f>('TE BE'!$AB$40+'TE BF'!$AB$40+'TE CVA'!$AB$40)*1</f>
        <v>313.22907246928764</v>
      </c>
      <c r="AB1787" s="6">
        <f>$K$1787*$V$1787</f>
        <v>0</v>
      </c>
      <c r="AC1787" s="6">
        <f>$M$1787*$W$1787</f>
        <v>325.39479999999992</v>
      </c>
      <c r="AD1787" s="6">
        <f>$O$1787*$X$1787</f>
        <v>175.73759999999999</v>
      </c>
      <c r="AE1787" s="6">
        <f>$K$1787*$Y$1787</f>
        <v>0</v>
      </c>
      <c r="AF1787" s="6">
        <f ca="1">$M$1787*$Z$1787</f>
        <v>399.0188063024188</v>
      </c>
      <c r="AG1787" s="6">
        <f>$O$1787*$AA$1787</f>
        <v>176.97442594514752</v>
      </c>
    </row>
    <row r="1788" spans="1:33" ht="11.25" customHeight="1" x14ac:dyDescent="0.25">
      <c r="A1788" s="4" t="s">
        <v>21</v>
      </c>
      <c r="B1788" s="4" t="s">
        <v>37</v>
      </c>
      <c r="C1788" s="4" t="s">
        <v>33</v>
      </c>
      <c r="D1788" s="4" t="s">
        <v>38</v>
      </c>
      <c r="E1788" s="4" t="s">
        <v>25</v>
      </c>
      <c r="F1788" s="4" t="s">
        <v>25</v>
      </c>
      <c r="G1788" s="4" t="s">
        <v>25</v>
      </c>
      <c r="H1788" s="4" t="s">
        <v>34</v>
      </c>
      <c r="I1788" s="5">
        <v>44348</v>
      </c>
      <c r="J1788" s="6">
        <v>0</v>
      </c>
      <c r="K1788" s="6">
        <v>0</v>
      </c>
      <c r="L1788" s="6">
        <v>0.23499999999999999</v>
      </c>
      <c r="M1788" s="6">
        <v>0.23499999999999999</v>
      </c>
      <c r="N1788" s="6">
        <v>0.23499999999999999</v>
      </c>
      <c r="O1788" s="6">
        <v>0.23499999999999999</v>
      </c>
      <c r="P1788" s="6">
        <v>0</v>
      </c>
      <c r="Q1788" s="4" t="s">
        <v>26</v>
      </c>
      <c r="R1788" s="4">
        <v>0</v>
      </c>
      <c r="S1788" s="6">
        <v>0</v>
      </c>
      <c r="T1788" s="6">
        <v>66</v>
      </c>
      <c r="U1788" s="6">
        <v>109</v>
      </c>
      <c r="V1788" s="6">
        <f>IF(ISERROR(VLOOKUP($S$1788,'TAR FIN'!$A$1:$O$116,15,0)),0,VLOOKUP($S$1788,'TAR FIN'!$A$1:$O$116,15,0))</f>
        <v>0</v>
      </c>
      <c r="W1788" s="6">
        <f>IF(ISERROR(VLOOKUP($T$1788,'TAR FIN'!$A$1:$O$116,15,0)),0,VLOOKUP($T$1788,'TAR FIN'!$A$1:$O$116,15,0))</f>
        <v>881.18</v>
      </c>
      <c r="X1788" s="6">
        <f>IF(ISERROR(VLOOKUP($U$1788,'TAR FIN'!$A$1:$O$116,15,0)),0,VLOOKUP($U$1788,'TAR FIN'!$A$1:$O$116,15,0))</f>
        <v>496.15</v>
      </c>
      <c r="Y1788" s="6"/>
      <c r="Z1788" s="6">
        <f ca="1">('TUSD BE'!$AM$68+'TUSD BF'!$AM$68+'TUSD CVA'!$AM$68)*1</f>
        <v>1058.5766451511297</v>
      </c>
      <c r="AA1788" s="6">
        <f>('TE BE'!$AB$39+'TE BF'!$AB$39+'TE CVA'!$AB$39)*1</f>
        <v>510.04993331215127</v>
      </c>
      <c r="AB1788" s="6">
        <f>$K$1788*$V$1788</f>
        <v>0</v>
      </c>
      <c r="AC1788" s="6">
        <f>$M$1788*$W$1788</f>
        <v>207.07729999999998</v>
      </c>
      <c r="AD1788" s="6">
        <f>$O$1788*$X$1788</f>
        <v>116.59524999999999</v>
      </c>
      <c r="AE1788" s="6">
        <f>$K$1788*$Y$1788</f>
        <v>0</v>
      </c>
      <c r="AF1788" s="6">
        <f ca="1">$M$1788*$Z$1788</f>
        <v>248.76551161051546</v>
      </c>
      <c r="AG1788" s="6">
        <f>$O$1788*$AA$1788</f>
        <v>119.86173432835554</v>
      </c>
    </row>
    <row r="1789" spans="1:33" ht="11.25" customHeight="1" x14ac:dyDescent="0.25">
      <c r="A1789" s="4" t="s">
        <v>21</v>
      </c>
      <c r="B1789" s="4" t="s">
        <v>37</v>
      </c>
      <c r="C1789" s="4" t="s">
        <v>33</v>
      </c>
      <c r="D1789" s="4" t="s">
        <v>38</v>
      </c>
      <c r="E1789" s="4" t="s">
        <v>25</v>
      </c>
      <c r="F1789" s="4" t="s">
        <v>25</v>
      </c>
      <c r="G1789" s="4" t="s">
        <v>25</v>
      </c>
      <c r="H1789" s="4" t="s">
        <v>34</v>
      </c>
      <c r="I1789" s="5">
        <v>44378</v>
      </c>
      <c r="J1789" s="6">
        <v>0</v>
      </c>
      <c r="K1789" s="6">
        <v>0</v>
      </c>
      <c r="L1789" s="6">
        <v>0.28599999999999998</v>
      </c>
      <c r="M1789" s="6">
        <v>0.28599999999999998</v>
      </c>
      <c r="N1789" s="6">
        <v>0.28599999999999998</v>
      </c>
      <c r="O1789" s="6">
        <v>0.28599999999999998</v>
      </c>
      <c r="P1789" s="6">
        <v>0</v>
      </c>
      <c r="Q1789" s="4" t="s">
        <v>26</v>
      </c>
      <c r="R1789" s="4">
        <v>0</v>
      </c>
      <c r="S1789" s="6">
        <v>0</v>
      </c>
      <c r="T1789" s="6">
        <v>66</v>
      </c>
      <c r="U1789" s="6">
        <v>109</v>
      </c>
      <c r="V1789" s="6">
        <f>IF(ISERROR(VLOOKUP($S$1789,'TAR FIN'!$A$1:$O$116,15,0)),0,VLOOKUP($S$1789,'TAR FIN'!$A$1:$O$116,15,0))</f>
        <v>0</v>
      </c>
      <c r="W1789" s="6">
        <f>IF(ISERROR(VLOOKUP($T$1789,'TAR FIN'!$A$1:$O$116,15,0)),0,VLOOKUP($T$1789,'TAR FIN'!$A$1:$O$116,15,0))</f>
        <v>881.18</v>
      </c>
      <c r="X1789" s="6">
        <f>IF(ISERROR(VLOOKUP($U$1789,'TAR FIN'!$A$1:$O$116,15,0)),0,VLOOKUP($U$1789,'TAR FIN'!$A$1:$O$116,15,0))</f>
        <v>496.15</v>
      </c>
      <c r="Y1789" s="6"/>
      <c r="Z1789" s="6">
        <f ca="1">('TUSD BE'!$AM$68+'TUSD BF'!$AM$68+'TUSD CVA'!$AM$68)*1</f>
        <v>1058.5766451511297</v>
      </c>
      <c r="AA1789" s="6">
        <f>('TE BE'!$AB$39+'TE BF'!$AB$39+'TE CVA'!$AB$39)*1</f>
        <v>510.04993331215127</v>
      </c>
      <c r="AB1789" s="6">
        <f>$K$1789*$V$1789</f>
        <v>0</v>
      </c>
      <c r="AC1789" s="6">
        <f>$M$1789*$W$1789</f>
        <v>252.01747999999998</v>
      </c>
      <c r="AD1789" s="6">
        <f>$O$1789*$X$1789</f>
        <v>141.89889999999997</v>
      </c>
      <c r="AE1789" s="6">
        <f>$K$1789*$Y$1789</f>
        <v>0</v>
      </c>
      <c r="AF1789" s="6">
        <f ca="1">$M$1789*$Z$1789</f>
        <v>302.75292051322305</v>
      </c>
      <c r="AG1789" s="6">
        <f>$O$1789*$AA$1789</f>
        <v>145.87428092727524</v>
      </c>
    </row>
    <row r="1790" spans="1:33" ht="11.25" customHeight="1" x14ac:dyDescent="0.25">
      <c r="A1790" s="4" t="s">
        <v>21</v>
      </c>
      <c r="B1790" s="4" t="s">
        <v>37</v>
      </c>
      <c r="C1790" s="4" t="s">
        <v>33</v>
      </c>
      <c r="D1790" s="4" t="s">
        <v>38</v>
      </c>
      <c r="E1790" s="4" t="s">
        <v>25</v>
      </c>
      <c r="F1790" s="4" t="s">
        <v>25</v>
      </c>
      <c r="G1790" s="4" t="s">
        <v>25</v>
      </c>
      <c r="H1790" s="4" t="s">
        <v>34</v>
      </c>
      <c r="I1790" s="5">
        <v>44409</v>
      </c>
      <c r="J1790" s="6">
        <v>0</v>
      </c>
      <c r="K1790" s="6">
        <v>0</v>
      </c>
      <c r="L1790" s="6">
        <v>0.46500000000000002</v>
      </c>
      <c r="M1790" s="6">
        <v>0.46500000000000002</v>
      </c>
      <c r="N1790" s="6">
        <v>0.46500000000000002</v>
      </c>
      <c r="O1790" s="6">
        <v>0.46500000000000002</v>
      </c>
      <c r="P1790" s="6">
        <v>0</v>
      </c>
      <c r="Q1790" s="4" t="s">
        <v>26</v>
      </c>
      <c r="R1790" s="4">
        <v>0</v>
      </c>
      <c r="S1790" s="6">
        <v>0</v>
      </c>
      <c r="T1790" s="6">
        <v>66</v>
      </c>
      <c r="U1790" s="6">
        <v>109</v>
      </c>
      <c r="V1790" s="6">
        <f>IF(ISERROR(VLOOKUP($S$1790,'TAR FIN'!$A$1:$O$116,15,0)),0,VLOOKUP($S$1790,'TAR FIN'!$A$1:$O$116,15,0))</f>
        <v>0</v>
      </c>
      <c r="W1790" s="6">
        <f>IF(ISERROR(VLOOKUP($T$1790,'TAR FIN'!$A$1:$O$116,15,0)),0,VLOOKUP($T$1790,'TAR FIN'!$A$1:$O$116,15,0))</f>
        <v>881.18</v>
      </c>
      <c r="X1790" s="6">
        <f>IF(ISERROR(VLOOKUP($U$1790,'TAR FIN'!$A$1:$O$116,15,0)),0,VLOOKUP($U$1790,'TAR FIN'!$A$1:$O$116,15,0))</f>
        <v>496.15</v>
      </c>
      <c r="Y1790" s="6"/>
      <c r="Z1790" s="6">
        <f ca="1">('TUSD BE'!$AM$68+'TUSD BF'!$AM$68+'TUSD CVA'!$AM$68)*1</f>
        <v>1058.5766451511297</v>
      </c>
      <c r="AA1790" s="6">
        <f>('TE BE'!$AB$39+'TE BF'!$AB$39+'TE CVA'!$AB$39)*1</f>
        <v>510.04993331215127</v>
      </c>
      <c r="AB1790" s="6">
        <f>$K$1790*$V$1790</f>
        <v>0</v>
      </c>
      <c r="AC1790" s="6">
        <f>$M$1790*$W$1790</f>
        <v>409.74869999999999</v>
      </c>
      <c r="AD1790" s="6">
        <f>$O$1790*$X$1790</f>
        <v>230.70975000000001</v>
      </c>
      <c r="AE1790" s="6">
        <f>$K$1790*$Y$1790</f>
        <v>0</v>
      </c>
      <c r="AF1790" s="6">
        <f ca="1">$M$1790*$Z$1790</f>
        <v>492.23813999527533</v>
      </c>
      <c r="AG1790" s="6">
        <f>$O$1790*$AA$1790</f>
        <v>237.17321899015036</v>
      </c>
    </row>
    <row r="1791" spans="1:33" ht="11.25" customHeight="1" x14ac:dyDescent="0.25">
      <c r="A1791" s="4" t="s">
        <v>21</v>
      </c>
      <c r="B1791" s="4" t="s">
        <v>37</v>
      </c>
      <c r="C1791" s="4" t="s">
        <v>33</v>
      </c>
      <c r="D1791" s="4" t="s">
        <v>38</v>
      </c>
      <c r="E1791" s="4" t="s">
        <v>25</v>
      </c>
      <c r="F1791" s="4" t="s">
        <v>25</v>
      </c>
      <c r="G1791" s="4" t="s">
        <v>25</v>
      </c>
      <c r="H1791" s="4" t="s">
        <v>34</v>
      </c>
      <c r="I1791" s="5">
        <v>44440</v>
      </c>
      <c r="J1791" s="6">
        <v>0</v>
      </c>
      <c r="K1791" s="6">
        <v>0</v>
      </c>
      <c r="L1791" s="6">
        <v>0.436</v>
      </c>
      <c r="M1791" s="6">
        <v>0.436</v>
      </c>
      <c r="N1791" s="6">
        <v>0.436</v>
      </c>
      <c r="O1791" s="6">
        <v>0.436</v>
      </c>
      <c r="P1791" s="6">
        <v>0</v>
      </c>
      <c r="Q1791" s="4" t="s">
        <v>26</v>
      </c>
      <c r="R1791" s="4">
        <v>0</v>
      </c>
      <c r="S1791" s="6">
        <v>0</v>
      </c>
      <c r="T1791" s="6">
        <v>66</v>
      </c>
      <c r="U1791" s="6">
        <v>109</v>
      </c>
      <c r="V1791" s="6">
        <f>IF(ISERROR(VLOOKUP($S$1791,'TAR FIN'!$A$1:$O$116,15,0)),0,VLOOKUP($S$1791,'TAR FIN'!$A$1:$O$116,15,0))</f>
        <v>0</v>
      </c>
      <c r="W1791" s="6">
        <f>IF(ISERROR(VLOOKUP($T$1791,'TAR FIN'!$A$1:$O$116,15,0)),0,VLOOKUP($T$1791,'TAR FIN'!$A$1:$O$116,15,0))</f>
        <v>881.18</v>
      </c>
      <c r="X1791" s="6">
        <f>IF(ISERROR(VLOOKUP($U$1791,'TAR FIN'!$A$1:$O$116,15,0)),0,VLOOKUP($U$1791,'TAR FIN'!$A$1:$O$116,15,0))</f>
        <v>496.15</v>
      </c>
      <c r="Y1791" s="6"/>
      <c r="Z1791" s="6">
        <f ca="1">('TUSD BE'!$AM$68+'TUSD BF'!$AM$68+'TUSD CVA'!$AM$68)*1</f>
        <v>1058.5766451511297</v>
      </c>
      <c r="AA1791" s="6">
        <f>('TE BE'!$AB$39+'TE BF'!$AB$39+'TE CVA'!$AB$39)*1</f>
        <v>510.04993331215127</v>
      </c>
      <c r="AB1791" s="6">
        <f>$K$1791*$V$1791</f>
        <v>0</v>
      </c>
      <c r="AC1791" s="6">
        <f>$M$1791*$W$1791</f>
        <v>384.19448</v>
      </c>
      <c r="AD1791" s="6">
        <f>$O$1791*$X$1791</f>
        <v>216.32139999999998</v>
      </c>
      <c r="AE1791" s="6">
        <f>$K$1791*$Y$1791</f>
        <v>0</v>
      </c>
      <c r="AF1791" s="6">
        <f ca="1">$M$1791*$Z$1791</f>
        <v>461.53941728589257</v>
      </c>
      <c r="AG1791" s="6">
        <f>$O$1791*$AA$1791</f>
        <v>222.38177092409796</v>
      </c>
    </row>
    <row r="1792" spans="1:33" ht="11.25" customHeight="1" x14ac:dyDescent="0.25">
      <c r="A1792" s="4" t="s">
        <v>21</v>
      </c>
      <c r="B1792" s="4" t="s">
        <v>37</v>
      </c>
      <c r="C1792" s="4" t="s">
        <v>33</v>
      </c>
      <c r="D1792" s="4" t="s">
        <v>38</v>
      </c>
      <c r="E1792" s="4" t="s">
        <v>25</v>
      </c>
      <c r="F1792" s="4" t="s">
        <v>25</v>
      </c>
      <c r="G1792" s="4" t="s">
        <v>25</v>
      </c>
      <c r="H1792" s="4" t="s">
        <v>34</v>
      </c>
      <c r="I1792" s="5">
        <v>44470</v>
      </c>
      <c r="J1792" s="6">
        <v>0</v>
      </c>
      <c r="K1792" s="6">
        <v>0</v>
      </c>
      <c r="L1792" s="6">
        <v>0.29299999999999998</v>
      </c>
      <c r="M1792" s="6">
        <v>0.29299999999999998</v>
      </c>
      <c r="N1792" s="6">
        <v>0.29299999999999998</v>
      </c>
      <c r="O1792" s="6">
        <v>0.29299999999999998</v>
      </c>
      <c r="P1792" s="6">
        <v>0</v>
      </c>
      <c r="Q1792" s="4" t="s">
        <v>26</v>
      </c>
      <c r="R1792" s="4">
        <v>0</v>
      </c>
      <c r="S1792" s="6">
        <v>0</v>
      </c>
      <c r="T1792" s="6">
        <v>66</v>
      </c>
      <c r="U1792" s="6">
        <v>109</v>
      </c>
      <c r="V1792" s="6">
        <f>IF(ISERROR(VLOOKUP($S$1792,'TAR FIN'!$A$1:$O$116,15,0)),0,VLOOKUP($S$1792,'TAR FIN'!$A$1:$O$116,15,0))</f>
        <v>0</v>
      </c>
      <c r="W1792" s="6">
        <f>IF(ISERROR(VLOOKUP($T$1792,'TAR FIN'!$A$1:$O$116,15,0)),0,VLOOKUP($T$1792,'TAR FIN'!$A$1:$O$116,15,0))</f>
        <v>881.18</v>
      </c>
      <c r="X1792" s="6">
        <f>IF(ISERROR(VLOOKUP($U$1792,'TAR FIN'!$A$1:$O$116,15,0)),0,VLOOKUP($U$1792,'TAR FIN'!$A$1:$O$116,15,0))</f>
        <v>496.15</v>
      </c>
      <c r="Y1792" s="6"/>
      <c r="Z1792" s="6">
        <f ca="1">('TUSD BE'!$AM$68+'TUSD BF'!$AM$68+'TUSD CVA'!$AM$68)*1</f>
        <v>1058.5766451511297</v>
      </c>
      <c r="AA1792" s="6">
        <f>('TE BE'!$AB$39+'TE BF'!$AB$39+'TE CVA'!$AB$39)*1</f>
        <v>510.04993331215127</v>
      </c>
      <c r="AB1792" s="6">
        <f>$K$1792*$V$1792</f>
        <v>0</v>
      </c>
      <c r="AC1792" s="6">
        <f>$M$1792*$W$1792</f>
        <v>258.18573999999995</v>
      </c>
      <c r="AD1792" s="6">
        <f>$O$1792*$X$1792</f>
        <v>145.37195</v>
      </c>
      <c r="AE1792" s="6">
        <f>$K$1792*$Y$1792</f>
        <v>0</v>
      </c>
      <c r="AF1792" s="6">
        <f ca="1">$M$1792*$Z$1792</f>
        <v>310.16295702928096</v>
      </c>
      <c r="AG1792" s="6">
        <f>$O$1792*$AA$1792</f>
        <v>149.4446304604603</v>
      </c>
    </row>
    <row r="1793" spans="1:33" ht="11.25" customHeight="1" x14ac:dyDescent="0.25">
      <c r="A1793" s="4" t="s">
        <v>21</v>
      </c>
      <c r="B1793" s="4" t="s">
        <v>37</v>
      </c>
      <c r="C1793" s="4" t="s">
        <v>33</v>
      </c>
      <c r="D1793" s="4" t="s">
        <v>38</v>
      </c>
      <c r="E1793" s="4" t="s">
        <v>25</v>
      </c>
      <c r="F1793" s="4" t="s">
        <v>25</v>
      </c>
      <c r="G1793" s="4" t="s">
        <v>25</v>
      </c>
      <c r="H1793" s="4" t="s">
        <v>34</v>
      </c>
      <c r="I1793" s="5">
        <v>44501</v>
      </c>
      <c r="J1793" s="6">
        <v>0</v>
      </c>
      <c r="K1793" s="6">
        <v>0</v>
      </c>
      <c r="L1793" s="6">
        <v>0.52900000000000003</v>
      </c>
      <c r="M1793" s="6">
        <v>0.52900000000000003</v>
      </c>
      <c r="N1793" s="6">
        <v>0.52900000000000003</v>
      </c>
      <c r="O1793" s="6">
        <v>0.52900000000000003</v>
      </c>
      <c r="P1793" s="6">
        <v>0</v>
      </c>
      <c r="Q1793" s="4" t="s">
        <v>26</v>
      </c>
      <c r="R1793" s="4">
        <v>0</v>
      </c>
      <c r="S1793" s="6">
        <v>0</v>
      </c>
      <c r="T1793" s="6">
        <v>66</v>
      </c>
      <c r="U1793" s="6">
        <v>109</v>
      </c>
      <c r="V1793" s="6">
        <f>IF(ISERROR(VLOOKUP($S$1793,'TAR FIN'!$A$1:$O$116,15,0)),0,VLOOKUP($S$1793,'TAR FIN'!$A$1:$O$116,15,0))</f>
        <v>0</v>
      </c>
      <c r="W1793" s="6">
        <f>IF(ISERROR(VLOOKUP($T$1793,'TAR FIN'!$A$1:$O$116,15,0)),0,VLOOKUP($T$1793,'TAR FIN'!$A$1:$O$116,15,0))</f>
        <v>881.18</v>
      </c>
      <c r="X1793" s="6">
        <f>IF(ISERROR(VLOOKUP($U$1793,'TAR FIN'!$A$1:$O$116,15,0)),0,VLOOKUP($U$1793,'TAR FIN'!$A$1:$O$116,15,0))</f>
        <v>496.15</v>
      </c>
      <c r="Y1793" s="6"/>
      <c r="Z1793" s="6">
        <f ca="1">('TUSD BE'!$AM$68+'TUSD BF'!$AM$68+'TUSD CVA'!$AM$68)*1</f>
        <v>1058.5766451511297</v>
      </c>
      <c r="AA1793" s="6">
        <f>('TE BE'!$AB$39+'TE BF'!$AB$39+'TE CVA'!$AB$39)*1</f>
        <v>510.04993331215127</v>
      </c>
      <c r="AB1793" s="6">
        <f>$K$1793*$V$1793</f>
        <v>0</v>
      </c>
      <c r="AC1793" s="6">
        <f>$M$1793*$W$1793</f>
        <v>466.14422000000002</v>
      </c>
      <c r="AD1793" s="6">
        <f>$O$1793*$X$1793</f>
        <v>262.46334999999999</v>
      </c>
      <c r="AE1793" s="6">
        <f>$K$1793*$Y$1793</f>
        <v>0</v>
      </c>
      <c r="AF1793" s="6">
        <f ca="1">$M$1793*$Z$1793</f>
        <v>559.98704528494761</v>
      </c>
      <c r="AG1793" s="6">
        <f>$O$1793*$AA$1793</f>
        <v>269.81641472212806</v>
      </c>
    </row>
    <row r="1794" spans="1:33" ht="11.25" customHeight="1" x14ac:dyDescent="0.25">
      <c r="A1794" s="4" t="s">
        <v>21</v>
      </c>
      <c r="B1794" s="4" t="s">
        <v>37</v>
      </c>
      <c r="C1794" s="4" t="s">
        <v>33</v>
      </c>
      <c r="D1794" s="4" t="s">
        <v>38</v>
      </c>
      <c r="E1794" s="4" t="s">
        <v>25</v>
      </c>
      <c r="F1794" s="4" t="s">
        <v>25</v>
      </c>
      <c r="G1794" s="4" t="s">
        <v>25</v>
      </c>
      <c r="H1794" s="4" t="s">
        <v>34</v>
      </c>
      <c r="I1794" s="5">
        <v>44531</v>
      </c>
      <c r="J1794" s="6">
        <v>0</v>
      </c>
      <c r="K1794" s="6">
        <v>0</v>
      </c>
      <c r="L1794" s="6">
        <v>0.33500000000000002</v>
      </c>
      <c r="M1794" s="6">
        <v>0.33500000000000002</v>
      </c>
      <c r="N1794" s="6">
        <v>0.33500000000000002</v>
      </c>
      <c r="O1794" s="6">
        <v>0.33500000000000002</v>
      </c>
      <c r="P1794" s="6">
        <v>0</v>
      </c>
      <c r="Q1794" s="4" t="s">
        <v>26</v>
      </c>
      <c r="R1794" s="4">
        <v>0</v>
      </c>
      <c r="S1794" s="6">
        <v>0</v>
      </c>
      <c r="T1794" s="6">
        <v>66</v>
      </c>
      <c r="U1794" s="6">
        <v>109</v>
      </c>
      <c r="V1794" s="6">
        <f>IF(ISERROR(VLOOKUP($S$1794,'TAR FIN'!$A$1:$O$116,15,0)),0,VLOOKUP($S$1794,'TAR FIN'!$A$1:$O$116,15,0))</f>
        <v>0</v>
      </c>
      <c r="W1794" s="6">
        <f>IF(ISERROR(VLOOKUP($T$1794,'TAR FIN'!$A$1:$O$116,15,0)),0,VLOOKUP($T$1794,'TAR FIN'!$A$1:$O$116,15,0))</f>
        <v>881.18</v>
      </c>
      <c r="X1794" s="6">
        <f>IF(ISERROR(VLOOKUP($U$1794,'TAR FIN'!$A$1:$O$116,15,0)),0,VLOOKUP($U$1794,'TAR FIN'!$A$1:$O$116,15,0))</f>
        <v>496.15</v>
      </c>
      <c r="Y1794" s="6"/>
      <c r="Z1794" s="6">
        <f ca="1">('TUSD BE'!$AM$68+'TUSD BF'!$AM$68+'TUSD CVA'!$AM$68)*1</f>
        <v>1058.5766451511297</v>
      </c>
      <c r="AA1794" s="6">
        <f>('TE BE'!$AB$39+'TE BF'!$AB$39+'TE CVA'!$AB$39)*1</f>
        <v>510.04993331215127</v>
      </c>
      <c r="AB1794" s="6">
        <f>$K$1794*$V$1794</f>
        <v>0</v>
      </c>
      <c r="AC1794" s="6">
        <f>$M$1794*$W$1794</f>
        <v>295.19529999999997</v>
      </c>
      <c r="AD1794" s="6">
        <f>$O$1794*$X$1794</f>
        <v>166.21025</v>
      </c>
      <c r="AE1794" s="6">
        <f>$K$1794*$Y$1794</f>
        <v>0</v>
      </c>
      <c r="AF1794" s="6">
        <f ca="1">$M$1794*$Z$1794</f>
        <v>354.62317612562845</v>
      </c>
      <c r="AG1794" s="6">
        <f>$O$1794*$AA$1794</f>
        <v>170.86672765957067</v>
      </c>
    </row>
    <row r="1795" spans="1:33" ht="11.25" customHeight="1" x14ac:dyDescent="0.25">
      <c r="A1795" s="4" t="s">
        <v>21</v>
      </c>
      <c r="B1795" s="4" t="s">
        <v>37</v>
      </c>
      <c r="C1795" s="4" t="s">
        <v>33</v>
      </c>
      <c r="D1795" s="4" t="s">
        <v>38</v>
      </c>
      <c r="E1795" s="4" t="s">
        <v>25</v>
      </c>
      <c r="F1795" s="4" t="s">
        <v>25</v>
      </c>
      <c r="G1795" s="4" t="s">
        <v>25</v>
      </c>
      <c r="H1795" s="4" t="s">
        <v>34</v>
      </c>
      <c r="I1795" s="5">
        <v>44562</v>
      </c>
      <c r="J1795" s="6">
        <v>0</v>
      </c>
      <c r="K1795" s="6">
        <v>0</v>
      </c>
      <c r="L1795" s="6">
        <v>0.61299999999999999</v>
      </c>
      <c r="M1795" s="6">
        <v>0.61299999999999999</v>
      </c>
      <c r="N1795" s="6">
        <v>0.61299999999999999</v>
      </c>
      <c r="O1795" s="6">
        <v>0.61299999999999999</v>
      </c>
      <c r="P1795" s="6">
        <v>0</v>
      </c>
      <c r="Q1795" s="4" t="s">
        <v>26</v>
      </c>
      <c r="R1795" s="4">
        <v>0</v>
      </c>
      <c r="S1795" s="6">
        <v>0</v>
      </c>
      <c r="T1795" s="6">
        <v>66</v>
      </c>
      <c r="U1795" s="6">
        <v>109</v>
      </c>
      <c r="V1795" s="6">
        <f>IF(ISERROR(VLOOKUP($S$1795,'TAR FIN'!$A$1:$O$116,15,0)),0,VLOOKUP($S$1795,'TAR FIN'!$A$1:$O$116,15,0))</f>
        <v>0</v>
      </c>
      <c r="W1795" s="6">
        <f>IF(ISERROR(VLOOKUP($T$1795,'TAR FIN'!$A$1:$O$116,15,0)),0,VLOOKUP($T$1795,'TAR FIN'!$A$1:$O$116,15,0))</f>
        <v>881.18</v>
      </c>
      <c r="X1795" s="6">
        <f>IF(ISERROR(VLOOKUP($U$1795,'TAR FIN'!$A$1:$O$116,15,0)),0,VLOOKUP($U$1795,'TAR FIN'!$A$1:$O$116,15,0))</f>
        <v>496.15</v>
      </c>
      <c r="Y1795" s="6"/>
      <c r="Z1795" s="6">
        <f ca="1">('TUSD BE'!$AM$68+'TUSD BF'!$AM$68+'TUSD CVA'!$AM$68)*1</f>
        <v>1058.5766451511297</v>
      </c>
      <c r="AA1795" s="6">
        <f>('TE BE'!$AB$39+'TE BF'!$AB$39+'TE CVA'!$AB$39)*1</f>
        <v>510.04993331215127</v>
      </c>
      <c r="AB1795" s="6">
        <f>$K$1795*$V$1795</f>
        <v>0</v>
      </c>
      <c r="AC1795" s="6">
        <f>$M$1795*$W$1795</f>
        <v>540.16333999999995</v>
      </c>
      <c r="AD1795" s="6">
        <f>$O$1795*$X$1795</f>
        <v>304.13995</v>
      </c>
      <c r="AE1795" s="6">
        <f>$K$1795*$Y$1795</f>
        <v>0</v>
      </c>
      <c r="AF1795" s="6">
        <f ca="1">$M$1795*$Z$1795</f>
        <v>648.90748347764247</v>
      </c>
      <c r="AG1795" s="6">
        <f>$O$1795*$AA$1795</f>
        <v>312.66060912034874</v>
      </c>
    </row>
    <row r="1796" spans="1:33" ht="11.25" customHeight="1" x14ac:dyDescent="0.25">
      <c r="A1796" s="4" t="s">
        <v>21</v>
      </c>
      <c r="B1796" s="4" t="s">
        <v>37</v>
      </c>
      <c r="C1796" s="4" t="s">
        <v>33</v>
      </c>
      <c r="D1796" s="4" t="s">
        <v>38</v>
      </c>
      <c r="E1796" s="4" t="s">
        <v>25</v>
      </c>
      <c r="F1796" s="4" t="s">
        <v>25</v>
      </c>
      <c r="G1796" s="4" t="s">
        <v>25</v>
      </c>
      <c r="H1796" s="4" t="s">
        <v>34</v>
      </c>
      <c r="I1796" s="5">
        <v>44593</v>
      </c>
      <c r="J1796" s="6">
        <v>0</v>
      </c>
      <c r="K1796" s="6">
        <v>0</v>
      </c>
      <c r="L1796" s="6">
        <v>0.248</v>
      </c>
      <c r="M1796" s="6">
        <v>0.248</v>
      </c>
      <c r="N1796" s="6">
        <v>0.248</v>
      </c>
      <c r="O1796" s="6">
        <v>0.248</v>
      </c>
      <c r="P1796" s="6">
        <v>0</v>
      </c>
      <c r="Q1796" s="4" t="s">
        <v>26</v>
      </c>
      <c r="R1796" s="4">
        <v>0</v>
      </c>
      <c r="S1796" s="6">
        <v>0</v>
      </c>
      <c r="T1796" s="6">
        <v>66</v>
      </c>
      <c r="U1796" s="6">
        <v>109</v>
      </c>
      <c r="V1796" s="6">
        <f>IF(ISERROR(VLOOKUP($S$1796,'TAR FIN'!$A$1:$O$116,15,0)),0,VLOOKUP($S$1796,'TAR FIN'!$A$1:$O$116,15,0))</f>
        <v>0</v>
      </c>
      <c r="W1796" s="6">
        <f>IF(ISERROR(VLOOKUP($T$1796,'TAR FIN'!$A$1:$O$116,15,0)),0,VLOOKUP($T$1796,'TAR FIN'!$A$1:$O$116,15,0))</f>
        <v>881.18</v>
      </c>
      <c r="X1796" s="6">
        <f>IF(ISERROR(VLOOKUP($U$1796,'TAR FIN'!$A$1:$O$116,15,0)),0,VLOOKUP($U$1796,'TAR FIN'!$A$1:$O$116,15,0))</f>
        <v>496.15</v>
      </c>
      <c r="Y1796" s="6"/>
      <c r="Z1796" s="6">
        <f ca="1">('TUSD BE'!$AM$68+'TUSD BF'!$AM$68+'TUSD CVA'!$AM$68)*1</f>
        <v>1058.5766451511297</v>
      </c>
      <c r="AA1796" s="6">
        <f>('TE BE'!$AB$39+'TE BF'!$AB$39+'TE CVA'!$AB$39)*1</f>
        <v>510.04993331215127</v>
      </c>
      <c r="AB1796" s="6">
        <f>$K$1796*$V$1796</f>
        <v>0</v>
      </c>
      <c r="AC1796" s="6">
        <f>$M$1796*$W$1796</f>
        <v>218.53263999999999</v>
      </c>
      <c r="AD1796" s="6">
        <f>$O$1796*$X$1796</f>
        <v>123.04519999999999</v>
      </c>
      <c r="AE1796" s="6">
        <f>$K$1796*$Y$1796</f>
        <v>0</v>
      </c>
      <c r="AF1796" s="6">
        <f ca="1">$M$1796*$Z$1796</f>
        <v>262.52700799748015</v>
      </c>
      <c r="AG1796" s="6">
        <f>$O$1796*$AA$1796</f>
        <v>126.49238346141351</v>
      </c>
    </row>
    <row r="1797" spans="1:33" ht="11.25" customHeight="1" x14ac:dyDescent="0.25">
      <c r="A1797" s="4" t="s">
        <v>21</v>
      </c>
      <c r="B1797" s="4" t="s">
        <v>37</v>
      </c>
      <c r="C1797" s="4" t="s">
        <v>33</v>
      </c>
      <c r="D1797" s="4" t="s">
        <v>38</v>
      </c>
      <c r="E1797" s="4" t="s">
        <v>25</v>
      </c>
      <c r="F1797" s="4" t="s">
        <v>25</v>
      </c>
      <c r="G1797" s="4" t="s">
        <v>25</v>
      </c>
      <c r="H1797" s="4" t="s">
        <v>34</v>
      </c>
      <c r="I1797" s="5">
        <v>44621</v>
      </c>
      <c r="J1797" s="6">
        <v>0</v>
      </c>
      <c r="K1797" s="6">
        <v>0</v>
      </c>
      <c r="L1797" s="6">
        <v>0.18099999999999999</v>
      </c>
      <c r="M1797" s="6">
        <v>0.18099999999999999</v>
      </c>
      <c r="N1797" s="6">
        <v>0.18099999999999999</v>
      </c>
      <c r="O1797" s="6">
        <v>0.18099999999999999</v>
      </c>
      <c r="P1797" s="6">
        <v>0</v>
      </c>
      <c r="Q1797" s="4" t="s">
        <v>26</v>
      </c>
      <c r="R1797" s="4">
        <v>0</v>
      </c>
      <c r="S1797" s="6">
        <v>0</v>
      </c>
      <c r="T1797" s="6">
        <v>66</v>
      </c>
      <c r="U1797" s="6">
        <v>109</v>
      </c>
      <c r="V1797" s="6">
        <f>IF(ISERROR(VLOOKUP($S$1797,'TAR FIN'!$A$1:$O$116,15,0)),0,VLOOKUP($S$1797,'TAR FIN'!$A$1:$O$116,15,0))</f>
        <v>0</v>
      </c>
      <c r="W1797" s="6">
        <f>IF(ISERROR(VLOOKUP($T$1797,'TAR FIN'!$A$1:$O$116,15,0)),0,VLOOKUP($T$1797,'TAR FIN'!$A$1:$O$116,15,0))</f>
        <v>881.18</v>
      </c>
      <c r="X1797" s="6">
        <f>IF(ISERROR(VLOOKUP($U$1797,'TAR FIN'!$A$1:$O$116,15,0)),0,VLOOKUP($U$1797,'TAR FIN'!$A$1:$O$116,15,0))</f>
        <v>496.15</v>
      </c>
      <c r="Y1797" s="6"/>
      <c r="Z1797" s="6">
        <f ca="1">('TUSD BE'!$AM$68+'TUSD BF'!$AM$68+'TUSD CVA'!$AM$68)*1</f>
        <v>1058.5766451511297</v>
      </c>
      <c r="AA1797" s="6">
        <f>('TE BE'!$AB$39+'TE BF'!$AB$39+'TE CVA'!$AB$39)*1</f>
        <v>510.04993331215127</v>
      </c>
      <c r="AB1797" s="6">
        <f>$K$1797*$V$1797</f>
        <v>0</v>
      </c>
      <c r="AC1797" s="6">
        <f>$M$1797*$W$1797</f>
        <v>159.49357999999998</v>
      </c>
      <c r="AD1797" s="6">
        <f>$O$1797*$X$1797</f>
        <v>89.803149999999988</v>
      </c>
      <c r="AE1797" s="6">
        <f>$K$1797*$Y$1797</f>
        <v>0</v>
      </c>
      <c r="AF1797" s="6">
        <f ca="1">$M$1797*$Z$1797</f>
        <v>191.60237277235447</v>
      </c>
      <c r="AG1797" s="6">
        <f>$O$1797*$AA$1797</f>
        <v>92.319037929499373</v>
      </c>
    </row>
    <row r="1798" spans="1:33" ht="11.25" customHeight="1" x14ac:dyDescent="0.25">
      <c r="A1798" s="4" t="s">
        <v>21</v>
      </c>
      <c r="B1798" s="4" t="s">
        <v>37</v>
      </c>
      <c r="C1798" s="4" t="s">
        <v>33</v>
      </c>
      <c r="D1798" s="4" t="s">
        <v>38</v>
      </c>
      <c r="E1798" s="4" t="s">
        <v>25</v>
      </c>
      <c r="F1798" s="4" t="s">
        <v>25</v>
      </c>
      <c r="G1798" s="4" t="s">
        <v>25</v>
      </c>
      <c r="H1798" s="4" t="s">
        <v>34</v>
      </c>
      <c r="I1798" s="5">
        <v>44652</v>
      </c>
      <c r="J1798" s="6">
        <v>0</v>
      </c>
      <c r="K1798" s="6">
        <v>0</v>
      </c>
      <c r="L1798" s="6">
        <v>0.29499999999999998</v>
      </c>
      <c r="M1798" s="6">
        <v>0.29499999999999998</v>
      </c>
      <c r="N1798" s="6">
        <v>0.29499999999999998</v>
      </c>
      <c r="O1798" s="6">
        <v>0.29499999999999998</v>
      </c>
      <c r="P1798" s="6">
        <v>0</v>
      </c>
      <c r="Q1798" s="4" t="s">
        <v>26</v>
      </c>
      <c r="R1798" s="4">
        <v>0</v>
      </c>
      <c r="S1798" s="6">
        <v>0</v>
      </c>
      <c r="T1798" s="6">
        <v>66</v>
      </c>
      <c r="U1798" s="6">
        <v>109</v>
      </c>
      <c r="V1798" s="6">
        <f>IF(ISERROR(VLOOKUP($S$1798,'TAR FIN'!$A$1:$O$116,15,0)),0,VLOOKUP($S$1798,'TAR FIN'!$A$1:$O$116,15,0))</f>
        <v>0</v>
      </c>
      <c r="W1798" s="6">
        <f>IF(ISERROR(VLOOKUP($T$1798,'TAR FIN'!$A$1:$O$116,15,0)),0,VLOOKUP($T$1798,'TAR FIN'!$A$1:$O$116,15,0))</f>
        <v>881.18</v>
      </c>
      <c r="X1798" s="6">
        <f>IF(ISERROR(VLOOKUP($U$1798,'TAR FIN'!$A$1:$O$116,15,0)),0,VLOOKUP($U$1798,'TAR FIN'!$A$1:$O$116,15,0))</f>
        <v>496.15</v>
      </c>
      <c r="Y1798" s="6"/>
      <c r="Z1798" s="6">
        <f ca="1">('TUSD BE'!$AM$68+'TUSD BF'!$AM$68+'TUSD CVA'!$AM$68)*1</f>
        <v>1058.5766451511297</v>
      </c>
      <c r="AA1798" s="6">
        <f>('TE BE'!$AB$39+'TE BF'!$AB$39+'TE CVA'!$AB$39)*1</f>
        <v>510.04993331215127</v>
      </c>
      <c r="AB1798" s="6">
        <f>$K$1798*$V$1798</f>
        <v>0</v>
      </c>
      <c r="AC1798" s="6">
        <f>$M$1798*$W$1798</f>
        <v>259.94809999999995</v>
      </c>
      <c r="AD1798" s="6">
        <f>$O$1798*$X$1798</f>
        <v>146.36425</v>
      </c>
      <c r="AE1798" s="6">
        <f>$K$1798*$Y$1798</f>
        <v>0</v>
      </c>
      <c r="AF1798" s="6">
        <f ca="1">$M$1798*$Z$1798</f>
        <v>312.28011031958323</v>
      </c>
      <c r="AG1798" s="6">
        <f>$O$1798*$AA$1798</f>
        <v>150.46473032708462</v>
      </c>
    </row>
    <row r="1799" spans="1:33" ht="11.25" customHeight="1" x14ac:dyDescent="0.25">
      <c r="A1799" s="4" t="s">
        <v>58</v>
      </c>
      <c r="B1799" s="4" t="s">
        <v>37</v>
      </c>
      <c r="C1799" s="4" t="s">
        <v>33</v>
      </c>
      <c r="D1799" s="4" t="s">
        <v>38</v>
      </c>
      <c r="E1799" s="4" t="s">
        <v>25</v>
      </c>
      <c r="F1799" s="4" t="s">
        <v>25</v>
      </c>
      <c r="G1799" s="4" t="s">
        <v>25</v>
      </c>
      <c r="H1799" s="4" t="s">
        <v>34</v>
      </c>
      <c r="I1799" s="5">
        <v>44682</v>
      </c>
      <c r="J1799" s="6">
        <v>0</v>
      </c>
      <c r="K1799" s="6">
        <v>0</v>
      </c>
      <c r="L1799" s="6">
        <v>0.29499999999999998</v>
      </c>
      <c r="M1799" s="6">
        <v>0.29499999999999998</v>
      </c>
      <c r="N1799" s="6">
        <v>0.29499999999999998</v>
      </c>
      <c r="O1799" s="6">
        <v>0.29499999999999998</v>
      </c>
      <c r="P1799" s="6">
        <v>0</v>
      </c>
      <c r="Q1799" s="4" t="s">
        <v>26</v>
      </c>
      <c r="R1799" s="4">
        <v>0</v>
      </c>
      <c r="S1799" s="6">
        <v>0</v>
      </c>
      <c r="T1799" s="6">
        <v>66</v>
      </c>
      <c r="U1799" s="6">
        <v>109</v>
      </c>
      <c r="V1799" s="6">
        <f>IF(ISERROR(VLOOKUP($S$1799,'TAR FIN'!$A$1:$O$116,15,0)),0,VLOOKUP($S$1799,'TAR FIN'!$A$1:$O$116,15,0))</f>
        <v>0</v>
      </c>
      <c r="W1799" s="6">
        <f>IF(ISERROR(VLOOKUP($T$1799,'TAR FIN'!$A$1:$O$116,15,0)),0,VLOOKUP($T$1799,'TAR FIN'!$A$1:$O$116,15,0))</f>
        <v>881.18</v>
      </c>
      <c r="X1799" s="6">
        <f>IF(ISERROR(VLOOKUP($U$1799,'TAR FIN'!$A$1:$O$116,15,0)),0,VLOOKUP($U$1799,'TAR FIN'!$A$1:$O$116,15,0))</f>
        <v>496.15</v>
      </c>
      <c r="Y1799" s="6"/>
      <c r="Z1799" s="6">
        <f ca="1">('TUSD BE'!$AM$68+'TUSD BF'!$AM$68+'TUSD CVA'!$AM$68)*1</f>
        <v>1058.5766451511297</v>
      </c>
      <c r="AA1799" s="6">
        <f>('TE BE'!$AB$39+'TE BF'!$AB$39+'TE CVA'!$AB$39)*1</f>
        <v>510.04993331215127</v>
      </c>
      <c r="AB1799" s="6">
        <f>$K$1799*$V$1799</f>
        <v>0</v>
      </c>
      <c r="AC1799" s="6">
        <f>$M$1799*$W$1799</f>
        <v>259.94809999999995</v>
      </c>
      <c r="AD1799" s="6">
        <f>$O$1799*$X$1799</f>
        <v>146.36425</v>
      </c>
      <c r="AE1799" s="6">
        <f>$K$1799*$Y$1799</f>
        <v>0</v>
      </c>
      <c r="AF1799" s="6">
        <f ca="1">$M$1799*$Z$1799</f>
        <v>312.28011031958323</v>
      </c>
      <c r="AG1799" s="6">
        <f>$O$1799*$AA$1799</f>
        <v>150.46473032708462</v>
      </c>
    </row>
    <row r="1800" spans="1:33" ht="11.25" customHeight="1" x14ac:dyDescent="0.25">
      <c r="A1800" s="4" t="s">
        <v>21</v>
      </c>
      <c r="B1800" s="4" t="s">
        <v>37</v>
      </c>
      <c r="C1800" s="4" t="s">
        <v>33</v>
      </c>
      <c r="D1800" s="4" t="s">
        <v>46</v>
      </c>
      <c r="E1800" s="4" t="s">
        <v>25</v>
      </c>
      <c r="F1800" s="4" t="s">
        <v>25</v>
      </c>
      <c r="G1800" s="4" t="s">
        <v>25</v>
      </c>
      <c r="H1800" s="4" t="s">
        <v>35</v>
      </c>
      <c r="I1800" s="5">
        <v>44348</v>
      </c>
      <c r="J1800" s="6">
        <v>0</v>
      </c>
      <c r="K1800" s="6">
        <v>0</v>
      </c>
      <c r="L1800" s="6">
        <v>0.371</v>
      </c>
      <c r="M1800" s="6">
        <v>0.371</v>
      </c>
      <c r="N1800" s="6">
        <v>0.371</v>
      </c>
      <c r="O1800" s="6">
        <v>0.371</v>
      </c>
      <c r="P1800" s="6">
        <v>0</v>
      </c>
      <c r="Q1800" s="4" t="s">
        <v>26</v>
      </c>
      <c r="R1800" s="4">
        <v>0</v>
      </c>
      <c r="S1800" s="6">
        <v>0</v>
      </c>
      <c r="T1800" s="6">
        <v>68</v>
      </c>
      <c r="U1800" s="6">
        <v>111</v>
      </c>
      <c r="V1800" s="6">
        <f>IF(ISERROR(VLOOKUP($S$1800,'TAR FIN'!$A$1:$O$116,15,0)),0,VLOOKUP($S$1800,'TAR FIN'!$A$1:$O$116,15,0))</f>
        <v>0</v>
      </c>
      <c r="W1800" s="6">
        <f>IF(ISERROR(VLOOKUP($T$1800,'TAR FIN'!$A$1:$O$116,15,0)),0,VLOOKUP($T$1800,'TAR FIN'!$A$1:$O$116,15,0))</f>
        <v>270.66000000000003</v>
      </c>
      <c r="X1800" s="6">
        <f>IF(ISERROR(VLOOKUP($U$1800,'TAR FIN'!$A$1:$O$116,15,0)),0,VLOOKUP($U$1800,'TAR FIN'!$A$1:$O$116,15,0))</f>
        <v>311.04000000000002</v>
      </c>
      <c r="Y1800" s="6"/>
      <c r="Z1800" s="6">
        <f ca="1">('TUSD BE'!$AM$70+'TUSD BF'!$AM$70+'TUSD CVA'!$AM$70)*1</f>
        <v>353.87930636185718</v>
      </c>
      <c r="AA1800" s="6">
        <f>('TE BE'!$AB$41+'TE BF'!$AB$41+'TE CVA'!$AB$41)*1</f>
        <v>313.22907246928764</v>
      </c>
      <c r="AB1800" s="6">
        <f>$K$1800*$V$1800</f>
        <v>0</v>
      </c>
      <c r="AC1800" s="6">
        <f>$M$1800*$W$1800</f>
        <v>100.41486</v>
      </c>
      <c r="AD1800" s="6">
        <f>$O$1800*$X$1800</f>
        <v>115.39584000000001</v>
      </c>
      <c r="AE1800" s="6">
        <f>$K$1800*$Y$1800</f>
        <v>0</v>
      </c>
      <c r="AF1800" s="6">
        <f ca="1">$M$1800*$Z$1800</f>
        <v>131.28922266024901</v>
      </c>
      <c r="AG1800" s="6">
        <f>$O$1800*$AA$1800</f>
        <v>116.20798588610572</v>
      </c>
    </row>
    <row r="1801" spans="1:33" ht="11.25" customHeight="1" x14ac:dyDescent="0.25">
      <c r="A1801" s="4" t="s">
        <v>21</v>
      </c>
      <c r="B1801" s="4" t="s">
        <v>37</v>
      </c>
      <c r="C1801" s="4" t="s">
        <v>33</v>
      </c>
      <c r="D1801" s="4" t="s">
        <v>46</v>
      </c>
      <c r="E1801" s="4" t="s">
        <v>25</v>
      </c>
      <c r="F1801" s="4" t="s">
        <v>25</v>
      </c>
      <c r="G1801" s="4" t="s">
        <v>25</v>
      </c>
      <c r="H1801" s="4" t="s">
        <v>35</v>
      </c>
      <c r="I1801" s="5">
        <v>44378</v>
      </c>
      <c r="J1801" s="6">
        <v>0</v>
      </c>
      <c r="K1801" s="6">
        <v>0</v>
      </c>
      <c r="L1801" s="6">
        <v>0.39200000000000002</v>
      </c>
      <c r="M1801" s="6">
        <v>0.39200000000000002</v>
      </c>
      <c r="N1801" s="6">
        <v>0.39200000000000002</v>
      </c>
      <c r="O1801" s="6">
        <v>0.39200000000000002</v>
      </c>
      <c r="P1801" s="6">
        <v>0</v>
      </c>
      <c r="Q1801" s="4" t="s">
        <v>26</v>
      </c>
      <c r="R1801" s="4">
        <v>0</v>
      </c>
      <c r="S1801" s="6">
        <v>0</v>
      </c>
      <c r="T1801" s="6">
        <v>68</v>
      </c>
      <c r="U1801" s="6">
        <v>111</v>
      </c>
      <c r="V1801" s="6">
        <f>IF(ISERROR(VLOOKUP($S$1801,'TAR FIN'!$A$1:$O$116,15,0)),0,VLOOKUP($S$1801,'TAR FIN'!$A$1:$O$116,15,0))</f>
        <v>0</v>
      </c>
      <c r="W1801" s="6">
        <f>IF(ISERROR(VLOOKUP($T$1801,'TAR FIN'!$A$1:$O$116,15,0)),0,VLOOKUP($T$1801,'TAR FIN'!$A$1:$O$116,15,0))</f>
        <v>270.66000000000003</v>
      </c>
      <c r="X1801" s="6">
        <f>IF(ISERROR(VLOOKUP($U$1801,'TAR FIN'!$A$1:$O$116,15,0)),0,VLOOKUP($U$1801,'TAR FIN'!$A$1:$O$116,15,0))</f>
        <v>311.04000000000002</v>
      </c>
      <c r="Y1801" s="6"/>
      <c r="Z1801" s="6">
        <f ca="1">('TUSD BE'!$AM$70+'TUSD BF'!$AM$70+'TUSD CVA'!$AM$70)*1</f>
        <v>353.87930636185718</v>
      </c>
      <c r="AA1801" s="6">
        <f>('TE BE'!$AB$41+'TE BF'!$AB$41+'TE CVA'!$AB$41)*1</f>
        <v>313.22907246928764</v>
      </c>
      <c r="AB1801" s="6">
        <f>$K$1801*$V$1801</f>
        <v>0</v>
      </c>
      <c r="AC1801" s="6">
        <f>$M$1801*$W$1801</f>
        <v>106.09872000000001</v>
      </c>
      <c r="AD1801" s="6">
        <f>$O$1801*$X$1801</f>
        <v>121.92768000000001</v>
      </c>
      <c r="AE1801" s="6">
        <f>$K$1801*$Y$1801</f>
        <v>0</v>
      </c>
      <c r="AF1801" s="6">
        <f ca="1">$M$1801*$Z$1801</f>
        <v>138.72068809384803</v>
      </c>
      <c r="AG1801" s="6">
        <f>$O$1801*$AA$1801</f>
        <v>122.78579640796076</v>
      </c>
    </row>
    <row r="1802" spans="1:33" ht="11.25" customHeight="1" x14ac:dyDescent="0.25">
      <c r="A1802" s="4" t="s">
        <v>21</v>
      </c>
      <c r="B1802" s="4" t="s">
        <v>37</v>
      </c>
      <c r="C1802" s="4" t="s">
        <v>33</v>
      </c>
      <c r="D1802" s="4" t="s">
        <v>46</v>
      </c>
      <c r="E1802" s="4" t="s">
        <v>25</v>
      </c>
      <c r="F1802" s="4" t="s">
        <v>25</v>
      </c>
      <c r="G1802" s="4" t="s">
        <v>25</v>
      </c>
      <c r="H1802" s="4" t="s">
        <v>35</v>
      </c>
      <c r="I1802" s="5">
        <v>44409</v>
      </c>
      <c r="J1802" s="6">
        <v>0</v>
      </c>
      <c r="K1802" s="6">
        <v>0</v>
      </c>
      <c r="L1802" s="6">
        <v>0.38300000000000001</v>
      </c>
      <c r="M1802" s="6">
        <v>0.38300000000000001</v>
      </c>
      <c r="N1802" s="6">
        <v>0.38300000000000001</v>
      </c>
      <c r="O1802" s="6">
        <v>0.38300000000000001</v>
      </c>
      <c r="P1802" s="6">
        <v>0</v>
      </c>
      <c r="Q1802" s="4" t="s">
        <v>26</v>
      </c>
      <c r="R1802" s="4">
        <v>0</v>
      </c>
      <c r="S1802" s="6">
        <v>0</v>
      </c>
      <c r="T1802" s="6">
        <v>68</v>
      </c>
      <c r="U1802" s="6">
        <v>111</v>
      </c>
      <c r="V1802" s="6">
        <f>IF(ISERROR(VLOOKUP($S$1802,'TAR FIN'!$A$1:$O$116,15,0)),0,VLOOKUP($S$1802,'TAR FIN'!$A$1:$O$116,15,0))</f>
        <v>0</v>
      </c>
      <c r="W1802" s="6">
        <f>IF(ISERROR(VLOOKUP($T$1802,'TAR FIN'!$A$1:$O$116,15,0)),0,VLOOKUP($T$1802,'TAR FIN'!$A$1:$O$116,15,0))</f>
        <v>270.66000000000003</v>
      </c>
      <c r="X1802" s="6">
        <f>IF(ISERROR(VLOOKUP($U$1802,'TAR FIN'!$A$1:$O$116,15,0)),0,VLOOKUP($U$1802,'TAR FIN'!$A$1:$O$116,15,0))</f>
        <v>311.04000000000002</v>
      </c>
      <c r="Y1802" s="6"/>
      <c r="Z1802" s="6">
        <f ca="1">('TUSD BE'!$AM$70+'TUSD BF'!$AM$70+'TUSD CVA'!$AM$70)*1</f>
        <v>353.87930636185718</v>
      </c>
      <c r="AA1802" s="6">
        <f>('TE BE'!$AB$41+'TE BF'!$AB$41+'TE CVA'!$AB$41)*1</f>
        <v>313.22907246928764</v>
      </c>
      <c r="AB1802" s="6">
        <f>$K$1802*$V$1802</f>
        <v>0</v>
      </c>
      <c r="AC1802" s="6">
        <f>$M$1802*$W$1802</f>
        <v>103.66278000000001</v>
      </c>
      <c r="AD1802" s="6">
        <f>$O$1802*$X$1802</f>
        <v>119.12832000000002</v>
      </c>
      <c r="AE1802" s="6">
        <f>$K$1802*$Y$1802</f>
        <v>0</v>
      </c>
      <c r="AF1802" s="6">
        <f ca="1">$M$1802*$Z$1802</f>
        <v>135.53577433659129</v>
      </c>
      <c r="AG1802" s="6">
        <f>$O$1802*$AA$1802</f>
        <v>119.96673475573716</v>
      </c>
    </row>
    <row r="1803" spans="1:33" ht="11.25" customHeight="1" x14ac:dyDescent="0.25">
      <c r="A1803" s="4" t="s">
        <v>21</v>
      </c>
      <c r="B1803" s="4" t="s">
        <v>37</v>
      </c>
      <c r="C1803" s="4" t="s">
        <v>33</v>
      </c>
      <c r="D1803" s="4" t="s">
        <v>46</v>
      </c>
      <c r="E1803" s="4" t="s">
        <v>25</v>
      </c>
      <c r="F1803" s="4" t="s">
        <v>25</v>
      </c>
      <c r="G1803" s="4" t="s">
        <v>25</v>
      </c>
      <c r="H1803" s="4" t="s">
        <v>35</v>
      </c>
      <c r="I1803" s="5">
        <v>44440</v>
      </c>
      <c r="J1803" s="6">
        <v>0</v>
      </c>
      <c r="K1803" s="6">
        <v>0</v>
      </c>
      <c r="L1803" s="6">
        <v>0.4</v>
      </c>
      <c r="M1803" s="6">
        <v>0.4</v>
      </c>
      <c r="N1803" s="6">
        <v>0.4</v>
      </c>
      <c r="O1803" s="6">
        <v>0.4</v>
      </c>
      <c r="P1803" s="6">
        <v>0</v>
      </c>
      <c r="Q1803" s="4" t="s">
        <v>26</v>
      </c>
      <c r="R1803" s="4">
        <v>0</v>
      </c>
      <c r="S1803" s="6">
        <v>0</v>
      </c>
      <c r="T1803" s="6">
        <v>68</v>
      </c>
      <c r="U1803" s="6">
        <v>111</v>
      </c>
      <c r="V1803" s="6">
        <f>IF(ISERROR(VLOOKUP($S$1803,'TAR FIN'!$A$1:$O$116,15,0)),0,VLOOKUP($S$1803,'TAR FIN'!$A$1:$O$116,15,0))</f>
        <v>0</v>
      </c>
      <c r="W1803" s="6">
        <f>IF(ISERROR(VLOOKUP($T$1803,'TAR FIN'!$A$1:$O$116,15,0)),0,VLOOKUP($T$1803,'TAR FIN'!$A$1:$O$116,15,0))</f>
        <v>270.66000000000003</v>
      </c>
      <c r="X1803" s="6">
        <f>IF(ISERROR(VLOOKUP($U$1803,'TAR FIN'!$A$1:$O$116,15,0)),0,VLOOKUP($U$1803,'TAR FIN'!$A$1:$O$116,15,0))</f>
        <v>311.04000000000002</v>
      </c>
      <c r="Y1803" s="6"/>
      <c r="Z1803" s="6">
        <f ca="1">('TUSD BE'!$AM$70+'TUSD BF'!$AM$70+'TUSD CVA'!$AM$70)*1</f>
        <v>353.87930636185718</v>
      </c>
      <c r="AA1803" s="6">
        <f>('TE BE'!$AB$41+'TE BF'!$AB$41+'TE CVA'!$AB$41)*1</f>
        <v>313.22907246928764</v>
      </c>
      <c r="AB1803" s="6">
        <f>$K$1803*$V$1803</f>
        <v>0</v>
      </c>
      <c r="AC1803" s="6">
        <f>$M$1803*$W$1803</f>
        <v>108.26400000000001</v>
      </c>
      <c r="AD1803" s="6">
        <f>$O$1803*$X$1803</f>
        <v>124.41600000000001</v>
      </c>
      <c r="AE1803" s="6">
        <f>$K$1803*$Y$1803</f>
        <v>0</v>
      </c>
      <c r="AF1803" s="6">
        <f ca="1">$M$1803*$Z$1803</f>
        <v>141.55172254474289</v>
      </c>
      <c r="AG1803" s="6">
        <f>$O$1803*$AA$1803</f>
        <v>125.29162898771506</v>
      </c>
    </row>
    <row r="1804" spans="1:33" ht="11.25" customHeight="1" x14ac:dyDescent="0.25">
      <c r="A1804" s="4" t="s">
        <v>21</v>
      </c>
      <c r="B1804" s="4" t="s">
        <v>37</v>
      </c>
      <c r="C1804" s="4" t="s">
        <v>33</v>
      </c>
      <c r="D1804" s="4" t="s">
        <v>46</v>
      </c>
      <c r="E1804" s="4" t="s">
        <v>25</v>
      </c>
      <c r="F1804" s="4" t="s">
        <v>25</v>
      </c>
      <c r="G1804" s="4" t="s">
        <v>25</v>
      </c>
      <c r="H1804" s="4" t="s">
        <v>35</v>
      </c>
      <c r="I1804" s="5">
        <v>44470</v>
      </c>
      <c r="J1804" s="6">
        <v>0</v>
      </c>
      <c r="K1804" s="6">
        <v>0</v>
      </c>
      <c r="L1804" s="6">
        <v>0.33</v>
      </c>
      <c r="M1804" s="6">
        <v>0.33</v>
      </c>
      <c r="N1804" s="6">
        <v>0.33</v>
      </c>
      <c r="O1804" s="6">
        <v>0.33</v>
      </c>
      <c r="P1804" s="6">
        <v>0</v>
      </c>
      <c r="Q1804" s="4" t="s">
        <v>26</v>
      </c>
      <c r="R1804" s="4">
        <v>0</v>
      </c>
      <c r="S1804" s="6">
        <v>0</v>
      </c>
      <c r="T1804" s="6">
        <v>68</v>
      </c>
      <c r="U1804" s="6">
        <v>111</v>
      </c>
      <c r="V1804" s="6">
        <f>IF(ISERROR(VLOOKUP($S$1804,'TAR FIN'!$A$1:$O$116,15,0)),0,VLOOKUP($S$1804,'TAR FIN'!$A$1:$O$116,15,0))</f>
        <v>0</v>
      </c>
      <c r="W1804" s="6">
        <f>IF(ISERROR(VLOOKUP($T$1804,'TAR FIN'!$A$1:$O$116,15,0)),0,VLOOKUP($T$1804,'TAR FIN'!$A$1:$O$116,15,0))</f>
        <v>270.66000000000003</v>
      </c>
      <c r="X1804" s="6">
        <f>IF(ISERROR(VLOOKUP($U$1804,'TAR FIN'!$A$1:$O$116,15,0)),0,VLOOKUP($U$1804,'TAR FIN'!$A$1:$O$116,15,0))</f>
        <v>311.04000000000002</v>
      </c>
      <c r="Y1804" s="6"/>
      <c r="Z1804" s="6">
        <f ca="1">('TUSD BE'!$AM$70+'TUSD BF'!$AM$70+'TUSD CVA'!$AM$70)*1</f>
        <v>353.87930636185718</v>
      </c>
      <c r="AA1804" s="6">
        <f>('TE BE'!$AB$41+'TE BF'!$AB$41+'TE CVA'!$AB$41)*1</f>
        <v>313.22907246928764</v>
      </c>
      <c r="AB1804" s="6">
        <f>$K$1804*$V$1804</f>
        <v>0</v>
      </c>
      <c r="AC1804" s="6">
        <f>$M$1804*$W$1804</f>
        <v>89.317800000000005</v>
      </c>
      <c r="AD1804" s="6">
        <f>$O$1804*$X$1804</f>
        <v>102.64320000000001</v>
      </c>
      <c r="AE1804" s="6">
        <f>$K$1804*$Y$1804</f>
        <v>0</v>
      </c>
      <c r="AF1804" s="6">
        <f ca="1">$M$1804*$Z$1804</f>
        <v>116.78017109941287</v>
      </c>
      <c r="AG1804" s="6">
        <f>$O$1804*$AA$1804</f>
        <v>103.36559391486493</v>
      </c>
    </row>
    <row r="1805" spans="1:33" ht="11.25" customHeight="1" x14ac:dyDescent="0.25">
      <c r="A1805" s="4" t="s">
        <v>21</v>
      </c>
      <c r="B1805" s="4" t="s">
        <v>37</v>
      </c>
      <c r="C1805" s="4" t="s">
        <v>33</v>
      </c>
      <c r="D1805" s="4" t="s">
        <v>46</v>
      </c>
      <c r="E1805" s="4" t="s">
        <v>25</v>
      </c>
      <c r="F1805" s="4" t="s">
        <v>25</v>
      </c>
      <c r="G1805" s="4" t="s">
        <v>25</v>
      </c>
      <c r="H1805" s="4" t="s">
        <v>35</v>
      </c>
      <c r="I1805" s="5">
        <v>44501</v>
      </c>
      <c r="J1805" s="6">
        <v>0</v>
      </c>
      <c r="K1805" s="6">
        <v>0</v>
      </c>
      <c r="L1805" s="6">
        <v>0.36299999999999999</v>
      </c>
      <c r="M1805" s="6">
        <v>0.36299999999999999</v>
      </c>
      <c r="N1805" s="6">
        <v>0.36299999999999999</v>
      </c>
      <c r="O1805" s="6">
        <v>0.36299999999999999</v>
      </c>
      <c r="P1805" s="6">
        <v>0</v>
      </c>
      <c r="Q1805" s="4" t="s">
        <v>26</v>
      </c>
      <c r="R1805" s="4">
        <v>0</v>
      </c>
      <c r="S1805" s="6">
        <v>0</v>
      </c>
      <c r="T1805" s="6">
        <v>68</v>
      </c>
      <c r="U1805" s="6">
        <v>111</v>
      </c>
      <c r="V1805" s="6">
        <f>IF(ISERROR(VLOOKUP($S$1805,'TAR FIN'!$A$1:$O$116,15,0)),0,VLOOKUP($S$1805,'TAR FIN'!$A$1:$O$116,15,0))</f>
        <v>0</v>
      </c>
      <c r="W1805" s="6">
        <f>IF(ISERROR(VLOOKUP($T$1805,'TAR FIN'!$A$1:$O$116,15,0)),0,VLOOKUP($T$1805,'TAR FIN'!$A$1:$O$116,15,0))</f>
        <v>270.66000000000003</v>
      </c>
      <c r="X1805" s="6">
        <f>IF(ISERROR(VLOOKUP($U$1805,'TAR FIN'!$A$1:$O$116,15,0)),0,VLOOKUP($U$1805,'TAR FIN'!$A$1:$O$116,15,0))</f>
        <v>311.04000000000002</v>
      </c>
      <c r="Y1805" s="6"/>
      <c r="Z1805" s="6">
        <f ca="1">('TUSD BE'!$AM$70+'TUSD BF'!$AM$70+'TUSD CVA'!$AM$70)*1</f>
        <v>353.87930636185718</v>
      </c>
      <c r="AA1805" s="6">
        <f>('TE BE'!$AB$41+'TE BF'!$AB$41+'TE CVA'!$AB$41)*1</f>
        <v>313.22907246928764</v>
      </c>
      <c r="AB1805" s="6">
        <f>$K$1805*$V$1805</f>
        <v>0</v>
      </c>
      <c r="AC1805" s="6">
        <f>$M$1805*$W$1805</f>
        <v>98.249580000000009</v>
      </c>
      <c r="AD1805" s="6">
        <f>$O$1805*$X$1805</f>
        <v>112.90752000000001</v>
      </c>
      <c r="AE1805" s="6">
        <f>$K$1805*$Y$1805</f>
        <v>0</v>
      </c>
      <c r="AF1805" s="6">
        <f ca="1">$M$1805*$Z$1805</f>
        <v>128.45818820935415</v>
      </c>
      <c r="AG1805" s="6">
        <f>$O$1805*$AA$1805</f>
        <v>113.70215330635141</v>
      </c>
    </row>
    <row r="1806" spans="1:33" ht="11.25" customHeight="1" x14ac:dyDescent="0.25">
      <c r="A1806" s="4" t="s">
        <v>21</v>
      </c>
      <c r="B1806" s="4" t="s">
        <v>37</v>
      </c>
      <c r="C1806" s="4" t="s">
        <v>33</v>
      </c>
      <c r="D1806" s="4" t="s">
        <v>46</v>
      </c>
      <c r="E1806" s="4" t="s">
        <v>25</v>
      </c>
      <c r="F1806" s="4" t="s">
        <v>25</v>
      </c>
      <c r="G1806" s="4" t="s">
        <v>25</v>
      </c>
      <c r="H1806" s="4" t="s">
        <v>35</v>
      </c>
      <c r="I1806" s="5">
        <v>44531</v>
      </c>
      <c r="J1806" s="6">
        <v>0</v>
      </c>
      <c r="K1806" s="6">
        <v>0</v>
      </c>
      <c r="L1806" s="6">
        <v>0.36399999999999999</v>
      </c>
      <c r="M1806" s="6">
        <v>0.36399999999999999</v>
      </c>
      <c r="N1806" s="6">
        <v>0.36399999999999999</v>
      </c>
      <c r="O1806" s="6">
        <v>0.36399999999999999</v>
      </c>
      <c r="P1806" s="6">
        <v>0</v>
      </c>
      <c r="Q1806" s="4" t="s">
        <v>26</v>
      </c>
      <c r="R1806" s="4">
        <v>0</v>
      </c>
      <c r="S1806" s="6">
        <v>0</v>
      </c>
      <c r="T1806" s="6">
        <v>68</v>
      </c>
      <c r="U1806" s="6">
        <v>111</v>
      </c>
      <c r="V1806" s="6">
        <f>IF(ISERROR(VLOOKUP($S$1806,'TAR FIN'!$A$1:$O$116,15,0)),0,VLOOKUP($S$1806,'TAR FIN'!$A$1:$O$116,15,0))</f>
        <v>0</v>
      </c>
      <c r="W1806" s="6">
        <f>IF(ISERROR(VLOOKUP($T$1806,'TAR FIN'!$A$1:$O$116,15,0)),0,VLOOKUP($T$1806,'TAR FIN'!$A$1:$O$116,15,0))</f>
        <v>270.66000000000003</v>
      </c>
      <c r="X1806" s="6">
        <f>IF(ISERROR(VLOOKUP($U$1806,'TAR FIN'!$A$1:$O$116,15,0)),0,VLOOKUP($U$1806,'TAR FIN'!$A$1:$O$116,15,0))</f>
        <v>311.04000000000002</v>
      </c>
      <c r="Y1806" s="6"/>
      <c r="Z1806" s="6">
        <f ca="1">('TUSD BE'!$AM$70+'TUSD BF'!$AM$70+'TUSD CVA'!$AM$70)*1</f>
        <v>353.87930636185718</v>
      </c>
      <c r="AA1806" s="6">
        <f>('TE BE'!$AB$41+'TE BF'!$AB$41+'TE CVA'!$AB$41)*1</f>
        <v>313.22907246928764</v>
      </c>
      <c r="AB1806" s="6">
        <f>$K$1806*$V$1806</f>
        <v>0</v>
      </c>
      <c r="AC1806" s="6">
        <f>$M$1806*$W$1806</f>
        <v>98.520240000000001</v>
      </c>
      <c r="AD1806" s="6">
        <f>$O$1806*$X$1806</f>
        <v>113.21856000000001</v>
      </c>
      <c r="AE1806" s="6">
        <f>$K$1806*$Y$1806</f>
        <v>0</v>
      </c>
      <c r="AF1806" s="6">
        <f ca="1">$M$1806*$Z$1806</f>
        <v>128.812067515716</v>
      </c>
      <c r="AG1806" s="6">
        <f>$O$1806*$AA$1806</f>
        <v>114.0153823788207</v>
      </c>
    </row>
    <row r="1807" spans="1:33" ht="11.25" customHeight="1" x14ac:dyDescent="0.25">
      <c r="A1807" s="4" t="s">
        <v>21</v>
      </c>
      <c r="B1807" s="4" t="s">
        <v>37</v>
      </c>
      <c r="C1807" s="4" t="s">
        <v>33</v>
      </c>
      <c r="D1807" s="4" t="s">
        <v>46</v>
      </c>
      <c r="E1807" s="4" t="s">
        <v>25</v>
      </c>
      <c r="F1807" s="4" t="s">
        <v>25</v>
      </c>
      <c r="G1807" s="4" t="s">
        <v>25</v>
      </c>
      <c r="H1807" s="4" t="s">
        <v>35</v>
      </c>
      <c r="I1807" s="5">
        <v>44562</v>
      </c>
      <c r="J1807" s="6">
        <v>0</v>
      </c>
      <c r="K1807" s="6">
        <v>0</v>
      </c>
      <c r="L1807" s="6">
        <v>0.30499999999999999</v>
      </c>
      <c r="M1807" s="6">
        <v>0.30499999999999999</v>
      </c>
      <c r="N1807" s="6">
        <v>0.30499999999999999</v>
      </c>
      <c r="O1807" s="6">
        <v>0.30499999999999999</v>
      </c>
      <c r="P1807" s="6">
        <v>0</v>
      </c>
      <c r="Q1807" s="4" t="s">
        <v>26</v>
      </c>
      <c r="R1807" s="4">
        <v>0</v>
      </c>
      <c r="S1807" s="6">
        <v>0</v>
      </c>
      <c r="T1807" s="6">
        <v>68</v>
      </c>
      <c r="U1807" s="6">
        <v>111</v>
      </c>
      <c r="V1807" s="6">
        <f>IF(ISERROR(VLOOKUP($S$1807,'TAR FIN'!$A$1:$O$116,15,0)),0,VLOOKUP($S$1807,'TAR FIN'!$A$1:$O$116,15,0))</f>
        <v>0</v>
      </c>
      <c r="W1807" s="6">
        <f>IF(ISERROR(VLOOKUP($T$1807,'TAR FIN'!$A$1:$O$116,15,0)),0,VLOOKUP($T$1807,'TAR FIN'!$A$1:$O$116,15,0))</f>
        <v>270.66000000000003</v>
      </c>
      <c r="X1807" s="6">
        <f>IF(ISERROR(VLOOKUP($U$1807,'TAR FIN'!$A$1:$O$116,15,0)),0,VLOOKUP($U$1807,'TAR FIN'!$A$1:$O$116,15,0))</f>
        <v>311.04000000000002</v>
      </c>
      <c r="Y1807" s="6"/>
      <c r="Z1807" s="6">
        <f ca="1">('TUSD BE'!$AM$70+'TUSD BF'!$AM$70+'TUSD CVA'!$AM$70)*1</f>
        <v>353.87930636185718</v>
      </c>
      <c r="AA1807" s="6">
        <f>('TE BE'!$AB$41+'TE BF'!$AB$41+'TE CVA'!$AB$41)*1</f>
        <v>313.22907246928764</v>
      </c>
      <c r="AB1807" s="6">
        <f>$K$1807*$V$1807</f>
        <v>0</v>
      </c>
      <c r="AC1807" s="6">
        <f>$M$1807*$W$1807</f>
        <v>82.551300000000012</v>
      </c>
      <c r="AD1807" s="6">
        <f>$O$1807*$X$1807</f>
        <v>94.867200000000011</v>
      </c>
      <c r="AE1807" s="6">
        <f>$K$1807*$Y$1807</f>
        <v>0</v>
      </c>
      <c r="AF1807" s="6">
        <f ca="1">$M$1807*$Z$1807</f>
        <v>107.93318844036644</v>
      </c>
      <c r="AG1807" s="6">
        <f>$O$1807*$AA$1807</f>
        <v>95.534867103132726</v>
      </c>
    </row>
    <row r="1808" spans="1:33" ht="11.25" customHeight="1" x14ac:dyDescent="0.25">
      <c r="A1808" s="4" t="s">
        <v>21</v>
      </c>
      <c r="B1808" s="4" t="s">
        <v>37</v>
      </c>
      <c r="C1808" s="4" t="s">
        <v>33</v>
      </c>
      <c r="D1808" s="4" t="s">
        <v>46</v>
      </c>
      <c r="E1808" s="4" t="s">
        <v>25</v>
      </c>
      <c r="F1808" s="4" t="s">
        <v>25</v>
      </c>
      <c r="G1808" s="4" t="s">
        <v>25</v>
      </c>
      <c r="H1808" s="4" t="s">
        <v>35</v>
      </c>
      <c r="I1808" s="5">
        <v>44593</v>
      </c>
      <c r="J1808" s="6">
        <v>0</v>
      </c>
      <c r="K1808" s="6">
        <v>0</v>
      </c>
      <c r="L1808" s="6">
        <v>0.248</v>
      </c>
      <c r="M1808" s="6">
        <v>0.248</v>
      </c>
      <c r="N1808" s="6">
        <v>0.248</v>
      </c>
      <c r="O1808" s="6">
        <v>0.248</v>
      </c>
      <c r="P1808" s="6">
        <v>0</v>
      </c>
      <c r="Q1808" s="4" t="s">
        <v>26</v>
      </c>
      <c r="R1808" s="4">
        <v>0</v>
      </c>
      <c r="S1808" s="6">
        <v>0</v>
      </c>
      <c r="T1808" s="6">
        <v>68</v>
      </c>
      <c r="U1808" s="6">
        <v>111</v>
      </c>
      <c r="V1808" s="6">
        <f>IF(ISERROR(VLOOKUP($S$1808,'TAR FIN'!$A$1:$O$116,15,0)),0,VLOOKUP($S$1808,'TAR FIN'!$A$1:$O$116,15,0))</f>
        <v>0</v>
      </c>
      <c r="W1808" s="6">
        <f>IF(ISERROR(VLOOKUP($T$1808,'TAR FIN'!$A$1:$O$116,15,0)),0,VLOOKUP($T$1808,'TAR FIN'!$A$1:$O$116,15,0))</f>
        <v>270.66000000000003</v>
      </c>
      <c r="X1808" s="6">
        <f>IF(ISERROR(VLOOKUP($U$1808,'TAR FIN'!$A$1:$O$116,15,0)),0,VLOOKUP($U$1808,'TAR FIN'!$A$1:$O$116,15,0))</f>
        <v>311.04000000000002</v>
      </c>
      <c r="Y1808" s="6"/>
      <c r="Z1808" s="6">
        <f ca="1">('TUSD BE'!$AM$70+'TUSD BF'!$AM$70+'TUSD CVA'!$AM$70)*1</f>
        <v>353.87930636185718</v>
      </c>
      <c r="AA1808" s="6">
        <f>('TE BE'!$AB$41+'TE BF'!$AB$41+'TE CVA'!$AB$41)*1</f>
        <v>313.22907246928764</v>
      </c>
      <c r="AB1808" s="6">
        <f>$K$1808*$V$1808</f>
        <v>0</v>
      </c>
      <c r="AC1808" s="6">
        <f>$M$1808*$W$1808</f>
        <v>67.123680000000007</v>
      </c>
      <c r="AD1808" s="6">
        <f>$O$1808*$X$1808</f>
        <v>77.137920000000008</v>
      </c>
      <c r="AE1808" s="6">
        <f>$K$1808*$Y$1808</f>
        <v>0</v>
      </c>
      <c r="AF1808" s="6">
        <f ca="1">$M$1808*$Z$1808</f>
        <v>87.762067977740585</v>
      </c>
      <c r="AG1808" s="6">
        <f>$O$1808*$AA$1808</f>
        <v>77.680809972383329</v>
      </c>
    </row>
    <row r="1809" spans="1:33" ht="11.25" customHeight="1" x14ac:dyDescent="0.25">
      <c r="A1809" s="4" t="s">
        <v>21</v>
      </c>
      <c r="B1809" s="4" t="s">
        <v>37</v>
      </c>
      <c r="C1809" s="4" t="s">
        <v>33</v>
      </c>
      <c r="D1809" s="4" t="s">
        <v>46</v>
      </c>
      <c r="E1809" s="4" t="s">
        <v>25</v>
      </c>
      <c r="F1809" s="4" t="s">
        <v>25</v>
      </c>
      <c r="G1809" s="4" t="s">
        <v>25</v>
      </c>
      <c r="H1809" s="4" t="s">
        <v>35</v>
      </c>
      <c r="I1809" s="5">
        <v>44621</v>
      </c>
      <c r="J1809" s="6">
        <v>0</v>
      </c>
      <c r="K1809" s="6">
        <v>0</v>
      </c>
      <c r="L1809" s="6">
        <v>0.313</v>
      </c>
      <c r="M1809" s="6">
        <v>0.313</v>
      </c>
      <c r="N1809" s="6">
        <v>0.313</v>
      </c>
      <c r="O1809" s="6">
        <v>0.313</v>
      </c>
      <c r="P1809" s="6">
        <v>0</v>
      </c>
      <c r="Q1809" s="4" t="s">
        <v>26</v>
      </c>
      <c r="R1809" s="4">
        <v>0</v>
      </c>
      <c r="S1809" s="6">
        <v>0</v>
      </c>
      <c r="T1809" s="6">
        <v>68</v>
      </c>
      <c r="U1809" s="6">
        <v>111</v>
      </c>
      <c r="V1809" s="6">
        <f>IF(ISERROR(VLOOKUP($S$1809,'TAR FIN'!$A$1:$O$116,15,0)),0,VLOOKUP($S$1809,'TAR FIN'!$A$1:$O$116,15,0))</f>
        <v>0</v>
      </c>
      <c r="W1809" s="6">
        <f>IF(ISERROR(VLOOKUP($T$1809,'TAR FIN'!$A$1:$O$116,15,0)),0,VLOOKUP($T$1809,'TAR FIN'!$A$1:$O$116,15,0))</f>
        <v>270.66000000000003</v>
      </c>
      <c r="X1809" s="6">
        <f>IF(ISERROR(VLOOKUP($U$1809,'TAR FIN'!$A$1:$O$116,15,0)),0,VLOOKUP($U$1809,'TAR FIN'!$A$1:$O$116,15,0))</f>
        <v>311.04000000000002</v>
      </c>
      <c r="Y1809" s="6"/>
      <c r="Z1809" s="6">
        <f ca="1">('TUSD BE'!$AM$70+'TUSD BF'!$AM$70+'TUSD CVA'!$AM$70)*1</f>
        <v>353.87930636185718</v>
      </c>
      <c r="AA1809" s="6">
        <f>('TE BE'!$AB$41+'TE BF'!$AB$41+'TE CVA'!$AB$41)*1</f>
        <v>313.22907246928764</v>
      </c>
      <c r="AB1809" s="6">
        <f>$K$1809*$V$1809</f>
        <v>0</v>
      </c>
      <c r="AC1809" s="6">
        <f>$M$1809*$W$1809</f>
        <v>84.716580000000008</v>
      </c>
      <c r="AD1809" s="6">
        <f>$O$1809*$X$1809</f>
        <v>97.355520000000013</v>
      </c>
      <c r="AE1809" s="6">
        <f>$K$1809*$Y$1809</f>
        <v>0</v>
      </c>
      <c r="AF1809" s="6">
        <f ca="1">$M$1809*$Z$1809</f>
        <v>110.7642228912613</v>
      </c>
      <c r="AG1809" s="6">
        <f>$O$1809*$AA$1809</f>
        <v>98.040699682887038</v>
      </c>
    </row>
    <row r="1810" spans="1:33" ht="11.25" customHeight="1" x14ac:dyDescent="0.25">
      <c r="A1810" s="4" t="s">
        <v>21</v>
      </c>
      <c r="B1810" s="4" t="s">
        <v>37</v>
      </c>
      <c r="C1810" s="4" t="s">
        <v>33</v>
      </c>
      <c r="D1810" s="4" t="s">
        <v>46</v>
      </c>
      <c r="E1810" s="4" t="s">
        <v>25</v>
      </c>
      <c r="F1810" s="4" t="s">
        <v>25</v>
      </c>
      <c r="G1810" s="4" t="s">
        <v>25</v>
      </c>
      <c r="H1810" s="4" t="s">
        <v>35</v>
      </c>
      <c r="I1810" s="5">
        <v>44652</v>
      </c>
      <c r="J1810" s="6">
        <v>0</v>
      </c>
      <c r="K1810" s="6">
        <v>0</v>
      </c>
      <c r="L1810" s="6">
        <v>0.318</v>
      </c>
      <c r="M1810" s="6">
        <v>0.318</v>
      </c>
      <c r="N1810" s="6">
        <v>0.318</v>
      </c>
      <c r="O1810" s="6">
        <v>0.318</v>
      </c>
      <c r="P1810" s="6">
        <v>0</v>
      </c>
      <c r="Q1810" s="4" t="s">
        <v>26</v>
      </c>
      <c r="R1810" s="4">
        <v>0</v>
      </c>
      <c r="S1810" s="6">
        <v>0</v>
      </c>
      <c r="T1810" s="6">
        <v>68</v>
      </c>
      <c r="U1810" s="6">
        <v>111</v>
      </c>
      <c r="V1810" s="6">
        <f>IF(ISERROR(VLOOKUP($S$1810,'TAR FIN'!$A$1:$O$116,15,0)),0,VLOOKUP($S$1810,'TAR FIN'!$A$1:$O$116,15,0))</f>
        <v>0</v>
      </c>
      <c r="W1810" s="6">
        <f>IF(ISERROR(VLOOKUP($T$1810,'TAR FIN'!$A$1:$O$116,15,0)),0,VLOOKUP($T$1810,'TAR FIN'!$A$1:$O$116,15,0))</f>
        <v>270.66000000000003</v>
      </c>
      <c r="X1810" s="6">
        <f>IF(ISERROR(VLOOKUP($U$1810,'TAR FIN'!$A$1:$O$116,15,0)),0,VLOOKUP($U$1810,'TAR FIN'!$A$1:$O$116,15,0))</f>
        <v>311.04000000000002</v>
      </c>
      <c r="Y1810" s="6"/>
      <c r="Z1810" s="6">
        <f ca="1">('TUSD BE'!$AM$70+'TUSD BF'!$AM$70+'TUSD CVA'!$AM$70)*1</f>
        <v>353.87930636185718</v>
      </c>
      <c r="AA1810" s="6">
        <f>('TE BE'!$AB$41+'TE BF'!$AB$41+'TE CVA'!$AB$41)*1</f>
        <v>313.22907246928764</v>
      </c>
      <c r="AB1810" s="6">
        <f>$K$1810*$V$1810</f>
        <v>0</v>
      </c>
      <c r="AC1810" s="6">
        <f>$M$1810*$W$1810</f>
        <v>86.069880000000012</v>
      </c>
      <c r="AD1810" s="6">
        <f>$O$1810*$X$1810</f>
        <v>98.910720000000012</v>
      </c>
      <c r="AE1810" s="6">
        <f>$K$1810*$Y$1810</f>
        <v>0</v>
      </c>
      <c r="AF1810" s="6">
        <f ca="1">$M$1810*$Z$1810</f>
        <v>112.53361942307059</v>
      </c>
      <c r="AG1810" s="6">
        <f>$O$1810*$AA$1810</f>
        <v>99.60684504523347</v>
      </c>
    </row>
    <row r="1811" spans="1:33" ht="11.25" customHeight="1" x14ac:dyDescent="0.25">
      <c r="A1811" s="4" t="s">
        <v>58</v>
      </c>
      <c r="B1811" s="4" t="s">
        <v>37</v>
      </c>
      <c r="C1811" s="4" t="s">
        <v>33</v>
      </c>
      <c r="D1811" s="4" t="s">
        <v>46</v>
      </c>
      <c r="E1811" s="4" t="s">
        <v>25</v>
      </c>
      <c r="F1811" s="4" t="s">
        <v>25</v>
      </c>
      <c r="G1811" s="4" t="s">
        <v>25</v>
      </c>
      <c r="H1811" s="4" t="s">
        <v>35</v>
      </c>
      <c r="I1811" s="5">
        <v>44682</v>
      </c>
      <c r="J1811" s="6">
        <v>0</v>
      </c>
      <c r="K1811" s="6">
        <v>0</v>
      </c>
      <c r="L1811" s="6">
        <v>0.318</v>
      </c>
      <c r="M1811" s="6">
        <v>0.318</v>
      </c>
      <c r="N1811" s="6">
        <v>0.318</v>
      </c>
      <c r="O1811" s="6">
        <v>0.318</v>
      </c>
      <c r="P1811" s="6">
        <v>0</v>
      </c>
      <c r="Q1811" s="4" t="s">
        <v>26</v>
      </c>
      <c r="R1811" s="4">
        <v>0</v>
      </c>
      <c r="S1811" s="6">
        <v>0</v>
      </c>
      <c r="T1811" s="6">
        <v>68</v>
      </c>
      <c r="U1811" s="6">
        <v>111</v>
      </c>
      <c r="V1811" s="6">
        <f>IF(ISERROR(VLOOKUP($S$1811,'TAR FIN'!$A$1:$O$116,15,0)),0,VLOOKUP($S$1811,'TAR FIN'!$A$1:$O$116,15,0))</f>
        <v>0</v>
      </c>
      <c r="W1811" s="6">
        <f>IF(ISERROR(VLOOKUP($T$1811,'TAR FIN'!$A$1:$O$116,15,0)),0,VLOOKUP($T$1811,'TAR FIN'!$A$1:$O$116,15,0))</f>
        <v>270.66000000000003</v>
      </c>
      <c r="X1811" s="6">
        <f>IF(ISERROR(VLOOKUP($U$1811,'TAR FIN'!$A$1:$O$116,15,0)),0,VLOOKUP($U$1811,'TAR FIN'!$A$1:$O$116,15,0))</f>
        <v>311.04000000000002</v>
      </c>
      <c r="Y1811" s="6"/>
      <c r="Z1811" s="6">
        <f ca="1">('TUSD BE'!$AM$70+'TUSD BF'!$AM$70+'TUSD CVA'!$AM$70)*1</f>
        <v>353.87930636185718</v>
      </c>
      <c r="AA1811" s="6">
        <f>('TE BE'!$AB$41+'TE BF'!$AB$41+'TE CVA'!$AB$41)*1</f>
        <v>313.22907246928764</v>
      </c>
      <c r="AB1811" s="6">
        <f>$K$1811*$V$1811</f>
        <v>0</v>
      </c>
      <c r="AC1811" s="6">
        <f>$M$1811*$W$1811</f>
        <v>86.069880000000012</v>
      </c>
      <c r="AD1811" s="6">
        <f>$O$1811*$X$1811</f>
        <v>98.910720000000012</v>
      </c>
      <c r="AE1811" s="6">
        <f>$K$1811*$Y$1811</f>
        <v>0</v>
      </c>
      <c r="AF1811" s="6">
        <f ca="1">$M$1811*$Z$1811</f>
        <v>112.53361942307059</v>
      </c>
      <c r="AG1811" s="6">
        <f>$O$1811*$AA$1811</f>
        <v>99.60684504523347</v>
      </c>
    </row>
    <row r="1812" spans="1:33" ht="11.25" customHeight="1" x14ac:dyDescent="0.25">
      <c r="A1812" s="4" t="s">
        <v>21</v>
      </c>
      <c r="B1812" s="4" t="s">
        <v>37</v>
      </c>
      <c r="C1812" s="4" t="s">
        <v>33</v>
      </c>
      <c r="D1812" s="4" t="s">
        <v>46</v>
      </c>
      <c r="E1812" s="4" t="s">
        <v>25</v>
      </c>
      <c r="F1812" s="4" t="s">
        <v>25</v>
      </c>
      <c r="G1812" s="4" t="s">
        <v>25</v>
      </c>
      <c r="H1812" s="4" t="s">
        <v>36</v>
      </c>
      <c r="I1812" s="5">
        <v>44348</v>
      </c>
      <c r="J1812" s="6">
        <v>0</v>
      </c>
      <c r="K1812" s="6">
        <v>0</v>
      </c>
      <c r="L1812" s="6">
        <v>0.02</v>
      </c>
      <c r="M1812" s="6">
        <v>0.02</v>
      </c>
      <c r="N1812" s="6">
        <v>0.02</v>
      </c>
      <c r="O1812" s="6">
        <v>0.02</v>
      </c>
      <c r="P1812" s="6">
        <v>0</v>
      </c>
      <c r="Q1812" s="4" t="s">
        <v>26</v>
      </c>
      <c r="R1812" s="4">
        <v>0</v>
      </c>
      <c r="S1812" s="6">
        <v>0</v>
      </c>
      <c r="T1812" s="6">
        <v>67</v>
      </c>
      <c r="U1812" s="6">
        <v>110</v>
      </c>
      <c r="V1812" s="6">
        <f>IF(ISERROR(VLOOKUP($S$1812,'TAR FIN'!$A$1:$O$116,15,0)),0,VLOOKUP($S$1812,'TAR FIN'!$A$1:$O$116,15,0))</f>
        <v>0</v>
      </c>
      <c r="W1812" s="6">
        <f>IF(ISERROR(VLOOKUP($T$1812,'TAR FIN'!$A$1:$O$116,15,0)),0,VLOOKUP($T$1812,'TAR FIN'!$A$1:$O$116,15,0))</f>
        <v>575.91999999999996</v>
      </c>
      <c r="X1812" s="6">
        <f>IF(ISERROR(VLOOKUP($U$1812,'TAR FIN'!$A$1:$O$116,15,0)),0,VLOOKUP($U$1812,'TAR FIN'!$A$1:$O$116,15,0))</f>
        <v>311.04000000000002</v>
      </c>
      <c r="Y1812" s="6"/>
      <c r="Z1812" s="6">
        <f ca="1">('TUSD BE'!$AM$69+'TUSD BF'!$AM$69+'TUSD CVA'!$AM$69)*1</f>
        <v>706.22797575649349</v>
      </c>
      <c r="AA1812" s="6">
        <f>('TE BE'!$AB$40+'TE BF'!$AB$40+'TE CVA'!$AB$40)*1</f>
        <v>313.22907246928764</v>
      </c>
      <c r="AB1812" s="6">
        <f>$K$1812*$V$1812</f>
        <v>0</v>
      </c>
      <c r="AC1812" s="6">
        <f>$M$1812*$W$1812</f>
        <v>11.5184</v>
      </c>
      <c r="AD1812" s="6">
        <f>$O$1812*$X$1812</f>
        <v>6.2208000000000006</v>
      </c>
      <c r="AE1812" s="6">
        <f>$K$1812*$Y$1812</f>
        <v>0</v>
      </c>
      <c r="AF1812" s="6">
        <f ca="1">$M$1812*$Z$1812</f>
        <v>14.124559515129871</v>
      </c>
      <c r="AG1812" s="6">
        <f>$O$1812*$AA$1812</f>
        <v>6.2645814493857532</v>
      </c>
    </row>
    <row r="1813" spans="1:33" ht="11.25" customHeight="1" x14ac:dyDescent="0.25">
      <c r="A1813" s="4" t="s">
        <v>21</v>
      </c>
      <c r="B1813" s="4" t="s">
        <v>37</v>
      </c>
      <c r="C1813" s="4" t="s">
        <v>33</v>
      </c>
      <c r="D1813" s="4" t="s">
        <v>46</v>
      </c>
      <c r="E1813" s="4" t="s">
        <v>25</v>
      </c>
      <c r="F1813" s="4" t="s">
        <v>25</v>
      </c>
      <c r="G1813" s="4" t="s">
        <v>25</v>
      </c>
      <c r="H1813" s="4" t="s">
        <v>36</v>
      </c>
      <c r="I1813" s="5">
        <v>44378</v>
      </c>
      <c r="J1813" s="6">
        <v>0</v>
      </c>
      <c r="K1813" s="6">
        <v>0</v>
      </c>
      <c r="L1813" s="6">
        <v>0.02</v>
      </c>
      <c r="M1813" s="6">
        <v>0.02</v>
      </c>
      <c r="N1813" s="6">
        <v>0.02</v>
      </c>
      <c r="O1813" s="6">
        <v>0.02</v>
      </c>
      <c r="P1813" s="6">
        <v>0</v>
      </c>
      <c r="Q1813" s="4" t="s">
        <v>26</v>
      </c>
      <c r="R1813" s="4">
        <v>0</v>
      </c>
      <c r="S1813" s="6">
        <v>0</v>
      </c>
      <c r="T1813" s="6">
        <v>67</v>
      </c>
      <c r="U1813" s="6">
        <v>110</v>
      </c>
      <c r="V1813" s="6">
        <f>IF(ISERROR(VLOOKUP($S$1813,'TAR FIN'!$A$1:$O$116,15,0)),0,VLOOKUP($S$1813,'TAR FIN'!$A$1:$O$116,15,0))</f>
        <v>0</v>
      </c>
      <c r="W1813" s="6">
        <f>IF(ISERROR(VLOOKUP($T$1813,'TAR FIN'!$A$1:$O$116,15,0)),0,VLOOKUP($T$1813,'TAR FIN'!$A$1:$O$116,15,0))</f>
        <v>575.91999999999996</v>
      </c>
      <c r="X1813" s="6">
        <f>IF(ISERROR(VLOOKUP($U$1813,'TAR FIN'!$A$1:$O$116,15,0)),0,VLOOKUP($U$1813,'TAR FIN'!$A$1:$O$116,15,0))</f>
        <v>311.04000000000002</v>
      </c>
      <c r="Y1813" s="6"/>
      <c r="Z1813" s="6">
        <f ca="1">('TUSD BE'!$AM$69+'TUSD BF'!$AM$69+'TUSD CVA'!$AM$69)*1</f>
        <v>706.22797575649349</v>
      </c>
      <c r="AA1813" s="6">
        <f>('TE BE'!$AB$40+'TE BF'!$AB$40+'TE CVA'!$AB$40)*1</f>
        <v>313.22907246928764</v>
      </c>
      <c r="AB1813" s="6">
        <f>$K$1813*$V$1813</f>
        <v>0</v>
      </c>
      <c r="AC1813" s="6">
        <f>$M$1813*$W$1813</f>
        <v>11.5184</v>
      </c>
      <c r="AD1813" s="6">
        <f>$O$1813*$X$1813</f>
        <v>6.2208000000000006</v>
      </c>
      <c r="AE1813" s="6">
        <f>$K$1813*$Y$1813</f>
        <v>0</v>
      </c>
      <c r="AF1813" s="6">
        <f ca="1">$M$1813*$Z$1813</f>
        <v>14.124559515129871</v>
      </c>
      <c r="AG1813" s="6">
        <f>$O$1813*$AA$1813</f>
        <v>6.2645814493857532</v>
      </c>
    </row>
    <row r="1814" spans="1:33" ht="11.25" customHeight="1" x14ac:dyDescent="0.25">
      <c r="A1814" s="4" t="s">
        <v>21</v>
      </c>
      <c r="B1814" s="4" t="s">
        <v>37</v>
      </c>
      <c r="C1814" s="4" t="s">
        <v>33</v>
      </c>
      <c r="D1814" s="4" t="s">
        <v>46</v>
      </c>
      <c r="E1814" s="4" t="s">
        <v>25</v>
      </c>
      <c r="F1814" s="4" t="s">
        <v>25</v>
      </c>
      <c r="G1814" s="4" t="s">
        <v>25</v>
      </c>
      <c r="H1814" s="4" t="s">
        <v>36</v>
      </c>
      <c r="I1814" s="5">
        <v>44409</v>
      </c>
      <c r="J1814" s="6">
        <v>0</v>
      </c>
      <c r="K1814" s="6">
        <v>0</v>
      </c>
      <c r="L1814" s="6">
        <v>2.1000000000000001E-2</v>
      </c>
      <c r="M1814" s="6">
        <v>2.1000000000000001E-2</v>
      </c>
      <c r="N1814" s="6">
        <v>2.1000000000000001E-2</v>
      </c>
      <c r="O1814" s="6">
        <v>2.1000000000000001E-2</v>
      </c>
      <c r="P1814" s="6">
        <v>0</v>
      </c>
      <c r="Q1814" s="4" t="s">
        <v>26</v>
      </c>
      <c r="R1814" s="4">
        <v>0</v>
      </c>
      <c r="S1814" s="6">
        <v>0</v>
      </c>
      <c r="T1814" s="6">
        <v>67</v>
      </c>
      <c r="U1814" s="6">
        <v>110</v>
      </c>
      <c r="V1814" s="6">
        <f>IF(ISERROR(VLOOKUP($S$1814,'TAR FIN'!$A$1:$O$116,15,0)),0,VLOOKUP($S$1814,'TAR FIN'!$A$1:$O$116,15,0))</f>
        <v>0</v>
      </c>
      <c r="W1814" s="6">
        <f>IF(ISERROR(VLOOKUP($T$1814,'TAR FIN'!$A$1:$O$116,15,0)),0,VLOOKUP($T$1814,'TAR FIN'!$A$1:$O$116,15,0))</f>
        <v>575.91999999999996</v>
      </c>
      <c r="X1814" s="6">
        <f>IF(ISERROR(VLOOKUP($U$1814,'TAR FIN'!$A$1:$O$116,15,0)),0,VLOOKUP($U$1814,'TAR FIN'!$A$1:$O$116,15,0))</f>
        <v>311.04000000000002</v>
      </c>
      <c r="Y1814" s="6"/>
      <c r="Z1814" s="6">
        <f ca="1">('TUSD BE'!$AM$69+'TUSD BF'!$AM$69+'TUSD CVA'!$AM$69)*1</f>
        <v>706.22797575649349</v>
      </c>
      <c r="AA1814" s="6">
        <f>('TE BE'!$AB$40+'TE BF'!$AB$40+'TE CVA'!$AB$40)*1</f>
        <v>313.22907246928764</v>
      </c>
      <c r="AB1814" s="6">
        <f>$K$1814*$V$1814</f>
        <v>0</v>
      </c>
      <c r="AC1814" s="6">
        <f>$M$1814*$W$1814</f>
        <v>12.09432</v>
      </c>
      <c r="AD1814" s="6">
        <f>$O$1814*$X$1814</f>
        <v>6.5318400000000008</v>
      </c>
      <c r="AE1814" s="6">
        <f>$K$1814*$Y$1814</f>
        <v>0</v>
      </c>
      <c r="AF1814" s="6">
        <f ca="1">$M$1814*$Z$1814</f>
        <v>14.830787490886363</v>
      </c>
      <c r="AG1814" s="6">
        <f>$O$1814*$AA$1814</f>
        <v>6.5778105218550413</v>
      </c>
    </row>
    <row r="1815" spans="1:33" ht="11.25" customHeight="1" x14ac:dyDescent="0.25">
      <c r="A1815" s="4" t="s">
        <v>21</v>
      </c>
      <c r="B1815" s="4" t="s">
        <v>37</v>
      </c>
      <c r="C1815" s="4" t="s">
        <v>33</v>
      </c>
      <c r="D1815" s="4" t="s">
        <v>46</v>
      </c>
      <c r="E1815" s="4" t="s">
        <v>25</v>
      </c>
      <c r="F1815" s="4" t="s">
        <v>25</v>
      </c>
      <c r="G1815" s="4" t="s">
        <v>25</v>
      </c>
      <c r="H1815" s="4" t="s">
        <v>36</v>
      </c>
      <c r="I1815" s="5">
        <v>44440</v>
      </c>
      <c r="J1815" s="6">
        <v>0</v>
      </c>
      <c r="K1815" s="6">
        <v>0</v>
      </c>
      <c r="L1815" s="6">
        <v>1.9E-2</v>
      </c>
      <c r="M1815" s="6">
        <v>1.9E-2</v>
      </c>
      <c r="N1815" s="6">
        <v>1.9E-2</v>
      </c>
      <c r="O1815" s="6">
        <v>1.9E-2</v>
      </c>
      <c r="P1815" s="6">
        <v>0</v>
      </c>
      <c r="Q1815" s="4" t="s">
        <v>26</v>
      </c>
      <c r="R1815" s="4">
        <v>0</v>
      </c>
      <c r="S1815" s="6">
        <v>0</v>
      </c>
      <c r="T1815" s="6">
        <v>67</v>
      </c>
      <c r="U1815" s="6">
        <v>110</v>
      </c>
      <c r="V1815" s="6">
        <f>IF(ISERROR(VLOOKUP($S$1815,'TAR FIN'!$A$1:$O$116,15,0)),0,VLOOKUP($S$1815,'TAR FIN'!$A$1:$O$116,15,0))</f>
        <v>0</v>
      </c>
      <c r="W1815" s="6">
        <f>IF(ISERROR(VLOOKUP($T$1815,'TAR FIN'!$A$1:$O$116,15,0)),0,VLOOKUP($T$1815,'TAR FIN'!$A$1:$O$116,15,0))</f>
        <v>575.91999999999996</v>
      </c>
      <c r="X1815" s="6">
        <f>IF(ISERROR(VLOOKUP($U$1815,'TAR FIN'!$A$1:$O$116,15,0)),0,VLOOKUP($U$1815,'TAR FIN'!$A$1:$O$116,15,0))</f>
        <v>311.04000000000002</v>
      </c>
      <c r="Y1815" s="6"/>
      <c r="Z1815" s="6">
        <f ca="1">('TUSD BE'!$AM$69+'TUSD BF'!$AM$69+'TUSD CVA'!$AM$69)*1</f>
        <v>706.22797575649349</v>
      </c>
      <c r="AA1815" s="6">
        <f>('TE BE'!$AB$40+'TE BF'!$AB$40+'TE CVA'!$AB$40)*1</f>
        <v>313.22907246928764</v>
      </c>
      <c r="AB1815" s="6">
        <f>$K$1815*$V$1815</f>
        <v>0</v>
      </c>
      <c r="AC1815" s="6">
        <f>$M$1815*$W$1815</f>
        <v>10.94248</v>
      </c>
      <c r="AD1815" s="6">
        <f>$O$1815*$X$1815</f>
        <v>5.9097600000000003</v>
      </c>
      <c r="AE1815" s="6">
        <f>$K$1815*$Y$1815</f>
        <v>0</v>
      </c>
      <c r="AF1815" s="6">
        <f ca="1">$M$1815*$Z$1815</f>
        <v>13.418331539373376</v>
      </c>
      <c r="AG1815" s="6">
        <f>$O$1815*$AA$1815</f>
        <v>5.9513523769164651</v>
      </c>
    </row>
    <row r="1816" spans="1:33" ht="11.25" customHeight="1" x14ac:dyDescent="0.25">
      <c r="A1816" s="4" t="s">
        <v>21</v>
      </c>
      <c r="B1816" s="4" t="s">
        <v>37</v>
      </c>
      <c r="C1816" s="4" t="s">
        <v>33</v>
      </c>
      <c r="D1816" s="4" t="s">
        <v>46</v>
      </c>
      <c r="E1816" s="4" t="s">
        <v>25</v>
      </c>
      <c r="F1816" s="4" t="s">
        <v>25</v>
      </c>
      <c r="G1816" s="4" t="s">
        <v>25</v>
      </c>
      <c r="H1816" s="4" t="s">
        <v>36</v>
      </c>
      <c r="I1816" s="5">
        <v>44470</v>
      </c>
      <c r="J1816" s="6">
        <v>0</v>
      </c>
      <c r="K1816" s="6">
        <v>0</v>
      </c>
      <c r="L1816" s="6">
        <v>1.7999999999999999E-2</v>
      </c>
      <c r="M1816" s="6">
        <v>1.7999999999999999E-2</v>
      </c>
      <c r="N1816" s="6">
        <v>1.7999999999999999E-2</v>
      </c>
      <c r="O1816" s="6">
        <v>1.7999999999999999E-2</v>
      </c>
      <c r="P1816" s="6">
        <v>0</v>
      </c>
      <c r="Q1816" s="4" t="s">
        <v>26</v>
      </c>
      <c r="R1816" s="4">
        <v>0</v>
      </c>
      <c r="S1816" s="6">
        <v>0</v>
      </c>
      <c r="T1816" s="6">
        <v>67</v>
      </c>
      <c r="U1816" s="6">
        <v>110</v>
      </c>
      <c r="V1816" s="6">
        <f>IF(ISERROR(VLOOKUP($S$1816,'TAR FIN'!$A$1:$O$116,15,0)),0,VLOOKUP($S$1816,'TAR FIN'!$A$1:$O$116,15,0))</f>
        <v>0</v>
      </c>
      <c r="W1816" s="6">
        <f>IF(ISERROR(VLOOKUP($T$1816,'TAR FIN'!$A$1:$O$116,15,0)),0,VLOOKUP($T$1816,'TAR FIN'!$A$1:$O$116,15,0))</f>
        <v>575.91999999999996</v>
      </c>
      <c r="X1816" s="6">
        <f>IF(ISERROR(VLOOKUP($U$1816,'TAR FIN'!$A$1:$O$116,15,0)),0,VLOOKUP($U$1816,'TAR FIN'!$A$1:$O$116,15,0))</f>
        <v>311.04000000000002</v>
      </c>
      <c r="Y1816" s="6"/>
      <c r="Z1816" s="6">
        <f ca="1">('TUSD BE'!$AM$69+'TUSD BF'!$AM$69+'TUSD CVA'!$AM$69)*1</f>
        <v>706.22797575649349</v>
      </c>
      <c r="AA1816" s="6">
        <f>('TE BE'!$AB$40+'TE BF'!$AB$40+'TE CVA'!$AB$40)*1</f>
        <v>313.22907246928764</v>
      </c>
      <c r="AB1816" s="6">
        <f>$K$1816*$V$1816</f>
        <v>0</v>
      </c>
      <c r="AC1816" s="6">
        <f>$M$1816*$W$1816</f>
        <v>10.366559999999998</v>
      </c>
      <c r="AD1816" s="6">
        <f>$O$1816*$X$1816</f>
        <v>5.5987200000000001</v>
      </c>
      <c r="AE1816" s="6">
        <f>$K$1816*$Y$1816</f>
        <v>0</v>
      </c>
      <c r="AF1816" s="6">
        <f ca="1">$M$1816*$Z$1816</f>
        <v>12.712103563616882</v>
      </c>
      <c r="AG1816" s="6">
        <f>$O$1816*$AA$1816</f>
        <v>5.638123304447177</v>
      </c>
    </row>
    <row r="1817" spans="1:33" ht="11.25" customHeight="1" x14ac:dyDescent="0.25">
      <c r="A1817" s="4" t="s">
        <v>21</v>
      </c>
      <c r="B1817" s="4" t="s">
        <v>37</v>
      </c>
      <c r="C1817" s="4" t="s">
        <v>33</v>
      </c>
      <c r="D1817" s="4" t="s">
        <v>46</v>
      </c>
      <c r="E1817" s="4" t="s">
        <v>25</v>
      </c>
      <c r="F1817" s="4" t="s">
        <v>25</v>
      </c>
      <c r="G1817" s="4" t="s">
        <v>25</v>
      </c>
      <c r="H1817" s="4" t="s">
        <v>36</v>
      </c>
      <c r="I1817" s="5">
        <v>44501</v>
      </c>
      <c r="J1817" s="6">
        <v>0</v>
      </c>
      <c r="K1817" s="6">
        <v>0</v>
      </c>
      <c r="L1817" s="6">
        <v>1.7999999999999999E-2</v>
      </c>
      <c r="M1817" s="6">
        <v>1.7999999999999999E-2</v>
      </c>
      <c r="N1817" s="6">
        <v>1.7999999999999999E-2</v>
      </c>
      <c r="O1817" s="6">
        <v>1.7999999999999999E-2</v>
      </c>
      <c r="P1817" s="6">
        <v>0</v>
      </c>
      <c r="Q1817" s="4" t="s">
        <v>26</v>
      </c>
      <c r="R1817" s="4">
        <v>0</v>
      </c>
      <c r="S1817" s="6">
        <v>0</v>
      </c>
      <c r="T1817" s="6">
        <v>67</v>
      </c>
      <c r="U1817" s="6">
        <v>110</v>
      </c>
      <c r="V1817" s="6">
        <f>IF(ISERROR(VLOOKUP($S$1817,'TAR FIN'!$A$1:$O$116,15,0)),0,VLOOKUP($S$1817,'TAR FIN'!$A$1:$O$116,15,0))</f>
        <v>0</v>
      </c>
      <c r="W1817" s="6">
        <f>IF(ISERROR(VLOOKUP($T$1817,'TAR FIN'!$A$1:$O$116,15,0)),0,VLOOKUP($T$1817,'TAR FIN'!$A$1:$O$116,15,0))</f>
        <v>575.91999999999996</v>
      </c>
      <c r="X1817" s="6">
        <f>IF(ISERROR(VLOOKUP($U$1817,'TAR FIN'!$A$1:$O$116,15,0)),0,VLOOKUP($U$1817,'TAR FIN'!$A$1:$O$116,15,0))</f>
        <v>311.04000000000002</v>
      </c>
      <c r="Y1817" s="6"/>
      <c r="Z1817" s="6">
        <f ca="1">('TUSD BE'!$AM$69+'TUSD BF'!$AM$69+'TUSD CVA'!$AM$69)*1</f>
        <v>706.22797575649349</v>
      </c>
      <c r="AA1817" s="6">
        <f>('TE BE'!$AB$40+'TE BF'!$AB$40+'TE CVA'!$AB$40)*1</f>
        <v>313.22907246928764</v>
      </c>
      <c r="AB1817" s="6">
        <f>$K$1817*$V$1817</f>
        <v>0</v>
      </c>
      <c r="AC1817" s="6">
        <f>$M$1817*$W$1817</f>
        <v>10.366559999999998</v>
      </c>
      <c r="AD1817" s="6">
        <f>$O$1817*$X$1817</f>
        <v>5.5987200000000001</v>
      </c>
      <c r="AE1817" s="6">
        <f>$K$1817*$Y$1817</f>
        <v>0</v>
      </c>
      <c r="AF1817" s="6">
        <f ca="1">$M$1817*$Z$1817</f>
        <v>12.712103563616882</v>
      </c>
      <c r="AG1817" s="6">
        <f>$O$1817*$AA$1817</f>
        <v>5.638123304447177</v>
      </c>
    </row>
    <row r="1818" spans="1:33" ht="11.25" customHeight="1" x14ac:dyDescent="0.25">
      <c r="A1818" s="4" t="s">
        <v>21</v>
      </c>
      <c r="B1818" s="4" t="s">
        <v>37</v>
      </c>
      <c r="C1818" s="4" t="s">
        <v>33</v>
      </c>
      <c r="D1818" s="4" t="s">
        <v>46</v>
      </c>
      <c r="E1818" s="4" t="s">
        <v>25</v>
      </c>
      <c r="F1818" s="4" t="s">
        <v>25</v>
      </c>
      <c r="G1818" s="4" t="s">
        <v>25</v>
      </c>
      <c r="H1818" s="4" t="s">
        <v>36</v>
      </c>
      <c r="I1818" s="5">
        <v>44531</v>
      </c>
      <c r="J1818" s="6">
        <v>0</v>
      </c>
      <c r="K1818" s="6">
        <v>0</v>
      </c>
      <c r="L1818" s="6">
        <v>1.7000000000000001E-2</v>
      </c>
      <c r="M1818" s="6">
        <v>1.7000000000000001E-2</v>
      </c>
      <c r="N1818" s="6">
        <v>1.7000000000000001E-2</v>
      </c>
      <c r="O1818" s="6">
        <v>1.7000000000000001E-2</v>
      </c>
      <c r="P1818" s="6">
        <v>0</v>
      </c>
      <c r="Q1818" s="4" t="s">
        <v>26</v>
      </c>
      <c r="R1818" s="4">
        <v>0</v>
      </c>
      <c r="S1818" s="6">
        <v>0</v>
      </c>
      <c r="T1818" s="6">
        <v>67</v>
      </c>
      <c r="U1818" s="6">
        <v>110</v>
      </c>
      <c r="V1818" s="6">
        <f>IF(ISERROR(VLOOKUP($S$1818,'TAR FIN'!$A$1:$O$116,15,0)),0,VLOOKUP($S$1818,'TAR FIN'!$A$1:$O$116,15,0))</f>
        <v>0</v>
      </c>
      <c r="W1818" s="6">
        <f>IF(ISERROR(VLOOKUP($T$1818,'TAR FIN'!$A$1:$O$116,15,0)),0,VLOOKUP($T$1818,'TAR FIN'!$A$1:$O$116,15,0))</f>
        <v>575.91999999999996</v>
      </c>
      <c r="X1818" s="6">
        <f>IF(ISERROR(VLOOKUP($U$1818,'TAR FIN'!$A$1:$O$116,15,0)),0,VLOOKUP($U$1818,'TAR FIN'!$A$1:$O$116,15,0))</f>
        <v>311.04000000000002</v>
      </c>
      <c r="Y1818" s="6"/>
      <c r="Z1818" s="6">
        <f ca="1">('TUSD BE'!$AM$69+'TUSD BF'!$AM$69+'TUSD CVA'!$AM$69)*1</f>
        <v>706.22797575649349</v>
      </c>
      <c r="AA1818" s="6">
        <f>('TE BE'!$AB$40+'TE BF'!$AB$40+'TE CVA'!$AB$40)*1</f>
        <v>313.22907246928764</v>
      </c>
      <c r="AB1818" s="6">
        <f>$K$1818*$V$1818</f>
        <v>0</v>
      </c>
      <c r="AC1818" s="6">
        <f>$M$1818*$W$1818</f>
        <v>9.7906399999999998</v>
      </c>
      <c r="AD1818" s="6">
        <f>$O$1818*$X$1818</f>
        <v>5.2876800000000008</v>
      </c>
      <c r="AE1818" s="6">
        <f>$K$1818*$Y$1818</f>
        <v>0</v>
      </c>
      <c r="AF1818" s="6">
        <f ca="1">$M$1818*$Z$1818</f>
        <v>12.005875587860391</v>
      </c>
      <c r="AG1818" s="6">
        <f>$O$1818*$AA$1818</f>
        <v>5.3248942319778907</v>
      </c>
    </row>
    <row r="1819" spans="1:33" ht="11.25" customHeight="1" x14ac:dyDescent="0.25">
      <c r="A1819" s="4" t="s">
        <v>21</v>
      </c>
      <c r="B1819" s="4" t="s">
        <v>37</v>
      </c>
      <c r="C1819" s="4" t="s">
        <v>33</v>
      </c>
      <c r="D1819" s="4" t="s">
        <v>46</v>
      </c>
      <c r="E1819" s="4" t="s">
        <v>25</v>
      </c>
      <c r="F1819" s="4" t="s">
        <v>25</v>
      </c>
      <c r="G1819" s="4" t="s">
        <v>25</v>
      </c>
      <c r="H1819" s="4" t="s">
        <v>36</v>
      </c>
      <c r="I1819" s="5">
        <v>44562</v>
      </c>
      <c r="J1819" s="6">
        <v>0</v>
      </c>
      <c r="K1819" s="6">
        <v>0</v>
      </c>
      <c r="L1819" s="6">
        <v>1.4E-2</v>
      </c>
      <c r="M1819" s="6">
        <v>1.4E-2</v>
      </c>
      <c r="N1819" s="6">
        <v>1.4E-2</v>
      </c>
      <c r="O1819" s="6">
        <v>1.4E-2</v>
      </c>
      <c r="P1819" s="6">
        <v>0</v>
      </c>
      <c r="Q1819" s="4" t="s">
        <v>26</v>
      </c>
      <c r="R1819" s="4">
        <v>0</v>
      </c>
      <c r="S1819" s="6">
        <v>0</v>
      </c>
      <c r="T1819" s="6">
        <v>67</v>
      </c>
      <c r="U1819" s="6">
        <v>110</v>
      </c>
      <c r="V1819" s="6">
        <f>IF(ISERROR(VLOOKUP($S$1819,'TAR FIN'!$A$1:$O$116,15,0)),0,VLOOKUP($S$1819,'TAR FIN'!$A$1:$O$116,15,0))</f>
        <v>0</v>
      </c>
      <c r="W1819" s="6">
        <f>IF(ISERROR(VLOOKUP($T$1819,'TAR FIN'!$A$1:$O$116,15,0)),0,VLOOKUP($T$1819,'TAR FIN'!$A$1:$O$116,15,0))</f>
        <v>575.91999999999996</v>
      </c>
      <c r="X1819" s="6">
        <f>IF(ISERROR(VLOOKUP($U$1819,'TAR FIN'!$A$1:$O$116,15,0)),0,VLOOKUP($U$1819,'TAR FIN'!$A$1:$O$116,15,0))</f>
        <v>311.04000000000002</v>
      </c>
      <c r="Y1819" s="6"/>
      <c r="Z1819" s="6">
        <f ca="1">('TUSD BE'!$AM$69+'TUSD BF'!$AM$69+'TUSD CVA'!$AM$69)*1</f>
        <v>706.22797575649349</v>
      </c>
      <c r="AA1819" s="6">
        <f>('TE BE'!$AB$40+'TE BF'!$AB$40+'TE CVA'!$AB$40)*1</f>
        <v>313.22907246928764</v>
      </c>
      <c r="AB1819" s="6">
        <f>$K$1819*$V$1819</f>
        <v>0</v>
      </c>
      <c r="AC1819" s="6">
        <f>$M$1819*$W$1819</f>
        <v>8.0628799999999998</v>
      </c>
      <c r="AD1819" s="6">
        <f>$O$1819*$X$1819</f>
        <v>4.3545600000000002</v>
      </c>
      <c r="AE1819" s="6">
        <f>$K$1819*$Y$1819</f>
        <v>0</v>
      </c>
      <c r="AF1819" s="6">
        <f ca="1">$M$1819*$Z$1819</f>
        <v>9.8871916605909096</v>
      </c>
      <c r="AG1819" s="6">
        <f>$O$1819*$AA$1819</f>
        <v>4.3852070145700273</v>
      </c>
    </row>
    <row r="1820" spans="1:33" ht="11.25" customHeight="1" x14ac:dyDescent="0.25">
      <c r="A1820" s="4" t="s">
        <v>21</v>
      </c>
      <c r="B1820" s="4" t="s">
        <v>37</v>
      </c>
      <c r="C1820" s="4" t="s">
        <v>33</v>
      </c>
      <c r="D1820" s="4" t="s">
        <v>46</v>
      </c>
      <c r="E1820" s="4" t="s">
        <v>25</v>
      </c>
      <c r="F1820" s="4" t="s">
        <v>25</v>
      </c>
      <c r="G1820" s="4" t="s">
        <v>25</v>
      </c>
      <c r="H1820" s="4" t="s">
        <v>36</v>
      </c>
      <c r="I1820" s="5">
        <v>44593</v>
      </c>
      <c r="J1820" s="6">
        <v>0</v>
      </c>
      <c r="K1820" s="6">
        <v>0</v>
      </c>
      <c r="L1820" s="6">
        <v>1.2E-2</v>
      </c>
      <c r="M1820" s="6">
        <v>1.2E-2</v>
      </c>
      <c r="N1820" s="6">
        <v>1.2E-2</v>
      </c>
      <c r="O1820" s="6">
        <v>1.2E-2</v>
      </c>
      <c r="P1820" s="6">
        <v>0</v>
      </c>
      <c r="Q1820" s="4" t="s">
        <v>26</v>
      </c>
      <c r="R1820" s="4">
        <v>0</v>
      </c>
      <c r="S1820" s="6">
        <v>0</v>
      </c>
      <c r="T1820" s="6">
        <v>67</v>
      </c>
      <c r="U1820" s="6">
        <v>110</v>
      </c>
      <c r="V1820" s="6">
        <f>IF(ISERROR(VLOOKUP($S$1820,'TAR FIN'!$A$1:$O$116,15,0)),0,VLOOKUP($S$1820,'TAR FIN'!$A$1:$O$116,15,0))</f>
        <v>0</v>
      </c>
      <c r="W1820" s="6">
        <f>IF(ISERROR(VLOOKUP($T$1820,'TAR FIN'!$A$1:$O$116,15,0)),0,VLOOKUP($T$1820,'TAR FIN'!$A$1:$O$116,15,0))</f>
        <v>575.91999999999996</v>
      </c>
      <c r="X1820" s="6">
        <f>IF(ISERROR(VLOOKUP($U$1820,'TAR FIN'!$A$1:$O$116,15,0)),0,VLOOKUP($U$1820,'TAR FIN'!$A$1:$O$116,15,0))</f>
        <v>311.04000000000002</v>
      </c>
      <c r="Y1820" s="6"/>
      <c r="Z1820" s="6">
        <f ca="1">('TUSD BE'!$AM$69+'TUSD BF'!$AM$69+'TUSD CVA'!$AM$69)*1</f>
        <v>706.22797575649349</v>
      </c>
      <c r="AA1820" s="6">
        <f>('TE BE'!$AB$40+'TE BF'!$AB$40+'TE CVA'!$AB$40)*1</f>
        <v>313.22907246928764</v>
      </c>
      <c r="AB1820" s="6">
        <f>$K$1820*$V$1820</f>
        <v>0</v>
      </c>
      <c r="AC1820" s="6">
        <f>$M$1820*$W$1820</f>
        <v>6.9110399999999998</v>
      </c>
      <c r="AD1820" s="6">
        <f>$O$1820*$X$1820</f>
        <v>3.7324800000000002</v>
      </c>
      <c r="AE1820" s="6">
        <f>$K$1820*$Y$1820</f>
        <v>0</v>
      </c>
      <c r="AF1820" s="6">
        <f ca="1">$M$1820*$Z$1820</f>
        <v>8.4747357090779225</v>
      </c>
      <c r="AG1820" s="6">
        <f>$O$1820*$AA$1820</f>
        <v>3.7587488696314519</v>
      </c>
    </row>
    <row r="1821" spans="1:33" ht="11.25" customHeight="1" x14ac:dyDescent="0.25">
      <c r="A1821" s="4" t="s">
        <v>21</v>
      </c>
      <c r="B1821" s="4" t="s">
        <v>37</v>
      </c>
      <c r="C1821" s="4" t="s">
        <v>33</v>
      </c>
      <c r="D1821" s="4" t="s">
        <v>46</v>
      </c>
      <c r="E1821" s="4" t="s">
        <v>25</v>
      </c>
      <c r="F1821" s="4" t="s">
        <v>25</v>
      </c>
      <c r="G1821" s="4" t="s">
        <v>25</v>
      </c>
      <c r="H1821" s="4" t="s">
        <v>36</v>
      </c>
      <c r="I1821" s="5">
        <v>44621</v>
      </c>
      <c r="J1821" s="6">
        <v>0</v>
      </c>
      <c r="K1821" s="6">
        <v>0</v>
      </c>
      <c r="L1821" s="6">
        <v>1.4E-2</v>
      </c>
      <c r="M1821" s="6">
        <v>1.4E-2</v>
      </c>
      <c r="N1821" s="6">
        <v>1.4E-2</v>
      </c>
      <c r="O1821" s="6">
        <v>1.4E-2</v>
      </c>
      <c r="P1821" s="6">
        <v>0</v>
      </c>
      <c r="Q1821" s="4" t="s">
        <v>26</v>
      </c>
      <c r="R1821" s="4">
        <v>0</v>
      </c>
      <c r="S1821" s="6">
        <v>0</v>
      </c>
      <c r="T1821" s="6">
        <v>67</v>
      </c>
      <c r="U1821" s="6">
        <v>110</v>
      </c>
      <c r="V1821" s="6">
        <f>IF(ISERROR(VLOOKUP($S$1821,'TAR FIN'!$A$1:$O$116,15,0)),0,VLOOKUP($S$1821,'TAR FIN'!$A$1:$O$116,15,0))</f>
        <v>0</v>
      </c>
      <c r="W1821" s="6">
        <f>IF(ISERROR(VLOOKUP($T$1821,'TAR FIN'!$A$1:$O$116,15,0)),0,VLOOKUP($T$1821,'TAR FIN'!$A$1:$O$116,15,0))</f>
        <v>575.91999999999996</v>
      </c>
      <c r="X1821" s="6">
        <f>IF(ISERROR(VLOOKUP($U$1821,'TAR FIN'!$A$1:$O$116,15,0)),0,VLOOKUP($U$1821,'TAR FIN'!$A$1:$O$116,15,0))</f>
        <v>311.04000000000002</v>
      </c>
      <c r="Y1821" s="6"/>
      <c r="Z1821" s="6">
        <f ca="1">('TUSD BE'!$AM$69+'TUSD BF'!$AM$69+'TUSD CVA'!$AM$69)*1</f>
        <v>706.22797575649349</v>
      </c>
      <c r="AA1821" s="6">
        <f>('TE BE'!$AB$40+'TE BF'!$AB$40+'TE CVA'!$AB$40)*1</f>
        <v>313.22907246928764</v>
      </c>
      <c r="AB1821" s="6">
        <f>$K$1821*$V$1821</f>
        <v>0</v>
      </c>
      <c r="AC1821" s="6">
        <f>$M$1821*$W$1821</f>
        <v>8.0628799999999998</v>
      </c>
      <c r="AD1821" s="6">
        <f>$O$1821*$X$1821</f>
        <v>4.3545600000000002</v>
      </c>
      <c r="AE1821" s="6">
        <f>$K$1821*$Y$1821</f>
        <v>0</v>
      </c>
      <c r="AF1821" s="6">
        <f ca="1">$M$1821*$Z$1821</f>
        <v>9.8871916605909096</v>
      </c>
      <c r="AG1821" s="6">
        <f>$O$1821*$AA$1821</f>
        <v>4.3852070145700273</v>
      </c>
    </row>
    <row r="1822" spans="1:33" ht="11.25" customHeight="1" x14ac:dyDescent="0.25">
      <c r="A1822" s="4" t="s">
        <v>21</v>
      </c>
      <c r="B1822" s="4" t="s">
        <v>37</v>
      </c>
      <c r="C1822" s="4" t="s">
        <v>33</v>
      </c>
      <c r="D1822" s="4" t="s">
        <v>46</v>
      </c>
      <c r="E1822" s="4" t="s">
        <v>25</v>
      </c>
      <c r="F1822" s="4" t="s">
        <v>25</v>
      </c>
      <c r="G1822" s="4" t="s">
        <v>25</v>
      </c>
      <c r="H1822" s="4" t="s">
        <v>36</v>
      </c>
      <c r="I1822" s="5">
        <v>44652</v>
      </c>
      <c r="J1822" s="6">
        <v>0</v>
      </c>
      <c r="K1822" s="6">
        <v>0</v>
      </c>
      <c r="L1822" s="6">
        <v>1.6E-2</v>
      </c>
      <c r="M1822" s="6">
        <v>1.6E-2</v>
      </c>
      <c r="N1822" s="6">
        <v>1.6E-2</v>
      </c>
      <c r="O1822" s="6">
        <v>1.6E-2</v>
      </c>
      <c r="P1822" s="6">
        <v>0</v>
      </c>
      <c r="Q1822" s="4" t="s">
        <v>26</v>
      </c>
      <c r="R1822" s="4">
        <v>0</v>
      </c>
      <c r="S1822" s="6">
        <v>0</v>
      </c>
      <c r="T1822" s="6">
        <v>67</v>
      </c>
      <c r="U1822" s="6">
        <v>110</v>
      </c>
      <c r="V1822" s="6">
        <f>IF(ISERROR(VLOOKUP($S$1822,'TAR FIN'!$A$1:$O$116,15,0)),0,VLOOKUP($S$1822,'TAR FIN'!$A$1:$O$116,15,0))</f>
        <v>0</v>
      </c>
      <c r="W1822" s="6">
        <f>IF(ISERROR(VLOOKUP($T$1822,'TAR FIN'!$A$1:$O$116,15,0)),0,VLOOKUP($T$1822,'TAR FIN'!$A$1:$O$116,15,0))</f>
        <v>575.91999999999996</v>
      </c>
      <c r="X1822" s="6">
        <f>IF(ISERROR(VLOOKUP($U$1822,'TAR FIN'!$A$1:$O$116,15,0)),0,VLOOKUP($U$1822,'TAR FIN'!$A$1:$O$116,15,0))</f>
        <v>311.04000000000002</v>
      </c>
      <c r="Y1822" s="6"/>
      <c r="Z1822" s="6">
        <f ca="1">('TUSD BE'!$AM$69+'TUSD BF'!$AM$69+'TUSD CVA'!$AM$69)*1</f>
        <v>706.22797575649349</v>
      </c>
      <c r="AA1822" s="6">
        <f>('TE BE'!$AB$40+'TE BF'!$AB$40+'TE CVA'!$AB$40)*1</f>
        <v>313.22907246928764</v>
      </c>
      <c r="AB1822" s="6">
        <f>$K$1822*$V$1822</f>
        <v>0</v>
      </c>
      <c r="AC1822" s="6">
        <f>$M$1822*$W$1822</f>
        <v>9.2147199999999998</v>
      </c>
      <c r="AD1822" s="6">
        <f>$O$1822*$X$1822</f>
        <v>4.9766400000000006</v>
      </c>
      <c r="AE1822" s="6">
        <f>$K$1822*$Y$1822</f>
        <v>0</v>
      </c>
      <c r="AF1822" s="6">
        <f ca="1">$M$1822*$Z$1822</f>
        <v>11.299647612103897</v>
      </c>
      <c r="AG1822" s="6">
        <f>$O$1822*$AA$1822</f>
        <v>5.0116651595086026</v>
      </c>
    </row>
    <row r="1823" spans="1:33" ht="11.25" customHeight="1" x14ac:dyDescent="0.25">
      <c r="A1823" s="4" t="s">
        <v>58</v>
      </c>
      <c r="B1823" s="4" t="s">
        <v>37</v>
      </c>
      <c r="C1823" s="4" t="s">
        <v>33</v>
      </c>
      <c r="D1823" s="4" t="s">
        <v>46</v>
      </c>
      <c r="E1823" s="4" t="s">
        <v>25</v>
      </c>
      <c r="F1823" s="4" t="s">
        <v>25</v>
      </c>
      <c r="G1823" s="4" t="s">
        <v>25</v>
      </c>
      <c r="H1823" s="4" t="s">
        <v>36</v>
      </c>
      <c r="I1823" s="5">
        <v>44682</v>
      </c>
      <c r="J1823" s="6">
        <v>0</v>
      </c>
      <c r="K1823" s="6">
        <v>0</v>
      </c>
      <c r="L1823" s="6">
        <v>1.6E-2</v>
      </c>
      <c r="M1823" s="6">
        <v>1.6E-2</v>
      </c>
      <c r="N1823" s="6">
        <v>1.6E-2</v>
      </c>
      <c r="O1823" s="6">
        <v>1.6E-2</v>
      </c>
      <c r="P1823" s="6">
        <v>0</v>
      </c>
      <c r="Q1823" s="4" t="s">
        <v>26</v>
      </c>
      <c r="R1823" s="4">
        <v>0</v>
      </c>
      <c r="S1823" s="6">
        <v>0</v>
      </c>
      <c r="T1823" s="6">
        <v>67</v>
      </c>
      <c r="U1823" s="6">
        <v>110</v>
      </c>
      <c r="V1823" s="6">
        <f>IF(ISERROR(VLOOKUP($S$1823,'TAR FIN'!$A$1:$O$116,15,0)),0,VLOOKUP($S$1823,'TAR FIN'!$A$1:$O$116,15,0))</f>
        <v>0</v>
      </c>
      <c r="W1823" s="6">
        <f>IF(ISERROR(VLOOKUP($T$1823,'TAR FIN'!$A$1:$O$116,15,0)),0,VLOOKUP($T$1823,'TAR FIN'!$A$1:$O$116,15,0))</f>
        <v>575.91999999999996</v>
      </c>
      <c r="X1823" s="6">
        <f>IF(ISERROR(VLOOKUP($U$1823,'TAR FIN'!$A$1:$O$116,15,0)),0,VLOOKUP($U$1823,'TAR FIN'!$A$1:$O$116,15,0))</f>
        <v>311.04000000000002</v>
      </c>
      <c r="Y1823" s="6"/>
      <c r="Z1823" s="6">
        <f ca="1">('TUSD BE'!$AM$69+'TUSD BF'!$AM$69+'TUSD CVA'!$AM$69)*1</f>
        <v>706.22797575649349</v>
      </c>
      <c r="AA1823" s="6">
        <f>('TE BE'!$AB$40+'TE BF'!$AB$40+'TE CVA'!$AB$40)*1</f>
        <v>313.22907246928764</v>
      </c>
      <c r="AB1823" s="6">
        <f>$K$1823*$V$1823</f>
        <v>0</v>
      </c>
      <c r="AC1823" s="6">
        <f>$M$1823*$W$1823</f>
        <v>9.2147199999999998</v>
      </c>
      <c r="AD1823" s="6">
        <f>$O$1823*$X$1823</f>
        <v>4.9766400000000006</v>
      </c>
      <c r="AE1823" s="6">
        <f>$K$1823*$Y$1823</f>
        <v>0</v>
      </c>
      <c r="AF1823" s="6">
        <f ca="1">$M$1823*$Z$1823</f>
        <v>11.299647612103897</v>
      </c>
      <c r="AG1823" s="6">
        <f>$O$1823*$AA$1823</f>
        <v>5.0116651595086026</v>
      </c>
    </row>
    <row r="1824" spans="1:33" ht="11.25" customHeight="1" x14ac:dyDescent="0.25">
      <c r="A1824" s="4" t="s">
        <v>21</v>
      </c>
      <c r="B1824" s="4" t="s">
        <v>37</v>
      </c>
      <c r="C1824" s="4" t="s">
        <v>33</v>
      </c>
      <c r="D1824" s="4" t="s">
        <v>46</v>
      </c>
      <c r="E1824" s="4" t="s">
        <v>25</v>
      </c>
      <c r="F1824" s="4" t="s">
        <v>25</v>
      </c>
      <c r="G1824" s="4" t="s">
        <v>25</v>
      </c>
      <c r="H1824" s="4" t="s">
        <v>34</v>
      </c>
      <c r="I1824" s="5">
        <v>44348</v>
      </c>
      <c r="J1824" s="6">
        <v>0</v>
      </c>
      <c r="K1824" s="6">
        <v>0</v>
      </c>
      <c r="L1824" s="6">
        <v>3.2000000000000001E-2</v>
      </c>
      <c r="M1824" s="6">
        <v>3.2000000000000001E-2</v>
      </c>
      <c r="N1824" s="6">
        <v>3.2000000000000001E-2</v>
      </c>
      <c r="O1824" s="6">
        <v>3.2000000000000001E-2</v>
      </c>
      <c r="P1824" s="6">
        <v>0</v>
      </c>
      <c r="Q1824" s="4" t="s">
        <v>26</v>
      </c>
      <c r="R1824" s="4">
        <v>0</v>
      </c>
      <c r="S1824" s="6">
        <v>0</v>
      </c>
      <c r="T1824" s="6">
        <v>66</v>
      </c>
      <c r="U1824" s="6">
        <v>109</v>
      </c>
      <c r="V1824" s="6">
        <f>IF(ISERROR(VLOOKUP($S$1824,'TAR FIN'!$A$1:$O$116,15,0)),0,VLOOKUP($S$1824,'TAR FIN'!$A$1:$O$116,15,0))</f>
        <v>0</v>
      </c>
      <c r="W1824" s="6">
        <f>IF(ISERROR(VLOOKUP($T$1824,'TAR FIN'!$A$1:$O$116,15,0)),0,VLOOKUP($T$1824,'TAR FIN'!$A$1:$O$116,15,0))</f>
        <v>881.18</v>
      </c>
      <c r="X1824" s="6">
        <f>IF(ISERROR(VLOOKUP($U$1824,'TAR FIN'!$A$1:$O$116,15,0)),0,VLOOKUP($U$1824,'TAR FIN'!$A$1:$O$116,15,0))</f>
        <v>496.15</v>
      </c>
      <c r="Y1824" s="6"/>
      <c r="Z1824" s="6">
        <f ca="1">('TUSD BE'!$AM$68+'TUSD BF'!$AM$68+'TUSD CVA'!$AM$68)*1</f>
        <v>1058.5766451511297</v>
      </c>
      <c r="AA1824" s="6">
        <f>('TE BE'!$AB$39+'TE BF'!$AB$39+'TE CVA'!$AB$39)*1</f>
        <v>510.04993331215127</v>
      </c>
      <c r="AB1824" s="6">
        <f>$K$1824*$V$1824</f>
        <v>0</v>
      </c>
      <c r="AC1824" s="6">
        <f>$M$1824*$W$1824</f>
        <v>28.197759999999999</v>
      </c>
      <c r="AD1824" s="6">
        <f>$O$1824*$X$1824</f>
        <v>15.876799999999999</v>
      </c>
      <c r="AE1824" s="6">
        <f>$K$1824*$Y$1824</f>
        <v>0</v>
      </c>
      <c r="AF1824" s="6">
        <f ca="1">$M$1824*$Z$1824</f>
        <v>33.874452644836154</v>
      </c>
      <c r="AG1824" s="6">
        <f>$O$1824*$AA$1824</f>
        <v>16.321597865988842</v>
      </c>
    </row>
    <row r="1825" spans="1:33" ht="11.25" customHeight="1" x14ac:dyDescent="0.25">
      <c r="A1825" s="4" t="s">
        <v>21</v>
      </c>
      <c r="B1825" s="4" t="s">
        <v>37</v>
      </c>
      <c r="C1825" s="4" t="s">
        <v>33</v>
      </c>
      <c r="D1825" s="4" t="s">
        <v>46</v>
      </c>
      <c r="E1825" s="4" t="s">
        <v>25</v>
      </c>
      <c r="F1825" s="4" t="s">
        <v>25</v>
      </c>
      <c r="G1825" s="4" t="s">
        <v>25</v>
      </c>
      <c r="H1825" s="4" t="s">
        <v>34</v>
      </c>
      <c r="I1825" s="5">
        <v>44378</v>
      </c>
      <c r="J1825" s="6">
        <v>0</v>
      </c>
      <c r="K1825" s="6">
        <v>0</v>
      </c>
      <c r="L1825" s="6">
        <v>3.3000000000000002E-2</v>
      </c>
      <c r="M1825" s="6">
        <v>3.3000000000000002E-2</v>
      </c>
      <c r="N1825" s="6">
        <v>3.3000000000000002E-2</v>
      </c>
      <c r="O1825" s="6">
        <v>3.3000000000000002E-2</v>
      </c>
      <c r="P1825" s="6">
        <v>0</v>
      </c>
      <c r="Q1825" s="4" t="s">
        <v>26</v>
      </c>
      <c r="R1825" s="4">
        <v>0</v>
      </c>
      <c r="S1825" s="6">
        <v>0</v>
      </c>
      <c r="T1825" s="6">
        <v>66</v>
      </c>
      <c r="U1825" s="6">
        <v>109</v>
      </c>
      <c r="V1825" s="6">
        <f>IF(ISERROR(VLOOKUP($S$1825,'TAR FIN'!$A$1:$O$116,15,0)),0,VLOOKUP($S$1825,'TAR FIN'!$A$1:$O$116,15,0))</f>
        <v>0</v>
      </c>
      <c r="W1825" s="6">
        <f>IF(ISERROR(VLOOKUP($T$1825,'TAR FIN'!$A$1:$O$116,15,0)),0,VLOOKUP($T$1825,'TAR FIN'!$A$1:$O$116,15,0))</f>
        <v>881.18</v>
      </c>
      <c r="X1825" s="6">
        <f>IF(ISERROR(VLOOKUP($U$1825,'TAR FIN'!$A$1:$O$116,15,0)),0,VLOOKUP($U$1825,'TAR FIN'!$A$1:$O$116,15,0))</f>
        <v>496.15</v>
      </c>
      <c r="Y1825" s="6"/>
      <c r="Z1825" s="6">
        <f ca="1">('TUSD BE'!$AM$68+'TUSD BF'!$AM$68+'TUSD CVA'!$AM$68)*1</f>
        <v>1058.5766451511297</v>
      </c>
      <c r="AA1825" s="6">
        <f>('TE BE'!$AB$39+'TE BF'!$AB$39+'TE CVA'!$AB$39)*1</f>
        <v>510.04993331215127</v>
      </c>
      <c r="AB1825" s="6">
        <f>$K$1825*$V$1825</f>
        <v>0</v>
      </c>
      <c r="AC1825" s="6">
        <f>$M$1825*$W$1825</f>
        <v>29.078939999999999</v>
      </c>
      <c r="AD1825" s="6">
        <f>$O$1825*$X$1825</f>
        <v>16.372949999999999</v>
      </c>
      <c r="AE1825" s="6">
        <f>$K$1825*$Y$1825</f>
        <v>0</v>
      </c>
      <c r="AF1825" s="6">
        <f ca="1">$M$1825*$Z$1825</f>
        <v>34.933029289987282</v>
      </c>
      <c r="AG1825" s="6">
        <f>$O$1825*$AA$1825</f>
        <v>16.831647799300992</v>
      </c>
    </row>
    <row r="1826" spans="1:33" ht="11.25" customHeight="1" x14ac:dyDescent="0.25">
      <c r="A1826" s="4" t="s">
        <v>21</v>
      </c>
      <c r="B1826" s="4" t="s">
        <v>37</v>
      </c>
      <c r="C1826" s="4" t="s">
        <v>33</v>
      </c>
      <c r="D1826" s="4" t="s">
        <v>46</v>
      </c>
      <c r="E1826" s="4" t="s">
        <v>25</v>
      </c>
      <c r="F1826" s="4" t="s">
        <v>25</v>
      </c>
      <c r="G1826" s="4" t="s">
        <v>25</v>
      </c>
      <c r="H1826" s="4" t="s">
        <v>34</v>
      </c>
      <c r="I1826" s="5">
        <v>44409</v>
      </c>
      <c r="J1826" s="6">
        <v>0</v>
      </c>
      <c r="K1826" s="6">
        <v>0</v>
      </c>
      <c r="L1826" s="6">
        <v>3.5999999999999997E-2</v>
      </c>
      <c r="M1826" s="6">
        <v>3.5999999999999997E-2</v>
      </c>
      <c r="N1826" s="6">
        <v>3.5999999999999997E-2</v>
      </c>
      <c r="O1826" s="6">
        <v>3.5999999999999997E-2</v>
      </c>
      <c r="P1826" s="6">
        <v>0</v>
      </c>
      <c r="Q1826" s="4" t="s">
        <v>26</v>
      </c>
      <c r="R1826" s="4">
        <v>0</v>
      </c>
      <c r="S1826" s="6">
        <v>0</v>
      </c>
      <c r="T1826" s="6">
        <v>66</v>
      </c>
      <c r="U1826" s="6">
        <v>109</v>
      </c>
      <c r="V1826" s="6">
        <f>IF(ISERROR(VLOOKUP($S$1826,'TAR FIN'!$A$1:$O$116,15,0)),0,VLOOKUP($S$1826,'TAR FIN'!$A$1:$O$116,15,0))</f>
        <v>0</v>
      </c>
      <c r="W1826" s="6">
        <f>IF(ISERROR(VLOOKUP($T$1826,'TAR FIN'!$A$1:$O$116,15,0)),0,VLOOKUP($T$1826,'TAR FIN'!$A$1:$O$116,15,0))</f>
        <v>881.18</v>
      </c>
      <c r="X1826" s="6">
        <f>IF(ISERROR(VLOOKUP($U$1826,'TAR FIN'!$A$1:$O$116,15,0)),0,VLOOKUP($U$1826,'TAR FIN'!$A$1:$O$116,15,0))</f>
        <v>496.15</v>
      </c>
      <c r="Y1826" s="6"/>
      <c r="Z1826" s="6">
        <f ca="1">('TUSD BE'!$AM$68+'TUSD BF'!$AM$68+'TUSD CVA'!$AM$68)*1</f>
        <v>1058.5766451511297</v>
      </c>
      <c r="AA1826" s="6">
        <f>('TE BE'!$AB$39+'TE BF'!$AB$39+'TE CVA'!$AB$39)*1</f>
        <v>510.04993331215127</v>
      </c>
      <c r="AB1826" s="6">
        <f>$K$1826*$V$1826</f>
        <v>0</v>
      </c>
      <c r="AC1826" s="6">
        <f>$M$1826*$W$1826</f>
        <v>31.722479999999997</v>
      </c>
      <c r="AD1826" s="6">
        <f>$O$1826*$X$1826</f>
        <v>17.861399999999996</v>
      </c>
      <c r="AE1826" s="6">
        <f>$K$1826*$Y$1826</f>
        <v>0</v>
      </c>
      <c r="AF1826" s="6">
        <f ca="1">$M$1826*$Z$1826</f>
        <v>38.108759225440664</v>
      </c>
      <c r="AG1826" s="6">
        <f>$O$1826*$AA$1826</f>
        <v>18.361797599237445</v>
      </c>
    </row>
    <row r="1827" spans="1:33" ht="11.25" customHeight="1" x14ac:dyDescent="0.25">
      <c r="A1827" s="4" t="s">
        <v>21</v>
      </c>
      <c r="B1827" s="4" t="s">
        <v>37</v>
      </c>
      <c r="C1827" s="4" t="s">
        <v>33</v>
      </c>
      <c r="D1827" s="4" t="s">
        <v>46</v>
      </c>
      <c r="E1827" s="4" t="s">
        <v>25</v>
      </c>
      <c r="F1827" s="4" t="s">
        <v>25</v>
      </c>
      <c r="G1827" s="4" t="s">
        <v>25</v>
      </c>
      <c r="H1827" s="4" t="s">
        <v>34</v>
      </c>
      <c r="I1827" s="5">
        <v>44440</v>
      </c>
      <c r="J1827" s="6">
        <v>0</v>
      </c>
      <c r="K1827" s="6">
        <v>0</v>
      </c>
      <c r="L1827" s="6">
        <v>3.2000000000000001E-2</v>
      </c>
      <c r="M1827" s="6">
        <v>3.2000000000000001E-2</v>
      </c>
      <c r="N1827" s="6">
        <v>3.2000000000000001E-2</v>
      </c>
      <c r="O1827" s="6">
        <v>3.2000000000000001E-2</v>
      </c>
      <c r="P1827" s="6">
        <v>0</v>
      </c>
      <c r="Q1827" s="4" t="s">
        <v>26</v>
      </c>
      <c r="R1827" s="4">
        <v>0</v>
      </c>
      <c r="S1827" s="6">
        <v>0</v>
      </c>
      <c r="T1827" s="6">
        <v>66</v>
      </c>
      <c r="U1827" s="6">
        <v>109</v>
      </c>
      <c r="V1827" s="6">
        <f>IF(ISERROR(VLOOKUP($S$1827,'TAR FIN'!$A$1:$O$116,15,0)),0,VLOOKUP($S$1827,'TAR FIN'!$A$1:$O$116,15,0))</f>
        <v>0</v>
      </c>
      <c r="W1827" s="6">
        <f>IF(ISERROR(VLOOKUP($T$1827,'TAR FIN'!$A$1:$O$116,15,0)),0,VLOOKUP($T$1827,'TAR FIN'!$A$1:$O$116,15,0))</f>
        <v>881.18</v>
      </c>
      <c r="X1827" s="6">
        <f>IF(ISERROR(VLOOKUP($U$1827,'TAR FIN'!$A$1:$O$116,15,0)),0,VLOOKUP($U$1827,'TAR FIN'!$A$1:$O$116,15,0))</f>
        <v>496.15</v>
      </c>
      <c r="Y1827" s="6"/>
      <c r="Z1827" s="6">
        <f ca="1">('TUSD BE'!$AM$68+'TUSD BF'!$AM$68+'TUSD CVA'!$AM$68)*1</f>
        <v>1058.5766451511297</v>
      </c>
      <c r="AA1827" s="6">
        <f>('TE BE'!$AB$39+'TE BF'!$AB$39+'TE CVA'!$AB$39)*1</f>
        <v>510.04993331215127</v>
      </c>
      <c r="AB1827" s="6">
        <f>$K$1827*$V$1827</f>
        <v>0</v>
      </c>
      <c r="AC1827" s="6">
        <f>$M$1827*$W$1827</f>
        <v>28.197759999999999</v>
      </c>
      <c r="AD1827" s="6">
        <f>$O$1827*$X$1827</f>
        <v>15.876799999999999</v>
      </c>
      <c r="AE1827" s="6">
        <f>$K$1827*$Y$1827</f>
        <v>0</v>
      </c>
      <c r="AF1827" s="6">
        <f ca="1">$M$1827*$Z$1827</f>
        <v>33.874452644836154</v>
      </c>
      <c r="AG1827" s="6">
        <f>$O$1827*$AA$1827</f>
        <v>16.321597865988842</v>
      </c>
    </row>
    <row r="1828" spans="1:33" ht="11.25" customHeight="1" x14ac:dyDescent="0.25">
      <c r="A1828" s="4" t="s">
        <v>21</v>
      </c>
      <c r="B1828" s="4" t="s">
        <v>37</v>
      </c>
      <c r="C1828" s="4" t="s">
        <v>33</v>
      </c>
      <c r="D1828" s="4" t="s">
        <v>46</v>
      </c>
      <c r="E1828" s="4" t="s">
        <v>25</v>
      </c>
      <c r="F1828" s="4" t="s">
        <v>25</v>
      </c>
      <c r="G1828" s="4" t="s">
        <v>25</v>
      </c>
      <c r="H1828" s="4" t="s">
        <v>34</v>
      </c>
      <c r="I1828" s="5">
        <v>44470</v>
      </c>
      <c r="J1828" s="6">
        <v>0</v>
      </c>
      <c r="K1828" s="6">
        <v>0</v>
      </c>
      <c r="L1828" s="6">
        <v>2.9000000000000001E-2</v>
      </c>
      <c r="M1828" s="6">
        <v>2.9000000000000001E-2</v>
      </c>
      <c r="N1828" s="6">
        <v>2.9000000000000001E-2</v>
      </c>
      <c r="O1828" s="6">
        <v>2.9000000000000001E-2</v>
      </c>
      <c r="P1828" s="6">
        <v>0</v>
      </c>
      <c r="Q1828" s="4" t="s">
        <v>26</v>
      </c>
      <c r="R1828" s="4">
        <v>0</v>
      </c>
      <c r="S1828" s="6">
        <v>0</v>
      </c>
      <c r="T1828" s="6">
        <v>66</v>
      </c>
      <c r="U1828" s="6">
        <v>109</v>
      </c>
      <c r="V1828" s="6">
        <f>IF(ISERROR(VLOOKUP($S$1828,'TAR FIN'!$A$1:$O$116,15,0)),0,VLOOKUP($S$1828,'TAR FIN'!$A$1:$O$116,15,0))</f>
        <v>0</v>
      </c>
      <c r="W1828" s="6">
        <f>IF(ISERROR(VLOOKUP($T$1828,'TAR FIN'!$A$1:$O$116,15,0)),0,VLOOKUP($T$1828,'TAR FIN'!$A$1:$O$116,15,0))</f>
        <v>881.18</v>
      </c>
      <c r="X1828" s="6">
        <f>IF(ISERROR(VLOOKUP($U$1828,'TAR FIN'!$A$1:$O$116,15,0)),0,VLOOKUP($U$1828,'TAR FIN'!$A$1:$O$116,15,0))</f>
        <v>496.15</v>
      </c>
      <c r="Y1828" s="6"/>
      <c r="Z1828" s="6">
        <f ca="1">('TUSD BE'!$AM$68+'TUSD BF'!$AM$68+'TUSD CVA'!$AM$68)*1</f>
        <v>1058.5766451511297</v>
      </c>
      <c r="AA1828" s="6">
        <f>('TE BE'!$AB$39+'TE BF'!$AB$39+'TE CVA'!$AB$39)*1</f>
        <v>510.04993331215127</v>
      </c>
      <c r="AB1828" s="6">
        <f>$K$1828*$V$1828</f>
        <v>0</v>
      </c>
      <c r="AC1828" s="6">
        <f>$M$1828*$W$1828</f>
        <v>25.554220000000001</v>
      </c>
      <c r="AD1828" s="6">
        <f>$O$1828*$X$1828</f>
        <v>14.388350000000001</v>
      </c>
      <c r="AE1828" s="6">
        <f>$K$1828*$Y$1828</f>
        <v>0</v>
      </c>
      <c r="AF1828" s="6">
        <f ca="1">$M$1828*$Z$1828</f>
        <v>30.698722709382764</v>
      </c>
      <c r="AG1828" s="6">
        <f>$O$1828*$AA$1828</f>
        <v>14.791448066052387</v>
      </c>
    </row>
    <row r="1829" spans="1:33" ht="11.25" customHeight="1" x14ac:dyDescent="0.25">
      <c r="A1829" s="4" t="s">
        <v>21</v>
      </c>
      <c r="B1829" s="4" t="s">
        <v>37</v>
      </c>
      <c r="C1829" s="4" t="s">
        <v>33</v>
      </c>
      <c r="D1829" s="4" t="s">
        <v>46</v>
      </c>
      <c r="E1829" s="4" t="s">
        <v>25</v>
      </c>
      <c r="F1829" s="4" t="s">
        <v>25</v>
      </c>
      <c r="G1829" s="4" t="s">
        <v>25</v>
      </c>
      <c r="H1829" s="4" t="s">
        <v>34</v>
      </c>
      <c r="I1829" s="5">
        <v>44501</v>
      </c>
      <c r="J1829" s="6">
        <v>0</v>
      </c>
      <c r="K1829" s="6">
        <v>0</v>
      </c>
      <c r="L1829" s="6">
        <v>3.1E-2</v>
      </c>
      <c r="M1829" s="6">
        <v>3.1E-2</v>
      </c>
      <c r="N1829" s="6">
        <v>3.1E-2</v>
      </c>
      <c r="O1829" s="6">
        <v>3.1E-2</v>
      </c>
      <c r="P1829" s="6">
        <v>0</v>
      </c>
      <c r="Q1829" s="4" t="s">
        <v>26</v>
      </c>
      <c r="R1829" s="4">
        <v>0</v>
      </c>
      <c r="S1829" s="6">
        <v>0</v>
      </c>
      <c r="T1829" s="6">
        <v>66</v>
      </c>
      <c r="U1829" s="6">
        <v>109</v>
      </c>
      <c r="V1829" s="6">
        <f>IF(ISERROR(VLOOKUP($S$1829,'TAR FIN'!$A$1:$O$116,15,0)),0,VLOOKUP($S$1829,'TAR FIN'!$A$1:$O$116,15,0))</f>
        <v>0</v>
      </c>
      <c r="W1829" s="6">
        <f>IF(ISERROR(VLOOKUP($T$1829,'TAR FIN'!$A$1:$O$116,15,0)),0,VLOOKUP($T$1829,'TAR FIN'!$A$1:$O$116,15,0))</f>
        <v>881.18</v>
      </c>
      <c r="X1829" s="6">
        <f>IF(ISERROR(VLOOKUP($U$1829,'TAR FIN'!$A$1:$O$116,15,0)),0,VLOOKUP($U$1829,'TAR FIN'!$A$1:$O$116,15,0))</f>
        <v>496.15</v>
      </c>
      <c r="Y1829" s="6"/>
      <c r="Z1829" s="6">
        <f ca="1">('TUSD BE'!$AM$68+'TUSD BF'!$AM$68+'TUSD CVA'!$AM$68)*1</f>
        <v>1058.5766451511297</v>
      </c>
      <c r="AA1829" s="6">
        <f>('TE BE'!$AB$39+'TE BF'!$AB$39+'TE CVA'!$AB$39)*1</f>
        <v>510.04993331215127</v>
      </c>
      <c r="AB1829" s="6">
        <f>$K$1829*$V$1829</f>
        <v>0</v>
      </c>
      <c r="AC1829" s="6">
        <f>$M$1829*$W$1829</f>
        <v>27.316579999999998</v>
      </c>
      <c r="AD1829" s="6">
        <f>$O$1829*$X$1829</f>
        <v>15.380649999999999</v>
      </c>
      <c r="AE1829" s="6">
        <f>$K$1829*$Y$1829</f>
        <v>0</v>
      </c>
      <c r="AF1829" s="6">
        <f ca="1">$M$1829*$Z$1829</f>
        <v>32.815875999685019</v>
      </c>
      <c r="AG1829" s="6">
        <f>$O$1829*$AA$1829</f>
        <v>15.811547932676689</v>
      </c>
    </row>
    <row r="1830" spans="1:33" ht="11.25" customHeight="1" x14ac:dyDescent="0.25">
      <c r="A1830" s="4" t="s">
        <v>21</v>
      </c>
      <c r="B1830" s="4" t="s">
        <v>37</v>
      </c>
      <c r="C1830" s="4" t="s">
        <v>33</v>
      </c>
      <c r="D1830" s="4" t="s">
        <v>46</v>
      </c>
      <c r="E1830" s="4" t="s">
        <v>25</v>
      </c>
      <c r="F1830" s="4" t="s">
        <v>25</v>
      </c>
      <c r="G1830" s="4" t="s">
        <v>25</v>
      </c>
      <c r="H1830" s="4" t="s">
        <v>34</v>
      </c>
      <c r="I1830" s="5">
        <v>44531</v>
      </c>
      <c r="J1830" s="6">
        <v>0</v>
      </c>
      <c r="K1830" s="6">
        <v>0</v>
      </c>
      <c r="L1830" s="6">
        <v>2.8000000000000001E-2</v>
      </c>
      <c r="M1830" s="6">
        <v>2.8000000000000001E-2</v>
      </c>
      <c r="N1830" s="6">
        <v>2.8000000000000001E-2</v>
      </c>
      <c r="O1830" s="6">
        <v>2.8000000000000001E-2</v>
      </c>
      <c r="P1830" s="6">
        <v>0</v>
      </c>
      <c r="Q1830" s="4" t="s">
        <v>26</v>
      </c>
      <c r="R1830" s="4">
        <v>0</v>
      </c>
      <c r="S1830" s="6">
        <v>0</v>
      </c>
      <c r="T1830" s="6">
        <v>66</v>
      </c>
      <c r="U1830" s="6">
        <v>109</v>
      </c>
      <c r="V1830" s="6">
        <f>IF(ISERROR(VLOOKUP($S$1830,'TAR FIN'!$A$1:$O$116,15,0)),0,VLOOKUP($S$1830,'TAR FIN'!$A$1:$O$116,15,0))</f>
        <v>0</v>
      </c>
      <c r="W1830" s="6">
        <f>IF(ISERROR(VLOOKUP($T$1830,'TAR FIN'!$A$1:$O$116,15,0)),0,VLOOKUP($T$1830,'TAR FIN'!$A$1:$O$116,15,0))</f>
        <v>881.18</v>
      </c>
      <c r="X1830" s="6">
        <f>IF(ISERROR(VLOOKUP($U$1830,'TAR FIN'!$A$1:$O$116,15,0)),0,VLOOKUP($U$1830,'TAR FIN'!$A$1:$O$116,15,0))</f>
        <v>496.15</v>
      </c>
      <c r="Y1830" s="6"/>
      <c r="Z1830" s="6">
        <f ca="1">('TUSD BE'!$AM$68+'TUSD BF'!$AM$68+'TUSD CVA'!$AM$68)*1</f>
        <v>1058.5766451511297</v>
      </c>
      <c r="AA1830" s="6">
        <f>('TE BE'!$AB$39+'TE BF'!$AB$39+'TE CVA'!$AB$39)*1</f>
        <v>510.04993331215127</v>
      </c>
      <c r="AB1830" s="6">
        <f>$K$1830*$V$1830</f>
        <v>0</v>
      </c>
      <c r="AC1830" s="6">
        <f>$M$1830*$W$1830</f>
        <v>24.67304</v>
      </c>
      <c r="AD1830" s="6">
        <f>$O$1830*$X$1830</f>
        <v>13.892199999999999</v>
      </c>
      <c r="AE1830" s="6">
        <f>$K$1830*$Y$1830</f>
        <v>0</v>
      </c>
      <c r="AF1830" s="6">
        <f ca="1">$M$1830*$Z$1830</f>
        <v>29.640146064231633</v>
      </c>
      <c r="AG1830" s="6">
        <f>$O$1830*$AA$1830</f>
        <v>14.281398132740236</v>
      </c>
    </row>
    <row r="1831" spans="1:33" ht="11.25" customHeight="1" x14ac:dyDescent="0.25">
      <c r="A1831" s="4" t="s">
        <v>21</v>
      </c>
      <c r="B1831" s="4" t="s">
        <v>37</v>
      </c>
      <c r="C1831" s="4" t="s">
        <v>33</v>
      </c>
      <c r="D1831" s="4" t="s">
        <v>46</v>
      </c>
      <c r="E1831" s="4" t="s">
        <v>25</v>
      </c>
      <c r="F1831" s="4" t="s">
        <v>25</v>
      </c>
      <c r="G1831" s="4" t="s">
        <v>25</v>
      </c>
      <c r="H1831" s="4" t="s">
        <v>34</v>
      </c>
      <c r="I1831" s="5">
        <v>44562</v>
      </c>
      <c r="J1831" s="6">
        <v>0</v>
      </c>
      <c r="K1831" s="6">
        <v>0</v>
      </c>
      <c r="L1831" s="6">
        <v>2.3E-2</v>
      </c>
      <c r="M1831" s="6">
        <v>2.3E-2</v>
      </c>
      <c r="N1831" s="6">
        <v>2.3E-2</v>
      </c>
      <c r="O1831" s="6">
        <v>2.3E-2</v>
      </c>
      <c r="P1831" s="6">
        <v>0</v>
      </c>
      <c r="Q1831" s="4" t="s">
        <v>26</v>
      </c>
      <c r="R1831" s="4">
        <v>0</v>
      </c>
      <c r="S1831" s="6">
        <v>0</v>
      </c>
      <c r="T1831" s="6">
        <v>66</v>
      </c>
      <c r="U1831" s="6">
        <v>109</v>
      </c>
      <c r="V1831" s="6">
        <f>IF(ISERROR(VLOOKUP($S$1831,'TAR FIN'!$A$1:$O$116,15,0)),0,VLOOKUP($S$1831,'TAR FIN'!$A$1:$O$116,15,0))</f>
        <v>0</v>
      </c>
      <c r="W1831" s="6">
        <f>IF(ISERROR(VLOOKUP($T$1831,'TAR FIN'!$A$1:$O$116,15,0)),0,VLOOKUP($T$1831,'TAR FIN'!$A$1:$O$116,15,0))</f>
        <v>881.18</v>
      </c>
      <c r="X1831" s="6">
        <f>IF(ISERROR(VLOOKUP($U$1831,'TAR FIN'!$A$1:$O$116,15,0)),0,VLOOKUP($U$1831,'TAR FIN'!$A$1:$O$116,15,0))</f>
        <v>496.15</v>
      </c>
      <c r="Y1831" s="6"/>
      <c r="Z1831" s="6">
        <f ca="1">('TUSD BE'!$AM$68+'TUSD BF'!$AM$68+'TUSD CVA'!$AM$68)*1</f>
        <v>1058.5766451511297</v>
      </c>
      <c r="AA1831" s="6">
        <f>('TE BE'!$AB$39+'TE BF'!$AB$39+'TE CVA'!$AB$39)*1</f>
        <v>510.04993331215127</v>
      </c>
      <c r="AB1831" s="6">
        <f>$K$1831*$V$1831</f>
        <v>0</v>
      </c>
      <c r="AC1831" s="6">
        <f>$M$1831*$W$1831</f>
        <v>20.267139999999998</v>
      </c>
      <c r="AD1831" s="6">
        <f>$O$1831*$X$1831</f>
        <v>11.411449999999999</v>
      </c>
      <c r="AE1831" s="6">
        <f>$K$1831*$Y$1831</f>
        <v>0</v>
      </c>
      <c r="AF1831" s="6">
        <f ca="1">$M$1831*$Z$1831</f>
        <v>24.347262838475984</v>
      </c>
      <c r="AG1831" s="6">
        <f>$O$1831*$AA$1831</f>
        <v>11.731148466179478</v>
      </c>
    </row>
    <row r="1832" spans="1:33" ht="11.25" customHeight="1" x14ac:dyDescent="0.25">
      <c r="A1832" s="4" t="s">
        <v>21</v>
      </c>
      <c r="B1832" s="4" t="s">
        <v>37</v>
      </c>
      <c r="C1832" s="4" t="s">
        <v>33</v>
      </c>
      <c r="D1832" s="4" t="s">
        <v>46</v>
      </c>
      <c r="E1832" s="4" t="s">
        <v>25</v>
      </c>
      <c r="F1832" s="4" t="s">
        <v>25</v>
      </c>
      <c r="G1832" s="4" t="s">
        <v>25</v>
      </c>
      <c r="H1832" s="4" t="s">
        <v>34</v>
      </c>
      <c r="I1832" s="5">
        <v>44593</v>
      </c>
      <c r="J1832" s="6">
        <v>0</v>
      </c>
      <c r="K1832" s="6">
        <v>0</v>
      </c>
      <c r="L1832" s="6">
        <v>0.02</v>
      </c>
      <c r="M1832" s="6">
        <v>0.02</v>
      </c>
      <c r="N1832" s="6">
        <v>0.02</v>
      </c>
      <c r="O1832" s="6">
        <v>0.02</v>
      </c>
      <c r="P1832" s="6">
        <v>0</v>
      </c>
      <c r="Q1832" s="4" t="s">
        <v>26</v>
      </c>
      <c r="R1832" s="4">
        <v>0</v>
      </c>
      <c r="S1832" s="6">
        <v>0</v>
      </c>
      <c r="T1832" s="6">
        <v>66</v>
      </c>
      <c r="U1832" s="6">
        <v>109</v>
      </c>
      <c r="V1832" s="6">
        <f>IF(ISERROR(VLOOKUP($S$1832,'TAR FIN'!$A$1:$O$116,15,0)),0,VLOOKUP($S$1832,'TAR FIN'!$A$1:$O$116,15,0))</f>
        <v>0</v>
      </c>
      <c r="W1832" s="6">
        <f>IF(ISERROR(VLOOKUP($T$1832,'TAR FIN'!$A$1:$O$116,15,0)),0,VLOOKUP($T$1832,'TAR FIN'!$A$1:$O$116,15,0))</f>
        <v>881.18</v>
      </c>
      <c r="X1832" s="6">
        <f>IF(ISERROR(VLOOKUP($U$1832,'TAR FIN'!$A$1:$O$116,15,0)),0,VLOOKUP($U$1832,'TAR FIN'!$A$1:$O$116,15,0))</f>
        <v>496.15</v>
      </c>
      <c r="Y1832" s="6"/>
      <c r="Z1832" s="6">
        <f ca="1">('TUSD BE'!$AM$68+'TUSD BF'!$AM$68+'TUSD CVA'!$AM$68)*1</f>
        <v>1058.5766451511297</v>
      </c>
      <c r="AA1832" s="6">
        <f>('TE BE'!$AB$39+'TE BF'!$AB$39+'TE CVA'!$AB$39)*1</f>
        <v>510.04993331215127</v>
      </c>
      <c r="AB1832" s="6">
        <f>$K$1832*$V$1832</f>
        <v>0</v>
      </c>
      <c r="AC1832" s="6">
        <f>$M$1832*$W$1832</f>
        <v>17.6236</v>
      </c>
      <c r="AD1832" s="6">
        <f>$O$1832*$X$1832</f>
        <v>9.923</v>
      </c>
      <c r="AE1832" s="6">
        <f>$K$1832*$Y$1832</f>
        <v>0</v>
      </c>
      <c r="AF1832" s="6">
        <f ca="1">$M$1832*$Z$1832</f>
        <v>21.171532903022594</v>
      </c>
      <c r="AG1832" s="6">
        <f>$O$1832*$AA$1832</f>
        <v>10.200998666243025</v>
      </c>
    </row>
    <row r="1833" spans="1:33" ht="11.25" customHeight="1" x14ac:dyDescent="0.25">
      <c r="A1833" s="4" t="s">
        <v>21</v>
      </c>
      <c r="B1833" s="4" t="s">
        <v>37</v>
      </c>
      <c r="C1833" s="4" t="s">
        <v>33</v>
      </c>
      <c r="D1833" s="4" t="s">
        <v>46</v>
      </c>
      <c r="E1833" s="4" t="s">
        <v>25</v>
      </c>
      <c r="F1833" s="4" t="s">
        <v>25</v>
      </c>
      <c r="G1833" s="4" t="s">
        <v>25</v>
      </c>
      <c r="H1833" s="4" t="s">
        <v>34</v>
      </c>
      <c r="I1833" s="5">
        <v>44621</v>
      </c>
      <c r="J1833" s="6">
        <v>0</v>
      </c>
      <c r="K1833" s="6">
        <v>0</v>
      </c>
      <c r="L1833" s="6">
        <v>2.4E-2</v>
      </c>
      <c r="M1833" s="6">
        <v>2.4E-2</v>
      </c>
      <c r="N1833" s="6">
        <v>2.4E-2</v>
      </c>
      <c r="O1833" s="6">
        <v>2.4E-2</v>
      </c>
      <c r="P1833" s="6">
        <v>0</v>
      </c>
      <c r="Q1833" s="4" t="s">
        <v>26</v>
      </c>
      <c r="R1833" s="4">
        <v>0</v>
      </c>
      <c r="S1833" s="6">
        <v>0</v>
      </c>
      <c r="T1833" s="6">
        <v>66</v>
      </c>
      <c r="U1833" s="6">
        <v>109</v>
      </c>
      <c r="V1833" s="6">
        <f>IF(ISERROR(VLOOKUP($S$1833,'TAR FIN'!$A$1:$O$116,15,0)),0,VLOOKUP($S$1833,'TAR FIN'!$A$1:$O$116,15,0))</f>
        <v>0</v>
      </c>
      <c r="W1833" s="6">
        <f>IF(ISERROR(VLOOKUP($T$1833,'TAR FIN'!$A$1:$O$116,15,0)),0,VLOOKUP($T$1833,'TAR FIN'!$A$1:$O$116,15,0))</f>
        <v>881.18</v>
      </c>
      <c r="X1833" s="6">
        <f>IF(ISERROR(VLOOKUP($U$1833,'TAR FIN'!$A$1:$O$116,15,0)),0,VLOOKUP($U$1833,'TAR FIN'!$A$1:$O$116,15,0))</f>
        <v>496.15</v>
      </c>
      <c r="Y1833" s="6"/>
      <c r="Z1833" s="6">
        <f ca="1">('TUSD BE'!$AM$68+'TUSD BF'!$AM$68+'TUSD CVA'!$AM$68)*1</f>
        <v>1058.5766451511297</v>
      </c>
      <c r="AA1833" s="6">
        <f>('TE BE'!$AB$39+'TE BF'!$AB$39+'TE CVA'!$AB$39)*1</f>
        <v>510.04993331215127</v>
      </c>
      <c r="AB1833" s="6">
        <f>$K$1833*$V$1833</f>
        <v>0</v>
      </c>
      <c r="AC1833" s="6">
        <f>$M$1833*$W$1833</f>
        <v>21.148319999999998</v>
      </c>
      <c r="AD1833" s="6">
        <f>$O$1833*$X$1833</f>
        <v>11.9076</v>
      </c>
      <c r="AE1833" s="6">
        <f>$K$1833*$Y$1833</f>
        <v>0</v>
      </c>
      <c r="AF1833" s="6">
        <f ca="1">$M$1833*$Z$1833</f>
        <v>25.405839483627112</v>
      </c>
      <c r="AG1833" s="6">
        <f>$O$1833*$AA$1833</f>
        <v>12.24119839949163</v>
      </c>
    </row>
    <row r="1834" spans="1:33" ht="11.25" customHeight="1" x14ac:dyDescent="0.25">
      <c r="A1834" s="4" t="s">
        <v>21</v>
      </c>
      <c r="B1834" s="4" t="s">
        <v>37</v>
      </c>
      <c r="C1834" s="4" t="s">
        <v>33</v>
      </c>
      <c r="D1834" s="4" t="s">
        <v>46</v>
      </c>
      <c r="E1834" s="4" t="s">
        <v>25</v>
      </c>
      <c r="F1834" s="4" t="s">
        <v>25</v>
      </c>
      <c r="G1834" s="4" t="s">
        <v>25</v>
      </c>
      <c r="H1834" s="4" t="s">
        <v>34</v>
      </c>
      <c r="I1834" s="5">
        <v>44652</v>
      </c>
      <c r="J1834" s="6">
        <v>0</v>
      </c>
      <c r="K1834" s="6">
        <v>0</v>
      </c>
      <c r="L1834" s="6">
        <v>2.5999999999999999E-2</v>
      </c>
      <c r="M1834" s="6">
        <v>2.5999999999999999E-2</v>
      </c>
      <c r="N1834" s="6">
        <v>2.5999999999999999E-2</v>
      </c>
      <c r="O1834" s="6">
        <v>2.5999999999999999E-2</v>
      </c>
      <c r="P1834" s="6">
        <v>0</v>
      </c>
      <c r="Q1834" s="4" t="s">
        <v>26</v>
      </c>
      <c r="R1834" s="4">
        <v>0</v>
      </c>
      <c r="S1834" s="6">
        <v>0</v>
      </c>
      <c r="T1834" s="6">
        <v>66</v>
      </c>
      <c r="U1834" s="6">
        <v>109</v>
      </c>
      <c r="V1834" s="6">
        <f>IF(ISERROR(VLOOKUP($S$1834,'TAR FIN'!$A$1:$O$116,15,0)),0,VLOOKUP($S$1834,'TAR FIN'!$A$1:$O$116,15,0))</f>
        <v>0</v>
      </c>
      <c r="W1834" s="6">
        <f>IF(ISERROR(VLOOKUP($T$1834,'TAR FIN'!$A$1:$O$116,15,0)),0,VLOOKUP($T$1834,'TAR FIN'!$A$1:$O$116,15,0))</f>
        <v>881.18</v>
      </c>
      <c r="X1834" s="6">
        <f>IF(ISERROR(VLOOKUP($U$1834,'TAR FIN'!$A$1:$O$116,15,0)),0,VLOOKUP($U$1834,'TAR FIN'!$A$1:$O$116,15,0))</f>
        <v>496.15</v>
      </c>
      <c r="Y1834" s="6"/>
      <c r="Z1834" s="6">
        <f ca="1">('TUSD BE'!$AM$68+'TUSD BF'!$AM$68+'TUSD CVA'!$AM$68)*1</f>
        <v>1058.5766451511297</v>
      </c>
      <c r="AA1834" s="6">
        <f>('TE BE'!$AB$39+'TE BF'!$AB$39+'TE CVA'!$AB$39)*1</f>
        <v>510.04993331215127</v>
      </c>
      <c r="AB1834" s="6">
        <f>$K$1834*$V$1834</f>
        <v>0</v>
      </c>
      <c r="AC1834" s="6">
        <f>$M$1834*$W$1834</f>
        <v>22.910679999999999</v>
      </c>
      <c r="AD1834" s="6">
        <f>$O$1834*$X$1834</f>
        <v>12.899899999999999</v>
      </c>
      <c r="AE1834" s="6">
        <f>$K$1834*$Y$1834</f>
        <v>0</v>
      </c>
      <c r="AF1834" s="6">
        <f ca="1">$M$1834*$Z$1834</f>
        <v>27.522992773929371</v>
      </c>
      <c r="AG1834" s="6">
        <f>$O$1834*$AA$1834</f>
        <v>13.261298266115933</v>
      </c>
    </row>
    <row r="1835" spans="1:33" ht="11.25" customHeight="1" x14ac:dyDescent="0.25">
      <c r="A1835" s="4" t="s">
        <v>58</v>
      </c>
      <c r="B1835" s="4" t="s">
        <v>37</v>
      </c>
      <c r="C1835" s="4" t="s">
        <v>33</v>
      </c>
      <c r="D1835" s="4" t="s">
        <v>46</v>
      </c>
      <c r="E1835" s="4" t="s">
        <v>25</v>
      </c>
      <c r="F1835" s="4" t="s">
        <v>25</v>
      </c>
      <c r="G1835" s="4" t="s">
        <v>25</v>
      </c>
      <c r="H1835" s="4" t="s">
        <v>34</v>
      </c>
      <c r="I1835" s="5">
        <v>44682</v>
      </c>
      <c r="J1835" s="6">
        <v>0</v>
      </c>
      <c r="K1835" s="6">
        <v>0</v>
      </c>
      <c r="L1835" s="6">
        <v>2.5999999999999999E-2</v>
      </c>
      <c r="M1835" s="6">
        <v>2.5999999999999999E-2</v>
      </c>
      <c r="N1835" s="6">
        <v>2.5999999999999999E-2</v>
      </c>
      <c r="O1835" s="6">
        <v>2.5999999999999999E-2</v>
      </c>
      <c r="P1835" s="6">
        <v>0</v>
      </c>
      <c r="Q1835" s="4" t="s">
        <v>26</v>
      </c>
      <c r="R1835" s="4">
        <v>0</v>
      </c>
      <c r="S1835" s="6">
        <v>0</v>
      </c>
      <c r="T1835" s="6">
        <v>66</v>
      </c>
      <c r="U1835" s="6">
        <v>109</v>
      </c>
      <c r="V1835" s="6">
        <f>IF(ISERROR(VLOOKUP($S$1835,'TAR FIN'!$A$1:$O$116,15,0)),0,VLOOKUP($S$1835,'TAR FIN'!$A$1:$O$116,15,0))</f>
        <v>0</v>
      </c>
      <c r="W1835" s="6">
        <f>IF(ISERROR(VLOOKUP($T$1835,'TAR FIN'!$A$1:$O$116,15,0)),0,VLOOKUP($T$1835,'TAR FIN'!$A$1:$O$116,15,0))</f>
        <v>881.18</v>
      </c>
      <c r="X1835" s="6">
        <f>IF(ISERROR(VLOOKUP($U$1835,'TAR FIN'!$A$1:$O$116,15,0)),0,VLOOKUP($U$1835,'TAR FIN'!$A$1:$O$116,15,0))</f>
        <v>496.15</v>
      </c>
      <c r="Y1835" s="6"/>
      <c r="Z1835" s="6">
        <f ca="1">('TUSD BE'!$AM$68+'TUSD BF'!$AM$68+'TUSD CVA'!$AM$68)*1</f>
        <v>1058.5766451511297</v>
      </c>
      <c r="AA1835" s="6">
        <f>('TE BE'!$AB$39+'TE BF'!$AB$39+'TE CVA'!$AB$39)*1</f>
        <v>510.04993331215127</v>
      </c>
      <c r="AB1835" s="6">
        <f>$K$1835*$V$1835</f>
        <v>0</v>
      </c>
      <c r="AC1835" s="6">
        <f>$M$1835*$W$1835</f>
        <v>22.910679999999999</v>
      </c>
      <c r="AD1835" s="6">
        <f>$O$1835*$X$1835</f>
        <v>12.899899999999999</v>
      </c>
      <c r="AE1835" s="6">
        <f>$K$1835*$Y$1835</f>
        <v>0</v>
      </c>
      <c r="AF1835" s="6">
        <f ca="1">$M$1835*$Z$1835</f>
        <v>27.522992773929371</v>
      </c>
      <c r="AG1835" s="6">
        <f>$O$1835*$AA$1835</f>
        <v>13.261298266115933</v>
      </c>
    </row>
    <row r="1836" spans="1:33" ht="11.25" customHeight="1" x14ac:dyDescent="0.25">
      <c r="A1836" s="4" t="s">
        <v>21</v>
      </c>
      <c r="B1836" s="4" t="s">
        <v>37</v>
      </c>
      <c r="C1836" s="4" t="s">
        <v>23</v>
      </c>
      <c r="D1836" s="4" t="s">
        <v>43</v>
      </c>
      <c r="E1836" s="4" t="s">
        <v>25</v>
      </c>
      <c r="F1836" s="4" t="s">
        <v>25</v>
      </c>
      <c r="G1836" s="4" t="s">
        <v>25</v>
      </c>
      <c r="H1836" s="4" t="s">
        <v>25</v>
      </c>
      <c r="I1836" s="5">
        <v>44348</v>
      </c>
      <c r="J1836" s="6">
        <v>0</v>
      </c>
      <c r="K1836" s="6">
        <v>0</v>
      </c>
      <c r="L1836" s="6">
        <v>10397.828</v>
      </c>
      <c r="M1836" s="6">
        <v>10397.828</v>
      </c>
      <c r="N1836" s="6">
        <v>10397.828</v>
      </c>
      <c r="O1836" s="6">
        <v>10397.828</v>
      </c>
      <c r="P1836" s="6">
        <v>32807</v>
      </c>
      <c r="Q1836" s="4" t="s">
        <v>26</v>
      </c>
      <c r="R1836" s="4">
        <v>0</v>
      </c>
      <c r="S1836" s="6">
        <v>0</v>
      </c>
      <c r="T1836" s="6">
        <v>69</v>
      </c>
      <c r="U1836" s="6">
        <v>112</v>
      </c>
      <c r="V1836" s="6">
        <f>IF(ISERROR(VLOOKUP($S$1836,'TAR FIN'!$A$1:$O$116,15,0)),0,VLOOKUP($S$1836,'TAR FIN'!$A$1:$O$116,15,0))</f>
        <v>0</v>
      </c>
      <c r="W1836" s="6">
        <f>IF(ISERROR(VLOOKUP($T$1836,'TAR FIN'!$A$1:$O$116,15,0)),0,VLOOKUP($T$1836,'TAR FIN'!$A$1:$O$116,15,0))</f>
        <v>342.48</v>
      </c>
      <c r="X1836" s="6">
        <f>IF(ISERROR(VLOOKUP($U$1836,'TAR FIN'!$A$1:$O$116,15,0)),0,VLOOKUP($U$1836,'TAR FIN'!$A$1:$O$116,15,0))</f>
        <v>326.47000000000003</v>
      </c>
      <c r="Y1836" s="6"/>
      <c r="Z1836" s="6">
        <f ca="1">('TUSD BE'!$AM$71+'TUSD BF'!$AM$71+'TUSD CVA'!$AM$71)*1</f>
        <v>436.78490561809065</v>
      </c>
      <c r="AA1836" s="6">
        <f>('TE BE'!$AB$42+'TE BF'!$AB$42+'TE CVA'!$AB$42)*1</f>
        <v>329.63081087285968</v>
      </c>
      <c r="AB1836" s="6">
        <f>$K$1836*$V$1836</f>
        <v>0</v>
      </c>
      <c r="AC1836" s="6">
        <f>$M$1836*$W$1836</f>
        <v>3561048.13344</v>
      </c>
      <c r="AD1836" s="6">
        <f>$O$1836*$X$1836</f>
        <v>3394578.9071599999</v>
      </c>
      <c r="AE1836" s="6">
        <f>$K$1836*$Y$1836</f>
        <v>0</v>
      </c>
      <c r="AF1836" s="6">
        <f ca="1">$M$1836*$Z$1836</f>
        <v>4541614.3216131404</v>
      </c>
      <c r="AG1836" s="6">
        <f>$O$1836*$AA$1836</f>
        <v>3427444.4749565246</v>
      </c>
    </row>
    <row r="1837" spans="1:33" ht="11.25" customHeight="1" x14ac:dyDescent="0.25">
      <c r="A1837" s="4" t="s">
        <v>27</v>
      </c>
      <c r="B1837" s="4" t="s">
        <v>37</v>
      </c>
      <c r="C1837" s="4" t="s">
        <v>23</v>
      </c>
      <c r="D1837" s="4" t="s">
        <v>43</v>
      </c>
      <c r="E1837" s="4" t="s">
        <v>25</v>
      </c>
      <c r="F1837" s="4" t="s">
        <v>25</v>
      </c>
      <c r="G1837" s="4" t="s">
        <v>25</v>
      </c>
      <c r="H1837" s="4" t="s">
        <v>25</v>
      </c>
      <c r="I1837" s="5">
        <v>44348</v>
      </c>
      <c r="J1837" s="6">
        <v>0</v>
      </c>
      <c r="K1837" s="6">
        <v>0</v>
      </c>
      <c r="L1837" s="6">
        <v>-1.7430000000000001</v>
      </c>
      <c r="M1837" s="6">
        <v>-1.7430000000000001</v>
      </c>
      <c r="N1837" s="6">
        <v>-1.7430000000000001</v>
      </c>
      <c r="O1837" s="6">
        <v>-1.7430000000000001</v>
      </c>
      <c r="P1837" s="6">
        <v>-3</v>
      </c>
      <c r="Q1837" s="4" t="s">
        <v>26</v>
      </c>
      <c r="R1837" s="4">
        <v>0</v>
      </c>
      <c r="S1837" s="6">
        <v>0</v>
      </c>
      <c r="T1837" s="6">
        <v>69</v>
      </c>
      <c r="U1837" s="6">
        <v>112</v>
      </c>
      <c r="V1837" s="6">
        <f>IF(ISERROR(VLOOKUP($S$1837,'TAR FIN'!$A$1:$O$116,15,0)),0,VLOOKUP($S$1837,'TAR FIN'!$A$1:$O$116,15,0))</f>
        <v>0</v>
      </c>
      <c r="W1837" s="6">
        <f>IF(ISERROR(VLOOKUP($T$1837,'TAR FIN'!$A$1:$O$116,15,0)),0,VLOOKUP($T$1837,'TAR FIN'!$A$1:$O$116,15,0))</f>
        <v>342.48</v>
      </c>
      <c r="X1837" s="6">
        <f>IF(ISERROR(VLOOKUP($U$1837,'TAR FIN'!$A$1:$O$116,15,0)),0,VLOOKUP($U$1837,'TAR FIN'!$A$1:$O$116,15,0))</f>
        <v>326.47000000000003</v>
      </c>
      <c r="Y1837" s="6"/>
      <c r="Z1837" s="6">
        <f ca="1">('TUSD BE'!$AM$71+'TUSD BF'!$AM$71+'TUSD CVA'!$AM$71)*1</f>
        <v>436.78490561809065</v>
      </c>
      <c r="AA1837" s="6">
        <f>('TE BE'!$AB$42+'TE BF'!$AB$42+'TE CVA'!$AB$42)*1</f>
        <v>329.63081087285968</v>
      </c>
      <c r="AB1837" s="6">
        <f>$K$1837*$V$1837</f>
        <v>0</v>
      </c>
      <c r="AC1837" s="6">
        <f>$M$1837*$W$1837</f>
        <v>-596.9426400000001</v>
      </c>
      <c r="AD1837" s="6">
        <f>$O$1837*$X$1837</f>
        <v>-569.03721000000007</v>
      </c>
      <c r="AE1837" s="6">
        <f>$K$1837*$Y$1837</f>
        <v>0</v>
      </c>
      <c r="AF1837" s="6">
        <f ca="1">$M$1837*$Z$1837</f>
        <v>-761.31609049233202</v>
      </c>
      <c r="AG1837" s="6">
        <f>$O$1837*$AA$1837</f>
        <v>-574.54650335139445</v>
      </c>
    </row>
    <row r="1838" spans="1:33" ht="11.25" customHeight="1" x14ac:dyDescent="0.25">
      <c r="A1838" s="4" t="s">
        <v>28</v>
      </c>
      <c r="B1838" s="4" t="s">
        <v>37</v>
      </c>
      <c r="C1838" s="4" t="s">
        <v>23</v>
      </c>
      <c r="D1838" s="4" t="s">
        <v>43</v>
      </c>
      <c r="E1838" s="4" t="s">
        <v>25</v>
      </c>
      <c r="F1838" s="4" t="s">
        <v>25</v>
      </c>
      <c r="G1838" s="4" t="s">
        <v>25</v>
      </c>
      <c r="H1838" s="4" t="s">
        <v>25</v>
      </c>
      <c r="I1838" s="5">
        <v>44348</v>
      </c>
      <c r="J1838" s="6">
        <v>0</v>
      </c>
      <c r="K1838" s="6">
        <v>0</v>
      </c>
      <c r="L1838" s="6">
        <v>1049.1410000000001</v>
      </c>
      <c r="M1838" s="6">
        <v>1049.1410000000001</v>
      </c>
      <c r="N1838" s="6">
        <v>1049.1410000000001</v>
      </c>
      <c r="O1838" s="6">
        <v>1049.1410000000001</v>
      </c>
      <c r="P1838" s="6">
        <v>2274</v>
      </c>
      <c r="Q1838" s="4" t="s">
        <v>26</v>
      </c>
      <c r="R1838" s="4">
        <v>0</v>
      </c>
      <c r="S1838" s="6">
        <v>0</v>
      </c>
      <c r="T1838" s="6">
        <v>69</v>
      </c>
      <c r="U1838" s="6">
        <v>112</v>
      </c>
      <c r="V1838" s="6">
        <f>IF(ISERROR(VLOOKUP($S$1838,'TAR FIN'!$A$1:$O$116,15,0)),0,VLOOKUP($S$1838,'TAR FIN'!$A$1:$O$116,15,0))</f>
        <v>0</v>
      </c>
      <c r="W1838" s="6">
        <f>IF(ISERROR(VLOOKUP($T$1838,'TAR FIN'!$A$1:$O$116,15,0)),0,VLOOKUP($T$1838,'TAR FIN'!$A$1:$O$116,15,0))</f>
        <v>342.48</v>
      </c>
      <c r="X1838" s="6">
        <f>IF(ISERROR(VLOOKUP($U$1838,'TAR FIN'!$A$1:$O$116,15,0)),0,VLOOKUP($U$1838,'TAR FIN'!$A$1:$O$116,15,0))</f>
        <v>326.47000000000003</v>
      </c>
      <c r="Y1838" s="6"/>
      <c r="Z1838" s="6">
        <f ca="1">('TUSD BE'!$AM$71+'TUSD BF'!$AM$71+'TUSD CVA'!$AM$71)*1</f>
        <v>436.78490561809065</v>
      </c>
      <c r="AA1838" s="6">
        <f>('TE BE'!$AB$42+'TE BF'!$AB$42+'TE CVA'!$AB$42)*1</f>
        <v>329.63081087285968</v>
      </c>
      <c r="AB1838" s="6">
        <f>$K$1838*$V$1838</f>
        <v>0</v>
      </c>
      <c r="AC1838" s="6">
        <f>$M$1838*$W$1838</f>
        <v>359309.80968000006</v>
      </c>
      <c r="AD1838" s="6">
        <f>$O$1838*$X$1838</f>
        <v>342513.06227000005</v>
      </c>
      <c r="AE1838" s="6">
        <f>$K$1838*$Y$1838</f>
        <v>0</v>
      </c>
      <c r="AF1838" s="6">
        <f ca="1">$M$1838*$Z$1838</f>
        <v>458248.95266506926</v>
      </c>
      <c r="AG1838" s="6">
        <f>$O$1838*$AA$1838</f>
        <v>345829.19854996289</v>
      </c>
    </row>
    <row r="1839" spans="1:33" ht="11.25" customHeight="1" x14ac:dyDescent="0.25">
      <c r="A1839" s="4" t="s">
        <v>28</v>
      </c>
      <c r="B1839" s="4" t="s">
        <v>37</v>
      </c>
      <c r="C1839" s="4" t="s">
        <v>23</v>
      </c>
      <c r="D1839" s="4" t="s">
        <v>43</v>
      </c>
      <c r="E1839" s="4" t="s">
        <v>25</v>
      </c>
      <c r="F1839" s="4" t="s">
        <v>25</v>
      </c>
      <c r="G1839" s="4" t="s">
        <v>25</v>
      </c>
      <c r="H1839" s="4" t="s">
        <v>25</v>
      </c>
      <c r="I1839" s="5">
        <v>44348</v>
      </c>
      <c r="J1839" s="6">
        <v>0</v>
      </c>
      <c r="K1839" s="6">
        <v>0</v>
      </c>
      <c r="L1839" s="6">
        <v>-6.0609999999999999</v>
      </c>
      <c r="M1839" s="6">
        <v>-6.0609999999999999</v>
      </c>
      <c r="N1839" s="6">
        <v>-6.0609999999999999</v>
      </c>
      <c r="O1839" s="6">
        <v>-6.0609999999999999</v>
      </c>
      <c r="P1839" s="6">
        <v>0</v>
      </c>
      <c r="Q1839" s="4" t="s">
        <v>26</v>
      </c>
      <c r="R1839" s="4">
        <v>0</v>
      </c>
      <c r="S1839" s="6">
        <v>0</v>
      </c>
      <c r="T1839" s="6">
        <v>69</v>
      </c>
      <c r="U1839" s="6">
        <v>112</v>
      </c>
      <c r="V1839" s="6">
        <f>IF(ISERROR(VLOOKUP($S$1839,'TAR FIN'!$A$1:$O$116,15,0)),0,VLOOKUP($S$1839,'TAR FIN'!$A$1:$O$116,15,0))</f>
        <v>0</v>
      </c>
      <c r="W1839" s="6">
        <f>IF(ISERROR(VLOOKUP($T$1839,'TAR FIN'!$A$1:$O$116,15,0)),0,VLOOKUP($T$1839,'TAR FIN'!$A$1:$O$116,15,0))</f>
        <v>342.48</v>
      </c>
      <c r="X1839" s="6">
        <f>IF(ISERROR(VLOOKUP($U$1839,'TAR FIN'!$A$1:$O$116,15,0)),0,VLOOKUP($U$1839,'TAR FIN'!$A$1:$O$116,15,0))</f>
        <v>326.47000000000003</v>
      </c>
      <c r="Y1839" s="6"/>
      <c r="Z1839" s="6">
        <f ca="1">('TUSD BE'!$AM$71+'TUSD BF'!$AM$71+'TUSD CVA'!$AM$71)*1</f>
        <v>436.78490561809065</v>
      </c>
      <c r="AA1839" s="6">
        <f>('TE BE'!$AB$42+'TE BF'!$AB$42+'TE CVA'!$AB$42)*1</f>
        <v>329.63081087285968</v>
      </c>
      <c r="AB1839" s="6">
        <f>$K$1839*$V$1839</f>
        <v>0</v>
      </c>
      <c r="AC1839" s="6">
        <f>$M$1839*$W$1839</f>
        <v>-2075.7712799999999</v>
      </c>
      <c r="AD1839" s="6">
        <f>$O$1839*$X$1839</f>
        <v>-1978.7346700000001</v>
      </c>
      <c r="AE1839" s="6">
        <f>$K$1839*$Y$1839</f>
        <v>0</v>
      </c>
      <c r="AF1839" s="6">
        <f ca="1">$M$1839*$Z$1839</f>
        <v>-2647.3533129512475</v>
      </c>
      <c r="AG1839" s="6">
        <f>$O$1839*$AA$1839</f>
        <v>-1997.8923447004024</v>
      </c>
    </row>
    <row r="1840" spans="1:33" ht="11.25" customHeight="1" x14ac:dyDescent="0.25">
      <c r="A1840" s="4" t="s">
        <v>21</v>
      </c>
      <c r="B1840" s="4" t="s">
        <v>37</v>
      </c>
      <c r="C1840" s="4" t="s">
        <v>23</v>
      </c>
      <c r="D1840" s="4" t="s">
        <v>43</v>
      </c>
      <c r="E1840" s="4" t="s">
        <v>25</v>
      </c>
      <c r="F1840" s="4" t="s">
        <v>25</v>
      </c>
      <c r="G1840" s="4" t="s">
        <v>25</v>
      </c>
      <c r="H1840" s="4" t="s">
        <v>25</v>
      </c>
      <c r="I1840" s="5">
        <v>44378</v>
      </c>
      <c r="J1840" s="6">
        <v>0</v>
      </c>
      <c r="K1840" s="6">
        <v>0</v>
      </c>
      <c r="L1840" s="6">
        <v>10011.321</v>
      </c>
      <c r="M1840" s="6">
        <v>10011.321</v>
      </c>
      <c r="N1840" s="6">
        <v>10011.321</v>
      </c>
      <c r="O1840" s="6">
        <v>10011.321</v>
      </c>
      <c r="P1840" s="6">
        <v>32701</v>
      </c>
      <c r="Q1840" s="4" t="s">
        <v>26</v>
      </c>
      <c r="R1840" s="4">
        <v>0</v>
      </c>
      <c r="S1840" s="6">
        <v>0</v>
      </c>
      <c r="T1840" s="6">
        <v>69</v>
      </c>
      <c r="U1840" s="6">
        <v>112</v>
      </c>
      <c r="V1840" s="6">
        <f>IF(ISERROR(VLOOKUP($S$1840,'TAR FIN'!$A$1:$O$116,15,0)),0,VLOOKUP($S$1840,'TAR FIN'!$A$1:$O$116,15,0))</f>
        <v>0</v>
      </c>
      <c r="W1840" s="6">
        <f>IF(ISERROR(VLOOKUP($T$1840,'TAR FIN'!$A$1:$O$116,15,0)),0,VLOOKUP($T$1840,'TAR FIN'!$A$1:$O$116,15,0))</f>
        <v>342.48</v>
      </c>
      <c r="X1840" s="6">
        <f>IF(ISERROR(VLOOKUP($U$1840,'TAR FIN'!$A$1:$O$116,15,0)),0,VLOOKUP($U$1840,'TAR FIN'!$A$1:$O$116,15,0))</f>
        <v>326.47000000000003</v>
      </c>
      <c r="Y1840" s="6"/>
      <c r="Z1840" s="6">
        <f ca="1">('TUSD BE'!$AM$71+'TUSD BF'!$AM$71+'TUSD CVA'!$AM$71)*1</f>
        <v>436.78490561809065</v>
      </c>
      <c r="AA1840" s="6">
        <f>('TE BE'!$AB$42+'TE BF'!$AB$42+'TE CVA'!$AB$42)*1</f>
        <v>329.63081087285968</v>
      </c>
      <c r="AB1840" s="6">
        <f>$K$1840*$V$1840</f>
        <v>0</v>
      </c>
      <c r="AC1840" s="6">
        <f>$M$1840*$W$1840</f>
        <v>3428677.2160800002</v>
      </c>
      <c r="AD1840" s="6">
        <f>$O$1840*$X$1840</f>
        <v>3268395.9668700001</v>
      </c>
      <c r="AE1840" s="6">
        <f>$K$1840*$Y$1840</f>
        <v>0</v>
      </c>
      <c r="AF1840" s="6">
        <f ca="1">$M$1840*$Z$1840</f>
        <v>4372793.8980974089</v>
      </c>
      <c r="AG1840" s="6">
        <f>$O$1840*$AA$1840</f>
        <v>3300039.8591384883</v>
      </c>
    </row>
    <row r="1841" spans="1:33" ht="11.25" customHeight="1" x14ac:dyDescent="0.25">
      <c r="A1841" s="4" t="s">
        <v>27</v>
      </c>
      <c r="B1841" s="4" t="s">
        <v>37</v>
      </c>
      <c r="C1841" s="4" t="s">
        <v>23</v>
      </c>
      <c r="D1841" s="4" t="s">
        <v>43</v>
      </c>
      <c r="E1841" s="4" t="s">
        <v>25</v>
      </c>
      <c r="F1841" s="4" t="s">
        <v>25</v>
      </c>
      <c r="G1841" s="4" t="s">
        <v>25</v>
      </c>
      <c r="H1841" s="4" t="s">
        <v>25</v>
      </c>
      <c r="I1841" s="5">
        <v>44378</v>
      </c>
      <c r="J1841" s="6">
        <v>0</v>
      </c>
      <c r="K1841" s="6">
        <v>0</v>
      </c>
      <c r="L1841" s="6">
        <v>-9.8520000000000003</v>
      </c>
      <c r="M1841" s="6">
        <v>-9.8520000000000003</v>
      </c>
      <c r="N1841" s="6">
        <v>-9.8520000000000003</v>
      </c>
      <c r="O1841" s="6">
        <v>-9.8520000000000003</v>
      </c>
      <c r="P1841" s="6">
        <v>-8</v>
      </c>
      <c r="Q1841" s="4" t="s">
        <v>26</v>
      </c>
      <c r="R1841" s="4">
        <v>0</v>
      </c>
      <c r="S1841" s="6">
        <v>0</v>
      </c>
      <c r="T1841" s="6">
        <v>69</v>
      </c>
      <c r="U1841" s="6">
        <v>112</v>
      </c>
      <c r="V1841" s="6">
        <f>IF(ISERROR(VLOOKUP($S$1841,'TAR FIN'!$A$1:$O$116,15,0)),0,VLOOKUP($S$1841,'TAR FIN'!$A$1:$O$116,15,0))</f>
        <v>0</v>
      </c>
      <c r="W1841" s="6">
        <f>IF(ISERROR(VLOOKUP($T$1841,'TAR FIN'!$A$1:$O$116,15,0)),0,VLOOKUP($T$1841,'TAR FIN'!$A$1:$O$116,15,0))</f>
        <v>342.48</v>
      </c>
      <c r="X1841" s="6">
        <f>IF(ISERROR(VLOOKUP($U$1841,'TAR FIN'!$A$1:$O$116,15,0)),0,VLOOKUP($U$1841,'TAR FIN'!$A$1:$O$116,15,0))</f>
        <v>326.47000000000003</v>
      </c>
      <c r="Y1841" s="6"/>
      <c r="Z1841" s="6">
        <f ca="1">('TUSD BE'!$AM$71+'TUSD BF'!$AM$71+'TUSD CVA'!$AM$71)*1</f>
        <v>436.78490561809065</v>
      </c>
      <c r="AA1841" s="6">
        <f>('TE BE'!$AB$42+'TE BF'!$AB$42+'TE CVA'!$AB$42)*1</f>
        <v>329.63081087285968</v>
      </c>
      <c r="AB1841" s="6">
        <f>$K$1841*$V$1841</f>
        <v>0</v>
      </c>
      <c r="AC1841" s="6">
        <f>$M$1841*$W$1841</f>
        <v>-3374.1129600000004</v>
      </c>
      <c r="AD1841" s="6">
        <f>$O$1841*$X$1841</f>
        <v>-3216.3824400000003</v>
      </c>
      <c r="AE1841" s="6">
        <f>$K$1841*$Y$1841</f>
        <v>0</v>
      </c>
      <c r="AF1841" s="6">
        <f ca="1">$M$1841*$Z$1841</f>
        <v>-4303.204890149429</v>
      </c>
      <c r="AG1841" s="6">
        <f>$O$1841*$AA$1841</f>
        <v>-3247.5227487194138</v>
      </c>
    </row>
    <row r="1842" spans="1:33" ht="11.25" customHeight="1" x14ac:dyDescent="0.25">
      <c r="A1842" s="4" t="s">
        <v>28</v>
      </c>
      <c r="B1842" s="4" t="s">
        <v>37</v>
      </c>
      <c r="C1842" s="4" t="s">
        <v>23</v>
      </c>
      <c r="D1842" s="4" t="s">
        <v>43</v>
      </c>
      <c r="E1842" s="4" t="s">
        <v>25</v>
      </c>
      <c r="F1842" s="4" t="s">
        <v>25</v>
      </c>
      <c r="G1842" s="4" t="s">
        <v>25</v>
      </c>
      <c r="H1842" s="4" t="s">
        <v>25</v>
      </c>
      <c r="I1842" s="5">
        <v>44378</v>
      </c>
      <c r="J1842" s="6">
        <v>0</v>
      </c>
      <c r="K1842" s="6">
        <v>0</v>
      </c>
      <c r="L1842" s="6">
        <v>1054.326</v>
      </c>
      <c r="M1842" s="6">
        <v>1054.326</v>
      </c>
      <c r="N1842" s="6">
        <v>1054.326</v>
      </c>
      <c r="O1842" s="6">
        <v>1054.326</v>
      </c>
      <c r="P1842" s="6">
        <v>2392</v>
      </c>
      <c r="Q1842" s="4" t="s">
        <v>26</v>
      </c>
      <c r="R1842" s="4">
        <v>0</v>
      </c>
      <c r="S1842" s="6">
        <v>0</v>
      </c>
      <c r="T1842" s="6">
        <v>69</v>
      </c>
      <c r="U1842" s="6">
        <v>112</v>
      </c>
      <c r="V1842" s="6">
        <f>IF(ISERROR(VLOOKUP($S$1842,'TAR FIN'!$A$1:$O$116,15,0)),0,VLOOKUP($S$1842,'TAR FIN'!$A$1:$O$116,15,0))</f>
        <v>0</v>
      </c>
      <c r="W1842" s="6">
        <f>IF(ISERROR(VLOOKUP($T$1842,'TAR FIN'!$A$1:$O$116,15,0)),0,VLOOKUP($T$1842,'TAR FIN'!$A$1:$O$116,15,0))</f>
        <v>342.48</v>
      </c>
      <c r="X1842" s="6">
        <f>IF(ISERROR(VLOOKUP($U$1842,'TAR FIN'!$A$1:$O$116,15,0)),0,VLOOKUP($U$1842,'TAR FIN'!$A$1:$O$116,15,0))</f>
        <v>326.47000000000003</v>
      </c>
      <c r="Y1842" s="6"/>
      <c r="Z1842" s="6">
        <f ca="1">('TUSD BE'!$AM$71+'TUSD BF'!$AM$71+'TUSD CVA'!$AM$71)*1</f>
        <v>436.78490561809065</v>
      </c>
      <c r="AA1842" s="6">
        <f>('TE BE'!$AB$42+'TE BF'!$AB$42+'TE CVA'!$AB$42)*1</f>
        <v>329.63081087285968</v>
      </c>
      <c r="AB1842" s="6">
        <f>$K$1842*$V$1842</f>
        <v>0</v>
      </c>
      <c r="AC1842" s="6">
        <f>$M$1842*$W$1842</f>
        <v>361085.56848000002</v>
      </c>
      <c r="AD1842" s="6">
        <f>$O$1842*$X$1842</f>
        <v>344205.80922000005</v>
      </c>
      <c r="AE1842" s="6">
        <f>$K$1842*$Y$1842</f>
        <v>0</v>
      </c>
      <c r="AF1842" s="6">
        <f ca="1">$M$1842*$Z$1842</f>
        <v>460513.68240069906</v>
      </c>
      <c r="AG1842" s="6">
        <f>$O$1842*$AA$1842</f>
        <v>347538.33430433867</v>
      </c>
    </row>
    <row r="1843" spans="1:33" ht="11.25" customHeight="1" x14ac:dyDescent="0.25">
      <c r="A1843" s="4" t="s">
        <v>28</v>
      </c>
      <c r="B1843" s="4" t="s">
        <v>37</v>
      </c>
      <c r="C1843" s="4" t="s">
        <v>23</v>
      </c>
      <c r="D1843" s="4" t="s">
        <v>43</v>
      </c>
      <c r="E1843" s="4" t="s">
        <v>25</v>
      </c>
      <c r="F1843" s="4" t="s">
        <v>25</v>
      </c>
      <c r="G1843" s="4" t="s">
        <v>25</v>
      </c>
      <c r="H1843" s="4" t="s">
        <v>25</v>
      </c>
      <c r="I1843" s="5">
        <v>44378</v>
      </c>
      <c r="J1843" s="6">
        <v>0</v>
      </c>
      <c r="K1843" s="6">
        <v>0</v>
      </c>
      <c r="L1843" s="6">
        <v>0.71799999999999997</v>
      </c>
      <c r="M1843" s="6">
        <v>0.71799999999999997</v>
      </c>
      <c r="N1843" s="6">
        <v>0.71799999999999997</v>
      </c>
      <c r="O1843" s="6">
        <v>0.71799999999999997</v>
      </c>
      <c r="P1843" s="6">
        <v>0</v>
      </c>
      <c r="Q1843" s="4" t="s">
        <v>26</v>
      </c>
      <c r="R1843" s="4">
        <v>0</v>
      </c>
      <c r="S1843" s="6">
        <v>0</v>
      </c>
      <c r="T1843" s="6">
        <v>69</v>
      </c>
      <c r="U1843" s="6">
        <v>112</v>
      </c>
      <c r="V1843" s="6">
        <f>IF(ISERROR(VLOOKUP($S$1843,'TAR FIN'!$A$1:$O$116,15,0)),0,VLOOKUP($S$1843,'TAR FIN'!$A$1:$O$116,15,0))</f>
        <v>0</v>
      </c>
      <c r="W1843" s="6">
        <f>IF(ISERROR(VLOOKUP($T$1843,'TAR FIN'!$A$1:$O$116,15,0)),0,VLOOKUP($T$1843,'TAR FIN'!$A$1:$O$116,15,0))</f>
        <v>342.48</v>
      </c>
      <c r="X1843" s="6">
        <f>IF(ISERROR(VLOOKUP($U$1843,'TAR FIN'!$A$1:$O$116,15,0)),0,VLOOKUP($U$1843,'TAR FIN'!$A$1:$O$116,15,0))</f>
        <v>326.47000000000003</v>
      </c>
      <c r="Y1843" s="6"/>
      <c r="Z1843" s="6">
        <f ca="1">('TUSD BE'!$AM$71+'TUSD BF'!$AM$71+'TUSD CVA'!$AM$71)*1</f>
        <v>436.78490561809065</v>
      </c>
      <c r="AA1843" s="6">
        <f>('TE BE'!$AB$42+'TE BF'!$AB$42+'TE CVA'!$AB$42)*1</f>
        <v>329.63081087285968</v>
      </c>
      <c r="AB1843" s="6">
        <f>$K$1843*$V$1843</f>
        <v>0</v>
      </c>
      <c r="AC1843" s="6">
        <f>$M$1843*$W$1843</f>
        <v>245.90064000000001</v>
      </c>
      <c r="AD1843" s="6">
        <f>$O$1843*$X$1843</f>
        <v>234.40546000000001</v>
      </c>
      <c r="AE1843" s="6">
        <f>$K$1843*$Y$1843</f>
        <v>0</v>
      </c>
      <c r="AF1843" s="6">
        <f ca="1">$M$1843*$Z$1843</f>
        <v>313.61156223378907</v>
      </c>
      <c r="AG1843" s="6">
        <f>$O$1843*$AA$1843</f>
        <v>236.67492220671323</v>
      </c>
    </row>
    <row r="1844" spans="1:33" ht="11.25" customHeight="1" x14ac:dyDescent="0.25">
      <c r="A1844" s="4" t="s">
        <v>21</v>
      </c>
      <c r="B1844" s="4" t="s">
        <v>37</v>
      </c>
      <c r="C1844" s="4" t="s">
        <v>23</v>
      </c>
      <c r="D1844" s="4" t="s">
        <v>43</v>
      </c>
      <c r="E1844" s="4" t="s">
        <v>25</v>
      </c>
      <c r="F1844" s="4" t="s">
        <v>25</v>
      </c>
      <c r="G1844" s="4" t="s">
        <v>25</v>
      </c>
      <c r="H1844" s="4" t="s">
        <v>25</v>
      </c>
      <c r="I1844" s="5">
        <v>44409</v>
      </c>
      <c r="J1844" s="6">
        <v>0</v>
      </c>
      <c r="K1844" s="6">
        <v>0</v>
      </c>
      <c r="L1844" s="6">
        <v>10123.049999999999</v>
      </c>
      <c r="M1844" s="6">
        <v>10123.049999999999</v>
      </c>
      <c r="N1844" s="6">
        <v>10123.049999999999</v>
      </c>
      <c r="O1844" s="6">
        <v>10123.049999999999</v>
      </c>
      <c r="P1844" s="6">
        <v>32582</v>
      </c>
      <c r="Q1844" s="4" t="s">
        <v>26</v>
      </c>
      <c r="R1844" s="4">
        <v>0</v>
      </c>
      <c r="S1844" s="6">
        <v>0</v>
      </c>
      <c r="T1844" s="6">
        <v>69</v>
      </c>
      <c r="U1844" s="6">
        <v>112</v>
      </c>
      <c r="V1844" s="6">
        <f>IF(ISERROR(VLOOKUP($S$1844,'TAR FIN'!$A$1:$O$116,15,0)),0,VLOOKUP($S$1844,'TAR FIN'!$A$1:$O$116,15,0))</f>
        <v>0</v>
      </c>
      <c r="W1844" s="6">
        <f>IF(ISERROR(VLOOKUP($T$1844,'TAR FIN'!$A$1:$O$116,15,0)),0,VLOOKUP($T$1844,'TAR FIN'!$A$1:$O$116,15,0))</f>
        <v>342.48</v>
      </c>
      <c r="X1844" s="6">
        <f>IF(ISERROR(VLOOKUP($U$1844,'TAR FIN'!$A$1:$O$116,15,0)),0,VLOOKUP($U$1844,'TAR FIN'!$A$1:$O$116,15,0))</f>
        <v>326.47000000000003</v>
      </c>
      <c r="Y1844" s="6"/>
      <c r="Z1844" s="6">
        <f ca="1">('TUSD BE'!$AM$71+'TUSD BF'!$AM$71+'TUSD CVA'!$AM$71)*1</f>
        <v>436.78490561809065</v>
      </c>
      <c r="AA1844" s="6">
        <f>('TE BE'!$AB$42+'TE BF'!$AB$42+'TE CVA'!$AB$42)*1</f>
        <v>329.63081087285968</v>
      </c>
      <c r="AB1844" s="6">
        <f>$K$1844*$V$1844</f>
        <v>0</v>
      </c>
      <c r="AC1844" s="6">
        <f>$M$1844*$W$1844</f>
        <v>3466942.1639999999</v>
      </c>
      <c r="AD1844" s="6">
        <f>$O$1844*$X$1844</f>
        <v>3304872.1335</v>
      </c>
      <c r="AE1844" s="6">
        <f>$K$1844*$Y$1844</f>
        <v>0</v>
      </c>
      <c r="AF1844" s="6">
        <f ca="1">$M$1844*$Z$1844</f>
        <v>4421595.4388172124</v>
      </c>
      <c r="AG1844" s="6">
        <f>$O$1844*$AA$1844</f>
        <v>3336869.1800065022</v>
      </c>
    </row>
    <row r="1845" spans="1:33" ht="11.25" customHeight="1" x14ac:dyDescent="0.25">
      <c r="A1845" s="4" t="s">
        <v>27</v>
      </c>
      <c r="B1845" s="4" t="s">
        <v>37</v>
      </c>
      <c r="C1845" s="4" t="s">
        <v>23</v>
      </c>
      <c r="D1845" s="4" t="s">
        <v>43</v>
      </c>
      <c r="E1845" s="4" t="s">
        <v>25</v>
      </c>
      <c r="F1845" s="4" t="s">
        <v>25</v>
      </c>
      <c r="G1845" s="4" t="s">
        <v>25</v>
      </c>
      <c r="H1845" s="4" t="s">
        <v>25</v>
      </c>
      <c r="I1845" s="5">
        <v>44409</v>
      </c>
      <c r="J1845" s="6">
        <v>0</v>
      </c>
      <c r="K1845" s="6">
        <v>0</v>
      </c>
      <c r="L1845" s="6">
        <v>-7.6289999999999996</v>
      </c>
      <c r="M1845" s="6">
        <v>-7.6289999999999996</v>
      </c>
      <c r="N1845" s="6">
        <v>-7.6289999999999996</v>
      </c>
      <c r="O1845" s="6">
        <v>-7.6289999999999996</v>
      </c>
      <c r="P1845" s="6">
        <v>-15</v>
      </c>
      <c r="Q1845" s="4" t="s">
        <v>26</v>
      </c>
      <c r="R1845" s="4">
        <v>0</v>
      </c>
      <c r="S1845" s="6">
        <v>0</v>
      </c>
      <c r="T1845" s="6">
        <v>69</v>
      </c>
      <c r="U1845" s="6">
        <v>112</v>
      </c>
      <c r="V1845" s="6">
        <f>IF(ISERROR(VLOOKUP($S$1845,'TAR FIN'!$A$1:$O$116,15,0)),0,VLOOKUP($S$1845,'TAR FIN'!$A$1:$O$116,15,0))</f>
        <v>0</v>
      </c>
      <c r="W1845" s="6">
        <f>IF(ISERROR(VLOOKUP($T$1845,'TAR FIN'!$A$1:$O$116,15,0)),0,VLOOKUP($T$1845,'TAR FIN'!$A$1:$O$116,15,0))</f>
        <v>342.48</v>
      </c>
      <c r="X1845" s="6">
        <f>IF(ISERROR(VLOOKUP($U$1845,'TAR FIN'!$A$1:$O$116,15,0)),0,VLOOKUP($U$1845,'TAR FIN'!$A$1:$O$116,15,0))</f>
        <v>326.47000000000003</v>
      </c>
      <c r="Y1845" s="6"/>
      <c r="Z1845" s="6">
        <f ca="1">('TUSD BE'!$AM$71+'TUSD BF'!$AM$71+'TUSD CVA'!$AM$71)*1</f>
        <v>436.78490561809065</v>
      </c>
      <c r="AA1845" s="6">
        <f>('TE BE'!$AB$42+'TE BF'!$AB$42+'TE CVA'!$AB$42)*1</f>
        <v>329.63081087285968</v>
      </c>
      <c r="AB1845" s="6">
        <f>$K$1845*$V$1845</f>
        <v>0</v>
      </c>
      <c r="AC1845" s="6">
        <f>$M$1845*$W$1845</f>
        <v>-2612.7799199999999</v>
      </c>
      <c r="AD1845" s="6">
        <f>$O$1845*$X$1845</f>
        <v>-2490.6396300000001</v>
      </c>
      <c r="AE1845" s="6">
        <f>$K$1845*$Y$1845</f>
        <v>0</v>
      </c>
      <c r="AF1845" s="6">
        <f ca="1">$M$1845*$Z$1845</f>
        <v>-3332.2320449604135</v>
      </c>
      <c r="AG1845" s="6">
        <f>$O$1845*$AA$1845</f>
        <v>-2514.7534561490465</v>
      </c>
    </row>
    <row r="1846" spans="1:33" ht="11.25" customHeight="1" x14ac:dyDescent="0.25">
      <c r="A1846" s="4" t="s">
        <v>28</v>
      </c>
      <c r="B1846" s="4" t="s">
        <v>37</v>
      </c>
      <c r="C1846" s="4" t="s">
        <v>23</v>
      </c>
      <c r="D1846" s="4" t="s">
        <v>43</v>
      </c>
      <c r="E1846" s="4" t="s">
        <v>25</v>
      </c>
      <c r="F1846" s="4" t="s">
        <v>25</v>
      </c>
      <c r="G1846" s="4" t="s">
        <v>25</v>
      </c>
      <c r="H1846" s="4" t="s">
        <v>25</v>
      </c>
      <c r="I1846" s="5">
        <v>44409</v>
      </c>
      <c r="J1846" s="6">
        <v>0</v>
      </c>
      <c r="K1846" s="6">
        <v>0</v>
      </c>
      <c r="L1846" s="6">
        <v>977.21299999999997</v>
      </c>
      <c r="M1846" s="6">
        <v>977.21299999999997</v>
      </c>
      <c r="N1846" s="6">
        <v>977.21299999999997</v>
      </c>
      <c r="O1846" s="6">
        <v>977.21299999999997</v>
      </c>
      <c r="P1846" s="6">
        <v>2509</v>
      </c>
      <c r="Q1846" s="4" t="s">
        <v>26</v>
      </c>
      <c r="R1846" s="4">
        <v>0</v>
      </c>
      <c r="S1846" s="6">
        <v>0</v>
      </c>
      <c r="T1846" s="6">
        <v>69</v>
      </c>
      <c r="U1846" s="6">
        <v>112</v>
      </c>
      <c r="V1846" s="6">
        <f>IF(ISERROR(VLOOKUP($S$1846,'TAR FIN'!$A$1:$O$116,15,0)),0,VLOOKUP($S$1846,'TAR FIN'!$A$1:$O$116,15,0))</f>
        <v>0</v>
      </c>
      <c r="W1846" s="6">
        <f>IF(ISERROR(VLOOKUP($T$1846,'TAR FIN'!$A$1:$O$116,15,0)),0,VLOOKUP($T$1846,'TAR FIN'!$A$1:$O$116,15,0))</f>
        <v>342.48</v>
      </c>
      <c r="X1846" s="6">
        <f>IF(ISERROR(VLOOKUP($U$1846,'TAR FIN'!$A$1:$O$116,15,0)),0,VLOOKUP($U$1846,'TAR FIN'!$A$1:$O$116,15,0))</f>
        <v>326.47000000000003</v>
      </c>
      <c r="Y1846" s="6"/>
      <c r="Z1846" s="6">
        <f ca="1">('TUSD BE'!$AM$71+'TUSD BF'!$AM$71+'TUSD CVA'!$AM$71)*1</f>
        <v>436.78490561809065</v>
      </c>
      <c r="AA1846" s="6">
        <f>('TE BE'!$AB$42+'TE BF'!$AB$42+'TE CVA'!$AB$42)*1</f>
        <v>329.63081087285968</v>
      </c>
      <c r="AB1846" s="6">
        <f>$K$1846*$V$1846</f>
        <v>0</v>
      </c>
      <c r="AC1846" s="6">
        <f>$M$1846*$W$1846</f>
        <v>334675.90824000002</v>
      </c>
      <c r="AD1846" s="6">
        <f>$O$1846*$X$1846</f>
        <v>319030.72811000003</v>
      </c>
      <c r="AE1846" s="6">
        <f>$K$1846*$Y$1846</f>
        <v>0</v>
      </c>
      <c r="AF1846" s="6">
        <f ca="1">$M$1846*$Z$1846</f>
        <v>426831.8879737712</v>
      </c>
      <c r="AG1846" s="6">
        <f>$O$1846*$AA$1846</f>
        <v>322119.51358549984</v>
      </c>
    </row>
    <row r="1847" spans="1:33" ht="11.25" customHeight="1" x14ac:dyDescent="0.25">
      <c r="A1847" s="4" t="s">
        <v>21</v>
      </c>
      <c r="B1847" s="4" t="s">
        <v>37</v>
      </c>
      <c r="C1847" s="4" t="s">
        <v>23</v>
      </c>
      <c r="D1847" s="4" t="s">
        <v>43</v>
      </c>
      <c r="E1847" s="4" t="s">
        <v>25</v>
      </c>
      <c r="F1847" s="4" t="s">
        <v>25</v>
      </c>
      <c r="G1847" s="4" t="s">
        <v>25</v>
      </c>
      <c r="H1847" s="4" t="s">
        <v>25</v>
      </c>
      <c r="I1847" s="5">
        <v>44440</v>
      </c>
      <c r="J1847" s="6">
        <v>0</v>
      </c>
      <c r="K1847" s="6">
        <v>0</v>
      </c>
      <c r="L1847" s="6">
        <v>11476.826999999999</v>
      </c>
      <c r="M1847" s="6">
        <v>11476.826999999999</v>
      </c>
      <c r="N1847" s="6">
        <v>11476.826999999999</v>
      </c>
      <c r="O1847" s="6">
        <v>11476.826999999999</v>
      </c>
      <c r="P1847" s="6">
        <v>32472</v>
      </c>
      <c r="Q1847" s="4" t="s">
        <v>26</v>
      </c>
      <c r="R1847" s="4">
        <v>0</v>
      </c>
      <c r="S1847" s="6">
        <v>0</v>
      </c>
      <c r="T1847" s="6">
        <v>69</v>
      </c>
      <c r="U1847" s="6">
        <v>112</v>
      </c>
      <c r="V1847" s="6">
        <f>IF(ISERROR(VLOOKUP($S$1847,'TAR FIN'!$A$1:$O$116,15,0)),0,VLOOKUP($S$1847,'TAR FIN'!$A$1:$O$116,15,0))</f>
        <v>0</v>
      </c>
      <c r="W1847" s="6">
        <f>IF(ISERROR(VLOOKUP($T$1847,'TAR FIN'!$A$1:$O$116,15,0)),0,VLOOKUP($T$1847,'TAR FIN'!$A$1:$O$116,15,0))</f>
        <v>342.48</v>
      </c>
      <c r="X1847" s="6">
        <f>IF(ISERROR(VLOOKUP($U$1847,'TAR FIN'!$A$1:$O$116,15,0)),0,VLOOKUP($U$1847,'TAR FIN'!$A$1:$O$116,15,0))</f>
        <v>326.47000000000003</v>
      </c>
      <c r="Y1847" s="6"/>
      <c r="Z1847" s="6">
        <f ca="1">('TUSD BE'!$AM$71+'TUSD BF'!$AM$71+'TUSD CVA'!$AM$71)*1</f>
        <v>436.78490561809065</v>
      </c>
      <c r="AA1847" s="6">
        <f>('TE BE'!$AB$42+'TE BF'!$AB$42+'TE CVA'!$AB$42)*1</f>
        <v>329.63081087285968</v>
      </c>
      <c r="AB1847" s="6">
        <f>$K$1847*$V$1847</f>
        <v>0</v>
      </c>
      <c r="AC1847" s="6">
        <f>$M$1847*$W$1847</f>
        <v>3930583.7109599998</v>
      </c>
      <c r="AD1847" s="6">
        <f>$O$1847*$X$1847</f>
        <v>3746839.7106900001</v>
      </c>
      <c r="AE1847" s="6">
        <f>$K$1847*$Y$1847</f>
        <v>0</v>
      </c>
      <c r="AF1847" s="6">
        <f ca="1">$M$1847*$Z$1847</f>
        <v>5012904.7979901545</v>
      </c>
      <c r="AG1847" s="6">
        <f>$O$1847*$AA$1847</f>
        <v>3783115.7902575294</v>
      </c>
    </row>
    <row r="1848" spans="1:33" ht="11.25" customHeight="1" x14ac:dyDescent="0.25">
      <c r="A1848" s="4" t="s">
        <v>27</v>
      </c>
      <c r="B1848" s="4" t="s">
        <v>37</v>
      </c>
      <c r="C1848" s="4" t="s">
        <v>23</v>
      </c>
      <c r="D1848" s="4" t="s">
        <v>43</v>
      </c>
      <c r="E1848" s="4" t="s">
        <v>25</v>
      </c>
      <c r="F1848" s="4" t="s">
        <v>25</v>
      </c>
      <c r="G1848" s="4" t="s">
        <v>25</v>
      </c>
      <c r="H1848" s="4" t="s">
        <v>25</v>
      </c>
      <c r="I1848" s="5">
        <v>44440</v>
      </c>
      <c r="J1848" s="6">
        <v>0</v>
      </c>
      <c r="K1848" s="6">
        <v>0</v>
      </c>
      <c r="L1848" s="6">
        <v>-5.4870000000000001</v>
      </c>
      <c r="M1848" s="6">
        <v>-5.4870000000000001</v>
      </c>
      <c r="N1848" s="6">
        <v>-5.4870000000000001</v>
      </c>
      <c r="O1848" s="6">
        <v>-5.4870000000000001</v>
      </c>
      <c r="P1848" s="6">
        <v>-12</v>
      </c>
      <c r="Q1848" s="4" t="s">
        <v>26</v>
      </c>
      <c r="R1848" s="4">
        <v>0</v>
      </c>
      <c r="S1848" s="6">
        <v>0</v>
      </c>
      <c r="T1848" s="6">
        <v>69</v>
      </c>
      <c r="U1848" s="6">
        <v>112</v>
      </c>
      <c r="V1848" s="6">
        <f>IF(ISERROR(VLOOKUP($S$1848,'TAR FIN'!$A$1:$O$116,15,0)),0,VLOOKUP($S$1848,'TAR FIN'!$A$1:$O$116,15,0))</f>
        <v>0</v>
      </c>
      <c r="W1848" s="6">
        <f>IF(ISERROR(VLOOKUP($T$1848,'TAR FIN'!$A$1:$O$116,15,0)),0,VLOOKUP($T$1848,'TAR FIN'!$A$1:$O$116,15,0))</f>
        <v>342.48</v>
      </c>
      <c r="X1848" s="6">
        <f>IF(ISERROR(VLOOKUP($U$1848,'TAR FIN'!$A$1:$O$116,15,0)),0,VLOOKUP($U$1848,'TAR FIN'!$A$1:$O$116,15,0))</f>
        <v>326.47000000000003</v>
      </c>
      <c r="Y1848" s="6"/>
      <c r="Z1848" s="6">
        <f ca="1">('TUSD BE'!$AM$71+'TUSD BF'!$AM$71+'TUSD CVA'!$AM$71)*1</f>
        <v>436.78490561809065</v>
      </c>
      <c r="AA1848" s="6">
        <f>('TE BE'!$AB$42+'TE BF'!$AB$42+'TE CVA'!$AB$42)*1</f>
        <v>329.63081087285968</v>
      </c>
      <c r="AB1848" s="6">
        <f>$K$1848*$V$1848</f>
        <v>0</v>
      </c>
      <c r="AC1848" s="6">
        <f>$M$1848*$W$1848</f>
        <v>-1879.18776</v>
      </c>
      <c r="AD1848" s="6">
        <f>$O$1848*$X$1848</f>
        <v>-1791.3408900000002</v>
      </c>
      <c r="AE1848" s="6">
        <f>$K$1848*$Y$1848</f>
        <v>0</v>
      </c>
      <c r="AF1848" s="6">
        <f ca="1">$M$1848*$Z$1848</f>
        <v>-2396.6387771264635</v>
      </c>
      <c r="AG1848" s="6">
        <f>$O$1848*$AA$1848</f>
        <v>-1808.6842592593812</v>
      </c>
    </row>
    <row r="1849" spans="1:33" ht="11.25" customHeight="1" x14ac:dyDescent="0.25">
      <c r="A1849" s="4" t="s">
        <v>28</v>
      </c>
      <c r="B1849" s="4" t="s">
        <v>37</v>
      </c>
      <c r="C1849" s="4" t="s">
        <v>23</v>
      </c>
      <c r="D1849" s="4" t="s">
        <v>43</v>
      </c>
      <c r="E1849" s="4" t="s">
        <v>25</v>
      </c>
      <c r="F1849" s="4" t="s">
        <v>25</v>
      </c>
      <c r="G1849" s="4" t="s">
        <v>25</v>
      </c>
      <c r="H1849" s="4" t="s">
        <v>25</v>
      </c>
      <c r="I1849" s="5">
        <v>44440</v>
      </c>
      <c r="J1849" s="6">
        <v>0</v>
      </c>
      <c r="K1849" s="6">
        <v>0</v>
      </c>
      <c r="L1849" s="6">
        <v>1378.22</v>
      </c>
      <c r="M1849" s="6">
        <v>1378.22</v>
      </c>
      <c r="N1849" s="6">
        <v>1378.22</v>
      </c>
      <c r="O1849" s="6">
        <v>1378.22</v>
      </c>
      <c r="P1849" s="6">
        <v>2686</v>
      </c>
      <c r="Q1849" s="4" t="s">
        <v>26</v>
      </c>
      <c r="R1849" s="4">
        <v>0</v>
      </c>
      <c r="S1849" s="6">
        <v>0</v>
      </c>
      <c r="T1849" s="6">
        <v>69</v>
      </c>
      <c r="U1849" s="6">
        <v>112</v>
      </c>
      <c r="V1849" s="6">
        <f>IF(ISERROR(VLOOKUP($S$1849,'TAR FIN'!$A$1:$O$116,15,0)),0,VLOOKUP($S$1849,'TAR FIN'!$A$1:$O$116,15,0))</f>
        <v>0</v>
      </c>
      <c r="W1849" s="6">
        <f>IF(ISERROR(VLOOKUP($T$1849,'TAR FIN'!$A$1:$O$116,15,0)),0,VLOOKUP($T$1849,'TAR FIN'!$A$1:$O$116,15,0))</f>
        <v>342.48</v>
      </c>
      <c r="X1849" s="6">
        <f>IF(ISERROR(VLOOKUP($U$1849,'TAR FIN'!$A$1:$O$116,15,0)),0,VLOOKUP($U$1849,'TAR FIN'!$A$1:$O$116,15,0))</f>
        <v>326.47000000000003</v>
      </c>
      <c r="Y1849" s="6"/>
      <c r="Z1849" s="6">
        <f ca="1">('TUSD BE'!$AM$71+'TUSD BF'!$AM$71+'TUSD CVA'!$AM$71)*1</f>
        <v>436.78490561809065</v>
      </c>
      <c r="AA1849" s="6">
        <f>('TE BE'!$AB$42+'TE BF'!$AB$42+'TE CVA'!$AB$42)*1</f>
        <v>329.63081087285968</v>
      </c>
      <c r="AB1849" s="6">
        <f>$K$1849*$V$1849</f>
        <v>0</v>
      </c>
      <c r="AC1849" s="6">
        <f>$M$1849*$W$1849</f>
        <v>472012.78560000006</v>
      </c>
      <c r="AD1849" s="6">
        <f>$O$1849*$X$1849</f>
        <v>449947.48340000003</v>
      </c>
      <c r="AE1849" s="6">
        <f>$K$1849*$Y$1849</f>
        <v>0</v>
      </c>
      <c r="AF1849" s="6">
        <f ca="1">$M$1849*$Z$1849</f>
        <v>601985.69262096495</v>
      </c>
      <c r="AG1849" s="6">
        <f>$O$1849*$AA$1849</f>
        <v>454303.77616119268</v>
      </c>
    </row>
    <row r="1850" spans="1:33" ht="11.25" customHeight="1" x14ac:dyDescent="0.25">
      <c r="A1850" s="4" t="s">
        <v>28</v>
      </c>
      <c r="B1850" s="4" t="s">
        <v>37</v>
      </c>
      <c r="C1850" s="4" t="s">
        <v>23</v>
      </c>
      <c r="D1850" s="4" t="s">
        <v>43</v>
      </c>
      <c r="E1850" s="4" t="s">
        <v>25</v>
      </c>
      <c r="F1850" s="4" t="s">
        <v>25</v>
      </c>
      <c r="G1850" s="4" t="s">
        <v>25</v>
      </c>
      <c r="H1850" s="4" t="s">
        <v>25</v>
      </c>
      <c r="I1850" s="5">
        <v>44440</v>
      </c>
      <c r="J1850" s="6">
        <v>0</v>
      </c>
      <c r="K1850" s="6">
        <v>0</v>
      </c>
      <c r="L1850" s="6">
        <v>-13.561999999999999</v>
      </c>
      <c r="M1850" s="6">
        <v>-13.561999999999999</v>
      </c>
      <c r="N1850" s="6">
        <v>-13.561999999999999</v>
      </c>
      <c r="O1850" s="6">
        <v>-13.561999999999999</v>
      </c>
      <c r="P1850" s="6">
        <v>0</v>
      </c>
      <c r="Q1850" s="4" t="s">
        <v>26</v>
      </c>
      <c r="R1850" s="4">
        <v>0</v>
      </c>
      <c r="S1850" s="6">
        <v>0</v>
      </c>
      <c r="T1850" s="6">
        <v>69</v>
      </c>
      <c r="U1850" s="6">
        <v>112</v>
      </c>
      <c r="V1850" s="6">
        <f>IF(ISERROR(VLOOKUP($S$1850,'TAR FIN'!$A$1:$O$116,15,0)),0,VLOOKUP($S$1850,'TAR FIN'!$A$1:$O$116,15,0))</f>
        <v>0</v>
      </c>
      <c r="W1850" s="6">
        <f>IF(ISERROR(VLOOKUP($T$1850,'TAR FIN'!$A$1:$O$116,15,0)),0,VLOOKUP($T$1850,'TAR FIN'!$A$1:$O$116,15,0))</f>
        <v>342.48</v>
      </c>
      <c r="X1850" s="6">
        <f>IF(ISERROR(VLOOKUP($U$1850,'TAR FIN'!$A$1:$O$116,15,0)),0,VLOOKUP($U$1850,'TAR FIN'!$A$1:$O$116,15,0))</f>
        <v>326.47000000000003</v>
      </c>
      <c r="Y1850" s="6"/>
      <c r="Z1850" s="6">
        <f ca="1">('TUSD BE'!$AM$71+'TUSD BF'!$AM$71+'TUSD CVA'!$AM$71)*1</f>
        <v>436.78490561809065</v>
      </c>
      <c r="AA1850" s="6">
        <f>('TE BE'!$AB$42+'TE BF'!$AB$42+'TE CVA'!$AB$42)*1</f>
        <v>329.63081087285968</v>
      </c>
      <c r="AB1850" s="6">
        <f>$K$1850*$V$1850</f>
        <v>0</v>
      </c>
      <c r="AC1850" s="6">
        <f>$M$1850*$W$1850</f>
        <v>-4644.7137599999996</v>
      </c>
      <c r="AD1850" s="6">
        <f>$O$1850*$X$1850</f>
        <v>-4427.5861400000003</v>
      </c>
      <c r="AE1850" s="6">
        <f>$K$1850*$Y$1850</f>
        <v>0</v>
      </c>
      <c r="AF1850" s="6">
        <f ca="1">$M$1850*$Z$1850</f>
        <v>-5923.6768899925455</v>
      </c>
      <c r="AG1850" s="6">
        <f>$O$1850*$AA$1850</f>
        <v>-4470.4530570577226</v>
      </c>
    </row>
    <row r="1851" spans="1:33" ht="11.25" customHeight="1" x14ac:dyDescent="0.25">
      <c r="A1851" s="4" t="s">
        <v>21</v>
      </c>
      <c r="B1851" s="4" t="s">
        <v>37</v>
      </c>
      <c r="C1851" s="4" t="s">
        <v>23</v>
      </c>
      <c r="D1851" s="4" t="s">
        <v>43</v>
      </c>
      <c r="E1851" s="4" t="s">
        <v>25</v>
      </c>
      <c r="F1851" s="4" t="s">
        <v>25</v>
      </c>
      <c r="G1851" s="4" t="s">
        <v>25</v>
      </c>
      <c r="H1851" s="4" t="s">
        <v>25</v>
      </c>
      <c r="I1851" s="5">
        <v>44470</v>
      </c>
      <c r="J1851" s="6">
        <v>0</v>
      </c>
      <c r="K1851" s="6">
        <v>0</v>
      </c>
      <c r="L1851" s="6">
        <v>11400.047</v>
      </c>
      <c r="M1851" s="6">
        <v>11400.047</v>
      </c>
      <c r="N1851" s="6">
        <v>11400.047</v>
      </c>
      <c r="O1851" s="6">
        <v>11400.047</v>
      </c>
      <c r="P1851" s="6">
        <v>32415</v>
      </c>
      <c r="Q1851" s="4" t="s">
        <v>26</v>
      </c>
      <c r="R1851" s="4">
        <v>0</v>
      </c>
      <c r="S1851" s="6">
        <v>0</v>
      </c>
      <c r="T1851" s="6">
        <v>69</v>
      </c>
      <c r="U1851" s="6">
        <v>112</v>
      </c>
      <c r="V1851" s="6">
        <f>IF(ISERROR(VLOOKUP($S$1851,'TAR FIN'!$A$1:$O$116,15,0)),0,VLOOKUP($S$1851,'TAR FIN'!$A$1:$O$116,15,0))</f>
        <v>0</v>
      </c>
      <c r="W1851" s="6">
        <f>IF(ISERROR(VLOOKUP($T$1851,'TAR FIN'!$A$1:$O$116,15,0)),0,VLOOKUP($T$1851,'TAR FIN'!$A$1:$O$116,15,0))</f>
        <v>342.48</v>
      </c>
      <c r="X1851" s="6">
        <f>IF(ISERROR(VLOOKUP($U$1851,'TAR FIN'!$A$1:$O$116,15,0)),0,VLOOKUP($U$1851,'TAR FIN'!$A$1:$O$116,15,0))</f>
        <v>326.47000000000003</v>
      </c>
      <c r="Y1851" s="6"/>
      <c r="Z1851" s="6">
        <f ca="1">('TUSD BE'!$AM$71+'TUSD BF'!$AM$71+'TUSD CVA'!$AM$71)*1</f>
        <v>436.78490561809065</v>
      </c>
      <c r="AA1851" s="6">
        <f>('TE BE'!$AB$42+'TE BF'!$AB$42+'TE CVA'!$AB$42)*1</f>
        <v>329.63081087285968</v>
      </c>
      <c r="AB1851" s="6">
        <f>$K$1851*$V$1851</f>
        <v>0</v>
      </c>
      <c r="AC1851" s="6">
        <f>$M$1851*$W$1851</f>
        <v>3904288.0965600004</v>
      </c>
      <c r="AD1851" s="6">
        <f>$O$1851*$X$1851</f>
        <v>3721773.3440900003</v>
      </c>
      <c r="AE1851" s="6">
        <f>$K$1851*$Y$1851</f>
        <v>0</v>
      </c>
      <c r="AF1851" s="6">
        <f ca="1">$M$1851*$Z$1851</f>
        <v>4979368.4529367974</v>
      </c>
      <c r="AG1851" s="6">
        <f>$O$1851*$AA$1851</f>
        <v>3757806.7365987115</v>
      </c>
    </row>
    <row r="1852" spans="1:33" ht="11.25" customHeight="1" x14ac:dyDescent="0.25">
      <c r="A1852" s="4" t="s">
        <v>27</v>
      </c>
      <c r="B1852" s="4" t="s">
        <v>37</v>
      </c>
      <c r="C1852" s="4" t="s">
        <v>23</v>
      </c>
      <c r="D1852" s="4" t="s">
        <v>43</v>
      </c>
      <c r="E1852" s="4" t="s">
        <v>25</v>
      </c>
      <c r="F1852" s="4" t="s">
        <v>25</v>
      </c>
      <c r="G1852" s="4" t="s">
        <v>25</v>
      </c>
      <c r="H1852" s="4" t="s">
        <v>25</v>
      </c>
      <c r="I1852" s="5">
        <v>44470</v>
      </c>
      <c r="J1852" s="6">
        <v>0</v>
      </c>
      <c r="K1852" s="6">
        <v>0</v>
      </c>
      <c r="L1852" s="6">
        <v>-13.917999999999999</v>
      </c>
      <c r="M1852" s="6">
        <v>-13.917999999999999</v>
      </c>
      <c r="N1852" s="6">
        <v>-13.917999999999999</v>
      </c>
      <c r="O1852" s="6">
        <v>-13.917999999999999</v>
      </c>
      <c r="P1852" s="6">
        <v>-1</v>
      </c>
      <c r="Q1852" s="4" t="s">
        <v>26</v>
      </c>
      <c r="R1852" s="4">
        <v>0</v>
      </c>
      <c r="S1852" s="6">
        <v>0</v>
      </c>
      <c r="T1852" s="6">
        <v>69</v>
      </c>
      <c r="U1852" s="6">
        <v>112</v>
      </c>
      <c r="V1852" s="6">
        <f>IF(ISERROR(VLOOKUP($S$1852,'TAR FIN'!$A$1:$O$116,15,0)),0,VLOOKUP($S$1852,'TAR FIN'!$A$1:$O$116,15,0))</f>
        <v>0</v>
      </c>
      <c r="W1852" s="6">
        <f>IF(ISERROR(VLOOKUP($T$1852,'TAR FIN'!$A$1:$O$116,15,0)),0,VLOOKUP($T$1852,'TAR FIN'!$A$1:$O$116,15,0))</f>
        <v>342.48</v>
      </c>
      <c r="X1852" s="6">
        <f>IF(ISERROR(VLOOKUP($U$1852,'TAR FIN'!$A$1:$O$116,15,0)),0,VLOOKUP($U$1852,'TAR FIN'!$A$1:$O$116,15,0))</f>
        <v>326.47000000000003</v>
      </c>
      <c r="Y1852" s="6"/>
      <c r="Z1852" s="6">
        <f ca="1">('TUSD BE'!$AM$71+'TUSD BF'!$AM$71+'TUSD CVA'!$AM$71)*1</f>
        <v>436.78490561809065</v>
      </c>
      <c r="AA1852" s="6">
        <f>('TE BE'!$AB$42+'TE BF'!$AB$42+'TE CVA'!$AB$42)*1</f>
        <v>329.63081087285968</v>
      </c>
      <c r="AB1852" s="6">
        <f>$K$1852*$V$1852</f>
        <v>0</v>
      </c>
      <c r="AC1852" s="6">
        <f>$M$1852*$W$1852</f>
        <v>-4766.6366399999997</v>
      </c>
      <c r="AD1852" s="6">
        <f>$O$1852*$X$1852</f>
        <v>-4543.8094600000004</v>
      </c>
      <c r="AE1852" s="6">
        <f>$K$1852*$Y$1852</f>
        <v>0</v>
      </c>
      <c r="AF1852" s="6">
        <f ca="1">$M$1852*$Z$1852</f>
        <v>-6079.1723163925853</v>
      </c>
      <c r="AG1852" s="6">
        <f>$O$1852*$AA$1852</f>
        <v>-4587.8016257284607</v>
      </c>
    </row>
    <row r="1853" spans="1:33" ht="11.25" customHeight="1" x14ac:dyDescent="0.25">
      <c r="A1853" s="4" t="s">
        <v>28</v>
      </c>
      <c r="B1853" s="4" t="s">
        <v>37</v>
      </c>
      <c r="C1853" s="4" t="s">
        <v>23</v>
      </c>
      <c r="D1853" s="4" t="s">
        <v>43</v>
      </c>
      <c r="E1853" s="4" t="s">
        <v>25</v>
      </c>
      <c r="F1853" s="4" t="s">
        <v>25</v>
      </c>
      <c r="G1853" s="4" t="s">
        <v>25</v>
      </c>
      <c r="H1853" s="4" t="s">
        <v>25</v>
      </c>
      <c r="I1853" s="5">
        <v>44470</v>
      </c>
      <c r="J1853" s="6">
        <v>0</v>
      </c>
      <c r="K1853" s="6">
        <v>0</v>
      </c>
      <c r="L1853" s="6">
        <v>1165.597</v>
      </c>
      <c r="M1853" s="6">
        <v>1165.597</v>
      </c>
      <c r="N1853" s="6">
        <v>1165.597</v>
      </c>
      <c r="O1853" s="6">
        <v>1165.597</v>
      </c>
      <c r="P1853" s="6">
        <v>2766</v>
      </c>
      <c r="Q1853" s="4" t="s">
        <v>26</v>
      </c>
      <c r="R1853" s="4">
        <v>0</v>
      </c>
      <c r="S1853" s="6">
        <v>0</v>
      </c>
      <c r="T1853" s="6">
        <v>69</v>
      </c>
      <c r="U1853" s="6">
        <v>112</v>
      </c>
      <c r="V1853" s="6">
        <f>IF(ISERROR(VLOOKUP($S$1853,'TAR FIN'!$A$1:$O$116,15,0)),0,VLOOKUP($S$1853,'TAR FIN'!$A$1:$O$116,15,0))</f>
        <v>0</v>
      </c>
      <c r="W1853" s="6">
        <f>IF(ISERROR(VLOOKUP($T$1853,'TAR FIN'!$A$1:$O$116,15,0)),0,VLOOKUP($T$1853,'TAR FIN'!$A$1:$O$116,15,0))</f>
        <v>342.48</v>
      </c>
      <c r="X1853" s="6">
        <f>IF(ISERROR(VLOOKUP($U$1853,'TAR FIN'!$A$1:$O$116,15,0)),0,VLOOKUP($U$1853,'TAR FIN'!$A$1:$O$116,15,0))</f>
        <v>326.47000000000003</v>
      </c>
      <c r="Y1853" s="6"/>
      <c r="Z1853" s="6">
        <f ca="1">('TUSD BE'!$AM$71+'TUSD BF'!$AM$71+'TUSD CVA'!$AM$71)*1</f>
        <v>436.78490561809065</v>
      </c>
      <c r="AA1853" s="6">
        <f>('TE BE'!$AB$42+'TE BF'!$AB$42+'TE CVA'!$AB$42)*1</f>
        <v>329.63081087285968</v>
      </c>
      <c r="AB1853" s="6">
        <f>$K$1853*$V$1853</f>
        <v>0</v>
      </c>
      <c r="AC1853" s="6">
        <f>$M$1853*$W$1853</f>
        <v>399193.66055999999</v>
      </c>
      <c r="AD1853" s="6">
        <f>$O$1853*$X$1853</f>
        <v>380532.45259</v>
      </c>
      <c r="AE1853" s="6">
        <f>$K$1853*$Y$1853</f>
        <v>0</v>
      </c>
      <c r="AF1853" s="6">
        <f ca="1">$M$1853*$Z$1853</f>
        <v>509115.17563372961</v>
      </c>
      <c r="AG1853" s="6">
        <f>$O$1853*$AA$1853</f>
        <v>384216.6842609726</v>
      </c>
    </row>
    <row r="1854" spans="1:33" ht="11.25" customHeight="1" x14ac:dyDescent="0.25">
      <c r="A1854" s="4" t="s">
        <v>28</v>
      </c>
      <c r="B1854" s="4" t="s">
        <v>37</v>
      </c>
      <c r="C1854" s="4" t="s">
        <v>23</v>
      </c>
      <c r="D1854" s="4" t="s">
        <v>43</v>
      </c>
      <c r="E1854" s="4" t="s">
        <v>25</v>
      </c>
      <c r="F1854" s="4" t="s">
        <v>25</v>
      </c>
      <c r="G1854" s="4" t="s">
        <v>25</v>
      </c>
      <c r="H1854" s="4" t="s">
        <v>25</v>
      </c>
      <c r="I1854" s="5">
        <v>44470</v>
      </c>
      <c r="J1854" s="6">
        <v>0</v>
      </c>
      <c r="K1854" s="6">
        <v>0</v>
      </c>
      <c r="L1854" s="6">
        <v>-4.798</v>
      </c>
      <c r="M1854" s="6">
        <v>-4.798</v>
      </c>
      <c r="N1854" s="6">
        <v>-4.798</v>
      </c>
      <c r="O1854" s="6">
        <v>-4.798</v>
      </c>
      <c r="P1854" s="6">
        <v>0</v>
      </c>
      <c r="Q1854" s="4" t="s">
        <v>26</v>
      </c>
      <c r="R1854" s="4">
        <v>0</v>
      </c>
      <c r="S1854" s="6">
        <v>0</v>
      </c>
      <c r="T1854" s="6">
        <v>69</v>
      </c>
      <c r="U1854" s="6">
        <v>112</v>
      </c>
      <c r="V1854" s="6">
        <f>IF(ISERROR(VLOOKUP($S$1854,'TAR FIN'!$A$1:$O$116,15,0)),0,VLOOKUP($S$1854,'TAR FIN'!$A$1:$O$116,15,0))</f>
        <v>0</v>
      </c>
      <c r="W1854" s="6">
        <f>IF(ISERROR(VLOOKUP($T$1854,'TAR FIN'!$A$1:$O$116,15,0)),0,VLOOKUP($T$1854,'TAR FIN'!$A$1:$O$116,15,0))</f>
        <v>342.48</v>
      </c>
      <c r="X1854" s="6">
        <f>IF(ISERROR(VLOOKUP($U$1854,'TAR FIN'!$A$1:$O$116,15,0)),0,VLOOKUP($U$1854,'TAR FIN'!$A$1:$O$116,15,0))</f>
        <v>326.47000000000003</v>
      </c>
      <c r="Y1854" s="6"/>
      <c r="Z1854" s="6">
        <f ca="1">('TUSD BE'!$AM$71+'TUSD BF'!$AM$71+'TUSD CVA'!$AM$71)*1</f>
        <v>436.78490561809065</v>
      </c>
      <c r="AA1854" s="6">
        <f>('TE BE'!$AB$42+'TE BF'!$AB$42+'TE CVA'!$AB$42)*1</f>
        <v>329.63081087285968</v>
      </c>
      <c r="AB1854" s="6">
        <f>$K$1854*$V$1854</f>
        <v>0</v>
      </c>
      <c r="AC1854" s="6">
        <f>$M$1854*$W$1854</f>
        <v>-1643.2190400000002</v>
      </c>
      <c r="AD1854" s="6">
        <f>$O$1854*$X$1854</f>
        <v>-1566.4030600000001</v>
      </c>
      <c r="AE1854" s="6">
        <f>$K$1854*$Y$1854</f>
        <v>0</v>
      </c>
      <c r="AF1854" s="6">
        <f ca="1">$M$1854*$Z$1854</f>
        <v>-2095.693977155599</v>
      </c>
      <c r="AG1854" s="6">
        <f>$O$1854*$AA$1854</f>
        <v>-1581.5686305679808</v>
      </c>
    </row>
    <row r="1855" spans="1:33" ht="11.25" customHeight="1" x14ac:dyDescent="0.25">
      <c r="A1855" s="4" t="s">
        <v>21</v>
      </c>
      <c r="B1855" s="4" t="s">
        <v>37</v>
      </c>
      <c r="C1855" s="4" t="s">
        <v>23</v>
      </c>
      <c r="D1855" s="4" t="s">
        <v>43</v>
      </c>
      <c r="E1855" s="4" t="s">
        <v>25</v>
      </c>
      <c r="F1855" s="4" t="s">
        <v>25</v>
      </c>
      <c r="G1855" s="4" t="s">
        <v>25</v>
      </c>
      <c r="H1855" s="4" t="s">
        <v>25</v>
      </c>
      <c r="I1855" s="5">
        <v>44501</v>
      </c>
      <c r="J1855" s="6">
        <v>0</v>
      </c>
      <c r="K1855" s="6">
        <v>0</v>
      </c>
      <c r="L1855" s="6">
        <v>11144.76</v>
      </c>
      <c r="M1855" s="6">
        <v>11144.76</v>
      </c>
      <c r="N1855" s="6">
        <v>11144.76</v>
      </c>
      <c r="O1855" s="6">
        <v>11144.76</v>
      </c>
      <c r="P1855" s="6">
        <v>32325</v>
      </c>
      <c r="Q1855" s="4" t="s">
        <v>26</v>
      </c>
      <c r="R1855" s="4">
        <v>0</v>
      </c>
      <c r="S1855" s="6">
        <v>0</v>
      </c>
      <c r="T1855" s="6">
        <v>69</v>
      </c>
      <c r="U1855" s="6">
        <v>112</v>
      </c>
      <c r="V1855" s="6">
        <f>IF(ISERROR(VLOOKUP($S$1855,'TAR FIN'!$A$1:$O$116,15,0)),0,VLOOKUP($S$1855,'TAR FIN'!$A$1:$O$116,15,0))</f>
        <v>0</v>
      </c>
      <c r="W1855" s="6">
        <f>IF(ISERROR(VLOOKUP($T$1855,'TAR FIN'!$A$1:$O$116,15,0)),0,VLOOKUP($T$1855,'TAR FIN'!$A$1:$O$116,15,0))</f>
        <v>342.48</v>
      </c>
      <c r="X1855" s="6">
        <f>IF(ISERROR(VLOOKUP($U$1855,'TAR FIN'!$A$1:$O$116,15,0)),0,VLOOKUP($U$1855,'TAR FIN'!$A$1:$O$116,15,0))</f>
        <v>326.47000000000003</v>
      </c>
      <c r="Y1855" s="6"/>
      <c r="Z1855" s="6">
        <f ca="1">('TUSD BE'!$AM$71+'TUSD BF'!$AM$71+'TUSD CVA'!$AM$71)*1</f>
        <v>436.78490561809065</v>
      </c>
      <c r="AA1855" s="6">
        <f>('TE BE'!$AB$42+'TE BF'!$AB$42+'TE CVA'!$AB$42)*1</f>
        <v>329.63081087285968</v>
      </c>
      <c r="AB1855" s="6">
        <f>$K$1855*$V$1855</f>
        <v>0</v>
      </c>
      <c r="AC1855" s="6">
        <f>$M$1855*$W$1855</f>
        <v>3816857.4048000001</v>
      </c>
      <c r="AD1855" s="6">
        <f>$O$1855*$X$1855</f>
        <v>3638429.7972000004</v>
      </c>
      <c r="AE1855" s="6">
        <f>$K$1855*$Y$1855</f>
        <v>0</v>
      </c>
      <c r="AF1855" s="6">
        <f ca="1">$M$1855*$Z$1855</f>
        <v>4867862.9447362721</v>
      </c>
      <c r="AG1855" s="6">
        <f>$O$1855*$AA$1855</f>
        <v>3673656.2757834117</v>
      </c>
    </row>
    <row r="1856" spans="1:33" ht="11.25" customHeight="1" x14ac:dyDescent="0.25">
      <c r="A1856" s="4" t="s">
        <v>27</v>
      </c>
      <c r="B1856" s="4" t="s">
        <v>37</v>
      </c>
      <c r="C1856" s="4" t="s">
        <v>23</v>
      </c>
      <c r="D1856" s="4" t="s">
        <v>43</v>
      </c>
      <c r="E1856" s="4" t="s">
        <v>25</v>
      </c>
      <c r="F1856" s="4" t="s">
        <v>25</v>
      </c>
      <c r="G1856" s="4" t="s">
        <v>25</v>
      </c>
      <c r="H1856" s="4" t="s">
        <v>25</v>
      </c>
      <c r="I1856" s="5">
        <v>44501</v>
      </c>
      <c r="J1856" s="6">
        <v>0</v>
      </c>
      <c r="K1856" s="6">
        <v>0</v>
      </c>
      <c r="L1856" s="6">
        <v>-3.613</v>
      </c>
      <c r="M1856" s="6">
        <v>-3.613</v>
      </c>
      <c r="N1856" s="6">
        <v>-3.613</v>
      </c>
      <c r="O1856" s="6">
        <v>-3.613</v>
      </c>
      <c r="P1856" s="6">
        <v>-1</v>
      </c>
      <c r="Q1856" s="4" t="s">
        <v>26</v>
      </c>
      <c r="R1856" s="4">
        <v>0</v>
      </c>
      <c r="S1856" s="6">
        <v>0</v>
      </c>
      <c r="T1856" s="6">
        <v>69</v>
      </c>
      <c r="U1856" s="6">
        <v>112</v>
      </c>
      <c r="V1856" s="6">
        <f>IF(ISERROR(VLOOKUP($S$1856,'TAR FIN'!$A$1:$O$116,15,0)),0,VLOOKUP($S$1856,'TAR FIN'!$A$1:$O$116,15,0))</f>
        <v>0</v>
      </c>
      <c r="W1856" s="6">
        <f>IF(ISERROR(VLOOKUP($T$1856,'TAR FIN'!$A$1:$O$116,15,0)),0,VLOOKUP($T$1856,'TAR FIN'!$A$1:$O$116,15,0))</f>
        <v>342.48</v>
      </c>
      <c r="X1856" s="6">
        <f>IF(ISERROR(VLOOKUP($U$1856,'TAR FIN'!$A$1:$O$116,15,0)),0,VLOOKUP($U$1856,'TAR FIN'!$A$1:$O$116,15,0))</f>
        <v>326.47000000000003</v>
      </c>
      <c r="Y1856" s="6"/>
      <c r="Z1856" s="6">
        <f ca="1">('TUSD BE'!$AM$71+'TUSD BF'!$AM$71+'TUSD CVA'!$AM$71)*1</f>
        <v>436.78490561809065</v>
      </c>
      <c r="AA1856" s="6">
        <f>('TE BE'!$AB$42+'TE BF'!$AB$42+'TE CVA'!$AB$42)*1</f>
        <v>329.63081087285968</v>
      </c>
      <c r="AB1856" s="6">
        <f>$K$1856*$V$1856</f>
        <v>0</v>
      </c>
      <c r="AC1856" s="6">
        <f>$M$1856*$W$1856</f>
        <v>-1237.38024</v>
      </c>
      <c r="AD1856" s="6">
        <f>$O$1856*$X$1856</f>
        <v>-1179.53611</v>
      </c>
      <c r="AE1856" s="6">
        <f>$K$1856*$Y$1856</f>
        <v>0</v>
      </c>
      <c r="AF1856" s="6">
        <f ca="1">$M$1856*$Z$1856</f>
        <v>-1578.1038639981616</v>
      </c>
      <c r="AG1856" s="6">
        <f>$O$1856*$AA$1856</f>
        <v>-1190.9561196836421</v>
      </c>
    </row>
    <row r="1857" spans="1:33" ht="11.25" customHeight="1" x14ac:dyDescent="0.25">
      <c r="A1857" s="4" t="s">
        <v>28</v>
      </c>
      <c r="B1857" s="4" t="s">
        <v>37</v>
      </c>
      <c r="C1857" s="4" t="s">
        <v>23</v>
      </c>
      <c r="D1857" s="4" t="s">
        <v>43</v>
      </c>
      <c r="E1857" s="4" t="s">
        <v>25</v>
      </c>
      <c r="F1857" s="4" t="s">
        <v>25</v>
      </c>
      <c r="G1857" s="4" t="s">
        <v>25</v>
      </c>
      <c r="H1857" s="4" t="s">
        <v>25</v>
      </c>
      <c r="I1857" s="5">
        <v>44501</v>
      </c>
      <c r="J1857" s="6">
        <v>0</v>
      </c>
      <c r="K1857" s="6">
        <v>0</v>
      </c>
      <c r="L1857" s="6">
        <v>1292.6079999999999</v>
      </c>
      <c r="M1857" s="6">
        <v>1292.6079999999999</v>
      </c>
      <c r="N1857" s="6">
        <v>1292.6079999999999</v>
      </c>
      <c r="O1857" s="6">
        <v>1292.6079999999999</v>
      </c>
      <c r="P1857" s="6">
        <v>2870</v>
      </c>
      <c r="Q1857" s="4" t="s">
        <v>26</v>
      </c>
      <c r="R1857" s="4">
        <v>0</v>
      </c>
      <c r="S1857" s="6">
        <v>0</v>
      </c>
      <c r="T1857" s="6">
        <v>69</v>
      </c>
      <c r="U1857" s="6">
        <v>112</v>
      </c>
      <c r="V1857" s="6">
        <f>IF(ISERROR(VLOOKUP($S$1857,'TAR FIN'!$A$1:$O$116,15,0)),0,VLOOKUP($S$1857,'TAR FIN'!$A$1:$O$116,15,0))</f>
        <v>0</v>
      </c>
      <c r="W1857" s="6">
        <f>IF(ISERROR(VLOOKUP($T$1857,'TAR FIN'!$A$1:$O$116,15,0)),0,VLOOKUP($T$1857,'TAR FIN'!$A$1:$O$116,15,0))</f>
        <v>342.48</v>
      </c>
      <c r="X1857" s="6">
        <f>IF(ISERROR(VLOOKUP($U$1857,'TAR FIN'!$A$1:$O$116,15,0)),0,VLOOKUP($U$1857,'TAR FIN'!$A$1:$O$116,15,0))</f>
        <v>326.47000000000003</v>
      </c>
      <c r="Y1857" s="6"/>
      <c r="Z1857" s="6">
        <f ca="1">('TUSD BE'!$AM$71+'TUSD BF'!$AM$71+'TUSD CVA'!$AM$71)*1</f>
        <v>436.78490561809065</v>
      </c>
      <c r="AA1857" s="6">
        <f>('TE BE'!$AB$42+'TE BF'!$AB$42+'TE CVA'!$AB$42)*1</f>
        <v>329.63081087285968</v>
      </c>
      <c r="AB1857" s="6">
        <f>$K$1857*$V$1857</f>
        <v>0</v>
      </c>
      <c r="AC1857" s="6">
        <f>$M$1857*$W$1857</f>
        <v>442692.38783999998</v>
      </c>
      <c r="AD1857" s="6">
        <f>$O$1857*$X$1857</f>
        <v>421997.73376000003</v>
      </c>
      <c r="AE1857" s="6">
        <f>$K$1857*$Y$1857</f>
        <v>0</v>
      </c>
      <c r="AF1857" s="6">
        <f ca="1">$M$1857*$Z$1857</f>
        <v>564591.66328118893</v>
      </c>
      <c r="AG1857" s="6">
        <f>$O$1857*$AA$1857</f>
        <v>426083.42318074539</v>
      </c>
    </row>
    <row r="1858" spans="1:33" ht="11.25" customHeight="1" x14ac:dyDescent="0.25">
      <c r="A1858" s="4" t="s">
        <v>28</v>
      </c>
      <c r="B1858" s="4" t="s">
        <v>37</v>
      </c>
      <c r="C1858" s="4" t="s">
        <v>23</v>
      </c>
      <c r="D1858" s="4" t="s">
        <v>43</v>
      </c>
      <c r="E1858" s="4" t="s">
        <v>25</v>
      </c>
      <c r="F1858" s="4" t="s">
        <v>25</v>
      </c>
      <c r="G1858" s="4" t="s">
        <v>25</v>
      </c>
      <c r="H1858" s="4" t="s">
        <v>25</v>
      </c>
      <c r="I1858" s="5">
        <v>44501</v>
      </c>
      <c r="J1858" s="6">
        <v>0</v>
      </c>
      <c r="K1858" s="6">
        <v>0</v>
      </c>
      <c r="L1858" s="6">
        <v>-1.31</v>
      </c>
      <c r="M1858" s="6">
        <v>-1.31</v>
      </c>
      <c r="N1858" s="6">
        <v>-1.31</v>
      </c>
      <c r="O1858" s="6">
        <v>-1.31</v>
      </c>
      <c r="P1858" s="6">
        <v>0</v>
      </c>
      <c r="Q1858" s="4" t="s">
        <v>26</v>
      </c>
      <c r="R1858" s="4">
        <v>0</v>
      </c>
      <c r="S1858" s="6">
        <v>0</v>
      </c>
      <c r="T1858" s="6">
        <v>69</v>
      </c>
      <c r="U1858" s="6">
        <v>112</v>
      </c>
      <c r="V1858" s="6">
        <f>IF(ISERROR(VLOOKUP($S$1858,'TAR FIN'!$A$1:$O$116,15,0)),0,VLOOKUP($S$1858,'TAR FIN'!$A$1:$O$116,15,0))</f>
        <v>0</v>
      </c>
      <c r="W1858" s="6">
        <f>IF(ISERROR(VLOOKUP($T$1858,'TAR FIN'!$A$1:$O$116,15,0)),0,VLOOKUP($T$1858,'TAR FIN'!$A$1:$O$116,15,0))</f>
        <v>342.48</v>
      </c>
      <c r="X1858" s="6">
        <f>IF(ISERROR(VLOOKUP($U$1858,'TAR FIN'!$A$1:$O$116,15,0)),0,VLOOKUP($U$1858,'TAR FIN'!$A$1:$O$116,15,0))</f>
        <v>326.47000000000003</v>
      </c>
      <c r="Y1858" s="6"/>
      <c r="Z1858" s="6">
        <f ca="1">('TUSD BE'!$AM$71+'TUSD BF'!$AM$71+'TUSD CVA'!$AM$71)*1</f>
        <v>436.78490561809065</v>
      </c>
      <c r="AA1858" s="6">
        <f>('TE BE'!$AB$42+'TE BF'!$AB$42+'TE CVA'!$AB$42)*1</f>
        <v>329.63081087285968</v>
      </c>
      <c r="AB1858" s="6">
        <f>$K$1858*$V$1858</f>
        <v>0</v>
      </c>
      <c r="AC1858" s="6">
        <f>$M$1858*$W$1858</f>
        <v>-448.64880000000005</v>
      </c>
      <c r="AD1858" s="6">
        <f>$O$1858*$X$1858</f>
        <v>-427.67570000000006</v>
      </c>
      <c r="AE1858" s="6">
        <f>$K$1858*$Y$1858</f>
        <v>0</v>
      </c>
      <c r="AF1858" s="6">
        <f ca="1">$M$1858*$Z$1858</f>
        <v>-572.18822635969877</v>
      </c>
      <c r="AG1858" s="6">
        <f>$O$1858*$AA$1858</f>
        <v>-431.81636224344618</v>
      </c>
    </row>
    <row r="1859" spans="1:33" ht="11.25" customHeight="1" x14ac:dyDescent="0.25">
      <c r="A1859" s="4" t="s">
        <v>21</v>
      </c>
      <c r="B1859" s="4" t="s">
        <v>37</v>
      </c>
      <c r="C1859" s="4" t="s">
        <v>23</v>
      </c>
      <c r="D1859" s="4" t="s">
        <v>43</v>
      </c>
      <c r="E1859" s="4" t="s">
        <v>25</v>
      </c>
      <c r="F1859" s="4" t="s">
        <v>25</v>
      </c>
      <c r="G1859" s="4" t="s">
        <v>25</v>
      </c>
      <c r="H1859" s="4" t="s">
        <v>25</v>
      </c>
      <c r="I1859" s="5">
        <v>44531</v>
      </c>
      <c r="J1859" s="6">
        <v>0</v>
      </c>
      <c r="K1859" s="6">
        <v>0</v>
      </c>
      <c r="L1859" s="6">
        <v>12301.717000000001</v>
      </c>
      <c r="M1859" s="6">
        <v>12301.717000000001</v>
      </c>
      <c r="N1859" s="6">
        <v>12301.717000000001</v>
      </c>
      <c r="O1859" s="6">
        <v>12301.717000000001</v>
      </c>
      <c r="P1859" s="6">
        <v>32145</v>
      </c>
      <c r="Q1859" s="4" t="s">
        <v>26</v>
      </c>
      <c r="R1859" s="4">
        <v>0</v>
      </c>
      <c r="S1859" s="6">
        <v>0</v>
      </c>
      <c r="T1859" s="6">
        <v>69</v>
      </c>
      <c r="U1859" s="6">
        <v>112</v>
      </c>
      <c r="V1859" s="6">
        <f>IF(ISERROR(VLOOKUP($S$1859,'TAR FIN'!$A$1:$O$116,15,0)),0,VLOOKUP($S$1859,'TAR FIN'!$A$1:$O$116,15,0))</f>
        <v>0</v>
      </c>
      <c r="W1859" s="6">
        <f>IF(ISERROR(VLOOKUP($T$1859,'TAR FIN'!$A$1:$O$116,15,0)),0,VLOOKUP($T$1859,'TAR FIN'!$A$1:$O$116,15,0))</f>
        <v>342.48</v>
      </c>
      <c r="X1859" s="6">
        <f>IF(ISERROR(VLOOKUP($U$1859,'TAR FIN'!$A$1:$O$116,15,0)),0,VLOOKUP($U$1859,'TAR FIN'!$A$1:$O$116,15,0))</f>
        <v>326.47000000000003</v>
      </c>
      <c r="Y1859" s="6"/>
      <c r="Z1859" s="6">
        <f ca="1">('TUSD BE'!$AM$71+'TUSD BF'!$AM$71+'TUSD CVA'!$AM$71)*1</f>
        <v>436.78490561809065</v>
      </c>
      <c r="AA1859" s="6">
        <f>('TE BE'!$AB$42+'TE BF'!$AB$42+'TE CVA'!$AB$42)*1</f>
        <v>329.63081087285968</v>
      </c>
      <c r="AB1859" s="6">
        <f>$K$1859*$V$1859</f>
        <v>0</v>
      </c>
      <c r="AC1859" s="6">
        <f>$M$1859*$W$1859</f>
        <v>4213092.03816</v>
      </c>
      <c r="AD1859" s="6">
        <f>$O$1859*$X$1859</f>
        <v>4016141.5489900005</v>
      </c>
      <c r="AE1859" s="6">
        <f>$K$1859*$Y$1859</f>
        <v>0</v>
      </c>
      <c r="AF1859" s="6">
        <f ca="1">$M$1859*$Z$1859</f>
        <v>5373204.2987854611</v>
      </c>
      <c r="AG1859" s="6">
        <f>$O$1859*$AA$1859</f>
        <v>4055024.9498384432</v>
      </c>
    </row>
    <row r="1860" spans="1:33" ht="11.25" customHeight="1" x14ac:dyDescent="0.25">
      <c r="A1860" s="4" t="s">
        <v>27</v>
      </c>
      <c r="B1860" s="4" t="s">
        <v>37</v>
      </c>
      <c r="C1860" s="4" t="s">
        <v>23</v>
      </c>
      <c r="D1860" s="4" t="s">
        <v>43</v>
      </c>
      <c r="E1860" s="4" t="s">
        <v>25</v>
      </c>
      <c r="F1860" s="4" t="s">
        <v>25</v>
      </c>
      <c r="G1860" s="4" t="s">
        <v>25</v>
      </c>
      <c r="H1860" s="4" t="s">
        <v>25</v>
      </c>
      <c r="I1860" s="5">
        <v>44531</v>
      </c>
      <c r="J1860" s="6">
        <v>0</v>
      </c>
      <c r="K1860" s="6">
        <v>0</v>
      </c>
      <c r="L1860" s="6">
        <v>-3.1659999999999999</v>
      </c>
      <c r="M1860" s="6">
        <v>-3.1659999999999999</v>
      </c>
      <c r="N1860" s="6">
        <v>-3.1659999999999999</v>
      </c>
      <c r="O1860" s="6">
        <v>-3.1659999999999999</v>
      </c>
      <c r="P1860" s="6">
        <v>-6</v>
      </c>
      <c r="Q1860" s="4" t="s">
        <v>26</v>
      </c>
      <c r="R1860" s="4">
        <v>0</v>
      </c>
      <c r="S1860" s="6">
        <v>0</v>
      </c>
      <c r="T1860" s="6">
        <v>69</v>
      </c>
      <c r="U1860" s="6">
        <v>112</v>
      </c>
      <c r="V1860" s="6">
        <f>IF(ISERROR(VLOOKUP($S$1860,'TAR FIN'!$A$1:$O$116,15,0)),0,VLOOKUP($S$1860,'TAR FIN'!$A$1:$O$116,15,0))</f>
        <v>0</v>
      </c>
      <c r="W1860" s="6">
        <f>IF(ISERROR(VLOOKUP($T$1860,'TAR FIN'!$A$1:$O$116,15,0)),0,VLOOKUP($T$1860,'TAR FIN'!$A$1:$O$116,15,0))</f>
        <v>342.48</v>
      </c>
      <c r="X1860" s="6">
        <f>IF(ISERROR(VLOOKUP($U$1860,'TAR FIN'!$A$1:$O$116,15,0)),0,VLOOKUP($U$1860,'TAR FIN'!$A$1:$O$116,15,0))</f>
        <v>326.47000000000003</v>
      </c>
      <c r="Y1860" s="6"/>
      <c r="Z1860" s="6">
        <f ca="1">('TUSD BE'!$AM$71+'TUSD BF'!$AM$71+'TUSD CVA'!$AM$71)*1</f>
        <v>436.78490561809065</v>
      </c>
      <c r="AA1860" s="6">
        <f>('TE BE'!$AB$42+'TE BF'!$AB$42+'TE CVA'!$AB$42)*1</f>
        <v>329.63081087285968</v>
      </c>
      <c r="AB1860" s="6">
        <f>$K$1860*$V$1860</f>
        <v>0</v>
      </c>
      <c r="AC1860" s="6">
        <f>$M$1860*$W$1860</f>
        <v>-1084.29168</v>
      </c>
      <c r="AD1860" s="6">
        <f>$O$1860*$X$1860</f>
        <v>-1033.60402</v>
      </c>
      <c r="AE1860" s="6">
        <f>$K$1860*$Y$1860</f>
        <v>0</v>
      </c>
      <c r="AF1860" s="6">
        <f ca="1">$M$1860*$Z$1860</f>
        <v>-1382.861011186875</v>
      </c>
      <c r="AG1860" s="6">
        <f>$O$1860*$AA$1860</f>
        <v>-1043.6111472234738</v>
      </c>
    </row>
    <row r="1861" spans="1:33" ht="11.25" customHeight="1" x14ac:dyDescent="0.25">
      <c r="A1861" s="4" t="s">
        <v>28</v>
      </c>
      <c r="B1861" s="4" t="s">
        <v>37</v>
      </c>
      <c r="C1861" s="4" t="s">
        <v>23</v>
      </c>
      <c r="D1861" s="4" t="s">
        <v>43</v>
      </c>
      <c r="E1861" s="4" t="s">
        <v>25</v>
      </c>
      <c r="F1861" s="4" t="s">
        <v>25</v>
      </c>
      <c r="G1861" s="4" t="s">
        <v>25</v>
      </c>
      <c r="H1861" s="4" t="s">
        <v>25</v>
      </c>
      <c r="I1861" s="5">
        <v>44531</v>
      </c>
      <c r="J1861" s="6">
        <v>0</v>
      </c>
      <c r="K1861" s="6">
        <v>0</v>
      </c>
      <c r="L1861" s="6">
        <v>1538.693</v>
      </c>
      <c r="M1861" s="6">
        <v>1538.693</v>
      </c>
      <c r="N1861" s="6">
        <v>1538.693</v>
      </c>
      <c r="O1861" s="6">
        <v>1538.693</v>
      </c>
      <c r="P1861" s="6">
        <v>3090</v>
      </c>
      <c r="Q1861" s="4" t="s">
        <v>26</v>
      </c>
      <c r="R1861" s="4">
        <v>0</v>
      </c>
      <c r="S1861" s="6">
        <v>0</v>
      </c>
      <c r="T1861" s="6">
        <v>69</v>
      </c>
      <c r="U1861" s="6">
        <v>112</v>
      </c>
      <c r="V1861" s="6">
        <f>IF(ISERROR(VLOOKUP($S$1861,'TAR FIN'!$A$1:$O$116,15,0)),0,VLOOKUP($S$1861,'TAR FIN'!$A$1:$O$116,15,0))</f>
        <v>0</v>
      </c>
      <c r="W1861" s="6">
        <f>IF(ISERROR(VLOOKUP($T$1861,'TAR FIN'!$A$1:$O$116,15,0)),0,VLOOKUP($T$1861,'TAR FIN'!$A$1:$O$116,15,0))</f>
        <v>342.48</v>
      </c>
      <c r="X1861" s="6">
        <f>IF(ISERROR(VLOOKUP($U$1861,'TAR FIN'!$A$1:$O$116,15,0)),0,VLOOKUP($U$1861,'TAR FIN'!$A$1:$O$116,15,0))</f>
        <v>326.47000000000003</v>
      </c>
      <c r="Y1861" s="6"/>
      <c r="Z1861" s="6">
        <f ca="1">('TUSD BE'!$AM$71+'TUSD BF'!$AM$71+'TUSD CVA'!$AM$71)*1</f>
        <v>436.78490561809065</v>
      </c>
      <c r="AA1861" s="6">
        <f>('TE BE'!$AB$42+'TE BF'!$AB$42+'TE CVA'!$AB$42)*1</f>
        <v>329.63081087285968</v>
      </c>
      <c r="AB1861" s="6">
        <f>$K$1861*$V$1861</f>
        <v>0</v>
      </c>
      <c r="AC1861" s="6">
        <f>$M$1861*$W$1861</f>
        <v>526971.57864000008</v>
      </c>
      <c r="AD1861" s="6">
        <f>$O$1861*$X$1861</f>
        <v>502337.10371000005</v>
      </c>
      <c r="AE1861" s="6">
        <f>$K$1861*$Y$1861</f>
        <v>0</v>
      </c>
      <c r="AF1861" s="6">
        <f ca="1">$M$1861*$Z$1861</f>
        <v>672077.8767802167</v>
      </c>
      <c r="AG1861" s="6">
        <f>$O$1861*$AA$1861</f>
        <v>507200.62127439305</v>
      </c>
    </row>
    <row r="1862" spans="1:33" ht="11.25" customHeight="1" x14ac:dyDescent="0.25">
      <c r="A1862" s="4" t="s">
        <v>28</v>
      </c>
      <c r="B1862" s="4" t="s">
        <v>37</v>
      </c>
      <c r="C1862" s="4" t="s">
        <v>23</v>
      </c>
      <c r="D1862" s="4" t="s">
        <v>43</v>
      </c>
      <c r="E1862" s="4" t="s">
        <v>25</v>
      </c>
      <c r="F1862" s="4" t="s">
        <v>25</v>
      </c>
      <c r="G1862" s="4" t="s">
        <v>25</v>
      </c>
      <c r="H1862" s="4" t="s">
        <v>25</v>
      </c>
      <c r="I1862" s="5">
        <v>44531</v>
      </c>
      <c r="J1862" s="6">
        <v>0</v>
      </c>
      <c r="K1862" s="6">
        <v>0</v>
      </c>
      <c r="L1862" s="6">
        <v>-0.72599999999999998</v>
      </c>
      <c r="M1862" s="6">
        <v>-0.72599999999999998</v>
      </c>
      <c r="N1862" s="6">
        <v>-0.72599999999999998</v>
      </c>
      <c r="O1862" s="6">
        <v>-0.72599999999999998</v>
      </c>
      <c r="P1862" s="6">
        <v>-1</v>
      </c>
      <c r="Q1862" s="4" t="s">
        <v>26</v>
      </c>
      <c r="R1862" s="4">
        <v>0</v>
      </c>
      <c r="S1862" s="6">
        <v>0</v>
      </c>
      <c r="T1862" s="6">
        <v>69</v>
      </c>
      <c r="U1862" s="6">
        <v>112</v>
      </c>
      <c r="V1862" s="6">
        <f>IF(ISERROR(VLOOKUP($S$1862,'TAR FIN'!$A$1:$O$116,15,0)),0,VLOOKUP($S$1862,'TAR FIN'!$A$1:$O$116,15,0))</f>
        <v>0</v>
      </c>
      <c r="W1862" s="6">
        <f>IF(ISERROR(VLOOKUP($T$1862,'TAR FIN'!$A$1:$O$116,15,0)),0,VLOOKUP($T$1862,'TAR FIN'!$A$1:$O$116,15,0))</f>
        <v>342.48</v>
      </c>
      <c r="X1862" s="6">
        <f>IF(ISERROR(VLOOKUP($U$1862,'TAR FIN'!$A$1:$O$116,15,0)),0,VLOOKUP($U$1862,'TAR FIN'!$A$1:$O$116,15,0))</f>
        <v>326.47000000000003</v>
      </c>
      <c r="Y1862" s="6"/>
      <c r="Z1862" s="6">
        <f ca="1">('TUSD BE'!$AM$71+'TUSD BF'!$AM$71+'TUSD CVA'!$AM$71)*1</f>
        <v>436.78490561809065</v>
      </c>
      <c r="AA1862" s="6">
        <f>('TE BE'!$AB$42+'TE BF'!$AB$42+'TE CVA'!$AB$42)*1</f>
        <v>329.63081087285968</v>
      </c>
      <c r="AB1862" s="6">
        <f>$K$1862*$V$1862</f>
        <v>0</v>
      </c>
      <c r="AC1862" s="6">
        <f>$M$1862*$W$1862</f>
        <v>-248.64048</v>
      </c>
      <c r="AD1862" s="6">
        <f>$O$1862*$X$1862</f>
        <v>-237.01722000000001</v>
      </c>
      <c r="AE1862" s="6">
        <f>$K$1862*$Y$1862</f>
        <v>0</v>
      </c>
      <c r="AF1862" s="6">
        <f ca="1">$M$1862*$Z$1862</f>
        <v>-317.10584147873379</v>
      </c>
      <c r="AG1862" s="6">
        <f>$O$1862*$AA$1862</f>
        <v>-239.31196869369612</v>
      </c>
    </row>
    <row r="1863" spans="1:33" ht="11.25" customHeight="1" x14ac:dyDescent="0.25">
      <c r="A1863" s="4" t="s">
        <v>21</v>
      </c>
      <c r="B1863" s="4" t="s">
        <v>37</v>
      </c>
      <c r="C1863" s="4" t="s">
        <v>23</v>
      </c>
      <c r="D1863" s="4" t="s">
        <v>43</v>
      </c>
      <c r="E1863" s="4" t="s">
        <v>25</v>
      </c>
      <c r="F1863" s="4" t="s">
        <v>25</v>
      </c>
      <c r="G1863" s="4" t="s">
        <v>25</v>
      </c>
      <c r="H1863" s="4" t="s">
        <v>25</v>
      </c>
      <c r="I1863" s="5">
        <v>44562</v>
      </c>
      <c r="J1863" s="6">
        <v>0</v>
      </c>
      <c r="K1863" s="6">
        <v>0</v>
      </c>
      <c r="L1863" s="6">
        <v>11684.423000000001</v>
      </c>
      <c r="M1863" s="6">
        <v>11684.423000000001</v>
      </c>
      <c r="N1863" s="6">
        <v>11684.423000000001</v>
      </c>
      <c r="O1863" s="6">
        <v>11684.423000000001</v>
      </c>
      <c r="P1863" s="6">
        <v>32078</v>
      </c>
      <c r="Q1863" s="4" t="s">
        <v>26</v>
      </c>
      <c r="R1863" s="4">
        <v>0</v>
      </c>
      <c r="S1863" s="6">
        <v>0</v>
      </c>
      <c r="T1863" s="6">
        <v>69</v>
      </c>
      <c r="U1863" s="6">
        <v>112</v>
      </c>
      <c r="V1863" s="6">
        <f>IF(ISERROR(VLOOKUP($S$1863,'TAR FIN'!$A$1:$O$116,15,0)),0,VLOOKUP($S$1863,'TAR FIN'!$A$1:$O$116,15,0))</f>
        <v>0</v>
      </c>
      <c r="W1863" s="6">
        <f>IF(ISERROR(VLOOKUP($T$1863,'TAR FIN'!$A$1:$O$116,15,0)),0,VLOOKUP($T$1863,'TAR FIN'!$A$1:$O$116,15,0))</f>
        <v>342.48</v>
      </c>
      <c r="X1863" s="6">
        <f>IF(ISERROR(VLOOKUP($U$1863,'TAR FIN'!$A$1:$O$116,15,0)),0,VLOOKUP($U$1863,'TAR FIN'!$A$1:$O$116,15,0))</f>
        <v>326.47000000000003</v>
      </c>
      <c r="Y1863" s="6"/>
      <c r="Z1863" s="6">
        <f ca="1">('TUSD BE'!$AM$71+'TUSD BF'!$AM$71+'TUSD CVA'!$AM$71)*1</f>
        <v>436.78490561809065</v>
      </c>
      <c r="AA1863" s="6">
        <f>('TE BE'!$AB$42+'TE BF'!$AB$42+'TE CVA'!$AB$42)*1</f>
        <v>329.63081087285968</v>
      </c>
      <c r="AB1863" s="6">
        <f>$K$1863*$V$1863</f>
        <v>0</v>
      </c>
      <c r="AC1863" s="6">
        <f>$M$1863*$W$1863</f>
        <v>4001681.1890400006</v>
      </c>
      <c r="AD1863" s="6">
        <f>$O$1863*$X$1863</f>
        <v>3814613.5768100005</v>
      </c>
      <c r="AE1863" s="6">
        <f>$K$1863*$Y$1863</f>
        <v>0</v>
      </c>
      <c r="AF1863" s="6">
        <f ca="1">$M$1863*$Z$1863</f>
        <v>5103579.5972568477</v>
      </c>
      <c r="AG1863" s="6">
        <f>$O$1863*$AA$1863</f>
        <v>3851545.8280714918</v>
      </c>
    </row>
    <row r="1864" spans="1:33" ht="11.25" customHeight="1" x14ac:dyDescent="0.25">
      <c r="A1864" s="4" t="s">
        <v>27</v>
      </c>
      <c r="B1864" s="4" t="s">
        <v>37</v>
      </c>
      <c r="C1864" s="4" t="s">
        <v>23</v>
      </c>
      <c r="D1864" s="4" t="s">
        <v>43</v>
      </c>
      <c r="E1864" s="4" t="s">
        <v>25</v>
      </c>
      <c r="F1864" s="4" t="s">
        <v>25</v>
      </c>
      <c r="G1864" s="4" t="s">
        <v>25</v>
      </c>
      <c r="H1864" s="4" t="s">
        <v>25</v>
      </c>
      <c r="I1864" s="5">
        <v>44562</v>
      </c>
      <c r="J1864" s="6">
        <v>0</v>
      </c>
      <c r="K1864" s="6">
        <v>0</v>
      </c>
      <c r="L1864" s="6">
        <v>-3.16</v>
      </c>
      <c r="M1864" s="6">
        <v>-3.16</v>
      </c>
      <c r="N1864" s="6">
        <v>-3.16</v>
      </c>
      <c r="O1864" s="6">
        <v>-3.16</v>
      </c>
      <c r="P1864" s="6">
        <v>0</v>
      </c>
      <c r="Q1864" s="4" t="s">
        <v>26</v>
      </c>
      <c r="R1864" s="4">
        <v>0</v>
      </c>
      <c r="S1864" s="6">
        <v>0</v>
      </c>
      <c r="T1864" s="6">
        <v>69</v>
      </c>
      <c r="U1864" s="6">
        <v>112</v>
      </c>
      <c r="V1864" s="6">
        <f>IF(ISERROR(VLOOKUP($S$1864,'TAR FIN'!$A$1:$O$116,15,0)),0,VLOOKUP($S$1864,'TAR FIN'!$A$1:$O$116,15,0))</f>
        <v>0</v>
      </c>
      <c r="W1864" s="6">
        <f>IF(ISERROR(VLOOKUP($T$1864,'TAR FIN'!$A$1:$O$116,15,0)),0,VLOOKUP($T$1864,'TAR FIN'!$A$1:$O$116,15,0))</f>
        <v>342.48</v>
      </c>
      <c r="X1864" s="6">
        <f>IF(ISERROR(VLOOKUP($U$1864,'TAR FIN'!$A$1:$O$116,15,0)),0,VLOOKUP($U$1864,'TAR FIN'!$A$1:$O$116,15,0))</f>
        <v>326.47000000000003</v>
      </c>
      <c r="Y1864" s="6"/>
      <c r="Z1864" s="6">
        <f ca="1">('TUSD BE'!$AM$71+'TUSD BF'!$AM$71+'TUSD CVA'!$AM$71)*1</f>
        <v>436.78490561809065</v>
      </c>
      <c r="AA1864" s="6">
        <f>('TE BE'!$AB$42+'TE BF'!$AB$42+'TE CVA'!$AB$42)*1</f>
        <v>329.63081087285968</v>
      </c>
      <c r="AB1864" s="6">
        <f>$K$1864*$V$1864</f>
        <v>0</v>
      </c>
      <c r="AC1864" s="6">
        <f>$M$1864*$W$1864</f>
        <v>-1082.2368000000001</v>
      </c>
      <c r="AD1864" s="6">
        <f>$O$1864*$X$1864</f>
        <v>-1031.6452000000002</v>
      </c>
      <c r="AE1864" s="6">
        <f>$K$1864*$Y$1864</f>
        <v>0</v>
      </c>
      <c r="AF1864" s="6">
        <f ca="1">$M$1864*$Z$1864</f>
        <v>-1380.2403017531665</v>
      </c>
      <c r="AG1864" s="6">
        <f>$O$1864*$AA$1864</f>
        <v>-1041.6333623582366</v>
      </c>
    </row>
    <row r="1865" spans="1:33" ht="11.25" customHeight="1" x14ac:dyDescent="0.25">
      <c r="A1865" s="4" t="s">
        <v>28</v>
      </c>
      <c r="B1865" s="4" t="s">
        <v>37</v>
      </c>
      <c r="C1865" s="4" t="s">
        <v>23</v>
      </c>
      <c r="D1865" s="4" t="s">
        <v>43</v>
      </c>
      <c r="E1865" s="4" t="s">
        <v>25</v>
      </c>
      <c r="F1865" s="4" t="s">
        <v>25</v>
      </c>
      <c r="G1865" s="4" t="s">
        <v>25</v>
      </c>
      <c r="H1865" s="4" t="s">
        <v>25</v>
      </c>
      <c r="I1865" s="5">
        <v>44562</v>
      </c>
      <c r="J1865" s="6">
        <v>0</v>
      </c>
      <c r="K1865" s="6">
        <v>0</v>
      </c>
      <c r="L1865" s="6">
        <v>1559.1410000000001</v>
      </c>
      <c r="M1865" s="6">
        <v>1559.1410000000001</v>
      </c>
      <c r="N1865" s="6">
        <v>1559.1410000000001</v>
      </c>
      <c r="O1865" s="6">
        <v>1559.1410000000001</v>
      </c>
      <c r="P1865" s="6">
        <v>3222</v>
      </c>
      <c r="Q1865" s="4" t="s">
        <v>26</v>
      </c>
      <c r="R1865" s="4">
        <v>0</v>
      </c>
      <c r="S1865" s="6">
        <v>0</v>
      </c>
      <c r="T1865" s="6">
        <v>69</v>
      </c>
      <c r="U1865" s="6">
        <v>112</v>
      </c>
      <c r="V1865" s="6">
        <f>IF(ISERROR(VLOOKUP($S$1865,'TAR FIN'!$A$1:$O$116,15,0)),0,VLOOKUP($S$1865,'TAR FIN'!$A$1:$O$116,15,0))</f>
        <v>0</v>
      </c>
      <c r="W1865" s="6">
        <f>IF(ISERROR(VLOOKUP($T$1865,'TAR FIN'!$A$1:$O$116,15,0)),0,VLOOKUP($T$1865,'TAR FIN'!$A$1:$O$116,15,0))</f>
        <v>342.48</v>
      </c>
      <c r="X1865" s="6">
        <f>IF(ISERROR(VLOOKUP($U$1865,'TAR FIN'!$A$1:$O$116,15,0)),0,VLOOKUP($U$1865,'TAR FIN'!$A$1:$O$116,15,0))</f>
        <v>326.47000000000003</v>
      </c>
      <c r="Y1865" s="6"/>
      <c r="Z1865" s="6">
        <f ca="1">('TUSD BE'!$AM$71+'TUSD BF'!$AM$71+'TUSD CVA'!$AM$71)*1</f>
        <v>436.78490561809065</v>
      </c>
      <c r="AA1865" s="6">
        <f>('TE BE'!$AB$42+'TE BF'!$AB$42+'TE CVA'!$AB$42)*1</f>
        <v>329.63081087285968</v>
      </c>
      <c r="AB1865" s="6">
        <f>$K$1865*$V$1865</f>
        <v>0</v>
      </c>
      <c r="AC1865" s="6">
        <f>$M$1865*$W$1865</f>
        <v>533974.60968000011</v>
      </c>
      <c r="AD1865" s="6">
        <f>$O$1865*$X$1865</f>
        <v>509012.76227000006</v>
      </c>
      <c r="AE1865" s="6">
        <f>$K$1865*$Y$1865</f>
        <v>0</v>
      </c>
      <c r="AF1865" s="6">
        <f ca="1">$M$1865*$Z$1865</f>
        <v>681009.2545302955</v>
      </c>
      <c r="AG1865" s="6">
        <f>$O$1865*$AA$1865</f>
        <v>513940.91209512134</v>
      </c>
    </row>
    <row r="1866" spans="1:33" ht="11.25" customHeight="1" x14ac:dyDescent="0.25">
      <c r="A1866" s="4" t="s">
        <v>28</v>
      </c>
      <c r="B1866" s="4" t="s">
        <v>37</v>
      </c>
      <c r="C1866" s="4" t="s">
        <v>23</v>
      </c>
      <c r="D1866" s="4" t="s">
        <v>43</v>
      </c>
      <c r="E1866" s="4" t="s">
        <v>25</v>
      </c>
      <c r="F1866" s="4" t="s">
        <v>25</v>
      </c>
      <c r="G1866" s="4" t="s">
        <v>25</v>
      </c>
      <c r="H1866" s="4" t="s">
        <v>25</v>
      </c>
      <c r="I1866" s="5">
        <v>44562</v>
      </c>
      <c r="J1866" s="6">
        <v>0</v>
      </c>
      <c r="K1866" s="6">
        <v>0</v>
      </c>
      <c r="L1866" s="6">
        <v>-2.63</v>
      </c>
      <c r="M1866" s="6">
        <v>-2.63</v>
      </c>
      <c r="N1866" s="6">
        <v>-2.63</v>
      </c>
      <c r="O1866" s="6">
        <v>-2.63</v>
      </c>
      <c r="P1866" s="6">
        <v>-1</v>
      </c>
      <c r="Q1866" s="4" t="s">
        <v>26</v>
      </c>
      <c r="R1866" s="4">
        <v>0</v>
      </c>
      <c r="S1866" s="6">
        <v>0</v>
      </c>
      <c r="T1866" s="6">
        <v>69</v>
      </c>
      <c r="U1866" s="6">
        <v>112</v>
      </c>
      <c r="V1866" s="6">
        <f>IF(ISERROR(VLOOKUP($S$1866,'TAR FIN'!$A$1:$O$116,15,0)),0,VLOOKUP($S$1866,'TAR FIN'!$A$1:$O$116,15,0))</f>
        <v>0</v>
      </c>
      <c r="W1866" s="6">
        <f>IF(ISERROR(VLOOKUP($T$1866,'TAR FIN'!$A$1:$O$116,15,0)),0,VLOOKUP($T$1866,'TAR FIN'!$A$1:$O$116,15,0))</f>
        <v>342.48</v>
      </c>
      <c r="X1866" s="6">
        <f>IF(ISERROR(VLOOKUP($U$1866,'TAR FIN'!$A$1:$O$116,15,0)),0,VLOOKUP($U$1866,'TAR FIN'!$A$1:$O$116,15,0))</f>
        <v>326.47000000000003</v>
      </c>
      <c r="Y1866" s="6"/>
      <c r="Z1866" s="6">
        <f ca="1">('TUSD BE'!$AM$71+'TUSD BF'!$AM$71+'TUSD CVA'!$AM$71)*1</f>
        <v>436.78490561809065</v>
      </c>
      <c r="AA1866" s="6">
        <f>('TE BE'!$AB$42+'TE BF'!$AB$42+'TE CVA'!$AB$42)*1</f>
        <v>329.63081087285968</v>
      </c>
      <c r="AB1866" s="6">
        <f>$K$1866*$V$1866</f>
        <v>0</v>
      </c>
      <c r="AC1866" s="6">
        <f>$M$1866*$W$1866</f>
        <v>-900.72239999999999</v>
      </c>
      <c r="AD1866" s="6">
        <f>$O$1866*$X$1866</f>
        <v>-858.61610000000007</v>
      </c>
      <c r="AE1866" s="6">
        <f>$K$1866*$Y$1866</f>
        <v>0</v>
      </c>
      <c r="AF1866" s="6">
        <f ca="1">$M$1866*$Z$1866</f>
        <v>-1148.7443017755784</v>
      </c>
      <c r="AG1866" s="6">
        <f>$O$1866*$AA$1866</f>
        <v>-866.92903259562092</v>
      </c>
    </row>
    <row r="1867" spans="1:33" ht="11.25" customHeight="1" x14ac:dyDescent="0.25">
      <c r="A1867" s="4" t="s">
        <v>21</v>
      </c>
      <c r="B1867" s="4" t="s">
        <v>37</v>
      </c>
      <c r="C1867" s="4" t="s">
        <v>23</v>
      </c>
      <c r="D1867" s="4" t="s">
        <v>43</v>
      </c>
      <c r="E1867" s="4" t="s">
        <v>25</v>
      </c>
      <c r="F1867" s="4" t="s">
        <v>25</v>
      </c>
      <c r="G1867" s="4" t="s">
        <v>25</v>
      </c>
      <c r="H1867" s="4" t="s">
        <v>25</v>
      </c>
      <c r="I1867" s="5">
        <v>44593</v>
      </c>
      <c r="J1867" s="6">
        <v>0</v>
      </c>
      <c r="K1867" s="6">
        <v>0</v>
      </c>
      <c r="L1867" s="6">
        <v>11536.987999999999</v>
      </c>
      <c r="M1867" s="6">
        <v>11536.987999999999</v>
      </c>
      <c r="N1867" s="6">
        <v>11536.987999999999</v>
      </c>
      <c r="O1867" s="6">
        <v>11536.987999999999</v>
      </c>
      <c r="P1867" s="6">
        <v>31969</v>
      </c>
      <c r="Q1867" s="4" t="s">
        <v>26</v>
      </c>
      <c r="R1867" s="4">
        <v>0</v>
      </c>
      <c r="S1867" s="6">
        <v>0</v>
      </c>
      <c r="T1867" s="6">
        <v>69</v>
      </c>
      <c r="U1867" s="6">
        <v>112</v>
      </c>
      <c r="V1867" s="6">
        <f>IF(ISERROR(VLOOKUP($S$1867,'TAR FIN'!$A$1:$O$116,15,0)),0,VLOOKUP($S$1867,'TAR FIN'!$A$1:$O$116,15,0))</f>
        <v>0</v>
      </c>
      <c r="W1867" s="6">
        <f>IF(ISERROR(VLOOKUP($T$1867,'TAR FIN'!$A$1:$O$116,15,0)),0,VLOOKUP($T$1867,'TAR FIN'!$A$1:$O$116,15,0))</f>
        <v>342.48</v>
      </c>
      <c r="X1867" s="6">
        <f>IF(ISERROR(VLOOKUP($U$1867,'TAR FIN'!$A$1:$O$116,15,0)),0,VLOOKUP($U$1867,'TAR FIN'!$A$1:$O$116,15,0))</f>
        <v>326.47000000000003</v>
      </c>
      <c r="Y1867" s="6"/>
      <c r="Z1867" s="6">
        <f ca="1">('TUSD BE'!$AM$71+'TUSD BF'!$AM$71+'TUSD CVA'!$AM$71)*1</f>
        <v>436.78490561809065</v>
      </c>
      <c r="AA1867" s="6">
        <f>('TE BE'!$AB$42+'TE BF'!$AB$42+'TE CVA'!$AB$42)*1</f>
        <v>329.63081087285968</v>
      </c>
      <c r="AB1867" s="6">
        <f>$K$1867*$V$1867</f>
        <v>0</v>
      </c>
      <c r="AC1867" s="6">
        <f>$M$1867*$W$1867</f>
        <v>3951187.6502399999</v>
      </c>
      <c r="AD1867" s="6">
        <f>$O$1867*$X$1867</f>
        <v>3766480.47236</v>
      </c>
      <c r="AE1867" s="6">
        <f>$K$1867*$Y$1867</f>
        <v>0</v>
      </c>
      <c r="AF1867" s="6">
        <f ca="1">$M$1867*$Z$1867</f>
        <v>5039182.2146970443</v>
      </c>
      <c r="AG1867" s="6">
        <f>$O$1867*$AA$1867</f>
        <v>3802946.7094704513</v>
      </c>
    </row>
    <row r="1868" spans="1:33" ht="11.25" customHeight="1" x14ac:dyDescent="0.25">
      <c r="A1868" s="4" t="s">
        <v>27</v>
      </c>
      <c r="B1868" s="4" t="s">
        <v>37</v>
      </c>
      <c r="C1868" s="4" t="s">
        <v>23</v>
      </c>
      <c r="D1868" s="4" t="s">
        <v>43</v>
      </c>
      <c r="E1868" s="4" t="s">
        <v>25</v>
      </c>
      <c r="F1868" s="4" t="s">
        <v>25</v>
      </c>
      <c r="G1868" s="4" t="s">
        <v>25</v>
      </c>
      <c r="H1868" s="4" t="s">
        <v>25</v>
      </c>
      <c r="I1868" s="5">
        <v>44593</v>
      </c>
      <c r="J1868" s="6">
        <v>0</v>
      </c>
      <c r="K1868" s="6">
        <v>0</v>
      </c>
      <c r="L1868" s="6">
        <v>-1.966</v>
      </c>
      <c r="M1868" s="6">
        <v>-1.966</v>
      </c>
      <c r="N1868" s="6">
        <v>-1.966</v>
      </c>
      <c r="O1868" s="6">
        <v>-1.966</v>
      </c>
      <c r="P1868" s="6">
        <v>-3</v>
      </c>
      <c r="Q1868" s="4" t="s">
        <v>26</v>
      </c>
      <c r="R1868" s="4">
        <v>0</v>
      </c>
      <c r="S1868" s="6">
        <v>0</v>
      </c>
      <c r="T1868" s="6">
        <v>69</v>
      </c>
      <c r="U1868" s="6">
        <v>112</v>
      </c>
      <c r="V1868" s="6">
        <f>IF(ISERROR(VLOOKUP($S$1868,'TAR FIN'!$A$1:$O$116,15,0)),0,VLOOKUP($S$1868,'TAR FIN'!$A$1:$O$116,15,0))</f>
        <v>0</v>
      </c>
      <c r="W1868" s="6">
        <f>IF(ISERROR(VLOOKUP($T$1868,'TAR FIN'!$A$1:$O$116,15,0)),0,VLOOKUP($T$1868,'TAR FIN'!$A$1:$O$116,15,0))</f>
        <v>342.48</v>
      </c>
      <c r="X1868" s="6">
        <f>IF(ISERROR(VLOOKUP($U$1868,'TAR FIN'!$A$1:$O$116,15,0)),0,VLOOKUP($U$1868,'TAR FIN'!$A$1:$O$116,15,0))</f>
        <v>326.47000000000003</v>
      </c>
      <c r="Y1868" s="6"/>
      <c r="Z1868" s="6">
        <f ca="1">('TUSD BE'!$AM$71+'TUSD BF'!$AM$71+'TUSD CVA'!$AM$71)*1</f>
        <v>436.78490561809065</v>
      </c>
      <c r="AA1868" s="6">
        <f>('TE BE'!$AB$42+'TE BF'!$AB$42+'TE CVA'!$AB$42)*1</f>
        <v>329.63081087285968</v>
      </c>
      <c r="AB1868" s="6">
        <f>$K$1868*$V$1868</f>
        <v>0</v>
      </c>
      <c r="AC1868" s="6">
        <f>$M$1868*$W$1868</f>
        <v>-673.31568000000004</v>
      </c>
      <c r="AD1868" s="6">
        <f>$O$1868*$X$1868</f>
        <v>-641.8400200000001</v>
      </c>
      <c r="AE1868" s="6">
        <f>$K$1868*$Y$1868</f>
        <v>0</v>
      </c>
      <c r="AF1868" s="6">
        <f ca="1">$M$1868*$Z$1868</f>
        <v>-858.71912444516624</v>
      </c>
      <c r="AG1868" s="6">
        <f>$O$1868*$AA$1868</f>
        <v>-648.05417417604212</v>
      </c>
    </row>
    <row r="1869" spans="1:33" ht="11.25" customHeight="1" x14ac:dyDescent="0.25">
      <c r="A1869" s="4" t="s">
        <v>28</v>
      </c>
      <c r="B1869" s="4" t="s">
        <v>37</v>
      </c>
      <c r="C1869" s="4" t="s">
        <v>23</v>
      </c>
      <c r="D1869" s="4" t="s">
        <v>43</v>
      </c>
      <c r="E1869" s="4" t="s">
        <v>25</v>
      </c>
      <c r="F1869" s="4" t="s">
        <v>25</v>
      </c>
      <c r="G1869" s="4" t="s">
        <v>25</v>
      </c>
      <c r="H1869" s="4" t="s">
        <v>25</v>
      </c>
      <c r="I1869" s="5">
        <v>44593</v>
      </c>
      <c r="J1869" s="6">
        <v>0</v>
      </c>
      <c r="K1869" s="6">
        <v>0</v>
      </c>
      <c r="L1869" s="6">
        <v>1551.191</v>
      </c>
      <c r="M1869" s="6">
        <v>1551.191</v>
      </c>
      <c r="N1869" s="6">
        <v>1551.191</v>
      </c>
      <c r="O1869" s="6">
        <v>1551.191</v>
      </c>
      <c r="P1869" s="6">
        <v>3367</v>
      </c>
      <c r="Q1869" s="4" t="s">
        <v>26</v>
      </c>
      <c r="R1869" s="4">
        <v>0</v>
      </c>
      <c r="S1869" s="6">
        <v>0</v>
      </c>
      <c r="T1869" s="6">
        <v>69</v>
      </c>
      <c r="U1869" s="6">
        <v>112</v>
      </c>
      <c r="V1869" s="6">
        <f>IF(ISERROR(VLOOKUP($S$1869,'TAR FIN'!$A$1:$O$116,15,0)),0,VLOOKUP($S$1869,'TAR FIN'!$A$1:$O$116,15,0))</f>
        <v>0</v>
      </c>
      <c r="W1869" s="6">
        <f>IF(ISERROR(VLOOKUP($T$1869,'TAR FIN'!$A$1:$O$116,15,0)),0,VLOOKUP($T$1869,'TAR FIN'!$A$1:$O$116,15,0))</f>
        <v>342.48</v>
      </c>
      <c r="X1869" s="6">
        <f>IF(ISERROR(VLOOKUP($U$1869,'TAR FIN'!$A$1:$O$116,15,0)),0,VLOOKUP($U$1869,'TAR FIN'!$A$1:$O$116,15,0))</f>
        <v>326.47000000000003</v>
      </c>
      <c r="Y1869" s="6"/>
      <c r="Z1869" s="6">
        <f ca="1">('TUSD BE'!$AM$71+'TUSD BF'!$AM$71+'TUSD CVA'!$AM$71)*1</f>
        <v>436.78490561809065</v>
      </c>
      <c r="AA1869" s="6">
        <f>('TE BE'!$AB$42+'TE BF'!$AB$42+'TE CVA'!$AB$42)*1</f>
        <v>329.63081087285968</v>
      </c>
      <c r="AB1869" s="6">
        <f>$K$1869*$V$1869</f>
        <v>0</v>
      </c>
      <c r="AC1869" s="6">
        <f>$M$1869*$W$1869</f>
        <v>531251.8936800001</v>
      </c>
      <c r="AD1869" s="6">
        <f>$O$1869*$X$1869</f>
        <v>506417.32577000005</v>
      </c>
      <c r="AE1869" s="6">
        <f>$K$1869*$Y$1869</f>
        <v>0</v>
      </c>
      <c r="AF1869" s="6">
        <f ca="1">$M$1869*$Z$1869</f>
        <v>677536.81453063164</v>
      </c>
      <c r="AG1869" s="6">
        <f>$O$1869*$AA$1869</f>
        <v>511320.34714868211</v>
      </c>
    </row>
    <row r="1870" spans="1:33" ht="11.25" customHeight="1" x14ac:dyDescent="0.25">
      <c r="A1870" s="4" t="s">
        <v>28</v>
      </c>
      <c r="B1870" s="4" t="s">
        <v>37</v>
      </c>
      <c r="C1870" s="4" t="s">
        <v>23</v>
      </c>
      <c r="D1870" s="4" t="s">
        <v>43</v>
      </c>
      <c r="E1870" s="4" t="s">
        <v>25</v>
      </c>
      <c r="F1870" s="4" t="s">
        <v>25</v>
      </c>
      <c r="G1870" s="4" t="s">
        <v>25</v>
      </c>
      <c r="H1870" s="4" t="s">
        <v>25</v>
      </c>
      <c r="I1870" s="5">
        <v>44593</v>
      </c>
      <c r="J1870" s="6">
        <v>0</v>
      </c>
      <c r="K1870" s="6">
        <v>0</v>
      </c>
      <c r="L1870" s="6">
        <v>-9.5510000000000002</v>
      </c>
      <c r="M1870" s="6">
        <v>-9.5510000000000002</v>
      </c>
      <c r="N1870" s="6">
        <v>-9.5510000000000002</v>
      </c>
      <c r="O1870" s="6">
        <v>-9.5510000000000002</v>
      </c>
      <c r="P1870" s="6">
        <v>0</v>
      </c>
      <c r="Q1870" s="4" t="s">
        <v>26</v>
      </c>
      <c r="R1870" s="4">
        <v>0</v>
      </c>
      <c r="S1870" s="6">
        <v>0</v>
      </c>
      <c r="T1870" s="6">
        <v>69</v>
      </c>
      <c r="U1870" s="6">
        <v>112</v>
      </c>
      <c r="V1870" s="6">
        <f>IF(ISERROR(VLOOKUP($S$1870,'TAR FIN'!$A$1:$O$116,15,0)),0,VLOOKUP($S$1870,'TAR FIN'!$A$1:$O$116,15,0))</f>
        <v>0</v>
      </c>
      <c r="W1870" s="6">
        <f>IF(ISERROR(VLOOKUP($T$1870,'TAR FIN'!$A$1:$O$116,15,0)),0,VLOOKUP($T$1870,'TAR FIN'!$A$1:$O$116,15,0))</f>
        <v>342.48</v>
      </c>
      <c r="X1870" s="6">
        <f>IF(ISERROR(VLOOKUP($U$1870,'TAR FIN'!$A$1:$O$116,15,0)),0,VLOOKUP($U$1870,'TAR FIN'!$A$1:$O$116,15,0))</f>
        <v>326.47000000000003</v>
      </c>
      <c r="Y1870" s="6"/>
      <c r="Z1870" s="6">
        <f ca="1">('TUSD BE'!$AM$71+'TUSD BF'!$AM$71+'TUSD CVA'!$AM$71)*1</f>
        <v>436.78490561809065</v>
      </c>
      <c r="AA1870" s="6">
        <f>('TE BE'!$AB$42+'TE BF'!$AB$42+'TE CVA'!$AB$42)*1</f>
        <v>329.63081087285968</v>
      </c>
      <c r="AB1870" s="6">
        <f>$K$1870*$V$1870</f>
        <v>0</v>
      </c>
      <c r="AC1870" s="6">
        <f>$M$1870*$W$1870</f>
        <v>-3271.0264800000004</v>
      </c>
      <c r="AD1870" s="6">
        <f>$O$1870*$X$1870</f>
        <v>-3118.1149700000001</v>
      </c>
      <c r="AE1870" s="6">
        <f>$K$1870*$Y$1870</f>
        <v>0</v>
      </c>
      <c r="AF1870" s="6">
        <f ca="1">$M$1870*$Z$1870</f>
        <v>-4171.7326335583839</v>
      </c>
      <c r="AG1870" s="6">
        <f>$O$1870*$AA$1870</f>
        <v>-3148.3038746466827</v>
      </c>
    </row>
    <row r="1871" spans="1:33" ht="11.25" customHeight="1" x14ac:dyDescent="0.25">
      <c r="A1871" s="4" t="s">
        <v>21</v>
      </c>
      <c r="B1871" s="4" t="s">
        <v>37</v>
      </c>
      <c r="C1871" s="4" t="s">
        <v>23</v>
      </c>
      <c r="D1871" s="4" t="s">
        <v>43</v>
      </c>
      <c r="E1871" s="4" t="s">
        <v>25</v>
      </c>
      <c r="F1871" s="4" t="s">
        <v>25</v>
      </c>
      <c r="G1871" s="4" t="s">
        <v>25</v>
      </c>
      <c r="H1871" s="4" t="s">
        <v>25</v>
      </c>
      <c r="I1871" s="5">
        <v>44621</v>
      </c>
      <c r="J1871" s="6">
        <v>0</v>
      </c>
      <c r="K1871" s="6">
        <v>0</v>
      </c>
      <c r="L1871" s="6">
        <v>12511.235000000001</v>
      </c>
      <c r="M1871" s="6">
        <v>12511.235000000001</v>
      </c>
      <c r="N1871" s="6">
        <v>12511.235000000001</v>
      </c>
      <c r="O1871" s="6">
        <v>12511.235000000001</v>
      </c>
      <c r="P1871" s="6">
        <v>32001</v>
      </c>
      <c r="Q1871" s="4" t="s">
        <v>26</v>
      </c>
      <c r="R1871" s="4">
        <v>0</v>
      </c>
      <c r="S1871" s="6">
        <v>0</v>
      </c>
      <c r="T1871" s="6">
        <v>69</v>
      </c>
      <c r="U1871" s="6">
        <v>112</v>
      </c>
      <c r="V1871" s="6">
        <f>IF(ISERROR(VLOOKUP($S$1871,'TAR FIN'!$A$1:$O$116,15,0)),0,VLOOKUP($S$1871,'TAR FIN'!$A$1:$O$116,15,0))</f>
        <v>0</v>
      </c>
      <c r="W1871" s="6">
        <f>IF(ISERROR(VLOOKUP($T$1871,'TAR FIN'!$A$1:$O$116,15,0)),0,VLOOKUP($T$1871,'TAR FIN'!$A$1:$O$116,15,0))</f>
        <v>342.48</v>
      </c>
      <c r="X1871" s="6">
        <f>IF(ISERROR(VLOOKUP($U$1871,'TAR FIN'!$A$1:$O$116,15,0)),0,VLOOKUP($U$1871,'TAR FIN'!$A$1:$O$116,15,0))</f>
        <v>326.47000000000003</v>
      </c>
      <c r="Y1871" s="6"/>
      <c r="Z1871" s="6">
        <f ca="1">('TUSD BE'!$AM$71+'TUSD BF'!$AM$71+'TUSD CVA'!$AM$71)*1</f>
        <v>436.78490561809065</v>
      </c>
      <c r="AA1871" s="6">
        <f>('TE BE'!$AB$42+'TE BF'!$AB$42+'TE CVA'!$AB$42)*1</f>
        <v>329.63081087285968</v>
      </c>
      <c r="AB1871" s="6">
        <f>$K$1871*$V$1871</f>
        <v>0</v>
      </c>
      <c r="AC1871" s="6">
        <f>$M$1871*$W$1871</f>
        <v>4284847.7628000006</v>
      </c>
      <c r="AD1871" s="6">
        <f>$O$1871*$X$1871</f>
        <v>4084542.8904500008</v>
      </c>
      <c r="AE1871" s="6">
        <f>$K$1871*$Y$1871</f>
        <v>0</v>
      </c>
      <c r="AF1871" s="6">
        <f ca="1">$M$1871*$Z$1871</f>
        <v>5464718.598640753</v>
      </c>
      <c r="AG1871" s="6">
        <f>$O$1871*$AA$1871</f>
        <v>4124088.5380709027</v>
      </c>
    </row>
    <row r="1872" spans="1:33" ht="11.25" customHeight="1" x14ac:dyDescent="0.25">
      <c r="A1872" s="4" t="s">
        <v>27</v>
      </c>
      <c r="B1872" s="4" t="s">
        <v>37</v>
      </c>
      <c r="C1872" s="4" t="s">
        <v>23</v>
      </c>
      <c r="D1872" s="4" t="s">
        <v>43</v>
      </c>
      <c r="E1872" s="4" t="s">
        <v>25</v>
      </c>
      <c r="F1872" s="4" t="s">
        <v>25</v>
      </c>
      <c r="G1872" s="4" t="s">
        <v>25</v>
      </c>
      <c r="H1872" s="4" t="s">
        <v>25</v>
      </c>
      <c r="I1872" s="5">
        <v>44621</v>
      </c>
      <c r="J1872" s="6">
        <v>0</v>
      </c>
      <c r="K1872" s="6">
        <v>0</v>
      </c>
      <c r="L1872" s="6">
        <v>46.697000000000003</v>
      </c>
      <c r="M1872" s="6">
        <v>46.697000000000003</v>
      </c>
      <c r="N1872" s="6">
        <v>46.697000000000003</v>
      </c>
      <c r="O1872" s="6">
        <v>46.697000000000003</v>
      </c>
      <c r="P1872" s="6">
        <v>-9</v>
      </c>
      <c r="Q1872" s="4" t="s">
        <v>26</v>
      </c>
      <c r="R1872" s="4">
        <v>0</v>
      </c>
      <c r="S1872" s="6">
        <v>0</v>
      </c>
      <c r="T1872" s="6">
        <v>69</v>
      </c>
      <c r="U1872" s="6">
        <v>112</v>
      </c>
      <c r="V1872" s="6">
        <f>IF(ISERROR(VLOOKUP($S$1872,'TAR FIN'!$A$1:$O$116,15,0)),0,VLOOKUP($S$1872,'TAR FIN'!$A$1:$O$116,15,0))</f>
        <v>0</v>
      </c>
      <c r="W1872" s="6">
        <f>IF(ISERROR(VLOOKUP($T$1872,'TAR FIN'!$A$1:$O$116,15,0)),0,VLOOKUP($T$1872,'TAR FIN'!$A$1:$O$116,15,0))</f>
        <v>342.48</v>
      </c>
      <c r="X1872" s="6">
        <f>IF(ISERROR(VLOOKUP($U$1872,'TAR FIN'!$A$1:$O$116,15,0)),0,VLOOKUP($U$1872,'TAR FIN'!$A$1:$O$116,15,0))</f>
        <v>326.47000000000003</v>
      </c>
      <c r="Y1872" s="6"/>
      <c r="Z1872" s="6">
        <f ca="1">('TUSD BE'!$AM$71+'TUSD BF'!$AM$71+'TUSD CVA'!$AM$71)*1</f>
        <v>436.78490561809065</v>
      </c>
      <c r="AA1872" s="6">
        <f>('TE BE'!$AB$42+'TE BF'!$AB$42+'TE CVA'!$AB$42)*1</f>
        <v>329.63081087285968</v>
      </c>
      <c r="AB1872" s="6">
        <f>$K$1872*$V$1872</f>
        <v>0</v>
      </c>
      <c r="AC1872" s="6">
        <f>$M$1872*$W$1872</f>
        <v>15992.788560000003</v>
      </c>
      <c r="AD1872" s="6">
        <f>$O$1872*$X$1872</f>
        <v>15245.169590000001</v>
      </c>
      <c r="AE1872" s="6">
        <f>$K$1872*$Y$1872</f>
        <v>0</v>
      </c>
      <c r="AF1872" s="6">
        <f ca="1">$M$1872*$Z$1872</f>
        <v>20396.544737647979</v>
      </c>
      <c r="AG1872" s="6">
        <f>$O$1872*$AA$1872</f>
        <v>15392.769975329929</v>
      </c>
    </row>
    <row r="1873" spans="1:33" ht="11.25" customHeight="1" x14ac:dyDescent="0.25">
      <c r="A1873" s="4" t="s">
        <v>28</v>
      </c>
      <c r="B1873" s="4" t="s">
        <v>37</v>
      </c>
      <c r="C1873" s="4" t="s">
        <v>23</v>
      </c>
      <c r="D1873" s="4" t="s">
        <v>43</v>
      </c>
      <c r="E1873" s="4" t="s">
        <v>25</v>
      </c>
      <c r="F1873" s="4" t="s">
        <v>25</v>
      </c>
      <c r="G1873" s="4" t="s">
        <v>25</v>
      </c>
      <c r="H1873" s="4" t="s">
        <v>25</v>
      </c>
      <c r="I1873" s="5">
        <v>44621</v>
      </c>
      <c r="J1873" s="6">
        <v>0</v>
      </c>
      <c r="K1873" s="6">
        <v>0</v>
      </c>
      <c r="L1873" s="6">
        <v>1782.893</v>
      </c>
      <c r="M1873" s="6">
        <v>1782.893</v>
      </c>
      <c r="N1873" s="6">
        <v>1782.893</v>
      </c>
      <c r="O1873" s="6">
        <v>1782.893</v>
      </c>
      <c r="P1873" s="6">
        <v>3521</v>
      </c>
      <c r="Q1873" s="4" t="s">
        <v>26</v>
      </c>
      <c r="R1873" s="4">
        <v>0</v>
      </c>
      <c r="S1873" s="6">
        <v>0</v>
      </c>
      <c r="T1873" s="6">
        <v>69</v>
      </c>
      <c r="U1873" s="6">
        <v>112</v>
      </c>
      <c r="V1873" s="6">
        <f>IF(ISERROR(VLOOKUP($S$1873,'TAR FIN'!$A$1:$O$116,15,0)),0,VLOOKUP($S$1873,'TAR FIN'!$A$1:$O$116,15,0))</f>
        <v>0</v>
      </c>
      <c r="W1873" s="6">
        <f>IF(ISERROR(VLOOKUP($T$1873,'TAR FIN'!$A$1:$O$116,15,0)),0,VLOOKUP($T$1873,'TAR FIN'!$A$1:$O$116,15,0))</f>
        <v>342.48</v>
      </c>
      <c r="X1873" s="6">
        <f>IF(ISERROR(VLOOKUP($U$1873,'TAR FIN'!$A$1:$O$116,15,0)),0,VLOOKUP($U$1873,'TAR FIN'!$A$1:$O$116,15,0))</f>
        <v>326.47000000000003</v>
      </c>
      <c r="Y1873" s="6"/>
      <c r="Z1873" s="6">
        <f ca="1">('TUSD BE'!$AM$71+'TUSD BF'!$AM$71+'TUSD CVA'!$AM$71)*1</f>
        <v>436.78490561809065</v>
      </c>
      <c r="AA1873" s="6">
        <f>('TE BE'!$AB$42+'TE BF'!$AB$42+'TE CVA'!$AB$42)*1</f>
        <v>329.63081087285968</v>
      </c>
      <c r="AB1873" s="6">
        <f>$K$1873*$V$1873</f>
        <v>0</v>
      </c>
      <c r="AC1873" s="6">
        <f>$M$1873*$W$1873</f>
        <v>610605.19464</v>
      </c>
      <c r="AD1873" s="6">
        <f>$O$1873*$X$1873</f>
        <v>582061.0777100001</v>
      </c>
      <c r="AE1873" s="6">
        <f>$K$1873*$Y$1873</f>
        <v>0</v>
      </c>
      <c r="AF1873" s="6">
        <f ca="1">$M$1873*$Z$1873</f>
        <v>778740.75073215447</v>
      </c>
      <c r="AG1873" s="6">
        <f>$O$1873*$AA$1873</f>
        <v>587696.46528954548</v>
      </c>
    </row>
    <row r="1874" spans="1:33" ht="11.25" customHeight="1" x14ac:dyDescent="0.25">
      <c r="A1874" s="4" t="s">
        <v>28</v>
      </c>
      <c r="B1874" s="4" t="s">
        <v>37</v>
      </c>
      <c r="C1874" s="4" t="s">
        <v>23</v>
      </c>
      <c r="D1874" s="4" t="s">
        <v>43</v>
      </c>
      <c r="E1874" s="4" t="s">
        <v>25</v>
      </c>
      <c r="F1874" s="4" t="s">
        <v>25</v>
      </c>
      <c r="G1874" s="4" t="s">
        <v>25</v>
      </c>
      <c r="H1874" s="4" t="s">
        <v>25</v>
      </c>
      <c r="I1874" s="5">
        <v>44621</v>
      </c>
      <c r="J1874" s="6">
        <v>0</v>
      </c>
      <c r="K1874" s="6">
        <v>0</v>
      </c>
      <c r="L1874" s="6">
        <v>-0.41199999999999998</v>
      </c>
      <c r="M1874" s="6">
        <v>-0.41199999999999998</v>
      </c>
      <c r="N1874" s="6">
        <v>-0.41199999999999998</v>
      </c>
      <c r="O1874" s="6">
        <v>-0.41199999999999998</v>
      </c>
      <c r="P1874" s="6">
        <v>0</v>
      </c>
      <c r="Q1874" s="4" t="s">
        <v>26</v>
      </c>
      <c r="R1874" s="4">
        <v>0</v>
      </c>
      <c r="S1874" s="6">
        <v>0</v>
      </c>
      <c r="T1874" s="6">
        <v>69</v>
      </c>
      <c r="U1874" s="6">
        <v>112</v>
      </c>
      <c r="V1874" s="6">
        <f>IF(ISERROR(VLOOKUP($S$1874,'TAR FIN'!$A$1:$O$116,15,0)),0,VLOOKUP($S$1874,'TAR FIN'!$A$1:$O$116,15,0))</f>
        <v>0</v>
      </c>
      <c r="W1874" s="6">
        <f>IF(ISERROR(VLOOKUP($T$1874,'TAR FIN'!$A$1:$O$116,15,0)),0,VLOOKUP($T$1874,'TAR FIN'!$A$1:$O$116,15,0))</f>
        <v>342.48</v>
      </c>
      <c r="X1874" s="6">
        <f>IF(ISERROR(VLOOKUP($U$1874,'TAR FIN'!$A$1:$O$116,15,0)),0,VLOOKUP($U$1874,'TAR FIN'!$A$1:$O$116,15,0))</f>
        <v>326.47000000000003</v>
      </c>
      <c r="Y1874" s="6"/>
      <c r="Z1874" s="6">
        <f ca="1">('TUSD BE'!$AM$71+'TUSD BF'!$AM$71+'TUSD CVA'!$AM$71)*1</f>
        <v>436.78490561809065</v>
      </c>
      <c r="AA1874" s="6">
        <f>('TE BE'!$AB$42+'TE BF'!$AB$42+'TE CVA'!$AB$42)*1</f>
        <v>329.63081087285968</v>
      </c>
      <c r="AB1874" s="6">
        <f>$K$1874*$V$1874</f>
        <v>0</v>
      </c>
      <c r="AC1874" s="6">
        <f>$M$1874*$W$1874</f>
        <v>-141.10176000000001</v>
      </c>
      <c r="AD1874" s="6">
        <f>$O$1874*$X$1874</f>
        <v>-134.50564</v>
      </c>
      <c r="AE1874" s="6">
        <f>$K$1874*$Y$1874</f>
        <v>0</v>
      </c>
      <c r="AF1874" s="6">
        <f ca="1">$M$1874*$Z$1874</f>
        <v>-179.95538111465333</v>
      </c>
      <c r="AG1874" s="6">
        <f>$O$1874*$AA$1874</f>
        <v>-135.80789407961819</v>
      </c>
    </row>
    <row r="1875" spans="1:33" ht="11.25" customHeight="1" x14ac:dyDescent="0.25">
      <c r="A1875" s="4" t="s">
        <v>21</v>
      </c>
      <c r="B1875" s="4" t="s">
        <v>37</v>
      </c>
      <c r="C1875" s="4" t="s">
        <v>23</v>
      </c>
      <c r="D1875" s="4" t="s">
        <v>43</v>
      </c>
      <c r="E1875" s="4" t="s">
        <v>25</v>
      </c>
      <c r="F1875" s="4" t="s">
        <v>25</v>
      </c>
      <c r="G1875" s="4" t="s">
        <v>25</v>
      </c>
      <c r="H1875" s="4" t="s">
        <v>25</v>
      </c>
      <c r="I1875" s="5">
        <v>44652</v>
      </c>
      <c r="J1875" s="6">
        <v>0</v>
      </c>
      <c r="K1875" s="6">
        <v>0</v>
      </c>
      <c r="L1875" s="6">
        <v>12040.022000000001</v>
      </c>
      <c r="M1875" s="6">
        <v>12040.022000000001</v>
      </c>
      <c r="N1875" s="6">
        <v>12040.022000000001</v>
      </c>
      <c r="O1875" s="6">
        <v>12040.022000000001</v>
      </c>
      <c r="P1875" s="6">
        <v>31703</v>
      </c>
      <c r="Q1875" s="4" t="s">
        <v>26</v>
      </c>
      <c r="R1875" s="4">
        <v>0</v>
      </c>
      <c r="S1875" s="6">
        <v>0</v>
      </c>
      <c r="T1875" s="6">
        <v>69</v>
      </c>
      <c r="U1875" s="6">
        <v>112</v>
      </c>
      <c r="V1875" s="6">
        <f>IF(ISERROR(VLOOKUP($S$1875,'TAR FIN'!$A$1:$O$116,15,0)),0,VLOOKUP($S$1875,'TAR FIN'!$A$1:$O$116,15,0))</f>
        <v>0</v>
      </c>
      <c r="W1875" s="6">
        <f>IF(ISERROR(VLOOKUP($T$1875,'TAR FIN'!$A$1:$O$116,15,0)),0,VLOOKUP($T$1875,'TAR FIN'!$A$1:$O$116,15,0))</f>
        <v>342.48</v>
      </c>
      <c r="X1875" s="6">
        <f>IF(ISERROR(VLOOKUP($U$1875,'TAR FIN'!$A$1:$O$116,15,0)),0,VLOOKUP($U$1875,'TAR FIN'!$A$1:$O$116,15,0))</f>
        <v>326.47000000000003</v>
      </c>
      <c r="Y1875" s="6"/>
      <c r="Z1875" s="6">
        <f ca="1">('TUSD BE'!$AM$71+'TUSD BF'!$AM$71+'TUSD CVA'!$AM$71)*1</f>
        <v>436.78490561809065</v>
      </c>
      <c r="AA1875" s="6">
        <f>('TE BE'!$AB$42+'TE BF'!$AB$42+'TE CVA'!$AB$42)*1</f>
        <v>329.63081087285968</v>
      </c>
      <c r="AB1875" s="6">
        <f>$K$1875*$V$1875</f>
        <v>0</v>
      </c>
      <c r="AC1875" s="6">
        <f>$M$1875*$W$1875</f>
        <v>4123466.7345600007</v>
      </c>
      <c r="AD1875" s="6">
        <f>$O$1875*$X$1875</f>
        <v>3930705.9823400006</v>
      </c>
      <c r="AE1875" s="6">
        <f>$K$1875*$Y$1875</f>
        <v>0</v>
      </c>
      <c r="AF1875" s="6">
        <f ca="1">$M$1875*$Z$1875</f>
        <v>5258899.872909735</v>
      </c>
      <c r="AG1875" s="6">
        <f>$O$1875*$AA$1875</f>
        <v>3968762.2147870702</v>
      </c>
    </row>
    <row r="1876" spans="1:33" ht="11.25" customHeight="1" x14ac:dyDescent="0.25">
      <c r="A1876" s="4" t="s">
        <v>27</v>
      </c>
      <c r="B1876" s="4" t="s">
        <v>37</v>
      </c>
      <c r="C1876" s="4" t="s">
        <v>23</v>
      </c>
      <c r="D1876" s="4" t="s">
        <v>43</v>
      </c>
      <c r="E1876" s="4" t="s">
        <v>25</v>
      </c>
      <c r="F1876" s="4" t="s">
        <v>25</v>
      </c>
      <c r="G1876" s="4" t="s">
        <v>25</v>
      </c>
      <c r="H1876" s="4" t="s">
        <v>25</v>
      </c>
      <c r="I1876" s="5">
        <v>44652</v>
      </c>
      <c r="J1876" s="6">
        <v>0</v>
      </c>
      <c r="K1876" s="6">
        <v>0</v>
      </c>
      <c r="L1876" s="6">
        <v>-4.5970000000000004</v>
      </c>
      <c r="M1876" s="6">
        <v>-4.5970000000000004</v>
      </c>
      <c r="N1876" s="6">
        <v>-4.5970000000000004</v>
      </c>
      <c r="O1876" s="6">
        <v>-4.5970000000000004</v>
      </c>
      <c r="P1876" s="6">
        <v>-13</v>
      </c>
      <c r="Q1876" s="4" t="s">
        <v>26</v>
      </c>
      <c r="R1876" s="4">
        <v>0</v>
      </c>
      <c r="S1876" s="6">
        <v>0</v>
      </c>
      <c r="T1876" s="6">
        <v>69</v>
      </c>
      <c r="U1876" s="6">
        <v>112</v>
      </c>
      <c r="V1876" s="6">
        <f>IF(ISERROR(VLOOKUP($S$1876,'TAR FIN'!$A$1:$O$116,15,0)),0,VLOOKUP($S$1876,'TAR FIN'!$A$1:$O$116,15,0))</f>
        <v>0</v>
      </c>
      <c r="W1876" s="6">
        <f>IF(ISERROR(VLOOKUP($T$1876,'TAR FIN'!$A$1:$O$116,15,0)),0,VLOOKUP($T$1876,'TAR FIN'!$A$1:$O$116,15,0))</f>
        <v>342.48</v>
      </c>
      <c r="X1876" s="6">
        <f>IF(ISERROR(VLOOKUP($U$1876,'TAR FIN'!$A$1:$O$116,15,0)),0,VLOOKUP($U$1876,'TAR FIN'!$A$1:$O$116,15,0))</f>
        <v>326.47000000000003</v>
      </c>
      <c r="Y1876" s="6"/>
      <c r="Z1876" s="6">
        <f ca="1">('TUSD BE'!$AM$71+'TUSD BF'!$AM$71+'TUSD CVA'!$AM$71)*1</f>
        <v>436.78490561809065</v>
      </c>
      <c r="AA1876" s="6">
        <f>('TE BE'!$AB$42+'TE BF'!$AB$42+'TE CVA'!$AB$42)*1</f>
        <v>329.63081087285968</v>
      </c>
      <c r="AB1876" s="6">
        <f>$K$1876*$V$1876</f>
        <v>0</v>
      </c>
      <c r="AC1876" s="6">
        <f>$M$1876*$W$1876</f>
        <v>-1574.3805600000003</v>
      </c>
      <c r="AD1876" s="6">
        <f>$O$1876*$X$1876</f>
        <v>-1500.7825900000003</v>
      </c>
      <c r="AE1876" s="6">
        <f>$K$1876*$Y$1876</f>
        <v>0</v>
      </c>
      <c r="AF1876" s="6">
        <f ca="1">$M$1876*$Z$1876</f>
        <v>-2007.9002111263628</v>
      </c>
      <c r="AG1876" s="6">
        <f>$O$1876*$AA$1876</f>
        <v>-1515.3128375825361</v>
      </c>
    </row>
    <row r="1877" spans="1:33" ht="11.25" customHeight="1" x14ac:dyDescent="0.25">
      <c r="A1877" s="4" t="s">
        <v>28</v>
      </c>
      <c r="B1877" s="4" t="s">
        <v>37</v>
      </c>
      <c r="C1877" s="4" t="s">
        <v>23</v>
      </c>
      <c r="D1877" s="4" t="s">
        <v>43</v>
      </c>
      <c r="E1877" s="4" t="s">
        <v>25</v>
      </c>
      <c r="F1877" s="4" t="s">
        <v>25</v>
      </c>
      <c r="G1877" s="4" t="s">
        <v>25</v>
      </c>
      <c r="H1877" s="4" t="s">
        <v>25</v>
      </c>
      <c r="I1877" s="5">
        <v>44652</v>
      </c>
      <c r="J1877" s="6">
        <v>0</v>
      </c>
      <c r="K1877" s="6">
        <v>0</v>
      </c>
      <c r="L1877" s="6">
        <v>1781.2650000000001</v>
      </c>
      <c r="M1877" s="6">
        <v>1781.2650000000001</v>
      </c>
      <c r="N1877" s="6">
        <v>1781.2650000000001</v>
      </c>
      <c r="O1877" s="6">
        <v>1781.2650000000001</v>
      </c>
      <c r="P1877" s="6">
        <v>3681</v>
      </c>
      <c r="Q1877" s="4" t="s">
        <v>26</v>
      </c>
      <c r="R1877" s="4">
        <v>0</v>
      </c>
      <c r="S1877" s="6">
        <v>0</v>
      </c>
      <c r="T1877" s="6">
        <v>69</v>
      </c>
      <c r="U1877" s="6">
        <v>112</v>
      </c>
      <c r="V1877" s="6">
        <f>IF(ISERROR(VLOOKUP($S$1877,'TAR FIN'!$A$1:$O$116,15,0)),0,VLOOKUP($S$1877,'TAR FIN'!$A$1:$O$116,15,0))</f>
        <v>0</v>
      </c>
      <c r="W1877" s="6">
        <f>IF(ISERROR(VLOOKUP($T$1877,'TAR FIN'!$A$1:$O$116,15,0)),0,VLOOKUP($T$1877,'TAR FIN'!$A$1:$O$116,15,0))</f>
        <v>342.48</v>
      </c>
      <c r="X1877" s="6">
        <f>IF(ISERROR(VLOOKUP($U$1877,'TAR FIN'!$A$1:$O$116,15,0)),0,VLOOKUP($U$1877,'TAR FIN'!$A$1:$O$116,15,0))</f>
        <v>326.47000000000003</v>
      </c>
      <c r="Y1877" s="6"/>
      <c r="Z1877" s="6">
        <f ca="1">('TUSD BE'!$AM$71+'TUSD BF'!$AM$71+'TUSD CVA'!$AM$71)*1</f>
        <v>436.78490561809065</v>
      </c>
      <c r="AA1877" s="6">
        <f>('TE BE'!$AB$42+'TE BF'!$AB$42+'TE CVA'!$AB$42)*1</f>
        <v>329.63081087285968</v>
      </c>
      <c r="AB1877" s="6">
        <f>$K$1877*$V$1877</f>
        <v>0</v>
      </c>
      <c r="AC1877" s="6">
        <f>$M$1877*$W$1877</f>
        <v>610047.63720000011</v>
      </c>
      <c r="AD1877" s="6">
        <f>$O$1877*$X$1877</f>
        <v>581529.58455000003</v>
      </c>
      <c r="AE1877" s="6">
        <f>$K$1877*$Y$1877</f>
        <v>0</v>
      </c>
      <c r="AF1877" s="6">
        <f ca="1">$M$1877*$Z$1877</f>
        <v>778029.66490580828</v>
      </c>
      <c r="AG1877" s="6">
        <f>$O$1877*$AA$1877</f>
        <v>587159.82632944442</v>
      </c>
    </row>
    <row r="1878" spans="1:33" ht="11.25" customHeight="1" x14ac:dyDescent="0.25">
      <c r="A1878" s="4" t="s">
        <v>28</v>
      </c>
      <c r="B1878" s="4" t="s">
        <v>37</v>
      </c>
      <c r="C1878" s="4" t="s">
        <v>23</v>
      </c>
      <c r="D1878" s="4" t="s">
        <v>43</v>
      </c>
      <c r="E1878" s="4" t="s">
        <v>25</v>
      </c>
      <c r="F1878" s="4" t="s">
        <v>25</v>
      </c>
      <c r="G1878" s="4" t="s">
        <v>25</v>
      </c>
      <c r="H1878" s="4" t="s">
        <v>25</v>
      </c>
      <c r="I1878" s="5">
        <v>44652</v>
      </c>
      <c r="J1878" s="6">
        <v>0</v>
      </c>
      <c r="K1878" s="6">
        <v>0</v>
      </c>
      <c r="L1878" s="6">
        <v>-2.5099999999999998</v>
      </c>
      <c r="M1878" s="6">
        <v>-2.5099999999999998</v>
      </c>
      <c r="N1878" s="6">
        <v>-2.5099999999999998</v>
      </c>
      <c r="O1878" s="6">
        <v>-2.5099999999999998</v>
      </c>
      <c r="P1878" s="6">
        <v>0</v>
      </c>
      <c r="Q1878" s="4" t="s">
        <v>26</v>
      </c>
      <c r="R1878" s="4">
        <v>0</v>
      </c>
      <c r="S1878" s="6">
        <v>0</v>
      </c>
      <c r="T1878" s="6">
        <v>69</v>
      </c>
      <c r="U1878" s="6">
        <v>112</v>
      </c>
      <c r="V1878" s="6">
        <f>IF(ISERROR(VLOOKUP($S$1878,'TAR FIN'!$A$1:$O$116,15,0)),0,VLOOKUP($S$1878,'TAR FIN'!$A$1:$O$116,15,0))</f>
        <v>0</v>
      </c>
      <c r="W1878" s="6">
        <f>IF(ISERROR(VLOOKUP($T$1878,'TAR FIN'!$A$1:$O$116,15,0)),0,VLOOKUP($T$1878,'TAR FIN'!$A$1:$O$116,15,0))</f>
        <v>342.48</v>
      </c>
      <c r="X1878" s="6">
        <f>IF(ISERROR(VLOOKUP($U$1878,'TAR FIN'!$A$1:$O$116,15,0)),0,VLOOKUP($U$1878,'TAR FIN'!$A$1:$O$116,15,0))</f>
        <v>326.47000000000003</v>
      </c>
      <c r="Y1878" s="6"/>
      <c r="Z1878" s="6">
        <f ca="1">('TUSD BE'!$AM$71+'TUSD BF'!$AM$71+'TUSD CVA'!$AM$71)*1</f>
        <v>436.78490561809065</v>
      </c>
      <c r="AA1878" s="6">
        <f>('TE BE'!$AB$42+'TE BF'!$AB$42+'TE CVA'!$AB$42)*1</f>
        <v>329.63081087285968</v>
      </c>
      <c r="AB1878" s="6">
        <f>$K$1878*$V$1878</f>
        <v>0</v>
      </c>
      <c r="AC1878" s="6">
        <f>$M$1878*$W$1878</f>
        <v>-859.62479999999994</v>
      </c>
      <c r="AD1878" s="6">
        <f>$O$1878*$X$1878</f>
        <v>-819.43970000000002</v>
      </c>
      <c r="AE1878" s="6">
        <f>$K$1878*$Y$1878</f>
        <v>0</v>
      </c>
      <c r="AF1878" s="6">
        <f ca="1">$M$1878*$Z$1878</f>
        <v>-1096.3301131014075</v>
      </c>
      <c r="AG1878" s="6">
        <f>$O$1878*$AA$1878</f>
        <v>-827.37333529087778</v>
      </c>
    </row>
    <row r="1879" spans="1:33" ht="11.25" customHeight="1" x14ac:dyDescent="0.25">
      <c r="A1879" s="4" t="s">
        <v>58</v>
      </c>
      <c r="B1879" s="4" t="s">
        <v>37</v>
      </c>
      <c r="C1879" s="4" t="s">
        <v>23</v>
      </c>
      <c r="D1879" s="4" t="s">
        <v>43</v>
      </c>
      <c r="E1879" s="4" t="s">
        <v>25</v>
      </c>
      <c r="F1879" s="4" t="s">
        <v>25</v>
      </c>
      <c r="G1879" s="4" t="s">
        <v>25</v>
      </c>
      <c r="H1879" s="4" t="s">
        <v>25</v>
      </c>
      <c r="I1879" s="5">
        <v>44682</v>
      </c>
      <c r="J1879" s="6">
        <v>0</v>
      </c>
      <c r="K1879" s="6">
        <v>0</v>
      </c>
      <c r="L1879" s="6">
        <v>12040.022000000001</v>
      </c>
      <c r="M1879" s="6">
        <v>12040.022000000001</v>
      </c>
      <c r="N1879" s="6">
        <v>12040.022000000001</v>
      </c>
      <c r="O1879" s="6">
        <v>12040.022000000001</v>
      </c>
      <c r="P1879" s="6">
        <v>31703</v>
      </c>
      <c r="Q1879" s="4" t="s">
        <v>26</v>
      </c>
      <c r="R1879" s="4">
        <v>0</v>
      </c>
      <c r="S1879" s="6">
        <v>0</v>
      </c>
      <c r="T1879" s="6">
        <v>69</v>
      </c>
      <c r="U1879" s="6">
        <v>112</v>
      </c>
      <c r="V1879" s="6">
        <f>IF(ISERROR(VLOOKUP($S$1879,'TAR FIN'!$A$1:$O$116,15,0)),0,VLOOKUP($S$1879,'TAR FIN'!$A$1:$O$116,15,0))</f>
        <v>0</v>
      </c>
      <c r="W1879" s="6">
        <f>IF(ISERROR(VLOOKUP($T$1879,'TAR FIN'!$A$1:$O$116,15,0)),0,VLOOKUP($T$1879,'TAR FIN'!$A$1:$O$116,15,0))</f>
        <v>342.48</v>
      </c>
      <c r="X1879" s="6">
        <f>IF(ISERROR(VLOOKUP($U$1879,'TAR FIN'!$A$1:$O$116,15,0)),0,VLOOKUP($U$1879,'TAR FIN'!$A$1:$O$116,15,0))</f>
        <v>326.47000000000003</v>
      </c>
      <c r="Y1879" s="6"/>
      <c r="Z1879" s="6">
        <f ca="1">('TUSD BE'!$AM$71+'TUSD BF'!$AM$71+'TUSD CVA'!$AM$71)*1</f>
        <v>436.78490561809065</v>
      </c>
      <c r="AA1879" s="6">
        <f>('TE BE'!$AB$42+'TE BF'!$AB$42+'TE CVA'!$AB$42)*1</f>
        <v>329.63081087285968</v>
      </c>
      <c r="AB1879" s="6">
        <f>$K$1879*$V$1879</f>
        <v>0</v>
      </c>
      <c r="AC1879" s="6">
        <f>$M$1879*$W$1879</f>
        <v>4123466.7345600007</v>
      </c>
      <c r="AD1879" s="6">
        <f>$O$1879*$X$1879</f>
        <v>3930705.9823400006</v>
      </c>
      <c r="AE1879" s="6">
        <f>$K$1879*$Y$1879</f>
        <v>0</v>
      </c>
      <c r="AF1879" s="6">
        <f ca="1">$M$1879*$Z$1879</f>
        <v>5258899.872909735</v>
      </c>
      <c r="AG1879" s="6">
        <f>$O$1879*$AA$1879</f>
        <v>3968762.2147870702</v>
      </c>
    </row>
    <row r="1880" spans="1:33" ht="11.25" customHeight="1" x14ac:dyDescent="0.25">
      <c r="A1880" s="4" t="s">
        <v>58</v>
      </c>
      <c r="B1880" s="4" t="s">
        <v>37</v>
      </c>
      <c r="C1880" s="4" t="s">
        <v>23</v>
      </c>
      <c r="D1880" s="4" t="s">
        <v>43</v>
      </c>
      <c r="E1880" s="4" t="s">
        <v>25</v>
      </c>
      <c r="F1880" s="4" t="s">
        <v>25</v>
      </c>
      <c r="G1880" s="4" t="s">
        <v>25</v>
      </c>
      <c r="H1880" s="4" t="s">
        <v>25</v>
      </c>
      <c r="I1880" s="5">
        <v>44682</v>
      </c>
      <c r="J1880" s="6">
        <v>0</v>
      </c>
      <c r="K1880" s="6">
        <v>0</v>
      </c>
      <c r="L1880" s="6">
        <v>-4.5970000000000004</v>
      </c>
      <c r="M1880" s="6">
        <v>-4.5970000000000004</v>
      </c>
      <c r="N1880" s="6">
        <v>-4.5970000000000004</v>
      </c>
      <c r="O1880" s="6">
        <v>-4.5970000000000004</v>
      </c>
      <c r="P1880" s="6">
        <v>-13</v>
      </c>
      <c r="Q1880" s="4" t="s">
        <v>26</v>
      </c>
      <c r="R1880" s="4">
        <v>0</v>
      </c>
      <c r="S1880" s="6">
        <v>0</v>
      </c>
      <c r="T1880" s="6">
        <v>69</v>
      </c>
      <c r="U1880" s="6">
        <v>112</v>
      </c>
      <c r="V1880" s="6">
        <f>IF(ISERROR(VLOOKUP($S$1880,'TAR FIN'!$A$1:$O$116,15,0)),0,VLOOKUP($S$1880,'TAR FIN'!$A$1:$O$116,15,0))</f>
        <v>0</v>
      </c>
      <c r="W1880" s="6">
        <f>IF(ISERROR(VLOOKUP($T$1880,'TAR FIN'!$A$1:$O$116,15,0)),0,VLOOKUP($T$1880,'TAR FIN'!$A$1:$O$116,15,0))</f>
        <v>342.48</v>
      </c>
      <c r="X1880" s="6">
        <f>IF(ISERROR(VLOOKUP($U$1880,'TAR FIN'!$A$1:$O$116,15,0)),0,VLOOKUP($U$1880,'TAR FIN'!$A$1:$O$116,15,0))</f>
        <v>326.47000000000003</v>
      </c>
      <c r="Y1880" s="6"/>
      <c r="Z1880" s="6">
        <f ca="1">('TUSD BE'!$AM$71+'TUSD BF'!$AM$71+'TUSD CVA'!$AM$71)*1</f>
        <v>436.78490561809065</v>
      </c>
      <c r="AA1880" s="6">
        <f>('TE BE'!$AB$42+'TE BF'!$AB$42+'TE CVA'!$AB$42)*1</f>
        <v>329.63081087285968</v>
      </c>
      <c r="AB1880" s="6">
        <f>$K$1880*$V$1880</f>
        <v>0</v>
      </c>
      <c r="AC1880" s="6">
        <f>$M$1880*$W$1880</f>
        <v>-1574.3805600000003</v>
      </c>
      <c r="AD1880" s="6">
        <f>$O$1880*$X$1880</f>
        <v>-1500.7825900000003</v>
      </c>
      <c r="AE1880" s="6">
        <f>$K$1880*$Y$1880</f>
        <v>0</v>
      </c>
      <c r="AF1880" s="6">
        <f ca="1">$M$1880*$Z$1880</f>
        <v>-2007.9002111263628</v>
      </c>
      <c r="AG1880" s="6">
        <f>$O$1880*$AA$1880</f>
        <v>-1515.3128375825361</v>
      </c>
    </row>
    <row r="1881" spans="1:33" ht="11.25" customHeight="1" x14ac:dyDescent="0.25">
      <c r="A1881" s="4" t="s">
        <v>58</v>
      </c>
      <c r="B1881" s="4" t="s">
        <v>37</v>
      </c>
      <c r="C1881" s="4" t="s">
        <v>23</v>
      </c>
      <c r="D1881" s="4" t="s">
        <v>43</v>
      </c>
      <c r="E1881" s="4" t="s">
        <v>25</v>
      </c>
      <c r="F1881" s="4" t="s">
        <v>25</v>
      </c>
      <c r="G1881" s="4" t="s">
        <v>25</v>
      </c>
      <c r="H1881" s="4" t="s">
        <v>25</v>
      </c>
      <c r="I1881" s="5">
        <v>44682</v>
      </c>
      <c r="J1881" s="6">
        <v>0</v>
      </c>
      <c r="K1881" s="6">
        <v>0</v>
      </c>
      <c r="L1881" s="6">
        <v>1781.2650000000001</v>
      </c>
      <c r="M1881" s="6">
        <v>1781.2650000000001</v>
      </c>
      <c r="N1881" s="6">
        <v>1781.2650000000001</v>
      </c>
      <c r="O1881" s="6">
        <v>1781.2650000000001</v>
      </c>
      <c r="P1881" s="6">
        <v>3681</v>
      </c>
      <c r="Q1881" s="4" t="s">
        <v>26</v>
      </c>
      <c r="R1881" s="4">
        <v>0</v>
      </c>
      <c r="S1881" s="6">
        <v>0</v>
      </c>
      <c r="T1881" s="6">
        <v>69</v>
      </c>
      <c r="U1881" s="6">
        <v>112</v>
      </c>
      <c r="V1881" s="6">
        <f>IF(ISERROR(VLOOKUP($S$1881,'TAR FIN'!$A$1:$O$116,15,0)),0,VLOOKUP($S$1881,'TAR FIN'!$A$1:$O$116,15,0))</f>
        <v>0</v>
      </c>
      <c r="W1881" s="6">
        <f>IF(ISERROR(VLOOKUP($T$1881,'TAR FIN'!$A$1:$O$116,15,0)),0,VLOOKUP($T$1881,'TAR FIN'!$A$1:$O$116,15,0))</f>
        <v>342.48</v>
      </c>
      <c r="X1881" s="6">
        <f>IF(ISERROR(VLOOKUP($U$1881,'TAR FIN'!$A$1:$O$116,15,0)),0,VLOOKUP($U$1881,'TAR FIN'!$A$1:$O$116,15,0))</f>
        <v>326.47000000000003</v>
      </c>
      <c r="Y1881" s="6"/>
      <c r="Z1881" s="6">
        <f ca="1">('TUSD BE'!$AM$71+'TUSD BF'!$AM$71+'TUSD CVA'!$AM$71)*1</f>
        <v>436.78490561809065</v>
      </c>
      <c r="AA1881" s="6">
        <f>('TE BE'!$AB$42+'TE BF'!$AB$42+'TE CVA'!$AB$42)*1</f>
        <v>329.63081087285968</v>
      </c>
      <c r="AB1881" s="6">
        <f>$K$1881*$V$1881</f>
        <v>0</v>
      </c>
      <c r="AC1881" s="6">
        <f>$M$1881*$W$1881</f>
        <v>610047.63720000011</v>
      </c>
      <c r="AD1881" s="6">
        <f>$O$1881*$X$1881</f>
        <v>581529.58455000003</v>
      </c>
      <c r="AE1881" s="6">
        <f>$K$1881*$Y$1881</f>
        <v>0</v>
      </c>
      <c r="AF1881" s="6">
        <f ca="1">$M$1881*$Z$1881</f>
        <v>778029.66490580828</v>
      </c>
      <c r="AG1881" s="6">
        <f>$O$1881*$AA$1881</f>
        <v>587159.82632944442</v>
      </c>
    </row>
    <row r="1882" spans="1:33" ht="11.25" customHeight="1" x14ac:dyDescent="0.25">
      <c r="A1882" s="4" t="s">
        <v>58</v>
      </c>
      <c r="B1882" s="4" t="s">
        <v>37</v>
      </c>
      <c r="C1882" s="4" t="s">
        <v>23</v>
      </c>
      <c r="D1882" s="4" t="s">
        <v>43</v>
      </c>
      <c r="E1882" s="4" t="s">
        <v>25</v>
      </c>
      <c r="F1882" s="4" t="s">
        <v>25</v>
      </c>
      <c r="G1882" s="4" t="s">
        <v>25</v>
      </c>
      <c r="H1882" s="4" t="s">
        <v>25</v>
      </c>
      <c r="I1882" s="5">
        <v>44682</v>
      </c>
      <c r="J1882" s="6">
        <v>0</v>
      </c>
      <c r="K1882" s="6">
        <v>0</v>
      </c>
      <c r="L1882" s="6">
        <v>-2.5099999999999998</v>
      </c>
      <c r="M1882" s="6">
        <v>-2.5099999999999998</v>
      </c>
      <c r="N1882" s="6">
        <v>-2.5099999999999998</v>
      </c>
      <c r="O1882" s="6">
        <v>-2.5099999999999998</v>
      </c>
      <c r="P1882" s="6">
        <v>0</v>
      </c>
      <c r="Q1882" s="4" t="s">
        <v>26</v>
      </c>
      <c r="R1882" s="4">
        <v>0</v>
      </c>
      <c r="S1882" s="6">
        <v>0</v>
      </c>
      <c r="T1882" s="6">
        <v>69</v>
      </c>
      <c r="U1882" s="6">
        <v>112</v>
      </c>
      <c r="V1882" s="6">
        <f>IF(ISERROR(VLOOKUP($S$1882,'TAR FIN'!$A$1:$O$116,15,0)),0,VLOOKUP($S$1882,'TAR FIN'!$A$1:$O$116,15,0))</f>
        <v>0</v>
      </c>
      <c r="W1882" s="6">
        <f>IF(ISERROR(VLOOKUP($T$1882,'TAR FIN'!$A$1:$O$116,15,0)),0,VLOOKUP($T$1882,'TAR FIN'!$A$1:$O$116,15,0))</f>
        <v>342.48</v>
      </c>
      <c r="X1882" s="6">
        <f>IF(ISERROR(VLOOKUP($U$1882,'TAR FIN'!$A$1:$O$116,15,0)),0,VLOOKUP($U$1882,'TAR FIN'!$A$1:$O$116,15,0))</f>
        <v>326.47000000000003</v>
      </c>
      <c r="Y1882" s="6"/>
      <c r="Z1882" s="6">
        <f ca="1">('TUSD BE'!$AM$71+'TUSD BF'!$AM$71+'TUSD CVA'!$AM$71)*1</f>
        <v>436.78490561809065</v>
      </c>
      <c r="AA1882" s="6">
        <f>('TE BE'!$AB$42+'TE BF'!$AB$42+'TE CVA'!$AB$42)*1</f>
        <v>329.63081087285968</v>
      </c>
      <c r="AB1882" s="6">
        <f>$K$1882*$V$1882</f>
        <v>0</v>
      </c>
      <c r="AC1882" s="6">
        <f>$M$1882*$W$1882</f>
        <v>-859.62479999999994</v>
      </c>
      <c r="AD1882" s="6">
        <f>$O$1882*$X$1882</f>
        <v>-819.43970000000002</v>
      </c>
      <c r="AE1882" s="6">
        <f>$K$1882*$Y$1882</f>
        <v>0</v>
      </c>
      <c r="AF1882" s="6">
        <f ca="1">$M$1882*$Z$1882</f>
        <v>-1096.3301131014075</v>
      </c>
      <c r="AG1882" s="6">
        <f>$O$1882*$AA$1882</f>
        <v>-827.37333529087778</v>
      </c>
    </row>
    <row r="1883" spans="1:33" ht="11.25" customHeight="1" x14ac:dyDescent="0.25">
      <c r="A1883" s="4" t="s">
        <v>21</v>
      </c>
      <c r="B1883" s="4" t="s">
        <v>37</v>
      </c>
      <c r="C1883" s="4" t="s">
        <v>23</v>
      </c>
      <c r="D1883" s="4" t="s">
        <v>53</v>
      </c>
      <c r="E1883" s="4" t="s">
        <v>25</v>
      </c>
      <c r="F1883" s="4" t="s">
        <v>25</v>
      </c>
      <c r="G1883" s="4" t="s">
        <v>25</v>
      </c>
      <c r="H1883" s="4" t="s">
        <v>25</v>
      </c>
      <c r="I1883" s="5">
        <v>44348</v>
      </c>
      <c r="J1883" s="6">
        <v>0</v>
      </c>
      <c r="K1883" s="6">
        <v>0</v>
      </c>
      <c r="L1883" s="6">
        <v>145.48500000000001</v>
      </c>
      <c r="M1883" s="6">
        <v>145.48500000000001</v>
      </c>
      <c r="N1883" s="6">
        <v>145.48500000000001</v>
      </c>
      <c r="O1883" s="6">
        <v>145.48500000000001</v>
      </c>
      <c r="P1883" s="6">
        <v>142</v>
      </c>
      <c r="Q1883" s="4" t="s">
        <v>26</v>
      </c>
      <c r="R1883" s="4">
        <v>0</v>
      </c>
      <c r="S1883" s="6">
        <v>0</v>
      </c>
      <c r="T1883" s="6">
        <v>69</v>
      </c>
      <c r="U1883" s="6">
        <v>112</v>
      </c>
      <c r="V1883" s="6">
        <f>IF(ISERROR(VLOOKUP($S$1883,'TAR FIN'!$A$1:$O$116,15,0)),0,VLOOKUP($S$1883,'TAR FIN'!$A$1:$O$116,15,0))</f>
        <v>0</v>
      </c>
      <c r="W1883" s="6">
        <f>IF(ISERROR(VLOOKUP($T$1883,'TAR FIN'!$A$1:$O$116,15,0)),0,VLOOKUP($T$1883,'TAR FIN'!$A$1:$O$116,15,0))</f>
        <v>342.48</v>
      </c>
      <c r="X1883" s="6">
        <f>IF(ISERROR(VLOOKUP($U$1883,'TAR FIN'!$A$1:$O$116,15,0)),0,VLOOKUP($U$1883,'TAR FIN'!$A$1:$O$116,15,0))</f>
        <v>326.47000000000003</v>
      </c>
      <c r="Y1883" s="6"/>
      <c r="Z1883" s="6">
        <f ca="1">('TUSD BE'!$AM$71+'TUSD BF'!$AM$71+'TUSD CVA'!$AM$71)*1</f>
        <v>436.78490561809065</v>
      </c>
      <c r="AA1883" s="6">
        <f>('TE BE'!$AB$42+'TE BF'!$AB$42+'TE CVA'!$AB$42)*1</f>
        <v>329.63081087285968</v>
      </c>
      <c r="AB1883" s="6">
        <f>$K$1883*$V$1883</f>
        <v>0</v>
      </c>
      <c r="AC1883" s="6">
        <f>$M$1883*$W$1883</f>
        <v>49825.702800000006</v>
      </c>
      <c r="AD1883" s="6">
        <f>$O$1883*$X$1883</f>
        <v>47496.48795000001</v>
      </c>
      <c r="AE1883" s="6">
        <f>$K$1883*$Y$1883</f>
        <v>0</v>
      </c>
      <c r="AF1883" s="6">
        <f ca="1">$M$1883*$Z$1883</f>
        <v>63545.651993847925</v>
      </c>
      <c r="AG1883" s="6">
        <f>$O$1883*$AA$1883</f>
        <v>47956.338519837998</v>
      </c>
    </row>
    <row r="1884" spans="1:33" ht="11.25" customHeight="1" x14ac:dyDescent="0.25">
      <c r="A1884" s="4" t="s">
        <v>28</v>
      </c>
      <c r="B1884" s="4" t="s">
        <v>37</v>
      </c>
      <c r="C1884" s="4" t="s">
        <v>23</v>
      </c>
      <c r="D1884" s="4" t="s">
        <v>53</v>
      </c>
      <c r="E1884" s="4" t="s">
        <v>25</v>
      </c>
      <c r="F1884" s="4" t="s">
        <v>25</v>
      </c>
      <c r="G1884" s="4" t="s">
        <v>25</v>
      </c>
      <c r="H1884" s="4" t="s">
        <v>25</v>
      </c>
      <c r="I1884" s="5">
        <v>44348</v>
      </c>
      <c r="J1884" s="6">
        <v>0</v>
      </c>
      <c r="K1884" s="6">
        <v>0</v>
      </c>
      <c r="L1884" s="6">
        <v>1.6970000000000001</v>
      </c>
      <c r="M1884" s="6">
        <v>1.6970000000000001</v>
      </c>
      <c r="N1884" s="6">
        <v>1.6970000000000001</v>
      </c>
      <c r="O1884" s="6">
        <v>1.6970000000000001</v>
      </c>
      <c r="P1884" s="6">
        <v>1</v>
      </c>
      <c r="Q1884" s="4" t="s">
        <v>26</v>
      </c>
      <c r="R1884" s="4">
        <v>0</v>
      </c>
      <c r="S1884" s="6">
        <v>0</v>
      </c>
      <c r="T1884" s="6">
        <v>69</v>
      </c>
      <c r="U1884" s="6">
        <v>112</v>
      </c>
      <c r="V1884" s="6">
        <f>IF(ISERROR(VLOOKUP($S$1884,'TAR FIN'!$A$1:$O$116,15,0)),0,VLOOKUP($S$1884,'TAR FIN'!$A$1:$O$116,15,0))</f>
        <v>0</v>
      </c>
      <c r="W1884" s="6">
        <f>IF(ISERROR(VLOOKUP($T$1884,'TAR FIN'!$A$1:$O$116,15,0)),0,VLOOKUP($T$1884,'TAR FIN'!$A$1:$O$116,15,0))</f>
        <v>342.48</v>
      </c>
      <c r="X1884" s="6">
        <f>IF(ISERROR(VLOOKUP($U$1884,'TAR FIN'!$A$1:$O$116,15,0)),0,VLOOKUP($U$1884,'TAR FIN'!$A$1:$O$116,15,0))</f>
        <v>326.47000000000003</v>
      </c>
      <c r="Y1884" s="6"/>
      <c r="Z1884" s="6">
        <f ca="1">('TUSD BE'!$AM$71+'TUSD BF'!$AM$71+'TUSD CVA'!$AM$71)*1</f>
        <v>436.78490561809065</v>
      </c>
      <c r="AA1884" s="6">
        <f>('TE BE'!$AB$42+'TE BF'!$AB$42+'TE CVA'!$AB$42)*1</f>
        <v>329.63081087285968</v>
      </c>
      <c r="AB1884" s="6">
        <f>$K$1884*$V$1884</f>
        <v>0</v>
      </c>
      <c r="AC1884" s="6">
        <f>$M$1884*$W$1884</f>
        <v>581.18856000000005</v>
      </c>
      <c r="AD1884" s="6">
        <f>$O$1884*$X$1884</f>
        <v>554.01959000000011</v>
      </c>
      <c r="AE1884" s="6">
        <f>$K$1884*$Y$1884</f>
        <v>0</v>
      </c>
      <c r="AF1884" s="6">
        <f ca="1">$M$1884*$Z$1884</f>
        <v>741.22398483389986</v>
      </c>
      <c r="AG1884" s="6">
        <f>$O$1884*$AA$1884</f>
        <v>559.38348605124293</v>
      </c>
    </row>
    <row r="1885" spans="1:33" ht="11.25" customHeight="1" x14ac:dyDescent="0.25">
      <c r="A1885" s="4" t="s">
        <v>21</v>
      </c>
      <c r="B1885" s="4" t="s">
        <v>37</v>
      </c>
      <c r="C1885" s="4" t="s">
        <v>23</v>
      </c>
      <c r="D1885" s="4" t="s">
        <v>53</v>
      </c>
      <c r="E1885" s="4" t="s">
        <v>25</v>
      </c>
      <c r="F1885" s="4" t="s">
        <v>25</v>
      </c>
      <c r="G1885" s="4" t="s">
        <v>25</v>
      </c>
      <c r="H1885" s="4" t="s">
        <v>25</v>
      </c>
      <c r="I1885" s="5">
        <v>44378</v>
      </c>
      <c r="J1885" s="6">
        <v>0</v>
      </c>
      <c r="K1885" s="6">
        <v>0</v>
      </c>
      <c r="L1885" s="6">
        <v>129.00700000000001</v>
      </c>
      <c r="M1885" s="6">
        <v>129.00700000000001</v>
      </c>
      <c r="N1885" s="6">
        <v>129.00700000000001</v>
      </c>
      <c r="O1885" s="6">
        <v>129.00700000000001</v>
      </c>
      <c r="P1885" s="6">
        <v>142</v>
      </c>
      <c r="Q1885" s="4" t="s">
        <v>26</v>
      </c>
      <c r="R1885" s="4">
        <v>0</v>
      </c>
      <c r="S1885" s="6">
        <v>0</v>
      </c>
      <c r="T1885" s="6">
        <v>69</v>
      </c>
      <c r="U1885" s="6">
        <v>112</v>
      </c>
      <c r="V1885" s="6">
        <f>IF(ISERROR(VLOOKUP($S$1885,'TAR FIN'!$A$1:$O$116,15,0)),0,VLOOKUP($S$1885,'TAR FIN'!$A$1:$O$116,15,0))</f>
        <v>0</v>
      </c>
      <c r="W1885" s="6">
        <f>IF(ISERROR(VLOOKUP($T$1885,'TAR FIN'!$A$1:$O$116,15,0)),0,VLOOKUP($T$1885,'TAR FIN'!$A$1:$O$116,15,0))</f>
        <v>342.48</v>
      </c>
      <c r="X1885" s="6">
        <f>IF(ISERROR(VLOOKUP($U$1885,'TAR FIN'!$A$1:$O$116,15,0)),0,VLOOKUP($U$1885,'TAR FIN'!$A$1:$O$116,15,0))</f>
        <v>326.47000000000003</v>
      </c>
      <c r="Y1885" s="6"/>
      <c r="Z1885" s="6">
        <f ca="1">('TUSD BE'!$AM$71+'TUSD BF'!$AM$71+'TUSD CVA'!$AM$71)*1</f>
        <v>436.78490561809065</v>
      </c>
      <c r="AA1885" s="6">
        <f>('TE BE'!$AB$42+'TE BF'!$AB$42+'TE CVA'!$AB$42)*1</f>
        <v>329.63081087285968</v>
      </c>
      <c r="AB1885" s="6">
        <f>$K$1885*$V$1885</f>
        <v>0</v>
      </c>
      <c r="AC1885" s="6">
        <f>$M$1885*$W$1885</f>
        <v>44182.317360000001</v>
      </c>
      <c r="AD1885" s="6">
        <f>$O$1885*$X$1885</f>
        <v>42116.915290000004</v>
      </c>
      <c r="AE1885" s="6">
        <f>$K$1885*$Y$1885</f>
        <v>0</v>
      </c>
      <c r="AF1885" s="6">
        <f ca="1">$M$1885*$Z$1885</f>
        <v>56348.310319073025</v>
      </c>
      <c r="AG1885" s="6">
        <f>$O$1885*$AA$1885</f>
        <v>42524.682018275009</v>
      </c>
    </row>
    <row r="1886" spans="1:33" ht="11.25" customHeight="1" x14ac:dyDescent="0.25">
      <c r="A1886" s="4" t="s">
        <v>28</v>
      </c>
      <c r="B1886" s="4" t="s">
        <v>37</v>
      </c>
      <c r="C1886" s="4" t="s">
        <v>23</v>
      </c>
      <c r="D1886" s="4" t="s">
        <v>53</v>
      </c>
      <c r="E1886" s="4" t="s">
        <v>25</v>
      </c>
      <c r="F1886" s="4" t="s">
        <v>25</v>
      </c>
      <c r="G1886" s="4" t="s">
        <v>25</v>
      </c>
      <c r="H1886" s="4" t="s">
        <v>25</v>
      </c>
      <c r="I1886" s="5">
        <v>44378</v>
      </c>
      <c r="J1886" s="6">
        <v>0</v>
      </c>
      <c r="K1886" s="6">
        <v>0</v>
      </c>
      <c r="L1886" s="6">
        <v>0.94699999999999995</v>
      </c>
      <c r="M1886" s="6">
        <v>0.94699999999999995</v>
      </c>
      <c r="N1886" s="6">
        <v>0.94699999999999995</v>
      </c>
      <c r="O1886" s="6">
        <v>0.94699999999999995</v>
      </c>
      <c r="P1886" s="6">
        <v>1</v>
      </c>
      <c r="Q1886" s="4" t="s">
        <v>26</v>
      </c>
      <c r="R1886" s="4">
        <v>0</v>
      </c>
      <c r="S1886" s="6">
        <v>0</v>
      </c>
      <c r="T1886" s="6">
        <v>69</v>
      </c>
      <c r="U1886" s="6">
        <v>112</v>
      </c>
      <c r="V1886" s="6">
        <f>IF(ISERROR(VLOOKUP($S$1886,'TAR FIN'!$A$1:$O$116,15,0)),0,VLOOKUP($S$1886,'TAR FIN'!$A$1:$O$116,15,0))</f>
        <v>0</v>
      </c>
      <c r="W1886" s="6">
        <f>IF(ISERROR(VLOOKUP($T$1886,'TAR FIN'!$A$1:$O$116,15,0)),0,VLOOKUP($T$1886,'TAR FIN'!$A$1:$O$116,15,0))</f>
        <v>342.48</v>
      </c>
      <c r="X1886" s="6">
        <f>IF(ISERROR(VLOOKUP($U$1886,'TAR FIN'!$A$1:$O$116,15,0)),0,VLOOKUP($U$1886,'TAR FIN'!$A$1:$O$116,15,0))</f>
        <v>326.47000000000003</v>
      </c>
      <c r="Y1886" s="6"/>
      <c r="Z1886" s="6">
        <f ca="1">('TUSD BE'!$AM$71+'TUSD BF'!$AM$71+'TUSD CVA'!$AM$71)*1</f>
        <v>436.78490561809065</v>
      </c>
      <c r="AA1886" s="6">
        <f>('TE BE'!$AB$42+'TE BF'!$AB$42+'TE CVA'!$AB$42)*1</f>
        <v>329.63081087285968</v>
      </c>
      <c r="AB1886" s="6">
        <f>$K$1886*$V$1886</f>
        <v>0</v>
      </c>
      <c r="AC1886" s="6">
        <f>$M$1886*$W$1886</f>
        <v>324.32855999999998</v>
      </c>
      <c r="AD1886" s="6">
        <f>$O$1886*$X$1886</f>
        <v>309.16709000000003</v>
      </c>
      <c r="AE1886" s="6">
        <f>$K$1886*$Y$1886</f>
        <v>0</v>
      </c>
      <c r="AF1886" s="6">
        <f ca="1">$M$1886*$Z$1886</f>
        <v>413.63530562033185</v>
      </c>
      <c r="AG1886" s="6">
        <f>$O$1886*$AA$1886</f>
        <v>312.16037789659811</v>
      </c>
    </row>
    <row r="1887" spans="1:33" ht="11.25" customHeight="1" x14ac:dyDescent="0.25">
      <c r="A1887" s="4" t="s">
        <v>21</v>
      </c>
      <c r="B1887" s="4" t="s">
        <v>37</v>
      </c>
      <c r="C1887" s="4" t="s">
        <v>23</v>
      </c>
      <c r="D1887" s="4" t="s">
        <v>53</v>
      </c>
      <c r="E1887" s="4" t="s">
        <v>25</v>
      </c>
      <c r="F1887" s="4" t="s">
        <v>25</v>
      </c>
      <c r="G1887" s="4" t="s">
        <v>25</v>
      </c>
      <c r="H1887" s="4" t="s">
        <v>25</v>
      </c>
      <c r="I1887" s="5">
        <v>44409</v>
      </c>
      <c r="J1887" s="6">
        <v>0</v>
      </c>
      <c r="K1887" s="6">
        <v>0</v>
      </c>
      <c r="L1887" s="6">
        <v>140.61699999999999</v>
      </c>
      <c r="M1887" s="6">
        <v>140.61699999999999</v>
      </c>
      <c r="N1887" s="6">
        <v>140.61699999999999</v>
      </c>
      <c r="O1887" s="6">
        <v>140.61699999999999</v>
      </c>
      <c r="P1887" s="6">
        <v>144</v>
      </c>
      <c r="Q1887" s="4" t="s">
        <v>26</v>
      </c>
      <c r="R1887" s="4">
        <v>0</v>
      </c>
      <c r="S1887" s="6">
        <v>0</v>
      </c>
      <c r="T1887" s="6">
        <v>69</v>
      </c>
      <c r="U1887" s="6">
        <v>112</v>
      </c>
      <c r="V1887" s="6">
        <f>IF(ISERROR(VLOOKUP($S$1887,'TAR FIN'!$A$1:$O$116,15,0)),0,VLOOKUP($S$1887,'TAR FIN'!$A$1:$O$116,15,0))</f>
        <v>0</v>
      </c>
      <c r="W1887" s="6">
        <f>IF(ISERROR(VLOOKUP($T$1887,'TAR FIN'!$A$1:$O$116,15,0)),0,VLOOKUP($T$1887,'TAR FIN'!$A$1:$O$116,15,0))</f>
        <v>342.48</v>
      </c>
      <c r="X1887" s="6">
        <f>IF(ISERROR(VLOOKUP($U$1887,'TAR FIN'!$A$1:$O$116,15,0)),0,VLOOKUP($U$1887,'TAR FIN'!$A$1:$O$116,15,0))</f>
        <v>326.47000000000003</v>
      </c>
      <c r="Y1887" s="6"/>
      <c r="Z1887" s="6">
        <f ca="1">('TUSD BE'!$AM$71+'TUSD BF'!$AM$71+'TUSD CVA'!$AM$71)*1</f>
        <v>436.78490561809065</v>
      </c>
      <c r="AA1887" s="6">
        <f>('TE BE'!$AB$42+'TE BF'!$AB$42+'TE CVA'!$AB$42)*1</f>
        <v>329.63081087285968</v>
      </c>
      <c r="AB1887" s="6">
        <f>$K$1887*$V$1887</f>
        <v>0</v>
      </c>
      <c r="AC1887" s="6">
        <f>$M$1887*$W$1887</f>
        <v>48158.510159999998</v>
      </c>
      <c r="AD1887" s="6">
        <f>$O$1887*$X$1887</f>
        <v>45907.23199</v>
      </c>
      <c r="AE1887" s="6">
        <f>$K$1887*$Y$1887</f>
        <v>0</v>
      </c>
      <c r="AF1887" s="6">
        <f ca="1">$M$1887*$Z$1887</f>
        <v>61419.383073299046</v>
      </c>
      <c r="AG1887" s="6">
        <f>$O$1887*$AA$1887</f>
        <v>46351.69573250891</v>
      </c>
    </row>
    <row r="1888" spans="1:33" ht="11.25" customHeight="1" x14ac:dyDescent="0.25">
      <c r="A1888" s="4" t="s">
        <v>28</v>
      </c>
      <c r="B1888" s="4" t="s">
        <v>37</v>
      </c>
      <c r="C1888" s="4" t="s">
        <v>23</v>
      </c>
      <c r="D1888" s="4" t="s">
        <v>53</v>
      </c>
      <c r="E1888" s="4" t="s">
        <v>25</v>
      </c>
      <c r="F1888" s="4" t="s">
        <v>25</v>
      </c>
      <c r="G1888" s="4" t="s">
        <v>25</v>
      </c>
      <c r="H1888" s="4" t="s">
        <v>25</v>
      </c>
      <c r="I1888" s="5">
        <v>44409</v>
      </c>
      <c r="J1888" s="6">
        <v>0</v>
      </c>
      <c r="K1888" s="6">
        <v>0</v>
      </c>
      <c r="L1888" s="6">
        <v>1.794</v>
      </c>
      <c r="M1888" s="6">
        <v>1.794</v>
      </c>
      <c r="N1888" s="6">
        <v>1.794</v>
      </c>
      <c r="O1888" s="6">
        <v>1.794</v>
      </c>
      <c r="P1888" s="6">
        <v>1</v>
      </c>
      <c r="Q1888" s="4" t="s">
        <v>26</v>
      </c>
      <c r="R1888" s="4">
        <v>0</v>
      </c>
      <c r="S1888" s="6">
        <v>0</v>
      </c>
      <c r="T1888" s="6">
        <v>69</v>
      </c>
      <c r="U1888" s="6">
        <v>112</v>
      </c>
      <c r="V1888" s="6">
        <f>IF(ISERROR(VLOOKUP($S$1888,'TAR FIN'!$A$1:$O$116,15,0)),0,VLOOKUP($S$1888,'TAR FIN'!$A$1:$O$116,15,0))</f>
        <v>0</v>
      </c>
      <c r="W1888" s="6">
        <f>IF(ISERROR(VLOOKUP($T$1888,'TAR FIN'!$A$1:$O$116,15,0)),0,VLOOKUP($T$1888,'TAR FIN'!$A$1:$O$116,15,0))</f>
        <v>342.48</v>
      </c>
      <c r="X1888" s="6">
        <f>IF(ISERROR(VLOOKUP($U$1888,'TAR FIN'!$A$1:$O$116,15,0)),0,VLOOKUP($U$1888,'TAR FIN'!$A$1:$O$116,15,0))</f>
        <v>326.47000000000003</v>
      </c>
      <c r="Y1888" s="6"/>
      <c r="Z1888" s="6">
        <f ca="1">('TUSD BE'!$AM$71+'TUSD BF'!$AM$71+'TUSD CVA'!$AM$71)*1</f>
        <v>436.78490561809065</v>
      </c>
      <c r="AA1888" s="6">
        <f>('TE BE'!$AB$42+'TE BF'!$AB$42+'TE CVA'!$AB$42)*1</f>
        <v>329.63081087285968</v>
      </c>
      <c r="AB1888" s="6">
        <f>$K$1888*$V$1888</f>
        <v>0</v>
      </c>
      <c r="AC1888" s="6">
        <f>$M$1888*$W$1888</f>
        <v>614.40912000000003</v>
      </c>
      <c r="AD1888" s="6">
        <f>$O$1888*$X$1888</f>
        <v>585.68718000000001</v>
      </c>
      <c r="AE1888" s="6">
        <f>$K$1888*$Y$1888</f>
        <v>0</v>
      </c>
      <c r="AF1888" s="6">
        <f ca="1">$M$1888*$Z$1888</f>
        <v>783.5921206788546</v>
      </c>
      <c r="AG1888" s="6">
        <f>$O$1888*$AA$1888</f>
        <v>591.35767470591031</v>
      </c>
    </row>
    <row r="1889" spans="1:33" ht="11.25" customHeight="1" x14ac:dyDescent="0.25">
      <c r="A1889" s="4" t="s">
        <v>21</v>
      </c>
      <c r="B1889" s="4" t="s">
        <v>37</v>
      </c>
      <c r="C1889" s="4" t="s">
        <v>23</v>
      </c>
      <c r="D1889" s="4" t="s">
        <v>53</v>
      </c>
      <c r="E1889" s="4" t="s">
        <v>25</v>
      </c>
      <c r="F1889" s="4" t="s">
        <v>25</v>
      </c>
      <c r="G1889" s="4" t="s">
        <v>25</v>
      </c>
      <c r="H1889" s="4" t="s">
        <v>25</v>
      </c>
      <c r="I1889" s="5">
        <v>44440</v>
      </c>
      <c r="J1889" s="6">
        <v>0</v>
      </c>
      <c r="K1889" s="6">
        <v>0</v>
      </c>
      <c r="L1889" s="6">
        <v>166.33799999999999</v>
      </c>
      <c r="M1889" s="6">
        <v>166.33799999999999</v>
      </c>
      <c r="N1889" s="6">
        <v>166.33799999999999</v>
      </c>
      <c r="O1889" s="6">
        <v>166.33799999999999</v>
      </c>
      <c r="P1889" s="6">
        <v>143</v>
      </c>
      <c r="Q1889" s="4" t="s">
        <v>26</v>
      </c>
      <c r="R1889" s="4">
        <v>0</v>
      </c>
      <c r="S1889" s="6">
        <v>0</v>
      </c>
      <c r="T1889" s="6">
        <v>69</v>
      </c>
      <c r="U1889" s="6">
        <v>112</v>
      </c>
      <c r="V1889" s="6">
        <f>IF(ISERROR(VLOOKUP($S$1889,'TAR FIN'!$A$1:$O$116,15,0)),0,VLOOKUP($S$1889,'TAR FIN'!$A$1:$O$116,15,0))</f>
        <v>0</v>
      </c>
      <c r="W1889" s="6">
        <f>IF(ISERROR(VLOOKUP($T$1889,'TAR FIN'!$A$1:$O$116,15,0)),0,VLOOKUP($T$1889,'TAR FIN'!$A$1:$O$116,15,0))</f>
        <v>342.48</v>
      </c>
      <c r="X1889" s="6">
        <f>IF(ISERROR(VLOOKUP($U$1889,'TAR FIN'!$A$1:$O$116,15,0)),0,VLOOKUP($U$1889,'TAR FIN'!$A$1:$O$116,15,0))</f>
        <v>326.47000000000003</v>
      </c>
      <c r="Y1889" s="6"/>
      <c r="Z1889" s="6">
        <f ca="1">('TUSD BE'!$AM$71+'TUSD BF'!$AM$71+'TUSD CVA'!$AM$71)*1</f>
        <v>436.78490561809065</v>
      </c>
      <c r="AA1889" s="6">
        <f>('TE BE'!$AB$42+'TE BF'!$AB$42+'TE CVA'!$AB$42)*1</f>
        <v>329.63081087285968</v>
      </c>
      <c r="AB1889" s="6">
        <f>$K$1889*$V$1889</f>
        <v>0</v>
      </c>
      <c r="AC1889" s="6">
        <f>$M$1889*$W$1889</f>
        <v>56967.438240000003</v>
      </c>
      <c r="AD1889" s="6">
        <f>$O$1889*$X$1889</f>
        <v>54304.366860000002</v>
      </c>
      <c r="AE1889" s="6">
        <f>$K$1889*$Y$1889</f>
        <v>0</v>
      </c>
      <c r="AF1889" s="6">
        <f ca="1">$M$1889*$Z$1889</f>
        <v>72653.927630701961</v>
      </c>
      <c r="AG1889" s="6">
        <f>$O$1889*$AA$1889</f>
        <v>54830.129818969734</v>
      </c>
    </row>
    <row r="1890" spans="1:33" ht="11.25" customHeight="1" x14ac:dyDescent="0.25">
      <c r="A1890" s="4" t="s">
        <v>28</v>
      </c>
      <c r="B1890" s="4" t="s">
        <v>37</v>
      </c>
      <c r="C1890" s="4" t="s">
        <v>23</v>
      </c>
      <c r="D1890" s="4" t="s">
        <v>53</v>
      </c>
      <c r="E1890" s="4" t="s">
        <v>25</v>
      </c>
      <c r="F1890" s="4" t="s">
        <v>25</v>
      </c>
      <c r="G1890" s="4" t="s">
        <v>25</v>
      </c>
      <c r="H1890" s="4" t="s">
        <v>25</v>
      </c>
      <c r="I1890" s="5">
        <v>44440</v>
      </c>
      <c r="J1890" s="6">
        <v>0</v>
      </c>
      <c r="K1890" s="6">
        <v>0</v>
      </c>
      <c r="L1890" s="6">
        <v>0.51700000000000002</v>
      </c>
      <c r="M1890" s="6">
        <v>0.51700000000000002</v>
      </c>
      <c r="N1890" s="6">
        <v>0.51700000000000002</v>
      </c>
      <c r="O1890" s="6">
        <v>0.51700000000000002</v>
      </c>
      <c r="P1890" s="6">
        <v>1</v>
      </c>
      <c r="Q1890" s="4" t="s">
        <v>26</v>
      </c>
      <c r="R1890" s="4">
        <v>0</v>
      </c>
      <c r="S1890" s="6">
        <v>0</v>
      </c>
      <c r="T1890" s="6">
        <v>69</v>
      </c>
      <c r="U1890" s="6">
        <v>112</v>
      </c>
      <c r="V1890" s="6">
        <f>IF(ISERROR(VLOOKUP($S$1890,'TAR FIN'!$A$1:$O$116,15,0)),0,VLOOKUP($S$1890,'TAR FIN'!$A$1:$O$116,15,0))</f>
        <v>0</v>
      </c>
      <c r="W1890" s="6">
        <f>IF(ISERROR(VLOOKUP($T$1890,'TAR FIN'!$A$1:$O$116,15,0)),0,VLOOKUP($T$1890,'TAR FIN'!$A$1:$O$116,15,0))</f>
        <v>342.48</v>
      </c>
      <c r="X1890" s="6">
        <f>IF(ISERROR(VLOOKUP($U$1890,'TAR FIN'!$A$1:$O$116,15,0)),0,VLOOKUP($U$1890,'TAR FIN'!$A$1:$O$116,15,0))</f>
        <v>326.47000000000003</v>
      </c>
      <c r="Y1890" s="6"/>
      <c r="Z1890" s="6">
        <f ca="1">('TUSD BE'!$AM$71+'TUSD BF'!$AM$71+'TUSD CVA'!$AM$71)*1</f>
        <v>436.78490561809065</v>
      </c>
      <c r="AA1890" s="6">
        <f>('TE BE'!$AB$42+'TE BF'!$AB$42+'TE CVA'!$AB$42)*1</f>
        <v>329.63081087285968</v>
      </c>
      <c r="AB1890" s="6">
        <f>$K$1890*$V$1890</f>
        <v>0</v>
      </c>
      <c r="AC1890" s="6">
        <f>$M$1890*$W$1890</f>
        <v>177.06216000000001</v>
      </c>
      <c r="AD1890" s="6">
        <f>$O$1890*$X$1890</f>
        <v>168.78499000000002</v>
      </c>
      <c r="AE1890" s="6">
        <f>$K$1890*$Y$1890</f>
        <v>0</v>
      </c>
      <c r="AF1890" s="6">
        <f ca="1">$M$1890*$Z$1890</f>
        <v>225.81779620455288</v>
      </c>
      <c r="AG1890" s="6">
        <f>$O$1890*$AA$1890</f>
        <v>170.41912922126846</v>
      </c>
    </row>
    <row r="1891" spans="1:33" ht="11.25" customHeight="1" x14ac:dyDescent="0.25">
      <c r="A1891" s="4" t="s">
        <v>21</v>
      </c>
      <c r="B1891" s="4" t="s">
        <v>37</v>
      </c>
      <c r="C1891" s="4" t="s">
        <v>23</v>
      </c>
      <c r="D1891" s="4" t="s">
        <v>53</v>
      </c>
      <c r="E1891" s="4" t="s">
        <v>25</v>
      </c>
      <c r="F1891" s="4" t="s">
        <v>25</v>
      </c>
      <c r="G1891" s="4" t="s">
        <v>25</v>
      </c>
      <c r="H1891" s="4" t="s">
        <v>25</v>
      </c>
      <c r="I1891" s="5">
        <v>44470</v>
      </c>
      <c r="J1891" s="6">
        <v>0</v>
      </c>
      <c r="K1891" s="6">
        <v>0</v>
      </c>
      <c r="L1891" s="6">
        <v>152.26499999999999</v>
      </c>
      <c r="M1891" s="6">
        <v>152.26499999999999</v>
      </c>
      <c r="N1891" s="6">
        <v>152.26499999999999</v>
      </c>
      <c r="O1891" s="6">
        <v>152.26499999999999</v>
      </c>
      <c r="P1891" s="6">
        <v>142</v>
      </c>
      <c r="Q1891" s="4" t="s">
        <v>26</v>
      </c>
      <c r="R1891" s="4">
        <v>0</v>
      </c>
      <c r="S1891" s="6">
        <v>0</v>
      </c>
      <c r="T1891" s="6">
        <v>69</v>
      </c>
      <c r="U1891" s="6">
        <v>112</v>
      </c>
      <c r="V1891" s="6">
        <f>IF(ISERROR(VLOOKUP($S$1891,'TAR FIN'!$A$1:$O$116,15,0)),0,VLOOKUP($S$1891,'TAR FIN'!$A$1:$O$116,15,0))</f>
        <v>0</v>
      </c>
      <c r="W1891" s="6">
        <f>IF(ISERROR(VLOOKUP($T$1891,'TAR FIN'!$A$1:$O$116,15,0)),0,VLOOKUP($T$1891,'TAR FIN'!$A$1:$O$116,15,0))</f>
        <v>342.48</v>
      </c>
      <c r="X1891" s="6">
        <f>IF(ISERROR(VLOOKUP($U$1891,'TAR FIN'!$A$1:$O$116,15,0)),0,VLOOKUP($U$1891,'TAR FIN'!$A$1:$O$116,15,0))</f>
        <v>326.47000000000003</v>
      </c>
      <c r="Y1891" s="6"/>
      <c r="Z1891" s="6">
        <f ca="1">('TUSD BE'!$AM$71+'TUSD BF'!$AM$71+'TUSD CVA'!$AM$71)*1</f>
        <v>436.78490561809065</v>
      </c>
      <c r="AA1891" s="6">
        <f>('TE BE'!$AB$42+'TE BF'!$AB$42+'TE CVA'!$AB$42)*1</f>
        <v>329.63081087285968</v>
      </c>
      <c r="AB1891" s="6">
        <f>$K$1891*$V$1891</f>
        <v>0</v>
      </c>
      <c r="AC1891" s="6">
        <f>$M$1891*$W$1891</f>
        <v>52147.717199999999</v>
      </c>
      <c r="AD1891" s="6">
        <f>$O$1891*$X$1891</f>
        <v>49709.954550000002</v>
      </c>
      <c r="AE1891" s="6">
        <f>$K$1891*$Y$1891</f>
        <v>0</v>
      </c>
      <c r="AF1891" s="6">
        <f ca="1">$M$1891*$Z$1891</f>
        <v>66507.053653938565</v>
      </c>
      <c r="AG1891" s="6">
        <f>$O$1891*$AA$1891</f>
        <v>50191.235417555974</v>
      </c>
    </row>
    <row r="1892" spans="1:33" ht="11.25" customHeight="1" x14ac:dyDescent="0.25">
      <c r="A1892" s="4" t="s">
        <v>28</v>
      </c>
      <c r="B1892" s="4" t="s">
        <v>37</v>
      </c>
      <c r="C1892" s="4" t="s">
        <v>23</v>
      </c>
      <c r="D1892" s="4" t="s">
        <v>53</v>
      </c>
      <c r="E1892" s="4" t="s">
        <v>25</v>
      </c>
      <c r="F1892" s="4" t="s">
        <v>25</v>
      </c>
      <c r="G1892" s="4" t="s">
        <v>25</v>
      </c>
      <c r="H1892" s="4" t="s">
        <v>25</v>
      </c>
      <c r="I1892" s="5">
        <v>44470</v>
      </c>
      <c r="J1892" s="6">
        <v>0</v>
      </c>
      <c r="K1892" s="6">
        <v>0</v>
      </c>
      <c r="L1892" s="6">
        <v>1.821</v>
      </c>
      <c r="M1892" s="6">
        <v>1.821</v>
      </c>
      <c r="N1892" s="6">
        <v>1.821</v>
      </c>
      <c r="O1892" s="6">
        <v>1.821</v>
      </c>
      <c r="P1892" s="6">
        <v>1</v>
      </c>
      <c r="Q1892" s="4" t="s">
        <v>26</v>
      </c>
      <c r="R1892" s="4">
        <v>0</v>
      </c>
      <c r="S1892" s="6">
        <v>0</v>
      </c>
      <c r="T1892" s="6">
        <v>69</v>
      </c>
      <c r="U1892" s="6">
        <v>112</v>
      </c>
      <c r="V1892" s="6">
        <f>IF(ISERROR(VLOOKUP($S$1892,'TAR FIN'!$A$1:$O$116,15,0)),0,VLOOKUP($S$1892,'TAR FIN'!$A$1:$O$116,15,0))</f>
        <v>0</v>
      </c>
      <c r="W1892" s="6">
        <f>IF(ISERROR(VLOOKUP($T$1892,'TAR FIN'!$A$1:$O$116,15,0)),0,VLOOKUP($T$1892,'TAR FIN'!$A$1:$O$116,15,0))</f>
        <v>342.48</v>
      </c>
      <c r="X1892" s="6">
        <f>IF(ISERROR(VLOOKUP($U$1892,'TAR FIN'!$A$1:$O$116,15,0)),0,VLOOKUP($U$1892,'TAR FIN'!$A$1:$O$116,15,0))</f>
        <v>326.47000000000003</v>
      </c>
      <c r="Y1892" s="6"/>
      <c r="Z1892" s="6">
        <f ca="1">('TUSD BE'!$AM$71+'TUSD BF'!$AM$71+'TUSD CVA'!$AM$71)*1</f>
        <v>436.78490561809065</v>
      </c>
      <c r="AA1892" s="6">
        <f>('TE BE'!$AB$42+'TE BF'!$AB$42+'TE CVA'!$AB$42)*1</f>
        <v>329.63081087285968</v>
      </c>
      <c r="AB1892" s="6">
        <f>$K$1892*$V$1892</f>
        <v>0</v>
      </c>
      <c r="AC1892" s="6">
        <f>$M$1892*$W$1892</f>
        <v>623.65607999999997</v>
      </c>
      <c r="AD1892" s="6">
        <f>$O$1892*$X$1892</f>
        <v>594.50187000000005</v>
      </c>
      <c r="AE1892" s="6">
        <f>$K$1892*$Y$1892</f>
        <v>0</v>
      </c>
      <c r="AF1892" s="6">
        <f ca="1">$M$1892*$Z$1892</f>
        <v>795.38531313054307</v>
      </c>
      <c r="AG1892" s="6">
        <f>$O$1892*$AA$1892</f>
        <v>600.2577065994775</v>
      </c>
    </row>
    <row r="1893" spans="1:33" ht="11.25" customHeight="1" x14ac:dyDescent="0.25">
      <c r="A1893" s="4" t="s">
        <v>21</v>
      </c>
      <c r="B1893" s="4" t="s">
        <v>37</v>
      </c>
      <c r="C1893" s="4" t="s">
        <v>23</v>
      </c>
      <c r="D1893" s="4" t="s">
        <v>53</v>
      </c>
      <c r="E1893" s="4" t="s">
        <v>25</v>
      </c>
      <c r="F1893" s="4" t="s">
        <v>25</v>
      </c>
      <c r="G1893" s="4" t="s">
        <v>25</v>
      </c>
      <c r="H1893" s="4" t="s">
        <v>25</v>
      </c>
      <c r="I1893" s="5">
        <v>44501</v>
      </c>
      <c r="J1893" s="6">
        <v>0</v>
      </c>
      <c r="K1893" s="6">
        <v>0</v>
      </c>
      <c r="L1893" s="6">
        <v>153.399</v>
      </c>
      <c r="M1893" s="6">
        <v>153.399</v>
      </c>
      <c r="N1893" s="6">
        <v>153.399</v>
      </c>
      <c r="O1893" s="6">
        <v>153.399</v>
      </c>
      <c r="P1893" s="6">
        <v>142</v>
      </c>
      <c r="Q1893" s="4" t="s">
        <v>26</v>
      </c>
      <c r="R1893" s="4">
        <v>0</v>
      </c>
      <c r="S1893" s="6">
        <v>0</v>
      </c>
      <c r="T1893" s="6">
        <v>69</v>
      </c>
      <c r="U1893" s="6">
        <v>112</v>
      </c>
      <c r="V1893" s="6">
        <f>IF(ISERROR(VLOOKUP($S$1893,'TAR FIN'!$A$1:$O$116,15,0)),0,VLOOKUP($S$1893,'TAR FIN'!$A$1:$O$116,15,0))</f>
        <v>0</v>
      </c>
      <c r="W1893" s="6">
        <f>IF(ISERROR(VLOOKUP($T$1893,'TAR FIN'!$A$1:$O$116,15,0)),0,VLOOKUP($T$1893,'TAR FIN'!$A$1:$O$116,15,0))</f>
        <v>342.48</v>
      </c>
      <c r="X1893" s="6">
        <f>IF(ISERROR(VLOOKUP($U$1893,'TAR FIN'!$A$1:$O$116,15,0)),0,VLOOKUP($U$1893,'TAR FIN'!$A$1:$O$116,15,0))</f>
        <v>326.47000000000003</v>
      </c>
      <c r="Y1893" s="6"/>
      <c r="Z1893" s="6">
        <f ca="1">('TUSD BE'!$AM$71+'TUSD BF'!$AM$71+'TUSD CVA'!$AM$71)*1</f>
        <v>436.78490561809065</v>
      </c>
      <c r="AA1893" s="6">
        <f>('TE BE'!$AB$42+'TE BF'!$AB$42+'TE CVA'!$AB$42)*1</f>
        <v>329.63081087285968</v>
      </c>
      <c r="AB1893" s="6">
        <f>$K$1893*$V$1893</f>
        <v>0</v>
      </c>
      <c r="AC1893" s="6">
        <f>$M$1893*$W$1893</f>
        <v>52536.089520000001</v>
      </c>
      <c r="AD1893" s="6">
        <f>$O$1893*$X$1893</f>
        <v>50080.171530000007</v>
      </c>
      <c r="AE1893" s="6">
        <f>$K$1893*$Y$1893</f>
        <v>0</v>
      </c>
      <c r="AF1893" s="6">
        <f ca="1">$M$1893*$Z$1893</f>
        <v>67002.367736909495</v>
      </c>
      <c r="AG1893" s="6">
        <f>$O$1893*$AA$1893</f>
        <v>50565.0367570858</v>
      </c>
    </row>
    <row r="1894" spans="1:33" ht="11.25" customHeight="1" x14ac:dyDescent="0.25">
      <c r="A1894" s="4" t="s">
        <v>28</v>
      </c>
      <c r="B1894" s="4" t="s">
        <v>37</v>
      </c>
      <c r="C1894" s="4" t="s">
        <v>23</v>
      </c>
      <c r="D1894" s="4" t="s">
        <v>53</v>
      </c>
      <c r="E1894" s="4" t="s">
        <v>25</v>
      </c>
      <c r="F1894" s="4" t="s">
        <v>25</v>
      </c>
      <c r="G1894" s="4" t="s">
        <v>25</v>
      </c>
      <c r="H1894" s="4" t="s">
        <v>25</v>
      </c>
      <c r="I1894" s="5">
        <v>44501</v>
      </c>
      <c r="J1894" s="6">
        <v>0</v>
      </c>
      <c r="K1894" s="6">
        <v>0</v>
      </c>
      <c r="L1894" s="6">
        <v>1.202</v>
      </c>
      <c r="M1894" s="6">
        <v>1.202</v>
      </c>
      <c r="N1894" s="6">
        <v>1.202</v>
      </c>
      <c r="O1894" s="6">
        <v>1.202</v>
      </c>
      <c r="P1894" s="6">
        <v>1</v>
      </c>
      <c r="Q1894" s="4" t="s">
        <v>26</v>
      </c>
      <c r="R1894" s="4">
        <v>0</v>
      </c>
      <c r="S1894" s="6">
        <v>0</v>
      </c>
      <c r="T1894" s="6">
        <v>69</v>
      </c>
      <c r="U1894" s="6">
        <v>112</v>
      </c>
      <c r="V1894" s="6">
        <f>IF(ISERROR(VLOOKUP($S$1894,'TAR FIN'!$A$1:$O$116,15,0)),0,VLOOKUP($S$1894,'TAR FIN'!$A$1:$O$116,15,0))</f>
        <v>0</v>
      </c>
      <c r="W1894" s="6">
        <f>IF(ISERROR(VLOOKUP($T$1894,'TAR FIN'!$A$1:$O$116,15,0)),0,VLOOKUP($T$1894,'TAR FIN'!$A$1:$O$116,15,0))</f>
        <v>342.48</v>
      </c>
      <c r="X1894" s="6">
        <f>IF(ISERROR(VLOOKUP($U$1894,'TAR FIN'!$A$1:$O$116,15,0)),0,VLOOKUP($U$1894,'TAR FIN'!$A$1:$O$116,15,0))</f>
        <v>326.47000000000003</v>
      </c>
      <c r="Y1894" s="6"/>
      <c r="Z1894" s="6">
        <f ca="1">('TUSD BE'!$AM$71+'TUSD BF'!$AM$71+'TUSD CVA'!$AM$71)*1</f>
        <v>436.78490561809065</v>
      </c>
      <c r="AA1894" s="6">
        <f>('TE BE'!$AB$42+'TE BF'!$AB$42+'TE CVA'!$AB$42)*1</f>
        <v>329.63081087285968</v>
      </c>
      <c r="AB1894" s="6">
        <f>$K$1894*$V$1894</f>
        <v>0</v>
      </c>
      <c r="AC1894" s="6">
        <f>$M$1894*$W$1894</f>
        <v>411.66095999999999</v>
      </c>
      <c r="AD1894" s="6">
        <f>$O$1894*$X$1894</f>
        <v>392.41694000000001</v>
      </c>
      <c r="AE1894" s="6">
        <f>$K$1894*$Y$1894</f>
        <v>0</v>
      </c>
      <c r="AF1894" s="6">
        <f ca="1">$M$1894*$Z$1894</f>
        <v>525.0154565529449</v>
      </c>
      <c r="AG1894" s="6">
        <f>$O$1894*$AA$1894</f>
        <v>396.21623466917731</v>
      </c>
    </row>
    <row r="1895" spans="1:33" ht="11.25" customHeight="1" x14ac:dyDescent="0.25">
      <c r="A1895" s="4" t="s">
        <v>21</v>
      </c>
      <c r="B1895" s="4" t="s">
        <v>37</v>
      </c>
      <c r="C1895" s="4" t="s">
        <v>23</v>
      </c>
      <c r="D1895" s="4" t="s">
        <v>53</v>
      </c>
      <c r="E1895" s="4" t="s">
        <v>25</v>
      </c>
      <c r="F1895" s="4" t="s">
        <v>25</v>
      </c>
      <c r="G1895" s="4" t="s">
        <v>25</v>
      </c>
      <c r="H1895" s="4" t="s">
        <v>25</v>
      </c>
      <c r="I1895" s="5">
        <v>44531</v>
      </c>
      <c r="J1895" s="6">
        <v>0</v>
      </c>
      <c r="K1895" s="6">
        <v>0</v>
      </c>
      <c r="L1895" s="6">
        <v>160.524</v>
      </c>
      <c r="M1895" s="6">
        <v>160.524</v>
      </c>
      <c r="N1895" s="6">
        <v>160.524</v>
      </c>
      <c r="O1895" s="6">
        <v>160.524</v>
      </c>
      <c r="P1895" s="6">
        <v>145</v>
      </c>
      <c r="Q1895" s="4" t="s">
        <v>26</v>
      </c>
      <c r="R1895" s="4">
        <v>0</v>
      </c>
      <c r="S1895" s="6">
        <v>0</v>
      </c>
      <c r="T1895" s="6">
        <v>69</v>
      </c>
      <c r="U1895" s="6">
        <v>112</v>
      </c>
      <c r="V1895" s="6">
        <f>IF(ISERROR(VLOOKUP($S$1895,'TAR FIN'!$A$1:$O$116,15,0)),0,VLOOKUP($S$1895,'TAR FIN'!$A$1:$O$116,15,0))</f>
        <v>0</v>
      </c>
      <c r="W1895" s="6">
        <f>IF(ISERROR(VLOOKUP($T$1895,'TAR FIN'!$A$1:$O$116,15,0)),0,VLOOKUP($T$1895,'TAR FIN'!$A$1:$O$116,15,0))</f>
        <v>342.48</v>
      </c>
      <c r="X1895" s="6">
        <f>IF(ISERROR(VLOOKUP($U$1895,'TAR FIN'!$A$1:$O$116,15,0)),0,VLOOKUP($U$1895,'TAR FIN'!$A$1:$O$116,15,0))</f>
        <v>326.47000000000003</v>
      </c>
      <c r="Y1895" s="6"/>
      <c r="Z1895" s="6">
        <f ca="1">('TUSD BE'!$AM$71+'TUSD BF'!$AM$71+'TUSD CVA'!$AM$71)*1</f>
        <v>436.78490561809065</v>
      </c>
      <c r="AA1895" s="6">
        <f>('TE BE'!$AB$42+'TE BF'!$AB$42+'TE CVA'!$AB$42)*1</f>
        <v>329.63081087285968</v>
      </c>
      <c r="AB1895" s="6">
        <f>$K$1895*$V$1895</f>
        <v>0</v>
      </c>
      <c r="AC1895" s="6">
        <f>$M$1895*$W$1895</f>
        <v>54976.25952</v>
      </c>
      <c r="AD1895" s="6">
        <f>$O$1895*$X$1895</f>
        <v>52406.270280000004</v>
      </c>
      <c r="AE1895" s="6">
        <f>$K$1895*$Y$1895</f>
        <v>0</v>
      </c>
      <c r="AF1895" s="6">
        <f ca="1">$M$1895*$Z$1895</f>
        <v>70114.460189438381</v>
      </c>
      <c r="AG1895" s="6">
        <f>$O$1895*$AA$1895</f>
        <v>52913.656284554927</v>
      </c>
    </row>
    <row r="1896" spans="1:33" ht="11.25" customHeight="1" x14ac:dyDescent="0.25">
      <c r="A1896" s="4" t="s">
        <v>27</v>
      </c>
      <c r="B1896" s="4" t="s">
        <v>37</v>
      </c>
      <c r="C1896" s="4" t="s">
        <v>23</v>
      </c>
      <c r="D1896" s="4" t="s">
        <v>53</v>
      </c>
      <c r="E1896" s="4" t="s">
        <v>25</v>
      </c>
      <c r="F1896" s="4" t="s">
        <v>25</v>
      </c>
      <c r="G1896" s="4" t="s">
        <v>25</v>
      </c>
      <c r="H1896" s="4" t="s">
        <v>25</v>
      </c>
      <c r="I1896" s="5">
        <v>44531</v>
      </c>
      <c r="J1896" s="6">
        <v>0</v>
      </c>
      <c r="K1896" s="6">
        <v>0</v>
      </c>
      <c r="L1896" s="6">
        <v>0.253</v>
      </c>
      <c r="M1896" s="6">
        <v>0.253</v>
      </c>
      <c r="N1896" s="6">
        <v>0.253</v>
      </c>
      <c r="O1896" s="6">
        <v>0.253</v>
      </c>
      <c r="P1896" s="6">
        <v>2</v>
      </c>
      <c r="Q1896" s="4" t="s">
        <v>26</v>
      </c>
      <c r="R1896" s="4">
        <v>0</v>
      </c>
      <c r="S1896" s="6">
        <v>0</v>
      </c>
      <c r="T1896" s="6">
        <v>69</v>
      </c>
      <c r="U1896" s="6">
        <v>112</v>
      </c>
      <c r="V1896" s="6">
        <f>IF(ISERROR(VLOOKUP($S$1896,'TAR FIN'!$A$1:$O$116,15,0)),0,VLOOKUP($S$1896,'TAR FIN'!$A$1:$O$116,15,0))</f>
        <v>0</v>
      </c>
      <c r="W1896" s="6">
        <f>IF(ISERROR(VLOOKUP($T$1896,'TAR FIN'!$A$1:$O$116,15,0)),0,VLOOKUP($T$1896,'TAR FIN'!$A$1:$O$116,15,0))</f>
        <v>342.48</v>
      </c>
      <c r="X1896" s="6">
        <f>IF(ISERROR(VLOOKUP($U$1896,'TAR FIN'!$A$1:$O$116,15,0)),0,VLOOKUP($U$1896,'TAR FIN'!$A$1:$O$116,15,0))</f>
        <v>326.47000000000003</v>
      </c>
      <c r="Y1896" s="6"/>
      <c r="Z1896" s="6">
        <f ca="1">('TUSD BE'!$AM$71+'TUSD BF'!$AM$71+'TUSD CVA'!$AM$71)*1</f>
        <v>436.78490561809065</v>
      </c>
      <c r="AA1896" s="6">
        <f>('TE BE'!$AB$42+'TE BF'!$AB$42+'TE CVA'!$AB$42)*1</f>
        <v>329.63081087285968</v>
      </c>
      <c r="AB1896" s="6">
        <f>$K$1896*$V$1896</f>
        <v>0</v>
      </c>
      <c r="AC1896" s="6">
        <f>$M$1896*$W$1896</f>
        <v>86.647440000000003</v>
      </c>
      <c r="AD1896" s="6">
        <f>$O$1896*$X$1896</f>
        <v>82.596910000000008</v>
      </c>
      <c r="AE1896" s="6">
        <f>$K$1896*$Y$1896</f>
        <v>0</v>
      </c>
      <c r="AF1896" s="6">
        <f ca="1">$M$1896*$Z$1896</f>
        <v>110.50658112137694</v>
      </c>
      <c r="AG1896" s="6">
        <f>$O$1896*$AA$1896</f>
        <v>83.396595150833505</v>
      </c>
    </row>
    <row r="1897" spans="1:33" ht="11.25" customHeight="1" x14ac:dyDescent="0.25">
      <c r="A1897" s="4" t="s">
        <v>28</v>
      </c>
      <c r="B1897" s="4" t="s">
        <v>37</v>
      </c>
      <c r="C1897" s="4" t="s">
        <v>23</v>
      </c>
      <c r="D1897" s="4" t="s">
        <v>53</v>
      </c>
      <c r="E1897" s="4" t="s">
        <v>25</v>
      </c>
      <c r="F1897" s="4" t="s">
        <v>25</v>
      </c>
      <c r="G1897" s="4" t="s">
        <v>25</v>
      </c>
      <c r="H1897" s="4" t="s">
        <v>25</v>
      </c>
      <c r="I1897" s="5">
        <v>44531</v>
      </c>
      <c r="J1897" s="6">
        <v>0</v>
      </c>
      <c r="K1897" s="6">
        <v>0</v>
      </c>
      <c r="L1897" s="6">
        <v>1.752</v>
      </c>
      <c r="M1897" s="6">
        <v>1.752</v>
      </c>
      <c r="N1897" s="6">
        <v>1.752</v>
      </c>
      <c r="O1897" s="6">
        <v>1.752</v>
      </c>
      <c r="P1897" s="6">
        <v>1</v>
      </c>
      <c r="Q1897" s="4" t="s">
        <v>26</v>
      </c>
      <c r="R1897" s="4">
        <v>0</v>
      </c>
      <c r="S1897" s="6">
        <v>0</v>
      </c>
      <c r="T1897" s="6">
        <v>69</v>
      </c>
      <c r="U1897" s="6">
        <v>112</v>
      </c>
      <c r="V1897" s="6">
        <f>IF(ISERROR(VLOOKUP($S$1897,'TAR FIN'!$A$1:$O$116,15,0)),0,VLOOKUP($S$1897,'TAR FIN'!$A$1:$O$116,15,0))</f>
        <v>0</v>
      </c>
      <c r="W1897" s="6">
        <f>IF(ISERROR(VLOOKUP($T$1897,'TAR FIN'!$A$1:$O$116,15,0)),0,VLOOKUP($T$1897,'TAR FIN'!$A$1:$O$116,15,0))</f>
        <v>342.48</v>
      </c>
      <c r="X1897" s="6">
        <f>IF(ISERROR(VLOOKUP($U$1897,'TAR FIN'!$A$1:$O$116,15,0)),0,VLOOKUP($U$1897,'TAR FIN'!$A$1:$O$116,15,0))</f>
        <v>326.47000000000003</v>
      </c>
      <c r="Y1897" s="6"/>
      <c r="Z1897" s="6">
        <f ca="1">('TUSD BE'!$AM$71+'TUSD BF'!$AM$71+'TUSD CVA'!$AM$71)*1</f>
        <v>436.78490561809065</v>
      </c>
      <c r="AA1897" s="6">
        <f>('TE BE'!$AB$42+'TE BF'!$AB$42+'TE CVA'!$AB$42)*1</f>
        <v>329.63081087285968</v>
      </c>
      <c r="AB1897" s="6">
        <f>$K$1897*$V$1897</f>
        <v>0</v>
      </c>
      <c r="AC1897" s="6">
        <f>$M$1897*$W$1897</f>
        <v>600.02496000000008</v>
      </c>
      <c r="AD1897" s="6">
        <f>$O$1897*$X$1897</f>
        <v>571.97544000000005</v>
      </c>
      <c r="AE1897" s="6">
        <f>$K$1897*$Y$1897</f>
        <v>0</v>
      </c>
      <c r="AF1897" s="6">
        <f ca="1">$M$1897*$Z$1897</f>
        <v>765.24715464289477</v>
      </c>
      <c r="AG1897" s="6">
        <f>$O$1897*$AA$1897</f>
        <v>577.51318064925022</v>
      </c>
    </row>
    <row r="1898" spans="1:33" ht="11.25" customHeight="1" x14ac:dyDescent="0.25">
      <c r="A1898" s="4" t="s">
        <v>21</v>
      </c>
      <c r="B1898" s="4" t="s">
        <v>37</v>
      </c>
      <c r="C1898" s="4" t="s">
        <v>23</v>
      </c>
      <c r="D1898" s="4" t="s">
        <v>53</v>
      </c>
      <c r="E1898" s="4" t="s">
        <v>25</v>
      </c>
      <c r="F1898" s="4" t="s">
        <v>25</v>
      </c>
      <c r="G1898" s="4" t="s">
        <v>25</v>
      </c>
      <c r="H1898" s="4" t="s">
        <v>25</v>
      </c>
      <c r="I1898" s="5">
        <v>44562</v>
      </c>
      <c r="J1898" s="6">
        <v>0</v>
      </c>
      <c r="K1898" s="6">
        <v>0</v>
      </c>
      <c r="L1898" s="6">
        <v>152.55799999999999</v>
      </c>
      <c r="M1898" s="6">
        <v>152.55799999999999</v>
      </c>
      <c r="N1898" s="6">
        <v>152.55799999999999</v>
      </c>
      <c r="O1898" s="6">
        <v>152.55799999999999</v>
      </c>
      <c r="P1898" s="6">
        <v>144</v>
      </c>
      <c r="Q1898" s="4" t="s">
        <v>26</v>
      </c>
      <c r="R1898" s="4">
        <v>0</v>
      </c>
      <c r="S1898" s="6">
        <v>0</v>
      </c>
      <c r="T1898" s="6">
        <v>69</v>
      </c>
      <c r="U1898" s="6">
        <v>112</v>
      </c>
      <c r="V1898" s="6">
        <f>IF(ISERROR(VLOOKUP($S$1898,'TAR FIN'!$A$1:$O$116,15,0)),0,VLOOKUP($S$1898,'TAR FIN'!$A$1:$O$116,15,0))</f>
        <v>0</v>
      </c>
      <c r="W1898" s="6">
        <f>IF(ISERROR(VLOOKUP($T$1898,'TAR FIN'!$A$1:$O$116,15,0)),0,VLOOKUP($T$1898,'TAR FIN'!$A$1:$O$116,15,0))</f>
        <v>342.48</v>
      </c>
      <c r="X1898" s="6">
        <f>IF(ISERROR(VLOOKUP($U$1898,'TAR FIN'!$A$1:$O$116,15,0)),0,VLOOKUP($U$1898,'TAR FIN'!$A$1:$O$116,15,0))</f>
        <v>326.47000000000003</v>
      </c>
      <c r="Y1898" s="6"/>
      <c r="Z1898" s="6">
        <f ca="1">('TUSD BE'!$AM$71+'TUSD BF'!$AM$71+'TUSD CVA'!$AM$71)*1</f>
        <v>436.78490561809065</v>
      </c>
      <c r="AA1898" s="6">
        <f>('TE BE'!$AB$42+'TE BF'!$AB$42+'TE CVA'!$AB$42)*1</f>
        <v>329.63081087285968</v>
      </c>
      <c r="AB1898" s="6">
        <f>$K$1898*$V$1898</f>
        <v>0</v>
      </c>
      <c r="AC1898" s="6">
        <f>$M$1898*$W$1898</f>
        <v>52248.063840000003</v>
      </c>
      <c r="AD1898" s="6">
        <f>$O$1898*$X$1898</f>
        <v>49805.610260000001</v>
      </c>
      <c r="AE1898" s="6">
        <f>$K$1898*$Y$1898</f>
        <v>0</v>
      </c>
      <c r="AF1898" s="6">
        <f ca="1">$M$1898*$Z$1898</f>
        <v>66635.03163128467</v>
      </c>
      <c r="AG1898" s="6">
        <f>$O$1898*$AA$1898</f>
        <v>50287.817245141727</v>
      </c>
    </row>
    <row r="1899" spans="1:33" ht="11.25" customHeight="1" x14ac:dyDescent="0.25">
      <c r="A1899" s="4" t="s">
        <v>28</v>
      </c>
      <c r="B1899" s="4" t="s">
        <v>37</v>
      </c>
      <c r="C1899" s="4" t="s">
        <v>23</v>
      </c>
      <c r="D1899" s="4" t="s">
        <v>53</v>
      </c>
      <c r="E1899" s="4" t="s">
        <v>25</v>
      </c>
      <c r="F1899" s="4" t="s">
        <v>25</v>
      </c>
      <c r="G1899" s="4" t="s">
        <v>25</v>
      </c>
      <c r="H1899" s="4" t="s">
        <v>25</v>
      </c>
      <c r="I1899" s="5">
        <v>44562</v>
      </c>
      <c r="J1899" s="6">
        <v>0</v>
      </c>
      <c r="K1899" s="6">
        <v>0</v>
      </c>
      <c r="L1899" s="6">
        <v>1.2</v>
      </c>
      <c r="M1899" s="6">
        <v>1.2</v>
      </c>
      <c r="N1899" s="6">
        <v>1.2</v>
      </c>
      <c r="O1899" s="6">
        <v>1.2</v>
      </c>
      <c r="P1899" s="6">
        <v>1</v>
      </c>
      <c r="Q1899" s="4" t="s">
        <v>26</v>
      </c>
      <c r="R1899" s="4">
        <v>0</v>
      </c>
      <c r="S1899" s="6">
        <v>0</v>
      </c>
      <c r="T1899" s="6">
        <v>69</v>
      </c>
      <c r="U1899" s="6">
        <v>112</v>
      </c>
      <c r="V1899" s="6">
        <f>IF(ISERROR(VLOOKUP($S$1899,'TAR FIN'!$A$1:$O$116,15,0)),0,VLOOKUP($S$1899,'TAR FIN'!$A$1:$O$116,15,0))</f>
        <v>0</v>
      </c>
      <c r="W1899" s="6">
        <f>IF(ISERROR(VLOOKUP($T$1899,'TAR FIN'!$A$1:$O$116,15,0)),0,VLOOKUP($T$1899,'TAR FIN'!$A$1:$O$116,15,0))</f>
        <v>342.48</v>
      </c>
      <c r="X1899" s="6">
        <f>IF(ISERROR(VLOOKUP($U$1899,'TAR FIN'!$A$1:$O$116,15,0)),0,VLOOKUP($U$1899,'TAR FIN'!$A$1:$O$116,15,0))</f>
        <v>326.47000000000003</v>
      </c>
      <c r="Y1899" s="6"/>
      <c r="Z1899" s="6">
        <f ca="1">('TUSD BE'!$AM$71+'TUSD BF'!$AM$71+'TUSD CVA'!$AM$71)*1</f>
        <v>436.78490561809065</v>
      </c>
      <c r="AA1899" s="6">
        <f>('TE BE'!$AB$42+'TE BF'!$AB$42+'TE CVA'!$AB$42)*1</f>
        <v>329.63081087285968</v>
      </c>
      <c r="AB1899" s="6">
        <f>$K$1899*$V$1899</f>
        <v>0</v>
      </c>
      <c r="AC1899" s="6">
        <f>$M$1899*$W$1899</f>
        <v>410.976</v>
      </c>
      <c r="AD1899" s="6">
        <f>$O$1899*$X$1899</f>
        <v>391.76400000000001</v>
      </c>
      <c r="AE1899" s="6">
        <f>$K$1899*$Y$1899</f>
        <v>0</v>
      </c>
      <c r="AF1899" s="6">
        <f ca="1">$M$1899*$Z$1899</f>
        <v>524.14188674170873</v>
      </c>
      <c r="AG1899" s="6">
        <f>$O$1899*$AA$1899</f>
        <v>395.5569730474316</v>
      </c>
    </row>
    <row r="1900" spans="1:33" ht="11.25" customHeight="1" x14ac:dyDescent="0.25">
      <c r="A1900" s="4" t="s">
        <v>21</v>
      </c>
      <c r="B1900" s="4" t="s">
        <v>37</v>
      </c>
      <c r="C1900" s="4" t="s">
        <v>23</v>
      </c>
      <c r="D1900" s="4" t="s">
        <v>53</v>
      </c>
      <c r="E1900" s="4" t="s">
        <v>25</v>
      </c>
      <c r="F1900" s="4" t="s">
        <v>25</v>
      </c>
      <c r="G1900" s="4" t="s">
        <v>25</v>
      </c>
      <c r="H1900" s="4" t="s">
        <v>25</v>
      </c>
      <c r="I1900" s="5">
        <v>44593</v>
      </c>
      <c r="J1900" s="6">
        <v>0</v>
      </c>
      <c r="K1900" s="6">
        <v>0</v>
      </c>
      <c r="L1900" s="6">
        <v>151.714</v>
      </c>
      <c r="M1900" s="6">
        <v>151.714</v>
      </c>
      <c r="N1900" s="6">
        <v>151.714</v>
      </c>
      <c r="O1900" s="6">
        <v>151.714</v>
      </c>
      <c r="P1900" s="6">
        <v>144</v>
      </c>
      <c r="Q1900" s="4" t="s">
        <v>26</v>
      </c>
      <c r="R1900" s="4">
        <v>0</v>
      </c>
      <c r="S1900" s="6">
        <v>0</v>
      </c>
      <c r="T1900" s="6">
        <v>69</v>
      </c>
      <c r="U1900" s="6">
        <v>112</v>
      </c>
      <c r="V1900" s="6">
        <f>IF(ISERROR(VLOOKUP($S$1900,'TAR FIN'!$A$1:$O$116,15,0)),0,VLOOKUP($S$1900,'TAR FIN'!$A$1:$O$116,15,0))</f>
        <v>0</v>
      </c>
      <c r="W1900" s="6">
        <f>IF(ISERROR(VLOOKUP($T$1900,'TAR FIN'!$A$1:$O$116,15,0)),0,VLOOKUP($T$1900,'TAR FIN'!$A$1:$O$116,15,0))</f>
        <v>342.48</v>
      </c>
      <c r="X1900" s="6">
        <f>IF(ISERROR(VLOOKUP($U$1900,'TAR FIN'!$A$1:$O$116,15,0)),0,VLOOKUP($U$1900,'TAR FIN'!$A$1:$O$116,15,0))</f>
        <v>326.47000000000003</v>
      </c>
      <c r="Y1900" s="6"/>
      <c r="Z1900" s="6">
        <f ca="1">('TUSD BE'!$AM$71+'TUSD BF'!$AM$71+'TUSD CVA'!$AM$71)*1</f>
        <v>436.78490561809065</v>
      </c>
      <c r="AA1900" s="6">
        <f>('TE BE'!$AB$42+'TE BF'!$AB$42+'TE CVA'!$AB$42)*1</f>
        <v>329.63081087285968</v>
      </c>
      <c r="AB1900" s="6">
        <f>$K$1900*$V$1900</f>
        <v>0</v>
      </c>
      <c r="AC1900" s="6">
        <f>$M$1900*$W$1900</f>
        <v>51959.010720000006</v>
      </c>
      <c r="AD1900" s="6">
        <f>$O$1900*$X$1900</f>
        <v>49530.069580000003</v>
      </c>
      <c r="AE1900" s="6">
        <f>$K$1900*$Y$1900</f>
        <v>0</v>
      </c>
      <c r="AF1900" s="6">
        <f ca="1">$M$1900*$Z$1900</f>
        <v>66266.385170943002</v>
      </c>
      <c r="AG1900" s="6">
        <f>$O$1900*$AA$1900</f>
        <v>50009.608840765031</v>
      </c>
    </row>
    <row r="1901" spans="1:33" ht="11.25" customHeight="1" x14ac:dyDescent="0.25">
      <c r="A1901" s="4" t="s">
        <v>28</v>
      </c>
      <c r="B1901" s="4" t="s">
        <v>37</v>
      </c>
      <c r="C1901" s="4" t="s">
        <v>23</v>
      </c>
      <c r="D1901" s="4" t="s">
        <v>53</v>
      </c>
      <c r="E1901" s="4" t="s">
        <v>25</v>
      </c>
      <c r="F1901" s="4" t="s">
        <v>25</v>
      </c>
      <c r="G1901" s="4" t="s">
        <v>25</v>
      </c>
      <c r="H1901" s="4" t="s">
        <v>25</v>
      </c>
      <c r="I1901" s="5">
        <v>44593</v>
      </c>
      <c r="J1901" s="6">
        <v>0</v>
      </c>
      <c r="K1901" s="6">
        <v>0</v>
      </c>
      <c r="L1901" s="6">
        <v>1.048</v>
      </c>
      <c r="M1901" s="6">
        <v>1.048</v>
      </c>
      <c r="N1901" s="6">
        <v>1.048</v>
      </c>
      <c r="O1901" s="6">
        <v>1.048</v>
      </c>
      <c r="P1901" s="6">
        <v>1</v>
      </c>
      <c r="Q1901" s="4" t="s">
        <v>26</v>
      </c>
      <c r="R1901" s="4">
        <v>0</v>
      </c>
      <c r="S1901" s="6">
        <v>0</v>
      </c>
      <c r="T1901" s="6">
        <v>69</v>
      </c>
      <c r="U1901" s="6">
        <v>112</v>
      </c>
      <c r="V1901" s="6">
        <f>IF(ISERROR(VLOOKUP($S$1901,'TAR FIN'!$A$1:$O$116,15,0)),0,VLOOKUP($S$1901,'TAR FIN'!$A$1:$O$116,15,0))</f>
        <v>0</v>
      </c>
      <c r="W1901" s="6">
        <f>IF(ISERROR(VLOOKUP($T$1901,'TAR FIN'!$A$1:$O$116,15,0)),0,VLOOKUP($T$1901,'TAR FIN'!$A$1:$O$116,15,0))</f>
        <v>342.48</v>
      </c>
      <c r="X1901" s="6">
        <f>IF(ISERROR(VLOOKUP($U$1901,'TAR FIN'!$A$1:$O$116,15,0)),0,VLOOKUP($U$1901,'TAR FIN'!$A$1:$O$116,15,0))</f>
        <v>326.47000000000003</v>
      </c>
      <c r="Y1901" s="6"/>
      <c r="Z1901" s="6">
        <f ca="1">('TUSD BE'!$AM$71+'TUSD BF'!$AM$71+'TUSD CVA'!$AM$71)*1</f>
        <v>436.78490561809065</v>
      </c>
      <c r="AA1901" s="6">
        <f>('TE BE'!$AB$42+'TE BF'!$AB$42+'TE CVA'!$AB$42)*1</f>
        <v>329.63081087285968</v>
      </c>
      <c r="AB1901" s="6">
        <f>$K$1901*$V$1901</f>
        <v>0</v>
      </c>
      <c r="AC1901" s="6">
        <f>$M$1901*$W$1901</f>
        <v>358.91904000000005</v>
      </c>
      <c r="AD1901" s="6">
        <f>$O$1901*$X$1901</f>
        <v>342.14056000000005</v>
      </c>
      <c r="AE1901" s="6">
        <f>$K$1901*$Y$1901</f>
        <v>0</v>
      </c>
      <c r="AF1901" s="6">
        <f ca="1">$M$1901*$Z$1901</f>
        <v>457.75058108775903</v>
      </c>
      <c r="AG1901" s="6">
        <f>$O$1901*$AA$1901</f>
        <v>345.45308979475698</v>
      </c>
    </row>
    <row r="1902" spans="1:33" ht="11.25" customHeight="1" x14ac:dyDescent="0.25">
      <c r="A1902" s="4" t="s">
        <v>21</v>
      </c>
      <c r="B1902" s="4" t="s">
        <v>37</v>
      </c>
      <c r="C1902" s="4" t="s">
        <v>23</v>
      </c>
      <c r="D1902" s="4" t="s">
        <v>53</v>
      </c>
      <c r="E1902" s="4" t="s">
        <v>25</v>
      </c>
      <c r="F1902" s="4" t="s">
        <v>25</v>
      </c>
      <c r="G1902" s="4" t="s">
        <v>25</v>
      </c>
      <c r="H1902" s="4" t="s">
        <v>25</v>
      </c>
      <c r="I1902" s="5">
        <v>44621</v>
      </c>
      <c r="J1902" s="6">
        <v>0</v>
      </c>
      <c r="K1902" s="6">
        <v>0</v>
      </c>
      <c r="L1902" s="6">
        <v>41.859000000000002</v>
      </c>
      <c r="M1902" s="6">
        <v>41.859000000000002</v>
      </c>
      <c r="N1902" s="6">
        <v>41.859000000000002</v>
      </c>
      <c r="O1902" s="6">
        <v>41.859000000000002</v>
      </c>
      <c r="P1902" s="6">
        <v>97</v>
      </c>
      <c r="Q1902" s="4" t="s">
        <v>26</v>
      </c>
      <c r="R1902" s="4">
        <v>0</v>
      </c>
      <c r="S1902" s="6">
        <v>0</v>
      </c>
      <c r="T1902" s="6">
        <v>69</v>
      </c>
      <c r="U1902" s="6">
        <v>112</v>
      </c>
      <c r="V1902" s="6">
        <f>IF(ISERROR(VLOOKUP($S$1902,'TAR FIN'!$A$1:$O$116,15,0)),0,VLOOKUP($S$1902,'TAR FIN'!$A$1:$O$116,15,0))</f>
        <v>0</v>
      </c>
      <c r="W1902" s="6">
        <f>IF(ISERROR(VLOOKUP($T$1902,'TAR FIN'!$A$1:$O$116,15,0)),0,VLOOKUP($T$1902,'TAR FIN'!$A$1:$O$116,15,0))</f>
        <v>342.48</v>
      </c>
      <c r="X1902" s="6">
        <f>IF(ISERROR(VLOOKUP($U$1902,'TAR FIN'!$A$1:$O$116,15,0)),0,VLOOKUP($U$1902,'TAR FIN'!$A$1:$O$116,15,0))</f>
        <v>326.47000000000003</v>
      </c>
      <c r="Y1902" s="6"/>
      <c r="Z1902" s="6">
        <f ca="1">('TUSD BE'!$AM$71+'TUSD BF'!$AM$71+'TUSD CVA'!$AM$71)*1</f>
        <v>436.78490561809065</v>
      </c>
      <c r="AA1902" s="6">
        <f>('TE BE'!$AB$42+'TE BF'!$AB$42+'TE CVA'!$AB$42)*1</f>
        <v>329.63081087285968</v>
      </c>
      <c r="AB1902" s="6">
        <f>$K$1902*$V$1902</f>
        <v>0</v>
      </c>
      <c r="AC1902" s="6">
        <f>$M$1902*$W$1902</f>
        <v>14335.870320000002</v>
      </c>
      <c r="AD1902" s="6">
        <f>$O$1902*$X$1902</f>
        <v>13665.707730000002</v>
      </c>
      <c r="AE1902" s="6">
        <f>$K$1902*$Y$1902</f>
        <v>0</v>
      </c>
      <c r="AF1902" s="6">
        <f ca="1">$M$1902*$Z$1902</f>
        <v>18283.379364267657</v>
      </c>
      <c r="AG1902" s="6">
        <f>$O$1902*$AA$1902</f>
        <v>13798.016112327034</v>
      </c>
    </row>
    <row r="1903" spans="1:33" ht="11.25" customHeight="1" x14ac:dyDescent="0.25">
      <c r="A1903" s="4" t="s">
        <v>28</v>
      </c>
      <c r="B1903" s="4" t="s">
        <v>37</v>
      </c>
      <c r="C1903" s="4" t="s">
        <v>23</v>
      </c>
      <c r="D1903" s="4" t="s">
        <v>53</v>
      </c>
      <c r="E1903" s="4" t="s">
        <v>25</v>
      </c>
      <c r="F1903" s="4" t="s">
        <v>25</v>
      </c>
      <c r="G1903" s="4" t="s">
        <v>25</v>
      </c>
      <c r="H1903" s="4" t="s">
        <v>25</v>
      </c>
      <c r="I1903" s="5">
        <v>44621</v>
      </c>
      <c r="J1903" s="6">
        <v>0</v>
      </c>
      <c r="K1903" s="6">
        <v>0</v>
      </c>
      <c r="L1903" s="6">
        <v>134.97200000000001</v>
      </c>
      <c r="M1903" s="6">
        <v>134.97200000000001</v>
      </c>
      <c r="N1903" s="6">
        <v>134.97200000000001</v>
      </c>
      <c r="O1903" s="6">
        <v>134.97200000000001</v>
      </c>
      <c r="P1903" s="6">
        <v>47</v>
      </c>
      <c r="Q1903" s="4" t="s">
        <v>26</v>
      </c>
      <c r="R1903" s="4">
        <v>0</v>
      </c>
      <c r="S1903" s="6">
        <v>0</v>
      </c>
      <c r="T1903" s="6">
        <v>69</v>
      </c>
      <c r="U1903" s="6">
        <v>112</v>
      </c>
      <c r="V1903" s="6">
        <f>IF(ISERROR(VLOOKUP($S$1903,'TAR FIN'!$A$1:$O$116,15,0)),0,VLOOKUP($S$1903,'TAR FIN'!$A$1:$O$116,15,0))</f>
        <v>0</v>
      </c>
      <c r="W1903" s="6">
        <f>IF(ISERROR(VLOOKUP($T$1903,'TAR FIN'!$A$1:$O$116,15,0)),0,VLOOKUP($T$1903,'TAR FIN'!$A$1:$O$116,15,0))</f>
        <v>342.48</v>
      </c>
      <c r="X1903" s="6">
        <f>IF(ISERROR(VLOOKUP($U$1903,'TAR FIN'!$A$1:$O$116,15,0)),0,VLOOKUP($U$1903,'TAR FIN'!$A$1:$O$116,15,0))</f>
        <v>326.47000000000003</v>
      </c>
      <c r="Y1903" s="6"/>
      <c r="Z1903" s="6">
        <f ca="1">('TUSD BE'!$AM$71+'TUSD BF'!$AM$71+'TUSD CVA'!$AM$71)*1</f>
        <v>436.78490561809065</v>
      </c>
      <c r="AA1903" s="6">
        <f>('TE BE'!$AB$42+'TE BF'!$AB$42+'TE CVA'!$AB$42)*1</f>
        <v>329.63081087285968</v>
      </c>
      <c r="AB1903" s="6">
        <f>$K$1903*$V$1903</f>
        <v>0</v>
      </c>
      <c r="AC1903" s="6">
        <f>$M$1903*$W$1903</f>
        <v>46225.210560000007</v>
      </c>
      <c r="AD1903" s="6">
        <f>$O$1903*$X$1903</f>
        <v>44064.308840000005</v>
      </c>
      <c r="AE1903" s="6">
        <f>$K$1903*$Y$1903</f>
        <v>0</v>
      </c>
      <c r="AF1903" s="6">
        <f ca="1">$M$1903*$Z$1903</f>
        <v>58953.732281084936</v>
      </c>
      <c r="AG1903" s="6">
        <f>$O$1903*$AA$1903</f>
        <v>44490.929805131622</v>
      </c>
    </row>
    <row r="1904" spans="1:33" ht="11.25" customHeight="1" x14ac:dyDescent="0.25">
      <c r="A1904" s="4" t="s">
        <v>21</v>
      </c>
      <c r="B1904" s="4" t="s">
        <v>37</v>
      </c>
      <c r="C1904" s="4" t="s">
        <v>23</v>
      </c>
      <c r="D1904" s="4" t="s">
        <v>53</v>
      </c>
      <c r="E1904" s="4" t="s">
        <v>25</v>
      </c>
      <c r="F1904" s="4" t="s">
        <v>25</v>
      </c>
      <c r="G1904" s="4" t="s">
        <v>25</v>
      </c>
      <c r="H1904" s="4" t="s">
        <v>25</v>
      </c>
      <c r="I1904" s="5">
        <v>44652</v>
      </c>
      <c r="J1904" s="6">
        <v>0</v>
      </c>
      <c r="K1904" s="6">
        <v>0</v>
      </c>
      <c r="L1904" s="6">
        <v>20.428999999999998</v>
      </c>
      <c r="M1904" s="6">
        <v>20.428999999999998</v>
      </c>
      <c r="N1904" s="6">
        <v>20.428999999999998</v>
      </c>
      <c r="O1904" s="6">
        <v>20.428999999999998</v>
      </c>
      <c r="P1904" s="6">
        <v>85</v>
      </c>
      <c r="Q1904" s="4" t="s">
        <v>26</v>
      </c>
      <c r="R1904" s="4">
        <v>0</v>
      </c>
      <c r="S1904" s="6">
        <v>0</v>
      </c>
      <c r="T1904" s="6">
        <v>69</v>
      </c>
      <c r="U1904" s="6">
        <v>112</v>
      </c>
      <c r="V1904" s="6">
        <f>IF(ISERROR(VLOOKUP($S$1904,'TAR FIN'!$A$1:$O$116,15,0)),0,VLOOKUP($S$1904,'TAR FIN'!$A$1:$O$116,15,0))</f>
        <v>0</v>
      </c>
      <c r="W1904" s="6">
        <f>IF(ISERROR(VLOOKUP($T$1904,'TAR FIN'!$A$1:$O$116,15,0)),0,VLOOKUP($T$1904,'TAR FIN'!$A$1:$O$116,15,0))</f>
        <v>342.48</v>
      </c>
      <c r="X1904" s="6">
        <f>IF(ISERROR(VLOOKUP($U$1904,'TAR FIN'!$A$1:$O$116,15,0)),0,VLOOKUP($U$1904,'TAR FIN'!$A$1:$O$116,15,0))</f>
        <v>326.47000000000003</v>
      </c>
      <c r="Y1904" s="6"/>
      <c r="Z1904" s="6">
        <f ca="1">('TUSD BE'!$AM$71+'TUSD BF'!$AM$71+'TUSD CVA'!$AM$71)*1</f>
        <v>436.78490561809065</v>
      </c>
      <c r="AA1904" s="6">
        <f>('TE BE'!$AB$42+'TE BF'!$AB$42+'TE CVA'!$AB$42)*1</f>
        <v>329.63081087285968</v>
      </c>
      <c r="AB1904" s="6">
        <f>$K$1904*$V$1904</f>
        <v>0</v>
      </c>
      <c r="AC1904" s="6">
        <f>$M$1904*$W$1904</f>
        <v>6996.5239199999996</v>
      </c>
      <c r="AD1904" s="6">
        <f>$O$1904*$X$1904</f>
        <v>6669.4556300000004</v>
      </c>
      <c r="AE1904" s="6">
        <f>$K$1904*$Y$1904</f>
        <v>0</v>
      </c>
      <c r="AF1904" s="6">
        <f ca="1">$M$1904*$Z$1904</f>
        <v>8923.0788368719732</v>
      </c>
      <c r="AG1904" s="6">
        <f>$O$1904*$AA$1904</f>
        <v>6734.0278353216499</v>
      </c>
    </row>
    <row r="1905" spans="1:33" ht="11.25" customHeight="1" x14ac:dyDescent="0.25">
      <c r="A1905" s="4" t="s">
        <v>28</v>
      </c>
      <c r="B1905" s="4" t="s">
        <v>37</v>
      </c>
      <c r="C1905" s="4" t="s">
        <v>23</v>
      </c>
      <c r="D1905" s="4" t="s">
        <v>53</v>
      </c>
      <c r="E1905" s="4" t="s">
        <v>25</v>
      </c>
      <c r="F1905" s="4" t="s">
        <v>25</v>
      </c>
      <c r="G1905" s="4" t="s">
        <v>25</v>
      </c>
      <c r="H1905" s="4" t="s">
        <v>25</v>
      </c>
      <c r="I1905" s="5">
        <v>44652</v>
      </c>
      <c r="J1905" s="6">
        <v>0</v>
      </c>
      <c r="K1905" s="6">
        <v>0</v>
      </c>
      <c r="L1905" s="6">
        <v>25.904</v>
      </c>
      <c r="M1905" s="6">
        <v>25.904</v>
      </c>
      <c r="N1905" s="6">
        <v>25.904</v>
      </c>
      <c r="O1905" s="6">
        <v>25.904</v>
      </c>
      <c r="P1905" s="6">
        <v>59</v>
      </c>
      <c r="Q1905" s="4" t="s">
        <v>26</v>
      </c>
      <c r="R1905" s="4">
        <v>0</v>
      </c>
      <c r="S1905" s="6">
        <v>0</v>
      </c>
      <c r="T1905" s="6">
        <v>69</v>
      </c>
      <c r="U1905" s="6">
        <v>112</v>
      </c>
      <c r="V1905" s="6">
        <f>IF(ISERROR(VLOOKUP($S$1905,'TAR FIN'!$A$1:$O$116,15,0)),0,VLOOKUP($S$1905,'TAR FIN'!$A$1:$O$116,15,0))</f>
        <v>0</v>
      </c>
      <c r="W1905" s="6">
        <f>IF(ISERROR(VLOOKUP($T$1905,'TAR FIN'!$A$1:$O$116,15,0)),0,VLOOKUP($T$1905,'TAR FIN'!$A$1:$O$116,15,0))</f>
        <v>342.48</v>
      </c>
      <c r="X1905" s="6">
        <f>IF(ISERROR(VLOOKUP($U$1905,'TAR FIN'!$A$1:$O$116,15,0)),0,VLOOKUP($U$1905,'TAR FIN'!$A$1:$O$116,15,0))</f>
        <v>326.47000000000003</v>
      </c>
      <c r="Y1905" s="6"/>
      <c r="Z1905" s="6">
        <f ca="1">('TUSD BE'!$AM$71+'TUSD BF'!$AM$71+'TUSD CVA'!$AM$71)*1</f>
        <v>436.78490561809065</v>
      </c>
      <c r="AA1905" s="6">
        <f>('TE BE'!$AB$42+'TE BF'!$AB$42+'TE CVA'!$AB$42)*1</f>
        <v>329.63081087285968</v>
      </c>
      <c r="AB1905" s="6">
        <f>$K$1905*$V$1905</f>
        <v>0</v>
      </c>
      <c r="AC1905" s="6">
        <f>$M$1905*$W$1905</f>
        <v>8871.601920000001</v>
      </c>
      <c r="AD1905" s="6">
        <f>$O$1905*$X$1905</f>
        <v>8456.8788800000002</v>
      </c>
      <c r="AE1905" s="6">
        <f>$K$1905*$Y$1905</f>
        <v>0</v>
      </c>
      <c r="AF1905" s="6">
        <f ca="1">$M$1905*$Z$1905</f>
        <v>11314.476195131019</v>
      </c>
      <c r="AG1905" s="6">
        <f>$O$1905*$AA$1905</f>
        <v>8538.756524850558</v>
      </c>
    </row>
    <row r="1906" spans="1:33" ht="11.25" customHeight="1" x14ac:dyDescent="0.25">
      <c r="A1906" s="4" t="s">
        <v>58</v>
      </c>
      <c r="B1906" s="4" t="s">
        <v>37</v>
      </c>
      <c r="C1906" s="4" t="s">
        <v>23</v>
      </c>
      <c r="D1906" s="4" t="s">
        <v>53</v>
      </c>
      <c r="E1906" s="4" t="s">
        <v>25</v>
      </c>
      <c r="F1906" s="4" t="s">
        <v>25</v>
      </c>
      <c r="G1906" s="4" t="s">
        <v>25</v>
      </c>
      <c r="H1906" s="4" t="s">
        <v>25</v>
      </c>
      <c r="I1906" s="5">
        <v>44682</v>
      </c>
      <c r="J1906" s="6">
        <v>0</v>
      </c>
      <c r="K1906" s="6">
        <v>0</v>
      </c>
      <c r="L1906" s="6">
        <v>20.428999999999998</v>
      </c>
      <c r="M1906" s="6">
        <v>20.428999999999998</v>
      </c>
      <c r="N1906" s="6">
        <v>20.428999999999998</v>
      </c>
      <c r="O1906" s="6">
        <v>20.428999999999998</v>
      </c>
      <c r="P1906" s="6">
        <v>85</v>
      </c>
      <c r="Q1906" s="4" t="s">
        <v>26</v>
      </c>
      <c r="R1906" s="4">
        <v>0</v>
      </c>
      <c r="S1906" s="6">
        <v>0</v>
      </c>
      <c r="T1906" s="6">
        <v>69</v>
      </c>
      <c r="U1906" s="6">
        <v>112</v>
      </c>
      <c r="V1906" s="6">
        <f>IF(ISERROR(VLOOKUP($S$1906,'TAR FIN'!$A$1:$O$116,15,0)),0,VLOOKUP($S$1906,'TAR FIN'!$A$1:$O$116,15,0))</f>
        <v>0</v>
      </c>
      <c r="W1906" s="6">
        <f>IF(ISERROR(VLOOKUP($T$1906,'TAR FIN'!$A$1:$O$116,15,0)),0,VLOOKUP($T$1906,'TAR FIN'!$A$1:$O$116,15,0))</f>
        <v>342.48</v>
      </c>
      <c r="X1906" s="6">
        <f>IF(ISERROR(VLOOKUP($U$1906,'TAR FIN'!$A$1:$O$116,15,0)),0,VLOOKUP($U$1906,'TAR FIN'!$A$1:$O$116,15,0))</f>
        <v>326.47000000000003</v>
      </c>
      <c r="Y1906" s="6"/>
      <c r="Z1906" s="6">
        <f ca="1">('TUSD BE'!$AM$71+'TUSD BF'!$AM$71+'TUSD CVA'!$AM$71)*1</f>
        <v>436.78490561809065</v>
      </c>
      <c r="AA1906" s="6">
        <f>('TE BE'!$AB$42+'TE BF'!$AB$42+'TE CVA'!$AB$42)*1</f>
        <v>329.63081087285968</v>
      </c>
      <c r="AB1906" s="6">
        <f>$K$1906*$V$1906</f>
        <v>0</v>
      </c>
      <c r="AC1906" s="6">
        <f>$M$1906*$W$1906</f>
        <v>6996.5239199999996</v>
      </c>
      <c r="AD1906" s="6">
        <f>$O$1906*$X$1906</f>
        <v>6669.4556300000004</v>
      </c>
      <c r="AE1906" s="6">
        <f>$K$1906*$Y$1906</f>
        <v>0</v>
      </c>
      <c r="AF1906" s="6">
        <f ca="1">$M$1906*$Z$1906</f>
        <v>8923.0788368719732</v>
      </c>
      <c r="AG1906" s="6">
        <f>$O$1906*$AA$1906</f>
        <v>6734.0278353216499</v>
      </c>
    </row>
    <row r="1907" spans="1:33" ht="11.25" customHeight="1" x14ac:dyDescent="0.25">
      <c r="A1907" s="4" t="s">
        <v>58</v>
      </c>
      <c r="B1907" s="4" t="s">
        <v>37</v>
      </c>
      <c r="C1907" s="4" t="s">
        <v>23</v>
      </c>
      <c r="D1907" s="4" t="s">
        <v>53</v>
      </c>
      <c r="E1907" s="4" t="s">
        <v>25</v>
      </c>
      <c r="F1907" s="4" t="s">
        <v>25</v>
      </c>
      <c r="G1907" s="4" t="s">
        <v>25</v>
      </c>
      <c r="H1907" s="4" t="s">
        <v>25</v>
      </c>
      <c r="I1907" s="5">
        <v>44682</v>
      </c>
      <c r="J1907" s="6">
        <v>0</v>
      </c>
      <c r="K1907" s="6">
        <v>0</v>
      </c>
      <c r="L1907" s="6">
        <v>25.904</v>
      </c>
      <c r="M1907" s="6">
        <v>25.904</v>
      </c>
      <c r="N1907" s="6">
        <v>25.904</v>
      </c>
      <c r="O1907" s="6">
        <v>25.904</v>
      </c>
      <c r="P1907" s="6">
        <v>59</v>
      </c>
      <c r="Q1907" s="4" t="s">
        <v>26</v>
      </c>
      <c r="R1907" s="4">
        <v>0</v>
      </c>
      <c r="S1907" s="6">
        <v>0</v>
      </c>
      <c r="T1907" s="6">
        <v>69</v>
      </c>
      <c r="U1907" s="6">
        <v>112</v>
      </c>
      <c r="V1907" s="6">
        <f>IF(ISERROR(VLOOKUP($S$1907,'TAR FIN'!$A$1:$O$116,15,0)),0,VLOOKUP($S$1907,'TAR FIN'!$A$1:$O$116,15,0))</f>
        <v>0</v>
      </c>
      <c r="W1907" s="6">
        <f>IF(ISERROR(VLOOKUP($T$1907,'TAR FIN'!$A$1:$O$116,15,0)),0,VLOOKUP($T$1907,'TAR FIN'!$A$1:$O$116,15,0))</f>
        <v>342.48</v>
      </c>
      <c r="X1907" s="6">
        <f>IF(ISERROR(VLOOKUP($U$1907,'TAR FIN'!$A$1:$O$116,15,0)),0,VLOOKUP($U$1907,'TAR FIN'!$A$1:$O$116,15,0))</f>
        <v>326.47000000000003</v>
      </c>
      <c r="Y1907" s="6"/>
      <c r="Z1907" s="6">
        <f ca="1">('TUSD BE'!$AM$71+'TUSD BF'!$AM$71+'TUSD CVA'!$AM$71)*1</f>
        <v>436.78490561809065</v>
      </c>
      <c r="AA1907" s="6">
        <f>('TE BE'!$AB$42+'TE BF'!$AB$42+'TE CVA'!$AB$42)*1</f>
        <v>329.63081087285968</v>
      </c>
      <c r="AB1907" s="6">
        <f>$K$1907*$V$1907</f>
        <v>0</v>
      </c>
      <c r="AC1907" s="6">
        <f>$M$1907*$W$1907</f>
        <v>8871.601920000001</v>
      </c>
      <c r="AD1907" s="6">
        <f>$O$1907*$X$1907</f>
        <v>8456.8788800000002</v>
      </c>
      <c r="AE1907" s="6">
        <f>$K$1907*$Y$1907</f>
        <v>0</v>
      </c>
      <c r="AF1907" s="6">
        <f ca="1">$M$1907*$Z$1907</f>
        <v>11314.476195131019</v>
      </c>
      <c r="AG1907" s="6">
        <f>$O$1907*$AA$1907</f>
        <v>8538.756524850558</v>
      </c>
    </row>
    <row r="1908" spans="1:33" ht="11.25" customHeight="1" x14ac:dyDescent="0.25">
      <c r="A1908" s="4" t="s">
        <v>21</v>
      </c>
      <c r="B1908" s="4" t="s">
        <v>37</v>
      </c>
      <c r="C1908" s="4" t="s">
        <v>23</v>
      </c>
      <c r="D1908" s="4" t="s">
        <v>38</v>
      </c>
      <c r="E1908" s="4" t="s">
        <v>25</v>
      </c>
      <c r="F1908" s="4" t="s">
        <v>25</v>
      </c>
      <c r="G1908" s="4" t="s">
        <v>25</v>
      </c>
      <c r="H1908" s="4" t="s">
        <v>25</v>
      </c>
      <c r="I1908" s="5">
        <v>44348</v>
      </c>
      <c r="J1908" s="6">
        <v>0</v>
      </c>
      <c r="K1908" s="6">
        <v>0</v>
      </c>
      <c r="L1908" s="6">
        <v>1954.712</v>
      </c>
      <c r="M1908" s="6">
        <v>1954.712</v>
      </c>
      <c r="N1908" s="6">
        <v>1954.712</v>
      </c>
      <c r="O1908" s="6">
        <v>1954.712</v>
      </c>
      <c r="P1908" s="6">
        <v>2748</v>
      </c>
      <c r="Q1908" s="4" t="s">
        <v>26</v>
      </c>
      <c r="R1908" s="4">
        <v>0</v>
      </c>
      <c r="S1908" s="6">
        <v>0</v>
      </c>
      <c r="T1908" s="6">
        <v>69</v>
      </c>
      <c r="U1908" s="6">
        <v>112</v>
      </c>
      <c r="V1908" s="6">
        <f>IF(ISERROR(VLOOKUP($S$1908,'TAR FIN'!$A$1:$O$116,15,0)),0,VLOOKUP($S$1908,'TAR FIN'!$A$1:$O$116,15,0))</f>
        <v>0</v>
      </c>
      <c r="W1908" s="6">
        <f>IF(ISERROR(VLOOKUP($T$1908,'TAR FIN'!$A$1:$O$116,15,0)),0,VLOOKUP($T$1908,'TAR FIN'!$A$1:$O$116,15,0))</f>
        <v>342.48</v>
      </c>
      <c r="X1908" s="6">
        <f>IF(ISERROR(VLOOKUP($U$1908,'TAR FIN'!$A$1:$O$116,15,0)),0,VLOOKUP($U$1908,'TAR FIN'!$A$1:$O$116,15,0))</f>
        <v>326.47000000000003</v>
      </c>
      <c r="Y1908" s="6"/>
      <c r="Z1908" s="6">
        <f ca="1">('TUSD BE'!$AM$71+'TUSD BF'!$AM$71+'TUSD CVA'!$AM$71)*1</f>
        <v>436.78490561809065</v>
      </c>
      <c r="AA1908" s="6">
        <f>('TE BE'!$AB$42+'TE BF'!$AB$42+'TE CVA'!$AB$42)*1</f>
        <v>329.63081087285968</v>
      </c>
      <c r="AB1908" s="6">
        <f>$K$1908*$V$1908</f>
        <v>0</v>
      </c>
      <c r="AC1908" s="6">
        <f>$M$1908*$W$1908</f>
        <v>669449.76575999998</v>
      </c>
      <c r="AD1908" s="6">
        <f>$O$1908*$X$1908</f>
        <v>638154.8266400001</v>
      </c>
      <c r="AE1908" s="6">
        <f>$K$1908*$Y$1908</f>
        <v>0</v>
      </c>
      <c r="AF1908" s="6">
        <f ca="1">$M$1908*$Z$1908</f>
        <v>853788.69643054926</v>
      </c>
      <c r="AG1908" s="6">
        <f>$O$1908*$AA$1908</f>
        <v>644333.30158290931</v>
      </c>
    </row>
    <row r="1909" spans="1:33" ht="11.25" customHeight="1" x14ac:dyDescent="0.25">
      <c r="A1909" s="4" t="s">
        <v>28</v>
      </c>
      <c r="B1909" s="4" t="s">
        <v>37</v>
      </c>
      <c r="C1909" s="4" t="s">
        <v>23</v>
      </c>
      <c r="D1909" s="4" t="s">
        <v>38</v>
      </c>
      <c r="E1909" s="4" t="s">
        <v>25</v>
      </c>
      <c r="F1909" s="4" t="s">
        <v>25</v>
      </c>
      <c r="G1909" s="4" t="s">
        <v>25</v>
      </c>
      <c r="H1909" s="4" t="s">
        <v>25</v>
      </c>
      <c r="I1909" s="5">
        <v>44348</v>
      </c>
      <c r="J1909" s="6">
        <v>0</v>
      </c>
      <c r="K1909" s="6">
        <v>0</v>
      </c>
      <c r="L1909" s="6">
        <v>228.93700000000001</v>
      </c>
      <c r="M1909" s="6">
        <v>228.93700000000001</v>
      </c>
      <c r="N1909" s="6">
        <v>228.93700000000001</v>
      </c>
      <c r="O1909" s="6">
        <v>228.93700000000001</v>
      </c>
      <c r="P1909" s="6">
        <v>294</v>
      </c>
      <c r="Q1909" s="4" t="s">
        <v>26</v>
      </c>
      <c r="R1909" s="4">
        <v>0</v>
      </c>
      <c r="S1909" s="6">
        <v>0</v>
      </c>
      <c r="T1909" s="6">
        <v>69</v>
      </c>
      <c r="U1909" s="6">
        <v>112</v>
      </c>
      <c r="V1909" s="6">
        <f>IF(ISERROR(VLOOKUP($S$1909,'TAR FIN'!$A$1:$O$116,15,0)),0,VLOOKUP($S$1909,'TAR FIN'!$A$1:$O$116,15,0))</f>
        <v>0</v>
      </c>
      <c r="W1909" s="6">
        <f>IF(ISERROR(VLOOKUP($T$1909,'TAR FIN'!$A$1:$O$116,15,0)),0,VLOOKUP($T$1909,'TAR FIN'!$A$1:$O$116,15,0))</f>
        <v>342.48</v>
      </c>
      <c r="X1909" s="6">
        <f>IF(ISERROR(VLOOKUP($U$1909,'TAR FIN'!$A$1:$O$116,15,0)),0,VLOOKUP($U$1909,'TAR FIN'!$A$1:$O$116,15,0))</f>
        <v>326.47000000000003</v>
      </c>
      <c r="Y1909" s="6"/>
      <c r="Z1909" s="6">
        <f ca="1">('TUSD BE'!$AM$71+'TUSD BF'!$AM$71+'TUSD CVA'!$AM$71)*1</f>
        <v>436.78490561809065</v>
      </c>
      <c r="AA1909" s="6">
        <f>('TE BE'!$AB$42+'TE BF'!$AB$42+'TE CVA'!$AB$42)*1</f>
        <v>329.63081087285968</v>
      </c>
      <c r="AB1909" s="6">
        <f>$K$1909*$V$1909</f>
        <v>0</v>
      </c>
      <c r="AC1909" s="6">
        <f>$M$1909*$W$1909</f>
        <v>78406.343760000003</v>
      </c>
      <c r="AD1909" s="6">
        <f>$O$1909*$X$1909</f>
        <v>74741.062390000006</v>
      </c>
      <c r="AE1909" s="6">
        <f>$K$1909*$Y$1909</f>
        <v>0</v>
      </c>
      <c r="AF1909" s="6">
        <f ca="1">$M$1909*$Z$1909</f>
        <v>99996.225937488824</v>
      </c>
      <c r="AG1909" s="6">
        <f>$O$1909*$AA$1909</f>
        <v>75464.688948799885</v>
      </c>
    </row>
    <row r="1910" spans="1:33" ht="11.25" customHeight="1" x14ac:dyDescent="0.25">
      <c r="A1910" s="4" t="s">
        <v>28</v>
      </c>
      <c r="B1910" s="4" t="s">
        <v>37</v>
      </c>
      <c r="C1910" s="4" t="s">
        <v>23</v>
      </c>
      <c r="D1910" s="4" t="s">
        <v>38</v>
      </c>
      <c r="E1910" s="4" t="s">
        <v>25</v>
      </c>
      <c r="F1910" s="4" t="s">
        <v>25</v>
      </c>
      <c r="G1910" s="4" t="s">
        <v>25</v>
      </c>
      <c r="H1910" s="4" t="s">
        <v>25</v>
      </c>
      <c r="I1910" s="5">
        <v>44348</v>
      </c>
      <c r="J1910" s="6">
        <v>0</v>
      </c>
      <c r="K1910" s="6">
        <v>0</v>
      </c>
      <c r="L1910" s="6">
        <v>-1.7090000000000001</v>
      </c>
      <c r="M1910" s="6">
        <v>-1.7090000000000001</v>
      </c>
      <c r="N1910" s="6">
        <v>-1.7090000000000001</v>
      </c>
      <c r="O1910" s="6">
        <v>-1.7090000000000001</v>
      </c>
      <c r="P1910" s="6">
        <v>0</v>
      </c>
      <c r="Q1910" s="4" t="s">
        <v>26</v>
      </c>
      <c r="R1910" s="4">
        <v>0</v>
      </c>
      <c r="S1910" s="6">
        <v>0</v>
      </c>
      <c r="T1910" s="6">
        <v>69</v>
      </c>
      <c r="U1910" s="6">
        <v>112</v>
      </c>
      <c r="V1910" s="6">
        <f>IF(ISERROR(VLOOKUP($S$1910,'TAR FIN'!$A$1:$O$116,15,0)),0,VLOOKUP($S$1910,'TAR FIN'!$A$1:$O$116,15,0))</f>
        <v>0</v>
      </c>
      <c r="W1910" s="6">
        <f>IF(ISERROR(VLOOKUP($T$1910,'TAR FIN'!$A$1:$O$116,15,0)),0,VLOOKUP($T$1910,'TAR FIN'!$A$1:$O$116,15,0))</f>
        <v>342.48</v>
      </c>
      <c r="X1910" s="6">
        <f>IF(ISERROR(VLOOKUP($U$1910,'TAR FIN'!$A$1:$O$116,15,0)),0,VLOOKUP($U$1910,'TAR FIN'!$A$1:$O$116,15,0))</f>
        <v>326.47000000000003</v>
      </c>
      <c r="Y1910" s="6"/>
      <c r="Z1910" s="6">
        <f ca="1">('TUSD BE'!$AM$71+'TUSD BF'!$AM$71+'TUSD CVA'!$AM$71)*1</f>
        <v>436.78490561809065</v>
      </c>
      <c r="AA1910" s="6">
        <f>('TE BE'!$AB$42+'TE BF'!$AB$42+'TE CVA'!$AB$42)*1</f>
        <v>329.63081087285968</v>
      </c>
      <c r="AB1910" s="6">
        <f>$K$1910*$V$1910</f>
        <v>0</v>
      </c>
      <c r="AC1910" s="6">
        <f>$M$1910*$W$1910</f>
        <v>-585.2983200000001</v>
      </c>
      <c r="AD1910" s="6">
        <f>$O$1910*$X$1910</f>
        <v>-557.93723000000011</v>
      </c>
      <c r="AE1910" s="6">
        <f>$K$1910*$Y$1910</f>
        <v>0</v>
      </c>
      <c r="AF1910" s="6">
        <f ca="1">$M$1910*$Z$1910</f>
        <v>-746.46540370131697</v>
      </c>
      <c r="AG1910" s="6">
        <f>$O$1910*$AA$1910</f>
        <v>-563.33905578171721</v>
      </c>
    </row>
    <row r="1911" spans="1:33" ht="11.25" customHeight="1" x14ac:dyDescent="0.25">
      <c r="A1911" s="4" t="s">
        <v>21</v>
      </c>
      <c r="B1911" s="4" t="s">
        <v>37</v>
      </c>
      <c r="C1911" s="4" t="s">
        <v>23</v>
      </c>
      <c r="D1911" s="4" t="s">
        <v>38</v>
      </c>
      <c r="E1911" s="4" t="s">
        <v>25</v>
      </c>
      <c r="F1911" s="4" t="s">
        <v>25</v>
      </c>
      <c r="G1911" s="4" t="s">
        <v>25</v>
      </c>
      <c r="H1911" s="4" t="s">
        <v>25</v>
      </c>
      <c r="I1911" s="5">
        <v>44378</v>
      </c>
      <c r="J1911" s="6">
        <v>0</v>
      </c>
      <c r="K1911" s="6">
        <v>0</v>
      </c>
      <c r="L1911" s="6">
        <v>1990.242</v>
      </c>
      <c r="M1911" s="6">
        <v>1990.242</v>
      </c>
      <c r="N1911" s="6">
        <v>1990.242</v>
      </c>
      <c r="O1911" s="6">
        <v>1990.242</v>
      </c>
      <c r="P1911" s="6">
        <v>2752</v>
      </c>
      <c r="Q1911" s="4" t="s">
        <v>26</v>
      </c>
      <c r="R1911" s="4">
        <v>0</v>
      </c>
      <c r="S1911" s="6">
        <v>0</v>
      </c>
      <c r="T1911" s="6">
        <v>69</v>
      </c>
      <c r="U1911" s="6">
        <v>112</v>
      </c>
      <c r="V1911" s="6">
        <f>IF(ISERROR(VLOOKUP($S$1911,'TAR FIN'!$A$1:$O$116,15,0)),0,VLOOKUP($S$1911,'TAR FIN'!$A$1:$O$116,15,0))</f>
        <v>0</v>
      </c>
      <c r="W1911" s="6">
        <f>IF(ISERROR(VLOOKUP($T$1911,'TAR FIN'!$A$1:$O$116,15,0)),0,VLOOKUP($T$1911,'TAR FIN'!$A$1:$O$116,15,0))</f>
        <v>342.48</v>
      </c>
      <c r="X1911" s="6">
        <f>IF(ISERROR(VLOOKUP($U$1911,'TAR FIN'!$A$1:$O$116,15,0)),0,VLOOKUP($U$1911,'TAR FIN'!$A$1:$O$116,15,0))</f>
        <v>326.47000000000003</v>
      </c>
      <c r="Y1911" s="6"/>
      <c r="Z1911" s="6">
        <f ca="1">('TUSD BE'!$AM$71+'TUSD BF'!$AM$71+'TUSD CVA'!$AM$71)*1</f>
        <v>436.78490561809065</v>
      </c>
      <c r="AA1911" s="6">
        <f>('TE BE'!$AB$42+'TE BF'!$AB$42+'TE CVA'!$AB$42)*1</f>
        <v>329.63081087285968</v>
      </c>
      <c r="AB1911" s="6">
        <f>$K$1911*$V$1911</f>
        <v>0</v>
      </c>
      <c r="AC1911" s="6">
        <f>$M$1911*$W$1911</f>
        <v>681618.08016000001</v>
      </c>
      <c r="AD1911" s="6">
        <f>$O$1911*$X$1911</f>
        <v>649754.3057400001</v>
      </c>
      <c r="AE1911" s="6">
        <f>$K$1911*$Y$1911</f>
        <v>0</v>
      </c>
      <c r="AF1911" s="6">
        <f ca="1">$M$1911*$Z$1911</f>
        <v>869307.66412715998</v>
      </c>
      <c r="AG1911" s="6">
        <f>$O$1911*$AA$1911</f>
        <v>656045.08429322194</v>
      </c>
    </row>
    <row r="1912" spans="1:33" ht="11.25" customHeight="1" x14ac:dyDescent="0.25">
      <c r="A1912" s="4" t="s">
        <v>28</v>
      </c>
      <c r="B1912" s="4" t="s">
        <v>37</v>
      </c>
      <c r="C1912" s="4" t="s">
        <v>23</v>
      </c>
      <c r="D1912" s="4" t="s">
        <v>38</v>
      </c>
      <c r="E1912" s="4" t="s">
        <v>25</v>
      </c>
      <c r="F1912" s="4" t="s">
        <v>25</v>
      </c>
      <c r="G1912" s="4" t="s">
        <v>25</v>
      </c>
      <c r="H1912" s="4" t="s">
        <v>25</v>
      </c>
      <c r="I1912" s="5">
        <v>44378</v>
      </c>
      <c r="J1912" s="6">
        <v>0</v>
      </c>
      <c r="K1912" s="6">
        <v>0</v>
      </c>
      <c r="L1912" s="6">
        <v>223.45500000000001</v>
      </c>
      <c r="M1912" s="6">
        <v>223.45500000000001</v>
      </c>
      <c r="N1912" s="6">
        <v>223.45500000000001</v>
      </c>
      <c r="O1912" s="6">
        <v>223.45500000000001</v>
      </c>
      <c r="P1912" s="6">
        <v>308</v>
      </c>
      <c r="Q1912" s="4" t="s">
        <v>26</v>
      </c>
      <c r="R1912" s="4">
        <v>0</v>
      </c>
      <c r="S1912" s="6">
        <v>0</v>
      </c>
      <c r="T1912" s="6">
        <v>69</v>
      </c>
      <c r="U1912" s="6">
        <v>112</v>
      </c>
      <c r="V1912" s="6">
        <f>IF(ISERROR(VLOOKUP($S$1912,'TAR FIN'!$A$1:$O$116,15,0)),0,VLOOKUP($S$1912,'TAR FIN'!$A$1:$O$116,15,0))</f>
        <v>0</v>
      </c>
      <c r="W1912" s="6">
        <f>IF(ISERROR(VLOOKUP($T$1912,'TAR FIN'!$A$1:$O$116,15,0)),0,VLOOKUP($T$1912,'TAR FIN'!$A$1:$O$116,15,0))</f>
        <v>342.48</v>
      </c>
      <c r="X1912" s="6">
        <f>IF(ISERROR(VLOOKUP($U$1912,'TAR FIN'!$A$1:$O$116,15,0)),0,VLOOKUP($U$1912,'TAR FIN'!$A$1:$O$116,15,0))</f>
        <v>326.47000000000003</v>
      </c>
      <c r="Y1912" s="6"/>
      <c r="Z1912" s="6">
        <f ca="1">('TUSD BE'!$AM$71+'TUSD BF'!$AM$71+'TUSD CVA'!$AM$71)*1</f>
        <v>436.78490561809065</v>
      </c>
      <c r="AA1912" s="6">
        <f>('TE BE'!$AB$42+'TE BF'!$AB$42+'TE CVA'!$AB$42)*1</f>
        <v>329.63081087285968</v>
      </c>
      <c r="AB1912" s="6">
        <f>$K$1912*$V$1912</f>
        <v>0</v>
      </c>
      <c r="AC1912" s="6">
        <f>$M$1912*$W$1912</f>
        <v>76528.868400000007</v>
      </c>
      <c r="AD1912" s="6">
        <f>$O$1912*$X$1912</f>
        <v>72951.353850000014</v>
      </c>
      <c r="AE1912" s="6">
        <f>$K$1912*$Y$1912</f>
        <v>0</v>
      </c>
      <c r="AF1912" s="6">
        <f ca="1">$M$1912*$Z$1912</f>
        <v>97601.771084890453</v>
      </c>
      <c r="AG1912" s="6">
        <f>$O$1912*$AA$1912</f>
        <v>73657.652843594871</v>
      </c>
    </row>
    <row r="1913" spans="1:33" ht="11.25" customHeight="1" x14ac:dyDescent="0.25">
      <c r="A1913" s="4" t="s">
        <v>21</v>
      </c>
      <c r="B1913" s="4" t="s">
        <v>37</v>
      </c>
      <c r="C1913" s="4" t="s">
        <v>23</v>
      </c>
      <c r="D1913" s="4" t="s">
        <v>38</v>
      </c>
      <c r="E1913" s="4" t="s">
        <v>25</v>
      </c>
      <c r="F1913" s="4" t="s">
        <v>25</v>
      </c>
      <c r="G1913" s="4" t="s">
        <v>25</v>
      </c>
      <c r="H1913" s="4" t="s">
        <v>25</v>
      </c>
      <c r="I1913" s="5">
        <v>44409</v>
      </c>
      <c r="J1913" s="6">
        <v>0</v>
      </c>
      <c r="K1913" s="6">
        <v>0</v>
      </c>
      <c r="L1913" s="6">
        <v>2153.2310000000002</v>
      </c>
      <c r="M1913" s="6">
        <v>2153.2310000000002</v>
      </c>
      <c r="N1913" s="6">
        <v>2153.2310000000002</v>
      </c>
      <c r="O1913" s="6">
        <v>2153.2310000000002</v>
      </c>
      <c r="P1913" s="6">
        <v>2755</v>
      </c>
      <c r="Q1913" s="4" t="s">
        <v>26</v>
      </c>
      <c r="R1913" s="4">
        <v>0</v>
      </c>
      <c r="S1913" s="6">
        <v>0</v>
      </c>
      <c r="T1913" s="6">
        <v>69</v>
      </c>
      <c r="U1913" s="6">
        <v>112</v>
      </c>
      <c r="V1913" s="6">
        <f>IF(ISERROR(VLOOKUP($S$1913,'TAR FIN'!$A$1:$O$116,15,0)),0,VLOOKUP($S$1913,'TAR FIN'!$A$1:$O$116,15,0))</f>
        <v>0</v>
      </c>
      <c r="W1913" s="6">
        <f>IF(ISERROR(VLOOKUP($T$1913,'TAR FIN'!$A$1:$O$116,15,0)),0,VLOOKUP($T$1913,'TAR FIN'!$A$1:$O$116,15,0))</f>
        <v>342.48</v>
      </c>
      <c r="X1913" s="6">
        <f>IF(ISERROR(VLOOKUP($U$1913,'TAR FIN'!$A$1:$O$116,15,0)),0,VLOOKUP($U$1913,'TAR FIN'!$A$1:$O$116,15,0))</f>
        <v>326.47000000000003</v>
      </c>
      <c r="Y1913" s="6"/>
      <c r="Z1913" s="6">
        <f ca="1">('TUSD BE'!$AM$71+'TUSD BF'!$AM$71+'TUSD CVA'!$AM$71)*1</f>
        <v>436.78490561809065</v>
      </c>
      <c r="AA1913" s="6">
        <f>('TE BE'!$AB$42+'TE BF'!$AB$42+'TE CVA'!$AB$42)*1</f>
        <v>329.63081087285968</v>
      </c>
      <c r="AB1913" s="6">
        <f>$K$1913*$V$1913</f>
        <v>0</v>
      </c>
      <c r="AC1913" s="6">
        <f>$M$1913*$W$1913</f>
        <v>737438.55288000009</v>
      </c>
      <c r="AD1913" s="6">
        <f>$O$1913*$X$1913</f>
        <v>702965.32457000017</v>
      </c>
      <c r="AE1913" s="6">
        <f>$K$1913*$Y$1913</f>
        <v>0</v>
      </c>
      <c r="AF1913" s="6">
        <f ca="1">$M$1913*$Z$1913</f>
        <v>940498.79910894705</v>
      </c>
      <c r="AG1913" s="6">
        <f>$O$1913*$AA$1913</f>
        <v>709771.28052657866</v>
      </c>
    </row>
    <row r="1914" spans="1:33" ht="11.25" customHeight="1" x14ac:dyDescent="0.25">
      <c r="A1914" s="4" t="s">
        <v>27</v>
      </c>
      <c r="B1914" s="4" t="s">
        <v>37</v>
      </c>
      <c r="C1914" s="4" t="s">
        <v>23</v>
      </c>
      <c r="D1914" s="4" t="s">
        <v>38</v>
      </c>
      <c r="E1914" s="4" t="s">
        <v>25</v>
      </c>
      <c r="F1914" s="4" t="s">
        <v>25</v>
      </c>
      <c r="G1914" s="4" t="s">
        <v>25</v>
      </c>
      <c r="H1914" s="4" t="s">
        <v>25</v>
      </c>
      <c r="I1914" s="5">
        <v>44409</v>
      </c>
      <c r="J1914" s="6">
        <v>0</v>
      </c>
      <c r="K1914" s="6">
        <v>0</v>
      </c>
      <c r="L1914" s="6">
        <v>-1.9219999999999999</v>
      </c>
      <c r="M1914" s="6">
        <v>-1.9219999999999999</v>
      </c>
      <c r="N1914" s="6">
        <v>-1.9219999999999999</v>
      </c>
      <c r="O1914" s="6">
        <v>-1.9219999999999999</v>
      </c>
      <c r="P1914" s="6">
        <v>-2</v>
      </c>
      <c r="Q1914" s="4" t="s">
        <v>26</v>
      </c>
      <c r="R1914" s="4">
        <v>0</v>
      </c>
      <c r="S1914" s="6">
        <v>0</v>
      </c>
      <c r="T1914" s="6">
        <v>69</v>
      </c>
      <c r="U1914" s="6">
        <v>112</v>
      </c>
      <c r="V1914" s="6">
        <f>IF(ISERROR(VLOOKUP($S$1914,'TAR FIN'!$A$1:$O$116,15,0)),0,VLOOKUP($S$1914,'TAR FIN'!$A$1:$O$116,15,0))</f>
        <v>0</v>
      </c>
      <c r="W1914" s="6">
        <f>IF(ISERROR(VLOOKUP($T$1914,'TAR FIN'!$A$1:$O$116,15,0)),0,VLOOKUP($T$1914,'TAR FIN'!$A$1:$O$116,15,0))</f>
        <v>342.48</v>
      </c>
      <c r="X1914" s="6">
        <f>IF(ISERROR(VLOOKUP($U$1914,'TAR FIN'!$A$1:$O$116,15,0)),0,VLOOKUP($U$1914,'TAR FIN'!$A$1:$O$116,15,0))</f>
        <v>326.47000000000003</v>
      </c>
      <c r="Y1914" s="6"/>
      <c r="Z1914" s="6">
        <f ca="1">('TUSD BE'!$AM$71+'TUSD BF'!$AM$71+'TUSD CVA'!$AM$71)*1</f>
        <v>436.78490561809065</v>
      </c>
      <c r="AA1914" s="6">
        <f>('TE BE'!$AB$42+'TE BF'!$AB$42+'TE CVA'!$AB$42)*1</f>
        <v>329.63081087285968</v>
      </c>
      <c r="AB1914" s="6">
        <f>$K$1914*$V$1914</f>
        <v>0</v>
      </c>
      <c r="AC1914" s="6">
        <f>$M$1914*$W$1914</f>
        <v>-658.24656000000004</v>
      </c>
      <c r="AD1914" s="6">
        <f>$O$1914*$X$1914</f>
        <v>-627.47534000000007</v>
      </c>
      <c r="AE1914" s="6">
        <f>$K$1914*$Y$1914</f>
        <v>0</v>
      </c>
      <c r="AF1914" s="6">
        <f ca="1">$M$1914*$Z$1914</f>
        <v>-839.50058859797025</v>
      </c>
      <c r="AG1914" s="6">
        <f>$O$1914*$AA$1914</f>
        <v>-633.55041849763631</v>
      </c>
    </row>
    <row r="1915" spans="1:33" ht="11.25" customHeight="1" x14ac:dyDescent="0.25">
      <c r="A1915" s="4" t="s">
        <v>28</v>
      </c>
      <c r="B1915" s="4" t="s">
        <v>37</v>
      </c>
      <c r="C1915" s="4" t="s">
        <v>23</v>
      </c>
      <c r="D1915" s="4" t="s">
        <v>38</v>
      </c>
      <c r="E1915" s="4" t="s">
        <v>25</v>
      </c>
      <c r="F1915" s="4" t="s">
        <v>25</v>
      </c>
      <c r="G1915" s="4" t="s">
        <v>25</v>
      </c>
      <c r="H1915" s="4" t="s">
        <v>25</v>
      </c>
      <c r="I1915" s="5">
        <v>44409</v>
      </c>
      <c r="J1915" s="6">
        <v>0</v>
      </c>
      <c r="K1915" s="6">
        <v>0</v>
      </c>
      <c r="L1915" s="6">
        <v>247.52699999999999</v>
      </c>
      <c r="M1915" s="6">
        <v>247.52699999999999</v>
      </c>
      <c r="N1915" s="6">
        <v>247.52699999999999</v>
      </c>
      <c r="O1915" s="6">
        <v>247.52699999999999</v>
      </c>
      <c r="P1915" s="6">
        <v>324</v>
      </c>
      <c r="Q1915" s="4" t="s">
        <v>26</v>
      </c>
      <c r="R1915" s="4">
        <v>0</v>
      </c>
      <c r="S1915" s="6">
        <v>0</v>
      </c>
      <c r="T1915" s="6">
        <v>69</v>
      </c>
      <c r="U1915" s="6">
        <v>112</v>
      </c>
      <c r="V1915" s="6">
        <f>IF(ISERROR(VLOOKUP($S$1915,'TAR FIN'!$A$1:$O$116,15,0)),0,VLOOKUP($S$1915,'TAR FIN'!$A$1:$O$116,15,0))</f>
        <v>0</v>
      </c>
      <c r="W1915" s="6">
        <f>IF(ISERROR(VLOOKUP($T$1915,'TAR FIN'!$A$1:$O$116,15,0)),0,VLOOKUP($T$1915,'TAR FIN'!$A$1:$O$116,15,0))</f>
        <v>342.48</v>
      </c>
      <c r="X1915" s="6">
        <f>IF(ISERROR(VLOOKUP($U$1915,'TAR FIN'!$A$1:$O$116,15,0)),0,VLOOKUP($U$1915,'TAR FIN'!$A$1:$O$116,15,0))</f>
        <v>326.47000000000003</v>
      </c>
      <c r="Y1915" s="6"/>
      <c r="Z1915" s="6">
        <f ca="1">('TUSD BE'!$AM$71+'TUSD BF'!$AM$71+'TUSD CVA'!$AM$71)*1</f>
        <v>436.78490561809065</v>
      </c>
      <c r="AA1915" s="6">
        <f>('TE BE'!$AB$42+'TE BF'!$AB$42+'TE CVA'!$AB$42)*1</f>
        <v>329.63081087285968</v>
      </c>
      <c r="AB1915" s="6">
        <f>$K$1915*$V$1915</f>
        <v>0</v>
      </c>
      <c r="AC1915" s="6">
        <f>$M$1915*$W$1915</f>
        <v>84773.046960000007</v>
      </c>
      <c r="AD1915" s="6">
        <f>$O$1915*$X$1915</f>
        <v>80810.139689999996</v>
      </c>
      <c r="AE1915" s="6">
        <f>$K$1915*$Y$1915</f>
        <v>0</v>
      </c>
      <c r="AF1915" s="6">
        <f ca="1">$M$1915*$Z$1915</f>
        <v>108116.05733292912</v>
      </c>
      <c r="AG1915" s="6">
        <f>$O$1915*$AA$1915</f>
        <v>81592.525722926337</v>
      </c>
    </row>
    <row r="1916" spans="1:33" ht="11.25" customHeight="1" x14ac:dyDescent="0.25">
      <c r="A1916" s="4" t="s">
        <v>21</v>
      </c>
      <c r="B1916" s="4" t="s">
        <v>37</v>
      </c>
      <c r="C1916" s="4" t="s">
        <v>23</v>
      </c>
      <c r="D1916" s="4" t="s">
        <v>38</v>
      </c>
      <c r="E1916" s="4" t="s">
        <v>25</v>
      </c>
      <c r="F1916" s="4" t="s">
        <v>25</v>
      </c>
      <c r="G1916" s="4" t="s">
        <v>25</v>
      </c>
      <c r="H1916" s="4" t="s">
        <v>25</v>
      </c>
      <c r="I1916" s="5">
        <v>44440</v>
      </c>
      <c r="J1916" s="6">
        <v>0</v>
      </c>
      <c r="K1916" s="6">
        <v>0</v>
      </c>
      <c r="L1916" s="6">
        <v>2202.13</v>
      </c>
      <c r="M1916" s="6">
        <v>2202.13</v>
      </c>
      <c r="N1916" s="6">
        <v>2202.13</v>
      </c>
      <c r="O1916" s="6">
        <v>2202.13</v>
      </c>
      <c r="P1916" s="6">
        <v>2728</v>
      </c>
      <c r="Q1916" s="4" t="s">
        <v>26</v>
      </c>
      <c r="R1916" s="4">
        <v>0</v>
      </c>
      <c r="S1916" s="6">
        <v>0</v>
      </c>
      <c r="T1916" s="6">
        <v>69</v>
      </c>
      <c r="U1916" s="6">
        <v>112</v>
      </c>
      <c r="V1916" s="6">
        <f>IF(ISERROR(VLOOKUP($S$1916,'TAR FIN'!$A$1:$O$116,15,0)),0,VLOOKUP($S$1916,'TAR FIN'!$A$1:$O$116,15,0))</f>
        <v>0</v>
      </c>
      <c r="W1916" s="6">
        <f>IF(ISERROR(VLOOKUP($T$1916,'TAR FIN'!$A$1:$O$116,15,0)),0,VLOOKUP($T$1916,'TAR FIN'!$A$1:$O$116,15,0))</f>
        <v>342.48</v>
      </c>
      <c r="X1916" s="6">
        <f>IF(ISERROR(VLOOKUP($U$1916,'TAR FIN'!$A$1:$O$116,15,0)),0,VLOOKUP($U$1916,'TAR FIN'!$A$1:$O$116,15,0))</f>
        <v>326.47000000000003</v>
      </c>
      <c r="Y1916" s="6"/>
      <c r="Z1916" s="6">
        <f ca="1">('TUSD BE'!$AM$71+'TUSD BF'!$AM$71+'TUSD CVA'!$AM$71)*1</f>
        <v>436.78490561809065</v>
      </c>
      <c r="AA1916" s="6">
        <f>('TE BE'!$AB$42+'TE BF'!$AB$42+'TE CVA'!$AB$42)*1</f>
        <v>329.63081087285968</v>
      </c>
      <c r="AB1916" s="6">
        <f>$K$1916*$V$1916</f>
        <v>0</v>
      </c>
      <c r="AC1916" s="6">
        <f>$M$1916*$W$1916</f>
        <v>754185.4824000001</v>
      </c>
      <c r="AD1916" s="6">
        <f>$O$1916*$X$1916</f>
        <v>718929.38110000012</v>
      </c>
      <c r="AE1916" s="6">
        <f>$K$1916*$Y$1916</f>
        <v>0</v>
      </c>
      <c r="AF1916" s="6">
        <f ca="1">$M$1916*$Z$1916</f>
        <v>961857.14420876605</v>
      </c>
      <c r="AG1916" s="6">
        <f>$O$1916*$AA$1916</f>
        <v>725889.8975474505</v>
      </c>
    </row>
    <row r="1917" spans="1:33" ht="11.25" customHeight="1" x14ac:dyDescent="0.25">
      <c r="A1917" s="4" t="s">
        <v>27</v>
      </c>
      <c r="B1917" s="4" t="s">
        <v>37</v>
      </c>
      <c r="C1917" s="4" t="s">
        <v>23</v>
      </c>
      <c r="D1917" s="4" t="s">
        <v>38</v>
      </c>
      <c r="E1917" s="4" t="s">
        <v>25</v>
      </c>
      <c r="F1917" s="4" t="s">
        <v>25</v>
      </c>
      <c r="G1917" s="4" t="s">
        <v>25</v>
      </c>
      <c r="H1917" s="4" t="s">
        <v>25</v>
      </c>
      <c r="I1917" s="5">
        <v>44440</v>
      </c>
      <c r="J1917" s="6">
        <v>0</v>
      </c>
      <c r="K1917" s="6">
        <v>0</v>
      </c>
      <c r="L1917" s="6">
        <v>-13.662000000000001</v>
      </c>
      <c r="M1917" s="6">
        <v>-13.662000000000001</v>
      </c>
      <c r="N1917" s="6">
        <v>-13.662000000000001</v>
      </c>
      <c r="O1917" s="6">
        <v>-13.662000000000001</v>
      </c>
      <c r="P1917" s="6">
        <v>-1</v>
      </c>
      <c r="Q1917" s="4" t="s">
        <v>26</v>
      </c>
      <c r="R1917" s="4">
        <v>0</v>
      </c>
      <c r="S1917" s="6">
        <v>0</v>
      </c>
      <c r="T1917" s="6">
        <v>69</v>
      </c>
      <c r="U1917" s="6">
        <v>112</v>
      </c>
      <c r="V1917" s="6">
        <f>IF(ISERROR(VLOOKUP($S$1917,'TAR FIN'!$A$1:$O$116,15,0)),0,VLOOKUP($S$1917,'TAR FIN'!$A$1:$O$116,15,0))</f>
        <v>0</v>
      </c>
      <c r="W1917" s="6">
        <f>IF(ISERROR(VLOOKUP($T$1917,'TAR FIN'!$A$1:$O$116,15,0)),0,VLOOKUP($T$1917,'TAR FIN'!$A$1:$O$116,15,0))</f>
        <v>342.48</v>
      </c>
      <c r="X1917" s="6">
        <f>IF(ISERROR(VLOOKUP($U$1917,'TAR FIN'!$A$1:$O$116,15,0)),0,VLOOKUP($U$1917,'TAR FIN'!$A$1:$O$116,15,0))</f>
        <v>326.47000000000003</v>
      </c>
      <c r="Y1917" s="6"/>
      <c r="Z1917" s="6">
        <f ca="1">('TUSD BE'!$AM$71+'TUSD BF'!$AM$71+'TUSD CVA'!$AM$71)*1</f>
        <v>436.78490561809065</v>
      </c>
      <c r="AA1917" s="6">
        <f>('TE BE'!$AB$42+'TE BF'!$AB$42+'TE CVA'!$AB$42)*1</f>
        <v>329.63081087285968</v>
      </c>
      <c r="AB1917" s="6">
        <f>$K$1917*$V$1917</f>
        <v>0</v>
      </c>
      <c r="AC1917" s="6">
        <f>$M$1917*$W$1917</f>
        <v>-4678.9617600000001</v>
      </c>
      <c r="AD1917" s="6">
        <f>$O$1917*$X$1917</f>
        <v>-4460.2331400000003</v>
      </c>
      <c r="AE1917" s="6">
        <f>$K$1917*$Y$1917</f>
        <v>0</v>
      </c>
      <c r="AF1917" s="6">
        <f ca="1">$M$1917*$Z$1917</f>
        <v>-5967.3553805543552</v>
      </c>
      <c r="AG1917" s="6">
        <f>$O$1917*$AA$1917</f>
        <v>-4503.4161381450094</v>
      </c>
    </row>
    <row r="1918" spans="1:33" ht="11.25" customHeight="1" x14ac:dyDescent="0.25">
      <c r="A1918" s="4" t="s">
        <v>28</v>
      </c>
      <c r="B1918" s="4" t="s">
        <v>37</v>
      </c>
      <c r="C1918" s="4" t="s">
        <v>23</v>
      </c>
      <c r="D1918" s="4" t="s">
        <v>38</v>
      </c>
      <c r="E1918" s="4" t="s">
        <v>25</v>
      </c>
      <c r="F1918" s="4" t="s">
        <v>25</v>
      </c>
      <c r="G1918" s="4" t="s">
        <v>25</v>
      </c>
      <c r="H1918" s="4" t="s">
        <v>25</v>
      </c>
      <c r="I1918" s="5">
        <v>44440</v>
      </c>
      <c r="J1918" s="6">
        <v>0</v>
      </c>
      <c r="K1918" s="6">
        <v>0</v>
      </c>
      <c r="L1918" s="6">
        <v>293.161</v>
      </c>
      <c r="M1918" s="6">
        <v>293.161</v>
      </c>
      <c r="N1918" s="6">
        <v>293.161</v>
      </c>
      <c r="O1918" s="6">
        <v>293.161</v>
      </c>
      <c r="P1918" s="6">
        <v>349</v>
      </c>
      <c r="Q1918" s="4" t="s">
        <v>26</v>
      </c>
      <c r="R1918" s="4">
        <v>0</v>
      </c>
      <c r="S1918" s="6">
        <v>0</v>
      </c>
      <c r="T1918" s="6">
        <v>69</v>
      </c>
      <c r="U1918" s="6">
        <v>112</v>
      </c>
      <c r="V1918" s="6">
        <f>IF(ISERROR(VLOOKUP($S$1918,'TAR FIN'!$A$1:$O$116,15,0)),0,VLOOKUP($S$1918,'TAR FIN'!$A$1:$O$116,15,0))</f>
        <v>0</v>
      </c>
      <c r="W1918" s="6">
        <f>IF(ISERROR(VLOOKUP($T$1918,'TAR FIN'!$A$1:$O$116,15,0)),0,VLOOKUP($T$1918,'TAR FIN'!$A$1:$O$116,15,0))</f>
        <v>342.48</v>
      </c>
      <c r="X1918" s="6">
        <f>IF(ISERROR(VLOOKUP($U$1918,'TAR FIN'!$A$1:$O$116,15,0)),0,VLOOKUP($U$1918,'TAR FIN'!$A$1:$O$116,15,0))</f>
        <v>326.47000000000003</v>
      </c>
      <c r="Y1918" s="6"/>
      <c r="Z1918" s="6">
        <f ca="1">('TUSD BE'!$AM$71+'TUSD BF'!$AM$71+'TUSD CVA'!$AM$71)*1</f>
        <v>436.78490561809065</v>
      </c>
      <c r="AA1918" s="6">
        <f>('TE BE'!$AB$42+'TE BF'!$AB$42+'TE CVA'!$AB$42)*1</f>
        <v>329.63081087285968</v>
      </c>
      <c r="AB1918" s="6">
        <f>$K$1918*$V$1918</f>
        <v>0</v>
      </c>
      <c r="AC1918" s="6">
        <f>$M$1918*$W$1918</f>
        <v>100401.77928</v>
      </c>
      <c r="AD1918" s="6">
        <f>$O$1918*$X$1918</f>
        <v>95708.271670000002</v>
      </c>
      <c r="AE1918" s="6">
        <f>$K$1918*$Y$1918</f>
        <v>0</v>
      </c>
      <c r="AF1918" s="6">
        <f ca="1">$M$1918*$Z$1918</f>
        <v>128048.29971590507</v>
      </c>
      <c r="AG1918" s="6">
        <f>$O$1918*$AA$1918</f>
        <v>96634.898146298423</v>
      </c>
    </row>
    <row r="1919" spans="1:33" ht="11.25" customHeight="1" x14ac:dyDescent="0.25">
      <c r="A1919" s="4" t="s">
        <v>28</v>
      </c>
      <c r="B1919" s="4" t="s">
        <v>37</v>
      </c>
      <c r="C1919" s="4" t="s">
        <v>23</v>
      </c>
      <c r="D1919" s="4" t="s">
        <v>38</v>
      </c>
      <c r="E1919" s="4" t="s">
        <v>25</v>
      </c>
      <c r="F1919" s="4" t="s">
        <v>25</v>
      </c>
      <c r="G1919" s="4" t="s">
        <v>25</v>
      </c>
      <c r="H1919" s="4" t="s">
        <v>25</v>
      </c>
      <c r="I1919" s="5">
        <v>44440</v>
      </c>
      <c r="J1919" s="6">
        <v>0</v>
      </c>
      <c r="K1919" s="6">
        <v>0</v>
      </c>
      <c r="L1919" s="6">
        <v>-1.5429999999999999</v>
      </c>
      <c r="M1919" s="6">
        <v>-1.5429999999999999</v>
      </c>
      <c r="N1919" s="6">
        <v>-1.5429999999999999</v>
      </c>
      <c r="O1919" s="6">
        <v>-1.5429999999999999</v>
      </c>
      <c r="P1919" s="6">
        <v>0</v>
      </c>
      <c r="Q1919" s="4" t="s">
        <v>26</v>
      </c>
      <c r="R1919" s="4">
        <v>0</v>
      </c>
      <c r="S1919" s="6">
        <v>0</v>
      </c>
      <c r="T1919" s="6">
        <v>69</v>
      </c>
      <c r="U1919" s="6">
        <v>112</v>
      </c>
      <c r="V1919" s="6">
        <f>IF(ISERROR(VLOOKUP($S$1919,'TAR FIN'!$A$1:$O$116,15,0)),0,VLOOKUP($S$1919,'TAR FIN'!$A$1:$O$116,15,0))</f>
        <v>0</v>
      </c>
      <c r="W1919" s="6">
        <f>IF(ISERROR(VLOOKUP($T$1919,'TAR FIN'!$A$1:$O$116,15,0)),0,VLOOKUP($T$1919,'TAR FIN'!$A$1:$O$116,15,0))</f>
        <v>342.48</v>
      </c>
      <c r="X1919" s="6">
        <f>IF(ISERROR(VLOOKUP($U$1919,'TAR FIN'!$A$1:$O$116,15,0)),0,VLOOKUP($U$1919,'TAR FIN'!$A$1:$O$116,15,0))</f>
        <v>326.47000000000003</v>
      </c>
      <c r="Y1919" s="6"/>
      <c r="Z1919" s="6">
        <f ca="1">('TUSD BE'!$AM$71+'TUSD BF'!$AM$71+'TUSD CVA'!$AM$71)*1</f>
        <v>436.78490561809065</v>
      </c>
      <c r="AA1919" s="6">
        <f>('TE BE'!$AB$42+'TE BF'!$AB$42+'TE CVA'!$AB$42)*1</f>
        <v>329.63081087285968</v>
      </c>
      <c r="AB1919" s="6">
        <f>$K$1919*$V$1919</f>
        <v>0</v>
      </c>
      <c r="AC1919" s="6">
        <f>$M$1919*$W$1919</f>
        <v>-528.44664</v>
      </c>
      <c r="AD1919" s="6">
        <f>$O$1919*$X$1919</f>
        <v>-503.74321000000003</v>
      </c>
      <c r="AE1919" s="6">
        <f>$K$1919*$Y$1919</f>
        <v>0</v>
      </c>
      <c r="AF1919" s="6">
        <f ca="1">$M$1919*$Z$1919</f>
        <v>-673.95910936871383</v>
      </c>
      <c r="AG1919" s="6">
        <f>$O$1919*$AA$1919</f>
        <v>-508.62034117682248</v>
      </c>
    </row>
    <row r="1920" spans="1:33" ht="11.25" customHeight="1" x14ac:dyDescent="0.25">
      <c r="A1920" s="4" t="s">
        <v>21</v>
      </c>
      <c r="B1920" s="4" t="s">
        <v>37</v>
      </c>
      <c r="C1920" s="4" t="s">
        <v>23</v>
      </c>
      <c r="D1920" s="4" t="s">
        <v>38</v>
      </c>
      <c r="E1920" s="4" t="s">
        <v>25</v>
      </c>
      <c r="F1920" s="4" t="s">
        <v>25</v>
      </c>
      <c r="G1920" s="4" t="s">
        <v>25</v>
      </c>
      <c r="H1920" s="4" t="s">
        <v>25</v>
      </c>
      <c r="I1920" s="5">
        <v>44470</v>
      </c>
      <c r="J1920" s="6">
        <v>0</v>
      </c>
      <c r="K1920" s="6">
        <v>0</v>
      </c>
      <c r="L1920" s="6">
        <v>2084.9630000000002</v>
      </c>
      <c r="M1920" s="6">
        <v>2084.9630000000002</v>
      </c>
      <c r="N1920" s="6">
        <v>2084.9630000000002</v>
      </c>
      <c r="O1920" s="6">
        <v>2084.9630000000002</v>
      </c>
      <c r="P1920" s="6">
        <v>2701</v>
      </c>
      <c r="Q1920" s="4" t="s">
        <v>26</v>
      </c>
      <c r="R1920" s="4">
        <v>0</v>
      </c>
      <c r="S1920" s="6">
        <v>0</v>
      </c>
      <c r="T1920" s="6">
        <v>69</v>
      </c>
      <c r="U1920" s="6">
        <v>112</v>
      </c>
      <c r="V1920" s="6">
        <f>IF(ISERROR(VLOOKUP($S$1920,'TAR FIN'!$A$1:$O$116,15,0)),0,VLOOKUP($S$1920,'TAR FIN'!$A$1:$O$116,15,0))</f>
        <v>0</v>
      </c>
      <c r="W1920" s="6">
        <f>IF(ISERROR(VLOOKUP($T$1920,'TAR FIN'!$A$1:$O$116,15,0)),0,VLOOKUP($T$1920,'TAR FIN'!$A$1:$O$116,15,0))</f>
        <v>342.48</v>
      </c>
      <c r="X1920" s="6">
        <f>IF(ISERROR(VLOOKUP($U$1920,'TAR FIN'!$A$1:$O$116,15,0)),0,VLOOKUP($U$1920,'TAR FIN'!$A$1:$O$116,15,0))</f>
        <v>326.47000000000003</v>
      </c>
      <c r="Y1920" s="6"/>
      <c r="Z1920" s="6">
        <f ca="1">('TUSD BE'!$AM$71+'TUSD BF'!$AM$71+'TUSD CVA'!$AM$71)*1</f>
        <v>436.78490561809065</v>
      </c>
      <c r="AA1920" s="6">
        <f>('TE BE'!$AB$42+'TE BF'!$AB$42+'TE CVA'!$AB$42)*1</f>
        <v>329.63081087285968</v>
      </c>
      <c r="AB1920" s="6">
        <f>$K$1920*$V$1920</f>
        <v>0</v>
      </c>
      <c r="AC1920" s="6">
        <f>$M$1920*$W$1920</f>
        <v>714058.12824000011</v>
      </c>
      <c r="AD1920" s="6">
        <f>$O$1920*$X$1920</f>
        <v>680677.8706100001</v>
      </c>
      <c r="AE1920" s="6">
        <f>$K$1920*$Y$1920</f>
        <v>0</v>
      </c>
      <c r="AF1920" s="6">
        <f ca="1">$M$1920*$Z$1920</f>
        <v>910680.36717221118</v>
      </c>
      <c r="AG1920" s="6">
        <f>$O$1920*$AA$1920</f>
        <v>687268.04432991019</v>
      </c>
    </row>
    <row r="1921" spans="1:33" ht="11.25" customHeight="1" x14ac:dyDescent="0.25">
      <c r="A1921" s="4" t="s">
        <v>27</v>
      </c>
      <c r="B1921" s="4" t="s">
        <v>37</v>
      </c>
      <c r="C1921" s="4" t="s">
        <v>23</v>
      </c>
      <c r="D1921" s="4" t="s">
        <v>38</v>
      </c>
      <c r="E1921" s="4" t="s">
        <v>25</v>
      </c>
      <c r="F1921" s="4" t="s">
        <v>25</v>
      </c>
      <c r="G1921" s="4" t="s">
        <v>25</v>
      </c>
      <c r="H1921" s="4" t="s">
        <v>25</v>
      </c>
      <c r="I1921" s="5">
        <v>44470</v>
      </c>
      <c r="J1921" s="6">
        <v>0</v>
      </c>
      <c r="K1921" s="6">
        <v>0</v>
      </c>
      <c r="L1921" s="6">
        <v>-0.51</v>
      </c>
      <c r="M1921" s="6">
        <v>-0.51</v>
      </c>
      <c r="N1921" s="6">
        <v>-0.51</v>
      </c>
      <c r="O1921" s="6">
        <v>-0.51</v>
      </c>
      <c r="P1921" s="6">
        <v>0</v>
      </c>
      <c r="Q1921" s="4" t="s">
        <v>26</v>
      </c>
      <c r="R1921" s="4">
        <v>0</v>
      </c>
      <c r="S1921" s="6">
        <v>0</v>
      </c>
      <c r="T1921" s="6">
        <v>69</v>
      </c>
      <c r="U1921" s="6">
        <v>112</v>
      </c>
      <c r="V1921" s="6">
        <f>IF(ISERROR(VLOOKUP($S$1921,'TAR FIN'!$A$1:$O$116,15,0)),0,VLOOKUP($S$1921,'TAR FIN'!$A$1:$O$116,15,0))</f>
        <v>0</v>
      </c>
      <c r="W1921" s="6">
        <f>IF(ISERROR(VLOOKUP($T$1921,'TAR FIN'!$A$1:$O$116,15,0)),0,VLOOKUP($T$1921,'TAR FIN'!$A$1:$O$116,15,0))</f>
        <v>342.48</v>
      </c>
      <c r="X1921" s="6">
        <f>IF(ISERROR(VLOOKUP($U$1921,'TAR FIN'!$A$1:$O$116,15,0)),0,VLOOKUP($U$1921,'TAR FIN'!$A$1:$O$116,15,0))</f>
        <v>326.47000000000003</v>
      </c>
      <c r="Y1921" s="6"/>
      <c r="Z1921" s="6">
        <f ca="1">('TUSD BE'!$AM$71+'TUSD BF'!$AM$71+'TUSD CVA'!$AM$71)*1</f>
        <v>436.78490561809065</v>
      </c>
      <c r="AA1921" s="6">
        <f>('TE BE'!$AB$42+'TE BF'!$AB$42+'TE CVA'!$AB$42)*1</f>
        <v>329.63081087285968</v>
      </c>
      <c r="AB1921" s="6">
        <f>$K$1921*$V$1921</f>
        <v>0</v>
      </c>
      <c r="AC1921" s="6">
        <f>$M$1921*$W$1921</f>
        <v>-174.66480000000001</v>
      </c>
      <c r="AD1921" s="6">
        <f>$O$1921*$X$1921</f>
        <v>-166.49970000000002</v>
      </c>
      <c r="AE1921" s="6">
        <f>$K$1921*$Y$1921</f>
        <v>0</v>
      </c>
      <c r="AF1921" s="6">
        <f ca="1">$M$1921*$Z$1921</f>
        <v>-222.76030186522624</v>
      </c>
      <c r="AG1921" s="6">
        <f>$O$1921*$AA$1921</f>
        <v>-168.11171354515844</v>
      </c>
    </row>
    <row r="1922" spans="1:33" ht="11.25" customHeight="1" x14ac:dyDescent="0.25">
      <c r="A1922" s="4" t="s">
        <v>28</v>
      </c>
      <c r="B1922" s="4" t="s">
        <v>37</v>
      </c>
      <c r="C1922" s="4" t="s">
        <v>23</v>
      </c>
      <c r="D1922" s="4" t="s">
        <v>38</v>
      </c>
      <c r="E1922" s="4" t="s">
        <v>25</v>
      </c>
      <c r="F1922" s="4" t="s">
        <v>25</v>
      </c>
      <c r="G1922" s="4" t="s">
        <v>25</v>
      </c>
      <c r="H1922" s="4" t="s">
        <v>25</v>
      </c>
      <c r="I1922" s="5">
        <v>44470</v>
      </c>
      <c r="J1922" s="6">
        <v>0</v>
      </c>
      <c r="K1922" s="6">
        <v>0</v>
      </c>
      <c r="L1922" s="6">
        <v>312.15600000000001</v>
      </c>
      <c r="M1922" s="6">
        <v>312.15600000000001</v>
      </c>
      <c r="N1922" s="6">
        <v>312.15600000000001</v>
      </c>
      <c r="O1922" s="6">
        <v>312.15600000000001</v>
      </c>
      <c r="P1922" s="6">
        <v>375</v>
      </c>
      <c r="Q1922" s="4" t="s">
        <v>26</v>
      </c>
      <c r="R1922" s="4">
        <v>0</v>
      </c>
      <c r="S1922" s="6">
        <v>0</v>
      </c>
      <c r="T1922" s="6">
        <v>69</v>
      </c>
      <c r="U1922" s="6">
        <v>112</v>
      </c>
      <c r="V1922" s="6">
        <f>IF(ISERROR(VLOOKUP($S$1922,'TAR FIN'!$A$1:$O$116,15,0)),0,VLOOKUP($S$1922,'TAR FIN'!$A$1:$O$116,15,0))</f>
        <v>0</v>
      </c>
      <c r="W1922" s="6">
        <f>IF(ISERROR(VLOOKUP($T$1922,'TAR FIN'!$A$1:$O$116,15,0)),0,VLOOKUP($T$1922,'TAR FIN'!$A$1:$O$116,15,0))</f>
        <v>342.48</v>
      </c>
      <c r="X1922" s="6">
        <f>IF(ISERROR(VLOOKUP($U$1922,'TAR FIN'!$A$1:$O$116,15,0)),0,VLOOKUP($U$1922,'TAR FIN'!$A$1:$O$116,15,0))</f>
        <v>326.47000000000003</v>
      </c>
      <c r="Y1922" s="6"/>
      <c r="Z1922" s="6">
        <f ca="1">('TUSD BE'!$AM$71+'TUSD BF'!$AM$71+'TUSD CVA'!$AM$71)*1</f>
        <v>436.78490561809065</v>
      </c>
      <c r="AA1922" s="6">
        <f>('TE BE'!$AB$42+'TE BF'!$AB$42+'TE CVA'!$AB$42)*1</f>
        <v>329.63081087285968</v>
      </c>
      <c r="AB1922" s="6">
        <f>$K$1922*$V$1922</f>
        <v>0</v>
      </c>
      <c r="AC1922" s="6">
        <f>$M$1922*$W$1922</f>
        <v>106907.18688000001</v>
      </c>
      <c r="AD1922" s="6">
        <f>$O$1922*$X$1922</f>
        <v>101909.56932000001</v>
      </c>
      <c r="AE1922" s="6">
        <f>$K$1922*$Y$1922</f>
        <v>0</v>
      </c>
      <c r="AF1922" s="6">
        <f ca="1">$M$1922*$Z$1922</f>
        <v>136345.02899812072</v>
      </c>
      <c r="AG1922" s="6">
        <f>$O$1922*$AA$1922</f>
        <v>102896.23539882839</v>
      </c>
    </row>
    <row r="1923" spans="1:33" ht="11.25" customHeight="1" x14ac:dyDescent="0.25">
      <c r="A1923" s="4" t="s">
        <v>21</v>
      </c>
      <c r="B1923" s="4" t="s">
        <v>37</v>
      </c>
      <c r="C1923" s="4" t="s">
        <v>23</v>
      </c>
      <c r="D1923" s="4" t="s">
        <v>38</v>
      </c>
      <c r="E1923" s="4" t="s">
        <v>25</v>
      </c>
      <c r="F1923" s="4" t="s">
        <v>25</v>
      </c>
      <c r="G1923" s="4" t="s">
        <v>25</v>
      </c>
      <c r="H1923" s="4" t="s">
        <v>25</v>
      </c>
      <c r="I1923" s="5">
        <v>44501</v>
      </c>
      <c r="J1923" s="6">
        <v>0</v>
      </c>
      <c r="K1923" s="6">
        <v>0</v>
      </c>
      <c r="L1923" s="6">
        <v>2010.2729999999999</v>
      </c>
      <c r="M1923" s="6">
        <v>2010.2729999999999</v>
      </c>
      <c r="N1923" s="6">
        <v>2010.2729999999999</v>
      </c>
      <c r="O1923" s="6">
        <v>2010.2729999999999</v>
      </c>
      <c r="P1923" s="6">
        <v>2676</v>
      </c>
      <c r="Q1923" s="4" t="s">
        <v>26</v>
      </c>
      <c r="R1923" s="4">
        <v>0</v>
      </c>
      <c r="S1923" s="6">
        <v>0</v>
      </c>
      <c r="T1923" s="6">
        <v>69</v>
      </c>
      <c r="U1923" s="6">
        <v>112</v>
      </c>
      <c r="V1923" s="6">
        <f>IF(ISERROR(VLOOKUP($S$1923,'TAR FIN'!$A$1:$O$116,15,0)),0,VLOOKUP($S$1923,'TAR FIN'!$A$1:$O$116,15,0))</f>
        <v>0</v>
      </c>
      <c r="W1923" s="6">
        <f>IF(ISERROR(VLOOKUP($T$1923,'TAR FIN'!$A$1:$O$116,15,0)),0,VLOOKUP($T$1923,'TAR FIN'!$A$1:$O$116,15,0))</f>
        <v>342.48</v>
      </c>
      <c r="X1923" s="6">
        <f>IF(ISERROR(VLOOKUP($U$1923,'TAR FIN'!$A$1:$O$116,15,0)),0,VLOOKUP($U$1923,'TAR FIN'!$A$1:$O$116,15,0))</f>
        <v>326.47000000000003</v>
      </c>
      <c r="Y1923" s="6"/>
      <c r="Z1923" s="6">
        <f ca="1">('TUSD BE'!$AM$71+'TUSD BF'!$AM$71+'TUSD CVA'!$AM$71)*1</f>
        <v>436.78490561809065</v>
      </c>
      <c r="AA1923" s="6">
        <f>('TE BE'!$AB$42+'TE BF'!$AB$42+'TE CVA'!$AB$42)*1</f>
        <v>329.63081087285968</v>
      </c>
      <c r="AB1923" s="6">
        <f>$K$1923*$V$1923</f>
        <v>0</v>
      </c>
      <c r="AC1923" s="6">
        <f>$M$1923*$W$1923</f>
        <v>688478.29703999998</v>
      </c>
      <c r="AD1923" s="6">
        <f>$O$1923*$X$1923</f>
        <v>656293.82631000003</v>
      </c>
      <c r="AE1923" s="6">
        <f>$K$1923*$Y$1923</f>
        <v>0</v>
      </c>
      <c r="AF1923" s="6">
        <f ca="1">$M$1923*$Z$1923</f>
        <v>878056.90257159586</v>
      </c>
      <c r="AG1923" s="6">
        <f>$O$1923*$AA$1923</f>
        <v>662647.91906581621</v>
      </c>
    </row>
    <row r="1924" spans="1:33" ht="11.25" customHeight="1" x14ac:dyDescent="0.25">
      <c r="A1924" s="4" t="s">
        <v>27</v>
      </c>
      <c r="B1924" s="4" t="s">
        <v>37</v>
      </c>
      <c r="C1924" s="4" t="s">
        <v>23</v>
      </c>
      <c r="D1924" s="4" t="s">
        <v>38</v>
      </c>
      <c r="E1924" s="4" t="s">
        <v>25</v>
      </c>
      <c r="F1924" s="4" t="s">
        <v>25</v>
      </c>
      <c r="G1924" s="4" t="s">
        <v>25</v>
      </c>
      <c r="H1924" s="4" t="s">
        <v>25</v>
      </c>
      <c r="I1924" s="5">
        <v>44501</v>
      </c>
      <c r="J1924" s="6">
        <v>0</v>
      </c>
      <c r="K1924" s="6">
        <v>0</v>
      </c>
      <c r="L1924" s="6">
        <v>-0.22600000000000001</v>
      </c>
      <c r="M1924" s="6">
        <v>-0.22600000000000001</v>
      </c>
      <c r="N1924" s="6">
        <v>-0.22600000000000001</v>
      </c>
      <c r="O1924" s="6">
        <v>-0.22600000000000001</v>
      </c>
      <c r="P1924" s="6">
        <v>0</v>
      </c>
      <c r="Q1924" s="4" t="s">
        <v>26</v>
      </c>
      <c r="R1924" s="4">
        <v>0</v>
      </c>
      <c r="S1924" s="6">
        <v>0</v>
      </c>
      <c r="T1924" s="6">
        <v>69</v>
      </c>
      <c r="U1924" s="6">
        <v>112</v>
      </c>
      <c r="V1924" s="6">
        <f>IF(ISERROR(VLOOKUP($S$1924,'TAR FIN'!$A$1:$O$116,15,0)),0,VLOOKUP($S$1924,'TAR FIN'!$A$1:$O$116,15,0))</f>
        <v>0</v>
      </c>
      <c r="W1924" s="6">
        <f>IF(ISERROR(VLOOKUP($T$1924,'TAR FIN'!$A$1:$O$116,15,0)),0,VLOOKUP($T$1924,'TAR FIN'!$A$1:$O$116,15,0))</f>
        <v>342.48</v>
      </c>
      <c r="X1924" s="6">
        <f>IF(ISERROR(VLOOKUP($U$1924,'TAR FIN'!$A$1:$O$116,15,0)),0,VLOOKUP($U$1924,'TAR FIN'!$A$1:$O$116,15,0))</f>
        <v>326.47000000000003</v>
      </c>
      <c r="Y1924" s="6"/>
      <c r="Z1924" s="6">
        <f ca="1">('TUSD BE'!$AM$71+'TUSD BF'!$AM$71+'TUSD CVA'!$AM$71)*1</f>
        <v>436.78490561809065</v>
      </c>
      <c r="AA1924" s="6">
        <f>('TE BE'!$AB$42+'TE BF'!$AB$42+'TE CVA'!$AB$42)*1</f>
        <v>329.63081087285968</v>
      </c>
      <c r="AB1924" s="6">
        <f>$K$1924*$V$1924</f>
        <v>0</v>
      </c>
      <c r="AC1924" s="6">
        <f>$M$1924*$W$1924</f>
        <v>-77.400480000000002</v>
      </c>
      <c r="AD1924" s="6">
        <f>$O$1924*$X$1924</f>
        <v>-73.782220000000009</v>
      </c>
      <c r="AE1924" s="6">
        <f>$K$1924*$Y$1924</f>
        <v>0</v>
      </c>
      <c r="AF1924" s="6">
        <f ca="1">$M$1924*$Z$1924</f>
        <v>-98.713388669688484</v>
      </c>
      <c r="AG1924" s="6">
        <f>$O$1924*$AA$1924</f>
        <v>-74.496563257266288</v>
      </c>
    </row>
    <row r="1925" spans="1:33" ht="11.25" customHeight="1" x14ac:dyDescent="0.25">
      <c r="A1925" s="4" t="s">
        <v>28</v>
      </c>
      <c r="B1925" s="4" t="s">
        <v>37</v>
      </c>
      <c r="C1925" s="4" t="s">
        <v>23</v>
      </c>
      <c r="D1925" s="4" t="s">
        <v>38</v>
      </c>
      <c r="E1925" s="4" t="s">
        <v>25</v>
      </c>
      <c r="F1925" s="4" t="s">
        <v>25</v>
      </c>
      <c r="G1925" s="4" t="s">
        <v>25</v>
      </c>
      <c r="H1925" s="4" t="s">
        <v>25</v>
      </c>
      <c r="I1925" s="5">
        <v>44501</v>
      </c>
      <c r="J1925" s="6">
        <v>0</v>
      </c>
      <c r="K1925" s="6">
        <v>0</v>
      </c>
      <c r="L1925" s="6">
        <v>332.50299999999999</v>
      </c>
      <c r="M1925" s="6">
        <v>332.50299999999999</v>
      </c>
      <c r="N1925" s="6">
        <v>332.50299999999999</v>
      </c>
      <c r="O1925" s="6">
        <v>332.50299999999999</v>
      </c>
      <c r="P1925" s="6">
        <v>399</v>
      </c>
      <c r="Q1925" s="4" t="s">
        <v>26</v>
      </c>
      <c r="R1925" s="4">
        <v>0</v>
      </c>
      <c r="S1925" s="6">
        <v>0</v>
      </c>
      <c r="T1925" s="6">
        <v>69</v>
      </c>
      <c r="U1925" s="6">
        <v>112</v>
      </c>
      <c r="V1925" s="6">
        <f>IF(ISERROR(VLOOKUP($S$1925,'TAR FIN'!$A$1:$O$116,15,0)),0,VLOOKUP($S$1925,'TAR FIN'!$A$1:$O$116,15,0))</f>
        <v>0</v>
      </c>
      <c r="W1925" s="6">
        <f>IF(ISERROR(VLOOKUP($T$1925,'TAR FIN'!$A$1:$O$116,15,0)),0,VLOOKUP($T$1925,'TAR FIN'!$A$1:$O$116,15,0))</f>
        <v>342.48</v>
      </c>
      <c r="X1925" s="6">
        <f>IF(ISERROR(VLOOKUP($U$1925,'TAR FIN'!$A$1:$O$116,15,0)),0,VLOOKUP($U$1925,'TAR FIN'!$A$1:$O$116,15,0))</f>
        <v>326.47000000000003</v>
      </c>
      <c r="Y1925" s="6"/>
      <c r="Z1925" s="6">
        <f ca="1">('TUSD BE'!$AM$71+'TUSD BF'!$AM$71+'TUSD CVA'!$AM$71)*1</f>
        <v>436.78490561809065</v>
      </c>
      <c r="AA1925" s="6">
        <f>('TE BE'!$AB$42+'TE BF'!$AB$42+'TE CVA'!$AB$42)*1</f>
        <v>329.63081087285968</v>
      </c>
      <c r="AB1925" s="6">
        <f>$K$1925*$V$1925</f>
        <v>0</v>
      </c>
      <c r="AC1925" s="6">
        <f>$M$1925*$W$1925</f>
        <v>113875.62744</v>
      </c>
      <c r="AD1925" s="6">
        <f>$O$1925*$X$1925</f>
        <v>108552.25441000001</v>
      </c>
      <c r="AE1925" s="6">
        <f>$K$1925*$Y$1925</f>
        <v>0</v>
      </c>
      <c r="AF1925" s="6">
        <f ca="1">$M$1925*$Z$1925</f>
        <v>145232.291472732</v>
      </c>
      <c r="AG1925" s="6">
        <f>$O$1925*$AA$1925</f>
        <v>109603.23350765846</v>
      </c>
    </row>
    <row r="1926" spans="1:33" ht="11.25" customHeight="1" x14ac:dyDescent="0.25">
      <c r="A1926" s="4" t="s">
        <v>28</v>
      </c>
      <c r="B1926" s="4" t="s">
        <v>37</v>
      </c>
      <c r="C1926" s="4" t="s">
        <v>23</v>
      </c>
      <c r="D1926" s="4" t="s">
        <v>38</v>
      </c>
      <c r="E1926" s="4" t="s">
        <v>25</v>
      </c>
      <c r="F1926" s="4" t="s">
        <v>25</v>
      </c>
      <c r="G1926" s="4" t="s">
        <v>25</v>
      </c>
      <c r="H1926" s="4" t="s">
        <v>25</v>
      </c>
      <c r="I1926" s="5">
        <v>44501</v>
      </c>
      <c r="J1926" s="6">
        <v>0</v>
      </c>
      <c r="K1926" s="6">
        <v>0</v>
      </c>
      <c r="L1926" s="6">
        <v>-0.48299999999999998</v>
      </c>
      <c r="M1926" s="6">
        <v>-0.48299999999999998</v>
      </c>
      <c r="N1926" s="6">
        <v>-0.48299999999999998</v>
      </c>
      <c r="O1926" s="6">
        <v>-0.48299999999999998</v>
      </c>
      <c r="P1926" s="6">
        <v>0</v>
      </c>
      <c r="Q1926" s="4" t="s">
        <v>26</v>
      </c>
      <c r="R1926" s="4">
        <v>0</v>
      </c>
      <c r="S1926" s="6">
        <v>0</v>
      </c>
      <c r="T1926" s="6">
        <v>69</v>
      </c>
      <c r="U1926" s="6">
        <v>112</v>
      </c>
      <c r="V1926" s="6">
        <f>IF(ISERROR(VLOOKUP($S$1926,'TAR FIN'!$A$1:$O$116,15,0)),0,VLOOKUP($S$1926,'TAR FIN'!$A$1:$O$116,15,0))</f>
        <v>0</v>
      </c>
      <c r="W1926" s="6">
        <f>IF(ISERROR(VLOOKUP($T$1926,'TAR FIN'!$A$1:$O$116,15,0)),0,VLOOKUP($T$1926,'TAR FIN'!$A$1:$O$116,15,0))</f>
        <v>342.48</v>
      </c>
      <c r="X1926" s="6">
        <f>IF(ISERROR(VLOOKUP($U$1926,'TAR FIN'!$A$1:$O$116,15,0)),0,VLOOKUP($U$1926,'TAR FIN'!$A$1:$O$116,15,0))</f>
        <v>326.47000000000003</v>
      </c>
      <c r="Y1926" s="6"/>
      <c r="Z1926" s="6">
        <f ca="1">('TUSD BE'!$AM$71+'TUSD BF'!$AM$71+'TUSD CVA'!$AM$71)*1</f>
        <v>436.78490561809065</v>
      </c>
      <c r="AA1926" s="6">
        <f>('TE BE'!$AB$42+'TE BF'!$AB$42+'TE CVA'!$AB$42)*1</f>
        <v>329.63081087285968</v>
      </c>
      <c r="AB1926" s="6">
        <f>$K$1926*$V$1926</f>
        <v>0</v>
      </c>
      <c r="AC1926" s="6">
        <f>$M$1926*$W$1926</f>
        <v>-165.41784000000001</v>
      </c>
      <c r="AD1926" s="6">
        <f>$O$1926*$X$1926</f>
        <v>-157.68501000000001</v>
      </c>
      <c r="AE1926" s="6">
        <f>$K$1926*$Y$1926</f>
        <v>0</v>
      </c>
      <c r="AF1926" s="6">
        <f ca="1">$M$1926*$Z$1926</f>
        <v>-210.96710941353777</v>
      </c>
      <c r="AG1926" s="6">
        <f>$O$1926*$AA$1926</f>
        <v>-159.21168165159122</v>
      </c>
    </row>
    <row r="1927" spans="1:33" ht="11.25" customHeight="1" x14ac:dyDescent="0.25">
      <c r="A1927" s="4" t="s">
        <v>21</v>
      </c>
      <c r="B1927" s="4" t="s">
        <v>37</v>
      </c>
      <c r="C1927" s="4" t="s">
        <v>23</v>
      </c>
      <c r="D1927" s="4" t="s">
        <v>38</v>
      </c>
      <c r="E1927" s="4" t="s">
        <v>25</v>
      </c>
      <c r="F1927" s="4" t="s">
        <v>25</v>
      </c>
      <c r="G1927" s="4" t="s">
        <v>25</v>
      </c>
      <c r="H1927" s="4" t="s">
        <v>25</v>
      </c>
      <c r="I1927" s="5">
        <v>44531</v>
      </c>
      <c r="J1927" s="6">
        <v>0</v>
      </c>
      <c r="K1927" s="6">
        <v>0</v>
      </c>
      <c r="L1927" s="6">
        <v>2113.3249999999998</v>
      </c>
      <c r="M1927" s="6">
        <v>2113.3249999999998</v>
      </c>
      <c r="N1927" s="6">
        <v>2113.3249999999998</v>
      </c>
      <c r="O1927" s="6">
        <v>2113.3249999999998</v>
      </c>
      <c r="P1927" s="6">
        <v>2642</v>
      </c>
      <c r="Q1927" s="4" t="s">
        <v>26</v>
      </c>
      <c r="R1927" s="4">
        <v>0</v>
      </c>
      <c r="S1927" s="6">
        <v>0</v>
      </c>
      <c r="T1927" s="6">
        <v>69</v>
      </c>
      <c r="U1927" s="6">
        <v>112</v>
      </c>
      <c r="V1927" s="6">
        <f>IF(ISERROR(VLOOKUP($S$1927,'TAR FIN'!$A$1:$O$116,15,0)),0,VLOOKUP($S$1927,'TAR FIN'!$A$1:$O$116,15,0))</f>
        <v>0</v>
      </c>
      <c r="W1927" s="6">
        <f>IF(ISERROR(VLOOKUP($T$1927,'TAR FIN'!$A$1:$O$116,15,0)),0,VLOOKUP($T$1927,'TAR FIN'!$A$1:$O$116,15,0))</f>
        <v>342.48</v>
      </c>
      <c r="X1927" s="6">
        <f>IF(ISERROR(VLOOKUP($U$1927,'TAR FIN'!$A$1:$O$116,15,0)),0,VLOOKUP($U$1927,'TAR FIN'!$A$1:$O$116,15,0))</f>
        <v>326.47000000000003</v>
      </c>
      <c r="Y1927" s="6"/>
      <c r="Z1927" s="6">
        <f ca="1">('TUSD BE'!$AM$71+'TUSD BF'!$AM$71+'TUSD CVA'!$AM$71)*1</f>
        <v>436.78490561809065</v>
      </c>
      <c r="AA1927" s="6">
        <f>('TE BE'!$AB$42+'TE BF'!$AB$42+'TE CVA'!$AB$42)*1</f>
        <v>329.63081087285968</v>
      </c>
      <c r="AB1927" s="6">
        <f>$K$1927*$V$1927</f>
        <v>0</v>
      </c>
      <c r="AC1927" s="6">
        <f>$M$1927*$W$1927</f>
        <v>723771.54599999997</v>
      </c>
      <c r="AD1927" s="6">
        <f>$O$1927*$X$1927</f>
        <v>689937.21274999995</v>
      </c>
      <c r="AE1927" s="6">
        <f>$K$1927*$Y$1927</f>
        <v>0</v>
      </c>
      <c r="AF1927" s="6">
        <f ca="1">$M$1927*$Z$1927</f>
        <v>923068.46066535136</v>
      </c>
      <c r="AG1927" s="6">
        <f>$O$1927*$AA$1927</f>
        <v>696617.03338788613</v>
      </c>
    </row>
    <row r="1928" spans="1:33" ht="11.25" customHeight="1" x14ac:dyDescent="0.25">
      <c r="A1928" s="4" t="s">
        <v>28</v>
      </c>
      <c r="B1928" s="4" t="s">
        <v>37</v>
      </c>
      <c r="C1928" s="4" t="s">
        <v>23</v>
      </c>
      <c r="D1928" s="4" t="s">
        <v>38</v>
      </c>
      <c r="E1928" s="4" t="s">
        <v>25</v>
      </c>
      <c r="F1928" s="4" t="s">
        <v>25</v>
      </c>
      <c r="G1928" s="4" t="s">
        <v>25</v>
      </c>
      <c r="H1928" s="4" t="s">
        <v>25</v>
      </c>
      <c r="I1928" s="5">
        <v>44531</v>
      </c>
      <c r="J1928" s="6">
        <v>0</v>
      </c>
      <c r="K1928" s="6">
        <v>0</v>
      </c>
      <c r="L1928" s="6">
        <v>343.57600000000002</v>
      </c>
      <c r="M1928" s="6">
        <v>343.57600000000002</v>
      </c>
      <c r="N1928" s="6">
        <v>343.57600000000002</v>
      </c>
      <c r="O1928" s="6">
        <v>343.57600000000002</v>
      </c>
      <c r="P1928" s="6">
        <v>433</v>
      </c>
      <c r="Q1928" s="4" t="s">
        <v>26</v>
      </c>
      <c r="R1928" s="4">
        <v>0</v>
      </c>
      <c r="S1928" s="6">
        <v>0</v>
      </c>
      <c r="T1928" s="6">
        <v>69</v>
      </c>
      <c r="U1928" s="6">
        <v>112</v>
      </c>
      <c r="V1928" s="6">
        <f>IF(ISERROR(VLOOKUP($S$1928,'TAR FIN'!$A$1:$O$116,15,0)),0,VLOOKUP($S$1928,'TAR FIN'!$A$1:$O$116,15,0))</f>
        <v>0</v>
      </c>
      <c r="W1928" s="6">
        <f>IF(ISERROR(VLOOKUP($T$1928,'TAR FIN'!$A$1:$O$116,15,0)),0,VLOOKUP($T$1928,'TAR FIN'!$A$1:$O$116,15,0))</f>
        <v>342.48</v>
      </c>
      <c r="X1928" s="6">
        <f>IF(ISERROR(VLOOKUP($U$1928,'TAR FIN'!$A$1:$O$116,15,0)),0,VLOOKUP($U$1928,'TAR FIN'!$A$1:$O$116,15,0))</f>
        <v>326.47000000000003</v>
      </c>
      <c r="Y1928" s="6"/>
      <c r="Z1928" s="6">
        <f ca="1">('TUSD BE'!$AM$71+'TUSD BF'!$AM$71+'TUSD CVA'!$AM$71)*1</f>
        <v>436.78490561809065</v>
      </c>
      <c r="AA1928" s="6">
        <f>('TE BE'!$AB$42+'TE BF'!$AB$42+'TE CVA'!$AB$42)*1</f>
        <v>329.63081087285968</v>
      </c>
      <c r="AB1928" s="6">
        <f>$K$1928*$V$1928</f>
        <v>0</v>
      </c>
      <c r="AC1928" s="6">
        <f>$M$1928*$W$1928</f>
        <v>117667.90848000001</v>
      </c>
      <c r="AD1928" s="6">
        <f>$O$1928*$X$1928</f>
        <v>112167.25672000002</v>
      </c>
      <c r="AE1928" s="6">
        <f>$K$1928*$Y$1928</f>
        <v>0</v>
      </c>
      <c r="AF1928" s="6">
        <f ca="1">$M$1928*$Z$1928</f>
        <v>150068.81073264111</v>
      </c>
      <c r="AG1928" s="6">
        <f>$O$1928*$AA$1928</f>
        <v>113253.23547645364</v>
      </c>
    </row>
    <row r="1929" spans="1:33" ht="11.25" customHeight="1" x14ac:dyDescent="0.25">
      <c r="A1929" s="4" t="s">
        <v>28</v>
      </c>
      <c r="B1929" s="4" t="s">
        <v>37</v>
      </c>
      <c r="C1929" s="4" t="s">
        <v>23</v>
      </c>
      <c r="D1929" s="4" t="s">
        <v>38</v>
      </c>
      <c r="E1929" s="4" t="s">
        <v>25</v>
      </c>
      <c r="F1929" s="4" t="s">
        <v>25</v>
      </c>
      <c r="G1929" s="4" t="s">
        <v>25</v>
      </c>
      <c r="H1929" s="4" t="s">
        <v>25</v>
      </c>
      <c r="I1929" s="5">
        <v>44531</v>
      </c>
      <c r="J1929" s="6">
        <v>0</v>
      </c>
      <c r="K1929" s="6">
        <v>0</v>
      </c>
      <c r="L1929" s="6">
        <v>-5.93</v>
      </c>
      <c r="M1929" s="6">
        <v>-5.93</v>
      </c>
      <c r="N1929" s="6">
        <v>-5.93</v>
      </c>
      <c r="O1929" s="6">
        <v>-5.93</v>
      </c>
      <c r="P1929" s="6">
        <v>0</v>
      </c>
      <c r="Q1929" s="4" t="s">
        <v>26</v>
      </c>
      <c r="R1929" s="4">
        <v>0</v>
      </c>
      <c r="S1929" s="6">
        <v>0</v>
      </c>
      <c r="T1929" s="6">
        <v>69</v>
      </c>
      <c r="U1929" s="6">
        <v>112</v>
      </c>
      <c r="V1929" s="6">
        <f>IF(ISERROR(VLOOKUP($S$1929,'TAR FIN'!$A$1:$O$116,15,0)),0,VLOOKUP($S$1929,'TAR FIN'!$A$1:$O$116,15,0))</f>
        <v>0</v>
      </c>
      <c r="W1929" s="6">
        <f>IF(ISERROR(VLOOKUP($T$1929,'TAR FIN'!$A$1:$O$116,15,0)),0,VLOOKUP($T$1929,'TAR FIN'!$A$1:$O$116,15,0))</f>
        <v>342.48</v>
      </c>
      <c r="X1929" s="6">
        <f>IF(ISERROR(VLOOKUP($U$1929,'TAR FIN'!$A$1:$O$116,15,0)),0,VLOOKUP($U$1929,'TAR FIN'!$A$1:$O$116,15,0))</f>
        <v>326.47000000000003</v>
      </c>
      <c r="Y1929" s="6"/>
      <c r="Z1929" s="6">
        <f ca="1">('TUSD BE'!$AM$71+'TUSD BF'!$AM$71+'TUSD CVA'!$AM$71)*1</f>
        <v>436.78490561809065</v>
      </c>
      <c r="AA1929" s="6">
        <f>('TE BE'!$AB$42+'TE BF'!$AB$42+'TE CVA'!$AB$42)*1</f>
        <v>329.63081087285968</v>
      </c>
      <c r="AB1929" s="6">
        <f>$K$1929*$V$1929</f>
        <v>0</v>
      </c>
      <c r="AC1929" s="6">
        <f>$M$1929*$W$1929</f>
        <v>-2030.9064000000001</v>
      </c>
      <c r="AD1929" s="6">
        <f>$O$1929*$X$1929</f>
        <v>-1935.9671000000001</v>
      </c>
      <c r="AE1929" s="6">
        <f>$K$1929*$Y$1929</f>
        <v>0</v>
      </c>
      <c r="AF1929" s="6">
        <f ca="1">$M$1929*$Z$1929</f>
        <v>-2590.1344903152776</v>
      </c>
      <c r="AG1929" s="6">
        <f>$O$1929*$AA$1929</f>
        <v>-1954.7107084760578</v>
      </c>
    </row>
    <row r="1930" spans="1:33" ht="11.25" customHeight="1" x14ac:dyDescent="0.25">
      <c r="A1930" s="4" t="s">
        <v>21</v>
      </c>
      <c r="B1930" s="4" t="s">
        <v>37</v>
      </c>
      <c r="C1930" s="4" t="s">
        <v>23</v>
      </c>
      <c r="D1930" s="4" t="s">
        <v>38</v>
      </c>
      <c r="E1930" s="4" t="s">
        <v>25</v>
      </c>
      <c r="F1930" s="4" t="s">
        <v>25</v>
      </c>
      <c r="G1930" s="4" t="s">
        <v>25</v>
      </c>
      <c r="H1930" s="4" t="s">
        <v>25</v>
      </c>
      <c r="I1930" s="5">
        <v>44562</v>
      </c>
      <c r="J1930" s="6">
        <v>0</v>
      </c>
      <c r="K1930" s="6">
        <v>0</v>
      </c>
      <c r="L1930" s="6">
        <v>1810.5820000000001</v>
      </c>
      <c r="M1930" s="6">
        <v>1810.5820000000001</v>
      </c>
      <c r="N1930" s="6">
        <v>1810.5820000000001</v>
      </c>
      <c r="O1930" s="6">
        <v>1810.5820000000001</v>
      </c>
      <c r="P1930" s="6">
        <v>2632</v>
      </c>
      <c r="Q1930" s="4" t="s">
        <v>26</v>
      </c>
      <c r="R1930" s="4">
        <v>0</v>
      </c>
      <c r="S1930" s="6">
        <v>0</v>
      </c>
      <c r="T1930" s="6">
        <v>69</v>
      </c>
      <c r="U1930" s="6">
        <v>112</v>
      </c>
      <c r="V1930" s="6">
        <f>IF(ISERROR(VLOOKUP($S$1930,'TAR FIN'!$A$1:$O$116,15,0)),0,VLOOKUP($S$1930,'TAR FIN'!$A$1:$O$116,15,0))</f>
        <v>0</v>
      </c>
      <c r="W1930" s="6">
        <f>IF(ISERROR(VLOOKUP($T$1930,'TAR FIN'!$A$1:$O$116,15,0)),0,VLOOKUP($T$1930,'TAR FIN'!$A$1:$O$116,15,0))</f>
        <v>342.48</v>
      </c>
      <c r="X1930" s="6">
        <f>IF(ISERROR(VLOOKUP($U$1930,'TAR FIN'!$A$1:$O$116,15,0)),0,VLOOKUP($U$1930,'TAR FIN'!$A$1:$O$116,15,0))</f>
        <v>326.47000000000003</v>
      </c>
      <c r="Y1930" s="6"/>
      <c r="Z1930" s="6">
        <f ca="1">('TUSD BE'!$AM$71+'TUSD BF'!$AM$71+'TUSD CVA'!$AM$71)*1</f>
        <v>436.78490561809065</v>
      </c>
      <c r="AA1930" s="6">
        <f>('TE BE'!$AB$42+'TE BF'!$AB$42+'TE CVA'!$AB$42)*1</f>
        <v>329.63081087285968</v>
      </c>
      <c r="AB1930" s="6">
        <f>$K$1930*$V$1930</f>
        <v>0</v>
      </c>
      <c r="AC1930" s="6">
        <f>$M$1930*$W$1930</f>
        <v>620088.12336000009</v>
      </c>
      <c r="AD1930" s="6">
        <f>$O$1930*$X$1930</f>
        <v>591100.70554000011</v>
      </c>
      <c r="AE1930" s="6">
        <f>$K$1930*$Y$1930</f>
        <v>0</v>
      </c>
      <c r="AF1930" s="6">
        <f ca="1">$M$1930*$Z$1930</f>
        <v>790834.88798381388</v>
      </c>
      <c r="AG1930" s="6">
        <f>$O$1930*$AA$1930</f>
        <v>596823.61281180405</v>
      </c>
    </row>
    <row r="1931" spans="1:33" ht="11.25" customHeight="1" x14ac:dyDescent="0.25">
      <c r="A1931" s="4" t="s">
        <v>27</v>
      </c>
      <c r="B1931" s="4" t="s">
        <v>37</v>
      </c>
      <c r="C1931" s="4" t="s">
        <v>23</v>
      </c>
      <c r="D1931" s="4" t="s">
        <v>38</v>
      </c>
      <c r="E1931" s="4" t="s">
        <v>25</v>
      </c>
      <c r="F1931" s="4" t="s">
        <v>25</v>
      </c>
      <c r="G1931" s="4" t="s">
        <v>25</v>
      </c>
      <c r="H1931" s="4" t="s">
        <v>25</v>
      </c>
      <c r="I1931" s="5">
        <v>44562</v>
      </c>
      <c r="J1931" s="6">
        <v>0</v>
      </c>
      <c r="K1931" s="6">
        <v>0</v>
      </c>
      <c r="L1931" s="6">
        <v>-163.23699999999999</v>
      </c>
      <c r="M1931" s="6">
        <v>-163.23699999999999</v>
      </c>
      <c r="N1931" s="6">
        <v>-163.23699999999999</v>
      </c>
      <c r="O1931" s="6">
        <v>-163.23699999999999</v>
      </c>
      <c r="P1931" s="6">
        <v>-110</v>
      </c>
      <c r="Q1931" s="4" t="s">
        <v>26</v>
      </c>
      <c r="R1931" s="4">
        <v>0</v>
      </c>
      <c r="S1931" s="6">
        <v>0</v>
      </c>
      <c r="T1931" s="6">
        <v>69</v>
      </c>
      <c r="U1931" s="6">
        <v>112</v>
      </c>
      <c r="V1931" s="6">
        <f>IF(ISERROR(VLOOKUP($S$1931,'TAR FIN'!$A$1:$O$116,15,0)),0,VLOOKUP($S$1931,'TAR FIN'!$A$1:$O$116,15,0))</f>
        <v>0</v>
      </c>
      <c r="W1931" s="6">
        <f>IF(ISERROR(VLOOKUP($T$1931,'TAR FIN'!$A$1:$O$116,15,0)),0,VLOOKUP($T$1931,'TAR FIN'!$A$1:$O$116,15,0))</f>
        <v>342.48</v>
      </c>
      <c r="X1931" s="6">
        <f>IF(ISERROR(VLOOKUP($U$1931,'TAR FIN'!$A$1:$O$116,15,0)),0,VLOOKUP($U$1931,'TAR FIN'!$A$1:$O$116,15,0))</f>
        <v>326.47000000000003</v>
      </c>
      <c r="Y1931" s="6"/>
      <c r="Z1931" s="6">
        <f ca="1">('TUSD BE'!$AM$71+'TUSD BF'!$AM$71+'TUSD CVA'!$AM$71)*1</f>
        <v>436.78490561809065</v>
      </c>
      <c r="AA1931" s="6">
        <f>('TE BE'!$AB$42+'TE BF'!$AB$42+'TE CVA'!$AB$42)*1</f>
        <v>329.63081087285968</v>
      </c>
      <c r="AB1931" s="6">
        <f>$K$1931*$V$1931</f>
        <v>0</v>
      </c>
      <c r="AC1931" s="6">
        <f>$M$1931*$W$1931</f>
        <v>-55905.407760000002</v>
      </c>
      <c r="AD1931" s="6">
        <f>$O$1931*$X$1931</f>
        <v>-53291.983390000001</v>
      </c>
      <c r="AE1931" s="6">
        <f>$K$1931*$Y$1931</f>
        <v>0</v>
      </c>
      <c r="AF1931" s="6">
        <f ca="1">$M$1931*$Z$1931</f>
        <v>-71299.457638380263</v>
      </c>
      <c r="AG1931" s="6">
        <f>$O$1931*$AA$1931</f>
        <v>-53807.944674452992</v>
      </c>
    </row>
    <row r="1932" spans="1:33" ht="11.25" customHeight="1" x14ac:dyDescent="0.25">
      <c r="A1932" s="4" t="s">
        <v>28</v>
      </c>
      <c r="B1932" s="4" t="s">
        <v>37</v>
      </c>
      <c r="C1932" s="4" t="s">
        <v>23</v>
      </c>
      <c r="D1932" s="4" t="s">
        <v>38</v>
      </c>
      <c r="E1932" s="4" t="s">
        <v>25</v>
      </c>
      <c r="F1932" s="4" t="s">
        <v>25</v>
      </c>
      <c r="G1932" s="4" t="s">
        <v>25</v>
      </c>
      <c r="H1932" s="4" t="s">
        <v>25</v>
      </c>
      <c r="I1932" s="5">
        <v>44562</v>
      </c>
      <c r="J1932" s="6">
        <v>0</v>
      </c>
      <c r="K1932" s="6">
        <v>0</v>
      </c>
      <c r="L1932" s="6">
        <v>294.92399999999998</v>
      </c>
      <c r="M1932" s="6">
        <v>294.92399999999998</v>
      </c>
      <c r="N1932" s="6">
        <v>294.92399999999998</v>
      </c>
      <c r="O1932" s="6">
        <v>294.92399999999998</v>
      </c>
      <c r="P1932" s="6">
        <v>458</v>
      </c>
      <c r="Q1932" s="4" t="s">
        <v>26</v>
      </c>
      <c r="R1932" s="4">
        <v>0</v>
      </c>
      <c r="S1932" s="6">
        <v>0</v>
      </c>
      <c r="T1932" s="6">
        <v>69</v>
      </c>
      <c r="U1932" s="6">
        <v>112</v>
      </c>
      <c r="V1932" s="6">
        <f>IF(ISERROR(VLOOKUP($S$1932,'TAR FIN'!$A$1:$O$116,15,0)),0,VLOOKUP($S$1932,'TAR FIN'!$A$1:$O$116,15,0))</f>
        <v>0</v>
      </c>
      <c r="W1932" s="6">
        <f>IF(ISERROR(VLOOKUP($T$1932,'TAR FIN'!$A$1:$O$116,15,0)),0,VLOOKUP($T$1932,'TAR FIN'!$A$1:$O$116,15,0))</f>
        <v>342.48</v>
      </c>
      <c r="X1932" s="6">
        <f>IF(ISERROR(VLOOKUP($U$1932,'TAR FIN'!$A$1:$O$116,15,0)),0,VLOOKUP($U$1932,'TAR FIN'!$A$1:$O$116,15,0))</f>
        <v>326.47000000000003</v>
      </c>
      <c r="Y1932" s="6"/>
      <c r="Z1932" s="6">
        <f ca="1">('TUSD BE'!$AM$71+'TUSD BF'!$AM$71+'TUSD CVA'!$AM$71)*1</f>
        <v>436.78490561809065</v>
      </c>
      <c r="AA1932" s="6">
        <f>('TE BE'!$AB$42+'TE BF'!$AB$42+'TE CVA'!$AB$42)*1</f>
        <v>329.63081087285968</v>
      </c>
      <c r="AB1932" s="6">
        <f>$K$1932*$V$1932</f>
        <v>0</v>
      </c>
      <c r="AC1932" s="6">
        <f>$M$1932*$W$1932</f>
        <v>101005.57152</v>
      </c>
      <c r="AD1932" s="6">
        <f>$O$1932*$X$1932</f>
        <v>96283.838279999996</v>
      </c>
      <c r="AE1932" s="6">
        <f>$K$1932*$Y$1932</f>
        <v>0</v>
      </c>
      <c r="AF1932" s="6">
        <f ca="1">$M$1932*$Z$1932</f>
        <v>128818.35150450976</v>
      </c>
      <c r="AG1932" s="6">
        <f>$O$1932*$AA$1932</f>
        <v>97216.037265867257</v>
      </c>
    </row>
    <row r="1933" spans="1:33" ht="11.25" customHeight="1" x14ac:dyDescent="0.25">
      <c r="A1933" s="4" t="s">
        <v>28</v>
      </c>
      <c r="B1933" s="4" t="s">
        <v>37</v>
      </c>
      <c r="C1933" s="4" t="s">
        <v>23</v>
      </c>
      <c r="D1933" s="4" t="s">
        <v>38</v>
      </c>
      <c r="E1933" s="4" t="s">
        <v>25</v>
      </c>
      <c r="F1933" s="4" t="s">
        <v>25</v>
      </c>
      <c r="G1933" s="4" t="s">
        <v>25</v>
      </c>
      <c r="H1933" s="4" t="s">
        <v>25</v>
      </c>
      <c r="I1933" s="5">
        <v>44562</v>
      </c>
      <c r="J1933" s="6">
        <v>0</v>
      </c>
      <c r="K1933" s="6">
        <v>0</v>
      </c>
      <c r="L1933" s="6">
        <v>-0.05</v>
      </c>
      <c r="M1933" s="6">
        <v>-0.05</v>
      </c>
      <c r="N1933" s="6">
        <v>-0.05</v>
      </c>
      <c r="O1933" s="6">
        <v>-0.05</v>
      </c>
      <c r="P1933" s="6">
        <v>0</v>
      </c>
      <c r="Q1933" s="4" t="s">
        <v>26</v>
      </c>
      <c r="R1933" s="4">
        <v>0</v>
      </c>
      <c r="S1933" s="6">
        <v>0</v>
      </c>
      <c r="T1933" s="6">
        <v>69</v>
      </c>
      <c r="U1933" s="6">
        <v>112</v>
      </c>
      <c r="V1933" s="6">
        <f>IF(ISERROR(VLOOKUP($S$1933,'TAR FIN'!$A$1:$O$116,15,0)),0,VLOOKUP($S$1933,'TAR FIN'!$A$1:$O$116,15,0))</f>
        <v>0</v>
      </c>
      <c r="W1933" s="6">
        <f>IF(ISERROR(VLOOKUP($T$1933,'TAR FIN'!$A$1:$O$116,15,0)),0,VLOOKUP($T$1933,'TAR FIN'!$A$1:$O$116,15,0))</f>
        <v>342.48</v>
      </c>
      <c r="X1933" s="6">
        <f>IF(ISERROR(VLOOKUP($U$1933,'TAR FIN'!$A$1:$O$116,15,0)),0,VLOOKUP($U$1933,'TAR FIN'!$A$1:$O$116,15,0))</f>
        <v>326.47000000000003</v>
      </c>
      <c r="Y1933" s="6"/>
      <c r="Z1933" s="6">
        <f ca="1">('TUSD BE'!$AM$71+'TUSD BF'!$AM$71+'TUSD CVA'!$AM$71)*1</f>
        <v>436.78490561809065</v>
      </c>
      <c r="AA1933" s="6">
        <f>('TE BE'!$AB$42+'TE BF'!$AB$42+'TE CVA'!$AB$42)*1</f>
        <v>329.63081087285968</v>
      </c>
      <c r="AB1933" s="6">
        <f>$K$1933*$V$1933</f>
        <v>0</v>
      </c>
      <c r="AC1933" s="6">
        <f>$M$1933*$W$1933</f>
        <v>-17.124000000000002</v>
      </c>
      <c r="AD1933" s="6">
        <f>$O$1933*$X$1933</f>
        <v>-16.323500000000003</v>
      </c>
      <c r="AE1933" s="6">
        <f>$K$1933*$Y$1933</f>
        <v>0</v>
      </c>
      <c r="AF1933" s="6">
        <f ca="1">$M$1933*$Z$1933</f>
        <v>-21.839245280904535</v>
      </c>
      <c r="AG1933" s="6">
        <f>$O$1933*$AA$1933</f>
        <v>-16.481540543642986</v>
      </c>
    </row>
    <row r="1934" spans="1:33" ht="11.25" customHeight="1" x14ac:dyDescent="0.25">
      <c r="A1934" s="4" t="s">
        <v>21</v>
      </c>
      <c r="B1934" s="4" t="s">
        <v>37</v>
      </c>
      <c r="C1934" s="4" t="s">
        <v>23</v>
      </c>
      <c r="D1934" s="4" t="s">
        <v>38</v>
      </c>
      <c r="E1934" s="4" t="s">
        <v>25</v>
      </c>
      <c r="F1934" s="4" t="s">
        <v>25</v>
      </c>
      <c r="G1934" s="4" t="s">
        <v>25</v>
      </c>
      <c r="H1934" s="4" t="s">
        <v>25</v>
      </c>
      <c r="I1934" s="5">
        <v>44593</v>
      </c>
      <c r="J1934" s="6">
        <v>0</v>
      </c>
      <c r="K1934" s="6">
        <v>0</v>
      </c>
      <c r="L1934" s="6">
        <v>1946.0160000000001</v>
      </c>
      <c r="M1934" s="6">
        <v>1946.0160000000001</v>
      </c>
      <c r="N1934" s="6">
        <v>1946.0160000000001</v>
      </c>
      <c r="O1934" s="6">
        <v>1946.0160000000001</v>
      </c>
      <c r="P1934" s="6">
        <v>2647</v>
      </c>
      <c r="Q1934" s="4" t="s">
        <v>26</v>
      </c>
      <c r="R1934" s="4">
        <v>0</v>
      </c>
      <c r="S1934" s="6">
        <v>0</v>
      </c>
      <c r="T1934" s="6">
        <v>69</v>
      </c>
      <c r="U1934" s="6">
        <v>112</v>
      </c>
      <c r="V1934" s="6">
        <f>IF(ISERROR(VLOOKUP($S$1934,'TAR FIN'!$A$1:$O$116,15,0)),0,VLOOKUP($S$1934,'TAR FIN'!$A$1:$O$116,15,0))</f>
        <v>0</v>
      </c>
      <c r="W1934" s="6">
        <f>IF(ISERROR(VLOOKUP($T$1934,'TAR FIN'!$A$1:$O$116,15,0)),0,VLOOKUP($T$1934,'TAR FIN'!$A$1:$O$116,15,0))</f>
        <v>342.48</v>
      </c>
      <c r="X1934" s="6">
        <f>IF(ISERROR(VLOOKUP($U$1934,'TAR FIN'!$A$1:$O$116,15,0)),0,VLOOKUP($U$1934,'TAR FIN'!$A$1:$O$116,15,0))</f>
        <v>326.47000000000003</v>
      </c>
      <c r="Y1934" s="6"/>
      <c r="Z1934" s="6">
        <f ca="1">('TUSD BE'!$AM$71+'TUSD BF'!$AM$71+'TUSD CVA'!$AM$71)*1</f>
        <v>436.78490561809065</v>
      </c>
      <c r="AA1934" s="6">
        <f>('TE BE'!$AB$42+'TE BF'!$AB$42+'TE CVA'!$AB$42)*1</f>
        <v>329.63081087285968</v>
      </c>
      <c r="AB1934" s="6">
        <f>$K$1934*$V$1934</f>
        <v>0</v>
      </c>
      <c r="AC1934" s="6">
        <f>$M$1934*$W$1934</f>
        <v>666471.55968000006</v>
      </c>
      <c r="AD1934" s="6">
        <f>$O$1934*$X$1934</f>
        <v>635315.84352000011</v>
      </c>
      <c r="AE1934" s="6">
        <f>$K$1934*$Y$1934</f>
        <v>0</v>
      </c>
      <c r="AF1934" s="6">
        <f ca="1">$M$1934*$Z$1934</f>
        <v>849990.41489129432</v>
      </c>
      <c r="AG1934" s="6">
        <f>$O$1934*$AA$1934</f>
        <v>641466.83205155889</v>
      </c>
    </row>
    <row r="1935" spans="1:33" ht="11.25" customHeight="1" x14ac:dyDescent="0.25">
      <c r="A1935" s="4" t="s">
        <v>28</v>
      </c>
      <c r="B1935" s="4" t="s">
        <v>37</v>
      </c>
      <c r="C1935" s="4" t="s">
        <v>23</v>
      </c>
      <c r="D1935" s="4" t="s">
        <v>38</v>
      </c>
      <c r="E1935" s="4" t="s">
        <v>25</v>
      </c>
      <c r="F1935" s="4" t="s">
        <v>25</v>
      </c>
      <c r="G1935" s="4" t="s">
        <v>25</v>
      </c>
      <c r="H1935" s="4" t="s">
        <v>25</v>
      </c>
      <c r="I1935" s="5">
        <v>44593</v>
      </c>
      <c r="J1935" s="6">
        <v>0</v>
      </c>
      <c r="K1935" s="6">
        <v>0</v>
      </c>
      <c r="L1935" s="6">
        <v>352.29399999999998</v>
      </c>
      <c r="M1935" s="6">
        <v>352.29399999999998</v>
      </c>
      <c r="N1935" s="6">
        <v>352.29399999999998</v>
      </c>
      <c r="O1935" s="6">
        <v>352.29399999999998</v>
      </c>
      <c r="P1935" s="6">
        <v>486</v>
      </c>
      <c r="Q1935" s="4" t="s">
        <v>26</v>
      </c>
      <c r="R1935" s="4">
        <v>0</v>
      </c>
      <c r="S1935" s="6">
        <v>0</v>
      </c>
      <c r="T1935" s="6">
        <v>69</v>
      </c>
      <c r="U1935" s="6">
        <v>112</v>
      </c>
      <c r="V1935" s="6">
        <f>IF(ISERROR(VLOOKUP($S$1935,'TAR FIN'!$A$1:$O$116,15,0)),0,VLOOKUP($S$1935,'TAR FIN'!$A$1:$O$116,15,0))</f>
        <v>0</v>
      </c>
      <c r="W1935" s="6">
        <f>IF(ISERROR(VLOOKUP($T$1935,'TAR FIN'!$A$1:$O$116,15,0)),0,VLOOKUP($T$1935,'TAR FIN'!$A$1:$O$116,15,0))</f>
        <v>342.48</v>
      </c>
      <c r="X1935" s="6">
        <f>IF(ISERROR(VLOOKUP($U$1935,'TAR FIN'!$A$1:$O$116,15,0)),0,VLOOKUP($U$1935,'TAR FIN'!$A$1:$O$116,15,0))</f>
        <v>326.47000000000003</v>
      </c>
      <c r="Y1935" s="6"/>
      <c r="Z1935" s="6">
        <f ca="1">('TUSD BE'!$AM$71+'TUSD BF'!$AM$71+'TUSD CVA'!$AM$71)*1</f>
        <v>436.78490561809065</v>
      </c>
      <c r="AA1935" s="6">
        <f>('TE BE'!$AB$42+'TE BF'!$AB$42+'TE CVA'!$AB$42)*1</f>
        <v>329.63081087285968</v>
      </c>
      <c r="AB1935" s="6">
        <f>$K$1935*$V$1935</f>
        <v>0</v>
      </c>
      <c r="AC1935" s="6">
        <f>$M$1935*$W$1935</f>
        <v>120653.64912</v>
      </c>
      <c r="AD1935" s="6">
        <f>$O$1935*$X$1935</f>
        <v>115013.42218000001</v>
      </c>
      <c r="AE1935" s="6">
        <f>$K$1935*$Y$1935</f>
        <v>0</v>
      </c>
      <c r="AF1935" s="6">
        <f ca="1">$M$1935*$Z$1935</f>
        <v>153876.70153981962</v>
      </c>
      <c r="AG1935" s="6">
        <f>$O$1935*$AA$1935</f>
        <v>116126.95688564323</v>
      </c>
    </row>
    <row r="1936" spans="1:33" ht="11.25" customHeight="1" x14ac:dyDescent="0.25">
      <c r="A1936" s="4" t="s">
        <v>21</v>
      </c>
      <c r="B1936" s="4" t="s">
        <v>37</v>
      </c>
      <c r="C1936" s="4" t="s">
        <v>23</v>
      </c>
      <c r="D1936" s="4" t="s">
        <v>38</v>
      </c>
      <c r="E1936" s="4" t="s">
        <v>25</v>
      </c>
      <c r="F1936" s="4" t="s">
        <v>25</v>
      </c>
      <c r="G1936" s="4" t="s">
        <v>25</v>
      </c>
      <c r="H1936" s="4" t="s">
        <v>25</v>
      </c>
      <c r="I1936" s="5">
        <v>44621</v>
      </c>
      <c r="J1936" s="6">
        <v>0</v>
      </c>
      <c r="K1936" s="6">
        <v>0</v>
      </c>
      <c r="L1936" s="6">
        <v>2016.309</v>
      </c>
      <c r="M1936" s="6">
        <v>2016.309</v>
      </c>
      <c r="N1936" s="6">
        <v>2016.309</v>
      </c>
      <c r="O1936" s="6">
        <v>2016.309</v>
      </c>
      <c r="P1936" s="6">
        <v>2636</v>
      </c>
      <c r="Q1936" s="4" t="s">
        <v>26</v>
      </c>
      <c r="R1936" s="4">
        <v>0</v>
      </c>
      <c r="S1936" s="6">
        <v>0</v>
      </c>
      <c r="T1936" s="6">
        <v>69</v>
      </c>
      <c r="U1936" s="6">
        <v>112</v>
      </c>
      <c r="V1936" s="6">
        <f>IF(ISERROR(VLOOKUP($S$1936,'TAR FIN'!$A$1:$O$116,15,0)),0,VLOOKUP($S$1936,'TAR FIN'!$A$1:$O$116,15,0))</f>
        <v>0</v>
      </c>
      <c r="W1936" s="6">
        <f>IF(ISERROR(VLOOKUP($T$1936,'TAR FIN'!$A$1:$O$116,15,0)),0,VLOOKUP($T$1936,'TAR FIN'!$A$1:$O$116,15,0))</f>
        <v>342.48</v>
      </c>
      <c r="X1936" s="6">
        <f>IF(ISERROR(VLOOKUP($U$1936,'TAR FIN'!$A$1:$O$116,15,0)),0,VLOOKUP($U$1936,'TAR FIN'!$A$1:$O$116,15,0))</f>
        <v>326.47000000000003</v>
      </c>
      <c r="Y1936" s="6"/>
      <c r="Z1936" s="6">
        <f ca="1">('TUSD BE'!$AM$71+'TUSD BF'!$AM$71+'TUSD CVA'!$AM$71)*1</f>
        <v>436.78490561809065</v>
      </c>
      <c r="AA1936" s="6">
        <f>('TE BE'!$AB$42+'TE BF'!$AB$42+'TE CVA'!$AB$42)*1</f>
        <v>329.63081087285968</v>
      </c>
      <c r="AB1936" s="6">
        <f>$K$1936*$V$1936</f>
        <v>0</v>
      </c>
      <c r="AC1936" s="6">
        <f>$M$1936*$W$1936</f>
        <v>690545.50632000004</v>
      </c>
      <c r="AD1936" s="6">
        <f>$O$1936*$X$1936</f>
        <v>658264.3992300001</v>
      </c>
      <c r="AE1936" s="6">
        <f>$K$1936*$Y$1936</f>
        <v>0</v>
      </c>
      <c r="AF1936" s="6">
        <f ca="1">$M$1936*$Z$1936</f>
        <v>880693.33626190678</v>
      </c>
      <c r="AG1936" s="6">
        <f>$O$1936*$AA$1936</f>
        <v>664637.57064024487</v>
      </c>
    </row>
    <row r="1937" spans="1:33" ht="11.25" customHeight="1" x14ac:dyDescent="0.25">
      <c r="A1937" s="4" t="s">
        <v>27</v>
      </c>
      <c r="B1937" s="4" t="s">
        <v>37</v>
      </c>
      <c r="C1937" s="4" t="s">
        <v>23</v>
      </c>
      <c r="D1937" s="4" t="s">
        <v>38</v>
      </c>
      <c r="E1937" s="4" t="s">
        <v>25</v>
      </c>
      <c r="F1937" s="4" t="s">
        <v>25</v>
      </c>
      <c r="G1937" s="4" t="s">
        <v>25</v>
      </c>
      <c r="H1937" s="4" t="s">
        <v>25</v>
      </c>
      <c r="I1937" s="5">
        <v>44621</v>
      </c>
      <c r="J1937" s="6">
        <v>0</v>
      </c>
      <c r="K1937" s="6">
        <v>0</v>
      </c>
      <c r="L1937" s="6">
        <v>-5.1769999999999996</v>
      </c>
      <c r="M1937" s="6">
        <v>-5.1769999999999996</v>
      </c>
      <c r="N1937" s="6">
        <v>-5.1769999999999996</v>
      </c>
      <c r="O1937" s="6">
        <v>-5.1769999999999996</v>
      </c>
      <c r="P1937" s="6">
        <v>0</v>
      </c>
      <c r="Q1937" s="4" t="s">
        <v>26</v>
      </c>
      <c r="R1937" s="4">
        <v>0</v>
      </c>
      <c r="S1937" s="6">
        <v>0</v>
      </c>
      <c r="T1937" s="6">
        <v>69</v>
      </c>
      <c r="U1937" s="6">
        <v>112</v>
      </c>
      <c r="V1937" s="6">
        <f>IF(ISERROR(VLOOKUP($S$1937,'TAR FIN'!$A$1:$O$116,15,0)),0,VLOOKUP($S$1937,'TAR FIN'!$A$1:$O$116,15,0))</f>
        <v>0</v>
      </c>
      <c r="W1937" s="6">
        <f>IF(ISERROR(VLOOKUP($T$1937,'TAR FIN'!$A$1:$O$116,15,0)),0,VLOOKUP($T$1937,'TAR FIN'!$A$1:$O$116,15,0))</f>
        <v>342.48</v>
      </c>
      <c r="X1937" s="6">
        <f>IF(ISERROR(VLOOKUP($U$1937,'TAR FIN'!$A$1:$O$116,15,0)),0,VLOOKUP($U$1937,'TAR FIN'!$A$1:$O$116,15,0))</f>
        <v>326.47000000000003</v>
      </c>
      <c r="Y1937" s="6"/>
      <c r="Z1937" s="6">
        <f ca="1">('TUSD BE'!$AM$71+'TUSD BF'!$AM$71+'TUSD CVA'!$AM$71)*1</f>
        <v>436.78490561809065</v>
      </c>
      <c r="AA1937" s="6">
        <f>('TE BE'!$AB$42+'TE BF'!$AB$42+'TE CVA'!$AB$42)*1</f>
        <v>329.63081087285968</v>
      </c>
      <c r="AB1937" s="6">
        <f>$K$1937*$V$1937</f>
        <v>0</v>
      </c>
      <c r="AC1937" s="6">
        <f>$M$1937*$W$1937</f>
        <v>-1773.0189599999999</v>
      </c>
      <c r="AD1937" s="6">
        <f>$O$1937*$X$1937</f>
        <v>-1690.13519</v>
      </c>
      <c r="AE1937" s="6">
        <f>$K$1937*$Y$1937</f>
        <v>0</v>
      </c>
      <c r="AF1937" s="6">
        <f ca="1">$M$1937*$Z$1937</f>
        <v>-2261.2354563848553</v>
      </c>
      <c r="AG1937" s="6">
        <f>$O$1937*$AA$1937</f>
        <v>-1706.4987078887943</v>
      </c>
    </row>
    <row r="1938" spans="1:33" ht="11.25" customHeight="1" x14ac:dyDescent="0.25">
      <c r="A1938" s="4" t="s">
        <v>28</v>
      </c>
      <c r="B1938" s="4" t="s">
        <v>37</v>
      </c>
      <c r="C1938" s="4" t="s">
        <v>23</v>
      </c>
      <c r="D1938" s="4" t="s">
        <v>38</v>
      </c>
      <c r="E1938" s="4" t="s">
        <v>25</v>
      </c>
      <c r="F1938" s="4" t="s">
        <v>25</v>
      </c>
      <c r="G1938" s="4" t="s">
        <v>25</v>
      </c>
      <c r="H1938" s="4" t="s">
        <v>25</v>
      </c>
      <c r="I1938" s="5">
        <v>44621</v>
      </c>
      <c r="J1938" s="6">
        <v>0</v>
      </c>
      <c r="K1938" s="6">
        <v>0</v>
      </c>
      <c r="L1938" s="6">
        <v>351.66300000000001</v>
      </c>
      <c r="M1938" s="6">
        <v>351.66300000000001</v>
      </c>
      <c r="N1938" s="6">
        <v>351.66300000000001</v>
      </c>
      <c r="O1938" s="6">
        <v>351.66300000000001</v>
      </c>
      <c r="P1938" s="6">
        <v>500</v>
      </c>
      <c r="Q1938" s="4" t="s">
        <v>26</v>
      </c>
      <c r="R1938" s="4">
        <v>0</v>
      </c>
      <c r="S1938" s="6">
        <v>0</v>
      </c>
      <c r="T1938" s="6">
        <v>69</v>
      </c>
      <c r="U1938" s="6">
        <v>112</v>
      </c>
      <c r="V1938" s="6">
        <f>IF(ISERROR(VLOOKUP($S$1938,'TAR FIN'!$A$1:$O$116,15,0)),0,VLOOKUP($S$1938,'TAR FIN'!$A$1:$O$116,15,0))</f>
        <v>0</v>
      </c>
      <c r="W1938" s="6">
        <f>IF(ISERROR(VLOOKUP($T$1938,'TAR FIN'!$A$1:$O$116,15,0)),0,VLOOKUP($T$1938,'TAR FIN'!$A$1:$O$116,15,0))</f>
        <v>342.48</v>
      </c>
      <c r="X1938" s="6">
        <f>IF(ISERROR(VLOOKUP($U$1938,'TAR FIN'!$A$1:$O$116,15,0)),0,VLOOKUP($U$1938,'TAR FIN'!$A$1:$O$116,15,0))</f>
        <v>326.47000000000003</v>
      </c>
      <c r="Y1938" s="6"/>
      <c r="Z1938" s="6">
        <f ca="1">('TUSD BE'!$AM$71+'TUSD BF'!$AM$71+'TUSD CVA'!$AM$71)*1</f>
        <v>436.78490561809065</v>
      </c>
      <c r="AA1938" s="6">
        <f>('TE BE'!$AB$42+'TE BF'!$AB$42+'TE CVA'!$AB$42)*1</f>
        <v>329.63081087285968</v>
      </c>
      <c r="AB1938" s="6">
        <f>$K$1938*$V$1938</f>
        <v>0</v>
      </c>
      <c r="AC1938" s="6">
        <f>$M$1938*$W$1938</f>
        <v>120437.54424</v>
      </c>
      <c r="AD1938" s="6">
        <f>$O$1938*$X$1938</f>
        <v>114807.41961000001</v>
      </c>
      <c r="AE1938" s="6">
        <f>$K$1938*$Y$1938</f>
        <v>0</v>
      </c>
      <c r="AF1938" s="6">
        <f ca="1">$M$1938*$Z$1938</f>
        <v>153601.09026437462</v>
      </c>
      <c r="AG1938" s="6">
        <f>$O$1938*$AA$1938</f>
        <v>115918.95984398246</v>
      </c>
    </row>
    <row r="1939" spans="1:33" ht="11.25" customHeight="1" x14ac:dyDescent="0.25">
      <c r="A1939" s="4" t="s">
        <v>21</v>
      </c>
      <c r="B1939" s="4" t="s">
        <v>37</v>
      </c>
      <c r="C1939" s="4" t="s">
        <v>23</v>
      </c>
      <c r="D1939" s="4" t="s">
        <v>38</v>
      </c>
      <c r="E1939" s="4" t="s">
        <v>25</v>
      </c>
      <c r="F1939" s="4" t="s">
        <v>25</v>
      </c>
      <c r="G1939" s="4" t="s">
        <v>25</v>
      </c>
      <c r="H1939" s="4" t="s">
        <v>25</v>
      </c>
      <c r="I1939" s="5">
        <v>44652</v>
      </c>
      <c r="J1939" s="6">
        <v>0</v>
      </c>
      <c r="K1939" s="6">
        <v>0</v>
      </c>
      <c r="L1939" s="6">
        <v>1996.8</v>
      </c>
      <c r="M1939" s="6">
        <v>1996.8</v>
      </c>
      <c r="N1939" s="6">
        <v>1996.8</v>
      </c>
      <c r="O1939" s="6">
        <v>1996.8</v>
      </c>
      <c r="P1939" s="6">
        <v>2602</v>
      </c>
      <c r="Q1939" s="4" t="s">
        <v>26</v>
      </c>
      <c r="R1939" s="4">
        <v>0</v>
      </c>
      <c r="S1939" s="6">
        <v>0</v>
      </c>
      <c r="T1939" s="6">
        <v>69</v>
      </c>
      <c r="U1939" s="6">
        <v>112</v>
      </c>
      <c r="V1939" s="6">
        <f>IF(ISERROR(VLOOKUP($S$1939,'TAR FIN'!$A$1:$O$116,15,0)),0,VLOOKUP($S$1939,'TAR FIN'!$A$1:$O$116,15,0))</f>
        <v>0</v>
      </c>
      <c r="W1939" s="6">
        <f>IF(ISERROR(VLOOKUP($T$1939,'TAR FIN'!$A$1:$O$116,15,0)),0,VLOOKUP($T$1939,'TAR FIN'!$A$1:$O$116,15,0))</f>
        <v>342.48</v>
      </c>
      <c r="X1939" s="6">
        <f>IF(ISERROR(VLOOKUP($U$1939,'TAR FIN'!$A$1:$O$116,15,0)),0,VLOOKUP($U$1939,'TAR FIN'!$A$1:$O$116,15,0))</f>
        <v>326.47000000000003</v>
      </c>
      <c r="Y1939" s="6"/>
      <c r="Z1939" s="6">
        <f ca="1">('TUSD BE'!$AM$71+'TUSD BF'!$AM$71+'TUSD CVA'!$AM$71)*1</f>
        <v>436.78490561809065</v>
      </c>
      <c r="AA1939" s="6">
        <f>('TE BE'!$AB$42+'TE BF'!$AB$42+'TE CVA'!$AB$42)*1</f>
        <v>329.63081087285968</v>
      </c>
      <c r="AB1939" s="6">
        <f>$K$1939*$V$1939</f>
        <v>0</v>
      </c>
      <c r="AC1939" s="6">
        <f>$M$1939*$W$1939</f>
        <v>683864.06400000001</v>
      </c>
      <c r="AD1939" s="6">
        <f>$O$1939*$X$1939</f>
        <v>651895.29600000009</v>
      </c>
      <c r="AE1939" s="6">
        <f>$K$1939*$Y$1939</f>
        <v>0</v>
      </c>
      <c r="AF1939" s="6">
        <f ca="1">$M$1939*$Z$1939</f>
        <v>872172.09953820333</v>
      </c>
      <c r="AG1939" s="6">
        <f>$O$1939*$AA$1939</f>
        <v>658206.80315092625</v>
      </c>
    </row>
    <row r="1940" spans="1:33" ht="11.25" customHeight="1" x14ac:dyDescent="0.25">
      <c r="A1940" s="4" t="s">
        <v>27</v>
      </c>
      <c r="B1940" s="4" t="s">
        <v>37</v>
      </c>
      <c r="C1940" s="4" t="s">
        <v>23</v>
      </c>
      <c r="D1940" s="4" t="s">
        <v>38</v>
      </c>
      <c r="E1940" s="4" t="s">
        <v>25</v>
      </c>
      <c r="F1940" s="4" t="s">
        <v>25</v>
      </c>
      <c r="G1940" s="4" t="s">
        <v>25</v>
      </c>
      <c r="H1940" s="4" t="s">
        <v>25</v>
      </c>
      <c r="I1940" s="5">
        <v>44652</v>
      </c>
      <c r="J1940" s="6">
        <v>0</v>
      </c>
      <c r="K1940" s="6">
        <v>0</v>
      </c>
      <c r="L1940" s="6">
        <v>2.3420000000000001</v>
      </c>
      <c r="M1940" s="6">
        <v>2.3420000000000001</v>
      </c>
      <c r="N1940" s="6">
        <v>2.3420000000000001</v>
      </c>
      <c r="O1940" s="6">
        <v>2.3420000000000001</v>
      </c>
      <c r="P1940" s="6">
        <v>0</v>
      </c>
      <c r="Q1940" s="4" t="s">
        <v>26</v>
      </c>
      <c r="R1940" s="4">
        <v>0</v>
      </c>
      <c r="S1940" s="6">
        <v>0</v>
      </c>
      <c r="T1940" s="6">
        <v>69</v>
      </c>
      <c r="U1940" s="6">
        <v>112</v>
      </c>
      <c r="V1940" s="6">
        <f>IF(ISERROR(VLOOKUP($S$1940,'TAR FIN'!$A$1:$O$116,15,0)),0,VLOOKUP($S$1940,'TAR FIN'!$A$1:$O$116,15,0))</f>
        <v>0</v>
      </c>
      <c r="W1940" s="6">
        <f>IF(ISERROR(VLOOKUP($T$1940,'TAR FIN'!$A$1:$O$116,15,0)),0,VLOOKUP($T$1940,'TAR FIN'!$A$1:$O$116,15,0))</f>
        <v>342.48</v>
      </c>
      <c r="X1940" s="6">
        <f>IF(ISERROR(VLOOKUP($U$1940,'TAR FIN'!$A$1:$O$116,15,0)),0,VLOOKUP($U$1940,'TAR FIN'!$A$1:$O$116,15,0))</f>
        <v>326.47000000000003</v>
      </c>
      <c r="Y1940" s="6"/>
      <c r="Z1940" s="6">
        <f ca="1">('TUSD BE'!$AM$71+'TUSD BF'!$AM$71+'TUSD CVA'!$AM$71)*1</f>
        <v>436.78490561809065</v>
      </c>
      <c r="AA1940" s="6">
        <f>('TE BE'!$AB$42+'TE BF'!$AB$42+'TE CVA'!$AB$42)*1</f>
        <v>329.63081087285968</v>
      </c>
      <c r="AB1940" s="6">
        <f>$K$1940*$V$1940</f>
        <v>0</v>
      </c>
      <c r="AC1940" s="6">
        <f>$M$1940*$W$1940</f>
        <v>802.08816000000002</v>
      </c>
      <c r="AD1940" s="6">
        <f>$O$1940*$X$1940</f>
        <v>764.59274000000005</v>
      </c>
      <c r="AE1940" s="6">
        <f>$K$1940*$Y$1940</f>
        <v>0</v>
      </c>
      <c r="AF1940" s="6">
        <f ca="1">$M$1940*$Z$1940</f>
        <v>1022.9502489575683</v>
      </c>
      <c r="AG1940" s="6">
        <f>$O$1940*$AA$1940</f>
        <v>771.99535906423739</v>
      </c>
    </row>
    <row r="1941" spans="1:33" ht="11.25" customHeight="1" x14ac:dyDescent="0.25">
      <c r="A1941" s="4" t="s">
        <v>28</v>
      </c>
      <c r="B1941" s="4" t="s">
        <v>37</v>
      </c>
      <c r="C1941" s="4" t="s">
        <v>23</v>
      </c>
      <c r="D1941" s="4" t="s">
        <v>38</v>
      </c>
      <c r="E1941" s="4" t="s">
        <v>25</v>
      </c>
      <c r="F1941" s="4" t="s">
        <v>25</v>
      </c>
      <c r="G1941" s="4" t="s">
        <v>25</v>
      </c>
      <c r="H1941" s="4" t="s">
        <v>25</v>
      </c>
      <c r="I1941" s="5">
        <v>44652</v>
      </c>
      <c r="J1941" s="6">
        <v>0</v>
      </c>
      <c r="K1941" s="6">
        <v>0</v>
      </c>
      <c r="L1941" s="6">
        <v>350.77100000000002</v>
      </c>
      <c r="M1941" s="6">
        <v>350.77100000000002</v>
      </c>
      <c r="N1941" s="6">
        <v>350.77100000000002</v>
      </c>
      <c r="O1941" s="6">
        <v>350.77100000000002</v>
      </c>
      <c r="P1941" s="6">
        <v>516</v>
      </c>
      <c r="Q1941" s="4" t="s">
        <v>26</v>
      </c>
      <c r="R1941" s="4">
        <v>0</v>
      </c>
      <c r="S1941" s="6">
        <v>0</v>
      </c>
      <c r="T1941" s="6">
        <v>69</v>
      </c>
      <c r="U1941" s="6">
        <v>112</v>
      </c>
      <c r="V1941" s="6">
        <f>IF(ISERROR(VLOOKUP($S$1941,'TAR FIN'!$A$1:$O$116,15,0)),0,VLOOKUP($S$1941,'TAR FIN'!$A$1:$O$116,15,0))</f>
        <v>0</v>
      </c>
      <c r="W1941" s="6">
        <f>IF(ISERROR(VLOOKUP($T$1941,'TAR FIN'!$A$1:$O$116,15,0)),0,VLOOKUP($T$1941,'TAR FIN'!$A$1:$O$116,15,0))</f>
        <v>342.48</v>
      </c>
      <c r="X1941" s="6">
        <f>IF(ISERROR(VLOOKUP($U$1941,'TAR FIN'!$A$1:$O$116,15,0)),0,VLOOKUP($U$1941,'TAR FIN'!$A$1:$O$116,15,0))</f>
        <v>326.47000000000003</v>
      </c>
      <c r="Y1941" s="6"/>
      <c r="Z1941" s="6">
        <f ca="1">('TUSD BE'!$AM$71+'TUSD BF'!$AM$71+'TUSD CVA'!$AM$71)*1</f>
        <v>436.78490561809065</v>
      </c>
      <c r="AA1941" s="6">
        <f>('TE BE'!$AB$42+'TE BF'!$AB$42+'TE CVA'!$AB$42)*1</f>
        <v>329.63081087285968</v>
      </c>
      <c r="AB1941" s="6">
        <f>$K$1941*$V$1941</f>
        <v>0</v>
      </c>
      <c r="AC1941" s="6">
        <f>$M$1941*$W$1941</f>
        <v>120132.05208000001</v>
      </c>
      <c r="AD1941" s="6">
        <f>$O$1941*$X$1941</f>
        <v>114516.20837000001</v>
      </c>
      <c r="AE1941" s="6">
        <f>$K$1941*$Y$1941</f>
        <v>0</v>
      </c>
      <c r="AF1941" s="6">
        <f ca="1">$M$1941*$Z$1941</f>
        <v>153211.47812856329</v>
      </c>
      <c r="AG1941" s="6">
        <f>$O$1941*$AA$1941</f>
        <v>115624.92916068387</v>
      </c>
    </row>
    <row r="1942" spans="1:33" ht="11.25" customHeight="1" x14ac:dyDescent="0.25">
      <c r="A1942" s="4" t="s">
        <v>28</v>
      </c>
      <c r="B1942" s="4" t="s">
        <v>37</v>
      </c>
      <c r="C1942" s="4" t="s">
        <v>23</v>
      </c>
      <c r="D1942" s="4" t="s">
        <v>38</v>
      </c>
      <c r="E1942" s="4" t="s">
        <v>25</v>
      </c>
      <c r="F1942" s="4" t="s">
        <v>25</v>
      </c>
      <c r="G1942" s="4" t="s">
        <v>25</v>
      </c>
      <c r="H1942" s="4" t="s">
        <v>25</v>
      </c>
      <c r="I1942" s="5">
        <v>44652</v>
      </c>
      <c r="J1942" s="6">
        <v>0</v>
      </c>
      <c r="K1942" s="6">
        <v>0</v>
      </c>
      <c r="L1942" s="6">
        <v>14.4</v>
      </c>
      <c r="M1942" s="6">
        <v>14.4</v>
      </c>
      <c r="N1942" s="6">
        <v>14.4</v>
      </c>
      <c r="O1942" s="6">
        <v>14.4</v>
      </c>
      <c r="P1942" s="6">
        <v>0</v>
      </c>
      <c r="Q1942" s="4" t="s">
        <v>26</v>
      </c>
      <c r="R1942" s="4">
        <v>0</v>
      </c>
      <c r="S1942" s="6">
        <v>0</v>
      </c>
      <c r="T1942" s="6">
        <v>69</v>
      </c>
      <c r="U1942" s="6">
        <v>112</v>
      </c>
      <c r="V1942" s="6">
        <f>IF(ISERROR(VLOOKUP($S$1942,'TAR FIN'!$A$1:$O$116,15,0)),0,VLOOKUP($S$1942,'TAR FIN'!$A$1:$O$116,15,0))</f>
        <v>0</v>
      </c>
      <c r="W1942" s="6">
        <f>IF(ISERROR(VLOOKUP($T$1942,'TAR FIN'!$A$1:$O$116,15,0)),0,VLOOKUP($T$1942,'TAR FIN'!$A$1:$O$116,15,0))</f>
        <v>342.48</v>
      </c>
      <c r="X1942" s="6">
        <f>IF(ISERROR(VLOOKUP($U$1942,'TAR FIN'!$A$1:$O$116,15,0)),0,VLOOKUP($U$1942,'TAR FIN'!$A$1:$O$116,15,0))</f>
        <v>326.47000000000003</v>
      </c>
      <c r="Y1942" s="6"/>
      <c r="Z1942" s="6">
        <f ca="1">('TUSD BE'!$AM$71+'TUSD BF'!$AM$71+'TUSD CVA'!$AM$71)*1</f>
        <v>436.78490561809065</v>
      </c>
      <c r="AA1942" s="6">
        <f>('TE BE'!$AB$42+'TE BF'!$AB$42+'TE CVA'!$AB$42)*1</f>
        <v>329.63081087285968</v>
      </c>
      <c r="AB1942" s="6">
        <f>$K$1942*$V$1942</f>
        <v>0</v>
      </c>
      <c r="AC1942" s="6">
        <f>$M$1942*$W$1942</f>
        <v>4931.7120000000004</v>
      </c>
      <c r="AD1942" s="6">
        <f>$O$1942*$X$1942</f>
        <v>4701.1680000000006</v>
      </c>
      <c r="AE1942" s="6">
        <f>$K$1942*$Y$1942</f>
        <v>0</v>
      </c>
      <c r="AF1942" s="6">
        <f ca="1">$M$1942*$Z$1942</f>
        <v>6289.7026409005057</v>
      </c>
      <c r="AG1942" s="6">
        <f>$O$1942*$AA$1942</f>
        <v>4746.6836765691796</v>
      </c>
    </row>
    <row r="1943" spans="1:33" ht="11.25" customHeight="1" x14ac:dyDescent="0.25">
      <c r="A1943" s="4" t="s">
        <v>58</v>
      </c>
      <c r="B1943" s="4" t="s">
        <v>37</v>
      </c>
      <c r="C1943" s="4" t="s">
        <v>23</v>
      </c>
      <c r="D1943" s="4" t="s">
        <v>38</v>
      </c>
      <c r="E1943" s="4" t="s">
        <v>25</v>
      </c>
      <c r="F1943" s="4" t="s">
        <v>25</v>
      </c>
      <c r="G1943" s="4" t="s">
        <v>25</v>
      </c>
      <c r="H1943" s="4" t="s">
        <v>25</v>
      </c>
      <c r="I1943" s="5">
        <v>44682</v>
      </c>
      <c r="J1943" s="6">
        <v>0</v>
      </c>
      <c r="K1943" s="6">
        <v>0</v>
      </c>
      <c r="L1943" s="6">
        <v>1996.8</v>
      </c>
      <c r="M1943" s="6">
        <v>1996.8</v>
      </c>
      <c r="N1943" s="6">
        <v>1996.8</v>
      </c>
      <c r="O1943" s="6">
        <v>1996.8</v>
      </c>
      <c r="P1943" s="6">
        <v>2602</v>
      </c>
      <c r="Q1943" s="4" t="s">
        <v>26</v>
      </c>
      <c r="R1943" s="4">
        <v>0</v>
      </c>
      <c r="S1943" s="6">
        <v>0</v>
      </c>
      <c r="T1943" s="6">
        <v>69</v>
      </c>
      <c r="U1943" s="6">
        <v>112</v>
      </c>
      <c r="V1943" s="6">
        <f>IF(ISERROR(VLOOKUP($S$1943,'TAR FIN'!$A$1:$O$116,15,0)),0,VLOOKUP($S$1943,'TAR FIN'!$A$1:$O$116,15,0))</f>
        <v>0</v>
      </c>
      <c r="W1943" s="6">
        <f>IF(ISERROR(VLOOKUP($T$1943,'TAR FIN'!$A$1:$O$116,15,0)),0,VLOOKUP($T$1943,'TAR FIN'!$A$1:$O$116,15,0))</f>
        <v>342.48</v>
      </c>
      <c r="X1943" s="6">
        <f>IF(ISERROR(VLOOKUP($U$1943,'TAR FIN'!$A$1:$O$116,15,0)),0,VLOOKUP($U$1943,'TAR FIN'!$A$1:$O$116,15,0))</f>
        <v>326.47000000000003</v>
      </c>
      <c r="Y1943" s="6"/>
      <c r="Z1943" s="6">
        <f ca="1">('TUSD BE'!$AM$71+'TUSD BF'!$AM$71+'TUSD CVA'!$AM$71)*1</f>
        <v>436.78490561809065</v>
      </c>
      <c r="AA1943" s="6">
        <f>('TE BE'!$AB$42+'TE BF'!$AB$42+'TE CVA'!$AB$42)*1</f>
        <v>329.63081087285968</v>
      </c>
      <c r="AB1943" s="6">
        <f>$K$1943*$V$1943</f>
        <v>0</v>
      </c>
      <c r="AC1943" s="6">
        <f>$M$1943*$W$1943</f>
        <v>683864.06400000001</v>
      </c>
      <c r="AD1943" s="6">
        <f>$O$1943*$X$1943</f>
        <v>651895.29600000009</v>
      </c>
      <c r="AE1943" s="6">
        <f>$K$1943*$Y$1943</f>
        <v>0</v>
      </c>
      <c r="AF1943" s="6">
        <f ca="1">$M$1943*$Z$1943</f>
        <v>872172.09953820333</v>
      </c>
      <c r="AG1943" s="6">
        <f>$O$1943*$AA$1943</f>
        <v>658206.80315092625</v>
      </c>
    </row>
    <row r="1944" spans="1:33" ht="11.25" customHeight="1" x14ac:dyDescent="0.25">
      <c r="A1944" s="4" t="s">
        <v>58</v>
      </c>
      <c r="B1944" s="4" t="s">
        <v>37</v>
      </c>
      <c r="C1944" s="4" t="s">
        <v>23</v>
      </c>
      <c r="D1944" s="4" t="s">
        <v>38</v>
      </c>
      <c r="E1944" s="4" t="s">
        <v>25</v>
      </c>
      <c r="F1944" s="4" t="s">
        <v>25</v>
      </c>
      <c r="G1944" s="4" t="s">
        <v>25</v>
      </c>
      <c r="H1944" s="4" t="s">
        <v>25</v>
      </c>
      <c r="I1944" s="5">
        <v>44682</v>
      </c>
      <c r="J1944" s="6">
        <v>0</v>
      </c>
      <c r="K1944" s="6">
        <v>0</v>
      </c>
      <c r="L1944" s="6">
        <v>2.3420000000000001</v>
      </c>
      <c r="M1944" s="6">
        <v>2.3420000000000001</v>
      </c>
      <c r="N1944" s="6">
        <v>2.3420000000000001</v>
      </c>
      <c r="O1944" s="6">
        <v>2.3420000000000001</v>
      </c>
      <c r="P1944" s="6">
        <v>0</v>
      </c>
      <c r="Q1944" s="4" t="s">
        <v>26</v>
      </c>
      <c r="R1944" s="4">
        <v>0</v>
      </c>
      <c r="S1944" s="6">
        <v>0</v>
      </c>
      <c r="T1944" s="6">
        <v>69</v>
      </c>
      <c r="U1944" s="6">
        <v>112</v>
      </c>
      <c r="V1944" s="6">
        <f>IF(ISERROR(VLOOKUP($S$1944,'TAR FIN'!$A$1:$O$116,15,0)),0,VLOOKUP($S$1944,'TAR FIN'!$A$1:$O$116,15,0))</f>
        <v>0</v>
      </c>
      <c r="W1944" s="6">
        <f>IF(ISERROR(VLOOKUP($T$1944,'TAR FIN'!$A$1:$O$116,15,0)),0,VLOOKUP($T$1944,'TAR FIN'!$A$1:$O$116,15,0))</f>
        <v>342.48</v>
      </c>
      <c r="X1944" s="6">
        <f>IF(ISERROR(VLOOKUP($U$1944,'TAR FIN'!$A$1:$O$116,15,0)),0,VLOOKUP($U$1944,'TAR FIN'!$A$1:$O$116,15,0))</f>
        <v>326.47000000000003</v>
      </c>
      <c r="Y1944" s="6"/>
      <c r="Z1944" s="6">
        <f ca="1">('TUSD BE'!$AM$71+'TUSD BF'!$AM$71+'TUSD CVA'!$AM$71)*1</f>
        <v>436.78490561809065</v>
      </c>
      <c r="AA1944" s="6">
        <f>('TE BE'!$AB$42+'TE BF'!$AB$42+'TE CVA'!$AB$42)*1</f>
        <v>329.63081087285968</v>
      </c>
      <c r="AB1944" s="6">
        <f>$K$1944*$V$1944</f>
        <v>0</v>
      </c>
      <c r="AC1944" s="6">
        <f>$M$1944*$W$1944</f>
        <v>802.08816000000002</v>
      </c>
      <c r="AD1944" s="6">
        <f>$O$1944*$X$1944</f>
        <v>764.59274000000005</v>
      </c>
      <c r="AE1944" s="6">
        <f>$K$1944*$Y$1944</f>
        <v>0</v>
      </c>
      <c r="AF1944" s="6">
        <f ca="1">$M$1944*$Z$1944</f>
        <v>1022.9502489575683</v>
      </c>
      <c r="AG1944" s="6">
        <f>$O$1944*$AA$1944</f>
        <v>771.99535906423739</v>
      </c>
    </row>
    <row r="1945" spans="1:33" ht="11.25" customHeight="1" x14ac:dyDescent="0.25">
      <c r="A1945" s="4" t="s">
        <v>58</v>
      </c>
      <c r="B1945" s="4" t="s">
        <v>37</v>
      </c>
      <c r="C1945" s="4" t="s">
        <v>23</v>
      </c>
      <c r="D1945" s="4" t="s">
        <v>38</v>
      </c>
      <c r="E1945" s="4" t="s">
        <v>25</v>
      </c>
      <c r="F1945" s="4" t="s">
        <v>25</v>
      </c>
      <c r="G1945" s="4" t="s">
        <v>25</v>
      </c>
      <c r="H1945" s="4" t="s">
        <v>25</v>
      </c>
      <c r="I1945" s="5">
        <v>44682</v>
      </c>
      <c r="J1945" s="6">
        <v>0</v>
      </c>
      <c r="K1945" s="6">
        <v>0</v>
      </c>
      <c r="L1945" s="6">
        <v>350.77100000000002</v>
      </c>
      <c r="M1945" s="6">
        <v>350.77100000000002</v>
      </c>
      <c r="N1945" s="6">
        <v>350.77100000000002</v>
      </c>
      <c r="O1945" s="6">
        <v>350.77100000000002</v>
      </c>
      <c r="P1945" s="6">
        <v>516</v>
      </c>
      <c r="Q1945" s="4" t="s">
        <v>26</v>
      </c>
      <c r="R1945" s="4">
        <v>0</v>
      </c>
      <c r="S1945" s="6">
        <v>0</v>
      </c>
      <c r="T1945" s="6">
        <v>69</v>
      </c>
      <c r="U1945" s="6">
        <v>112</v>
      </c>
      <c r="V1945" s="6">
        <f>IF(ISERROR(VLOOKUP($S$1945,'TAR FIN'!$A$1:$O$116,15,0)),0,VLOOKUP($S$1945,'TAR FIN'!$A$1:$O$116,15,0))</f>
        <v>0</v>
      </c>
      <c r="W1945" s="6">
        <f>IF(ISERROR(VLOOKUP($T$1945,'TAR FIN'!$A$1:$O$116,15,0)),0,VLOOKUP($T$1945,'TAR FIN'!$A$1:$O$116,15,0))</f>
        <v>342.48</v>
      </c>
      <c r="X1945" s="6">
        <f>IF(ISERROR(VLOOKUP($U$1945,'TAR FIN'!$A$1:$O$116,15,0)),0,VLOOKUP($U$1945,'TAR FIN'!$A$1:$O$116,15,0))</f>
        <v>326.47000000000003</v>
      </c>
      <c r="Y1945" s="6"/>
      <c r="Z1945" s="6">
        <f ca="1">('TUSD BE'!$AM$71+'TUSD BF'!$AM$71+'TUSD CVA'!$AM$71)*1</f>
        <v>436.78490561809065</v>
      </c>
      <c r="AA1945" s="6">
        <f>('TE BE'!$AB$42+'TE BF'!$AB$42+'TE CVA'!$AB$42)*1</f>
        <v>329.63081087285968</v>
      </c>
      <c r="AB1945" s="6">
        <f>$K$1945*$V$1945</f>
        <v>0</v>
      </c>
      <c r="AC1945" s="6">
        <f>$M$1945*$W$1945</f>
        <v>120132.05208000001</v>
      </c>
      <c r="AD1945" s="6">
        <f>$O$1945*$X$1945</f>
        <v>114516.20837000001</v>
      </c>
      <c r="AE1945" s="6">
        <f>$K$1945*$Y$1945</f>
        <v>0</v>
      </c>
      <c r="AF1945" s="6">
        <f ca="1">$M$1945*$Z$1945</f>
        <v>153211.47812856329</v>
      </c>
      <c r="AG1945" s="6">
        <f>$O$1945*$AA$1945</f>
        <v>115624.92916068387</v>
      </c>
    </row>
    <row r="1946" spans="1:33" ht="11.25" customHeight="1" x14ac:dyDescent="0.25">
      <c r="A1946" s="4" t="s">
        <v>58</v>
      </c>
      <c r="B1946" s="4" t="s">
        <v>37</v>
      </c>
      <c r="C1946" s="4" t="s">
        <v>23</v>
      </c>
      <c r="D1946" s="4" t="s">
        <v>38</v>
      </c>
      <c r="E1946" s="4" t="s">
        <v>25</v>
      </c>
      <c r="F1946" s="4" t="s">
        <v>25</v>
      </c>
      <c r="G1946" s="4" t="s">
        <v>25</v>
      </c>
      <c r="H1946" s="4" t="s">
        <v>25</v>
      </c>
      <c r="I1946" s="5">
        <v>44682</v>
      </c>
      <c r="J1946" s="6">
        <v>0</v>
      </c>
      <c r="K1946" s="6">
        <v>0</v>
      </c>
      <c r="L1946" s="6">
        <v>14.4</v>
      </c>
      <c r="M1946" s="6">
        <v>14.4</v>
      </c>
      <c r="N1946" s="6">
        <v>14.4</v>
      </c>
      <c r="O1946" s="6">
        <v>14.4</v>
      </c>
      <c r="P1946" s="6">
        <v>0</v>
      </c>
      <c r="Q1946" s="4" t="s">
        <v>26</v>
      </c>
      <c r="R1946" s="4">
        <v>0</v>
      </c>
      <c r="S1946" s="6">
        <v>0</v>
      </c>
      <c r="T1946" s="6">
        <v>69</v>
      </c>
      <c r="U1946" s="6">
        <v>112</v>
      </c>
      <c r="V1946" s="6">
        <f>IF(ISERROR(VLOOKUP($S$1946,'TAR FIN'!$A$1:$O$116,15,0)),0,VLOOKUP($S$1946,'TAR FIN'!$A$1:$O$116,15,0))</f>
        <v>0</v>
      </c>
      <c r="W1946" s="6">
        <f>IF(ISERROR(VLOOKUP($T$1946,'TAR FIN'!$A$1:$O$116,15,0)),0,VLOOKUP($T$1946,'TAR FIN'!$A$1:$O$116,15,0))</f>
        <v>342.48</v>
      </c>
      <c r="X1946" s="6">
        <f>IF(ISERROR(VLOOKUP($U$1946,'TAR FIN'!$A$1:$O$116,15,0)),0,VLOOKUP($U$1946,'TAR FIN'!$A$1:$O$116,15,0))</f>
        <v>326.47000000000003</v>
      </c>
      <c r="Y1946" s="6"/>
      <c r="Z1946" s="6">
        <f ca="1">('TUSD BE'!$AM$71+'TUSD BF'!$AM$71+'TUSD CVA'!$AM$71)*1</f>
        <v>436.78490561809065</v>
      </c>
      <c r="AA1946" s="6">
        <f>('TE BE'!$AB$42+'TE BF'!$AB$42+'TE CVA'!$AB$42)*1</f>
        <v>329.63081087285968</v>
      </c>
      <c r="AB1946" s="6">
        <f>$K$1946*$V$1946</f>
        <v>0</v>
      </c>
      <c r="AC1946" s="6">
        <f>$M$1946*$W$1946</f>
        <v>4931.7120000000004</v>
      </c>
      <c r="AD1946" s="6">
        <f>$O$1946*$X$1946</f>
        <v>4701.1680000000006</v>
      </c>
      <c r="AE1946" s="6">
        <f>$K$1946*$Y$1946</f>
        <v>0</v>
      </c>
      <c r="AF1946" s="6">
        <f ca="1">$M$1946*$Z$1946</f>
        <v>6289.7026409005057</v>
      </c>
      <c r="AG1946" s="6">
        <f>$O$1946*$AA$1946</f>
        <v>4746.6836765691796</v>
      </c>
    </row>
    <row r="1947" spans="1:33" ht="11.25" customHeight="1" x14ac:dyDescent="0.25">
      <c r="A1947" s="4" t="s">
        <v>21</v>
      </c>
      <c r="B1947" s="4" t="s">
        <v>37</v>
      </c>
      <c r="C1947" s="4" t="s">
        <v>23</v>
      </c>
      <c r="D1947" s="4" t="s">
        <v>46</v>
      </c>
      <c r="E1947" s="4" t="s">
        <v>25</v>
      </c>
      <c r="F1947" s="4" t="s">
        <v>25</v>
      </c>
      <c r="G1947" s="4" t="s">
        <v>25</v>
      </c>
      <c r="H1947" s="4" t="s">
        <v>25</v>
      </c>
      <c r="I1947" s="5">
        <v>44348</v>
      </c>
      <c r="J1947" s="6">
        <v>0</v>
      </c>
      <c r="K1947" s="6">
        <v>0</v>
      </c>
      <c r="L1947" s="6">
        <v>1572.9829999999999</v>
      </c>
      <c r="M1947" s="6">
        <v>1572.9829999999999</v>
      </c>
      <c r="N1947" s="6">
        <v>1572.9829999999999</v>
      </c>
      <c r="O1947" s="6">
        <v>1572.9829999999999</v>
      </c>
      <c r="P1947" s="6">
        <v>4025</v>
      </c>
      <c r="Q1947" s="4" t="s">
        <v>26</v>
      </c>
      <c r="R1947" s="4">
        <v>0</v>
      </c>
      <c r="S1947" s="6">
        <v>0</v>
      </c>
      <c r="T1947" s="6">
        <v>69</v>
      </c>
      <c r="U1947" s="6">
        <v>112</v>
      </c>
      <c r="V1947" s="6">
        <f>IF(ISERROR(VLOOKUP($S$1947,'TAR FIN'!$A$1:$O$116,15,0)),0,VLOOKUP($S$1947,'TAR FIN'!$A$1:$O$116,15,0))</f>
        <v>0</v>
      </c>
      <c r="W1947" s="6">
        <f>IF(ISERROR(VLOOKUP($T$1947,'TAR FIN'!$A$1:$O$116,15,0)),0,VLOOKUP($T$1947,'TAR FIN'!$A$1:$O$116,15,0))</f>
        <v>342.48</v>
      </c>
      <c r="X1947" s="6">
        <f>IF(ISERROR(VLOOKUP($U$1947,'TAR FIN'!$A$1:$O$116,15,0)),0,VLOOKUP($U$1947,'TAR FIN'!$A$1:$O$116,15,0))</f>
        <v>326.47000000000003</v>
      </c>
      <c r="Y1947" s="6"/>
      <c r="Z1947" s="6">
        <f ca="1">('TUSD BE'!$AM$71+'TUSD BF'!$AM$71+'TUSD CVA'!$AM$71)*1</f>
        <v>436.78490561809065</v>
      </c>
      <c r="AA1947" s="6">
        <f>('TE BE'!$AB$42+'TE BF'!$AB$42+'TE CVA'!$AB$42)*1</f>
        <v>329.63081087285968</v>
      </c>
      <c r="AB1947" s="6">
        <f>$K$1947*$V$1947</f>
        <v>0</v>
      </c>
      <c r="AC1947" s="6">
        <f>$M$1947*$W$1947</f>
        <v>538715.21784000006</v>
      </c>
      <c r="AD1947" s="6">
        <f>$O$1947*$X$1947</f>
        <v>513531.76001000003</v>
      </c>
      <c r="AE1947" s="6">
        <f>$K$1947*$Y$1947</f>
        <v>0</v>
      </c>
      <c r="AF1947" s="6">
        <f ca="1">$M$1947*$Z$1947</f>
        <v>687055.23119386111</v>
      </c>
      <c r="AG1947" s="6">
        <f>$O$1947*$AA$1947</f>
        <v>518503.66177922342</v>
      </c>
    </row>
    <row r="1948" spans="1:33" ht="11.25" customHeight="1" x14ac:dyDescent="0.25">
      <c r="A1948" s="4" t="s">
        <v>27</v>
      </c>
      <c r="B1948" s="4" t="s">
        <v>37</v>
      </c>
      <c r="C1948" s="4" t="s">
        <v>23</v>
      </c>
      <c r="D1948" s="4" t="s">
        <v>46</v>
      </c>
      <c r="E1948" s="4" t="s">
        <v>25</v>
      </c>
      <c r="F1948" s="4" t="s">
        <v>25</v>
      </c>
      <c r="G1948" s="4" t="s">
        <v>25</v>
      </c>
      <c r="H1948" s="4" t="s">
        <v>25</v>
      </c>
      <c r="I1948" s="5">
        <v>44348</v>
      </c>
      <c r="J1948" s="6">
        <v>0</v>
      </c>
      <c r="K1948" s="6">
        <v>0</v>
      </c>
      <c r="L1948" s="6">
        <v>-0.14599999999999999</v>
      </c>
      <c r="M1948" s="6">
        <v>-0.14599999999999999</v>
      </c>
      <c r="N1948" s="6">
        <v>-0.14599999999999999</v>
      </c>
      <c r="O1948" s="6">
        <v>-0.14599999999999999</v>
      </c>
      <c r="P1948" s="6">
        <v>-1</v>
      </c>
      <c r="Q1948" s="4" t="s">
        <v>26</v>
      </c>
      <c r="R1948" s="4">
        <v>0</v>
      </c>
      <c r="S1948" s="6">
        <v>0</v>
      </c>
      <c r="T1948" s="6">
        <v>69</v>
      </c>
      <c r="U1948" s="6">
        <v>112</v>
      </c>
      <c r="V1948" s="6">
        <f>IF(ISERROR(VLOOKUP($S$1948,'TAR FIN'!$A$1:$O$116,15,0)),0,VLOOKUP($S$1948,'TAR FIN'!$A$1:$O$116,15,0))</f>
        <v>0</v>
      </c>
      <c r="W1948" s="6">
        <f>IF(ISERROR(VLOOKUP($T$1948,'TAR FIN'!$A$1:$O$116,15,0)),0,VLOOKUP($T$1948,'TAR FIN'!$A$1:$O$116,15,0))</f>
        <v>342.48</v>
      </c>
      <c r="X1948" s="6">
        <f>IF(ISERROR(VLOOKUP($U$1948,'TAR FIN'!$A$1:$O$116,15,0)),0,VLOOKUP($U$1948,'TAR FIN'!$A$1:$O$116,15,0))</f>
        <v>326.47000000000003</v>
      </c>
      <c r="Y1948" s="6"/>
      <c r="Z1948" s="6">
        <f ca="1">('TUSD BE'!$AM$71+'TUSD BF'!$AM$71+'TUSD CVA'!$AM$71)*1</f>
        <v>436.78490561809065</v>
      </c>
      <c r="AA1948" s="6">
        <f>('TE BE'!$AB$42+'TE BF'!$AB$42+'TE CVA'!$AB$42)*1</f>
        <v>329.63081087285968</v>
      </c>
      <c r="AB1948" s="6">
        <f>$K$1948*$V$1948</f>
        <v>0</v>
      </c>
      <c r="AC1948" s="6">
        <f>$M$1948*$W$1948</f>
        <v>-50.002079999999999</v>
      </c>
      <c r="AD1948" s="6">
        <f>$O$1948*$X$1948</f>
        <v>-47.664619999999999</v>
      </c>
      <c r="AE1948" s="6">
        <f>$K$1948*$Y$1948</f>
        <v>0</v>
      </c>
      <c r="AF1948" s="6">
        <f ca="1">$M$1948*$Z$1948</f>
        <v>-63.770596220241231</v>
      </c>
      <c r="AG1948" s="6">
        <f>$O$1948*$AA$1948</f>
        <v>-48.126098387437509</v>
      </c>
    </row>
    <row r="1949" spans="1:33" ht="11.25" customHeight="1" x14ac:dyDescent="0.25">
      <c r="A1949" s="4" t="s">
        <v>28</v>
      </c>
      <c r="B1949" s="4" t="s">
        <v>37</v>
      </c>
      <c r="C1949" s="4" t="s">
        <v>23</v>
      </c>
      <c r="D1949" s="4" t="s">
        <v>46</v>
      </c>
      <c r="E1949" s="4" t="s">
        <v>25</v>
      </c>
      <c r="F1949" s="4" t="s">
        <v>25</v>
      </c>
      <c r="G1949" s="4" t="s">
        <v>25</v>
      </c>
      <c r="H1949" s="4" t="s">
        <v>25</v>
      </c>
      <c r="I1949" s="5">
        <v>44348</v>
      </c>
      <c r="J1949" s="6">
        <v>0</v>
      </c>
      <c r="K1949" s="6">
        <v>0</v>
      </c>
      <c r="L1949" s="6">
        <v>4.3209999999999997</v>
      </c>
      <c r="M1949" s="6">
        <v>4.3209999999999997</v>
      </c>
      <c r="N1949" s="6">
        <v>4.3209999999999997</v>
      </c>
      <c r="O1949" s="6">
        <v>4.3209999999999997</v>
      </c>
      <c r="P1949" s="6">
        <v>11</v>
      </c>
      <c r="Q1949" s="4" t="s">
        <v>26</v>
      </c>
      <c r="R1949" s="4">
        <v>0</v>
      </c>
      <c r="S1949" s="6">
        <v>0</v>
      </c>
      <c r="T1949" s="6">
        <v>69</v>
      </c>
      <c r="U1949" s="6">
        <v>112</v>
      </c>
      <c r="V1949" s="6">
        <f>IF(ISERROR(VLOOKUP($S$1949,'TAR FIN'!$A$1:$O$116,15,0)),0,VLOOKUP($S$1949,'TAR FIN'!$A$1:$O$116,15,0))</f>
        <v>0</v>
      </c>
      <c r="W1949" s="6">
        <f>IF(ISERROR(VLOOKUP($T$1949,'TAR FIN'!$A$1:$O$116,15,0)),0,VLOOKUP($T$1949,'TAR FIN'!$A$1:$O$116,15,0))</f>
        <v>342.48</v>
      </c>
      <c r="X1949" s="6">
        <f>IF(ISERROR(VLOOKUP($U$1949,'TAR FIN'!$A$1:$O$116,15,0)),0,VLOOKUP($U$1949,'TAR FIN'!$A$1:$O$116,15,0))</f>
        <v>326.47000000000003</v>
      </c>
      <c r="Y1949" s="6"/>
      <c r="Z1949" s="6">
        <f ca="1">('TUSD BE'!$AM$71+'TUSD BF'!$AM$71+'TUSD CVA'!$AM$71)*1</f>
        <v>436.78490561809065</v>
      </c>
      <c r="AA1949" s="6">
        <f>('TE BE'!$AB$42+'TE BF'!$AB$42+'TE CVA'!$AB$42)*1</f>
        <v>329.63081087285968</v>
      </c>
      <c r="AB1949" s="6">
        <f>$K$1949*$V$1949</f>
        <v>0</v>
      </c>
      <c r="AC1949" s="6">
        <f>$M$1949*$W$1949</f>
        <v>1479.85608</v>
      </c>
      <c r="AD1949" s="6">
        <f>$O$1949*$X$1949</f>
        <v>1410.67687</v>
      </c>
      <c r="AE1949" s="6">
        <f>$K$1949*$Y$1949</f>
        <v>0</v>
      </c>
      <c r="AF1949" s="6">
        <f ca="1">$M$1949*$Z$1949</f>
        <v>1887.3475771757696</v>
      </c>
      <c r="AG1949" s="6">
        <f>$O$1949*$AA$1949</f>
        <v>1424.3347337816267</v>
      </c>
    </row>
    <row r="1950" spans="1:33" ht="11.25" customHeight="1" x14ac:dyDescent="0.25">
      <c r="A1950" s="4" t="s">
        <v>21</v>
      </c>
      <c r="B1950" s="4" t="s">
        <v>37</v>
      </c>
      <c r="C1950" s="4" t="s">
        <v>23</v>
      </c>
      <c r="D1950" s="4" t="s">
        <v>46</v>
      </c>
      <c r="E1950" s="4" t="s">
        <v>25</v>
      </c>
      <c r="F1950" s="4" t="s">
        <v>25</v>
      </c>
      <c r="G1950" s="4" t="s">
        <v>25</v>
      </c>
      <c r="H1950" s="4" t="s">
        <v>25</v>
      </c>
      <c r="I1950" s="5">
        <v>44378</v>
      </c>
      <c r="J1950" s="6">
        <v>0</v>
      </c>
      <c r="K1950" s="6">
        <v>0</v>
      </c>
      <c r="L1950" s="6">
        <v>1542.046</v>
      </c>
      <c r="M1950" s="6">
        <v>1542.046</v>
      </c>
      <c r="N1950" s="6">
        <v>1542.046</v>
      </c>
      <c r="O1950" s="6">
        <v>1542.046</v>
      </c>
      <c r="P1950" s="6">
        <v>4035</v>
      </c>
      <c r="Q1950" s="4" t="s">
        <v>26</v>
      </c>
      <c r="R1950" s="4">
        <v>0</v>
      </c>
      <c r="S1950" s="6">
        <v>0</v>
      </c>
      <c r="T1950" s="6">
        <v>69</v>
      </c>
      <c r="U1950" s="6">
        <v>112</v>
      </c>
      <c r="V1950" s="6">
        <f>IF(ISERROR(VLOOKUP($S$1950,'TAR FIN'!$A$1:$O$116,15,0)),0,VLOOKUP($S$1950,'TAR FIN'!$A$1:$O$116,15,0))</f>
        <v>0</v>
      </c>
      <c r="W1950" s="6">
        <f>IF(ISERROR(VLOOKUP($T$1950,'TAR FIN'!$A$1:$O$116,15,0)),0,VLOOKUP($T$1950,'TAR FIN'!$A$1:$O$116,15,0))</f>
        <v>342.48</v>
      </c>
      <c r="X1950" s="6">
        <f>IF(ISERROR(VLOOKUP($U$1950,'TAR FIN'!$A$1:$O$116,15,0)),0,VLOOKUP($U$1950,'TAR FIN'!$A$1:$O$116,15,0))</f>
        <v>326.47000000000003</v>
      </c>
      <c r="Y1950" s="6"/>
      <c r="Z1950" s="6">
        <f ca="1">('TUSD BE'!$AM$71+'TUSD BF'!$AM$71+'TUSD CVA'!$AM$71)*1</f>
        <v>436.78490561809065</v>
      </c>
      <c r="AA1950" s="6">
        <f>('TE BE'!$AB$42+'TE BF'!$AB$42+'TE CVA'!$AB$42)*1</f>
        <v>329.63081087285968</v>
      </c>
      <c r="AB1950" s="6">
        <f>$K$1950*$V$1950</f>
        <v>0</v>
      </c>
      <c r="AC1950" s="6">
        <f>$M$1950*$W$1950</f>
        <v>528119.91408000002</v>
      </c>
      <c r="AD1950" s="6">
        <f>$O$1950*$X$1950</f>
        <v>503431.75762000005</v>
      </c>
      <c r="AE1950" s="6">
        <f>$K$1950*$Y$1950</f>
        <v>0</v>
      </c>
      <c r="AF1950" s="6">
        <f ca="1">$M$1950*$Z$1950</f>
        <v>673542.41656875424</v>
      </c>
      <c r="AG1950" s="6">
        <f>$O$1950*$AA$1950</f>
        <v>508305.8733832498</v>
      </c>
    </row>
    <row r="1951" spans="1:33" ht="11.25" customHeight="1" x14ac:dyDescent="0.25">
      <c r="A1951" s="4" t="s">
        <v>27</v>
      </c>
      <c r="B1951" s="4" t="s">
        <v>37</v>
      </c>
      <c r="C1951" s="4" t="s">
        <v>23</v>
      </c>
      <c r="D1951" s="4" t="s">
        <v>46</v>
      </c>
      <c r="E1951" s="4" t="s">
        <v>25</v>
      </c>
      <c r="F1951" s="4" t="s">
        <v>25</v>
      </c>
      <c r="G1951" s="4" t="s">
        <v>25</v>
      </c>
      <c r="H1951" s="4" t="s">
        <v>25</v>
      </c>
      <c r="I1951" s="5">
        <v>44378</v>
      </c>
      <c r="J1951" s="6">
        <v>0</v>
      </c>
      <c r="K1951" s="6">
        <v>0</v>
      </c>
      <c r="L1951" s="6">
        <v>-3.7280000000000002</v>
      </c>
      <c r="M1951" s="6">
        <v>-3.7280000000000002</v>
      </c>
      <c r="N1951" s="6">
        <v>-3.7280000000000002</v>
      </c>
      <c r="O1951" s="6">
        <v>-3.7280000000000002</v>
      </c>
      <c r="P1951" s="6">
        <v>7</v>
      </c>
      <c r="Q1951" s="4" t="s">
        <v>26</v>
      </c>
      <c r="R1951" s="4">
        <v>0</v>
      </c>
      <c r="S1951" s="6">
        <v>0</v>
      </c>
      <c r="T1951" s="6">
        <v>69</v>
      </c>
      <c r="U1951" s="6">
        <v>112</v>
      </c>
      <c r="V1951" s="6">
        <f>IF(ISERROR(VLOOKUP($S$1951,'TAR FIN'!$A$1:$O$116,15,0)),0,VLOOKUP($S$1951,'TAR FIN'!$A$1:$O$116,15,0))</f>
        <v>0</v>
      </c>
      <c r="W1951" s="6">
        <f>IF(ISERROR(VLOOKUP($T$1951,'TAR FIN'!$A$1:$O$116,15,0)),0,VLOOKUP($T$1951,'TAR FIN'!$A$1:$O$116,15,0))</f>
        <v>342.48</v>
      </c>
      <c r="X1951" s="6">
        <f>IF(ISERROR(VLOOKUP($U$1951,'TAR FIN'!$A$1:$O$116,15,0)),0,VLOOKUP($U$1951,'TAR FIN'!$A$1:$O$116,15,0))</f>
        <v>326.47000000000003</v>
      </c>
      <c r="Y1951" s="6"/>
      <c r="Z1951" s="6">
        <f ca="1">('TUSD BE'!$AM$71+'TUSD BF'!$AM$71+'TUSD CVA'!$AM$71)*1</f>
        <v>436.78490561809065</v>
      </c>
      <c r="AA1951" s="6">
        <f>('TE BE'!$AB$42+'TE BF'!$AB$42+'TE CVA'!$AB$42)*1</f>
        <v>329.63081087285968</v>
      </c>
      <c r="AB1951" s="6">
        <f>$K$1951*$V$1951</f>
        <v>0</v>
      </c>
      <c r="AC1951" s="6">
        <f>$M$1951*$W$1951</f>
        <v>-1276.7654400000001</v>
      </c>
      <c r="AD1951" s="6">
        <f>$O$1951*$X$1951</f>
        <v>-1217.0801600000002</v>
      </c>
      <c r="AE1951" s="6">
        <f>$K$1951*$Y$1951</f>
        <v>0</v>
      </c>
      <c r="AF1951" s="6">
        <f ca="1">$M$1951*$Z$1951</f>
        <v>-1628.334128144242</v>
      </c>
      <c r="AG1951" s="6">
        <f>$O$1951*$AA$1951</f>
        <v>-1228.863662934021</v>
      </c>
    </row>
    <row r="1952" spans="1:33" ht="11.25" customHeight="1" x14ac:dyDescent="0.25">
      <c r="A1952" s="4" t="s">
        <v>28</v>
      </c>
      <c r="B1952" s="4" t="s">
        <v>37</v>
      </c>
      <c r="C1952" s="4" t="s">
        <v>23</v>
      </c>
      <c r="D1952" s="4" t="s">
        <v>46</v>
      </c>
      <c r="E1952" s="4" t="s">
        <v>25</v>
      </c>
      <c r="F1952" s="4" t="s">
        <v>25</v>
      </c>
      <c r="G1952" s="4" t="s">
        <v>25</v>
      </c>
      <c r="H1952" s="4" t="s">
        <v>25</v>
      </c>
      <c r="I1952" s="5">
        <v>44378</v>
      </c>
      <c r="J1952" s="6">
        <v>0</v>
      </c>
      <c r="K1952" s="6">
        <v>0</v>
      </c>
      <c r="L1952" s="6">
        <v>4.1520000000000001</v>
      </c>
      <c r="M1952" s="6">
        <v>4.1520000000000001</v>
      </c>
      <c r="N1952" s="6">
        <v>4.1520000000000001</v>
      </c>
      <c r="O1952" s="6">
        <v>4.1520000000000001</v>
      </c>
      <c r="P1952" s="6">
        <v>11</v>
      </c>
      <c r="Q1952" s="4" t="s">
        <v>26</v>
      </c>
      <c r="R1952" s="4">
        <v>0</v>
      </c>
      <c r="S1952" s="6">
        <v>0</v>
      </c>
      <c r="T1952" s="6">
        <v>69</v>
      </c>
      <c r="U1952" s="6">
        <v>112</v>
      </c>
      <c r="V1952" s="6">
        <f>IF(ISERROR(VLOOKUP($S$1952,'TAR FIN'!$A$1:$O$116,15,0)),0,VLOOKUP($S$1952,'TAR FIN'!$A$1:$O$116,15,0))</f>
        <v>0</v>
      </c>
      <c r="W1952" s="6">
        <f>IF(ISERROR(VLOOKUP($T$1952,'TAR FIN'!$A$1:$O$116,15,0)),0,VLOOKUP($T$1952,'TAR FIN'!$A$1:$O$116,15,0))</f>
        <v>342.48</v>
      </c>
      <c r="X1952" s="6">
        <f>IF(ISERROR(VLOOKUP($U$1952,'TAR FIN'!$A$1:$O$116,15,0)),0,VLOOKUP($U$1952,'TAR FIN'!$A$1:$O$116,15,0))</f>
        <v>326.47000000000003</v>
      </c>
      <c r="Y1952" s="6"/>
      <c r="Z1952" s="6">
        <f ca="1">('TUSD BE'!$AM$71+'TUSD BF'!$AM$71+'TUSD CVA'!$AM$71)*1</f>
        <v>436.78490561809065</v>
      </c>
      <c r="AA1952" s="6">
        <f>('TE BE'!$AB$42+'TE BF'!$AB$42+'TE CVA'!$AB$42)*1</f>
        <v>329.63081087285968</v>
      </c>
      <c r="AB1952" s="6">
        <f>$K$1952*$V$1952</f>
        <v>0</v>
      </c>
      <c r="AC1952" s="6">
        <f>$M$1952*$W$1952</f>
        <v>1421.9769600000002</v>
      </c>
      <c r="AD1952" s="6">
        <f>$O$1952*$X$1952</f>
        <v>1355.5034400000002</v>
      </c>
      <c r="AE1952" s="6">
        <f>$K$1952*$Y$1952</f>
        <v>0</v>
      </c>
      <c r="AF1952" s="6">
        <f ca="1">$M$1952*$Z$1952</f>
        <v>1813.5309281263123</v>
      </c>
      <c r="AG1952" s="6">
        <f>$O$1952*$AA$1952</f>
        <v>1368.6271267441134</v>
      </c>
    </row>
    <row r="1953" spans="1:33" ht="11.25" customHeight="1" x14ac:dyDescent="0.25">
      <c r="A1953" s="4" t="s">
        <v>21</v>
      </c>
      <c r="B1953" s="4" t="s">
        <v>37</v>
      </c>
      <c r="C1953" s="4" t="s">
        <v>23</v>
      </c>
      <c r="D1953" s="4" t="s">
        <v>46</v>
      </c>
      <c r="E1953" s="4" t="s">
        <v>25</v>
      </c>
      <c r="F1953" s="4" t="s">
        <v>25</v>
      </c>
      <c r="G1953" s="4" t="s">
        <v>25</v>
      </c>
      <c r="H1953" s="4" t="s">
        <v>25</v>
      </c>
      <c r="I1953" s="5">
        <v>44409</v>
      </c>
      <c r="J1953" s="6">
        <v>0</v>
      </c>
      <c r="K1953" s="6">
        <v>0</v>
      </c>
      <c r="L1953" s="6">
        <v>1579.2439999999999</v>
      </c>
      <c r="M1953" s="6">
        <v>1579.2439999999999</v>
      </c>
      <c r="N1953" s="6">
        <v>1579.2439999999999</v>
      </c>
      <c r="O1953" s="6">
        <v>1579.2439999999999</v>
      </c>
      <c r="P1953" s="6">
        <v>4021</v>
      </c>
      <c r="Q1953" s="4" t="s">
        <v>26</v>
      </c>
      <c r="R1953" s="4">
        <v>0</v>
      </c>
      <c r="S1953" s="6">
        <v>0</v>
      </c>
      <c r="T1953" s="6">
        <v>69</v>
      </c>
      <c r="U1953" s="6">
        <v>112</v>
      </c>
      <c r="V1953" s="6">
        <f>IF(ISERROR(VLOOKUP($S$1953,'TAR FIN'!$A$1:$O$116,15,0)),0,VLOOKUP($S$1953,'TAR FIN'!$A$1:$O$116,15,0))</f>
        <v>0</v>
      </c>
      <c r="W1953" s="6">
        <f>IF(ISERROR(VLOOKUP($T$1953,'TAR FIN'!$A$1:$O$116,15,0)),0,VLOOKUP($T$1953,'TAR FIN'!$A$1:$O$116,15,0))</f>
        <v>342.48</v>
      </c>
      <c r="X1953" s="6">
        <f>IF(ISERROR(VLOOKUP($U$1953,'TAR FIN'!$A$1:$O$116,15,0)),0,VLOOKUP($U$1953,'TAR FIN'!$A$1:$O$116,15,0))</f>
        <v>326.47000000000003</v>
      </c>
      <c r="Y1953" s="6"/>
      <c r="Z1953" s="6">
        <f ca="1">('TUSD BE'!$AM$71+'TUSD BF'!$AM$71+'TUSD CVA'!$AM$71)*1</f>
        <v>436.78490561809065</v>
      </c>
      <c r="AA1953" s="6">
        <f>('TE BE'!$AB$42+'TE BF'!$AB$42+'TE CVA'!$AB$42)*1</f>
        <v>329.63081087285968</v>
      </c>
      <c r="AB1953" s="6">
        <f>$K$1953*$V$1953</f>
        <v>0</v>
      </c>
      <c r="AC1953" s="6">
        <f>$M$1953*$W$1953</f>
        <v>540859.48511999997</v>
      </c>
      <c r="AD1953" s="6">
        <f>$O$1953*$X$1953</f>
        <v>515575.78868</v>
      </c>
      <c r="AE1953" s="6">
        <f>$K$1953*$Y$1953</f>
        <v>0</v>
      </c>
      <c r="AF1953" s="6">
        <f ca="1">$M$1953*$Z$1953</f>
        <v>689789.94148793595</v>
      </c>
      <c r="AG1953" s="6">
        <f>$O$1953*$AA$1953</f>
        <v>520567.48028609838</v>
      </c>
    </row>
    <row r="1954" spans="1:33" ht="11.25" customHeight="1" x14ac:dyDescent="0.25">
      <c r="A1954" s="4" t="s">
        <v>27</v>
      </c>
      <c r="B1954" s="4" t="s">
        <v>37</v>
      </c>
      <c r="C1954" s="4" t="s">
        <v>23</v>
      </c>
      <c r="D1954" s="4" t="s">
        <v>46</v>
      </c>
      <c r="E1954" s="4" t="s">
        <v>25</v>
      </c>
      <c r="F1954" s="4" t="s">
        <v>25</v>
      </c>
      <c r="G1954" s="4" t="s">
        <v>25</v>
      </c>
      <c r="H1954" s="4" t="s">
        <v>25</v>
      </c>
      <c r="I1954" s="5">
        <v>44409</v>
      </c>
      <c r="J1954" s="6">
        <v>0</v>
      </c>
      <c r="K1954" s="6">
        <v>0</v>
      </c>
      <c r="L1954" s="6">
        <v>-2.7559999999999998</v>
      </c>
      <c r="M1954" s="6">
        <v>-2.7559999999999998</v>
      </c>
      <c r="N1954" s="6">
        <v>-2.7559999999999998</v>
      </c>
      <c r="O1954" s="6">
        <v>-2.7559999999999998</v>
      </c>
      <c r="P1954" s="6">
        <v>-3</v>
      </c>
      <c r="Q1954" s="4" t="s">
        <v>26</v>
      </c>
      <c r="R1954" s="4">
        <v>0</v>
      </c>
      <c r="S1954" s="6">
        <v>0</v>
      </c>
      <c r="T1954" s="6">
        <v>69</v>
      </c>
      <c r="U1954" s="6">
        <v>112</v>
      </c>
      <c r="V1954" s="6">
        <f>IF(ISERROR(VLOOKUP($S$1954,'TAR FIN'!$A$1:$O$116,15,0)),0,VLOOKUP($S$1954,'TAR FIN'!$A$1:$O$116,15,0))</f>
        <v>0</v>
      </c>
      <c r="W1954" s="6">
        <f>IF(ISERROR(VLOOKUP($T$1954,'TAR FIN'!$A$1:$O$116,15,0)),0,VLOOKUP($T$1954,'TAR FIN'!$A$1:$O$116,15,0))</f>
        <v>342.48</v>
      </c>
      <c r="X1954" s="6">
        <f>IF(ISERROR(VLOOKUP($U$1954,'TAR FIN'!$A$1:$O$116,15,0)),0,VLOOKUP($U$1954,'TAR FIN'!$A$1:$O$116,15,0))</f>
        <v>326.47000000000003</v>
      </c>
      <c r="Y1954" s="6"/>
      <c r="Z1954" s="6">
        <f ca="1">('TUSD BE'!$AM$71+'TUSD BF'!$AM$71+'TUSD CVA'!$AM$71)*1</f>
        <v>436.78490561809065</v>
      </c>
      <c r="AA1954" s="6">
        <f>('TE BE'!$AB$42+'TE BF'!$AB$42+'TE CVA'!$AB$42)*1</f>
        <v>329.63081087285968</v>
      </c>
      <c r="AB1954" s="6">
        <f>$K$1954*$V$1954</f>
        <v>0</v>
      </c>
      <c r="AC1954" s="6">
        <f>$M$1954*$W$1954</f>
        <v>-943.87487999999996</v>
      </c>
      <c r="AD1954" s="6">
        <f>$O$1954*$X$1954</f>
        <v>-899.75131999999996</v>
      </c>
      <c r="AE1954" s="6">
        <f>$K$1954*$Y$1954</f>
        <v>0</v>
      </c>
      <c r="AF1954" s="6">
        <f ca="1">$M$1954*$Z$1954</f>
        <v>-1203.7791998834577</v>
      </c>
      <c r="AG1954" s="6">
        <f>$O$1954*$AA$1954</f>
        <v>-908.46251476560121</v>
      </c>
    </row>
    <row r="1955" spans="1:33" ht="11.25" customHeight="1" x14ac:dyDescent="0.25">
      <c r="A1955" s="4" t="s">
        <v>28</v>
      </c>
      <c r="B1955" s="4" t="s">
        <v>37</v>
      </c>
      <c r="C1955" s="4" t="s">
        <v>23</v>
      </c>
      <c r="D1955" s="4" t="s">
        <v>46</v>
      </c>
      <c r="E1955" s="4" t="s">
        <v>25</v>
      </c>
      <c r="F1955" s="4" t="s">
        <v>25</v>
      </c>
      <c r="G1955" s="4" t="s">
        <v>25</v>
      </c>
      <c r="H1955" s="4" t="s">
        <v>25</v>
      </c>
      <c r="I1955" s="5">
        <v>44409</v>
      </c>
      <c r="J1955" s="6">
        <v>0</v>
      </c>
      <c r="K1955" s="6">
        <v>0</v>
      </c>
      <c r="L1955" s="6">
        <v>4.8760000000000003</v>
      </c>
      <c r="M1955" s="6">
        <v>4.8760000000000003</v>
      </c>
      <c r="N1955" s="6">
        <v>4.8760000000000003</v>
      </c>
      <c r="O1955" s="6">
        <v>4.8760000000000003</v>
      </c>
      <c r="P1955" s="6">
        <v>11</v>
      </c>
      <c r="Q1955" s="4" t="s">
        <v>26</v>
      </c>
      <c r="R1955" s="4">
        <v>0</v>
      </c>
      <c r="S1955" s="6">
        <v>0</v>
      </c>
      <c r="T1955" s="6">
        <v>69</v>
      </c>
      <c r="U1955" s="6">
        <v>112</v>
      </c>
      <c r="V1955" s="6">
        <f>IF(ISERROR(VLOOKUP($S$1955,'TAR FIN'!$A$1:$O$116,15,0)),0,VLOOKUP($S$1955,'TAR FIN'!$A$1:$O$116,15,0))</f>
        <v>0</v>
      </c>
      <c r="W1955" s="6">
        <f>IF(ISERROR(VLOOKUP($T$1955,'TAR FIN'!$A$1:$O$116,15,0)),0,VLOOKUP($T$1955,'TAR FIN'!$A$1:$O$116,15,0))</f>
        <v>342.48</v>
      </c>
      <c r="X1955" s="6">
        <f>IF(ISERROR(VLOOKUP($U$1955,'TAR FIN'!$A$1:$O$116,15,0)),0,VLOOKUP($U$1955,'TAR FIN'!$A$1:$O$116,15,0))</f>
        <v>326.47000000000003</v>
      </c>
      <c r="Y1955" s="6"/>
      <c r="Z1955" s="6">
        <f ca="1">('TUSD BE'!$AM$71+'TUSD BF'!$AM$71+'TUSD CVA'!$AM$71)*1</f>
        <v>436.78490561809065</v>
      </c>
      <c r="AA1955" s="6">
        <f>('TE BE'!$AB$42+'TE BF'!$AB$42+'TE CVA'!$AB$42)*1</f>
        <v>329.63081087285968</v>
      </c>
      <c r="AB1955" s="6">
        <f>$K$1955*$V$1955</f>
        <v>0</v>
      </c>
      <c r="AC1955" s="6">
        <f>$M$1955*$W$1955</f>
        <v>1669.9324800000002</v>
      </c>
      <c r="AD1955" s="6">
        <f>$O$1955*$X$1955</f>
        <v>1591.8677200000002</v>
      </c>
      <c r="AE1955" s="6">
        <f>$K$1955*$Y$1955</f>
        <v>0</v>
      </c>
      <c r="AF1955" s="6">
        <f ca="1">$M$1955*$Z$1955</f>
        <v>2129.7631997938101</v>
      </c>
      <c r="AG1955" s="6">
        <f>$O$1955*$AA$1955</f>
        <v>1607.279833816064</v>
      </c>
    </row>
    <row r="1956" spans="1:33" ht="11.25" customHeight="1" x14ac:dyDescent="0.25">
      <c r="A1956" s="4" t="s">
        <v>21</v>
      </c>
      <c r="B1956" s="4" t="s">
        <v>37</v>
      </c>
      <c r="C1956" s="4" t="s">
        <v>23</v>
      </c>
      <c r="D1956" s="4" t="s">
        <v>46</v>
      </c>
      <c r="E1956" s="4" t="s">
        <v>25</v>
      </c>
      <c r="F1956" s="4" t="s">
        <v>25</v>
      </c>
      <c r="G1956" s="4" t="s">
        <v>25</v>
      </c>
      <c r="H1956" s="4" t="s">
        <v>25</v>
      </c>
      <c r="I1956" s="5">
        <v>44440</v>
      </c>
      <c r="J1956" s="6">
        <v>0</v>
      </c>
      <c r="K1956" s="6">
        <v>0</v>
      </c>
      <c r="L1956" s="6">
        <v>1946.63</v>
      </c>
      <c r="M1956" s="6">
        <v>1946.63</v>
      </c>
      <c r="N1956" s="6">
        <v>1946.63</v>
      </c>
      <c r="O1956" s="6">
        <v>1946.63</v>
      </c>
      <c r="P1956" s="6">
        <v>4037</v>
      </c>
      <c r="Q1956" s="4" t="s">
        <v>26</v>
      </c>
      <c r="R1956" s="4">
        <v>0</v>
      </c>
      <c r="S1956" s="6">
        <v>0</v>
      </c>
      <c r="T1956" s="6">
        <v>69</v>
      </c>
      <c r="U1956" s="6">
        <v>112</v>
      </c>
      <c r="V1956" s="6">
        <f>IF(ISERROR(VLOOKUP($S$1956,'TAR FIN'!$A$1:$O$116,15,0)),0,VLOOKUP($S$1956,'TAR FIN'!$A$1:$O$116,15,0))</f>
        <v>0</v>
      </c>
      <c r="W1956" s="6">
        <f>IF(ISERROR(VLOOKUP($T$1956,'TAR FIN'!$A$1:$O$116,15,0)),0,VLOOKUP($T$1956,'TAR FIN'!$A$1:$O$116,15,0))</f>
        <v>342.48</v>
      </c>
      <c r="X1956" s="6">
        <f>IF(ISERROR(VLOOKUP($U$1956,'TAR FIN'!$A$1:$O$116,15,0)),0,VLOOKUP($U$1956,'TAR FIN'!$A$1:$O$116,15,0))</f>
        <v>326.47000000000003</v>
      </c>
      <c r="Y1956" s="6"/>
      <c r="Z1956" s="6">
        <f ca="1">('TUSD BE'!$AM$71+'TUSD BF'!$AM$71+'TUSD CVA'!$AM$71)*1</f>
        <v>436.78490561809065</v>
      </c>
      <c r="AA1956" s="6">
        <f>('TE BE'!$AB$42+'TE BF'!$AB$42+'TE CVA'!$AB$42)*1</f>
        <v>329.63081087285968</v>
      </c>
      <c r="AB1956" s="6">
        <f>$K$1956*$V$1956</f>
        <v>0</v>
      </c>
      <c r="AC1956" s="6">
        <f>$M$1956*$W$1956</f>
        <v>666681.84240000008</v>
      </c>
      <c r="AD1956" s="6">
        <f>$O$1956*$X$1956</f>
        <v>635516.29610000004</v>
      </c>
      <c r="AE1956" s="6">
        <f>$K$1956*$Y$1956</f>
        <v>0</v>
      </c>
      <c r="AF1956" s="6">
        <f ca="1">$M$1956*$Z$1956</f>
        <v>850258.60082334385</v>
      </c>
      <c r="AG1956" s="6">
        <f>$O$1956*$AA$1956</f>
        <v>641669.22536943492</v>
      </c>
    </row>
    <row r="1957" spans="1:33" ht="11.25" customHeight="1" x14ac:dyDescent="0.25">
      <c r="A1957" s="4" t="s">
        <v>27</v>
      </c>
      <c r="B1957" s="4" t="s">
        <v>37</v>
      </c>
      <c r="C1957" s="4" t="s">
        <v>23</v>
      </c>
      <c r="D1957" s="4" t="s">
        <v>46</v>
      </c>
      <c r="E1957" s="4" t="s">
        <v>25</v>
      </c>
      <c r="F1957" s="4" t="s">
        <v>25</v>
      </c>
      <c r="G1957" s="4" t="s">
        <v>25</v>
      </c>
      <c r="H1957" s="4" t="s">
        <v>25</v>
      </c>
      <c r="I1957" s="5">
        <v>44440</v>
      </c>
      <c r="J1957" s="6">
        <v>0</v>
      </c>
      <c r="K1957" s="6">
        <v>0</v>
      </c>
      <c r="L1957" s="6">
        <v>-0.127</v>
      </c>
      <c r="M1957" s="6">
        <v>-0.127</v>
      </c>
      <c r="N1957" s="6">
        <v>-0.127</v>
      </c>
      <c r="O1957" s="6">
        <v>-0.127</v>
      </c>
      <c r="P1957" s="6">
        <v>0</v>
      </c>
      <c r="Q1957" s="4" t="s">
        <v>26</v>
      </c>
      <c r="R1957" s="4">
        <v>0</v>
      </c>
      <c r="S1957" s="6">
        <v>0</v>
      </c>
      <c r="T1957" s="6">
        <v>69</v>
      </c>
      <c r="U1957" s="6">
        <v>112</v>
      </c>
      <c r="V1957" s="6">
        <f>IF(ISERROR(VLOOKUP($S$1957,'TAR FIN'!$A$1:$O$116,15,0)),0,VLOOKUP($S$1957,'TAR FIN'!$A$1:$O$116,15,0))</f>
        <v>0</v>
      </c>
      <c r="W1957" s="6">
        <f>IF(ISERROR(VLOOKUP($T$1957,'TAR FIN'!$A$1:$O$116,15,0)),0,VLOOKUP($T$1957,'TAR FIN'!$A$1:$O$116,15,0))</f>
        <v>342.48</v>
      </c>
      <c r="X1957" s="6">
        <f>IF(ISERROR(VLOOKUP($U$1957,'TAR FIN'!$A$1:$O$116,15,0)),0,VLOOKUP($U$1957,'TAR FIN'!$A$1:$O$116,15,0))</f>
        <v>326.47000000000003</v>
      </c>
      <c r="Y1957" s="6"/>
      <c r="Z1957" s="6">
        <f ca="1">('TUSD BE'!$AM$71+'TUSD BF'!$AM$71+'TUSD CVA'!$AM$71)*1</f>
        <v>436.78490561809065</v>
      </c>
      <c r="AA1957" s="6">
        <f>('TE BE'!$AB$42+'TE BF'!$AB$42+'TE CVA'!$AB$42)*1</f>
        <v>329.63081087285968</v>
      </c>
      <c r="AB1957" s="6">
        <f>$K$1957*$V$1957</f>
        <v>0</v>
      </c>
      <c r="AC1957" s="6">
        <f>$M$1957*$W$1957</f>
        <v>-43.494960000000006</v>
      </c>
      <c r="AD1957" s="6">
        <f>$O$1957*$X$1957</f>
        <v>-41.461690000000004</v>
      </c>
      <c r="AE1957" s="6">
        <f>$K$1957*$Y$1957</f>
        <v>0</v>
      </c>
      <c r="AF1957" s="6">
        <f ca="1">$M$1957*$Z$1957</f>
        <v>-55.471683013497511</v>
      </c>
      <c r="AG1957" s="6">
        <f>$O$1957*$AA$1957</f>
        <v>-41.863112980853181</v>
      </c>
    </row>
    <row r="1958" spans="1:33" ht="11.25" customHeight="1" x14ac:dyDescent="0.25">
      <c r="A1958" s="4" t="s">
        <v>28</v>
      </c>
      <c r="B1958" s="4" t="s">
        <v>37</v>
      </c>
      <c r="C1958" s="4" t="s">
        <v>23</v>
      </c>
      <c r="D1958" s="4" t="s">
        <v>46</v>
      </c>
      <c r="E1958" s="4" t="s">
        <v>25</v>
      </c>
      <c r="F1958" s="4" t="s">
        <v>25</v>
      </c>
      <c r="G1958" s="4" t="s">
        <v>25</v>
      </c>
      <c r="H1958" s="4" t="s">
        <v>25</v>
      </c>
      <c r="I1958" s="5">
        <v>44440</v>
      </c>
      <c r="J1958" s="6">
        <v>0</v>
      </c>
      <c r="K1958" s="6">
        <v>0</v>
      </c>
      <c r="L1958" s="6">
        <v>3.5630000000000002</v>
      </c>
      <c r="M1958" s="6">
        <v>3.5630000000000002</v>
      </c>
      <c r="N1958" s="6">
        <v>3.5630000000000002</v>
      </c>
      <c r="O1958" s="6">
        <v>3.5630000000000002</v>
      </c>
      <c r="P1958" s="6">
        <v>11</v>
      </c>
      <c r="Q1958" s="4" t="s">
        <v>26</v>
      </c>
      <c r="R1958" s="4">
        <v>0</v>
      </c>
      <c r="S1958" s="6">
        <v>0</v>
      </c>
      <c r="T1958" s="6">
        <v>69</v>
      </c>
      <c r="U1958" s="6">
        <v>112</v>
      </c>
      <c r="V1958" s="6">
        <f>IF(ISERROR(VLOOKUP($S$1958,'TAR FIN'!$A$1:$O$116,15,0)),0,VLOOKUP($S$1958,'TAR FIN'!$A$1:$O$116,15,0))</f>
        <v>0</v>
      </c>
      <c r="W1958" s="6">
        <f>IF(ISERROR(VLOOKUP($T$1958,'TAR FIN'!$A$1:$O$116,15,0)),0,VLOOKUP($T$1958,'TAR FIN'!$A$1:$O$116,15,0))</f>
        <v>342.48</v>
      </c>
      <c r="X1958" s="6">
        <f>IF(ISERROR(VLOOKUP($U$1958,'TAR FIN'!$A$1:$O$116,15,0)),0,VLOOKUP($U$1958,'TAR FIN'!$A$1:$O$116,15,0))</f>
        <v>326.47000000000003</v>
      </c>
      <c r="Y1958" s="6"/>
      <c r="Z1958" s="6">
        <f ca="1">('TUSD BE'!$AM$71+'TUSD BF'!$AM$71+'TUSD CVA'!$AM$71)*1</f>
        <v>436.78490561809065</v>
      </c>
      <c r="AA1958" s="6">
        <f>('TE BE'!$AB$42+'TE BF'!$AB$42+'TE CVA'!$AB$42)*1</f>
        <v>329.63081087285968</v>
      </c>
      <c r="AB1958" s="6">
        <f>$K$1958*$V$1958</f>
        <v>0</v>
      </c>
      <c r="AC1958" s="6">
        <f>$M$1958*$W$1958</f>
        <v>1220.2562400000002</v>
      </c>
      <c r="AD1958" s="6">
        <f>$O$1958*$X$1958</f>
        <v>1163.21261</v>
      </c>
      <c r="AE1958" s="6">
        <f>$K$1958*$Y$1958</f>
        <v>0</v>
      </c>
      <c r="AF1958" s="6">
        <f ca="1">$M$1958*$Z$1958</f>
        <v>1556.264618717257</v>
      </c>
      <c r="AG1958" s="6">
        <f>$O$1958*$AA$1958</f>
        <v>1174.4745791399992</v>
      </c>
    </row>
    <row r="1959" spans="1:33" ht="11.25" customHeight="1" x14ac:dyDescent="0.25">
      <c r="A1959" s="4" t="s">
        <v>21</v>
      </c>
      <c r="B1959" s="4" t="s">
        <v>37</v>
      </c>
      <c r="C1959" s="4" t="s">
        <v>23</v>
      </c>
      <c r="D1959" s="4" t="s">
        <v>46</v>
      </c>
      <c r="E1959" s="4" t="s">
        <v>25</v>
      </c>
      <c r="F1959" s="4" t="s">
        <v>25</v>
      </c>
      <c r="G1959" s="4" t="s">
        <v>25</v>
      </c>
      <c r="H1959" s="4" t="s">
        <v>25</v>
      </c>
      <c r="I1959" s="5">
        <v>44470</v>
      </c>
      <c r="J1959" s="6">
        <v>0</v>
      </c>
      <c r="K1959" s="6">
        <v>0</v>
      </c>
      <c r="L1959" s="6">
        <v>2030.039</v>
      </c>
      <c r="M1959" s="6">
        <v>2030.039</v>
      </c>
      <c r="N1959" s="6">
        <v>2030.039</v>
      </c>
      <c r="O1959" s="6">
        <v>2030.039</v>
      </c>
      <c r="P1959" s="6">
        <v>4043</v>
      </c>
      <c r="Q1959" s="4" t="s">
        <v>26</v>
      </c>
      <c r="R1959" s="4">
        <v>0</v>
      </c>
      <c r="S1959" s="6">
        <v>0</v>
      </c>
      <c r="T1959" s="6">
        <v>69</v>
      </c>
      <c r="U1959" s="6">
        <v>112</v>
      </c>
      <c r="V1959" s="6">
        <f>IF(ISERROR(VLOOKUP($S$1959,'TAR FIN'!$A$1:$O$116,15,0)),0,VLOOKUP($S$1959,'TAR FIN'!$A$1:$O$116,15,0))</f>
        <v>0</v>
      </c>
      <c r="W1959" s="6">
        <f>IF(ISERROR(VLOOKUP($T$1959,'TAR FIN'!$A$1:$O$116,15,0)),0,VLOOKUP($T$1959,'TAR FIN'!$A$1:$O$116,15,0))</f>
        <v>342.48</v>
      </c>
      <c r="X1959" s="6">
        <f>IF(ISERROR(VLOOKUP($U$1959,'TAR FIN'!$A$1:$O$116,15,0)),0,VLOOKUP($U$1959,'TAR FIN'!$A$1:$O$116,15,0))</f>
        <v>326.47000000000003</v>
      </c>
      <c r="Y1959" s="6"/>
      <c r="Z1959" s="6">
        <f ca="1">('TUSD BE'!$AM$71+'TUSD BF'!$AM$71+'TUSD CVA'!$AM$71)*1</f>
        <v>436.78490561809065</v>
      </c>
      <c r="AA1959" s="6">
        <f>('TE BE'!$AB$42+'TE BF'!$AB$42+'TE CVA'!$AB$42)*1</f>
        <v>329.63081087285968</v>
      </c>
      <c r="AB1959" s="6">
        <f>$K$1959*$V$1959</f>
        <v>0</v>
      </c>
      <c r="AC1959" s="6">
        <f>$M$1959*$W$1959</f>
        <v>695247.75672000006</v>
      </c>
      <c r="AD1959" s="6">
        <f>$O$1959*$X$1959</f>
        <v>662746.83233</v>
      </c>
      <c r="AE1959" s="6">
        <f>$K$1959*$Y$1959</f>
        <v>0</v>
      </c>
      <c r="AF1959" s="6">
        <f ca="1">$M$1959*$Z$1959</f>
        <v>886690.39301604312</v>
      </c>
      <c r="AG1959" s="6">
        <f>$O$1959*$AA$1959</f>
        <v>669163.40167352918</v>
      </c>
    </row>
    <row r="1960" spans="1:33" ht="11.25" customHeight="1" x14ac:dyDescent="0.25">
      <c r="A1960" s="4" t="s">
        <v>27</v>
      </c>
      <c r="B1960" s="4" t="s">
        <v>37</v>
      </c>
      <c r="C1960" s="4" t="s">
        <v>23</v>
      </c>
      <c r="D1960" s="4" t="s">
        <v>46</v>
      </c>
      <c r="E1960" s="4" t="s">
        <v>25</v>
      </c>
      <c r="F1960" s="4" t="s">
        <v>25</v>
      </c>
      <c r="G1960" s="4" t="s">
        <v>25</v>
      </c>
      <c r="H1960" s="4" t="s">
        <v>25</v>
      </c>
      <c r="I1960" s="5">
        <v>44470</v>
      </c>
      <c r="J1960" s="6">
        <v>0</v>
      </c>
      <c r="K1960" s="6">
        <v>0</v>
      </c>
      <c r="L1960" s="6">
        <v>0.21</v>
      </c>
      <c r="M1960" s="6">
        <v>0.21</v>
      </c>
      <c r="N1960" s="6">
        <v>0.21</v>
      </c>
      <c r="O1960" s="6">
        <v>0.21</v>
      </c>
      <c r="P1960" s="6">
        <v>3</v>
      </c>
      <c r="Q1960" s="4" t="s">
        <v>26</v>
      </c>
      <c r="R1960" s="4">
        <v>0</v>
      </c>
      <c r="S1960" s="6">
        <v>0</v>
      </c>
      <c r="T1960" s="6">
        <v>69</v>
      </c>
      <c r="U1960" s="6">
        <v>112</v>
      </c>
      <c r="V1960" s="6">
        <f>IF(ISERROR(VLOOKUP($S$1960,'TAR FIN'!$A$1:$O$116,15,0)),0,VLOOKUP($S$1960,'TAR FIN'!$A$1:$O$116,15,0))</f>
        <v>0</v>
      </c>
      <c r="W1960" s="6">
        <f>IF(ISERROR(VLOOKUP($T$1960,'TAR FIN'!$A$1:$O$116,15,0)),0,VLOOKUP($T$1960,'TAR FIN'!$A$1:$O$116,15,0))</f>
        <v>342.48</v>
      </c>
      <c r="X1960" s="6">
        <f>IF(ISERROR(VLOOKUP($U$1960,'TAR FIN'!$A$1:$O$116,15,0)),0,VLOOKUP($U$1960,'TAR FIN'!$A$1:$O$116,15,0))</f>
        <v>326.47000000000003</v>
      </c>
      <c r="Y1960" s="6"/>
      <c r="Z1960" s="6">
        <f ca="1">('TUSD BE'!$AM$71+'TUSD BF'!$AM$71+'TUSD CVA'!$AM$71)*1</f>
        <v>436.78490561809065</v>
      </c>
      <c r="AA1960" s="6">
        <f>('TE BE'!$AB$42+'TE BF'!$AB$42+'TE CVA'!$AB$42)*1</f>
        <v>329.63081087285968</v>
      </c>
      <c r="AB1960" s="6">
        <f>$K$1960*$V$1960</f>
        <v>0</v>
      </c>
      <c r="AC1960" s="6">
        <f>$M$1960*$W$1960</f>
        <v>71.9208</v>
      </c>
      <c r="AD1960" s="6">
        <f>$O$1960*$X$1960</f>
        <v>68.558700000000002</v>
      </c>
      <c r="AE1960" s="6">
        <f>$K$1960*$Y$1960</f>
        <v>0</v>
      </c>
      <c r="AF1960" s="6">
        <f ca="1">$M$1960*$Z$1960</f>
        <v>91.724830179799028</v>
      </c>
      <c r="AG1960" s="6">
        <f>$O$1960*$AA$1960</f>
        <v>69.222470283300524</v>
      </c>
    </row>
    <row r="1961" spans="1:33" ht="11.25" customHeight="1" x14ac:dyDescent="0.25">
      <c r="A1961" s="4" t="s">
        <v>28</v>
      </c>
      <c r="B1961" s="4" t="s">
        <v>37</v>
      </c>
      <c r="C1961" s="4" t="s">
        <v>23</v>
      </c>
      <c r="D1961" s="4" t="s">
        <v>46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5">
        <v>44470</v>
      </c>
      <c r="J1961" s="6">
        <v>0</v>
      </c>
      <c r="K1961" s="6">
        <v>0</v>
      </c>
      <c r="L1961" s="6">
        <v>5.31</v>
      </c>
      <c r="M1961" s="6">
        <v>5.31</v>
      </c>
      <c r="N1961" s="6">
        <v>5.31</v>
      </c>
      <c r="O1961" s="6">
        <v>5.31</v>
      </c>
      <c r="P1961" s="6">
        <v>11</v>
      </c>
      <c r="Q1961" s="4" t="s">
        <v>26</v>
      </c>
      <c r="R1961" s="4">
        <v>0</v>
      </c>
      <c r="S1961" s="6">
        <v>0</v>
      </c>
      <c r="T1961" s="6">
        <v>69</v>
      </c>
      <c r="U1961" s="6">
        <v>112</v>
      </c>
      <c r="V1961" s="6">
        <f>IF(ISERROR(VLOOKUP($S$1961,'TAR FIN'!$A$1:$O$116,15,0)),0,VLOOKUP($S$1961,'TAR FIN'!$A$1:$O$116,15,0))</f>
        <v>0</v>
      </c>
      <c r="W1961" s="6">
        <f>IF(ISERROR(VLOOKUP($T$1961,'TAR FIN'!$A$1:$O$116,15,0)),0,VLOOKUP($T$1961,'TAR FIN'!$A$1:$O$116,15,0))</f>
        <v>342.48</v>
      </c>
      <c r="X1961" s="6">
        <f>IF(ISERROR(VLOOKUP($U$1961,'TAR FIN'!$A$1:$O$116,15,0)),0,VLOOKUP($U$1961,'TAR FIN'!$A$1:$O$116,15,0))</f>
        <v>326.47000000000003</v>
      </c>
      <c r="Y1961" s="6"/>
      <c r="Z1961" s="6">
        <f ca="1">('TUSD BE'!$AM$71+'TUSD BF'!$AM$71+'TUSD CVA'!$AM$71)*1</f>
        <v>436.78490561809065</v>
      </c>
      <c r="AA1961" s="6">
        <f>('TE BE'!$AB$42+'TE BF'!$AB$42+'TE CVA'!$AB$42)*1</f>
        <v>329.63081087285968</v>
      </c>
      <c r="AB1961" s="6">
        <f>$K$1961*$V$1961</f>
        <v>0</v>
      </c>
      <c r="AC1961" s="6">
        <f>$M$1961*$W$1961</f>
        <v>1818.5688</v>
      </c>
      <c r="AD1961" s="6">
        <f>$O$1961*$X$1961</f>
        <v>1733.5557000000001</v>
      </c>
      <c r="AE1961" s="6">
        <f>$K$1961*$Y$1961</f>
        <v>0</v>
      </c>
      <c r="AF1961" s="6">
        <f ca="1">$M$1961*$Z$1961</f>
        <v>2319.3278488320611</v>
      </c>
      <c r="AG1961" s="6">
        <f>$O$1961*$AA$1961</f>
        <v>1750.3396057348848</v>
      </c>
    </row>
    <row r="1962" spans="1:33" ht="11.25" customHeight="1" x14ac:dyDescent="0.25">
      <c r="A1962" s="4" t="s">
        <v>21</v>
      </c>
      <c r="B1962" s="4" t="s">
        <v>37</v>
      </c>
      <c r="C1962" s="4" t="s">
        <v>23</v>
      </c>
      <c r="D1962" s="4" t="s">
        <v>46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5">
        <v>44501</v>
      </c>
      <c r="J1962" s="6">
        <v>0</v>
      </c>
      <c r="K1962" s="6">
        <v>0</v>
      </c>
      <c r="L1962" s="6">
        <v>2043.662</v>
      </c>
      <c r="M1962" s="6">
        <v>2043.662</v>
      </c>
      <c r="N1962" s="6">
        <v>2043.662</v>
      </c>
      <c r="O1962" s="6">
        <v>2043.662</v>
      </c>
      <c r="P1962" s="6">
        <v>4060</v>
      </c>
      <c r="Q1962" s="4" t="s">
        <v>26</v>
      </c>
      <c r="R1962" s="4">
        <v>0</v>
      </c>
      <c r="S1962" s="6">
        <v>0</v>
      </c>
      <c r="T1962" s="6">
        <v>69</v>
      </c>
      <c r="U1962" s="6">
        <v>112</v>
      </c>
      <c r="V1962" s="6">
        <f>IF(ISERROR(VLOOKUP($S$1962,'TAR FIN'!$A$1:$O$116,15,0)),0,VLOOKUP($S$1962,'TAR FIN'!$A$1:$O$116,15,0))</f>
        <v>0</v>
      </c>
      <c r="W1962" s="6">
        <f>IF(ISERROR(VLOOKUP($T$1962,'TAR FIN'!$A$1:$O$116,15,0)),0,VLOOKUP($T$1962,'TAR FIN'!$A$1:$O$116,15,0))</f>
        <v>342.48</v>
      </c>
      <c r="X1962" s="6">
        <f>IF(ISERROR(VLOOKUP($U$1962,'TAR FIN'!$A$1:$O$116,15,0)),0,VLOOKUP($U$1962,'TAR FIN'!$A$1:$O$116,15,0))</f>
        <v>326.47000000000003</v>
      </c>
      <c r="Y1962" s="6"/>
      <c r="Z1962" s="6">
        <f ca="1">('TUSD BE'!$AM$71+'TUSD BF'!$AM$71+'TUSD CVA'!$AM$71)*1</f>
        <v>436.78490561809065</v>
      </c>
      <c r="AA1962" s="6">
        <f>('TE BE'!$AB$42+'TE BF'!$AB$42+'TE CVA'!$AB$42)*1</f>
        <v>329.63081087285968</v>
      </c>
      <c r="AB1962" s="6">
        <f>$K$1962*$V$1962</f>
        <v>0</v>
      </c>
      <c r="AC1962" s="6">
        <f>$M$1962*$W$1962</f>
        <v>699913.36176</v>
      </c>
      <c r="AD1962" s="6">
        <f>$O$1962*$X$1962</f>
        <v>667194.33314000012</v>
      </c>
      <c r="AE1962" s="6">
        <f>$K$1962*$Y$1962</f>
        <v>0</v>
      </c>
      <c r="AF1962" s="6">
        <f ca="1">$M$1962*$Z$1962</f>
        <v>892640.71378527838</v>
      </c>
      <c r="AG1962" s="6">
        <f>$O$1962*$AA$1962</f>
        <v>673653.9622100502</v>
      </c>
    </row>
    <row r="1963" spans="1:33" ht="11.25" customHeight="1" x14ac:dyDescent="0.25">
      <c r="A1963" s="4" t="s">
        <v>27</v>
      </c>
      <c r="B1963" s="4" t="s">
        <v>37</v>
      </c>
      <c r="C1963" s="4" t="s">
        <v>23</v>
      </c>
      <c r="D1963" s="4" t="s">
        <v>46</v>
      </c>
      <c r="E1963" s="4" t="s">
        <v>25</v>
      </c>
      <c r="F1963" s="4" t="s">
        <v>25</v>
      </c>
      <c r="G1963" s="4" t="s">
        <v>25</v>
      </c>
      <c r="H1963" s="4" t="s">
        <v>25</v>
      </c>
      <c r="I1963" s="5">
        <v>44501</v>
      </c>
      <c r="J1963" s="6">
        <v>0</v>
      </c>
      <c r="K1963" s="6">
        <v>0</v>
      </c>
      <c r="L1963" s="6">
        <v>0.14699999999999999</v>
      </c>
      <c r="M1963" s="6">
        <v>0.14699999999999999</v>
      </c>
      <c r="N1963" s="6">
        <v>0.14699999999999999</v>
      </c>
      <c r="O1963" s="6">
        <v>0.14699999999999999</v>
      </c>
      <c r="P1963" s="6">
        <v>2</v>
      </c>
      <c r="Q1963" s="4" t="s">
        <v>26</v>
      </c>
      <c r="R1963" s="4">
        <v>0</v>
      </c>
      <c r="S1963" s="6">
        <v>0</v>
      </c>
      <c r="T1963" s="6">
        <v>69</v>
      </c>
      <c r="U1963" s="6">
        <v>112</v>
      </c>
      <c r="V1963" s="6">
        <f>IF(ISERROR(VLOOKUP($S$1963,'TAR FIN'!$A$1:$O$116,15,0)),0,VLOOKUP($S$1963,'TAR FIN'!$A$1:$O$116,15,0))</f>
        <v>0</v>
      </c>
      <c r="W1963" s="6">
        <f>IF(ISERROR(VLOOKUP($T$1963,'TAR FIN'!$A$1:$O$116,15,0)),0,VLOOKUP($T$1963,'TAR FIN'!$A$1:$O$116,15,0))</f>
        <v>342.48</v>
      </c>
      <c r="X1963" s="6">
        <f>IF(ISERROR(VLOOKUP($U$1963,'TAR FIN'!$A$1:$O$116,15,0)),0,VLOOKUP($U$1963,'TAR FIN'!$A$1:$O$116,15,0))</f>
        <v>326.47000000000003</v>
      </c>
      <c r="Y1963" s="6"/>
      <c r="Z1963" s="6">
        <f ca="1">('TUSD BE'!$AM$71+'TUSD BF'!$AM$71+'TUSD CVA'!$AM$71)*1</f>
        <v>436.78490561809065</v>
      </c>
      <c r="AA1963" s="6">
        <f>('TE BE'!$AB$42+'TE BF'!$AB$42+'TE CVA'!$AB$42)*1</f>
        <v>329.63081087285968</v>
      </c>
      <c r="AB1963" s="6">
        <f>$K$1963*$V$1963</f>
        <v>0</v>
      </c>
      <c r="AC1963" s="6">
        <f>$M$1963*$W$1963</f>
        <v>50.344560000000001</v>
      </c>
      <c r="AD1963" s="6">
        <f>$O$1963*$X$1963</f>
        <v>47.99109</v>
      </c>
      <c r="AE1963" s="6">
        <f>$K$1963*$Y$1963</f>
        <v>0</v>
      </c>
      <c r="AF1963" s="6">
        <f ca="1">$M$1963*$Z$1963</f>
        <v>64.207381125859328</v>
      </c>
      <c r="AG1963" s="6">
        <f>$O$1963*$AA$1963</f>
        <v>48.455729198310372</v>
      </c>
    </row>
    <row r="1964" spans="1:33" ht="11.25" customHeight="1" x14ac:dyDescent="0.25">
      <c r="A1964" s="4" t="s">
        <v>28</v>
      </c>
      <c r="B1964" s="4" t="s">
        <v>37</v>
      </c>
      <c r="C1964" s="4" t="s">
        <v>23</v>
      </c>
      <c r="D1964" s="4" t="s">
        <v>46</v>
      </c>
      <c r="E1964" s="4" t="s">
        <v>25</v>
      </c>
      <c r="F1964" s="4" t="s">
        <v>25</v>
      </c>
      <c r="G1964" s="4" t="s">
        <v>25</v>
      </c>
      <c r="H1964" s="4" t="s">
        <v>25</v>
      </c>
      <c r="I1964" s="5">
        <v>44501</v>
      </c>
      <c r="J1964" s="6">
        <v>0</v>
      </c>
      <c r="K1964" s="6">
        <v>0</v>
      </c>
      <c r="L1964" s="6">
        <v>8.875</v>
      </c>
      <c r="M1964" s="6">
        <v>8.875</v>
      </c>
      <c r="N1964" s="6">
        <v>8.875</v>
      </c>
      <c r="O1964" s="6">
        <v>8.875</v>
      </c>
      <c r="P1964" s="6">
        <v>12</v>
      </c>
      <c r="Q1964" s="4" t="s">
        <v>26</v>
      </c>
      <c r="R1964" s="4">
        <v>0</v>
      </c>
      <c r="S1964" s="6">
        <v>0</v>
      </c>
      <c r="T1964" s="6">
        <v>69</v>
      </c>
      <c r="U1964" s="6">
        <v>112</v>
      </c>
      <c r="V1964" s="6">
        <f>IF(ISERROR(VLOOKUP($S$1964,'TAR FIN'!$A$1:$O$116,15,0)),0,VLOOKUP($S$1964,'TAR FIN'!$A$1:$O$116,15,0))</f>
        <v>0</v>
      </c>
      <c r="W1964" s="6">
        <f>IF(ISERROR(VLOOKUP($T$1964,'TAR FIN'!$A$1:$O$116,15,0)),0,VLOOKUP($T$1964,'TAR FIN'!$A$1:$O$116,15,0))</f>
        <v>342.48</v>
      </c>
      <c r="X1964" s="6">
        <f>IF(ISERROR(VLOOKUP($U$1964,'TAR FIN'!$A$1:$O$116,15,0)),0,VLOOKUP($U$1964,'TAR FIN'!$A$1:$O$116,15,0))</f>
        <v>326.47000000000003</v>
      </c>
      <c r="Y1964" s="6"/>
      <c r="Z1964" s="6">
        <f ca="1">('TUSD BE'!$AM$71+'TUSD BF'!$AM$71+'TUSD CVA'!$AM$71)*1</f>
        <v>436.78490561809065</v>
      </c>
      <c r="AA1964" s="6">
        <f>('TE BE'!$AB$42+'TE BF'!$AB$42+'TE CVA'!$AB$42)*1</f>
        <v>329.63081087285968</v>
      </c>
      <c r="AB1964" s="6">
        <f>$K$1964*$V$1964</f>
        <v>0</v>
      </c>
      <c r="AC1964" s="6">
        <f>$M$1964*$W$1964</f>
        <v>3039.51</v>
      </c>
      <c r="AD1964" s="6">
        <f>$O$1964*$X$1964</f>
        <v>2897.4212500000003</v>
      </c>
      <c r="AE1964" s="6">
        <f>$K$1964*$Y$1964</f>
        <v>0</v>
      </c>
      <c r="AF1964" s="6">
        <f ca="1">$M$1964*$Z$1964</f>
        <v>3876.4660373605543</v>
      </c>
      <c r="AG1964" s="6">
        <f>$O$1964*$AA$1964</f>
        <v>2925.4734464966295</v>
      </c>
    </row>
    <row r="1965" spans="1:33" ht="11.25" customHeight="1" x14ac:dyDescent="0.25">
      <c r="A1965" s="4" t="s">
        <v>21</v>
      </c>
      <c r="B1965" s="4" t="s">
        <v>37</v>
      </c>
      <c r="C1965" s="4" t="s">
        <v>23</v>
      </c>
      <c r="D1965" s="4" t="s">
        <v>46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5">
        <v>44531</v>
      </c>
      <c r="J1965" s="6">
        <v>0</v>
      </c>
      <c r="K1965" s="6">
        <v>0</v>
      </c>
      <c r="L1965" s="6">
        <v>2425.2829999999999</v>
      </c>
      <c r="M1965" s="6">
        <v>2425.2829999999999</v>
      </c>
      <c r="N1965" s="6">
        <v>2425.2829999999999</v>
      </c>
      <c r="O1965" s="6">
        <v>2425.2829999999999</v>
      </c>
      <c r="P1965" s="6">
        <v>4082</v>
      </c>
      <c r="Q1965" s="4" t="s">
        <v>26</v>
      </c>
      <c r="R1965" s="4">
        <v>0</v>
      </c>
      <c r="S1965" s="6">
        <v>0</v>
      </c>
      <c r="T1965" s="6">
        <v>69</v>
      </c>
      <c r="U1965" s="6">
        <v>112</v>
      </c>
      <c r="V1965" s="6">
        <f>IF(ISERROR(VLOOKUP($S$1965,'TAR FIN'!$A$1:$O$116,15,0)),0,VLOOKUP($S$1965,'TAR FIN'!$A$1:$O$116,15,0))</f>
        <v>0</v>
      </c>
      <c r="W1965" s="6">
        <f>IF(ISERROR(VLOOKUP($T$1965,'TAR FIN'!$A$1:$O$116,15,0)),0,VLOOKUP($T$1965,'TAR FIN'!$A$1:$O$116,15,0))</f>
        <v>342.48</v>
      </c>
      <c r="X1965" s="6">
        <f>IF(ISERROR(VLOOKUP($U$1965,'TAR FIN'!$A$1:$O$116,15,0)),0,VLOOKUP($U$1965,'TAR FIN'!$A$1:$O$116,15,0))</f>
        <v>326.47000000000003</v>
      </c>
      <c r="Y1965" s="6"/>
      <c r="Z1965" s="6">
        <f ca="1">('TUSD BE'!$AM$71+'TUSD BF'!$AM$71+'TUSD CVA'!$AM$71)*1</f>
        <v>436.78490561809065</v>
      </c>
      <c r="AA1965" s="6">
        <f>('TE BE'!$AB$42+'TE BF'!$AB$42+'TE CVA'!$AB$42)*1</f>
        <v>329.63081087285968</v>
      </c>
      <c r="AB1965" s="6">
        <f>$K$1965*$V$1965</f>
        <v>0</v>
      </c>
      <c r="AC1965" s="6">
        <f>$M$1965*$W$1965</f>
        <v>830610.92183999997</v>
      </c>
      <c r="AD1965" s="6">
        <f>$O$1965*$X$1965</f>
        <v>791782.14101000002</v>
      </c>
      <c r="AE1965" s="6">
        <f>$K$1965*$Y$1965</f>
        <v>0</v>
      </c>
      <c r="AF1965" s="6">
        <f ca="1">$M$1965*$Z$1965</f>
        <v>1059327.0062521596</v>
      </c>
      <c r="AG1965" s="6">
        <f>$O$1965*$AA$1965</f>
        <v>799448.00188616174</v>
      </c>
    </row>
    <row r="1966" spans="1:33" ht="11.25" customHeight="1" x14ac:dyDescent="0.25">
      <c r="A1966" s="4" t="s">
        <v>27</v>
      </c>
      <c r="B1966" s="4" t="s">
        <v>37</v>
      </c>
      <c r="C1966" s="4" t="s">
        <v>23</v>
      </c>
      <c r="D1966" s="4" t="s">
        <v>46</v>
      </c>
      <c r="E1966" s="4" t="s">
        <v>25</v>
      </c>
      <c r="F1966" s="4" t="s">
        <v>25</v>
      </c>
      <c r="G1966" s="4" t="s">
        <v>25</v>
      </c>
      <c r="H1966" s="4" t="s">
        <v>25</v>
      </c>
      <c r="I1966" s="5">
        <v>44531</v>
      </c>
      <c r="J1966" s="6">
        <v>0</v>
      </c>
      <c r="K1966" s="6">
        <v>0</v>
      </c>
      <c r="L1966" s="6">
        <v>-2.3079999999999998</v>
      </c>
      <c r="M1966" s="6">
        <v>-2.3079999999999998</v>
      </c>
      <c r="N1966" s="6">
        <v>-2.3079999999999998</v>
      </c>
      <c r="O1966" s="6">
        <v>-2.3079999999999998</v>
      </c>
      <c r="P1966" s="6">
        <v>0</v>
      </c>
      <c r="Q1966" s="4" t="s">
        <v>26</v>
      </c>
      <c r="R1966" s="4">
        <v>0</v>
      </c>
      <c r="S1966" s="6">
        <v>0</v>
      </c>
      <c r="T1966" s="6">
        <v>69</v>
      </c>
      <c r="U1966" s="6">
        <v>112</v>
      </c>
      <c r="V1966" s="6">
        <f>IF(ISERROR(VLOOKUP($S$1966,'TAR FIN'!$A$1:$O$116,15,0)),0,VLOOKUP($S$1966,'TAR FIN'!$A$1:$O$116,15,0))</f>
        <v>0</v>
      </c>
      <c r="W1966" s="6">
        <f>IF(ISERROR(VLOOKUP($T$1966,'TAR FIN'!$A$1:$O$116,15,0)),0,VLOOKUP($T$1966,'TAR FIN'!$A$1:$O$116,15,0))</f>
        <v>342.48</v>
      </c>
      <c r="X1966" s="6">
        <f>IF(ISERROR(VLOOKUP($U$1966,'TAR FIN'!$A$1:$O$116,15,0)),0,VLOOKUP($U$1966,'TAR FIN'!$A$1:$O$116,15,0))</f>
        <v>326.47000000000003</v>
      </c>
      <c r="Y1966" s="6"/>
      <c r="Z1966" s="6">
        <f ca="1">('TUSD BE'!$AM$71+'TUSD BF'!$AM$71+'TUSD CVA'!$AM$71)*1</f>
        <v>436.78490561809065</v>
      </c>
      <c r="AA1966" s="6">
        <f>('TE BE'!$AB$42+'TE BF'!$AB$42+'TE CVA'!$AB$42)*1</f>
        <v>329.63081087285968</v>
      </c>
      <c r="AB1966" s="6">
        <f>$K$1966*$V$1966</f>
        <v>0</v>
      </c>
      <c r="AC1966" s="6">
        <f>$M$1966*$W$1966</f>
        <v>-790.44384000000002</v>
      </c>
      <c r="AD1966" s="6">
        <f>$O$1966*$X$1966</f>
        <v>-753.49275999999998</v>
      </c>
      <c r="AE1966" s="6">
        <f>$K$1966*$Y$1966</f>
        <v>0</v>
      </c>
      <c r="AF1966" s="6">
        <f ca="1">$M$1966*$Z$1966</f>
        <v>-1008.0995621665531</v>
      </c>
      <c r="AG1966" s="6">
        <f>$O$1966*$AA$1966</f>
        <v>-760.78791149456015</v>
      </c>
    </row>
    <row r="1967" spans="1:33" ht="11.25" customHeight="1" x14ac:dyDescent="0.25">
      <c r="A1967" s="4" t="s">
        <v>28</v>
      </c>
      <c r="B1967" s="4" t="s">
        <v>37</v>
      </c>
      <c r="C1967" s="4" t="s">
        <v>23</v>
      </c>
      <c r="D1967" s="4" t="s">
        <v>46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5">
        <v>44531</v>
      </c>
      <c r="J1967" s="6">
        <v>0</v>
      </c>
      <c r="K1967" s="6">
        <v>0</v>
      </c>
      <c r="L1967" s="6">
        <v>15.99</v>
      </c>
      <c r="M1967" s="6">
        <v>15.99</v>
      </c>
      <c r="N1967" s="6">
        <v>15.99</v>
      </c>
      <c r="O1967" s="6">
        <v>15.99</v>
      </c>
      <c r="P1967" s="6">
        <v>14</v>
      </c>
      <c r="Q1967" s="4" t="s">
        <v>26</v>
      </c>
      <c r="R1967" s="4">
        <v>0</v>
      </c>
      <c r="S1967" s="6">
        <v>0</v>
      </c>
      <c r="T1967" s="6">
        <v>69</v>
      </c>
      <c r="U1967" s="6">
        <v>112</v>
      </c>
      <c r="V1967" s="6">
        <f>IF(ISERROR(VLOOKUP($S$1967,'TAR FIN'!$A$1:$O$116,15,0)),0,VLOOKUP($S$1967,'TAR FIN'!$A$1:$O$116,15,0))</f>
        <v>0</v>
      </c>
      <c r="W1967" s="6">
        <f>IF(ISERROR(VLOOKUP($T$1967,'TAR FIN'!$A$1:$O$116,15,0)),0,VLOOKUP($T$1967,'TAR FIN'!$A$1:$O$116,15,0))</f>
        <v>342.48</v>
      </c>
      <c r="X1967" s="6">
        <f>IF(ISERROR(VLOOKUP($U$1967,'TAR FIN'!$A$1:$O$116,15,0)),0,VLOOKUP($U$1967,'TAR FIN'!$A$1:$O$116,15,0))</f>
        <v>326.47000000000003</v>
      </c>
      <c r="Y1967" s="6"/>
      <c r="Z1967" s="6">
        <f ca="1">('TUSD BE'!$AM$71+'TUSD BF'!$AM$71+'TUSD CVA'!$AM$71)*1</f>
        <v>436.78490561809065</v>
      </c>
      <c r="AA1967" s="6">
        <f>('TE BE'!$AB$42+'TE BF'!$AB$42+'TE CVA'!$AB$42)*1</f>
        <v>329.63081087285968</v>
      </c>
      <c r="AB1967" s="6">
        <f>$K$1967*$V$1967</f>
        <v>0</v>
      </c>
      <c r="AC1967" s="6">
        <f>$M$1967*$W$1967</f>
        <v>5476.2552000000005</v>
      </c>
      <c r="AD1967" s="6">
        <f>$O$1967*$X$1967</f>
        <v>5220.2553000000007</v>
      </c>
      <c r="AE1967" s="6">
        <f>$K$1967*$Y$1967</f>
        <v>0</v>
      </c>
      <c r="AF1967" s="6">
        <f ca="1">$M$1967*$Z$1967</f>
        <v>6984.1906408332698</v>
      </c>
      <c r="AG1967" s="6">
        <f>$O$1967*$AA$1967</f>
        <v>5270.7966658570267</v>
      </c>
    </row>
    <row r="1968" spans="1:33" ht="11.25" customHeight="1" x14ac:dyDescent="0.25">
      <c r="A1968" s="4" t="s">
        <v>21</v>
      </c>
      <c r="B1968" s="4" t="s">
        <v>37</v>
      </c>
      <c r="C1968" s="4" t="s">
        <v>23</v>
      </c>
      <c r="D1968" s="4" t="s">
        <v>46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5">
        <v>44562</v>
      </c>
      <c r="J1968" s="6">
        <v>0</v>
      </c>
      <c r="K1968" s="6">
        <v>0</v>
      </c>
      <c r="L1968" s="6">
        <v>2118.6439999999998</v>
      </c>
      <c r="M1968" s="6">
        <v>2118.6439999999998</v>
      </c>
      <c r="N1968" s="6">
        <v>2118.6439999999998</v>
      </c>
      <c r="O1968" s="6">
        <v>2118.6439999999998</v>
      </c>
      <c r="P1968" s="6">
        <v>4077</v>
      </c>
      <c r="Q1968" s="4" t="s">
        <v>26</v>
      </c>
      <c r="R1968" s="4">
        <v>0</v>
      </c>
      <c r="S1968" s="6">
        <v>0</v>
      </c>
      <c r="T1968" s="6">
        <v>69</v>
      </c>
      <c r="U1968" s="6">
        <v>112</v>
      </c>
      <c r="V1968" s="6">
        <f>IF(ISERROR(VLOOKUP($S$1968,'TAR FIN'!$A$1:$O$116,15,0)),0,VLOOKUP($S$1968,'TAR FIN'!$A$1:$O$116,15,0))</f>
        <v>0</v>
      </c>
      <c r="W1968" s="6">
        <f>IF(ISERROR(VLOOKUP($T$1968,'TAR FIN'!$A$1:$O$116,15,0)),0,VLOOKUP($T$1968,'TAR FIN'!$A$1:$O$116,15,0))</f>
        <v>342.48</v>
      </c>
      <c r="X1968" s="6">
        <f>IF(ISERROR(VLOOKUP($U$1968,'TAR FIN'!$A$1:$O$116,15,0)),0,VLOOKUP($U$1968,'TAR FIN'!$A$1:$O$116,15,0))</f>
        <v>326.47000000000003</v>
      </c>
      <c r="Y1968" s="6"/>
      <c r="Z1968" s="6">
        <f ca="1">('TUSD BE'!$AM$71+'TUSD BF'!$AM$71+'TUSD CVA'!$AM$71)*1</f>
        <v>436.78490561809065</v>
      </c>
      <c r="AA1968" s="6">
        <f>('TE BE'!$AB$42+'TE BF'!$AB$42+'TE CVA'!$AB$42)*1</f>
        <v>329.63081087285968</v>
      </c>
      <c r="AB1968" s="6">
        <f>$K$1968*$V$1968</f>
        <v>0</v>
      </c>
      <c r="AC1968" s="6">
        <f>$M$1968*$W$1968</f>
        <v>725593.19711999991</v>
      </c>
      <c r="AD1968" s="6">
        <f>$O$1968*$X$1968</f>
        <v>691673.70667999994</v>
      </c>
      <c r="AE1968" s="6">
        <f>$K$1968*$Y$1968</f>
        <v>0</v>
      </c>
      <c r="AF1968" s="6">
        <f ca="1">$M$1968*$Z$1968</f>
        <v>925391.7195783339</v>
      </c>
      <c r="AG1968" s="6">
        <f>$O$1968*$AA$1968</f>
        <v>698370.33967091888</v>
      </c>
    </row>
    <row r="1969" spans="1:33" ht="11.25" customHeight="1" x14ac:dyDescent="0.25">
      <c r="A1969" s="4" t="s">
        <v>27</v>
      </c>
      <c r="B1969" s="4" t="s">
        <v>37</v>
      </c>
      <c r="C1969" s="4" t="s">
        <v>23</v>
      </c>
      <c r="D1969" s="4" t="s">
        <v>46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5">
        <v>44562</v>
      </c>
      <c r="J1969" s="6">
        <v>0</v>
      </c>
      <c r="K1969" s="6">
        <v>0</v>
      </c>
      <c r="L1969" s="6">
        <v>9.8000000000000004E-2</v>
      </c>
      <c r="M1969" s="6">
        <v>9.8000000000000004E-2</v>
      </c>
      <c r="N1969" s="6">
        <v>9.8000000000000004E-2</v>
      </c>
      <c r="O1969" s="6">
        <v>9.8000000000000004E-2</v>
      </c>
      <c r="P1969" s="6">
        <v>2</v>
      </c>
      <c r="Q1969" s="4" t="s">
        <v>26</v>
      </c>
      <c r="R1969" s="4">
        <v>0</v>
      </c>
      <c r="S1969" s="6">
        <v>0</v>
      </c>
      <c r="T1969" s="6">
        <v>69</v>
      </c>
      <c r="U1969" s="6">
        <v>112</v>
      </c>
      <c r="V1969" s="6">
        <f>IF(ISERROR(VLOOKUP($S$1969,'TAR FIN'!$A$1:$O$116,15,0)),0,VLOOKUP($S$1969,'TAR FIN'!$A$1:$O$116,15,0))</f>
        <v>0</v>
      </c>
      <c r="W1969" s="6">
        <f>IF(ISERROR(VLOOKUP($T$1969,'TAR FIN'!$A$1:$O$116,15,0)),0,VLOOKUP($T$1969,'TAR FIN'!$A$1:$O$116,15,0))</f>
        <v>342.48</v>
      </c>
      <c r="X1969" s="6">
        <f>IF(ISERROR(VLOOKUP($U$1969,'TAR FIN'!$A$1:$O$116,15,0)),0,VLOOKUP($U$1969,'TAR FIN'!$A$1:$O$116,15,0))</f>
        <v>326.47000000000003</v>
      </c>
      <c r="Y1969" s="6"/>
      <c r="Z1969" s="6">
        <f ca="1">('TUSD BE'!$AM$71+'TUSD BF'!$AM$71+'TUSD CVA'!$AM$71)*1</f>
        <v>436.78490561809065</v>
      </c>
      <c r="AA1969" s="6">
        <f>('TE BE'!$AB$42+'TE BF'!$AB$42+'TE CVA'!$AB$42)*1</f>
        <v>329.63081087285968</v>
      </c>
      <c r="AB1969" s="6">
        <f>$K$1969*$V$1969</f>
        <v>0</v>
      </c>
      <c r="AC1969" s="6">
        <f>$M$1969*$W$1969</f>
        <v>33.563040000000001</v>
      </c>
      <c r="AD1969" s="6">
        <f>$O$1969*$X$1969</f>
        <v>31.994060000000005</v>
      </c>
      <c r="AE1969" s="6">
        <f>$K$1969*$Y$1969</f>
        <v>0</v>
      </c>
      <c r="AF1969" s="6">
        <f ca="1">$M$1969*$Z$1969</f>
        <v>42.804920750572883</v>
      </c>
      <c r="AG1969" s="6">
        <f>$O$1969*$AA$1969</f>
        <v>32.303819465540251</v>
      </c>
    </row>
    <row r="1970" spans="1:33" ht="11.25" customHeight="1" x14ac:dyDescent="0.25">
      <c r="A1970" s="4" t="s">
        <v>28</v>
      </c>
      <c r="B1970" s="4" t="s">
        <v>37</v>
      </c>
      <c r="C1970" s="4" t="s">
        <v>23</v>
      </c>
      <c r="D1970" s="4" t="s">
        <v>46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5">
        <v>44562</v>
      </c>
      <c r="J1970" s="6">
        <v>0</v>
      </c>
      <c r="K1970" s="6">
        <v>0</v>
      </c>
      <c r="L1970" s="6">
        <v>10.162000000000001</v>
      </c>
      <c r="M1970" s="6">
        <v>10.162000000000001</v>
      </c>
      <c r="N1970" s="6">
        <v>10.162000000000001</v>
      </c>
      <c r="O1970" s="6">
        <v>10.162000000000001</v>
      </c>
      <c r="P1970" s="6">
        <v>14</v>
      </c>
      <c r="Q1970" s="4" t="s">
        <v>26</v>
      </c>
      <c r="R1970" s="4">
        <v>0</v>
      </c>
      <c r="S1970" s="6">
        <v>0</v>
      </c>
      <c r="T1970" s="6">
        <v>69</v>
      </c>
      <c r="U1970" s="6">
        <v>112</v>
      </c>
      <c r="V1970" s="6">
        <f>IF(ISERROR(VLOOKUP($S$1970,'TAR FIN'!$A$1:$O$116,15,0)),0,VLOOKUP($S$1970,'TAR FIN'!$A$1:$O$116,15,0))</f>
        <v>0</v>
      </c>
      <c r="W1970" s="6">
        <f>IF(ISERROR(VLOOKUP($T$1970,'TAR FIN'!$A$1:$O$116,15,0)),0,VLOOKUP($T$1970,'TAR FIN'!$A$1:$O$116,15,0))</f>
        <v>342.48</v>
      </c>
      <c r="X1970" s="6">
        <f>IF(ISERROR(VLOOKUP($U$1970,'TAR FIN'!$A$1:$O$116,15,0)),0,VLOOKUP($U$1970,'TAR FIN'!$A$1:$O$116,15,0))</f>
        <v>326.47000000000003</v>
      </c>
      <c r="Y1970" s="6"/>
      <c r="Z1970" s="6">
        <f ca="1">('TUSD BE'!$AM$71+'TUSD BF'!$AM$71+'TUSD CVA'!$AM$71)*1</f>
        <v>436.78490561809065</v>
      </c>
      <c r="AA1970" s="6">
        <f>('TE BE'!$AB$42+'TE BF'!$AB$42+'TE CVA'!$AB$42)*1</f>
        <v>329.63081087285968</v>
      </c>
      <c r="AB1970" s="6">
        <f>$K$1970*$V$1970</f>
        <v>0</v>
      </c>
      <c r="AC1970" s="6">
        <f>$M$1970*$W$1970</f>
        <v>3480.2817600000003</v>
      </c>
      <c r="AD1970" s="6">
        <f>$O$1970*$X$1970</f>
        <v>3317.5881400000007</v>
      </c>
      <c r="AE1970" s="6">
        <f>$K$1970*$Y$1970</f>
        <v>0</v>
      </c>
      <c r="AF1970" s="6">
        <f ca="1">$M$1970*$Z$1970</f>
        <v>4438.6082108910377</v>
      </c>
      <c r="AG1970" s="6">
        <f>$O$1970*$AA$1970</f>
        <v>3349.7083000900002</v>
      </c>
    </row>
    <row r="1971" spans="1:33" ht="11.25" customHeight="1" x14ac:dyDescent="0.25">
      <c r="A1971" s="4" t="s">
        <v>21</v>
      </c>
      <c r="B1971" s="4" t="s">
        <v>37</v>
      </c>
      <c r="C1971" s="4" t="s">
        <v>23</v>
      </c>
      <c r="D1971" s="4" t="s">
        <v>46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5">
        <v>44593</v>
      </c>
      <c r="J1971" s="6">
        <v>0</v>
      </c>
      <c r="K1971" s="6">
        <v>0</v>
      </c>
      <c r="L1971" s="6">
        <v>2324.6190000000001</v>
      </c>
      <c r="M1971" s="6">
        <v>2324.6190000000001</v>
      </c>
      <c r="N1971" s="6">
        <v>2324.6190000000001</v>
      </c>
      <c r="O1971" s="6">
        <v>2324.6190000000001</v>
      </c>
      <c r="P1971" s="6">
        <v>4079</v>
      </c>
      <c r="Q1971" s="4" t="s">
        <v>26</v>
      </c>
      <c r="R1971" s="4">
        <v>0</v>
      </c>
      <c r="S1971" s="6">
        <v>0</v>
      </c>
      <c r="T1971" s="6">
        <v>69</v>
      </c>
      <c r="U1971" s="6">
        <v>112</v>
      </c>
      <c r="V1971" s="6">
        <f>IF(ISERROR(VLOOKUP($S$1971,'TAR FIN'!$A$1:$O$116,15,0)),0,VLOOKUP($S$1971,'TAR FIN'!$A$1:$O$116,15,0))</f>
        <v>0</v>
      </c>
      <c r="W1971" s="6">
        <f>IF(ISERROR(VLOOKUP($T$1971,'TAR FIN'!$A$1:$O$116,15,0)),0,VLOOKUP($T$1971,'TAR FIN'!$A$1:$O$116,15,0))</f>
        <v>342.48</v>
      </c>
      <c r="X1971" s="6">
        <f>IF(ISERROR(VLOOKUP($U$1971,'TAR FIN'!$A$1:$O$116,15,0)),0,VLOOKUP($U$1971,'TAR FIN'!$A$1:$O$116,15,0))</f>
        <v>326.47000000000003</v>
      </c>
      <c r="Y1971" s="6"/>
      <c r="Z1971" s="6">
        <f ca="1">('TUSD BE'!$AM$71+'TUSD BF'!$AM$71+'TUSD CVA'!$AM$71)*1</f>
        <v>436.78490561809065</v>
      </c>
      <c r="AA1971" s="6">
        <f>('TE BE'!$AB$42+'TE BF'!$AB$42+'TE CVA'!$AB$42)*1</f>
        <v>329.63081087285968</v>
      </c>
      <c r="AB1971" s="6">
        <f>$K$1971*$V$1971</f>
        <v>0</v>
      </c>
      <c r="AC1971" s="6">
        <f>$M$1971*$W$1971</f>
        <v>796135.51512000011</v>
      </c>
      <c r="AD1971" s="6">
        <f>$O$1971*$X$1971</f>
        <v>758918.36493000016</v>
      </c>
      <c r="AE1971" s="6">
        <f>$K$1971*$Y$1971</f>
        <v>0</v>
      </c>
      <c r="AF1971" s="6">
        <f ca="1">$M$1971*$Z$1971</f>
        <v>1015358.4905130203</v>
      </c>
      <c r="AG1971" s="6">
        <f>$O$1971*$AA$1971</f>
        <v>766266.04594045621</v>
      </c>
    </row>
    <row r="1972" spans="1:33" ht="11.25" customHeight="1" x14ac:dyDescent="0.25">
      <c r="A1972" s="4" t="s">
        <v>27</v>
      </c>
      <c r="B1972" s="4" t="s">
        <v>37</v>
      </c>
      <c r="C1972" s="4" t="s">
        <v>23</v>
      </c>
      <c r="D1972" s="4" t="s">
        <v>46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5">
        <v>44593</v>
      </c>
      <c r="J1972" s="6">
        <v>0</v>
      </c>
      <c r="K1972" s="6">
        <v>0</v>
      </c>
      <c r="L1972" s="6">
        <v>-2.2280000000000002</v>
      </c>
      <c r="M1972" s="6">
        <v>-2.2280000000000002</v>
      </c>
      <c r="N1972" s="6">
        <v>-2.2280000000000002</v>
      </c>
      <c r="O1972" s="6">
        <v>-2.2280000000000002</v>
      </c>
      <c r="P1972" s="6">
        <v>-2</v>
      </c>
      <c r="Q1972" s="4" t="s">
        <v>26</v>
      </c>
      <c r="R1972" s="4">
        <v>0</v>
      </c>
      <c r="S1972" s="6">
        <v>0</v>
      </c>
      <c r="T1972" s="6">
        <v>69</v>
      </c>
      <c r="U1972" s="6">
        <v>112</v>
      </c>
      <c r="V1972" s="6">
        <f>IF(ISERROR(VLOOKUP($S$1972,'TAR FIN'!$A$1:$O$116,15,0)),0,VLOOKUP($S$1972,'TAR FIN'!$A$1:$O$116,15,0))</f>
        <v>0</v>
      </c>
      <c r="W1972" s="6">
        <f>IF(ISERROR(VLOOKUP($T$1972,'TAR FIN'!$A$1:$O$116,15,0)),0,VLOOKUP($T$1972,'TAR FIN'!$A$1:$O$116,15,0))</f>
        <v>342.48</v>
      </c>
      <c r="X1972" s="6">
        <f>IF(ISERROR(VLOOKUP($U$1972,'TAR FIN'!$A$1:$O$116,15,0)),0,VLOOKUP($U$1972,'TAR FIN'!$A$1:$O$116,15,0))</f>
        <v>326.47000000000003</v>
      </c>
      <c r="Y1972" s="6"/>
      <c r="Z1972" s="6">
        <f ca="1">('TUSD BE'!$AM$71+'TUSD BF'!$AM$71+'TUSD CVA'!$AM$71)*1</f>
        <v>436.78490561809065</v>
      </c>
      <c r="AA1972" s="6">
        <f>('TE BE'!$AB$42+'TE BF'!$AB$42+'TE CVA'!$AB$42)*1</f>
        <v>329.63081087285968</v>
      </c>
      <c r="AB1972" s="6">
        <f>$K$1972*$V$1972</f>
        <v>0</v>
      </c>
      <c r="AC1972" s="6">
        <f>$M$1972*$W$1972</f>
        <v>-763.0454400000001</v>
      </c>
      <c r="AD1972" s="6">
        <f>$O$1972*$X$1972</f>
        <v>-727.37516000000016</v>
      </c>
      <c r="AE1972" s="6">
        <f>$K$1972*$Y$1972</f>
        <v>0</v>
      </c>
      <c r="AF1972" s="6">
        <f ca="1">$M$1972*$Z$1972</f>
        <v>-973.15676971710604</v>
      </c>
      <c r="AG1972" s="6">
        <f>$O$1972*$AA$1972</f>
        <v>-734.4174466247315</v>
      </c>
    </row>
    <row r="1973" spans="1:33" ht="11.25" customHeight="1" x14ac:dyDescent="0.25">
      <c r="A1973" s="4" t="s">
        <v>28</v>
      </c>
      <c r="B1973" s="4" t="s">
        <v>37</v>
      </c>
      <c r="C1973" s="4" t="s">
        <v>23</v>
      </c>
      <c r="D1973" s="4" t="s">
        <v>46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5">
        <v>44593</v>
      </c>
      <c r="J1973" s="6">
        <v>0</v>
      </c>
      <c r="K1973" s="6">
        <v>0</v>
      </c>
      <c r="L1973" s="6">
        <v>10.471</v>
      </c>
      <c r="M1973" s="6">
        <v>10.471</v>
      </c>
      <c r="N1973" s="6">
        <v>10.471</v>
      </c>
      <c r="O1973" s="6">
        <v>10.471</v>
      </c>
      <c r="P1973" s="6">
        <v>15</v>
      </c>
      <c r="Q1973" s="4" t="s">
        <v>26</v>
      </c>
      <c r="R1973" s="4">
        <v>0</v>
      </c>
      <c r="S1973" s="6">
        <v>0</v>
      </c>
      <c r="T1973" s="6">
        <v>69</v>
      </c>
      <c r="U1973" s="6">
        <v>112</v>
      </c>
      <c r="V1973" s="6">
        <f>IF(ISERROR(VLOOKUP($S$1973,'TAR FIN'!$A$1:$O$116,15,0)),0,VLOOKUP($S$1973,'TAR FIN'!$A$1:$O$116,15,0))</f>
        <v>0</v>
      </c>
      <c r="W1973" s="6">
        <f>IF(ISERROR(VLOOKUP($T$1973,'TAR FIN'!$A$1:$O$116,15,0)),0,VLOOKUP($T$1973,'TAR FIN'!$A$1:$O$116,15,0))</f>
        <v>342.48</v>
      </c>
      <c r="X1973" s="6">
        <f>IF(ISERROR(VLOOKUP($U$1973,'TAR FIN'!$A$1:$O$116,15,0)),0,VLOOKUP($U$1973,'TAR FIN'!$A$1:$O$116,15,0))</f>
        <v>326.47000000000003</v>
      </c>
      <c r="Y1973" s="6"/>
      <c r="Z1973" s="6">
        <f ca="1">('TUSD BE'!$AM$71+'TUSD BF'!$AM$71+'TUSD CVA'!$AM$71)*1</f>
        <v>436.78490561809065</v>
      </c>
      <c r="AA1973" s="6">
        <f>('TE BE'!$AB$42+'TE BF'!$AB$42+'TE CVA'!$AB$42)*1</f>
        <v>329.63081087285968</v>
      </c>
      <c r="AB1973" s="6">
        <f>$K$1973*$V$1973</f>
        <v>0</v>
      </c>
      <c r="AC1973" s="6">
        <f>$M$1973*$W$1973</f>
        <v>3586.1080800000004</v>
      </c>
      <c r="AD1973" s="6">
        <f>$O$1973*$X$1973</f>
        <v>3418.4673700000003</v>
      </c>
      <c r="AE1973" s="6">
        <f>$K$1973*$Y$1973</f>
        <v>0</v>
      </c>
      <c r="AF1973" s="6">
        <f ca="1">$M$1973*$Z$1973</f>
        <v>4573.5747467270276</v>
      </c>
      <c r="AG1973" s="6">
        <f>$O$1973*$AA$1973</f>
        <v>3451.5642206497137</v>
      </c>
    </row>
    <row r="1974" spans="1:33" ht="11.25" customHeight="1" x14ac:dyDescent="0.25">
      <c r="A1974" s="4" t="s">
        <v>21</v>
      </c>
      <c r="B1974" s="4" t="s">
        <v>37</v>
      </c>
      <c r="C1974" s="4" t="s">
        <v>23</v>
      </c>
      <c r="D1974" s="4" t="s">
        <v>46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5">
        <v>44621</v>
      </c>
      <c r="J1974" s="6">
        <v>0</v>
      </c>
      <c r="K1974" s="6">
        <v>0</v>
      </c>
      <c r="L1974" s="6">
        <v>2787.6329999999998</v>
      </c>
      <c r="M1974" s="6">
        <v>2787.6329999999998</v>
      </c>
      <c r="N1974" s="6">
        <v>2787.6329999999998</v>
      </c>
      <c r="O1974" s="6">
        <v>2787.6329999999998</v>
      </c>
      <c r="P1974" s="6">
        <v>4098</v>
      </c>
      <c r="Q1974" s="4" t="s">
        <v>26</v>
      </c>
      <c r="R1974" s="4">
        <v>0</v>
      </c>
      <c r="S1974" s="6">
        <v>0</v>
      </c>
      <c r="T1974" s="6">
        <v>69</v>
      </c>
      <c r="U1974" s="6">
        <v>112</v>
      </c>
      <c r="V1974" s="6">
        <f>IF(ISERROR(VLOOKUP($S$1974,'TAR FIN'!$A$1:$O$116,15,0)),0,VLOOKUP($S$1974,'TAR FIN'!$A$1:$O$116,15,0))</f>
        <v>0</v>
      </c>
      <c r="W1974" s="6">
        <f>IF(ISERROR(VLOOKUP($T$1974,'TAR FIN'!$A$1:$O$116,15,0)),0,VLOOKUP($T$1974,'TAR FIN'!$A$1:$O$116,15,0))</f>
        <v>342.48</v>
      </c>
      <c r="X1974" s="6">
        <f>IF(ISERROR(VLOOKUP($U$1974,'TAR FIN'!$A$1:$O$116,15,0)),0,VLOOKUP($U$1974,'TAR FIN'!$A$1:$O$116,15,0))</f>
        <v>326.47000000000003</v>
      </c>
      <c r="Y1974" s="6"/>
      <c r="Z1974" s="6">
        <f ca="1">('TUSD BE'!$AM$71+'TUSD BF'!$AM$71+'TUSD CVA'!$AM$71)*1</f>
        <v>436.78490561809065</v>
      </c>
      <c r="AA1974" s="6">
        <f>('TE BE'!$AB$42+'TE BF'!$AB$42+'TE CVA'!$AB$42)*1</f>
        <v>329.63081087285968</v>
      </c>
      <c r="AB1974" s="6">
        <f>$K$1974*$V$1974</f>
        <v>0</v>
      </c>
      <c r="AC1974" s="6">
        <f>$M$1974*$W$1974</f>
        <v>954708.54983999999</v>
      </c>
      <c r="AD1974" s="6">
        <f>$O$1974*$X$1974</f>
        <v>910078.54550999997</v>
      </c>
      <c r="AE1974" s="6">
        <f>$K$1974*$Y$1974</f>
        <v>0</v>
      </c>
      <c r="AF1974" s="6">
        <f ca="1">$M$1974*$Z$1974</f>
        <v>1217596.0168028749</v>
      </c>
      <c r="AG1974" s="6">
        <f>$O$1974*$AA$1974</f>
        <v>918889.72620594245</v>
      </c>
    </row>
    <row r="1975" spans="1:33" ht="11.25" customHeight="1" x14ac:dyDescent="0.25">
      <c r="A1975" s="4" t="s">
        <v>27</v>
      </c>
      <c r="B1975" s="4" t="s">
        <v>37</v>
      </c>
      <c r="C1975" s="4" t="s">
        <v>23</v>
      </c>
      <c r="D1975" s="4" t="s">
        <v>46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5">
        <v>44621</v>
      </c>
      <c r="J1975" s="6">
        <v>0</v>
      </c>
      <c r="K1975" s="6">
        <v>0</v>
      </c>
      <c r="L1975" s="6">
        <v>-27.853000000000002</v>
      </c>
      <c r="M1975" s="6">
        <v>-27.853000000000002</v>
      </c>
      <c r="N1975" s="6">
        <v>-27.853000000000002</v>
      </c>
      <c r="O1975" s="6">
        <v>-27.853000000000002</v>
      </c>
      <c r="P1975" s="6">
        <v>0</v>
      </c>
      <c r="Q1975" s="4" t="s">
        <v>26</v>
      </c>
      <c r="R1975" s="4">
        <v>0</v>
      </c>
      <c r="S1975" s="6">
        <v>0</v>
      </c>
      <c r="T1975" s="6">
        <v>69</v>
      </c>
      <c r="U1975" s="6">
        <v>112</v>
      </c>
      <c r="V1975" s="6">
        <f>IF(ISERROR(VLOOKUP($S$1975,'TAR FIN'!$A$1:$O$116,15,0)),0,VLOOKUP($S$1975,'TAR FIN'!$A$1:$O$116,15,0))</f>
        <v>0</v>
      </c>
      <c r="W1975" s="6">
        <f>IF(ISERROR(VLOOKUP($T$1975,'TAR FIN'!$A$1:$O$116,15,0)),0,VLOOKUP($T$1975,'TAR FIN'!$A$1:$O$116,15,0))</f>
        <v>342.48</v>
      </c>
      <c r="X1975" s="6">
        <f>IF(ISERROR(VLOOKUP($U$1975,'TAR FIN'!$A$1:$O$116,15,0)),0,VLOOKUP($U$1975,'TAR FIN'!$A$1:$O$116,15,0))</f>
        <v>326.47000000000003</v>
      </c>
      <c r="Y1975" s="6"/>
      <c r="Z1975" s="6">
        <f ca="1">('TUSD BE'!$AM$71+'TUSD BF'!$AM$71+'TUSD CVA'!$AM$71)*1</f>
        <v>436.78490561809065</v>
      </c>
      <c r="AA1975" s="6">
        <f>('TE BE'!$AB$42+'TE BF'!$AB$42+'TE CVA'!$AB$42)*1</f>
        <v>329.63081087285968</v>
      </c>
      <c r="AB1975" s="6">
        <f>$K$1975*$V$1975</f>
        <v>0</v>
      </c>
      <c r="AC1975" s="6">
        <f>$M$1975*$W$1975</f>
        <v>-9539.095440000001</v>
      </c>
      <c r="AD1975" s="6">
        <f>$O$1975*$X$1975</f>
        <v>-9093.1689100000021</v>
      </c>
      <c r="AE1975" s="6">
        <f>$K$1975*$Y$1975</f>
        <v>0</v>
      </c>
      <c r="AF1975" s="6">
        <f ca="1">$M$1975*$Z$1975</f>
        <v>-12165.76997618068</v>
      </c>
      <c r="AG1975" s="6">
        <f>$O$1975*$AA$1975</f>
        <v>-9181.206975241761</v>
      </c>
    </row>
    <row r="1976" spans="1:33" ht="11.25" customHeight="1" x14ac:dyDescent="0.25">
      <c r="A1976" s="4" t="s">
        <v>28</v>
      </c>
      <c r="B1976" s="4" t="s">
        <v>37</v>
      </c>
      <c r="C1976" s="4" t="s">
        <v>23</v>
      </c>
      <c r="D1976" s="4" t="s">
        <v>46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5">
        <v>44621</v>
      </c>
      <c r="J1976" s="6">
        <v>0</v>
      </c>
      <c r="K1976" s="6">
        <v>0</v>
      </c>
      <c r="L1976" s="6">
        <v>16.376000000000001</v>
      </c>
      <c r="M1976" s="6">
        <v>16.376000000000001</v>
      </c>
      <c r="N1976" s="6">
        <v>16.376000000000001</v>
      </c>
      <c r="O1976" s="6">
        <v>16.376000000000001</v>
      </c>
      <c r="P1976" s="6">
        <v>16</v>
      </c>
      <c r="Q1976" s="4" t="s">
        <v>26</v>
      </c>
      <c r="R1976" s="4">
        <v>0</v>
      </c>
      <c r="S1976" s="6">
        <v>0</v>
      </c>
      <c r="T1976" s="6">
        <v>69</v>
      </c>
      <c r="U1976" s="6">
        <v>112</v>
      </c>
      <c r="V1976" s="6">
        <f>IF(ISERROR(VLOOKUP($S$1976,'TAR FIN'!$A$1:$O$116,15,0)),0,VLOOKUP($S$1976,'TAR FIN'!$A$1:$O$116,15,0))</f>
        <v>0</v>
      </c>
      <c r="W1976" s="6">
        <f>IF(ISERROR(VLOOKUP($T$1976,'TAR FIN'!$A$1:$O$116,15,0)),0,VLOOKUP($T$1976,'TAR FIN'!$A$1:$O$116,15,0))</f>
        <v>342.48</v>
      </c>
      <c r="X1976" s="6">
        <f>IF(ISERROR(VLOOKUP($U$1976,'TAR FIN'!$A$1:$O$116,15,0)),0,VLOOKUP($U$1976,'TAR FIN'!$A$1:$O$116,15,0))</f>
        <v>326.47000000000003</v>
      </c>
      <c r="Y1976" s="6"/>
      <c r="Z1976" s="6">
        <f ca="1">('TUSD BE'!$AM$71+'TUSD BF'!$AM$71+'TUSD CVA'!$AM$71)*1</f>
        <v>436.78490561809065</v>
      </c>
      <c r="AA1976" s="6">
        <f>('TE BE'!$AB$42+'TE BF'!$AB$42+'TE CVA'!$AB$42)*1</f>
        <v>329.63081087285968</v>
      </c>
      <c r="AB1976" s="6">
        <f>$K$1976*$V$1976</f>
        <v>0</v>
      </c>
      <c r="AC1976" s="6">
        <f>$M$1976*$W$1976</f>
        <v>5608.4524800000008</v>
      </c>
      <c r="AD1976" s="6">
        <f>$O$1976*$X$1976</f>
        <v>5346.2727200000008</v>
      </c>
      <c r="AE1976" s="6">
        <f>$K$1976*$Y$1976</f>
        <v>0</v>
      </c>
      <c r="AF1976" s="6">
        <f ca="1">$M$1976*$Z$1976</f>
        <v>7152.7896144018532</v>
      </c>
      <c r="AG1976" s="6">
        <f>$O$1976*$AA$1976</f>
        <v>5398.0341588539504</v>
      </c>
    </row>
    <row r="1977" spans="1:33" ht="11.25" customHeight="1" x14ac:dyDescent="0.25">
      <c r="A1977" s="4" t="s">
        <v>21</v>
      </c>
      <c r="B1977" s="4" t="s">
        <v>37</v>
      </c>
      <c r="C1977" s="4" t="s">
        <v>23</v>
      </c>
      <c r="D1977" s="4" t="s">
        <v>46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5">
        <v>44652</v>
      </c>
      <c r="J1977" s="6">
        <v>0</v>
      </c>
      <c r="K1977" s="6">
        <v>0</v>
      </c>
      <c r="L1977" s="6">
        <v>2730.61</v>
      </c>
      <c r="M1977" s="6">
        <v>2730.61</v>
      </c>
      <c r="N1977" s="6">
        <v>2730.61</v>
      </c>
      <c r="O1977" s="6">
        <v>2730.61</v>
      </c>
      <c r="P1977" s="6">
        <v>4108</v>
      </c>
      <c r="Q1977" s="4" t="s">
        <v>26</v>
      </c>
      <c r="R1977" s="4">
        <v>0</v>
      </c>
      <c r="S1977" s="6">
        <v>0</v>
      </c>
      <c r="T1977" s="6">
        <v>69</v>
      </c>
      <c r="U1977" s="6">
        <v>112</v>
      </c>
      <c r="V1977" s="6">
        <f>IF(ISERROR(VLOOKUP($S$1977,'TAR FIN'!$A$1:$O$116,15,0)),0,VLOOKUP($S$1977,'TAR FIN'!$A$1:$O$116,15,0))</f>
        <v>0</v>
      </c>
      <c r="W1977" s="6">
        <f>IF(ISERROR(VLOOKUP($T$1977,'TAR FIN'!$A$1:$O$116,15,0)),0,VLOOKUP($T$1977,'TAR FIN'!$A$1:$O$116,15,0))</f>
        <v>342.48</v>
      </c>
      <c r="X1977" s="6">
        <f>IF(ISERROR(VLOOKUP($U$1977,'TAR FIN'!$A$1:$O$116,15,0)),0,VLOOKUP($U$1977,'TAR FIN'!$A$1:$O$116,15,0))</f>
        <v>326.47000000000003</v>
      </c>
      <c r="Y1977" s="6"/>
      <c r="Z1977" s="6">
        <f ca="1">('TUSD BE'!$AM$71+'TUSD BF'!$AM$71+'TUSD CVA'!$AM$71)*1</f>
        <v>436.78490561809065</v>
      </c>
      <c r="AA1977" s="6">
        <f>('TE BE'!$AB$42+'TE BF'!$AB$42+'TE CVA'!$AB$42)*1</f>
        <v>329.63081087285968</v>
      </c>
      <c r="AB1977" s="6">
        <f>$K$1977*$V$1977</f>
        <v>0</v>
      </c>
      <c r="AC1977" s="6">
        <f>$M$1977*$W$1977</f>
        <v>935179.31280000007</v>
      </c>
      <c r="AD1977" s="6">
        <f>$O$1977*$X$1977</f>
        <v>891462.24670000013</v>
      </c>
      <c r="AE1977" s="6">
        <f>$K$1977*$Y$1977</f>
        <v>0</v>
      </c>
      <c r="AF1977" s="6">
        <f ca="1">$M$1977*$Z$1977</f>
        <v>1192689.2311298146</v>
      </c>
      <c r="AG1977" s="6">
        <f>$O$1977*$AA$1977</f>
        <v>900093.18847753946</v>
      </c>
    </row>
    <row r="1978" spans="1:33" ht="11.25" customHeight="1" x14ac:dyDescent="0.25">
      <c r="A1978" s="4" t="s">
        <v>27</v>
      </c>
      <c r="B1978" s="4" t="s">
        <v>37</v>
      </c>
      <c r="C1978" s="4" t="s">
        <v>23</v>
      </c>
      <c r="D1978" s="4" t="s">
        <v>46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5">
        <v>44652</v>
      </c>
      <c r="J1978" s="6">
        <v>0</v>
      </c>
      <c r="K1978" s="6">
        <v>0</v>
      </c>
      <c r="L1978" s="6">
        <v>2.2120000000000002</v>
      </c>
      <c r="M1978" s="6">
        <v>2.2120000000000002</v>
      </c>
      <c r="N1978" s="6">
        <v>2.2120000000000002</v>
      </c>
      <c r="O1978" s="6">
        <v>2.2120000000000002</v>
      </c>
      <c r="P1978" s="6">
        <v>3</v>
      </c>
      <c r="Q1978" s="4" t="s">
        <v>26</v>
      </c>
      <c r="R1978" s="4">
        <v>0</v>
      </c>
      <c r="S1978" s="6">
        <v>0</v>
      </c>
      <c r="T1978" s="6">
        <v>69</v>
      </c>
      <c r="U1978" s="6">
        <v>112</v>
      </c>
      <c r="V1978" s="6">
        <f>IF(ISERROR(VLOOKUP($S$1978,'TAR FIN'!$A$1:$O$116,15,0)),0,VLOOKUP($S$1978,'TAR FIN'!$A$1:$O$116,15,0))</f>
        <v>0</v>
      </c>
      <c r="W1978" s="6">
        <f>IF(ISERROR(VLOOKUP($T$1978,'TAR FIN'!$A$1:$O$116,15,0)),0,VLOOKUP($T$1978,'TAR FIN'!$A$1:$O$116,15,0))</f>
        <v>342.48</v>
      </c>
      <c r="X1978" s="6">
        <f>IF(ISERROR(VLOOKUP($U$1978,'TAR FIN'!$A$1:$O$116,15,0)),0,VLOOKUP($U$1978,'TAR FIN'!$A$1:$O$116,15,0))</f>
        <v>326.47000000000003</v>
      </c>
      <c r="Y1978" s="6"/>
      <c r="Z1978" s="6">
        <f ca="1">('TUSD BE'!$AM$71+'TUSD BF'!$AM$71+'TUSD CVA'!$AM$71)*1</f>
        <v>436.78490561809065</v>
      </c>
      <c r="AA1978" s="6">
        <f>('TE BE'!$AB$42+'TE BF'!$AB$42+'TE CVA'!$AB$42)*1</f>
        <v>329.63081087285968</v>
      </c>
      <c r="AB1978" s="6">
        <f>$K$1978*$V$1978</f>
        <v>0</v>
      </c>
      <c r="AC1978" s="6">
        <f>$M$1978*$W$1978</f>
        <v>757.56576000000007</v>
      </c>
      <c r="AD1978" s="6">
        <f>$O$1978*$X$1978</f>
        <v>722.15164000000016</v>
      </c>
      <c r="AE1978" s="6">
        <f>$K$1978*$Y$1978</f>
        <v>0</v>
      </c>
      <c r="AF1978" s="6">
        <f ca="1">$M$1978*$Z$1978</f>
        <v>966.1682112272166</v>
      </c>
      <c r="AG1978" s="6">
        <f>$O$1978*$AA$1978</f>
        <v>729.14335365076568</v>
      </c>
    </row>
    <row r="1979" spans="1:33" ht="11.25" customHeight="1" x14ac:dyDescent="0.25">
      <c r="A1979" s="4" t="s">
        <v>28</v>
      </c>
      <c r="B1979" s="4" t="s">
        <v>37</v>
      </c>
      <c r="C1979" s="4" t="s">
        <v>23</v>
      </c>
      <c r="D1979" s="4" t="s">
        <v>46</v>
      </c>
      <c r="E1979" s="4" t="s">
        <v>25</v>
      </c>
      <c r="F1979" s="4" t="s">
        <v>25</v>
      </c>
      <c r="G1979" s="4" t="s">
        <v>25</v>
      </c>
      <c r="H1979" s="4" t="s">
        <v>25</v>
      </c>
      <c r="I1979" s="5">
        <v>44652</v>
      </c>
      <c r="J1979" s="6">
        <v>0</v>
      </c>
      <c r="K1979" s="6">
        <v>0</v>
      </c>
      <c r="L1979" s="6">
        <v>13.077</v>
      </c>
      <c r="M1979" s="6">
        <v>13.077</v>
      </c>
      <c r="N1979" s="6">
        <v>13.077</v>
      </c>
      <c r="O1979" s="6">
        <v>13.077</v>
      </c>
      <c r="P1979" s="6">
        <v>16</v>
      </c>
      <c r="Q1979" s="4" t="s">
        <v>26</v>
      </c>
      <c r="R1979" s="4">
        <v>0</v>
      </c>
      <c r="S1979" s="6">
        <v>0</v>
      </c>
      <c r="T1979" s="6">
        <v>69</v>
      </c>
      <c r="U1979" s="6">
        <v>112</v>
      </c>
      <c r="V1979" s="6">
        <f>IF(ISERROR(VLOOKUP($S$1979,'TAR FIN'!$A$1:$O$116,15,0)),0,VLOOKUP($S$1979,'TAR FIN'!$A$1:$O$116,15,0))</f>
        <v>0</v>
      </c>
      <c r="W1979" s="6">
        <f>IF(ISERROR(VLOOKUP($T$1979,'TAR FIN'!$A$1:$O$116,15,0)),0,VLOOKUP($T$1979,'TAR FIN'!$A$1:$O$116,15,0))</f>
        <v>342.48</v>
      </c>
      <c r="X1979" s="6">
        <f>IF(ISERROR(VLOOKUP($U$1979,'TAR FIN'!$A$1:$O$116,15,0)),0,VLOOKUP($U$1979,'TAR FIN'!$A$1:$O$116,15,0))</f>
        <v>326.47000000000003</v>
      </c>
      <c r="Y1979" s="6"/>
      <c r="Z1979" s="6">
        <f ca="1">('TUSD BE'!$AM$71+'TUSD BF'!$AM$71+'TUSD CVA'!$AM$71)*1</f>
        <v>436.78490561809065</v>
      </c>
      <c r="AA1979" s="6">
        <f>('TE BE'!$AB$42+'TE BF'!$AB$42+'TE CVA'!$AB$42)*1</f>
        <v>329.63081087285968</v>
      </c>
      <c r="AB1979" s="6">
        <f>$K$1979*$V$1979</f>
        <v>0</v>
      </c>
      <c r="AC1979" s="6">
        <f>$M$1979*$W$1979</f>
        <v>4478.61096</v>
      </c>
      <c r="AD1979" s="6">
        <f>$O$1979*$X$1979</f>
        <v>4269.2481900000002</v>
      </c>
      <c r="AE1979" s="6">
        <f>$K$1979*$Y$1979</f>
        <v>0</v>
      </c>
      <c r="AF1979" s="6">
        <f ca="1">$M$1979*$Z$1979</f>
        <v>5711.8362107677713</v>
      </c>
      <c r="AG1979" s="6">
        <f>$O$1979*$AA$1979</f>
        <v>4310.5821137843859</v>
      </c>
    </row>
    <row r="1980" spans="1:33" ht="11.25" customHeight="1" x14ac:dyDescent="0.25">
      <c r="A1980" s="4" t="s">
        <v>58</v>
      </c>
      <c r="B1980" s="4" t="s">
        <v>37</v>
      </c>
      <c r="C1980" s="4" t="s">
        <v>23</v>
      </c>
      <c r="D1980" s="4" t="s">
        <v>46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5">
        <v>44682</v>
      </c>
      <c r="J1980" s="6">
        <v>0</v>
      </c>
      <c r="K1980" s="6">
        <v>0</v>
      </c>
      <c r="L1980" s="6">
        <v>2730.61</v>
      </c>
      <c r="M1980" s="6">
        <v>2730.61</v>
      </c>
      <c r="N1980" s="6">
        <v>2730.61</v>
      </c>
      <c r="O1980" s="6">
        <v>2730.61</v>
      </c>
      <c r="P1980" s="6">
        <v>4108</v>
      </c>
      <c r="Q1980" s="4" t="s">
        <v>26</v>
      </c>
      <c r="R1980" s="4">
        <v>0</v>
      </c>
      <c r="S1980" s="6">
        <v>0</v>
      </c>
      <c r="T1980" s="6">
        <v>69</v>
      </c>
      <c r="U1980" s="6">
        <v>112</v>
      </c>
      <c r="V1980" s="6">
        <f>IF(ISERROR(VLOOKUP($S$1980,'TAR FIN'!$A$1:$O$116,15,0)),0,VLOOKUP($S$1980,'TAR FIN'!$A$1:$O$116,15,0))</f>
        <v>0</v>
      </c>
      <c r="W1980" s="6">
        <f>IF(ISERROR(VLOOKUP($T$1980,'TAR FIN'!$A$1:$O$116,15,0)),0,VLOOKUP($T$1980,'TAR FIN'!$A$1:$O$116,15,0))</f>
        <v>342.48</v>
      </c>
      <c r="X1980" s="6">
        <f>IF(ISERROR(VLOOKUP($U$1980,'TAR FIN'!$A$1:$O$116,15,0)),0,VLOOKUP($U$1980,'TAR FIN'!$A$1:$O$116,15,0))</f>
        <v>326.47000000000003</v>
      </c>
      <c r="Y1980" s="6"/>
      <c r="Z1980" s="6">
        <f ca="1">('TUSD BE'!$AM$71+'TUSD BF'!$AM$71+'TUSD CVA'!$AM$71)*1</f>
        <v>436.78490561809065</v>
      </c>
      <c r="AA1980" s="6">
        <f>('TE BE'!$AB$42+'TE BF'!$AB$42+'TE CVA'!$AB$42)*1</f>
        <v>329.63081087285968</v>
      </c>
      <c r="AB1980" s="6">
        <f>$K$1980*$V$1980</f>
        <v>0</v>
      </c>
      <c r="AC1980" s="6">
        <f>$M$1980*$W$1980</f>
        <v>935179.31280000007</v>
      </c>
      <c r="AD1980" s="6">
        <f>$O$1980*$X$1980</f>
        <v>891462.24670000013</v>
      </c>
      <c r="AE1980" s="6">
        <f>$K$1980*$Y$1980</f>
        <v>0</v>
      </c>
      <c r="AF1980" s="6">
        <f ca="1">$M$1980*$Z$1980</f>
        <v>1192689.2311298146</v>
      </c>
      <c r="AG1980" s="6">
        <f>$O$1980*$AA$1980</f>
        <v>900093.18847753946</v>
      </c>
    </row>
    <row r="1981" spans="1:33" ht="11.25" customHeight="1" x14ac:dyDescent="0.25">
      <c r="A1981" s="4" t="s">
        <v>58</v>
      </c>
      <c r="B1981" s="4" t="s">
        <v>37</v>
      </c>
      <c r="C1981" s="4" t="s">
        <v>23</v>
      </c>
      <c r="D1981" s="4" t="s">
        <v>46</v>
      </c>
      <c r="E1981" s="4" t="s">
        <v>25</v>
      </c>
      <c r="F1981" s="4" t="s">
        <v>25</v>
      </c>
      <c r="G1981" s="4" t="s">
        <v>25</v>
      </c>
      <c r="H1981" s="4" t="s">
        <v>25</v>
      </c>
      <c r="I1981" s="5">
        <v>44682</v>
      </c>
      <c r="J1981" s="6">
        <v>0</v>
      </c>
      <c r="K1981" s="6">
        <v>0</v>
      </c>
      <c r="L1981" s="6">
        <v>2.2120000000000002</v>
      </c>
      <c r="M1981" s="6">
        <v>2.2120000000000002</v>
      </c>
      <c r="N1981" s="6">
        <v>2.2120000000000002</v>
      </c>
      <c r="O1981" s="6">
        <v>2.2120000000000002</v>
      </c>
      <c r="P1981" s="6">
        <v>3</v>
      </c>
      <c r="Q1981" s="4" t="s">
        <v>26</v>
      </c>
      <c r="R1981" s="4">
        <v>0</v>
      </c>
      <c r="S1981" s="6">
        <v>0</v>
      </c>
      <c r="T1981" s="6">
        <v>69</v>
      </c>
      <c r="U1981" s="6">
        <v>112</v>
      </c>
      <c r="V1981" s="6">
        <f>IF(ISERROR(VLOOKUP($S$1981,'TAR FIN'!$A$1:$O$116,15,0)),0,VLOOKUP($S$1981,'TAR FIN'!$A$1:$O$116,15,0))</f>
        <v>0</v>
      </c>
      <c r="W1981" s="6">
        <f>IF(ISERROR(VLOOKUP($T$1981,'TAR FIN'!$A$1:$O$116,15,0)),0,VLOOKUP($T$1981,'TAR FIN'!$A$1:$O$116,15,0))</f>
        <v>342.48</v>
      </c>
      <c r="X1981" s="6">
        <f>IF(ISERROR(VLOOKUP($U$1981,'TAR FIN'!$A$1:$O$116,15,0)),0,VLOOKUP($U$1981,'TAR FIN'!$A$1:$O$116,15,0))</f>
        <v>326.47000000000003</v>
      </c>
      <c r="Y1981" s="6"/>
      <c r="Z1981" s="6">
        <f ca="1">('TUSD BE'!$AM$71+'TUSD BF'!$AM$71+'TUSD CVA'!$AM$71)*1</f>
        <v>436.78490561809065</v>
      </c>
      <c r="AA1981" s="6">
        <f>('TE BE'!$AB$42+'TE BF'!$AB$42+'TE CVA'!$AB$42)*1</f>
        <v>329.63081087285968</v>
      </c>
      <c r="AB1981" s="6">
        <f>$K$1981*$V$1981</f>
        <v>0</v>
      </c>
      <c r="AC1981" s="6">
        <f>$M$1981*$W$1981</f>
        <v>757.56576000000007</v>
      </c>
      <c r="AD1981" s="6">
        <f>$O$1981*$X$1981</f>
        <v>722.15164000000016</v>
      </c>
      <c r="AE1981" s="6">
        <f>$K$1981*$Y$1981</f>
        <v>0</v>
      </c>
      <c r="AF1981" s="6">
        <f ca="1">$M$1981*$Z$1981</f>
        <v>966.1682112272166</v>
      </c>
      <c r="AG1981" s="6">
        <f>$O$1981*$AA$1981</f>
        <v>729.14335365076568</v>
      </c>
    </row>
    <row r="1982" spans="1:33" ht="11.25" customHeight="1" x14ac:dyDescent="0.25">
      <c r="A1982" s="4" t="s">
        <v>58</v>
      </c>
      <c r="B1982" s="4" t="s">
        <v>37</v>
      </c>
      <c r="C1982" s="4" t="s">
        <v>23</v>
      </c>
      <c r="D1982" s="4" t="s">
        <v>46</v>
      </c>
      <c r="E1982" s="4" t="s">
        <v>25</v>
      </c>
      <c r="F1982" s="4" t="s">
        <v>25</v>
      </c>
      <c r="G1982" s="4" t="s">
        <v>25</v>
      </c>
      <c r="H1982" s="4" t="s">
        <v>25</v>
      </c>
      <c r="I1982" s="5">
        <v>44682</v>
      </c>
      <c r="J1982" s="6">
        <v>0</v>
      </c>
      <c r="K1982" s="6">
        <v>0</v>
      </c>
      <c r="L1982" s="6">
        <v>13.077</v>
      </c>
      <c r="M1982" s="6">
        <v>13.077</v>
      </c>
      <c r="N1982" s="6">
        <v>13.077</v>
      </c>
      <c r="O1982" s="6">
        <v>13.077</v>
      </c>
      <c r="P1982" s="6">
        <v>16</v>
      </c>
      <c r="Q1982" s="4" t="s">
        <v>26</v>
      </c>
      <c r="R1982" s="4">
        <v>0</v>
      </c>
      <c r="S1982" s="6">
        <v>0</v>
      </c>
      <c r="T1982" s="6">
        <v>69</v>
      </c>
      <c r="U1982" s="6">
        <v>112</v>
      </c>
      <c r="V1982" s="6">
        <f>IF(ISERROR(VLOOKUP($S$1982,'TAR FIN'!$A$1:$O$116,15,0)),0,VLOOKUP($S$1982,'TAR FIN'!$A$1:$O$116,15,0))</f>
        <v>0</v>
      </c>
      <c r="W1982" s="6">
        <f>IF(ISERROR(VLOOKUP($T$1982,'TAR FIN'!$A$1:$O$116,15,0)),0,VLOOKUP($T$1982,'TAR FIN'!$A$1:$O$116,15,0))</f>
        <v>342.48</v>
      </c>
      <c r="X1982" s="6">
        <f>IF(ISERROR(VLOOKUP($U$1982,'TAR FIN'!$A$1:$O$116,15,0)),0,VLOOKUP($U$1982,'TAR FIN'!$A$1:$O$116,15,0))</f>
        <v>326.47000000000003</v>
      </c>
      <c r="Y1982" s="6"/>
      <c r="Z1982" s="6">
        <f ca="1">('TUSD BE'!$AM$71+'TUSD BF'!$AM$71+'TUSD CVA'!$AM$71)*1</f>
        <v>436.78490561809065</v>
      </c>
      <c r="AA1982" s="6">
        <f>('TE BE'!$AB$42+'TE BF'!$AB$42+'TE CVA'!$AB$42)*1</f>
        <v>329.63081087285968</v>
      </c>
      <c r="AB1982" s="6">
        <f>$K$1982*$V$1982</f>
        <v>0</v>
      </c>
      <c r="AC1982" s="6">
        <f>$M$1982*$W$1982</f>
        <v>4478.61096</v>
      </c>
      <c r="AD1982" s="6">
        <f>$O$1982*$X$1982</f>
        <v>4269.2481900000002</v>
      </c>
      <c r="AE1982" s="6">
        <f>$K$1982*$Y$1982</f>
        <v>0</v>
      </c>
      <c r="AF1982" s="6">
        <f ca="1">$M$1982*$Z$1982</f>
        <v>5711.8362107677713</v>
      </c>
      <c r="AG1982" s="6">
        <f>$O$1982*$AA$1982</f>
        <v>4310.5821137843859</v>
      </c>
    </row>
    <row r="1983" spans="1:33" ht="11.25" customHeight="1" x14ac:dyDescent="0.25">
      <c r="A1983" s="4" t="s">
        <v>21</v>
      </c>
      <c r="B1983" s="4" t="s">
        <v>37</v>
      </c>
      <c r="C1983" s="4" t="s">
        <v>23</v>
      </c>
      <c r="D1983" s="4" t="s">
        <v>51</v>
      </c>
      <c r="E1983" s="4" t="s">
        <v>52</v>
      </c>
      <c r="F1983" s="4" t="s">
        <v>25</v>
      </c>
      <c r="G1983" s="4" t="s">
        <v>25</v>
      </c>
      <c r="H1983" s="4" t="s">
        <v>25</v>
      </c>
      <c r="I1983" s="5">
        <v>44348</v>
      </c>
      <c r="J1983" s="6">
        <v>0</v>
      </c>
      <c r="K1983" s="70">
        <v>0</v>
      </c>
      <c r="L1983" s="6">
        <v>1378.9159999999999</v>
      </c>
      <c r="M1983" s="70">
        <v>1378.9159999999999</v>
      </c>
      <c r="N1983" s="6">
        <v>1378.9159999999999</v>
      </c>
      <c r="O1983" s="70">
        <v>1378.9159999999999</v>
      </c>
      <c r="P1983" s="6">
        <v>681</v>
      </c>
      <c r="Q1983" s="4" t="s">
        <v>26</v>
      </c>
      <c r="R1983" s="4">
        <v>0</v>
      </c>
      <c r="S1983" s="6">
        <v>0</v>
      </c>
      <c r="T1983" s="6">
        <v>69</v>
      </c>
      <c r="U1983" s="6">
        <v>112</v>
      </c>
      <c r="V1983" s="70">
        <f>IF(ISERROR(VLOOKUP($S$1983,'TAR FIN'!$A$1:$O$116,15,0)),0,VLOOKUP($S$1983,'TAR FIN'!$A$1:$O$116,15,0))</f>
        <v>0</v>
      </c>
      <c r="W1983" s="70">
        <f>IF(ISERROR(VLOOKUP($T$1983,'TAR FIN'!$A$1:$O$116,15,0)),0,VLOOKUP($T$1983,'TAR FIN'!$A$1:$O$116,15,0))*(1-0.06)</f>
        <v>321.93119999999999</v>
      </c>
      <c r="X1983" s="70">
        <f>IF(ISERROR(VLOOKUP($U$1983,'TAR FIN'!$A$1:$O$116,15,0)),0,VLOOKUP($U$1983,'TAR FIN'!$A$1:$O$116,15,0))*(1-0.06)</f>
        <v>306.8818</v>
      </c>
      <c r="Y1983" s="70"/>
      <c r="Z1983" s="70">
        <f ca="1">('TUSD BE'!$AM$71+'TUSD BF'!$AM$71+'TUSD CVA'!$AM$71)*1*(1-0.03)</f>
        <v>423.68135844954793</v>
      </c>
      <c r="AA1983" s="70">
        <f>('TE BE'!$AB$42+'TE BF'!$AB$42+'TE CVA'!$AB$42)*1*(1-0.03)</f>
        <v>319.74188654667387</v>
      </c>
      <c r="AB1983" s="6">
        <f>$K$1983*$V$1983</f>
        <v>0</v>
      </c>
      <c r="AC1983" s="6">
        <f>$M$1983*$W$1983</f>
        <v>443916.08257919998</v>
      </c>
      <c r="AD1983" s="6">
        <f>$O$1983*$X$1983</f>
        <v>423164.22412879998</v>
      </c>
      <c r="AE1983" s="6">
        <f>$K$1983*$Y$1983</f>
        <v>0</v>
      </c>
      <c r="AF1983" s="6">
        <f ca="1">$M$1983*$Z$1983</f>
        <v>584221.00406781677</v>
      </c>
      <c r="AG1983" s="6">
        <f>$O$1983*$AA$1983</f>
        <v>440897.20322939334</v>
      </c>
    </row>
    <row r="1984" spans="1:33" ht="11.25" customHeight="1" x14ac:dyDescent="0.25">
      <c r="A1984" s="4" t="s">
        <v>21</v>
      </c>
      <c r="B1984" s="4" t="s">
        <v>37</v>
      </c>
      <c r="C1984" s="4" t="s">
        <v>23</v>
      </c>
      <c r="D1984" s="4" t="s">
        <v>51</v>
      </c>
      <c r="E1984" s="4" t="s">
        <v>52</v>
      </c>
      <c r="F1984" s="4" t="s">
        <v>25</v>
      </c>
      <c r="G1984" s="4" t="s">
        <v>25</v>
      </c>
      <c r="H1984" s="4" t="s">
        <v>25</v>
      </c>
      <c r="I1984" s="5">
        <v>44378</v>
      </c>
      <c r="J1984" s="6">
        <v>0</v>
      </c>
      <c r="K1984" s="70">
        <v>0</v>
      </c>
      <c r="L1984" s="6">
        <v>1387.308</v>
      </c>
      <c r="M1984" s="70">
        <v>1387.308</v>
      </c>
      <c r="N1984" s="6">
        <v>1387.308</v>
      </c>
      <c r="O1984" s="70">
        <v>1387.308</v>
      </c>
      <c r="P1984" s="6">
        <v>683</v>
      </c>
      <c r="Q1984" s="4" t="s">
        <v>26</v>
      </c>
      <c r="R1984" s="4">
        <v>0</v>
      </c>
      <c r="S1984" s="6">
        <v>0</v>
      </c>
      <c r="T1984" s="6">
        <v>69</v>
      </c>
      <c r="U1984" s="6">
        <v>112</v>
      </c>
      <c r="V1984" s="70">
        <f>IF(ISERROR(VLOOKUP($S$1984,'TAR FIN'!$A$1:$O$116,15,0)),0,VLOOKUP($S$1984,'TAR FIN'!$A$1:$O$116,15,0))</f>
        <v>0</v>
      </c>
      <c r="W1984" s="70">
        <f>IF(ISERROR(VLOOKUP($T$1984,'TAR FIN'!$A$1:$O$116,15,0)),0,VLOOKUP($T$1984,'TAR FIN'!$A$1:$O$116,15,0))*(1-0.06)</f>
        <v>321.93119999999999</v>
      </c>
      <c r="X1984" s="70">
        <f>IF(ISERROR(VLOOKUP($U$1984,'TAR FIN'!$A$1:$O$116,15,0)),0,VLOOKUP($U$1984,'TAR FIN'!$A$1:$O$116,15,0))*(1-0.06)</f>
        <v>306.8818</v>
      </c>
      <c r="Y1984" s="70"/>
      <c r="Z1984" s="70">
        <f ca="1">('TUSD BE'!$AM$71+'TUSD BF'!$AM$71+'TUSD CVA'!$AM$71)*1*(1-0.03)</f>
        <v>423.68135844954793</v>
      </c>
      <c r="AA1984" s="70">
        <f>('TE BE'!$AB$42+'TE BF'!$AB$42+'TE CVA'!$AB$42)*1*(1-0.03)</f>
        <v>319.74188654667387</v>
      </c>
      <c r="AB1984" s="6">
        <f>$K$1984*$V$1984</f>
        <v>0</v>
      </c>
      <c r="AC1984" s="6">
        <f>$M$1984*$W$1984</f>
        <v>446617.72920959996</v>
      </c>
      <c r="AD1984" s="6">
        <f>$O$1984*$X$1984</f>
        <v>425739.57619439997</v>
      </c>
      <c r="AE1984" s="6">
        <f>$K$1984*$Y$1984</f>
        <v>0</v>
      </c>
      <c r="AF1984" s="6">
        <f ca="1">$M$1984*$Z$1984</f>
        <v>587776.53802792542</v>
      </c>
      <c r="AG1984" s="6">
        <f>$O$1984*$AA$1984</f>
        <v>443580.47714129306</v>
      </c>
    </row>
    <row r="1985" spans="1:33" ht="11.25" customHeight="1" x14ac:dyDescent="0.25">
      <c r="A1985" s="4" t="s">
        <v>21</v>
      </c>
      <c r="B1985" s="4" t="s">
        <v>37</v>
      </c>
      <c r="C1985" s="4" t="s">
        <v>23</v>
      </c>
      <c r="D1985" s="4" t="s">
        <v>51</v>
      </c>
      <c r="E1985" s="4" t="s">
        <v>52</v>
      </c>
      <c r="F1985" s="4" t="s">
        <v>25</v>
      </c>
      <c r="G1985" s="4" t="s">
        <v>25</v>
      </c>
      <c r="H1985" s="4" t="s">
        <v>25</v>
      </c>
      <c r="I1985" s="5">
        <v>44409</v>
      </c>
      <c r="J1985" s="6">
        <v>0</v>
      </c>
      <c r="K1985" s="70">
        <v>0</v>
      </c>
      <c r="L1985" s="6">
        <v>1449.0239999999999</v>
      </c>
      <c r="M1985" s="70">
        <v>1449.0239999999999</v>
      </c>
      <c r="N1985" s="6">
        <v>1449.0239999999999</v>
      </c>
      <c r="O1985" s="70">
        <v>1449.0239999999999</v>
      </c>
      <c r="P1985" s="6">
        <v>684</v>
      </c>
      <c r="Q1985" s="4" t="s">
        <v>26</v>
      </c>
      <c r="R1985" s="4">
        <v>0</v>
      </c>
      <c r="S1985" s="6">
        <v>0</v>
      </c>
      <c r="T1985" s="6">
        <v>69</v>
      </c>
      <c r="U1985" s="6">
        <v>112</v>
      </c>
      <c r="V1985" s="70">
        <f>IF(ISERROR(VLOOKUP($S$1985,'TAR FIN'!$A$1:$O$116,15,0)),0,VLOOKUP($S$1985,'TAR FIN'!$A$1:$O$116,15,0))</f>
        <v>0</v>
      </c>
      <c r="W1985" s="70">
        <f>IF(ISERROR(VLOOKUP($T$1985,'TAR FIN'!$A$1:$O$116,15,0)),0,VLOOKUP($T$1985,'TAR FIN'!$A$1:$O$116,15,0))*(1-0.06)</f>
        <v>321.93119999999999</v>
      </c>
      <c r="X1985" s="70">
        <f>IF(ISERROR(VLOOKUP($U$1985,'TAR FIN'!$A$1:$O$116,15,0)),0,VLOOKUP($U$1985,'TAR FIN'!$A$1:$O$116,15,0))*(1-0.06)</f>
        <v>306.8818</v>
      </c>
      <c r="Y1985" s="70"/>
      <c r="Z1985" s="70">
        <f ca="1">('TUSD BE'!$AM$71+'TUSD BF'!$AM$71+'TUSD CVA'!$AM$71)*1*(1-0.03)</f>
        <v>423.68135844954793</v>
      </c>
      <c r="AA1985" s="70">
        <f>('TE BE'!$AB$42+'TE BF'!$AB$42+'TE CVA'!$AB$42)*1*(1-0.03)</f>
        <v>319.74188654667387</v>
      </c>
      <c r="AB1985" s="6">
        <f>$K$1985*$V$1985</f>
        <v>0</v>
      </c>
      <c r="AC1985" s="6">
        <f>$M$1985*$W$1985</f>
        <v>466486.03514879994</v>
      </c>
      <c r="AD1985" s="6">
        <f>$O$1985*$X$1985</f>
        <v>444679.09336319997</v>
      </c>
      <c r="AE1985" s="6">
        <f>$K$1985*$Y$1985</f>
        <v>0</v>
      </c>
      <c r="AF1985" s="6">
        <f ca="1">$M$1985*$Z$1985</f>
        <v>613924.45674599765</v>
      </c>
      <c r="AG1985" s="6">
        <f>$O$1985*$AA$1985</f>
        <v>463313.66741140751</v>
      </c>
    </row>
    <row r="1986" spans="1:33" ht="11.25" customHeight="1" x14ac:dyDescent="0.25">
      <c r="A1986" s="4" t="s">
        <v>21</v>
      </c>
      <c r="B1986" s="4" t="s">
        <v>37</v>
      </c>
      <c r="C1986" s="4" t="s">
        <v>23</v>
      </c>
      <c r="D1986" s="4" t="s">
        <v>51</v>
      </c>
      <c r="E1986" s="4" t="s">
        <v>52</v>
      </c>
      <c r="F1986" s="4" t="s">
        <v>25</v>
      </c>
      <c r="G1986" s="4" t="s">
        <v>25</v>
      </c>
      <c r="H1986" s="4" t="s">
        <v>25</v>
      </c>
      <c r="I1986" s="5">
        <v>44440</v>
      </c>
      <c r="J1986" s="6">
        <v>0</v>
      </c>
      <c r="K1986" s="70">
        <v>0</v>
      </c>
      <c r="L1986" s="6">
        <v>1573.914</v>
      </c>
      <c r="M1986" s="70">
        <v>1573.914</v>
      </c>
      <c r="N1986" s="6">
        <v>1573.914</v>
      </c>
      <c r="O1986" s="70">
        <v>1573.914</v>
      </c>
      <c r="P1986" s="6">
        <v>684</v>
      </c>
      <c r="Q1986" s="4" t="s">
        <v>26</v>
      </c>
      <c r="R1986" s="4">
        <v>0</v>
      </c>
      <c r="S1986" s="6">
        <v>0</v>
      </c>
      <c r="T1986" s="6">
        <v>69</v>
      </c>
      <c r="U1986" s="6">
        <v>112</v>
      </c>
      <c r="V1986" s="70">
        <f>IF(ISERROR(VLOOKUP($S$1986,'TAR FIN'!$A$1:$O$116,15,0)),0,VLOOKUP($S$1986,'TAR FIN'!$A$1:$O$116,15,0))</f>
        <v>0</v>
      </c>
      <c r="W1986" s="70">
        <f>IF(ISERROR(VLOOKUP($T$1986,'TAR FIN'!$A$1:$O$116,15,0)),0,VLOOKUP($T$1986,'TAR FIN'!$A$1:$O$116,15,0))*(1-0.06)</f>
        <v>321.93119999999999</v>
      </c>
      <c r="X1986" s="70">
        <f>IF(ISERROR(VLOOKUP($U$1986,'TAR FIN'!$A$1:$O$116,15,0)),0,VLOOKUP($U$1986,'TAR FIN'!$A$1:$O$116,15,0))*(1-0.06)</f>
        <v>306.8818</v>
      </c>
      <c r="Y1986" s="70"/>
      <c r="Z1986" s="70">
        <f ca="1">('TUSD BE'!$AM$71+'TUSD BF'!$AM$71+'TUSD CVA'!$AM$71)*1*(1-0.03)</f>
        <v>423.68135844954793</v>
      </c>
      <c r="AA1986" s="70">
        <f>('TE BE'!$AB$42+'TE BF'!$AB$42+'TE CVA'!$AB$42)*1*(1-0.03)</f>
        <v>319.74188654667387</v>
      </c>
      <c r="AB1986" s="6">
        <f>$K$1986*$V$1986</f>
        <v>0</v>
      </c>
      <c r="AC1986" s="6">
        <f>$M$1986*$W$1986</f>
        <v>506692.02271679998</v>
      </c>
      <c r="AD1986" s="6">
        <f>$O$1986*$X$1986</f>
        <v>483005.56136519997</v>
      </c>
      <c r="AE1986" s="6">
        <f>$K$1986*$Y$1986</f>
        <v>0</v>
      </c>
      <c r="AF1986" s="6">
        <f ca="1">$M$1986*$Z$1986</f>
        <v>666838.02160276182</v>
      </c>
      <c r="AG1986" s="6">
        <f>$O$1986*$AA$1986</f>
        <v>503246.23162222165</v>
      </c>
    </row>
    <row r="1987" spans="1:33" ht="11.25" customHeight="1" x14ac:dyDescent="0.25">
      <c r="A1987" s="4" t="s">
        <v>21</v>
      </c>
      <c r="B1987" s="4" t="s">
        <v>37</v>
      </c>
      <c r="C1987" s="4" t="s">
        <v>23</v>
      </c>
      <c r="D1987" s="4" t="s">
        <v>51</v>
      </c>
      <c r="E1987" s="4" t="s">
        <v>52</v>
      </c>
      <c r="F1987" s="4" t="s">
        <v>25</v>
      </c>
      <c r="G1987" s="4" t="s">
        <v>25</v>
      </c>
      <c r="H1987" s="4" t="s">
        <v>25</v>
      </c>
      <c r="I1987" s="5">
        <v>44470</v>
      </c>
      <c r="J1987" s="6">
        <v>0</v>
      </c>
      <c r="K1987" s="70">
        <v>0</v>
      </c>
      <c r="L1987" s="6">
        <v>1508.259</v>
      </c>
      <c r="M1987" s="70">
        <v>1508.259</v>
      </c>
      <c r="N1987" s="6">
        <v>1508.259</v>
      </c>
      <c r="O1987" s="70">
        <v>1508.259</v>
      </c>
      <c r="P1987" s="6">
        <v>686</v>
      </c>
      <c r="Q1987" s="4" t="s">
        <v>26</v>
      </c>
      <c r="R1987" s="4">
        <v>0</v>
      </c>
      <c r="S1987" s="6">
        <v>0</v>
      </c>
      <c r="T1987" s="6">
        <v>69</v>
      </c>
      <c r="U1987" s="6">
        <v>112</v>
      </c>
      <c r="V1987" s="70">
        <f>IF(ISERROR(VLOOKUP($S$1987,'TAR FIN'!$A$1:$O$116,15,0)),0,VLOOKUP($S$1987,'TAR FIN'!$A$1:$O$116,15,0))</f>
        <v>0</v>
      </c>
      <c r="W1987" s="70">
        <f>IF(ISERROR(VLOOKUP($T$1987,'TAR FIN'!$A$1:$O$116,15,0)),0,VLOOKUP($T$1987,'TAR FIN'!$A$1:$O$116,15,0))*(1-0.06)</f>
        <v>321.93119999999999</v>
      </c>
      <c r="X1987" s="70">
        <f>IF(ISERROR(VLOOKUP($U$1987,'TAR FIN'!$A$1:$O$116,15,0)),0,VLOOKUP($U$1987,'TAR FIN'!$A$1:$O$116,15,0))*(1-0.06)</f>
        <v>306.8818</v>
      </c>
      <c r="Y1987" s="70"/>
      <c r="Z1987" s="70">
        <f ca="1">('TUSD BE'!$AM$71+'TUSD BF'!$AM$71+'TUSD CVA'!$AM$71)*1*(1-0.03)</f>
        <v>423.68135844954793</v>
      </c>
      <c r="AA1987" s="70">
        <f>('TE BE'!$AB$42+'TE BF'!$AB$42+'TE CVA'!$AB$42)*1*(1-0.03)</f>
        <v>319.74188654667387</v>
      </c>
      <c r="AB1987" s="6">
        <f>$K$1987*$V$1987</f>
        <v>0</v>
      </c>
      <c r="AC1987" s="6">
        <f>$M$1987*$W$1987</f>
        <v>485555.62978079997</v>
      </c>
      <c r="AD1987" s="6">
        <f>$O$1987*$X$1987</f>
        <v>462857.23678620002</v>
      </c>
      <c r="AE1987" s="6">
        <f>$K$1987*$Y$1987</f>
        <v>0</v>
      </c>
      <c r="AF1987" s="6">
        <f ca="1">$M$1987*$Z$1987</f>
        <v>639021.22201375675</v>
      </c>
      <c r="AG1987" s="6">
        <f>$O$1987*$AA$1987</f>
        <v>482253.5780609998</v>
      </c>
    </row>
    <row r="1988" spans="1:33" ht="11.25" customHeight="1" x14ac:dyDescent="0.25">
      <c r="A1988" s="4" t="s">
        <v>21</v>
      </c>
      <c r="B1988" s="4" t="s">
        <v>37</v>
      </c>
      <c r="C1988" s="4" t="s">
        <v>23</v>
      </c>
      <c r="D1988" s="4" t="s">
        <v>51</v>
      </c>
      <c r="E1988" s="4" t="s">
        <v>52</v>
      </c>
      <c r="F1988" s="4" t="s">
        <v>25</v>
      </c>
      <c r="G1988" s="4" t="s">
        <v>25</v>
      </c>
      <c r="H1988" s="4" t="s">
        <v>25</v>
      </c>
      <c r="I1988" s="5">
        <v>44501</v>
      </c>
      <c r="J1988" s="6">
        <v>0</v>
      </c>
      <c r="K1988" s="70">
        <v>0</v>
      </c>
      <c r="L1988" s="6">
        <v>1430.009</v>
      </c>
      <c r="M1988" s="70">
        <v>1430.009</v>
      </c>
      <c r="N1988" s="6">
        <v>1430.009</v>
      </c>
      <c r="O1988" s="70">
        <v>1430.009</v>
      </c>
      <c r="P1988" s="6">
        <v>684</v>
      </c>
      <c r="Q1988" s="4" t="s">
        <v>26</v>
      </c>
      <c r="R1988" s="4">
        <v>0</v>
      </c>
      <c r="S1988" s="6">
        <v>0</v>
      </c>
      <c r="T1988" s="6">
        <v>69</v>
      </c>
      <c r="U1988" s="6">
        <v>112</v>
      </c>
      <c r="V1988" s="70">
        <f>IF(ISERROR(VLOOKUP($S$1988,'TAR FIN'!$A$1:$O$116,15,0)),0,VLOOKUP($S$1988,'TAR FIN'!$A$1:$O$116,15,0))</f>
        <v>0</v>
      </c>
      <c r="W1988" s="70">
        <f>IF(ISERROR(VLOOKUP($T$1988,'TAR FIN'!$A$1:$O$116,15,0)),0,VLOOKUP($T$1988,'TAR FIN'!$A$1:$O$116,15,0))*(1-0.06)</f>
        <v>321.93119999999999</v>
      </c>
      <c r="X1988" s="70">
        <f>IF(ISERROR(VLOOKUP($U$1988,'TAR FIN'!$A$1:$O$116,15,0)),0,VLOOKUP($U$1988,'TAR FIN'!$A$1:$O$116,15,0))*(1-0.06)</f>
        <v>306.8818</v>
      </c>
      <c r="Y1988" s="70"/>
      <c r="Z1988" s="70">
        <f ca="1">('TUSD BE'!$AM$71+'TUSD BF'!$AM$71+'TUSD CVA'!$AM$71)*1*(1-0.03)</f>
        <v>423.68135844954793</v>
      </c>
      <c r="AA1988" s="70">
        <f>('TE BE'!$AB$42+'TE BF'!$AB$42+'TE CVA'!$AB$42)*1*(1-0.03)</f>
        <v>319.74188654667387</v>
      </c>
      <c r="AB1988" s="6">
        <f>$K$1988*$V$1988</f>
        <v>0</v>
      </c>
      <c r="AC1988" s="6">
        <f>$M$1988*$W$1988</f>
        <v>460364.51338079997</v>
      </c>
      <c r="AD1988" s="6">
        <f>$O$1988*$X$1988</f>
        <v>438843.73593620001</v>
      </c>
      <c r="AE1988" s="6">
        <f>$K$1988*$Y$1988</f>
        <v>0</v>
      </c>
      <c r="AF1988" s="6">
        <f ca="1">$M$1988*$Z$1988</f>
        <v>605868.15571507963</v>
      </c>
      <c r="AG1988" s="6">
        <f>$O$1988*$AA$1988</f>
        <v>457233.77543872257</v>
      </c>
    </row>
    <row r="1989" spans="1:33" ht="11.25" customHeight="1" x14ac:dyDescent="0.25">
      <c r="A1989" s="4" t="s">
        <v>21</v>
      </c>
      <c r="B1989" s="4" t="s">
        <v>37</v>
      </c>
      <c r="C1989" s="4" t="s">
        <v>23</v>
      </c>
      <c r="D1989" s="4" t="s">
        <v>51</v>
      </c>
      <c r="E1989" s="4" t="s">
        <v>52</v>
      </c>
      <c r="F1989" s="4" t="s">
        <v>25</v>
      </c>
      <c r="G1989" s="4" t="s">
        <v>25</v>
      </c>
      <c r="H1989" s="4" t="s">
        <v>25</v>
      </c>
      <c r="I1989" s="5">
        <v>44531</v>
      </c>
      <c r="J1989" s="6">
        <v>0</v>
      </c>
      <c r="K1989" s="70">
        <v>0</v>
      </c>
      <c r="L1989" s="6">
        <v>1506.184</v>
      </c>
      <c r="M1989" s="70">
        <v>1506.184</v>
      </c>
      <c r="N1989" s="6">
        <v>1506.184</v>
      </c>
      <c r="O1989" s="70">
        <v>1506.184</v>
      </c>
      <c r="P1989" s="6">
        <v>682</v>
      </c>
      <c r="Q1989" s="4" t="s">
        <v>26</v>
      </c>
      <c r="R1989" s="4">
        <v>0</v>
      </c>
      <c r="S1989" s="6">
        <v>0</v>
      </c>
      <c r="T1989" s="6">
        <v>69</v>
      </c>
      <c r="U1989" s="6">
        <v>112</v>
      </c>
      <c r="V1989" s="70">
        <f>IF(ISERROR(VLOOKUP($S$1989,'TAR FIN'!$A$1:$O$116,15,0)),0,VLOOKUP($S$1989,'TAR FIN'!$A$1:$O$116,15,0))</f>
        <v>0</v>
      </c>
      <c r="W1989" s="70">
        <f>IF(ISERROR(VLOOKUP($T$1989,'TAR FIN'!$A$1:$O$116,15,0)),0,VLOOKUP($T$1989,'TAR FIN'!$A$1:$O$116,15,0))*(1-0.06)</f>
        <v>321.93119999999999</v>
      </c>
      <c r="X1989" s="70">
        <f>IF(ISERROR(VLOOKUP($U$1989,'TAR FIN'!$A$1:$O$116,15,0)),0,VLOOKUP($U$1989,'TAR FIN'!$A$1:$O$116,15,0))*(1-0.06)</f>
        <v>306.8818</v>
      </c>
      <c r="Y1989" s="70"/>
      <c r="Z1989" s="70">
        <f ca="1">('TUSD BE'!$AM$71+'TUSD BF'!$AM$71+'TUSD CVA'!$AM$71)*1*(1-0.03)</f>
        <v>423.68135844954793</v>
      </c>
      <c r="AA1989" s="70">
        <f>('TE BE'!$AB$42+'TE BF'!$AB$42+'TE CVA'!$AB$42)*1*(1-0.03)</f>
        <v>319.74188654667387</v>
      </c>
      <c r="AB1989" s="6">
        <f>$K$1989*$V$1989</f>
        <v>0</v>
      </c>
      <c r="AC1989" s="6">
        <f>$M$1989*$W$1989</f>
        <v>484887.62254079996</v>
      </c>
      <c r="AD1989" s="6">
        <f>$O$1989*$X$1989</f>
        <v>462220.45705119998</v>
      </c>
      <c r="AE1989" s="6">
        <f>$K$1989*$Y$1989</f>
        <v>0</v>
      </c>
      <c r="AF1989" s="6">
        <f ca="1">$M$1989*$Z$1989</f>
        <v>638142.08319497388</v>
      </c>
      <c r="AG1989" s="6">
        <f>$O$1989*$AA$1989</f>
        <v>481590.11364641541</v>
      </c>
    </row>
    <row r="1990" spans="1:33" ht="11.25" customHeight="1" x14ac:dyDescent="0.25">
      <c r="A1990" s="4" t="s">
        <v>21</v>
      </c>
      <c r="B1990" s="4" t="s">
        <v>37</v>
      </c>
      <c r="C1990" s="4" t="s">
        <v>23</v>
      </c>
      <c r="D1990" s="4" t="s">
        <v>51</v>
      </c>
      <c r="E1990" s="4" t="s">
        <v>52</v>
      </c>
      <c r="F1990" s="4" t="s">
        <v>25</v>
      </c>
      <c r="G1990" s="4" t="s">
        <v>25</v>
      </c>
      <c r="H1990" s="4" t="s">
        <v>25</v>
      </c>
      <c r="I1990" s="5">
        <v>44562</v>
      </c>
      <c r="J1990" s="6">
        <v>0</v>
      </c>
      <c r="K1990" s="70">
        <v>0</v>
      </c>
      <c r="L1990" s="6">
        <v>1441.9280000000001</v>
      </c>
      <c r="M1990" s="70">
        <v>1441.9280000000001</v>
      </c>
      <c r="N1990" s="6">
        <v>1441.9280000000001</v>
      </c>
      <c r="O1990" s="70">
        <v>1441.9280000000001</v>
      </c>
      <c r="P1990" s="6">
        <v>681</v>
      </c>
      <c r="Q1990" s="4" t="s">
        <v>26</v>
      </c>
      <c r="R1990" s="4">
        <v>0</v>
      </c>
      <c r="S1990" s="6">
        <v>0</v>
      </c>
      <c r="T1990" s="6">
        <v>69</v>
      </c>
      <c r="U1990" s="6">
        <v>112</v>
      </c>
      <c r="V1990" s="70">
        <f>IF(ISERROR(VLOOKUP($S$1990,'TAR FIN'!$A$1:$O$116,15,0)),0,VLOOKUP($S$1990,'TAR FIN'!$A$1:$O$116,15,0))</f>
        <v>0</v>
      </c>
      <c r="W1990" s="70">
        <f>IF(ISERROR(VLOOKUP($T$1990,'TAR FIN'!$A$1:$O$116,15,0)),0,VLOOKUP($T$1990,'TAR FIN'!$A$1:$O$116,15,0))*(1-0.06)</f>
        <v>321.93119999999999</v>
      </c>
      <c r="X1990" s="70">
        <f>IF(ISERROR(VLOOKUP($U$1990,'TAR FIN'!$A$1:$O$116,15,0)),0,VLOOKUP($U$1990,'TAR FIN'!$A$1:$O$116,15,0))*(1-0.06)</f>
        <v>306.8818</v>
      </c>
      <c r="Y1990" s="70"/>
      <c r="Z1990" s="70">
        <f ca="1">('TUSD BE'!$AM$71+'TUSD BF'!$AM$71+'TUSD CVA'!$AM$71)*1*(1-0.03)</f>
        <v>423.68135844954793</v>
      </c>
      <c r="AA1990" s="70">
        <f>('TE BE'!$AB$42+'TE BF'!$AB$42+'TE CVA'!$AB$42)*1*(1-0.03)</f>
        <v>319.74188654667387</v>
      </c>
      <c r="AB1990" s="6">
        <f>$K$1990*$V$1990</f>
        <v>0</v>
      </c>
      <c r="AC1990" s="6">
        <f>$M$1990*$W$1990</f>
        <v>464201.61135360005</v>
      </c>
      <c r="AD1990" s="6">
        <f>$O$1990*$X$1990</f>
        <v>442501.46011040005</v>
      </c>
      <c r="AE1990" s="6">
        <f>$K$1990*$Y$1990</f>
        <v>0</v>
      </c>
      <c r="AF1990" s="6">
        <f ca="1">$M$1990*$Z$1990</f>
        <v>610918.01382643974</v>
      </c>
      <c r="AG1990" s="6">
        <f>$O$1990*$AA$1990</f>
        <v>461044.77898447239</v>
      </c>
    </row>
    <row r="1991" spans="1:33" ht="11.25" customHeight="1" x14ac:dyDescent="0.25">
      <c r="A1991" s="4" t="s">
        <v>21</v>
      </c>
      <c r="B1991" s="4" t="s">
        <v>37</v>
      </c>
      <c r="C1991" s="4" t="s">
        <v>23</v>
      </c>
      <c r="D1991" s="4" t="s">
        <v>51</v>
      </c>
      <c r="E1991" s="4" t="s">
        <v>52</v>
      </c>
      <c r="F1991" s="4" t="s">
        <v>25</v>
      </c>
      <c r="G1991" s="4" t="s">
        <v>25</v>
      </c>
      <c r="H1991" s="4" t="s">
        <v>25</v>
      </c>
      <c r="I1991" s="5">
        <v>44593</v>
      </c>
      <c r="J1991" s="6">
        <v>0</v>
      </c>
      <c r="K1991" s="70">
        <v>0</v>
      </c>
      <c r="L1991" s="6">
        <v>1418.2180000000001</v>
      </c>
      <c r="M1991" s="70">
        <v>1418.2180000000001</v>
      </c>
      <c r="N1991" s="6">
        <v>1418.2180000000001</v>
      </c>
      <c r="O1991" s="70">
        <v>1418.2180000000001</v>
      </c>
      <c r="P1991" s="6">
        <v>678</v>
      </c>
      <c r="Q1991" s="4" t="s">
        <v>26</v>
      </c>
      <c r="R1991" s="4">
        <v>0</v>
      </c>
      <c r="S1991" s="6">
        <v>0</v>
      </c>
      <c r="T1991" s="6">
        <v>69</v>
      </c>
      <c r="U1991" s="6">
        <v>112</v>
      </c>
      <c r="V1991" s="70">
        <f>IF(ISERROR(VLOOKUP($S$1991,'TAR FIN'!$A$1:$O$116,15,0)),0,VLOOKUP($S$1991,'TAR FIN'!$A$1:$O$116,15,0))</f>
        <v>0</v>
      </c>
      <c r="W1991" s="70">
        <f>IF(ISERROR(VLOOKUP($T$1991,'TAR FIN'!$A$1:$O$116,15,0)),0,VLOOKUP($T$1991,'TAR FIN'!$A$1:$O$116,15,0))*(1-0.06)</f>
        <v>321.93119999999999</v>
      </c>
      <c r="X1991" s="70">
        <f>IF(ISERROR(VLOOKUP($U$1991,'TAR FIN'!$A$1:$O$116,15,0)),0,VLOOKUP($U$1991,'TAR FIN'!$A$1:$O$116,15,0))*(1-0.06)</f>
        <v>306.8818</v>
      </c>
      <c r="Y1991" s="70"/>
      <c r="Z1991" s="70">
        <f ca="1">('TUSD BE'!$AM$71+'TUSD BF'!$AM$71+'TUSD CVA'!$AM$71)*1*(1-0.03)</f>
        <v>423.68135844954793</v>
      </c>
      <c r="AA1991" s="70">
        <f>('TE BE'!$AB$42+'TE BF'!$AB$42+'TE CVA'!$AB$42)*1*(1-0.03)</f>
        <v>319.74188654667387</v>
      </c>
      <c r="AB1991" s="6">
        <f>$K$1991*$V$1991</f>
        <v>0</v>
      </c>
      <c r="AC1991" s="6">
        <f>$M$1991*$W$1991</f>
        <v>456568.62260160001</v>
      </c>
      <c r="AD1991" s="6">
        <f>$O$1991*$X$1991</f>
        <v>435225.2926324</v>
      </c>
      <c r="AE1991" s="6">
        <f>$K$1991*$Y$1991</f>
        <v>0</v>
      </c>
      <c r="AF1991" s="6">
        <f ca="1">$M$1991*$Z$1991</f>
        <v>600872.52881760104</v>
      </c>
      <c r="AG1991" s="6">
        <f>$O$1991*$AA$1991</f>
        <v>453463.69885445072</v>
      </c>
    </row>
    <row r="1992" spans="1:33" ht="11.25" customHeight="1" x14ac:dyDescent="0.25">
      <c r="A1992" s="4" t="s">
        <v>21</v>
      </c>
      <c r="B1992" s="4" t="s">
        <v>37</v>
      </c>
      <c r="C1992" s="4" t="s">
        <v>23</v>
      </c>
      <c r="D1992" s="4" t="s">
        <v>51</v>
      </c>
      <c r="E1992" s="4" t="s">
        <v>52</v>
      </c>
      <c r="F1992" s="4" t="s">
        <v>25</v>
      </c>
      <c r="G1992" s="4" t="s">
        <v>25</v>
      </c>
      <c r="H1992" s="4" t="s">
        <v>25</v>
      </c>
      <c r="I1992" s="5">
        <v>44621</v>
      </c>
      <c r="J1992" s="6">
        <v>0</v>
      </c>
      <c r="K1992" s="70">
        <v>0</v>
      </c>
      <c r="L1992" s="6">
        <v>1563.4590000000001</v>
      </c>
      <c r="M1992" s="70">
        <v>1563.4590000000001</v>
      </c>
      <c r="N1992" s="6">
        <v>1563.4590000000001</v>
      </c>
      <c r="O1992" s="70">
        <v>1563.4590000000001</v>
      </c>
      <c r="P1992" s="6">
        <v>676</v>
      </c>
      <c r="Q1992" s="4" t="s">
        <v>26</v>
      </c>
      <c r="R1992" s="4">
        <v>0</v>
      </c>
      <c r="S1992" s="6">
        <v>0</v>
      </c>
      <c r="T1992" s="6">
        <v>69</v>
      </c>
      <c r="U1992" s="6">
        <v>112</v>
      </c>
      <c r="V1992" s="70">
        <f>IF(ISERROR(VLOOKUP($S$1992,'TAR FIN'!$A$1:$O$116,15,0)),0,VLOOKUP($S$1992,'TAR FIN'!$A$1:$O$116,15,0))</f>
        <v>0</v>
      </c>
      <c r="W1992" s="70">
        <f>IF(ISERROR(VLOOKUP($T$1992,'TAR FIN'!$A$1:$O$116,15,0)),0,VLOOKUP($T$1992,'TAR FIN'!$A$1:$O$116,15,0))*(1-0.06)</f>
        <v>321.93119999999999</v>
      </c>
      <c r="X1992" s="70">
        <f>IF(ISERROR(VLOOKUP($U$1992,'TAR FIN'!$A$1:$O$116,15,0)),0,VLOOKUP($U$1992,'TAR FIN'!$A$1:$O$116,15,0))*(1-0.06)</f>
        <v>306.8818</v>
      </c>
      <c r="Y1992" s="70"/>
      <c r="Z1992" s="70">
        <f ca="1">('TUSD BE'!$AM$71+'TUSD BF'!$AM$71+'TUSD CVA'!$AM$71)*1*(1-0.03)</f>
        <v>423.68135844954793</v>
      </c>
      <c r="AA1992" s="70">
        <f>('TE BE'!$AB$42+'TE BF'!$AB$42+'TE CVA'!$AB$42)*1*(1-0.03)</f>
        <v>319.74188654667387</v>
      </c>
      <c r="AB1992" s="6">
        <f>$K$1992*$V$1992</f>
        <v>0</v>
      </c>
      <c r="AC1992" s="6">
        <f>$M$1992*$W$1992</f>
        <v>503326.2320208</v>
      </c>
      <c r="AD1992" s="6">
        <f>$O$1992*$X$1992</f>
        <v>479797.11214620003</v>
      </c>
      <c r="AE1992" s="6">
        <f>$K$1992*$Y$1992</f>
        <v>0</v>
      </c>
      <c r="AF1992" s="6">
        <f ca="1">$M$1992*$Z$1992</f>
        <v>662408.43300017179</v>
      </c>
      <c r="AG1992" s="6">
        <f>$O$1992*$AA$1992</f>
        <v>499903.33019837621</v>
      </c>
    </row>
    <row r="1993" spans="1:33" ht="11.25" customHeight="1" x14ac:dyDescent="0.25">
      <c r="A1993" s="4" t="s">
        <v>21</v>
      </c>
      <c r="B1993" s="4" t="s">
        <v>37</v>
      </c>
      <c r="C1993" s="4" t="s">
        <v>23</v>
      </c>
      <c r="D1993" s="4" t="s">
        <v>51</v>
      </c>
      <c r="E1993" s="4" t="s">
        <v>52</v>
      </c>
      <c r="F1993" s="4" t="s">
        <v>25</v>
      </c>
      <c r="G1993" s="4" t="s">
        <v>25</v>
      </c>
      <c r="H1993" s="4" t="s">
        <v>25</v>
      </c>
      <c r="I1993" s="5">
        <v>44652</v>
      </c>
      <c r="J1993" s="6">
        <v>0</v>
      </c>
      <c r="K1993" s="70">
        <v>0</v>
      </c>
      <c r="L1993" s="6">
        <v>1486.8520000000001</v>
      </c>
      <c r="M1993" s="70">
        <v>1486.8520000000001</v>
      </c>
      <c r="N1993" s="6">
        <v>1486.8520000000001</v>
      </c>
      <c r="O1993" s="70">
        <v>1486.8520000000001</v>
      </c>
      <c r="P1993" s="6">
        <v>677</v>
      </c>
      <c r="Q1993" s="4" t="s">
        <v>26</v>
      </c>
      <c r="R1993" s="4">
        <v>0</v>
      </c>
      <c r="S1993" s="6">
        <v>0</v>
      </c>
      <c r="T1993" s="6">
        <v>69</v>
      </c>
      <c r="U1993" s="6">
        <v>112</v>
      </c>
      <c r="V1993" s="70">
        <f>IF(ISERROR(VLOOKUP($S$1993,'TAR FIN'!$A$1:$O$116,15,0)),0,VLOOKUP($S$1993,'TAR FIN'!$A$1:$O$116,15,0))</f>
        <v>0</v>
      </c>
      <c r="W1993" s="70">
        <f>IF(ISERROR(VLOOKUP($T$1993,'TAR FIN'!$A$1:$O$116,15,0)),0,VLOOKUP($T$1993,'TAR FIN'!$A$1:$O$116,15,0))*(1-0.06)</f>
        <v>321.93119999999999</v>
      </c>
      <c r="X1993" s="70">
        <f>IF(ISERROR(VLOOKUP($U$1993,'TAR FIN'!$A$1:$O$116,15,0)),0,VLOOKUP($U$1993,'TAR FIN'!$A$1:$O$116,15,0))*(1-0.06)</f>
        <v>306.8818</v>
      </c>
      <c r="Y1993" s="70"/>
      <c r="Z1993" s="70">
        <f ca="1">('TUSD BE'!$AM$71+'TUSD BF'!$AM$71+'TUSD CVA'!$AM$71)*1*(1-0.03)</f>
        <v>423.68135844954793</v>
      </c>
      <c r="AA1993" s="70">
        <f>('TE BE'!$AB$42+'TE BF'!$AB$42+'TE CVA'!$AB$42)*1*(1-0.03)</f>
        <v>319.74188654667387</v>
      </c>
      <c r="AB1993" s="6">
        <f>$K$1993*$V$1993</f>
        <v>0</v>
      </c>
      <c r="AC1993" s="6">
        <f>$M$1993*$W$1993</f>
        <v>478664.04858240002</v>
      </c>
      <c r="AD1993" s="6">
        <f>$O$1993*$X$1993</f>
        <v>456287.81809360004</v>
      </c>
      <c r="AE1993" s="6">
        <f>$K$1993*$Y$1993</f>
        <v>0</v>
      </c>
      <c r="AF1993" s="6">
        <f ca="1">$M$1993*$Z$1993</f>
        <v>629951.47517342726</v>
      </c>
      <c r="AG1993" s="6">
        <f>$O$1993*$AA$1993</f>
        <v>475408.86349569517</v>
      </c>
    </row>
    <row r="1994" spans="1:33" ht="11.25" customHeight="1" x14ac:dyDescent="0.25">
      <c r="A1994" s="4" t="s">
        <v>58</v>
      </c>
      <c r="B1994" s="4" t="s">
        <v>37</v>
      </c>
      <c r="C1994" s="4" t="s">
        <v>23</v>
      </c>
      <c r="D1994" s="4" t="s">
        <v>51</v>
      </c>
      <c r="E1994" s="4" t="s">
        <v>52</v>
      </c>
      <c r="F1994" s="4" t="s">
        <v>25</v>
      </c>
      <c r="G1994" s="4" t="s">
        <v>25</v>
      </c>
      <c r="H1994" s="4" t="s">
        <v>25</v>
      </c>
      <c r="I1994" s="5">
        <v>44682</v>
      </c>
      <c r="J1994" s="6">
        <v>0</v>
      </c>
      <c r="K1994" s="70">
        <v>0</v>
      </c>
      <c r="L1994" s="6">
        <v>1486.8520000000001</v>
      </c>
      <c r="M1994" s="70">
        <v>1486.8520000000001</v>
      </c>
      <c r="N1994" s="6">
        <v>1486.8520000000001</v>
      </c>
      <c r="O1994" s="70">
        <v>1486.8520000000001</v>
      </c>
      <c r="P1994" s="6">
        <v>677</v>
      </c>
      <c r="Q1994" s="4" t="s">
        <v>26</v>
      </c>
      <c r="R1994" s="4">
        <v>0</v>
      </c>
      <c r="S1994" s="6">
        <v>0</v>
      </c>
      <c r="T1994" s="6">
        <v>69</v>
      </c>
      <c r="U1994" s="6">
        <v>112</v>
      </c>
      <c r="V1994" s="70">
        <f>IF(ISERROR(VLOOKUP($S$1994,'TAR FIN'!$A$1:$O$116,15,0)),0,VLOOKUP($S$1994,'TAR FIN'!$A$1:$O$116,15,0))</f>
        <v>0</v>
      </c>
      <c r="W1994" s="70">
        <f>IF(ISERROR(VLOOKUP($T$1994,'TAR FIN'!$A$1:$O$116,15,0)),0,VLOOKUP($T$1994,'TAR FIN'!$A$1:$O$116,15,0))*(1-0.06)</f>
        <v>321.93119999999999</v>
      </c>
      <c r="X1994" s="70">
        <f>IF(ISERROR(VLOOKUP($U$1994,'TAR FIN'!$A$1:$O$116,15,0)),0,VLOOKUP($U$1994,'TAR FIN'!$A$1:$O$116,15,0))*(1-0.06)</f>
        <v>306.8818</v>
      </c>
      <c r="Y1994" s="70"/>
      <c r="Z1994" s="70">
        <f ca="1">('TUSD BE'!$AM$71+'TUSD BF'!$AM$71+'TUSD CVA'!$AM$71)*1*(1-0.03)</f>
        <v>423.68135844954793</v>
      </c>
      <c r="AA1994" s="70">
        <f>('TE BE'!$AB$42+'TE BF'!$AB$42+'TE CVA'!$AB$42)*1*(1-0.03)</f>
        <v>319.74188654667387</v>
      </c>
      <c r="AB1994" s="6">
        <f>$K$1994*$V$1994</f>
        <v>0</v>
      </c>
      <c r="AC1994" s="6">
        <f>$M$1994*$W$1994</f>
        <v>478664.04858240002</v>
      </c>
      <c r="AD1994" s="6">
        <f>$O$1994*$X$1994</f>
        <v>456287.81809360004</v>
      </c>
      <c r="AE1994" s="6">
        <f>$K$1994*$Y$1994</f>
        <v>0</v>
      </c>
      <c r="AF1994" s="6">
        <f ca="1">$M$1994*$Z$1994</f>
        <v>629951.47517342726</v>
      </c>
      <c r="AG1994" s="6">
        <f>$O$1994*$AA$1994</f>
        <v>475408.86349569517</v>
      </c>
    </row>
    <row r="1995" spans="1:33" ht="11.25" customHeight="1" x14ac:dyDescent="0.25">
      <c r="A1995" s="4" t="s">
        <v>21</v>
      </c>
      <c r="B1995" s="4" t="s">
        <v>47</v>
      </c>
      <c r="C1995" s="4" t="s">
        <v>23</v>
      </c>
      <c r="D1995" s="4" t="s">
        <v>48</v>
      </c>
      <c r="E1995" s="4" t="s">
        <v>49</v>
      </c>
      <c r="F1995" s="4" t="s">
        <v>25</v>
      </c>
      <c r="G1995" s="4" t="s">
        <v>25</v>
      </c>
      <c r="H1995" s="4" t="s">
        <v>25</v>
      </c>
      <c r="I1995" s="5">
        <v>44348</v>
      </c>
      <c r="J1995" s="6">
        <v>0</v>
      </c>
      <c r="K1995" s="6">
        <v>0</v>
      </c>
      <c r="L1995" s="6">
        <v>6730.4089999999997</v>
      </c>
      <c r="M1995" s="6">
        <v>6730.4089999999997</v>
      </c>
      <c r="N1995" s="6">
        <v>6730.4089999999997</v>
      </c>
      <c r="O1995" s="6">
        <v>6730.4089999999997</v>
      </c>
      <c r="P1995" s="6">
        <v>138</v>
      </c>
      <c r="Q1995" s="4" t="s">
        <v>26</v>
      </c>
      <c r="R1995" s="4">
        <v>0</v>
      </c>
      <c r="S1995" s="6">
        <v>0</v>
      </c>
      <c r="T1995" s="6">
        <v>71</v>
      </c>
      <c r="U1995" s="6">
        <v>114</v>
      </c>
      <c r="V1995" s="6">
        <f>IF(ISERROR(VLOOKUP($S$1995,'TAR FIN'!$A$1:$O$116,15,0)),0,VLOOKUP($S$1995,'TAR FIN'!$A$1:$O$116,15,0))</f>
        <v>0</v>
      </c>
      <c r="W1995" s="6">
        <f>IF(ISERROR(VLOOKUP($T$1995,'TAR FIN'!$A$1:$O$116,15,0)),0,VLOOKUP($T$1995,'TAR FIN'!$A$1:$O$116,15,0))</f>
        <v>188.37</v>
      </c>
      <c r="X1995" s="6">
        <f>IF(ISERROR(VLOOKUP($U$1995,'TAR FIN'!$A$1:$O$116,15,0)),0,VLOOKUP($U$1995,'TAR FIN'!$A$1:$O$116,15,0))</f>
        <v>179.56</v>
      </c>
      <c r="Y1995" s="6"/>
      <c r="Z1995" s="6">
        <f ca="1">('TUSD BE'!$AM$73+'TUSD BF'!$AM$73+'TUSD CVA'!$AM$73)*1</f>
        <v>240.23169808994982</v>
      </c>
      <c r="AA1995" s="6">
        <f>('TE BE'!$AB$44+'TE BF'!$AB$44+'TE CVA'!$AB$44)*1</f>
        <v>181.29694598007282</v>
      </c>
      <c r="AB1995" s="6">
        <f>$K$1995*$V$1995</f>
        <v>0</v>
      </c>
      <c r="AC1995" s="6">
        <f>$M$1995*$W$1995</f>
        <v>1267807.1433299999</v>
      </c>
      <c r="AD1995" s="6">
        <f>$O$1995*$X$1995</f>
        <v>1208512.2400400001</v>
      </c>
      <c r="AE1995" s="6">
        <f>$K$1995*$Y$1995</f>
        <v>0</v>
      </c>
      <c r="AF1995" s="6">
        <f ca="1">$M$1995*$Z$1995</f>
        <v>1616857.5829098809</v>
      </c>
      <c r="AG1995" s="6">
        <f>$O$1995*$AA$1995</f>
        <v>1220202.5968967958</v>
      </c>
    </row>
    <row r="1996" spans="1:33" ht="11.25" customHeight="1" x14ac:dyDescent="0.25">
      <c r="A1996" s="4" t="s">
        <v>21</v>
      </c>
      <c r="B1996" s="4" t="s">
        <v>47</v>
      </c>
      <c r="C1996" s="4" t="s">
        <v>23</v>
      </c>
      <c r="D1996" s="4" t="s">
        <v>48</v>
      </c>
      <c r="E1996" s="4" t="s">
        <v>49</v>
      </c>
      <c r="F1996" s="4" t="s">
        <v>25</v>
      </c>
      <c r="G1996" s="4" t="s">
        <v>25</v>
      </c>
      <c r="H1996" s="4" t="s">
        <v>25</v>
      </c>
      <c r="I1996" s="5">
        <v>44378</v>
      </c>
      <c r="J1996" s="6">
        <v>0</v>
      </c>
      <c r="K1996" s="6">
        <v>0</v>
      </c>
      <c r="L1996" s="6">
        <v>6955.6120000000001</v>
      </c>
      <c r="M1996" s="6">
        <v>6955.6120000000001</v>
      </c>
      <c r="N1996" s="6">
        <v>6955.6120000000001</v>
      </c>
      <c r="O1996" s="6">
        <v>6955.6120000000001</v>
      </c>
      <c r="P1996" s="6">
        <v>141</v>
      </c>
      <c r="Q1996" s="4" t="s">
        <v>26</v>
      </c>
      <c r="R1996" s="4">
        <v>0</v>
      </c>
      <c r="S1996" s="6">
        <v>0</v>
      </c>
      <c r="T1996" s="6">
        <v>71</v>
      </c>
      <c r="U1996" s="6">
        <v>114</v>
      </c>
      <c r="V1996" s="6">
        <f>IF(ISERROR(VLOOKUP($S$1996,'TAR FIN'!$A$1:$O$116,15,0)),0,VLOOKUP($S$1996,'TAR FIN'!$A$1:$O$116,15,0))</f>
        <v>0</v>
      </c>
      <c r="W1996" s="6">
        <f>IF(ISERROR(VLOOKUP($T$1996,'TAR FIN'!$A$1:$O$116,15,0)),0,VLOOKUP($T$1996,'TAR FIN'!$A$1:$O$116,15,0))</f>
        <v>188.37</v>
      </c>
      <c r="X1996" s="6">
        <f>IF(ISERROR(VLOOKUP($U$1996,'TAR FIN'!$A$1:$O$116,15,0)),0,VLOOKUP($U$1996,'TAR FIN'!$A$1:$O$116,15,0))</f>
        <v>179.56</v>
      </c>
      <c r="Y1996" s="6"/>
      <c r="Z1996" s="6">
        <f ca="1">('TUSD BE'!$AM$73+'TUSD BF'!$AM$73+'TUSD CVA'!$AM$73)*1</f>
        <v>240.23169808994982</v>
      </c>
      <c r="AA1996" s="6">
        <f>('TE BE'!$AB$44+'TE BF'!$AB$44+'TE CVA'!$AB$44)*1</f>
        <v>181.29694598007282</v>
      </c>
      <c r="AB1996" s="6">
        <f>$K$1996*$V$1996</f>
        <v>0</v>
      </c>
      <c r="AC1996" s="6">
        <f>$M$1996*$W$1996</f>
        <v>1310228.6324400001</v>
      </c>
      <c r="AD1996" s="6">
        <f>$O$1996*$X$1996</f>
        <v>1248949.6907200001</v>
      </c>
      <c r="AE1996" s="6">
        <f>$K$1996*$Y$1996</f>
        <v>0</v>
      </c>
      <c r="AF1996" s="6">
        <f ca="1">$M$1996*$Z$1996</f>
        <v>1670958.4820148321</v>
      </c>
      <c r="AG1996" s="6">
        <f>$O$1996*$AA$1996</f>
        <v>1261031.2130223464</v>
      </c>
    </row>
    <row r="1997" spans="1:33" ht="11.25" customHeight="1" x14ac:dyDescent="0.25">
      <c r="A1997" s="4" t="s">
        <v>21</v>
      </c>
      <c r="B1997" s="4" t="s">
        <v>47</v>
      </c>
      <c r="C1997" s="4" t="s">
        <v>23</v>
      </c>
      <c r="D1997" s="4" t="s">
        <v>48</v>
      </c>
      <c r="E1997" s="4" t="s">
        <v>49</v>
      </c>
      <c r="F1997" s="4" t="s">
        <v>25</v>
      </c>
      <c r="G1997" s="4" t="s">
        <v>25</v>
      </c>
      <c r="H1997" s="4" t="s">
        <v>25</v>
      </c>
      <c r="I1997" s="5">
        <v>44409</v>
      </c>
      <c r="J1997" s="6">
        <v>0</v>
      </c>
      <c r="K1997" s="6">
        <v>0</v>
      </c>
      <c r="L1997" s="6">
        <v>6957.107</v>
      </c>
      <c r="M1997" s="6">
        <v>6957.107</v>
      </c>
      <c r="N1997" s="6">
        <v>6957.107</v>
      </c>
      <c r="O1997" s="6">
        <v>6957.107</v>
      </c>
      <c r="P1997" s="6">
        <v>140</v>
      </c>
      <c r="Q1997" s="4" t="s">
        <v>26</v>
      </c>
      <c r="R1997" s="4">
        <v>0</v>
      </c>
      <c r="S1997" s="6">
        <v>0</v>
      </c>
      <c r="T1997" s="6">
        <v>71</v>
      </c>
      <c r="U1997" s="6">
        <v>114</v>
      </c>
      <c r="V1997" s="6">
        <f>IF(ISERROR(VLOOKUP($S$1997,'TAR FIN'!$A$1:$O$116,15,0)),0,VLOOKUP($S$1997,'TAR FIN'!$A$1:$O$116,15,0))</f>
        <v>0</v>
      </c>
      <c r="W1997" s="6">
        <f>IF(ISERROR(VLOOKUP($T$1997,'TAR FIN'!$A$1:$O$116,15,0)),0,VLOOKUP($T$1997,'TAR FIN'!$A$1:$O$116,15,0))</f>
        <v>188.37</v>
      </c>
      <c r="X1997" s="6">
        <f>IF(ISERROR(VLOOKUP($U$1997,'TAR FIN'!$A$1:$O$116,15,0)),0,VLOOKUP($U$1997,'TAR FIN'!$A$1:$O$116,15,0))</f>
        <v>179.56</v>
      </c>
      <c r="Y1997" s="6"/>
      <c r="Z1997" s="6">
        <f ca="1">('TUSD BE'!$AM$73+'TUSD BF'!$AM$73+'TUSD CVA'!$AM$73)*1</f>
        <v>240.23169808994982</v>
      </c>
      <c r="AA1997" s="6">
        <f>('TE BE'!$AB$44+'TE BF'!$AB$44+'TE CVA'!$AB$44)*1</f>
        <v>181.29694598007282</v>
      </c>
      <c r="AB1997" s="6">
        <f>$K$1997*$V$1997</f>
        <v>0</v>
      </c>
      <c r="AC1997" s="6">
        <f>$M$1997*$W$1997</f>
        <v>1310510.2455899999</v>
      </c>
      <c r="AD1997" s="6">
        <f>$O$1997*$X$1997</f>
        <v>1249218.13292</v>
      </c>
      <c r="AE1997" s="6">
        <f>$K$1997*$Y$1997</f>
        <v>0</v>
      </c>
      <c r="AF1997" s="6">
        <f ca="1">$M$1997*$Z$1997</f>
        <v>1671317.6284034764</v>
      </c>
      <c r="AG1997" s="6">
        <f>$O$1997*$AA$1997</f>
        <v>1261302.2519565865</v>
      </c>
    </row>
    <row r="1998" spans="1:33" ht="11.25" customHeight="1" x14ac:dyDescent="0.25">
      <c r="A1998" s="4" t="s">
        <v>27</v>
      </c>
      <c r="B1998" s="4" t="s">
        <v>47</v>
      </c>
      <c r="C1998" s="4" t="s">
        <v>23</v>
      </c>
      <c r="D1998" s="4" t="s">
        <v>48</v>
      </c>
      <c r="E1998" s="4" t="s">
        <v>49</v>
      </c>
      <c r="F1998" s="4" t="s">
        <v>25</v>
      </c>
      <c r="G1998" s="4" t="s">
        <v>25</v>
      </c>
      <c r="H1998" s="4" t="s">
        <v>25</v>
      </c>
      <c r="I1998" s="5">
        <v>44409</v>
      </c>
      <c r="J1998" s="6">
        <v>0</v>
      </c>
      <c r="K1998" s="6">
        <v>0</v>
      </c>
      <c r="L1998" s="6">
        <v>0.48599999999999999</v>
      </c>
      <c r="M1998" s="6">
        <v>0.48599999999999999</v>
      </c>
      <c r="N1998" s="6">
        <v>0.48599999999999999</v>
      </c>
      <c r="O1998" s="6">
        <v>0.48599999999999999</v>
      </c>
      <c r="P1998" s="6">
        <v>0</v>
      </c>
      <c r="Q1998" s="4" t="s">
        <v>26</v>
      </c>
      <c r="R1998" s="4">
        <v>0</v>
      </c>
      <c r="S1998" s="6">
        <v>0</v>
      </c>
      <c r="T1998" s="6">
        <v>71</v>
      </c>
      <c r="U1998" s="6">
        <v>114</v>
      </c>
      <c r="V1998" s="6">
        <f>IF(ISERROR(VLOOKUP($S$1998,'TAR FIN'!$A$1:$O$116,15,0)),0,VLOOKUP($S$1998,'TAR FIN'!$A$1:$O$116,15,0))</f>
        <v>0</v>
      </c>
      <c r="W1998" s="6">
        <f>IF(ISERROR(VLOOKUP($T$1998,'TAR FIN'!$A$1:$O$116,15,0)),0,VLOOKUP($T$1998,'TAR FIN'!$A$1:$O$116,15,0))</f>
        <v>188.37</v>
      </c>
      <c r="X1998" s="6">
        <f>IF(ISERROR(VLOOKUP($U$1998,'TAR FIN'!$A$1:$O$116,15,0)),0,VLOOKUP($U$1998,'TAR FIN'!$A$1:$O$116,15,0))</f>
        <v>179.56</v>
      </c>
      <c r="Y1998" s="6"/>
      <c r="Z1998" s="6">
        <f ca="1">('TUSD BE'!$AM$73+'TUSD BF'!$AM$73+'TUSD CVA'!$AM$73)*1</f>
        <v>240.23169808994982</v>
      </c>
      <c r="AA1998" s="6">
        <f>('TE BE'!$AB$44+'TE BF'!$AB$44+'TE CVA'!$AB$44)*1</f>
        <v>181.29694598007282</v>
      </c>
      <c r="AB1998" s="6">
        <f>$K$1998*$V$1998</f>
        <v>0</v>
      </c>
      <c r="AC1998" s="6">
        <f>$M$1998*$W$1998</f>
        <v>91.547820000000002</v>
      </c>
      <c r="AD1998" s="6">
        <f>$O$1998*$X$1998</f>
        <v>87.266159999999999</v>
      </c>
      <c r="AE1998" s="6">
        <f>$K$1998*$Y$1998</f>
        <v>0</v>
      </c>
      <c r="AF1998" s="6">
        <f ca="1">$M$1998*$Z$1998</f>
        <v>116.75260527171561</v>
      </c>
      <c r="AG1998" s="6">
        <f>$O$1998*$AA$1998</f>
        <v>88.110315746315393</v>
      </c>
    </row>
    <row r="1999" spans="1:33" ht="11.25" customHeight="1" x14ac:dyDescent="0.25">
      <c r="A1999" s="4" t="s">
        <v>21</v>
      </c>
      <c r="B1999" s="4" t="s">
        <v>47</v>
      </c>
      <c r="C1999" s="4" t="s">
        <v>23</v>
      </c>
      <c r="D1999" s="4" t="s">
        <v>48</v>
      </c>
      <c r="E1999" s="4" t="s">
        <v>49</v>
      </c>
      <c r="F1999" s="4" t="s">
        <v>25</v>
      </c>
      <c r="G1999" s="4" t="s">
        <v>25</v>
      </c>
      <c r="H1999" s="4" t="s">
        <v>25</v>
      </c>
      <c r="I1999" s="5">
        <v>44440</v>
      </c>
      <c r="J1999" s="6">
        <v>0</v>
      </c>
      <c r="K1999" s="6">
        <v>0</v>
      </c>
      <c r="L1999" s="6">
        <v>6738.5169999999998</v>
      </c>
      <c r="M1999" s="6">
        <v>6738.5169999999998</v>
      </c>
      <c r="N1999" s="6">
        <v>6738.5169999999998</v>
      </c>
      <c r="O1999" s="6">
        <v>6738.5169999999998</v>
      </c>
      <c r="P1999" s="6">
        <v>140</v>
      </c>
      <c r="Q1999" s="4" t="s">
        <v>26</v>
      </c>
      <c r="R1999" s="4">
        <v>0</v>
      </c>
      <c r="S1999" s="6">
        <v>0</v>
      </c>
      <c r="T1999" s="6">
        <v>71</v>
      </c>
      <c r="U1999" s="6">
        <v>114</v>
      </c>
      <c r="V1999" s="6">
        <f>IF(ISERROR(VLOOKUP($S$1999,'TAR FIN'!$A$1:$O$116,15,0)),0,VLOOKUP($S$1999,'TAR FIN'!$A$1:$O$116,15,0))</f>
        <v>0</v>
      </c>
      <c r="W1999" s="6">
        <f>IF(ISERROR(VLOOKUP($T$1999,'TAR FIN'!$A$1:$O$116,15,0)),0,VLOOKUP($T$1999,'TAR FIN'!$A$1:$O$116,15,0))</f>
        <v>188.37</v>
      </c>
      <c r="X1999" s="6">
        <f>IF(ISERROR(VLOOKUP($U$1999,'TAR FIN'!$A$1:$O$116,15,0)),0,VLOOKUP($U$1999,'TAR FIN'!$A$1:$O$116,15,0))</f>
        <v>179.56</v>
      </c>
      <c r="Y1999" s="6"/>
      <c r="Z1999" s="6">
        <f ca="1">('TUSD BE'!$AM$73+'TUSD BF'!$AM$73+'TUSD CVA'!$AM$73)*1</f>
        <v>240.23169808994982</v>
      </c>
      <c r="AA1999" s="6">
        <f>('TE BE'!$AB$44+'TE BF'!$AB$44+'TE CVA'!$AB$44)*1</f>
        <v>181.29694598007282</v>
      </c>
      <c r="AB1999" s="6">
        <f>$K$1999*$V$1999</f>
        <v>0</v>
      </c>
      <c r="AC1999" s="6">
        <f>$M$1999*$W$1999</f>
        <v>1269334.44729</v>
      </c>
      <c r="AD1999" s="6">
        <f>$O$1999*$X$1999</f>
        <v>1209968.11252</v>
      </c>
      <c r="AE1999" s="6">
        <f>$K$1999*$Y$1999</f>
        <v>0</v>
      </c>
      <c r="AF1999" s="6">
        <f ca="1">$M$1999*$Z$1999</f>
        <v>1618805.3815179942</v>
      </c>
      <c r="AG1999" s="6">
        <f>$O$1999*$AA$1999</f>
        <v>1221672.5525348024</v>
      </c>
    </row>
    <row r="2000" spans="1:33" ht="11.25" customHeight="1" x14ac:dyDescent="0.25">
      <c r="A2000" s="4" t="s">
        <v>27</v>
      </c>
      <c r="B2000" s="4" t="s">
        <v>47</v>
      </c>
      <c r="C2000" s="4" t="s">
        <v>23</v>
      </c>
      <c r="D2000" s="4" t="s">
        <v>48</v>
      </c>
      <c r="E2000" s="4" t="s">
        <v>49</v>
      </c>
      <c r="F2000" s="4" t="s">
        <v>25</v>
      </c>
      <c r="G2000" s="4" t="s">
        <v>25</v>
      </c>
      <c r="H2000" s="4" t="s">
        <v>25</v>
      </c>
      <c r="I2000" s="5">
        <v>44440</v>
      </c>
      <c r="J2000" s="6">
        <v>0</v>
      </c>
      <c r="K2000" s="6">
        <v>0</v>
      </c>
      <c r="L2000" s="6">
        <v>5.7830000000000004</v>
      </c>
      <c r="M2000" s="6">
        <v>5.7830000000000004</v>
      </c>
      <c r="N2000" s="6">
        <v>5.7830000000000004</v>
      </c>
      <c r="O2000" s="6">
        <v>5.7830000000000004</v>
      </c>
      <c r="P2000" s="6">
        <v>0</v>
      </c>
      <c r="Q2000" s="4" t="s">
        <v>26</v>
      </c>
      <c r="R2000" s="4">
        <v>0</v>
      </c>
      <c r="S2000" s="6">
        <v>0</v>
      </c>
      <c r="T2000" s="6">
        <v>71</v>
      </c>
      <c r="U2000" s="6">
        <v>114</v>
      </c>
      <c r="V2000" s="6">
        <f>IF(ISERROR(VLOOKUP($S$2000,'TAR FIN'!$A$1:$O$116,15,0)),0,VLOOKUP($S$2000,'TAR FIN'!$A$1:$O$116,15,0))</f>
        <v>0</v>
      </c>
      <c r="W2000" s="6">
        <f>IF(ISERROR(VLOOKUP($T$2000,'TAR FIN'!$A$1:$O$116,15,0)),0,VLOOKUP($T$2000,'TAR FIN'!$A$1:$O$116,15,0))</f>
        <v>188.37</v>
      </c>
      <c r="X2000" s="6">
        <f>IF(ISERROR(VLOOKUP($U$2000,'TAR FIN'!$A$1:$O$116,15,0)),0,VLOOKUP($U$2000,'TAR FIN'!$A$1:$O$116,15,0))</f>
        <v>179.56</v>
      </c>
      <c r="Y2000" s="6"/>
      <c r="Z2000" s="6">
        <f ca="1">('TUSD BE'!$AM$73+'TUSD BF'!$AM$73+'TUSD CVA'!$AM$73)*1</f>
        <v>240.23169808994982</v>
      </c>
      <c r="AA2000" s="6">
        <f>('TE BE'!$AB$44+'TE BF'!$AB$44+'TE CVA'!$AB$44)*1</f>
        <v>181.29694598007282</v>
      </c>
      <c r="AB2000" s="6">
        <f>$K$2000*$V$2000</f>
        <v>0</v>
      </c>
      <c r="AC2000" s="6">
        <f>$M$2000*$W$2000</f>
        <v>1089.3437100000001</v>
      </c>
      <c r="AD2000" s="6">
        <f>$O$2000*$X$2000</f>
        <v>1038.3954800000001</v>
      </c>
      <c r="AE2000" s="6">
        <f>$K$2000*$Y$2000</f>
        <v>0</v>
      </c>
      <c r="AF2000" s="6">
        <f ca="1">$M$2000*$Z$2000</f>
        <v>1389.25991005418</v>
      </c>
      <c r="AG2000" s="6">
        <f>$O$2000*$AA$2000</f>
        <v>1048.4402386027612</v>
      </c>
    </row>
    <row r="2001" spans="1:33" ht="11.25" customHeight="1" x14ac:dyDescent="0.25">
      <c r="A2001" s="4" t="s">
        <v>21</v>
      </c>
      <c r="B2001" s="4" t="s">
        <v>47</v>
      </c>
      <c r="C2001" s="4" t="s">
        <v>23</v>
      </c>
      <c r="D2001" s="4" t="s">
        <v>48</v>
      </c>
      <c r="E2001" s="4" t="s">
        <v>49</v>
      </c>
      <c r="F2001" s="4" t="s">
        <v>25</v>
      </c>
      <c r="G2001" s="4" t="s">
        <v>25</v>
      </c>
      <c r="H2001" s="4" t="s">
        <v>25</v>
      </c>
      <c r="I2001" s="5">
        <v>44470</v>
      </c>
      <c r="J2001" s="6">
        <v>0</v>
      </c>
      <c r="K2001" s="6">
        <v>0</v>
      </c>
      <c r="L2001" s="6">
        <v>6941.9949999999999</v>
      </c>
      <c r="M2001" s="6">
        <v>6941.9949999999999</v>
      </c>
      <c r="N2001" s="6">
        <v>6941.9949999999999</v>
      </c>
      <c r="O2001" s="6">
        <v>6941.9949999999999</v>
      </c>
      <c r="P2001" s="6">
        <v>140</v>
      </c>
      <c r="Q2001" s="4" t="s">
        <v>26</v>
      </c>
      <c r="R2001" s="4">
        <v>0</v>
      </c>
      <c r="S2001" s="6">
        <v>0</v>
      </c>
      <c r="T2001" s="6">
        <v>71</v>
      </c>
      <c r="U2001" s="6">
        <v>114</v>
      </c>
      <c r="V2001" s="6">
        <f>IF(ISERROR(VLOOKUP($S$2001,'TAR FIN'!$A$1:$O$116,15,0)),0,VLOOKUP($S$2001,'TAR FIN'!$A$1:$O$116,15,0))</f>
        <v>0</v>
      </c>
      <c r="W2001" s="6">
        <f>IF(ISERROR(VLOOKUP($T$2001,'TAR FIN'!$A$1:$O$116,15,0)),0,VLOOKUP($T$2001,'TAR FIN'!$A$1:$O$116,15,0))</f>
        <v>188.37</v>
      </c>
      <c r="X2001" s="6">
        <f>IF(ISERROR(VLOOKUP($U$2001,'TAR FIN'!$A$1:$O$116,15,0)),0,VLOOKUP($U$2001,'TAR FIN'!$A$1:$O$116,15,0))</f>
        <v>179.56</v>
      </c>
      <c r="Y2001" s="6"/>
      <c r="Z2001" s="6">
        <f ca="1">('TUSD BE'!$AM$73+'TUSD BF'!$AM$73+'TUSD CVA'!$AM$73)*1</f>
        <v>240.23169808994982</v>
      </c>
      <c r="AA2001" s="6">
        <f>('TE BE'!$AB$44+'TE BF'!$AB$44+'TE CVA'!$AB$44)*1</f>
        <v>181.29694598007282</v>
      </c>
      <c r="AB2001" s="6">
        <f>$K$2001*$V$2001</f>
        <v>0</v>
      </c>
      <c r="AC2001" s="6">
        <f>$M$2001*$W$2001</f>
        <v>1307663.59815</v>
      </c>
      <c r="AD2001" s="6">
        <f>$O$2001*$X$2001</f>
        <v>1246504.6222000001</v>
      </c>
      <c r="AE2001" s="6">
        <f>$K$2001*$Y$2001</f>
        <v>0</v>
      </c>
      <c r="AF2001" s="6">
        <f ca="1">$M$2001*$Z$2001</f>
        <v>1667687.2469819412</v>
      </c>
      <c r="AG2001" s="6">
        <f>$O$2001*$AA$2001</f>
        <v>1258562.4925089355</v>
      </c>
    </row>
    <row r="2002" spans="1:33" ht="11.25" customHeight="1" x14ac:dyDescent="0.25">
      <c r="A2002" s="4" t="s">
        <v>21</v>
      </c>
      <c r="B2002" s="4" t="s">
        <v>47</v>
      </c>
      <c r="C2002" s="4" t="s">
        <v>23</v>
      </c>
      <c r="D2002" s="4" t="s">
        <v>48</v>
      </c>
      <c r="E2002" s="4" t="s">
        <v>49</v>
      </c>
      <c r="F2002" s="4" t="s">
        <v>25</v>
      </c>
      <c r="G2002" s="4" t="s">
        <v>25</v>
      </c>
      <c r="H2002" s="4" t="s">
        <v>25</v>
      </c>
      <c r="I2002" s="5">
        <v>44501</v>
      </c>
      <c r="J2002" s="6">
        <v>0</v>
      </c>
      <c r="K2002" s="6">
        <v>0</v>
      </c>
      <c r="L2002" s="6">
        <v>6719.4290000000001</v>
      </c>
      <c r="M2002" s="6">
        <v>6719.4290000000001</v>
      </c>
      <c r="N2002" s="6">
        <v>6719.4290000000001</v>
      </c>
      <c r="O2002" s="6">
        <v>6719.4290000000001</v>
      </c>
      <c r="P2002" s="6">
        <v>138</v>
      </c>
      <c r="Q2002" s="4" t="s">
        <v>26</v>
      </c>
      <c r="R2002" s="4">
        <v>0</v>
      </c>
      <c r="S2002" s="6">
        <v>0</v>
      </c>
      <c r="T2002" s="6">
        <v>71</v>
      </c>
      <c r="U2002" s="6">
        <v>114</v>
      </c>
      <c r="V2002" s="6">
        <f>IF(ISERROR(VLOOKUP($S$2002,'TAR FIN'!$A$1:$O$116,15,0)),0,VLOOKUP($S$2002,'TAR FIN'!$A$1:$O$116,15,0))</f>
        <v>0</v>
      </c>
      <c r="W2002" s="6">
        <f>IF(ISERROR(VLOOKUP($T$2002,'TAR FIN'!$A$1:$O$116,15,0)),0,VLOOKUP($T$2002,'TAR FIN'!$A$1:$O$116,15,0))</f>
        <v>188.37</v>
      </c>
      <c r="X2002" s="6">
        <f>IF(ISERROR(VLOOKUP($U$2002,'TAR FIN'!$A$1:$O$116,15,0)),0,VLOOKUP($U$2002,'TAR FIN'!$A$1:$O$116,15,0))</f>
        <v>179.56</v>
      </c>
      <c r="Y2002" s="6"/>
      <c r="Z2002" s="6">
        <f ca="1">('TUSD BE'!$AM$73+'TUSD BF'!$AM$73+'TUSD CVA'!$AM$73)*1</f>
        <v>240.23169808994982</v>
      </c>
      <c r="AA2002" s="6">
        <f>('TE BE'!$AB$44+'TE BF'!$AB$44+'TE CVA'!$AB$44)*1</f>
        <v>181.29694598007282</v>
      </c>
      <c r="AB2002" s="6">
        <f>$K$2002*$V$2002</f>
        <v>0</v>
      </c>
      <c r="AC2002" s="6">
        <f>$M$2002*$W$2002</f>
        <v>1265738.8407300001</v>
      </c>
      <c r="AD2002" s="6">
        <f>$O$2002*$X$2002</f>
        <v>1206540.6712400001</v>
      </c>
      <c r="AE2002" s="6">
        <f>$K$2002*$Y$2002</f>
        <v>0</v>
      </c>
      <c r="AF2002" s="6">
        <f ca="1">$M$2002*$Z$2002</f>
        <v>1614219.8388648534</v>
      </c>
      <c r="AG2002" s="6">
        <f>$O$2002*$AA$2002</f>
        <v>1218211.9564299348</v>
      </c>
    </row>
    <row r="2003" spans="1:33" ht="11.25" customHeight="1" x14ac:dyDescent="0.25">
      <c r="A2003" s="4" t="s">
        <v>27</v>
      </c>
      <c r="B2003" s="4" t="s">
        <v>47</v>
      </c>
      <c r="C2003" s="4" t="s">
        <v>23</v>
      </c>
      <c r="D2003" s="4" t="s">
        <v>48</v>
      </c>
      <c r="E2003" s="4" t="s">
        <v>49</v>
      </c>
      <c r="F2003" s="4" t="s">
        <v>25</v>
      </c>
      <c r="G2003" s="4" t="s">
        <v>25</v>
      </c>
      <c r="H2003" s="4" t="s">
        <v>25</v>
      </c>
      <c r="I2003" s="5">
        <v>44501</v>
      </c>
      <c r="J2003" s="6">
        <v>0</v>
      </c>
      <c r="K2003" s="6">
        <v>0</v>
      </c>
      <c r="L2003" s="6">
        <v>9.4309999999999992</v>
      </c>
      <c r="M2003" s="6">
        <v>9.4309999999999992</v>
      </c>
      <c r="N2003" s="6">
        <v>9.4309999999999992</v>
      </c>
      <c r="O2003" s="6">
        <v>9.4309999999999992</v>
      </c>
      <c r="P2003" s="6">
        <v>0</v>
      </c>
      <c r="Q2003" s="4" t="s">
        <v>26</v>
      </c>
      <c r="R2003" s="4">
        <v>0</v>
      </c>
      <c r="S2003" s="6">
        <v>0</v>
      </c>
      <c r="T2003" s="6">
        <v>71</v>
      </c>
      <c r="U2003" s="6">
        <v>114</v>
      </c>
      <c r="V2003" s="6">
        <f>IF(ISERROR(VLOOKUP($S$2003,'TAR FIN'!$A$1:$O$116,15,0)),0,VLOOKUP($S$2003,'TAR FIN'!$A$1:$O$116,15,0))</f>
        <v>0</v>
      </c>
      <c r="W2003" s="6">
        <f>IF(ISERROR(VLOOKUP($T$2003,'TAR FIN'!$A$1:$O$116,15,0)),0,VLOOKUP($T$2003,'TAR FIN'!$A$1:$O$116,15,0))</f>
        <v>188.37</v>
      </c>
      <c r="X2003" s="6">
        <f>IF(ISERROR(VLOOKUP($U$2003,'TAR FIN'!$A$1:$O$116,15,0)),0,VLOOKUP($U$2003,'TAR FIN'!$A$1:$O$116,15,0))</f>
        <v>179.56</v>
      </c>
      <c r="Y2003" s="6"/>
      <c r="Z2003" s="6">
        <f ca="1">('TUSD BE'!$AM$73+'TUSD BF'!$AM$73+'TUSD CVA'!$AM$73)*1</f>
        <v>240.23169808994982</v>
      </c>
      <c r="AA2003" s="6">
        <f>('TE BE'!$AB$44+'TE BF'!$AB$44+'TE CVA'!$AB$44)*1</f>
        <v>181.29694598007282</v>
      </c>
      <c r="AB2003" s="6">
        <f>$K$2003*$V$2003</f>
        <v>0</v>
      </c>
      <c r="AC2003" s="6">
        <f>$M$2003*$W$2003</f>
        <v>1776.5174699999998</v>
      </c>
      <c r="AD2003" s="6">
        <f>$O$2003*$X$2003</f>
        <v>1693.4303599999998</v>
      </c>
      <c r="AE2003" s="6">
        <f>$K$2003*$Y$2003</f>
        <v>0</v>
      </c>
      <c r="AF2003" s="6">
        <f ca="1">$M$2003*$Z$2003</f>
        <v>2265.6251446863166</v>
      </c>
      <c r="AG2003" s="6">
        <f>$O$2003*$AA$2003</f>
        <v>1709.8114975380665</v>
      </c>
    </row>
    <row r="2004" spans="1:33" ht="11.25" customHeight="1" x14ac:dyDescent="0.25">
      <c r="A2004" s="4" t="s">
        <v>21</v>
      </c>
      <c r="B2004" s="4" t="s">
        <v>47</v>
      </c>
      <c r="C2004" s="4" t="s">
        <v>23</v>
      </c>
      <c r="D2004" s="4" t="s">
        <v>48</v>
      </c>
      <c r="E2004" s="4" t="s">
        <v>49</v>
      </c>
      <c r="F2004" s="4" t="s">
        <v>25</v>
      </c>
      <c r="G2004" s="4" t="s">
        <v>25</v>
      </c>
      <c r="H2004" s="4" t="s">
        <v>25</v>
      </c>
      <c r="I2004" s="5">
        <v>44531</v>
      </c>
      <c r="J2004" s="6">
        <v>0</v>
      </c>
      <c r="K2004" s="6">
        <v>0</v>
      </c>
      <c r="L2004" s="6">
        <v>6923.5389999999998</v>
      </c>
      <c r="M2004" s="6">
        <v>6923.5389999999998</v>
      </c>
      <c r="N2004" s="6">
        <v>6923.5389999999998</v>
      </c>
      <c r="O2004" s="6">
        <v>6923.5389999999998</v>
      </c>
      <c r="P2004" s="6">
        <v>140</v>
      </c>
      <c r="Q2004" s="4" t="s">
        <v>26</v>
      </c>
      <c r="R2004" s="4">
        <v>0</v>
      </c>
      <c r="S2004" s="6">
        <v>0</v>
      </c>
      <c r="T2004" s="6">
        <v>71</v>
      </c>
      <c r="U2004" s="6">
        <v>114</v>
      </c>
      <c r="V2004" s="6">
        <f>IF(ISERROR(VLOOKUP($S$2004,'TAR FIN'!$A$1:$O$116,15,0)),0,VLOOKUP($S$2004,'TAR FIN'!$A$1:$O$116,15,0))</f>
        <v>0</v>
      </c>
      <c r="W2004" s="6">
        <f>IF(ISERROR(VLOOKUP($T$2004,'TAR FIN'!$A$1:$O$116,15,0)),0,VLOOKUP($T$2004,'TAR FIN'!$A$1:$O$116,15,0))</f>
        <v>188.37</v>
      </c>
      <c r="X2004" s="6">
        <f>IF(ISERROR(VLOOKUP($U$2004,'TAR FIN'!$A$1:$O$116,15,0)),0,VLOOKUP($U$2004,'TAR FIN'!$A$1:$O$116,15,0))</f>
        <v>179.56</v>
      </c>
      <c r="Y2004" s="6"/>
      <c r="Z2004" s="6">
        <f ca="1">('TUSD BE'!$AM$73+'TUSD BF'!$AM$73+'TUSD CVA'!$AM$73)*1</f>
        <v>240.23169808994982</v>
      </c>
      <c r="AA2004" s="6">
        <f>('TE BE'!$AB$44+'TE BF'!$AB$44+'TE CVA'!$AB$44)*1</f>
        <v>181.29694598007282</v>
      </c>
      <c r="AB2004" s="6">
        <f>$K$2004*$V$2004</f>
        <v>0</v>
      </c>
      <c r="AC2004" s="6">
        <f>$M$2004*$W$2004</f>
        <v>1304187.04143</v>
      </c>
      <c r="AD2004" s="6">
        <f>$O$2004*$X$2004</f>
        <v>1243190.6628399999</v>
      </c>
      <c r="AE2004" s="6">
        <f>$K$2004*$Y$2004</f>
        <v>0</v>
      </c>
      <c r="AF2004" s="6">
        <f ca="1">$M$2004*$Z$2004</f>
        <v>1663253.530761993</v>
      </c>
      <c r="AG2004" s="6">
        <f>$O$2004*$AA$2004</f>
        <v>1255216.4760739272</v>
      </c>
    </row>
    <row r="2005" spans="1:33" ht="11.25" customHeight="1" x14ac:dyDescent="0.25">
      <c r="A2005" s="4" t="s">
        <v>21</v>
      </c>
      <c r="B2005" s="4" t="s">
        <v>47</v>
      </c>
      <c r="C2005" s="4" t="s">
        <v>23</v>
      </c>
      <c r="D2005" s="4" t="s">
        <v>48</v>
      </c>
      <c r="E2005" s="4" t="s">
        <v>49</v>
      </c>
      <c r="F2005" s="4" t="s">
        <v>25</v>
      </c>
      <c r="G2005" s="4" t="s">
        <v>25</v>
      </c>
      <c r="H2005" s="4" t="s">
        <v>25</v>
      </c>
      <c r="I2005" s="5">
        <v>44562</v>
      </c>
      <c r="J2005" s="6">
        <v>0</v>
      </c>
      <c r="K2005" s="6">
        <v>0</v>
      </c>
      <c r="L2005" s="6">
        <v>6920.3059999999996</v>
      </c>
      <c r="M2005" s="6">
        <v>6920.3059999999996</v>
      </c>
      <c r="N2005" s="6">
        <v>6920.3059999999996</v>
      </c>
      <c r="O2005" s="6">
        <v>6920.3059999999996</v>
      </c>
      <c r="P2005" s="6">
        <v>138</v>
      </c>
      <c r="Q2005" s="4" t="s">
        <v>26</v>
      </c>
      <c r="R2005" s="4">
        <v>0</v>
      </c>
      <c r="S2005" s="6">
        <v>0</v>
      </c>
      <c r="T2005" s="6">
        <v>71</v>
      </c>
      <c r="U2005" s="6">
        <v>114</v>
      </c>
      <c r="V2005" s="6">
        <f>IF(ISERROR(VLOOKUP($S$2005,'TAR FIN'!$A$1:$O$116,15,0)),0,VLOOKUP($S$2005,'TAR FIN'!$A$1:$O$116,15,0))</f>
        <v>0</v>
      </c>
      <c r="W2005" s="6">
        <f>IF(ISERROR(VLOOKUP($T$2005,'TAR FIN'!$A$1:$O$116,15,0)),0,VLOOKUP($T$2005,'TAR FIN'!$A$1:$O$116,15,0))</f>
        <v>188.37</v>
      </c>
      <c r="X2005" s="6">
        <f>IF(ISERROR(VLOOKUP($U$2005,'TAR FIN'!$A$1:$O$116,15,0)),0,VLOOKUP($U$2005,'TAR FIN'!$A$1:$O$116,15,0))</f>
        <v>179.56</v>
      </c>
      <c r="Y2005" s="6"/>
      <c r="Z2005" s="6">
        <f ca="1">('TUSD BE'!$AM$73+'TUSD BF'!$AM$73+'TUSD CVA'!$AM$73)*1</f>
        <v>240.23169808994982</v>
      </c>
      <c r="AA2005" s="6">
        <f>('TE BE'!$AB$44+'TE BF'!$AB$44+'TE CVA'!$AB$44)*1</f>
        <v>181.29694598007282</v>
      </c>
      <c r="AB2005" s="6">
        <f>$K$2005*$V$2005</f>
        <v>0</v>
      </c>
      <c r="AC2005" s="6">
        <f>$M$2005*$W$2005</f>
        <v>1303578.04122</v>
      </c>
      <c r="AD2005" s="6">
        <f>$O$2005*$X$2005</f>
        <v>1242610.14536</v>
      </c>
      <c r="AE2005" s="6">
        <f>$K$2005*$Y$2005</f>
        <v>0</v>
      </c>
      <c r="AF2005" s="6">
        <f ca="1">$M$2005*$Z$2005</f>
        <v>1662476.8616820681</v>
      </c>
      <c r="AG2005" s="6">
        <f>$O$2005*$AA$2005</f>
        <v>1254630.3430475737</v>
      </c>
    </row>
    <row r="2006" spans="1:33" ht="11.25" customHeight="1" x14ac:dyDescent="0.25">
      <c r="A2006" s="4" t="s">
        <v>27</v>
      </c>
      <c r="B2006" s="4" t="s">
        <v>47</v>
      </c>
      <c r="C2006" s="4" t="s">
        <v>23</v>
      </c>
      <c r="D2006" s="4" t="s">
        <v>48</v>
      </c>
      <c r="E2006" s="4" t="s">
        <v>49</v>
      </c>
      <c r="F2006" s="4" t="s">
        <v>25</v>
      </c>
      <c r="G2006" s="4" t="s">
        <v>25</v>
      </c>
      <c r="H2006" s="4" t="s">
        <v>25</v>
      </c>
      <c r="I2006" s="5">
        <v>44562</v>
      </c>
      <c r="J2006" s="6">
        <v>0</v>
      </c>
      <c r="K2006" s="6">
        <v>0</v>
      </c>
      <c r="L2006" s="6">
        <v>0.72299999999999998</v>
      </c>
      <c r="M2006" s="6">
        <v>0.72299999999999998</v>
      </c>
      <c r="N2006" s="6">
        <v>0.72299999999999998</v>
      </c>
      <c r="O2006" s="6">
        <v>0.72299999999999998</v>
      </c>
      <c r="P2006" s="6">
        <v>0</v>
      </c>
      <c r="Q2006" s="4" t="s">
        <v>26</v>
      </c>
      <c r="R2006" s="4">
        <v>0</v>
      </c>
      <c r="S2006" s="6">
        <v>0</v>
      </c>
      <c r="T2006" s="6">
        <v>71</v>
      </c>
      <c r="U2006" s="6">
        <v>114</v>
      </c>
      <c r="V2006" s="6">
        <f>IF(ISERROR(VLOOKUP($S$2006,'TAR FIN'!$A$1:$O$116,15,0)),0,VLOOKUP($S$2006,'TAR FIN'!$A$1:$O$116,15,0))</f>
        <v>0</v>
      </c>
      <c r="W2006" s="6">
        <f>IF(ISERROR(VLOOKUP($T$2006,'TAR FIN'!$A$1:$O$116,15,0)),0,VLOOKUP($T$2006,'TAR FIN'!$A$1:$O$116,15,0))</f>
        <v>188.37</v>
      </c>
      <c r="X2006" s="6">
        <f>IF(ISERROR(VLOOKUP($U$2006,'TAR FIN'!$A$1:$O$116,15,0)),0,VLOOKUP($U$2006,'TAR FIN'!$A$1:$O$116,15,0))</f>
        <v>179.56</v>
      </c>
      <c r="Y2006" s="6"/>
      <c r="Z2006" s="6">
        <f ca="1">('TUSD BE'!$AM$73+'TUSD BF'!$AM$73+'TUSD CVA'!$AM$73)*1</f>
        <v>240.23169808994982</v>
      </c>
      <c r="AA2006" s="6">
        <f>('TE BE'!$AB$44+'TE BF'!$AB$44+'TE CVA'!$AB$44)*1</f>
        <v>181.29694598007282</v>
      </c>
      <c r="AB2006" s="6">
        <f>$K$2006*$V$2006</f>
        <v>0</v>
      </c>
      <c r="AC2006" s="6">
        <f>$M$2006*$W$2006</f>
        <v>136.19150999999999</v>
      </c>
      <c r="AD2006" s="6">
        <f>$O$2006*$X$2006</f>
        <v>129.82187999999999</v>
      </c>
      <c r="AE2006" s="6">
        <f>$K$2006*$Y$2006</f>
        <v>0</v>
      </c>
      <c r="AF2006" s="6">
        <f ca="1">$M$2006*$Z$2006</f>
        <v>173.68751771903371</v>
      </c>
      <c r="AG2006" s="6">
        <f>$O$2006*$AA$2006</f>
        <v>131.07769194359264</v>
      </c>
    </row>
    <row r="2007" spans="1:33" ht="11.25" customHeight="1" x14ac:dyDescent="0.25">
      <c r="A2007" s="4" t="s">
        <v>21</v>
      </c>
      <c r="B2007" s="4" t="s">
        <v>47</v>
      </c>
      <c r="C2007" s="4" t="s">
        <v>23</v>
      </c>
      <c r="D2007" s="4" t="s">
        <v>48</v>
      </c>
      <c r="E2007" s="4" t="s">
        <v>49</v>
      </c>
      <c r="F2007" s="4" t="s">
        <v>25</v>
      </c>
      <c r="G2007" s="4" t="s">
        <v>25</v>
      </c>
      <c r="H2007" s="4" t="s">
        <v>25</v>
      </c>
      <c r="I2007" s="5">
        <v>44593</v>
      </c>
      <c r="J2007" s="6">
        <v>0</v>
      </c>
      <c r="K2007" s="6">
        <v>0</v>
      </c>
      <c r="L2007" s="6">
        <v>6176.7560000000003</v>
      </c>
      <c r="M2007" s="6">
        <v>6176.7560000000003</v>
      </c>
      <c r="N2007" s="6">
        <v>6176.7560000000003</v>
      </c>
      <c r="O2007" s="6">
        <v>6176.7560000000003</v>
      </c>
      <c r="P2007" s="6">
        <v>140</v>
      </c>
      <c r="Q2007" s="4" t="s">
        <v>26</v>
      </c>
      <c r="R2007" s="4">
        <v>0</v>
      </c>
      <c r="S2007" s="6">
        <v>0</v>
      </c>
      <c r="T2007" s="6">
        <v>71</v>
      </c>
      <c r="U2007" s="6">
        <v>114</v>
      </c>
      <c r="V2007" s="6">
        <f>IF(ISERROR(VLOOKUP($S$2007,'TAR FIN'!$A$1:$O$116,15,0)),0,VLOOKUP($S$2007,'TAR FIN'!$A$1:$O$116,15,0))</f>
        <v>0</v>
      </c>
      <c r="W2007" s="6">
        <f>IF(ISERROR(VLOOKUP($T$2007,'TAR FIN'!$A$1:$O$116,15,0)),0,VLOOKUP($T$2007,'TAR FIN'!$A$1:$O$116,15,0))</f>
        <v>188.37</v>
      </c>
      <c r="X2007" s="6">
        <f>IF(ISERROR(VLOOKUP($U$2007,'TAR FIN'!$A$1:$O$116,15,0)),0,VLOOKUP($U$2007,'TAR FIN'!$A$1:$O$116,15,0))</f>
        <v>179.56</v>
      </c>
      <c r="Y2007" s="6"/>
      <c r="Z2007" s="6">
        <f ca="1">('TUSD BE'!$AM$73+'TUSD BF'!$AM$73+'TUSD CVA'!$AM$73)*1</f>
        <v>240.23169808994982</v>
      </c>
      <c r="AA2007" s="6">
        <f>('TE BE'!$AB$44+'TE BF'!$AB$44+'TE CVA'!$AB$44)*1</f>
        <v>181.29694598007282</v>
      </c>
      <c r="AB2007" s="6">
        <f>$K$2007*$V$2007</f>
        <v>0</v>
      </c>
      <c r="AC2007" s="6">
        <f>$M$2007*$W$2007</f>
        <v>1163515.5277200001</v>
      </c>
      <c r="AD2007" s="6">
        <f>$O$2007*$X$2007</f>
        <v>1109098.30736</v>
      </c>
      <c r="AE2007" s="6">
        <f>$K$2007*$Y$2007</f>
        <v>0</v>
      </c>
      <c r="AF2007" s="6">
        <f ca="1">$M$2007*$Z$2007</f>
        <v>1483852.5825672862</v>
      </c>
      <c r="AG2007" s="6">
        <f>$O$2007*$AA$2007</f>
        <v>1119826.9988640908</v>
      </c>
    </row>
    <row r="2008" spans="1:33" ht="11.25" customHeight="1" x14ac:dyDescent="0.25">
      <c r="A2008" s="4" t="s">
        <v>21</v>
      </c>
      <c r="B2008" s="4" t="s">
        <v>47</v>
      </c>
      <c r="C2008" s="4" t="s">
        <v>23</v>
      </c>
      <c r="D2008" s="4" t="s">
        <v>48</v>
      </c>
      <c r="E2008" s="4" t="s">
        <v>49</v>
      </c>
      <c r="F2008" s="4" t="s">
        <v>25</v>
      </c>
      <c r="G2008" s="4" t="s">
        <v>25</v>
      </c>
      <c r="H2008" s="4" t="s">
        <v>25</v>
      </c>
      <c r="I2008" s="5">
        <v>44621</v>
      </c>
      <c r="J2008" s="6">
        <v>0</v>
      </c>
      <c r="K2008" s="6">
        <v>0</v>
      </c>
      <c r="L2008" s="6">
        <v>6887.21</v>
      </c>
      <c r="M2008" s="6">
        <v>6887.21</v>
      </c>
      <c r="N2008" s="6">
        <v>6887.21</v>
      </c>
      <c r="O2008" s="6">
        <v>6887.21</v>
      </c>
      <c r="P2008" s="6">
        <v>138</v>
      </c>
      <c r="Q2008" s="4" t="s">
        <v>26</v>
      </c>
      <c r="R2008" s="4">
        <v>0</v>
      </c>
      <c r="S2008" s="6">
        <v>0</v>
      </c>
      <c r="T2008" s="6">
        <v>71</v>
      </c>
      <c r="U2008" s="6">
        <v>114</v>
      </c>
      <c r="V2008" s="6">
        <f>IF(ISERROR(VLOOKUP($S$2008,'TAR FIN'!$A$1:$O$116,15,0)),0,VLOOKUP($S$2008,'TAR FIN'!$A$1:$O$116,15,0))</f>
        <v>0</v>
      </c>
      <c r="W2008" s="6">
        <f>IF(ISERROR(VLOOKUP($T$2008,'TAR FIN'!$A$1:$O$116,15,0)),0,VLOOKUP($T$2008,'TAR FIN'!$A$1:$O$116,15,0))</f>
        <v>188.37</v>
      </c>
      <c r="X2008" s="6">
        <f>IF(ISERROR(VLOOKUP($U$2008,'TAR FIN'!$A$1:$O$116,15,0)),0,VLOOKUP($U$2008,'TAR FIN'!$A$1:$O$116,15,0))</f>
        <v>179.56</v>
      </c>
      <c r="Y2008" s="6"/>
      <c r="Z2008" s="6">
        <f ca="1">('TUSD BE'!$AM$73+'TUSD BF'!$AM$73+'TUSD CVA'!$AM$73)*1</f>
        <v>240.23169808994982</v>
      </c>
      <c r="AA2008" s="6">
        <f>('TE BE'!$AB$44+'TE BF'!$AB$44+'TE CVA'!$AB$44)*1</f>
        <v>181.29694598007282</v>
      </c>
      <c r="AB2008" s="6">
        <f>$K$2008*$V$2008</f>
        <v>0</v>
      </c>
      <c r="AC2008" s="6">
        <f>$M$2008*$W$2008</f>
        <v>1297343.7476999999</v>
      </c>
      <c r="AD2008" s="6">
        <f>$O$2008*$X$2008</f>
        <v>1236667.4276000001</v>
      </c>
      <c r="AE2008" s="6">
        <f>$K$2008*$Y$2008</f>
        <v>0</v>
      </c>
      <c r="AF2008" s="6">
        <f ca="1">$M$2008*$Z$2008</f>
        <v>1654526.1534020833</v>
      </c>
      <c r="AG2008" s="6">
        <f>$O$2008*$AA$2008</f>
        <v>1248630.1393234173</v>
      </c>
    </row>
    <row r="2009" spans="1:33" ht="11.25" customHeight="1" x14ac:dyDescent="0.25">
      <c r="A2009" s="4" t="s">
        <v>21</v>
      </c>
      <c r="B2009" s="4" t="s">
        <v>47</v>
      </c>
      <c r="C2009" s="4" t="s">
        <v>23</v>
      </c>
      <c r="D2009" s="4" t="s">
        <v>48</v>
      </c>
      <c r="E2009" s="4" t="s">
        <v>49</v>
      </c>
      <c r="F2009" s="4" t="s">
        <v>25</v>
      </c>
      <c r="G2009" s="4" t="s">
        <v>25</v>
      </c>
      <c r="H2009" s="4" t="s">
        <v>25</v>
      </c>
      <c r="I2009" s="5">
        <v>44652</v>
      </c>
      <c r="J2009" s="6">
        <v>0</v>
      </c>
      <c r="K2009" s="6">
        <v>0</v>
      </c>
      <c r="L2009" s="6">
        <v>6669.76</v>
      </c>
      <c r="M2009" s="6">
        <v>6669.76</v>
      </c>
      <c r="N2009" s="6">
        <v>6669.76</v>
      </c>
      <c r="O2009" s="6">
        <v>6669.76</v>
      </c>
      <c r="P2009" s="6">
        <v>140</v>
      </c>
      <c r="Q2009" s="4" t="s">
        <v>26</v>
      </c>
      <c r="R2009" s="4">
        <v>0</v>
      </c>
      <c r="S2009" s="6">
        <v>0</v>
      </c>
      <c r="T2009" s="6">
        <v>71</v>
      </c>
      <c r="U2009" s="6">
        <v>114</v>
      </c>
      <c r="V2009" s="6">
        <f>IF(ISERROR(VLOOKUP($S$2009,'TAR FIN'!$A$1:$O$116,15,0)),0,VLOOKUP($S$2009,'TAR FIN'!$A$1:$O$116,15,0))</f>
        <v>0</v>
      </c>
      <c r="W2009" s="6">
        <f>IF(ISERROR(VLOOKUP($T$2009,'TAR FIN'!$A$1:$O$116,15,0)),0,VLOOKUP($T$2009,'TAR FIN'!$A$1:$O$116,15,0))</f>
        <v>188.37</v>
      </c>
      <c r="X2009" s="6">
        <f>IF(ISERROR(VLOOKUP($U$2009,'TAR FIN'!$A$1:$O$116,15,0)),0,VLOOKUP($U$2009,'TAR FIN'!$A$1:$O$116,15,0))</f>
        <v>179.56</v>
      </c>
      <c r="Y2009" s="6"/>
      <c r="Z2009" s="6">
        <f ca="1">('TUSD BE'!$AM$73+'TUSD BF'!$AM$73+'TUSD CVA'!$AM$73)*1</f>
        <v>240.23169808994982</v>
      </c>
      <c r="AA2009" s="6">
        <f>('TE BE'!$AB$44+'TE BF'!$AB$44+'TE CVA'!$AB$44)*1</f>
        <v>181.29694598007282</v>
      </c>
      <c r="AB2009" s="6">
        <f>$K$2009*$V$2009</f>
        <v>0</v>
      </c>
      <c r="AC2009" s="6">
        <f>$M$2009*$W$2009</f>
        <v>1256382.6912</v>
      </c>
      <c r="AD2009" s="6">
        <f>$O$2009*$X$2009</f>
        <v>1197622.1056000001</v>
      </c>
      <c r="AE2009" s="6">
        <f>$K$2009*$Y$2009</f>
        <v>0</v>
      </c>
      <c r="AF2009" s="6">
        <f ca="1">$M$2009*$Z$2009</f>
        <v>1602287.7706524238</v>
      </c>
      <c r="AG2009" s="6">
        <f>$O$2009*$AA$2009</f>
        <v>1209207.1184200505</v>
      </c>
    </row>
    <row r="2010" spans="1:33" ht="11.25" customHeight="1" x14ac:dyDescent="0.25">
      <c r="A2010" s="4" t="s">
        <v>58</v>
      </c>
      <c r="B2010" s="4" t="s">
        <v>47</v>
      </c>
      <c r="C2010" s="4" t="s">
        <v>23</v>
      </c>
      <c r="D2010" s="4" t="s">
        <v>48</v>
      </c>
      <c r="E2010" s="4" t="s">
        <v>49</v>
      </c>
      <c r="F2010" s="4" t="s">
        <v>25</v>
      </c>
      <c r="G2010" s="4" t="s">
        <v>25</v>
      </c>
      <c r="H2010" s="4" t="s">
        <v>25</v>
      </c>
      <c r="I2010" s="5">
        <v>44682</v>
      </c>
      <c r="J2010" s="6">
        <v>0</v>
      </c>
      <c r="K2010" s="6">
        <v>0</v>
      </c>
      <c r="L2010" s="6">
        <v>6669.76</v>
      </c>
      <c r="M2010" s="6">
        <v>6669.76</v>
      </c>
      <c r="N2010" s="6">
        <v>6669.76</v>
      </c>
      <c r="O2010" s="6">
        <v>6669.76</v>
      </c>
      <c r="P2010" s="6">
        <v>140</v>
      </c>
      <c r="Q2010" s="4" t="s">
        <v>26</v>
      </c>
      <c r="R2010" s="4">
        <v>0</v>
      </c>
      <c r="S2010" s="6">
        <v>0</v>
      </c>
      <c r="T2010" s="6">
        <v>71</v>
      </c>
      <c r="U2010" s="6">
        <v>114</v>
      </c>
      <c r="V2010" s="6">
        <f>IF(ISERROR(VLOOKUP($S$2010,'TAR FIN'!$A$1:$O$116,15,0)),0,VLOOKUP($S$2010,'TAR FIN'!$A$1:$O$116,15,0))</f>
        <v>0</v>
      </c>
      <c r="W2010" s="6">
        <f>IF(ISERROR(VLOOKUP($T$2010,'TAR FIN'!$A$1:$O$116,15,0)),0,VLOOKUP($T$2010,'TAR FIN'!$A$1:$O$116,15,0))</f>
        <v>188.37</v>
      </c>
      <c r="X2010" s="6">
        <f>IF(ISERROR(VLOOKUP($U$2010,'TAR FIN'!$A$1:$O$116,15,0)),0,VLOOKUP($U$2010,'TAR FIN'!$A$1:$O$116,15,0))</f>
        <v>179.56</v>
      </c>
      <c r="Y2010" s="6"/>
      <c r="Z2010" s="6">
        <f ca="1">('TUSD BE'!$AM$73+'TUSD BF'!$AM$73+'TUSD CVA'!$AM$73)*1</f>
        <v>240.23169808994982</v>
      </c>
      <c r="AA2010" s="6">
        <f>('TE BE'!$AB$44+'TE BF'!$AB$44+'TE CVA'!$AB$44)*1</f>
        <v>181.29694598007282</v>
      </c>
      <c r="AB2010" s="6">
        <f>$K$2010*$V$2010</f>
        <v>0</v>
      </c>
      <c r="AC2010" s="6">
        <f>$M$2010*$W$2010</f>
        <v>1256382.6912</v>
      </c>
      <c r="AD2010" s="6">
        <f>$O$2010*$X$2010</f>
        <v>1197622.1056000001</v>
      </c>
      <c r="AE2010" s="6">
        <f>$K$2010*$Y$2010</f>
        <v>0</v>
      </c>
      <c r="AF2010" s="6">
        <f ca="1">$M$2010*$Z$2010</f>
        <v>1602287.7706524238</v>
      </c>
      <c r="AG2010" s="6">
        <f>$O$2010*$AA$2010</f>
        <v>1209207.1184200505</v>
      </c>
    </row>
    <row r="2011" spans="1:33" ht="11.25" customHeight="1" x14ac:dyDescent="0.25">
      <c r="A2011" s="4" t="s">
        <v>21</v>
      </c>
      <c r="B2011" s="4" t="s">
        <v>47</v>
      </c>
      <c r="C2011" s="4" t="s">
        <v>23</v>
      </c>
      <c r="D2011" s="4" t="s">
        <v>48</v>
      </c>
      <c r="E2011" s="4" t="s">
        <v>50</v>
      </c>
      <c r="F2011" s="4" t="s">
        <v>25</v>
      </c>
      <c r="G2011" s="4" t="s">
        <v>25</v>
      </c>
      <c r="H2011" s="4" t="s">
        <v>25</v>
      </c>
      <c r="I2011" s="5">
        <v>44348</v>
      </c>
      <c r="J2011" s="6">
        <v>0</v>
      </c>
      <c r="K2011" s="6">
        <v>0</v>
      </c>
      <c r="L2011" s="6">
        <v>138.715</v>
      </c>
      <c r="M2011" s="6">
        <v>138.715</v>
      </c>
      <c r="N2011" s="6">
        <v>138.715</v>
      </c>
      <c r="O2011" s="6">
        <v>138.715</v>
      </c>
      <c r="P2011" s="6">
        <v>5</v>
      </c>
      <c r="Q2011" s="4" t="s">
        <v>26</v>
      </c>
      <c r="R2011" s="4">
        <v>0</v>
      </c>
      <c r="S2011" s="6">
        <v>0</v>
      </c>
      <c r="T2011" s="6">
        <v>72</v>
      </c>
      <c r="U2011" s="6">
        <v>115</v>
      </c>
      <c r="V2011" s="6">
        <f>IF(ISERROR(VLOOKUP($S$2011,'TAR FIN'!$A$1:$O$116,15,0)),0,VLOOKUP($S$2011,'TAR FIN'!$A$1:$O$116,15,0))</f>
        <v>0</v>
      </c>
      <c r="W2011" s="6">
        <f>IF(ISERROR(VLOOKUP($T$2011,'TAR FIN'!$A$1:$O$116,15,0)),0,VLOOKUP($T$2011,'TAR FIN'!$A$1:$O$116,15,0))</f>
        <v>205.49</v>
      </c>
      <c r="X2011" s="6">
        <f>IF(ISERROR(VLOOKUP($U$2011,'TAR FIN'!$A$1:$O$116,15,0)),0,VLOOKUP($U$2011,'TAR FIN'!$A$1:$O$116,15,0))</f>
        <v>195.88</v>
      </c>
      <c r="Y2011" s="6"/>
      <c r="Z2011" s="6">
        <f ca="1">('TUSD BE'!$AM$74+'TUSD BF'!$AM$74+'TUSD CVA'!$AM$74)*1</f>
        <v>262.07094337085437</v>
      </c>
      <c r="AA2011" s="6">
        <f>('TE BE'!$AB$45+'TE BF'!$AB$45+'TE CVA'!$AB$45)*1</f>
        <v>197.77848652371577</v>
      </c>
      <c r="AB2011" s="6">
        <f>$K$2011*$V$2011</f>
        <v>0</v>
      </c>
      <c r="AC2011" s="6">
        <f>$M$2011*$W$2011</f>
        <v>28504.54535</v>
      </c>
      <c r="AD2011" s="6">
        <f>$O$2011*$X$2011</f>
        <v>27171.494200000001</v>
      </c>
      <c r="AE2011" s="6">
        <f>$K$2011*$Y$2011</f>
        <v>0</v>
      </c>
      <c r="AF2011" s="6">
        <f ca="1">$M$2011*$Z$2011</f>
        <v>36353.170909688066</v>
      </c>
      <c r="AG2011" s="6">
        <f>$O$2011*$AA$2011</f>
        <v>27434.842758137234</v>
      </c>
    </row>
    <row r="2012" spans="1:33" ht="11.25" customHeight="1" x14ac:dyDescent="0.25">
      <c r="A2012" s="4" t="s">
        <v>21</v>
      </c>
      <c r="B2012" s="4" t="s">
        <v>47</v>
      </c>
      <c r="C2012" s="4" t="s">
        <v>23</v>
      </c>
      <c r="D2012" s="4" t="s">
        <v>48</v>
      </c>
      <c r="E2012" s="4" t="s">
        <v>50</v>
      </c>
      <c r="F2012" s="4" t="s">
        <v>25</v>
      </c>
      <c r="G2012" s="4" t="s">
        <v>25</v>
      </c>
      <c r="H2012" s="4" t="s">
        <v>25</v>
      </c>
      <c r="I2012" s="5">
        <v>44378</v>
      </c>
      <c r="J2012" s="6">
        <v>0</v>
      </c>
      <c r="K2012" s="6">
        <v>0</v>
      </c>
      <c r="L2012" s="6">
        <v>143.33799999999999</v>
      </c>
      <c r="M2012" s="6">
        <v>143.33799999999999</v>
      </c>
      <c r="N2012" s="6">
        <v>143.33799999999999</v>
      </c>
      <c r="O2012" s="6">
        <v>143.33799999999999</v>
      </c>
      <c r="P2012" s="6">
        <v>5</v>
      </c>
      <c r="Q2012" s="4" t="s">
        <v>26</v>
      </c>
      <c r="R2012" s="4">
        <v>0</v>
      </c>
      <c r="S2012" s="6">
        <v>0</v>
      </c>
      <c r="T2012" s="6">
        <v>72</v>
      </c>
      <c r="U2012" s="6">
        <v>115</v>
      </c>
      <c r="V2012" s="6">
        <f>IF(ISERROR(VLOOKUP($S$2012,'TAR FIN'!$A$1:$O$116,15,0)),0,VLOOKUP($S$2012,'TAR FIN'!$A$1:$O$116,15,0))</f>
        <v>0</v>
      </c>
      <c r="W2012" s="6">
        <f>IF(ISERROR(VLOOKUP($T$2012,'TAR FIN'!$A$1:$O$116,15,0)),0,VLOOKUP($T$2012,'TAR FIN'!$A$1:$O$116,15,0))</f>
        <v>205.49</v>
      </c>
      <c r="X2012" s="6">
        <f>IF(ISERROR(VLOOKUP($U$2012,'TAR FIN'!$A$1:$O$116,15,0)),0,VLOOKUP($U$2012,'TAR FIN'!$A$1:$O$116,15,0))</f>
        <v>195.88</v>
      </c>
      <c r="Y2012" s="6"/>
      <c r="Z2012" s="6">
        <f ca="1">('TUSD BE'!$AM$74+'TUSD BF'!$AM$74+'TUSD CVA'!$AM$74)*1</f>
        <v>262.07094337085437</v>
      </c>
      <c r="AA2012" s="6">
        <f>('TE BE'!$AB$45+'TE BF'!$AB$45+'TE CVA'!$AB$45)*1</f>
        <v>197.77848652371577</v>
      </c>
      <c r="AB2012" s="6">
        <f>$K$2012*$V$2012</f>
        <v>0</v>
      </c>
      <c r="AC2012" s="6">
        <f>$M$2012*$W$2012</f>
        <v>29454.52562</v>
      </c>
      <c r="AD2012" s="6">
        <f>$O$2012*$X$2012</f>
        <v>28077.047439999998</v>
      </c>
      <c r="AE2012" s="6">
        <f>$K$2012*$Y$2012</f>
        <v>0</v>
      </c>
      <c r="AF2012" s="6">
        <f ca="1">$M$2012*$Z$2012</f>
        <v>37564.724880891525</v>
      </c>
      <c r="AG2012" s="6">
        <f>$O$2012*$AA$2012</f>
        <v>28349.172701336371</v>
      </c>
    </row>
    <row r="2013" spans="1:33" ht="11.25" customHeight="1" x14ac:dyDescent="0.25">
      <c r="A2013" s="4" t="s">
        <v>21</v>
      </c>
      <c r="B2013" s="4" t="s">
        <v>47</v>
      </c>
      <c r="C2013" s="4" t="s">
        <v>23</v>
      </c>
      <c r="D2013" s="4" t="s">
        <v>48</v>
      </c>
      <c r="E2013" s="4" t="s">
        <v>50</v>
      </c>
      <c r="F2013" s="4" t="s">
        <v>25</v>
      </c>
      <c r="G2013" s="4" t="s">
        <v>25</v>
      </c>
      <c r="H2013" s="4" t="s">
        <v>25</v>
      </c>
      <c r="I2013" s="5">
        <v>44409</v>
      </c>
      <c r="J2013" s="6">
        <v>0</v>
      </c>
      <c r="K2013" s="6">
        <v>0</v>
      </c>
      <c r="L2013" s="6">
        <v>143.35599999999999</v>
      </c>
      <c r="M2013" s="6">
        <v>143.35599999999999</v>
      </c>
      <c r="N2013" s="6">
        <v>143.35599999999999</v>
      </c>
      <c r="O2013" s="6">
        <v>143.35599999999999</v>
      </c>
      <c r="P2013" s="6">
        <v>5</v>
      </c>
      <c r="Q2013" s="4" t="s">
        <v>26</v>
      </c>
      <c r="R2013" s="4">
        <v>0</v>
      </c>
      <c r="S2013" s="6">
        <v>0</v>
      </c>
      <c r="T2013" s="6">
        <v>72</v>
      </c>
      <c r="U2013" s="6">
        <v>115</v>
      </c>
      <c r="V2013" s="6">
        <f>IF(ISERROR(VLOOKUP($S$2013,'TAR FIN'!$A$1:$O$116,15,0)),0,VLOOKUP($S$2013,'TAR FIN'!$A$1:$O$116,15,0))</f>
        <v>0</v>
      </c>
      <c r="W2013" s="6">
        <f>IF(ISERROR(VLOOKUP($T$2013,'TAR FIN'!$A$1:$O$116,15,0)),0,VLOOKUP($T$2013,'TAR FIN'!$A$1:$O$116,15,0))</f>
        <v>205.49</v>
      </c>
      <c r="X2013" s="6">
        <f>IF(ISERROR(VLOOKUP($U$2013,'TAR FIN'!$A$1:$O$116,15,0)),0,VLOOKUP($U$2013,'TAR FIN'!$A$1:$O$116,15,0))</f>
        <v>195.88</v>
      </c>
      <c r="Y2013" s="6"/>
      <c r="Z2013" s="6">
        <f ca="1">('TUSD BE'!$AM$74+'TUSD BF'!$AM$74+'TUSD CVA'!$AM$74)*1</f>
        <v>262.07094337085437</v>
      </c>
      <c r="AA2013" s="6">
        <f>('TE BE'!$AB$45+'TE BF'!$AB$45+'TE CVA'!$AB$45)*1</f>
        <v>197.77848652371577</v>
      </c>
      <c r="AB2013" s="6">
        <f>$K$2013*$V$2013</f>
        <v>0</v>
      </c>
      <c r="AC2013" s="6">
        <f>$M$2013*$W$2013</f>
        <v>29458.224440000002</v>
      </c>
      <c r="AD2013" s="6">
        <f>$O$2013*$X$2013</f>
        <v>28080.573279999997</v>
      </c>
      <c r="AE2013" s="6">
        <f>$K$2013*$Y$2013</f>
        <v>0</v>
      </c>
      <c r="AF2013" s="6">
        <f ca="1">$M$2013*$Z$2013</f>
        <v>37569.442157872196</v>
      </c>
      <c r="AG2013" s="6">
        <f>$O$2013*$AA$2013</f>
        <v>28352.732714093796</v>
      </c>
    </row>
    <row r="2014" spans="1:33" ht="11.25" customHeight="1" x14ac:dyDescent="0.25">
      <c r="A2014" s="4" t="s">
        <v>21</v>
      </c>
      <c r="B2014" s="4" t="s">
        <v>47</v>
      </c>
      <c r="C2014" s="4" t="s">
        <v>23</v>
      </c>
      <c r="D2014" s="4" t="s">
        <v>48</v>
      </c>
      <c r="E2014" s="4" t="s">
        <v>50</v>
      </c>
      <c r="F2014" s="4" t="s">
        <v>25</v>
      </c>
      <c r="G2014" s="4" t="s">
        <v>25</v>
      </c>
      <c r="H2014" s="4" t="s">
        <v>25</v>
      </c>
      <c r="I2014" s="5">
        <v>44440</v>
      </c>
      <c r="J2014" s="6">
        <v>0</v>
      </c>
      <c r="K2014" s="6">
        <v>0</v>
      </c>
      <c r="L2014" s="6">
        <v>127.852</v>
      </c>
      <c r="M2014" s="6">
        <v>127.852</v>
      </c>
      <c r="N2014" s="6">
        <v>127.852</v>
      </c>
      <c r="O2014" s="6">
        <v>127.852</v>
      </c>
      <c r="P2014" s="6">
        <v>5</v>
      </c>
      <c r="Q2014" s="4" t="s">
        <v>26</v>
      </c>
      <c r="R2014" s="4">
        <v>0</v>
      </c>
      <c r="S2014" s="6">
        <v>0</v>
      </c>
      <c r="T2014" s="6">
        <v>72</v>
      </c>
      <c r="U2014" s="6">
        <v>115</v>
      </c>
      <c r="V2014" s="6">
        <f>IF(ISERROR(VLOOKUP($S$2014,'TAR FIN'!$A$1:$O$116,15,0)),0,VLOOKUP($S$2014,'TAR FIN'!$A$1:$O$116,15,0))</f>
        <v>0</v>
      </c>
      <c r="W2014" s="6">
        <f>IF(ISERROR(VLOOKUP($T$2014,'TAR FIN'!$A$1:$O$116,15,0)),0,VLOOKUP($T$2014,'TAR FIN'!$A$1:$O$116,15,0))</f>
        <v>205.49</v>
      </c>
      <c r="X2014" s="6">
        <f>IF(ISERROR(VLOOKUP($U$2014,'TAR FIN'!$A$1:$O$116,15,0)),0,VLOOKUP($U$2014,'TAR FIN'!$A$1:$O$116,15,0))</f>
        <v>195.88</v>
      </c>
      <c r="Y2014" s="6"/>
      <c r="Z2014" s="6">
        <f ca="1">('TUSD BE'!$AM$74+'TUSD BF'!$AM$74+'TUSD CVA'!$AM$74)*1</f>
        <v>262.07094337085437</v>
      </c>
      <c r="AA2014" s="6">
        <f>('TE BE'!$AB$45+'TE BF'!$AB$45+'TE CVA'!$AB$45)*1</f>
        <v>197.77848652371577</v>
      </c>
      <c r="AB2014" s="6">
        <f>$K$2014*$V$2014</f>
        <v>0</v>
      </c>
      <c r="AC2014" s="6">
        <f>$M$2014*$W$2014</f>
        <v>26272.307480000003</v>
      </c>
      <c r="AD2014" s="6">
        <f>$O$2014*$X$2014</f>
        <v>25043.64976</v>
      </c>
      <c r="AE2014" s="6">
        <f>$K$2014*$Y$2014</f>
        <v>0</v>
      </c>
      <c r="AF2014" s="6">
        <f ca="1">$M$2014*$Z$2014</f>
        <v>33506.294251850471</v>
      </c>
      <c r="AG2014" s="6">
        <f>$O$2014*$AA$2014</f>
        <v>25286.37505903011</v>
      </c>
    </row>
    <row r="2015" spans="1:33" ht="11.25" customHeight="1" x14ac:dyDescent="0.25">
      <c r="A2015" s="4" t="s">
        <v>21</v>
      </c>
      <c r="B2015" s="4" t="s">
        <v>47</v>
      </c>
      <c r="C2015" s="4" t="s">
        <v>23</v>
      </c>
      <c r="D2015" s="4" t="s">
        <v>48</v>
      </c>
      <c r="E2015" s="4" t="s">
        <v>50</v>
      </c>
      <c r="F2015" s="4" t="s">
        <v>25</v>
      </c>
      <c r="G2015" s="4" t="s">
        <v>25</v>
      </c>
      <c r="H2015" s="4" t="s">
        <v>25</v>
      </c>
      <c r="I2015" s="5">
        <v>44470</v>
      </c>
      <c r="J2015" s="6">
        <v>0</v>
      </c>
      <c r="K2015" s="6">
        <v>0</v>
      </c>
      <c r="L2015" s="6">
        <v>132.10499999999999</v>
      </c>
      <c r="M2015" s="6">
        <v>132.10499999999999</v>
      </c>
      <c r="N2015" s="6">
        <v>132.10499999999999</v>
      </c>
      <c r="O2015" s="6">
        <v>132.10499999999999</v>
      </c>
      <c r="P2015" s="6">
        <v>5</v>
      </c>
      <c r="Q2015" s="4" t="s">
        <v>26</v>
      </c>
      <c r="R2015" s="4">
        <v>0</v>
      </c>
      <c r="S2015" s="6">
        <v>0</v>
      </c>
      <c r="T2015" s="6">
        <v>72</v>
      </c>
      <c r="U2015" s="6">
        <v>115</v>
      </c>
      <c r="V2015" s="6">
        <f>IF(ISERROR(VLOOKUP($S$2015,'TAR FIN'!$A$1:$O$116,15,0)),0,VLOOKUP($S$2015,'TAR FIN'!$A$1:$O$116,15,0))</f>
        <v>0</v>
      </c>
      <c r="W2015" s="6">
        <f>IF(ISERROR(VLOOKUP($T$2015,'TAR FIN'!$A$1:$O$116,15,0)),0,VLOOKUP($T$2015,'TAR FIN'!$A$1:$O$116,15,0))</f>
        <v>205.49</v>
      </c>
      <c r="X2015" s="6">
        <f>IF(ISERROR(VLOOKUP($U$2015,'TAR FIN'!$A$1:$O$116,15,0)),0,VLOOKUP($U$2015,'TAR FIN'!$A$1:$O$116,15,0))</f>
        <v>195.88</v>
      </c>
      <c r="Y2015" s="6"/>
      <c r="Z2015" s="6">
        <f ca="1">('TUSD BE'!$AM$74+'TUSD BF'!$AM$74+'TUSD CVA'!$AM$74)*1</f>
        <v>262.07094337085437</v>
      </c>
      <c r="AA2015" s="6">
        <f>('TE BE'!$AB$45+'TE BF'!$AB$45+'TE CVA'!$AB$45)*1</f>
        <v>197.77848652371577</v>
      </c>
      <c r="AB2015" s="6">
        <f>$K$2015*$V$2015</f>
        <v>0</v>
      </c>
      <c r="AC2015" s="6">
        <f>$M$2015*$W$2015</f>
        <v>27146.256450000001</v>
      </c>
      <c r="AD2015" s="6">
        <f>$O$2015*$X$2015</f>
        <v>25876.727399999996</v>
      </c>
      <c r="AE2015" s="6">
        <f>$K$2015*$Y$2015</f>
        <v>0</v>
      </c>
      <c r="AF2015" s="6">
        <f ca="1">$M$2015*$Z$2015</f>
        <v>34620.881974006712</v>
      </c>
      <c r="AG2015" s="6">
        <f>$O$2015*$AA$2015</f>
        <v>26127.52696221547</v>
      </c>
    </row>
    <row r="2016" spans="1:33" ht="11.25" customHeight="1" x14ac:dyDescent="0.25">
      <c r="A2016" s="4" t="s">
        <v>21</v>
      </c>
      <c r="B2016" s="4" t="s">
        <v>47</v>
      </c>
      <c r="C2016" s="4" t="s">
        <v>23</v>
      </c>
      <c r="D2016" s="4" t="s">
        <v>48</v>
      </c>
      <c r="E2016" s="4" t="s">
        <v>50</v>
      </c>
      <c r="F2016" s="4" t="s">
        <v>25</v>
      </c>
      <c r="G2016" s="4" t="s">
        <v>25</v>
      </c>
      <c r="H2016" s="4" t="s">
        <v>25</v>
      </c>
      <c r="I2016" s="5">
        <v>44501</v>
      </c>
      <c r="J2016" s="6">
        <v>0</v>
      </c>
      <c r="K2016" s="6">
        <v>0</v>
      </c>
      <c r="L2016" s="6">
        <v>127.845</v>
      </c>
      <c r="M2016" s="6">
        <v>127.845</v>
      </c>
      <c r="N2016" s="6">
        <v>127.845</v>
      </c>
      <c r="O2016" s="6">
        <v>127.845</v>
      </c>
      <c r="P2016" s="6">
        <v>5</v>
      </c>
      <c r="Q2016" s="4" t="s">
        <v>26</v>
      </c>
      <c r="R2016" s="4">
        <v>0</v>
      </c>
      <c r="S2016" s="6">
        <v>0</v>
      </c>
      <c r="T2016" s="6">
        <v>72</v>
      </c>
      <c r="U2016" s="6">
        <v>115</v>
      </c>
      <c r="V2016" s="6">
        <f>IF(ISERROR(VLOOKUP($S$2016,'TAR FIN'!$A$1:$O$116,15,0)),0,VLOOKUP($S$2016,'TAR FIN'!$A$1:$O$116,15,0))</f>
        <v>0</v>
      </c>
      <c r="W2016" s="6">
        <f>IF(ISERROR(VLOOKUP($T$2016,'TAR FIN'!$A$1:$O$116,15,0)),0,VLOOKUP($T$2016,'TAR FIN'!$A$1:$O$116,15,0))</f>
        <v>205.49</v>
      </c>
      <c r="X2016" s="6">
        <f>IF(ISERROR(VLOOKUP($U$2016,'TAR FIN'!$A$1:$O$116,15,0)),0,VLOOKUP($U$2016,'TAR FIN'!$A$1:$O$116,15,0))</f>
        <v>195.88</v>
      </c>
      <c r="Y2016" s="6"/>
      <c r="Z2016" s="6">
        <f ca="1">('TUSD BE'!$AM$74+'TUSD BF'!$AM$74+'TUSD CVA'!$AM$74)*1</f>
        <v>262.07094337085437</v>
      </c>
      <c r="AA2016" s="6">
        <f>('TE BE'!$AB$45+'TE BF'!$AB$45+'TE CVA'!$AB$45)*1</f>
        <v>197.77848652371577</v>
      </c>
      <c r="AB2016" s="6">
        <f>$K$2016*$V$2016</f>
        <v>0</v>
      </c>
      <c r="AC2016" s="6">
        <f>$M$2016*$W$2016</f>
        <v>26270.869050000001</v>
      </c>
      <c r="AD2016" s="6">
        <f>$O$2016*$X$2016</f>
        <v>25042.278599999998</v>
      </c>
      <c r="AE2016" s="6">
        <f>$K$2016*$Y$2016</f>
        <v>0</v>
      </c>
      <c r="AF2016" s="6">
        <f ca="1">$M$2016*$Z$2016</f>
        <v>33504.459755246877</v>
      </c>
      <c r="AG2016" s="6">
        <f>$O$2016*$AA$2016</f>
        <v>25284.990609624441</v>
      </c>
    </row>
    <row r="2017" spans="1:33" ht="11.25" customHeight="1" x14ac:dyDescent="0.25">
      <c r="A2017" s="4" t="s">
        <v>21</v>
      </c>
      <c r="B2017" s="4" t="s">
        <v>47</v>
      </c>
      <c r="C2017" s="4" t="s">
        <v>23</v>
      </c>
      <c r="D2017" s="4" t="s">
        <v>48</v>
      </c>
      <c r="E2017" s="4" t="s">
        <v>50</v>
      </c>
      <c r="F2017" s="4" t="s">
        <v>25</v>
      </c>
      <c r="G2017" s="4" t="s">
        <v>25</v>
      </c>
      <c r="H2017" s="4" t="s">
        <v>25</v>
      </c>
      <c r="I2017" s="5">
        <v>44531</v>
      </c>
      <c r="J2017" s="6">
        <v>0</v>
      </c>
      <c r="K2017" s="6">
        <v>0</v>
      </c>
      <c r="L2017" s="6">
        <v>131.18299999999999</v>
      </c>
      <c r="M2017" s="6">
        <v>131.18299999999999</v>
      </c>
      <c r="N2017" s="6">
        <v>131.18299999999999</v>
      </c>
      <c r="O2017" s="6">
        <v>131.18299999999999</v>
      </c>
      <c r="P2017" s="6">
        <v>5</v>
      </c>
      <c r="Q2017" s="4" t="s">
        <v>26</v>
      </c>
      <c r="R2017" s="4">
        <v>0</v>
      </c>
      <c r="S2017" s="6">
        <v>0</v>
      </c>
      <c r="T2017" s="6">
        <v>72</v>
      </c>
      <c r="U2017" s="6">
        <v>115</v>
      </c>
      <c r="V2017" s="6">
        <f>IF(ISERROR(VLOOKUP($S$2017,'TAR FIN'!$A$1:$O$116,15,0)),0,VLOOKUP($S$2017,'TAR FIN'!$A$1:$O$116,15,0))</f>
        <v>0</v>
      </c>
      <c r="W2017" s="6">
        <f>IF(ISERROR(VLOOKUP($T$2017,'TAR FIN'!$A$1:$O$116,15,0)),0,VLOOKUP($T$2017,'TAR FIN'!$A$1:$O$116,15,0))</f>
        <v>205.49</v>
      </c>
      <c r="X2017" s="6">
        <f>IF(ISERROR(VLOOKUP($U$2017,'TAR FIN'!$A$1:$O$116,15,0)),0,VLOOKUP($U$2017,'TAR FIN'!$A$1:$O$116,15,0))</f>
        <v>195.88</v>
      </c>
      <c r="Y2017" s="6"/>
      <c r="Z2017" s="6">
        <f ca="1">('TUSD BE'!$AM$74+'TUSD BF'!$AM$74+'TUSD CVA'!$AM$74)*1</f>
        <v>262.07094337085437</v>
      </c>
      <c r="AA2017" s="6">
        <f>('TE BE'!$AB$45+'TE BF'!$AB$45+'TE CVA'!$AB$45)*1</f>
        <v>197.77848652371577</v>
      </c>
      <c r="AB2017" s="6">
        <f>$K$2017*$V$2017</f>
        <v>0</v>
      </c>
      <c r="AC2017" s="6">
        <f>$M$2017*$W$2017</f>
        <v>26956.794669999999</v>
      </c>
      <c r="AD2017" s="6">
        <f>$O$2017*$X$2017</f>
        <v>25696.126039999999</v>
      </c>
      <c r="AE2017" s="6">
        <f>$K$2017*$Y$2017</f>
        <v>0</v>
      </c>
      <c r="AF2017" s="6">
        <f ca="1">$M$2017*$Z$2017</f>
        <v>34379.252564218783</v>
      </c>
      <c r="AG2017" s="6">
        <f>$O$2017*$AA$2017</f>
        <v>25945.175197640605</v>
      </c>
    </row>
    <row r="2018" spans="1:33" ht="11.25" customHeight="1" x14ac:dyDescent="0.25">
      <c r="A2018" s="4" t="s">
        <v>21</v>
      </c>
      <c r="B2018" s="4" t="s">
        <v>47</v>
      </c>
      <c r="C2018" s="4" t="s">
        <v>23</v>
      </c>
      <c r="D2018" s="4" t="s">
        <v>48</v>
      </c>
      <c r="E2018" s="4" t="s">
        <v>50</v>
      </c>
      <c r="F2018" s="4" t="s">
        <v>25</v>
      </c>
      <c r="G2018" s="4" t="s">
        <v>25</v>
      </c>
      <c r="H2018" s="4" t="s">
        <v>25</v>
      </c>
      <c r="I2018" s="5">
        <v>44562</v>
      </c>
      <c r="J2018" s="6">
        <v>0</v>
      </c>
      <c r="K2018" s="6">
        <v>0</v>
      </c>
      <c r="L2018" s="6">
        <v>131.15299999999999</v>
      </c>
      <c r="M2018" s="6">
        <v>131.15299999999999</v>
      </c>
      <c r="N2018" s="6">
        <v>131.15299999999999</v>
      </c>
      <c r="O2018" s="6">
        <v>131.15299999999999</v>
      </c>
      <c r="P2018" s="6">
        <v>5</v>
      </c>
      <c r="Q2018" s="4" t="s">
        <v>26</v>
      </c>
      <c r="R2018" s="4">
        <v>0</v>
      </c>
      <c r="S2018" s="6">
        <v>0</v>
      </c>
      <c r="T2018" s="6">
        <v>72</v>
      </c>
      <c r="U2018" s="6">
        <v>115</v>
      </c>
      <c r="V2018" s="6">
        <f>IF(ISERROR(VLOOKUP($S$2018,'TAR FIN'!$A$1:$O$116,15,0)),0,VLOOKUP($S$2018,'TAR FIN'!$A$1:$O$116,15,0))</f>
        <v>0</v>
      </c>
      <c r="W2018" s="6">
        <f>IF(ISERROR(VLOOKUP($T$2018,'TAR FIN'!$A$1:$O$116,15,0)),0,VLOOKUP($T$2018,'TAR FIN'!$A$1:$O$116,15,0))</f>
        <v>205.49</v>
      </c>
      <c r="X2018" s="6">
        <f>IF(ISERROR(VLOOKUP($U$2018,'TAR FIN'!$A$1:$O$116,15,0)),0,VLOOKUP($U$2018,'TAR FIN'!$A$1:$O$116,15,0))</f>
        <v>195.88</v>
      </c>
      <c r="Y2018" s="6"/>
      <c r="Z2018" s="6">
        <f ca="1">('TUSD BE'!$AM$74+'TUSD BF'!$AM$74+'TUSD CVA'!$AM$74)*1</f>
        <v>262.07094337085437</v>
      </c>
      <c r="AA2018" s="6">
        <f>('TE BE'!$AB$45+'TE BF'!$AB$45+'TE CVA'!$AB$45)*1</f>
        <v>197.77848652371577</v>
      </c>
      <c r="AB2018" s="6">
        <f>$K$2018*$V$2018</f>
        <v>0</v>
      </c>
      <c r="AC2018" s="6">
        <f>$M$2018*$W$2018</f>
        <v>26950.629969999998</v>
      </c>
      <c r="AD2018" s="6">
        <f>$O$2018*$X$2018</f>
        <v>25690.249639999998</v>
      </c>
      <c r="AE2018" s="6">
        <f>$K$2018*$Y$2018</f>
        <v>0</v>
      </c>
      <c r="AF2018" s="6">
        <f ca="1">$M$2018*$Z$2018</f>
        <v>34371.390435917659</v>
      </c>
      <c r="AG2018" s="6">
        <f>$O$2018*$AA$2018</f>
        <v>25939.241843044892</v>
      </c>
    </row>
    <row r="2019" spans="1:33" ht="11.25" customHeight="1" x14ac:dyDescent="0.25">
      <c r="A2019" s="4" t="s">
        <v>21</v>
      </c>
      <c r="B2019" s="4" t="s">
        <v>47</v>
      </c>
      <c r="C2019" s="4" t="s">
        <v>23</v>
      </c>
      <c r="D2019" s="4" t="s">
        <v>48</v>
      </c>
      <c r="E2019" s="4" t="s">
        <v>50</v>
      </c>
      <c r="F2019" s="4" t="s">
        <v>25</v>
      </c>
      <c r="G2019" s="4" t="s">
        <v>25</v>
      </c>
      <c r="H2019" s="4" t="s">
        <v>25</v>
      </c>
      <c r="I2019" s="5">
        <v>44593</v>
      </c>
      <c r="J2019" s="6">
        <v>0</v>
      </c>
      <c r="K2019" s="6">
        <v>0</v>
      </c>
      <c r="L2019" s="6">
        <v>118.465</v>
      </c>
      <c r="M2019" s="6">
        <v>118.465</v>
      </c>
      <c r="N2019" s="6">
        <v>118.465</v>
      </c>
      <c r="O2019" s="6">
        <v>118.465</v>
      </c>
      <c r="P2019" s="6">
        <v>5</v>
      </c>
      <c r="Q2019" s="4" t="s">
        <v>26</v>
      </c>
      <c r="R2019" s="4">
        <v>0</v>
      </c>
      <c r="S2019" s="6">
        <v>0</v>
      </c>
      <c r="T2019" s="6">
        <v>72</v>
      </c>
      <c r="U2019" s="6">
        <v>115</v>
      </c>
      <c r="V2019" s="6">
        <f>IF(ISERROR(VLOOKUP($S$2019,'TAR FIN'!$A$1:$O$116,15,0)),0,VLOOKUP($S$2019,'TAR FIN'!$A$1:$O$116,15,0))</f>
        <v>0</v>
      </c>
      <c r="W2019" s="6">
        <f>IF(ISERROR(VLOOKUP($T$2019,'TAR FIN'!$A$1:$O$116,15,0)),0,VLOOKUP($T$2019,'TAR FIN'!$A$1:$O$116,15,0))</f>
        <v>205.49</v>
      </c>
      <c r="X2019" s="6">
        <f>IF(ISERROR(VLOOKUP($U$2019,'TAR FIN'!$A$1:$O$116,15,0)),0,VLOOKUP($U$2019,'TAR FIN'!$A$1:$O$116,15,0))</f>
        <v>195.88</v>
      </c>
      <c r="Y2019" s="6"/>
      <c r="Z2019" s="6">
        <f ca="1">('TUSD BE'!$AM$74+'TUSD BF'!$AM$74+'TUSD CVA'!$AM$74)*1</f>
        <v>262.07094337085437</v>
      </c>
      <c r="AA2019" s="6">
        <f>('TE BE'!$AB$45+'TE BF'!$AB$45+'TE CVA'!$AB$45)*1</f>
        <v>197.77848652371577</v>
      </c>
      <c r="AB2019" s="6">
        <f>$K$2019*$V$2019</f>
        <v>0</v>
      </c>
      <c r="AC2019" s="6">
        <f>$M$2019*$W$2019</f>
        <v>24343.372850000003</v>
      </c>
      <c r="AD2019" s="6">
        <f>$O$2019*$X$2019</f>
        <v>23204.924200000001</v>
      </c>
      <c r="AE2019" s="6">
        <f>$K$2019*$Y$2019</f>
        <v>0</v>
      </c>
      <c r="AF2019" s="6">
        <f ca="1">$M$2019*$Z$2019</f>
        <v>31046.234306428265</v>
      </c>
      <c r="AG2019" s="6">
        <f>$O$2019*$AA$2019</f>
        <v>23429.828406031989</v>
      </c>
    </row>
    <row r="2020" spans="1:33" ht="11.25" customHeight="1" x14ac:dyDescent="0.25">
      <c r="A2020" s="4" t="s">
        <v>21</v>
      </c>
      <c r="B2020" s="4" t="s">
        <v>47</v>
      </c>
      <c r="C2020" s="4" t="s">
        <v>23</v>
      </c>
      <c r="D2020" s="4" t="s">
        <v>48</v>
      </c>
      <c r="E2020" s="4" t="s">
        <v>50</v>
      </c>
      <c r="F2020" s="4" t="s">
        <v>25</v>
      </c>
      <c r="G2020" s="4" t="s">
        <v>25</v>
      </c>
      <c r="H2020" s="4" t="s">
        <v>25</v>
      </c>
      <c r="I2020" s="5">
        <v>44621</v>
      </c>
      <c r="J2020" s="6">
        <v>0</v>
      </c>
      <c r="K2020" s="6">
        <v>0</v>
      </c>
      <c r="L2020" s="6">
        <v>131.154</v>
      </c>
      <c r="M2020" s="6">
        <v>131.154</v>
      </c>
      <c r="N2020" s="6">
        <v>131.154</v>
      </c>
      <c r="O2020" s="6">
        <v>131.154</v>
      </c>
      <c r="P2020" s="6">
        <v>5</v>
      </c>
      <c r="Q2020" s="4" t="s">
        <v>26</v>
      </c>
      <c r="R2020" s="4">
        <v>0</v>
      </c>
      <c r="S2020" s="6">
        <v>0</v>
      </c>
      <c r="T2020" s="6">
        <v>72</v>
      </c>
      <c r="U2020" s="6">
        <v>115</v>
      </c>
      <c r="V2020" s="6">
        <f>IF(ISERROR(VLOOKUP($S$2020,'TAR FIN'!$A$1:$O$116,15,0)),0,VLOOKUP($S$2020,'TAR FIN'!$A$1:$O$116,15,0))</f>
        <v>0</v>
      </c>
      <c r="W2020" s="6">
        <f>IF(ISERROR(VLOOKUP($T$2020,'TAR FIN'!$A$1:$O$116,15,0)),0,VLOOKUP($T$2020,'TAR FIN'!$A$1:$O$116,15,0))</f>
        <v>205.49</v>
      </c>
      <c r="X2020" s="6">
        <f>IF(ISERROR(VLOOKUP($U$2020,'TAR FIN'!$A$1:$O$116,15,0)),0,VLOOKUP($U$2020,'TAR FIN'!$A$1:$O$116,15,0))</f>
        <v>195.88</v>
      </c>
      <c r="Y2020" s="6"/>
      <c r="Z2020" s="6">
        <f ca="1">('TUSD BE'!$AM$74+'TUSD BF'!$AM$74+'TUSD CVA'!$AM$74)*1</f>
        <v>262.07094337085437</v>
      </c>
      <c r="AA2020" s="6">
        <f>('TE BE'!$AB$45+'TE BF'!$AB$45+'TE CVA'!$AB$45)*1</f>
        <v>197.77848652371577</v>
      </c>
      <c r="AB2020" s="6">
        <f>$K$2020*$V$2020</f>
        <v>0</v>
      </c>
      <c r="AC2020" s="6">
        <f>$M$2020*$W$2020</f>
        <v>26950.835460000002</v>
      </c>
      <c r="AD2020" s="6">
        <f>$O$2020*$X$2020</f>
        <v>25690.445519999997</v>
      </c>
      <c r="AE2020" s="6">
        <f>$K$2020*$Y$2020</f>
        <v>0</v>
      </c>
      <c r="AF2020" s="6">
        <f ca="1">$M$2020*$Z$2020</f>
        <v>34371.652506861035</v>
      </c>
      <c r="AG2020" s="6">
        <f>$O$2020*$AA$2020</f>
        <v>25939.439621531419</v>
      </c>
    </row>
    <row r="2021" spans="1:33" ht="11.25" customHeight="1" x14ac:dyDescent="0.25">
      <c r="A2021" s="4" t="s">
        <v>21</v>
      </c>
      <c r="B2021" s="4" t="s">
        <v>47</v>
      </c>
      <c r="C2021" s="4" t="s">
        <v>23</v>
      </c>
      <c r="D2021" s="4" t="s">
        <v>48</v>
      </c>
      <c r="E2021" s="4" t="s">
        <v>50</v>
      </c>
      <c r="F2021" s="4" t="s">
        <v>25</v>
      </c>
      <c r="G2021" s="4" t="s">
        <v>25</v>
      </c>
      <c r="H2021" s="4" t="s">
        <v>25</v>
      </c>
      <c r="I2021" s="5">
        <v>44652</v>
      </c>
      <c r="J2021" s="6">
        <v>0</v>
      </c>
      <c r="K2021" s="6">
        <v>0</v>
      </c>
      <c r="L2021" s="6">
        <v>126.926</v>
      </c>
      <c r="M2021" s="6">
        <v>126.926</v>
      </c>
      <c r="N2021" s="6">
        <v>126.926</v>
      </c>
      <c r="O2021" s="6">
        <v>126.926</v>
      </c>
      <c r="P2021" s="6">
        <v>5</v>
      </c>
      <c r="Q2021" s="4" t="s">
        <v>26</v>
      </c>
      <c r="R2021" s="4">
        <v>0</v>
      </c>
      <c r="S2021" s="6">
        <v>0</v>
      </c>
      <c r="T2021" s="6">
        <v>72</v>
      </c>
      <c r="U2021" s="6">
        <v>115</v>
      </c>
      <c r="V2021" s="6">
        <f>IF(ISERROR(VLOOKUP($S$2021,'TAR FIN'!$A$1:$O$116,15,0)),0,VLOOKUP($S$2021,'TAR FIN'!$A$1:$O$116,15,0))</f>
        <v>0</v>
      </c>
      <c r="W2021" s="6">
        <f>IF(ISERROR(VLOOKUP($T$2021,'TAR FIN'!$A$1:$O$116,15,0)),0,VLOOKUP($T$2021,'TAR FIN'!$A$1:$O$116,15,0))</f>
        <v>205.49</v>
      </c>
      <c r="X2021" s="6">
        <f>IF(ISERROR(VLOOKUP($U$2021,'TAR FIN'!$A$1:$O$116,15,0)),0,VLOOKUP($U$2021,'TAR FIN'!$A$1:$O$116,15,0))</f>
        <v>195.88</v>
      </c>
      <c r="Y2021" s="6"/>
      <c r="Z2021" s="6">
        <f ca="1">('TUSD BE'!$AM$74+'TUSD BF'!$AM$74+'TUSD CVA'!$AM$74)*1</f>
        <v>262.07094337085437</v>
      </c>
      <c r="AA2021" s="6">
        <f>('TE BE'!$AB$45+'TE BF'!$AB$45+'TE CVA'!$AB$45)*1</f>
        <v>197.77848652371577</v>
      </c>
      <c r="AB2021" s="6">
        <f>$K$2021*$V$2021</f>
        <v>0</v>
      </c>
      <c r="AC2021" s="6">
        <f>$M$2021*$W$2021</f>
        <v>26082.023740000001</v>
      </c>
      <c r="AD2021" s="6">
        <f>$O$2021*$X$2021</f>
        <v>24862.264879999999</v>
      </c>
      <c r="AE2021" s="6">
        <f>$K$2021*$Y$2021</f>
        <v>0</v>
      </c>
      <c r="AF2021" s="6">
        <f ca="1">$M$2021*$Z$2021</f>
        <v>33263.616558289061</v>
      </c>
      <c r="AG2021" s="6">
        <f>$O$2021*$AA$2021</f>
        <v>25103.232180509149</v>
      </c>
    </row>
    <row r="2022" spans="1:33" ht="11.25" customHeight="1" x14ac:dyDescent="0.25">
      <c r="A2022" s="4" t="s">
        <v>58</v>
      </c>
      <c r="B2022" s="4" t="s">
        <v>47</v>
      </c>
      <c r="C2022" s="4" t="s">
        <v>23</v>
      </c>
      <c r="D2022" s="4" t="s">
        <v>48</v>
      </c>
      <c r="E2022" s="4" t="s">
        <v>50</v>
      </c>
      <c r="F2022" s="4" t="s">
        <v>25</v>
      </c>
      <c r="G2022" s="4" t="s">
        <v>25</v>
      </c>
      <c r="H2022" s="4" t="s">
        <v>25</v>
      </c>
      <c r="I2022" s="5">
        <v>44682</v>
      </c>
      <c r="J2022" s="6">
        <v>0</v>
      </c>
      <c r="K2022" s="6">
        <v>0</v>
      </c>
      <c r="L2022" s="6">
        <v>126.926</v>
      </c>
      <c r="M2022" s="6">
        <v>126.926</v>
      </c>
      <c r="N2022" s="6">
        <v>126.926</v>
      </c>
      <c r="O2022" s="6">
        <v>126.926</v>
      </c>
      <c r="P2022" s="6">
        <v>5</v>
      </c>
      <c r="Q2022" s="4" t="s">
        <v>26</v>
      </c>
      <c r="R2022" s="4">
        <v>0</v>
      </c>
      <c r="S2022" s="6">
        <v>0</v>
      </c>
      <c r="T2022" s="6">
        <v>72</v>
      </c>
      <c r="U2022" s="6">
        <v>115</v>
      </c>
      <c r="V2022" s="6">
        <f>IF(ISERROR(VLOOKUP($S$2022,'TAR FIN'!$A$1:$O$116,15,0)),0,VLOOKUP($S$2022,'TAR FIN'!$A$1:$O$116,15,0))</f>
        <v>0</v>
      </c>
      <c r="W2022" s="6">
        <f>IF(ISERROR(VLOOKUP($T$2022,'TAR FIN'!$A$1:$O$116,15,0)),0,VLOOKUP($T$2022,'TAR FIN'!$A$1:$O$116,15,0))</f>
        <v>205.49</v>
      </c>
      <c r="X2022" s="6">
        <f>IF(ISERROR(VLOOKUP($U$2022,'TAR FIN'!$A$1:$O$116,15,0)),0,VLOOKUP($U$2022,'TAR FIN'!$A$1:$O$116,15,0))</f>
        <v>195.88</v>
      </c>
      <c r="Y2022" s="6"/>
      <c r="Z2022" s="6">
        <f ca="1">('TUSD BE'!$AM$74+'TUSD BF'!$AM$74+'TUSD CVA'!$AM$74)*1</f>
        <v>262.07094337085437</v>
      </c>
      <c r="AA2022" s="6">
        <f>('TE BE'!$AB$45+'TE BF'!$AB$45+'TE CVA'!$AB$45)*1</f>
        <v>197.77848652371577</v>
      </c>
      <c r="AB2022" s="6">
        <f>$K$2022*$V$2022</f>
        <v>0</v>
      </c>
      <c r="AC2022" s="6">
        <f>$M$2022*$W$2022</f>
        <v>26082.023740000001</v>
      </c>
      <c r="AD2022" s="6">
        <f>$O$2022*$X$2022</f>
        <v>24862.264879999999</v>
      </c>
      <c r="AE2022" s="6">
        <f>$K$2022*$Y$2022</f>
        <v>0</v>
      </c>
      <c r="AF2022" s="6">
        <f ca="1">$M$2022*$Z$2022</f>
        <v>33263.616558289061</v>
      </c>
      <c r="AG2022" s="6">
        <f>$O$2022*$AA$2022</f>
        <v>25103.232180509149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3EDB-7635-409B-926A-23892A2D54C9}">
  <dimension ref="A1:AJ2023"/>
  <sheetViews>
    <sheetView showGridLines="0" topLeftCell="AA1" workbookViewId="0">
      <selection sqref="A1:AF951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26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1076</v>
      </c>
      <c r="W1" s="1" t="s">
        <v>1077</v>
      </c>
      <c r="X1" s="1" t="s">
        <v>1078</v>
      </c>
      <c r="Y1" s="1" t="s">
        <v>1079</v>
      </c>
      <c r="Z1" s="1" t="s">
        <v>1080</v>
      </c>
      <c r="AA1" s="1" t="s">
        <v>1081</v>
      </c>
      <c r="AB1" s="1" t="s">
        <v>1107</v>
      </c>
      <c r="AC1" s="1" t="s">
        <v>1108</v>
      </c>
      <c r="AD1" s="1" t="s">
        <v>1109</v>
      </c>
      <c r="AE1" s="1" t="s">
        <v>1110</v>
      </c>
      <c r="AF1" s="1" t="s">
        <v>1111</v>
      </c>
      <c r="AH1" s="61" t="s">
        <v>1111</v>
      </c>
      <c r="AI1" s="61" t="s">
        <v>1118</v>
      </c>
      <c r="AJ1" s="61" t="s">
        <v>1119</v>
      </c>
    </row>
    <row r="2" spans="1:36" ht="11.25" customHeight="1" x14ac:dyDescent="0.25">
      <c r="A2" s="4" t="s">
        <v>21</v>
      </c>
      <c r="B2" s="4" t="s">
        <v>59</v>
      </c>
      <c r="C2" s="4" t="s">
        <v>64</v>
      </c>
      <c r="D2" s="4" t="s">
        <v>25</v>
      </c>
      <c r="E2" s="4" t="s">
        <v>25</v>
      </c>
      <c r="F2" s="4" t="s">
        <v>25</v>
      </c>
      <c r="G2" s="4" t="s">
        <v>65</v>
      </c>
      <c r="H2" s="4" t="s">
        <v>25</v>
      </c>
      <c r="I2" s="5">
        <v>44348</v>
      </c>
      <c r="J2" s="6">
        <v>1640</v>
      </c>
      <c r="K2" s="6">
        <v>820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66</v>
      </c>
      <c r="R2" s="4">
        <v>104</v>
      </c>
      <c r="S2" s="4">
        <v>5</v>
      </c>
      <c r="T2" s="4">
        <v>0</v>
      </c>
      <c r="U2" s="4">
        <v>0</v>
      </c>
      <c r="V2" s="6">
        <f>IF(ISERROR(VLOOKUP($S$2,'TAR FIN'!$A$1:$O$116,15,0)),0,VLOOKUP($S$2,'TAR FIN'!$A$1:$O$116,15,0))</f>
        <v>5.0999999999999996</v>
      </c>
      <c r="W2" s="6">
        <f>IF(ISERROR(VLOOKUP($T$2,'TAR FIN'!$A$1:$O$116,15,0)),0,VLOOKUP($T$2,'TAR FIN'!$A$1:$O$116,15,0))</f>
        <v>0</v>
      </c>
      <c r="X2" s="6">
        <f>IF(ISERROR(VLOOKUP($U$2,'TAR FIN'!$A$1:$O$116,15,0)),0,VLOOKUP($U$2,'TAR FIN'!$A$1:$O$116,15,0))</f>
        <v>0</v>
      </c>
      <c r="Y2" s="6">
        <f ca="1">('TUSD BE'!$AM$9+'TUSD BF'!$AM$9+'TUSD CVA'!$AM$9)*1</f>
        <v>5.3518194805398505</v>
      </c>
      <c r="Z2" s="6"/>
      <c r="AA2" s="6"/>
      <c r="AB2" s="6">
        <f t="shared" ref="AB2:AB65" si="0">(J2-K2)*V2</f>
        <v>4182</v>
      </c>
      <c r="AC2" s="6">
        <f t="shared" ref="AC2:AC65" si="1">(L2-M2)*W2+(N2-O2)*X2</f>
        <v>0</v>
      </c>
      <c r="AD2" s="6">
        <f t="shared" ref="AD2:AD65" ca="1" si="2">(J2-K2)*Y2</f>
        <v>4388.4919740426776</v>
      </c>
      <c r="AE2" s="6">
        <f t="shared" ref="AE2:AE65" si="3">(L2-M2)*Z2+(N2-O2)*AA2</f>
        <v>0</v>
      </c>
      <c r="AF2" s="4" t="s">
        <v>1112</v>
      </c>
      <c r="AH2" s="62" t="s">
        <v>1113</v>
      </c>
      <c r="AI2" s="63">
        <f t="shared" ref="AI2:AI9" si="4">SUMIF($AF$2:$AF$2023,AH2,$AB$2:$AB$2023)+SUMIF($AF$2:$AF$2023,AH2,$AC$2:$AC$2023)</f>
        <v>20939221.249312654</v>
      </c>
      <c r="AJ2" s="63">
        <f t="shared" ref="AJ2:AJ9" ca="1" si="5">SUMIF($AF$2:$AF$2023,AH2,$AD$2:$AD$2023)+SUMIF($AF$2:$AF$2023,AH2,$AE$2:$AE$2023)</f>
        <v>24399490.564007394</v>
      </c>
    </row>
    <row r="3" spans="1:36" ht="11.25" customHeight="1" x14ac:dyDescent="0.25">
      <c r="A3" s="4" t="s">
        <v>21</v>
      </c>
      <c r="B3" s="4" t="s">
        <v>59</v>
      </c>
      <c r="C3" s="4" t="s">
        <v>64</v>
      </c>
      <c r="D3" s="4" t="s">
        <v>25</v>
      </c>
      <c r="E3" s="4" t="s">
        <v>25</v>
      </c>
      <c r="F3" s="4" t="s">
        <v>25</v>
      </c>
      <c r="G3" s="4" t="s">
        <v>67</v>
      </c>
      <c r="H3" s="4" t="s">
        <v>25</v>
      </c>
      <c r="I3" s="5">
        <v>44348</v>
      </c>
      <c r="J3" s="6">
        <v>39500</v>
      </c>
      <c r="K3" s="6">
        <v>24307.692490000001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66</v>
      </c>
      <c r="R3" s="4">
        <v>215</v>
      </c>
      <c r="S3" s="4">
        <v>6</v>
      </c>
      <c r="T3" s="4">
        <v>0</v>
      </c>
      <c r="U3" s="4">
        <v>0</v>
      </c>
      <c r="V3" s="6">
        <f>IF(ISERROR(VLOOKUP($S$3,'TAR FIN'!$A$1:$O$116,15,0)),0,VLOOKUP($S$3,'TAR FIN'!$A$1:$O$116,15,0))</f>
        <v>3.94</v>
      </c>
      <c r="W3" s="6">
        <f>IF(ISERROR(VLOOKUP($T$3,'TAR FIN'!$A$1:$O$116,15,0)),0,VLOOKUP($T$3,'TAR FIN'!$A$1:$O$116,15,0))</f>
        <v>0</v>
      </c>
      <c r="X3" s="6">
        <f>IF(ISERROR(VLOOKUP($U$3,'TAR FIN'!$A$1:$O$116,15,0)),0,VLOOKUP($U$3,'TAR FIN'!$A$1:$O$116,15,0))</f>
        <v>0</v>
      </c>
      <c r="Y3" s="6">
        <f ca="1">('TUSD BE'!$AM$10+'TUSD BF'!$AM$10+'TUSD CVA'!$AM$10)*1</f>
        <v>4.1263435553812471</v>
      </c>
      <c r="Z3" s="6"/>
      <c r="AA3" s="6"/>
      <c r="AB3" s="6">
        <f t="shared" si="0"/>
        <v>59857.691589399998</v>
      </c>
      <c r="AC3" s="6">
        <f t="shared" si="1"/>
        <v>0</v>
      </c>
      <c r="AD3" s="6">
        <f t="shared" ca="1" si="2"/>
        <v>62688.680185258614</v>
      </c>
      <c r="AE3" s="6">
        <f t="shared" si="3"/>
        <v>0</v>
      </c>
      <c r="AF3" s="4" t="s">
        <v>1112</v>
      </c>
      <c r="AH3" s="62" t="s">
        <v>1112</v>
      </c>
      <c r="AI3" s="63">
        <f t="shared" si="4"/>
        <v>18106666.519072846</v>
      </c>
      <c r="AJ3" s="63">
        <f t="shared" ca="1" si="5"/>
        <v>20469417.199697118</v>
      </c>
    </row>
    <row r="4" spans="1:36" ht="11.25" customHeight="1" x14ac:dyDescent="0.25">
      <c r="A4" s="4" t="s">
        <v>21</v>
      </c>
      <c r="B4" s="4" t="s">
        <v>59</v>
      </c>
      <c r="C4" s="4" t="s">
        <v>64</v>
      </c>
      <c r="D4" s="4" t="s">
        <v>25</v>
      </c>
      <c r="E4" s="4" t="s">
        <v>25</v>
      </c>
      <c r="F4" s="4" t="s">
        <v>25</v>
      </c>
      <c r="G4" s="4" t="s">
        <v>69</v>
      </c>
      <c r="H4" s="4" t="s">
        <v>25</v>
      </c>
      <c r="I4" s="5">
        <v>44348</v>
      </c>
      <c r="J4" s="6">
        <v>22000</v>
      </c>
      <c r="K4" s="6">
        <v>22000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66</v>
      </c>
      <c r="R4" s="4">
        <v>473</v>
      </c>
      <c r="S4" s="4">
        <v>7</v>
      </c>
      <c r="T4" s="4">
        <v>0</v>
      </c>
      <c r="U4" s="4">
        <v>0</v>
      </c>
      <c r="V4" s="6">
        <f>IF(ISERROR(VLOOKUP($S$4,'TAR FIN'!$A$1:$O$116,15,0)),0,VLOOKUP($S$4,'TAR FIN'!$A$1:$O$116,15,0))</f>
        <v>5.69</v>
      </c>
      <c r="W4" s="6">
        <f>IF(ISERROR(VLOOKUP($T$4,'TAR FIN'!$A$1:$O$116,15,0)),0,VLOOKUP($T$4,'TAR FIN'!$A$1:$O$116,15,0))</f>
        <v>0</v>
      </c>
      <c r="X4" s="6">
        <f>IF(ISERROR(VLOOKUP($U$4,'TAR FIN'!$A$1:$O$116,15,0)),0,VLOOKUP($U$4,'TAR FIN'!$A$1:$O$116,15,0))</f>
        <v>0</v>
      </c>
      <c r="Y4" s="6">
        <f ca="1">('TUSD BE'!$AM$11+'TUSD BF'!$AM$11+'TUSD CVA'!$AM$11)*1</f>
        <v>5.9725875581129042</v>
      </c>
      <c r="Z4" s="6"/>
      <c r="AA4" s="6"/>
      <c r="AB4" s="6">
        <f t="shared" si="0"/>
        <v>0</v>
      </c>
      <c r="AC4" s="6">
        <f t="shared" si="1"/>
        <v>0</v>
      </c>
      <c r="AD4" s="6">
        <f t="shared" ca="1" si="2"/>
        <v>0</v>
      </c>
      <c r="AE4" s="6">
        <f t="shared" si="3"/>
        <v>0</v>
      </c>
      <c r="AF4" s="4" t="s">
        <v>1112</v>
      </c>
      <c r="AH4" s="62" t="s">
        <v>1120</v>
      </c>
      <c r="AI4" s="63">
        <f t="shared" si="4"/>
        <v>0</v>
      </c>
      <c r="AJ4" s="63">
        <f t="shared" si="5"/>
        <v>0</v>
      </c>
    </row>
    <row r="5" spans="1:36" ht="11.25" customHeight="1" x14ac:dyDescent="0.25">
      <c r="A5" s="4" t="s">
        <v>21</v>
      </c>
      <c r="B5" s="4" t="s">
        <v>59</v>
      </c>
      <c r="C5" s="4" t="s">
        <v>64</v>
      </c>
      <c r="D5" s="4" t="s">
        <v>25</v>
      </c>
      <c r="E5" s="4" t="s">
        <v>25</v>
      </c>
      <c r="F5" s="4" t="s">
        <v>25</v>
      </c>
      <c r="G5" s="4" t="s">
        <v>72</v>
      </c>
      <c r="H5" s="4" t="s">
        <v>25</v>
      </c>
      <c r="I5" s="5">
        <v>44348</v>
      </c>
      <c r="J5" s="6">
        <v>16500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66</v>
      </c>
      <c r="R5" s="4">
        <v>1047</v>
      </c>
      <c r="S5" s="4">
        <v>8</v>
      </c>
      <c r="T5" s="4">
        <v>0</v>
      </c>
      <c r="U5" s="4">
        <v>0</v>
      </c>
      <c r="V5" s="6">
        <f>IF(ISERROR(VLOOKUP($S$5,'TAR FIN'!$A$1:$O$116,15,0)),0,VLOOKUP($S$5,'TAR FIN'!$A$1:$O$116,15,0))</f>
        <v>5.41</v>
      </c>
      <c r="W5" s="6">
        <f>IF(ISERROR(VLOOKUP($T$5,'TAR FIN'!$A$1:$O$116,15,0)),0,VLOOKUP($T$5,'TAR FIN'!$A$1:$O$116,15,0))</f>
        <v>0</v>
      </c>
      <c r="X5" s="6">
        <f>IF(ISERROR(VLOOKUP($U$5,'TAR FIN'!$A$1:$O$116,15,0)),0,VLOOKUP($U$5,'TAR FIN'!$A$1:$O$116,15,0))</f>
        <v>0</v>
      </c>
      <c r="Y5" s="6">
        <f ca="1">('TUSD BE'!$AM$12+'TUSD BF'!$AM$12+'TUSD CVA'!$AM$12)*1</f>
        <v>5.6770468968387959</v>
      </c>
      <c r="Z5" s="6"/>
      <c r="AA5" s="6"/>
      <c r="AB5" s="6">
        <f t="shared" si="0"/>
        <v>89265</v>
      </c>
      <c r="AC5" s="6">
        <f t="shared" si="1"/>
        <v>0</v>
      </c>
      <c r="AD5" s="6">
        <f t="shared" ca="1" si="2"/>
        <v>93671.273797840127</v>
      </c>
      <c r="AE5" s="6">
        <f t="shared" si="3"/>
        <v>0</v>
      </c>
      <c r="AF5" s="4" t="s">
        <v>1112</v>
      </c>
      <c r="AH5" s="62" t="s">
        <v>1115</v>
      </c>
      <c r="AI5" s="63">
        <f t="shared" si="4"/>
        <v>1593083.5925172004</v>
      </c>
      <c r="AJ5" s="63">
        <f t="shared" ca="1" si="5"/>
        <v>907609.29962435435</v>
      </c>
    </row>
    <row r="6" spans="1:36" ht="11.25" customHeight="1" x14ac:dyDescent="0.25">
      <c r="A6" s="4" t="s">
        <v>21</v>
      </c>
      <c r="B6" s="4" t="s">
        <v>59</v>
      </c>
      <c r="C6" s="4" t="s">
        <v>64</v>
      </c>
      <c r="D6" s="4" t="s">
        <v>25</v>
      </c>
      <c r="E6" s="4" t="s">
        <v>25</v>
      </c>
      <c r="F6" s="4" t="s">
        <v>25</v>
      </c>
      <c r="G6" s="4" t="s">
        <v>73</v>
      </c>
      <c r="H6" s="4" t="s">
        <v>25</v>
      </c>
      <c r="I6" s="5">
        <v>44348</v>
      </c>
      <c r="J6" s="6">
        <v>5320</v>
      </c>
      <c r="K6" s="6">
        <v>2660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66</v>
      </c>
      <c r="R6" s="4">
        <v>1078</v>
      </c>
      <c r="S6" s="4">
        <v>9</v>
      </c>
      <c r="T6" s="4">
        <v>0</v>
      </c>
      <c r="U6" s="4">
        <v>0</v>
      </c>
      <c r="V6" s="6">
        <f>IF(ISERROR(VLOOKUP($S$6,'TAR FIN'!$A$1:$O$116,15,0)),0,VLOOKUP($S$6,'TAR FIN'!$A$1:$O$116,15,0))</f>
        <v>5.0999999999999996</v>
      </c>
      <c r="W6" s="6">
        <f>IF(ISERROR(VLOOKUP($T$6,'TAR FIN'!$A$1:$O$116,15,0)),0,VLOOKUP($T$6,'TAR FIN'!$A$1:$O$116,15,0))</f>
        <v>0</v>
      </c>
      <c r="X6" s="6">
        <f>IF(ISERROR(VLOOKUP($U$6,'TAR FIN'!$A$1:$O$116,15,0)),0,VLOOKUP($U$6,'TAR FIN'!$A$1:$O$116,15,0))</f>
        <v>0</v>
      </c>
      <c r="Y6" s="6">
        <f ca="1">('TUSD BE'!$AM$13+'TUSD BF'!$AM$13+'TUSD CVA'!$AM$13)*1</f>
        <v>5.3518194805398505</v>
      </c>
      <c r="Z6" s="6"/>
      <c r="AA6" s="6"/>
      <c r="AB6" s="6">
        <f t="shared" si="0"/>
        <v>13565.999999999998</v>
      </c>
      <c r="AC6" s="6">
        <f t="shared" si="1"/>
        <v>0</v>
      </c>
      <c r="AD6" s="6">
        <f t="shared" ca="1" si="2"/>
        <v>14235.839818236002</v>
      </c>
      <c r="AE6" s="6">
        <f t="shared" si="3"/>
        <v>0</v>
      </c>
      <c r="AF6" s="4" t="s">
        <v>1112</v>
      </c>
      <c r="AH6" s="62" t="s">
        <v>1114</v>
      </c>
      <c r="AI6" s="63">
        <f t="shared" si="4"/>
        <v>12928541.432340356</v>
      </c>
      <c r="AJ6" s="63">
        <f t="shared" ca="1" si="5"/>
        <v>7405342.7332718866</v>
      </c>
    </row>
    <row r="7" spans="1:36" ht="11.25" customHeight="1" x14ac:dyDescent="0.25">
      <c r="A7" s="4" t="s">
        <v>21</v>
      </c>
      <c r="B7" s="4" t="s">
        <v>59</v>
      </c>
      <c r="C7" s="4" t="s">
        <v>64</v>
      </c>
      <c r="D7" s="4" t="s">
        <v>25</v>
      </c>
      <c r="E7" s="4" t="s">
        <v>25</v>
      </c>
      <c r="F7" s="4" t="s">
        <v>25</v>
      </c>
      <c r="G7" s="4" t="s">
        <v>75</v>
      </c>
      <c r="H7" s="4" t="s">
        <v>25</v>
      </c>
      <c r="I7" s="5">
        <v>44348</v>
      </c>
      <c r="J7" s="6">
        <v>42635</v>
      </c>
      <c r="K7" s="6">
        <v>42635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66</v>
      </c>
      <c r="R7" s="4">
        <v>1276</v>
      </c>
      <c r="S7" s="4">
        <v>10</v>
      </c>
      <c r="T7" s="4">
        <v>0</v>
      </c>
      <c r="U7" s="4">
        <v>0</v>
      </c>
      <c r="V7" s="6">
        <f>IF(ISERROR(VLOOKUP($S$7,'TAR FIN'!$A$1:$O$116,15,0)),0,VLOOKUP($S$7,'TAR FIN'!$A$1:$O$116,15,0))</f>
        <v>5.0999999999999996</v>
      </c>
      <c r="W7" s="6">
        <f>IF(ISERROR(VLOOKUP($T$7,'TAR FIN'!$A$1:$O$116,15,0)),0,VLOOKUP($T$7,'TAR FIN'!$A$1:$O$116,15,0))</f>
        <v>0</v>
      </c>
      <c r="X7" s="6">
        <f>IF(ISERROR(VLOOKUP($U$7,'TAR FIN'!$A$1:$O$116,15,0)),0,VLOOKUP($U$7,'TAR FIN'!$A$1:$O$116,15,0))</f>
        <v>0</v>
      </c>
      <c r="Y7" s="6">
        <f ca="1">('TUSD BE'!$AM$14+'TUSD BF'!$AM$14+'TUSD CVA'!$AM$14)*1</f>
        <v>5.3518194805398505</v>
      </c>
      <c r="Z7" s="6"/>
      <c r="AA7" s="6"/>
      <c r="AB7" s="6">
        <f t="shared" si="0"/>
        <v>0</v>
      </c>
      <c r="AC7" s="6">
        <f t="shared" si="1"/>
        <v>0</v>
      </c>
      <c r="AD7" s="6">
        <f t="shared" ca="1" si="2"/>
        <v>0</v>
      </c>
      <c r="AE7" s="6">
        <f t="shared" si="3"/>
        <v>0</v>
      </c>
      <c r="AF7" s="4" t="s">
        <v>1112</v>
      </c>
      <c r="AH7" s="62" t="s">
        <v>1117</v>
      </c>
      <c r="AI7" s="63">
        <f t="shared" si="4"/>
        <v>348045.22430230025</v>
      </c>
      <c r="AJ7" s="63">
        <f t="shared" ca="1" si="5"/>
        <v>387627.15581276605</v>
      </c>
    </row>
    <row r="8" spans="1:36" ht="11.25" customHeight="1" x14ac:dyDescent="0.25">
      <c r="A8" s="4" t="s">
        <v>21</v>
      </c>
      <c r="B8" s="4" t="s">
        <v>59</v>
      </c>
      <c r="C8" s="4" t="s">
        <v>64</v>
      </c>
      <c r="D8" s="4" t="s">
        <v>25</v>
      </c>
      <c r="E8" s="4" t="s">
        <v>25</v>
      </c>
      <c r="F8" s="4" t="s">
        <v>25</v>
      </c>
      <c r="G8" s="4" t="s">
        <v>86</v>
      </c>
      <c r="H8" s="4" t="s">
        <v>25</v>
      </c>
      <c r="I8" s="5">
        <v>44348</v>
      </c>
      <c r="J8" s="6">
        <v>24400</v>
      </c>
      <c r="K8" s="6">
        <v>12200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66</v>
      </c>
      <c r="R8" s="4">
        <v>27532</v>
      </c>
      <c r="S8" s="4">
        <v>11</v>
      </c>
      <c r="T8" s="4">
        <v>0</v>
      </c>
      <c r="U8" s="4">
        <v>0</v>
      </c>
      <c r="V8" s="6">
        <f>IF(ISERROR(VLOOKUP($S$8,'TAR FIN'!$A$1:$O$116,15,0)),0,VLOOKUP($S$8,'TAR FIN'!$A$1:$O$116,15,0))</f>
        <v>4.63</v>
      </c>
      <c r="W8" s="6">
        <f>IF(ISERROR(VLOOKUP($T$8,'TAR FIN'!$A$1:$O$116,15,0)),0,VLOOKUP($T$8,'TAR FIN'!$A$1:$O$116,15,0))</f>
        <v>0</v>
      </c>
      <c r="X8" s="6">
        <f>IF(ISERROR(VLOOKUP($U$8,'TAR FIN'!$A$1:$O$116,15,0)),0,VLOOKUP($U$8,'TAR FIN'!$A$1:$O$116,15,0))</f>
        <v>0</v>
      </c>
      <c r="Y8" s="6">
        <f ca="1">('TUSD BE'!$AM$15+'TUSD BF'!$AM$15+'TUSD CVA'!$AM$15)*1</f>
        <v>4.8520321280503262</v>
      </c>
      <c r="Z8" s="6"/>
      <c r="AA8" s="6"/>
      <c r="AB8" s="6">
        <f t="shared" si="0"/>
        <v>56486</v>
      </c>
      <c r="AC8" s="6">
        <f t="shared" si="1"/>
        <v>0</v>
      </c>
      <c r="AD8" s="6">
        <f t="shared" ca="1" si="2"/>
        <v>59194.791962213982</v>
      </c>
      <c r="AE8" s="6">
        <f t="shared" si="3"/>
        <v>0</v>
      </c>
      <c r="AF8" s="4" t="s">
        <v>1112</v>
      </c>
      <c r="AH8" s="62" t="s">
        <v>1116</v>
      </c>
      <c r="AI8" s="63">
        <f t="shared" si="4"/>
        <v>29285354.199839976</v>
      </c>
      <c r="AJ8" s="63">
        <f t="shared" ca="1" si="5"/>
        <v>31407628.006250788</v>
      </c>
    </row>
    <row r="9" spans="1:36" ht="11.25" customHeight="1" x14ac:dyDescent="0.25">
      <c r="A9" s="4" t="s">
        <v>21</v>
      </c>
      <c r="B9" s="4" t="s">
        <v>59</v>
      </c>
      <c r="C9" s="4" t="s">
        <v>64</v>
      </c>
      <c r="D9" s="4" t="s">
        <v>25</v>
      </c>
      <c r="E9" s="4" t="s">
        <v>25</v>
      </c>
      <c r="F9" s="4" t="s">
        <v>25</v>
      </c>
      <c r="G9" s="4" t="s">
        <v>87</v>
      </c>
      <c r="H9" s="4" t="s">
        <v>25</v>
      </c>
      <c r="I9" s="5">
        <v>44348</v>
      </c>
      <c r="J9" s="6">
        <v>25000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66</v>
      </c>
      <c r="R9" s="4">
        <v>27534</v>
      </c>
      <c r="S9" s="4">
        <v>12</v>
      </c>
      <c r="T9" s="4">
        <v>0</v>
      </c>
      <c r="U9" s="4">
        <v>0</v>
      </c>
      <c r="V9" s="6">
        <f>IF(ISERROR(VLOOKUP($S$9,'TAR FIN'!$A$1:$O$116,15,0)),0,VLOOKUP($S$9,'TAR FIN'!$A$1:$O$116,15,0))</f>
        <v>5.58</v>
      </c>
      <c r="W9" s="6">
        <f>IF(ISERROR(VLOOKUP($T$9,'TAR FIN'!$A$1:$O$116,15,0)),0,VLOOKUP($T$9,'TAR FIN'!$A$1:$O$116,15,0))</f>
        <v>0</v>
      </c>
      <c r="X9" s="6">
        <f>IF(ISERROR(VLOOKUP($U$9,'TAR FIN'!$A$1:$O$116,15,0)),0,VLOOKUP($U$9,'TAR FIN'!$A$1:$O$116,15,0))</f>
        <v>0</v>
      </c>
      <c r="Y9" s="6">
        <f ca="1">('TUSD BE'!$AM$16+'TUSD BF'!$AM$16+'TUSD CVA'!$AM$16)*1</f>
        <v>5.862991208798829</v>
      </c>
      <c r="Z9" s="6"/>
      <c r="AA9" s="6"/>
      <c r="AB9" s="6">
        <f t="shared" si="0"/>
        <v>139500</v>
      </c>
      <c r="AC9" s="6">
        <f t="shared" si="1"/>
        <v>0</v>
      </c>
      <c r="AD9" s="6">
        <f t="shared" ca="1" si="2"/>
        <v>146574.78021997074</v>
      </c>
      <c r="AE9" s="6">
        <f t="shared" si="3"/>
        <v>0</v>
      </c>
      <c r="AF9" s="4" t="s">
        <v>1112</v>
      </c>
      <c r="AH9" s="62" t="s">
        <v>1121</v>
      </c>
      <c r="AI9" s="63">
        <f t="shared" si="4"/>
        <v>0</v>
      </c>
      <c r="AJ9" s="63">
        <f t="shared" si="5"/>
        <v>0</v>
      </c>
    </row>
    <row r="10" spans="1:36" ht="11.25" customHeight="1" x14ac:dyDescent="0.25">
      <c r="A10" s="4" t="s">
        <v>21</v>
      </c>
      <c r="B10" s="4" t="s">
        <v>59</v>
      </c>
      <c r="C10" s="4" t="s">
        <v>64</v>
      </c>
      <c r="D10" s="4" t="s">
        <v>25</v>
      </c>
      <c r="E10" s="4" t="s">
        <v>25</v>
      </c>
      <c r="F10" s="4" t="s">
        <v>25</v>
      </c>
      <c r="G10" s="4" t="s">
        <v>89</v>
      </c>
      <c r="H10" s="4" t="s">
        <v>25</v>
      </c>
      <c r="I10" s="5">
        <v>44348</v>
      </c>
      <c r="J10" s="6">
        <v>12600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66</v>
      </c>
      <c r="R10" s="4">
        <v>27727</v>
      </c>
      <c r="S10" s="4">
        <v>13</v>
      </c>
      <c r="T10" s="4">
        <v>0</v>
      </c>
      <c r="U10" s="4">
        <v>0</v>
      </c>
      <c r="V10" s="6">
        <f>IF(ISERROR(VLOOKUP($S$10,'TAR FIN'!$A$1:$O$116,15,0)),0,VLOOKUP($S$10,'TAR FIN'!$A$1:$O$116,15,0))</f>
        <v>5.37</v>
      </c>
      <c r="W10" s="6">
        <f>IF(ISERROR(VLOOKUP($T$10,'TAR FIN'!$A$1:$O$116,15,0)),0,VLOOKUP($T$10,'TAR FIN'!$A$1:$O$116,15,0))</f>
        <v>0</v>
      </c>
      <c r="X10" s="6">
        <f>IF(ISERROR(VLOOKUP($U$10,'TAR FIN'!$A$1:$O$116,15,0)),0,VLOOKUP($U$10,'TAR FIN'!$A$1:$O$116,15,0))</f>
        <v>0</v>
      </c>
      <c r="Y10" s="6">
        <f ca="1">('TUSD BE'!$AM$17+'TUSD BF'!$AM$17+'TUSD CVA'!$AM$17)*1</f>
        <v>5.6347568025342989</v>
      </c>
      <c r="Z10" s="6"/>
      <c r="AA10" s="6"/>
      <c r="AB10" s="6">
        <f t="shared" si="0"/>
        <v>67662</v>
      </c>
      <c r="AC10" s="6">
        <f t="shared" si="1"/>
        <v>0</v>
      </c>
      <c r="AD10" s="6">
        <f t="shared" ca="1" si="2"/>
        <v>70997.935711932165</v>
      </c>
      <c r="AE10" s="6">
        <f t="shared" si="3"/>
        <v>0</v>
      </c>
      <c r="AF10" s="4" t="s">
        <v>1112</v>
      </c>
    </row>
    <row r="11" spans="1:36" ht="11.25" customHeight="1" x14ac:dyDescent="0.25">
      <c r="A11" s="4" t="s">
        <v>21</v>
      </c>
      <c r="B11" s="4" t="s">
        <v>59</v>
      </c>
      <c r="C11" s="4" t="s">
        <v>64</v>
      </c>
      <c r="D11" s="4" t="s">
        <v>25</v>
      </c>
      <c r="E11" s="4" t="s">
        <v>25</v>
      </c>
      <c r="F11" s="4" t="s">
        <v>25</v>
      </c>
      <c r="G11" s="4" t="s">
        <v>92</v>
      </c>
      <c r="H11" s="4" t="s">
        <v>25</v>
      </c>
      <c r="I11" s="5">
        <v>44348</v>
      </c>
      <c r="J11" s="6">
        <v>8100</v>
      </c>
      <c r="K11" s="6">
        <v>4050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66</v>
      </c>
      <c r="R11" s="4">
        <v>30597</v>
      </c>
      <c r="S11" s="4">
        <v>14</v>
      </c>
      <c r="T11" s="4">
        <v>0</v>
      </c>
      <c r="U11" s="4">
        <v>0</v>
      </c>
      <c r="V11" s="6">
        <f>IF(ISERROR(VLOOKUP($S$11,'TAR FIN'!$A$1:$O$116,15,0)),0,VLOOKUP($S$11,'TAR FIN'!$A$1:$O$116,15,0))</f>
        <v>5.04</v>
      </c>
      <c r="W11" s="6">
        <f>IF(ISERROR(VLOOKUP($T$11,'TAR FIN'!$A$1:$O$116,15,0)),0,VLOOKUP($T$11,'TAR FIN'!$A$1:$O$116,15,0))</f>
        <v>0</v>
      </c>
      <c r="X11" s="6">
        <f>IF(ISERROR(VLOOKUP($U$11,'TAR FIN'!$A$1:$O$116,15,0)),0,VLOOKUP($U$11,'TAR FIN'!$A$1:$O$116,15,0))</f>
        <v>0</v>
      </c>
      <c r="Y11" s="6">
        <f ca="1">('TUSD BE'!$AM$18+'TUSD BF'!$AM$18+'TUSD CVA'!$AM$18)*1</f>
        <v>5.2832968919533032</v>
      </c>
      <c r="Z11" s="6"/>
      <c r="AA11" s="6"/>
      <c r="AB11" s="6">
        <f t="shared" si="0"/>
        <v>20412</v>
      </c>
      <c r="AC11" s="6">
        <f t="shared" si="1"/>
        <v>0</v>
      </c>
      <c r="AD11" s="6">
        <f t="shared" ca="1" si="2"/>
        <v>21397.352412410877</v>
      </c>
      <c r="AE11" s="6">
        <f t="shared" si="3"/>
        <v>0</v>
      </c>
      <c r="AF11" s="4" t="s">
        <v>1112</v>
      </c>
    </row>
    <row r="12" spans="1:36" ht="11.25" customHeight="1" x14ac:dyDescent="0.25">
      <c r="A12" s="4" t="s">
        <v>21</v>
      </c>
      <c r="B12" s="4" t="s">
        <v>59</v>
      </c>
      <c r="C12" s="4" t="s">
        <v>64</v>
      </c>
      <c r="D12" s="4" t="s">
        <v>25</v>
      </c>
      <c r="E12" s="4" t="s">
        <v>25</v>
      </c>
      <c r="F12" s="4" t="s">
        <v>25</v>
      </c>
      <c r="G12" s="4" t="s">
        <v>65</v>
      </c>
      <c r="H12" s="4" t="s">
        <v>25</v>
      </c>
      <c r="I12" s="5">
        <v>44378</v>
      </c>
      <c r="J12" s="6">
        <v>1640</v>
      </c>
      <c r="K12" s="6">
        <v>820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66</v>
      </c>
      <c r="R12" s="4">
        <v>104</v>
      </c>
      <c r="S12" s="4">
        <v>5</v>
      </c>
      <c r="T12" s="4">
        <v>0</v>
      </c>
      <c r="U12" s="4">
        <v>0</v>
      </c>
      <c r="V12" s="6">
        <f>IF(ISERROR(VLOOKUP($S$12,'TAR FIN'!$A$1:$O$116,15,0)),0,VLOOKUP($S$12,'TAR FIN'!$A$1:$O$116,15,0))</f>
        <v>5.0999999999999996</v>
      </c>
      <c r="W12" s="6">
        <f>IF(ISERROR(VLOOKUP($T$12,'TAR FIN'!$A$1:$O$116,15,0)),0,VLOOKUP($T$12,'TAR FIN'!$A$1:$O$116,15,0))</f>
        <v>0</v>
      </c>
      <c r="X12" s="6">
        <f>IF(ISERROR(VLOOKUP($U$12,'TAR FIN'!$A$1:$O$116,15,0)),0,VLOOKUP($U$12,'TAR FIN'!$A$1:$O$116,15,0))</f>
        <v>0</v>
      </c>
      <c r="Y12" s="6">
        <f ca="1">('TUSD BE'!$AM$9+'TUSD BF'!$AM$9+'TUSD CVA'!$AM$9)*1</f>
        <v>5.3518194805398505</v>
      </c>
      <c r="Z12" s="6"/>
      <c r="AA12" s="6"/>
      <c r="AB12" s="6">
        <f t="shared" si="0"/>
        <v>4182</v>
      </c>
      <c r="AC12" s="6">
        <f t="shared" si="1"/>
        <v>0</v>
      </c>
      <c r="AD12" s="6">
        <f t="shared" ca="1" si="2"/>
        <v>4388.4919740426776</v>
      </c>
      <c r="AE12" s="6">
        <f t="shared" si="3"/>
        <v>0</v>
      </c>
      <c r="AF12" s="4" t="s">
        <v>1112</v>
      </c>
    </row>
    <row r="13" spans="1:36" ht="11.25" customHeight="1" x14ac:dyDescent="0.25">
      <c r="A13" s="4" t="s">
        <v>21</v>
      </c>
      <c r="B13" s="4" t="s">
        <v>59</v>
      </c>
      <c r="C13" s="4" t="s">
        <v>64</v>
      </c>
      <c r="D13" s="4" t="s">
        <v>25</v>
      </c>
      <c r="E13" s="4" t="s">
        <v>25</v>
      </c>
      <c r="F13" s="4" t="s">
        <v>25</v>
      </c>
      <c r="G13" s="4" t="s">
        <v>67</v>
      </c>
      <c r="H13" s="4" t="s">
        <v>25</v>
      </c>
      <c r="I13" s="5">
        <v>44378</v>
      </c>
      <c r="J13" s="6">
        <v>39500</v>
      </c>
      <c r="K13" s="6">
        <v>24307.692490000001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66</v>
      </c>
      <c r="R13" s="4">
        <v>215</v>
      </c>
      <c r="S13" s="4">
        <v>6</v>
      </c>
      <c r="T13" s="4">
        <v>0</v>
      </c>
      <c r="U13" s="4">
        <v>0</v>
      </c>
      <c r="V13" s="6">
        <f>IF(ISERROR(VLOOKUP($S$13,'TAR FIN'!$A$1:$O$116,15,0)),0,VLOOKUP($S$13,'TAR FIN'!$A$1:$O$116,15,0))</f>
        <v>3.94</v>
      </c>
      <c r="W13" s="6">
        <f>IF(ISERROR(VLOOKUP($T$13,'TAR FIN'!$A$1:$O$116,15,0)),0,VLOOKUP($T$13,'TAR FIN'!$A$1:$O$116,15,0))</f>
        <v>0</v>
      </c>
      <c r="X13" s="6">
        <f>IF(ISERROR(VLOOKUP($U$13,'TAR FIN'!$A$1:$O$116,15,0)),0,VLOOKUP($U$13,'TAR FIN'!$A$1:$O$116,15,0))</f>
        <v>0</v>
      </c>
      <c r="Y13" s="6">
        <f ca="1">('TUSD BE'!$AM$10+'TUSD BF'!$AM$10+'TUSD CVA'!$AM$10)*1</f>
        <v>4.1263435553812471</v>
      </c>
      <c r="Z13" s="6"/>
      <c r="AA13" s="6"/>
      <c r="AB13" s="6">
        <f t="shared" si="0"/>
        <v>59857.691589399998</v>
      </c>
      <c r="AC13" s="6">
        <f t="shared" si="1"/>
        <v>0</v>
      </c>
      <c r="AD13" s="6">
        <f t="shared" ca="1" si="2"/>
        <v>62688.680185258614</v>
      </c>
      <c r="AE13" s="6">
        <f t="shared" si="3"/>
        <v>0</v>
      </c>
      <c r="AF13" s="4" t="s">
        <v>1112</v>
      </c>
    </row>
    <row r="14" spans="1:36" ht="11.25" customHeight="1" x14ac:dyDescent="0.25">
      <c r="A14" s="4" t="s">
        <v>21</v>
      </c>
      <c r="B14" s="4" t="s">
        <v>59</v>
      </c>
      <c r="C14" s="4" t="s">
        <v>64</v>
      </c>
      <c r="D14" s="4" t="s">
        <v>25</v>
      </c>
      <c r="E14" s="4" t="s">
        <v>25</v>
      </c>
      <c r="F14" s="4" t="s">
        <v>25</v>
      </c>
      <c r="G14" s="4" t="s">
        <v>69</v>
      </c>
      <c r="H14" s="4" t="s">
        <v>25</v>
      </c>
      <c r="I14" s="5">
        <v>44378</v>
      </c>
      <c r="J14" s="6">
        <v>22000</v>
      </c>
      <c r="K14" s="6">
        <v>22000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66</v>
      </c>
      <c r="R14" s="4">
        <v>473</v>
      </c>
      <c r="S14" s="4">
        <v>7</v>
      </c>
      <c r="T14" s="4">
        <v>0</v>
      </c>
      <c r="U14" s="4">
        <v>0</v>
      </c>
      <c r="V14" s="6">
        <f>IF(ISERROR(VLOOKUP($S$14,'TAR FIN'!$A$1:$O$116,15,0)),0,VLOOKUP($S$14,'TAR FIN'!$A$1:$O$116,15,0))</f>
        <v>5.69</v>
      </c>
      <c r="W14" s="6">
        <f>IF(ISERROR(VLOOKUP($T$14,'TAR FIN'!$A$1:$O$116,15,0)),0,VLOOKUP($T$14,'TAR FIN'!$A$1:$O$116,15,0))</f>
        <v>0</v>
      </c>
      <c r="X14" s="6">
        <f>IF(ISERROR(VLOOKUP($U$14,'TAR FIN'!$A$1:$O$116,15,0)),0,VLOOKUP($U$14,'TAR FIN'!$A$1:$O$116,15,0))</f>
        <v>0</v>
      </c>
      <c r="Y14" s="6">
        <f ca="1">('TUSD BE'!$AM$11+'TUSD BF'!$AM$11+'TUSD CVA'!$AM$11)*1</f>
        <v>5.9725875581129042</v>
      </c>
      <c r="Z14" s="6"/>
      <c r="AA14" s="6"/>
      <c r="AB14" s="6">
        <f t="shared" si="0"/>
        <v>0</v>
      </c>
      <c r="AC14" s="6">
        <f t="shared" si="1"/>
        <v>0</v>
      </c>
      <c r="AD14" s="6">
        <f t="shared" ca="1" si="2"/>
        <v>0</v>
      </c>
      <c r="AE14" s="6">
        <f t="shared" si="3"/>
        <v>0</v>
      </c>
      <c r="AF14" s="4" t="s">
        <v>1112</v>
      </c>
    </row>
    <row r="15" spans="1:36" ht="11.25" customHeight="1" x14ac:dyDescent="0.25">
      <c r="A15" s="4" t="s">
        <v>21</v>
      </c>
      <c r="B15" s="4" t="s">
        <v>59</v>
      </c>
      <c r="C15" s="4" t="s">
        <v>64</v>
      </c>
      <c r="D15" s="4" t="s">
        <v>25</v>
      </c>
      <c r="E15" s="4" t="s">
        <v>25</v>
      </c>
      <c r="F15" s="4" t="s">
        <v>25</v>
      </c>
      <c r="G15" s="4" t="s">
        <v>72</v>
      </c>
      <c r="H15" s="4" t="s">
        <v>25</v>
      </c>
      <c r="I15" s="5">
        <v>44378</v>
      </c>
      <c r="J15" s="6">
        <v>16500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66</v>
      </c>
      <c r="R15" s="4">
        <v>1047</v>
      </c>
      <c r="S15" s="4">
        <v>8</v>
      </c>
      <c r="T15" s="4">
        <v>0</v>
      </c>
      <c r="U15" s="4">
        <v>0</v>
      </c>
      <c r="V15" s="6">
        <f>IF(ISERROR(VLOOKUP($S$15,'TAR FIN'!$A$1:$O$116,15,0)),0,VLOOKUP($S$15,'TAR FIN'!$A$1:$O$116,15,0))</f>
        <v>5.41</v>
      </c>
      <c r="W15" s="6">
        <f>IF(ISERROR(VLOOKUP($T$15,'TAR FIN'!$A$1:$O$116,15,0)),0,VLOOKUP($T$15,'TAR FIN'!$A$1:$O$116,15,0))</f>
        <v>0</v>
      </c>
      <c r="X15" s="6">
        <f>IF(ISERROR(VLOOKUP($U$15,'TAR FIN'!$A$1:$O$116,15,0)),0,VLOOKUP($U$15,'TAR FIN'!$A$1:$O$116,15,0))</f>
        <v>0</v>
      </c>
      <c r="Y15" s="6">
        <f ca="1">('TUSD BE'!$AM$12+'TUSD BF'!$AM$12+'TUSD CVA'!$AM$12)*1</f>
        <v>5.6770468968387959</v>
      </c>
      <c r="Z15" s="6"/>
      <c r="AA15" s="6"/>
      <c r="AB15" s="6">
        <f t="shared" si="0"/>
        <v>89265</v>
      </c>
      <c r="AC15" s="6">
        <f t="shared" si="1"/>
        <v>0</v>
      </c>
      <c r="AD15" s="6">
        <f t="shared" ca="1" si="2"/>
        <v>93671.273797840127</v>
      </c>
      <c r="AE15" s="6">
        <f t="shared" si="3"/>
        <v>0</v>
      </c>
      <c r="AF15" s="4" t="s">
        <v>1112</v>
      </c>
    </row>
    <row r="16" spans="1:36" ht="11.25" customHeight="1" x14ac:dyDescent="0.25">
      <c r="A16" s="4" t="s">
        <v>21</v>
      </c>
      <c r="B16" s="4" t="s">
        <v>59</v>
      </c>
      <c r="C16" s="4" t="s">
        <v>64</v>
      </c>
      <c r="D16" s="4" t="s">
        <v>25</v>
      </c>
      <c r="E16" s="4" t="s">
        <v>25</v>
      </c>
      <c r="F16" s="4" t="s">
        <v>25</v>
      </c>
      <c r="G16" s="4" t="s">
        <v>73</v>
      </c>
      <c r="H16" s="4" t="s">
        <v>25</v>
      </c>
      <c r="I16" s="5">
        <v>44378</v>
      </c>
      <c r="J16" s="6">
        <v>5320</v>
      </c>
      <c r="K16" s="6">
        <v>2660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66</v>
      </c>
      <c r="R16" s="4">
        <v>1078</v>
      </c>
      <c r="S16" s="4">
        <v>9</v>
      </c>
      <c r="T16" s="4">
        <v>0</v>
      </c>
      <c r="U16" s="4">
        <v>0</v>
      </c>
      <c r="V16" s="6">
        <f>IF(ISERROR(VLOOKUP($S$16,'TAR FIN'!$A$1:$O$116,15,0)),0,VLOOKUP($S$16,'TAR FIN'!$A$1:$O$116,15,0))</f>
        <v>5.0999999999999996</v>
      </c>
      <c r="W16" s="6">
        <f>IF(ISERROR(VLOOKUP($T$16,'TAR FIN'!$A$1:$O$116,15,0)),0,VLOOKUP($T$16,'TAR FIN'!$A$1:$O$116,15,0))</f>
        <v>0</v>
      </c>
      <c r="X16" s="6">
        <f>IF(ISERROR(VLOOKUP($U$16,'TAR FIN'!$A$1:$O$116,15,0)),0,VLOOKUP($U$16,'TAR FIN'!$A$1:$O$116,15,0))</f>
        <v>0</v>
      </c>
      <c r="Y16" s="6">
        <f ca="1">('TUSD BE'!$AM$13+'TUSD BF'!$AM$13+'TUSD CVA'!$AM$13)*1</f>
        <v>5.3518194805398505</v>
      </c>
      <c r="Z16" s="6"/>
      <c r="AA16" s="6"/>
      <c r="AB16" s="6">
        <f t="shared" si="0"/>
        <v>13565.999999999998</v>
      </c>
      <c r="AC16" s="6">
        <f t="shared" si="1"/>
        <v>0</v>
      </c>
      <c r="AD16" s="6">
        <f t="shared" ca="1" si="2"/>
        <v>14235.839818236002</v>
      </c>
      <c r="AE16" s="6">
        <f t="shared" si="3"/>
        <v>0</v>
      </c>
      <c r="AF16" s="4" t="s">
        <v>1112</v>
      </c>
    </row>
    <row r="17" spans="1:32" ht="11.25" customHeight="1" x14ac:dyDescent="0.25">
      <c r="A17" s="4" t="s">
        <v>21</v>
      </c>
      <c r="B17" s="4" t="s">
        <v>59</v>
      </c>
      <c r="C17" s="4" t="s">
        <v>64</v>
      </c>
      <c r="D17" s="4" t="s">
        <v>25</v>
      </c>
      <c r="E17" s="4" t="s">
        <v>25</v>
      </c>
      <c r="F17" s="4" t="s">
        <v>25</v>
      </c>
      <c r="G17" s="4" t="s">
        <v>75</v>
      </c>
      <c r="H17" s="4" t="s">
        <v>25</v>
      </c>
      <c r="I17" s="5">
        <v>44378</v>
      </c>
      <c r="J17" s="6">
        <v>43360</v>
      </c>
      <c r="K17" s="6">
        <v>43360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66</v>
      </c>
      <c r="R17" s="4">
        <v>1276</v>
      </c>
      <c r="S17" s="4">
        <v>10</v>
      </c>
      <c r="T17" s="4">
        <v>0</v>
      </c>
      <c r="U17" s="4">
        <v>0</v>
      </c>
      <c r="V17" s="6">
        <f>IF(ISERROR(VLOOKUP($S$17,'TAR FIN'!$A$1:$O$116,15,0)),0,VLOOKUP($S$17,'TAR FIN'!$A$1:$O$116,15,0))</f>
        <v>5.0999999999999996</v>
      </c>
      <c r="W17" s="6">
        <f>IF(ISERROR(VLOOKUP($T$17,'TAR FIN'!$A$1:$O$116,15,0)),0,VLOOKUP($T$17,'TAR FIN'!$A$1:$O$116,15,0))</f>
        <v>0</v>
      </c>
      <c r="X17" s="6">
        <f>IF(ISERROR(VLOOKUP($U$17,'TAR FIN'!$A$1:$O$116,15,0)),0,VLOOKUP($U$17,'TAR FIN'!$A$1:$O$116,15,0))</f>
        <v>0</v>
      </c>
      <c r="Y17" s="6">
        <f ca="1">('TUSD BE'!$AM$14+'TUSD BF'!$AM$14+'TUSD CVA'!$AM$14)*1</f>
        <v>5.3518194805398505</v>
      </c>
      <c r="Z17" s="6"/>
      <c r="AA17" s="6"/>
      <c r="AB17" s="6">
        <f t="shared" si="0"/>
        <v>0</v>
      </c>
      <c r="AC17" s="6">
        <f t="shared" si="1"/>
        <v>0</v>
      </c>
      <c r="AD17" s="6">
        <f t="shared" ca="1" si="2"/>
        <v>0</v>
      </c>
      <c r="AE17" s="6">
        <f t="shared" si="3"/>
        <v>0</v>
      </c>
      <c r="AF17" s="4" t="s">
        <v>1112</v>
      </c>
    </row>
    <row r="18" spans="1:32" ht="11.25" customHeight="1" x14ac:dyDescent="0.25">
      <c r="A18" s="4" t="s">
        <v>21</v>
      </c>
      <c r="B18" s="4" t="s">
        <v>59</v>
      </c>
      <c r="C18" s="4" t="s">
        <v>64</v>
      </c>
      <c r="D18" s="4" t="s">
        <v>25</v>
      </c>
      <c r="E18" s="4" t="s">
        <v>25</v>
      </c>
      <c r="F18" s="4" t="s">
        <v>25</v>
      </c>
      <c r="G18" s="4" t="s">
        <v>86</v>
      </c>
      <c r="H18" s="4" t="s">
        <v>25</v>
      </c>
      <c r="I18" s="5">
        <v>44378</v>
      </c>
      <c r="J18" s="6">
        <v>24400</v>
      </c>
      <c r="K18" s="6">
        <v>12200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66</v>
      </c>
      <c r="R18" s="4">
        <v>27532</v>
      </c>
      <c r="S18" s="4">
        <v>11</v>
      </c>
      <c r="T18" s="4">
        <v>0</v>
      </c>
      <c r="U18" s="4">
        <v>0</v>
      </c>
      <c r="V18" s="6">
        <f>IF(ISERROR(VLOOKUP($S$18,'TAR FIN'!$A$1:$O$116,15,0)),0,VLOOKUP($S$18,'TAR FIN'!$A$1:$O$116,15,0))</f>
        <v>4.63</v>
      </c>
      <c r="W18" s="6">
        <f>IF(ISERROR(VLOOKUP($T$18,'TAR FIN'!$A$1:$O$116,15,0)),0,VLOOKUP($T$18,'TAR FIN'!$A$1:$O$116,15,0))</f>
        <v>0</v>
      </c>
      <c r="X18" s="6">
        <f>IF(ISERROR(VLOOKUP($U$18,'TAR FIN'!$A$1:$O$116,15,0)),0,VLOOKUP($U$18,'TAR FIN'!$A$1:$O$116,15,0))</f>
        <v>0</v>
      </c>
      <c r="Y18" s="6">
        <f ca="1">('TUSD BE'!$AM$15+'TUSD BF'!$AM$15+'TUSD CVA'!$AM$15)*1</f>
        <v>4.8520321280503262</v>
      </c>
      <c r="Z18" s="6"/>
      <c r="AA18" s="6"/>
      <c r="AB18" s="6">
        <f t="shared" si="0"/>
        <v>56486</v>
      </c>
      <c r="AC18" s="6">
        <f t="shared" si="1"/>
        <v>0</v>
      </c>
      <c r="AD18" s="6">
        <f t="shared" ca="1" si="2"/>
        <v>59194.791962213982</v>
      </c>
      <c r="AE18" s="6">
        <f t="shared" si="3"/>
        <v>0</v>
      </c>
      <c r="AF18" s="4" t="s">
        <v>1112</v>
      </c>
    </row>
    <row r="19" spans="1:32" ht="11.25" customHeight="1" x14ac:dyDescent="0.25">
      <c r="A19" s="4" t="s">
        <v>21</v>
      </c>
      <c r="B19" s="4" t="s">
        <v>59</v>
      </c>
      <c r="C19" s="4" t="s">
        <v>64</v>
      </c>
      <c r="D19" s="4" t="s">
        <v>25</v>
      </c>
      <c r="E19" s="4" t="s">
        <v>25</v>
      </c>
      <c r="F19" s="4" t="s">
        <v>25</v>
      </c>
      <c r="G19" s="4" t="s">
        <v>87</v>
      </c>
      <c r="H19" s="4" t="s">
        <v>25</v>
      </c>
      <c r="I19" s="5">
        <v>44378</v>
      </c>
      <c r="J19" s="6">
        <v>25000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66</v>
      </c>
      <c r="R19" s="4">
        <v>27534</v>
      </c>
      <c r="S19" s="4">
        <v>12</v>
      </c>
      <c r="T19" s="4">
        <v>0</v>
      </c>
      <c r="U19" s="4">
        <v>0</v>
      </c>
      <c r="V19" s="6">
        <f>IF(ISERROR(VLOOKUP($S$19,'TAR FIN'!$A$1:$O$116,15,0)),0,VLOOKUP($S$19,'TAR FIN'!$A$1:$O$116,15,0))</f>
        <v>5.58</v>
      </c>
      <c r="W19" s="6">
        <f>IF(ISERROR(VLOOKUP($T$19,'TAR FIN'!$A$1:$O$116,15,0)),0,VLOOKUP($T$19,'TAR FIN'!$A$1:$O$116,15,0))</f>
        <v>0</v>
      </c>
      <c r="X19" s="6">
        <f>IF(ISERROR(VLOOKUP($U$19,'TAR FIN'!$A$1:$O$116,15,0)),0,VLOOKUP($U$19,'TAR FIN'!$A$1:$O$116,15,0))</f>
        <v>0</v>
      </c>
      <c r="Y19" s="6">
        <f ca="1">('TUSD BE'!$AM$16+'TUSD BF'!$AM$16+'TUSD CVA'!$AM$16)*1</f>
        <v>5.862991208798829</v>
      </c>
      <c r="Z19" s="6"/>
      <c r="AA19" s="6"/>
      <c r="AB19" s="6">
        <f t="shared" si="0"/>
        <v>139500</v>
      </c>
      <c r="AC19" s="6">
        <f t="shared" si="1"/>
        <v>0</v>
      </c>
      <c r="AD19" s="6">
        <f t="shared" ca="1" si="2"/>
        <v>146574.78021997074</v>
      </c>
      <c r="AE19" s="6">
        <f t="shared" si="3"/>
        <v>0</v>
      </c>
      <c r="AF19" s="4" t="s">
        <v>1112</v>
      </c>
    </row>
    <row r="20" spans="1:32" ht="11.25" customHeight="1" x14ac:dyDescent="0.25">
      <c r="A20" s="4" t="s">
        <v>21</v>
      </c>
      <c r="B20" s="4" t="s">
        <v>59</v>
      </c>
      <c r="C20" s="4" t="s">
        <v>64</v>
      </c>
      <c r="D20" s="4" t="s">
        <v>25</v>
      </c>
      <c r="E20" s="4" t="s">
        <v>25</v>
      </c>
      <c r="F20" s="4" t="s">
        <v>25</v>
      </c>
      <c r="G20" s="4" t="s">
        <v>89</v>
      </c>
      <c r="H20" s="4" t="s">
        <v>25</v>
      </c>
      <c r="I20" s="5">
        <v>44378</v>
      </c>
      <c r="J20" s="6">
        <v>12600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66</v>
      </c>
      <c r="R20" s="4">
        <v>27727</v>
      </c>
      <c r="S20" s="4">
        <v>13</v>
      </c>
      <c r="T20" s="4">
        <v>0</v>
      </c>
      <c r="U20" s="4">
        <v>0</v>
      </c>
      <c r="V20" s="6">
        <f>IF(ISERROR(VLOOKUP($S$20,'TAR FIN'!$A$1:$O$116,15,0)),0,VLOOKUP($S$20,'TAR FIN'!$A$1:$O$116,15,0))</f>
        <v>5.37</v>
      </c>
      <c r="W20" s="6">
        <f>IF(ISERROR(VLOOKUP($T$20,'TAR FIN'!$A$1:$O$116,15,0)),0,VLOOKUP($T$20,'TAR FIN'!$A$1:$O$116,15,0))</f>
        <v>0</v>
      </c>
      <c r="X20" s="6">
        <f>IF(ISERROR(VLOOKUP($U$20,'TAR FIN'!$A$1:$O$116,15,0)),0,VLOOKUP($U$20,'TAR FIN'!$A$1:$O$116,15,0))</f>
        <v>0</v>
      </c>
      <c r="Y20" s="6">
        <f ca="1">('TUSD BE'!$AM$17+'TUSD BF'!$AM$17+'TUSD CVA'!$AM$17)*1</f>
        <v>5.6347568025342989</v>
      </c>
      <c r="Z20" s="6"/>
      <c r="AA20" s="6"/>
      <c r="AB20" s="6">
        <f t="shared" si="0"/>
        <v>67662</v>
      </c>
      <c r="AC20" s="6">
        <f t="shared" si="1"/>
        <v>0</v>
      </c>
      <c r="AD20" s="6">
        <f t="shared" ca="1" si="2"/>
        <v>70997.935711932165</v>
      </c>
      <c r="AE20" s="6">
        <f t="shared" si="3"/>
        <v>0</v>
      </c>
      <c r="AF20" s="4" t="s">
        <v>1112</v>
      </c>
    </row>
    <row r="21" spans="1:32" ht="11.25" customHeight="1" x14ac:dyDescent="0.25">
      <c r="A21" s="4" t="s">
        <v>21</v>
      </c>
      <c r="B21" s="4" t="s">
        <v>59</v>
      </c>
      <c r="C21" s="4" t="s">
        <v>64</v>
      </c>
      <c r="D21" s="4" t="s">
        <v>25</v>
      </c>
      <c r="E21" s="4" t="s">
        <v>25</v>
      </c>
      <c r="F21" s="4" t="s">
        <v>25</v>
      </c>
      <c r="G21" s="4" t="s">
        <v>92</v>
      </c>
      <c r="H21" s="4" t="s">
        <v>25</v>
      </c>
      <c r="I21" s="5">
        <v>44378</v>
      </c>
      <c r="J21" s="6">
        <v>8100</v>
      </c>
      <c r="K21" s="6">
        <v>4050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66</v>
      </c>
      <c r="R21" s="4">
        <v>30597</v>
      </c>
      <c r="S21" s="4">
        <v>14</v>
      </c>
      <c r="T21" s="4">
        <v>0</v>
      </c>
      <c r="U21" s="4">
        <v>0</v>
      </c>
      <c r="V21" s="6">
        <f>IF(ISERROR(VLOOKUP($S$21,'TAR FIN'!$A$1:$O$116,15,0)),0,VLOOKUP($S$21,'TAR FIN'!$A$1:$O$116,15,0))</f>
        <v>5.04</v>
      </c>
      <c r="W21" s="6">
        <f>IF(ISERROR(VLOOKUP($T$21,'TAR FIN'!$A$1:$O$116,15,0)),0,VLOOKUP($T$21,'TAR FIN'!$A$1:$O$116,15,0))</f>
        <v>0</v>
      </c>
      <c r="X21" s="6">
        <f>IF(ISERROR(VLOOKUP($U$21,'TAR FIN'!$A$1:$O$116,15,0)),0,VLOOKUP($U$21,'TAR FIN'!$A$1:$O$116,15,0))</f>
        <v>0</v>
      </c>
      <c r="Y21" s="6">
        <f ca="1">('TUSD BE'!$AM$18+'TUSD BF'!$AM$18+'TUSD CVA'!$AM$18)*1</f>
        <v>5.2832968919533032</v>
      </c>
      <c r="Z21" s="6"/>
      <c r="AA21" s="6"/>
      <c r="AB21" s="6">
        <f t="shared" si="0"/>
        <v>20412</v>
      </c>
      <c r="AC21" s="6">
        <f t="shared" si="1"/>
        <v>0</v>
      </c>
      <c r="AD21" s="6">
        <f t="shared" ca="1" si="2"/>
        <v>21397.352412410877</v>
      </c>
      <c r="AE21" s="6">
        <f t="shared" si="3"/>
        <v>0</v>
      </c>
      <c r="AF21" s="4" t="s">
        <v>1112</v>
      </c>
    </row>
    <row r="22" spans="1:32" ht="11.25" customHeight="1" x14ac:dyDescent="0.25">
      <c r="A22" s="4" t="s">
        <v>21</v>
      </c>
      <c r="B22" s="4" t="s">
        <v>59</v>
      </c>
      <c r="C22" s="4" t="s">
        <v>64</v>
      </c>
      <c r="D22" s="4" t="s">
        <v>25</v>
      </c>
      <c r="E22" s="4" t="s">
        <v>25</v>
      </c>
      <c r="F22" s="4" t="s">
        <v>25</v>
      </c>
      <c r="G22" s="4" t="s">
        <v>65</v>
      </c>
      <c r="H22" s="4" t="s">
        <v>25</v>
      </c>
      <c r="I22" s="5">
        <v>44409</v>
      </c>
      <c r="J22" s="6">
        <v>1640</v>
      </c>
      <c r="K22" s="6">
        <v>820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66</v>
      </c>
      <c r="R22" s="4">
        <v>104</v>
      </c>
      <c r="S22" s="4">
        <v>5</v>
      </c>
      <c r="T22" s="4">
        <v>0</v>
      </c>
      <c r="U22" s="4">
        <v>0</v>
      </c>
      <c r="V22" s="6">
        <f>IF(ISERROR(VLOOKUP($S$22,'TAR FIN'!$A$1:$O$116,15,0)),0,VLOOKUP($S$22,'TAR FIN'!$A$1:$O$116,15,0))</f>
        <v>5.0999999999999996</v>
      </c>
      <c r="W22" s="6">
        <f>IF(ISERROR(VLOOKUP($T$22,'TAR FIN'!$A$1:$O$116,15,0)),0,VLOOKUP($T$22,'TAR FIN'!$A$1:$O$116,15,0))</f>
        <v>0</v>
      </c>
      <c r="X22" s="6">
        <f>IF(ISERROR(VLOOKUP($U$22,'TAR FIN'!$A$1:$O$116,15,0)),0,VLOOKUP($U$22,'TAR FIN'!$A$1:$O$116,15,0))</f>
        <v>0</v>
      </c>
      <c r="Y22" s="6">
        <f ca="1">('TUSD BE'!$AM$9+'TUSD BF'!$AM$9+'TUSD CVA'!$AM$9)*1</f>
        <v>5.3518194805398505</v>
      </c>
      <c r="Z22" s="6"/>
      <c r="AA22" s="6"/>
      <c r="AB22" s="6">
        <f t="shared" si="0"/>
        <v>4182</v>
      </c>
      <c r="AC22" s="6">
        <f t="shared" si="1"/>
        <v>0</v>
      </c>
      <c r="AD22" s="6">
        <f t="shared" ca="1" si="2"/>
        <v>4388.4919740426776</v>
      </c>
      <c r="AE22" s="6">
        <f t="shared" si="3"/>
        <v>0</v>
      </c>
      <c r="AF22" s="4" t="s">
        <v>1112</v>
      </c>
    </row>
    <row r="23" spans="1:32" ht="11.25" customHeight="1" x14ac:dyDescent="0.25">
      <c r="A23" s="4" t="s">
        <v>21</v>
      </c>
      <c r="B23" s="4" t="s">
        <v>59</v>
      </c>
      <c r="C23" s="4" t="s">
        <v>64</v>
      </c>
      <c r="D23" s="4" t="s">
        <v>25</v>
      </c>
      <c r="E23" s="4" t="s">
        <v>25</v>
      </c>
      <c r="F23" s="4" t="s">
        <v>25</v>
      </c>
      <c r="G23" s="4" t="s">
        <v>67</v>
      </c>
      <c r="H23" s="4" t="s">
        <v>25</v>
      </c>
      <c r="I23" s="5">
        <v>44409</v>
      </c>
      <c r="J23" s="6">
        <v>39500</v>
      </c>
      <c r="K23" s="6">
        <v>24307.692490000001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66</v>
      </c>
      <c r="R23" s="4">
        <v>215</v>
      </c>
      <c r="S23" s="4">
        <v>6</v>
      </c>
      <c r="T23" s="4">
        <v>0</v>
      </c>
      <c r="U23" s="4">
        <v>0</v>
      </c>
      <c r="V23" s="6">
        <f>IF(ISERROR(VLOOKUP($S$23,'TAR FIN'!$A$1:$O$116,15,0)),0,VLOOKUP($S$23,'TAR FIN'!$A$1:$O$116,15,0))</f>
        <v>3.94</v>
      </c>
      <c r="W23" s="6">
        <f>IF(ISERROR(VLOOKUP($T$23,'TAR FIN'!$A$1:$O$116,15,0)),0,VLOOKUP($T$23,'TAR FIN'!$A$1:$O$116,15,0))</f>
        <v>0</v>
      </c>
      <c r="X23" s="6">
        <f>IF(ISERROR(VLOOKUP($U$23,'TAR FIN'!$A$1:$O$116,15,0)),0,VLOOKUP($U$23,'TAR FIN'!$A$1:$O$116,15,0))</f>
        <v>0</v>
      </c>
      <c r="Y23" s="6">
        <f ca="1">('TUSD BE'!$AM$10+'TUSD BF'!$AM$10+'TUSD CVA'!$AM$10)*1</f>
        <v>4.1263435553812471</v>
      </c>
      <c r="Z23" s="6"/>
      <c r="AA23" s="6"/>
      <c r="AB23" s="6">
        <f t="shared" si="0"/>
        <v>59857.691589399998</v>
      </c>
      <c r="AC23" s="6">
        <f t="shared" si="1"/>
        <v>0</v>
      </c>
      <c r="AD23" s="6">
        <f t="shared" ca="1" si="2"/>
        <v>62688.680185258614</v>
      </c>
      <c r="AE23" s="6">
        <f t="shared" si="3"/>
        <v>0</v>
      </c>
      <c r="AF23" s="4" t="s">
        <v>1112</v>
      </c>
    </row>
    <row r="24" spans="1:32" ht="11.25" customHeight="1" x14ac:dyDescent="0.25">
      <c r="A24" s="4" t="s">
        <v>21</v>
      </c>
      <c r="B24" s="4" t="s">
        <v>59</v>
      </c>
      <c r="C24" s="4" t="s">
        <v>64</v>
      </c>
      <c r="D24" s="4" t="s">
        <v>25</v>
      </c>
      <c r="E24" s="4" t="s">
        <v>25</v>
      </c>
      <c r="F24" s="4" t="s">
        <v>25</v>
      </c>
      <c r="G24" s="4" t="s">
        <v>69</v>
      </c>
      <c r="H24" s="4" t="s">
        <v>25</v>
      </c>
      <c r="I24" s="5">
        <v>44409</v>
      </c>
      <c r="J24" s="6">
        <v>22000</v>
      </c>
      <c r="K24" s="6">
        <v>22000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4" t="s">
        <v>66</v>
      </c>
      <c r="R24" s="4">
        <v>473</v>
      </c>
      <c r="S24" s="4">
        <v>7</v>
      </c>
      <c r="T24" s="4">
        <v>0</v>
      </c>
      <c r="U24" s="4">
        <v>0</v>
      </c>
      <c r="V24" s="6">
        <f>IF(ISERROR(VLOOKUP($S$24,'TAR FIN'!$A$1:$O$116,15,0)),0,VLOOKUP($S$24,'TAR FIN'!$A$1:$O$116,15,0))</f>
        <v>5.69</v>
      </c>
      <c r="W24" s="6">
        <f>IF(ISERROR(VLOOKUP($T$24,'TAR FIN'!$A$1:$O$116,15,0)),0,VLOOKUP($T$24,'TAR FIN'!$A$1:$O$116,15,0))</f>
        <v>0</v>
      </c>
      <c r="X24" s="6">
        <f>IF(ISERROR(VLOOKUP($U$24,'TAR FIN'!$A$1:$O$116,15,0)),0,VLOOKUP($U$24,'TAR FIN'!$A$1:$O$116,15,0))</f>
        <v>0</v>
      </c>
      <c r="Y24" s="6">
        <f ca="1">('TUSD BE'!$AM$11+'TUSD BF'!$AM$11+'TUSD CVA'!$AM$11)*1</f>
        <v>5.9725875581129042</v>
      </c>
      <c r="Z24" s="6"/>
      <c r="AA24" s="6"/>
      <c r="AB24" s="6">
        <f t="shared" si="0"/>
        <v>0</v>
      </c>
      <c r="AC24" s="6">
        <f t="shared" si="1"/>
        <v>0</v>
      </c>
      <c r="AD24" s="6">
        <f t="shared" ca="1" si="2"/>
        <v>0</v>
      </c>
      <c r="AE24" s="6">
        <f t="shared" si="3"/>
        <v>0</v>
      </c>
      <c r="AF24" s="4" t="s">
        <v>1112</v>
      </c>
    </row>
    <row r="25" spans="1:32" ht="11.25" customHeight="1" x14ac:dyDescent="0.25">
      <c r="A25" s="4" t="s">
        <v>21</v>
      </c>
      <c r="B25" s="4" t="s">
        <v>59</v>
      </c>
      <c r="C25" s="4" t="s">
        <v>64</v>
      </c>
      <c r="D25" s="4" t="s">
        <v>25</v>
      </c>
      <c r="E25" s="4" t="s">
        <v>25</v>
      </c>
      <c r="F25" s="4" t="s">
        <v>25</v>
      </c>
      <c r="G25" s="4" t="s">
        <v>72</v>
      </c>
      <c r="H25" s="4" t="s">
        <v>25</v>
      </c>
      <c r="I25" s="5">
        <v>44409</v>
      </c>
      <c r="J25" s="6">
        <v>16500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4" t="s">
        <v>66</v>
      </c>
      <c r="R25" s="4">
        <v>1047</v>
      </c>
      <c r="S25" s="4">
        <v>8</v>
      </c>
      <c r="T25" s="4">
        <v>0</v>
      </c>
      <c r="U25" s="4">
        <v>0</v>
      </c>
      <c r="V25" s="6">
        <f>IF(ISERROR(VLOOKUP($S$25,'TAR FIN'!$A$1:$O$116,15,0)),0,VLOOKUP($S$25,'TAR FIN'!$A$1:$O$116,15,0))</f>
        <v>5.41</v>
      </c>
      <c r="W25" s="6">
        <f>IF(ISERROR(VLOOKUP($T$25,'TAR FIN'!$A$1:$O$116,15,0)),0,VLOOKUP($T$25,'TAR FIN'!$A$1:$O$116,15,0))</f>
        <v>0</v>
      </c>
      <c r="X25" s="6">
        <f>IF(ISERROR(VLOOKUP($U$25,'TAR FIN'!$A$1:$O$116,15,0)),0,VLOOKUP($U$25,'TAR FIN'!$A$1:$O$116,15,0))</f>
        <v>0</v>
      </c>
      <c r="Y25" s="6">
        <f ca="1">('TUSD BE'!$AM$12+'TUSD BF'!$AM$12+'TUSD CVA'!$AM$12)*1</f>
        <v>5.6770468968387959</v>
      </c>
      <c r="Z25" s="6"/>
      <c r="AA25" s="6"/>
      <c r="AB25" s="6">
        <f t="shared" si="0"/>
        <v>89265</v>
      </c>
      <c r="AC25" s="6">
        <f t="shared" si="1"/>
        <v>0</v>
      </c>
      <c r="AD25" s="6">
        <f t="shared" ca="1" si="2"/>
        <v>93671.273797840127</v>
      </c>
      <c r="AE25" s="6">
        <f t="shared" si="3"/>
        <v>0</v>
      </c>
      <c r="AF25" s="4" t="s">
        <v>1112</v>
      </c>
    </row>
    <row r="26" spans="1:32" ht="11.25" customHeight="1" x14ac:dyDescent="0.25">
      <c r="A26" s="4" t="s">
        <v>21</v>
      </c>
      <c r="B26" s="4" t="s">
        <v>59</v>
      </c>
      <c r="C26" s="4" t="s">
        <v>64</v>
      </c>
      <c r="D26" s="4" t="s">
        <v>25</v>
      </c>
      <c r="E26" s="4" t="s">
        <v>25</v>
      </c>
      <c r="F26" s="4" t="s">
        <v>25</v>
      </c>
      <c r="G26" s="4" t="s">
        <v>73</v>
      </c>
      <c r="H26" s="4" t="s">
        <v>25</v>
      </c>
      <c r="I26" s="5">
        <v>44409</v>
      </c>
      <c r="J26" s="6">
        <v>5320</v>
      </c>
      <c r="K26" s="6">
        <v>2660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66</v>
      </c>
      <c r="R26" s="4">
        <v>1078</v>
      </c>
      <c r="S26" s="4">
        <v>9</v>
      </c>
      <c r="T26" s="4">
        <v>0</v>
      </c>
      <c r="U26" s="4">
        <v>0</v>
      </c>
      <c r="V26" s="6">
        <f>IF(ISERROR(VLOOKUP($S$26,'TAR FIN'!$A$1:$O$116,15,0)),0,VLOOKUP($S$26,'TAR FIN'!$A$1:$O$116,15,0))</f>
        <v>5.0999999999999996</v>
      </c>
      <c r="W26" s="6">
        <f>IF(ISERROR(VLOOKUP($T$26,'TAR FIN'!$A$1:$O$116,15,0)),0,VLOOKUP($T$26,'TAR FIN'!$A$1:$O$116,15,0))</f>
        <v>0</v>
      </c>
      <c r="X26" s="6">
        <f>IF(ISERROR(VLOOKUP($U$26,'TAR FIN'!$A$1:$O$116,15,0)),0,VLOOKUP($U$26,'TAR FIN'!$A$1:$O$116,15,0))</f>
        <v>0</v>
      </c>
      <c r="Y26" s="6">
        <f ca="1">('TUSD BE'!$AM$13+'TUSD BF'!$AM$13+'TUSD CVA'!$AM$13)*1</f>
        <v>5.3518194805398505</v>
      </c>
      <c r="Z26" s="6"/>
      <c r="AA26" s="6"/>
      <c r="AB26" s="6">
        <f t="shared" si="0"/>
        <v>13565.999999999998</v>
      </c>
      <c r="AC26" s="6">
        <f t="shared" si="1"/>
        <v>0</v>
      </c>
      <c r="AD26" s="6">
        <f t="shared" ca="1" si="2"/>
        <v>14235.839818236002</v>
      </c>
      <c r="AE26" s="6">
        <f t="shared" si="3"/>
        <v>0</v>
      </c>
      <c r="AF26" s="4" t="s">
        <v>1112</v>
      </c>
    </row>
    <row r="27" spans="1:32" ht="11.25" customHeight="1" x14ac:dyDescent="0.25">
      <c r="A27" s="4" t="s">
        <v>21</v>
      </c>
      <c r="B27" s="4" t="s">
        <v>59</v>
      </c>
      <c r="C27" s="4" t="s">
        <v>64</v>
      </c>
      <c r="D27" s="4" t="s">
        <v>25</v>
      </c>
      <c r="E27" s="4" t="s">
        <v>25</v>
      </c>
      <c r="F27" s="4" t="s">
        <v>25</v>
      </c>
      <c r="G27" s="4" t="s">
        <v>75</v>
      </c>
      <c r="H27" s="4" t="s">
        <v>25</v>
      </c>
      <c r="I27" s="5">
        <v>44409</v>
      </c>
      <c r="J27" s="6">
        <v>43721</v>
      </c>
      <c r="K27" s="6">
        <v>43721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66</v>
      </c>
      <c r="R27" s="4">
        <v>1276</v>
      </c>
      <c r="S27" s="4">
        <v>10</v>
      </c>
      <c r="T27" s="4">
        <v>0</v>
      </c>
      <c r="U27" s="4">
        <v>0</v>
      </c>
      <c r="V27" s="6">
        <f>IF(ISERROR(VLOOKUP($S$27,'TAR FIN'!$A$1:$O$116,15,0)),0,VLOOKUP($S$27,'TAR FIN'!$A$1:$O$116,15,0))</f>
        <v>5.0999999999999996</v>
      </c>
      <c r="W27" s="6">
        <f>IF(ISERROR(VLOOKUP($T$27,'TAR FIN'!$A$1:$O$116,15,0)),0,VLOOKUP($T$27,'TAR FIN'!$A$1:$O$116,15,0))</f>
        <v>0</v>
      </c>
      <c r="X27" s="6">
        <f>IF(ISERROR(VLOOKUP($U$27,'TAR FIN'!$A$1:$O$116,15,0)),0,VLOOKUP($U$27,'TAR FIN'!$A$1:$O$116,15,0))</f>
        <v>0</v>
      </c>
      <c r="Y27" s="6">
        <f ca="1">('TUSD BE'!$AM$14+'TUSD BF'!$AM$14+'TUSD CVA'!$AM$14)*1</f>
        <v>5.3518194805398505</v>
      </c>
      <c r="Z27" s="6"/>
      <c r="AA27" s="6"/>
      <c r="AB27" s="6">
        <f t="shared" si="0"/>
        <v>0</v>
      </c>
      <c r="AC27" s="6">
        <f t="shared" si="1"/>
        <v>0</v>
      </c>
      <c r="AD27" s="6">
        <f t="shared" ca="1" si="2"/>
        <v>0</v>
      </c>
      <c r="AE27" s="6">
        <f t="shared" si="3"/>
        <v>0</v>
      </c>
      <c r="AF27" s="4" t="s">
        <v>1112</v>
      </c>
    </row>
    <row r="28" spans="1:32" ht="11.25" customHeight="1" x14ac:dyDescent="0.25">
      <c r="A28" s="4" t="s">
        <v>21</v>
      </c>
      <c r="B28" s="4" t="s">
        <v>59</v>
      </c>
      <c r="C28" s="4" t="s">
        <v>64</v>
      </c>
      <c r="D28" s="4" t="s">
        <v>25</v>
      </c>
      <c r="E28" s="4" t="s">
        <v>25</v>
      </c>
      <c r="F28" s="4" t="s">
        <v>25</v>
      </c>
      <c r="G28" s="4" t="s">
        <v>86</v>
      </c>
      <c r="H28" s="4" t="s">
        <v>25</v>
      </c>
      <c r="I28" s="5">
        <v>44409</v>
      </c>
      <c r="J28" s="6">
        <v>24400</v>
      </c>
      <c r="K28" s="6">
        <v>12200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66</v>
      </c>
      <c r="R28" s="4">
        <v>27532</v>
      </c>
      <c r="S28" s="4">
        <v>11</v>
      </c>
      <c r="T28" s="4">
        <v>0</v>
      </c>
      <c r="U28" s="4">
        <v>0</v>
      </c>
      <c r="V28" s="6">
        <f>IF(ISERROR(VLOOKUP($S$28,'TAR FIN'!$A$1:$O$116,15,0)),0,VLOOKUP($S$28,'TAR FIN'!$A$1:$O$116,15,0))</f>
        <v>4.63</v>
      </c>
      <c r="W28" s="6">
        <f>IF(ISERROR(VLOOKUP($T$28,'TAR FIN'!$A$1:$O$116,15,0)),0,VLOOKUP($T$28,'TAR FIN'!$A$1:$O$116,15,0))</f>
        <v>0</v>
      </c>
      <c r="X28" s="6">
        <f>IF(ISERROR(VLOOKUP($U$28,'TAR FIN'!$A$1:$O$116,15,0)),0,VLOOKUP($U$28,'TAR FIN'!$A$1:$O$116,15,0))</f>
        <v>0</v>
      </c>
      <c r="Y28" s="6">
        <f ca="1">('TUSD BE'!$AM$15+'TUSD BF'!$AM$15+'TUSD CVA'!$AM$15)*1</f>
        <v>4.8520321280503262</v>
      </c>
      <c r="Z28" s="6"/>
      <c r="AA28" s="6"/>
      <c r="AB28" s="6">
        <f t="shared" si="0"/>
        <v>56486</v>
      </c>
      <c r="AC28" s="6">
        <f t="shared" si="1"/>
        <v>0</v>
      </c>
      <c r="AD28" s="6">
        <f t="shared" ca="1" si="2"/>
        <v>59194.791962213982</v>
      </c>
      <c r="AE28" s="6">
        <f t="shared" si="3"/>
        <v>0</v>
      </c>
      <c r="AF28" s="4" t="s">
        <v>1112</v>
      </c>
    </row>
    <row r="29" spans="1:32" ht="11.25" customHeight="1" x14ac:dyDescent="0.25">
      <c r="A29" s="4" t="s">
        <v>21</v>
      </c>
      <c r="B29" s="4" t="s">
        <v>59</v>
      </c>
      <c r="C29" s="4" t="s">
        <v>64</v>
      </c>
      <c r="D29" s="4" t="s">
        <v>25</v>
      </c>
      <c r="E29" s="4" t="s">
        <v>25</v>
      </c>
      <c r="F29" s="4" t="s">
        <v>25</v>
      </c>
      <c r="G29" s="4" t="s">
        <v>87</v>
      </c>
      <c r="H29" s="4" t="s">
        <v>25</v>
      </c>
      <c r="I29" s="5">
        <v>44409</v>
      </c>
      <c r="J29" s="6">
        <v>25000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66</v>
      </c>
      <c r="R29" s="4">
        <v>27534</v>
      </c>
      <c r="S29" s="4">
        <v>12</v>
      </c>
      <c r="T29" s="4">
        <v>0</v>
      </c>
      <c r="U29" s="4">
        <v>0</v>
      </c>
      <c r="V29" s="6">
        <f>IF(ISERROR(VLOOKUP($S$29,'TAR FIN'!$A$1:$O$116,15,0)),0,VLOOKUP($S$29,'TAR FIN'!$A$1:$O$116,15,0))</f>
        <v>5.58</v>
      </c>
      <c r="W29" s="6">
        <f>IF(ISERROR(VLOOKUP($T$29,'TAR FIN'!$A$1:$O$116,15,0)),0,VLOOKUP($T$29,'TAR FIN'!$A$1:$O$116,15,0))</f>
        <v>0</v>
      </c>
      <c r="X29" s="6">
        <f>IF(ISERROR(VLOOKUP($U$29,'TAR FIN'!$A$1:$O$116,15,0)),0,VLOOKUP($U$29,'TAR FIN'!$A$1:$O$116,15,0))</f>
        <v>0</v>
      </c>
      <c r="Y29" s="6">
        <f ca="1">('TUSD BE'!$AM$16+'TUSD BF'!$AM$16+'TUSD CVA'!$AM$16)*1</f>
        <v>5.862991208798829</v>
      </c>
      <c r="Z29" s="6"/>
      <c r="AA29" s="6"/>
      <c r="AB29" s="6">
        <f t="shared" si="0"/>
        <v>139500</v>
      </c>
      <c r="AC29" s="6">
        <f t="shared" si="1"/>
        <v>0</v>
      </c>
      <c r="AD29" s="6">
        <f t="shared" ca="1" si="2"/>
        <v>146574.78021997074</v>
      </c>
      <c r="AE29" s="6">
        <f t="shared" si="3"/>
        <v>0</v>
      </c>
      <c r="AF29" s="4" t="s">
        <v>1112</v>
      </c>
    </row>
    <row r="30" spans="1:32" ht="11.25" customHeight="1" x14ac:dyDescent="0.25">
      <c r="A30" s="4" t="s">
        <v>21</v>
      </c>
      <c r="B30" s="4" t="s">
        <v>59</v>
      </c>
      <c r="C30" s="4" t="s">
        <v>64</v>
      </c>
      <c r="D30" s="4" t="s">
        <v>25</v>
      </c>
      <c r="E30" s="4" t="s">
        <v>25</v>
      </c>
      <c r="F30" s="4" t="s">
        <v>25</v>
      </c>
      <c r="G30" s="4" t="s">
        <v>89</v>
      </c>
      <c r="H30" s="4" t="s">
        <v>25</v>
      </c>
      <c r="I30" s="5">
        <v>44409</v>
      </c>
      <c r="J30" s="6">
        <v>12600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66</v>
      </c>
      <c r="R30" s="4">
        <v>27727</v>
      </c>
      <c r="S30" s="4">
        <v>13</v>
      </c>
      <c r="T30" s="4">
        <v>0</v>
      </c>
      <c r="U30" s="4">
        <v>0</v>
      </c>
      <c r="V30" s="6">
        <f>IF(ISERROR(VLOOKUP($S$30,'TAR FIN'!$A$1:$O$116,15,0)),0,VLOOKUP($S$30,'TAR FIN'!$A$1:$O$116,15,0))</f>
        <v>5.37</v>
      </c>
      <c r="W30" s="6">
        <f>IF(ISERROR(VLOOKUP($T$30,'TAR FIN'!$A$1:$O$116,15,0)),0,VLOOKUP($T$30,'TAR FIN'!$A$1:$O$116,15,0))</f>
        <v>0</v>
      </c>
      <c r="X30" s="6">
        <f>IF(ISERROR(VLOOKUP($U$30,'TAR FIN'!$A$1:$O$116,15,0)),0,VLOOKUP($U$30,'TAR FIN'!$A$1:$O$116,15,0))</f>
        <v>0</v>
      </c>
      <c r="Y30" s="6">
        <f ca="1">('TUSD BE'!$AM$17+'TUSD BF'!$AM$17+'TUSD CVA'!$AM$17)*1</f>
        <v>5.6347568025342989</v>
      </c>
      <c r="Z30" s="6"/>
      <c r="AA30" s="6"/>
      <c r="AB30" s="6">
        <f t="shared" si="0"/>
        <v>67662</v>
      </c>
      <c r="AC30" s="6">
        <f t="shared" si="1"/>
        <v>0</v>
      </c>
      <c r="AD30" s="6">
        <f t="shared" ca="1" si="2"/>
        <v>70997.935711932165</v>
      </c>
      <c r="AE30" s="6">
        <f t="shared" si="3"/>
        <v>0</v>
      </c>
      <c r="AF30" s="4" t="s">
        <v>1112</v>
      </c>
    </row>
    <row r="31" spans="1:32" ht="11.25" customHeight="1" x14ac:dyDescent="0.25">
      <c r="A31" s="4" t="s">
        <v>21</v>
      </c>
      <c r="B31" s="4" t="s">
        <v>59</v>
      </c>
      <c r="C31" s="4" t="s">
        <v>64</v>
      </c>
      <c r="D31" s="4" t="s">
        <v>25</v>
      </c>
      <c r="E31" s="4" t="s">
        <v>25</v>
      </c>
      <c r="F31" s="4" t="s">
        <v>25</v>
      </c>
      <c r="G31" s="4" t="s">
        <v>92</v>
      </c>
      <c r="H31" s="4" t="s">
        <v>25</v>
      </c>
      <c r="I31" s="5">
        <v>44409</v>
      </c>
      <c r="J31" s="6">
        <v>8100</v>
      </c>
      <c r="K31" s="6">
        <v>4050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66</v>
      </c>
      <c r="R31" s="4">
        <v>30597</v>
      </c>
      <c r="S31" s="4">
        <v>14</v>
      </c>
      <c r="T31" s="4">
        <v>0</v>
      </c>
      <c r="U31" s="4">
        <v>0</v>
      </c>
      <c r="V31" s="6">
        <f>IF(ISERROR(VLOOKUP($S$31,'TAR FIN'!$A$1:$O$116,15,0)),0,VLOOKUP($S$31,'TAR FIN'!$A$1:$O$116,15,0))</f>
        <v>5.04</v>
      </c>
      <c r="W31" s="6">
        <f>IF(ISERROR(VLOOKUP($T$31,'TAR FIN'!$A$1:$O$116,15,0)),0,VLOOKUP($T$31,'TAR FIN'!$A$1:$O$116,15,0))</f>
        <v>0</v>
      </c>
      <c r="X31" s="6">
        <f>IF(ISERROR(VLOOKUP($U$31,'TAR FIN'!$A$1:$O$116,15,0)),0,VLOOKUP($U$31,'TAR FIN'!$A$1:$O$116,15,0))</f>
        <v>0</v>
      </c>
      <c r="Y31" s="6">
        <f ca="1">('TUSD BE'!$AM$18+'TUSD BF'!$AM$18+'TUSD CVA'!$AM$18)*1</f>
        <v>5.2832968919533032</v>
      </c>
      <c r="Z31" s="6"/>
      <c r="AA31" s="6"/>
      <c r="AB31" s="6">
        <f t="shared" si="0"/>
        <v>20412</v>
      </c>
      <c r="AC31" s="6">
        <f t="shared" si="1"/>
        <v>0</v>
      </c>
      <c r="AD31" s="6">
        <f t="shared" ca="1" si="2"/>
        <v>21397.352412410877</v>
      </c>
      <c r="AE31" s="6">
        <f t="shared" si="3"/>
        <v>0</v>
      </c>
      <c r="AF31" s="4" t="s">
        <v>1112</v>
      </c>
    </row>
    <row r="32" spans="1:32" ht="11.25" customHeight="1" x14ac:dyDescent="0.25">
      <c r="A32" s="4" t="s">
        <v>21</v>
      </c>
      <c r="B32" s="4" t="s">
        <v>59</v>
      </c>
      <c r="C32" s="4" t="s">
        <v>64</v>
      </c>
      <c r="D32" s="4" t="s">
        <v>25</v>
      </c>
      <c r="E32" s="4" t="s">
        <v>25</v>
      </c>
      <c r="F32" s="4" t="s">
        <v>25</v>
      </c>
      <c r="G32" s="4" t="s">
        <v>65</v>
      </c>
      <c r="H32" s="4" t="s">
        <v>25</v>
      </c>
      <c r="I32" s="5">
        <v>44440</v>
      </c>
      <c r="J32" s="6">
        <v>1640</v>
      </c>
      <c r="K32" s="6">
        <v>820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66</v>
      </c>
      <c r="R32" s="4">
        <v>104</v>
      </c>
      <c r="S32" s="4">
        <v>5</v>
      </c>
      <c r="T32" s="4">
        <v>0</v>
      </c>
      <c r="U32" s="4">
        <v>0</v>
      </c>
      <c r="V32" s="6">
        <f>IF(ISERROR(VLOOKUP($S$32,'TAR FIN'!$A$1:$O$116,15,0)),0,VLOOKUP($S$32,'TAR FIN'!$A$1:$O$116,15,0))</f>
        <v>5.0999999999999996</v>
      </c>
      <c r="W32" s="6">
        <f>IF(ISERROR(VLOOKUP($T$32,'TAR FIN'!$A$1:$O$116,15,0)),0,VLOOKUP($T$32,'TAR FIN'!$A$1:$O$116,15,0))</f>
        <v>0</v>
      </c>
      <c r="X32" s="6">
        <f>IF(ISERROR(VLOOKUP($U$32,'TAR FIN'!$A$1:$O$116,15,0)),0,VLOOKUP($U$32,'TAR FIN'!$A$1:$O$116,15,0))</f>
        <v>0</v>
      </c>
      <c r="Y32" s="6">
        <f ca="1">('TUSD BE'!$AM$9+'TUSD BF'!$AM$9+'TUSD CVA'!$AM$9)*1</f>
        <v>5.3518194805398505</v>
      </c>
      <c r="Z32" s="6"/>
      <c r="AA32" s="6"/>
      <c r="AB32" s="6">
        <f t="shared" si="0"/>
        <v>4182</v>
      </c>
      <c r="AC32" s="6">
        <f t="shared" si="1"/>
        <v>0</v>
      </c>
      <c r="AD32" s="6">
        <f t="shared" ca="1" si="2"/>
        <v>4388.4919740426776</v>
      </c>
      <c r="AE32" s="6">
        <f t="shared" si="3"/>
        <v>0</v>
      </c>
      <c r="AF32" s="4" t="s">
        <v>1112</v>
      </c>
    </row>
    <row r="33" spans="1:32" ht="11.25" customHeight="1" x14ac:dyDescent="0.25">
      <c r="A33" s="4" t="s">
        <v>21</v>
      </c>
      <c r="B33" s="4" t="s">
        <v>59</v>
      </c>
      <c r="C33" s="4" t="s">
        <v>64</v>
      </c>
      <c r="D33" s="4" t="s">
        <v>25</v>
      </c>
      <c r="E33" s="4" t="s">
        <v>25</v>
      </c>
      <c r="F33" s="4" t="s">
        <v>25</v>
      </c>
      <c r="G33" s="4" t="s">
        <v>67</v>
      </c>
      <c r="H33" s="4" t="s">
        <v>25</v>
      </c>
      <c r="I33" s="5">
        <v>44440</v>
      </c>
      <c r="J33" s="6">
        <v>39500</v>
      </c>
      <c r="K33" s="6">
        <v>24307.692490000001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66</v>
      </c>
      <c r="R33" s="4">
        <v>215</v>
      </c>
      <c r="S33" s="4">
        <v>6</v>
      </c>
      <c r="T33" s="4">
        <v>0</v>
      </c>
      <c r="U33" s="4">
        <v>0</v>
      </c>
      <c r="V33" s="6">
        <f>IF(ISERROR(VLOOKUP($S$33,'TAR FIN'!$A$1:$O$116,15,0)),0,VLOOKUP($S$33,'TAR FIN'!$A$1:$O$116,15,0))</f>
        <v>3.94</v>
      </c>
      <c r="W33" s="6">
        <f>IF(ISERROR(VLOOKUP($T$33,'TAR FIN'!$A$1:$O$116,15,0)),0,VLOOKUP($T$33,'TAR FIN'!$A$1:$O$116,15,0))</f>
        <v>0</v>
      </c>
      <c r="X33" s="6">
        <f>IF(ISERROR(VLOOKUP($U$33,'TAR FIN'!$A$1:$O$116,15,0)),0,VLOOKUP($U$33,'TAR FIN'!$A$1:$O$116,15,0))</f>
        <v>0</v>
      </c>
      <c r="Y33" s="6">
        <f ca="1">('TUSD BE'!$AM$10+'TUSD BF'!$AM$10+'TUSD CVA'!$AM$10)*1</f>
        <v>4.1263435553812471</v>
      </c>
      <c r="Z33" s="6"/>
      <c r="AA33" s="6"/>
      <c r="AB33" s="6">
        <f t="shared" si="0"/>
        <v>59857.691589399998</v>
      </c>
      <c r="AC33" s="6">
        <f t="shared" si="1"/>
        <v>0</v>
      </c>
      <c r="AD33" s="6">
        <f t="shared" ca="1" si="2"/>
        <v>62688.680185258614</v>
      </c>
      <c r="AE33" s="6">
        <f t="shared" si="3"/>
        <v>0</v>
      </c>
      <c r="AF33" s="4" t="s">
        <v>1112</v>
      </c>
    </row>
    <row r="34" spans="1:32" ht="11.25" customHeight="1" x14ac:dyDescent="0.25">
      <c r="A34" s="4" t="s">
        <v>21</v>
      </c>
      <c r="B34" s="4" t="s">
        <v>59</v>
      </c>
      <c r="C34" s="4" t="s">
        <v>64</v>
      </c>
      <c r="D34" s="4" t="s">
        <v>25</v>
      </c>
      <c r="E34" s="4" t="s">
        <v>25</v>
      </c>
      <c r="F34" s="4" t="s">
        <v>25</v>
      </c>
      <c r="G34" s="4" t="s">
        <v>69</v>
      </c>
      <c r="H34" s="4" t="s">
        <v>25</v>
      </c>
      <c r="I34" s="5">
        <v>44440</v>
      </c>
      <c r="J34" s="6">
        <v>22000</v>
      </c>
      <c r="K34" s="6">
        <v>22000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66</v>
      </c>
      <c r="R34" s="4">
        <v>473</v>
      </c>
      <c r="S34" s="4">
        <v>7</v>
      </c>
      <c r="T34" s="4">
        <v>0</v>
      </c>
      <c r="U34" s="4">
        <v>0</v>
      </c>
      <c r="V34" s="6">
        <f>IF(ISERROR(VLOOKUP($S$34,'TAR FIN'!$A$1:$O$116,15,0)),0,VLOOKUP($S$34,'TAR FIN'!$A$1:$O$116,15,0))</f>
        <v>5.69</v>
      </c>
      <c r="W34" s="6">
        <f>IF(ISERROR(VLOOKUP($T$34,'TAR FIN'!$A$1:$O$116,15,0)),0,VLOOKUP($T$34,'TAR FIN'!$A$1:$O$116,15,0))</f>
        <v>0</v>
      </c>
      <c r="X34" s="6">
        <f>IF(ISERROR(VLOOKUP($U$34,'TAR FIN'!$A$1:$O$116,15,0)),0,VLOOKUP($U$34,'TAR FIN'!$A$1:$O$116,15,0))</f>
        <v>0</v>
      </c>
      <c r="Y34" s="6">
        <f ca="1">('TUSD BE'!$AM$11+'TUSD BF'!$AM$11+'TUSD CVA'!$AM$11)*1</f>
        <v>5.9725875581129042</v>
      </c>
      <c r="Z34" s="6"/>
      <c r="AA34" s="6"/>
      <c r="AB34" s="6">
        <f t="shared" si="0"/>
        <v>0</v>
      </c>
      <c r="AC34" s="6">
        <f t="shared" si="1"/>
        <v>0</v>
      </c>
      <c r="AD34" s="6">
        <f t="shared" ca="1" si="2"/>
        <v>0</v>
      </c>
      <c r="AE34" s="6">
        <f t="shared" si="3"/>
        <v>0</v>
      </c>
      <c r="AF34" s="4" t="s">
        <v>1112</v>
      </c>
    </row>
    <row r="35" spans="1:32" ht="11.25" customHeight="1" x14ac:dyDescent="0.25">
      <c r="A35" s="4" t="s">
        <v>21</v>
      </c>
      <c r="B35" s="4" t="s">
        <v>59</v>
      </c>
      <c r="C35" s="4" t="s">
        <v>64</v>
      </c>
      <c r="D35" s="4" t="s">
        <v>25</v>
      </c>
      <c r="E35" s="4" t="s">
        <v>25</v>
      </c>
      <c r="F35" s="4" t="s">
        <v>25</v>
      </c>
      <c r="G35" s="4" t="s">
        <v>72</v>
      </c>
      <c r="H35" s="4" t="s">
        <v>25</v>
      </c>
      <c r="I35" s="5">
        <v>44440</v>
      </c>
      <c r="J35" s="6">
        <v>16500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66</v>
      </c>
      <c r="R35" s="4">
        <v>1047</v>
      </c>
      <c r="S35" s="4">
        <v>8</v>
      </c>
      <c r="T35" s="4">
        <v>0</v>
      </c>
      <c r="U35" s="4">
        <v>0</v>
      </c>
      <c r="V35" s="6">
        <f>IF(ISERROR(VLOOKUP($S$35,'TAR FIN'!$A$1:$O$116,15,0)),0,VLOOKUP($S$35,'TAR FIN'!$A$1:$O$116,15,0))</f>
        <v>5.41</v>
      </c>
      <c r="W35" s="6">
        <f>IF(ISERROR(VLOOKUP($T$35,'TAR FIN'!$A$1:$O$116,15,0)),0,VLOOKUP($T$35,'TAR FIN'!$A$1:$O$116,15,0))</f>
        <v>0</v>
      </c>
      <c r="X35" s="6">
        <f>IF(ISERROR(VLOOKUP($U$35,'TAR FIN'!$A$1:$O$116,15,0)),0,VLOOKUP($U$35,'TAR FIN'!$A$1:$O$116,15,0))</f>
        <v>0</v>
      </c>
      <c r="Y35" s="6">
        <f ca="1">('TUSD BE'!$AM$12+'TUSD BF'!$AM$12+'TUSD CVA'!$AM$12)*1</f>
        <v>5.6770468968387959</v>
      </c>
      <c r="Z35" s="6"/>
      <c r="AA35" s="6"/>
      <c r="AB35" s="6">
        <f t="shared" si="0"/>
        <v>89265</v>
      </c>
      <c r="AC35" s="6">
        <f t="shared" si="1"/>
        <v>0</v>
      </c>
      <c r="AD35" s="6">
        <f t="shared" ca="1" si="2"/>
        <v>93671.273797840127</v>
      </c>
      <c r="AE35" s="6">
        <f t="shared" si="3"/>
        <v>0</v>
      </c>
      <c r="AF35" s="4" t="s">
        <v>1112</v>
      </c>
    </row>
    <row r="36" spans="1:32" ht="11.25" customHeight="1" x14ac:dyDescent="0.25">
      <c r="A36" s="4" t="s">
        <v>21</v>
      </c>
      <c r="B36" s="4" t="s">
        <v>59</v>
      </c>
      <c r="C36" s="4" t="s">
        <v>64</v>
      </c>
      <c r="D36" s="4" t="s">
        <v>25</v>
      </c>
      <c r="E36" s="4" t="s">
        <v>25</v>
      </c>
      <c r="F36" s="4" t="s">
        <v>25</v>
      </c>
      <c r="G36" s="4" t="s">
        <v>73</v>
      </c>
      <c r="H36" s="4" t="s">
        <v>25</v>
      </c>
      <c r="I36" s="5">
        <v>44440</v>
      </c>
      <c r="J36" s="6">
        <v>5320</v>
      </c>
      <c r="K36" s="6">
        <v>2660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66</v>
      </c>
      <c r="R36" s="4">
        <v>1078</v>
      </c>
      <c r="S36" s="4">
        <v>9</v>
      </c>
      <c r="T36" s="4">
        <v>0</v>
      </c>
      <c r="U36" s="4">
        <v>0</v>
      </c>
      <c r="V36" s="6">
        <f>IF(ISERROR(VLOOKUP($S$36,'TAR FIN'!$A$1:$O$116,15,0)),0,VLOOKUP($S$36,'TAR FIN'!$A$1:$O$116,15,0))</f>
        <v>5.0999999999999996</v>
      </c>
      <c r="W36" s="6">
        <f>IF(ISERROR(VLOOKUP($T$36,'TAR FIN'!$A$1:$O$116,15,0)),0,VLOOKUP($T$36,'TAR FIN'!$A$1:$O$116,15,0))</f>
        <v>0</v>
      </c>
      <c r="X36" s="6">
        <f>IF(ISERROR(VLOOKUP($U$36,'TAR FIN'!$A$1:$O$116,15,0)),0,VLOOKUP($U$36,'TAR FIN'!$A$1:$O$116,15,0))</f>
        <v>0</v>
      </c>
      <c r="Y36" s="6">
        <f ca="1">('TUSD BE'!$AM$13+'TUSD BF'!$AM$13+'TUSD CVA'!$AM$13)*1</f>
        <v>5.3518194805398505</v>
      </c>
      <c r="Z36" s="6"/>
      <c r="AA36" s="6"/>
      <c r="AB36" s="6">
        <f t="shared" si="0"/>
        <v>13565.999999999998</v>
      </c>
      <c r="AC36" s="6">
        <f t="shared" si="1"/>
        <v>0</v>
      </c>
      <c r="AD36" s="6">
        <f t="shared" ca="1" si="2"/>
        <v>14235.839818236002</v>
      </c>
      <c r="AE36" s="6">
        <f t="shared" si="3"/>
        <v>0</v>
      </c>
      <c r="AF36" s="4" t="s">
        <v>1112</v>
      </c>
    </row>
    <row r="37" spans="1:32" ht="11.25" customHeight="1" x14ac:dyDescent="0.25">
      <c r="A37" s="4" t="s">
        <v>21</v>
      </c>
      <c r="B37" s="4" t="s">
        <v>59</v>
      </c>
      <c r="C37" s="4" t="s">
        <v>64</v>
      </c>
      <c r="D37" s="4" t="s">
        <v>25</v>
      </c>
      <c r="E37" s="4" t="s">
        <v>25</v>
      </c>
      <c r="F37" s="4" t="s">
        <v>25</v>
      </c>
      <c r="G37" s="4" t="s">
        <v>75</v>
      </c>
      <c r="H37" s="4" t="s">
        <v>25</v>
      </c>
      <c r="I37" s="5">
        <v>44440</v>
      </c>
      <c r="J37" s="6">
        <v>44057</v>
      </c>
      <c r="K37" s="6">
        <v>44057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66</v>
      </c>
      <c r="R37" s="4">
        <v>1276</v>
      </c>
      <c r="S37" s="4">
        <v>10</v>
      </c>
      <c r="T37" s="4">
        <v>0</v>
      </c>
      <c r="U37" s="4">
        <v>0</v>
      </c>
      <c r="V37" s="6">
        <f>IF(ISERROR(VLOOKUP($S$37,'TAR FIN'!$A$1:$O$116,15,0)),0,VLOOKUP($S$37,'TAR FIN'!$A$1:$O$116,15,0))</f>
        <v>5.0999999999999996</v>
      </c>
      <c r="W37" s="6">
        <f>IF(ISERROR(VLOOKUP($T$37,'TAR FIN'!$A$1:$O$116,15,0)),0,VLOOKUP($T$37,'TAR FIN'!$A$1:$O$116,15,0))</f>
        <v>0</v>
      </c>
      <c r="X37" s="6">
        <f>IF(ISERROR(VLOOKUP($U$37,'TAR FIN'!$A$1:$O$116,15,0)),0,VLOOKUP($U$37,'TAR FIN'!$A$1:$O$116,15,0))</f>
        <v>0</v>
      </c>
      <c r="Y37" s="6">
        <f ca="1">('TUSD BE'!$AM$14+'TUSD BF'!$AM$14+'TUSD CVA'!$AM$14)*1</f>
        <v>5.3518194805398505</v>
      </c>
      <c r="Z37" s="6"/>
      <c r="AA37" s="6"/>
      <c r="AB37" s="6">
        <f t="shared" si="0"/>
        <v>0</v>
      </c>
      <c r="AC37" s="6">
        <f t="shared" si="1"/>
        <v>0</v>
      </c>
      <c r="AD37" s="6">
        <f t="shared" ca="1" si="2"/>
        <v>0</v>
      </c>
      <c r="AE37" s="6">
        <f t="shared" si="3"/>
        <v>0</v>
      </c>
      <c r="AF37" s="4" t="s">
        <v>1112</v>
      </c>
    </row>
    <row r="38" spans="1:32" ht="11.25" customHeight="1" x14ac:dyDescent="0.25">
      <c r="A38" s="4" t="s">
        <v>21</v>
      </c>
      <c r="B38" s="4" t="s">
        <v>59</v>
      </c>
      <c r="C38" s="4" t="s">
        <v>64</v>
      </c>
      <c r="D38" s="4" t="s">
        <v>25</v>
      </c>
      <c r="E38" s="4" t="s">
        <v>25</v>
      </c>
      <c r="F38" s="4" t="s">
        <v>25</v>
      </c>
      <c r="G38" s="4" t="s">
        <v>86</v>
      </c>
      <c r="H38" s="4" t="s">
        <v>25</v>
      </c>
      <c r="I38" s="5">
        <v>44440</v>
      </c>
      <c r="J38" s="6">
        <v>24400</v>
      </c>
      <c r="K38" s="6">
        <v>12200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66</v>
      </c>
      <c r="R38" s="4">
        <v>27532</v>
      </c>
      <c r="S38" s="4">
        <v>11</v>
      </c>
      <c r="T38" s="4">
        <v>0</v>
      </c>
      <c r="U38" s="4">
        <v>0</v>
      </c>
      <c r="V38" s="6">
        <f>IF(ISERROR(VLOOKUP($S$38,'TAR FIN'!$A$1:$O$116,15,0)),0,VLOOKUP($S$38,'TAR FIN'!$A$1:$O$116,15,0))</f>
        <v>4.63</v>
      </c>
      <c r="W38" s="6">
        <f>IF(ISERROR(VLOOKUP($T$38,'TAR FIN'!$A$1:$O$116,15,0)),0,VLOOKUP($T$38,'TAR FIN'!$A$1:$O$116,15,0))</f>
        <v>0</v>
      </c>
      <c r="X38" s="6">
        <f>IF(ISERROR(VLOOKUP($U$38,'TAR FIN'!$A$1:$O$116,15,0)),0,VLOOKUP($U$38,'TAR FIN'!$A$1:$O$116,15,0))</f>
        <v>0</v>
      </c>
      <c r="Y38" s="6">
        <f ca="1">('TUSD BE'!$AM$15+'TUSD BF'!$AM$15+'TUSD CVA'!$AM$15)*1</f>
        <v>4.8520321280503262</v>
      </c>
      <c r="Z38" s="6"/>
      <c r="AA38" s="6"/>
      <c r="AB38" s="6">
        <f t="shared" si="0"/>
        <v>56486</v>
      </c>
      <c r="AC38" s="6">
        <f t="shared" si="1"/>
        <v>0</v>
      </c>
      <c r="AD38" s="6">
        <f t="shared" ca="1" si="2"/>
        <v>59194.791962213982</v>
      </c>
      <c r="AE38" s="6">
        <f t="shared" si="3"/>
        <v>0</v>
      </c>
      <c r="AF38" s="4" t="s">
        <v>1112</v>
      </c>
    </row>
    <row r="39" spans="1:32" ht="11.25" customHeight="1" x14ac:dyDescent="0.25">
      <c r="A39" s="4" t="s">
        <v>21</v>
      </c>
      <c r="B39" s="4" t="s">
        <v>59</v>
      </c>
      <c r="C39" s="4" t="s">
        <v>64</v>
      </c>
      <c r="D39" s="4" t="s">
        <v>25</v>
      </c>
      <c r="E39" s="4" t="s">
        <v>25</v>
      </c>
      <c r="F39" s="4" t="s">
        <v>25</v>
      </c>
      <c r="G39" s="4" t="s">
        <v>87</v>
      </c>
      <c r="H39" s="4" t="s">
        <v>25</v>
      </c>
      <c r="I39" s="5">
        <v>44440</v>
      </c>
      <c r="J39" s="6">
        <v>25000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66</v>
      </c>
      <c r="R39" s="4">
        <v>27534</v>
      </c>
      <c r="S39" s="4">
        <v>12</v>
      </c>
      <c r="T39" s="4">
        <v>0</v>
      </c>
      <c r="U39" s="4">
        <v>0</v>
      </c>
      <c r="V39" s="6">
        <f>IF(ISERROR(VLOOKUP($S$39,'TAR FIN'!$A$1:$O$116,15,0)),0,VLOOKUP($S$39,'TAR FIN'!$A$1:$O$116,15,0))</f>
        <v>5.58</v>
      </c>
      <c r="W39" s="6">
        <f>IF(ISERROR(VLOOKUP($T$39,'TAR FIN'!$A$1:$O$116,15,0)),0,VLOOKUP($T$39,'TAR FIN'!$A$1:$O$116,15,0))</f>
        <v>0</v>
      </c>
      <c r="X39" s="6">
        <f>IF(ISERROR(VLOOKUP($U$39,'TAR FIN'!$A$1:$O$116,15,0)),0,VLOOKUP($U$39,'TAR FIN'!$A$1:$O$116,15,0))</f>
        <v>0</v>
      </c>
      <c r="Y39" s="6">
        <f ca="1">('TUSD BE'!$AM$16+'TUSD BF'!$AM$16+'TUSD CVA'!$AM$16)*1</f>
        <v>5.862991208798829</v>
      </c>
      <c r="Z39" s="6"/>
      <c r="AA39" s="6"/>
      <c r="AB39" s="6">
        <f t="shared" si="0"/>
        <v>139500</v>
      </c>
      <c r="AC39" s="6">
        <f t="shared" si="1"/>
        <v>0</v>
      </c>
      <c r="AD39" s="6">
        <f t="shared" ca="1" si="2"/>
        <v>146574.78021997074</v>
      </c>
      <c r="AE39" s="6">
        <f t="shared" si="3"/>
        <v>0</v>
      </c>
      <c r="AF39" s="4" t="s">
        <v>1112</v>
      </c>
    </row>
    <row r="40" spans="1:32" ht="11.25" customHeight="1" x14ac:dyDescent="0.25">
      <c r="A40" s="4" t="s">
        <v>21</v>
      </c>
      <c r="B40" s="4" t="s">
        <v>59</v>
      </c>
      <c r="C40" s="4" t="s">
        <v>64</v>
      </c>
      <c r="D40" s="4" t="s">
        <v>25</v>
      </c>
      <c r="E40" s="4" t="s">
        <v>25</v>
      </c>
      <c r="F40" s="4" t="s">
        <v>25</v>
      </c>
      <c r="G40" s="4" t="s">
        <v>89</v>
      </c>
      <c r="H40" s="4" t="s">
        <v>25</v>
      </c>
      <c r="I40" s="5">
        <v>44440</v>
      </c>
      <c r="J40" s="6">
        <v>12600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66</v>
      </c>
      <c r="R40" s="4">
        <v>27727</v>
      </c>
      <c r="S40" s="4">
        <v>13</v>
      </c>
      <c r="T40" s="4">
        <v>0</v>
      </c>
      <c r="U40" s="4">
        <v>0</v>
      </c>
      <c r="V40" s="6">
        <f>IF(ISERROR(VLOOKUP($S$40,'TAR FIN'!$A$1:$O$116,15,0)),0,VLOOKUP($S$40,'TAR FIN'!$A$1:$O$116,15,0))</f>
        <v>5.37</v>
      </c>
      <c r="W40" s="6">
        <f>IF(ISERROR(VLOOKUP($T$40,'TAR FIN'!$A$1:$O$116,15,0)),0,VLOOKUP($T$40,'TAR FIN'!$A$1:$O$116,15,0))</f>
        <v>0</v>
      </c>
      <c r="X40" s="6">
        <f>IF(ISERROR(VLOOKUP($U$40,'TAR FIN'!$A$1:$O$116,15,0)),0,VLOOKUP($U$40,'TAR FIN'!$A$1:$O$116,15,0))</f>
        <v>0</v>
      </c>
      <c r="Y40" s="6">
        <f ca="1">('TUSD BE'!$AM$17+'TUSD BF'!$AM$17+'TUSD CVA'!$AM$17)*1</f>
        <v>5.6347568025342989</v>
      </c>
      <c r="Z40" s="6"/>
      <c r="AA40" s="6"/>
      <c r="AB40" s="6">
        <f t="shared" si="0"/>
        <v>67662</v>
      </c>
      <c r="AC40" s="6">
        <f t="shared" si="1"/>
        <v>0</v>
      </c>
      <c r="AD40" s="6">
        <f t="shared" ca="1" si="2"/>
        <v>70997.935711932165</v>
      </c>
      <c r="AE40" s="6">
        <f t="shared" si="3"/>
        <v>0</v>
      </c>
      <c r="AF40" s="4" t="s">
        <v>1112</v>
      </c>
    </row>
    <row r="41" spans="1:32" ht="11.25" customHeight="1" x14ac:dyDescent="0.25">
      <c r="A41" s="4" t="s">
        <v>21</v>
      </c>
      <c r="B41" s="4" t="s">
        <v>59</v>
      </c>
      <c r="C41" s="4" t="s">
        <v>64</v>
      </c>
      <c r="D41" s="4" t="s">
        <v>25</v>
      </c>
      <c r="E41" s="4" t="s">
        <v>25</v>
      </c>
      <c r="F41" s="4" t="s">
        <v>25</v>
      </c>
      <c r="G41" s="4" t="s">
        <v>92</v>
      </c>
      <c r="H41" s="4" t="s">
        <v>25</v>
      </c>
      <c r="I41" s="5">
        <v>44440</v>
      </c>
      <c r="J41" s="6">
        <v>8100</v>
      </c>
      <c r="K41" s="6">
        <v>4050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66</v>
      </c>
      <c r="R41" s="4">
        <v>30597</v>
      </c>
      <c r="S41" s="4">
        <v>14</v>
      </c>
      <c r="T41" s="4">
        <v>0</v>
      </c>
      <c r="U41" s="4">
        <v>0</v>
      </c>
      <c r="V41" s="6">
        <f>IF(ISERROR(VLOOKUP($S$41,'TAR FIN'!$A$1:$O$116,15,0)),0,VLOOKUP($S$41,'TAR FIN'!$A$1:$O$116,15,0))</f>
        <v>5.04</v>
      </c>
      <c r="W41" s="6">
        <f>IF(ISERROR(VLOOKUP($T$41,'TAR FIN'!$A$1:$O$116,15,0)),0,VLOOKUP($T$41,'TAR FIN'!$A$1:$O$116,15,0))</f>
        <v>0</v>
      </c>
      <c r="X41" s="6">
        <f>IF(ISERROR(VLOOKUP($U$41,'TAR FIN'!$A$1:$O$116,15,0)),0,VLOOKUP($U$41,'TAR FIN'!$A$1:$O$116,15,0))</f>
        <v>0</v>
      </c>
      <c r="Y41" s="6">
        <f ca="1">('TUSD BE'!$AM$18+'TUSD BF'!$AM$18+'TUSD CVA'!$AM$18)*1</f>
        <v>5.2832968919533032</v>
      </c>
      <c r="Z41" s="6"/>
      <c r="AA41" s="6"/>
      <c r="AB41" s="6">
        <f t="shared" si="0"/>
        <v>20412</v>
      </c>
      <c r="AC41" s="6">
        <f t="shared" si="1"/>
        <v>0</v>
      </c>
      <c r="AD41" s="6">
        <f t="shared" ca="1" si="2"/>
        <v>21397.352412410877</v>
      </c>
      <c r="AE41" s="6">
        <f t="shared" si="3"/>
        <v>0</v>
      </c>
      <c r="AF41" s="4" t="s">
        <v>1112</v>
      </c>
    </row>
    <row r="42" spans="1:32" ht="11.25" customHeight="1" x14ac:dyDescent="0.25">
      <c r="A42" s="4" t="s">
        <v>21</v>
      </c>
      <c r="B42" s="4" t="s">
        <v>59</v>
      </c>
      <c r="C42" s="4" t="s">
        <v>64</v>
      </c>
      <c r="D42" s="4" t="s">
        <v>25</v>
      </c>
      <c r="E42" s="4" t="s">
        <v>25</v>
      </c>
      <c r="F42" s="4" t="s">
        <v>25</v>
      </c>
      <c r="G42" s="4" t="s">
        <v>65</v>
      </c>
      <c r="H42" s="4" t="s">
        <v>25</v>
      </c>
      <c r="I42" s="5">
        <v>44470</v>
      </c>
      <c r="J42" s="6">
        <v>1640</v>
      </c>
      <c r="K42" s="6">
        <v>820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66</v>
      </c>
      <c r="R42" s="4">
        <v>104</v>
      </c>
      <c r="S42" s="4">
        <v>5</v>
      </c>
      <c r="T42" s="4">
        <v>0</v>
      </c>
      <c r="U42" s="4">
        <v>0</v>
      </c>
      <c r="V42" s="6">
        <f>IF(ISERROR(VLOOKUP($S$42,'TAR FIN'!$A$1:$O$116,15,0)),0,VLOOKUP($S$42,'TAR FIN'!$A$1:$O$116,15,0))</f>
        <v>5.0999999999999996</v>
      </c>
      <c r="W42" s="6">
        <f>IF(ISERROR(VLOOKUP($T$42,'TAR FIN'!$A$1:$O$116,15,0)),0,VLOOKUP($T$42,'TAR FIN'!$A$1:$O$116,15,0))</f>
        <v>0</v>
      </c>
      <c r="X42" s="6">
        <f>IF(ISERROR(VLOOKUP($U$42,'TAR FIN'!$A$1:$O$116,15,0)),0,VLOOKUP($U$42,'TAR FIN'!$A$1:$O$116,15,0))</f>
        <v>0</v>
      </c>
      <c r="Y42" s="6">
        <f ca="1">('TUSD BE'!$AM$9+'TUSD BF'!$AM$9+'TUSD CVA'!$AM$9)*1</f>
        <v>5.3518194805398505</v>
      </c>
      <c r="Z42" s="6"/>
      <c r="AA42" s="6"/>
      <c r="AB42" s="6">
        <f t="shared" si="0"/>
        <v>4182</v>
      </c>
      <c r="AC42" s="6">
        <f t="shared" si="1"/>
        <v>0</v>
      </c>
      <c r="AD42" s="6">
        <f t="shared" ca="1" si="2"/>
        <v>4388.4919740426776</v>
      </c>
      <c r="AE42" s="6">
        <f t="shared" si="3"/>
        <v>0</v>
      </c>
      <c r="AF42" s="4" t="s">
        <v>1112</v>
      </c>
    </row>
    <row r="43" spans="1:32" ht="11.25" customHeight="1" x14ac:dyDescent="0.25">
      <c r="A43" s="4" t="s">
        <v>21</v>
      </c>
      <c r="B43" s="4" t="s">
        <v>59</v>
      </c>
      <c r="C43" s="4" t="s">
        <v>64</v>
      </c>
      <c r="D43" s="4" t="s">
        <v>25</v>
      </c>
      <c r="E43" s="4" t="s">
        <v>25</v>
      </c>
      <c r="F43" s="4" t="s">
        <v>25</v>
      </c>
      <c r="G43" s="4" t="s">
        <v>67</v>
      </c>
      <c r="H43" s="4" t="s">
        <v>25</v>
      </c>
      <c r="I43" s="5">
        <v>44470</v>
      </c>
      <c r="J43" s="6">
        <v>39500</v>
      </c>
      <c r="K43" s="6">
        <v>24307.692490000001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66</v>
      </c>
      <c r="R43" s="4">
        <v>215</v>
      </c>
      <c r="S43" s="4">
        <v>6</v>
      </c>
      <c r="T43" s="4">
        <v>0</v>
      </c>
      <c r="U43" s="4">
        <v>0</v>
      </c>
      <c r="V43" s="6">
        <f>IF(ISERROR(VLOOKUP($S$43,'TAR FIN'!$A$1:$O$116,15,0)),0,VLOOKUP($S$43,'TAR FIN'!$A$1:$O$116,15,0))</f>
        <v>3.94</v>
      </c>
      <c r="W43" s="6">
        <f>IF(ISERROR(VLOOKUP($T$43,'TAR FIN'!$A$1:$O$116,15,0)),0,VLOOKUP($T$43,'TAR FIN'!$A$1:$O$116,15,0))</f>
        <v>0</v>
      </c>
      <c r="X43" s="6">
        <f>IF(ISERROR(VLOOKUP($U$43,'TAR FIN'!$A$1:$O$116,15,0)),0,VLOOKUP($U$43,'TAR FIN'!$A$1:$O$116,15,0))</f>
        <v>0</v>
      </c>
      <c r="Y43" s="6">
        <f ca="1">('TUSD BE'!$AM$10+'TUSD BF'!$AM$10+'TUSD CVA'!$AM$10)*1</f>
        <v>4.1263435553812471</v>
      </c>
      <c r="Z43" s="6"/>
      <c r="AA43" s="6"/>
      <c r="AB43" s="6">
        <f t="shared" si="0"/>
        <v>59857.691589399998</v>
      </c>
      <c r="AC43" s="6">
        <f t="shared" si="1"/>
        <v>0</v>
      </c>
      <c r="AD43" s="6">
        <f t="shared" ca="1" si="2"/>
        <v>62688.680185258614</v>
      </c>
      <c r="AE43" s="6">
        <f t="shared" si="3"/>
        <v>0</v>
      </c>
      <c r="AF43" s="4" t="s">
        <v>1112</v>
      </c>
    </row>
    <row r="44" spans="1:32" ht="11.25" customHeight="1" x14ac:dyDescent="0.25">
      <c r="A44" s="4" t="s">
        <v>21</v>
      </c>
      <c r="B44" s="4" t="s">
        <v>59</v>
      </c>
      <c r="C44" s="4" t="s">
        <v>64</v>
      </c>
      <c r="D44" s="4" t="s">
        <v>25</v>
      </c>
      <c r="E44" s="4" t="s">
        <v>25</v>
      </c>
      <c r="F44" s="4" t="s">
        <v>25</v>
      </c>
      <c r="G44" s="4" t="s">
        <v>69</v>
      </c>
      <c r="H44" s="4" t="s">
        <v>25</v>
      </c>
      <c r="I44" s="5">
        <v>44470</v>
      </c>
      <c r="J44" s="6">
        <v>22000</v>
      </c>
      <c r="K44" s="6">
        <v>22000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66</v>
      </c>
      <c r="R44" s="4">
        <v>473</v>
      </c>
      <c r="S44" s="4">
        <v>7</v>
      </c>
      <c r="T44" s="4">
        <v>0</v>
      </c>
      <c r="U44" s="4">
        <v>0</v>
      </c>
      <c r="V44" s="6">
        <f>IF(ISERROR(VLOOKUP($S$44,'TAR FIN'!$A$1:$O$116,15,0)),0,VLOOKUP($S$44,'TAR FIN'!$A$1:$O$116,15,0))</f>
        <v>5.69</v>
      </c>
      <c r="W44" s="6">
        <f>IF(ISERROR(VLOOKUP($T$44,'TAR FIN'!$A$1:$O$116,15,0)),0,VLOOKUP($T$44,'TAR FIN'!$A$1:$O$116,15,0))</f>
        <v>0</v>
      </c>
      <c r="X44" s="6">
        <f>IF(ISERROR(VLOOKUP($U$44,'TAR FIN'!$A$1:$O$116,15,0)),0,VLOOKUP($U$44,'TAR FIN'!$A$1:$O$116,15,0))</f>
        <v>0</v>
      </c>
      <c r="Y44" s="6">
        <f ca="1">('TUSD BE'!$AM$11+'TUSD BF'!$AM$11+'TUSD CVA'!$AM$11)*1</f>
        <v>5.9725875581129042</v>
      </c>
      <c r="Z44" s="6"/>
      <c r="AA44" s="6"/>
      <c r="AB44" s="6">
        <f t="shared" si="0"/>
        <v>0</v>
      </c>
      <c r="AC44" s="6">
        <f t="shared" si="1"/>
        <v>0</v>
      </c>
      <c r="AD44" s="6">
        <f t="shared" ca="1" si="2"/>
        <v>0</v>
      </c>
      <c r="AE44" s="6">
        <f t="shared" si="3"/>
        <v>0</v>
      </c>
      <c r="AF44" s="4" t="s">
        <v>1112</v>
      </c>
    </row>
    <row r="45" spans="1:32" ht="11.25" customHeight="1" x14ac:dyDescent="0.25">
      <c r="A45" s="4" t="s">
        <v>21</v>
      </c>
      <c r="B45" s="4" t="s">
        <v>59</v>
      </c>
      <c r="C45" s="4" t="s">
        <v>64</v>
      </c>
      <c r="D45" s="4" t="s">
        <v>25</v>
      </c>
      <c r="E45" s="4" t="s">
        <v>25</v>
      </c>
      <c r="F45" s="4" t="s">
        <v>25</v>
      </c>
      <c r="G45" s="4" t="s">
        <v>72</v>
      </c>
      <c r="H45" s="4" t="s">
        <v>25</v>
      </c>
      <c r="I45" s="5">
        <v>44470</v>
      </c>
      <c r="J45" s="6">
        <v>16500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66</v>
      </c>
      <c r="R45" s="4">
        <v>1047</v>
      </c>
      <c r="S45" s="4">
        <v>8</v>
      </c>
      <c r="T45" s="4">
        <v>0</v>
      </c>
      <c r="U45" s="4">
        <v>0</v>
      </c>
      <c r="V45" s="6">
        <f>IF(ISERROR(VLOOKUP($S$45,'TAR FIN'!$A$1:$O$116,15,0)),0,VLOOKUP($S$45,'TAR FIN'!$A$1:$O$116,15,0))</f>
        <v>5.41</v>
      </c>
      <c r="W45" s="6">
        <f>IF(ISERROR(VLOOKUP($T$45,'TAR FIN'!$A$1:$O$116,15,0)),0,VLOOKUP($T$45,'TAR FIN'!$A$1:$O$116,15,0))</f>
        <v>0</v>
      </c>
      <c r="X45" s="6">
        <f>IF(ISERROR(VLOOKUP($U$45,'TAR FIN'!$A$1:$O$116,15,0)),0,VLOOKUP($U$45,'TAR FIN'!$A$1:$O$116,15,0))</f>
        <v>0</v>
      </c>
      <c r="Y45" s="6">
        <f ca="1">('TUSD BE'!$AM$12+'TUSD BF'!$AM$12+'TUSD CVA'!$AM$12)*1</f>
        <v>5.6770468968387959</v>
      </c>
      <c r="Z45" s="6"/>
      <c r="AA45" s="6"/>
      <c r="AB45" s="6">
        <f t="shared" si="0"/>
        <v>89265</v>
      </c>
      <c r="AC45" s="6">
        <f t="shared" si="1"/>
        <v>0</v>
      </c>
      <c r="AD45" s="6">
        <f t="shared" ca="1" si="2"/>
        <v>93671.273797840127</v>
      </c>
      <c r="AE45" s="6">
        <f t="shared" si="3"/>
        <v>0</v>
      </c>
      <c r="AF45" s="4" t="s">
        <v>1112</v>
      </c>
    </row>
    <row r="46" spans="1:32" ht="11.25" customHeight="1" x14ac:dyDescent="0.25">
      <c r="A46" s="4" t="s">
        <v>21</v>
      </c>
      <c r="B46" s="4" t="s">
        <v>59</v>
      </c>
      <c r="C46" s="4" t="s">
        <v>64</v>
      </c>
      <c r="D46" s="4" t="s">
        <v>25</v>
      </c>
      <c r="E46" s="4" t="s">
        <v>25</v>
      </c>
      <c r="F46" s="4" t="s">
        <v>25</v>
      </c>
      <c r="G46" s="4" t="s">
        <v>73</v>
      </c>
      <c r="H46" s="4" t="s">
        <v>25</v>
      </c>
      <c r="I46" s="5">
        <v>44470</v>
      </c>
      <c r="J46" s="6">
        <v>5320</v>
      </c>
      <c r="K46" s="6">
        <v>2660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66</v>
      </c>
      <c r="R46" s="4">
        <v>1078</v>
      </c>
      <c r="S46" s="4">
        <v>9</v>
      </c>
      <c r="T46" s="4">
        <v>0</v>
      </c>
      <c r="U46" s="4">
        <v>0</v>
      </c>
      <c r="V46" s="6">
        <f>IF(ISERROR(VLOOKUP($S$46,'TAR FIN'!$A$1:$O$116,15,0)),0,VLOOKUP($S$46,'TAR FIN'!$A$1:$O$116,15,0))</f>
        <v>5.0999999999999996</v>
      </c>
      <c r="W46" s="6">
        <f>IF(ISERROR(VLOOKUP($T$46,'TAR FIN'!$A$1:$O$116,15,0)),0,VLOOKUP($T$46,'TAR FIN'!$A$1:$O$116,15,0))</f>
        <v>0</v>
      </c>
      <c r="X46" s="6">
        <f>IF(ISERROR(VLOOKUP($U$46,'TAR FIN'!$A$1:$O$116,15,0)),0,VLOOKUP($U$46,'TAR FIN'!$A$1:$O$116,15,0))</f>
        <v>0</v>
      </c>
      <c r="Y46" s="6">
        <f ca="1">('TUSD BE'!$AM$13+'TUSD BF'!$AM$13+'TUSD CVA'!$AM$13)*1</f>
        <v>5.3518194805398505</v>
      </c>
      <c r="Z46" s="6"/>
      <c r="AA46" s="6"/>
      <c r="AB46" s="6">
        <f t="shared" si="0"/>
        <v>13565.999999999998</v>
      </c>
      <c r="AC46" s="6">
        <f t="shared" si="1"/>
        <v>0</v>
      </c>
      <c r="AD46" s="6">
        <f t="shared" ca="1" si="2"/>
        <v>14235.839818236002</v>
      </c>
      <c r="AE46" s="6">
        <f t="shared" si="3"/>
        <v>0</v>
      </c>
      <c r="AF46" s="4" t="s">
        <v>1112</v>
      </c>
    </row>
    <row r="47" spans="1:32" ht="11.25" customHeight="1" x14ac:dyDescent="0.25">
      <c r="A47" s="4" t="s">
        <v>21</v>
      </c>
      <c r="B47" s="4" t="s">
        <v>59</v>
      </c>
      <c r="C47" s="4" t="s">
        <v>64</v>
      </c>
      <c r="D47" s="4" t="s">
        <v>25</v>
      </c>
      <c r="E47" s="4" t="s">
        <v>25</v>
      </c>
      <c r="F47" s="4" t="s">
        <v>25</v>
      </c>
      <c r="G47" s="4" t="s">
        <v>75</v>
      </c>
      <c r="H47" s="4" t="s">
        <v>25</v>
      </c>
      <c r="I47" s="5">
        <v>44470</v>
      </c>
      <c r="J47" s="6">
        <v>42500</v>
      </c>
      <c r="K47" s="6">
        <v>42500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66</v>
      </c>
      <c r="R47" s="4">
        <v>1276</v>
      </c>
      <c r="S47" s="4">
        <v>10</v>
      </c>
      <c r="T47" s="4">
        <v>0</v>
      </c>
      <c r="U47" s="4">
        <v>0</v>
      </c>
      <c r="V47" s="6">
        <f>IF(ISERROR(VLOOKUP($S$47,'TAR FIN'!$A$1:$O$116,15,0)),0,VLOOKUP($S$47,'TAR FIN'!$A$1:$O$116,15,0))</f>
        <v>5.0999999999999996</v>
      </c>
      <c r="W47" s="6">
        <f>IF(ISERROR(VLOOKUP($T$47,'TAR FIN'!$A$1:$O$116,15,0)),0,VLOOKUP($T$47,'TAR FIN'!$A$1:$O$116,15,0))</f>
        <v>0</v>
      </c>
      <c r="X47" s="6">
        <f>IF(ISERROR(VLOOKUP($U$47,'TAR FIN'!$A$1:$O$116,15,0)),0,VLOOKUP($U$47,'TAR FIN'!$A$1:$O$116,15,0))</f>
        <v>0</v>
      </c>
      <c r="Y47" s="6">
        <f ca="1">('TUSD BE'!$AM$14+'TUSD BF'!$AM$14+'TUSD CVA'!$AM$14)*1</f>
        <v>5.3518194805398505</v>
      </c>
      <c r="Z47" s="6"/>
      <c r="AA47" s="6"/>
      <c r="AB47" s="6">
        <f t="shared" si="0"/>
        <v>0</v>
      </c>
      <c r="AC47" s="6">
        <f t="shared" si="1"/>
        <v>0</v>
      </c>
      <c r="AD47" s="6">
        <f t="shared" ca="1" si="2"/>
        <v>0</v>
      </c>
      <c r="AE47" s="6">
        <f t="shared" si="3"/>
        <v>0</v>
      </c>
      <c r="AF47" s="4" t="s">
        <v>1112</v>
      </c>
    </row>
    <row r="48" spans="1:32" ht="11.25" customHeight="1" x14ac:dyDescent="0.25">
      <c r="A48" s="4" t="s">
        <v>21</v>
      </c>
      <c r="B48" s="4" t="s">
        <v>59</v>
      </c>
      <c r="C48" s="4" t="s">
        <v>64</v>
      </c>
      <c r="D48" s="4" t="s">
        <v>25</v>
      </c>
      <c r="E48" s="4" t="s">
        <v>25</v>
      </c>
      <c r="F48" s="4" t="s">
        <v>25</v>
      </c>
      <c r="G48" s="4" t="s">
        <v>86</v>
      </c>
      <c r="H48" s="4" t="s">
        <v>25</v>
      </c>
      <c r="I48" s="5">
        <v>44470</v>
      </c>
      <c r="J48" s="6">
        <v>24400</v>
      </c>
      <c r="K48" s="6">
        <v>12200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66</v>
      </c>
      <c r="R48" s="4">
        <v>27532</v>
      </c>
      <c r="S48" s="4">
        <v>11</v>
      </c>
      <c r="T48" s="4">
        <v>0</v>
      </c>
      <c r="U48" s="4">
        <v>0</v>
      </c>
      <c r="V48" s="6">
        <f>IF(ISERROR(VLOOKUP($S$48,'TAR FIN'!$A$1:$O$116,15,0)),0,VLOOKUP($S$48,'TAR FIN'!$A$1:$O$116,15,0))</f>
        <v>4.63</v>
      </c>
      <c r="W48" s="6">
        <f>IF(ISERROR(VLOOKUP($T$48,'TAR FIN'!$A$1:$O$116,15,0)),0,VLOOKUP($T$48,'TAR FIN'!$A$1:$O$116,15,0))</f>
        <v>0</v>
      </c>
      <c r="X48" s="6">
        <f>IF(ISERROR(VLOOKUP($U$48,'TAR FIN'!$A$1:$O$116,15,0)),0,VLOOKUP($U$48,'TAR FIN'!$A$1:$O$116,15,0))</f>
        <v>0</v>
      </c>
      <c r="Y48" s="6">
        <f ca="1">('TUSD BE'!$AM$15+'TUSD BF'!$AM$15+'TUSD CVA'!$AM$15)*1</f>
        <v>4.8520321280503262</v>
      </c>
      <c r="Z48" s="6"/>
      <c r="AA48" s="6"/>
      <c r="AB48" s="6">
        <f t="shared" si="0"/>
        <v>56486</v>
      </c>
      <c r="AC48" s="6">
        <f t="shared" si="1"/>
        <v>0</v>
      </c>
      <c r="AD48" s="6">
        <f t="shared" ca="1" si="2"/>
        <v>59194.791962213982</v>
      </c>
      <c r="AE48" s="6">
        <f t="shared" si="3"/>
        <v>0</v>
      </c>
      <c r="AF48" s="4" t="s">
        <v>1112</v>
      </c>
    </row>
    <row r="49" spans="1:32" ht="11.25" customHeight="1" x14ac:dyDescent="0.25">
      <c r="A49" s="4" t="s">
        <v>21</v>
      </c>
      <c r="B49" s="4" t="s">
        <v>59</v>
      </c>
      <c r="C49" s="4" t="s">
        <v>64</v>
      </c>
      <c r="D49" s="4" t="s">
        <v>25</v>
      </c>
      <c r="E49" s="4" t="s">
        <v>25</v>
      </c>
      <c r="F49" s="4" t="s">
        <v>25</v>
      </c>
      <c r="G49" s="4" t="s">
        <v>87</v>
      </c>
      <c r="H49" s="4" t="s">
        <v>25</v>
      </c>
      <c r="I49" s="5">
        <v>44470</v>
      </c>
      <c r="J49" s="6">
        <v>25000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66</v>
      </c>
      <c r="R49" s="4">
        <v>27534</v>
      </c>
      <c r="S49" s="4">
        <v>12</v>
      </c>
      <c r="T49" s="4">
        <v>0</v>
      </c>
      <c r="U49" s="4">
        <v>0</v>
      </c>
      <c r="V49" s="6">
        <f>IF(ISERROR(VLOOKUP($S$49,'TAR FIN'!$A$1:$O$116,15,0)),0,VLOOKUP($S$49,'TAR FIN'!$A$1:$O$116,15,0))</f>
        <v>5.58</v>
      </c>
      <c r="W49" s="6">
        <f>IF(ISERROR(VLOOKUP($T$49,'TAR FIN'!$A$1:$O$116,15,0)),0,VLOOKUP($T$49,'TAR FIN'!$A$1:$O$116,15,0))</f>
        <v>0</v>
      </c>
      <c r="X49" s="6">
        <f>IF(ISERROR(VLOOKUP($U$49,'TAR FIN'!$A$1:$O$116,15,0)),0,VLOOKUP($U$49,'TAR FIN'!$A$1:$O$116,15,0))</f>
        <v>0</v>
      </c>
      <c r="Y49" s="6">
        <f ca="1">('TUSD BE'!$AM$16+'TUSD BF'!$AM$16+'TUSD CVA'!$AM$16)*1</f>
        <v>5.862991208798829</v>
      </c>
      <c r="Z49" s="6"/>
      <c r="AA49" s="6"/>
      <c r="AB49" s="6">
        <f t="shared" si="0"/>
        <v>139500</v>
      </c>
      <c r="AC49" s="6">
        <f t="shared" si="1"/>
        <v>0</v>
      </c>
      <c r="AD49" s="6">
        <f t="shared" ca="1" si="2"/>
        <v>146574.78021997074</v>
      </c>
      <c r="AE49" s="6">
        <f t="shared" si="3"/>
        <v>0</v>
      </c>
      <c r="AF49" s="4" t="s">
        <v>1112</v>
      </c>
    </row>
    <row r="50" spans="1:32" ht="11.25" customHeight="1" x14ac:dyDescent="0.25">
      <c r="A50" s="4" t="s">
        <v>21</v>
      </c>
      <c r="B50" s="4" t="s">
        <v>59</v>
      </c>
      <c r="C50" s="4" t="s">
        <v>64</v>
      </c>
      <c r="D50" s="4" t="s">
        <v>25</v>
      </c>
      <c r="E50" s="4" t="s">
        <v>25</v>
      </c>
      <c r="F50" s="4" t="s">
        <v>25</v>
      </c>
      <c r="G50" s="4" t="s">
        <v>89</v>
      </c>
      <c r="H50" s="4" t="s">
        <v>25</v>
      </c>
      <c r="I50" s="5">
        <v>44470</v>
      </c>
      <c r="J50" s="6">
        <v>12600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66</v>
      </c>
      <c r="R50" s="4">
        <v>27727</v>
      </c>
      <c r="S50" s="4">
        <v>13</v>
      </c>
      <c r="T50" s="4">
        <v>0</v>
      </c>
      <c r="U50" s="4">
        <v>0</v>
      </c>
      <c r="V50" s="6">
        <f>IF(ISERROR(VLOOKUP($S$50,'TAR FIN'!$A$1:$O$116,15,0)),0,VLOOKUP($S$50,'TAR FIN'!$A$1:$O$116,15,0))</f>
        <v>5.37</v>
      </c>
      <c r="W50" s="6">
        <f>IF(ISERROR(VLOOKUP($T$50,'TAR FIN'!$A$1:$O$116,15,0)),0,VLOOKUP($T$50,'TAR FIN'!$A$1:$O$116,15,0))</f>
        <v>0</v>
      </c>
      <c r="X50" s="6">
        <f>IF(ISERROR(VLOOKUP($U$50,'TAR FIN'!$A$1:$O$116,15,0)),0,VLOOKUP($U$50,'TAR FIN'!$A$1:$O$116,15,0))</f>
        <v>0</v>
      </c>
      <c r="Y50" s="6">
        <f ca="1">('TUSD BE'!$AM$17+'TUSD BF'!$AM$17+'TUSD CVA'!$AM$17)*1</f>
        <v>5.6347568025342989</v>
      </c>
      <c r="Z50" s="6"/>
      <c r="AA50" s="6"/>
      <c r="AB50" s="6">
        <f t="shared" si="0"/>
        <v>67662</v>
      </c>
      <c r="AC50" s="6">
        <f t="shared" si="1"/>
        <v>0</v>
      </c>
      <c r="AD50" s="6">
        <f t="shared" ca="1" si="2"/>
        <v>70997.935711932165</v>
      </c>
      <c r="AE50" s="6">
        <f t="shared" si="3"/>
        <v>0</v>
      </c>
      <c r="AF50" s="4" t="s">
        <v>1112</v>
      </c>
    </row>
    <row r="51" spans="1:32" ht="11.25" customHeight="1" x14ac:dyDescent="0.25">
      <c r="A51" s="4" t="s">
        <v>21</v>
      </c>
      <c r="B51" s="4" t="s">
        <v>59</v>
      </c>
      <c r="C51" s="4" t="s">
        <v>64</v>
      </c>
      <c r="D51" s="4" t="s">
        <v>25</v>
      </c>
      <c r="E51" s="4" t="s">
        <v>25</v>
      </c>
      <c r="F51" s="4" t="s">
        <v>25</v>
      </c>
      <c r="G51" s="4" t="s">
        <v>92</v>
      </c>
      <c r="H51" s="4" t="s">
        <v>25</v>
      </c>
      <c r="I51" s="5">
        <v>44470</v>
      </c>
      <c r="J51" s="6">
        <v>8100</v>
      </c>
      <c r="K51" s="6">
        <v>4050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66</v>
      </c>
      <c r="R51" s="4">
        <v>30597</v>
      </c>
      <c r="S51" s="4">
        <v>14</v>
      </c>
      <c r="T51" s="4">
        <v>0</v>
      </c>
      <c r="U51" s="4">
        <v>0</v>
      </c>
      <c r="V51" s="6">
        <f>IF(ISERROR(VLOOKUP($S$51,'TAR FIN'!$A$1:$O$116,15,0)),0,VLOOKUP($S$51,'TAR FIN'!$A$1:$O$116,15,0))</f>
        <v>5.04</v>
      </c>
      <c r="W51" s="6">
        <f>IF(ISERROR(VLOOKUP($T$51,'TAR FIN'!$A$1:$O$116,15,0)),0,VLOOKUP($T$51,'TAR FIN'!$A$1:$O$116,15,0))</f>
        <v>0</v>
      </c>
      <c r="X51" s="6">
        <f>IF(ISERROR(VLOOKUP($U$51,'TAR FIN'!$A$1:$O$116,15,0)),0,VLOOKUP($U$51,'TAR FIN'!$A$1:$O$116,15,0))</f>
        <v>0</v>
      </c>
      <c r="Y51" s="6">
        <f ca="1">('TUSD BE'!$AM$18+'TUSD BF'!$AM$18+'TUSD CVA'!$AM$18)*1</f>
        <v>5.2832968919533032</v>
      </c>
      <c r="Z51" s="6"/>
      <c r="AA51" s="6"/>
      <c r="AB51" s="6">
        <f t="shared" si="0"/>
        <v>20412</v>
      </c>
      <c r="AC51" s="6">
        <f t="shared" si="1"/>
        <v>0</v>
      </c>
      <c r="AD51" s="6">
        <f t="shared" ca="1" si="2"/>
        <v>21397.352412410877</v>
      </c>
      <c r="AE51" s="6">
        <f t="shared" si="3"/>
        <v>0</v>
      </c>
      <c r="AF51" s="4" t="s">
        <v>1112</v>
      </c>
    </row>
    <row r="52" spans="1:32" ht="11.25" customHeight="1" x14ac:dyDescent="0.25">
      <c r="A52" s="4" t="s">
        <v>21</v>
      </c>
      <c r="B52" s="4" t="s">
        <v>59</v>
      </c>
      <c r="C52" s="4" t="s">
        <v>64</v>
      </c>
      <c r="D52" s="4" t="s">
        <v>25</v>
      </c>
      <c r="E52" s="4" t="s">
        <v>25</v>
      </c>
      <c r="F52" s="4" t="s">
        <v>25</v>
      </c>
      <c r="G52" s="4" t="s">
        <v>65</v>
      </c>
      <c r="H52" s="4" t="s">
        <v>25</v>
      </c>
      <c r="I52" s="5">
        <v>44501</v>
      </c>
      <c r="J52" s="6">
        <v>1640</v>
      </c>
      <c r="K52" s="6">
        <v>820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66</v>
      </c>
      <c r="R52" s="4">
        <v>104</v>
      </c>
      <c r="S52" s="4">
        <v>5</v>
      </c>
      <c r="T52" s="4">
        <v>0</v>
      </c>
      <c r="U52" s="4">
        <v>0</v>
      </c>
      <c r="V52" s="6">
        <f>IF(ISERROR(VLOOKUP($S$52,'TAR FIN'!$A$1:$O$116,15,0)),0,VLOOKUP($S$52,'TAR FIN'!$A$1:$O$116,15,0))</f>
        <v>5.0999999999999996</v>
      </c>
      <c r="W52" s="6">
        <f>IF(ISERROR(VLOOKUP($T$52,'TAR FIN'!$A$1:$O$116,15,0)),0,VLOOKUP($T$52,'TAR FIN'!$A$1:$O$116,15,0))</f>
        <v>0</v>
      </c>
      <c r="X52" s="6">
        <f>IF(ISERROR(VLOOKUP($U$52,'TAR FIN'!$A$1:$O$116,15,0)),0,VLOOKUP($U$52,'TAR FIN'!$A$1:$O$116,15,0))</f>
        <v>0</v>
      </c>
      <c r="Y52" s="6">
        <f ca="1">('TUSD BE'!$AM$9+'TUSD BF'!$AM$9+'TUSD CVA'!$AM$9)*1</f>
        <v>5.3518194805398505</v>
      </c>
      <c r="Z52" s="6"/>
      <c r="AA52" s="6"/>
      <c r="AB52" s="6">
        <f t="shared" si="0"/>
        <v>4182</v>
      </c>
      <c r="AC52" s="6">
        <f t="shared" si="1"/>
        <v>0</v>
      </c>
      <c r="AD52" s="6">
        <f t="shared" ca="1" si="2"/>
        <v>4388.4919740426776</v>
      </c>
      <c r="AE52" s="6">
        <f t="shared" si="3"/>
        <v>0</v>
      </c>
      <c r="AF52" s="4" t="s">
        <v>1112</v>
      </c>
    </row>
    <row r="53" spans="1:32" ht="11.25" customHeight="1" x14ac:dyDescent="0.25">
      <c r="A53" s="4" t="s">
        <v>21</v>
      </c>
      <c r="B53" s="4" t="s">
        <v>59</v>
      </c>
      <c r="C53" s="4" t="s">
        <v>64</v>
      </c>
      <c r="D53" s="4" t="s">
        <v>25</v>
      </c>
      <c r="E53" s="4" t="s">
        <v>25</v>
      </c>
      <c r="F53" s="4" t="s">
        <v>25</v>
      </c>
      <c r="G53" s="4" t="s">
        <v>67</v>
      </c>
      <c r="H53" s="4" t="s">
        <v>25</v>
      </c>
      <c r="I53" s="5">
        <v>44501</v>
      </c>
      <c r="J53" s="6">
        <v>39500</v>
      </c>
      <c r="K53" s="6">
        <v>24307.692490000001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66</v>
      </c>
      <c r="R53" s="4">
        <v>215</v>
      </c>
      <c r="S53" s="4">
        <v>6</v>
      </c>
      <c r="T53" s="4">
        <v>0</v>
      </c>
      <c r="U53" s="4">
        <v>0</v>
      </c>
      <c r="V53" s="6">
        <f>IF(ISERROR(VLOOKUP($S$53,'TAR FIN'!$A$1:$O$116,15,0)),0,VLOOKUP($S$53,'TAR FIN'!$A$1:$O$116,15,0))</f>
        <v>3.94</v>
      </c>
      <c r="W53" s="6">
        <f>IF(ISERROR(VLOOKUP($T$53,'TAR FIN'!$A$1:$O$116,15,0)),0,VLOOKUP($T$53,'TAR FIN'!$A$1:$O$116,15,0))</f>
        <v>0</v>
      </c>
      <c r="X53" s="6">
        <f>IF(ISERROR(VLOOKUP($U$53,'TAR FIN'!$A$1:$O$116,15,0)),0,VLOOKUP($U$53,'TAR FIN'!$A$1:$O$116,15,0))</f>
        <v>0</v>
      </c>
      <c r="Y53" s="6">
        <f ca="1">('TUSD BE'!$AM$10+'TUSD BF'!$AM$10+'TUSD CVA'!$AM$10)*1</f>
        <v>4.1263435553812471</v>
      </c>
      <c r="Z53" s="6"/>
      <c r="AA53" s="6"/>
      <c r="AB53" s="6">
        <f t="shared" si="0"/>
        <v>59857.691589399998</v>
      </c>
      <c r="AC53" s="6">
        <f t="shared" si="1"/>
        <v>0</v>
      </c>
      <c r="AD53" s="6">
        <f t="shared" ca="1" si="2"/>
        <v>62688.680185258614</v>
      </c>
      <c r="AE53" s="6">
        <f t="shared" si="3"/>
        <v>0</v>
      </c>
      <c r="AF53" s="4" t="s">
        <v>1112</v>
      </c>
    </row>
    <row r="54" spans="1:32" ht="11.25" customHeight="1" x14ac:dyDescent="0.25">
      <c r="A54" s="4" t="s">
        <v>21</v>
      </c>
      <c r="B54" s="4" t="s">
        <v>59</v>
      </c>
      <c r="C54" s="4" t="s">
        <v>64</v>
      </c>
      <c r="D54" s="4" t="s">
        <v>25</v>
      </c>
      <c r="E54" s="4" t="s">
        <v>25</v>
      </c>
      <c r="F54" s="4" t="s">
        <v>25</v>
      </c>
      <c r="G54" s="4" t="s">
        <v>69</v>
      </c>
      <c r="H54" s="4" t="s">
        <v>25</v>
      </c>
      <c r="I54" s="5">
        <v>44501</v>
      </c>
      <c r="J54" s="6">
        <v>22000</v>
      </c>
      <c r="K54" s="6">
        <v>22000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66</v>
      </c>
      <c r="R54" s="4">
        <v>473</v>
      </c>
      <c r="S54" s="4">
        <v>7</v>
      </c>
      <c r="T54" s="4">
        <v>0</v>
      </c>
      <c r="U54" s="4">
        <v>0</v>
      </c>
      <c r="V54" s="6">
        <f>IF(ISERROR(VLOOKUP($S$54,'TAR FIN'!$A$1:$O$116,15,0)),0,VLOOKUP($S$54,'TAR FIN'!$A$1:$O$116,15,0))</f>
        <v>5.69</v>
      </c>
      <c r="W54" s="6">
        <f>IF(ISERROR(VLOOKUP($T$54,'TAR FIN'!$A$1:$O$116,15,0)),0,VLOOKUP($T$54,'TAR FIN'!$A$1:$O$116,15,0))</f>
        <v>0</v>
      </c>
      <c r="X54" s="6">
        <f>IF(ISERROR(VLOOKUP($U$54,'TAR FIN'!$A$1:$O$116,15,0)),0,VLOOKUP($U$54,'TAR FIN'!$A$1:$O$116,15,0))</f>
        <v>0</v>
      </c>
      <c r="Y54" s="6">
        <f ca="1">('TUSD BE'!$AM$11+'TUSD BF'!$AM$11+'TUSD CVA'!$AM$11)*1</f>
        <v>5.9725875581129042</v>
      </c>
      <c r="Z54" s="6"/>
      <c r="AA54" s="6"/>
      <c r="AB54" s="6">
        <f t="shared" si="0"/>
        <v>0</v>
      </c>
      <c r="AC54" s="6">
        <f t="shared" si="1"/>
        <v>0</v>
      </c>
      <c r="AD54" s="6">
        <f t="shared" ca="1" si="2"/>
        <v>0</v>
      </c>
      <c r="AE54" s="6">
        <f t="shared" si="3"/>
        <v>0</v>
      </c>
      <c r="AF54" s="4" t="s">
        <v>1112</v>
      </c>
    </row>
    <row r="55" spans="1:32" ht="11.25" customHeight="1" x14ac:dyDescent="0.25">
      <c r="A55" s="4" t="s">
        <v>21</v>
      </c>
      <c r="B55" s="4" t="s">
        <v>59</v>
      </c>
      <c r="C55" s="4" t="s">
        <v>64</v>
      </c>
      <c r="D55" s="4" t="s">
        <v>25</v>
      </c>
      <c r="E55" s="4" t="s">
        <v>25</v>
      </c>
      <c r="F55" s="4" t="s">
        <v>25</v>
      </c>
      <c r="G55" s="4" t="s">
        <v>72</v>
      </c>
      <c r="H55" s="4" t="s">
        <v>25</v>
      </c>
      <c r="I55" s="5">
        <v>44501</v>
      </c>
      <c r="J55" s="6">
        <v>16500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66</v>
      </c>
      <c r="R55" s="4">
        <v>1047</v>
      </c>
      <c r="S55" s="4">
        <v>8</v>
      </c>
      <c r="T55" s="4">
        <v>0</v>
      </c>
      <c r="U55" s="4">
        <v>0</v>
      </c>
      <c r="V55" s="6">
        <f>IF(ISERROR(VLOOKUP($S$55,'TAR FIN'!$A$1:$O$116,15,0)),0,VLOOKUP($S$55,'TAR FIN'!$A$1:$O$116,15,0))</f>
        <v>5.41</v>
      </c>
      <c r="W55" s="6">
        <f>IF(ISERROR(VLOOKUP($T$55,'TAR FIN'!$A$1:$O$116,15,0)),0,VLOOKUP($T$55,'TAR FIN'!$A$1:$O$116,15,0))</f>
        <v>0</v>
      </c>
      <c r="X55" s="6">
        <f>IF(ISERROR(VLOOKUP($U$55,'TAR FIN'!$A$1:$O$116,15,0)),0,VLOOKUP($U$55,'TAR FIN'!$A$1:$O$116,15,0))</f>
        <v>0</v>
      </c>
      <c r="Y55" s="6">
        <f ca="1">('TUSD BE'!$AM$12+'TUSD BF'!$AM$12+'TUSD CVA'!$AM$12)*1</f>
        <v>5.6770468968387959</v>
      </c>
      <c r="Z55" s="6"/>
      <c r="AA55" s="6"/>
      <c r="AB55" s="6">
        <f t="shared" si="0"/>
        <v>89265</v>
      </c>
      <c r="AC55" s="6">
        <f t="shared" si="1"/>
        <v>0</v>
      </c>
      <c r="AD55" s="6">
        <f t="shared" ca="1" si="2"/>
        <v>93671.273797840127</v>
      </c>
      <c r="AE55" s="6">
        <f t="shared" si="3"/>
        <v>0</v>
      </c>
      <c r="AF55" s="4" t="s">
        <v>1112</v>
      </c>
    </row>
    <row r="56" spans="1:32" ht="11.25" customHeight="1" x14ac:dyDescent="0.25">
      <c r="A56" s="4" t="s">
        <v>21</v>
      </c>
      <c r="B56" s="4" t="s">
        <v>59</v>
      </c>
      <c r="C56" s="4" t="s">
        <v>64</v>
      </c>
      <c r="D56" s="4" t="s">
        <v>25</v>
      </c>
      <c r="E56" s="4" t="s">
        <v>25</v>
      </c>
      <c r="F56" s="4" t="s">
        <v>25</v>
      </c>
      <c r="G56" s="4" t="s">
        <v>73</v>
      </c>
      <c r="H56" s="4" t="s">
        <v>25</v>
      </c>
      <c r="I56" s="5">
        <v>44501</v>
      </c>
      <c r="J56" s="6">
        <v>5320</v>
      </c>
      <c r="K56" s="6">
        <v>2660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66</v>
      </c>
      <c r="R56" s="4">
        <v>1078</v>
      </c>
      <c r="S56" s="4">
        <v>9</v>
      </c>
      <c r="T56" s="4">
        <v>0</v>
      </c>
      <c r="U56" s="4">
        <v>0</v>
      </c>
      <c r="V56" s="6">
        <f>IF(ISERROR(VLOOKUP($S$56,'TAR FIN'!$A$1:$O$116,15,0)),0,VLOOKUP($S$56,'TAR FIN'!$A$1:$O$116,15,0))</f>
        <v>5.0999999999999996</v>
      </c>
      <c r="W56" s="6">
        <f>IF(ISERROR(VLOOKUP($T$56,'TAR FIN'!$A$1:$O$116,15,0)),0,VLOOKUP($T$56,'TAR FIN'!$A$1:$O$116,15,0))</f>
        <v>0</v>
      </c>
      <c r="X56" s="6">
        <f>IF(ISERROR(VLOOKUP($U$56,'TAR FIN'!$A$1:$O$116,15,0)),0,VLOOKUP($U$56,'TAR FIN'!$A$1:$O$116,15,0))</f>
        <v>0</v>
      </c>
      <c r="Y56" s="6">
        <f ca="1">('TUSD BE'!$AM$13+'TUSD BF'!$AM$13+'TUSD CVA'!$AM$13)*1</f>
        <v>5.3518194805398505</v>
      </c>
      <c r="Z56" s="6"/>
      <c r="AA56" s="6"/>
      <c r="AB56" s="6">
        <f t="shared" si="0"/>
        <v>13565.999999999998</v>
      </c>
      <c r="AC56" s="6">
        <f t="shared" si="1"/>
        <v>0</v>
      </c>
      <c r="AD56" s="6">
        <f t="shared" ca="1" si="2"/>
        <v>14235.839818236002</v>
      </c>
      <c r="AE56" s="6">
        <f t="shared" si="3"/>
        <v>0</v>
      </c>
      <c r="AF56" s="4" t="s">
        <v>1112</v>
      </c>
    </row>
    <row r="57" spans="1:32" ht="11.25" customHeight="1" x14ac:dyDescent="0.25">
      <c r="A57" s="4" t="s">
        <v>21</v>
      </c>
      <c r="B57" s="4" t="s">
        <v>59</v>
      </c>
      <c r="C57" s="4" t="s">
        <v>64</v>
      </c>
      <c r="D57" s="4" t="s">
        <v>25</v>
      </c>
      <c r="E57" s="4" t="s">
        <v>25</v>
      </c>
      <c r="F57" s="4" t="s">
        <v>25</v>
      </c>
      <c r="G57" s="4" t="s">
        <v>75</v>
      </c>
      <c r="H57" s="4" t="s">
        <v>25</v>
      </c>
      <c r="I57" s="5">
        <v>44501</v>
      </c>
      <c r="J57" s="6">
        <v>42500</v>
      </c>
      <c r="K57" s="6">
        <v>42500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66</v>
      </c>
      <c r="R57" s="4">
        <v>1276</v>
      </c>
      <c r="S57" s="4">
        <v>10</v>
      </c>
      <c r="T57" s="4">
        <v>0</v>
      </c>
      <c r="U57" s="4">
        <v>0</v>
      </c>
      <c r="V57" s="6">
        <f>IF(ISERROR(VLOOKUP($S$57,'TAR FIN'!$A$1:$O$116,15,0)),0,VLOOKUP($S$57,'TAR FIN'!$A$1:$O$116,15,0))</f>
        <v>5.0999999999999996</v>
      </c>
      <c r="W57" s="6">
        <f>IF(ISERROR(VLOOKUP($T$57,'TAR FIN'!$A$1:$O$116,15,0)),0,VLOOKUP($T$57,'TAR FIN'!$A$1:$O$116,15,0))</f>
        <v>0</v>
      </c>
      <c r="X57" s="6">
        <f>IF(ISERROR(VLOOKUP($U$57,'TAR FIN'!$A$1:$O$116,15,0)),0,VLOOKUP($U$57,'TAR FIN'!$A$1:$O$116,15,0))</f>
        <v>0</v>
      </c>
      <c r="Y57" s="6">
        <f ca="1">('TUSD BE'!$AM$14+'TUSD BF'!$AM$14+'TUSD CVA'!$AM$14)*1</f>
        <v>5.3518194805398505</v>
      </c>
      <c r="Z57" s="6"/>
      <c r="AA57" s="6"/>
      <c r="AB57" s="6">
        <f t="shared" si="0"/>
        <v>0</v>
      </c>
      <c r="AC57" s="6">
        <f t="shared" si="1"/>
        <v>0</v>
      </c>
      <c r="AD57" s="6">
        <f t="shared" ca="1" si="2"/>
        <v>0</v>
      </c>
      <c r="AE57" s="6">
        <f t="shared" si="3"/>
        <v>0</v>
      </c>
      <c r="AF57" s="4" t="s">
        <v>1112</v>
      </c>
    </row>
    <row r="58" spans="1:32" ht="11.25" customHeight="1" x14ac:dyDescent="0.25">
      <c r="A58" s="4" t="s">
        <v>21</v>
      </c>
      <c r="B58" s="4" t="s">
        <v>59</v>
      </c>
      <c r="C58" s="4" t="s">
        <v>64</v>
      </c>
      <c r="D58" s="4" t="s">
        <v>25</v>
      </c>
      <c r="E58" s="4" t="s">
        <v>25</v>
      </c>
      <c r="F58" s="4" t="s">
        <v>25</v>
      </c>
      <c r="G58" s="4" t="s">
        <v>86</v>
      </c>
      <c r="H58" s="4" t="s">
        <v>25</v>
      </c>
      <c r="I58" s="5">
        <v>44501</v>
      </c>
      <c r="J58" s="6">
        <v>24400</v>
      </c>
      <c r="K58" s="6">
        <v>12200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66</v>
      </c>
      <c r="R58" s="4">
        <v>27532</v>
      </c>
      <c r="S58" s="4">
        <v>11</v>
      </c>
      <c r="T58" s="4">
        <v>0</v>
      </c>
      <c r="U58" s="4">
        <v>0</v>
      </c>
      <c r="V58" s="6">
        <f>IF(ISERROR(VLOOKUP($S$58,'TAR FIN'!$A$1:$O$116,15,0)),0,VLOOKUP($S$58,'TAR FIN'!$A$1:$O$116,15,0))</f>
        <v>4.63</v>
      </c>
      <c r="W58" s="6">
        <f>IF(ISERROR(VLOOKUP($T$58,'TAR FIN'!$A$1:$O$116,15,0)),0,VLOOKUP($T$58,'TAR FIN'!$A$1:$O$116,15,0))</f>
        <v>0</v>
      </c>
      <c r="X58" s="6">
        <f>IF(ISERROR(VLOOKUP($U$58,'TAR FIN'!$A$1:$O$116,15,0)),0,VLOOKUP($U$58,'TAR FIN'!$A$1:$O$116,15,0))</f>
        <v>0</v>
      </c>
      <c r="Y58" s="6">
        <f ca="1">('TUSD BE'!$AM$15+'TUSD BF'!$AM$15+'TUSD CVA'!$AM$15)*1</f>
        <v>4.8520321280503262</v>
      </c>
      <c r="Z58" s="6"/>
      <c r="AA58" s="6"/>
      <c r="AB58" s="6">
        <f t="shared" si="0"/>
        <v>56486</v>
      </c>
      <c r="AC58" s="6">
        <f t="shared" si="1"/>
        <v>0</v>
      </c>
      <c r="AD58" s="6">
        <f t="shared" ca="1" si="2"/>
        <v>59194.791962213982</v>
      </c>
      <c r="AE58" s="6">
        <f t="shared" si="3"/>
        <v>0</v>
      </c>
      <c r="AF58" s="4" t="s">
        <v>1112</v>
      </c>
    </row>
    <row r="59" spans="1:32" ht="11.25" customHeight="1" x14ac:dyDescent="0.25">
      <c r="A59" s="4" t="s">
        <v>21</v>
      </c>
      <c r="B59" s="4" t="s">
        <v>59</v>
      </c>
      <c r="C59" s="4" t="s">
        <v>64</v>
      </c>
      <c r="D59" s="4" t="s">
        <v>25</v>
      </c>
      <c r="E59" s="4" t="s">
        <v>25</v>
      </c>
      <c r="F59" s="4" t="s">
        <v>25</v>
      </c>
      <c r="G59" s="4" t="s">
        <v>87</v>
      </c>
      <c r="H59" s="4" t="s">
        <v>25</v>
      </c>
      <c r="I59" s="5">
        <v>44501</v>
      </c>
      <c r="J59" s="6">
        <v>25000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66</v>
      </c>
      <c r="R59" s="4">
        <v>27534</v>
      </c>
      <c r="S59" s="4">
        <v>12</v>
      </c>
      <c r="T59" s="4">
        <v>0</v>
      </c>
      <c r="U59" s="4">
        <v>0</v>
      </c>
      <c r="V59" s="6">
        <f>IF(ISERROR(VLOOKUP($S$59,'TAR FIN'!$A$1:$O$116,15,0)),0,VLOOKUP($S$59,'TAR FIN'!$A$1:$O$116,15,0))</f>
        <v>5.58</v>
      </c>
      <c r="W59" s="6">
        <f>IF(ISERROR(VLOOKUP($T$59,'TAR FIN'!$A$1:$O$116,15,0)),0,VLOOKUP($T$59,'TAR FIN'!$A$1:$O$116,15,0))</f>
        <v>0</v>
      </c>
      <c r="X59" s="6">
        <f>IF(ISERROR(VLOOKUP($U$59,'TAR FIN'!$A$1:$O$116,15,0)),0,VLOOKUP($U$59,'TAR FIN'!$A$1:$O$116,15,0))</f>
        <v>0</v>
      </c>
      <c r="Y59" s="6">
        <f ca="1">('TUSD BE'!$AM$16+'TUSD BF'!$AM$16+'TUSD CVA'!$AM$16)*1</f>
        <v>5.862991208798829</v>
      </c>
      <c r="Z59" s="6"/>
      <c r="AA59" s="6"/>
      <c r="AB59" s="6">
        <f t="shared" si="0"/>
        <v>139500</v>
      </c>
      <c r="AC59" s="6">
        <f t="shared" si="1"/>
        <v>0</v>
      </c>
      <c r="AD59" s="6">
        <f t="shared" ca="1" si="2"/>
        <v>146574.78021997074</v>
      </c>
      <c r="AE59" s="6">
        <f t="shared" si="3"/>
        <v>0</v>
      </c>
      <c r="AF59" s="4" t="s">
        <v>1112</v>
      </c>
    </row>
    <row r="60" spans="1:32" ht="11.25" customHeight="1" x14ac:dyDescent="0.25">
      <c r="A60" s="4" t="s">
        <v>21</v>
      </c>
      <c r="B60" s="4" t="s">
        <v>59</v>
      </c>
      <c r="C60" s="4" t="s">
        <v>64</v>
      </c>
      <c r="D60" s="4" t="s">
        <v>25</v>
      </c>
      <c r="E60" s="4" t="s">
        <v>25</v>
      </c>
      <c r="F60" s="4" t="s">
        <v>25</v>
      </c>
      <c r="G60" s="4" t="s">
        <v>89</v>
      </c>
      <c r="H60" s="4" t="s">
        <v>25</v>
      </c>
      <c r="I60" s="5">
        <v>44501</v>
      </c>
      <c r="J60" s="6">
        <v>12600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66</v>
      </c>
      <c r="R60" s="4">
        <v>27727</v>
      </c>
      <c r="S60" s="4">
        <v>13</v>
      </c>
      <c r="T60" s="4">
        <v>0</v>
      </c>
      <c r="U60" s="4">
        <v>0</v>
      </c>
      <c r="V60" s="6">
        <f>IF(ISERROR(VLOOKUP($S$60,'TAR FIN'!$A$1:$O$116,15,0)),0,VLOOKUP($S$60,'TAR FIN'!$A$1:$O$116,15,0))</f>
        <v>5.37</v>
      </c>
      <c r="W60" s="6">
        <f>IF(ISERROR(VLOOKUP($T$60,'TAR FIN'!$A$1:$O$116,15,0)),0,VLOOKUP($T$60,'TAR FIN'!$A$1:$O$116,15,0))</f>
        <v>0</v>
      </c>
      <c r="X60" s="6">
        <f>IF(ISERROR(VLOOKUP($U$60,'TAR FIN'!$A$1:$O$116,15,0)),0,VLOOKUP($U$60,'TAR FIN'!$A$1:$O$116,15,0))</f>
        <v>0</v>
      </c>
      <c r="Y60" s="6">
        <f ca="1">('TUSD BE'!$AM$17+'TUSD BF'!$AM$17+'TUSD CVA'!$AM$17)*1</f>
        <v>5.6347568025342989</v>
      </c>
      <c r="Z60" s="6"/>
      <c r="AA60" s="6"/>
      <c r="AB60" s="6">
        <f t="shared" si="0"/>
        <v>67662</v>
      </c>
      <c r="AC60" s="6">
        <f t="shared" si="1"/>
        <v>0</v>
      </c>
      <c r="AD60" s="6">
        <f t="shared" ca="1" si="2"/>
        <v>70997.935711932165</v>
      </c>
      <c r="AE60" s="6">
        <f t="shared" si="3"/>
        <v>0</v>
      </c>
      <c r="AF60" s="4" t="s">
        <v>1112</v>
      </c>
    </row>
    <row r="61" spans="1:32" ht="11.25" customHeight="1" x14ac:dyDescent="0.25">
      <c r="A61" s="4" t="s">
        <v>21</v>
      </c>
      <c r="B61" s="4" t="s">
        <v>59</v>
      </c>
      <c r="C61" s="4" t="s">
        <v>64</v>
      </c>
      <c r="D61" s="4" t="s">
        <v>25</v>
      </c>
      <c r="E61" s="4" t="s">
        <v>25</v>
      </c>
      <c r="F61" s="4" t="s">
        <v>25</v>
      </c>
      <c r="G61" s="4" t="s">
        <v>92</v>
      </c>
      <c r="H61" s="4" t="s">
        <v>25</v>
      </c>
      <c r="I61" s="5">
        <v>44501</v>
      </c>
      <c r="J61" s="6">
        <v>8100</v>
      </c>
      <c r="K61" s="6">
        <v>4050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66</v>
      </c>
      <c r="R61" s="4">
        <v>30597</v>
      </c>
      <c r="S61" s="4">
        <v>14</v>
      </c>
      <c r="T61" s="4">
        <v>0</v>
      </c>
      <c r="U61" s="4">
        <v>0</v>
      </c>
      <c r="V61" s="6">
        <f>IF(ISERROR(VLOOKUP($S$61,'TAR FIN'!$A$1:$O$116,15,0)),0,VLOOKUP($S$61,'TAR FIN'!$A$1:$O$116,15,0))</f>
        <v>5.04</v>
      </c>
      <c r="W61" s="6">
        <f>IF(ISERROR(VLOOKUP($T$61,'TAR FIN'!$A$1:$O$116,15,0)),0,VLOOKUP($T$61,'TAR FIN'!$A$1:$O$116,15,0))</f>
        <v>0</v>
      </c>
      <c r="X61" s="6">
        <f>IF(ISERROR(VLOOKUP($U$61,'TAR FIN'!$A$1:$O$116,15,0)),0,VLOOKUP($U$61,'TAR FIN'!$A$1:$O$116,15,0))</f>
        <v>0</v>
      </c>
      <c r="Y61" s="6">
        <f ca="1">('TUSD BE'!$AM$18+'TUSD BF'!$AM$18+'TUSD CVA'!$AM$18)*1</f>
        <v>5.2832968919533032</v>
      </c>
      <c r="Z61" s="6"/>
      <c r="AA61" s="6"/>
      <c r="AB61" s="6">
        <f t="shared" si="0"/>
        <v>20412</v>
      </c>
      <c r="AC61" s="6">
        <f t="shared" si="1"/>
        <v>0</v>
      </c>
      <c r="AD61" s="6">
        <f t="shared" ca="1" si="2"/>
        <v>21397.352412410877</v>
      </c>
      <c r="AE61" s="6">
        <f t="shared" si="3"/>
        <v>0</v>
      </c>
      <c r="AF61" s="4" t="s">
        <v>1112</v>
      </c>
    </row>
    <row r="62" spans="1:32" ht="11.25" customHeight="1" x14ac:dyDescent="0.25">
      <c r="A62" s="4" t="s">
        <v>21</v>
      </c>
      <c r="B62" s="4" t="s">
        <v>59</v>
      </c>
      <c r="C62" s="4" t="s">
        <v>64</v>
      </c>
      <c r="D62" s="4" t="s">
        <v>25</v>
      </c>
      <c r="E62" s="4" t="s">
        <v>25</v>
      </c>
      <c r="F62" s="4" t="s">
        <v>25</v>
      </c>
      <c r="G62" s="4" t="s">
        <v>65</v>
      </c>
      <c r="H62" s="4" t="s">
        <v>25</v>
      </c>
      <c r="I62" s="5">
        <v>44531</v>
      </c>
      <c r="J62" s="6">
        <v>1640</v>
      </c>
      <c r="K62" s="6">
        <v>820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66</v>
      </c>
      <c r="R62" s="4">
        <v>104</v>
      </c>
      <c r="S62" s="4">
        <v>5</v>
      </c>
      <c r="T62" s="4">
        <v>0</v>
      </c>
      <c r="U62" s="4">
        <v>0</v>
      </c>
      <c r="V62" s="6">
        <f>IF(ISERROR(VLOOKUP($S$62,'TAR FIN'!$A$1:$O$116,15,0)),0,VLOOKUP($S$62,'TAR FIN'!$A$1:$O$116,15,0))</f>
        <v>5.0999999999999996</v>
      </c>
      <c r="W62" s="6">
        <f>IF(ISERROR(VLOOKUP($T$62,'TAR FIN'!$A$1:$O$116,15,0)),0,VLOOKUP($T$62,'TAR FIN'!$A$1:$O$116,15,0))</f>
        <v>0</v>
      </c>
      <c r="X62" s="6">
        <f>IF(ISERROR(VLOOKUP($U$62,'TAR FIN'!$A$1:$O$116,15,0)),0,VLOOKUP($U$62,'TAR FIN'!$A$1:$O$116,15,0))</f>
        <v>0</v>
      </c>
      <c r="Y62" s="6">
        <f ca="1">('TUSD BE'!$AM$9+'TUSD BF'!$AM$9+'TUSD CVA'!$AM$9)*1</f>
        <v>5.3518194805398505</v>
      </c>
      <c r="Z62" s="6"/>
      <c r="AA62" s="6"/>
      <c r="AB62" s="6">
        <f t="shared" si="0"/>
        <v>4182</v>
      </c>
      <c r="AC62" s="6">
        <f t="shared" si="1"/>
        <v>0</v>
      </c>
      <c r="AD62" s="6">
        <f t="shared" ca="1" si="2"/>
        <v>4388.4919740426776</v>
      </c>
      <c r="AE62" s="6">
        <f t="shared" si="3"/>
        <v>0</v>
      </c>
      <c r="AF62" s="4" t="s">
        <v>1112</v>
      </c>
    </row>
    <row r="63" spans="1:32" ht="11.25" customHeight="1" x14ac:dyDescent="0.25">
      <c r="A63" s="4" t="s">
        <v>21</v>
      </c>
      <c r="B63" s="4" t="s">
        <v>59</v>
      </c>
      <c r="C63" s="4" t="s">
        <v>64</v>
      </c>
      <c r="D63" s="4" t="s">
        <v>25</v>
      </c>
      <c r="E63" s="4" t="s">
        <v>25</v>
      </c>
      <c r="F63" s="4" t="s">
        <v>25</v>
      </c>
      <c r="G63" s="4" t="s">
        <v>67</v>
      </c>
      <c r="H63" s="4" t="s">
        <v>25</v>
      </c>
      <c r="I63" s="5">
        <v>44531</v>
      </c>
      <c r="J63" s="6">
        <v>39500</v>
      </c>
      <c r="K63" s="6">
        <v>24307.692490000001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66</v>
      </c>
      <c r="R63" s="4">
        <v>215</v>
      </c>
      <c r="S63" s="4">
        <v>6</v>
      </c>
      <c r="T63" s="4">
        <v>0</v>
      </c>
      <c r="U63" s="4">
        <v>0</v>
      </c>
      <c r="V63" s="6">
        <f>IF(ISERROR(VLOOKUP($S$63,'TAR FIN'!$A$1:$O$116,15,0)),0,VLOOKUP($S$63,'TAR FIN'!$A$1:$O$116,15,0))</f>
        <v>3.94</v>
      </c>
      <c r="W63" s="6">
        <f>IF(ISERROR(VLOOKUP($T$63,'TAR FIN'!$A$1:$O$116,15,0)),0,VLOOKUP($T$63,'TAR FIN'!$A$1:$O$116,15,0))</f>
        <v>0</v>
      </c>
      <c r="X63" s="6">
        <f>IF(ISERROR(VLOOKUP($U$63,'TAR FIN'!$A$1:$O$116,15,0)),0,VLOOKUP($U$63,'TAR FIN'!$A$1:$O$116,15,0))</f>
        <v>0</v>
      </c>
      <c r="Y63" s="6">
        <f ca="1">('TUSD BE'!$AM$10+'TUSD BF'!$AM$10+'TUSD CVA'!$AM$10)*1</f>
        <v>4.1263435553812471</v>
      </c>
      <c r="Z63" s="6"/>
      <c r="AA63" s="6"/>
      <c r="AB63" s="6">
        <f t="shared" si="0"/>
        <v>59857.691589399998</v>
      </c>
      <c r="AC63" s="6">
        <f t="shared" si="1"/>
        <v>0</v>
      </c>
      <c r="AD63" s="6">
        <f t="shared" ca="1" si="2"/>
        <v>62688.680185258614</v>
      </c>
      <c r="AE63" s="6">
        <f t="shared" si="3"/>
        <v>0</v>
      </c>
      <c r="AF63" s="4" t="s">
        <v>1112</v>
      </c>
    </row>
    <row r="64" spans="1:32" ht="11.25" customHeight="1" x14ac:dyDescent="0.25">
      <c r="A64" s="4" t="s">
        <v>21</v>
      </c>
      <c r="B64" s="4" t="s">
        <v>59</v>
      </c>
      <c r="C64" s="4" t="s">
        <v>64</v>
      </c>
      <c r="D64" s="4" t="s">
        <v>25</v>
      </c>
      <c r="E64" s="4" t="s">
        <v>25</v>
      </c>
      <c r="F64" s="4" t="s">
        <v>25</v>
      </c>
      <c r="G64" s="4" t="s">
        <v>69</v>
      </c>
      <c r="H64" s="4" t="s">
        <v>25</v>
      </c>
      <c r="I64" s="5">
        <v>44531</v>
      </c>
      <c r="J64" s="6">
        <v>22000</v>
      </c>
      <c r="K64" s="6">
        <v>22000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66</v>
      </c>
      <c r="R64" s="4">
        <v>473</v>
      </c>
      <c r="S64" s="4">
        <v>7</v>
      </c>
      <c r="T64" s="4">
        <v>0</v>
      </c>
      <c r="U64" s="4">
        <v>0</v>
      </c>
      <c r="V64" s="6">
        <f>IF(ISERROR(VLOOKUP($S$64,'TAR FIN'!$A$1:$O$116,15,0)),0,VLOOKUP($S$64,'TAR FIN'!$A$1:$O$116,15,0))</f>
        <v>5.69</v>
      </c>
      <c r="W64" s="6">
        <f>IF(ISERROR(VLOOKUP($T$64,'TAR FIN'!$A$1:$O$116,15,0)),0,VLOOKUP($T$64,'TAR FIN'!$A$1:$O$116,15,0))</f>
        <v>0</v>
      </c>
      <c r="X64" s="6">
        <f>IF(ISERROR(VLOOKUP($U$64,'TAR FIN'!$A$1:$O$116,15,0)),0,VLOOKUP($U$64,'TAR FIN'!$A$1:$O$116,15,0))</f>
        <v>0</v>
      </c>
      <c r="Y64" s="6">
        <f ca="1">('TUSD BE'!$AM$11+'TUSD BF'!$AM$11+'TUSD CVA'!$AM$11)*1</f>
        <v>5.9725875581129042</v>
      </c>
      <c r="Z64" s="6"/>
      <c r="AA64" s="6"/>
      <c r="AB64" s="6">
        <f t="shared" si="0"/>
        <v>0</v>
      </c>
      <c r="AC64" s="6">
        <f t="shared" si="1"/>
        <v>0</v>
      </c>
      <c r="AD64" s="6">
        <f t="shared" ca="1" si="2"/>
        <v>0</v>
      </c>
      <c r="AE64" s="6">
        <f t="shared" si="3"/>
        <v>0</v>
      </c>
      <c r="AF64" s="4" t="s">
        <v>1112</v>
      </c>
    </row>
    <row r="65" spans="1:32" ht="11.25" customHeight="1" x14ac:dyDescent="0.25">
      <c r="A65" s="4" t="s">
        <v>21</v>
      </c>
      <c r="B65" s="4" t="s">
        <v>59</v>
      </c>
      <c r="C65" s="4" t="s">
        <v>64</v>
      </c>
      <c r="D65" s="4" t="s">
        <v>25</v>
      </c>
      <c r="E65" s="4" t="s">
        <v>25</v>
      </c>
      <c r="F65" s="4" t="s">
        <v>25</v>
      </c>
      <c r="G65" s="4" t="s">
        <v>72</v>
      </c>
      <c r="H65" s="4" t="s">
        <v>25</v>
      </c>
      <c r="I65" s="5">
        <v>44531</v>
      </c>
      <c r="J65" s="6">
        <v>16500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66</v>
      </c>
      <c r="R65" s="4">
        <v>1047</v>
      </c>
      <c r="S65" s="4">
        <v>8</v>
      </c>
      <c r="T65" s="4">
        <v>0</v>
      </c>
      <c r="U65" s="4">
        <v>0</v>
      </c>
      <c r="V65" s="6">
        <f>IF(ISERROR(VLOOKUP($S$65,'TAR FIN'!$A$1:$O$116,15,0)),0,VLOOKUP($S$65,'TAR FIN'!$A$1:$O$116,15,0))</f>
        <v>5.41</v>
      </c>
      <c r="W65" s="6">
        <f>IF(ISERROR(VLOOKUP($T$65,'TAR FIN'!$A$1:$O$116,15,0)),0,VLOOKUP($T$65,'TAR FIN'!$A$1:$O$116,15,0))</f>
        <v>0</v>
      </c>
      <c r="X65" s="6">
        <f>IF(ISERROR(VLOOKUP($U$65,'TAR FIN'!$A$1:$O$116,15,0)),0,VLOOKUP($U$65,'TAR FIN'!$A$1:$O$116,15,0))</f>
        <v>0</v>
      </c>
      <c r="Y65" s="6">
        <f ca="1">('TUSD BE'!$AM$12+'TUSD BF'!$AM$12+'TUSD CVA'!$AM$12)*1</f>
        <v>5.6770468968387959</v>
      </c>
      <c r="Z65" s="6"/>
      <c r="AA65" s="6"/>
      <c r="AB65" s="6">
        <f t="shared" si="0"/>
        <v>89265</v>
      </c>
      <c r="AC65" s="6">
        <f t="shared" si="1"/>
        <v>0</v>
      </c>
      <c r="AD65" s="6">
        <f t="shared" ca="1" si="2"/>
        <v>93671.273797840127</v>
      </c>
      <c r="AE65" s="6">
        <f t="shared" si="3"/>
        <v>0</v>
      </c>
      <c r="AF65" s="4" t="s">
        <v>1112</v>
      </c>
    </row>
    <row r="66" spans="1:32" ht="11.25" customHeight="1" x14ac:dyDescent="0.25">
      <c r="A66" s="4" t="s">
        <v>21</v>
      </c>
      <c r="B66" s="4" t="s">
        <v>59</v>
      </c>
      <c r="C66" s="4" t="s">
        <v>64</v>
      </c>
      <c r="D66" s="4" t="s">
        <v>25</v>
      </c>
      <c r="E66" s="4" t="s">
        <v>25</v>
      </c>
      <c r="F66" s="4" t="s">
        <v>25</v>
      </c>
      <c r="G66" s="4" t="s">
        <v>73</v>
      </c>
      <c r="H66" s="4" t="s">
        <v>25</v>
      </c>
      <c r="I66" s="5">
        <v>44531</v>
      </c>
      <c r="J66" s="6">
        <v>5320</v>
      </c>
      <c r="K66" s="6">
        <v>2660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66</v>
      </c>
      <c r="R66" s="4">
        <v>1078</v>
      </c>
      <c r="S66" s="4">
        <v>9</v>
      </c>
      <c r="T66" s="4">
        <v>0</v>
      </c>
      <c r="U66" s="4">
        <v>0</v>
      </c>
      <c r="V66" s="6">
        <f>IF(ISERROR(VLOOKUP($S$66,'TAR FIN'!$A$1:$O$116,15,0)),0,VLOOKUP($S$66,'TAR FIN'!$A$1:$O$116,15,0))</f>
        <v>5.0999999999999996</v>
      </c>
      <c r="W66" s="6">
        <f>IF(ISERROR(VLOOKUP($T$66,'TAR FIN'!$A$1:$O$116,15,0)),0,VLOOKUP($T$66,'TAR FIN'!$A$1:$O$116,15,0))</f>
        <v>0</v>
      </c>
      <c r="X66" s="6">
        <f>IF(ISERROR(VLOOKUP($U$66,'TAR FIN'!$A$1:$O$116,15,0)),0,VLOOKUP($U$66,'TAR FIN'!$A$1:$O$116,15,0))</f>
        <v>0</v>
      </c>
      <c r="Y66" s="6">
        <f ca="1">('TUSD BE'!$AM$13+'TUSD BF'!$AM$13+'TUSD CVA'!$AM$13)*1</f>
        <v>5.3518194805398505</v>
      </c>
      <c r="Z66" s="6"/>
      <c r="AA66" s="6"/>
      <c r="AB66" s="6">
        <f t="shared" ref="AB66:AB129" si="6">(J66-K66)*V66</f>
        <v>13565.999999999998</v>
      </c>
      <c r="AC66" s="6">
        <f t="shared" ref="AC66:AC129" si="7">(L66-M66)*W66+(N66-O66)*X66</f>
        <v>0</v>
      </c>
      <c r="AD66" s="6">
        <f t="shared" ref="AD66:AD129" ca="1" si="8">(J66-K66)*Y66</f>
        <v>14235.839818236002</v>
      </c>
      <c r="AE66" s="6">
        <f t="shared" ref="AE66:AE129" si="9">(L66-M66)*Z66+(N66-O66)*AA66</f>
        <v>0</v>
      </c>
      <c r="AF66" s="4" t="s">
        <v>1112</v>
      </c>
    </row>
    <row r="67" spans="1:32" ht="11.25" customHeight="1" x14ac:dyDescent="0.25">
      <c r="A67" s="4" t="s">
        <v>21</v>
      </c>
      <c r="B67" s="4" t="s">
        <v>59</v>
      </c>
      <c r="C67" s="4" t="s">
        <v>64</v>
      </c>
      <c r="D67" s="4" t="s">
        <v>25</v>
      </c>
      <c r="E67" s="4" t="s">
        <v>25</v>
      </c>
      <c r="F67" s="4" t="s">
        <v>25</v>
      </c>
      <c r="G67" s="4" t="s">
        <v>75</v>
      </c>
      <c r="H67" s="4" t="s">
        <v>25</v>
      </c>
      <c r="I67" s="5">
        <v>44531</v>
      </c>
      <c r="J67" s="6">
        <v>42500</v>
      </c>
      <c r="K67" s="6">
        <v>42500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66</v>
      </c>
      <c r="R67" s="4">
        <v>1276</v>
      </c>
      <c r="S67" s="4">
        <v>10</v>
      </c>
      <c r="T67" s="4">
        <v>0</v>
      </c>
      <c r="U67" s="4">
        <v>0</v>
      </c>
      <c r="V67" s="6">
        <f>IF(ISERROR(VLOOKUP($S$67,'TAR FIN'!$A$1:$O$116,15,0)),0,VLOOKUP($S$67,'TAR FIN'!$A$1:$O$116,15,0))</f>
        <v>5.0999999999999996</v>
      </c>
      <c r="W67" s="6">
        <f>IF(ISERROR(VLOOKUP($T$67,'TAR FIN'!$A$1:$O$116,15,0)),0,VLOOKUP($T$67,'TAR FIN'!$A$1:$O$116,15,0))</f>
        <v>0</v>
      </c>
      <c r="X67" s="6">
        <f>IF(ISERROR(VLOOKUP($U$67,'TAR FIN'!$A$1:$O$116,15,0)),0,VLOOKUP($U$67,'TAR FIN'!$A$1:$O$116,15,0))</f>
        <v>0</v>
      </c>
      <c r="Y67" s="6">
        <f ca="1">('TUSD BE'!$AM$14+'TUSD BF'!$AM$14+'TUSD CVA'!$AM$14)*1</f>
        <v>5.3518194805398505</v>
      </c>
      <c r="Z67" s="6"/>
      <c r="AA67" s="6"/>
      <c r="AB67" s="6">
        <f t="shared" si="6"/>
        <v>0</v>
      </c>
      <c r="AC67" s="6">
        <f t="shared" si="7"/>
        <v>0</v>
      </c>
      <c r="AD67" s="6">
        <f t="shared" ca="1" si="8"/>
        <v>0</v>
      </c>
      <c r="AE67" s="6">
        <f t="shared" si="9"/>
        <v>0</v>
      </c>
      <c r="AF67" s="4" t="s">
        <v>1112</v>
      </c>
    </row>
    <row r="68" spans="1:32" ht="11.25" customHeight="1" x14ac:dyDescent="0.25">
      <c r="A68" s="4" t="s">
        <v>21</v>
      </c>
      <c r="B68" s="4" t="s">
        <v>59</v>
      </c>
      <c r="C68" s="4" t="s">
        <v>64</v>
      </c>
      <c r="D68" s="4" t="s">
        <v>25</v>
      </c>
      <c r="E68" s="4" t="s">
        <v>25</v>
      </c>
      <c r="F68" s="4" t="s">
        <v>25</v>
      </c>
      <c r="G68" s="4" t="s">
        <v>86</v>
      </c>
      <c r="H68" s="4" t="s">
        <v>25</v>
      </c>
      <c r="I68" s="5">
        <v>44531</v>
      </c>
      <c r="J68" s="6">
        <v>24400</v>
      </c>
      <c r="K68" s="6">
        <v>12200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66</v>
      </c>
      <c r="R68" s="4">
        <v>27532</v>
      </c>
      <c r="S68" s="4">
        <v>11</v>
      </c>
      <c r="T68" s="4">
        <v>0</v>
      </c>
      <c r="U68" s="4">
        <v>0</v>
      </c>
      <c r="V68" s="6">
        <f>IF(ISERROR(VLOOKUP($S$68,'TAR FIN'!$A$1:$O$116,15,0)),0,VLOOKUP($S$68,'TAR FIN'!$A$1:$O$116,15,0))</f>
        <v>4.63</v>
      </c>
      <c r="W68" s="6">
        <f>IF(ISERROR(VLOOKUP($T$68,'TAR FIN'!$A$1:$O$116,15,0)),0,VLOOKUP($T$68,'TAR FIN'!$A$1:$O$116,15,0))</f>
        <v>0</v>
      </c>
      <c r="X68" s="6">
        <f>IF(ISERROR(VLOOKUP($U$68,'TAR FIN'!$A$1:$O$116,15,0)),0,VLOOKUP($U$68,'TAR FIN'!$A$1:$O$116,15,0))</f>
        <v>0</v>
      </c>
      <c r="Y68" s="6">
        <f ca="1">('TUSD BE'!$AM$15+'TUSD BF'!$AM$15+'TUSD CVA'!$AM$15)*1</f>
        <v>4.8520321280503262</v>
      </c>
      <c r="Z68" s="6"/>
      <c r="AA68" s="6"/>
      <c r="AB68" s="6">
        <f t="shared" si="6"/>
        <v>56486</v>
      </c>
      <c r="AC68" s="6">
        <f t="shared" si="7"/>
        <v>0</v>
      </c>
      <c r="AD68" s="6">
        <f t="shared" ca="1" si="8"/>
        <v>59194.791962213982</v>
      </c>
      <c r="AE68" s="6">
        <f t="shared" si="9"/>
        <v>0</v>
      </c>
      <c r="AF68" s="4" t="s">
        <v>1112</v>
      </c>
    </row>
    <row r="69" spans="1:32" ht="11.25" customHeight="1" x14ac:dyDescent="0.25">
      <c r="A69" s="4" t="s">
        <v>21</v>
      </c>
      <c r="B69" s="4" t="s">
        <v>59</v>
      </c>
      <c r="C69" s="4" t="s">
        <v>64</v>
      </c>
      <c r="D69" s="4" t="s">
        <v>25</v>
      </c>
      <c r="E69" s="4" t="s">
        <v>25</v>
      </c>
      <c r="F69" s="4" t="s">
        <v>25</v>
      </c>
      <c r="G69" s="4" t="s">
        <v>87</v>
      </c>
      <c r="H69" s="4" t="s">
        <v>25</v>
      </c>
      <c r="I69" s="5">
        <v>44531</v>
      </c>
      <c r="J69" s="6">
        <v>25000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66</v>
      </c>
      <c r="R69" s="4">
        <v>27534</v>
      </c>
      <c r="S69" s="4">
        <v>12</v>
      </c>
      <c r="T69" s="4">
        <v>0</v>
      </c>
      <c r="U69" s="4">
        <v>0</v>
      </c>
      <c r="V69" s="6">
        <f>IF(ISERROR(VLOOKUP($S$69,'TAR FIN'!$A$1:$O$116,15,0)),0,VLOOKUP($S$69,'TAR FIN'!$A$1:$O$116,15,0))</f>
        <v>5.58</v>
      </c>
      <c r="W69" s="6">
        <f>IF(ISERROR(VLOOKUP($T$69,'TAR FIN'!$A$1:$O$116,15,0)),0,VLOOKUP($T$69,'TAR FIN'!$A$1:$O$116,15,0))</f>
        <v>0</v>
      </c>
      <c r="X69" s="6">
        <f>IF(ISERROR(VLOOKUP($U$69,'TAR FIN'!$A$1:$O$116,15,0)),0,VLOOKUP($U$69,'TAR FIN'!$A$1:$O$116,15,0))</f>
        <v>0</v>
      </c>
      <c r="Y69" s="6">
        <f ca="1">('TUSD BE'!$AM$16+'TUSD BF'!$AM$16+'TUSD CVA'!$AM$16)*1</f>
        <v>5.862991208798829</v>
      </c>
      <c r="Z69" s="6"/>
      <c r="AA69" s="6"/>
      <c r="AB69" s="6">
        <f t="shared" si="6"/>
        <v>139500</v>
      </c>
      <c r="AC69" s="6">
        <f t="shared" si="7"/>
        <v>0</v>
      </c>
      <c r="AD69" s="6">
        <f t="shared" ca="1" si="8"/>
        <v>146574.78021997074</v>
      </c>
      <c r="AE69" s="6">
        <f t="shared" si="9"/>
        <v>0</v>
      </c>
      <c r="AF69" s="4" t="s">
        <v>1112</v>
      </c>
    </row>
    <row r="70" spans="1:32" ht="11.25" customHeight="1" x14ac:dyDescent="0.25">
      <c r="A70" s="4" t="s">
        <v>21</v>
      </c>
      <c r="B70" s="4" t="s">
        <v>59</v>
      </c>
      <c r="C70" s="4" t="s">
        <v>64</v>
      </c>
      <c r="D70" s="4" t="s">
        <v>25</v>
      </c>
      <c r="E70" s="4" t="s">
        <v>25</v>
      </c>
      <c r="F70" s="4" t="s">
        <v>25</v>
      </c>
      <c r="G70" s="4" t="s">
        <v>89</v>
      </c>
      <c r="H70" s="4" t="s">
        <v>25</v>
      </c>
      <c r="I70" s="5">
        <v>44531</v>
      </c>
      <c r="J70" s="6">
        <v>12600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66</v>
      </c>
      <c r="R70" s="4">
        <v>27727</v>
      </c>
      <c r="S70" s="4">
        <v>13</v>
      </c>
      <c r="T70" s="4">
        <v>0</v>
      </c>
      <c r="U70" s="4">
        <v>0</v>
      </c>
      <c r="V70" s="6">
        <f>IF(ISERROR(VLOOKUP($S$70,'TAR FIN'!$A$1:$O$116,15,0)),0,VLOOKUP($S$70,'TAR FIN'!$A$1:$O$116,15,0))</f>
        <v>5.37</v>
      </c>
      <c r="W70" s="6">
        <f>IF(ISERROR(VLOOKUP($T$70,'TAR FIN'!$A$1:$O$116,15,0)),0,VLOOKUP($T$70,'TAR FIN'!$A$1:$O$116,15,0))</f>
        <v>0</v>
      </c>
      <c r="X70" s="6">
        <f>IF(ISERROR(VLOOKUP($U$70,'TAR FIN'!$A$1:$O$116,15,0)),0,VLOOKUP($U$70,'TAR FIN'!$A$1:$O$116,15,0))</f>
        <v>0</v>
      </c>
      <c r="Y70" s="6">
        <f ca="1">('TUSD BE'!$AM$17+'TUSD BF'!$AM$17+'TUSD CVA'!$AM$17)*1</f>
        <v>5.6347568025342989</v>
      </c>
      <c r="Z70" s="6"/>
      <c r="AA70" s="6"/>
      <c r="AB70" s="6">
        <f t="shared" si="6"/>
        <v>67662</v>
      </c>
      <c r="AC70" s="6">
        <f t="shared" si="7"/>
        <v>0</v>
      </c>
      <c r="AD70" s="6">
        <f t="shared" ca="1" si="8"/>
        <v>70997.935711932165</v>
      </c>
      <c r="AE70" s="6">
        <f t="shared" si="9"/>
        <v>0</v>
      </c>
      <c r="AF70" s="4" t="s">
        <v>1112</v>
      </c>
    </row>
    <row r="71" spans="1:32" ht="11.25" customHeight="1" x14ac:dyDescent="0.25">
      <c r="A71" s="4" t="s">
        <v>21</v>
      </c>
      <c r="B71" s="4" t="s">
        <v>59</v>
      </c>
      <c r="C71" s="4" t="s">
        <v>64</v>
      </c>
      <c r="D71" s="4" t="s">
        <v>25</v>
      </c>
      <c r="E71" s="4" t="s">
        <v>25</v>
      </c>
      <c r="F71" s="4" t="s">
        <v>25</v>
      </c>
      <c r="G71" s="4" t="s">
        <v>92</v>
      </c>
      <c r="H71" s="4" t="s">
        <v>25</v>
      </c>
      <c r="I71" s="5">
        <v>44531</v>
      </c>
      <c r="J71" s="6">
        <v>8100</v>
      </c>
      <c r="K71" s="6">
        <v>4050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66</v>
      </c>
      <c r="R71" s="4">
        <v>30597</v>
      </c>
      <c r="S71" s="4">
        <v>14</v>
      </c>
      <c r="T71" s="4">
        <v>0</v>
      </c>
      <c r="U71" s="4">
        <v>0</v>
      </c>
      <c r="V71" s="6">
        <f>IF(ISERROR(VLOOKUP($S$71,'TAR FIN'!$A$1:$O$116,15,0)),0,VLOOKUP($S$71,'TAR FIN'!$A$1:$O$116,15,0))</f>
        <v>5.04</v>
      </c>
      <c r="W71" s="6">
        <f>IF(ISERROR(VLOOKUP($T$71,'TAR FIN'!$A$1:$O$116,15,0)),0,VLOOKUP($T$71,'TAR FIN'!$A$1:$O$116,15,0))</f>
        <v>0</v>
      </c>
      <c r="X71" s="6">
        <f>IF(ISERROR(VLOOKUP($U$71,'TAR FIN'!$A$1:$O$116,15,0)),0,VLOOKUP($U$71,'TAR FIN'!$A$1:$O$116,15,0))</f>
        <v>0</v>
      </c>
      <c r="Y71" s="6">
        <f ca="1">('TUSD BE'!$AM$18+'TUSD BF'!$AM$18+'TUSD CVA'!$AM$18)*1</f>
        <v>5.2832968919533032</v>
      </c>
      <c r="Z71" s="6"/>
      <c r="AA71" s="6"/>
      <c r="AB71" s="6">
        <f t="shared" si="6"/>
        <v>20412</v>
      </c>
      <c r="AC71" s="6">
        <f t="shared" si="7"/>
        <v>0</v>
      </c>
      <c r="AD71" s="6">
        <f t="shared" ca="1" si="8"/>
        <v>21397.352412410877</v>
      </c>
      <c r="AE71" s="6">
        <f t="shared" si="9"/>
        <v>0</v>
      </c>
      <c r="AF71" s="4" t="s">
        <v>1112</v>
      </c>
    </row>
    <row r="72" spans="1:32" ht="11.25" customHeight="1" x14ac:dyDescent="0.25">
      <c r="A72" s="4" t="s">
        <v>21</v>
      </c>
      <c r="B72" s="4" t="s">
        <v>59</v>
      </c>
      <c r="C72" s="4" t="s">
        <v>64</v>
      </c>
      <c r="D72" s="4" t="s">
        <v>25</v>
      </c>
      <c r="E72" s="4" t="s">
        <v>25</v>
      </c>
      <c r="F72" s="4" t="s">
        <v>25</v>
      </c>
      <c r="G72" s="4" t="s">
        <v>65</v>
      </c>
      <c r="H72" s="4" t="s">
        <v>25</v>
      </c>
      <c r="I72" s="5">
        <v>44562</v>
      </c>
      <c r="J72" s="6">
        <v>1640</v>
      </c>
      <c r="K72" s="6">
        <v>820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66</v>
      </c>
      <c r="R72" s="4">
        <v>104</v>
      </c>
      <c r="S72" s="4">
        <v>5</v>
      </c>
      <c r="T72" s="4">
        <v>0</v>
      </c>
      <c r="U72" s="4">
        <v>0</v>
      </c>
      <c r="V72" s="6">
        <f>IF(ISERROR(VLOOKUP($S$72,'TAR FIN'!$A$1:$O$116,15,0)),0,VLOOKUP($S$72,'TAR FIN'!$A$1:$O$116,15,0))</f>
        <v>5.0999999999999996</v>
      </c>
      <c r="W72" s="6">
        <f>IF(ISERROR(VLOOKUP($T$72,'TAR FIN'!$A$1:$O$116,15,0)),0,VLOOKUP($T$72,'TAR FIN'!$A$1:$O$116,15,0))</f>
        <v>0</v>
      </c>
      <c r="X72" s="6">
        <f>IF(ISERROR(VLOOKUP($U$72,'TAR FIN'!$A$1:$O$116,15,0)),0,VLOOKUP($U$72,'TAR FIN'!$A$1:$O$116,15,0))</f>
        <v>0</v>
      </c>
      <c r="Y72" s="6">
        <f ca="1">('TUSD BE'!$AM$9+'TUSD BF'!$AM$9+'TUSD CVA'!$AM$9)*1</f>
        <v>5.3518194805398505</v>
      </c>
      <c r="Z72" s="6"/>
      <c r="AA72" s="6"/>
      <c r="AB72" s="6">
        <f t="shared" si="6"/>
        <v>4182</v>
      </c>
      <c r="AC72" s="6">
        <f t="shared" si="7"/>
        <v>0</v>
      </c>
      <c r="AD72" s="6">
        <f t="shared" ca="1" si="8"/>
        <v>4388.4919740426776</v>
      </c>
      <c r="AE72" s="6">
        <f t="shared" si="9"/>
        <v>0</v>
      </c>
      <c r="AF72" s="4" t="s">
        <v>1112</v>
      </c>
    </row>
    <row r="73" spans="1:32" ht="11.25" customHeight="1" x14ac:dyDescent="0.25">
      <c r="A73" s="4" t="s">
        <v>21</v>
      </c>
      <c r="B73" s="4" t="s">
        <v>59</v>
      </c>
      <c r="C73" s="4" t="s">
        <v>64</v>
      </c>
      <c r="D73" s="4" t="s">
        <v>25</v>
      </c>
      <c r="E73" s="4" t="s">
        <v>25</v>
      </c>
      <c r="F73" s="4" t="s">
        <v>25</v>
      </c>
      <c r="G73" s="4" t="s">
        <v>67</v>
      </c>
      <c r="H73" s="4" t="s">
        <v>25</v>
      </c>
      <c r="I73" s="5">
        <v>44562</v>
      </c>
      <c r="J73" s="6">
        <v>39500</v>
      </c>
      <c r="K73" s="6">
        <v>24307.692490000001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66</v>
      </c>
      <c r="R73" s="4">
        <v>215</v>
      </c>
      <c r="S73" s="4">
        <v>6</v>
      </c>
      <c r="T73" s="4">
        <v>0</v>
      </c>
      <c r="U73" s="4">
        <v>0</v>
      </c>
      <c r="V73" s="6">
        <f>IF(ISERROR(VLOOKUP($S$73,'TAR FIN'!$A$1:$O$116,15,0)),0,VLOOKUP($S$73,'TAR FIN'!$A$1:$O$116,15,0))</f>
        <v>3.94</v>
      </c>
      <c r="W73" s="6">
        <f>IF(ISERROR(VLOOKUP($T$73,'TAR FIN'!$A$1:$O$116,15,0)),0,VLOOKUP($T$73,'TAR FIN'!$A$1:$O$116,15,0))</f>
        <v>0</v>
      </c>
      <c r="X73" s="6">
        <f>IF(ISERROR(VLOOKUP($U$73,'TAR FIN'!$A$1:$O$116,15,0)),0,VLOOKUP($U$73,'TAR FIN'!$A$1:$O$116,15,0))</f>
        <v>0</v>
      </c>
      <c r="Y73" s="6">
        <f ca="1">('TUSD BE'!$AM$10+'TUSD BF'!$AM$10+'TUSD CVA'!$AM$10)*1</f>
        <v>4.1263435553812471</v>
      </c>
      <c r="Z73" s="6"/>
      <c r="AA73" s="6"/>
      <c r="AB73" s="6">
        <f t="shared" si="6"/>
        <v>59857.691589399998</v>
      </c>
      <c r="AC73" s="6">
        <f t="shared" si="7"/>
        <v>0</v>
      </c>
      <c r="AD73" s="6">
        <f t="shared" ca="1" si="8"/>
        <v>62688.680185258614</v>
      </c>
      <c r="AE73" s="6">
        <f t="shared" si="9"/>
        <v>0</v>
      </c>
      <c r="AF73" s="4" t="s">
        <v>1112</v>
      </c>
    </row>
    <row r="74" spans="1:32" ht="11.25" customHeight="1" x14ac:dyDescent="0.25">
      <c r="A74" s="4" t="s">
        <v>21</v>
      </c>
      <c r="B74" s="4" t="s">
        <v>59</v>
      </c>
      <c r="C74" s="4" t="s">
        <v>64</v>
      </c>
      <c r="D74" s="4" t="s">
        <v>25</v>
      </c>
      <c r="E74" s="4" t="s">
        <v>25</v>
      </c>
      <c r="F74" s="4" t="s">
        <v>25</v>
      </c>
      <c r="G74" s="4" t="s">
        <v>69</v>
      </c>
      <c r="H74" s="4" t="s">
        <v>25</v>
      </c>
      <c r="I74" s="5">
        <v>44562</v>
      </c>
      <c r="J74" s="6">
        <v>22000</v>
      </c>
      <c r="K74" s="6">
        <v>22000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66</v>
      </c>
      <c r="R74" s="4">
        <v>473</v>
      </c>
      <c r="S74" s="4">
        <v>7</v>
      </c>
      <c r="T74" s="4">
        <v>0</v>
      </c>
      <c r="U74" s="4">
        <v>0</v>
      </c>
      <c r="V74" s="6">
        <f>IF(ISERROR(VLOOKUP($S$74,'TAR FIN'!$A$1:$O$116,15,0)),0,VLOOKUP($S$74,'TAR FIN'!$A$1:$O$116,15,0))</f>
        <v>5.69</v>
      </c>
      <c r="W74" s="6">
        <f>IF(ISERROR(VLOOKUP($T$74,'TAR FIN'!$A$1:$O$116,15,0)),0,VLOOKUP($T$74,'TAR FIN'!$A$1:$O$116,15,0))</f>
        <v>0</v>
      </c>
      <c r="X74" s="6">
        <f>IF(ISERROR(VLOOKUP($U$74,'TAR FIN'!$A$1:$O$116,15,0)),0,VLOOKUP($U$74,'TAR FIN'!$A$1:$O$116,15,0))</f>
        <v>0</v>
      </c>
      <c r="Y74" s="6">
        <f ca="1">('TUSD BE'!$AM$11+'TUSD BF'!$AM$11+'TUSD CVA'!$AM$11)*1</f>
        <v>5.9725875581129042</v>
      </c>
      <c r="Z74" s="6"/>
      <c r="AA74" s="6"/>
      <c r="AB74" s="6">
        <f t="shared" si="6"/>
        <v>0</v>
      </c>
      <c r="AC74" s="6">
        <f t="shared" si="7"/>
        <v>0</v>
      </c>
      <c r="AD74" s="6">
        <f t="shared" ca="1" si="8"/>
        <v>0</v>
      </c>
      <c r="AE74" s="6">
        <f t="shared" si="9"/>
        <v>0</v>
      </c>
      <c r="AF74" s="4" t="s">
        <v>1112</v>
      </c>
    </row>
    <row r="75" spans="1:32" ht="11.25" customHeight="1" x14ac:dyDescent="0.25">
      <c r="A75" s="4" t="s">
        <v>21</v>
      </c>
      <c r="B75" s="4" t="s">
        <v>59</v>
      </c>
      <c r="C75" s="4" t="s">
        <v>64</v>
      </c>
      <c r="D75" s="4" t="s">
        <v>25</v>
      </c>
      <c r="E75" s="4" t="s">
        <v>25</v>
      </c>
      <c r="F75" s="4" t="s">
        <v>25</v>
      </c>
      <c r="G75" s="4" t="s">
        <v>72</v>
      </c>
      <c r="H75" s="4" t="s">
        <v>25</v>
      </c>
      <c r="I75" s="5">
        <v>44562</v>
      </c>
      <c r="J75" s="6">
        <v>16500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66</v>
      </c>
      <c r="R75" s="4">
        <v>1047</v>
      </c>
      <c r="S75" s="4">
        <v>8</v>
      </c>
      <c r="T75" s="4">
        <v>0</v>
      </c>
      <c r="U75" s="4">
        <v>0</v>
      </c>
      <c r="V75" s="6">
        <f>IF(ISERROR(VLOOKUP($S$75,'TAR FIN'!$A$1:$O$116,15,0)),0,VLOOKUP($S$75,'TAR FIN'!$A$1:$O$116,15,0))</f>
        <v>5.41</v>
      </c>
      <c r="W75" s="6">
        <f>IF(ISERROR(VLOOKUP($T$75,'TAR FIN'!$A$1:$O$116,15,0)),0,VLOOKUP($T$75,'TAR FIN'!$A$1:$O$116,15,0))</f>
        <v>0</v>
      </c>
      <c r="X75" s="6">
        <f>IF(ISERROR(VLOOKUP($U$75,'TAR FIN'!$A$1:$O$116,15,0)),0,VLOOKUP($U$75,'TAR FIN'!$A$1:$O$116,15,0))</f>
        <v>0</v>
      </c>
      <c r="Y75" s="6">
        <f ca="1">('TUSD BE'!$AM$12+'TUSD BF'!$AM$12+'TUSD CVA'!$AM$12)*1</f>
        <v>5.6770468968387959</v>
      </c>
      <c r="Z75" s="6"/>
      <c r="AA75" s="6"/>
      <c r="AB75" s="6">
        <f t="shared" si="6"/>
        <v>89265</v>
      </c>
      <c r="AC75" s="6">
        <f t="shared" si="7"/>
        <v>0</v>
      </c>
      <c r="AD75" s="6">
        <f t="shared" ca="1" si="8"/>
        <v>93671.273797840127</v>
      </c>
      <c r="AE75" s="6">
        <f t="shared" si="9"/>
        <v>0</v>
      </c>
      <c r="AF75" s="4" t="s">
        <v>1112</v>
      </c>
    </row>
    <row r="76" spans="1:32" ht="11.25" customHeight="1" x14ac:dyDescent="0.25">
      <c r="A76" s="4" t="s">
        <v>21</v>
      </c>
      <c r="B76" s="4" t="s">
        <v>59</v>
      </c>
      <c r="C76" s="4" t="s">
        <v>64</v>
      </c>
      <c r="D76" s="4" t="s">
        <v>25</v>
      </c>
      <c r="E76" s="4" t="s">
        <v>25</v>
      </c>
      <c r="F76" s="4" t="s">
        <v>25</v>
      </c>
      <c r="G76" s="4" t="s">
        <v>73</v>
      </c>
      <c r="H76" s="4" t="s">
        <v>25</v>
      </c>
      <c r="I76" s="5">
        <v>44562</v>
      </c>
      <c r="J76" s="6">
        <v>5320</v>
      </c>
      <c r="K76" s="6">
        <v>2660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66</v>
      </c>
      <c r="R76" s="4">
        <v>1078</v>
      </c>
      <c r="S76" s="4">
        <v>9</v>
      </c>
      <c r="T76" s="4">
        <v>0</v>
      </c>
      <c r="U76" s="4">
        <v>0</v>
      </c>
      <c r="V76" s="6">
        <f>IF(ISERROR(VLOOKUP($S$76,'TAR FIN'!$A$1:$O$116,15,0)),0,VLOOKUP($S$76,'TAR FIN'!$A$1:$O$116,15,0))</f>
        <v>5.0999999999999996</v>
      </c>
      <c r="W76" s="6">
        <f>IF(ISERROR(VLOOKUP($T$76,'TAR FIN'!$A$1:$O$116,15,0)),0,VLOOKUP($T$76,'TAR FIN'!$A$1:$O$116,15,0))</f>
        <v>0</v>
      </c>
      <c r="X76" s="6">
        <f>IF(ISERROR(VLOOKUP($U$76,'TAR FIN'!$A$1:$O$116,15,0)),0,VLOOKUP($U$76,'TAR FIN'!$A$1:$O$116,15,0))</f>
        <v>0</v>
      </c>
      <c r="Y76" s="6">
        <f ca="1">('TUSD BE'!$AM$13+'TUSD BF'!$AM$13+'TUSD CVA'!$AM$13)*1</f>
        <v>5.3518194805398505</v>
      </c>
      <c r="Z76" s="6"/>
      <c r="AA76" s="6"/>
      <c r="AB76" s="6">
        <f t="shared" si="6"/>
        <v>13565.999999999998</v>
      </c>
      <c r="AC76" s="6">
        <f t="shared" si="7"/>
        <v>0</v>
      </c>
      <c r="AD76" s="6">
        <f t="shared" ca="1" si="8"/>
        <v>14235.839818236002</v>
      </c>
      <c r="AE76" s="6">
        <f t="shared" si="9"/>
        <v>0</v>
      </c>
      <c r="AF76" s="4" t="s">
        <v>1112</v>
      </c>
    </row>
    <row r="77" spans="1:32" ht="11.25" customHeight="1" x14ac:dyDescent="0.25">
      <c r="A77" s="4" t="s">
        <v>21</v>
      </c>
      <c r="B77" s="4" t="s">
        <v>59</v>
      </c>
      <c r="C77" s="4" t="s">
        <v>64</v>
      </c>
      <c r="D77" s="4" t="s">
        <v>25</v>
      </c>
      <c r="E77" s="4" t="s">
        <v>25</v>
      </c>
      <c r="F77" s="4" t="s">
        <v>25</v>
      </c>
      <c r="G77" s="4" t="s">
        <v>75</v>
      </c>
      <c r="H77" s="4" t="s">
        <v>25</v>
      </c>
      <c r="I77" s="5">
        <v>44562</v>
      </c>
      <c r="J77" s="6">
        <v>42500</v>
      </c>
      <c r="K77" s="6">
        <v>42500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66</v>
      </c>
      <c r="R77" s="4">
        <v>1276</v>
      </c>
      <c r="S77" s="4">
        <v>10</v>
      </c>
      <c r="T77" s="4">
        <v>0</v>
      </c>
      <c r="U77" s="4">
        <v>0</v>
      </c>
      <c r="V77" s="6">
        <f>IF(ISERROR(VLOOKUP($S$77,'TAR FIN'!$A$1:$O$116,15,0)),0,VLOOKUP($S$77,'TAR FIN'!$A$1:$O$116,15,0))</f>
        <v>5.0999999999999996</v>
      </c>
      <c r="W77" s="6">
        <f>IF(ISERROR(VLOOKUP($T$77,'TAR FIN'!$A$1:$O$116,15,0)),0,VLOOKUP($T$77,'TAR FIN'!$A$1:$O$116,15,0))</f>
        <v>0</v>
      </c>
      <c r="X77" s="6">
        <f>IF(ISERROR(VLOOKUP($U$77,'TAR FIN'!$A$1:$O$116,15,0)),0,VLOOKUP($U$77,'TAR FIN'!$A$1:$O$116,15,0))</f>
        <v>0</v>
      </c>
      <c r="Y77" s="6">
        <f ca="1">('TUSD BE'!$AM$14+'TUSD BF'!$AM$14+'TUSD CVA'!$AM$14)*1</f>
        <v>5.3518194805398505</v>
      </c>
      <c r="Z77" s="6"/>
      <c r="AA77" s="6"/>
      <c r="AB77" s="6">
        <f t="shared" si="6"/>
        <v>0</v>
      </c>
      <c r="AC77" s="6">
        <f t="shared" si="7"/>
        <v>0</v>
      </c>
      <c r="AD77" s="6">
        <f t="shared" ca="1" si="8"/>
        <v>0</v>
      </c>
      <c r="AE77" s="6">
        <f t="shared" si="9"/>
        <v>0</v>
      </c>
      <c r="AF77" s="4" t="s">
        <v>1112</v>
      </c>
    </row>
    <row r="78" spans="1:32" ht="11.25" customHeight="1" x14ac:dyDescent="0.25">
      <c r="A78" s="4" t="s">
        <v>21</v>
      </c>
      <c r="B78" s="4" t="s">
        <v>59</v>
      </c>
      <c r="C78" s="4" t="s">
        <v>64</v>
      </c>
      <c r="D78" s="4" t="s">
        <v>25</v>
      </c>
      <c r="E78" s="4" t="s">
        <v>25</v>
      </c>
      <c r="F78" s="4" t="s">
        <v>25</v>
      </c>
      <c r="G78" s="4" t="s">
        <v>86</v>
      </c>
      <c r="H78" s="4" t="s">
        <v>25</v>
      </c>
      <c r="I78" s="5">
        <v>44562</v>
      </c>
      <c r="J78" s="6">
        <v>24400</v>
      </c>
      <c r="K78" s="6">
        <v>12200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66</v>
      </c>
      <c r="R78" s="4">
        <v>27532</v>
      </c>
      <c r="S78" s="4">
        <v>11</v>
      </c>
      <c r="T78" s="4">
        <v>0</v>
      </c>
      <c r="U78" s="4">
        <v>0</v>
      </c>
      <c r="V78" s="6">
        <f>IF(ISERROR(VLOOKUP($S$78,'TAR FIN'!$A$1:$O$116,15,0)),0,VLOOKUP($S$78,'TAR FIN'!$A$1:$O$116,15,0))</f>
        <v>4.63</v>
      </c>
      <c r="W78" s="6">
        <f>IF(ISERROR(VLOOKUP($T$78,'TAR FIN'!$A$1:$O$116,15,0)),0,VLOOKUP($T$78,'TAR FIN'!$A$1:$O$116,15,0))</f>
        <v>0</v>
      </c>
      <c r="X78" s="6">
        <f>IF(ISERROR(VLOOKUP($U$78,'TAR FIN'!$A$1:$O$116,15,0)),0,VLOOKUP($U$78,'TAR FIN'!$A$1:$O$116,15,0))</f>
        <v>0</v>
      </c>
      <c r="Y78" s="6">
        <f ca="1">('TUSD BE'!$AM$15+'TUSD BF'!$AM$15+'TUSD CVA'!$AM$15)*1</f>
        <v>4.8520321280503262</v>
      </c>
      <c r="Z78" s="6"/>
      <c r="AA78" s="6"/>
      <c r="AB78" s="6">
        <f t="shared" si="6"/>
        <v>56486</v>
      </c>
      <c r="AC78" s="6">
        <f t="shared" si="7"/>
        <v>0</v>
      </c>
      <c r="AD78" s="6">
        <f t="shared" ca="1" si="8"/>
        <v>59194.791962213982</v>
      </c>
      <c r="AE78" s="6">
        <f t="shared" si="9"/>
        <v>0</v>
      </c>
      <c r="AF78" s="4" t="s">
        <v>1112</v>
      </c>
    </row>
    <row r="79" spans="1:32" ht="11.25" customHeight="1" x14ac:dyDescent="0.25">
      <c r="A79" s="4" t="s">
        <v>21</v>
      </c>
      <c r="B79" s="4" t="s">
        <v>59</v>
      </c>
      <c r="C79" s="4" t="s">
        <v>64</v>
      </c>
      <c r="D79" s="4" t="s">
        <v>25</v>
      </c>
      <c r="E79" s="4" t="s">
        <v>25</v>
      </c>
      <c r="F79" s="4" t="s">
        <v>25</v>
      </c>
      <c r="G79" s="4" t="s">
        <v>87</v>
      </c>
      <c r="H79" s="4" t="s">
        <v>25</v>
      </c>
      <c r="I79" s="5">
        <v>44562</v>
      </c>
      <c r="J79" s="6">
        <v>25000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66</v>
      </c>
      <c r="R79" s="4">
        <v>27534</v>
      </c>
      <c r="S79" s="4">
        <v>12</v>
      </c>
      <c r="T79" s="4">
        <v>0</v>
      </c>
      <c r="U79" s="4">
        <v>0</v>
      </c>
      <c r="V79" s="6">
        <f>IF(ISERROR(VLOOKUP($S$79,'TAR FIN'!$A$1:$O$116,15,0)),0,VLOOKUP($S$79,'TAR FIN'!$A$1:$O$116,15,0))</f>
        <v>5.58</v>
      </c>
      <c r="W79" s="6">
        <f>IF(ISERROR(VLOOKUP($T$79,'TAR FIN'!$A$1:$O$116,15,0)),0,VLOOKUP($T$79,'TAR FIN'!$A$1:$O$116,15,0))</f>
        <v>0</v>
      </c>
      <c r="X79" s="6">
        <f>IF(ISERROR(VLOOKUP($U$79,'TAR FIN'!$A$1:$O$116,15,0)),0,VLOOKUP($U$79,'TAR FIN'!$A$1:$O$116,15,0))</f>
        <v>0</v>
      </c>
      <c r="Y79" s="6">
        <f ca="1">('TUSD BE'!$AM$16+'TUSD BF'!$AM$16+'TUSD CVA'!$AM$16)*1</f>
        <v>5.862991208798829</v>
      </c>
      <c r="Z79" s="6"/>
      <c r="AA79" s="6"/>
      <c r="AB79" s="6">
        <f t="shared" si="6"/>
        <v>139500</v>
      </c>
      <c r="AC79" s="6">
        <f t="shared" si="7"/>
        <v>0</v>
      </c>
      <c r="AD79" s="6">
        <f t="shared" ca="1" si="8"/>
        <v>146574.78021997074</v>
      </c>
      <c r="AE79" s="6">
        <f t="shared" si="9"/>
        <v>0</v>
      </c>
      <c r="AF79" s="4" t="s">
        <v>1112</v>
      </c>
    </row>
    <row r="80" spans="1:32" ht="11.25" customHeight="1" x14ac:dyDescent="0.25">
      <c r="A80" s="4" t="s">
        <v>21</v>
      </c>
      <c r="B80" s="4" t="s">
        <v>59</v>
      </c>
      <c r="C80" s="4" t="s">
        <v>64</v>
      </c>
      <c r="D80" s="4" t="s">
        <v>25</v>
      </c>
      <c r="E80" s="4" t="s">
        <v>25</v>
      </c>
      <c r="F80" s="4" t="s">
        <v>25</v>
      </c>
      <c r="G80" s="4" t="s">
        <v>89</v>
      </c>
      <c r="H80" s="4" t="s">
        <v>25</v>
      </c>
      <c r="I80" s="5">
        <v>44562</v>
      </c>
      <c r="J80" s="6">
        <v>12600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66</v>
      </c>
      <c r="R80" s="4">
        <v>27727</v>
      </c>
      <c r="S80" s="4">
        <v>13</v>
      </c>
      <c r="T80" s="4">
        <v>0</v>
      </c>
      <c r="U80" s="4">
        <v>0</v>
      </c>
      <c r="V80" s="6">
        <f>IF(ISERROR(VLOOKUP($S$80,'TAR FIN'!$A$1:$O$116,15,0)),0,VLOOKUP($S$80,'TAR FIN'!$A$1:$O$116,15,0))</f>
        <v>5.37</v>
      </c>
      <c r="W80" s="6">
        <f>IF(ISERROR(VLOOKUP($T$80,'TAR FIN'!$A$1:$O$116,15,0)),0,VLOOKUP($T$80,'TAR FIN'!$A$1:$O$116,15,0))</f>
        <v>0</v>
      </c>
      <c r="X80" s="6">
        <f>IF(ISERROR(VLOOKUP($U$80,'TAR FIN'!$A$1:$O$116,15,0)),0,VLOOKUP($U$80,'TAR FIN'!$A$1:$O$116,15,0))</f>
        <v>0</v>
      </c>
      <c r="Y80" s="6">
        <f ca="1">('TUSD BE'!$AM$17+'TUSD BF'!$AM$17+'TUSD CVA'!$AM$17)*1</f>
        <v>5.6347568025342989</v>
      </c>
      <c r="Z80" s="6"/>
      <c r="AA80" s="6"/>
      <c r="AB80" s="6">
        <f t="shared" si="6"/>
        <v>67662</v>
      </c>
      <c r="AC80" s="6">
        <f t="shared" si="7"/>
        <v>0</v>
      </c>
      <c r="AD80" s="6">
        <f t="shared" ca="1" si="8"/>
        <v>70997.935711932165</v>
      </c>
      <c r="AE80" s="6">
        <f t="shared" si="9"/>
        <v>0</v>
      </c>
      <c r="AF80" s="4" t="s">
        <v>1112</v>
      </c>
    </row>
    <row r="81" spans="1:32" ht="11.25" customHeight="1" x14ac:dyDescent="0.25">
      <c r="A81" s="4" t="s">
        <v>21</v>
      </c>
      <c r="B81" s="4" t="s">
        <v>59</v>
      </c>
      <c r="C81" s="4" t="s">
        <v>64</v>
      </c>
      <c r="D81" s="4" t="s">
        <v>25</v>
      </c>
      <c r="E81" s="4" t="s">
        <v>25</v>
      </c>
      <c r="F81" s="4" t="s">
        <v>25</v>
      </c>
      <c r="G81" s="4" t="s">
        <v>92</v>
      </c>
      <c r="H81" s="4" t="s">
        <v>25</v>
      </c>
      <c r="I81" s="5">
        <v>44562</v>
      </c>
      <c r="J81" s="6">
        <v>8100</v>
      </c>
      <c r="K81" s="6">
        <v>4050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66</v>
      </c>
      <c r="R81" s="4">
        <v>30597</v>
      </c>
      <c r="S81" s="4">
        <v>14</v>
      </c>
      <c r="T81" s="4">
        <v>0</v>
      </c>
      <c r="U81" s="4">
        <v>0</v>
      </c>
      <c r="V81" s="6">
        <f>IF(ISERROR(VLOOKUP($S$81,'TAR FIN'!$A$1:$O$116,15,0)),0,VLOOKUP($S$81,'TAR FIN'!$A$1:$O$116,15,0))</f>
        <v>5.04</v>
      </c>
      <c r="W81" s="6">
        <f>IF(ISERROR(VLOOKUP($T$81,'TAR FIN'!$A$1:$O$116,15,0)),0,VLOOKUP($T$81,'TAR FIN'!$A$1:$O$116,15,0))</f>
        <v>0</v>
      </c>
      <c r="X81" s="6">
        <f>IF(ISERROR(VLOOKUP($U$81,'TAR FIN'!$A$1:$O$116,15,0)),0,VLOOKUP($U$81,'TAR FIN'!$A$1:$O$116,15,0))</f>
        <v>0</v>
      </c>
      <c r="Y81" s="6">
        <f ca="1">('TUSD BE'!$AM$18+'TUSD BF'!$AM$18+'TUSD CVA'!$AM$18)*1</f>
        <v>5.2832968919533032</v>
      </c>
      <c r="Z81" s="6"/>
      <c r="AA81" s="6"/>
      <c r="AB81" s="6">
        <f t="shared" si="6"/>
        <v>20412</v>
      </c>
      <c r="AC81" s="6">
        <f t="shared" si="7"/>
        <v>0</v>
      </c>
      <c r="AD81" s="6">
        <f t="shared" ca="1" si="8"/>
        <v>21397.352412410877</v>
      </c>
      <c r="AE81" s="6">
        <f t="shared" si="9"/>
        <v>0</v>
      </c>
      <c r="AF81" s="4" t="s">
        <v>1112</v>
      </c>
    </row>
    <row r="82" spans="1:32" ht="11.25" customHeight="1" x14ac:dyDescent="0.25">
      <c r="A82" s="4" t="s">
        <v>21</v>
      </c>
      <c r="B82" s="4" t="s">
        <v>59</v>
      </c>
      <c r="C82" s="4" t="s">
        <v>64</v>
      </c>
      <c r="D82" s="4" t="s">
        <v>25</v>
      </c>
      <c r="E82" s="4" t="s">
        <v>25</v>
      </c>
      <c r="F82" s="4" t="s">
        <v>25</v>
      </c>
      <c r="G82" s="4" t="s">
        <v>65</v>
      </c>
      <c r="H82" s="4" t="s">
        <v>25</v>
      </c>
      <c r="I82" s="5">
        <v>44593</v>
      </c>
      <c r="J82" s="6">
        <v>1640</v>
      </c>
      <c r="K82" s="6">
        <v>820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66</v>
      </c>
      <c r="R82" s="4">
        <v>104</v>
      </c>
      <c r="S82" s="4">
        <v>5</v>
      </c>
      <c r="T82" s="4">
        <v>0</v>
      </c>
      <c r="U82" s="4">
        <v>0</v>
      </c>
      <c r="V82" s="6">
        <f>IF(ISERROR(VLOOKUP($S$82,'TAR FIN'!$A$1:$O$116,15,0)),0,VLOOKUP($S$82,'TAR FIN'!$A$1:$O$116,15,0))</f>
        <v>5.0999999999999996</v>
      </c>
      <c r="W82" s="6">
        <f>IF(ISERROR(VLOOKUP($T$82,'TAR FIN'!$A$1:$O$116,15,0)),0,VLOOKUP($T$82,'TAR FIN'!$A$1:$O$116,15,0))</f>
        <v>0</v>
      </c>
      <c r="X82" s="6">
        <f>IF(ISERROR(VLOOKUP($U$82,'TAR FIN'!$A$1:$O$116,15,0)),0,VLOOKUP($U$82,'TAR FIN'!$A$1:$O$116,15,0))</f>
        <v>0</v>
      </c>
      <c r="Y82" s="6">
        <f ca="1">('TUSD BE'!$AM$9+'TUSD BF'!$AM$9+'TUSD CVA'!$AM$9)*1</f>
        <v>5.3518194805398505</v>
      </c>
      <c r="Z82" s="6"/>
      <c r="AA82" s="6"/>
      <c r="AB82" s="6">
        <f t="shared" si="6"/>
        <v>4182</v>
      </c>
      <c r="AC82" s="6">
        <f t="shared" si="7"/>
        <v>0</v>
      </c>
      <c r="AD82" s="6">
        <f t="shared" ca="1" si="8"/>
        <v>4388.4919740426776</v>
      </c>
      <c r="AE82" s="6">
        <f t="shared" si="9"/>
        <v>0</v>
      </c>
      <c r="AF82" s="4" t="s">
        <v>1112</v>
      </c>
    </row>
    <row r="83" spans="1:32" ht="11.25" customHeight="1" x14ac:dyDescent="0.25">
      <c r="A83" s="4" t="s">
        <v>21</v>
      </c>
      <c r="B83" s="4" t="s">
        <v>59</v>
      </c>
      <c r="C83" s="4" t="s">
        <v>64</v>
      </c>
      <c r="D83" s="4" t="s">
        <v>25</v>
      </c>
      <c r="E83" s="4" t="s">
        <v>25</v>
      </c>
      <c r="F83" s="4" t="s">
        <v>25</v>
      </c>
      <c r="G83" s="4" t="s">
        <v>67</v>
      </c>
      <c r="H83" s="4" t="s">
        <v>25</v>
      </c>
      <c r="I83" s="5">
        <v>44593</v>
      </c>
      <c r="J83" s="6">
        <v>39500</v>
      </c>
      <c r="K83" s="6">
        <v>24307.692490000001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66</v>
      </c>
      <c r="R83" s="4">
        <v>215</v>
      </c>
      <c r="S83" s="4">
        <v>6</v>
      </c>
      <c r="T83" s="4">
        <v>0</v>
      </c>
      <c r="U83" s="4">
        <v>0</v>
      </c>
      <c r="V83" s="6">
        <f>IF(ISERROR(VLOOKUP($S$83,'TAR FIN'!$A$1:$O$116,15,0)),0,VLOOKUP($S$83,'TAR FIN'!$A$1:$O$116,15,0))</f>
        <v>3.94</v>
      </c>
      <c r="W83" s="6">
        <f>IF(ISERROR(VLOOKUP($T$83,'TAR FIN'!$A$1:$O$116,15,0)),0,VLOOKUP($T$83,'TAR FIN'!$A$1:$O$116,15,0))</f>
        <v>0</v>
      </c>
      <c r="X83" s="6">
        <f>IF(ISERROR(VLOOKUP($U$83,'TAR FIN'!$A$1:$O$116,15,0)),0,VLOOKUP($U$83,'TAR FIN'!$A$1:$O$116,15,0))</f>
        <v>0</v>
      </c>
      <c r="Y83" s="6">
        <f ca="1">('TUSD BE'!$AM$10+'TUSD BF'!$AM$10+'TUSD CVA'!$AM$10)*1</f>
        <v>4.1263435553812471</v>
      </c>
      <c r="Z83" s="6"/>
      <c r="AA83" s="6"/>
      <c r="AB83" s="6">
        <f t="shared" si="6"/>
        <v>59857.691589399998</v>
      </c>
      <c r="AC83" s="6">
        <f t="shared" si="7"/>
        <v>0</v>
      </c>
      <c r="AD83" s="6">
        <f t="shared" ca="1" si="8"/>
        <v>62688.680185258614</v>
      </c>
      <c r="AE83" s="6">
        <f t="shared" si="9"/>
        <v>0</v>
      </c>
      <c r="AF83" s="4" t="s">
        <v>1112</v>
      </c>
    </row>
    <row r="84" spans="1:32" ht="11.25" customHeight="1" x14ac:dyDescent="0.25">
      <c r="A84" s="4" t="s">
        <v>21</v>
      </c>
      <c r="B84" s="4" t="s">
        <v>59</v>
      </c>
      <c r="C84" s="4" t="s">
        <v>64</v>
      </c>
      <c r="D84" s="4" t="s">
        <v>25</v>
      </c>
      <c r="E84" s="4" t="s">
        <v>25</v>
      </c>
      <c r="F84" s="4" t="s">
        <v>25</v>
      </c>
      <c r="G84" s="4" t="s">
        <v>69</v>
      </c>
      <c r="H84" s="4" t="s">
        <v>25</v>
      </c>
      <c r="I84" s="5">
        <v>44593</v>
      </c>
      <c r="J84" s="6">
        <v>22004</v>
      </c>
      <c r="K84" s="6">
        <v>22004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66</v>
      </c>
      <c r="R84" s="4">
        <v>473</v>
      </c>
      <c r="S84" s="4">
        <v>7</v>
      </c>
      <c r="T84" s="4">
        <v>0</v>
      </c>
      <c r="U84" s="4">
        <v>0</v>
      </c>
      <c r="V84" s="6">
        <f>IF(ISERROR(VLOOKUP($S$84,'TAR FIN'!$A$1:$O$116,15,0)),0,VLOOKUP($S$84,'TAR FIN'!$A$1:$O$116,15,0))</f>
        <v>5.69</v>
      </c>
      <c r="W84" s="6">
        <f>IF(ISERROR(VLOOKUP($T$84,'TAR FIN'!$A$1:$O$116,15,0)),0,VLOOKUP($T$84,'TAR FIN'!$A$1:$O$116,15,0))</f>
        <v>0</v>
      </c>
      <c r="X84" s="6">
        <f>IF(ISERROR(VLOOKUP($U$84,'TAR FIN'!$A$1:$O$116,15,0)),0,VLOOKUP($U$84,'TAR FIN'!$A$1:$O$116,15,0))</f>
        <v>0</v>
      </c>
      <c r="Y84" s="6">
        <f ca="1">('TUSD BE'!$AM$11+'TUSD BF'!$AM$11+'TUSD CVA'!$AM$11)*1</f>
        <v>5.9725875581129042</v>
      </c>
      <c r="Z84" s="6"/>
      <c r="AA84" s="6"/>
      <c r="AB84" s="6">
        <f t="shared" si="6"/>
        <v>0</v>
      </c>
      <c r="AC84" s="6">
        <f t="shared" si="7"/>
        <v>0</v>
      </c>
      <c r="AD84" s="6">
        <f t="shared" ca="1" si="8"/>
        <v>0</v>
      </c>
      <c r="AE84" s="6">
        <f t="shared" si="9"/>
        <v>0</v>
      </c>
      <c r="AF84" s="4" t="s">
        <v>1112</v>
      </c>
    </row>
    <row r="85" spans="1:32" ht="11.25" customHeight="1" x14ac:dyDescent="0.25">
      <c r="A85" s="4" t="s">
        <v>21</v>
      </c>
      <c r="B85" s="4" t="s">
        <v>59</v>
      </c>
      <c r="C85" s="4" t="s">
        <v>64</v>
      </c>
      <c r="D85" s="4" t="s">
        <v>25</v>
      </c>
      <c r="E85" s="4" t="s">
        <v>25</v>
      </c>
      <c r="F85" s="4" t="s">
        <v>25</v>
      </c>
      <c r="G85" s="4" t="s">
        <v>72</v>
      </c>
      <c r="H85" s="4" t="s">
        <v>25</v>
      </c>
      <c r="I85" s="5">
        <v>44593</v>
      </c>
      <c r="J85" s="6">
        <v>16500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66</v>
      </c>
      <c r="R85" s="4">
        <v>1047</v>
      </c>
      <c r="S85" s="4">
        <v>8</v>
      </c>
      <c r="T85" s="4">
        <v>0</v>
      </c>
      <c r="U85" s="4">
        <v>0</v>
      </c>
      <c r="V85" s="6">
        <f>IF(ISERROR(VLOOKUP($S$85,'TAR FIN'!$A$1:$O$116,15,0)),0,VLOOKUP($S$85,'TAR FIN'!$A$1:$O$116,15,0))</f>
        <v>5.41</v>
      </c>
      <c r="W85" s="6">
        <f>IF(ISERROR(VLOOKUP($T$85,'TAR FIN'!$A$1:$O$116,15,0)),0,VLOOKUP($T$85,'TAR FIN'!$A$1:$O$116,15,0))</f>
        <v>0</v>
      </c>
      <c r="X85" s="6">
        <f>IF(ISERROR(VLOOKUP($U$85,'TAR FIN'!$A$1:$O$116,15,0)),0,VLOOKUP($U$85,'TAR FIN'!$A$1:$O$116,15,0))</f>
        <v>0</v>
      </c>
      <c r="Y85" s="6">
        <f ca="1">('TUSD BE'!$AM$12+'TUSD BF'!$AM$12+'TUSD CVA'!$AM$12)*1</f>
        <v>5.6770468968387959</v>
      </c>
      <c r="Z85" s="6"/>
      <c r="AA85" s="6"/>
      <c r="AB85" s="6">
        <f t="shared" si="6"/>
        <v>89265</v>
      </c>
      <c r="AC85" s="6">
        <f t="shared" si="7"/>
        <v>0</v>
      </c>
      <c r="AD85" s="6">
        <f t="shared" ca="1" si="8"/>
        <v>93671.273797840127</v>
      </c>
      <c r="AE85" s="6">
        <f t="shared" si="9"/>
        <v>0</v>
      </c>
      <c r="AF85" s="4" t="s">
        <v>1112</v>
      </c>
    </row>
    <row r="86" spans="1:32" ht="11.25" customHeight="1" x14ac:dyDescent="0.25">
      <c r="A86" s="4" t="s">
        <v>21</v>
      </c>
      <c r="B86" s="4" t="s">
        <v>59</v>
      </c>
      <c r="C86" s="4" t="s">
        <v>64</v>
      </c>
      <c r="D86" s="4" t="s">
        <v>25</v>
      </c>
      <c r="E86" s="4" t="s">
        <v>25</v>
      </c>
      <c r="F86" s="4" t="s">
        <v>25</v>
      </c>
      <c r="G86" s="4" t="s">
        <v>73</v>
      </c>
      <c r="H86" s="4" t="s">
        <v>25</v>
      </c>
      <c r="I86" s="5">
        <v>44593</v>
      </c>
      <c r="J86" s="6">
        <v>5320</v>
      </c>
      <c r="K86" s="6">
        <v>2660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66</v>
      </c>
      <c r="R86" s="4">
        <v>1078</v>
      </c>
      <c r="S86" s="4">
        <v>9</v>
      </c>
      <c r="T86" s="4">
        <v>0</v>
      </c>
      <c r="U86" s="4">
        <v>0</v>
      </c>
      <c r="V86" s="6">
        <f>IF(ISERROR(VLOOKUP($S$86,'TAR FIN'!$A$1:$O$116,15,0)),0,VLOOKUP($S$86,'TAR FIN'!$A$1:$O$116,15,0))</f>
        <v>5.0999999999999996</v>
      </c>
      <c r="W86" s="6">
        <f>IF(ISERROR(VLOOKUP($T$86,'TAR FIN'!$A$1:$O$116,15,0)),0,VLOOKUP($T$86,'TAR FIN'!$A$1:$O$116,15,0))</f>
        <v>0</v>
      </c>
      <c r="X86" s="6">
        <f>IF(ISERROR(VLOOKUP($U$86,'TAR FIN'!$A$1:$O$116,15,0)),0,VLOOKUP($U$86,'TAR FIN'!$A$1:$O$116,15,0))</f>
        <v>0</v>
      </c>
      <c r="Y86" s="6">
        <f ca="1">('TUSD BE'!$AM$13+'TUSD BF'!$AM$13+'TUSD CVA'!$AM$13)*1</f>
        <v>5.3518194805398505</v>
      </c>
      <c r="Z86" s="6"/>
      <c r="AA86" s="6"/>
      <c r="AB86" s="6">
        <f t="shared" si="6"/>
        <v>13565.999999999998</v>
      </c>
      <c r="AC86" s="6">
        <f t="shared" si="7"/>
        <v>0</v>
      </c>
      <c r="AD86" s="6">
        <f t="shared" ca="1" si="8"/>
        <v>14235.839818236002</v>
      </c>
      <c r="AE86" s="6">
        <f t="shared" si="9"/>
        <v>0</v>
      </c>
      <c r="AF86" s="4" t="s">
        <v>1112</v>
      </c>
    </row>
    <row r="87" spans="1:32" ht="11.25" customHeight="1" x14ac:dyDescent="0.25">
      <c r="A87" s="4" t="s">
        <v>21</v>
      </c>
      <c r="B87" s="4" t="s">
        <v>59</v>
      </c>
      <c r="C87" s="4" t="s">
        <v>64</v>
      </c>
      <c r="D87" s="4" t="s">
        <v>25</v>
      </c>
      <c r="E87" s="4" t="s">
        <v>25</v>
      </c>
      <c r="F87" s="4" t="s">
        <v>25</v>
      </c>
      <c r="G87" s="4" t="s">
        <v>75</v>
      </c>
      <c r="H87" s="4" t="s">
        <v>25</v>
      </c>
      <c r="I87" s="5">
        <v>44593</v>
      </c>
      <c r="J87" s="6">
        <v>42500</v>
      </c>
      <c r="K87" s="6">
        <v>42500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66</v>
      </c>
      <c r="R87" s="4">
        <v>1276</v>
      </c>
      <c r="S87" s="4">
        <v>10</v>
      </c>
      <c r="T87" s="4">
        <v>0</v>
      </c>
      <c r="U87" s="4">
        <v>0</v>
      </c>
      <c r="V87" s="6">
        <f>IF(ISERROR(VLOOKUP($S$87,'TAR FIN'!$A$1:$O$116,15,0)),0,VLOOKUP($S$87,'TAR FIN'!$A$1:$O$116,15,0))</f>
        <v>5.0999999999999996</v>
      </c>
      <c r="W87" s="6">
        <f>IF(ISERROR(VLOOKUP($T$87,'TAR FIN'!$A$1:$O$116,15,0)),0,VLOOKUP($T$87,'TAR FIN'!$A$1:$O$116,15,0))</f>
        <v>0</v>
      </c>
      <c r="X87" s="6">
        <f>IF(ISERROR(VLOOKUP($U$87,'TAR FIN'!$A$1:$O$116,15,0)),0,VLOOKUP($U$87,'TAR FIN'!$A$1:$O$116,15,0))</f>
        <v>0</v>
      </c>
      <c r="Y87" s="6">
        <f ca="1">('TUSD BE'!$AM$14+'TUSD BF'!$AM$14+'TUSD CVA'!$AM$14)*1</f>
        <v>5.3518194805398505</v>
      </c>
      <c r="Z87" s="6"/>
      <c r="AA87" s="6"/>
      <c r="AB87" s="6">
        <f t="shared" si="6"/>
        <v>0</v>
      </c>
      <c r="AC87" s="6">
        <f t="shared" si="7"/>
        <v>0</v>
      </c>
      <c r="AD87" s="6">
        <f t="shared" ca="1" si="8"/>
        <v>0</v>
      </c>
      <c r="AE87" s="6">
        <f t="shared" si="9"/>
        <v>0</v>
      </c>
      <c r="AF87" s="4" t="s">
        <v>1112</v>
      </c>
    </row>
    <row r="88" spans="1:32" ht="11.25" customHeight="1" x14ac:dyDescent="0.25">
      <c r="A88" s="4" t="s">
        <v>21</v>
      </c>
      <c r="B88" s="4" t="s">
        <v>59</v>
      </c>
      <c r="C88" s="4" t="s">
        <v>64</v>
      </c>
      <c r="D88" s="4" t="s">
        <v>25</v>
      </c>
      <c r="E88" s="4" t="s">
        <v>25</v>
      </c>
      <c r="F88" s="4" t="s">
        <v>25</v>
      </c>
      <c r="G88" s="4" t="s">
        <v>86</v>
      </c>
      <c r="H88" s="4" t="s">
        <v>25</v>
      </c>
      <c r="I88" s="5">
        <v>44593</v>
      </c>
      <c r="J88" s="6">
        <v>24400</v>
      </c>
      <c r="K88" s="6">
        <v>12200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66</v>
      </c>
      <c r="R88" s="4">
        <v>27532</v>
      </c>
      <c r="S88" s="4">
        <v>11</v>
      </c>
      <c r="T88" s="4">
        <v>0</v>
      </c>
      <c r="U88" s="4">
        <v>0</v>
      </c>
      <c r="V88" s="6">
        <f>IF(ISERROR(VLOOKUP($S$88,'TAR FIN'!$A$1:$O$116,15,0)),0,VLOOKUP($S$88,'TAR FIN'!$A$1:$O$116,15,0))</f>
        <v>4.63</v>
      </c>
      <c r="W88" s="6">
        <f>IF(ISERROR(VLOOKUP($T$88,'TAR FIN'!$A$1:$O$116,15,0)),0,VLOOKUP($T$88,'TAR FIN'!$A$1:$O$116,15,0))</f>
        <v>0</v>
      </c>
      <c r="X88" s="6">
        <f>IF(ISERROR(VLOOKUP($U$88,'TAR FIN'!$A$1:$O$116,15,0)),0,VLOOKUP($U$88,'TAR FIN'!$A$1:$O$116,15,0))</f>
        <v>0</v>
      </c>
      <c r="Y88" s="6">
        <f ca="1">('TUSD BE'!$AM$15+'TUSD BF'!$AM$15+'TUSD CVA'!$AM$15)*1</f>
        <v>4.8520321280503262</v>
      </c>
      <c r="Z88" s="6"/>
      <c r="AA88" s="6"/>
      <c r="AB88" s="6">
        <f t="shared" si="6"/>
        <v>56486</v>
      </c>
      <c r="AC88" s="6">
        <f t="shared" si="7"/>
        <v>0</v>
      </c>
      <c r="AD88" s="6">
        <f t="shared" ca="1" si="8"/>
        <v>59194.791962213982</v>
      </c>
      <c r="AE88" s="6">
        <f t="shared" si="9"/>
        <v>0</v>
      </c>
      <c r="AF88" s="4" t="s">
        <v>1112</v>
      </c>
    </row>
    <row r="89" spans="1:32" ht="11.25" customHeight="1" x14ac:dyDescent="0.25">
      <c r="A89" s="4" t="s">
        <v>21</v>
      </c>
      <c r="B89" s="4" t="s">
        <v>59</v>
      </c>
      <c r="C89" s="4" t="s">
        <v>64</v>
      </c>
      <c r="D89" s="4" t="s">
        <v>25</v>
      </c>
      <c r="E89" s="4" t="s">
        <v>25</v>
      </c>
      <c r="F89" s="4" t="s">
        <v>25</v>
      </c>
      <c r="G89" s="4" t="s">
        <v>87</v>
      </c>
      <c r="H89" s="4" t="s">
        <v>25</v>
      </c>
      <c r="I89" s="5">
        <v>44593</v>
      </c>
      <c r="J89" s="6">
        <v>25000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66</v>
      </c>
      <c r="R89" s="4">
        <v>27534</v>
      </c>
      <c r="S89" s="4">
        <v>12</v>
      </c>
      <c r="T89" s="4">
        <v>0</v>
      </c>
      <c r="U89" s="4">
        <v>0</v>
      </c>
      <c r="V89" s="6">
        <f>IF(ISERROR(VLOOKUP($S$89,'TAR FIN'!$A$1:$O$116,15,0)),0,VLOOKUP($S$89,'TAR FIN'!$A$1:$O$116,15,0))</f>
        <v>5.58</v>
      </c>
      <c r="W89" s="6">
        <f>IF(ISERROR(VLOOKUP($T$89,'TAR FIN'!$A$1:$O$116,15,0)),0,VLOOKUP($T$89,'TAR FIN'!$A$1:$O$116,15,0))</f>
        <v>0</v>
      </c>
      <c r="X89" s="6">
        <f>IF(ISERROR(VLOOKUP($U$89,'TAR FIN'!$A$1:$O$116,15,0)),0,VLOOKUP($U$89,'TAR FIN'!$A$1:$O$116,15,0))</f>
        <v>0</v>
      </c>
      <c r="Y89" s="6">
        <f ca="1">('TUSD BE'!$AM$16+'TUSD BF'!$AM$16+'TUSD CVA'!$AM$16)*1</f>
        <v>5.862991208798829</v>
      </c>
      <c r="Z89" s="6"/>
      <c r="AA89" s="6"/>
      <c r="AB89" s="6">
        <f t="shared" si="6"/>
        <v>139500</v>
      </c>
      <c r="AC89" s="6">
        <f t="shared" si="7"/>
        <v>0</v>
      </c>
      <c r="AD89" s="6">
        <f t="shared" ca="1" si="8"/>
        <v>146574.78021997074</v>
      </c>
      <c r="AE89" s="6">
        <f t="shared" si="9"/>
        <v>0</v>
      </c>
      <c r="AF89" s="4" t="s">
        <v>1112</v>
      </c>
    </row>
    <row r="90" spans="1:32" ht="11.25" customHeight="1" x14ac:dyDescent="0.25">
      <c r="A90" s="4" t="s">
        <v>21</v>
      </c>
      <c r="B90" s="4" t="s">
        <v>59</v>
      </c>
      <c r="C90" s="4" t="s">
        <v>64</v>
      </c>
      <c r="D90" s="4" t="s">
        <v>25</v>
      </c>
      <c r="E90" s="4" t="s">
        <v>25</v>
      </c>
      <c r="F90" s="4" t="s">
        <v>25</v>
      </c>
      <c r="G90" s="4" t="s">
        <v>89</v>
      </c>
      <c r="H90" s="4" t="s">
        <v>25</v>
      </c>
      <c r="I90" s="5">
        <v>44593</v>
      </c>
      <c r="J90" s="6">
        <v>12600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66</v>
      </c>
      <c r="R90" s="4">
        <v>27727</v>
      </c>
      <c r="S90" s="4">
        <v>13</v>
      </c>
      <c r="T90" s="4">
        <v>0</v>
      </c>
      <c r="U90" s="4">
        <v>0</v>
      </c>
      <c r="V90" s="6">
        <f>IF(ISERROR(VLOOKUP($S$90,'TAR FIN'!$A$1:$O$116,15,0)),0,VLOOKUP($S$90,'TAR FIN'!$A$1:$O$116,15,0))</f>
        <v>5.37</v>
      </c>
      <c r="W90" s="6">
        <f>IF(ISERROR(VLOOKUP($T$90,'TAR FIN'!$A$1:$O$116,15,0)),0,VLOOKUP($T$90,'TAR FIN'!$A$1:$O$116,15,0))</f>
        <v>0</v>
      </c>
      <c r="X90" s="6">
        <f>IF(ISERROR(VLOOKUP($U$90,'TAR FIN'!$A$1:$O$116,15,0)),0,VLOOKUP($U$90,'TAR FIN'!$A$1:$O$116,15,0))</f>
        <v>0</v>
      </c>
      <c r="Y90" s="6">
        <f ca="1">('TUSD BE'!$AM$17+'TUSD BF'!$AM$17+'TUSD CVA'!$AM$17)*1</f>
        <v>5.6347568025342989</v>
      </c>
      <c r="Z90" s="6"/>
      <c r="AA90" s="6"/>
      <c r="AB90" s="6">
        <f t="shared" si="6"/>
        <v>67662</v>
      </c>
      <c r="AC90" s="6">
        <f t="shared" si="7"/>
        <v>0</v>
      </c>
      <c r="AD90" s="6">
        <f t="shared" ca="1" si="8"/>
        <v>70997.935711932165</v>
      </c>
      <c r="AE90" s="6">
        <f t="shared" si="9"/>
        <v>0</v>
      </c>
      <c r="AF90" s="4" t="s">
        <v>1112</v>
      </c>
    </row>
    <row r="91" spans="1:32" ht="11.25" customHeight="1" x14ac:dyDescent="0.25">
      <c r="A91" s="4" t="s">
        <v>21</v>
      </c>
      <c r="B91" s="4" t="s">
        <v>59</v>
      </c>
      <c r="C91" s="4" t="s">
        <v>64</v>
      </c>
      <c r="D91" s="4" t="s">
        <v>25</v>
      </c>
      <c r="E91" s="4" t="s">
        <v>25</v>
      </c>
      <c r="F91" s="4" t="s">
        <v>25</v>
      </c>
      <c r="G91" s="4" t="s">
        <v>92</v>
      </c>
      <c r="H91" s="4" t="s">
        <v>25</v>
      </c>
      <c r="I91" s="5">
        <v>44593</v>
      </c>
      <c r="J91" s="6">
        <v>8100</v>
      </c>
      <c r="K91" s="6">
        <v>4050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66</v>
      </c>
      <c r="R91" s="4">
        <v>30597</v>
      </c>
      <c r="S91" s="4">
        <v>14</v>
      </c>
      <c r="T91" s="4">
        <v>0</v>
      </c>
      <c r="U91" s="4">
        <v>0</v>
      </c>
      <c r="V91" s="6">
        <f>IF(ISERROR(VLOOKUP($S$91,'TAR FIN'!$A$1:$O$116,15,0)),0,VLOOKUP($S$91,'TAR FIN'!$A$1:$O$116,15,0))</f>
        <v>5.04</v>
      </c>
      <c r="W91" s="6">
        <f>IF(ISERROR(VLOOKUP($T$91,'TAR FIN'!$A$1:$O$116,15,0)),0,VLOOKUP($T$91,'TAR FIN'!$A$1:$O$116,15,0))</f>
        <v>0</v>
      </c>
      <c r="X91" s="6">
        <f>IF(ISERROR(VLOOKUP($U$91,'TAR FIN'!$A$1:$O$116,15,0)),0,VLOOKUP($U$91,'TAR FIN'!$A$1:$O$116,15,0))</f>
        <v>0</v>
      </c>
      <c r="Y91" s="6">
        <f ca="1">('TUSD BE'!$AM$18+'TUSD BF'!$AM$18+'TUSD CVA'!$AM$18)*1</f>
        <v>5.2832968919533032</v>
      </c>
      <c r="Z91" s="6"/>
      <c r="AA91" s="6"/>
      <c r="AB91" s="6">
        <f t="shared" si="6"/>
        <v>20412</v>
      </c>
      <c r="AC91" s="6">
        <f t="shared" si="7"/>
        <v>0</v>
      </c>
      <c r="AD91" s="6">
        <f t="shared" ca="1" si="8"/>
        <v>21397.352412410877</v>
      </c>
      <c r="AE91" s="6">
        <f t="shared" si="9"/>
        <v>0</v>
      </c>
      <c r="AF91" s="4" t="s">
        <v>1112</v>
      </c>
    </row>
    <row r="92" spans="1:32" ht="11.25" customHeight="1" x14ac:dyDescent="0.25">
      <c r="A92" s="4" t="s">
        <v>21</v>
      </c>
      <c r="B92" s="4" t="s">
        <v>59</v>
      </c>
      <c r="C92" s="4" t="s">
        <v>64</v>
      </c>
      <c r="D92" s="4" t="s">
        <v>25</v>
      </c>
      <c r="E92" s="4" t="s">
        <v>25</v>
      </c>
      <c r="F92" s="4" t="s">
        <v>25</v>
      </c>
      <c r="G92" s="4" t="s">
        <v>65</v>
      </c>
      <c r="H92" s="4" t="s">
        <v>25</v>
      </c>
      <c r="I92" s="5">
        <v>44621</v>
      </c>
      <c r="J92" s="6">
        <v>1640</v>
      </c>
      <c r="K92" s="6">
        <v>820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66</v>
      </c>
      <c r="R92" s="4">
        <v>104</v>
      </c>
      <c r="S92" s="4">
        <v>5</v>
      </c>
      <c r="T92" s="4">
        <v>0</v>
      </c>
      <c r="U92" s="4">
        <v>0</v>
      </c>
      <c r="V92" s="6">
        <f>IF(ISERROR(VLOOKUP($S$92,'TAR FIN'!$A$1:$O$116,15,0)),0,VLOOKUP($S$92,'TAR FIN'!$A$1:$O$116,15,0))</f>
        <v>5.0999999999999996</v>
      </c>
      <c r="W92" s="6">
        <f>IF(ISERROR(VLOOKUP($T$92,'TAR FIN'!$A$1:$O$116,15,0)),0,VLOOKUP($T$92,'TAR FIN'!$A$1:$O$116,15,0))</f>
        <v>0</v>
      </c>
      <c r="X92" s="6">
        <f>IF(ISERROR(VLOOKUP($U$92,'TAR FIN'!$A$1:$O$116,15,0)),0,VLOOKUP($U$92,'TAR FIN'!$A$1:$O$116,15,0))</f>
        <v>0</v>
      </c>
      <c r="Y92" s="6">
        <f ca="1">('TUSD BE'!$AM$9+'TUSD BF'!$AM$9+'TUSD CVA'!$AM$9)*1</f>
        <v>5.3518194805398505</v>
      </c>
      <c r="Z92" s="6"/>
      <c r="AA92" s="6"/>
      <c r="AB92" s="6">
        <f t="shared" si="6"/>
        <v>4182</v>
      </c>
      <c r="AC92" s="6">
        <f t="shared" si="7"/>
        <v>0</v>
      </c>
      <c r="AD92" s="6">
        <f t="shared" ca="1" si="8"/>
        <v>4388.4919740426776</v>
      </c>
      <c r="AE92" s="6">
        <f t="shared" si="9"/>
        <v>0</v>
      </c>
      <c r="AF92" s="4" t="s">
        <v>1112</v>
      </c>
    </row>
    <row r="93" spans="1:32" ht="11.25" customHeight="1" x14ac:dyDescent="0.25">
      <c r="A93" s="4" t="s">
        <v>21</v>
      </c>
      <c r="B93" s="4" t="s">
        <v>59</v>
      </c>
      <c r="C93" s="4" t="s">
        <v>64</v>
      </c>
      <c r="D93" s="4" t="s">
        <v>25</v>
      </c>
      <c r="E93" s="4" t="s">
        <v>25</v>
      </c>
      <c r="F93" s="4" t="s">
        <v>25</v>
      </c>
      <c r="G93" s="4" t="s">
        <v>67</v>
      </c>
      <c r="H93" s="4" t="s">
        <v>25</v>
      </c>
      <c r="I93" s="5">
        <v>44621</v>
      </c>
      <c r="J93" s="6">
        <v>39500</v>
      </c>
      <c r="K93" s="6">
        <v>24307.692490000001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66</v>
      </c>
      <c r="R93" s="4">
        <v>215</v>
      </c>
      <c r="S93" s="4">
        <v>6</v>
      </c>
      <c r="T93" s="4">
        <v>0</v>
      </c>
      <c r="U93" s="4">
        <v>0</v>
      </c>
      <c r="V93" s="6">
        <f>IF(ISERROR(VLOOKUP($S$93,'TAR FIN'!$A$1:$O$116,15,0)),0,VLOOKUP($S$93,'TAR FIN'!$A$1:$O$116,15,0))</f>
        <v>3.94</v>
      </c>
      <c r="W93" s="6">
        <f>IF(ISERROR(VLOOKUP($T$93,'TAR FIN'!$A$1:$O$116,15,0)),0,VLOOKUP($T$93,'TAR FIN'!$A$1:$O$116,15,0))</f>
        <v>0</v>
      </c>
      <c r="X93" s="6">
        <f>IF(ISERROR(VLOOKUP($U$93,'TAR FIN'!$A$1:$O$116,15,0)),0,VLOOKUP($U$93,'TAR FIN'!$A$1:$O$116,15,0))</f>
        <v>0</v>
      </c>
      <c r="Y93" s="6">
        <f ca="1">('TUSD BE'!$AM$10+'TUSD BF'!$AM$10+'TUSD CVA'!$AM$10)*1</f>
        <v>4.1263435553812471</v>
      </c>
      <c r="Z93" s="6"/>
      <c r="AA93" s="6"/>
      <c r="AB93" s="6">
        <f t="shared" si="6"/>
        <v>59857.691589399998</v>
      </c>
      <c r="AC93" s="6">
        <f t="shared" si="7"/>
        <v>0</v>
      </c>
      <c r="AD93" s="6">
        <f t="shared" ca="1" si="8"/>
        <v>62688.680185258614</v>
      </c>
      <c r="AE93" s="6">
        <f t="shared" si="9"/>
        <v>0</v>
      </c>
      <c r="AF93" s="4" t="s">
        <v>1112</v>
      </c>
    </row>
    <row r="94" spans="1:32" ht="11.25" customHeight="1" x14ac:dyDescent="0.25">
      <c r="A94" s="4" t="s">
        <v>21</v>
      </c>
      <c r="B94" s="4" t="s">
        <v>59</v>
      </c>
      <c r="C94" s="4" t="s">
        <v>64</v>
      </c>
      <c r="D94" s="4" t="s">
        <v>25</v>
      </c>
      <c r="E94" s="4" t="s">
        <v>25</v>
      </c>
      <c r="F94" s="4" t="s">
        <v>25</v>
      </c>
      <c r="G94" s="4" t="s">
        <v>69</v>
      </c>
      <c r="H94" s="4" t="s">
        <v>25</v>
      </c>
      <c r="I94" s="5">
        <v>44621</v>
      </c>
      <c r="J94" s="6">
        <v>22000</v>
      </c>
      <c r="K94" s="6">
        <v>22000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66</v>
      </c>
      <c r="R94" s="4">
        <v>473</v>
      </c>
      <c r="S94" s="4">
        <v>7</v>
      </c>
      <c r="T94" s="4">
        <v>0</v>
      </c>
      <c r="U94" s="4">
        <v>0</v>
      </c>
      <c r="V94" s="6">
        <f>IF(ISERROR(VLOOKUP($S$94,'TAR FIN'!$A$1:$O$116,15,0)),0,VLOOKUP($S$94,'TAR FIN'!$A$1:$O$116,15,0))</f>
        <v>5.69</v>
      </c>
      <c r="W94" s="6">
        <f>IF(ISERROR(VLOOKUP($T$94,'TAR FIN'!$A$1:$O$116,15,0)),0,VLOOKUP($T$94,'TAR FIN'!$A$1:$O$116,15,0))</f>
        <v>0</v>
      </c>
      <c r="X94" s="6">
        <f>IF(ISERROR(VLOOKUP($U$94,'TAR FIN'!$A$1:$O$116,15,0)),0,VLOOKUP($U$94,'TAR FIN'!$A$1:$O$116,15,0))</f>
        <v>0</v>
      </c>
      <c r="Y94" s="6">
        <f ca="1">('TUSD BE'!$AM$11+'TUSD BF'!$AM$11+'TUSD CVA'!$AM$11)*1</f>
        <v>5.9725875581129042</v>
      </c>
      <c r="Z94" s="6"/>
      <c r="AA94" s="6"/>
      <c r="AB94" s="6">
        <f t="shared" si="6"/>
        <v>0</v>
      </c>
      <c r="AC94" s="6">
        <f t="shared" si="7"/>
        <v>0</v>
      </c>
      <c r="AD94" s="6">
        <f t="shared" ca="1" si="8"/>
        <v>0</v>
      </c>
      <c r="AE94" s="6">
        <f t="shared" si="9"/>
        <v>0</v>
      </c>
      <c r="AF94" s="4" t="s">
        <v>1112</v>
      </c>
    </row>
    <row r="95" spans="1:32" ht="11.25" customHeight="1" x14ac:dyDescent="0.25">
      <c r="A95" s="4" t="s">
        <v>21</v>
      </c>
      <c r="B95" s="4" t="s">
        <v>59</v>
      </c>
      <c r="C95" s="4" t="s">
        <v>64</v>
      </c>
      <c r="D95" s="4" t="s">
        <v>25</v>
      </c>
      <c r="E95" s="4" t="s">
        <v>25</v>
      </c>
      <c r="F95" s="4" t="s">
        <v>25</v>
      </c>
      <c r="G95" s="4" t="s">
        <v>72</v>
      </c>
      <c r="H95" s="4" t="s">
        <v>25</v>
      </c>
      <c r="I95" s="5">
        <v>44621</v>
      </c>
      <c r="J95" s="6">
        <v>16500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66</v>
      </c>
      <c r="R95" s="4">
        <v>1047</v>
      </c>
      <c r="S95" s="4">
        <v>8</v>
      </c>
      <c r="T95" s="4">
        <v>0</v>
      </c>
      <c r="U95" s="4">
        <v>0</v>
      </c>
      <c r="V95" s="6">
        <f>IF(ISERROR(VLOOKUP($S$95,'TAR FIN'!$A$1:$O$116,15,0)),0,VLOOKUP($S$95,'TAR FIN'!$A$1:$O$116,15,0))</f>
        <v>5.41</v>
      </c>
      <c r="W95" s="6">
        <f>IF(ISERROR(VLOOKUP($T$95,'TAR FIN'!$A$1:$O$116,15,0)),0,VLOOKUP($T$95,'TAR FIN'!$A$1:$O$116,15,0))</f>
        <v>0</v>
      </c>
      <c r="X95" s="6">
        <f>IF(ISERROR(VLOOKUP($U$95,'TAR FIN'!$A$1:$O$116,15,0)),0,VLOOKUP($U$95,'TAR FIN'!$A$1:$O$116,15,0))</f>
        <v>0</v>
      </c>
      <c r="Y95" s="6">
        <f ca="1">('TUSD BE'!$AM$12+'TUSD BF'!$AM$12+'TUSD CVA'!$AM$12)*1</f>
        <v>5.6770468968387959</v>
      </c>
      <c r="Z95" s="6"/>
      <c r="AA95" s="6"/>
      <c r="AB95" s="6">
        <f t="shared" si="6"/>
        <v>89265</v>
      </c>
      <c r="AC95" s="6">
        <f t="shared" si="7"/>
        <v>0</v>
      </c>
      <c r="AD95" s="6">
        <f t="shared" ca="1" si="8"/>
        <v>93671.273797840127</v>
      </c>
      <c r="AE95" s="6">
        <f t="shared" si="9"/>
        <v>0</v>
      </c>
      <c r="AF95" s="4" t="s">
        <v>1112</v>
      </c>
    </row>
    <row r="96" spans="1:32" ht="11.25" customHeight="1" x14ac:dyDescent="0.25">
      <c r="A96" s="4" t="s">
        <v>21</v>
      </c>
      <c r="B96" s="4" t="s">
        <v>59</v>
      </c>
      <c r="C96" s="4" t="s">
        <v>64</v>
      </c>
      <c r="D96" s="4" t="s">
        <v>25</v>
      </c>
      <c r="E96" s="4" t="s">
        <v>25</v>
      </c>
      <c r="F96" s="4" t="s">
        <v>25</v>
      </c>
      <c r="G96" s="4" t="s">
        <v>73</v>
      </c>
      <c r="H96" s="4" t="s">
        <v>25</v>
      </c>
      <c r="I96" s="5">
        <v>44621</v>
      </c>
      <c r="J96" s="6">
        <v>5320</v>
      </c>
      <c r="K96" s="6">
        <v>2660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66</v>
      </c>
      <c r="R96" s="4">
        <v>1078</v>
      </c>
      <c r="S96" s="4">
        <v>9</v>
      </c>
      <c r="T96" s="4">
        <v>0</v>
      </c>
      <c r="U96" s="4">
        <v>0</v>
      </c>
      <c r="V96" s="6">
        <f>IF(ISERROR(VLOOKUP($S$96,'TAR FIN'!$A$1:$O$116,15,0)),0,VLOOKUP($S$96,'TAR FIN'!$A$1:$O$116,15,0))</f>
        <v>5.0999999999999996</v>
      </c>
      <c r="W96" s="6">
        <f>IF(ISERROR(VLOOKUP($T$96,'TAR FIN'!$A$1:$O$116,15,0)),0,VLOOKUP($T$96,'TAR FIN'!$A$1:$O$116,15,0))</f>
        <v>0</v>
      </c>
      <c r="X96" s="6">
        <f>IF(ISERROR(VLOOKUP($U$96,'TAR FIN'!$A$1:$O$116,15,0)),0,VLOOKUP($U$96,'TAR FIN'!$A$1:$O$116,15,0))</f>
        <v>0</v>
      </c>
      <c r="Y96" s="6">
        <f ca="1">('TUSD BE'!$AM$13+'TUSD BF'!$AM$13+'TUSD CVA'!$AM$13)*1</f>
        <v>5.3518194805398505</v>
      </c>
      <c r="Z96" s="6"/>
      <c r="AA96" s="6"/>
      <c r="AB96" s="6">
        <f t="shared" si="6"/>
        <v>13565.999999999998</v>
      </c>
      <c r="AC96" s="6">
        <f t="shared" si="7"/>
        <v>0</v>
      </c>
      <c r="AD96" s="6">
        <f t="shared" ca="1" si="8"/>
        <v>14235.839818236002</v>
      </c>
      <c r="AE96" s="6">
        <f t="shared" si="9"/>
        <v>0</v>
      </c>
      <c r="AF96" s="4" t="s">
        <v>1112</v>
      </c>
    </row>
    <row r="97" spans="1:32" ht="11.25" customHeight="1" x14ac:dyDescent="0.25">
      <c r="A97" s="4" t="s">
        <v>21</v>
      </c>
      <c r="B97" s="4" t="s">
        <v>59</v>
      </c>
      <c r="C97" s="4" t="s">
        <v>64</v>
      </c>
      <c r="D97" s="4" t="s">
        <v>25</v>
      </c>
      <c r="E97" s="4" t="s">
        <v>25</v>
      </c>
      <c r="F97" s="4" t="s">
        <v>25</v>
      </c>
      <c r="G97" s="4" t="s">
        <v>75</v>
      </c>
      <c r="H97" s="4" t="s">
        <v>25</v>
      </c>
      <c r="I97" s="5">
        <v>44621</v>
      </c>
      <c r="J97" s="6">
        <v>42500</v>
      </c>
      <c r="K97" s="6">
        <v>42500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66</v>
      </c>
      <c r="R97" s="4">
        <v>1276</v>
      </c>
      <c r="S97" s="4">
        <v>10</v>
      </c>
      <c r="T97" s="4">
        <v>0</v>
      </c>
      <c r="U97" s="4">
        <v>0</v>
      </c>
      <c r="V97" s="6">
        <f>IF(ISERROR(VLOOKUP($S$97,'TAR FIN'!$A$1:$O$116,15,0)),0,VLOOKUP($S$97,'TAR FIN'!$A$1:$O$116,15,0))</f>
        <v>5.0999999999999996</v>
      </c>
      <c r="W97" s="6">
        <f>IF(ISERROR(VLOOKUP($T$97,'TAR FIN'!$A$1:$O$116,15,0)),0,VLOOKUP($T$97,'TAR FIN'!$A$1:$O$116,15,0))</f>
        <v>0</v>
      </c>
      <c r="X97" s="6">
        <f>IF(ISERROR(VLOOKUP($U$97,'TAR FIN'!$A$1:$O$116,15,0)),0,VLOOKUP($U$97,'TAR FIN'!$A$1:$O$116,15,0))</f>
        <v>0</v>
      </c>
      <c r="Y97" s="6">
        <f ca="1">('TUSD BE'!$AM$14+'TUSD BF'!$AM$14+'TUSD CVA'!$AM$14)*1</f>
        <v>5.3518194805398505</v>
      </c>
      <c r="Z97" s="6"/>
      <c r="AA97" s="6"/>
      <c r="AB97" s="6">
        <f t="shared" si="6"/>
        <v>0</v>
      </c>
      <c r="AC97" s="6">
        <f t="shared" si="7"/>
        <v>0</v>
      </c>
      <c r="AD97" s="6">
        <f t="shared" ca="1" si="8"/>
        <v>0</v>
      </c>
      <c r="AE97" s="6">
        <f t="shared" si="9"/>
        <v>0</v>
      </c>
      <c r="AF97" s="4" t="s">
        <v>1112</v>
      </c>
    </row>
    <row r="98" spans="1:32" ht="11.25" customHeight="1" x14ac:dyDescent="0.25">
      <c r="A98" s="4" t="s">
        <v>21</v>
      </c>
      <c r="B98" s="4" t="s">
        <v>59</v>
      </c>
      <c r="C98" s="4" t="s">
        <v>64</v>
      </c>
      <c r="D98" s="4" t="s">
        <v>25</v>
      </c>
      <c r="E98" s="4" t="s">
        <v>25</v>
      </c>
      <c r="F98" s="4" t="s">
        <v>25</v>
      </c>
      <c r="G98" s="4" t="s">
        <v>86</v>
      </c>
      <c r="H98" s="4" t="s">
        <v>25</v>
      </c>
      <c r="I98" s="5">
        <v>44621</v>
      </c>
      <c r="J98" s="6">
        <v>24400</v>
      </c>
      <c r="K98" s="6">
        <v>12200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66</v>
      </c>
      <c r="R98" s="4">
        <v>27532</v>
      </c>
      <c r="S98" s="4">
        <v>11</v>
      </c>
      <c r="T98" s="4">
        <v>0</v>
      </c>
      <c r="U98" s="4">
        <v>0</v>
      </c>
      <c r="V98" s="6">
        <f>IF(ISERROR(VLOOKUP($S$98,'TAR FIN'!$A$1:$O$116,15,0)),0,VLOOKUP($S$98,'TAR FIN'!$A$1:$O$116,15,0))</f>
        <v>4.63</v>
      </c>
      <c r="W98" s="6">
        <f>IF(ISERROR(VLOOKUP($T$98,'TAR FIN'!$A$1:$O$116,15,0)),0,VLOOKUP($T$98,'TAR FIN'!$A$1:$O$116,15,0))</f>
        <v>0</v>
      </c>
      <c r="X98" s="6">
        <f>IF(ISERROR(VLOOKUP($U$98,'TAR FIN'!$A$1:$O$116,15,0)),0,VLOOKUP($U$98,'TAR FIN'!$A$1:$O$116,15,0))</f>
        <v>0</v>
      </c>
      <c r="Y98" s="6">
        <f ca="1">('TUSD BE'!$AM$15+'TUSD BF'!$AM$15+'TUSD CVA'!$AM$15)*1</f>
        <v>4.8520321280503262</v>
      </c>
      <c r="Z98" s="6"/>
      <c r="AA98" s="6"/>
      <c r="AB98" s="6">
        <f t="shared" si="6"/>
        <v>56486</v>
      </c>
      <c r="AC98" s="6">
        <f t="shared" si="7"/>
        <v>0</v>
      </c>
      <c r="AD98" s="6">
        <f t="shared" ca="1" si="8"/>
        <v>59194.791962213982</v>
      </c>
      <c r="AE98" s="6">
        <f t="shared" si="9"/>
        <v>0</v>
      </c>
      <c r="AF98" s="4" t="s">
        <v>1112</v>
      </c>
    </row>
    <row r="99" spans="1:32" ht="11.25" customHeight="1" x14ac:dyDescent="0.25">
      <c r="A99" s="4" t="s">
        <v>21</v>
      </c>
      <c r="B99" s="4" t="s">
        <v>59</v>
      </c>
      <c r="C99" s="4" t="s">
        <v>64</v>
      </c>
      <c r="D99" s="4" t="s">
        <v>25</v>
      </c>
      <c r="E99" s="4" t="s">
        <v>25</v>
      </c>
      <c r="F99" s="4" t="s">
        <v>25</v>
      </c>
      <c r="G99" s="4" t="s">
        <v>87</v>
      </c>
      <c r="H99" s="4" t="s">
        <v>25</v>
      </c>
      <c r="I99" s="5">
        <v>44621</v>
      </c>
      <c r="J99" s="6">
        <v>25000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66</v>
      </c>
      <c r="R99" s="4">
        <v>27534</v>
      </c>
      <c r="S99" s="4">
        <v>12</v>
      </c>
      <c r="T99" s="4">
        <v>0</v>
      </c>
      <c r="U99" s="4">
        <v>0</v>
      </c>
      <c r="V99" s="6">
        <f>IF(ISERROR(VLOOKUP($S$99,'TAR FIN'!$A$1:$O$116,15,0)),0,VLOOKUP($S$99,'TAR FIN'!$A$1:$O$116,15,0))</f>
        <v>5.58</v>
      </c>
      <c r="W99" s="6">
        <f>IF(ISERROR(VLOOKUP($T$99,'TAR FIN'!$A$1:$O$116,15,0)),0,VLOOKUP($T$99,'TAR FIN'!$A$1:$O$116,15,0))</f>
        <v>0</v>
      </c>
      <c r="X99" s="6">
        <f>IF(ISERROR(VLOOKUP($U$99,'TAR FIN'!$A$1:$O$116,15,0)),0,VLOOKUP($U$99,'TAR FIN'!$A$1:$O$116,15,0))</f>
        <v>0</v>
      </c>
      <c r="Y99" s="6">
        <f ca="1">('TUSD BE'!$AM$16+'TUSD BF'!$AM$16+'TUSD CVA'!$AM$16)*1</f>
        <v>5.862991208798829</v>
      </c>
      <c r="Z99" s="6"/>
      <c r="AA99" s="6"/>
      <c r="AB99" s="6">
        <f t="shared" si="6"/>
        <v>139500</v>
      </c>
      <c r="AC99" s="6">
        <f t="shared" si="7"/>
        <v>0</v>
      </c>
      <c r="AD99" s="6">
        <f t="shared" ca="1" si="8"/>
        <v>146574.78021997074</v>
      </c>
      <c r="AE99" s="6">
        <f t="shared" si="9"/>
        <v>0</v>
      </c>
      <c r="AF99" s="4" t="s">
        <v>1112</v>
      </c>
    </row>
    <row r="100" spans="1:32" ht="11.25" customHeight="1" x14ac:dyDescent="0.25">
      <c r="A100" s="4" t="s">
        <v>21</v>
      </c>
      <c r="B100" s="4" t="s">
        <v>59</v>
      </c>
      <c r="C100" s="4" t="s">
        <v>64</v>
      </c>
      <c r="D100" s="4" t="s">
        <v>25</v>
      </c>
      <c r="E100" s="4" t="s">
        <v>25</v>
      </c>
      <c r="F100" s="4" t="s">
        <v>25</v>
      </c>
      <c r="G100" s="4" t="s">
        <v>89</v>
      </c>
      <c r="H100" s="4" t="s">
        <v>25</v>
      </c>
      <c r="I100" s="5">
        <v>44621</v>
      </c>
      <c r="J100" s="6">
        <v>12600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66</v>
      </c>
      <c r="R100" s="4">
        <v>27727</v>
      </c>
      <c r="S100" s="4">
        <v>13</v>
      </c>
      <c r="T100" s="4">
        <v>0</v>
      </c>
      <c r="U100" s="4">
        <v>0</v>
      </c>
      <c r="V100" s="6">
        <f>IF(ISERROR(VLOOKUP($S$100,'TAR FIN'!$A$1:$O$116,15,0)),0,VLOOKUP($S$100,'TAR FIN'!$A$1:$O$116,15,0))</f>
        <v>5.37</v>
      </c>
      <c r="W100" s="6">
        <f>IF(ISERROR(VLOOKUP($T$100,'TAR FIN'!$A$1:$O$116,15,0)),0,VLOOKUP($T$100,'TAR FIN'!$A$1:$O$116,15,0))</f>
        <v>0</v>
      </c>
      <c r="X100" s="6">
        <f>IF(ISERROR(VLOOKUP($U$100,'TAR FIN'!$A$1:$O$116,15,0)),0,VLOOKUP($U$100,'TAR FIN'!$A$1:$O$116,15,0))</f>
        <v>0</v>
      </c>
      <c r="Y100" s="6">
        <f ca="1">('TUSD BE'!$AM$17+'TUSD BF'!$AM$17+'TUSD CVA'!$AM$17)*1</f>
        <v>5.6347568025342989</v>
      </c>
      <c r="Z100" s="6"/>
      <c r="AA100" s="6"/>
      <c r="AB100" s="6">
        <f t="shared" si="6"/>
        <v>67662</v>
      </c>
      <c r="AC100" s="6">
        <f t="shared" si="7"/>
        <v>0</v>
      </c>
      <c r="AD100" s="6">
        <f t="shared" ca="1" si="8"/>
        <v>70997.935711932165</v>
      </c>
      <c r="AE100" s="6">
        <f t="shared" si="9"/>
        <v>0</v>
      </c>
      <c r="AF100" s="4" t="s">
        <v>1112</v>
      </c>
    </row>
    <row r="101" spans="1:32" ht="11.25" customHeight="1" x14ac:dyDescent="0.25">
      <c r="A101" s="4" t="s">
        <v>21</v>
      </c>
      <c r="B101" s="4" t="s">
        <v>59</v>
      </c>
      <c r="C101" s="4" t="s">
        <v>64</v>
      </c>
      <c r="D101" s="4" t="s">
        <v>25</v>
      </c>
      <c r="E101" s="4" t="s">
        <v>25</v>
      </c>
      <c r="F101" s="4" t="s">
        <v>25</v>
      </c>
      <c r="G101" s="4" t="s">
        <v>92</v>
      </c>
      <c r="H101" s="4" t="s">
        <v>25</v>
      </c>
      <c r="I101" s="5">
        <v>44621</v>
      </c>
      <c r="J101" s="6">
        <v>8100</v>
      </c>
      <c r="K101" s="6">
        <v>4050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66</v>
      </c>
      <c r="R101" s="4">
        <v>30597</v>
      </c>
      <c r="S101" s="4">
        <v>14</v>
      </c>
      <c r="T101" s="4">
        <v>0</v>
      </c>
      <c r="U101" s="4">
        <v>0</v>
      </c>
      <c r="V101" s="6">
        <f>IF(ISERROR(VLOOKUP($S$101,'TAR FIN'!$A$1:$O$116,15,0)),0,VLOOKUP($S$101,'TAR FIN'!$A$1:$O$116,15,0))</f>
        <v>5.04</v>
      </c>
      <c r="W101" s="6">
        <f>IF(ISERROR(VLOOKUP($T$101,'TAR FIN'!$A$1:$O$116,15,0)),0,VLOOKUP($T$101,'TAR FIN'!$A$1:$O$116,15,0))</f>
        <v>0</v>
      </c>
      <c r="X101" s="6">
        <f>IF(ISERROR(VLOOKUP($U$101,'TAR FIN'!$A$1:$O$116,15,0)),0,VLOOKUP($U$101,'TAR FIN'!$A$1:$O$116,15,0))</f>
        <v>0</v>
      </c>
      <c r="Y101" s="6">
        <f ca="1">('TUSD BE'!$AM$18+'TUSD BF'!$AM$18+'TUSD CVA'!$AM$18)*1</f>
        <v>5.2832968919533032</v>
      </c>
      <c r="Z101" s="6"/>
      <c r="AA101" s="6"/>
      <c r="AB101" s="6">
        <f t="shared" si="6"/>
        <v>20412</v>
      </c>
      <c r="AC101" s="6">
        <f t="shared" si="7"/>
        <v>0</v>
      </c>
      <c r="AD101" s="6">
        <f t="shared" ca="1" si="8"/>
        <v>21397.352412410877</v>
      </c>
      <c r="AE101" s="6">
        <f t="shared" si="9"/>
        <v>0</v>
      </c>
      <c r="AF101" s="4" t="s">
        <v>1112</v>
      </c>
    </row>
    <row r="102" spans="1:32" ht="11.25" customHeight="1" x14ac:dyDescent="0.25">
      <c r="A102" s="4" t="s">
        <v>21</v>
      </c>
      <c r="B102" s="4" t="s">
        <v>59</v>
      </c>
      <c r="C102" s="4" t="s">
        <v>64</v>
      </c>
      <c r="D102" s="4" t="s">
        <v>25</v>
      </c>
      <c r="E102" s="4" t="s">
        <v>25</v>
      </c>
      <c r="F102" s="4" t="s">
        <v>25</v>
      </c>
      <c r="G102" s="4" t="s">
        <v>65</v>
      </c>
      <c r="H102" s="4" t="s">
        <v>25</v>
      </c>
      <c r="I102" s="5">
        <v>44652</v>
      </c>
      <c r="J102" s="6">
        <v>1640</v>
      </c>
      <c r="K102" s="6">
        <v>820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66</v>
      </c>
      <c r="R102" s="4">
        <v>104</v>
      </c>
      <c r="S102" s="4">
        <v>5</v>
      </c>
      <c r="T102" s="4">
        <v>0</v>
      </c>
      <c r="U102" s="4">
        <v>0</v>
      </c>
      <c r="V102" s="6">
        <f>IF(ISERROR(VLOOKUP($S$102,'TAR FIN'!$A$1:$O$116,15,0)),0,VLOOKUP($S$102,'TAR FIN'!$A$1:$O$116,15,0))</f>
        <v>5.0999999999999996</v>
      </c>
      <c r="W102" s="6">
        <f>IF(ISERROR(VLOOKUP($T$102,'TAR FIN'!$A$1:$O$116,15,0)),0,VLOOKUP($T$102,'TAR FIN'!$A$1:$O$116,15,0))</f>
        <v>0</v>
      </c>
      <c r="X102" s="6">
        <f>IF(ISERROR(VLOOKUP($U$102,'TAR FIN'!$A$1:$O$116,15,0)),0,VLOOKUP($U$102,'TAR FIN'!$A$1:$O$116,15,0))</f>
        <v>0</v>
      </c>
      <c r="Y102" s="6">
        <f ca="1">('TUSD BE'!$AM$9+'TUSD BF'!$AM$9+'TUSD CVA'!$AM$9)*1</f>
        <v>5.3518194805398505</v>
      </c>
      <c r="Z102" s="6"/>
      <c r="AA102" s="6"/>
      <c r="AB102" s="6">
        <f t="shared" si="6"/>
        <v>4182</v>
      </c>
      <c r="AC102" s="6">
        <f t="shared" si="7"/>
        <v>0</v>
      </c>
      <c r="AD102" s="6">
        <f t="shared" ca="1" si="8"/>
        <v>4388.4919740426776</v>
      </c>
      <c r="AE102" s="6">
        <f t="shared" si="9"/>
        <v>0</v>
      </c>
      <c r="AF102" s="4" t="s">
        <v>1112</v>
      </c>
    </row>
    <row r="103" spans="1:32" ht="11.25" customHeight="1" x14ac:dyDescent="0.25">
      <c r="A103" s="4" t="s">
        <v>21</v>
      </c>
      <c r="B103" s="4" t="s">
        <v>59</v>
      </c>
      <c r="C103" s="4" t="s">
        <v>64</v>
      </c>
      <c r="D103" s="4" t="s">
        <v>25</v>
      </c>
      <c r="E103" s="4" t="s">
        <v>25</v>
      </c>
      <c r="F103" s="4" t="s">
        <v>25</v>
      </c>
      <c r="G103" s="4" t="s">
        <v>67</v>
      </c>
      <c r="H103" s="4" t="s">
        <v>25</v>
      </c>
      <c r="I103" s="5">
        <v>44652</v>
      </c>
      <c r="J103" s="6">
        <v>39500</v>
      </c>
      <c r="K103" s="6">
        <v>24307.692490000001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66</v>
      </c>
      <c r="R103" s="4">
        <v>215</v>
      </c>
      <c r="S103" s="4">
        <v>6</v>
      </c>
      <c r="T103" s="4">
        <v>0</v>
      </c>
      <c r="U103" s="4">
        <v>0</v>
      </c>
      <c r="V103" s="6">
        <f>IF(ISERROR(VLOOKUP($S$103,'TAR FIN'!$A$1:$O$116,15,0)),0,VLOOKUP($S$103,'TAR FIN'!$A$1:$O$116,15,0))</f>
        <v>3.94</v>
      </c>
      <c r="W103" s="6">
        <f>IF(ISERROR(VLOOKUP($T$103,'TAR FIN'!$A$1:$O$116,15,0)),0,VLOOKUP($T$103,'TAR FIN'!$A$1:$O$116,15,0))</f>
        <v>0</v>
      </c>
      <c r="X103" s="6">
        <f>IF(ISERROR(VLOOKUP($U$103,'TAR FIN'!$A$1:$O$116,15,0)),0,VLOOKUP($U$103,'TAR FIN'!$A$1:$O$116,15,0))</f>
        <v>0</v>
      </c>
      <c r="Y103" s="6">
        <f ca="1">('TUSD BE'!$AM$10+'TUSD BF'!$AM$10+'TUSD CVA'!$AM$10)*1</f>
        <v>4.1263435553812471</v>
      </c>
      <c r="Z103" s="6"/>
      <c r="AA103" s="6"/>
      <c r="AB103" s="6">
        <f t="shared" si="6"/>
        <v>59857.691589399998</v>
      </c>
      <c r="AC103" s="6">
        <f t="shared" si="7"/>
        <v>0</v>
      </c>
      <c r="AD103" s="6">
        <f t="shared" ca="1" si="8"/>
        <v>62688.680185258614</v>
      </c>
      <c r="AE103" s="6">
        <f t="shared" si="9"/>
        <v>0</v>
      </c>
      <c r="AF103" s="4" t="s">
        <v>1112</v>
      </c>
    </row>
    <row r="104" spans="1:32" ht="11.25" customHeight="1" x14ac:dyDescent="0.25">
      <c r="A104" s="4" t="s">
        <v>21</v>
      </c>
      <c r="B104" s="4" t="s">
        <v>59</v>
      </c>
      <c r="C104" s="4" t="s">
        <v>64</v>
      </c>
      <c r="D104" s="4" t="s">
        <v>25</v>
      </c>
      <c r="E104" s="4" t="s">
        <v>25</v>
      </c>
      <c r="F104" s="4" t="s">
        <v>25</v>
      </c>
      <c r="G104" s="4" t="s">
        <v>69</v>
      </c>
      <c r="H104" s="4" t="s">
        <v>25</v>
      </c>
      <c r="I104" s="5">
        <v>44652</v>
      </c>
      <c r="J104" s="6">
        <v>22000</v>
      </c>
      <c r="K104" s="6">
        <v>22000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66</v>
      </c>
      <c r="R104" s="4">
        <v>473</v>
      </c>
      <c r="S104" s="4">
        <v>7</v>
      </c>
      <c r="T104" s="4">
        <v>0</v>
      </c>
      <c r="U104" s="4">
        <v>0</v>
      </c>
      <c r="V104" s="6">
        <f>IF(ISERROR(VLOOKUP($S$104,'TAR FIN'!$A$1:$O$116,15,0)),0,VLOOKUP($S$104,'TAR FIN'!$A$1:$O$116,15,0))</f>
        <v>5.69</v>
      </c>
      <c r="W104" s="6">
        <f>IF(ISERROR(VLOOKUP($T$104,'TAR FIN'!$A$1:$O$116,15,0)),0,VLOOKUP($T$104,'TAR FIN'!$A$1:$O$116,15,0))</f>
        <v>0</v>
      </c>
      <c r="X104" s="6">
        <f>IF(ISERROR(VLOOKUP($U$104,'TAR FIN'!$A$1:$O$116,15,0)),0,VLOOKUP($U$104,'TAR FIN'!$A$1:$O$116,15,0))</f>
        <v>0</v>
      </c>
      <c r="Y104" s="6">
        <f ca="1">('TUSD BE'!$AM$11+'TUSD BF'!$AM$11+'TUSD CVA'!$AM$11)*1</f>
        <v>5.9725875581129042</v>
      </c>
      <c r="Z104" s="6"/>
      <c r="AA104" s="6"/>
      <c r="AB104" s="6">
        <f t="shared" si="6"/>
        <v>0</v>
      </c>
      <c r="AC104" s="6">
        <f t="shared" si="7"/>
        <v>0</v>
      </c>
      <c r="AD104" s="6">
        <f t="shared" ca="1" si="8"/>
        <v>0</v>
      </c>
      <c r="AE104" s="6">
        <f t="shared" si="9"/>
        <v>0</v>
      </c>
      <c r="AF104" s="4" t="s">
        <v>1112</v>
      </c>
    </row>
    <row r="105" spans="1:32" ht="11.25" customHeight="1" x14ac:dyDescent="0.25">
      <c r="A105" s="4" t="s">
        <v>21</v>
      </c>
      <c r="B105" s="4" t="s">
        <v>59</v>
      </c>
      <c r="C105" s="4" t="s">
        <v>64</v>
      </c>
      <c r="D105" s="4" t="s">
        <v>25</v>
      </c>
      <c r="E105" s="4" t="s">
        <v>25</v>
      </c>
      <c r="F105" s="4" t="s">
        <v>25</v>
      </c>
      <c r="G105" s="4" t="s">
        <v>72</v>
      </c>
      <c r="H105" s="4" t="s">
        <v>25</v>
      </c>
      <c r="I105" s="5">
        <v>44652</v>
      </c>
      <c r="J105" s="6">
        <v>16500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66</v>
      </c>
      <c r="R105" s="4">
        <v>1047</v>
      </c>
      <c r="S105" s="4">
        <v>8</v>
      </c>
      <c r="T105" s="4">
        <v>0</v>
      </c>
      <c r="U105" s="4">
        <v>0</v>
      </c>
      <c r="V105" s="6">
        <f>IF(ISERROR(VLOOKUP($S$105,'TAR FIN'!$A$1:$O$116,15,0)),0,VLOOKUP($S$105,'TAR FIN'!$A$1:$O$116,15,0))</f>
        <v>5.41</v>
      </c>
      <c r="W105" s="6">
        <f>IF(ISERROR(VLOOKUP($T$105,'TAR FIN'!$A$1:$O$116,15,0)),0,VLOOKUP($T$105,'TAR FIN'!$A$1:$O$116,15,0))</f>
        <v>0</v>
      </c>
      <c r="X105" s="6">
        <f>IF(ISERROR(VLOOKUP($U$105,'TAR FIN'!$A$1:$O$116,15,0)),0,VLOOKUP($U$105,'TAR FIN'!$A$1:$O$116,15,0))</f>
        <v>0</v>
      </c>
      <c r="Y105" s="6">
        <f ca="1">('TUSD BE'!$AM$12+'TUSD BF'!$AM$12+'TUSD CVA'!$AM$12)*1</f>
        <v>5.6770468968387959</v>
      </c>
      <c r="Z105" s="6"/>
      <c r="AA105" s="6"/>
      <c r="AB105" s="6">
        <f t="shared" si="6"/>
        <v>89265</v>
      </c>
      <c r="AC105" s="6">
        <f t="shared" si="7"/>
        <v>0</v>
      </c>
      <c r="AD105" s="6">
        <f t="shared" ca="1" si="8"/>
        <v>93671.273797840127</v>
      </c>
      <c r="AE105" s="6">
        <f t="shared" si="9"/>
        <v>0</v>
      </c>
      <c r="AF105" s="4" t="s">
        <v>1112</v>
      </c>
    </row>
    <row r="106" spans="1:32" ht="11.25" customHeight="1" x14ac:dyDescent="0.25">
      <c r="A106" s="4" t="s">
        <v>21</v>
      </c>
      <c r="B106" s="4" t="s">
        <v>59</v>
      </c>
      <c r="C106" s="4" t="s">
        <v>64</v>
      </c>
      <c r="D106" s="4" t="s">
        <v>25</v>
      </c>
      <c r="E106" s="4" t="s">
        <v>25</v>
      </c>
      <c r="F106" s="4" t="s">
        <v>25</v>
      </c>
      <c r="G106" s="4" t="s">
        <v>73</v>
      </c>
      <c r="H106" s="4" t="s">
        <v>25</v>
      </c>
      <c r="I106" s="5">
        <v>44652</v>
      </c>
      <c r="J106" s="6">
        <v>5320</v>
      </c>
      <c r="K106" s="6">
        <v>2660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66</v>
      </c>
      <c r="R106" s="4">
        <v>1078</v>
      </c>
      <c r="S106" s="4">
        <v>9</v>
      </c>
      <c r="T106" s="4">
        <v>0</v>
      </c>
      <c r="U106" s="4">
        <v>0</v>
      </c>
      <c r="V106" s="6">
        <f>IF(ISERROR(VLOOKUP($S$106,'TAR FIN'!$A$1:$O$116,15,0)),0,VLOOKUP($S$106,'TAR FIN'!$A$1:$O$116,15,0))</f>
        <v>5.0999999999999996</v>
      </c>
      <c r="W106" s="6">
        <f>IF(ISERROR(VLOOKUP($T$106,'TAR FIN'!$A$1:$O$116,15,0)),0,VLOOKUP($T$106,'TAR FIN'!$A$1:$O$116,15,0))</f>
        <v>0</v>
      </c>
      <c r="X106" s="6">
        <f>IF(ISERROR(VLOOKUP($U$106,'TAR FIN'!$A$1:$O$116,15,0)),0,VLOOKUP($U$106,'TAR FIN'!$A$1:$O$116,15,0))</f>
        <v>0</v>
      </c>
      <c r="Y106" s="6">
        <f ca="1">('TUSD BE'!$AM$13+'TUSD BF'!$AM$13+'TUSD CVA'!$AM$13)*1</f>
        <v>5.3518194805398505</v>
      </c>
      <c r="Z106" s="6"/>
      <c r="AA106" s="6"/>
      <c r="AB106" s="6">
        <f t="shared" si="6"/>
        <v>13565.999999999998</v>
      </c>
      <c r="AC106" s="6">
        <f t="shared" si="7"/>
        <v>0</v>
      </c>
      <c r="AD106" s="6">
        <f t="shared" ca="1" si="8"/>
        <v>14235.839818236002</v>
      </c>
      <c r="AE106" s="6">
        <f t="shared" si="9"/>
        <v>0</v>
      </c>
      <c r="AF106" s="4" t="s">
        <v>1112</v>
      </c>
    </row>
    <row r="107" spans="1:32" ht="11.25" customHeight="1" x14ac:dyDescent="0.25">
      <c r="A107" s="4" t="s">
        <v>21</v>
      </c>
      <c r="B107" s="4" t="s">
        <v>59</v>
      </c>
      <c r="C107" s="4" t="s">
        <v>64</v>
      </c>
      <c r="D107" s="4" t="s">
        <v>25</v>
      </c>
      <c r="E107" s="4" t="s">
        <v>25</v>
      </c>
      <c r="F107" s="4" t="s">
        <v>25</v>
      </c>
      <c r="G107" s="4" t="s">
        <v>75</v>
      </c>
      <c r="H107" s="4" t="s">
        <v>25</v>
      </c>
      <c r="I107" s="5">
        <v>44652</v>
      </c>
      <c r="J107" s="6">
        <v>42500</v>
      </c>
      <c r="K107" s="6">
        <v>42500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66</v>
      </c>
      <c r="R107" s="4">
        <v>1276</v>
      </c>
      <c r="S107" s="4">
        <v>10</v>
      </c>
      <c r="T107" s="4">
        <v>0</v>
      </c>
      <c r="U107" s="4">
        <v>0</v>
      </c>
      <c r="V107" s="6">
        <f>IF(ISERROR(VLOOKUP($S$107,'TAR FIN'!$A$1:$O$116,15,0)),0,VLOOKUP($S$107,'TAR FIN'!$A$1:$O$116,15,0))</f>
        <v>5.0999999999999996</v>
      </c>
      <c r="W107" s="6">
        <f>IF(ISERROR(VLOOKUP($T$107,'TAR FIN'!$A$1:$O$116,15,0)),0,VLOOKUP($T$107,'TAR FIN'!$A$1:$O$116,15,0))</f>
        <v>0</v>
      </c>
      <c r="X107" s="6">
        <f>IF(ISERROR(VLOOKUP($U$107,'TAR FIN'!$A$1:$O$116,15,0)),0,VLOOKUP($U$107,'TAR FIN'!$A$1:$O$116,15,0))</f>
        <v>0</v>
      </c>
      <c r="Y107" s="6">
        <f ca="1">('TUSD BE'!$AM$14+'TUSD BF'!$AM$14+'TUSD CVA'!$AM$14)*1</f>
        <v>5.3518194805398505</v>
      </c>
      <c r="Z107" s="6"/>
      <c r="AA107" s="6"/>
      <c r="AB107" s="6">
        <f t="shared" si="6"/>
        <v>0</v>
      </c>
      <c r="AC107" s="6">
        <f t="shared" si="7"/>
        <v>0</v>
      </c>
      <c r="AD107" s="6">
        <f t="shared" ca="1" si="8"/>
        <v>0</v>
      </c>
      <c r="AE107" s="6">
        <f t="shared" si="9"/>
        <v>0</v>
      </c>
      <c r="AF107" s="4" t="s">
        <v>1112</v>
      </c>
    </row>
    <row r="108" spans="1:32" ht="11.25" customHeight="1" x14ac:dyDescent="0.25">
      <c r="A108" s="4" t="s">
        <v>21</v>
      </c>
      <c r="B108" s="4" t="s">
        <v>59</v>
      </c>
      <c r="C108" s="4" t="s">
        <v>64</v>
      </c>
      <c r="D108" s="4" t="s">
        <v>25</v>
      </c>
      <c r="E108" s="4" t="s">
        <v>25</v>
      </c>
      <c r="F108" s="4" t="s">
        <v>25</v>
      </c>
      <c r="G108" s="4" t="s">
        <v>86</v>
      </c>
      <c r="H108" s="4" t="s">
        <v>25</v>
      </c>
      <c r="I108" s="5">
        <v>44652</v>
      </c>
      <c r="J108" s="6">
        <v>24400</v>
      </c>
      <c r="K108" s="6">
        <v>12200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66</v>
      </c>
      <c r="R108" s="4">
        <v>27532</v>
      </c>
      <c r="S108" s="4">
        <v>11</v>
      </c>
      <c r="T108" s="4">
        <v>0</v>
      </c>
      <c r="U108" s="4">
        <v>0</v>
      </c>
      <c r="V108" s="6">
        <f>IF(ISERROR(VLOOKUP($S$108,'TAR FIN'!$A$1:$O$116,15,0)),0,VLOOKUP($S$108,'TAR FIN'!$A$1:$O$116,15,0))</f>
        <v>4.63</v>
      </c>
      <c r="W108" s="6">
        <f>IF(ISERROR(VLOOKUP($T$108,'TAR FIN'!$A$1:$O$116,15,0)),0,VLOOKUP($T$108,'TAR FIN'!$A$1:$O$116,15,0))</f>
        <v>0</v>
      </c>
      <c r="X108" s="6">
        <f>IF(ISERROR(VLOOKUP($U$108,'TAR FIN'!$A$1:$O$116,15,0)),0,VLOOKUP($U$108,'TAR FIN'!$A$1:$O$116,15,0))</f>
        <v>0</v>
      </c>
      <c r="Y108" s="6">
        <f ca="1">('TUSD BE'!$AM$15+'TUSD BF'!$AM$15+'TUSD CVA'!$AM$15)*1</f>
        <v>4.8520321280503262</v>
      </c>
      <c r="Z108" s="6"/>
      <c r="AA108" s="6"/>
      <c r="AB108" s="6">
        <f t="shared" si="6"/>
        <v>56486</v>
      </c>
      <c r="AC108" s="6">
        <f t="shared" si="7"/>
        <v>0</v>
      </c>
      <c r="AD108" s="6">
        <f t="shared" ca="1" si="8"/>
        <v>59194.791962213982</v>
      </c>
      <c r="AE108" s="6">
        <f t="shared" si="9"/>
        <v>0</v>
      </c>
      <c r="AF108" s="4" t="s">
        <v>1112</v>
      </c>
    </row>
    <row r="109" spans="1:32" ht="11.25" customHeight="1" x14ac:dyDescent="0.25">
      <c r="A109" s="4" t="s">
        <v>21</v>
      </c>
      <c r="B109" s="4" t="s">
        <v>59</v>
      </c>
      <c r="C109" s="4" t="s">
        <v>64</v>
      </c>
      <c r="D109" s="4" t="s">
        <v>25</v>
      </c>
      <c r="E109" s="4" t="s">
        <v>25</v>
      </c>
      <c r="F109" s="4" t="s">
        <v>25</v>
      </c>
      <c r="G109" s="4" t="s">
        <v>87</v>
      </c>
      <c r="H109" s="4" t="s">
        <v>25</v>
      </c>
      <c r="I109" s="5">
        <v>44652</v>
      </c>
      <c r="J109" s="6">
        <v>25000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66</v>
      </c>
      <c r="R109" s="4">
        <v>27534</v>
      </c>
      <c r="S109" s="4">
        <v>12</v>
      </c>
      <c r="T109" s="4">
        <v>0</v>
      </c>
      <c r="U109" s="4">
        <v>0</v>
      </c>
      <c r="V109" s="6">
        <f>IF(ISERROR(VLOOKUP($S$109,'TAR FIN'!$A$1:$O$116,15,0)),0,VLOOKUP($S$109,'TAR FIN'!$A$1:$O$116,15,0))</f>
        <v>5.58</v>
      </c>
      <c r="W109" s="6">
        <f>IF(ISERROR(VLOOKUP($T$109,'TAR FIN'!$A$1:$O$116,15,0)),0,VLOOKUP($T$109,'TAR FIN'!$A$1:$O$116,15,0))</f>
        <v>0</v>
      </c>
      <c r="X109" s="6">
        <f>IF(ISERROR(VLOOKUP($U$109,'TAR FIN'!$A$1:$O$116,15,0)),0,VLOOKUP($U$109,'TAR FIN'!$A$1:$O$116,15,0))</f>
        <v>0</v>
      </c>
      <c r="Y109" s="6">
        <f ca="1">('TUSD BE'!$AM$16+'TUSD BF'!$AM$16+'TUSD CVA'!$AM$16)*1</f>
        <v>5.862991208798829</v>
      </c>
      <c r="Z109" s="6"/>
      <c r="AA109" s="6"/>
      <c r="AB109" s="6">
        <f t="shared" si="6"/>
        <v>139500</v>
      </c>
      <c r="AC109" s="6">
        <f t="shared" si="7"/>
        <v>0</v>
      </c>
      <c r="AD109" s="6">
        <f t="shared" ca="1" si="8"/>
        <v>146574.78021997074</v>
      </c>
      <c r="AE109" s="6">
        <f t="shared" si="9"/>
        <v>0</v>
      </c>
      <c r="AF109" s="4" t="s">
        <v>1112</v>
      </c>
    </row>
    <row r="110" spans="1:32" ht="11.25" customHeight="1" x14ac:dyDescent="0.25">
      <c r="A110" s="4" t="s">
        <v>21</v>
      </c>
      <c r="B110" s="4" t="s">
        <v>59</v>
      </c>
      <c r="C110" s="4" t="s">
        <v>64</v>
      </c>
      <c r="D110" s="4" t="s">
        <v>25</v>
      </c>
      <c r="E110" s="4" t="s">
        <v>25</v>
      </c>
      <c r="F110" s="4" t="s">
        <v>25</v>
      </c>
      <c r="G110" s="4" t="s">
        <v>89</v>
      </c>
      <c r="H110" s="4" t="s">
        <v>25</v>
      </c>
      <c r="I110" s="5">
        <v>44652</v>
      </c>
      <c r="J110" s="6">
        <v>12600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66</v>
      </c>
      <c r="R110" s="4">
        <v>27727</v>
      </c>
      <c r="S110" s="4">
        <v>13</v>
      </c>
      <c r="T110" s="4">
        <v>0</v>
      </c>
      <c r="U110" s="4">
        <v>0</v>
      </c>
      <c r="V110" s="6">
        <f>IF(ISERROR(VLOOKUP($S$110,'TAR FIN'!$A$1:$O$116,15,0)),0,VLOOKUP($S$110,'TAR FIN'!$A$1:$O$116,15,0))</f>
        <v>5.37</v>
      </c>
      <c r="W110" s="6">
        <f>IF(ISERROR(VLOOKUP($T$110,'TAR FIN'!$A$1:$O$116,15,0)),0,VLOOKUP($T$110,'TAR FIN'!$A$1:$O$116,15,0))</f>
        <v>0</v>
      </c>
      <c r="X110" s="6">
        <f>IF(ISERROR(VLOOKUP($U$110,'TAR FIN'!$A$1:$O$116,15,0)),0,VLOOKUP($U$110,'TAR FIN'!$A$1:$O$116,15,0))</f>
        <v>0</v>
      </c>
      <c r="Y110" s="6">
        <f ca="1">('TUSD BE'!$AM$17+'TUSD BF'!$AM$17+'TUSD CVA'!$AM$17)*1</f>
        <v>5.6347568025342989</v>
      </c>
      <c r="Z110" s="6"/>
      <c r="AA110" s="6"/>
      <c r="AB110" s="6">
        <f t="shared" si="6"/>
        <v>67662</v>
      </c>
      <c r="AC110" s="6">
        <f t="shared" si="7"/>
        <v>0</v>
      </c>
      <c r="AD110" s="6">
        <f t="shared" ca="1" si="8"/>
        <v>70997.935711932165</v>
      </c>
      <c r="AE110" s="6">
        <f t="shared" si="9"/>
        <v>0</v>
      </c>
      <c r="AF110" s="4" t="s">
        <v>1112</v>
      </c>
    </row>
    <row r="111" spans="1:32" ht="11.25" customHeight="1" x14ac:dyDescent="0.25">
      <c r="A111" s="4" t="s">
        <v>21</v>
      </c>
      <c r="B111" s="4" t="s">
        <v>59</v>
      </c>
      <c r="C111" s="4" t="s">
        <v>64</v>
      </c>
      <c r="D111" s="4" t="s">
        <v>25</v>
      </c>
      <c r="E111" s="4" t="s">
        <v>25</v>
      </c>
      <c r="F111" s="4" t="s">
        <v>25</v>
      </c>
      <c r="G111" s="4" t="s">
        <v>92</v>
      </c>
      <c r="H111" s="4" t="s">
        <v>25</v>
      </c>
      <c r="I111" s="5">
        <v>44652</v>
      </c>
      <c r="J111" s="6">
        <v>8100</v>
      </c>
      <c r="K111" s="6">
        <v>4050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66</v>
      </c>
      <c r="R111" s="4">
        <v>30597</v>
      </c>
      <c r="S111" s="4">
        <v>14</v>
      </c>
      <c r="T111" s="4">
        <v>0</v>
      </c>
      <c r="U111" s="4">
        <v>0</v>
      </c>
      <c r="V111" s="6">
        <f>IF(ISERROR(VLOOKUP($S$111,'TAR FIN'!$A$1:$O$116,15,0)),0,VLOOKUP($S$111,'TAR FIN'!$A$1:$O$116,15,0))</f>
        <v>5.04</v>
      </c>
      <c r="W111" s="6">
        <f>IF(ISERROR(VLOOKUP($T$111,'TAR FIN'!$A$1:$O$116,15,0)),0,VLOOKUP($T$111,'TAR FIN'!$A$1:$O$116,15,0))</f>
        <v>0</v>
      </c>
      <c r="X111" s="6">
        <f>IF(ISERROR(VLOOKUP($U$111,'TAR FIN'!$A$1:$O$116,15,0)),0,VLOOKUP($U$111,'TAR FIN'!$A$1:$O$116,15,0))</f>
        <v>0</v>
      </c>
      <c r="Y111" s="6">
        <f ca="1">('TUSD BE'!$AM$18+'TUSD BF'!$AM$18+'TUSD CVA'!$AM$18)*1</f>
        <v>5.2832968919533032</v>
      </c>
      <c r="Z111" s="6"/>
      <c r="AA111" s="6"/>
      <c r="AB111" s="6">
        <f t="shared" si="6"/>
        <v>20412</v>
      </c>
      <c r="AC111" s="6">
        <f t="shared" si="7"/>
        <v>0</v>
      </c>
      <c r="AD111" s="6">
        <f t="shared" ca="1" si="8"/>
        <v>21397.352412410877</v>
      </c>
      <c r="AE111" s="6">
        <f t="shared" si="9"/>
        <v>0</v>
      </c>
      <c r="AF111" s="4" t="s">
        <v>1112</v>
      </c>
    </row>
    <row r="112" spans="1:32" ht="11.25" customHeight="1" x14ac:dyDescent="0.25">
      <c r="A112" s="4" t="s">
        <v>58</v>
      </c>
      <c r="B112" s="4" t="s">
        <v>59</v>
      </c>
      <c r="C112" s="4" t="s">
        <v>64</v>
      </c>
      <c r="D112" s="4" t="s">
        <v>25</v>
      </c>
      <c r="E112" s="4" t="s">
        <v>25</v>
      </c>
      <c r="F112" s="4" t="s">
        <v>25</v>
      </c>
      <c r="G112" s="4" t="s">
        <v>65</v>
      </c>
      <c r="H112" s="4" t="s">
        <v>25</v>
      </c>
      <c r="I112" s="5">
        <v>44682</v>
      </c>
      <c r="J112" s="6">
        <v>1640</v>
      </c>
      <c r="K112" s="6">
        <v>820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66</v>
      </c>
      <c r="R112" s="4">
        <v>104</v>
      </c>
      <c r="S112" s="4">
        <v>5</v>
      </c>
      <c r="T112" s="4">
        <v>0</v>
      </c>
      <c r="U112" s="4">
        <v>0</v>
      </c>
      <c r="V112" s="6">
        <f>IF(ISERROR(VLOOKUP($S$112,'TAR FIN'!$A$1:$O$116,15,0)),0,VLOOKUP($S$112,'TAR FIN'!$A$1:$O$116,15,0))</f>
        <v>5.0999999999999996</v>
      </c>
      <c r="W112" s="6">
        <f>IF(ISERROR(VLOOKUP($T$112,'TAR FIN'!$A$1:$O$116,15,0)),0,VLOOKUP($T$112,'TAR FIN'!$A$1:$O$116,15,0))</f>
        <v>0</v>
      </c>
      <c r="X112" s="6">
        <f>IF(ISERROR(VLOOKUP($U$112,'TAR FIN'!$A$1:$O$116,15,0)),0,VLOOKUP($U$112,'TAR FIN'!$A$1:$O$116,15,0))</f>
        <v>0</v>
      </c>
      <c r="Y112" s="6">
        <f ca="1">('TUSD BE'!$AM$9+'TUSD BF'!$AM$9+'TUSD CVA'!$AM$9)*1</f>
        <v>5.3518194805398505</v>
      </c>
      <c r="Z112" s="6"/>
      <c r="AA112" s="6"/>
      <c r="AB112" s="6">
        <f t="shared" si="6"/>
        <v>4182</v>
      </c>
      <c r="AC112" s="6">
        <f t="shared" si="7"/>
        <v>0</v>
      </c>
      <c r="AD112" s="6">
        <f t="shared" ca="1" si="8"/>
        <v>4388.4919740426776</v>
      </c>
      <c r="AE112" s="6">
        <f t="shared" si="9"/>
        <v>0</v>
      </c>
      <c r="AF112" s="4" t="s">
        <v>1112</v>
      </c>
    </row>
    <row r="113" spans="1:32" ht="11.25" customHeight="1" x14ac:dyDescent="0.25">
      <c r="A113" s="4" t="s">
        <v>58</v>
      </c>
      <c r="B113" s="4" t="s">
        <v>59</v>
      </c>
      <c r="C113" s="4" t="s">
        <v>64</v>
      </c>
      <c r="D113" s="4" t="s">
        <v>25</v>
      </c>
      <c r="E113" s="4" t="s">
        <v>25</v>
      </c>
      <c r="F113" s="4" t="s">
        <v>25</v>
      </c>
      <c r="G113" s="4" t="s">
        <v>67</v>
      </c>
      <c r="H113" s="4" t="s">
        <v>25</v>
      </c>
      <c r="I113" s="5">
        <v>44682</v>
      </c>
      <c r="J113" s="6">
        <v>39500</v>
      </c>
      <c r="K113" s="6">
        <v>24307.692490000001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66</v>
      </c>
      <c r="R113" s="4">
        <v>215</v>
      </c>
      <c r="S113" s="4">
        <v>6</v>
      </c>
      <c r="T113" s="4">
        <v>0</v>
      </c>
      <c r="U113" s="4">
        <v>0</v>
      </c>
      <c r="V113" s="6">
        <f>IF(ISERROR(VLOOKUP($S$113,'TAR FIN'!$A$1:$O$116,15,0)),0,VLOOKUP($S$113,'TAR FIN'!$A$1:$O$116,15,0))</f>
        <v>3.94</v>
      </c>
      <c r="W113" s="6">
        <f>IF(ISERROR(VLOOKUP($T$113,'TAR FIN'!$A$1:$O$116,15,0)),0,VLOOKUP($T$113,'TAR FIN'!$A$1:$O$116,15,0))</f>
        <v>0</v>
      </c>
      <c r="X113" s="6">
        <f>IF(ISERROR(VLOOKUP($U$113,'TAR FIN'!$A$1:$O$116,15,0)),0,VLOOKUP($U$113,'TAR FIN'!$A$1:$O$116,15,0))</f>
        <v>0</v>
      </c>
      <c r="Y113" s="6">
        <f ca="1">('TUSD BE'!$AM$10+'TUSD BF'!$AM$10+'TUSD CVA'!$AM$10)*1</f>
        <v>4.1263435553812471</v>
      </c>
      <c r="Z113" s="6"/>
      <c r="AA113" s="6"/>
      <c r="AB113" s="6">
        <f t="shared" si="6"/>
        <v>59857.691589399998</v>
      </c>
      <c r="AC113" s="6">
        <f t="shared" si="7"/>
        <v>0</v>
      </c>
      <c r="AD113" s="6">
        <f t="shared" ca="1" si="8"/>
        <v>62688.680185258614</v>
      </c>
      <c r="AE113" s="6">
        <f t="shared" si="9"/>
        <v>0</v>
      </c>
      <c r="AF113" s="4" t="s">
        <v>1112</v>
      </c>
    </row>
    <row r="114" spans="1:32" ht="11.25" customHeight="1" x14ac:dyDescent="0.25">
      <c r="A114" s="4" t="s">
        <v>58</v>
      </c>
      <c r="B114" s="4" t="s">
        <v>59</v>
      </c>
      <c r="C114" s="4" t="s">
        <v>64</v>
      </c>
      <c r="D114" s="4" t="s">
        <v>25</v>
      </c>
      <c r="E114" s="4" t="s">
        <v>25</v>
      </c>
      <c r="F114" s="4" t="s">
        <v>25</v>
      </c>
      <c r="G114" s="4" t="s">
        <v>69</v>
      </c>
      <c r="H114" s="4" t="s">
        <v>25</v>
      </c>
      <c r="I114" s="5">
        <v>44682</v>
      </c>
      <c r="J114" s="6">
        <v>22000</v>
      </c>
      <c r="K114" s="6">
        <v>22000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66</v>
      </c>
      <c r="R114" s="4">
        <v>473</v>
      </c>
      <c r="S114" s="4">
        <v>7</v>
      </c>
      <c r="T114" s="4">
        <v>0</v>
      </c>
      <c r="U114" s="4">
        <v>0</v>
      </c>
      <c r="V114" s="6">
        <f>IF(ISERROR(VLOOKUP($S$114,'TAR FIN'!$A$1:$O$116,15,0)),0,VLOOKUP($S$114,'TAR FIN'!$A$1:$O$116,15,0))</f>
        <v>5.69</v>
      </c>
      <c r="W114" s="6">
        <f>IF(ISERROR(VLOOKUP($T$114,'TAR FIN'!$A$1:$O$116,15,0)),0,VLOOKUP($T$114,'TAR FIN'!$A$1:$O$116,15,0))</f>
        <v>0</v>
      </c>
      <c r="X114" s="6">
        <f>IF(ISERROR(VLOOKUP($U$114,'TAR FIN'!$A$1:$O$116,15,0)),0,VLOOKUP($U$114,'TAR FIN'!$A$1:$O$116,15,0))</f>
        <v>0</v>
      </c>
      <c r="Y114" s="6">
        <f ca="1">('TUSD BE'!$AM$11+'TUSD BF'!$AM$11+'TUSD CVA'!$AM$11)*1</f>
        <v>5.9725875581129042</v>
      </c>
      <c r="Z114" s="6"/>
      <c r="AA114" s="6"/>
      <c r="AB114" s="6">
        <f t="shared" si="6"/>
        <v>0</v>
      </c>
      <c r="AC114" s="6">
        <f t="shared" si="7"/>
        <v>0</v>
      </c>
      <c r="AD114" s="6">
        <f t="shared" ca="1" si="8"/>
        <v>0</v>
      </c>
      <c r="AE114" s="6">
        <f t="shared" si="9"/>
        <v>0</v>
      </c>
      <c r="AF114" s="4" t="s">
        <v>1112</v>
      </c>
    </row>
    <row r="115" spans="1:32" ht="11.25" customHeight="1" x14ac:dyDescent="0.25">
      <c r="A115" s="4" t="s">
        <v>58</v>
      </c>
      <c r="B115" s="4" t="s">
        <v>59</v>
      </c>
      <c r="C115" s="4" t="s">
        <v>64</v>
      </c>
      <c r="D115" s="4" t="s">
        <v>25</v>
      </c>
      <c r="E115" s="4" t="s">
        <v>25</v>
      </c>
      <c r="F115" s="4" t="s">
        <v>25</v>
      </c>
      <c r="G115" s="4" t="s">
        <v>72</v>
      </c>
      <c r="H115" s="4" t="s">
        <v>25</v>
      </c>
      <c r="I115" s="5">
        <v>44682</v>
      </c>
      <c r="J115" s="6">
        <v>16500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66</v>
      </c>
      <c r="R115" s="4">
        <v>1047</v>
      </c>
      <c r="S115" s="4">
        <v>8</v>
      </c>
      <c r="T115" s="4">
        <v>0</v>
      </c>
      <c r="U115" s="4">
        <v>0</v>
      </c>
      <c r="V115" s="6">
        <f>IF(ISERROR(VLOOKUP($S$115,'TAR FIN'!$A$1:$O$116,15,0)),0,VLOOKUP($S$115,'TAR FIN'!$A$1:$O$116,15,0))</f>
        <v>5.41</v>
      </c>
      <c r="W115" s="6">
        <f>IF(ISERROR(VLOOKUP($T$115,'TAR FIN'!$A$1:$O$116,15,0)),0,VLOOKUP($T$115,'TAR FIN'!$A$1:$O$116,15,0))</f>
        <v>0</v>
      </c>
      <c r="X115" s="6">
        <f>IF(ISERROR(VLOOKUP($U$115,'TAR FIN'!$A$1:$O$116,15,0)),0,VLOOKUP($U$115,'TAR FIN'!$A$1:$O$116,15,0))</f>
        <v>0</v>
      </c>
      <c r="Y115" s="6">
        <f ca="1">('TUSD BE'!$AM$12+'TUSD BF'!$AM$12+'TUSD CVA'!$AM$12)*1</f>
        <v>5.6770468968387959</v>
      </c>
      <c r="Z115" s="6"/>
      <c r="AA115" s="6"/>
      <c r="AB115" s="6">
        <f t="shared" si="6"/>
        <v>89265</v>
      </c>
      <c r="AC115" s="6">
        <f t="shared" si="7"/>
        <v>0</v>
      </c>
      <c r="AD115" s="6">
        <f t="shared" ca="1" si="8"/>
        <v>93671.273797840127</v>
      </c>
      <c r="AE115" s="6">
        <f t="shared" si="9"/>
        <v>0</v>
      </c>
      <c r="AF115" s="4" t="s">
        <v>1112</v>
      </c>
    </row>
    <row r="116" spans="1:32" ht="11.25" customHeight="1" x14ac:dyDescent="0.25">
      <c r="A116" s="4" t="s">
        <v>58</v>
      </c>
      <c r="B116" s="4" t="s">
        <v>59</v>
      </c>
      <c r="C116" s="4" t="s">
        <v>64</v>
      </c>
      <c r="D116" s="4" t="s">
        <v>25</v>
      </c>
      <c r="E116" s="4" t="s">
        <v>25</v>
      </c>
      <c r="F116" s="4" t="s">
        <v>25</v>
      </c>
      <c r="G116" s="4" t="s">
        <v>73</v>
      </c>
      <c r="H116" s="4" t="s">
        <v>25</v>
      </c>
      <c r="I116" s="5">
        <v>44682</v>
      </c>
      <c r="J116" s="6">
        <v>5320</v>
      </c>
      <c r="K116" s="6">
        <v>2660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66</v>
      </c>
      <c r="R116" s="4">
        <v>1078</v>
      </c>
      <c r="S116" s="4">
        <v>9</v>
      </c>
      <c r="T116" s="4">
        <v>0</v>
      </c>
      <c r="U116" s="4">
        <v>0</v>
      </c>
      <c r="V116" s="6">
        <f>IF(ISERROR(VLOOKUP($S$116,'TAR FIN'!$A$1:$O$116,15,0)),0,VLOOKUP($S$116,'TAR FIN'!$A$1:$O$116,15,0))</f>
        <v>5.0999999999999996</v>
      </c>
      <c r="W116" s="6">
        <f>IF(ISERROR(VLOOKUP($T$116,'TAR FIN'!$A$1:$O$116,15,0)),0,VLOOKUP($T$116,'TAR FIN'!$A$1:$O$116,15,0))</f>
        <v>0</v>
      </c>
      <c r="X116" s="6">
        <f>IF(ISERROR(VLOOKUP($U$116,'TAR FIN'!$A$1:$O$116,15,0)),0,VLOOKUP($U$116,'TAR FIN'!$A$1:$O$116,15,0))</f>
        <v>0</v>
      </c>
      <c r="Y116" s="6">
        <f ca="1">('TUSD BE'!$AM$13+'TUSD BF'!$AM$13+'TUSD CVA'!$AM$13)*1</f>
        <v>5.3518194805398505</v>
      </c>
      <c r="Z116" s="6"/>
      <c r="AA116" s="6"/>
      <c r="AB116" s="6">
        <f t="shared" si="6"/>
        <v>13565.999999999998</v>
      </c>
      <c r="AC116" s="6">
        <f t="shared" si="7"/>
        <v>0</v>
      </c>
      <c r="AD116" s="6">
        <f t="shared" ca="1" si="8"/>
        <v>14235.839818236002</v>
      </c>
      <c r="AE116" s="6">
        <f t="shared" si="9"/>
        <v>0</v>
      </c>
      <c r="AF116" s="4" t="s">
        <v>1112</v>
      </c>
    </row>
    <row r="117" spans="1:32" ht="11.25" customHeight="1" x14ac:dyDescent="0.25">
      <c r="A117" s="4" t="s">
        <v>58</v>
      </c>
      <c r="B117" s="4" t="s">
        <v>59</v>
      </c>
      <c r="C117" s="4" t="s">
        <v>64</v>
      </c>
      <c r="D117" s="4" t="s">
        <v>25</v>
      </c>
      <c r="E117" s="4" t="s">
        <v>25</v>
      </c>
      <c r="F117" s="4" t="s">
        <v>25</v>
      </c>
      <c r="G117" s="4" t="s">
        <v>75</v>
      </c>
      <c r="H117" s="4" t="s">
        <v>25</v>
      </c>
      <c r="I117" s="5">
        <v>44682</v>
      </c>
      <c r="J117" s="6">
        <v>42500</v>
      </c>
      <c r="K117" s="6">
        <v>42500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66</v>
      </c>
      <c r="R117" s="4">
        <v>1276</v>
      </c>
      <c r="S117" s="4">
        <v>10</v>
      </c>
      <c r="T117" s="4">
        <v>0</v>
      </c>
      <c r="U117" s="4">
        <v>0</v>
      </c>
      <c r="V117" s="6">
        <f>IF(ISERROR(VLOOKUP($S$117,'TAR FIN'!$A$1:$O$116,15,0)),0,VLOOKUP($S$117,'TAR FIN'!$A$1:$O$116,15,0))</f>
        <v>5.0999999999999996</v>
      </c>
      <c r="W117" s="6">
        <f>IF(ISERROR(VLOOKUP($T$117,'TAR FIN'!$A$1:$O$116,15,0)),0,VLOOKUP($T$117,'TAR FIN'!$A$1:$O$116,15,0))</f>
        <v>0</v>
      </c>
      <c r="X117" s="6">
        <f>IF(ISERROR(VLOOKUP($U$117,'TAR FIN'!$A$1:$O$116,15,0)),0,VLOOKUP($U$117,'TAR FIN'!$A$1:$O$116,15,0))</f>
        <v>0</v>
      </c>
      <c r="Y117" s="6">
        <f ca="1">('TUSD BE'!$AM$14+'TUSD BF'!$AM$14+'TUSD CVA'!$AM$14)*1</f>
        <v>5.3518194805398505</v>
      </c>
      <c r="Z117" s="6"/>
      <c r="AA117" s="6"/>
      <c r="AB117" s="6">
        <f t="shared" si="6"/>
        <v>0</v>
      </c>
      <c r="AC117" s="6">
        <f t="shared" si="7"/>
        <v>0</v>
      </c>
      <c r="AD117" s="6">
        <f t="shared" ca="1" si="8"/>
        <v>0</v>
      </c>
      <c r="AE117" s="6">
        <f t="shared" si="9"/>
        <v>0</v>
      </c>
      <c r="AF117" s="4" t="s">
        <v>1112</v>
      </c>
    </row>
    <row r="118" spans="1:32" ht="11.25" customHeight="1" x14ac:dyDescent="0.25">
      <c r="A118" s="4" t="s">
        <v>58</v>
      </c>
      <c r="B118" s="4" t="s">
        <v>59</v>
      </c>
      <c r="C118" s="4" t="s">
        <v>64</v>
      </c>
      <c r="D118" s="4" t="s">
        <v>25</v>
      </c>
      <c r="E118" s="4" t="s">
        <v>25</v>
      </c>
      <c r="F118" s="4" t="s">
        <v>25</v>
      </c>
      <c r="G118" s="4" t="s">
        <v>86</v>
      </c>
      <c r="H118" s="4" t="s">
        <v>25</v>
      </c>
      <c r="I118" s="5">
        <v>44682</v>
      </c>
      <c r="J118" s="6">
        <v>24400</v>
      </c>
      <c r="K118" s="6">
        <v>12200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66</v>
      </c>
      <c r="R118" s="4">
        <v>27532</v>
      </c>
      <c r="S118" s="4">
        <v>11</v>
      </c>
      <c r="T118" s="4">
        <v>0</v>
      </c>
      <c r="U118" s="4">
        <v>0</v>
      </c>
      <c r="V118" s="6">
        <f>IF(ISERROR(VLOOKUP($S$118,'TAR FIN'!$A$1:$O$116,15,0)),0,VLOOKUP($S$118,'TAR FIN'!$A$1:$O$116,15,0))</f>
        <v>4.63</v>
      </c>
      <c r="W118" s="6">
        <f>IF(ISERROR(VLOOKUP($T$118,'TAR FIN'!$A$1:$O$116,15,0)),0,VLOOKUP($T$118,'TAR FIN'!$A$1:$O$116,15,0))</f>
        <v>0</v>
      </c>
      <c r="X118" s="6">
        <f>IF(ISERROR(VLOOKUP($U$118,'TAR FIN'!$A$1:$O$116,15,0)),0,VLOOKUP($U$118,'TAR FIN'!$A$1:$O$116,15,0))</f>
        <v>0</v>
      </c>
      <c r="Y118" s="6">
        <f ca="1">('TUSD BE'!$AM$15+'TUSD BF'!$AM$15+'TUSD CVA'!$AM$15)*1</f>
        <v>4.8520321280503262</v>
      </c>
      <c r="Z118" s="6"/>
      <c r="AA118" s="6"/>
      <c r="AB118" s="6">
        <f t="shared" si="6"/>
        <v>56486</v>
      </c>
      <c r="AC118" s="6">
        <f t="shared" si="7"/>
        <v>0</v>
      </c>
      <c r="AD118" s="6">
        <f t="shared" ca="1" si="8"/>
        <v>59194.791962213982</v>
      </c>
      <c r="AE118" s="6">
        <f t="shared" si="9"/>
        <v>0</v>
      </c>
      <c r="AF118" s="4" t="s">
        <v>1112</v>
      </c>
    </row>
    <row r="119" spans="1:32" ht="11.25" customHeight="1" x14ac:dyDescent="0.25">
      <c r="A119" s="4" t="s">
        <v>58</v>
      </c>
      <c r="B119" s="4" t="s">
        <v>59</v>
      </c>
      <c r="C119" s="4" t="s">
        <v>64</v>
      </c>
      <c r="D119" s="4" t="s">
        <v>25</v>
      </c>
      <c r="E119" s="4" t="s">
        <v>25</v>
      </c>
      <c r="F119" s="4" t="s">
        <v>25</v>
      </c>
      <c r="G119" s="4" t="s">
        <v>87</v>
      </c>
      <c r="H119" s="4" t="s">
        <v>25</v>
      </c>
      <c r="I119" s="5">
        <v>44682</v>
      </c>
      <c r="J119" s="6">
        <v>25000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66</v>
      </c>
      <c r="R119" s="4">
        <v>27534</v>
      </c>
      <c r="S119" s="4">
        <v>12</v>
      </c>
      <c r="T119" s="4">
        <v>0</v>
      </c>
      <c r="U119" s="4">
        <v>0</v>
      </c>
      <c r="V119" s="6">
        <f>IF(ISERROR(VLOOKUP($S$119,'TAR FIN'!$A$1:$O$116,15,0)),0,VLOOKUP($S$119,'TAR FIN'!$A$1:$O$116,15,0))</f>
        <v>5.58</v>
      </c>
      <c r="W119" s="6">
        <f>IF(ISERROR(VLOOKUP($T$119,'TAR FIN'!$A$1:$O$116,15,0)),0,VLOOKUP($T$119,'TAR FIN'!$A$1:$O$116,15,0))</f>
        <v>0</v>
      </c>
      <c r="X119" s="6">
        <f>IF(ISERROR(VLOOKUP($U$119,'TAR FIN'!$A$1:$O$116,15,0)),0,VLOOKUP($U$119,'TAR FIN'!$A$1:$O$116,15,0))</f>
        <v>0</v>
      </c>
      <c r="Y119" s="6">
        <f ca="1">('TUSD BE'!$AM$16+'TUSD BF'!$AM$16+'TUSD CVA'!$AM$16)*1</f>
        <v>5.862991208798829</v>
      </c>
      <c r="Z119" s="6"/>
      <c r="AA119" s="6"/>
      <c r="AB119" s="6">
        <f t="shared" si="6"/>
        <v>139500</v>
      </c>
      <c r="AC119" s="6">
        <f t="shared" si="7"/>
        <v>0</v>
      </c>
      <c r="AD119" s="6">
        <f t="shared" ca="1" si="8"/>
        <v>146574.78021997074</v>
      </c>
      <c r="AE119" s="6">
        <f t="shared" si="9"/>
        <v>0</v>
      </c>
      <c r="AF119" s="4" t="s">
        <v>1112</v>
      </c>
    </row>
    <row r="120" spans="1:32" ht="11.25" customHeight="1" x14ac:dyDescent="0.25">
      <c r="A120" s="4" t="s">
        <v>58</v>
      </c>
      <c r="B120" s="4" t="s">
        <v>59</v>
      </c>
      <c r="C120" s="4" t="s">
        <v>64</v>
      </c>
      <c r="D120" s="4" t="s">
        <v>25</v>
      </c>
      <c r="E120" s="4" t="s">
        <v>25</v>
      </c>
      <c r="F120" s="4" t="s">
        <v>25</v>
      </c>
      <c r="G120" s="4" t="s">
        <v>89</v>
      </c>
      <c r="H120" s="4" t="s">
        <v>25</v>
      </c>
      <c r="I120" s="5">
        <v>44682</v>
      </c>
      <c r="J120" s="6">
        <v>12600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66</v>
      </c>
      <c r="R120" s="4">
        <v>27727</v>
      </c>
      <c r="S120" s="4">
        <v>13</v>
      </c>
      <c r="T120" s="4">
        <v>0</v>
      </c>
      <c r="U120" s="4">
        <v>0</v>
      </c>
      <c r="V120" s="6">
        <f>IF(ISERROR(VLOOKUP($S$120,'TAR FIN'!$A$1:$O$116,15,0)),0,VLOOKUP($S$120,'TAR FIN'!$A$1:$O$116,15,0))</f>
        <v>5.37</v>
      </c>
      <c r="W120" s="6">
        <f>IF(ISERROR(VLOOKUP($T$120,'TAR FIN'!$A$1:$O$116,15,0)),0,VLOOKUP($T$120,'TAR FIN'!$A$1:$O$116,15,0))</f>
        <v>0</v>
      </c>
      <c r="X120" s="6">
        <f>IF(ISERROR(VLOOKUP($U$120,'TAR FIN'!$A$1:$O$116,15,0)),0,VLOOKUP($U$120,'TAR FIN'!$A$1:$O$116,15,0))</f>
        <v>0</v>
      </c>
      <c r="Y120" s="6">
        <f ca="1">('TUSD BE'!$AM$17+'TUSD BF'!$AM$17+'TUSD CVA'!$AM$17)*1</f>
        <v>5.6347568025342989</v>
      </c>
      <c r="Z120" s="6"/>
      <c r="AA120" s="6"/>
      <c r="AB120" s="6">
        <f t="shared" si="6"/>
        <v>67662</v>
      </c>
      <c r="AC120" s="6">
        <f t="shared" si="7"/>
        <v>0</v>
      </c>
      <c r="AD120" s="6">
        <f t="shared" ca="1" si="8"/>
        <v>70997.935711932165</v>
      </c>
      <c r="AE120" s="6">
        <f t="shared" si="9"/>
        <v>0</v>
      </c>
      <c r="AF120" s="4" t="s">
        <v>1112</v>
      </c>
    </row>
    <row r="121" spans="1:32" ht="11.25" customHeight="1" x14ac:dyDescent="0.25">
      <c r="A121" s="4" t="s">
        <v>58</v>
      </c>
      <c r="B121" s="4" t="s">
        <v>59</v>
      </c>
      <c r="C121" s="4" t="s">
        <v>64</v>
      </c>
      <c r="D121" s="4" t="s">
        <v>25</v>
      </c>
      <c r="E121" s="4" t="s">
        <v>25</v>
      </c>
      <c r="F121" s="4" t="s">
        <v>25</v>
      </c>
      <c r="G121" s="4" t="s">
        <v>92</v>
      </c>
      <c r="H121" s="4" t="s">
        <v>25</v>
      </c>
      <c r="I121" s="5">
        <v>44682</v>
      </c>
      <c r="J121" s="6">
        <v>8100</v>
      </c>
      <c r="K121" s="6">
        <v>4050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66</v>
      </c>
      <c r="R121" s="4">
        <v>30597</v>
      </c>
      <c r="S121" s="4">
        <v>14</v>
      </c>
      <c r="T121" s="4">
        <v>0</v>
      </c>
      <c r="U121" s="4">
        <v>0</v>
      </c>
      <c r="V121" s="6">
        <f>IF(ISERROR(VLOOKUP($S$121,'TAR FIN'!$A$1:$O$116,15,0)),0,VLOOKUP($S$121,'TAR FIN'!$A$1:$O$116,15,0))</f>
        <v>5.04</v>
      </c>
      <c r="W121" s="6">
        <f>IF(ISERROR(VLOOKUP($T$121,'TAR FIN'!$A$1:$O$116,15,0)),0,VLOOKUP($T$121,'TAR FIN'!$A$1:$O$116,15,0))</f>
        <v>0</v>
      </c>
      <c r="X121" s="6">
        <f>IF(ISERROR(VLOOKUP($U$121,'TAR FIN'!$A$1:$O$116,15,0)),0,VLOOKUP($U$121,'TAR FIN'!$A$1:$O$116,15,0))</f>
        <v>0</v>
      </c>
      <c r="Y121" s="6">
        <f ca="1">('TUSD BE'!$AM$18+'TUSD BF'!$AM$18+'TUSD CVA'!$AM$18)*1</f>
        <v>5.2832968919533032</v>
      </c>
      <c r="Z121" s="6"/>
      <c r="AA121" s="6"/>
      <c r="AB121" s="6">
        <f t="shared" si="6"/>
        <v>20412</v>
      </c>
      <c r="AC121" s="6">
        <f t="shared" si="7"/>
        <v>0</v>
      </c>
      <c r="AD121" s="6">
        <f t="shared" ca="1" si="8"/>
        <v>21397.352412410877</v>
      </c>
      <c r="AE121" s="6">
        <f t="shared" si="9"/>
        <v>0</v>
      </c>
      <c r="AF121" s="4" t="s">
        <v>1112</v>
      </c>
    </row>
    <row r="122" spans="1:32" ht="11.25" customHeight="1" x14ac:dyDescent="0.25">
      <c r="A122" s="4" t="s">
        <v>21</v>
      </c>
      <c r="B122" s="4" t="s">
        <v>39</v>
      </c>
      <c r="C122" s="4" t="s">
        <v>64</v>
      </c>
      <c r="D122" s="4" t="s">
        <v>25</v>
      </c>
      <c r="E122" s="4" t="s">
        <v>25</v>
      </c>
      <c r="F122" s="4" t="s">
        <v>25</v>
      </c>
      <c r="G122" s="4" t="s">
        <v>71</v>
      </c>
      <c r="H122" s="4" t="s">
        <v>25</v>
      </c>
      <c r="I122" s="5">
        <v>44348</v>
      </c>
      <c r="J122" s="6">
        <v>13720</v>
      </c>
      <c r="K122" s="6">
        <v>6860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66</v>
      </c>
      <c r="R122" s="4">
        <v>1034</v>
      </c>
      <c r="S122" s="4">
        <v>20</v>
      </c>
      <c r="T122" s="4">
        <v>0</v>
      </c>
      <c r="U122" s="4">
        <v>0</v>
      </c>
      <c r="V122" s="6">
        <f>IF(ISERROR(VLOOKUP($S$122,'TAR FIN'!$A$1:$O$116,15,0)),0,VLOOKUP($S$122,'TAR FIN'!$A$1:$O$116,15,0))</f>
        <v>17.920000000000002</v>
      </c>
      <c r="W122" s="6">
        <f>IF(ISERROR(VLOOKUP($T$122,'TAR FIN'!$A$1:$O$116,15,0)),0,VLOOKUP($T$122,'TAR FIN'!$A$1:$O$116,15,0))</f>
        <v>0</v>
      </c>
      <c r="X122" s="6">
        <f>IF(ISERROR(VLOOKUP($U$122,'TAR FIN'!$A$1:$O$116,15,0)),0,VLOOKUP($U$122,'TAR FIN'!$A$1:$O$116,15,0))</f>
        <v>0</v>
      </c>
      <c r="Y122" s="6">
        <f ca="1">('TUSD BE'!$AM$24+'TUSD BF'!$AM$24+'TUSD CVA'!$AM$24)*1</f>
        <v>21.034406725438203</v>
      </c>
      <c r="Z122" s="6"/>
      <c r="AA122" s="6"/>
      <c r="AB122" s="6">
        <f t="shared" si="6"/>
        <v>122931.20000000001</v>
      </c>
      <c r="AC122" s="6">
        <f t="shared" si="7"/>
        <v>0</v>
      </c>
      <c r="AD122" s="6">
        <f t="shared" ca="1" si="8"/>
        <v>144296.03013650607</v>
      </c>
      <c r="AE122" s="6">
        <f t="shared" si="9"/>
        <v>0</v>
      </c>
      <c r="AF122" s="4" t="s">
        <v>1112</v>
      </c>
    </row>
    <row r="123" spans="1:32" ht="11.25" customHeight="1" x14ac:dyDescent="0.25">
      <c r="A123" s="4" t="s">
        <v>21</v>
      </c>
      <c r="B123" s="4" t="s">
        <v>39</v>
      </c>
      <c r="C123" s="4" t="s">
        <v>64</v>
      </c>
      <c r="D123" s="4" t="s">
        <v>25</v>
      </c>
      <c r="E123" s="4" t="s">
        <v>25</v>
      </c>
      <c r="F123" s="4" t="s">
        <v>25</v>
      </c>
      <c r="G123" s="4" t="s">
        <v>84</v>
      </c>
      <c r="H123" s="4" t="s">
        <v>25</v>
      </c>
      <c r="I123" s="5">
        <v>44348</v>
      </c>
      <c r="J123" s="6">
        <v>6970</v>
      </c>
      <c r="K123" s="6">
        <v>6970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66</v>
      </c>
      <c r="R123" s="4">
        <v>27034</v>
      </c>
      <c r="S123" s="4">
        <v>20</v>
      </c>
      <c r="T123" s="4">
        <v>0</v>
      </c>
      <c r="U123" s="4">
        <v>0</v>
      </c>
      <c r="V123" s="6">
        <f>IF(ISERROR(VLOOKUP($S$123,'TAR FIN'!$A$1:$O$116,15,0)),0,VLOOKUP($S$123,'TAR FIN'!$A$1:$O$116,15,0))</f>
        <v>17.920000000000002</v>
      </c>
      <c r="W123" s="6">
        <f>IF(ISERROR(VLOOKUP($T$123,'TAR FIN'!$A$1:$O$116,15,0)),0,VLOOKUP($T$123,'TAR FIN'!$A$1:$O$116,15,0))</f>
        <v>0</v>
      </c>
      <c r="X123" s="6">
        <f>IF(ISERROR(VLOOKUP($U$123,'TAR FIN'!$A$1:$O$116,15,0)),0,VLOOKUP($U$123,'TAR FIN'!$A$1:$O$116,15,0))</f>
        <v>0</v>
      </c>
      <c r="Y123" s="6">
        <f ca="1">('TUSD BE'!$AM$24+'TUSD BF'!$AM$24+'TUSD CVA'!$AM$24)*1</f>
        <v>21.034406725438203</v>
      </c>
      <c r="Z123" s="6"/>
      <c r="AA123" s="6"/>
      <c r="AB123" s="6">
        <f t="shared" si="6"/>
        <v>0</v>
      </c>
      <c r="AC123" s="6">
        <f t="shared" si="7"/>
        <v>0</v>
      </c>
      <c r="AD123" s="6">
        <f t="shared" ca="1" si="8"/>
        <v>0</v>
      </c>
      <c r="AE123" s="6">
        <f t="shared" si="9"/>
        <v>0</v>
      </c>
      <c r="AF123" s="4" t="s">
        <v>1112</v>
      </c>
    </row>
    <row r="124" spans="1:32" ht="11.25" customHeight="1" x14ac:dyDescent="0.25">
      <c r="A124" s="4" t="s">
        <v>21</v>
      </c>
      <c r="B124" s="4" t="s">
        <v>39</v>
      </c>
      <c r="C124" s="4" t="s">
        <v>64</v>
      </c>
      <c r="D124" s="4" t="s">
        <v>25</v>
      </c>
      <c r="E124" s="4" t="s">
        <v>25</v>
      </c>
      <c r="F124" s="4" t="s">
        <v>25</v>
      </c>
      <c r="G124" s="4" t="s">
        <v>85</v>
      </c>
      <c r="H124" s="4" t="s">
        <v>25</v>
      </c>
      <c r="I124" s="5">
        <v>44348</v>
      </c>
      <c r="J124" s="6">
        <v>9600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66</v>
      </c>
      <c r="R124" s="4">
        <v>27207</v>
      </c>
      <c r="S124" s="4">
        <v>20</v>
      </c>
      <c r="T124" s="4">
        <v>0</v>
      </c>
      <c r="U124" s="4">
        <v>0</v>
      </c>
      <c r="V124" s="6">
        <f>IF(ISERROR(VLOOKUP($S$124,'TAR FIN'!$A$1:$O$116,15,0)),0,VLOOKUP($S$124,'TAR FIN'!$A$1:$O$116,15,0))</f>
        <v>17.920000000000002</v>
      </c>
      <c r="W124" s="6">
        <f>IF(ISERROR(VLOOKUP($T$124,'TAR FIN'!$A$1:$O$116,15,0)),0,VLOOKUP($T$124,'TAR FIN'!$A$1:$O$116,15,0))</f>
        <v>0</v>
      </c>
      <c r="X124" s="6">
        <f>IF(ISERROR(VLOOKUP($U$124,'TAR FIN'!$A$1:$O$116,15,0)),0,VLOOKUP($U$124,'TAR FIN'!$A$1:$O$116,15,0))</f>
        <v>0</v>
      </c>
      <c r="Y124" s="6">
        <f ca="1">('TUSD BE'!$AM$24+'TUSD BF'!$AM$24+'TUSD CVA'!$AM$24)*1</f>
        <v>21.034406725438203</v>
      </c>
      <c r="Z124" s="6"/>
      <c r="AA124" s="6"/>
      <c r="AB124" s="6">
        <f t="shared" si="6"/>
        <v>172032.00000000003</v>
      </c>
      <c r="AC124" s="6">
        <f t="shared" si="7"/>
        <v>0</v>
      </c>
      <c r="AD124" s="6">
        <f t="shared" ca="1" si="8"/>
        <v>201930.30456420674</v>
      </c>
      <c r="AE124" s="6">
        <f t="shared" si="9"/>
        <v>0</v>
      </c>
      <c r="AF124" s="4" t="s">
        <v>1112</v>
      </c>
    </row>
    <row r="125" spans="1:32" ht="11.25" customHeight="1" x14ac:dyDescent="0.25">
      <c r="A125" s="4" t="s">
        <v>21</v>
      </c>
      <c r="B125" s="4" t="s">
        <v>39</v>
      </c>
      <c r="C125" s="4" t="s">
        <v>64</v>
      </c>
      <c r="D125" s="4" t="s">
        <v>25</v>
      </c>
      <c r="E125" s="4" t="s">
        <v>25</v>
      </c>
      <c r="F125" s="4" t="s">
        <v>25</v>
      </c>
      <c r="G125" s="4" t="s">
        <v>88</v>
      </c>
      <c r="H125" s="4" t="s">
        <v>25</v>
      </c>
      <c r="I125" s="5">
        <v>44348</v>
      </c>
      <c r="J125" s="6">
        <v>19500</v>
      </c>
      <c r="K125" s="6">
        <v>9750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66</v>
      </c>
      <c r="R125" s="4">
        <v>27722</v>
      </c>
      <c r="S125" s="4">
        <v>20</v>
      </c>
      <c r="T125" s="4">
        <v>0</v>
      </c>
      <c r="U125" s="4">
        <v>0</v>
      </c>
      <c r="V125" s="6">
        <f>IF(ISERROR(VLOOKUP($S$125,'TAR FIN'!$A$1:$O$116,15,0)),0,VLOOKUP($S$125,'TAR FIN'!$A$1:$O$116,15,0))</f>
        <v>17.920000000000002</v>
      </c>
      <c r="W125" s="6">
        <f>IF(ISERROR(VLOOKUP($T$125,'TAR FIN'!$A$1:$O$116,15,0)),0,VLOOKUP($T$125,'TAR FIN'!$A$1:$O$116,15,0))</f>
        <v>0</v>
      </c>
      <c r="X125" s="6">
        <f>IF(ISERROR(VLOOKUP($U$125,'TAR FIN'!$A$1:$O$116,15,0)),0,VLOOKUP($U$125,'TAR FIN'!$A$1:$O$116,15,0))</f>
        <v>0</v>
      </c>
      <c r="Y125" s="6">
        <f ca="1">('TUSD BE'!$AM$24+'TUSD BF'!$AM$24+'TUSD CVA'!$AM$24)*1</f>
        <v>21.034406725438203</v>
      </c>
      <c r="Z125" s="6"/>
      <c r="AA125" s="6"/>
      <c r="AB125" s="6">
        <f t="shared" si="6"/>
        <v>174720.00000000003</v>
      </c>
      <c r="AC125" s="6">
        <f t="shared" si="7"/>
        <v>0</v>
      </c>
      <c r="AD125" s="6">
        <f t="shared" ca="1" si="8"/>
        <v>205085.46557302246</v>
      </c>
      <c r="AE125" s="6">
        <f t="shared" si="9"/>
        <v>0</v>
      </c>
      <c r="AF125" s="4" t="s">
        <v>1112</v>
      </c>
    </row>
    <row r="126" spans="1:32" ht="11.25" customHeight="1" x14ac:dyDescent="0.25">
      <c r="A126" s="4" t="s">
        <v>21</v>
      </c>
      <c r="B126" s="4" t="s">
        <v>39</v>
      </c>
      <c r="C126" s="4" t="s">
        <v>64</v>
      </c>
      <c r="D126" s="4" t="s">
        <v>25</v>
      </c>
      <c r="E126" s="4" t="s">
        <v>25</v>
      </c>
      <c r="F126" s="4" t="s">
        <v>25</v>
      </c>
      <c r="G126" s="4" t="s">
        <v>91</v>
      </c>
      <c r="H126" s="4" t="s">
        <v>25</v>
      </c>
      <c r="I126" s="5">
        <v>44348</v>
      </c>
      <c r="J126" s="6">
        <v>22400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66</v>
      </c>
      <c r="R126" s="4">
        <v>27958</v>
      </c>
      <c r="S126" s="4">
        <v>20</v>
      </c>
      <c r="T126" s="4">
        <v>0</v>
      </c>
      <c r="U126" s="4">
        <v>0</v>
      </c>
      <c r="V126" s="6">
        <f>IF(ISERROR(VLOOKUP($S$126,'TAR FIN'!$A$1:$O$116,15,0)),0,VLOOKUP($S$126,'TAR FIN'!$A$1:$O$116,15,0))</f>
        <v>17.920000000000002</v>
      </c>
      <c r="W126" s="6">
        <f>IF(ISERROR(VLOOKUP($T$126,'TAR FIN'!$A$1:$O$116,15,0)),0,VLOOKUP($T$126,'TAR FIN'!$A$1:$O$116,15,0))</f>
        <v>0</v>
      </c>
      <c r="X126" s="6">
        <f>IF(ISERROR(VLOOKUP($U$126,'TAR FIN'!$A$1:$O$116,15,0)),0,VLOOKUP($U$126,'TAR FIN'!$A$1:$O$116,15,0))</f>
        <v>0</v>
      </c>
      <c r="Y126" s="6">
        <f ca="1">('TUSD BE'!$AM$24+'TUSD BF'!$AM$24+'TUSD CVA'!$AM$24)*1</f>
        <v>21.034406725438203</v>
      </c>
      <c r="Z126" s="6"/>
      <c r="AA126" s="6"/>
      <c r="AB126" s="6">
        <f t="shared" si="6"/>
        <v>401408.00000000006</v>
      </c>
      <c r="AC126" s="6">
        <f t="shared" si="7"/>
        <v>0</v>
      </c>
      <c r="AD126" s="6">
        <f t="shared" ca="1" si="8"/>
        <v>471170.71064981574</v>
      </c>
      <c r="AE126" s="6">
        <f t="shared" si="9"/>
        <v>0</v>
      </c>
      <c r="AF126" s="4" t="s">
        <v>1112</v>
      </c>
    </row>
    <row r="127" spans="1:32" ht="11.25" customHeight="1" x14ac:dyDescent="0.25">
      <c r="A127" s="4" t="s">
        <v>21</v>
      </c>
      <c r="B127" s="4" t="s">
        <v>39</v>
      </c>
      <c r="C127" s="4" t="s">
        <v>64</v>
      </c>
      <c r="D127" s="4" t="s">
        <v>25</v>
      </c>
      <c r="E127" s="4" t="s">
        <v>25</v>
      </c>
      <c r="F127" s="4" t="s">
        <v>25</v>
      </c>
      <c r="G127" s="4" t="s">
        <v>71</v>
      </c>
      <c r="H127" s="4" t="s">
        <v>25</v>
      </c>
      <c r="I127" s="5">
        <v>44378</v>
      </c>
      <c r="J127" s="6">
        <v>13720</v>
      </c>
      <c r="K127" s="6">
        <v>6860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66</v>
      </c>
      <c r="R127" s="4">
        <v>1034</v>
      </c>
      <c r="S127" s="4">
        <v>20</v>
      </c>
      <c r="T127" s="4">
        <v>0</v>
      </c>
      <c r="U127" s="4">
        <v>0</v>
      </c>
      <c r="V127" s="6">
        <f>IF(ISERROR(VLOOKUP($S$127,'TAR FIN'!$A$1:$O$116,15,0)),0,VLOOKUP($S$127,'TAR FIN'!$A$1:$O$116,15,0))</f>
        <v>17.920000000000002</v>
      </c>
      <c r="W127" s="6">
        <f>IF(ISERROR(VLOOKUP($T$127,'TAR FIN'!$A$1:$O$116,15,0)),0,VLOOKUP($T$127,'TAR FIN'!$A$1:$O$116,15,0))</f>
        <v>0</v>
      </c>
      <c r="X127" s="6">
        <f>IF(ISERROR(VLOOKUP($U$127,'TAR FIN'!$A$1:$O$116,15,0)),0,VLOOKUP($U$127,'TAR FIN'!$A$1:$O$116,15,0))</f>
        <v>0</v>
      </c>
      <c r="Y127" s="6">
        <f ca="1">('TUSD BE'!$AM$24+'TUSD BF'!$AM$24+'TUSD CVA'!$AM$24)*1</f>
        <v>21.034406725438203</v>
      </c>
      <c r="Z127" s="6"/>
      <c r="AA127" s="6"/>
      <c r="AB127" s="6">
        <f t="shared" si="6"/>
        <v>122931.20000000001</v>
      </c>
      <c r="AC127" s="6">
        <f t="shared" si="7"/>
        <v>0</v>
      </c>
      <c r="AD127" s="6">
        <f t="shared" ca="1" si="8"/>
        <v>144296.03013650607</v>
      </c>
      <c r="AE127" s="6">
        <f t="shared" si="9"/>
        <v>0</v>
      </c>
      <c r="AF127" s="4" t="s">
        <v>1112</v>
      </c>
    </row>
    <row r="128" spans="1:32" ht="11.25" customHeight="1" x14ac:dyDescent="0.25">
      <c r="A128" s="4" t="s">
        <v>21</v>
      </c>
      <c r="B128" s="4" t="s">
        <v>39</v>
      </c>
      <c r="C128" s="4" t="s">
        <v>64</v>
      </c>
      <c r="D128" s="4" t="s">
        <v>25</v>
      </c>
      <c r="E128" s="4" t="s">
        <v>25</v>
      </c>
      <c r="F128" s="4" t="s">
        <v>25</v>
      </c>
      <c r="G128" s="4" t="s">
        <v>84</v>
      </c>
      <c r="H128" s="4" t="s">
        <v>25</v>
      </c>
      <c r="I128" s="5">
        <v>44378</v>
      </c>
      <c r="J128" s="6">
        <v>6970</v>
      </c>
      <c r="K128" s="6">
        <v>6970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66</v>
      </c>
      <c r="R128" s="4">
        <v>27034</v>
      </c>
      <c r="S128" s="4">
        <v>20</v>
      </c>
      <c r="T128" s="4">
        <v>0</v>
      </c>
      <c r="U128" s="4">
        <v>0</v>
      </c>
      <c r="V128" s="6">
        <f>IF(ISERROR(VLOOKUP($S$128,'TAR FIN'!$A$1:$O$116,15,0)),0,VLOOKUP($S$128,'TAR FIN'!$A$1:$O$116,15,0))</f>
        <v>17.920000000000002</v>
      </c>
      <c r="W128" s="6">
        <f>IF(ISERROR(VLOOKUP($T$128,'TAR FIN'!$A$1:$O$116,15,0)),0,VLOOKUP($T$128,'TAR FIN'!$A$1:$O$116,15,0))</f>
        <v>0</v>
      </c>
      <c r="X128" s="6">
        <f>IF(ISERROR(VLOOKUP($U$128,'TAR FIN'!$A$1:$O$116,15,0)),0,VLOOKUP($U$128,'TAR FIN'!$A$1:$O$116,15,0))</f>
        <v>0</v>
      </c>
      <c r="Y128" s="6">
        <f ca="1">('TUSD BE'!$AM$24+'TUSD BF'!$AM$24+'TUSD CVA'!$AM$24)*1</f>
        <v>21.034406725438203</v>
      </c>
      <c r="Z128" s="6"/>
      <c r="AA128" s="6"/>
      <c r="AB128" s="6">
        <f t="shared" si="6"/>
        <v>0</v>
      </c>
      <c r="AC128" s="6">
        <f t="shared" si="7"/>
        <v>0</v>
      </c>
      <c r="AD128" s="6">
        <f t="shared" ca="1" si="8"/>
        <v>0</v>
      </c>
      <c r="AE128" s="6">
        <f t="shared" si="9"/>
        <v>0</v>
      </c>
      <c r="AF128" s="4" t="s">
        <v>1112</v>
      </c>
    </row>
    <row r="129" spans="1:32" ht="11.25" customHeight="1" x14ac:dyDescent="0.25">
      <c r="A129" s="4" t="s">
        <v>21</v>
      </c>
      <c r="B129" s="4" t="s">
        <v>39</v>
      </c>
      <c r="C129" s="4" t="s">
        <v>64</v>
      </c>
      <c r="D129" s="4" t="s">
        <v>25</v>
      </c>
      <c r="E129" s="4" t="s">
        <v>25</v>
      </c>
      <c r="F129" s="4" t="s">
        <v>25</v>
      </c>
      <c r="G129" s="4" t="s">
        <v>85</v>
      </c>
      <c r="H129" s="4" t="s">
        <v>25</v>
      </c>
      <c r="I129" s="5">
        <v>44378</v>
      </c>
      <c r="J129" s="6">
        <v>9600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66</v>
      </c>
      <c r="R129" s="4">
        <v>27207</v>
      </c>
      <c r="S129" s="4">
        <v>20</v>
      </c>
      <c r="T129" s="4">
        <v>0</v>
      </c>
      <c r="U129" s="4">
        <v>0</v>
      </c>
      <c r="V129" s="6">
        <f>IF(ISERROR(VLOOKUP($S$129,'TAR FIN'!$A$1:$O$116,15,0)),0,VLOOKUP($S$129,'TAR FIN'!$A$1:$O$116,15,0))</f>
        <v>17.920000000000002</v>
      </c>
      <c r="W129" s="6">
        <f>IF(ISERROR(VLOOKUP($T$129,'TAR FIN'!$A$1:$O$116,15,0)),0,VLOOKUP($T$129,'TAR FIN'!$A$1:$O$116,15,0))</f>
        <v>0</v>
      </c>
      <c r="X129" s="6">
        <f>IF(ISERROR(VLOOKUP($U$129,'TAR FIN'!$A$1:$O$116,15,0)),0,VLOOKUP($U$129,'TAR FIN'!$A$1:$O$116,15,0))</f>
        <v>0</v>
      </c>
      <c r="Y129" s="6">
        <f ca="1">('TUSD BE'!$AM$24+'TUSD BF'!$AM$24+'TUSD CVA'!$AM$24)*1</f>
        <v>21.034406725438203</v>
      </c>
      <c r="Z129" s="6"/>
      <c r="AA129" s="6"/>
      <c r="AB129" s="6">
        <f t="shared" si="6"/>
        <v>172032.00000000003</v>
      </c>
      <c r="AC129" s="6">
        <f t="shared" si="7"/>
        <v>0</v>
      </c>
      <c r="AD129" s="6">
        <f t="shared" ca="1" si="8"/>
        <v>201930.30456420674</v>
      </c>
      <c r="AE129" s="6">
        <f t="shared" si="9"/>
        <v>0</v>
      </c>
      <c r="AF129" s="4" t="s">
        <v>1112</v>
      </c>
    </row>
    <row r="130" spans="1:32" ht="11.25" customHeight="1" x14ac:dyDescent="0.25">
      <c r="A130" s="4" t="s">
        <v>21</v>
      </c>
      <c r="B130" s="4" t="s">
        <v>39</v>
      </c>
      <c r="C130" s="4" t="s">
        <v>64</v>
      </c>
      <c r="D130" s="4" t="s">
        <v>25</v>
      </c>
      <c r="E130" s="4" t="s">
        <v>25</v>
      </c>
      <c r="F130" s="4" t="s">
        <v>25</v>
      </c>
      <c r="G130" s="4" t="s">
        <v>88</v>
      </c>
      <c r="H130" s="4" t="s">
        <v>25</v>
      </c>
      <c r="I130" s="5">
        <v>44378</v>
      </c>
      <c r="J130" s="6">
        <v>19500</v>
      </c>
      <c r="K130" s="6">
        <v>9750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66</v>
      </c>
      <c r="R130" s="4">
        <v>27722</v>
      </c>
      <c r="S130" s="4">
        <v>20</v>
      </c>
      <c r="T130" s="4">
        <v>0</v>
      </c>
      <c r="U130" s="4">
        <v>0</v>
      </c>
      <c r="V130" s="6">
        <f>IF(ISERROR(VLOOKUP($S$130,'TAR FIN'!$A$1:$O$116,15,0)),0,VLOOKUP($S$130,'TAR FIN'!$A$1:$O$116,15,0))</f>
        <v>17.920000000000002</v>
      </c>
      <c r="W130" s="6">
        <f>IF(ISERROR(VLOOKUP($T$130,'TAR FIN'!$A$1:$O$116,15,0)),0,VLOOKUP($T$130,'TAR FIN'!$A$1:$O$116,15,0))</f>
        <v>0</v>
      </c>
      <c r="X130" s="6">
        <f>IF(ISERROR(VLOOKUP($U$130,'TAR FIN'!$A$1:$O$116,15,0)),0,VLOOKUP($U$130,'TAR FIN'!$A$1:$O$116,15,0))</f>
        <v>0</v>
      </c>
      <c r="Y130" s="6">
        <f ca="1">('TUSD BE'!$AM$24+'TUSD BF'!$AM$24+'TUSD CVA'!$AM$24)*1</f>
        <v>21.034406725438203</v>
      </c>
      <c r="Z130" s="6"/>
      <c r="AA130" s="6"/>
      <c r="AB130" s="6">
        <f t="shared" ref="AB130:AB193" si="10">(J130-K130)*V130</f>
        <v>174720.00000000003</v>
      </c>
      <c r="AC130" s="6">
        <f t="shared" ref="AC130:AC193" si="11">(L130-M130)*W130+(N130-O130)*X130</f>
        <v>0</v>
      </c>
      <c r="AD130" s="6">
        <f t="shared" ref="AD130:AD193" ca="1" si="12">(J130-K130)*Y130</f>
        <v>205085.46557302246</v>
      </c>
      <c r="AE130" s="6">
        <f t="shared" ref="AE130:AE193" si="13">(L130-M130)*Z130+(N130-O130)*AA130</f>
        <v>0</v>
      </c>
      <c r="AF130" s="4" t="s">
        <v>1112</v>
      </c>
    </row>
    <row r="131" spans="1:32" ht="11.25" customHeight="1" x14ac:dyDescent="0.25">
      <c r="A131" s="4" t="s">
        <v>21</v>
      </c>
      <c r="B131" s="4" t="s">
        <v>39</v>
      </c>
      <c r="C131" s="4" t="s">
        <v>64</v>
      </c>
      <c r="D131" s="4" t="s">
        <v>25</v>
      </c>
      <c r="E131" s="4" t="s">
        <v>25</v>
      </c>
      <c r="F131" s="4" t="s">
        <v>25</v>
      </c>
      <c r="G131" s="4" t="s">
        <v>91</v>
      </c>
      <c r="H131" s="4" t="s">
        <v>25</v>
      </c>
      <c r="I131" s="5">
        <v>44378</v>
      </c>
      <c r="J131" s="6">
        <v>22400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66</v>
      </c>
      <c r="R131" s="4">
        <v>27958</v>
      </c>
      <c r="S131" s="4">
        <v>20</v>
      </c>
      <c r="T131" s="4">
        <v>0</v>
      </c>
      <c r="U131" s="4">
        <v>0</v>
      </c>
      <c r="V131" s="6">
        <f>IF(ISERROR(VLOOKUP($S$131,'TAR FIN'!$A$1:$O$116,15,0)),0,VLOOKUP($S$131,'TAR FIN'!$A$1:$O$116,15,0))</f>
        <v>17.920000000000002</v>
      </c>
      <c r="W131" s="6">
        <f>IF(ISERROR(VLOOKUP($T$131,'TAR FIN'!$A$1:$O$116,15,0)),0,VLOOKUP($T$131,'TAR FIN'!$A$1:$O$116,15,0))</f>
        <v>0</v>
      </c>
      <c r="X131" s="6">
        <f>IF(ISERROR(VLOOKUP($U$131,'TAR FIN'!$A$1:$O$116,15,0)),0,VLOOKUP($U$131,'TAR FIN'!$A$1:$O$116,15,0))</f>
        <v>0</v>
      </c>
      <c r="Y131" s="6">
        <f ca="1">('TUSD BE'!$AM$24+'TUSD BF'!$AM$24+'TUSD CVA'!$AM$24)*1</f>
        <v>21.034406725438203</v>
      </c>
      <c r="Z131" s="6"/>
      <c r="AA131" s="6"/>
      <c r="AB131" s="6">
        <f t="shared" si="10"/>
        <v>401408.00000000006</v>
      </c>
      <c r="AC131" s="6">
        <f t="shared" si="11"/>
        <v>0</v>
      </c>
      <c r="AD131" s="6">
        <f t="shared" ca="1" si="12"/>
        <v>471170.71064981574</v>
      </c>
      <c r="AE131" s="6">
        <f t="shared" si="13"/>
        <v>0</v>
      </c>
      <c r="AF131" s="4" t="s">
        <v>1112</v>
      </c>
    </row>
    <row r="132" spans="1:32" ht="11.25" customHeight="1" x14ac:dyDescent="0.25">
      <c r="A132" s="4" t="s">
        <v>21</v>
      </c>
      <c r="B132" s="4" t="s">
        <v>39</v>
      </c>
      <c r="C132" s="4" t="s">
        <v>64</v>
      </c>
      <c r="D132" s="4" t="s">
        <v>25</v>
      </c>
      <c r="E132" s="4" t="s">
        <v>25</v>
      </c>
      <c r="F132" s="4" t="s">
        <v>25</v>
      </c>
      <c r="G132" s="4" t="s">
        <v>71</v>
      </c>
      <c r="H132" s="4" t="s">
        <v>25</v>
      </c>
      <c r="I132" s="5">
        <v>44409</v>
      </c>
      <c r="J132" s="6">
        <v>13720</v>
      </c>
      <c r="K132" s="6">
        <v>6860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66</v>
      </c>
      <c r="R132" s="4">
        <v>1034</v>
      </c>
      <c r="S132" s="4">
        <v>20</v>
      </c>
      <c r="T132" s="4">
        <v>0</v>
      </c>
      <c r="U132" s="4">
        <v>0</v>
      </c>
      <c r="V132" s="6">
        <f>IF(ISERROR(VLOOKUP($S$132,'TAR FIN'!$A$1:$O$116,15,0)),0,VLOOKUP($S$132,'TAR FIN'!$A$1:$O$116,15,0))</f>
        <v>17.920000000000002</v>
      </c>
      <c r="W132" s="6">
        <f>IF(ISERROR(VLOOKUP($T$132,'TAR FIN'!$A$1:$O$116,15,0)),0,VLOOKUP($T$132,'TAR FIN'!$A$1:$O$116,15,0))</f>
        <v>0</v>
      </c>
      <c r="X132" s="6">
        <f>IF(ISERROR(VLOOKUP($U$132,'TAR FIN'!$A$1:$O$116,15,0)),0,VLOOKUP($U$132,'TAR FIN'!$A$1:$O$116,15,0))</f>
        <v>0</v>
      </c>
      <c r="Y132" s="6">
        <f ca="1">('TUSD BE'!$AM$24+'TUSD BF'!$AM$24+'TUSD CVA'!$AM$24)*1</f>
        <v>21.034406725438203</v>
      </c>
      <c r="Z132" s="6"/>
      <c r="AA132" s="6"/>
      <c r="AB132" s="6">
        <f t="shared" si="10"/>
        <v>122931.20000000001</v>
      </c>
      <c r="AC132" s="6">
        <f t="shared" si="11"/>
        <v>0</v>
      </c>
      <c r="AD132" s="6">
        <f t="shared" ca="1" si="12"/>
        <v>144296.03013650607</v>
      </c>
      <c r="AE132" s="6">
        <f t="shared" si="13"/>
        <v>0</v>
      </c>
      <c r="AF132" s="4" t="s">
        <v>1112</v>
      </c>
    </row>
    <row r="133" spans="1:32" ht="11.25" customHeight="1" x14ac:dyDescent="0.25">
      <c r="A133" s="4" t="s">
        <v>21</v>
      </c>
      <c r="B133" s="4" t="s">
        <v>39</v>
      </c>
      <c r="C133" s="4" t="s">
        <v>64</v>
      </c>
      <c r="D133" s="4" t="s">
        <v>25</v>
      </c>
      <c r="E133" s="4" t="s">
        <v>25</v>
      </c>
      <c r="F133" s="4" t="s">
        <v>25</v>
      </c>
      <c r="G133" s="4" t="s">
        <v>84</v>
      </c>
      <c r="H133" s="4" t="s">
        <v>25</v>
      </c>
      <c r="I133" s="5">
        <v>44409</v>
      </c>
      <c r="J133" s="6">
        <v>6970</v>
      </c>
      <c r="K133" s="6">
        <v>6970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66</v>
      </c>
      <c r="R133" s="4">
        <v>27034</v>
      </c>
      <c r="S133" s="4">
        <v>20</v>
      </c>
      <c r="T133" s="4">
        <v>0</v>
      </c>
      <c r="U133" s="4">
        <v>0</v>
      </c>
      <c r="V133" s="6">
        <f>IF(ISERROR(VLOOKUP($S$133,'TAR FIN'!$A$1:$O$116,15,0)),0,VLOOKUP($S$133,'TAR FIN'!$A$1:$O$116,15,0))</f>
        <v>17.920000000000002</v>
      </c>
      <c r="W133" s="6">
        <f>IF(ISERROR(VLOOKUP($T$133,'TAR FIN'!$A$1:$O$116,15,0)),0,VLOOKUP($T$133,'TAR FIN'!$A$1:$O$116,15,0))</f>
        <v>0</v>
      </c>
      <c r="X133" s="6">
        <f>IF(ISERROR(VLOOKUP($U$133,'TAR FIN'!$A$1:$O$116,15,0)),0,VLOOKUP($U$133,'TAR FIN'!$A$1:$O$116,15,0))</f>
        <v>0</v>
      </c>
      <c r="Y133" s="6">
        <f ca="1">('TUSD BE'!$AM$24+'TUSD BF'!$AM$24+'TUSD CVA'!$AM$24)*1</f>
        <v>21.034406725438203</v>
      </c>
      <c r="Z133" s="6"/>
      <c r="AA133" s="6"/>
      <c r="AB133" s="6">
        <f t="shared" si="10"/>
        <v>0</v>
      </c>
      <c r="AC133" s="6">
        <f t="shared" si="11"/>
        <v>0</v>
      </c>
      <c r="AD133" s="6">
        <f t="shared" ca="1" si="12"/>
        <v>0</v>
      </c>
      <c r="AE133" s="6">
        <f t="shared" si="13"/>
        <v>0</v>
      </c>
      <c r="AF133" s="4" t="s">
        <v>1112</v>
      </c>
    </row>
    <row r="134" spans="1:32" ht="11.25" customHeight="1" x14ac:dyDescent="0.25">
      <c r="A134" s="4" t="s">
        <v>21</v>
      </c>
      <c r="B134" s="4" t="s">
        <v>39</v>
      </c>
      <c r="C134" s="4" t="s">
        <v>64</v>
      </c>
      <c r="D134" s="4" t="s">
        <v>25</v>
      </c>
      <c r="E134" s="4" t="s">
        <v>25</v>
      </c>
      <c r="F134" s="4" t="s">
        <v>25</v>
      </c>
      <c r="G134" s="4" t="s">
        <v>85</v>
      </c>
      <c r="H134" s="4" t="s">
        <v>25</v>
      </c>
      <c r="I134" s="5">
        <v>44409</v>
      </c>
      <c r="J134" s="6">
        <v>9600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66</v>
      </c>
      <c r="R134" s="4">
        <v>27207</v>
      </c>
      <c r="S134" s="4">
        <v>20</v>
      </c>
      <c r="T134" s="4">
        <v>0</v>
      </c>
      <c r="U134" s="4">
        <v>0</v>
      </c>
      <c r="V134" s="6">
        <f>IF(ISERROR(VLOOKUP($S$134,'TAR FIN'!$A$1:$O$116,15,0)),0,VLOOKUP($S$134,'TAR FIN'!$A$1:$O$116,15,0))</f>
        <v>17.920000000000002</v>
      </c>
      <c r="W134" s="6">
        <f>IF(ISERROR(VLOOKUP($T$134,'TAR FIN'!$A$1:$O$116,15,0)),0,VLOOKUP($T$134,'TAR FIN'!$A$1:$O$116,15,0))</f>
        <v>0</v>
      </c>
      <c r="X134" s="6">
        <f>IF(ISERROR(VLOOKUP($U$134,'TAR FIN'!$A$1:$O$116,15,0)),0,VLOOKUP($U$134,'TAR FIN'!$A$1:$O$116,15,0))</f>
        <v>0</v>
      </c>
      <c r="Y134" s="6">
        <f ca="1">('TUSD BE'!$AM$24+'TUSD BF'!$AM$24+'TUSD CVA'!$AM$24)*1</f>
        <v>21.034406725438203</v>
      </c>
      <c r="Z134" s="6"/>
      <c r="AA134" s="6"/>
      <c r="AB134" s="6">
        <f t="shared" si="10"/>
        <v>172032.00000000003</v>
      </c>
      <c r="AC134" s="6">
        <f t="shared" si="11"/>
        <v>0</v>
      </c>
      <c r="AD134" s="6">
        <f t="shared" ca="1" si="12"/>
        <v>201930.30456420674</v>
      </c>
      <c r="AE134" s="6">
        <f t="shared" si="13"/>
        <v>0</v>
      </c>
      <c r="AF134" s="4" t="s">
        <v>1112</v>
      </c>
    </row>
    <row r="135" spans="1:32" ht="11.25" customHeight="1" x14ac:dyDescent="0.25">
      <c r="A135" s="4" t="s">
        <v>21</v>
      </c>
      <c r="B135" s="4" t="s">
        <v>39</v>
      </c>
      <c r="C135" s="4" t="s">
        <v>64</v>
      </c>
      <c r="D135" s="4" t="s">
        <v>25</v>
      </c>
      <c r="E135" s="4" t="s">
        <v>25</v>
      </c>
      <c r="F135" s="4" t="s">
        <v>25</v>
      </c>
      <c r="G135" s="4" t="s">
        <v>88</v>
      </c>
      <c r="H135" s="4" t="s">
        <v>25</v>
      </c>
      <c r="I135" s="5">
        <v>44409</v>
      </c>
      <c r="J135" s="6">
        <v>19500</v>
      </c>
      <c r="K135" s="6">
        <v>9750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66</v>
      </c>
      <c r="R135" s="4">
        <v>27722</v>
      </c>
      <c r="S135" s="4">
        <v>20</v>
      </c>
      <c r="T135" s="4">
        <v>0</v>
      </c>
      <c r="U135" s="4">
        <v>0</v>
      </c>
      <c r="V135" s="6">
        <f>IF(ISERROR(VLOOKUP($S$135,'TAR FIN'!$A$1:$O$116,15,0)),0,VLOOKUP($S$135,'TAR FIN'!$A$1:$O$116,15,0))</f>
        <v>17.920000000000002</v>
      </c>
      <c r="W135" s="6">
        <f>IF(ISERROR(VLOOKUP($T$135,'TAR FIN'!$A$1:$O$116,15,0)),0,VLOOKUP($T$135,'TAR FIN'!$A$1:$O$116,15,0))</f>
        <v>0</v>
      </c>
      <c r="X135" s="6">
        <f>IF(ISERROR(VLOOKUP($U$135,'TAR FIN'!$A$1:$O$116,15,0)),0,VLOOKUP($U$135,'TAR FIN'!$A$1:$O$116,15,0))</f>
        <v>0</v>
      </c>
      <c r="Y135" s="6">
        <f ca="1">('TUSD BE'!$AM$24+'TUSD BF'!$AM$24+'TUSD CVA'!$AM$24)*1</f>
        <v>21.034406725438203</v>
      </c>
      <c r="Z135" s="6"/>
      <c r="AA135" s="6"/>
      <c r="AB135" s="6">
        <f t="shared" si="10"/>
        <v>174720.00000000003</v>
      </c>
      <c r="AC135" s="6">
        <f t="shared" si="11"/>
        <v>0</v>
      </c>
      <c r="AD135" s="6">
        <f t="shared" ca="1" si="12"/>
        <v>205085.46557302246</v>
      </c>
      <c r="AE135" s="6">
        <f t="shared" si="13"/>
        <v>0</v>
      </c>
      <c r="AF135" s="4" t="s">
        <v>1112</v>
      </c>
    </row>
    <row r="136" spans="1:32" ht="11.25" customHeight="1" x14ac:dyDescent="0.25">
      <c r="A136" s="4" t="s">
        <v>21</v>
      </c>
      <c r="B136" s="4" t="s">
        <v>39</v>
      </c>
      <c r="C136" s="4" t="s">
        <v>64</v>
      </c>
      <c r="D136" s="4" t="s">
        <v>25</v>
      </c>
      <c r="E136" s="4" t="s">
        <v>25</v>
      </c>
      <c r="F136" s="4" t="s">
        <v>25</v>
      </c>
      <c r="G136" s="4" t="s">
        <v>91</v>
      </c>
      <c r="H136" s="4" t="s">
        <v>25</v>
      </c>
      <c r="I136" s="5">
        <v>44409</v>
      </c>
      <c r="J136" s="6">
        <v>22400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66</v>
      </c>
      <c r="R136" s="4">
        <v>27958</v>
      </c>
      <c r="S136" s="4">
        <v>20</v>
      </c>
      <c r="T136" s="4">
        <v>0</v>
      </c>
      <c r="U136" s="4">
        <v>0</v>
      </c>
      <c r="V136" s="6">
        <f>IF(ISERROR(VLOOKUP($S$136,'TAR FIN'!$A$1:$O$116,15,0)),0,VLOOKUP($S$136,'TAR FIN'!$A$1:$O$116,15,0))</f>
        <v>17.920000000000002</v>
      </c>
      <c r="W136" s="6">
        <f>IF(ISERROR(VLOOKUP($T$136,'TAR FIN'!$A$1:$O$116,15,0)),0,VLOOKUP($T$136,'TAR FIN'!$A$1:$O$116,15,0))</f>
        <v>0</v>
      </c>
      <c r="X136" s="6">
        <f>IF(ISERROR(VLOOKUP($U$136,'TAR FIN'!$A$1:$O$116,15,0)),0,VLOOKUP($U$136,'TAR FIN'!$A$1:$O$116,15,0))</f>
        <v>0</v>
      </c>
      <c r="Y136" s="6">
        <f ca="1">('TUSD BE'!$AM$24+'TUSD BF'!$AM$24+'TUSD CVA'!$AM$24)*1</f>
        <v>21.034406725438203</v>
      </c>
      <c r="Z136" s="6"/>
      <c r="AA136" s="6"/>
      <c r="AB136" s="6">
        <f t="shared" si="10"/>
        <v>401408.00000000006</v>
      </c>
      <c r="AC136" s="6">
        <f t="shared" si="11"/>
        <v>0</v>
      </c>
      <c r="AD136" s="6">
        <f t="shared" ca="1" si="12"/>
        <v>471170.71064981574</v>
      </c>
      <c r="AE136" s="6">
        <f t="shared" si="13"/>
        <v>0</v>
      </c>
      <c r="AF136" s="4" t="s">
        <v>1112</v>
      </c>
    </row>
    <row r="137" spans="1:32" ht="11.25" customHeight="1" x14ac:dyDescent="0.25">
      <c r="A137" s="4" t="s">
        <v>21</v>
      </c>
      <c r="B137" s="4" t="s">
        <v>39</v>
      </c>
      <c r="C137" s="4" t="s">
        <v>64</v>
      </c>
      <c r="D137" s="4" t="s">
        <v>25</v>
      </c>
      <c r="E137" s="4" t="s">
        <v>25</v>
      </c>
      <c r="F137" s="4" t="s">
        <v>25</v>
      </c>
      <c r="G137" s="4" t="s">
        <v>71</v>
      </c>
      <c r="H137" s="4" t="s">
        <v>25</v>
      </c>
      <c r="I137" s="5">
        <v>44440</v>
      </c>
      <c r="J137" s="6">
        <v>13720</v>
      </c>
      <c r="K137" s="6">
        <v>6860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66</v>
      </c>
      <c r="R137" s="4">
        <v>1034</v>
      </c>
      <c r="S137" s="4">
        <v>20</v>
      </c>
      <c r="T137" s="4">
        <v>0</v>
      </c>
      <c r="U137" s="4">
        <v>0</v>
      </c>
      <c r="V137" s="6">
        <f>IF(ISERROR(VLOOKUP($S$137,'TAR FIN'!$A$1:$O$116,15,0)),0,VLOOKUP($S$137,'TAR FIN'!$A$1:$O$116,15,0))</f>
        <v>17.920000000000002</v>
      </c>
      <c r="W137" s="6">
        <f>IF(ISERROR(VLOOKUP($T$137,'TAR FIN'!$A$1:$O$116,15,0)),0,VLOOKUP($T$137,'TAR FIN'!$A$1:$O$116,15,0))</f>
        <v>0</v>
      </c>
      <c r="X137" s="6">
        <f>IF(ISERROR(VLOOKUP($U$137,'TAR FIN'!$A$1:$O$116,15,0)),0,VLOOKUP($U$137,'TAR FIN'!$A$1:$O$116,15,0))</f>
        <v>0</v>
      </c>
      <c r="Y137" s="6">
        <f ca="1">('TUSD BE'!$AM$24+'TUSD BF'!$AM$24+'TUSD CVA'!$AM$24)*1</f>
        <v>21.034406725438203</v>
      </c>
      <c r="Z137" s="6"/>
      <c r="AA137" s="6"/>
      <c r="AB137" s="6">
        <f t="shared" si="10"/>
        <v>122931.20000000001</v>
      </c>
      <c r="AC137" s="6">
        <f t="shared" si="11"/>
        <v>0</v>
      </c>
      <c r="AD137" s="6">
        <f t="shared" ca="1" si="12"/>
        <v>144296.03013650607</v>
      </c>
      <c r="AE137" s="6">
        <f t="shared" si="13"/>
        <v>0</v>
      </c>
      <c r="AF137" s="4" t="s">
        <v>1112</v>
      </c>
    </row>
    <row r="138" spans="1:32" ht="11.25" customHeight="1" x14ac:dyDescent="0.25">
      <c r="A138" s="4" t="s">
        <v>21</v>
      </c>
      <c r="B138" s="4" t="s">
        <v>39</v>
      </c>
      <c r="C138" s="4" t="s">
        <v>64</v>
      </c>
      <c r="D138" s="4" t="s">
        <v>25</v>
      </c>
      <c r="E138" s="4" t="s">
        <v>25</v>
      </c>
      <c r="F138" s="4" t="s">
        <v>25</v>
      </c>
      <c r="G138" s="4" t="s">
        <v>84</v>
      </c>
      <c r="H138" s="4" t="s">
        <v>25</v>
      </c>
      <c r="I138" s="5">
        <v>44440</v>
      </c>
      <c r="J138" s="6">
        <v>6970</v>
      </c>
      <c r="K138" s="6">
        <v>6970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66</v>
      </c>
      <c r="R138" s="4">
        <v>27034</v>
      </c>
      <c r="S138" s="4">
        <v>20</v>
      </c>
      <c r="T138" s="4">
        <v>0</v>
      </c>
      <c r="U138" s="4">
        <v>0</v>
      </c>
      <c r="V138" s="6">
        <f>IF(ISERROR(VLOOKUP($S$138,'TAR FIN'!$A$1:$O$116,15,0)),0,VLOOKUP($S$138,'TAR FIN'!$A$1:$O$116,15,0))</f>
        <v>17.920000000000002</v>
      </c>
      <c r="W138" s="6">
        <f>IF(ISERROR(VLOOKUP($T$138,'TAR FIN'!$A$1:$O$116,15,0)),0,VLOOKUP($T$138,'TAR FIN'!$A$1:$O$116,15,0))</f>
        <v>0</v>
      </c>
      <c r="X138" s="6">
        <f>IF(ISERROR(VLOOKUP($U$138,'TAR FIN'!$A$1:$O$116,15,0)),0,VLOOKUP($U$138,'TAR FIN'!$A$1:$O$116,15,0))</f>
        <v>0</v>
      </c>
      <c r="Y138" s="6">
        <f ca="1">('TUSD BE'!$AM$24+'TUSD BF'!$AM$24+'TUSD CVA'!$AM$24)*1</f>
        <v>21.034406725438203</v>
      </c>
      <c r="Z138" s="6"/>
      <c r="AA138" s="6"/>
      <c r="AB138" s="6">
        <f t="shared" si="10"/>
        <v>0</v>
      </c>
      <c r="AC138" s="6">
        <f t="shared" si="11"/>
        <v>0</v>
      </c>
      <c r="AD138" s="6">
        <f t="shared" ca="1" si="12"/>
        <v>0</v>
      </c>
      <c r="AE138" s="6">
        <f t="shared" si="13"/>
        <v>0</v>
      </c>
      <c r="AF138" s="4" t="s">
        <v>1112</v>
      </c>
    </row>
    <row r="139" spans="1:32" ht="11.25" customHeight="1" x14ac:dyDescent="0.25">
      <c r="A139" s="4" t="s">
        <v>21</v>
      </c>
      <c r="B139" s="4" t="s">
        <v>39</v>
      </c>
      <c r="C139" s="4" t="s">
        <v>64</v>
      </c>
      <c r="D139" s="4" t="s">
        <v>25</v>
      </c>
      <c r="E139" s="4" t="s">
        <v>25</v>
      </c>
      <c r="F139" s="4" t="s">
        <v>25</v>
      </c>
      <c r="G139" s="4" t="s">
        <v>85</v>
      </c>
      <c r="H139" s="4" t="s">
        <v>25</v>
      </c>
      <c r="I139" s="5">
        <v>44440</v>
      </c>
      <c r="J139" s="6">
        <v>9600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66</v>
      </c>
      <c r="R139" s="4">
        <v>27207</v>
      </c>
      <c r="S139" s="4">
        <v>20</v>
      </c>
      <c r="T139" s="4">
        <v>0</v>
      </c>
      <c r="U139" s="4">
        <v>0</v>
      </c>
      <c r="V139" s="6">
        <f>IF(ISERROR(VLOOKUP($S$139,'TAR FIN'!$A$1:$O$116,15,0)),0,VLOOKUP($S$139,'TAR FIN'!$A$1:$O$116,15,0))</f>
        <v>17.920000000000002</v>
      </c>
      <c r="W139" s="6">
        <f>IF(ISERROR(VLOOKUP($T$139,'TAR FIN'!$A$1:$O$116,15,0)),0,VLOOKUP($T$139,'TAR FIN'!$A$1:$O$116,15,0))</f>
        <v>0</v>
      </c>
      <c r="X139" s="6">
        <f>IF(ISERROR(VLOOKUP($U$139,'TAR FIN'!$A$1:$O$116,15,0)),0,VLOOKUP($U$139,'TAR FIN'!$A$1:$O$116,15,0))</f>
        <v>0</v>
      </c>
      <c r="Y139" s="6">
        <f ca="1">('TUSD BE'!$AM$24+'TUSD BF'!$AM$24+'TUSD CVA'!$AM$24)*1</f>
        <v>21.034406725438203</v>
      </c>
      <c r="Z139" s="6"/>
      <c r="AA139" s="6"/>
      <c r="AB139" s="6">
        <f t="shared" si="10"/>
        <v>172032.00000000003</v>
      </c>
      <c r="AC139" s="6">
        <f t="shared" si="11"/>
        <v>0</v>
      </c>
      <c r="AD139" s="6">
        <f t="shared" ca="1" si="12"/>
        <v>201930.30456420674</v>
      </c>
      <c r="AE139" s="6">
        <f t="shared" si="13"/>
        <v>0</v>
      </c>
      <c r="AF139" s="4" t="s">
        <v>1112</v>
      </c>
    </row>
    <row r="140" spans="1:32" ht="11.25" customHeight="1" x14ac:dyDescent="0.25">
      <c r="A140" s="4" t="s">
        <v>21</v>
      </c>
      <c r="B140" s="4" t="s">
        <v>39</v>
      </c>
      <c r="C140" s="4" t="s">
        <v>64</v>
      </c>
      <c r="D140" s="4" t="s">
        <v>25</v>
      </c>
      <c r="E140" s="4" t="s">
        <v>25</v>
      </c>
      <c r="F140" s="4" t="s">
        <v>25</v>
      </c>
      <c r="G140" s="4" t="s">
        <v>88</v>
      </c>
      <c r="H140" s="4" t="s">
        <v>25</v>
      </c>
      <c r="I140" s="5">
        <v>44440</v>
      </c>
      <c r="J140" s="6">
        <v>19500</v>
      </c>
      <c r="K140" s="6">
        <v>9750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66</v>
      </c>
      <c r="R140" s="4">
        <v>27722</v>
      </c>
      <c r="S140" s="4">
        <v>20</v>
      </c>
      <c r="T140" s="4">
        <v>0</v>
      </c>
      <c r="U140" s="4">
        <v>0</v>
      </c>
      <c r="V140" s="6">
        <f>IF(ISERROR(VLOOKUP($S$140,'TAR FIN'!$A$1:$O$116,15,0)),0,VLOOKUP($S$140,'TAR FIN'!$A$1:$O$116,15,0))</f>
        <v>17.920000000000002</v>
      </c>
      <c r="W140" s="6">
        <f>IF(ISERROR(VLOOKUP($T$140,'TAR FIN'!$A$1:$O$116,15,0)),0,VLOOKUP($T$140,'TAR FIN'!$A$1:$O$116,15,0))</f>
        <v>0</v>
      </c>
      <c r="X140" s="6">
        <f>IF(ISERROR(VLOOKUP($U$140,'TAR FIN'!$A$1:$O$116,15,0)),0,VLOOKUP($U$140,'TAR FIN'!$A$1:$O$116,15,0))</f>
        <v>0</v>
      </c>
      <c r="Y140" s="6">
        <f ca="1">('TUSD BE'!$AM$24+'TUSD BF'!$AM$24+'TUSD CVA'!$AM$24)*1</f>
        <v>21.034406725438203</v>
      </c>
      <c r="Z140" s="6"/>
      <c r="AA140" s="6"/>
      <c r="AB140" s="6">
        <f t="shared" si="10"/>
        <v>174720.00000000003</v>
      </c>
      <c r="AC140" s="6">
        <f t="shared" si="11"/>
        <v>0</v>
      </c>
      <c r="AD140" s="6">
        <f t="shared" ca="1" si="12"/>
        <v>205085.46557302246</v>
      </c>
      <c r="AE140" s="6">
        <f t="shared" si="13"/>
        <v>0</v>
      </c>
      <c r="AF140" s="4" t="s">
        <v>1112</v>
      </c>
    </row>
    <row r="141" spans="1:32" ht="11.25" customHeight="1" x14ac:dyDescent="0.25">
      <c r="A141" s="4" t="s">
        <v>21</v>
      </c>
      <c r="B141" s="4" t="s">
        <v>39</v>
      </c>
      <c r="C141" s="4" t="s">
        <v>64</v>
      </c>
      <c r="D141" s="4" t="s">
        <v>25</v>
      </c>
      <c r="E141" s="4" t="s">
        <v>25</v>
      </c>
      <c r="F141" s="4" t="s">
        <v>25</v>
      </c>
      <c r="G141" s="4" t="s">
        <v>91</v>
      </c>
      <c r="H141" s="4" t="s">
        <v>25</v>
      </c>
      <c r="I141" s="5">
        <v>44440</v>
      </c>
      <c r="J141" s="6">
        <v>22400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66</v>
      </c>
      <c r="R141" s="4">
        <v>27958</v>
      </c>
      <c r="S141" s="4">
        <v>20</v>
      </c>
      <c r="T141" s="4">
        <v>0</v>
      </c>
      <c r="U141" s="4">
        <v>0</v>
      </c>
      <c r="V141" s="6">
        <f>IF(ISERROR(VLOOKUP($S$141,'TAR FIN'!$A$1:$O$116,15,0)),0,VLOOKUP($S$141,'TAR FIN'!$A$1:$O$116,15,0))</f>
        <v>17.920000000000002</v>
      </c>
      <c r="W141" s="6">
        <f>IF(ISERROR(VLOOKUP($T$141,'TAR FIN'!$A$1:$O$116,15,0)),0,VLOOKUP($T$141,'TAR FIN'!$A$1:$O$116,15,0))</f>
        <v>0</v>
      </c>
      <c r="X141" s="6">
        <f>IF(ISERROR(VLOOKUP($U$141,'TAR FIN'!$A$1:$O$116,15,0)),0,VLOOKUP($U$141,'TAR FIN'!$A$1:$O$116,15,0))</f>
        <v>0</v>
      </c>
      <c r="Y141" s="6">
        <f ca="1">('TUSD BE'!$AM$24+'TUSD BF'!$AM$24+'TUSD CVA'!$AM$24)*1</f>
        <v>21.034406725438203</v>
      </c>
      <c r="Z141" s="6"/>
      <c r="AA141" s="6"/>
      <c r="AB141" s="6">
        <f t="shared" si="10"/>
        <v>401408.00000000006</v>
      </c>
      <c r="AC141" s="6">
        <f t="shared" si="11"/>
        <v>0</v>
      </c>
      <c r="AD141" s="6">
        <f t="shared" ca="1" si="12"/>
        <v>471170.71064981574</v>
      </c>
      <c r="AE141" s="6">
        <f t="shared" si="13"/>
        <v>0</v>
      </c>
      <c r="AF141" s="4" t="s">
        <v>1112</v>
      </c>
    </row>
    <row r="142" spans="1:32" ht="11.25" customHeight="1" x14ac:dyDescent="0.25">
      <c r="A142" s="4" t="s">
        <v>21</v>
      </c>
      <c r="B142" s="4" t="s">
        <v>39</v>
      </c>
      <c r="C142" s="4" t="s">
        <v>64</v>
      </c>
      <c r="D142" s="4" t="s">
        <v>25</v>
      </c>
      <c r="E142" s="4" t="s">
        <v>25</v>
      </c>
      <c r="F142" s="4" t="s">
        <v>25</v>
      </c>
      <c r="G142" s="4" t="s">
        <v>71</v>
      </c>
      <c r="H142" s="4" t="s">
        <v>25</v>
      </c>
      <c r="I142" s="5">
        <v>44470</v>
      </c>
      <c r="J142" s="6">
        <v>13720</v>
      </c>
      <c r="K142" s="6">
        <v>6860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66</v>
      </c>
      <c r="R142" s="4">
        <v>1034</v>
      </c>
      <c r="S142" s="4">
        <v>20</v>
      </c>
      <c r="T142" s="4">
        <v>0</v>
      </c>
      <c r="U142" s="4">
        <v>0</v>
      </c>
      <c r="V142" s="6">
        <f>IF(ISERROR(VLOOKUP($S$142,'TAR FIN'!$A$1:$O$116,15,0)),0,VLOOKUP($S$142,'TAR FIN'!$A$1:$O$116,15,0))</f>
        <v>17.920000000000002</v>
      </c>
      <c r="W142" s="6">
        <f>IF(ISERROR(VLOOKUP($T$142,'TAR FIN'!$A$1:$O$116,15,0)),0,VLOOKUP($T$142,'TAR FIN'!$A$1:$O$116,15,0))</f>
        <v>0</v>
      </c>
      <c r="X142" s="6">
        <f>IF(ISERROR(VLOOKUP($U$142,'TAR FIN'!$A$1:$O$116,15,0)),0,VLOOKUP($U$142,'TAR FIN'!$A$1:$O$116,15,0))</f>
        <v>0</v>
      </c>
      <c r="Y142" s="6">
        <f ca="1">('TUSD BE'!$AM$24+'TUSD BF'!$AM$24+'TUSD CVA'!$AM$24)*1</f>
        <v>21.034406725438203</v>
      </c>
      <c r="Z142" s="6"/>
      <c r="AA142" s="6"/>
      <c r="AB142" s="6">
        <f t="shared" si="10"/>
        <v>122931.20000000001</v>
      </c>
      <c r="AC142" s="6">
        <f t="shared" si="11"/>
        <v>0</v>
      </c>
      <c r="AD142" s="6">
        <f t="shared" ca="1" si="12"/>
        <v>144296.03013650607</v>
      </c>
      <c r="AE142" s="6">
        <f t="shared" si="13"/>
        <v>0</v>
      </c>
      <c r="AF142" s="4" t="s">
        <v>1112</v>
      </c>
    </row>
    <row r="143" spans="1:32" ht="11.25" customHeight="1" x14ac:dyDescent="0.25">
      <c r="A143" s="4" t="s">
        <v>21</v>
      </c>
      <c r="B143" s="4" t="s">
        <v>39</v>
      </c>
      <c r="C143" s="4" t="s">
        <v>64</v>
      </c>
      <c r="D143" s="4" t="s">
        <v>25</v>
      </c>
      <c r="E143" s="4" t="s">
        <v>25</v>
      </c>
      <c r="F143" s="4" t="s">
        <v>25</v>
      </c>
      <c r="G143" s="4" t="s">
        <v>84</v>
      </c>
      <c r="H143" s="4" t="s">
        <v>25</v>
      </c>
      <c r="I143" s="5">
        <v>44470</v>
      </c>
      <c r="J143" s="6">
        <v>6970</v>
      </c>
      <c r="K143" s="6">
        <v>6970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66</v>
      </c>
      <c r="R143" s="4">
        <v>27034</v>
      </c>
      <c r="S143" s="4">
        <v>20</v>
      </c>
      <c r="T143" s="4">
        <v>0</v>
      </c>
      <c r="U143" s="4">
        <v>0</v>
      </c>
      <c r="V143" s="6">
        <f>IF(ISERROR(VLOOKUP($S$143,'TAR FIN'!$A$1:$O$116,15,0)),0,VLOOKUP($S$143,'TAR FIN'!$A$1:$O$116,15,0))</f>
        <v>17.920000000000002</v>
      </c>
      <c r="W143" s="6">
        <f>IF(ISERROR(VLOOKUP($T$143,'TAR FIN'!$A$1:$O$116,15,0)),0,VLOOKUP($T$143,'TAR FIN'!$A$1:$O$116,15,0))</f>
        <v>0</v>
      </c>
      <c r="X143" s="6">
        <f>IF(ISERROR(VLOOKUP($U$143,'TAR FIN'!$A$1:$O$116,15,0)),0,VLOOKUP($U$143,'TAR FIN'!$A$1:$O$116,15,0))</f>
        <v>0</v>
      </c>
      <c r="Y143" s="6">
        <f ca="1">('TUSD BE'!$AM$24+'TUSD BF'!$AM$24+'TUSD CVA'!$AM$24)*1</f>
        <v>21.034406725438203</v>
      </c>
      <c r="Z143" s="6"/>
      <c r="AA143" s="6"/>
      <c r="AB143" s="6">
        <f t="shared" si="10"/>
        <v>0</v>
      </c>
      <c r="AC143" s="6">
        <f t="shared" si="11"/>
        <v>0</v>
      </c>
      <c r="AD143" s="6">
        <f t="shared" ca="1" si="12"/>
        <v>0</v>
      </c>
      <c r="AE143" s="6">
        <f t="shared" si="13"/>
        <v>0</v>
      </c>
      <c r="AF143" s="4" t="s">
        <v>1112</v>
      </c>
    </row>
    <row r="144" spans="1:32" ht="11.25" customHeight="1" x14ac:dyDescent="0.25">
      <c r="A144" s="4" t="s">
        <v>21</v>
      </c>
      <c r="B144" s="4" t="s">
        <v>39</v>
      </c>
      <c r="C144" s="4" t="s">
        <v>64</v>
      </c>
      <c r="D144" s="4" t="s">
        <v>25</v>
      </c>
      <c r="E144" s="4" t="s">
        <v>25</v>
      </c>
      <c r="F144" s="4" t="s">
        <v>25</v>
      </c>
      <c r="G144" s="4" t="s">
        <v>85</v>
      </c>
      <c r="H144" s="4" t="s">
        <v>25</v>
      </c>
      <c r="I144" s="5">
        <v>44470</v>
      </c>
      <c r="J144" s="6">
        <v>9600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66</v>
      </c>
      <c r="R144" s="4">
        <v>27207</v>
      </c>
      <c r="S144" s="4">
        <v>20</v>
      </c>
      <c r="T144" s="4">
        <v>0</v>
      </c>
      <c r="U144" s="4">
        <v>0</v>
      </c>
      <c r="V144" s="6">
        <f>IF(ISERROR(VLOOKUP($S$144,'TAR FIN'!$A$1:$O$116,15,0)),0,VLOOKUP($S$144,'TAR FIN'!$A$1:$O$116,15,0))</f>
        <v>17.920000000000002</v>
      </c>
      <c r="W144" s="6">
        <f>IF(ISERROR(VLOOKUP($T$144,'TAR FIN'!$A$1:$O$116,15,0)),0,VLOOKUP($T$144,'TAR FIN'!$A$1:$O$116,15,0))</f>
        <v>0</v>
      </c>
      <c r="X144" s="6">
        <f>IF(ISERROR(VLOOKUP($U$144,'TAR FIN'!$A$1:$O$116,15,0)),0,VLOOKUP($U$144,'TAR FIN'!$A$1:$O$116,15,0))</f>
        <v>0</v>
      </c>
      <c r="Y144" s="6">
        <f ca="1">('TUSD BE'!$AM$24+'TUSD BF'!$AM$24+'TUSD CVA'!$AM$24)*1</f>
        <v>21.034406725438203</v>
      </c>
      <c r="Z144" s="6"/>
      <c r="AA144" s="6"/>
      <c r="AB144" s="6">
        <f t="shared" si="10"/>
        <v>172032.00000000003</v>
      </c>
      <c r="AC144" s="6">
        <f t="shared" si="11"/>
        <v>0</v>
      </c>
      <c r="AD144" s="6">
        <f t="shared" ca="1" si="12"/>
        <v>201930.30456420674</v>
      </c>
      <c r="AE144" s="6">
        <f t="shared" si="13"/>
        <v>0</v>
      </c>
      <c r="AF144" s="4" t="s">
        <v>1112</v>
      </c>
    </row>
    <row r="145" spans="1:32" ht="11.25" customHeight="1" x14ac:dyDescent="0.25">
      <c r="A145" s="4" t="s">
        <v>21</v>
      </c>
      <c r="B145" s="4" t="s">
        <v>39</v>
      </c>
      <c r="C145" s="4" t="s">
        <v>64</v>
      </c>
      <c r="D145" s="4" t="s">
        <v>25</v>
      </c>
      <c r="E145" s="4" t="s">
        <v>25</v>
      </c>
      <c r="F145" s="4" t="s">
        <v>25</v>
      </c>
      <c r="G145" s="4" t="s">
        <v>88</v>
      </c>
      <c r="H145" s="4" t="s">
        <v>25</v>
      </c>
      <c r="I145" s="5">
        <v>44470</v>
      </c>
      <c r="J145" s="6">
        <v>19500</v>
      </c>
      <c r="K145" s="6">
        <v>9750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66</v>
      </c>
      <c r="R145" s="4">
        <v>27722</v>
      </c>
      <c r="S145" s="4">
        <v>20</v>
      </c>
      <c r="T145" s="4">
        <v>0</v>
      </c>
      <c r="U145" s="4">
        <v>0</v>
      </c>
      <c r="V145" s="6">
        <f>IF(ISERROR(VLOOKUP($S$145,'TAR FIN'!$A$1:$O$116,15,0)),0,VLOOKUP($S$145,'TAR FIN'!$A$1:$O$116,15,0))</f>
        <v>17.920000000000002</v>
      </c>
      <c r="W145" s="6">
        <f>IF(ISERROR(VLOOKUP($T$145,'TAR FIN'!$A$1:$O$116,15,0)),0,VLOOKUP($T$145,'TAR FIN'!$A$1:$O$116,15,0))</f>
        <v>0</v>
      </c>
      <c r="X145" s="6">
        <f>IF(ISERROR(VLOOKUP($U$145,'TAR FIN'!$A$1:$O$116,15,0)),0,VLOOKUP($U$145,'TAR FIN'!$A$1:$O$116,15,0))</f>
        <v>0</v>
      </c>
      <c r="Y145" s="6">
        <f ca="1">('TUSD BE'!$AM$24+'TUSD BF'!$AM$24+'TUSD CVA'!$AM$24)*1</f>
        <v>21.034406725438203</v>
      </c>
      <c r="Z145" s="6"/>
      <c r="AA145" s="6"/>
      <c r="AB145" s="6">
        <f t="shared" si="10"/>
        <v>174720.00000000003</v>
      </c>
      <c r="AC145" s="6">
        <f t="shared" si="11"/>
        <v>0</v>
      </c>
      <c r="AD145" s="6">
        <f t="shared" ca="1" si="12"/>
        <v>205085.46557302246</v>
      </c>
      <c r="AE145" s="6">
        <f t="shared" si="13"/>
        <v>0</v>
      </c>
      <c r="AF145" s="4" t="s">
        <v>1112</v>
      </c>
    </row>
    <row r="146" spans="1:32" ht="11.25" customHeight="1" x14ac:dyDescent="0.25">
      <c r="A146" s="4" t="s">
        <v>21</v>
      </c>
      <c r="B146" s="4" t="s">
        <v>39</v>
      </c>
      <c r="C146" s="4" t="s">
        <v>64</v>
      </c>
      <c r="D146" s="4" t="s">
        <v>25</v>
      </c>
      <c r="E146" s="4" t="s">
        <v>25</v>
      </c>
      <c r="F146" s="4" t="s">
        <v>25</v>
      </c>
      <c r="G146" s="4" t="s">
        <v>91</v>
      </c>
      <c r="H146" s="4" t="s">
        <v>25</v>
      </c>
      <c r="I146" s="5">
        <v>44470</v>
      </c>
      <c r="J146" s="6">
        <v>22400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66</v>
      </c>
      <c r="R146" s="4">
        <v>27958</v>
      </c>
      <c r="S146" s="4">
        <v>20</v>
      </c>
      <c r="T146" s="4">
        <v>0</v>
      </c>
      <c r="U146" s="4">
        <v>0</v>
      </c>
      <c r="V146" s="6">
        <f>IF(ISERROR(VLOOKUP($S$146,'TAR FIN'!$A$1:$O$116,15,0)),0,VLOOKUP($S$146,'TAR FIN'!$A$1:$O$116,15,0))</f>
        <v>17.920000000000002</v>
      </c>
      <c r="W146" s="6">
        <f>IF(ISERROR(VLOOKUP($T$146,'TAR FIN'!$A$1:$O$116,15,0)),0,VLOOKUP($T$146,'TAR FIN'!$A$1:$O$116,15,0))</f>
        <v>0</v>
      </c>
      <c r="X146" s="6">
        <f>IF(ISERROR(VLOOKUP($U$146,'TAR FIN'!$A$1:$O$116,15,0)),0,VLOOKUP($U$146,'TAR FIN'!$A$1:$O$116,15,0))</f>
        <v>0</v>
      </c>
      <c r="Y146" s="6">
        <f ca="1">('TUSD BE'!$AM$24+'TUSD BF'!$AM$24+'TUSD CVA'!$AM$24)*1</f>
        <v>21.034406725438203</v>
      </c>
      <c r="Z146" s="6"/>
      <c r="AA146" s="6"/>
      <c r="AB146" s="6">
        <f t="shared" si="10"/>
        <v>401408.00000000006</v>
      </c>
      <c r="AC146" s="6">
        <f t="shared" si="11"/>
        <v>0</v>
      </c>
      <c r="AD146" s="6">
        <f t="shared" ca="1" si="12"/>
        <v>471170.71064981574</v>
      </c>
      <c r="AE146" s="6">
        <f t="shared" si="13"/>
        <v>0</v>
      </c>
      <c r="AF146" s="4" t="s">
        <v>1112</v>
      </c>
    </row>
    <row r="147" spans="1:32" ht="11.25" customHeight="1" x14ac:dyDescent="0.25">
      <c r="A147" s="4" t="s">
        <v>21</v>
      </c>
      <c r="B147" s="4" t="s">
        <v>39</v>
      </c>
      <c r="C147" s="4" t="s">
        <v>64</v>
      </c>
      <c r="D147" s="4" t="s">
        <v>25</v>
      </c>
      <c r="E147" s="4" t="s">
        <v>25</v>
      </c>
      <c r="F147" s="4" t="s">
        <v>25</v>
      </c>
      <c r="G147" s="4" t="s">
        <v>71</v>
      </c>
      <c r="H147" s="4" t="s">
        <v>25</v>
      </c>
      <c r="I147" s="5">
        <v>44501</v>
      </c>
      <c r="J147" s="6">
        <v>13720</v>
      </c>
      <c r="K147" s="6">
        <v>6860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66</v>
      </c>
      <c r="R147" s="4">
        <v>1034</v>
      </c>
      <c r="S147" s="4">
        <v>20</v>
      </c>
      <c r="T147" s="4">
        <v>0</v>
      </c>
      <c r="U147" s="4">
        <v>0</v>
      </c>
      <c r="V147" s="6">
        <f>IF(ISERROR(VLOOKUP($S$147,'TAR FIN'!$A$1:$O$116,15,0)),0,VLOOKUP($S$147,'TAR FIN'!$A$1:$O$116,15,0))</f>
        <v>17.920000000000002</v>
      </c>
      <c r="W147" s="6">
        <f>IF(ISERROR(VLOOKUP($T$147,'TAR FIN'!$A$1:$O$116,15,0)),0,VLOOKUP($T$147,'TAR FIN'!$A$1:$O$116,15,0))</f>
        <v>0</v>
      </c>
      <c r="X147" s="6">
        <f>IF(ISERROR(VLOOKUP($U$147,'TAR FIN'!$A$1:$O$116,15,0)),0,VLOOKUP($U$147,'TAR FIN'!$A$1:$O$116,15,0))</f>
        <v>0</v>
      </c>
      <c r="Y147" s="6">
        <f ca="1">('TUSD BE'!$AM$24+'TUSD BF'!$AM$24+'TUSD CVA'!$AM$24)*1</f>
        <v>21.034406725438203</v>
      </c>
      <c r="Z147" s="6"/>
      <c r="AA147" s="6"/>
      <c r="AB147" s="6">
        <f t="shared" si="10"/>
        <v>122931.20000000001</v>
      </c>
      <c r="AC147" s="6">
        <f t="shared" si="11"/>
        <v>0</v>
      </c>
      <c r="AD147" s="6">
        <f t="shared" ca="1" si="12"/>
        <v>144296.03013650607</v>
      </c>
      <c r="AE147" s="6">
        <f t="shared" si="13"/>
        <v>0</v>
      </c>
      <c r="AF147" s="4" t="s">
        <v>1112</v>
      </c>
    </row>
    <row r="148" spans="1:32" ht="11.25" customHeight="1" x14ac:dyDescent="0.25">
      <c r="A148" s="4" t="s">
        <v>21</v>
      </c>
      <c r="B148" s="4" t="s">
        <v>39</v>
      </c>
      <c r="C148" s="4" t="s">
        <v>64</v>
      </c>
      <c r="D148" s="4" t="s">
        <v>25</v>
      </c>
      <c r="E148" s="4" t="s">
        <v>25</v>
      </c>
      <c r="F148" s="4" t="s">
        <v>25</v>
      </c>
      <c r="G148" s="4" t="s">
        <v>84</v>
      </c>
      <c r="H148" s="4" t="s">
        <v>25</v>
      </c>
      <c r="I148" s="5">
        <v>44501</v>
      </c>
      <c r="J148" s="6">
        <v>6970</v>
      </c>
      <c r="K148" s="6">
        <v>6970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66</v>
      </c>
      <c r="R148" s="4">
        <v>27034</v>
      </c>
      <c r="S148" s="4">
        <v>20</v>
      </c>
      <c r="T148" s="4">
        <v>0</v>
      </c>
      <c r="U148" s="4">
        <v>0</v>
      </c>
      <c r="V148" s="6">
        <f>IF(ISERROR(VLOOKUP($S$148,'TAR FIN'!$A$1:$O$116,15,0)),0,VLOOKUP($S$148,'TAR FIN'!$A$1:$O$116,15,0))</f>
        <v>17.920000000000002</v>
      </c>
      <c r="W148" s="6">
        <f>IF(ISERROR(VLOOKUP($T$148,'TAR FIN'!$A$1:$O$116,15,0)),0,VLOOKUP($T$148,'TAR FIN'!$A$1:$O$116,15,0))</f>
        <v>0</v>
      </c>
      <c r="X148" s="6">
        <f>IF(ISERROR(VLOOKUP($U$148,'TAR FIN'!$A$1:$O$116,15,0)),0,VLOOKUP($U$148,'TAR FIN'!$A$1:$O$116,15,0))</f>
        <v>0</v>
      </c>
      <c r="Y148" s="6">
        <f ca="1">('TUSD BE'!$AM$24+'TUSD BF'!$AM$24+'TUSD CVA'!$AM$24)*1</f>
        <v>21.034406725438203</v>
      </c>
      <c r="Z148" s="6"/>
      <c r="AA148" s="6"/>
      <c r="AB148" s="6">
        <f t="shared" si="10"/>
        <v>0</v>
      </c>
      <c r="AC148" s="6">
        <f t="shared" si="11"/>
        <v>0</v>
      </c>
      <c r="AD148" s="6">
        <f t="shared" ca="1" si="12"/>
        <v>0</v>
      </c>
      <c r="AE148" s="6">
        <f t="shared" si="13"/>
        <v>0</v>
      </c>
      <c r="AF148" s="4" t="s">
        <v>1112</v>
      </c>
    </row>
    <row r="149" spans="1:32" ht="11.25" customHeight="1" x14ac:dyDescent="0.25">
      <c r="A149" s="4" t="s">
        <v>21</v>
      </c>
      <c r="B149" s="4" t="s">
        <v>39</v>
      </c>
      <c r="C149" s="4" t="s">
        <v>64</v>
      </c>
      <c r="D149" s="4" t="s">
        <v>25</v>
      </c>
      <c r="E149" s="4" t="s">
        <v>25</v>
      </c>
      <c r="F149" s="4" t="s">
        <v>25</v>
      </c>
      <c r="G149" s="4" t="s">
        <v>85</v>
      </c>
      <c r="H149" s="4" t="s">
        <v>25</v>
      </c>
      <c r="I149" s="5">
        <v>44501</v>
      </c>
      <c r="J149" s="6">
        <v>9600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66</v>
      </c>
      <c r="R149" s="4">
        <v>27207</v>
      </c>
      <c r="S149" s="4">
        <v>20</v>
      </c>
      <c r="T149" s="4">
        <v>0</v>
      </c>
      <c r="U149" s="4">
        <v>0</v>
      </c>
      <c r="V149" s="6">
        <f>IF(ISERROR(VLOOKUP($S$149,'TAR FIN'!$A$1:$O$116,15,0)),0,VLOOKUP($S$149,'TAR FIN'!$A$1:$O$116,15,0))</f>
        <v>17.920000000000002</v>
      </c>
      <c r="W149" s="6">
        <f>IF(ISERROR(VLOOKUP($T$149,'TAR FIN'!$A$1:$O$116,15,0)),0,VLOOKUP($T$149,'TAR FIN'!$A$1:$O$116,15,0))</f>
        <v>0</v>
      </c>
      <c r="X149" s="6">
        <f>IF(ISERROR(VLOOKUP($U$149,'TAR FIN'!$A$1:$O$116,15,0)),0,VLOOKUP($U$149,'TAR FIN'!$A$1:$O$116,15,0))</f>
        <v>0</v>
      </c>
      <c r="Y149" s="6">
        <f ca="1">('TUSD BE'!$AM$24+'TUSD BF'!$AM$24+'TUSD CVA'!$AM$24)*1</f>
        <v>21.034406725438203</v>
      </c>
      <c r="Z149" s="6"/>
      <c r="AA149" s="6"/>
      <c r="AB149" s="6">
        <f t="shared" si="10"/>
        <v>172032.00000000003</v>
      </c>
      <c r="AC149" s="6">
        <f t="shared" si="11"/>
        <v>0</v>
      </c>
      <c r="AD149" s="6">
        <f t="shared" ca="1" si="12"/>
        <v>201930.30456420674</v>
      </c>
      <c r="AE149" s="6">
        <f t="shared" si="13"/>
        <v>0</v>
      </c>
      <c r="AF149" s="4" t="s">
        <v>1112</v>
      </c>
    </row>
    <row r="150" spans="1:32" ht="11.25" customHeight="1" x14ac:dyDescent="0.25">
      <c r="A150" s="4" t="s">
        <v>21</v>
      </c>
      <c r="B150" s="4" t="s">
        <v>39</v>
      </c>
      <c r="C150" s="4" t="s">
        <v>64</v>
      </c>
      <c r="D150" s="4" t="s">
        <v>25</v>
      </c>
      <c r="E150" s="4" t="s">
        <v>25</v>
      </c>
      <c r="F150" s="4" t="s">
        <v>25</v>
      </c>
      <c r="G150" s="4" t="s">
        <v>88</v>
      </c>
      <c r="H150" s="4" t="s">
        <v>25</v>
      </c>
      <c r="I150" s="5">
        <v>44501</v>
      </c>
      <c r="J150" s="6">
        <v>19500</v>
      </c>
      <c r="K150" s="6">
        <v>9750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66</v>
      </c>
      <c r="R150" s="4">
        <v>27722</v>
      </c>
      <c r="S150" s="4">
        <v>20</v>
      </c>
      <c r="T150" s="4">
        <v>0</v>
      </c>
      <c r="U150" s="4">
        <v>0</v>
      </c>
      <c r="V150" s="6">
        <f>IF(ISERROR(VLOOKUP($S$150,'TAR FIN'!$A$1:$O$116,15,0)),0,VLOOKUP($S$150,'TAR FIN'!$A$1:$O$116,15,0))</f>
        <v>17.920000000000002</v>
      </c>
      <c r="W150" s="6">
        <f>IF(ISERROR(VLOOKUP($T$150,'TAR FIN'!$A$1:$O$116,15,0)),0,VLOOKUP($T$150,'TAR FIN'!$A$1:$O$116,15,0))</f>
        <v>0</v>
      </c>
      <c r="X150" s="6">
        <f>IF(ISERROR(VLOOKUP($U$150,'TAR FIN'!$A$1:$O$116,15,0)),0,VLOOKUP($U$150,'TAR FIN'!$A$1:$O$116,15,0))</f>
        <v>0</v>
      </c>
      <c r="Y150" s="6">
        <f ca="1">('TUSD BE'!$AM$24+'TUSD BF'!$AM$24+'TUSD CVA'!$AM$24)*1</f>
        <v>21.034406725438203</v>
      </c>
      <c r="Z150" s="6"/>
      <c r="AA150" s="6"/>
      <c r="AB150" s="6">
        <f t="shared" si="10"/>
        <v>174720.00000000003</v>
      </c>
      <c r="AC150" s="6">
        <f t="shared" si="11"/>
        <v>0</v>
      </c>
      <c r="AD150" s="6">
        <f t="shared" ca="1" si="12"/>
        <v>205085.46557302246</v>
      </c>
      <c r="AE150" s="6">
        <f t="shared" si="13"/>
        <v>0</v>
      </c>
      <c r="AF150" s="4" t="s">
        <v>1112</v>
      </c>
    </row>
    <row r="151" spans="1:32" ht="11.25" customHeight="1" x14ac:dyDescent="0.25">
      <c r="A151" s="4" t="s">
        <v>21</v>
      </c>
      <c r="B151" s="4" t="s">
        <v>39</v>
      </c>
      <c r="C151" s="4" t="s">
        <v>64</v>
      </c>
      <c r="D151" s="4" t="s">
        <v>25</v>
      </c>
      <c r="E151" s="4" t="s">
        <v>25</v>
      </c>
      <c r="F151" s="4" t="s">
        <v>25</v>
      </c>
      <c r="G151" s="4" t="s">
        <v>91</v>
      </c>
      <c r="H151" s="4" t="s">
        <v>25</v>
      </c>
      <c r="I151" s="5">
        <v>44501</v>
      </c>
      <c r="J151" s="6">
        <v>22400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66</v>
      </c>
      <c r="R151" s="4">
        <v>27958</v>
      </c>
      <c r="S151" s="4">
        <v>20</v>
      </c>
      <c r="T151" s="4">
        <v>0</v>
      </c>
      <c r="U151" s="4">
        <v>0</v>
      </c>
      <c r="V151" s="6">
        <f>IF(ISERROR(VLOOKUP($S$151,'TAR FIN'!$A$1:$O$116,15,0)),0,VLOOKUP($S$151,'TAR FIN'!$A$1:$O$116,15,0))</f>
        <v>17.920000000000002</v>
      </c>
      <c r="W151" s="6">
        <f>IF(ISERROR(VLOOKUP($T$151,'TAR FIN'!$A$1:$O$116,15,0)),0,VLOOKUP($T$151,'TAR FIN'!$A$1:$O$116,15,0))</f>
        <v>0</v>
      </c>
      <c r="X151" s="6">
        <f>IF(ISERROR(VLOOKUP($U$151,'TAR FIN'!$A$1:$O$116,15,0)),0,VLOOKUP($U$151,'TAR FIN'!$A$1:$O$116,15,0))</f>
        <v>0</v>
      </c>
      <c r="Y151" s="6">
        <f ca="1">('TUSD BE'!$AM$24+'TUSD BF'!$AM$24+'TUSD CVA'!$AM$24)*1</f>
        <v>21.034406725438203</v>
      </c>
      <c r="Z151" s="6"/>
      <c r="AA151" s="6"/>
      <c r="AB151" s="6">
        <f t="shared" si="10"/>
        <v>401408.00000000006</v>
      </c>
      <c r="AC151" s="6">
        <f t="shared" si="11"/>
        <v>0</v>
      </c>
      <c r="AD151" s="6">
        <f t="shared" ca="1" si="12"/>
        <v>471170.71064981574</v>
      </c>
      <c r="AE151" s="6">
        <f t="shared" si="13"/>
        <v>0</v>
      </c>
      <c r="AF151" s="4" t="s">
        <v>1112</v>
      </c>
    </row>
    <row r="152" spans="1:32" ht="11.25" customHeight="1" x14ac:dyDescent="0.25">
      <c r="A152" s="4" t="s">
        <v>21</v>
      </c>
      <c r="B152" s="4" t="s">
        <v>39</v>
      </c>
      <c r="C152" s="4" t="s">
        <v>64</v>
      </c>
      <c r="D152" s="4" t="s">
        <v>25</v>
      </c>
      <c r="E152" s="4" t="s">
        <v>25</v>
      </c>
      <c r="F152" s="4" t="s">
        <v>25</v>
      </c>
      <c r="G152" s="4" t="s">
        <v>71</v>
      </c>
      <c r="H152" s="4" t="s">
        <v>25</v>
      </c>
      <c r="I152" s="5">
        <v>44531</v>
      </c>
      <c r="J152" s="6">
        <v>13720</v>
      </c>
      <c r="K152" s="6">
        <v>6860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66</v>
      </c>
      <c r="R152" s="4">
        <v>1034</v>
      </c>
      <c r="S152" s="4">
        <v>20</v>
      </c>
      <c r="T152" s="4">
        <v>0</v>
      </c>
      <c r="U152" s="4">
        <v>0</v>
      </c>
      <c r="V152" s="6">
        <f>IF(ISERROR(VLOOKUP($S$152,'TAR FIN'!$A$1:$O$116,15,0)),0,VLOOKUP($S$152,'TAR FIN'!$A$1:$O$116,15,0))</f>
        <v>17.920000000000002</v>
      </c>
      <c r="W152" s="6">
        <f>IF(ISERROR(VLOOKUP($T$152,'TAR FIN'!$A$1:$O$116,15,0)),0,VLOOKUP($T$152,'TAR FIN'!$A$1:$O$116,15,0))</f>
        <v>0</v>
      </c>
      <c r="X152" s="6">
        <f>IF(ISERROR(VLOOKUP($U$152,'TAR FIN'!$A$1:$O$116,15,0)),0,VLOOKUP($U$152,'TAR FIN'!$A$1:$O$116,15,0))</f>
        <v>0</v>
      </c>
      <c r="Y152" s="6">
        <f ca="1">('TUSD BE'!$AM$24+'TUSD BF'!$AM$24+'TUSD CVA'!$AM$24)*1</f>
        <v>21.034406725438203</v>
      </c>
      <c r="Z152" s="6"/>
      <c r="AA152" s="6"/>
      <c r="AB152" s="6">
        <f t="shared" si="10"/>
        <v>122931.20000000001</v>
      </c>
      <c r="AC152" s="6">
        <f t="shared" si="11"/>
        <v>0</v>
      </c>
      <c r="AD152" s="6">
        <f t="shared" ca="1" si="12"/>
        <v>144296.03013650607</v>
      </c>
      <c r="AE152" s="6">
        <f t="shared" si="13"/>
        <v>0</v>
      </c>
      <c r="AF152" s="4" t="s">
        <v>1112</v>
      </c>
    </row>
    <row r="153" spans="1:32" ht="11.25" customHeight="1" x14ac:dyDescent="0.25">
      <c r="A153" s="4" t="s">
        <v>21</v>
      </c>
      <c r="B153" s="4" t="s">
        <v>39</v>
      </c>
      <c r="C153" s="4" t="s">
        <v>64</v>
      </c>
      <c r="D153" s="4" t="s">
        <v>25</v>
      </c>
      <c r="E153" s="4" t="s">
        <v>25</v>
      </c>
      <c r="F153" s="4" t="s">
        <v>25</v>
      </c>
      <c r="G153" s="4" t="s">
        <v>84</v>
      </c>
      <c r="H153" s="4" t="s">
        <v>25</v>
      </c>
      <c r="I153" s="5">
        <v>44531</v>
      </c>
      <c r="J153" s="6">
        <v>6970</v>
      </c>
      <c r="K153" s="6">
        <v>6970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66</v>
      </c>
      <c r="R153" s="4">
        <v>27034</v>
      </c>
      <c r="S153" s="4">
        <v>20</v>
      </c>
      <c r="T153" s="4">
        <v>0</v>
      </c>
      <c r="U153" s="4">
        <v>0</v>
      </c>
      <c r="V153" s="6">
        <f>IF(ISERROR(VLOOKUP($S$153,'TAR FIN'!$A$1:$O$116,15,0)),0,VLOOKUP($S$153,'TAR FIN'!$A$1:$O$116,15,0))</f>
        <v>17.920000000000002</v>
      </c>
      <c r="W153" s="6">
        <f>IF(ISERROR(VLOOKUP($T$153,'TAR FIN'!$A$1:$O$116,15,0)),0,VLOOKUP($T$153,'TAR FIN'!$A$1:$O$116,15,0))</f>
        <v>0</v>
      </c>
      <c r="X153" s="6">
        <f>IF(ISERROR(VLOOKUP($U$153,'TAR FIN'!$A$1:$O$116,15,0)),0,VLOOKUP($U$153,'TAR FIN'!$A$1:$O$116,15,0))</f>
        <v>0</v>
      </c>
      <c r="Y153" s="6">
        <f ca="1">('TUSD BE'!$AM$24+'TUSD BF'!$AM$24+'TUSD CVA'!$AM$24)*1</f>
        <v>21.034406725438203</v>
      </c>
      <c r="Z153" s="6"/>
      <c r="AA153" s="6"/>
      <c r="AB153" s="6">
        <f t="shared" si="10"/>
        <v>0</v>
      </c>
      <c r="AC153" s="6">
        <f t="shared" si="11"/>
        <v>0</v>
      </c>
      <c r="AD153" s="6">
        <f t="shared" ca="1" si="12"/>
        <v>0</v>
      </c>
      <c r="AE153" s="6">
        <f t="shared" si="13"/>
        <v>0</v>
      </c>
      <c r="AF153" s="4" t="s">
        <v>1112</v>
      </c>
    </row>
    <row r="154" spans="1:32" ht="11.25" customHeight="1" x14ac:dyDescent="0.25">
      <c r="A154" s="4" t="s">
        <v>21</v>
      </c>
      <c r="B154" s="4" t="s">
        <v>39</v>
      </c>
      <c r="C154" s="4" t="s">
        <v>64</v>
      </c>
      <c r="D154" s="4" t="s">
        <v>25</v>
      </c>
      <c r="E154" s="4" t="s">
        <v>25</v>
      </c>
      <c r="F154" s="4" t="s">
        <v>25</v>
      </c>
      <c r="G154" s="4" t="s">
        <v>85</v>
      </c>
      <c r="H154" s="4" t="s">
        <v>25</v>
      </c>
      <c r="I154" s="5">
        <v>44531</v>
      </c>
      <c r="J154" s="6">
        <v>9600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66</v>
      </c>
      <c r="R154" s="4">
        <v>27207</v>
      </c>
      <c r="S154" s="4">
        <v>20</v>
      </c>
      <c r="T154" s="4">
        <v>0</v>
      </c>
      <c r="U154" s="4">
        <v>0</v>
      </c>
      <c r="V154" s="6">
        <f>IF(ISERROR(VLOOKUP($S$154,'TAR FIN'!$A$1:$O$116,15,0)),0,VLOOKUP($S$154,'TAR FIN'!$A$1:$O$116,15,0))</f>
        <v>17.920000000000002</v>
      </c>
      <c r="W154" s="6">
        <f>IF(ISERROR(VLOOKUP($T$154,'TAR FIN'!$A$1:$O$116,15,0)),0,VLOOKUP($T$154,'TAR FIN'!$A$1:$O$116,15,0))</f>
        <v>0</v>
      </c>
      <c r="X154" s="6">
        <f>IF(ISERROR(VLOOKUP($U$154,'TAR FIN'!$A$1:$O$116,15,0)),0,VLOOKUP($U$154,'TAR FIN'!$A$1:$O$116,15,0))</f>
        <v>0</v>
      </c>
      <c r="Y154" s="6">
        <f ca="1">('TUSD BE'!$AM$24+'TUSD BF'!$AM$24+'TUSD CVA'!$AM$24)*1</f>
        <v>21.034406725438203</v>
      </c>
      <c r="Z154" s="6"/>
      <c r="AA154" s="6"/>
      <c r="AB154" s="6">
        <f t="shared" si="10"/>
        <v>172032.00000000003</v>
      </c>
      <c r="AC154" s="6">
        <f t="shared" si="11"/>
        <v>0</v>
      </c>
      <c r="AD154" s="6">
        <f t="shared" ca="1" si="12"/>
        <v>201930.30456420674</v>
      </c>
      <c r="AE154" s="6">
        <f t="shared" si="13"/>
        <v>0</v>
      </c>
      <c r="AF154" s="4" t="s">
        <v>1112</v>
      </c>
    </row>
    <row r="155" spans="1:32" ht="11.25" customHeight="1" x14ac:dyDescent="0.25">
      <c r="A155" s="4" t="s">
        <v>21</v>
      </c>
      <c r="B155" s="4" t="s">
        <v>39</v>
      </c>
      <c r="C155" s="4" t="s">
        <v>64</v>
      </c>
      <c r="D155" s="4" t="s">
        <v>25</v>
      </c>
      <c r="E155" s="4" t="s">
        <v>25</v>
      </c>
      <c r="F155" s="4" t="s">
        <v>25</v>
      </c>
      <c r="G155" s="4" t="s">
        <v>88</v>
      </c>
      <c r="H155" s="4" t="s">
        <v>25</v>
      </c>
      <c r="I155" s="5">
        <v>44531</v>
      </c>
      <c r="J155" s="6">
        <v>19500</v>
      </c>
      <c r="K155" s="6">
        <v>9750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66</v>
      </c>
      <c r="R155" s="4">
        <v>27722</v>
      </c>
      <c r="S155" s="4">
        <v>20</v>
      </c>
      <c r="T155" s="4">
        <v>0</v>
      </c>
      <c r="U155" s="4">
        <v>0</v>
      </c>
      <c r="V155" s="6">
        <f>IF(ISERROR(VLOOKUP($S$155,'TAR FIN'!$A$1:$O$116,15,0)),0,VLOOKUP($S$155,'TAR FIN'!$A$1:$O$116,15,0))</f>
        <v>17.920000000000002</v>
      </c>
      <c r="W155" s="6">
        <f>IF(ISERROR(VLOOKUP($T$155,'TAR FIN'!$A$1:$O$116,15,0)),0,VLOOKUP($T$155,'TAR FIN'!$A$1:$O$116,15,0))</f>
        <v>0</v>
      </c>
      <c r="X155" s="6">
        <f>IF(ISERROR(VLOOKUP($U$155,'TAR FIN'!$A$1:$O$116,15,0)),0,VLOOKUP($U$155,'TAR FIN'!$A$1:$O$116,15,0))</f>
        <v>0</v>
      </c>
      <c r="Y155" s="6">
        <f ca="1">('TUSD BE'!$AM$24+'TUSD BF'!$AM$24+'TUSD CVA'!$AM$24)*1</f>
        <v>21.034406725438203</v>
      </c>
      <c r="Z155" s="6"/>
      <c r="AA155" s="6"/>
      <c r="AB155" s="6">
        <f t="shared" si="10"/>
        <v>174720.00000000003</v>
      </c>
      <c r="AC155" s="6">
        <f t="shared" si="11"/>
        <v>0</v>
      </c>
      <c r="AD155" s="6">
        <f t="shared" ca="1" si="12"/>
        <v>205085.46557302246</v>
      </c>
      <c r="AE155" s="6">
        <f t="shared" si="13"/>
        <v>0</v>
      </c>
      <c r="AF155" s="4" t="s">
        <v>1112</v>
      </c>
    </row>
    <row r="156" spans="1:32" ht="11.25" customHeight="1" x14ac:dyDescent="0.25">
      <c r="A156" s="4" t="s">
        <v>21</v>
      </c>
      <c r="B156" s="4" t="s">
        <v>39</v>
      </c>
      <c r="C156" s="4" t="s">
        <v>64</v>
      </c>
      <c r="D156" s="4" t="s">
        <v>25</v>
      </c>
      <c r="E156" s="4" t="s">
        <v>25</v>
      </c>
      <c r="F156" s="4" t="s">
        <v>25</v>
      </c>
      <c r="G156" s="4" t="s">
        <v>91</v>
      </c>
      <c r="H156" s="4" t="s">
        <v>25</v>
      </c>
      <c r="I156" s="5">
        <v>44531</v>
      </c>
      <c r="J156" s="6">
        <v>22400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66</v>
      </c>
      <c r="R156" s="4">
        <v>27958</v>
      </c>
      <c r="S156" s="4">
        <v>20</v>
      </c>
      <c r="T156" s="4">
        <v>0</v>
      </c>
      <c r="U156" s="4">
        <v>0</v>
      </c>
      <c r="V156" s="6">
        <f>IF(ISERROR(VLOOKUP($S$156,'TAR FIN'!$A$1:$O$116,15,0)),0,VLOOKUP($S$156,'TAR FIN'!$A$1:$O$116,15,0))</f>
        <v>17.920000000000002</v>
      </c>
      <c r="W156" s="6">
        <f>IF(ISERROR(VLOOKUP($T$156,'TAR FIN'!$A$1:$O$116,15,0)),0,VLOOKUP($T$156,'TAR FIN'!$A$1:$O$116,15,0))</f>
        <v>0</v>
      </c>
      <c r="X156" s="6">
        <f>IF(ISERROR(VLOOKUP($U$156,'TAR FIN'!$A$1:$O$116,15,0)),0,VLOOKUP($U$156,'TAR FIN'!$A$1:$O$116,15,0))</f>
        <v>0</v>
      </c>
      <c r="Y156" s="6">
        <f ca="1">('TUSD BE'!$AM$24+'TUSD BF'!$AM$24+'TUSD CVA'!$AM$24)*1</f>
        <v>21.034406725438203</v>
      </c>
      <c r="Z156" s="6"/>
      <c r="AA156" s="6"/>
      <c r="AB156" s="6">
        <f t="shared" si="10"/>
        <v>401408.00000000006</v>
      </c>
      <c r="AC156" s="6">
        <f t="shared" si="11"/>
        <v>0</v>
      </c>
      <c r="AD156" s="6">
        <f t="shared" ca="1" si="12"/>
        <v>471170.71064981574</v>
      </c>
      <c r="AE156" s="6">
        <f t="shared" si="13"/>
        <v>0</v>
      </c>
      <c r="AF156" s="4" t="s">
        <v>1112</v>
      </c>
    </row>
    <row r="157" spans="1:32" ht="11.25" customHeight="1" x14ac:dyDescent="0.25">
      <c r="A157" s="4" t="s">
        <v>21</v>
      </c>
      <c r="B157" s="4" t="s">
        <v>39</v>
      </c>
      <c r="C157" s="4" t="s">
        <v>64</v>
      </c>
      <c r="D157" s="4" t="s">
        <v>25</v>
      </c>
      <c r="E157" s="4" t="s">
        <v>25</v>
      </c>
      <c r="F157" s="4" t="s">
        <v>25</v>
      </c>
      <c r="G157" s="4" t="s">
        <v>71</v>
      </c>
      <c r="H157" s="4" t="s">
        <v>25</v>
      </c>
      <c r="I157" s="5">
        <v>44562</v>
      </c>
      <c r="J157" s="6">
        <v>13720</v>
      </c>
      <c r="K157" s="6">
        <v>6860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66</v>
      </c>
      <c r="R157" s="4">
        <v>1034</v>
      </c>
      <c r="S157" s="4">
        <v>20</v>
      </c>
      <c r="T157" s="4">
        <v>0</v>
      </c>
      <c r="U157" s="4">
        <v>0</v>
      </c>
      <c r="V157" s="6">
        <f>IF(ISERROR(VLOOKUP($S$157,'TAR FIN'!$A$1:$O$116,15,0)),0,VLOOKUP($S$157,'TAR FIN'!$A$1:$O$116,15,0))</f>
        <v>17.920000000000002</v>
      </c>
      <c r="W157" s="6">
        <f>IF(ISERROR(VLOOKUP($T$157,'TAR FIN'!$A$1:$O$116,15,0)),0,VLOOKUP($T$157,'TAR FIN'!$A$1:$O$116,15,0))</f>
        <v>0</v>
      </c>
      <c r="X157" s="6">
        <f>IF(ISERROR(VLOOKUP($U$157,'TAR FIN'!$A$1:$O$116,15,0)),0,VLOOKUP($U$157,'TAR FIN'!$A$1:$O$116,15,0))</f>
        <v>0</v>
      </c>
      <c r="Y157" s="6">
        <f ca="1">('TUSD BE'!$AM$24+'TUSD BF'!$AM$24+'TUSD CVA'!$AM$24)*1</f>
        <v>21.034406725438203</v>
      </c>
      <c r="Z157" s="6"/>
      <c r="AA157" s="6"/>
      <c r="AB157" s="6">
        <f t="shared" si="10"/>
        <v>122931.20000000001</v>
      </c>
      <c r="AC157" s="6">
        <f t="shared" si="11"/>
        <v>0</v>
      </c>
      <c r="AD157" s="6">
        <f t="shared" ca="1" si="12"/>
        <v>144296.03013650607</v>
      </c>
      <c r="AE157" s="6">
        <f t="shared" si="13"/>
        <v>0</v>
      </c>
      <c r="AF157" s="4" t="s">
        <v>1112</v>
      </c>
    </row>
    <row r="158" spans="1:32" ht="11.25" customHeight="1" x14ac:dyDescent="0.25">
      <c r="A158" s="4" t="s">
        <v>21</v>
      </c>
      <c r="B158" s="4" t="s">
        <v>39</v>
      </c>
      <c r="C158" s="4" t="s">
        <v>64</v>
      </c>
      <c r="D158" s="4" t="s">
        <v>25</v>
      </c>
      <c r="E158" s="4" t="s">
        <v>25</v>
      </c>
      <c r="F158" s="4" t="s">
        <v>25</v>
      </c>
      <c r="G158" s="4" t="s">
        <v>84</v>
      </c>
      <c r="H158" s="4" t="s">
        <v>25</v>
      </c>
      <c r="I158" s="5">
        <v>44562</v>
      </c>
      <c r="J158" s="6">
        <v>6970</v>
      </c>
      <c r="K158" s="6">
        <v>6970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66</v>
      </c>
      <c r="R158" s="4">
        <v>27034</v>
      </c>
      <c r="S158" s="4">
        <v>20</v>
      </c>
      <c r="T158" s="4">
        <v>0</v>
      </c>
      <c r="U158" s="4">
        <v>0</v>
      </c>
      <c r="V158" s="6">
        <f>IF(ISERROR(VLOOKUP($S$158,'TAR FIN'!$A$1:$O$116,15,0)),0,VLOOKUP($S$158,'TAR FIN'!$A$1:$O$116,15,0))</f>
        <v>17.920000000000002</v>
      </c>
      <c r="W158" s="6">
        <f>IF(ISERROR(VLOOKUP($T$158,'TAR FIN'!$A$1:$O$116,15,0)),0,VLOOKUP($T$158,'TAR FIN'!$A$1:$O$116,15,0))</f>
        <v>0</v>
      </c>
      <c r="X158" s="6">
        <f>IF(ISERROR(VLOOKUP($U$158,'TAR FIN'!$A$1:$O$116,15,0)),0,VLOOKUP($U$158,'TAR FIN'!$A$1:$O$116,15,0))</f>
        <v>0</v>
      </c>
      <c r="Y158" s="6">
        <f ca="1">('TUSD BE'!$AM$24+'TUSD BF'!$AM$24+'TUSD CVA'!$AM$24)*1</f>
        <v>21.034406725438203</v>
      </c>
      <c r="Z158" s="6"/>
      <c r="AA158" s="6"/>
      <c r="AB158" s="6">
        <f t="shared" si="10"/>
        <v>0</v>
      </c>
      <c r="AC158" s="6">
        <f t="shared" si="11"/>
        <v>0</v>
      </c>
      <c r="AD158" s="6">
        <f t="shared" ca="1" si="12"/>
        <v>0</v>
      </c>
      <c r="AE158" s="6">
        <f t="shared" si="13"/>
        <v>0</v>
      </c>
      <c r="AF158" s="4" t="s">
        <v>1112</v>
      </c>
    </row>
    <row r="159" spans="1:32" ht="11.25" customHeight="1" x14ac:dyDescent="0.25">
      <c r="A159" s="4" t="s">
        <v>21</v>
      </c>
      <c r="B159" s="4" t="s">
        <v>39</v>
      </c>
      <c r="C159" s="4" t="s">
        <v>64</v>
      </c>
      <c r="D159" s="4" t="s">
        <v>25</v>
      </c>
      <c r="E159" s="4" t="s">
        <v>25</v>
      </c>
      <c r="F159" s="4" t="s">
        <v>25</v>
      </c>
      <c r="G159" s="4" t="s">
        <v>85</v>
      </c>
      <c r="H159" s="4" t="s">
        <v>25</v>
      </c>
      <c r="I159" s="5">
        <v>44562</v>
      </c>
      <c r="J159" s="6">
        <v>9600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66</v>
      </c>
      <c r="R159" s="4">
        <v>27207</v>
      </c>
      <c r="S159" s="4">
        <v>20</v>
      </c>
      <c r="T159" s="4">
        <v>0</v>
      </c>
      <c r="U159" s="4">
        <v>0</v>
      </c>
      <c r="V159" s="6">
        <f>IF(ISERROR(VLOOKUP($S$159,'TAR FIN'!$A$1:$O$116,15,0)),0,VLOOKUP($S$159,'TAR FIN'!$A$1:$O$116,15,0))</f>
        <v>17.920000000000002</v>
      </c>
      <c r="W159" s="6">
        <f>IF(ISERROR(VLOOKUP($T$159,'TAR FIN'!$A$1:$O$116,15,0)),0,VLOOKUP($T$159,'TAR FIN'!$A$1:$O$116,15,0))</f>
        <v>0</v>
      </c>
      <c r="X159" s="6">
        <f>IF(ISERROR(VLOOKUP($U$159,'TAR FIN'!$A$1:$O$116,15,0)),0,VLOOKUP($U$159,'TAR FIN'!$A$1:$O$116,15,0))</f>
        <v>0</v>
      </c>
      <c r="Y159" s="6">
        <f ca="1">('TUSD BE'!$AM$24+'TUSD BF'!$AM$24+'TUSD CVA'!$AM$24)*1</f>
        <v>21.034406725438203</v>
      </c>
      <c r="Z159" s="6"/>
      <c r="AA159" s="6"/>
      <c r="AB159" s="6">
        <f t="shared" si="10"/>
        <v>172032.00000000003</v>
      </c>
      <c r="AC159" s="6">
        <f t="shared" si="11"/>
        <v>0</v>
      </c>
      <c r="AD159" s="6">
        <f t="shared" ca="1" si="12"/>
        <v>201930.30456420674</v>
      </c>
      <c r="AE159" s="6">
        <f t="shared" si="13"/>
        <v>0</v>
      </c>
      <c r="AF159" s="4" t="s">
        <v>1112</v>
      </c>
    </row>
    <row r="160" spans="1:32" ht="11.25" customHeight="1" x14ac:dyDescent="0.25">
      <c r="A160" s="4" t="s">
        <v>21</v>
      </c>
      <c r="B160" s="4" t="s">
        <v>39</v>
      </c>
      <c r="C160" s="4" t="s">
        <v>64</v>
      </c>
      <c r="D160" s="4" t="s">
        <v>25</v>
      </c>
      <c r="E160" s="4" t="s">
        <v>25</v>
      </c>
      <c r="F160" s="4" t="s">
        <v>25</v>
      </c>
      <c r="G160" s="4" t="s">
        <v>88</v>
      </c>
      <c r="H160" s="4" t="s">
        <v>25</v>
      </c>
      <c r="I160" s="5">
        <v>44562</v>
      </c>
      <c r="J160" s="6">
        <v>19500</v>
      </c>
      <c r="K160" s="6">
        <v>9750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66</v>
      </c>
      <c r="R160" s="4">
        <v>27722</v>
      </c>
      <c r="S160" s="4">
        <v>20</v>
      </c>
      <c r="T160" s="4">
        <v>0</v>
      </c>
      <c r="U160" s="4">
        <v>0</v>
      </c>
      <c r="V160" s="6">
        <f>IF(ISERROR(VLOOKUP($S$160,'TAR FIN'!$A$1:$O$116,15,0)),0,VLOOKUP($S$160,'TAR FIN'!$A$1:$O$116,15,0))</f>
        <v>17.920000000000002</v>
      </c>
      <c r="W160" s="6">
        <f>IF(ISERROR(VLOOKUP($T$160,'TAR FIN'!$A$1:$O$116,15,0)),0,VLOOKUP($T$160,'TAR FIN'!$A$1:$O$116,15,0))</f>
        <v>0</v>
      </c>
      <c r="X160" s="6">
        <f>IF(ISERROR(VLOOKUP($U$160,'TAR FIN'!$A$1:$O$116,15,0)),0,VLOOKUP($U$160,'TAR FIN'!$A$1:$O$116,15,0))</f>
        <v>0</v>
      </c>
      <c r="Y160" s="6">
        <f ca="1">('TUSD BE'!$AM$24+'TUSD BF'!$AM$24+'TUSD CVA'!$AM$24)*1</f>
        <v>21.034406725438203</v>
      </c>
      <c r="Z160" s="6"/>
      <c r="AA160" s="6"/>
      <c r="AB160" s="6">
        <f t="shared" si="10"/>
        <v>174720.00000000003</v>
      </c>
      <c r="AC160" s="6">
        <f t="shared" si="11"/>
        <v>0</v>
      </c>
      <c r="AD160" s="6">
        <f t="shared" ca="1" si="12"/>
        <v>205085.46557302246</v>
      </c>
      <c r="AE160" s="6">
        <f t="shared" si="13"/>
        <v>0</v>
      </c>
      <c r="AF160" s="4" t="s">
        <v>1112</v>
      </c>
    </row>
    <row r="161" spans="1:32" ht="11.25" customHeight="1" x14ac:dyDescent="0.25">
      <c r="A161" s="4" t="s">
        <v>21</v>
      </c>
      <c r="B161" s="4" t="s">
        <v>39</v>
      </c>
      <c r="C161" s="4" t="s">
        <v>64</v>
      </c>
      <c r="D161" s="4" t="s">
        <v>25</v>
      </c>
      <c r="E161" s="4" t="s">
        <v>25</v>
      </c>
      <c r="F161" s="4" t="s">
        <v>25</v>
      </c>
      <c r="G161" s="4" t="s">
        <v>91</v>
      </c>
      <c r="H161" s="4" t="s">
        <v>25</v>
      </c>
      <c r="I161" s="5">
        <v>44562</v>
      </c>
      <c r="J161" s="6">
        <v>22400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66</v>
      </c>
      <c r="R161" s="4">
        <v>27958</v>
      </c>
      <c r="S161" s="4">
        <v>20</v>
      </c>
      <c r="T161" s="4">
        <v>0</v>
      </c>
      <c r="U161" s="4">
        <v>0</v>
      </c>
      <c r="V161" s="6">
        <f>IF(ISERROR(VLOOKUP($S$161,'TAR FIN'!$A$1:$O$116,15,0)),0,VLOOKUP($S$161,'TAR FIN'!$A$1:$O$116,15,0))</f>
        <v>17.920000000000002</v>
      </c>
      <c r="W161" s="6">
        <f>IF(ISERROR(VLOOKUP($T$161,'TAR FIN'!$A$1:$O$116,15,0)),0,VLOOKUP($T$161,'TAR FIN'!$A$1:$O$116,15,0))</f>
        <v>0</v>
      </c>
      <c r="X161" s="6">
        <f>IF(ISERROR(VLOOKUP($U$161,'TAR FIN'!$A$1:$O$116,15,0)),0,VLOOKUP($U$161,'TAR FIN'!$A$1:$O$116,15,0))</f>
        <v>0</v>
      </c>
      <c r="Y161" s="6">
        <f ca="1">('TUSD BE'!$AM$24+'TUSD BF'!$AM$24+'TUSD CVA'!$AM$24)*1</f>
        <v>21.034406725438203</v>
      </c>
      <c r="Z161" s="6"/>
      <c r="AA161" s="6"/>
      <c r="AB161" s="6">
        <f t="shared" si="10"/>
        <v>401408.00000000006</v>
      </c>
      <c r="AC161" s="6">
        <f t="shared" si="11"/>
        <v>0</v>
      </c>
      <c r="AD161" s="6">
        <f t="shared" ca="1" si="12"/>
        <v>471170.71064981574</v>
      </c>
      <c r="AE161" s="6">
        <f t="shared" si="13"/>
        <v>0</v>
      </c>
      <c r="AF161" s="4" t="s">
        <v>1112</v>
      </c>
    </row>
    <row r="162" spans="1:32" ht="11.25" customHeight="1" x14ac:dyDescent="0.25">
      <c r="A162" s="4" t="s">
        <v>21</v>
      </c>
      <c r="B162" s="4" t="s">
        <v>39</v>
      </c>
      <c r="C162" s="4" t="s">
        <v>64</v>
      </c>
      <c r="D162" s="4" t="s">
        <v>25</v>
      </c>
      <c r="E162" s="4" t="s">
        <v>25</v>
      </c>
      <c r="F162" s="4" t="s">
        <v>25</v>
      </c>
      <c r="G162" s="4" t="s">
        <v>71</v>
      </c>
      <c r="H162" s="4" t="s">
        <v>25</v>
      </c>
      <c r="I162" s="5">
        <v>44593</v>
      </c>
      <c r="J162" s="6">
        <v>13720</v>
      </c>
      <c r="K162" s="6">
        <v>6860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66</v>
      </c>
      <c r="R162" s="4">
        <v>1034</v>
      </c>
      <c r="S162" s="4">
        <v>20</v>
      </c>
      <c r="T162" s="4">
        <v>0</v>
      </c>
      <c r="U162" s="4">
        <v>0</v>
      </c>
      <c r="V162" s="6">
        <f>IF(ISERROR(VLOOKUP($S$162,'TAR FIN'!$A$1:$O$116,15,0)),0,VLOOKUP($S$162,'TAR FIN'!$A$1:$O$116,15,0))</f>
        <v>17.920000000000002</v>
      </c>
      <c r="W162" s="6">
        <f>IF(ISERROR(VLOOKUP($T$162,'TAR FIN'!$A$1:$O$116,15,0)),0,VLOOKUP($T$162,'TAR FIN'!$A$1:$O$116,15,0))</f>
        <v>0</v>
      </c>
      <c r="X162" s="6">
        <f>IF(ISERROR(VLOOKUP($U$162,'TAR FIN'!$A$1:$O$116,15,0)),0,VLOOKUP($U$162,'TAR FIN'!$A$1:$O$116,15,0))</f>
        <v>0</v>
      </c>
      <c r="Y162" s="6">
        <f ca="1">('TUSD BE'!$AM$24+'TUSD BF'!$AM$24+'TUSD CVA'!$AM$24)*1</f>
        <v>21.034406725438203</v>
      </c>
      <c r="Z162" s="6"/>
      <c r="AA162" s="6"/>
      <c r="AB162" s="6">
        <f t="shared" si="10"/>
        <v>122931.20000000001</v>
      </c>
      <c r="AC162" s="6">
        <f t="shared" si="11"/>
        <v>0</v>
      </c>
      <c r="AD162" s="6">
        <f t="shared" ca="1" si="12"/>
        <v>144296.03013650607</v>
      </c>
      <c r="AE162" s="6">
        <f t="shared" si="13"/>
        <v>0</v>
      </c>
      <c r="AF162" s="4" t="s">
        <v>1112</v>
      </c>
    </row>
    <row r="163" spans="1:32" ht="11.25" customHeight="1" x14ac:dyDescent="0.25">
      <c r="A163" s="4" t="s">
        <v>21</v>
      </c>
      <c r="B163" s="4" t="s">
        <v>39</v>
      </c>
      <c r="C163" s="4" t="s">
        <v>64</v>
      </c>
      <c r="D163" s="4" t="s">
        <v>25</v>
      </c>
      <c r="E163" s="4" t="s">
        <v>25</v>
      </c>
      <c r="F163" s="4" t="s">
        <v>25</v>
      </c>
      <c r="G163" s="4" t="s">
        <v>84</v>
      </c>
      <c r="H163" s="4" t="s">
        <v>25</v>
      </c>
      <c r="I163" s="5">
        <v>44593</v>
      </c>
      <c r="J163" s="6">
        <v>6970</v>
      </c>
      <c r="K163" s="6">
        <v>6970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66</v>
      </c>
      <c r="R163" s="4">
        <v>27034</v>
      </c>
      <c r="S163" s="4">
        <v>20</v>
      </c>
      <c r="T163" s="4">
        <v>0</v>
      </c>
      <c r="U163" s="4">
        <v>0</v>
      </c>
      <c r="V163" s="6">
        <f>IF(ISERROR(VLOOKUP($S$163,'TAR FIN'!$A$1:$O$116,15,0)),0,VLOOKUP($S$163,'TAR FIN'!$A$1:$O$116,15,0))</f>
        <v>17.920000000000002</v>
      </c>
      <c r="W163" s="6">
        <f>IF(ISERROR(VLOOKUP($T$163,'TAR FIN'!$A$1:$O$116,15,0)),0,VLOOKUP($T$163,'TAR FIN'!$A$1:$O$116,15,0))</f>
        <v>0</v>
      </c>
      <c r="X163" s="6">
        <f>IF(ISERROR(VLOOKUP($U$163,'TAR FIN'!$A$1:$O$116,15,0)),0,VLOOKUP($U$163,'TAR FIN'!$A$1:$O$116,15,0))</f>
        <v>0</v>
      </c>
      <c r="Y163" s="6">
        <f ca="1">('TUSD BE'!$AM$24+'TUSD BF'!$AM$24+'TUSD CVA'!$AM$24)*1</f>
        <v>21.034406725438203</v>
      </c>
      <c r="Z163" s="6"/>
      <c r="AA163" s="6"/>
      <c r="AB163" s="6">
        <f t="shared" si="10"/>
        <v>0</v>
      </c>
      <c r="AC163" s="6">
        <f t="shared" si="11"/>
        <v>0</v>
      </c>
      <c r="AD163" s="6">
        <f t="shared" ca="1" si="12"/>
        <v>0</v>
      </c>
      <c r="AE163" s="6">
        <f t="shared" si="13"/>
        <v>0</v>
      </c>
      <c r="AF163" s="4" t="s">
        <v>1112</v>
      </c>
    </row>
    <row r="164" spans="1:32" ht="11.25" customHeight="1" x14ac:dyDescent="0.25">
      <c r="A164" s="4" t="s">
        <v>21</v>
      </c>
      <c r="B164" s="4" t="s">
        <v>39</v>
      </c>
      <c r="C164" s="4" t="s">
        <v>64</v>
      </c>
      <c r="D164" s="4" t="s">
        <v>25</v>
      </c>
      <c r="E164" s="4" t="s">
        <v>25</v>
      </c>
      <c r="F164" s="4" t="s">
        <v>25</v>
      </c>
      <c r="G164" s="4" t="s">
        <v>85</v>
      </c>
      <c r="H164" s="4" t="s">
        <v>25</v>
      </c>
      <c r="I164" s="5">
        <v>44593</v>
      </c>
      <c r="J164" s="6">
        <v>9600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66</v>
      </c>
      <c r="R164" s="4">
        <v>27207</v>
      </c>
      <c r="S164" s="4">
        <v>20</v>
      </c>
      <c r="T164" s="4">
        <v>0</v>
      </c>
      <c r="U164" s="4">
        <v>0</v>
      </c>
      <c r="V164" s="6">
        <f>IF(ISERROR(VLOOKUP($S$164,'TAR FIN'!$A$1:$O$116,15,0)),0,VLOOKUP($S$164,'TAR FIN'!$A$1:$O$116,15,0))</f>
        <v>17.920000000000002</v>
      </c>
      <c r="W164" s="6">
        <f>IF(ISERROR(VLOOKUP($T$164,'TAR FIN'!$A$1:$O$116,15,0)),0,VLOOKUP($T$164,'TAR FIN'!$A$1:$O$116,15,0))</f>
        <v>0</v>
      </c>
      <c r="X164" s="6">
        <f>IF(ISERROR(VLOOKUP($U$164,'TAR FIN'!$A$1:$O$116,15,0)),0,VLOOKUP($U$164,'TAR FIN'!$A$1:$O$116,15,0))</f>
        <v>0</v>
      </c>
      <c r="Y164" s="6">
        <f ca="1">('TUSD BE'!$AM$24+'TUSD BF'!$AM$24+'TUSD CVA'!$AM$24)*1</f>
        <v>21.034406725438203</v>
      </c>
      <c r="Z164" s="6"/>
      <c r="AA164" s="6"/>
      <c r="AB164" s="6">
        <f t="shared" si="10"/>
        <v>172032.00000000003</v>
      </c>
      <c r="AC164" s="6">
        <f t="shared" si="11"/>
        <v>0</v>
      </c>
      <c r="AD164" s="6">
        <f t="shared" ca="1" si="12"/>
        <v>201930.30456420674</v>
      </c>
      <c r="AE164" s="6">
        <f t="shared" si="13"/>
        <v>0</v>
      </c>
      <c r="AF164" s="4" t="s">
        <v>1112</v>
      </c>
    </row>
    <row r="165" spans="1:32" ht="11.25" customHeight="1" x14ac:dyDescent="0.25">
      <c r="A165" s="4" t="s">
        <v>21</v>
      </c>
      <c r="B165" s="4" t="s">
        <v>39</v>
      </c>
      <c r="C165" s="4" t="s">
        <v>64</v>
      </c>
      <c r="D165" s="4" t="s">
        <v>25</v>
      </c>
      <c r="E165" s="4" t="s">
        <v>25</v>
      </c>
      <c r="F165" s="4" t="s">
        <v>25</v>
      </c>
      <c r="G165" s="4" t="s">
        <v>88</v>
      </c>
      <c r="H165" s="4" t="s">
        <v>25</v>
      </c>
      <c r="I165" s="5">
        <v>44593</v>
      </c>
      <c r="J165" s="6">
        <v>19500</v>
      </c>
      <c r="K165" s="6">
        <v>9750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66</v>
      </c>
      <c r="R165" s="4">
        <v>27722</v>
      </c>
      <c r="S165" s="4">
        <v>20</v>
      </c>
      <c r="T165" s="4">
        <v>0</v>
      </c>
      <c r="U165" s="4">
        <v>0</v>
      </c>
      <c r="V165" s="6">
        <f>IF(ISERROR(VLOOKUP($S$165,'TAR FIN'!$A$1:$O$116,15,0)),0,VLOOKUP($S$165,'TAR FIN'!$A$1:$O$116,15,0))</f>
        <v>17.920000000000002</v>
      </c>
      <c r="W165" s="6">
        <f>IF(ISERROR(VLOOKUP($T$165,'TAR FIN'!$A$1:$O$116,15,0)),0,VLOOKUP($T$165,'TAR FIN'!$A$1:$O$116,15,0))</f>
        <v>0</v>
      </c>
      <c r="X165" s="6">
        <f>IF(ISERROR(VLOOKUP($U$165,'TAR FIN'!$A$1:$O$116,15,0)),0,VLOOKUP($U$165,'TAR FIN'!$A$1:$O$116,15,0))</f>
        <v>0</v>
      </c>
      <c r="Y165" s="6">
        <f ca="1">('TUSD BE'!$AM$24+'TUSD BF'!$AM$24+'TUSD CVA'!$AM$24)*1</f>
        <v>21.034406725438203</v>
      </c>
      <c r="Z165" s="6"/>
      <c r="AA165" s="6"/>
      <c r="AB165" s="6">
        <f t="shared" si="10"/>
        <v>174720.00000000003</v>
      </c>
      <c r="AC165" s="6">
        <f t="shared" si="11"/>
        <v>0</v>
      </c>
      <c r="AD165" s="6">
        <f t="shared" ca="1" si="12"/>
        <v>205085.46557302246</v>
      </c>
      <c r="AE165" s="6">
        <f t="shared" si="13"/>
        <v>0</v>
      </c>
      <c r="AF165" s="4" t="s">
        <v>1112</v>
      </c>
    </row>
    <row r="166" spans="1:32" ht="11.25" customHeight="1" x14ac:dyDescent="0.25">
      <c r="A166" s="4" t="s">
        <v>21</v>
      </c>
      <c r="B166" s="4" t="s">
        <v>39</v>
      </c>
      <c r="C166" s="4" t="s">
        <v>64</v>
      </c>
      <c r="D166" s="4" t="s">
        <v>25</v>
      </c>
      <c r="E166" s="4" t="s">
        <v>25</v>
      </c>
      <c r="F166" s="4" t="s">
        <v>25</v>
      </c>
      <c r="G166" s="4" t="s">
        <v>91</v>
      </c>
      <c r="H166" s="4" t="s">
        <v>25</v>
      </c>
      <c r="I166" s="5">
        <v>44593</v>
      </c>
      <c r="J166" s="6">
        <v>22400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66</v>
      </c>
      <c r="R166" s="4">
        <v>27958</v>
      </c>
      <c r="S166" s="4">
        <v>20</v>
      </c>
      <c r="T166" s="4">
        <v>0</v>
      </c>
      <c r="U166" s="4">
        <v>0</v>
      </c>
      <c r="V166" s="6">
        <f>IF(ISERROR(VLOOKUP($S$166,'TAR FIN'!$A$1:$O$116,15,0)),0,VLOOKUP($S$166,'TAR FIN'!$A$1:$O$116,15,0))</f>
        <v>17.920000000000002</v>
      </c>
      <c r="W166" s="6">
        <f>IF(ISERROR(VLOOKUP($T$166,'TAR FIN'!$A$1:$O$116,15,0)),0,VLOOKUP($T$166,'TAR FIN'!$A$1:$O$116,15,0))</f>
        <v>0</v>
      </c>
      <c r="X166" s="6">
        <f>IF(ISERROR(VLOOKUP($U$166,'TAR FIN'!$A$1:$O$116,15,0)),0,VLOOKUP($U$166,'TAR FIN'!$A$1:$O$116,15,0))</f>
        <v>0</v>
      </c>
      <c r="Y166" s="6">
        <f ca="1">('TUSD BE'!$AM$24+'TUSD BF'!$AM$24+'TUSD CVA'!$AM$24)*1</f>
        <v>21.034406725438203</v>
      </c>
      <c r="Z166" s="6"/>
      <c r="AA166" s="6"/>
      <c r="AB166" s="6">
        <f t="shared" si="10"/>
        <v>401408.00000000006</v>
      </c>
      <c r="AC166" s="6">
        <f t="shared" si="11"/>
        <v>0</v>
      </c>
      <c r="AD166" s="6">
        <f t="shared" ca="1" si="12"/>
        <v>471170.71064981574</v>
      </c>
      <c r="AE166" s="6">
        <f t="shared" si="13"/>
        <v>0</v>
      </c>
      <c r="AF166" s="4" t="s">
        <v>1112</v>
      </c>
    </row>
    <row r="167" spans="1:32" ht="11.25" customHeight="1" x14ac:dyDescent="0.25">
      <c r="A167" s="4" t="s">
        <v>21</v>
      </c>
      <c r="B167" s="4" t="s">
        <v>39</v>
      </c>
      <c r="C167" s="4" t="s">
        <v>64</v>
      </c>
      <c r="D167" s="4" t="s">
        <v>25</v>
      </c>
      <c r="E167" s="4" t="s">
        <v>25</v>
      </c>
      <c r="F167" s="4" t="s">
        <v>25</v>
      </c>
      <c r="G167" s="4" t="s">
        <v>71</v>
      </c>
      <c r="H167" s="4" t="s">
        <v>25</v>
      </c>
      <c r="I167" s="5">
        <v>44621</v>
      </c>
      <c r="J167" s="6">
        <v>13720</v>
      </c>
      <c r="K167" s="6">
        <v>6860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66</v>
      </c>
      <c r="R167" s="4">
        <v>1034</v>
      </c>
      <c r="S167" s="4">
        <v>20</v>
      </c>
      <c r="T167" s="4">
        <v>0</v>
      </c>
      <c r="U167" s="4">
        <v>0</v>
      </c>
      <c r="V167" s="6">
        <f>IF(ISERROR(VLOOKUP($S$167,'TAR FIN'!$A$1:$O$116,15,0)),0,VLOOKUP($S$167,'TAR FIN'!$A$1:$O$116,15,0))</f>
        <v>17.920000000000002</v>
      </c>
      <c r="W167" s="6">
        <f>IF(ISERROR(VLOOKUP($T$167,'TAR FIN'!$A$1:$O$116,15,0)),0,VLOOKUP($T$167,'TAR FIN'!$A$1:$O$116,15,0))</f>
        <v>0</v>
      </c>
      <c r="X167" s="6">
        <f>IF(ISERROR(VLOOKUP($U$167,'TAR FIN'!$A$1:$O$116,15,0)),0,VLOOKUP($U$167,'TAR FIN'!$A$1:$O$116,15,0))</f>
        <v>0</v>
      </c>
      <c r="Y167" s="6">
        <f ca="1">('TUSD BE'!$AM$24+'TUSD BF'!$AM$24+'TUSD CVA'!$AM$24)*1</f>
        <v>21.034406725438203</v>
      </c>
      <c r="Z167" s="6"/>
      <c r="AA167" s="6"/>
      <c r="AB167" s="6">
        <f t="shared" si="10"/>
        <v>122931.20000000001</v>
      </c>
      <c r="AC167" s="6">
        <f t="shared" si="11"/>
        <v>0</v>
      </c>
      <c r="AD167" s="6">
        <f t="shared" ca="1" si="12"/>
        <v>144296.03013650607</v>
      </c>
      <c r="AE167" s="6">
        <f t="shared" si="13"/>
        <v>0</v>
      </c>
      <c r="AF167" s="4" t="s">
        <v>1112</v>
      </c>
    </row>
    <row r="168" spans="1:32" ht="11.25" customHeight="1" x14ac:dyDescent="0.25">
      <c r="A168" s="4" t="s">
        <v>21</v>
      </c>
      <c r="B168" s="4" t="s">
        <v>39</v>
      </c>
      <c r="C168" s="4" t="s">
        <v>64</v>
      </c>
      <c r="D168" s="4" t="s">
        <v>25</v>
      </c>
      <c r="E168" s="4" t="s">
        <v>25</v>
      </c>
      <c r="F168" s="4" t="s">
        <v>25</v>
      </c>
      <c r="G168" s="4" t="s">
        <v>84</v>
      </c>
      <c r="H168" s="4" t="s">
        <v>25</v>
      </c>
      <c r="I168" s="5">
        <v>44621</v>
      </c>
      <c r="J168" s="6">
        <v>6970</v>
      </c>
      <c r="K168" s="6">
        <v>6970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66</v>
      </c>
      <c r="R168" s="4">
        <v>27034</v>
      </c>
      <c r="S168" s="4">
        <v>20</v>
      </c>
      <c r="T168" s="4">
        <v>0</v>
      </c>
      <c r="U168" s="4">
        <v>0</v>
      </c>
      <c r="V168" s="6">
        <f>IF(ISERROR(VLOOKUP($S$168,'TAR FIN'!$A$1:$O$116,15,0)),0,VLOOKUP($S$168,'TAR FIN'!$A$1:$O$116,15,0))</f>
        <v>17.920000000000002</v>
      </c>
      <c r="W168" s="6">
        <f>IF(ISERROR(VLOOKUP($T$168,'TAR FIN'!$A$1:$O$116,15,0)),0,VLOOKUP($T$168,'TAR FIN'!$A$1:$O$116,15,0))</f>
        <v>0</v>
      </c>
      <c r="X168" s="6">
        <f>IF(ISERROR(VLOOKUP($U$168,'TAR FIN'!$A$1:$O$116,15,0)),0,VLOOKUP($U$168,'TAR FIN'!$A$1:$O$116,15,0))</f>
        <v>0</v>
      </c>
      <c r="Y168" s="6">
        <f ca="1">('TUSD BE'!$AM$24+'TUSD BF'!$AM$24+'TUSD CVA'!$AM$24)*1</f>
        <v>21.034406725438203</v>
      </c>
      <c r="Z168" s="6"/>
      <c r="AA168" s="6"/>
      <c r="AB168" s="6">
        <f t="shared" si="10"/>
        <v>0</v>
      </c>
      <c r="AC168" s="6">
        <f t="shared" si="11"/>
        <v>0</v>
      </c>
      <c r="AD168" s="6">
        <f t="shared" ca="1" si="12"/>
        <v>0</v>
      </c>
      <c r="AE168" s="6">
        <f t="shared" si="13"/>
        <v>0</v>
      </c>
      <c r="AF168" s="4" t="s">
        <v>1112</v>
      </c>
    </row>
    <row r="169" spans="1:32" ht="11.25" customHeight="1" x14ac:dyDescent="0.25">
      <c r="A169" s="4" t="s">
        <v>21</v>
      </c>
      <c r="B169" s="4" t="s">
        <v>39</v>
      </c>
      <c r="C169" s="4" t="s">
        <v>64</v>
      </c>
      <c r="D169" s="4" t="s">
        <v>25</v>
      </c>
      <c r="E169" s="4" t="s">
        <v>25</v>
      </c>
      <c r="F169" s="4" t="s">
        <v>25</v>
      </c>
      <c r="G169" s="4" t="s">
        <v>85</v>
      </c>
      <c r="H169" s="4" t="s">
        <v>25</v>
      </c>
      <c r="I169" s="5">
        <v>44621</v>
      </c>
      <c r="J169" s="6">
        <v>9600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66</v>
      </c>
      <c r="R169" s="4">
        <v>27207</v>
      </c>
      <c r="S169" s="4">
        <v>20</v>
      </c>
      <c r="T169" s="4">
        <v>0</v>
      </c>
      <c r="U169" s="4">
        <v>0</v>
      </c>
      <c r="V169" s="6">
        <f>IF(ISERROR(VLOOKUP($S$169,'TAR FIN'!$A$1:$O$116,15,0)),0,VLOOKUP($S$169,'TAR FIN'!$A$1:$O$116,15,0))</f>
        <v>17.920000000000002</v>
      </c>
      <c r="W169" s="6">
        <f>IF(ISERROR(VLOOKUP($T$169,'TAR FIN'!$A$1:$O$116,15,0)),0,VLOOKUP($T$169,'TAR FIN'!$A$1:$O$116,15,0))</f>
        <v>0</v>
      </c>
      <c r="X169" s="6">
        <f>IF(ISERROR(VLOOKUP($U$169,'TAR FIN'!$A$1:$O$116,15,0)),0,VLOOKUP($U$169,'TAR FIN'!$A$1:$O$116,15,0))</f>
        <v>0</v>
      </c>
      <c r="Y169" s="6">
        <f ca="1">('TUSD BE'!$AM$24+'TUSD BF'!$AM$24+'TUSD CVA'!$AM$24)*1</f>
        <v>21.034406725438203</v>
      </c>
      <c r="Z169" s="6"/>
      <c r="AA169" s="6"/>
      <c r="AB169" s="6">
        <f t="shared" si="10"/>
        <v>172032.00000000003</v>
      </c>
      <c r="AC169" s="6">
        <f t="shared" si="11"/>
        <v>0</v>
      </c>
      <c r="AD169" s="6">
        <f t="shared" ca="1" si="12"/>
        <v>201930.30456420674</v>
      </c>
      <c r="AE169" s="6">
        <f t="shared" si="13"/>
        <v>0</v>
      </c>
      <c r="AF169" s="4" t="s">
        <v>1112</v>
      </c>
    </row>
    <row r="170" spans="1:32" ht="11.25" customHeight="1" x14ac:dyDescent="0.25">
      <c r="A170" s="4" t="s">
        <v>21</v>
      </c>
      <c r="B170" s="4" t="s">
        <v>39</v>
      </c>
      <c r="C170" s="4" t="s">
        <v>64</v>
      </c>
      <c r="D170" s="4" t="s">
        <v>25</v>
      </c>
      <c r="E170" s="4" t="s">
        <v>25</v>
      </c>
      <c r="F170" s="4" t="s">
        <v>25</v>
      </c>
      <c r="G170" s="4" t="s">
        <v>88</v>
      </c>
      <c r="H170" s="4" t="s">
        <v>25</v>
      </c>
      <c r="I170" s="5">
        <v>44621</v>
      </c>
      <c r="J170" s="6">
        <v>19500</v>
      </c>
      <c r="K170" s="6">
        <v>9750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66</v>
      </c>
      <c r="R170" s="4">
        <v>27722</v>
      </c>
      <c r="S170" s="4">
        <v>20</v>
      </c>
      <c r="T170" s="4">
        <v>0</v>
      </c>
      <c r="U170" s="4">
        <v>0</v>
      </c>
      <c r="V170" s="6">
        <f>IF(ISERROR(VLOOKUP($S$170,'TAR FIN'!$A$1:$O$116,15,0)),0,VLOOKUP($S$170,'TAR FIN'!$A$1:$O$116,15,0))</f>
        <v>17.920000000000002</v>
      </c>
      <c r="W170" s="6">
        <f>IF(ISERROR(VLOOKUP($T$170,'TAR FIN'!$A$1:$O$116,15,0)),0,VLOOKUP($T$170,'TAR FIN'!$A$1:$O$116,15,0))</f>
        <v>0</v>
      </c>
      <c r="X170" s="6">
        <f>IF(ISERROR(VLOOKUP($U$170,'TAR FIN'!$A$1:$O$116,15,0)),0,VLOOKUP($U$170,'TAR FIN'!$A$1:$O$116,15,0))</f>
        <v>0</v>
      </c>
      <c r="Y170" s="6">
        <f ca="1">('TUSD BE'!$AM$24+'TUSD BF'!$AM$24+'TUSD CVA'!$AM$24)*1</f>
        <v>21.034406725438203</v>
      </c>
      <c r="Z170" s="6"/>
      <c r="AA170" s="6"/>
      <c r="AB170" s="6">
        <f t="shared" si="10"/>
        <v>174720.00000000003</v>
      </c>
      <c r="AC170" s="6">
        <f t="shared" si="11"/>
        <v>0</v>
      </c>
      <c r="AD170" s="6">
        <f t="shared" ca="1" si="12"/>
        <v>205085.46557302246</v>
      </c>
      <c r="AE170" s="6">
        <f t="shared" si="13"/>
        <v>0</v>
      </c>
      <c r="AF170" s="4" t="s">
        <v>1112</v>
      </c>
    </row>
    <row r="171" spans="1:32" ht="11.25" customHeight="1" x14ac:dyDescent="0.25">
      <c r="A171" s="4" t="s">
        <v>21</v>
      </c>
      <c r="B171" s="4" t="s">
        <v>39</v>
      </c>
      <c r="C171" s="4" t="s">
        <v>64</v>
      </c>
      <c r="D171" s="4" t="s">
        <v>25</v>
      </c>
      <c r="E171" s="4" t="s">
        <v>25</v>
      </c>
      <c r="F171" s="4" t="s">
        <v>25</v>
      </c>
      <c r="G171" s="4" t="s">
        <v>91</v>
      </c>
      <c r="H171" s="4" t="s">
        <v>25</v>
      </c>
      <c r="I171" s="5">
        <v>44621</v>
      </c>
      <c r="J171" s="6">
        <v>22400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66</v>
      </c>
      <c r="R171" s="4">
        <v>27958</v>
      </c>
      <c r="S171" s="4">
        <v>20</v>
      </c>
      <c r="T171" s="4">
        <v>0</v>
      </c>
      <c r="U171" s="4">
        <v>0</v>
      </c>
      <c r="V171" s="6">
        <f>IF(ISERROR(VLOOKUP($S$171,'TAR FIN'!$A$1:$O$116,15,0)),0,VLOOKUP($S$171,'TAR FIN'!$A$1:$O$116,15,0))</f>
        <v>17.920000000000002</v>
      </c>
      <c r="W171" s="6">
        <f>IF(ISERROR(VLOOKUP($T$171,'TAR FIN'!$A$1:$O$116,15,0)),0,VLOOKUP($T$171,'TAR FIN'!$A$1:$O$116,15,0))</f>
        <v>0</v>
      </c>
      <c r="X171" s="6">
        <f>IF(ISERROR(VLOOKUP($U$171,'TAR FIN'!$A$1:$O$116,15,0)),0,VLOOKUP($U$171,'TAR FIN'!$A$1:$O$116,15,0))</f>
        <v>0</v>
      </c>
      <c r="Y171" s="6">
        <f ca="1">('TUSD BE'!$AM$24+'TUSD BF'!$AM$24+'TUSD CVA'!$AM$24)*1</f>
        <v>21.034406725438203</v>
      </c>
      <c r="Z171" s="6"/>
      <c r="AA171" s="6"/>
      <c r="AB171" s="6">
        <f t="shared" si="10"/>
        <v>401408.00000000006</v>
      </c>
      <c r="AC171" s="6">
        <f t="shared" si="11"/>
        <v>0</v>
      </c>
      <c r="AD171" s="6">
        <f t="shared" ca="1" si="12"/>
        <v>471170.71064981574</v>
      </c>
      <c r="AE171" s="6">
        <f t="shared" si="13"/>
        <v>0</v>
      </c>
      <c r="AF171" s="4" t="s">
        <v>1112</v>
      </c>
    </row>
    <row r="172" spans="1:32" ht="11.25" customHeight="1" x14ac:dyDescent="0.25">
      <c r="A172" s="4" t="s">
        <v>21</v>
      </c>
      <c r="B172" s="4" t="s">
        <v>39</v>
      </c>
      <c r="C172" s="4" t="s">
        <v>64</v>
      </c>
      <c r="D172" s="4" t="s">
        <v>25</v>
      </c>
      <c r="E172" s="4" t="s">
        <v>25</v>
      </c>
      <c r="F172" s="4" t="s">
        <v>25</v>
      </c>
      <c r="G172" s="4" t="s">
        <v>71</v>
      </c>
      <c r="H172" s="4" t="s">
        <v>25</v>
      </c>
      <c r="I172" s="5">
        <v>44652</v>
      </c>
      <c r="J172" s="6">
        <v>13759</v>
      </c>
      <c r="K172" s="6">
        <v>6879.5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66</v>
      </c>
      <c r="R172" s="4">
        <v>1034</v>
      </c>
      <c r="S172" s="4">
        <v>20</v>
      </c>
      <c r="T172" s="4">
        <v>0</v>
      </c>
      <c r="U172" s="4">
        <v>0</v>
      </c>
      <c r="V172" s="6">
        <f>IF(ISERROR(VLOOKUP($S$172,'TAR FIN'!$A$1:$O$116,15,0)),0,VLOOKUP($S$172,'TAR FIN'!$A$1:$O$116,15,0))</f>
        <v>17.920000000000002</v>
      </c>
      <c r="W172" s="6">
        <f>IF(ISERROR(VLOOKUP($T$172,'TAR FIN'!$A$1:$O$116,15,0)),0,VLOOKUP($T$172,'TAR FIN'!$A$1:$O$116,15,0))</f>
        <v>0</v>
      </c>
      <c r="X172" s="6">
        <f>IF(ISERROR(VLOOKUP($U$172,'TAR FIN'!$A$1:$O$116,15,0)),0,VLOOKUP($U$172,'TAR FIN'!$A$1:$O$116,15,0))</f>
        <v>0</v>
      </c>
      <c r="Y172" s="6">
        <f ca="1">('TUSD BE'!$AM$24+'TUSD BF'!$AM$24+'TUSD CVA'!$AM$24)*1</f>
        <v>21.034406725438203</v>
      </c>
      <c r="Z172" s="6"/>
      <c r="AA172" s="6"/>
      <c r="AB172" s="6">
        <f t="shared" si="10"/>
        <v>123280.64000000001</v>
      </c>
      <c r="AC172" s="6">
        <f t="shared" si="11"/>
        <v>0</v>
      </c>
      <c r="AD172" s="6">
        <f t="shared" ca="1" si="12"/>
        <v>144706.20106765212</v>
      </c>
      <c r="AE172" s="6">
        <f t="shared" si="13"/>
        <v>0</v>
      </c>
      <c r="AF172" s="4" t="s">
        <v>1112</v>
      </c>
    </row>
    <row r="173" spans="1:32" ht="11.25" customHeight="1" x14ac:dyDescent="0.25">
      <c r="A173" s="4" t="s">
        <v>21</v>
      </c>
      <c r="B173" s="4" t="s">
        <v>39</v>
      </c>
      <c r="C173" s="4" t="s">
        <v>64</v>
      </c>
      <c r="D173" s="4" t="s">
        <v>25</v>
      </c>
      <c r="E173" s="4" t="s">
        <v>25</v>
      </c>
      <c r="F173" s="4" t="s">
        <v>25</v>
      </c>
      <c r="G173" s="4" t="s">
        <v>84</v>
      </c>
      <c r="H173" s="4" t="s">
        <v>25</v>
      </c>
      <c r="I173" s="5">
        <v>44652</v>
      </c>
      <c r="J173" s="6">
        <v>6970</v>
      </c>
      <c r="K173" s="6">
        <v>6970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66</v>
      </c>
      <c r="R173" s="4">
        <v>27034</v>
      </c>
      <c r="S173" s="4">
        <v>20</v>
      </c>
      <c r="T173" s="4">
        <v>0</v>
      </c>
      <c r="U173" s="4">
        <v>0</v>
      </c>
      <c r="V173" s="6">
        <f>IF(ISERROR(VLOOKUP($S$173,'TAR FIN'!$A$1:$O$116,15,0)),0,VLOOKUP($S$173,'TAR FIN'!$A$1:$O$116,15,0))</f>
        <v>17.920000000000002</v>
      </c>
      <c r="W173" s="6">
        <f>IF(ISERROR(VLOOKUP($T$173,'TAR FIN'!$A$1:$O$116,15,0)),0,VLOOKUP($T$173,'TAR FIN'!$A$1:$O$116,15,0))</f>
        <v>0</v>
      </c>
      <c r="X173" s="6">
        <f>IF(ISERROR(VLOOKUP($U$173,'TAR FIN'!$A$1:$O$116,15,0)),0,VLOOKUP($U$173,'TAR FIN'!$A$1:$O$116,15,0))</f>
        <v>0</v>
      </c>
      <c r="Y173" s="6">
        <f ca="1">('TUSD BE'!$AM$24+'TUSD BF'!$AM$24+'TUSD CVA'!$AM$24)*1</f>
        <v>21.034406725438203</v>
      </c>
      <c r="Z173" s="6"/>
      <c r="AA173" s="6"/>
      <c r="AB173" s="6">
        <f t="shared" si="10"/>
        <v>0</v>
      </c>
      <c r="AC173" s="6">
        <f t="shared" si="11"/>
        <v>0</v>
      </c>
      <c r="AD173" s="6">
        <f t="shared" ca="1" si="12"/>
        <v>0</v>
      </c>
      <c r="AE173" s="6">
        <f t="shared" si="13"/>
        <v>0</v>
      </c>
      <c r="AF173" s="4" t="s">
        <v>1112</v>
      </c>
    </row>
    <row r="174" spans="1:32" ht="11.25" customHeight="1" x14ac:dyDescent="0.25">
      <c r="A174" s="4" t="s">
        <v>21</v>
      </c>
      <c r="B174" s="4" t="s">
        <v>39</v>
      </c>
      <c r="C174" s="4" t="s">
        <v>64</v>
      </c>
      <c r="D174" s="4" t="s">
        <v>25</v>
      </c>
      <c r="E174" s="4" t="s">
        <v>25</v>
      </c>
      <c r="F174" s="4" t="s">
        <v>25</v>
      </c>
      <c r="G174" s="4" t="s">
        <v>85</v>
      </c>
      <c r="H174" s="4" t="s">
        <v>25</v>
      </c>
      <c r="I174" s="5">
        <v>44652</v>
      </c>
      <c r="J174" s="6">
        <v>9600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66</v>
      </c>
      <c r="R174" s="4">
        <v>27207</v>
      </c>
      <c r="S174" s="4">
        <v>20</v>
      </c>
      <c r="T174" s="4">
        <v>0</v>
      </c>
      <c r="U174" s="4">
        <v>0</v>
      </c>
      <c r="V174" s="6">
        <f>IF(ISERROR(VLOOKUP($S$174,'TAR FIN'!$A$1:$O$116,15,0)),0,VLOOKUP($S$174,'TAR FIN'!$A$1:$O$116,15,0))</f>
        <v>17.920000000000002</v>
      </c>
      <c r="W174" s="6">
        <f>IF(ISERROR(VLOOKUP($T$174,'TAR FIN'!$A$1:$O$116,15,0)),0,VLOOKUP($T$174,'TAR FIN'!$A$1:$O$116,15,0))</f>
        <v>0</v>
      </c>
      <c r="X174" s="6">
        <f>IF(ISERROR(VLOOKUP($U$174,'TAR FIN'!$A$1:$O$116,15,0)),0,VLOOKUP($U$174,'TAR FIN'!$A$1:$O$116,15,0))</f>
        <v>0</v>
      </c>
      <c r="Y174" s="6">
        <f ca="1">('TUSD BE'!$AM$24+'TUSD BF'!$AM$24+'TUSD CVA'!$AM$24)*1</f>
        <v>21.034406725438203</v>
      </c>
      <c r="Z174" s="6"/>
      <c r="AA174" s="6"/>
      <c r="AB174" s="6">
        <f t="shared" si="10"/>
        <v>172032.00000000003</v>
      </c>
      <c r="AC174" s="6">
        <f t="shared" si="11"/>
        <v>0</v>
      </c>
      <c r="AD174" s="6">
        <f t="shared" ca="1" si="12"/>
        <v>201930.30456420674</v>
      </c>
      <c r="AE174" s="6">
        <f t="shared" si="13"/>
        <v>0</v>
      </c>
      <c r="AF174" s="4" t="s">
        <v>1112</v>
      </c>
    </row>
    <row r="175" spans="1:32" ht="11.25" customHeight="1" x14ac:dyDescent="0.25">
      <c r="A175" s="4" t="s">
        <v>21</v>
      </c>
      <c r="B175" s="4" t="s">
        <v>39</v>
      </c>
      <c r="C175" s="4" t="s">
        <v>64</v>
      </c>
      <c r="D175" s="4" t="s">
        <v>25</v>
      </c>
      <c r="E175" s="4" t="s">
        <v>25</v>
      </c>
      <c r="F175" s="4" t="s">
        <v>25</v>
      </c>
      <c r="G175" s="4" t="s">
        <v>88</v>
      </c>
      <c r="H175" s="4" t="s">
        <v>25</v>
      </c>
      <c r="I175" s="5">
        <v>44652</v>
      </c>
      <c r="J175" s="6">
        <v>19500</v>
      </c>
      <c r="K175" s="6">
        <v>9750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66</v>
      </c>
      <c r="R175" s="4">
        <v>27722</v>
      </c>
      <c r="S175" s="4">
        <v>20</v>
      </c>
      <c r="T175" s="4">
        <v>0</v>
      </c>
      <c r="U175" s="4">
        <v>0</v>
      </c>
      <c r="V175" s="6">
        <f>IF(ISERROR(VLOOKUP($S$175,'TAR FIN'!$A$1:$O$116,15,0)),0,VLOOKUP($S$175,'TAR FIN'!$A$1:$O$116,15,0))</f>
        <v>17.920000000000002</v>
      </c>
      <c r="W175" s="6">
        <f>IF(ISERROR(VLOOKUP($T$175,'TAR FIN'!$A$1:$O$116,15,0)),0,VLOOKUP($T$175,'TAR FIN'!$A$1:$O$116,15,0))</f>
        <v>0</v>
      </c>
      <c r="X175" s="6">
        <f>IF(ISERROR(VLOOKUP($U$175,'TAR FIN'!$A$1:$O$116,15,0)),0,VLOOKUP($U$175,'TAR FIN'!$A$1:$O$116,15,0))</f>
        <v>0</v>
      </c>
      <c r="Y175" s="6">
        <f ca="1">('TUSD BE'!$AM$24+'TUSD BF'!$AM$24+'TUSD CVA'!$AM$24)*1</f>
        <v>21.034406725438203</v>
      </c>
      <c r="Z175" s="6"/>
      <c r="AA175" s="6"/>
      <c r="AB175" s="6">
        <f t="shared" si="10"/>
        <v>174720.00000000003</v>
      </c>
      <c r="AC175" s="6">
        <f t="shared" si="11"/>
        <v>0</v>
      </c>
      <c r="AD175" s="6">
        <f t="shared" ca="1" si="12"/>
        <v>205085.46557302246</v>
      </c>
      <c r="AE175" s="6">
        <f t="shared" si="13"/>
        <v>0</v>
      </c>
      <c r="AF175" s="4" t="s">
        <v>1112</v>
      </c>
    </row>
    <row r="176" spans="1:32" ht="11.25" customHeight="1" x14ac:dyDescent="0.25">
      <c r="A176" s="4" t="s">
        <v>21</v>
      </c>
      <c r="B176" s="4" t="s">
        <v>39</v>
      </c>
      <c r="C176" s="4" t="s">
        <v>64</v>
      </c>
      <c r="D176" s="4" t="s">
        <v>25</v>
      </c>
      <c r="E176" s="4" t="s">
        <v>25</v>
      </c>
      <c r="F176" s="4" t="s">
        <v>25</v>
      </c>
      <c r="G176" s="4" t="s">
        <v>91</v>
      </c>
      <c r="H176" s="4" t="s">
        <v>25</v>
      </c>
      <c r="I176" s="5">
        <v>44652</v>
      </c>
      <c r="J176" s="6">
        <v>22400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66</v>
      </c>
      <c r="R176" s="4">
        <v>27958</v>
      </c>
      <c r="S176" s="4">
        <v>20</v>
      </c>
      <c r="T176" s="4">
        <v>0</v>
      </c>
      <c r="U176" s="4">
        <v>0</v>
      </c>
      <c r="V176" s="6">
        <f>IF(ISERROR(VLOOKUP($S$176,'TAR FIN'!$A$1:$O$116,15,0)),0,VLOOKUP($S$176,'TAR FIN'!$A$1:$O$116,15,0))</f>
        <v>17.920000000000002</v>
      </c>
      <c r="W176" s="6">
        <f>IF(ISERROR(VLOOKUP($T$176,'TAR FIN'!$A$1:$O$116,15,0)),0,VLOOKUP($T$176,'TAR FIN'!$A$1:$O$116,15,0))</f>
        <v>0</v>
      </c>
      <c r="X176" s="6">
        <f>IF(ISERROR(VLOOKUP($U$176,'TAR FIN'!$A$1:$O$116,15,0)),0,VLOOKUP($U$176,'TAR FIN'!$A$1:$O$116,15,0))</f>
        <v>0</v>
      </c>
      <c r="Y176" s="6">
        <f ca="1">('TUSD BE'!$AM$24+'TUSD BF'!$AM$24+'TUSD CVA'!$AM$24)*1</f>
        <v>21.034406725438203</v>
      </c>
      <c r="Z176" s="6"/>
      <c r="AA176" s="6"/>
      <c r="AB176" s="6">
        <f t="shared" si="10"/>
        <v>401408.00000000006</v>
      </c>
      <c r="AC176" s="6">
        <f t="shared" si="11"/>
        <v>0</v>
      </c>
      <c r="AD176" s="6">
        <f t="shared" ca="1" si="12"/>
        <v>471170.71064981574</v>
      </c>
      <c r="AE176" s="6">
        <f t="shared" si="13"/>
        <v>0</v>
      </c>
      <c r="AF176" s="4" t="s">
        <v>1112</v>
      </c>
    </row>
    <row r="177" spans="1:32" ht="11.25" customHeight="1" x14ac:dyDescent="0.25">
      <c r="A177" s="4" t="s">
        <v>58</v>
      </c>
      <c r="B177" s="4" t="s">
        <v>39</v>
      </c>
      <c r="C177" s="4" t="s">
        <v>64</v>
      </c>
      <c r="D177" s="4" t="s">
        <v>25</v>
      </c>
      <c r="E177" s="4" t="s">
        <v>25</v>
      </c>
      <c r="F177" s="4" t="s">
        <v>25</v>
      </c>
      <c r="G177" s="4" t="s">
        <v>71</v>
      </c>
      <c r="H177" s="4" t="s">
        <v>25</v>
      </c>
      <c r="I177" s="5">
        <v>44682</v>
      </c>
      <c r="J177" s="6">
        <v>13759</v>
      </c>
      <c r="K177" s="6">
        <v>6879.5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66</v>
      </c>
      <c r="R177" s="4">
        <v>1034</v>
      </c>
      <c r="S177" s="4">
        <v>20</v>
      </c>
      <c r="T177" s="4">
        <v>0</v>
      </c>
      <c r="U177" s="4">
        <v>0</v>
      </c>
      <c r="V177" s="6">
        <f>IF(ISERROR(VLOOKUP($S$177,'TAR FIN'!$A$1:$O$116,15,0)),0,VLOOKUP($S$177,'TAR FIN'!$A$1:$O$116,15,0))</f>
        <v>17.920000000000002</v>
      </c>
      <c r="W177" s="6">
        <f>IF(ISERROR(VLOOKUP($T$177,'TAR FIN'!$A$1:$O$116,15,0)),0,VLOOKUP($T$177,'TAR FIN'!$A$1:$O$116,15,0))</f>
        <v>0</v>
      </c>
      <c r="X177" s="6">
        <f>IF(ISERROR(VLOOKUP($U$177,'TAR FIN'!$A$1:$O$116,15,0)),0,VLOOKUP($U$177,'TAR FIN'!$A$1:$O$116,15,0))</f>
        <v>0</v>
      </c>
      <c r="Y177" s="6">
        <f ca="1">('TUSD BE'!$AM$24+'TUSD BF'!$AM$24+'TUSD CVA'!$AM$24)*1</f>
        <v>21.034406725438203</v>
      </c>
      <c r="Z177" s="6"/>
      <c r="AA177" s="6"/>
      <c r="AB177" s="6">
        <f t="shared" si="10"/>
        <v>123280.64000000001</v>
      </c>
      <c r="AC177" s="6">
        <f t="shared" si="11"/>
        <v>0</v>
      </c>
      <c r="AD177" s="6">
        <f t="shared" ca="1" si="12"/>
        <v>144706.20106765212</v>
      </c>
      <c r="AE177" s="6">
        <f t="shared" si="13"/>
        <v>0</v>
      </c>
      <c r="AF177" s="4" t="s">
        <v>1112</v>
      </c>
    </row>
    <row r="178" spans="1:32" ht="11.25" customHeight="1" x14ac:dyDescent="0.25">
      <c r="A178" s="4" t="s">
        <v>58</v>
      </c>
      <c r="B178" s="4" t="s">
        <v>39</v>
      </c>
      <c r="C178" s="4" t="s">
        <v>64</v>
      </c>
      <c r="D178" s="4" t="s">
        <v>25</v>
      </c>
      <c r="E178" s="4" t="s">
        <v>25</v>
      </c>
      <c r="F178" s="4" t="s">
        <v>25</v>
      </c>
      <c r="G178" s="4" t="s">
        <v>84</v>
      </c>
      <c r="H178" s="4" t="s">
        <v>25</v>
      </c>
      <c r="I178" s="5">
        <v>44682</v>
      </c>
      <c r="J178" s="6">
        <v>6970</v>
      </c>
      <c r="K178" s="6">
        <v>6970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66</v>
      </c>
      <c r="R178" s="4">
        <v>27034</v>
      </c>
      <c r="S178" s="4">
        <v>20</v>
      </c>
      <c r="T178" s="4">
        <v>0</v>
      </c>
      <c r="U178" s="4">
        <v>0</v>
      </c>
      <c r="V178" s="6">
        <f>IF(ISERROR(VLOOKUP($S$178,'TAR FIN'!$A$1:$O$116,15,0)),0,VLOOKUP($S$178,'TAR FIN'!$A$1:$O$116,15,0))</f>
        <v>17.920000000000002</v>
      </c>
      <c r="W178" s="6">
        <f>IF(ISERROR(VLOOKUP($T$178,'TAR FIN'!$A$1:$O$116,15,0)),0,VLOOKUP($T$178,'TAR FIN'!$A$1:$O$116,15,0))</f>
        <v>0</v>
      </c>
      <c r="X178" s="6">
        <f>IF(ISERROR(VLOOKUP($U$178,'TAR FIN'!$A$1:$O$116,15,0)),0,VLOOKUP($U$178,'TAR FIN'!$A$1:$O$116,15,0))</f>
        <v>0</v>
      </c>
      <c r="Y178" s="6">
        <f ca="1">('TUSD BE'!$AM$24+'TUSD BF'!$AM$24+'TUSD CVA'!$AM$24)*1</f>
        <v>21.034406725438203</v>
      </c>
      <c r="Z178" s="6"/>
      <c r="AA178" s="6"/>
      <c r="AB178" s="6">
        <f t="shared" si="10"/>
        <v>0</v>
      </c>
      <c r="AC178" s="6">
        <f t="shared" si="11"/>
        <v>0</v>
      </c>
      <c r="AD178" s="6">
        <f t="shared" ca="1" si="12"/>
        <v>0</v>
      </c>
      <c r="AE178" s="6">
        <f t="shared" si="13"/>
        <v>0</v>
      </c>
      <c r="AF178" s="4" t="s">
        <v>1112</v>
      </c>
    </row>
    <row r="179" spans="1:32" ht="11.25" customHeight="1" x14ac:dyDescent="0.25">
      <c r="A179" s="4" t="s">
        <v>58</v>
      </c>
      <c r="B179" s="4" t="s">
        <v>39</v>
      </c>
      <c r="C179" s="4" t="s">
        <v>64</v>
      </c>
      <c r="D179" s="4" t="s">
        <v>25</v>
      </c>
      <c r="E179" s="4" t="s">
        <v>25</v>
      </c>
      <c r="F179" s="4" t="s">
        <v>25</v>
      </c>
      <c r="G179" s="4" t="s">
        <v>85</v>
      </c>
      <c r="H179" s="4" t="s">
        <v>25</v>
      </c>
      <c r="I179" s="5">
        <v>44682</v>
      </c>
      <c r="J179" s="6">
        <v>9600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66</v>
      </c>
      <c r="R179" s="4">
        <v>27207</v>
      </c>
      <c r="S179" s="4">
        <v>20</v>
      </c>
      <c r="T179" s="4">
        <v>0</v>
      </c>
      <c r="U179" s="4">
        <v>0</v>
      </c>
      <c r="V179" s="6">
        <f>IF(ISERROR(VLOOKUP($S$179,'TAR FIN'!$A$1:$O$116,15,0)),0,VLOOKUP($S$179,'TAR FIN'!$A$1:$O$116,15,0))</f>
        <v>17.920000000000002</v>
      </c>
      <c r="W179" s="6">
        <f>IF(ISERROR(VLOOKUP($T$179,'TAR FIN'!$A$1:$O$116,15,0)),0,VLOOKUP($T$179,'TAR FIN'!$A$1:$O$116,15,0))</f>
        <v>0</v>
      </c>
      <c r="X179" s="6">
        <f>IF(ISERROR(VLOOKUP($U$179,'TAR FIN'!$A$1:$O$116,15,0)),0,VLOOKUP($U$179,'TAR FIN'!$A$1:$O$116,15,0))</f>
        <v>0</v>
      </c>
      <c r="Y179" s="6">
        <f ca="1">('TUSD BE'!$AM$24+'TUSD BF'!$AM$24+'TUSD CVA'!$AM$24)*1</f>
        <v>21.034406725438203</v>
      </c>
      <c r="Z179" s="6"/>
      <c r="AA179" s="6"/>
      <c r="AB179" s="6">
        <f t="shared" si="10"/>
        <v>172032.00000000003</v>
      </c>
      <c r="AC179" s="6">
        <f t="shared" si="11"/>
        <v>0</v>
      </c>
      <c r="AD179" s="6">
        <f t="shared" ca="1" si="12"/>
        <v>201930.30456420674</v>
      </c>
      <c r="AE179" s="6">
        <f t="shared" si="13"/>
        <v>0</v>
      </c>
      <c r="AF179" s="4" t="s">
        <v>1112</v>
      </c>
    </row>
    <row r="180" spans="1:32" ht="11.25" customHeight="1" x14ac:dyDescent="0.25">
      <c r="A180" s="4" t="s">
        <v>58</v>
      </c>
      <c r="B180" s="4" t="s">
        <v>39</v>
      </c>
      <c r="C180" s="4" t="s">
        <v>64</v>
      </c>
      <c r="D180" s="4" t="s">
        <v>25</v>
      </c>
      <c r="E180" s="4" t="s">
        <v>25</v>
      </c>
      <c r="F180" s="4" t="s">
        <v>25</v>
      </c>
      <c r="G180" s="4" t="s">
        <v>88</v>
      </c>
      <c r="H180" s="4" t="s">
        <v>25</v>
      </c>
      <c r="I180" s="5">
        <v>44682</v>
      </c>
      <c r="J180" s="6">
        <v>19500</v>
      </c>
      <c r="K180" s="6">
        <v>9750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66</v>
      </c>
      <c r="R180" s="4">
        <v>27722</v>
      </c>
      <c r="S180" s="4">
        <v>20</v>
      </c>
      <c r="T180" s="4">
        <v>0</v>
      </c>
      <c r="U180" s="4">
        <v>0</v>
      </c>
      <c r="V180" s="6">
        <f>IF(ISERROR(VLOOKUP($S$180,'TAR FIN'!$A$1:$O$116,15,0)),0,VLOOKUP($S$180,'TAR FIN'!$A$1:$O$116,15,0))</f>
        <v>17.920000000000002</v>
      </c>
      <c r="W180" s="6">
        <f>IF(ISERROR(VLOOKUP($T$180,'TAR FIN'!$A$1:$O$116,15,0)),0,VLOOKUP($T$180,'TAR FIN'!$A$1:$O$116,15,0))</f>
        <v>0</v>
      </c>
      <c r="X180" s="6">
        <f>IF(ISERROR(VLOOKUP($U$180,'TAR FIN'!$A$1:$O$116,15,0)),0,VLOOKUP($U$180,'TAR FIN'!$A$1:$O$116,15,0))</f>
        <v>0</v>
      </c>
      <c r="Y180" s="6">
        <f ca="1">('TUSD BE'!$AM$24+'TUSD BF'!$AM$24+'TUSD CVA'!$AM$24)*1</f>
        <v>21.034406725438203</v>
      </c>
      <c r="Z180" s="6"/>
      <c r="AA180" s="6"/>
      <c r="AB180" s="6">
        <f t="shared" si="10"/>
        <v>174720.00000000003</v>
      </c>
      <c r="AC180" s="6">
        <f t="shared" si="11"/>
        <v>0</v>
      </c>
      <c r="AD180" s="6">
        <f t="shared" ca="1" si="12"/>
        <v>205085.46557302246</v>
      </c>
      <c r="AE180" s="6">
        <f t="shared" si="13"/>
        <v>0</v>
      </c>
      <c r="AF180" s="4" t="s">
        <v>1112</v>
      </c>
    </row>
    <row r="181" spans="1:32" ht="11.25" customHeight="1" x14ac:dyDescent="0.25">
      <c r="A181" s="4" t="s">
        <v>58</v>
      </c>
      <c r="B181" s="4" t="s">
        <v>39</v>
      </c>
      <c r="C181" s="4" t="s">
        <v>64</v>
      </c>
      <c r="D181" s="4" t="s">
        <v>25</v>
      </c>
      <c r="E181" s="4" t="s">
        <v>25</v>
      </c>
      <c r="F181" s="4" t="s">
        <v>25</v>
      </c>
      <c r="G181" s="4" t="s">
        <v>91</v>
      </c>
      <c r="H181" s="4" t="s">
        <v>25</v>
      </c>
      <c r="I181" s="5">
        <v>44682</v>
      </c>
      <c r="J181" s="6">
        <v>22400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66</v>
      </c>
      <c r="R181" s="4">
        <v>27958</v>
      </c>
      <c r="S181" s="4">
        <v>20</v>
      </c>
      <c r="T181" s="4">
        <v>0</v>
      </c>
      <c r="U181" s="4">
        <v>0</v>
      </c>
      <c r="V181" s="6">
        <f>IF(ISERROR(VLOOKUP($S$181,'TAR FIN'!$A$1:$O$116,15,0)),0,VLOOKUP($S$181,'TAR FIN'!$A$1:$O$116,15,0))</f>
        <v>17.920000000000002</v>
      </c>
      <c r="W181" s="6">
        <f>IF(ISERROR(VLOOKUP($T$181,'TAR FIN'!$A$1:$O$116,15,0)),0,VLOOKUP($T$181,'TAR FIN'!$A$1:$O$116,15,0))</f>
        <v>0</v>
      </c>
      <c r="X181" s="6">
        <f>IF(ISERROR(VLOOKUP($U$181,'TAR FIN'!$A$1:$O$116,15,0)),0,VLOOKUP($U$181,'TAR FIN'!$A$1:$O$116,15,0))</f>
        <v>0</v>
      </c>
      <c r="Y181" s="6">
        <f ca="1">('TUSD BE'!$AM$24+'TUSD BF'!$AM$24+'TUSD CVA'!$AM$24)*1</f>
        <v>21.034406725438203</v>
      </c>
      <c r="Z181" s="6"/>
      <c r="AA181" s="6"/>
      <c r="AB181" s="6">
        <f t="shared" si="10"/>
        <v>401408.00000000006</v>
      </c>
      <c r="AC181" s="6">
        <f t="shared" si="11"/>
        <v>0</v>
      </c>
      <c r="AD181" s="6">
        <f t="shared" ca="1" si="12"/>
        <v>471170.71064981574</v>
      </c>
      <c r="AE181" s="6">
        <f t="shared" si="13"/>
        <v>0</v>
      </c>
      <c r="AF181" s="4" t="s">
        <v>1112</v>
      </c>
    </row>
    <row r="182" spans="1:32" ht="11.25" customHeight="1" x14ac:dyDescent="0.25">
      <c r="A182" s="4" t="s">
        <v>21</v>
      </c>
      <c r="B182" s="4" t="s">
        <v>41</v>
      </c>
      <c r="C182" s="4" t="s">
        <v>40</v>
      </c>
      <c r="D182" s="4" t="s">
        <v>38</v>
      </c>
      <c r="E182" s="4" t="s">
        <v>25</v>
      </c>
      <c r="F182" s="4" t="s">
        <v>63</v>
      </c>
      <c r="G182" s="4" t="s">
        <v>25</v>
      </c>
      <c r="H182" s="4" t="s">
        <v>35</v>
      </c>
      <c r="I182" s="5">
        <v>44348</v>
      </c>
      <c r="J182" s="6">
        <v>17603</v>
      </c>
      <c r="K182" s="6">
        <v>13280.13394541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0</v>
      </c>
      <c r="S182" s="4">
        <v>22</v>
      </c>
      <c r="T182" s="4">
        <v>0</v>
      </c>
      <c r="U182" s="4">
        <v>0</v>
      </c>
      <c r="V182" s="6">
        <f>IF(ISERROR(VLOOKUP($S$182,'TAR FIN'!$A$1:$O$116,15,0)),0,VLOOKUP($S$182,'TAR FIN'!$A$1:$O$116,15,0))</f>
        <v>25.51</v>
      </c>
      <c r="W182" s="6">
        <f>IF(ISERROR(VLOOKUP($T$182,'TAR FIN'!$A$1:$O$116,15,0)),0,VLOOKUP($T$182,'TAR FIN'!$A$1:$O$116,15,0))</f>
        <v>0</v>
      </c>
      <c r="X182" s="6">
        <f>IF(ISERROR(VLOOKUP($U$182,'TAR FIN'!$A$1:$O$116,15,0)),0,VLOOKUP($U$182,'TAR FIN'!$A$1:$O$116,15,0))</f>
        <v>0</v>
      </c>
      <c r="Y182" s="6">
        <f ca="1">('TUSD BE'!$AM$26+'TUSD BF'!$AM$26+'TUSD CVA'!$AM$26)*1</f>
        <v>29.803266797877356</v>
      </c>
      <c r="Z182" s="6">
        <f ca="1">('TUSD BE'!$AM$27+'TUSD BF'!$AM$27+'TUSD CVA'!$AM$27)*1</f>
        <v>137.4358543126599</v>
      </c>
      <c r="AA182" s="6"/>
      <c r="AB182" s="6">
        <f t="shared" si="10"/>
        <v>110276.31305259091</v>
      </c>
      <c r="AC182" s="6">
        <f t="shared" si="11"/>
        <v>0</v>
      </c>
      <c r="AD182" s="6">
        <f t="shared" ca="1" si="12"/>
        <v>128835.53035643323</v>
      </c>
      <c r="AE182" s="6">
        <f t="shared" ca="1" si="13"/>
        <v>0</v>
      </c>
      <c r="AF182" s="4" t="s">
        <v>1113</v>
      </c>
    </row>
    <row r="183" spans="1:32" ht="11.25" customHeight="1" x14ac:dyDescent="0.25">
      <c r="A183" s="4" t="s">
        <v>21</v>
      </c>
      <c r="B183" s="4" t="s">
        <v>41</v>
      </c>
      <c r="C183" s="4" t="s">
        <v>40</v>
      </c>
      <c r="D183" s="4" t="s">
        <v>38</v>
      </c>
      <c r="E183" s="4" t="s">
        <v>25</v>
      </c>
      <c r="F183" s="4" t="s">
        <v>63</v>
      </c>
      <c r="G183" s="4" t="s">
        <v>25</v>
      </c>
      <c r="H183" s="4" t="s">
        <v>35</v>
      </c>
      <c r="I183" s="5">
        <v>44378</v>
      </c>
      <c r="J183" s="6">
        <v>17628</v>
      </c>
      <c r="K183" s="6">
        <v>12203.516247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0</v>
      </c>
      <c r="S183" s="4">
        <v>22</v>
      </c>
      <c r="T183" s="4">
        <v>0</v>
      </c>
      <c r="U183" s="4">
        <v>0</v>
      </c>
      <c r="V183" s="6">
        <f>IF(ISERROR(VLOOKUP($S$183,'TAR FIN'!$A$1:$O$116,15,0)),0,VLOOKUP($S$183,'TAR FIN'!$A$1:$O$116,15,0))</f>
        <v>25.51</v>
      </c>
      <c r="W183" s="6">
        <f>IF(ISERROR(VLOOKUP($T$183,'TAR FIN'!$A$1:$O$116,15,0)),0,VLOOKUP($T$183,'TAR FIN'!$A$1:$O$116,15,0))</f>
        <v>0</v>
      </c>
      <c r="X183" s="6">
        <f>IF(ISERROR(VLOOKUP($U$183,'TAR FIN'!$A$1:$O$116,15,0)),0,VLOOKUP($U$183,'TAR FIN'!$A$1:$O$116,15,0))</f>
        <v>0</v>
      </c>
      <c r="Y183" s="6">
        <f ca="1">('TUSD BE'!$AM$26+'TUSD BF'!$AM$26+'TUSD CVA'!$AM$26)*1</f>
        <v>29.803266797877356</v>
      </c>
      <c r="Z183" s="6">
        <f ca="1">('TUSD BE'!$AM$27+'TUSD BF'!$AM$27+'TUSD CVA'!$AM$27)*1</f>
        <v>137.4358543126599</v>
      </c>
      <c r="AA183" s="6"/>
      <c r="AB183" s="6">
        <f t="shared" si="10"/>
        <v>138378.58053903002</v>
      </c>
      <c r="AC183" s="6">
        <f t="shared" si="11"/>
        <v>0</v>
      </c>
      <c r="AD183" s="6">
        <f t="shared" ca="1" si="12"/>
        <v>161667.33653141005</v>
      </c>
      <c r="AE183" s="6">
        <f t="shared" ca="1" si="13"/>
        <v>0</v>
      </c>
      <c r="AF183" s="4" t="s">
        <v>1113</v>
      </c>
    </row>
    <row r="184" spans="1:32" ht="11.25" customHeight="1" x14ac:dyDescent="0.25">
      <c r="A184" s="4" t="s">
        <v>21</v>
      </c>
      <c r="B184" s="4" t="s">
        <v>41</v>
      </c>
      <c r="C184" s="4" t="s">
        <v>40</v>
      </c>
      <c r="D184" s="4" t="s">
        <v>38</v>
      </c>
      <c r="E184" s="4" t="s">
        <v>25</v>
      </c>
      <c r="F184" s="4" t="s">
        <v>63</v>
      </c>
      <c r="G184" s="4" t="s">
        <v>25</v>
      </c>
      <c r="H184" s="4" t="s">
        <v>35</v>
      </c>
      <c r="I184" s="5">
        <v>44409</v>
      </c>
      <c r="J184" s="6">
        <v>12595</v>
      </c>
      <c r="K184" s="6">
        <v>5669.6795540000003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0</v>
      </c>
      <c r="S184" s="4">
        <v>22</v>
      </c>
      <c r="T184" s="4">
        <v>0</v>
      </c>
      <c r="U184" s="4">
        <v>0</v>
      </c>
      <c r="V184" s="6">
        <f>IF(ISERROR(VLOOKUP($S$184,'TAR FIN'!$A$1:$O$116,15,0)),0,VLOOKUP($S$184,'TAR FIN'!$A$1:$O$116,15,0))</f>
        <v>25.51</v>
      </c>
      <c r="W184" s="6">
        <f>IF(ISERROR(VLOOKUP($T$184,'TAR FIN'!$A$1:$O$116,15,0)),0,VLOOKUP($T$184,'TAR FIN'!$A$1:$O$116,15,0))</f>
        <v>0</v>
      </c>
      <c r="X184" s="6">
        <f>IF(ISERROR(VLOOKUP($U$184,'TAR FIN'!$A$1:$O$116,15,0)),0,VLOOKUP($U$184,'TAR FIN'!$A$1:$O$116,15,0))</f>
        <v>0</v>
      </c>
      <c r="Y184" s="6">
        <f ca="1">('TUSD BE'!$AM$26+'TUSD BF'!$AM$26+'TUSD CVA'!$AM$26)*1</f>
        <v>29.803266797877356</v>
      </c>
      <c r="Z184" s="6">
        <f ca="1">('TUSD BE'!$AM$27+'TUSD BF'!$AM$27+'TUSD CVA'!$AM$27)*1</f>
        <v>137.4358543126599</v>
      </c>
      <c r="AA184" s="6"/>
      <c r="AB184" s="6">
        <f t="shared" si="10"/>
        <v>176664.92457746001</v>
      </c>
      <c r="AC184" s="6">
        <f t="shared" si="11"/>
        <v>0</v>
      </c>
      <c r="AD184" s="6">
        <f t="shared" ca="1" si="12"/>
        <v>206397.17291293299</v>
      </c>
      <c r="AE184" s="6">
        <f t="shared" ca="1" si="13"/>
        <v>0</v>
      </c>
      <c r="AF184" s="4" t="s">
        <v>1113</v>
      </c>
    </row>
    <row r="185" spans="1:32" ht="11.25" customHeight="1" x14ac:dyDescent="0.25">
      <c r="A185" s="4" t="s">
        <v>21</v>
      </c>
      <c r="B185" s="4" t="s">
        <v>41</v>
      </c>
      <c r="C185" s="4" t="s">
        <v>40</v>
      </c>
      <c r="D185" s="4" t="s">
        <v>38</v>
      </c>
      <c r="E185" s="4" t="s">
        <v>25</v>
      </c>
      <c r="F185" s="4" t="s">
        <v>63</v>
      </c>
      <c r="G185" s="4" t="s">
        <v>25</v>
      </c>
      <c r="H185" s="4" t="s">
        <v>35</v>
      </c>
      <c r="I185" s="5">
        <v>44440</v>
      </c>
      <c r="J185" s="6">
        <v>13569</v>
      </c>
      <c r="K185" s="6">
        <v>6160.3053751199996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0</v>
      </c>
      <c r="S185" s="4">
        <v>22</v>
      </c>
      <c r="T185" s="4">
        <v>0</v>
      </c>
      <c r="U185" s="4">
        <v>0</v>
      </c>
      <c r="V185" s="6">
        <f>IF(ISERROR(VLOOKUP($S$185,'TAR FIN'!$A$1:$O$116,15,0)),0,VLOOKUP($S$185,'TAR FIN'!$A$1:$O$116,15,0))</f>
        <v>25.51</v>
      </c>
      <c r="W185" s="6">
        <f>IF(ISERROR(VLOOKUP($T$185,'TAR FIN'!$A$1:$O$116,15,0)),0,VLOOKUP($T$185,'TAR FIN'!$A$1:$O$116,15,0))</f>
        <v>0</v>
      </c>
      <c r="X185" s="6">
        <f>IF(ISERROR(VLOOKUP($U$185,'TAR FIN'!$A$1:$O$116,15,0)),0,VLOOKUP($U$185,'TAR FIN'!$A$1:$O$116,15,0))</f>
        <v>0</v>
      </c>
      <c r="Y185" s="6">
        <f ca="1">('TUSD BE'!$AM$26+'TUSD BF'!$AM$26+'TUSD CVA'!$AM$26)*1</f>
        <v>29.803266797877356</v>
      </c>
      <c r="Z185" s="6">
        <f ca="1">('TUSD BE'!$AM$27+'TUSD BF'!$AM$27+'TUSD CVA'!$AM$27)*1</f>
        <v>137.4358543126599</v>
      </c>
      <c r="AA185" s="6"/>
      <c r="AB185" s="6">
        <f t="shared" si="10"/>
        <v>188995.79988068884</v>
      </c>
      <c r="AC185" s="6">
        <f t="shared" si="11"/>
        <v>0</v>
      </c>
      <c r="AD185" s="6">
        <f t="shared" ca="1" si="12"/>
        <v>220803.30252929855</v>
      </c>
      <c r="AE185" s="6">
        <f t="shared" ca="1" si="13"/>
        <v>0</v>
      </c>
      <c r="AF185" s="4" t="s">
        <v>1113</v>
      </c>
    </row>
    <row r="186" spans="1:32" ht="11.25" customHeight="1" x14ac:dyDescent="0.25">
      <c r="A186" s="4" t="s">
        <v>21</v>
      </c>
      <c r="B186" s="4" t="s">
        <v>41</v>
      </c>
      <c r="C186" s="4" t="s">
        <v>40</v>
      </c>
      <c r="D186" s="4" t="s">
        <v>38</v>
      </c>
      <c r="E186" s="4" t="s">
        <v>25</v>
      </c>
      <c r="F186" s="4" t="s">
        <v>63</v>
      </c>
      <c r="G186" s="4" t="s">
        <v>25</v>
      </c>
      <c r="H186" s="4" t="s">
        <v>35</v>
      </c>
      <c r="I186" s="5">
        <v>44470</v>
      </c>
      <c r="J186" s="6">
        <v>13596</v>
      </c>
      <c r="K186" s="6">
        <v>6266.9120962799998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R186" s="4">
        <v>0</v>
      </c>
      <c r="S186" s="4">
        <v>22</v>
      </c>
      <c r="T186" s="4">
        <v>0</v>
      </c>
      <c r="U186" s="4">
        <v>0</v>
      </c>
      <c r="V186" s="6">
        <f>IF(ISERROR(VLOOKUP($S$186,'TAR FIN'!$A$1:$O$116,15,0)),0,VLOOKUP($S$186,'TAR FIN'!$A$1:$O$116,15,0))</f>
        <v>25.51</v>
      </c>
      <c r="W186" s="6">
        <f>IF(ISERROR(VLOOKUP($T$186,'TAR FIN'!$A$1:$O$116,15,0)),0,VLOOKUP($T$186,'TAR FIN'!$A$1:$O$116,15,0))</f>
        <v>0</v>
      </c>
      <c r="X186" s="6">
        <f>IF(ISERROR(VLOOKUP($U$186,'TAR FIN'!$A$1:$O$116,15,0)),0,VLOOKUP($U$186,'TAR FIN'!$A$1:$O$116,15,0))</f>
        <v>0</v>
      </c>
      <c r="Y186" s="6">
        <f ca="1">('TUSD BE'!$AM$26+'TUSD BF'!$AM$26+'TUSD CVA'!$AM$26)*1</f>
        <v>29.803266797877356</v>
      </c>
      <c r="Z186" s="6">
        <f ca="1">('TUSD BE'!$AM$27+'TUSD BF'!$AM$27+'TUSD CVA'!$AM$27)*1</f>
        <v>137.4358543126599</v>
      </c>
      <c r="AA186" s="6"/>
      <c r="AB186" s="6">
        <f t="shared" si="10"/>
        <v>186965.03242389721</v>
      </c>
      <c r="AC186" s="6">
        <f t="shared" si="11"/>
        <v>0</v>
      </c>
      <c r="AD186" s="6">
        <f t="shared" ca="1" si="12"/>
        <v>218430.76217966282</v>
      </c>
      <c r="AE186" s="6">
        <f t="shared" ca="1" si="13"/>
        <v>0</v>
      </c>
      <c r="AF186" s="4" t="s">
        <v>1113</v>
      </c>
    </row>
    <row r="187" spans="1:32" ht="11.25" customHeight="1" x14ac:dyDescent="0.25">
      <c r="A187" s="4" t="s">
        <v>21</v>
      </c>
      <c r="B187" s="4" t="s">
        <v>41</v>
      </c>
      <c r="C187" s="4" t="s">
        <v>40</v>
      </c>
      <c r="D187" s="4" t="s">
        <v>38</v>
      </c>
      <c r="E187" s="4" t="s">
        <v>25</v>
      </c>
      <c r="F187" s="4" t="s">
        <v>63</v>
      </c>
      <c r="G187" s="4" t="s">
        <v>25</v>
      </c>
      <c r="H187" s="4" t="s">
        <v>35</v>
      </c>
      <c r="I187" s="5">
        <v>44501</v>
      </c>
      <c r="J187" s="6">
        <v>13629</v>
      </c>
      <c r="K187" s="6">
        <v>6256.2838268699998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0</v>
      </c>
      <c r="S187" s="4">
        <v>22</v>
      </c>
      <c r="T187" s="4">
        <v>0</v>
      </c>
      <c r="U187" s="4">
        <v>0</v>
      </c>
      <c r="V187" s="6">
        <f>IF(ISERROR(VLOOKUP($S$187,'TAR FIN'!$A$1:$O$116,15,0)),0,VLOOKUP($S$187,'TAR FIN'!$A$1:$O$116,15,0))</f>
        <v>25.51</v>
      </c>
      <c r="W187" s="6">
        <f>IF(ISERROR(VLOOKUP($T$187,'TAR FIN'!$A$1:$O$116,15,0)),0,VLOOKUP($T$187,'TAR FIN'!$A$1:$O$116,15,0))</f>
        <v>0</v>
      </c>
      <c r="X187" s="6">
        <f>IF(ISERROR(VLOOKUP($U$187,'TAR FIN'!$A$1:$O$116,15,0)),0,VLOOKUP($U$187,'TAR FIN'!$A$1:$O$116,15,0))</f>
        <v>0</v>
      </c>
      <c r="Y187" s="6">
        <f ca="1">('TUSD BE'!$AM$26+'TUSD BF'!$AM$26+'TUSD CVA'!$AM$26)*1</f>
        <v>29.803266797877356</v>
      </c>
      <c r="Z187" s="6">
        <f ca="1">('TUSD BE'!$AM$27+'TUSD BF'!$AM$27+'TUSD CVA'!$AM$27)*1</f>
        <v>137.4358543126599</v>
      </c>
      <c r="AA187" s="6"/>
      <c r="AB187" s="6">
        <f t="shared" si="10"/>
        <v>188077.98957654633</v>
      </c>
      <c r="AC187" s="6">
        <f t="shared" si="11"/>
        <v>0</v>
      </c>
      <c r="AD187" s="6">
        <f t="shared" ca="1" si="12"/>
        <v>219731.02713281874</v>
      </c>
      <c r="AE187" s="6">
        <f t="shared" ca="1" si="13"/>
        <v>0</v>
      </c>
      <c r="AF187" s="4" t="s">
        <v>1113</v>
      </c>
    </row>
    <row r="188" spans="1:32" ht="11.25" customHeight="1" x14ac:dyDescent="0.25">
      <c r="A188" s="4" t="s">
        <v>21</v>
      </c>
      <c r="B188" s="4" t="s">
        <v>41</v>
      </c>
      <c r="C188" s="4" t="s">
        <v>40</v>
      </c>
      <c r="D188" s="4" t="s">
        <v>38</v>
      </c>
      <c r="E188" s="4" t="s">
        <v>25</v>
      </c>
      <c r="F188" s="4" t="s">
        <v>63</v>
      </c>
      <c r="G188" s="4" t="s">
        <v>25</v>
      </c>
      <c r="H188" s="4" t="s">
        <v>35</v>
      </c>
      <c r="I188" s="5">
        <v>44531</v>
      </c>
      <c r="J188" s="6">
        <v>13627</v>
      </c>
      <c r="K188" s="6">
        <v>6244.4569204999998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0</v>
      </c>
      <c r="S188" s="4">
        <v>22</v>
      </c>
      <c r="T188" s="4">
        <v>0</v>
      </c>
      <c r="U188" s="4">
        <v>0</v>
      </c>
      <c r="V188" s="6">
        <f>IF(ISERROR(VLOOKUP($S$188,'TAR FIN'!$A$1:$O$116,15,0)),0,VLOOKUP($S$188,'TAR FIN'!$A$1:$O$116,15,0))</f>
        <v>25.51</v>
      </c>
      <c r="W188" s="6">
        <f>IF(ISERROR(VLOOKUP($T$188,'TAR FIN'!$A$1:$O$116,15,0)),0,VLOOKUP($T$188,'TAR FIN'!$A$1:$O$116,15,0))</f>
        <v>0</v>
      </c>
      <c r="X188" s="6">
        <f>IF(ISERROR(VLOOKUP($U$188,'TAR FIN'!$A$1:$O$116,15,0)),0,VLOOKUP($U$188,'TAR FIN'!$A$1:$O$116,15,0))</f>
        <v>0</v>
      </c>
      <c r="Y188" s="6">
        <f ca="1">('TUSD BE'!$AM$26+'TUSD BF'!$AM$26+'TUSD CVA'!$AM$26)*1</f>
        <v>29.803266797877356</v>
      </c>
      <c r="Z188" s="6">
        <f ca="1">('TUSD BE'!$AM$27+'TUSD BF'!$AM$27+'TUSD CVA'!$AM$27)*1</f>
        <v>137.4358543126599</v>
      </c>
      <c r="AA188" s="6"/>
      <c r="AB188" s="6">
        <f t="shared" si="10"/>
        <v>188328.67395804502</v>
      </c>
      <c r="AC188" s="6">
        <f t="shared" si="11"/>
        <v>0</v>
      </c>
      <c r="AD188" s="6">
        <f t="shared" ca="1" si="12"/>
        <v>220023.90104516162</v>
      </c>
      <c r="AE188" s="6">
        <f t="shared" ca="1" si="13"/>
        <v>0</v>
      </c>
      <c r="AF188" s="4" t="s">
        <v>1113</v>
      </c>
    </row>
    <row r="189" spans="1:32" ht="11.25" customHeight="1" x14ac:dyDescent="0.25">
      <c r="A189" s="4" t="s">
        <v>21</v>
      </c>
      <c r="B189" s="4" t="s">
        <v>41</v>
      </c>
      <c r="C189" s="4" t="s">
        <v>40</v>
      </c>
      <c r="D189" s="4" t="s">
        <v>38</v>
      </c>
      <c r="E189" s="4" t="s">
        <v>25</v>
      </c>
      <c r="F189" s="4" t="s">
        <v>63</v>
      </c>
      <c r="G189" s="4" t="s">
        <v>25</v>
      </c>
      <c r="H189" s="4" t="s">
        <v>35</v>
      </c>
      <c r="I189" s="5">
        <v>44562</v>
      </c>
      <c r="J189" s="6">
        <v>13958</v>
      </c>
      <c r="K189" s="6">
        <v>6426.2320736600004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0</v>
      </c>
      <c r="S189" s="4">
        <v>22</v>
      </c>
      <c r="T189" s="4">
        <v>0</v>
      </c>
      <c r="U189" s="4">
        <v>0</v>
      </c>
      <c r="V189" s="6">
        <f>IF(ISERROR(VLOOKUP($S$189,'TAR FIN'!$A$1:$O$116,15,0)),0,VLOOKUP($S$189,'TAR FIN'!$A$1:$O$116,15,0))</f>
        <v>25.51</v>
      </c>
      <c r="W189" s="6">
        <f>IF(ISERROR(VLOOKUP($T$189,'TAR FIN'!$A$1:$O$116,15,0)),0,VLOOKUP($T$189,'TAR FIN'!$A$1:$O$116,15,0))</f>
        <v>0</v>
      </c>
      <c r="X189" s="6">
        <f>IF(ISERROR(VLOOKUP($U$189,'TAR FIN'!$A$1:$O$116,15,0)),0,VLOOKUP($U$189,'TAR FIN'!$A$1:$O$116,15,0))</f>
        <v>0</v>
      </c>
      <c r="Y189" s="6">
        <f ca="1">('TUSD BE'!$AM$26+'TUSD BF'!$AM$26+'TUSD CVA'!$AM$26)*1</f>
        <v>29.803266797877356</v>
      </c>
      <c r="Z189" s="6">
        <f ca="1">('TUSD BE'!$AM$27+'TUSD BF'!$AM$27+'TUSD CVA'!$AM$27)*1</f>
        <v>137.4358543126599</v>
      </c>
      <c r="AA189" s="6"/>
      <c r="AB189" s="6">
        <f t="shared" si="10"/>
        <v>192135.3998009334</v>
      </c>
      <c r="AC189" s="6">
        <f t="shared" si="11"/>
        <v>0</v>
      </c>
      <c r="AD189" s="6">
        <f t="shared" ca="1" si="12"/>
        <v>224471.2889684065</v>
      </c>
      <c r="AE189" s="6">
        <f t="shared" ca="1" si="13"/>
        <v>0</v>
      </c>
      <c r="AF189" s="4" t="s">
        <v>1113</v>
      </c>
    </row>
    <row r="190" spans="1:32" ht="11.25" customHeight="1" x14ac:dyDescent="0.25">
      <c r="A190" s="4" t="s">
        <v>21</v>
      </c>
      <c r="B190" s="4" t="s">
        <v>41</v>
      </c>
      <c r="C190" s="4" t="s">
        <v>40</v>
      </c>
      <c r="D190" s="4" t="s">
        <v>38</v>
      </c>
      <c r="E190" s="4" t="s">
        <v>25</v>
      </c>
      <c r="F190" s="4" t="s">
        <v>63</v>
      </c>
      <c r="G190" s="4" t="s">
        <v>25</v>
      </c>
      <c r="H190" s="4" t="s">
        <v>35</v>
      </c>
      <c r="I190" s="5">
        <v>44593</v>
      </c>
      <c r="J190" s="6">
        <v>13082</v>
      </c>
      <c r="K190" s="6">
        <v>5997.7436551800001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0</v>
      </c>
      <c r="S190" s="4">
        <v>22</v>
      </c>
      <c r="T190" s="4">
        <v>0</v>
      </c>
      <c r="U190" s="4">
        <v>0</v>
      </c>
      <c r="V190" s="6">
        <f>IF(ISERROR(VLOOKUP($S$190,'TAR FIN'!$A$1:$O$116,15,0)),0,VLOOKUP($S$190,'TAR FIN'!$A$1:$O$116,15,0))</f>
        <v>25.51</v>
      </c>
      <c r="W190" s="6">
        <f>IF(ISERROR(VLOOKUP($T$190,'TAR FIN'!$A$1:$O$116,15,0)),0,VLOOKUP($T$190,'TAR FIN'!$A$1:$O$116,15,0))</f>
        <v>0</v>
      </c>
      <c r="X190" s="6">
        <f>IF(ISERROR(VLOOKUP($U$190,'TAR FIN'!$A$1:$O$116,15,0)),0,VLOOKUP($U$190,'TAR FIN'!$A$1:$O$116,15,0))</f>
        <v>0</v>
      </c>
      <c r="Y190" s="6">
        <f ca="1">('TUSD BE'!$AM$26+'TUSD BF'!$AM$26+'TUSD CVA'!$AM$26)*1</f>
        <v>29.803266797877356</v>
      </c>
      <c r="Z190" s="6">
        <f ca="1">('TUSD BE'!$AM$27+'TUSD BF'!$AM$27+'TUSD CVA'!$AM$27)*1</f>
        <v>137.4358543126599</v>
      </c>
      <c r="AA190" s="6"/>
      <c r="AB190" s="6">
        <f t="shared" si="10"/>
        <v>180719.3793563582</v>
      </c>
      <c r="AC190" s="6">
        <f t="shared" si="11"/>
        <v>0</v>
      </c>
      <c r="AD190" s="6">
        <f t="shared" ca="1" si="12"/>
        <v>211133.9819092259</v>
      </c>
      <c r="AE190" s="6">
        <f t="shared" ca="1" si="13"/>
        <v>0</v>
      </c>
      <c r="AF190" s="4" t="s">
        <v>1113</v>
      </c>
    </row>
    <row r="191" spans="1:32" ht="11.25" customHeight="1" x14ac:dyDescent="0.25">
      <c r="A191" s="4" t="s">
        <v>21</v>
      </c>
      <c r="B191" s="4" t="s">
        <v>41</v>
      </c>
      <c r="C191" s="4" t="s">
        <v>40</v>
      </c>
      <c r="D191" s="4" t="s">
        <v>38</v>
      </c>
      <c r="E191" s="4" t="s">
        <v>25</v>
      </c>
      <c r="F191" s="4" t="s">
        <v>63</v>
      </c>
      <c r="G191" s="4" t="s">
        <v>25</v>
      </c>
      <c r="H191" s="4" t="s">
        <v>35</v>
      </c>
      <c r="I191" s="5">
        <v>44621</v>
      </c>
      <c r="J191" s="6">
        <v>13062</v>
      </c>
      <c r="K191" s="6">
        <v>5945.0991570599999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0</v>
      </c>
      <c r="S191" s="4">
        <v>22</v>
      </c>
      <c r="T191" s="4">
        <v>0</v>
      </c>
      <c r="U191" s="4">
        <v>0</v>
      </c>
      <c r="V191" s="6">
        <f>IF(ISERROR(VLOOKUP($S$191,'TAR FIN'!$A$1:$O$116,15,0)),0,VLOOKUP($S$191,'TAR FIN'!$A$1:$O$116,15,0))</f>
        <v>25.51</v>
      </c>
      <c r="W191" s="6">
        <f>IF(ISERROR(VLOOKUP($T$191,'TAR FIN'!$A$1:$O$116,15,0)),0,VLOOKUP($T$191,'TAR FIN'!$A$1:$O$116,15,0))</f>
        <v>0</v>
      </c>
      <c r="X191" s="6">
        <f>IF(ISERROR(VLOOKUP($U$191,'TAR FIN'!$A$1:$O$116,15,0)),0,VLOOKUP($U$191,'TAR FIN'!$A$1:$O$116,15,0))</f>
        <v>0</v>
      </c>
      <c r="Y191" s="6">
        <f ca="1">('TUSD BE'!$AM$26+'TUSD BF'!$AM$26+'TUSD CVA'!$AM$26)*1</f>
        <v>29.803266797877356</v>
      </c>
      <c r="Z191" s="6">
        <f ca="1">('TUSD BE'!$AM$27+'TUSD BF'!$AM$27+'TUSD CVA'!$AM$27)*1</f>
        <v>137.4358543126599</v>
      </c>
      <c r="AA191" s="6"/>
      <c r="AB191" s="6">
        <f t="shared" si="10"/>
        <v>181552.14050339942</v>
      </c>
      <c r="AC191" s="6">
        <f t="shared" si="11"/>
        <v>0</v>
      </c>
      <c r="AD191" s="6">
        <f t="shared" ca="1" si="12"/>
        <v>212106.89459617907</v>
      </c>
      <c r="AE191" s="6">
        <f t="shared" ca="1" si="13"/>
        <v>0</v>
      </c>
      <c r="AF191" s="4" t="s">
        <v>1113</v>
      </c>
    </row>
    <row r="192" spans="1:32" ht="11.25" customHeight="1" x14ac:dyDescent="0.25">
      <c r="A192" s="4" t="s">
        <v>21</v>
      </c>
      <c r="B192" s="4" t="s">
        <v>41</v>
      </c>
      <c r="C192" s="4" t="s">
        <v>40</v>
      </c>
      <c r="D192" s="4" t="s">
        <v>38</v>
      </c>
      <c r="E192" s="4" t="s">
        <v>25</v>
      </c>
      <c r="F192" s="4" t="s">
        <v>63</v>
      </c>
      <c r="G192" s="4" t="s">
        <v>25</v>
      </c>
      <c r="H192" s="4" t="s">
        <v>35</v>
      </c>
      <c r="I192" s="5">
        <v>44652</v>
      </c>
      <c r="J192" s="6">
        <v>13066</v>
      </c>
      <c r="K192" s="6">
        <v>5928.49876614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0</v>
      </c>
      <c r="S192" s="4">
        <v>22</v>
      </c>
      <c r="T192" s="4">
        <v>0</v>
      </c>
      <c r="U192" s="4">
        <v>0</v>
      </c>
      <c r="V192" s="6">
        <f>IF(ISERROR(VLOOKUP($S$192,'TAR FIN'!$A$1:$O$116,15,0)),0,VLOOKUP($S$192,'TAR FIN'!$A$1:$O$116,15,0))</f>
        <v>25.51</v>
      </c>
      <c r="W192" s="6">
        <f>IF(ISERROR(VLOOKUP($T$192,'TAR FIN'!$A$1:$O$116,15,0)),0,VLOOKUP($T$192,'TAR FIN'!$A$1:$O$116,15,0))</f>
        <v>0</v>
      </c>
      <c r="X192" s="6">
        <f>IF(ISERROR(VLOOKUP($U$192,'TAR FIN'!$A$1:$O$116,15,0)),0,VLOOKUP($U$192,'TAR FIN'!$A$1:$O$116,15,0))</f>
        <v>0</v>
      </c>
      <c r="Y192" s="6">
        <f ca="1">('TUSD BE'!$AM$26+'TUSD BF'!$AM$26+'TUSD CVA'!$AM$26)*1</f>
        <v>29.803266797877356</v>
      </c>
      <c r="Z192" s="6">
        <f ca="1">('TUSD BE'!$AM$27+'TUSD BF'!$AM$27+'TUSD CVA'!$AM$27)*1</f>
        <v>137.4358543126599</v>
      </c>
      <c r="AA192" s="6"/>
      <c r="AB192" s="6">
        <f t="shared" si="10"/>
        <v>182077.6564757686</v>
      </c>
      <c r="AC192" s="6">
        <f t="shared" si="11"/>
        <v>0</v>
      </c>
      <c r="AD192" s="6">
        <f t="shared" ca="1" si="12"/>
        <v>212720.85354290839</v>
      </c>
      <c r="AE192" s="6">
        <f t="shared" ca="1" si="13"/>
        <v>0</v>
      </c>
      <c r="AF192" s="4" t="s">
        <v>1113</v>
      </c>
    </row>
    <row r="193" spans="1:32" ht="11.25" customHeight="1" x14ac:dyDescent="0.25">
      <c r="A193" s="4" t="s">
        <v>58</v>
      </c>
      <c r="B193" s="4" t="s">
        <v>41</v>
      </c>
      <c r="C193" s="4" t="s">
        <v>40</v>
      </c>
      <c r="D193" s="4" t="s">
        <v>38</v>
      </c>
      <c r="E193" s="4" t="s">
        <v>25</v>
      </c>
      <c r="F193" s="4" t="s">
        <v>63</v>
      </c>
      <c r="G193" s="4" t="s">
        <v>25</v>
      </c>
      <c r="H193" s="4" t="s">
        <v>35</v>
      </c>
      <c r="I193" s="5">
        <v>44682</v>
      </c>
      <c r="J193" s="6">
        <v>13066</v>
      </c>
      <c r="K193" s="6">
        <v>5928.49876614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R193" s="4">
        <v>0</v>
      </c>
      <c r="S193" s="4">
        <v>22</v>
      </c>
      <c r="T193" s="4">
        <v>0</v>
      </c>
      <c r="U193" s="4">
        <v>0</v>
      </c>
      <c r="V193" s="6">
        <f>IF(ISERROR(VLOOKUP($S$193,'TAR FIN'!$A$1:$O$116,15,0)),0,VLOOKUP($S$193,'TAR FIN'!$A$1:$O$116,15,0))</f>
        <v>25.51</v>
      </c>
      <c r="W193" s="6">
        <f>IF(ISERROR(VLOOKUP($T$193,'TAR FIN'!$A$1:$O$116,15,0)),0,VLOOKUP($T$193,'TAR FIN'!$A$1:$O$116,15,0))</f>
        <v>0</v>
      </c>
      <c r="X193" s="6">
        <f>IF(ISERROR(VLOOKUP($U$193,'TAR FIN'!$A$1:$O$116,15,0)),0,VLOOKUP($U$193,'TAR FIN'!$A$1:$O$116,15,0))</f>
        <v>0</v>
      </c>
      <c r="Y193" s="6">
        <f ca="1">('TUSD BE'!$AM$26+'TUSD BF'!$AM$26+'TUSD CVA'!$AM$26)*1</f>
        <v>29.803266797877356</v>
      </c>
      <c r="Z193" s="6">
        <f ca="1">('TUSD BE'!$AM$27+'TUSD BF'!$AM$27+'TUSD CVA'!$AM$27)*1</f>
        <v>137.4358543126599</v>
      </c>
      <c r="AA193" s="6"/>
      <c r="AB193" s="6">
        <f t="shared" si="10"/>
        <v>182077.6564757686</v>
      </c>
      <c r="AC193" s="6">
        <f t="shared" si="11"/>
        <v>0</v>
      </c>
      <c r="AD193" s="6">
        <f t="shared" ca="1" si="12"/>
        <v>212720.85354290839</v>
      </c>
      <c r="AE193" s="6">
        <f t="shared" ca="1" si="13"/>
        <v>0</v>
      </c>
      <c r="AF193" s="4" t="s">
        <v>1113</v>
      </c>
    </row>
    <row r="194" spans="1:32" ht="11.25" customHeight="1" x14ac:dyDescent="0.25">
      <c r="A194" s="4" t="s">
        <v>21</v>
      </c>
      <c r="B194" s="4" t="s">
        <v>41</v>
      </c>
      <c r="C194" s="4" t="s">
        <v>40</v>
      </c>
      <c r="D194" s="4" t="s">
        <v>38</v>
      </c>
      <c r="E194" s="4" t="s">
        <v>25</v>
      </c>
      <c r="F194" s="4" t="s">
        <v>63</v>
      </c>
      <c r="G194" s="4" t="s">
        <v>25</v>
      </c>
      <c r="H194" s="4" t="s">
        <v>25</v>
      </c>
      <c r="I194" s="5">
        <v>44348</v>
      </c>
      <c r="J194" s="6">
        <v>0</v>
      </c>
      <c r="K194" s="6">
        <v>0</v>
      </c>
      <c r="L194" s="6">
        <v>6518.7150000000001</v>
      </c>
      <c r="M194" s="6">
        <v>6518.7150000000001</v>
      </c>
      <c r="N194" s="6">
        <v>0</v>
      </c>
      <c r="O194" s="6">
        <v>0</v>
      </c>
      <c r="P194" s="6">
        <v>17</v>
      </c>
      <c r="Q194" s="4" t="s">
        <v>60</v>
      </c>
      <c r="R194" s="4">
        <v>0</v>
      </c>
      <c r="S194" s="4">
        <v>0</v>
      </c>
      <c r="T194" s="4">
        <v>23</v>
      </c>
      <c r="U194" s="4">
        <v>0</v>
      </c>
      <c r="V194" s="6">
        <f>IF(ISERROR(VLOOKUP($S$194,'TAR FIN'!$A$1:$O$116,15,0)),0,VLOOKUP($S$194,'TAR FIN'!$A$1:$O$116,15,0))</f>
        <v>0</v>
      </c>
      <c r="W194" s="6">
        <f>IF(ISERROR(VLOOKUP($T$194,'TAR FIN'!$A$1:$O$116,15,0)),0,VLOOKUP($T$194,'TAR FIN'!$A$1:$O$116,15,0))</f>
        <v>88.66</v>
      </c>
      <c r="X194" s="6">
        <f>IF(ISERROR(VLOOKUP($U$194,'TAR FIN'!$A$1:$O$116,15,0)),0,VLOOKUP($U$194,'TAR FIN'!$A$1:$O$116,15,0))</f>
        <v>0</v>
      </c>
      <c r="Y194" s="6"/>
      <c r="Z194" s="6">
        <f ca="1">('TUSD BE'!$AM$27+'TUSD BF'!$AM$27+'TUSD CVA'!$AM$27)*1</f>
        <v>137.4358543126599</v>
      </c>
      <c r="AA194" s="6"/>
      <c r="AB194" s="6">
        <f t="shared" ref="AB194:AB217" si="14">(J194-K194)*V194</f>
        <v>0</v>
      </c>
      <c r="AC194" s="6">
        <f t="shared" ref="AC194:AC217" si="15">(L194-M194)*W194+(N194-O194)*X194</f>
        <v>0</v>
      </c>
      <c r="AD194" s="6">
        <f t="shared" ref="AD194:AD217" si="16">(J194-K194)*Y194</f>
        <v>0</v>
      </c>
      <c r="AE194" s="6">
        <f t="shared" ref="AE194:AE217" ca="1" si="17">(L194-M194)*Z194+(N194-O194)*AA194</f>
        <v>0</v>
      </c>
      <c r="AF194" s="4" t="s">
        <v>1113</v>
      </c>
    </row>
    <row r="195" spans="1:32" ht="11.25" customHeight="1" x14ac:dyDescent="0.25">
      <c r="A195" s="4" t="s">
        <v>21</v>
      </c>
      <c r="B195" s="4" t="s">
        <v>41</v>
      </c>
      <c r="C195" s="4" t="s">
        <v>40</v>
      </c>
      <c r="D195" s="4" t="s">
        <v>38</v>
      </c>
      <c r="E195" s="4" t="s">
        <v>25</v>
      </c>
      <c r="F195" s="4" t="s">
        <v>63</v>
      </c>
      <c r="G195" s="4" t="s">
        <v>25</v>
      </c>
      <c r="H195" s="4" t="s">
        <v>25</v>
      </c>
      <c r="I195" s="5">
        <v>44378</v>
      </c>
      <c r="J195" s="6">
        <v>0</v>
      </c>
      <c r="K195" s="6">
        <v>0</v>
      </c>
      <c r="L195" s="6">
        <v>6026.5969999999998</v>
      </c>
      <c r="M195" s="6">
        <v>6026.5969999999998</v>
      </c>
      <c r="N195" s="6">
        <v>0</v>
      </c>
      <c r="O195" s="6">
        <v>0</v>
      </c>
      <c r="P195" s="6">
        <v>17</v>
      </c>
      <c r="Q195" s="4" t="s">
        <v>60</v>
      </c>
      <c r="R195" s="4">
        <v>0</v>
      </c>
      <c r="S195" s="4">
        <v>0</v>
      </c>
      <c r="T195" s="4">
        <v>23</v>
      </c>
      <c r="U195" s="4">
        <v>0</v>
      </c>
      <c r="V195" s="6">
        <f>IF(ISERROR(VLOOKUP($S$195,'TAR FIN'!$A$1:$O$116,15,0)),0,VLOOKUP($S$195,'TAR FIN'!$A$1:$O$116,15,0))</f>
        <v>0</v>
      </c>
      <c r="W195" s="6">
        <f>IF(ISERROR(VLOOKUP($T$195,'TAR FIN'!$A$1:$O$116,15,0)),0,VLOOKUP($T$195,'TAR FIN'!$A$1:$O$116,15,0))</f>
        <v>88.66</v>
      </c>
      <c r="X195" s="6">
        <f>IF(ISERROR(VLOOKUP($U$195,'TAR FIN'!$A$1:$O$116,15,0)),0,VLOOKUP($U$195,'TAR FIN'!$A$1:$O$116,15,0))</f>
        <v>0</v>
      </c>
      <c r="Y195" s="6"/>
      <c r="Z195" s="6">
        <f ca="1">('TUSD BE'!$AM$27+'TUSD BF'!$AM$27+'TUSD CVA'!$AM$27)*1</f>
        <v>137.4358543126599</v>
      </c>
      <c r="AA195" s="6"/>
      <c r="AB195" s="6">
        <f t="shared" si="14"/>
        <v>0</v>
      </c>
      <c r="AC195" s="6">
        <f t="shared" si="15"/>
        <v>0</v>
      </c>
      <c r="AD195" s="6">
        <f t="shared" si="16"/>
        <v>0</v>
      </c>
      <c r="AE195" s="6">
        <f t="shared" ca="1" si="17"/>
        <v>0</v>
      </c>
      <c r="AF195" s="4" t="s">
        <v>1113</v>
      </c>
    </row>
    <row r="196" spans="1:32" ht="11.25" customHeight="1" x14ac:dyDescent="0.25">
      <c r="A196" s="4" t="s">
        <v>21</v>
      </c>
      <c r="B196" s="4" t="s">
        <v>41</v>
      </c>
      <c r="C196" s="4" t="s">
        <v>40</v>
      </c>
      <c r="D196" s="4" t="s">
        <v>38</v>
      </c>
      <c r="E196" s="4" t="s">
        <v>25</v>
      </c>
      <c r="F196" s="4" t="s">
        <v>63</v>
      </c>
      <c r="G196" s="4" t="s">
        <v>25</v>
      </c>
      <c r="H196" s="4" t="s">
        <v>25</v>
      </c>
      <c r="I196" s="5">
        <v>44409</v>
      </c>
      <c r="J196" s="6">
        <v>0</v>
      </c>
      <c r="K196" s="6">
        <v>0</v>
      </c>
      <c r="L196" s="6">
        <v>4247.6530000000002</v>
      </c>
      <c r="M196" s="6">
        <v>4247.6530000000002</v>
      </c>
      <c r="N196" s="6">
        <v>0</v>
      </c>
      <c r="O196" s="6">
        <v>0</v>
      </c>
      <c r="P196" s="6">
        <v>18</v>
      </c>
      <c r="Q196" s="4" t="s">
        <v>60</v>
      </c>
      <c r="R196" s="4">
        <v>0</v>
      </c>
      <c r="S196" s="4">
        <v>0</v>
      </c>
      <c r="T196" s="4">
        <v>23</v>
      </c>
      <c r="U196" s="4">
        <v>0</v>
      </c>
      <c r="V196" s="6">
        <f>IF(ISERROR(VLOOKUP($S$196,'TAR FIN'!$A$1:$O$116,15,0)),0,VLOOKUP($S$196,'TAR FIN'!$A$1:$O$116,15,0))</f>
        <v>0</v>
      </c>
      <c r="W196" s="6">
        <f>IF(ISERROR(VLOOKUP($T$196,'TAR FIN'!$A$1:$O$116,15,0)),0,VLOOKUP($T$196,'TAR FIN'!$A$1:$O$116,15,0))</f>
        <v>88.66</v>
      </c>
      <c r="X196" s="6">
        <f>IF(ISERROR(VLOOKUP($U$196,'TAR FIN'!$A$1:$O$116,15,0)),0,VLOOKUP($U$196,'TAR FIN'!$A$1:$O$116,15,0))</f>
        <v>0</v>
      </c>
      <c r="Y196" s="6"/>
      <c r="Z196" s="6">
        <f ca="1">('TUSD BE'!$AM$27+'TUSD BF'!$AM$27+'TUSD CVA'!$AM$27)*1</f>
        <v>137.4358543126599</v>
      </c>
      <c r="AA196" s="6"/>
      <c r="AB196" s="6">
        <f t="shared" si="14"/>
        <v>0</v>
      </c>
      <c r="AC196" s="6">
        <f t="shared" si="15"/>
        <v>0</v>
      </c>
      <c r="AD196" s="6">
        <f t="shared" si="16"/>
        <v>0</v>
      </c>
      <c r="AE196" s="6">
        <f t="shared" ca="1" si="17"/>
        <v>0</v>
      </c>
      <c r="AF196" s="4" t="s">
        <v>1113</v>
      </c>
    </row>
    <row r="197" spans="1:32" ht="11.25" customHeight="1" x14ac:dyDescent="0.25">
      <c r="A197" s="4" t="s">
        <v>21</v>
      </c>
      <c r="B197" s="4" t="s">
        <v>41</v>
      </c>
      <c r="C197" s="4" t="s">
        <v>40</v>
      </c>
      <c r="D197" s="4" t="s">
        <v>38</v>
      </c>
      <c r="E197" s="4" t="s">
        <v>25</v>
      </c>
      <c r="F197" s="4" t="s">
        <v>63</v>
      </c>
      <c r="G197" s="4" t="s">
        <v>25</v>
      </c>
      <c r="H197" s="4" t="s">
        <v>25</v>
      </c>
      <c r="I197" s="5">
        <v>44440</v>
      </c>
      <c r="J197" s="6">
        <v>0</v>
      </c>
      <c r="K197" s="6">
        <v>0</v>
      </c>
      <c r="L197" s="6">
        <v>4578.7550000000001</v>
      </c>
      <c r="M197" s="6">
        <v>4578.7550000000001</v>
      </c>
      <c r="N197" s="6">
        <v>0</v>
      </c>
      <c r="O197" s="6">
        <v>0</v>
      </c>
      <c r="P197" s="6">
        <v>22</v>
      </c>
      <c r="Q197" s="4" t="s">
        <v>60</v>
      </c>
      <c r="R197" s="4">
        <v>0</v>
      </c>
      <c r="S197" s="4">
        <v>0</v>
      </c>
      <c r="T197" s="4">
        <v>23</v>
      </c>
      <c r="U197" s="4">
        <v>0</v>
      </c>
      <c r="V197" s="6">
        <f>IF(ISERROR(VLOOKUP($S$197,'TAR FIN'!$A$1:$O$116,15,0)),0,VLOOKUP($S$197,'TAR FIN'!$A$1:$O$116,15,0))</f>
        <v>0</v>
      </c>
      <c r="W197" s="6">
        <f>IF(ISERROR(VLOOKUP($T$197,'TAR FIN'!$A$1:$O$116,15,0)),0,VLOOKUP($T$197,'TAR FIN'!$A$1:$O$116,15,0))</f>
        <v>88.66</v>
      </c>
      <c r="X197" s="6">
        <f>IF(ISERROR(VLOOKUP($U$197,'TAR FIN'!$A$1:$O$116,15,0)),0,VLOOKUP($U$197,'TAR FIN'!$A$1:$O$116,15,0))</f>
        <v>0</v>
      </c>
      <c r="Y197" s="6"/>
      <c r="Z197" s="6">
        <f ca="1">('TUSD BE'!$AM$27+'TUSD BF'!$AM$27+'TUSD CVA'!$AM$27)*1</f>
        <v>137.4358543126599</v>
      </c>
      <c r="AA197" s="6"/>
      <c r="AB197" s="6">
        <f t="shared" si="14"/>
        <v>0</v>
      </c>
      <c r="AC197" s="6">
        <f t="shared" si="15"/>
        <v>0</v>
      </c>
      <c r="AD197" s="6">
        <f t="shared" si="16"/>
        <v>0</v>
      </c>
      <c r="AE197" s="6">
        <f t="shared" ca="1" si="17"/>
        <v>0</v>
      </c>
      <c r="AF197" s="4" t="s">
        <v>1113</v>
      </c>
    </row>
    <row r="198" spans="1:32" ht="11.25" customHeight="1" x14ac:dyDescent="0.25">
      <c r="A198" s="4" t="s">
        <v>21</v>
      </c>
      <c r="B198" s="4" t="s">
        <v>41</v>
      </c>
      <c r="C198" s="4" t="s">
        <v>40</v>
      </c>
      <c r="D198" s="4" t="s">
        <v>38</v>
      </c>
      <c r="E198" s="4" t="s">
        <v>25</v>
      </c>
      <c r="F198" s="4" t="s">
        <v>63</v>
      </c>
      <c r="G198" s="4" t="s">
        <v>25</v>
      </c>
      <c r="H198" s="4" t="s">
        <v>25</v>
      </c>
      <c r="I198" s="5">
        <v>44470</v>
      </c>
      <c r="J198" s="6">
        <v>0</v>
      </c>
      <c r="K198" s="6">
        <v>0</v>
      </c>
      <c r="L198" s="6">
        <v>4108.3670000000002</v>
      </c>
      <c r="M198" s="6">
        <v>4108.3670000000002</v>
      </c>
      <c r="N198" s="6">
        <v>0</v>
      </c>
      <c r="O198" s="6">
        <v>0</v>
      </c>
      <c r="P198" s="6">
        <v>22</v>
      </c>
      <c r="Q198" s="4" t="s">
        <v>60</v>
      </c>
      <c r="R198" s="4">
        <v>0</v>
      </c>
      <c r="S198" s="4">
        <v>0</v>
      </c>
      <c r="T198" s="4">
        <v>23</v>
      </c>
      <c r="U198" s="4">
        <v>0</v>
      </c>
      <c r="V198" s="6">
        <f>IF(ISERROR(VLOOKUP($S$198,'TAR FIN'!$A$1:$O$116,15,0)),0,VLOOKUP($S$198,'TAR FIN'!$A$1:$O$116,15,0))</f>
        <v>0</v>
      </c>
      <c r="W198" s="6">
        <f>IF(ISERROR(VLOOKUP($T$198,'TAR FIN'!$A$1:$O$116,15,0)),0,VLOOKUP($T$198,'TAR FIN'!$A$1:$O$116,15,0))</f>
        <v>88.66</v>
      </c>
      <c r="X198" s="6">
        <f>IF(ISERROR(VLOOKUP($U$198,'TAR FIN'!$A$1:$O$116,15,0)),0,VLOOKUP($U$198,'TAR FIN'!$A$1:$O$116,15,0))</f>
        <v>0</v>
      </c>
      <c r="Y198" s="6"/>
      <c r="Z198" s="6">
        <f ca="1">('TUSD BE'!$AM$27+'TUSD BF'!$AM$27+'TUSD CVA'!$AM$27)*1</f>
        <v>137.4358543126599</v>
      </c>
      <c r="AA198" s="6"/>
      <c r="AB198" s="6">
        <f t="shared" si="14"/>
        <v>0</v>
      </c>
      <c r="AC198" s="6">
        <f t="shared" si="15"/>
        <v>0</v>
      </c>
      <c r="AD198" s="6">
        <f t="shared" si="16"/>
        <v>0</v>
      </c>
      <c r="AE198" s="6">
        <f t="shared" ca="1" si="17"/>
        <v>0</v>
      </c>
      <c r="AF198" s="4" t="s">
        <v>1113</v>
      </c>
    </row>
    <row r="199" spans="1:32" ht="11.25" customHeight="1" x14ac:dyDescent="0.25">
      <c r="A199" s="4" t="s">
        <v>21</v>
      </c>
      <c r="B199" s="4" t="s">
        <v>41</v>
      </c>
      <c r="C199" s="4" t="s">
        <v>40</v>
      </c>
      <c r="D199" s="4" t="s">
        <v>38</v>
      </c>
      <c r="E199" s="4" t="s">
        <v>25</v>
      </c>
      <c r="F199" s="4" t="s">
        <v>63</v>
      </c>
      <c r="G199" s="4" t="s">
        <v>25</v>
      </c>
      <c r="H199" s="4" t="s">
        <v>25</v>
      </c>
      <c r="I199" s="5">
        <v>44501</v>
      </c>
      <c r="J199" s="6">
        <v>0</v>
      </c>
      <c r="K199" s="6">
        <v>0</v>
      </c>
      <c r="L199" s="6">
        <v>4393.1260000000002</v>
      </c>
      <c r="M199" s="6">
        <v>4393.1260000000002</v>
      </c>
      <c r="N199" s="6">
        <v>0</v>
      </c>
      <c r="O199" s="6">
        <v>0</v>
      </c>
      <c r="P199" s="6">
        <v>22</v>
      </c>
      <c r="Q199" s="4" t="s">
        <v>60</v>
      </c>
      <c r="R199" s="4">
        <v>0</v>
      </c>
      <c r="S199" s="4">
        <v>0</v>
      </c>
      <c r="T199" s="4">
        <v>23</v>
      </c>
      <c r="U199" s="4">
        <v>0</v>
      </c>
      <c r="V199" s="6">
        <f>IF(ISERROR(VLOOKUP($S$199,'TAR FIN'!$A$1:$O$116,15,0)),0,VLOOKUP($S$199,'TAR FIN'!$A$1:$O$116,15,0))</f>
        <v>0</v>
      </c>
      <c r="W199" s="6">
        <f>IF(ISERROR(VLOOKUP($T$199,'TAR FIN'!$A$1:$O$116,15,0)),0,VLOOKUP($T$199,'TAR FIN'!$A$1:$O$116,15,0))</f>
        <v>88.66</v>
      </c>
      <c r="X199" s="6">
        <f>IF(ISERROR(VLOOKUP($U$199,'TAR FIN'!$A$1:$O$116,15,0)),0,VLOOKUP($U$199,'TAR FIN'!$A$1:$O$116,15,0))</f>
        <v>0</v>
      </c>
      <c r="Y199" s="6"/>
      <c r="Z199" s="6">
        <f ca="1">('TUSD BE'!$AM$27+'TUSD BF'!$AM$27+'TUSD CVA'!$AM$27)*1</f>
        <v>137.4358543126599</v>
      </c>
      <c r="AA199" s="6"/>
      <c r="AB199" s="6">
        <f t="shared" si="14"/>
        <v>0</v>
      </c>
      <c r="AC199" s="6">
        <f t="shared" si="15"/>
        <v>0</v>
      </c>
      <c r="AD199" s="6">
        <f t="shared" si="16"/>
        <v>0</v>
      </c>
      <c r="AE199" s="6">
        <f t="shared" ca="1" si="17"/>
        <v>0</v>
      </c>
      <c r="AF199" s="4" t="s">
        <v>1113</v>
      </c>
    </row>
    <row r="200" spans="1:32" ht="11.25" customHeight="1" x14ac:dyDescent="0.25">
      <c r="A200" s="4" t="s">
        <v>21</v>
      </c>
      <c r="B200" s="4" t="s">
        <v>41</v>
      </c>
      <c r="C200" s="4" t="s">
        <v>40</v>
      </c>
      <c r="D200" s="4" t="s">
        <v>38</v>
      </c>
      <c r="E200" s="4" t="s">
        <v>25</v>
      </c>
      <c r="F200" s="4" t="s">
        <v>63</v>
      </c>
      <c r="G200" s="4" t="s">
        <v>25</v>
      </c>
      <c r="H200" s="4" t="s">
        <v>25</v>
      </c>
      <c r="I200" s="5">
        <v>44531</v>
      </c>
      <c r="J200" s="6">
        <v>0</v>
      </c>
      <c r="K200" s="6">
        <v>0</v>
      </c>
      <c r="L200" s="6">
        <v>4351.4920000000002</v>
      </c>
      <c r="M200" s="6">
        <v>4351.4920000000002</v>
      </c>
      <c r="N200" s="6">
        <v>0</v>
      </c>
      <c r="O200" s="6">
        <v>0</v>
      </c>
      <c r="P200" s="6">
        <v>22</v>
      </c>
      <c r="Q200" s="4" t="s">
        <v>60</v>
      </c>
      <c r="R200" s="4">
        <v>0</v>
      </c>
      <c r="S200" s="4">
        <v>0</v>
      </c>
      <c r="T200" s="4">
        <v>23</v>
      </c>
      <c r="U200" s="4">
        <v>0</v>
      </c>
      <c r="V200" s="6">
        <f>IF(ISERROR(VLOOKUP($S$200,'TAR FIN'!$A$1:$O$116,15,0)),0,VLOOKUP($S$200,'TAR FIN'!$A$1:$O$116,15,0))</f>
        <v>0</v>
      </c>
      <c r="W200" s="6">
        <f>IF(ISERROR(VLOOKUP($T$200,'TAR FIN'!$A$1:$O$116,15,0)),0,VLOOKUP($T$200,'TAR FIN'!$A$1:$O$116,15,0))</f>
        <v>88.66</v>
      </c>
      <c r="X200" s="6">
        <f>IF(ISERROR(VLOOKUP($U$200,'TAR FIN'!$A$1:$O$116,15,0)),0,VLOOKUP($U$200,'TAR FIN'!$A$1:$O$116,15,0))</f>
        <v>0</v>
      </c>
      <c r="Y200" s="6"/>
      <c r="Z200" s="6">
        <f ca="1">('TUSD BE'!$AM$27+'TUSD BF'!$AM$27+'TUSD CVA'!$AM$27)*1</f>
        <v>137.4358543126599</v>
      </c>
      <c r="AA200" s="6"/>
      <c r="AB200" s="6">
        <f t="shared" si="14"/>
        <v>0</v>
      </c>
      <c r="AC200" s="6">
        <f t="shared" si="15"/>
        <v>0</v>
      </c>
      <c r="AD200" s="6">
        <f t="shared" si="16"/>
        <v>0</v>
      </c>
      <c r="AE200" s="6">
        <f t="shared" ca="1" si="17"/>
        <v>0</v>
      </c>
      <c r="AF200" s="4" t="s">
        <v>1113</v>
      </c>
    </row>
    <row r="201" spans="1:32" ht="11.25" customHeight="1" x14ac:dyDescent="0.25">
      <c r="A201" s="4" t="s">
        <v>21</v>
      </c>
      <c r="B201" s="4" t="s">
        <v>41</v>
      </c>
      <c r="C201" s="4" t="s">
        <v>40</v>
      </c>
      <c r="D201" s="4" t="s">
        <v>38</v>
      </c>
      <c r="E201" s="4" t="s">
        <v>25</v>
      </c>
      <c r="F201" s="4" t="s">
        <v>63</v>
      </c>
      <c r="G201" s="4" t="s">
        <v>25</v>
      </c>
      <c r="H201" s="4" t="s">
        <v>25</v>
      </c>
      <c r="I201" s="5">
        <v>44562</v>
      </c>
      <c r="J201" s="6">
        <v>0</v>
      </c>
      <c r="K201" s="6">
        <v>0</v>
      </c>
      <c r="L201" s="6">
        <v>4381.7139999999999</v>
      </c>
      <c r="M201" s="6">
        <v>4381.7139999999999</v>
      </c>
      <c r="N201" s="6">
        <v>0</v>
      </c>
      <c r="O201" s="6">
        <v>0</v>
      </c>
      <c r="P201" s="6">
        <v>23</v>
      </c>
      <c r="Q201" s="4" t="s">
        <v>60</v>
      </c>
      <c r="R201" s="4">
        <v>0</v>
      </c>
      <c r="S201" s="4">
        <v>0</v>
      </c>
      <c r="T201" s="4">
        <v>23</v>
      </c>
      <c r="U201" s="4">
        <v>0</v>
      </c>
      <c r="V201" s="6">
        <f>IF(ISERROR(VLOOKUP($S$201,'TAR FIN'!$A$1:$O$116,15,0)),0,VLOOKUP($S$201,'TAR FIN'!$A$1:$O$116,15,0))</f>
        <v>0</v>
      </c>
      <c r="W201" s="6">
        <f>IF(ISERROR(VLOOKUP($T$201,'TAR FIN'!$A$1:$O$116,15,0)),0,VLOOKUP($T$201,'TAR FIN'!$A$1:$O$116,15,0))</f>
        <v>88.66</v>
      </c>
      <c r="X201" s="6">
        <f>IF(ISERROR(VLOOKUP($U$201,'TAR FIN'!$A$1:$O$116,15,0)),0,VLOOKUP($U$201,'TAR FIN'!$A$1:$O$116,15,0))</f>
        <v>0</v>
      </c>
      <c r="Y201" s="6"/>
      <c r="Z201" s="6">
        <f ca="1">('TUSD BE'!$AM$27+'TUSD BF'!$AM$27+'TUSD CVA'!$AM$27)*1</f>
        <v>137.4358543126599</v>
      </c>
      <c r="AA201" s="6"/>
      <c r="AB201" s="6">
        <f t="shared" si="14"/>
        <v>0</v>
      </c>
      <c r="AC201" s="6">
        <f t="shared" si="15"/>
        <v>0</v>
      </c>
      <c r="AD201" s="6">
        <f t="shared" si="16"/>
        <v>0</v>
      </c>
      <c r="AE201" s="6">
        <f t="shared" ca="1" si="17"/>
        <v>0</v>
      </c>
      <c r="AF201" s="4" t="s">
        <v>1113</v>
      </c>
    </row>
    <row r="202" spans="1:32" ht="11.25" customHeight="1" x14ac:dyDescent="0.25">
      <c r="A202" s="4" t="s">
        <v>21</v>
      </c>
      <c r="B202" s="4" t="s">
        <v>41</v>
      </c>
      <c r="C202" s="4" t="s">
        <v>40</v>
      </c>
      <c r="D202" s="4" t="s">
        <v>38</v>
      </c>
      <c r="E202" s="4" t="s">
        <v>25</v>
      </c>
      <c r="F202" s="4" t="s">
        <v>63</v>
      </c>
      <c r="G202" s="4" t="s">
        <v>25</v>
      </c>
      <c r="H202" s="4" t="s">
        <v>25</v>
      </c>
      <c r="I202" s="5">
        <v>44593</v>
      </c>
      <c r="J202" s="6">
        <v>0</v>
      </c>
      <c r="K202" s="6">
        <v>0</v>
      </c>
      <c r="L202" s="6">
        <v>4082.529</v>
      </c>
      <c r="M202" s="6">
        <v>4082.529</v>
      </c>
      <c r="N202" s="6">
        <v>0</v>
      </c>
      <c r="O202" s="6">
        <v>0</v>
      </c>
      <c r="P202" s="6">
        <v>22</v>
      </c>
      <c r="Q202" s="4" t="s">
        <v>60</v>
      </c>
      <c r="R202" s="4">
        <v>0</v>
      </c>
      <c r="S202" s="4">
        <v>0</v>
      </c>
      <c r="T202" s="4">
        <v>23</v>
      </c>
      <c r="U202" s="4">
        <v>0</v>
      </c>
      <c r="V202" s="6">
        <f>IF(ISERROR(VLOOKUP($S$202,'TAR FIN'!$A$1:$O$116,15,0)),0,VLOOKUP($S$202,'TAR FIN'!$A$1:$O$116,15,0))</f>
        <v>0</v>
      </c>
      <c r="W202" s="6">
        <f>IF(ISERROR(VLOOKUP($T$202,'TAR FIN'!$A$1:$O$116,15,0)),0,VLOOKUP($T$202,'TAR FIN'!$A$1:$O$116,15,0))</f>
        <v>88.66</v>
      </c>
      <c r="X202" s="6">
        <f>IF(ISERROR(VLOOKUP($U$202,'TAR FIN'!$A$1:$O$116,15,0)),0,VLOOKUP($U$202,'TAR FIN'!$A$1:$O$116,15,0))</f>
        <v>0</v>
      </c>
      <c r="Y202" s="6"/>
      <c r="Z202" s="6">
        <f ca="1">('TUSD BE'!$AM$27+'TUSD BF'!$AM$27+'TUSD CVA'!$AM$27)*1</f>
        <v>137.4358543126599</v>
      </c>
      <c r="AA202" s="6"/>
      <c r="AB202" s="6">
        <f t="shared" si="14"/>
        <v>0</v>
      </c>
      <c r="AC202" s="6">
        <f t="shared" si="15"/>
        <v>0</v>
      </c>
      <c r="AD202" s="6">
        <f t="shared" si="16"/>
        <v>0</v>
      </c>
      <c r="AE202" s="6">
        <f t="shared" ca="1" si="17"/>
        <v>0</v>
      </c>
      <c r="AF202" s="4" t="s">
        <v>1113</v>
      </c>
    </row>
    <row r="203" spans="1:32" ht="11.25" customHeight="1" x14ac:dyDescent="0.25">
      <c r="A203" s="4" t="s">
        <v>21</v>
      </c>
      <c r="B203" s="4" t="s">
        <v>41</v>
      </c>
      <c r="C203" s="4" t="s">
        <v>40</v>
      </c>
      <c r="D203" s="4" t="s">
        <v>38</v>
      </c>
      <c r="E203" s="4" t="s">
        <v>25</v>
      </c>
      <c r="F203" s="4" t="s">
        <v>63</v>
      </c>
      <c r="G203" s="4" t="s">
        <v>25</v>
      </c>
      <c r="H203" s="4" t="s">
        <v>25</v>
      </c>
      <c r="I203" s="5">
        <v>44621</v>
      </c>
      <c r="J203" s="6">
        <v>0</v>
      </c>
      <c r="K203" s="6">
        <v>0</v>
      </c>
      <c r="L203" s="6">
        <v>3441.7910000000002</v>
      </c>
      <c r="M203" s="6">
        <v>3441.7910000000002</v>
      </c>
      <c r="N203" s="6">
        <v>0</v>
      </c>
      <c r="O203" s="6">
        <v>0</v>
      </c>
      <c r="P203" s="6">
        <v>22</v>
      </c>
      <c r="Q203" s="4" t="s">
        <v>60</v>
      </c>
      <c r="R203" s="4">
        <v>0</v>
      </c>
      <c r="S203" s="4">
        <v>0</v>
      </c>
      <c r="T203" s="4">
        <v>23</v>
      </c>
      <c r="U203" s="4">
        <v>0</v>
      </c>
      <c r="V203" s="6">
        <f>IF(ISERROR(VLOOKUP($S$203,'TAR FIN'!$A$1:$O$116,15,0)),0,VLOOKUP($S$203,'TAR FIN'!$A$1:$O$116,15,0))</f>
        <v>0</v>
      </c>
      <c r="W203" s="6">
        <f>IF(ISERROR(VLOOKUP($T$203,'TAR FIN'!$A$1:$O$116,15,0)),0,VLOOKUP($T$203,'TAR FIN'!$A$1:$O$116,15,0))</f>
        <v>88.66</v>
      </c>
      <c r="X203" s="6">
        <f>IF(ISERROR(VLOOKUP($U$203,'TAR FIN'!$A$1:$O$116,15,0)),0,VLOOKUP($U$203,'TAR FIN'!$A$1:$O$116,15,0))</f>
        <v>0</v>
      </c>
      <c r="Y203" s="6"/>
      <c r="Z203" s="6">
        <f ca="1">('TUSD BE'!$AM$27+'TUSD BF'!$AM$27+'TUSD CVA'!$AM$27)*1</f>
        <v>137.4358543126599</v>
      </c>
      <c r="AA203" s="6"/>
      <c r="AB203" s="6">
        <f t="shared" si="14"/>
        <v>0</v>
      </c>
      <c r="AC203" s="6">
        <f t="shared" si="15"/>
        <v>0</v>
      </c>
      <c r="AD203" s="6">
        <f t="shared" si="16"/>
        <v>0</v>
      </c>
      <c r="AE203" s="6">
        <f t="shared" ca="1" si="17"/>
        <v>0</v>
      </c>
      <c r="AF203" s="4" t="s">
        <v>1113</v>
      </c>
    </row>
    <row r="204" spans="1:32" ht="11.25" customHeight="1" x14ac:dyDescent="0.25">
      <c r="A204" s="4" t="s">
        <v>21</v>
      </c>
      <c r="B204" s="4" t="s">
        <v>41</v>
      </c>
      <c r="C204" s="4" t="s">
        <v>40</v>
      </c>
      <c r="D204" s="4" t="s">
        <v>38</v>
      </c>
      <c r="E204" s="4" t="s">
        <v>25</v>
      </c>
      <c r="F204" s="4" t="s">
        <v>63</v>
      </c>
      <c r="G204" s="4" t="s">
        <v>25</v>
      </c>
      <c r="H204" s="4" t="s">
        <v>25</v>
      </c>
      <c r="I204" s="5">
        <v>44652</v>
      </c>
      <c r="J204" s="6">
        <v>0</v>
      </c>
      <c r="K204" s="6">
        <v>0</v>
      </c>
      <c r="L204" s="6">
        <v>3776.21</v>
      </c>
      <c r="M204" s="6">
        <v>3776.21</v>
      </c>
      <c r="N204" s="6">
        <v>0</v>
      </c>
      <c r="O204" s="6">
        <v>0</v>
      </c>
      <c r="P204" s="6">
        <v>22</v>
      </c>
      <c r="Q204" s="4" t="s">
        <v>60</v>
      </c>
      <c r="R204" s="4">
        <v>0</v>
      </c>
      <c r="S204" s="4">
        <v>0</v>
      </c>
      <c r="T204" s="4">
        <v>23</v>
      </c>
      <c r="U204" s="4">
        <v>0</v>
      </c>
      <c r="V204" s="6">
        <f>IF(ISERROR(VLOOKUP($S$204,'TAR FIN'!$A$1:$O$116,15,0)),0,VLOOKUP($S$204,'TAR FIN'!$A$1:$O$116,15,0))</f>
        <v>0</v>
      </c>
      <c r="W204" s="6">
        <f>IF(ISERROR(VLOOKUP($T$204,'TAR FIN'!$A$1:$O$116,15,0)),0,VLOOKUP($T$204,'TAR FIN'!$A$1:$O$116,15,0))</f>
        <v>88.66</v>
      </c>
      <c r="X204" s="6">
        <f>IF(ISERROR(VLOOKUP($U$204,'TAR FIN'!$A$1:$O$116,15,0)),0,VLOOKUP($U$204,'TAR FIN'!$A$1:$O$116,15,0))</f>
        <v>0</v>
      </c>
      <c r="Y204" s="6"/>
      <c r="Z204" s="6">
        <f ca="1">('TUSD BE'!$AM$27+'TUSD BF'!$AM$27+'TUSD CVA'!$AM$27)*1</f>
        <v>137.4358543126599</v>
      </c>
      <c r="AA204" s="6"/>
      <c r="AB204" s="6">
        <f t="shared" si="14"/>
        <v>0</v>
      </c>
      <c r="AC204" s="6">
        <f t="shared" si="15"/>
        <v>0</v>
      </c>
      <c r="AD204" s="6">
        <f t="shared" si="16"/>
        <v>0</v>
      </c>
      <c r="AE204" s="6">
        <f t="shared" ca="1" si="17"/>
        <v>0</v>
      </c>
      <c r="AF204" s="4" t="s">
        <v>1113</v>
      </c>
    </row>
    <row r="205" spans="1:32" ht="11.25" customHeight="1" x14ac:dyDescent="0.25">
      <c r="A205" s="4" t="s">
        <v>58</v>
      </c>
      <c r="B205" s="4" t="s">
        <v>41</v>
      </c>
      <c r="C205" s="4" t="s">
        <v>40</v>
      </c>
      <c r="D205" s="4" t="s">
        <v>38</v>
      </c>
      <c r="E205" s="4" t="s">
        <v>25</v>
      </c>
      <c r="F205" s="4" t="s">
        <v>63</v>
      </c>
      <c r="G205" s="4" t="s">
        <v>25</v>
      </c>
      <c r="H205" s="4" t="s">
        <v>25</v>
      </c>
      <c r="I205" s="5">
        <v>44682</v>
      </c>
      <c r="J205" s="6">
        <v>0</v>
      </c>
      <c r="K205" s="6">
        <v>0</v>
      </c>
      <c r="L205" s="6">
        <v>3776.21</v>
      </c>
      <c r="M205" s="6">
        <v>3776.21</v>
      </c>
      <c r="N205" s="6">
        <v>0</v>
      </c>
      <c r="O205" s="6">
        <v>0</v>
      </c>
      <c r="P205" s="6">
        <v>22</v>
      </c>
      <c r="Q205" s="4" t="s">
        <v>60</v>
      </c>
      <c r="R205" s="4">
        <v>0</v>
      </c>
      <c r="S205" s="4">
        <v>0</v>
      </c>
      <c r="T205" s="4">
        <v>23</v>
      </c>
      <c r="U205" s="4">
        <v>0</v>
      </c>
      <c r="V205" s="6">
        <f>IF(ISERROR(VLOOKUP($S$205,'TAR FIN'!$A$1:$O$116,15,0)),0,VLOOKUP($S$205,'TAR FIN'!$A$1:$O$116,15,0))</f>
        <v>0</v>
      </c>
      <c r="W205" s="6">
        <f>IF(ISERROR(VLOOKUP($T$205,'TAR FIN'!$A$1:$O$116,15,0)),0,VLOOKUP($T$205,'TAR FIN'!$A$1:$O$116,15,0))</f>
        <v>88.66</v>
      </c>
      <c r="X205" s="6">
        <f>IF(ISERROR(VLOOKUP($U$205,'TAR FIN'!$A$1:$O$116,15,0)),0,VLOOKUP($U$205,'TAR FIN'!$A$1:$O$116,15,0))</f>
        <v>0</v>
      </c>
      <c r="Y205" s="6"/>
      <c r="Z205" s="6">
        <f ca="1">('TUSD BE'!$AM$27+'TUSD BF'!$AM$27+'TUSD CVA'!$AM$27)*1</f>
        <v>137.4358543126599</v>
      </c>
      <c r="AA205" s="6"/>
      <c r="AB205" s="6">
        <f t="shared" si="14"/>
        <v>0</v>
      </c>
      <c r="AC205" s="6">
        <f t="shared" si="15"/>
        <v>0</v>
      </c>
      <c r="AD205" s="6">
        <f t="shared" si="16"/>
        <v>0</v>
      </c>
      <c r="AE205" s="6">
        <f t="shared" ca="1" si="17"/>
        <v>0</v>
      </c>
      <c r="AF205" s="4" t="s">
        <v>1113</v>
      </c>
    </row>
    <row r="206" spans="1:32" ht="11.25" customHeight="1" x14ac:dyDescent="0.25">
      <c r="A206" s="4" t="s">
        <v>21</v>
      </c>
      <c r="B206" s="4" t="s">
        <v>41</v>
      </c>
      <c r="C206" s="4" t="s">
        <v>40</v>
      </c>
      <c r="D206" s="4" t="s">
        <v>38</v>
      </c>
      <c r="E206" s="4" t="s">
        <v>25</v>
      </c>
      <c r="F206" s="4" t="s">
        <v>63</v>
      </c>
      <c r="G206" s="4" t="s">
        <v>25</v>
      </c>
      <c r="H206" s="4" t="s">
        <v>34</v>
      </c>
      <c r="I206" s="5">
        <v>44348</v>
      </c>
      <c r="J206" s="6">
        <v>15564</v>
      </c>
      <c r="K206" s="6">
        <v>12065.4867264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60</v>
      </c>
      <c r="R206" s="4">
        <v>0</v>
      </c>
      <c r="S206" s="4">
        <v>21</v>
      </c>
      <c r="T206" s="4">
        <v>0</v>
      </c>
      <c r="U206" s="4">
        <v>0</v>
      </c>
      <c r="V206" s="6">
        <f>IF(ISERROR(VLOOKUP($S$206,'TAR FIN'!$A$1:$O$116,15,0)),0,VLOOKUP($S$206,'TAR FIN'!$A$1:$O$116,15,0))</f>
        <v>65.599999999999994</v>
      </c>
      <c r="W206" s="6">
        <f>IF(ISERROR(VLOOKUP($T$206,'TAR FIN'!$A$1:$O$116,15,0)),0,VLOOKUP($T$206,'TAR FIN'!$A$1:$O$116,15,0))</f>
        <v>0</v>
      </c>
      <c r="X206" s="6">
        <f>IF(ISERROR(VLOOKUP($U$206,'TAR FIN'!$A$1:$O$116,15,0)),0,VLOOKUP($U$206,'TAR FIN'!$A$1:$O$116,15,0))</f>
        <v>0</v>
      </c>
      <c r="Y206" s="6">
        <f ca="1">('TUSD BE'!$AM$25+'TUSD BF'!$AM$25+'TUSD CVA'!$AM$25)*1</f>
        <v>75.407822945580492</v>
      </c>
      <c r="Z206" s="6">
        <f ca="1">('TUSD BE'!$AM$27+'TUSD BF'!$AM$27+'TUSD CVA'!$AM$27)*1</f>
        <v>137.4358543126599</v>
      </c>
      <c r="AA206" s="6"/>
      <c r="AB206" s="6">
        <f t="shared" si="14"/>
        <v>229502.47074815995</v>
      </c>
      <c r="AC206" s="6">
        <f t="shared" si="15"/>
        <v>0</v>
      </c>
      <c r="AD206" s="6">
        <f t="shared" ca="1" si="16"/>
        <v>263815.26950839197</v>
      </c>
      <c r="AE206" s="6">
        <f t="shared" ca="1" si="17"/>
        <v>0</v>
      </c>
      <c r="AF206" s="4" t="s">
        <v>1113</v>
      </c>
    </row>
    <row r="207" spans="1:32" ht="11.25" customHeight="1" x14ac:dyDescent="0.25">
      <c r="A207" s="4" t="s">
        <v>21</v>
      </c>
      <c r="B207" s="4" t="s">
        <v>41</v>
      </c>
      <c r="C207" s="4" t="s">
        <v>40</v>
      </c>
      <c r="D207" s="4" t="s">
        <v>38</v>
      </c>
      <c r="E207" s="4" t="s">
        <v>25</v>
      </c>
      <c r="F207" s="4" t="s">
        <v>63</v>
      </c>
      <c r="G207" s="4" t="s">
        <v>25</v>
      </c>
      <c r="H207" s="4" t="s">
        <v>34</v>
      </c>
      <c r="I207" s="5">
        <v>44378</v>
      </c>
      <c r="J207" s="6">
        <v>15573</v>
      </c>
      <c r="K207" s="6">
        <v>10961.54893545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60</v>
      </c>
      <c r="R207" s="4">
        <v>0</v>
      </c>
      <c r="S207" s="4">
        <v>21</v>
      </c>
      <c r="T207" s="4">
        <v>0</v>
      </c>
      <c r="U207" s="4">
        <v>0</v>
      </c>
      <c r="V207" s="6">
        <f>IF(ISERROR(VLOOKUP($S$207,'TAR FIN'!$A$1:$O$116,15,0)),0,VLOOKUP($S$207,'TAR FIN'!$A$1:$O$116,15,0))</f>
        <v>65.599999999999994</v>
      </c>
      <c r="W207" s="6">
        <f>IF(ISERROR(VLOOKUP($T$207,'TAR FIN'!$A$1:$O$116,15,0)),0,VLOOKUP($T$207,'TAR FIN'!$A$1:$O$116,15,0))</f>
        <v>0</v>
      </c>
      <c r="X207" s="6">
        <f>IF(ISERROR(VLOOKUP($U$207,'TAR FIN'!$A$1:$O$116,15,0)),0,VLOOKUP($U$207,'TAR FIN'!$A$1:$O$116,15,0))</f>
        <v>0</v>
      </c>
      <c r="Y207" s="6">
        <f ca="1">('TUSD BE'!$AM$25+'TUSD BF'!$AM$25+'TUSD CVA'!$AM$25)*1</f>
        <v>75.407822945580492</v>
      </c>
      <c r="Z207" s="6">
        <f ca="1">('TUSD BE'!$AM$27+'TUSD BF'!$AM$27+'TUSD CVA'!$AM$27)*1</f>
        <v>137.4358543126599</v>
      </c>
      <c r="AA207" s="6"/>
      <c r="AB207" s="6">
        <f t="shared" si="14"/>
        <v>302511.18983447994</v>
      </c>
      <c r="AC207" s="6">
        <f t="shared" si="15"/>
        <v>0</v>
      </c>
      <c r="AD207" s="6">
        <f t="shared" ca="1" si="16"/>
        <v>347739.48539779504</v>
      </c>
      <c r="AE207" s="6">
        <f t="shared" ca="1" si="17"/>
        <v>0</v>
      </c>
      <c r="AF207" s="4" t="s">
        <v>1113</v>
      </c>
    </row>
    <row r="208" spans="1:32" ht="11.25" customHeight="1" x14ac:dyDescent="0.25">
      <c r="A208" s="4" t="s">
        <v>21</v>
      </c>
      <c r="B208" s="4" t="s">
        <v>41</v>
      </c>
      <c r="C208" s="4" t="s">
        <v>40</v>
      </c>
      <c r="D208" s="4" t="s">
        <v>38</v>
      </c>
      <c r="E208" s="4" t="s">
        <v>25</v>
      </c>
      <c r="F208" s="4" t="s">
        <v>63</v>
      </c>
      <c r="G208" s="4" t="s">
        <v>25</v>
      </c>
      <c r="H208" s="4" t="s">
        <v>34</v>
      </c>
      <c r="I208" s="5">
        <v>44409</v>
      </c>
      <c r="J208" s="6">
        <v>9884</v>
      </c>
      <c r="K208" s="6">
        <v>4311.5132799200001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60</v>
      </c>
      <c r="R208" s="4">
        <v>0</v>
      </c>
      <c r="S208" s="4">
        <v>21</v>
      </c>
      <c r="T208" s="4">
        <v>0</v>
      </c>
      <c r="U208" s="4">
        <v>0</v>
      </c>
      <c r="V208" s="6">
        <f>IF(ISERROR(VLOOKUP($S$208,'TAR FIN'!$A$1:$O$116,15,0)),0,VLOOKUP($S$208,'TAR FIN'!$A$1:$O$116,15,0))</f>
        <v>65.599999999999994</v>
      </c>
      <c r="W208" s="6">
        <f>IF(ISERROR(VLOOKUP($T$208,'TAR FIN'!$A$1:$O$116,15,0)),0,VLOOKUP($T$208,'TAR FIN'!$A$1:$O$116,15,0))</f>
        <v>0</v>
      </c>
      <c r="X208" s="6">
        <f>IF(ISERROR(VLOOKUP($U$208,'TAR FIN'!$A$1:$O$116,15,0)),0,VLOOKUP($U$208,'TAR FIN'!$A$1:$O$116,15,0))</f>
        <v>0</v>
      </c>
      <c r="Y208" s="6">
        <f ca="1">('TUSD BE'!$AM$25+'TUSD BF'!$AM$25+'TUSD CVA'!$AM$25)*1</f>
        <v>75.407822945580492</v>
      </c>
      <c r="Z208" s="6">
        <f ca="1">('TUSD BE'!$AM$27+'TUSD BF'!$AM$27+'TUSD CVA'!$AM$27)*1</f>
        <v>137.4358543126599</v>
      </c>
      <c r="AA208" s="6"/>
      <c r="AB208" s="6">
        <f t="shared" si="14"/>
        <v>365555.12883724796</v>
      </c>
      <c r="AC208" s="6">
        <f t="shared" si="15"/>
        <v>0</v>
      </c>
      <c r="AD208" s="6">
        <f t="shared" ca="1" si="16"/>
        <v>420209.09195439122</v>
      </c>
      <c r="AE208" s="6">
        <f t="shared" ca="1" si="17"/>
        <v>0</v>
      </c>
      <c r="AF208" s="4" t="s">
        <v>1113</v>
      </c>
    </row>
    <row r="209" spans="1:32" ht="11.25" customHeight="1" x14ac:dyDescent="0.25">
      <c r="A209" s="4" t="s">
        <v>21</v>
      </c>
      <c r="B209" s="4" t="s">
        <v>41</v>
      </c>
      <c r="C209" s="4" t="s">
        <v>40</v>
      </c>
      <c r="D209" s="4" t="s">
        <v>38</v>
      </c>
      <c r="E209" s="4" t="s">
        <v>25</v>
      </c>
      <c r="F209" s="4" t="s">
        <v>63</v>
      </c>
      <c r="G209" s="4" t="s">
        <v>25</v>
      </c>
      <c r="H209" s="4" t="s">
        <v>34</v>
      </c>
      <c r="I209" s="5">
        <v>44440</v>
      </c>
      <c r="J209" s="6">
        <v>10458</v>
      </c>
      <c r="K209" s="6">
        <v>4597.34642136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60</v>
      </c>
      <c r="R209" s="4">
        <v>0</v>
      </c>
      <c r="S209" s="4">
        <v>21</v>
      </c>
      <c r="T209" s="4">
        <v>0</v>
      </c>
      <c r="U209" s="4">
        <v>0</v>
      </c>
      <c r="V209" s="6">
        <f>IF(ISERROR(VLOOKUP($S$209,'TAR FIN'!$A$1:$O$116,15,0)),0,VLOOKUP($S$209,'TAR FIN'!$A$1:$O$116,15,0))</f>
        <v>65.599999999999994</v>
      </c>
      <c r="W209" s="6">
        <f>IF(ISERROR(VLOOKUP($T$209,'TAR FIN'!$A$1:$O$116,15,0)),0,VLOOKUP($T$209,'TAR FIN'!$A$1:$O$116,15,0))</f>
        <v>0</v>
      </c>
      <c r="X209" s="6">
        <f>IF(ISERROR(VLOOKUP($U$209,'TAR FIN'!$A$1:$O$116,15,0)),0,VLOOKUP($U$209,'TAR FIN'!$A$1:$O$116,15,0))</f>
        <v>0</v>
      </c>
      <c r="Y209" s="6">
        <f ca="1">('TUSD BE'!$AM$25+'TUSD BF'!$AM$25+'TUSD CVA'!$AM$25)*1</f>
        <v>75.407822945580492</v>
      </c>
      <c r="Z209" s="6">
        <f ca="1">('TUSD BE'!$AM$27+'TUSD BF'!$AM$27+'TUSD CVA'!$AM$27)*1</f>
        <v>137.4358543126599</v>
      </c>
      <c r="AA209" s="6"/>
      <c r="AB209" s="6">
        <f t="shared" si="14"/>
        <v>384458.87475878396</v>
      </c>
      <c r="AC209" s="6">
        <f t="shared" si="15"/>
        <v>0</v>
      </c>
      <c r="AD209" s="6">
        <f t="shared" ca="1" si="16"/>
        <v>441939.12740346784</v>
      </c>
      <c r="AE209" s="6">
        <f t="shared" ca="1" si="17"/>
        <v>0</v>
      </c>
      <c r="AF209" s="4" t="s">
        <v>1113</v>
      </c>
    </row>
    <row r="210" spans="1:32" ht="11.25" customHeight="1" x14ac:dyDescent="0.25">
      <c r="A210" s="4" t="s">
        <v>21</v>
      </c>
      <c r="B210" s="4" t="s">
        <v>41</v>
      </c>
      <c r="C210" s="4" t="s">
        <v>40</v>
      </c>
      <c r="D210" s="4" t="s">
        <v>38</v>
      </c>
      <c r="E210" s="4" t="s">
        <v>25</v>
      </c>
      <c r="F210" s="4" t="s">
        <v>63</v>
      </c>
      <c r="G210" s="4" t="s">
        <v>25</v>
      </c>
      <c r="H210" s="4" t="s">
        <v>34</v>
      </c>
      <c r="I210" s="5">
        <v>44470</v>
      </c>
      <c r="J210" s="6">
        <v>10721</v>
      </c>
      <c r="K210" s="6">
        <v>4798.28304088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60</v>
      </c>
      <c r="R210" s="4">
        <v>0</v>
      </c>
      <c r="S210" s="4">
        <v>21</v>
      </c>
      <c r="T210" s="4">
        <v>0</v>
      </c>
      <c r="U210" s="4">
        <v>0</v>
      </c>
      <c r="V210" s="6">
        <f>IF(ISERROR(VLOOKUP($S$210,'TAR FIN'!$A$1:$O$116,15,0)),0,VLOOKUP($S$210,'TAR FIN'!$A$1:$O$116,15,0))</f>
        <v>65.599999999999994</v>
      </c>
      <c r="W210" s="6">
        <f>IF(ISERROR(VLOOKUP($T$210,'TAR FIN'!$A$1:$O$116,15,0)),0,VLOOKUP($T$210,'TAR FIN'!$A$1:$O$116,15,0))</f>
        <v>0</v>
      </c>
      <c r="X210" s="6">
        <f>IF(ISERROR(VLOOKUP($U$210,'TAR FIN'!$A$1:$O$116,15,0)),0,VLOOKUP($U$210,'TAR FIN'!$A$1:$O$116,15,0))</f>
        <v>0</v>
      </c>
      <c r="Y210" s="6">
        <f ca="1">('TUSD BE'!$AM$25+'TUSD BF'!$AM$25+'TUSD CVA'!$AM$25)*1</f>
        <v>75.407822945580492</v>
      </c>
      <c r="Z210" s="6">
        <f ca="1">('TUSD BE'!$AM$27+'TUSD BF'!$AM$27+'TUSD CVA'!$AM$27)*1</f>
        <v>137.4358543126599</v>
      </c>
      <c r="AA210" s="6"/>
      <c r="AB210" s="6">
        <f t="shared" si="14"/>
        <v>388530.23251827195</v>
      </c>
      <c r="AC210" s="6">
        <f t="shared" si="15"/>
        <v>0</v>
      </c>
      <c r="AD210" s="6">
        <f t="shared" ca="1" si="16"/>
        <v>446619.19181010785</v>
      </c>
      <c r="AE210" s="6">
        <f t="shared" ca="1" si="17"/>
        <v>0</v>
      </c>
      <c r="AF210" s="4" t="s">
        <v>1113</v>
      </c>
    </row>
    <row r="211" spans="1:32" ht="11.25" customHeight="1" x14ac:dyDescent="0.25">
      <c r="A211" s="4" t="s">
        <v>21</v>
      </c>
      <c r="B211" s="4" t="s">
        <v>41</v>
      </c>
      <c r="C211" s="4" t="s">
        <v>40</v>
      </c>
      <c r="D211" s="4" t="s">
        <v>38</v>
      </c>
      <c r="E211" s="4" t="s">
        <v>25</v>
      </c>
      <c r="F211" s="4" t="s">
        <v>63</v>
      </c>
      <c r="G211" s="4" t="s">
        <v>25</v>
      </c>
      <c r="H211" s="4" t="s">
        <v>34</v>
      </c>
      <c r="I211" s="5">
        <v>44501</v>
      </c>
      <c r="J211" s="6">
        <v>10820</v>
      </c>
      <c r="K211" s="6">
        <v>4835.0066978000004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60</v>
      </c>
      <c r="R211" s="4">
        <v>0</v>
      </c>
      <c r="S211" s="4">
        <v>21</v>
      </c>
      <c r="T211" s="4">
        <v>0</v>
      </c>
      <c r="U211" s="4">
        <v>0</v>
      </c>
      <c r="V211" s="6">
        <f>IF(ISERROR(VLOOKUP($S$211,'TAR FIN'!$A$1:$O$116,15,0)),0,VLOOKUP($S$211,'TAR FIN'!$A$1:$O$116,15,0))</f>
        <v>65.599999999999994</v>
      </c>
      <c r="W211" s="6">
        <f>IF(ISERROR(VLOOKUP($T$211,'TAR FIN'!$A$1:$O$116,15,0)),0,VLOOKUP($T$211,'TAR FIN'!$A$1:$O$116,15,0))</f>
        <v>0</v>
      </c>
      <c r="X211" s="6">
        <f>IF(ISERROR(VLOOKUP($U$211,'TAR FIN'!$A$1:$O$116,15,0)),0,VLOOKUP($U$211,'TAR FIN'!$A$1:$O$116,15,0))</f>
        <v>0</v>
      </c>
      <c r="Y211" s="6">
        <f ca="1">('TUSD BE'!$AM$25+'TUSD BF'!$AM$25+'TUSD CVA'!$AM$25)*1</f>
        <v>75.407822945580492</v>
      </c>
      <c r="Z211" s="6">
        <f ca="1">('TUSD BE'!$AM$27+'TUSD BF'!$AM$27+'TUSD CVA'!$AM$27)*1</f>
        <v>137.4358543126599</v>
      </c>
      <c r="AA211" s="6"/>
      <c r="AB211" s="6">
        <f t="shared" si="14"/>
        <v>392615.56062431994</v>
      </c>
      <c r="AC211" s="6">
        <f t="shared" si="15"/>
        <v>0</v>
      </c>
      <c r="AD211" s="6">
        <f t="shared" ca="1" si="16"/>
        <v>451315.31526278268</v>
      </c>
      <c r="AE211" s="6">
        <f t="shared" ca="1" si="17"/>
        <v>0</v>
      </c>
      <c r="AF211" s="4" t="s">
        <v>1113</v>
      </c>
    </row>
    <row r="212" spans="1:32" ht="11.25" customHeight="1" x14ac:dyDescent="0.25">
      <c r="A212" s="4" t="s">
        <v>21</v>
      </c>
      <c r="B212" s="4" t="s">
        <v>41</v>
      </c>
      <c r="C212" s="4" t="s">
        <v>40</v>
      </c>
      <c r="D212" s="4" t="s">
        <v>38</v>
      </c>
      <c r="E212" s="4" t="s">
        <v>25</v>
      </c>
      <c r="F212" s="4" t="s">
        <v>63</v>
      </c>
      <c r="G212" s="4" t="s">
        <v>25</v>
      </c>
      <c r="H212" s="4" t="s">
        <v>34</v>
      </c>
      <c r="I212" s="5">
        <v>44531</v>
      </c>
      <c r="J212" s="6">
        <v>10902</v>
      </c>
      <c r="K212" s="6">
        <v>4865.8107295199998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60</v>
      </c>
      <c r="R212" s="4">
        <v>0</v>
      </c>
      <c r="S212" s="4">
        <v>21</v>
      </c>
      <c r="T212" s="4">
        <v>0</v>
      </c>
      <c r="U212" s="4">
        <v>0</v>
      </c>
      <c r="V212" s="6">
        <f>IF(ISERROR(VLOOKUP($S$212,'TAR FIN'!$A$1:$O$116,15,0)),0,VLOOKUP($S$212,'TAR FIN'!$A$1:$O$116,15,0))</f>
        <v>65.599999999999994</v>
      </c>
      <c r="W212" s="6">
        <f>IF(ISERROR(VLOOKUP($T$212,'TAR FIN'!$A$1:$O$116,15,0)),0,VLOOKUP($T$212,'TAR FIN'!$A$1:$O$116,15,0))</f>
        <v>0</v>
      </c>
      <c r="X212" s="6">
        <f>IF(ISERROR(VLOOKUP($U$212,'TAR FIN'!$A$1:$O$116,15,0)),0,VLOOKUP($U$212,'TAR FIN'!$A$1:$O$116,15,0))</f>
        <v>0</v>
      </c>
      <c r="Y212" s="6">
        <f ca="1">('TUSD BE'!$AM$25+'TUSD BF'!$AM$25+'TUSD CVA'!$AM$25)*1</f>
        <v>75.407822945580492</v>
      </c>
      <c r="Z212" s="6">
        <f ca="1">('TUSD BE'!$AM$27+'TUSD BF'!$AM$27+'TUSD CVA'!$AM$27)*1</f>
        <v>137.4358543126599</v>
      </c>
      <c r="AA212" s="6"/>
      <c r="AB212" s="6">
        <f t="shared" si="14"/>
        <v>395974.016143488</v>
      </c>
      <c r="AC212" s="6">
        <f t="shared" si="15"/>
        <v>0</v>
      </c>
      <c r="AD212" s="6">
        <f t="shared" ca="1" si="16"/>
        <v>455175.89177436853</v>
      </c>
      <c r="AE212" s="6">
        <f t="shared" ca="1" si="17"/>
        <v>0</v>
      </c>
      <c r="AF212" s="4" t="s">
        <v>1113</v>
      </c>
    </row>
    <row r="213" spans="1:32" ht="11.25" customHeight="1" x14ac:dyDescent="0.25">
      <c r="A213" s="4" t="s">
        <v>21</v>
      </c>
      <c r="B213" s="4" t="s">
        <v>41</v>
      </c>
      <c r="C213" s="4" t="s">
        <v>40</v>
      </c>
      <c r="D213" s="4" t="s">
        <v>38</v>
      </c>
      <c r="E213" s="4" t="s">
        <v>25</v>
      </c>
      <c r="F213" s="4" t="s">
        <v>63</v>
      </c>
      <c r="G213" s="4" t="s">
        <v>25</v>
      </c>
      <c r="H213" s="4" t="s">
        <v>34</v>
      </c>
      <c r="I213" s="5">
        <v>44562</v>
      </c>
      <c r="J213" s="6">
        <v>11175</v>
      </c>
      <c r="K213" s="6">
        <v>5019.2626485000001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60</v>
      </c>
      <c r="R213" s="4">
        <v>0</v>
      </c>
      <c r="S213" s="4">
        <v>21</v>
      </c>
      <c r="T213" s="4">
        <v>0</v>
      </c>
      <c r="U213" s="4">
        <v>0</v>
      </c>
      <c r="V213" s="6">
        <f>IF(ISERROR(VLOOKUP($S$213,'TAR FIN'!$A$1:$O$116,15,0)),0,VLOOKUP($S$213,'TAR FIN'!$A$1:$O$116,15,0))</f>
        <v>65.599999999999994</v>
      </c>
      <c r="W213" s="6">
        <f>IF(ISERROR(VLOOKUP($T$213,'TAR FIN'!$A$1:$O$116,15,0)),0,VLOOKUP($T$213,'TAR FIN'!$A$1:$O$116,15,0))</f>
        <v>0</v>
      </c>
      <c r="X213" s="6">
        <f>IF(ISERROR(VLOOKUP($U$213,'TAR FIN'!$A$1:$O$116,15,0)),0,VLOOKUP($U$213,'TAR FIN'!$A$1:$O$116,15,0))</f>
        <v>0</v>
      </c>
      <c r="Y213" s="6">
        <f ca="1">('TUSD BE'!$AM$25+'TUSD BF'!$AM$25+'TUSD CVA'!$AM$25)*1</f>
        <v>75.407822945580492</v>
      </c>
      <c r="Z213" s="6">
        <f ca="1">('TUSD BE'!$AM$27+'TUSD BF'!$AM$27+'TUSD CVA'!$AM$27)*1</f>
        <v>137.4358543126599</v>
      </c>
      <c r="AA213" s="6"/>
      <c r="AB213" s="6">
        <f t="shared" si="14"/>
        <v>403816.37025839998</v>
      </c>
      <c r="AC213" s="6">
        <f t="shared" si="15"/>
        <v>0</v>
      </c>
      <c r="AD213" s="6">
        <f t="shared" ca="1" si="16"/>
        <v>464190.75230140856</v>
      </c>
      <c r="AE213" s="6">
        <f t="shared" ca="1" si="17"/>
        <v>0</v>
      </c>
      <c r="AF213" s="4" t="s">
        <v>1113</v>
      </c>
    </row>
    <row r="214" spans="1:32" ht="11.25" customHeight="1" x14ac:dyDescent="0.25">
      <c r="A214" s="4" t="s">
        <v>21</v>
      </c>
      <c r="B214" s="4" t="s">
        <v>41</v>
      </c>
      <c r="C214" s="4" t="s">
        <v>40</v>
      </c>
      <c r="D214" s="4" t="s">
        <v>38</v>
      </c>
      <c r="E214" s="4" t="s">
        <v>25</v>
      </c>
      <c r="F214" s="4" t="s">
        <v>63</v>
      </c>
      <c r="G214" s="4" t="s">
        <v>25</v>
      </c>
      <c r="H214" s="4" t="s">
        <v>34</v>
      </c>
      <c r="I214" s="5">
        <v>44593</v>
      </c>
      <c r="J214" s="6">
        <v>10471</v>
      </c>
      <c r="K214" s="6">
        <v>4674.6753342000002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60</v>
      </c>
      <c r="R214" s="4">
        <v>0</v>
      </c>
      <c r="S214" s="4">
        <v>21</v>
      </c>
      <c r="T214" s="4">
        <v>0</v>
      </c>
      <c r="U214" s="4">
        <v>0</v>
      </c>
      <c r="V214" s="6">
        <f>IF(ISERROR(VLOOKUP($S$214,'TAR FIN'!$A$1:$O$116,15,0)),0,VLOOKUP($S$214,'TAR FIN'!$A$1:$O$116,15,0))</f>
        <v>65.599999999999994</v>
      </c>
      <c r="W214" s="6">
        <f>IF(ISERROR(VLOOKUP($T$214,'TAR FIN'!$A$1:$O$116,15,0)),0,VLOOKUP($T$214,'TAR FIN'!$A$1:$O$116,15,0))</f>
        <v>0</v>
      </c>
      <c r="X214" s="6">
        <f>IF(ISERROR(VLOOKUP($U$214,'TAR FIN'!$A$1:$O$116,15,0)),0,VLOOKUP($U$214,'TAR FIN'!$A$1:$O$116,15,0))</f>
        <v>0</v>
      </c>
      <c r="Y214" s="6">
        <f ca="1">('TUSD BE'!$AM$25+'TUSD BF'!$AM$25+'TUSD CVA'!$AM$25)*1</f>
        <v>75.407822945580492</v>
      </c>
      <c r="Z214" s="6">
        <f ca="1">('TUSD BE'!$AM$27+'TUSD BF'!$AM$27+'TUSD CVA'!$AM$27)*1</f>
        <v>137.4358543126599</v>
      </c>
      <c r="AA214" s="6"/>
      <c r="AB214" s="6">
        <f t="shared" si="14"/>
        <v>380238.89807647996</v>
      </c>
      <c r="AC214" s="6">
        <f t="shared" si="15"/>
        <v>0</v>
      </c>
      <c r="AD214" s="6">
        <f t="shared" ca="1" si="16"/>
        <v>437088.2241337474</v>
      </c>
      <c r="AE214" s="6">
        <f t="shared" ca="1" si="17"/>
        <v>0</v>
      </c>
      <c r="AF214" s="4" t="s">
        <v>1113</v>
      </c>
    </row>
    <row r="215" spans="1:32" ht="11.25" customHeight="1" x14ac:dyDescent="0.25">
      <c r="A215" s="4" t="s">
        <v>21</v>
      </c>
      <c r="B215" s="4" t="s">
        <v>41</v>
      </c>
      <c r="C215" s="4" t="s">
        <v>40</v>
      </c>
      <c r="D215" s="4" t="s">
        <v>38</v>
      </c>
      <c r="E215" s="4" t="s">
        <v>25</v>
      </c>
      <c r="F215" s="4" t="s">
        <v>63</v>
      </c>
      <c r="G215" s="4" t="s">
        <v>25</v>
      </c>
      <c r="H215" s="4" t="s">
        <v>34</v>
      </c>
      <c r="I215" s="5">
        <v>44621</v>
      </c>
      <c r="J215" s="6">
        <v>10488</v>
      </c>
      <c r="K215" s="6">
        <v>4650.2599514399999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60</v>
      </c>
      <c r="R215" s="4">
        <v>0</v>
      </c>
      <c r="S215" s="4">
        <v>21</v>
      </c>
      <c r="T215" s="4">
        <v>0</v>
      </c>
      <c r="U215" s="4">
        <v>0</v>
      </c>
      <c r="V215" s="6">
        <f>IF(ISERROR(VLOOKUP($S$215,'TAR FIN'!$A$1:$O$116,15,0)),0,VLOOKUP($S$215,'TAR FIN'!$A$1:$O$116,15,0))</f>
        <v>65.599999999999994</v>
      </c>
      <c r="W215" s="6">
        <f>IF(ISERROR(VLOOKUP($T$215,'TAR FIN'!$A$1:$O$116,15,0)),0,VLOOKUP($T$215,'TAR FIN'!$A$1:$O$116,15,0))</f>
        <v>0</v>
      </c>
      <c r="X215" s="6">
        <f>IF(ISERROR(VLOOKUP($U$215,'TAR FIN'!$A$1:$O$116,15,0)),0,VLOOKUP($U$215,'TAR FIN'!$A$1:$O$116,15,0))</f>
        <v>0</v>
      </c>
      <c r="Y215" s="6">
        <f ca="1">('TUSD BE'!$AM$25+'TUSD BF'!$AM$25+'TUSD CVA'!$AM$25)*1</f>
        <v>75.407822945580492</v>
      </c>
      <c r="Z215" s="6">
        <f ca="1">('TUSD BE'!$AM$27+'TUSD BF'!$AM$27+'TUSD CVA'!$AM$27)*1</f>
        <v>137.4358543126599</v>
      </c>
      <c r="AA215" s="6"/>
      <c r="AB215" s="6">
        <f t="shared" si="14"/>
        <v>382955.74718553596</v>
      </c>
      <c r="AC215" s="6">
        <f t="shared" si="15"/>
        <v>0</v>
      </c>
      <c r="AD215" s="6">
        <f t="shared" ca="1" si="16"/>
        <v>440211.26798413694</v>
      </c>
      <c r="AE215" s="6">
        <f t="shared" ca="1" si="17"/>
        <v>0</v>
      </c>
      <c r="AF215" s="4" t="s">
        <v>1113</v>
      </c>
    </row>
    <row r="216" spans="1:32" ht="11.25" customHeight="1" x14ac:dyDescent="0.25">
      <c r="A216" s="4" t="s">
        <v>21</v>
      </c>
      <c r="B216" s="4" t="s">
        <v>41</v>
      </c>
      <c r="C216" s="4" t="s">
        <v>40</v>
      </c>
      <c r="D216" s="4" t="s">
        <v>38</v>
      </c>
      <c r="E216" s="4" t="s">
        <v>25</v>
      </c>
      <c r="F216" s="4" t="s">
        <v>63</v>
      </c>
      <c r="G216" s="4" t="s">
        <v>25</v>
      </c>
      <c r="H216" s="4" t="s">
        <v>34</v>
      </c>
      <c r="I216" s="5">
        <v>44652</v>
      </c>
      <c r="J216" s="6">
        <v>10467</v>
      </c>
      <c r="K216" s="6">
        <v>4623.80729832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60</v>
      </c>
      <c r="R216" s="4">
        <v>0</v>
      </c>
      <c r="S216" s="4">
        <v>21</v>
      </c>
      <c r="T216" s="4">
        <v>0</v>
      </c>
      <c r="U216" s="4">
        <v>0</v>
      </c>
      <c r="V216" s="6">
        <f>IF(ISERROR(VLOOKUP($S$216,'TAR FIN'!$A$1:$O$116,15,0)),0,VLOOKUP($S$216,'TAR FIN'!$A$1:$O$116,15,0))</f>
        <v>65.599999999999994</v>
      </c>
      <c r="W216" s="6">
        <f>IF(ISERROR(VLOOKUP($T$216,'TAR FIN'!$A$1:$O$116,15,0)),0,VLOOKUP($T$216,'TAR FIN'!$A$1:$O$116,15,0))</f>
        <v>0</v>
      </c>
      <c r="X216" s="6">
        <f>IF(ISERROR(VLOOKUP($U$216,'TAR FIN'!$A$1:$O$116,15,0)),0,VLOOKUP($U$216,'TAR FIN'!$A$1:$O$116,15,0))</f>
        <v>0</v>
      </c>
      <c r="Y216" s="6">
        <f ca="1">('TUSD BE'!$AM$25+'TUSD BF'!$AM$25+'TUSD CVA'!$AM$25)*1</f>
        <v>75.407822945580492</v>
      </c>
      <c r="Z216" s="6">
        <f ca="1">('TUSD BE'!$AM$27+'TUSD BF'!$AM$27+'TUSD CVA'!$AM$27)*1</f>
        <v>137.4358543126599</v>
      </c>
      <c r="AA216" s="6"/>
      <c r="AB216" s="6">
        <f t="shared" si="14"/>
        <v>383313.44123020797</v>
      </c>
      <c r="AC216" s="6">
        <f t="shared" si="15"/>
        <v>0</v>
      </c>
      <c r="AD216" s="6">
        <f t="shared" ca="1" si="16"/>
        <v>440622.44068519358</v>
      </c>
      <c r="AE216" s="6">
        <f t="shared" ca="1" si="17"/>
        <v>0</v>
      </c>
      <c r="AF216" s="4" t="s">
        <v>1113</v>
      </c>
    </row>
    <row r="217" spans="1:32" ht="11.25" customHeight="1" x14ac:dyDescent="0.25">
      <c r="A217" s="4" t="s">
        <v>58</v>
      </c>
      <c r="B217" s="4" t="s">
        <v>41</v>
      </c>
      <c r="C217" s="4" t="s">
        <v>40</v>
      </c>
      <c r="D217" s="4" t="s">
        <v>38</v>
      </c>
      <c r="E217" s="4" t="s">
        <v>25</v>
      </c>
      <c r="F217" s="4" t="s">
        <v>63</v>
      </c>
      <c r="G217" s="4" t="s">
        <v>25</v>
      </c>
      <c r="H217" s="4" t="s">
        <v>34</v>
      </c>
      <c r="I217" s="5">
        <v>44682</v>
      </c>
      <c r="J217" s="6">
        <v>10467</v>
      </c>
      <c r="K217" s="6">
        <v>4623.80729832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0</v>
      </c>
      <c r="S217" s="4">
        <v>21</v>
      </c>
      <c r="T217" s="4">
        <v>0</v>
      </c>
      <c r="U217" s="4">
        <v>0</v>
      </c>
      <c r="V217" s="6">
        <f>IF(ISERROR(VLOOKUP($S$217,'TAR FIN'!$A$1:$O$116,15,0)),0,VLOOKUP($S$217,'TAR FIN'!$A$1:$O$116,15,0))</f>
        <v>65.599999999999994</v>
      </c>
      <c r="W217" s="6">
        <f>IF(ISERROR(VLOOKUP($T$217,'TAR FIN'!$A$1:$O$116,15,0)),0,VLOOKUP($T$217,'TAR FIN'!$A$1:$O$116,15,0))</f>
        <v>0</v>
      </c>
      <c r="X217" s="6">
        <f>IF(ISERROR(VLOOKUP($U$217,'TAR FIN'!$A$1:$O$116,15,0)),0,VLOOKUP($U$217,'TAR FIN'!$A$1:$O$116,15,0))</f>
        <v>0</v>
      </c>
      <c r="Y217" s="6">
        <f ca="1">('TUSD BE'!$AM$25+'TUSD BF'!$AM$25+'TUSD CVA'!$AM$25)*1</f>
        <v>75.407822945580492</v>
      </c>
      <c r="Z217" s="6">
        <f ca="1">('TUSD BE'!$AM$27+'TUSD BF'!$AM$27+'TUSD CVA'!$AM$27)*1</f>
        <v>137.4358543126599</v>
      </c>
      <c r="AA217" s="6"/>
      <c r="AB217" s="6">
        <f t="shared" si="14"/>
        <v>383313.44123020797</v>
      </c>
      <c r="AC217" s="6">
        <f t="shared" si="15"/>
        <v>0</v>
      </c>
      <c r="AD217" s="6">
        <f t="shared" ca="1" si="16"/>
        <v>440622.44068519358</v>
      </c>
      <c r="AE217" s="6">
        <f t="shared" ca="1" si="17"/>
        <v>0</v>
      </c>
      <c r="AF217" s="4" t="s">
        <v>1113</v>
      </c>
    </row>
    <row r="218" spans="1:32" ht="11.25" customHeight="1" x14ac:dyDescent="0.25">
      <c r="A218" s="4" t="s">
        <v>21</v>
      </c>
      <c r="B218" s="4" t="s">
        <v>41</v>
      </c>
      <c r="C218" s="4" t="s">
        <v>40</v>
      </c>
      <c r="D218" s="4" t="s">
        <v>45</v>
      </c>
      <c r="E218" s="4" t="s">
        <v>25</v>
      </c>
      <c r="F218" s="4" t="s">
        <v>25</v>
      </c>
      <c r="G218" s="4" t="s">
        <v>25</v>
      </c>
      <c r="H218" s="4" t="s">
        <v>35</v>
      </c>
      <c r="I218" s="5">
        <v>44348</v>
      </c>
      <c r="J218" s="6">
        <v>105</v>
      </c>
      <c r="K218" s="70">
        <v>105</v>
      </c>
      <c r="L218" s="6">
        <v>28.38</v>
      </c>
      <c r="M218" s="70">
        <v>28.38</v>
      </c>
      <c r="N218" s="6">
        <v>28.38</v>
      </c>
      <c r="O218" s="70">
        <v>28.38</v>
      </c>
      <c r="P218" s="6">
        <v>0</v>
      </c>
      <c r="Q218" s="4" t="s">
        <v>26</v>
      </c>
      <c r="R218" s="4">
        <v>0</v>
      </c>
      <c r="S218" s="4">
        <v>22</v>
      </c>
      <c r="T218" s="4">
        <v>23</v>
      </c>
      <c r="U218" s="4">
        <v>79</v>
      </c>
      <c r="V218" s="70">
        <f>IF(ISERROR(VLOOKUP($S$218,'TAR FIN'!$A$1:$O$116,15,0)),0,VLOOKUP($S$218,'TAR FIN'!$A$1:$O$116,15,0))*(1-0.04)</f>
        <v>24.489599999999999</v>
      </c>
      <c r="W218" s="70">
        <f>IF(ISERROR(VLOOKUP($T$218,'TAR FIN'!$A$1:$O$116,15,0)),0,VLOOKUP($T$218,'TAR FIN'!$A$1:$O$116,15,0))*(1-0.04)</f>
        <v>85.113599999999991</v>
      </c>
      <c r="X218" s="70">
        <f>IF(ISERROR(VLOOKUP($U$218,'TAR FIN'!$A$1:$O$116,15,0)),0,VLOOKUP($U$218,'TAR FIN'!$A$1:$O$116,15,0))*(1-0.04)</f>
        <v>298.59840000000003</v>
      </c>
      <c r="Y218" s="70">
        <f ca="1">('TUSD BE'!$AM$26+'TUSD BF'!$AM$26+'TUSD CVA'!$AM$26)*1*(1-0.02)</f>
        <v>29.207201461919809</v>
      </c>
      <c r="Z218" s="70">
        <f ca="1">('TUSD BE'!$AM$27+'TUSD BF'!$AM$27+'TUSD CVA'!$AM$27)*1*(1-0.02)</f>
        <v>134.68713722640669</v>
      </c>
      <c r="AA218" s="70">
        <f>('TE BE'!$AB$10+'TE BF'!$AB$10+'TE CVA'!$AB$10)*1*(1-0.02)</f>
        <v>306.96449101990191</v>
      </c>
      <c r="AB218" s="70">
        <f>(SUBSIDIO!$J$218*SUBSIDIO!$V$218)*(0.04)/(1-0.04)</f>
        <v>107.142</v>
      </c>
      <c r="AC218" s="70">
        <f>((SUBSIDIO!$L$218*SUBSIDIO!$W$218)+(SUBSIDIO!$N$218*SUBSIDIO!$X$218))*(0.04)/(1-0.04)</f>
        <v>453.73944000000006</v>
      </c>
      <c r="AD218" s="70">
        <f ca="1">(SUBSIDIO!$J$218*SUBSIDIO!$Y$218)*(0.02)/(1-0.02)</f>
        <v>62.586860275542449</v>
      </c>
      <c r="AE218" s="70">
        <f ca="1">((SUBSIDIO!$L$218*SUBSIDIO!$Z$218)+(SUBSIDIO!$N$218*SUBSIDIO!$AA$218))*(0.02)/(1-0.02)</f>
        <v>255.79741244143347</v>
      </c>
      <c r="AF218" s="4" t="s">
        <v>1114</v>
      </c>
    </row>
    <row r="219" spans="1:32" ht="11.25" customHeight="1" x14ac:dyDescent="0.25">
      <c r="A219" s="4" t="s">
        <v>21</v>
      </c>
      <c r="B219" s="4" t="s">
        <v>41</v>
      </c>
      <c r="C219" s="4" t="s">
        <v>40</v>
      </c>
      <c r="D219" s="4" t="s">
        <v>45</v>
      </c>
      <c r="E219" s="4" t="s">
        <v>25</v>
      </c>
      <c r="F219" s="4" t="s">
        <v>25</v>
      </c>
      <c r="G219" s="4" t="s">
        <v>25</v>
      </c>
      <c r="H219" s="4" t="s">
        <v>35</v>
      </c>
      <c r="I219" s="5">
        <v>44378</v>
      </c>
      <c r="J219" s="6">
        <v>115</v>
      </c>
      <c r="K219" s="70">
        <v>115</v>
      </c>
      <c r="L219" s="6">
        <v>35.97</v>
      </c>
      <c r="M219" s="70">
        <v>35.97</v>
      </c>
      <c r="N219" s="6">
        <v>35.97</v>
      </c>
      <c r="O219" s="70">
        <v>35.97</v>
      </c>
      <c r="P219" s="6">
        <v>0</v>
      </c>
      <c r="Q219" s="4" t="s">
        <v>26</v>
      </c>
      <c r="R219" s="4">
        <v>0</v>
      </c>
      <c r="S219" s="4">
        <v>22</v>
      </c>
      <c r="T219" s="4">
        <v>23</v>
      </c>
      <c r="U219" s="4">
        <v>79</v>
      </c>
      <c r="V219" s="70">
        <f>IF(ISERROR(VLOOKUP($S$219,'TAR FIN'!$A$1:$O$116,15,0)),0,VLOOKUP($S$219,'TAR FIN'!$A$1:$O$116,15,0))*(1-0.04)</f>
        <v>24.489599999999999</v>
      </c>
      <c r="W219" s="70">
        <f>IF(ISERROR(VLOOKUP($T$219,'TAR FIN'!$A$1:$O$116,15,0)),0,VLOOKUP($T$219,'TAR FIN'!$A$1:$O$116,15,0))*(1-0.04)</f>
        <v>85.113599999999991</v>
      </c>
      <c r="X219" s="70">
        <f>IF(ISERROR(VLOOKUP($U$219,'TAR FIN'!$A$1:$O$116,15,0)),0,VLOOKUP($U$219,'TAR FIN'!$A$1:$O$116,15,0))*(1-0.04)</f>
        <v>298.59840000000003</v>
      </c>
      <c r="Y219" s="70">
        <f ca="1">('TUSD BE'!$AM$26+'TUSD BF'!$AM$26+'TUSD CVA'!$AM$26)*1*(1-0.02)</f>
        <v>29.207201461919809</v>
      </c>
      <c r="Z219" s="70">
        <f ca="1">('TUSD BE'!$AM$27+'TUSD BF'!$AM$27+'TUSD CVA'!$AM$27)*1*(1-0.02)</f>
        <v>134.68713722640669</v>
      </c>
      <c r="AA219" s="70">
        <f>('TE BE'!$AB$10+'TE BF'!$AB$10+'TE CVA'!$AB$10)*1*(1-0.02)</f>
        <v>306.96449101990191</v>
      </c>
      <c r="AB219" s="70">
        <f>(SUBSIDIO!$J$219*SUBSIDIO!$V$219)*(0.04)/(1-0.04)</f>
        <v>117.34600000000002</v>
      </c>
      <c r="AC219" s="70">
        <f>((SUBSIDIO!$L$219*SUBSIDIO!$W$219)+(SUBSIDIO!$N$219*SUBSIDIO!$X$219))*(0.04)/(1-0.04)</f>
        <v>575.08836000000008</v>
      </c>
      <c r="AD219" s="70">
        <f ca="1">(SUBSIDIO!$J$219*SUBSIDIO!$Y$219)*(0.02)/(1-0.02)</f>
        <v>68.547513635117923</v>
      </c>
      <c r="AE219" s="70">
        <f ca="1">((SUBSIDIO!$L$219*SUBSIDIO!$Z$219)+(SUBSIDIO!$N$219*SUBSIDIO!$AA$219))*(0.02)/(1-0.02)</f>
        <v>324.20834832693311</v>
      </c>
      <c r="AF219" s="4" t="s">
        <v>1114</v>
      </c>
    </row>
    <row r="220" spans="1:32" ht="11.25" customHeight="1" x14ac:dyDescent="0.25">
      <c r="A220" s="4" t="s">
        <v>21</v>
      </c>
      <c r="B220" s="4" t="s">
        <v>41</v>
      </c>
      <c r="C220" s="4" t="s">
        <v>40</v>
      </c>
      <c r="D220" s="4" t="s">
        <v>45</v>
      </c>
      <c r="E220" s="4" t="s">
        <v>25</v>
      </c>
      <c r="F220" s="4" t="s">
        <v>25</v>
      </c>
      <c r="G220" s="4" t="s">
        <v>25</v>
      </c>
      <c r="H220" s="4" t="s">
        <v>35</v>
      </c>
      <c r="I220" s="5">
        <v>44409</v>
      </c>
      <c r="J220" s="6">
        <v>119</v>
      </c>
      <c r="K220" s="70">
        <v>119</v>
      </c>
      <c r="L220" s="6">
        <v>34.65</v>
      </c>
      <c r="M220" s="70">
        <v>34.65</v>
      </c>
      <c r="N220" s="6">
        <v>34.65</v>
      </c>
      <c r="O220" s="70">
        <v>34.65</v>
      </c>
      <c r="P220" s="6">
        <v>0</v>
      </c>
      <c r="Q220" s="4" t="s">
        <v>26</v>
      </c>
      <c r="R220" s="4">
        <v>0</v>
      </c>
      <c r="S220" s="4">
        <v>22</v>
      </c>
      <c r="T220" s="4">
        <v>23</v>
      </c>
      <c r="U220" s="4">
        <v>79</v>
      </c>
      <c r="V220" s="70">
        <f>IF(ISERROR(VLOOKUP($S$220,'TAR FIN'!$A$1:$O$116,15,0)),0,VLOOKUP($S$220,'TAR FIN'!$A$1:$O$116,15,0))*(1-0.04)</f>
        <v>24.489599999999999</v>
      </c>
      <c r="W220" s="70">
        <f>IF(ISERROR(VLOOKUP($T$220,'TAR FIN'!$A$1:$O$116,15,0)),0,VLOOKUP($T$220,'TAR FIN'!$A$1:$O$116,15,0))*(1-0.04)</f>
        <v>85.113599999999991</v>
      </c>
      <c r="X220" s="70">
        <f>IF(ISERROR(VLOOKUP($U$220,'TAR FIN'!$A$1:$O$116,15,0)),0,VLOOKUP($U$220,'TAR FIN'!$A$1:$O$116,15,0))*(1-0.04)</f>
        <v>298.59840000000003</v>
      </c>
      <c r="Y220" s="70">
        <f ca="1">('TUSD BE'!$AM$26+'TUSD BF'!$AM$26+'TUSD CVA'!$AM$26)*1*(1-0.02)</f>
        <v>29.207201461919809</v>
      </c>
      <c r="Z220" s="70">
        <f ca="1">('TUSD BE'!$AM$27+'TUSD BF'!$AM$27+'TUSD CVA'!$AM$27)*1*(1-0.02)</f>
        <v>134.68713722640669</v>
      </c>
      <c r="AA220" s="70">
        <f>('TE BE'!$AB$10+'TE BF'!$AB$10+'TE CVA'!$AB$10)*1*(1-0.02)</f>
        <v>306.96449101990191</v>
      </c>
      <c r="AB220" s="70">
        <f>(SUBSIDIO!$J$220*SUBSIDIO!$V$220)*(0.04)/(1-0.04)</f>
        <v>121.42760000000001</v>
      </c>
      <c r="AC220" s="70">
        <f>((SUBSIDIO!$L$220*SUBSIDIO!$W$220)+(SUBSIDIO!$N$220*SUBSIDIO!$X$220))*(0.04)/(1-0.04)</f>
        <v>553.98419999999999</v>
      </c>
      <c r="AD220" s="70">
        <f ca="1">(SUBSIDIO!$J$220*SUBSIDIO!$Y$220)*(0.02)/(1-0.02)</f>
        <v>70.931774978948113</v>
      </c>
      <c r="AE220" s="70">
        <f ca="1">((SUBSIDIO!$L$220*SUBSIDIO!$Z$220)+(SUBSIDIO!$N$220*SUBSIDIO!$AA$220))*(0.02)/(1-0.02)</f>
        <v>312.31079425988963</v>
      </c>
      <c r="AF220" s="4" t="s">
        <v>1114</v>
      </c>
    </row>
    <row r="221" spans="1:32" ht="11.25" customHeight="1" x14ac:dyDescent="0.25">
      <c r="A221" s="4" t="s">
        <v>21</v>
      </c>
      <c r="B221" s="4" t="s">
        <v>41</v>
      </c>
      <c r="C221" s="4" t="s">
        <v>40</v>
      </c>
      <c r="D221" s="4" t="s">
        <v>45</v>
      </c>
      <c r="E221" s="4" t="s">
        <v>25</v>
      </c>
      <c r="F221" s="4" t="s">
        <v>25</v>
      </c>
      <c r="G221" s="4" t="s">
        <v>25</v>
      </c>
      <c r="H221" s="4" t="s">
        <v>35</v>
      </c>
      <c r="I221" s="5">
        <v>44440</v>
      </c>
      <c r="J221" s="6">
        <v>124</v>
      </c>
      <c r="K221" s="70">
        <v>124</v>
      </c>
      <c r="L221" s="6">
        <v>31.79</v>
      </c>
      <c r="M221" s="70">
        <v>31.79</v>
      </c>
      <c r="N221" s="6">
        <v>31.79</v>
      </c>
      <c r="O221" s="70">
        <v>31.79</v>
      </c>
      <c r="P221" s="6">
        <v>0</v>
      </c>
      <c r="Q221" s="4" t="s">
        <v>26</v>
      </c>
      <c r="R221" s="4">
        <v>0</v>
      </c>
      <c r="S221" s="4">
        <v>22</v>
      </c>
      <c r="T221" s="4">
        <v>23</v>
      </c>
      <c r="U221" s="4">
        <v>79</v>
      </c>
      <c r="V221" s="70">
        <f>IF(ISERROR(VLOOKUP($S$221,'TAR FIN'!$A$1:$O$116,15,0)),0,VLOOKUP($S$221,'TAR FIN'!$A$1:$O$116,15,0))*(1-0.04)</f>
        <v>24.489599999999999</v>
      </c>
      <c r="W221" s="70">
        <f>IF(ISERROR(VLOOKUP($T$221,'TAR FIN'!$A$1:$O$116,15,0)),0,VLOOKUP($T$221,'TAR FIN'!$A$1:$O$116,15,0))*(1-0.04)</f>
        <v>85.113599999999991</v>
      </c>
      <c r="X221" s="70">
        <f>IF(ISERROR(VLOOKUP($U$221,'TAR FIN'!$A$1:$O$116,15,0)),0,VLOOKUP($U$221,'TAR FIN'!$A$1:$O$116,15,0))*(1-0.04)</f>
        <v>298.59840000000003</v>
      </c>
      <c r="Y221" s="70">
        <f ca="1">('TUSD BE'!$AM$26+'TUSD BF'!$AM$26+'TUSD CVA'!$AM$26)*1*(1-0.02)</f>
        <v>29.207201461919809</v>
      </c>
      <c r="Z221" s="70">
        <f ca="1">('TUSD BE'!$AM$27+'TUSD BF'!$AM$27+'TUSD CVA'!$AM$27)*1*(1-0.02)</f>
        <v>134.68713722640669</v>
      </c>
      <c r="AA221" s="70">
        <f>('TE BE'!$AB$10+'TE BF'!$AB$10+'TE CVA'!$AB$10)*1*(1-0.02)</f>
        <v>306.96449101990191</v>
      </c>
      <c r="AB221" s="70">
        <f>(SUBSIDIO!$J$221*SUBSIDIO!$V$221)*(0.04)/(1-0.04)</f>
        <v>126.52960000000002</v>
      </c>
      <c r="AC221" s="70">
        <f>((SUBSIDIO!$L$221*SUBSIDIO!$W$221)+(SUBSIDIO!$N$221*SUBSIDIO!$X$221))*(0.04)/(1-0.04)</f>
        <v>508.25852000000009</v>
      </c>
      <c r="AD221" s="70">
        <f ca="1">(SUBSIDIO!$J$221*SUBSIDIO!$Y$221)*(0.02)/(1-0.02)</f>
        <v>73.91210165873585</v>
      </c>
      <c r="AE221" s="70">
        <f ca="1">((SUBSIDIO!$L$221*SUBSIDIO!$Z$221)+(SUBSIDIO!$N$221*SUBSIDIO!$AA$221))*(0.02)/(1-0.02)</f>
        <v>286.53276044796229</v>
      </c>
      <c r="AF221" s="4" t="s">
        <v>1114</v>
      </c>
    </row>
    <row r="222" spans="1:32" ht="11.25" customHeight="1" x14ac:dyDescent="0.25">
      <c r="A222" s="4" t="s">
        <v>21</v>
      </c>
      <c r="B222" s="4" t="s">
        <v>41</v>
      </c>
      <c r="C222" s="4" t="s">
        <v>40</v>
      </c>
      <c r="D222" s="4" t="s">
        <v>45</v>
      </c>
      <c r="E222" s="4" t="s">
        <v>25</v>
      </c>
      <c r="F222" s="4" t="s">
        <v>25</v>
      </c>
      <c r="G222" s="4" t="s">
        <v>25</v>
      </c>
      <c r="H222" s="4" t="s">
        <v>35</v>
      </c>
      <c r="I222" s="5">
        <v>44470</v>
      </c>
      <c r="J222" s="6">
        <v>133</v>
      </c>
      <c r="K222" s="70">
        <v>133</v>
      </c>
      <c r="L222" s="6">
        <v>31.35</v>
      </c>
      <c r="M222" s="70">
        <v>31.35</v>
      </c>
      <c r="N222" s="6">
        <v>31.35</v>
      </c>
      <c r="O222" s="70">
        <v>31.35</v>
      </c>
      <c r="P222" s="6">
        <v>0</v>
      </c>
      <c r="Q222" s="4" t="s">
        <v>26</v>
      </c>
      <c r="R222" s="4">
        <v>0</v>
      </c>
      <c r="S222" s="4">
        <v>22</v>
      </c>
      <c r="T222" s="4">
        <v>23</v>
      </c>
      <c r="U222" s="4">
        <v>79</v>
      </c>
      <c r="V222" s="70">
        <f>IF(ISERROR(VLOOKUP($S$222,'TAR FIN'!$A$1:$O$116,15,0)),0,VLOOKUP($S$222,'TAR FIN'!$A$1:$O$116,15,0))*(1-0.04)</f>
        <v>24.489599999999999</v>
      </c>
      <c r="W222" s="70">
        <f>IF(ISERROR(VLOOKUP($T$222,'TAR FIN'!$A$1:$O$116,15,0)),0,VLOOKUP($T$222,'TAR FIN'!$A$1:$O$116,15,0))*(1-0.04)</f>
        <v>85.113599999999991</v>
      </c>
      <c r="X222" s="70">
        <f>IF(ISERROR(VLOOKUP($U$222,'TAR FIN'!$A$1:$O$116,15,0)),0,VLOOKUP($U$222,'TAR FIN'!$A$1:$O$116,15,0))*(1-0.04)</f>
        <v>298.59840000000003</v>
      </c>
      <c r="Y222" s="70">
        <f ca="1">('TUSD BE'!$AM$26+'TUSD BF'!$AM$26+'TUSD CVA'!$AM$26)*1*(1-0.02)</f>
        <v>29.207201461919809</v>
      </c>
      <c r="Z222" s="70">
        <f ca="1">('TUSD BE'!$AM$27+'TUSD BF'!$AM$27+'TUSD CVA'!$AM$27)*1*(1-0.02)</f>
        <v>134.68713722640669</v>
      </c>
      <c r="AA222" s="70">
        <f>('TE BE'!$AB$10+'TE BF'!$AB$10+'TE CVA'!$AB$10)*1*(1-0.02)</f>
        <v>306.96449101990191</v>
      </c>
      <c r="AB222" s="70">
        <f>(SUBSIDIO!$J$222*SUBSIDIO!$V$222)*(0.04)/(1-0.04)</f>
        <v>135.7132</v>
      </c>
      <c r="AC222" s="70">
        <f>((SUBSIDIO!$L$222*SUBSIDIO!$W$222)+(SUBSIDIO!$N$222*SUBSIDIO!$X$222))*(0.04)/(1-0.04)</f>
        <v>501.2238000000001</v>
      </c>
      <c r="AD222" s="70">
        <f ca="1">(SUBSIDIO!$J$222*SUBSIDIO!$Y$222)*(0.02)/(1-0.02)</f>
        <v>79.276689682353762</v>
      </c>
      <c r="AE222" s="70">
        <f ca="1">((SUBSIDIO!$L$222*SUBSIDIO!$Z$222)+(SUBSIDIO!$N$222*SUBSIDIO!$AA$222))*(0.02)/(1-0.02)</f>
        <v>282.56690909228115</v>
      </c>
      <c r="AF222" s="4" t="s">
        <v>1114</v>
      </c>
    </row>
    <row r="223" spans="1:32" ht="11.25" customHeight="1" x14ac:dyDescent="0.25">
      <c r="A223" s="4" t="s">
        <v>21</v>
      </c>
      <c r="B223" s="4" t="s">
        <v>41</v>
      </c>
      <c r="C223" s="4" t="s">
        <v>40</v>
      </c>
      <c r="D223" s="4" t="s">
        <v>45</v>
      </c>
      <c r="E223" s="4" t="s">
        <v>25</v>
      </c>
      <c r="F223" s="4" t="s">
        <v>25</v>
      </c>
      <c r="G223" s="4" t="s">
        <v>25</v>
      </c>
      <c r="H223" s="4" t="s">
        <v>35</v>
      </c>
      <c r="I223" s="5">
        <v>44501</v>
      </c>
      <c r="J223" s="6">
        <v>13</v>
      </c>
      <c r="K223" s="70">
        <v>13</v>
      </c>
      <c r="L223" s="6">
        <v>31.02</v>
      </c>
      <c r="M223" s="70">
        <v>31.02</v>
      </c>
      <c r="N223" s="6">
        <v>31.02</v>
      </c>
      <c r="O223" s="70">
        <v>31.02</v>
      </c>
      <c r="P223" s="6">
        <v>0</v>
      </c>
      <c r="Q223" s="4" t="s">
        <v>26</v>
      </c>
      <c r="R223" s="4">
        <v>0</v>
      </c>
      <c r="S223" s="4">
        <v>22</v>
      </c>
      <c r="T223" s="4">
        <v>23</v>
      </c>
      <c r="U223" s="4">
        <v>79</v>
      </c>
      <c r="V223" s="70">
        <f>IF(ISERROR(VLOOKUP($S$223,'TAR FIN'!$A$1:$O$116,15,0)),0,VLOOKUP($S$223,'TAR FIN'!$A$1:$O$116,15,0))*(1-0.04)</f>
        <v>24.489599999999999</v>
      </c>
      <c r="W223" s="70">
        <f>IF(ISERROR(VLOOKUP($T$223,'TAR FIN'!$A$1:$O$116,15,0)),0,VLOOKUP($T$223,'TAR FIN'!$A$1:$O$116,15,0))*(1-0.04)</f>
        <v>85.113599999999991</v>
      </c>
      <c r="X223" s="70">
        <f>IF(ISERROR(VLOOKUP($U$223,'TAR FIN'!$A$1:$O$116,15,0)),0,VLOOKUP($U$223,'TAR FIN'!$A$1:$O$116,15,0))*(1-0.04)</f>
        <v>298.59840000000003</v>
      </c>
      <c r="Y223" s="70">
        <f ca="1">('TUSD BE'!$AM$26+'TUSD BF'!$AM$26+'TUSD CVA'!$AM$26)*1*(1-0.02)</f>
        <v>29.207201461919809</v>
      </c>
      <c r="Z223" s="70">
        <f ca="1">('TUSD BE'!$AM$27+'TUSD BF'!$AM$27+'TUSD CVA'!$AM$27)*1*(1-0.02)</f>
        <v>134.68713722640669</v>
      </c>
      <c r="AA223" s="70">
        <f>('TE BE'!$AB$10+'TE BF'!$AB$10+'TE CVA'!$AB$10)*1*(1-0.02)</f>
        <v>306.96449101990191</v>
      </c>
      <c r="AB223" s="70">
        <f>(SUBSIDIO!$J$223*SUBSIDIO!$V$223)*(0.04)/(1-0.04)</f>
        <v>13.265200000000002</v>
      </c>
      <c r="AC223" s="70">
        <f>((SUBSIDIO!$L$223*SUBSIDIO!$W$223)+(SUBSIDIO!$N$223*SUBSIDIO!$X$223))*(0.04)/(1-0.04)</f>
        <v>495.94776000000002</v>
      </c>
      <c r="AD223" s="70">
        <f ca="1">(SUBSIDIO!$J$223*SUBSIDIO!$Y$223)*(0.02)/(1-0.02)</f>
        <v>7.7488493674481118</v>
      </c>
      <c r="AE223" s="70">
        <f ca="1">((SUBSIDIO!$L$223*SUBSIDIO!$Z$223)+(SUBSIDIO!$N$223*SUBSIDIO!$AA$223))*(0.02)/(1-0.02)</f>
        <v>279.59252057552027</v>
      </c>
      <c r="AF223" s="4" t="s">
        <v>1114</v>
      </c>
    </row>
    <row r="224" spans="1:32" ht="11.25" customHeight="1" x14ac:dyDescent="0.25">
      <c r="A224" s="4" t="s">
        <v>21</v>
      </c>
      <c r="B224" s="4" t="s">
        <v>41</v>
      </c>
      <c r="C224" s="4" t="s">
        <v>40</v>
      </c>
      <c r="D224" s="4" t="s">
        <v>45</v>
      </c>
      <c r="E224" s="4" t="s">
        <v>25</v>
      </c>
      <c r="F224" s="4" t="s">
        <v>25</v>
      </c>
      <c r="G224" s="4" t="s">
        <v>25</v>
      </c>
      <c r="H224" s="4" t="s">
        <v>35</v>
      </c>
      <c r="I224" s="5">
        <v>44531</v>
      </c>
      <c r="J224" s="6">
        <v>13</v>
      </c>
      <c r="K224" s="70">
        <v>13</v>
      </c>
      <c r="L224" s="6">
        <v>30.69</v>
      </c>
      <c r="M224" s="70">
        <v>30.69</v>
      </c>
      <c r="N224" s="6">
        <v>30.69</v>
      </c>
      <c r="O224" s="70">
        <v>30.69</v>
      </c>
      <c r="P224" s="6">
        <v>0</v>
      </c>
      <c r="Q224" s="4" t="s">
        <v>26</v>
      </c>
      <c r="R224" s="4">
        <v>0</v>
      </c>
      <c r="S224" s="4">
        <v>22</v>
      </c>
      <c r="T224" s="4">
        <v>23</v>
      </c>
      <c r="U224" s="4">
        <v>79</v>
      </c>
      <c r="V224" s="70">
        <f>IF(ISERROR(VLOOKUP($S$224,'TAR FIN'!$A$1:$O$116,15,0)),0,VLOOKUP($S$224,'TAR FIN'!$A$1:$O$116,15,0))*(1-0.04)</f>
        <v>24.489599999999999</v>
      </c>
      <c r="W224" s="70">
        <f>IF(ISERROR(VLOOKUP($T$224,'TAR FIN'!$A$1:$O$116,15,0)),0,VLOOKUP($T$224,'TAR FIN'!$A$1:$O$116,15,0))*(1-0.04)</f>
        <v>85.113599999999991</v>
      </c>
      <c r="X224" s="70">
        <f>IF(ISERROR(VLOOKUP($U$224,'TAR FIN'!$A$1:$O$116,15,0)),0,VLOOKUP($U$224,'TAR FIN'!$A$1:$O$116,15,0))*(1-0.04)</f>
        <v>298.59840000000003</v>
      </c>
      <c r="Y224" s="70">
        <f ca="1">('TUSD BE'!$AM$26+'TUSD BF'!$AM$26+'TUSD CVA'!$AM$26)*1*(1-0.02)</f>
        <v>29.207201461919809</v>
      </c>
      <c r="Z224" s="70">
        <f ca="1">('TUSD BE'!$AM$27+'TUSD BF'!$AM$27+'TUSD CVA'!$AM$27)*1*(1-0.02)</f>
        <v>134.68713722640669</v>
      </c>
      <c r="AA224" s="70">
        <f>('TE BE'!$AB$10+'TE BF'!$AB$10+'TE CVA'!$AB$10)*1*(1-0.02)</f>
        <v>306.96449101990191</v>
      </c>
      <c r="AB224" s="70">
        <f>(SUBSIDIO!$J$224*SUBSIDIO!$V$224)*(0.04)/(1-0.04)</f>
        <v>13.265200000000002</v>
      </c>
      <c r="AC224" s="70">
        <f>((SUBSIDIO!$L$224*SUBSIDIO!$W$224)+(SUBSIDIO!$N$224*SUBSIDIO!$X$224))*(0.04)/(1-0.04)</f>
        <v>490.67172000000005</v>
      </c>
      <c r="AD224" s="70">
        <f ca="1">(SUBSIDIO!$J$224*SUBSIDIO!$Y$224)*(0.02)/(1-0.02)</f>
        <v>7.7488493674481118</v>
      </c>
      <c r="AE224" s="70">
        <f ca="1">((SUBSIDIO!$L$224*SUBSIDIO!$Z$224)+(SUBSIDIO!$N$224*SUBSIDIO!$AA$224))*(0.02)/(1-0.02)</f>
        <v>276.61813205875944</v>
      </c>
      <c r="AF224" s="4" t="s">
        <v>1114</v>
      </c>
    </row>
    <row r="225" spans="1:32" ht="11.25" customHeight="1" x14ac:dyDescent="0.25">
      <c r="A225" s="4" t="s">
        <v>21</v>
      </c>
      <c r="B225" s="4" t="s">
        <v>41</v>
      </c>
      <c r="C225" s="4" t="s">
        <v>40</v>
      </c>
      <c r="D225" s="4" t="s">
        <v>45</v>
      </c>
      <c r="E225" s="4" t="s">
        <v>25</v>
      </c>
      <c r="F225" s="4" t="s">
        <v>25</v>
      </c>
      <c r="G225" s="4" t="s">
        <v>25</v>
      </c>
      <c r="H225" s="4" t="s">
        <v>35</v>
      </c>
      <c r="I225" s="5">
        <v>44562</v>
      </c>
      <c r="J225" s="6">
        <v>13</v>
      </c>
      <c r="K225" s="70">
        <v>13</v>
      </c>
      <c r="L225" s="6">
        <v>30.672000000000001</v>
      </c>
      <c r="M225" s="70">
        <v>30.672000000000001</v>
      </c>
      <c r="N225" s="6">
        <v>30.672000000000001</v>
      </c>
      <c r="O225" s="70">
        <v>30.672000000000001</v>
      </c>
      <c r="P225" s="6">
        <v>0</v>
      </c>
      <c r="Q225" s="4" t="s">
        <v>26</v>
      </c>
      <c r="R225" s="4">
        <v>0</v>
      </c>
      <c r="S225" s="4">
        <v>22</v>
      </c>
      <c r="T225" s="4">
        <v>23</v>
      </c>
      <c r="U225" s="4">
        <v>79</v>
      </c>
      <c r="V225" s="70">
        <f>IF(ISERROR(VLOOKUP($S$225,'TAR FIN'!$A$1:$O$116,15,0)),0,VLOOKUP($S$225,'TAR FIN'!$A$1:$O$116,15,0))*(1-0.04)</f>
        <v>24.489599999999999</v>
      </c>
      <c r="W225" s="70">
        <f>IF(ISERROR(VLOOKUP($T$225,'TAR FIN'!$A$1:$O$116,15,0)),0,VLOOKUP($T$225,'TAR FIN'!$A$1:$O$116,15,0))*(1-0.04)</f>
        <v>85.113599999999991</v>
      </c>
      <c r="X225" s="70">
        <f>IF(ISERROR(VLOOKUP($U$225,'TAR FIN'!$A$1:$O$116,15,0)),0,VLOOKUP($U$225,'TAR FIN'!$A$1:$O$116,15,0))*(1-0.04)</f>
        <v>298.59840000000003</v>
      </c>
      <c r="Y225" s="70">
        <f ca="1">('TUSD BE'!$AM$26+'TUSD BF'!$AM$26+'TUSD CVA'!$AM$26)*1*(1-0.02)</f>
        <v>29.207201461919809</v>
      </c>
      <c r="Z225" s="70">
        <f ca="1">('TUSD BE'!$AM$27+'TUSD BF'!$AM$27+'TUSD CVA'!$AM$27)*1*(1-0.02)</f>
        <v>134.68713722640669</v>
      </c>
      <c r="AA225" s="70">
        <f>('TE BE'!$AB$10+'TE BF'!$AB$10+'TE CVA'!$AB$10)*1*(1-0.02)</f>
        <v>306.96449101990191</v>
      </c>
      <c r="AB225" s="70">
        <f>(SUBSIDIO!$J$225*SUBSIDIO!$V$225)*(0.04)/(1-0.04)</f>
        <v>13.265200000000002</v>
      </c>
      <c r="AC225" s="70">
        <f>((SUBSIDIO!$L$225*SUBSIDIO!$W$225)+(SUBSIDIO!$N$225*SUBSIDIO!$X$225))*(0.04)/(1-0.04)</f>
        <v>490.38393600000006</v>
      </c>
      <c r="AD225" s="70">
        <f ca="1">(SUBSIDIO!$J$225*SUBSIDIO!$Y$225)*(0.02)/(1-0.02)</f>
        <v>7.7488493674481118</v>
      </c>
      <c r="AE225" s="70">
        <f ca="1">((SUBSIDIO!$L$225*SUBSIDIO!$Z$225)+(SUBSIDIO!$N$225*SUBSIDIO!$AA$225))*(0.02)/(1-0.02)</f>
        <v>276.45589268511793</v>
      </c>
      <c r="AF225" s="4" t="s">
        <v>1114</v>
      </c>
    </row>
    <row r="226" spans="1:32" ht="11.25" customHeight="1" x14ac:dyDescent="0.25">
      <c r="A226" s="4" t="s">
        <v>21</v>
      </c>
      <c r="B226" s="4" t="s">
        <v>41</v>
      </c>
      <c r="C226" s="4" t="s">
        <v>40</v>
      </c>
      <c r="D226" s="4" t="s">
        <v>45</v>
      </c>
      <c r="E226" s="4" t="s">
        <v>25</v>
      </c>
      <c r="F226" s="4" t="s">
        <v>25</v>
      </c>
      <c r="G226" s="4" t="s">
        <v>25</v>
      </c>
      <c r="H226" s="4" t="s">
        <v>35</v>
      </c>
      <c r="I226" s="5">
        <v>44593</v>
      </c>
      <c r="J226" s="6">
        <v>13</v>
      </c>
      <c r="K226" s="70">
        <v>13</v>
      </c>
      <c r="L226" s="6">
        <v>31.605</v>
      </c>
      <c r="M226" s="70">
        <v>31.605</v>
      </c>
      <c r="N226" s="6">
        <v>31.605</v>
      </c>
      <c r="O226" s="70">
        <v>31.605</v>
      </c>
      <c r="P226" s="6">
        <v>0</v>
      </c>
      <c r="Q226" s="4" t="s">
        <v>26</v>
      </c>
      <c r="R226" s="4">
        <v>0</v>
      </c>
      <c r="S226" s="4">
        <v>22</v>
      </c>
      <c r="T226" s="4">
        <v>23</v>
      </c>
      <c r="U226" s="4">
        <v>79</v>
      </c>
      <c r="V226" s="70">
        <f>IF(ISERROR(VLOOKUP($S$226,'TAR FIN'!$A$1:$O$116,15,0)),0,VLOOKUP($S$226,'TAR FIN'!$A$1:$O$116,15,0))*(1-0.04)</f>
        <v>24.489599999999999</v>
      </c>
      <c r="W226" s="70">
        <f>IF(ISERROR(VLOOKUP($T$226,'TAR FIN'!$A$1:$O$116,15,0)),0,VLOOKUP($T$226,'TAR FIN'!$A$1:$O$116,15,0))*(1-0.04)</f>
        <v>85.113599999999991</v>
      </c>
      <c r="X226" s="70">
        <f>IF(ISERROR(VLOOKUP($U$226,'TAR FIN'!$A$1:$O$116,15,0)),0,VLOOKUP($U$226,'TAR FIN'!$A$1:$O$116,15,0))*(1-0.04)</f>
        <v>298.59840000000003</v>
      </c>
      <c r="Y226" s="70">
        <f ca="1">('TUSD BE'!$AM$26+'TUSD BF'!$AM$26+'TUSD CVA'!$AM$26)*1*(1-0.02)</f>
        <v>29.207201461919809</v>
      </c>
      <c r="Z226" s="70">
        <f ca="1">('TUSD BE'!$AM$27+'TUSD BF'!$AM$27+'TUSD CVA'!$AM$27)*1*(1-0.02)</f>
        <v>134.68713722640669</v>
      </c>
      <c r="AA226" s="70">
        <f>('TE BE'!$AB$10+'TE BF'!$AB$10+'TE CVA'!$AB$10)*1*(1-0.02)</f>
        <v>306.96449101990191</v>
      </c>
      <c r="AB226" s="70">
        <f>(SUBSIDIO!$J$226*SUBSIDIO!$V$226)*(0.04)/(1-0.04)</f>
        <v>13.265200000000002</v>
      </c>
      <c r="AC226" s="70">
        <f>((SUBSIDIO!$L$226*SUBSIDIO!$W$226)+(SUBSIDIO!$N$226*SUBSIDIO!$X$226))*(0.04)/(1-0.04)</f>
        <v>505.30074000000008</v>
      </c>
      <c r="AD226" s="70">
        <f ca="1">(SUBSIDIO!$J$226*SUBSIDIO!$Y$226)*(0.02)/(1-0.02)</f>
        <v>7.7488493674481118</v>
      </c>
      <c r="AE226" s="70">
        <f ca="1">((SUBSIDIO!$L$226*SUBSIDIO!$Z$226)+(SUBSIDIO!$N$226*SUBSIDIO!$AA$226))*(0.02)/(1-0.02)</f>
        <v>284.86530021886904</v>
      </c>
      <c r="AF226" s="4" t="s">
        <v>1114</v>
      </c>
    </row>
    <row r="227" spans="1:32" ht="11.25" customHeight="1" x14ac:dyDescent="0.25">
      <c r="A227" s="4" t="s">
        <v>21</v>
      </c>
      <c r="B227" s="4" t="s">
        <v>41</v>
      </c>
      <c r="C227" s="4" t="s">
        <v>40</v>
      </c>
      <c r="D227" s="4" t="s">
        <v>45</v>
      </c>
      <c r="E227" s="4" t="s">
        <v>25</v>
      </c>
      <c r="F227" s="4" t="s">
        <v>25</v>
      </c>
      <c r="G227" s="4" t="s">
        <v>25</v>
      </c>
      <c r="H227" s="4" t="s">
        <v>35</v>
      </c>
      <c r="I227" s="5">
        <v>44621</v>
      </c>
      <c r="J227" s="6">
        <v>116</v>
      </c>
      <c r="K227" s="70">
        <v>116</v>
      </c>
      <c r="L227" s="6">
        <v>36.561</v>
      </c>
      <c r="M227" s="70">
        <v>36.561</v>
      </c>
      <c r="N227" s="6">
        <v>36.561</v>
      </c>
      <c r="O227" s="70">
        <v>36.561</v>
      </c>
      <c r="P227" s="6">
        <v>0</v>
      </c>
      <c r="Q227" s="4" t="s">
        <v>26</v>
      </c>
      <c r="R227" s="4">
        <v>0</v>
      </c>
      <c r="S227" s="4">
        <v>22</v>
      </c>
      <c r="T227" s="4">
        <v>23</v>
      </c>
      <c r="U227" s="4">
        <v>79</v>
      </c>
      <c r="V227" s="70">
        <f>IF(ISERROR(VLOOKUP($S$227,'TAR FIN'!$A$1:$O$116,15,0)),0,VLOOKUP($S$227,'TAR FIN'!$A$1:$O$116,15,0))*(1-0.04)</f>
        <v>24.489599999999999</v>
      </c>
      <c r="W227" s="70">
        <f>IF(ISERROR(VLOOKUP($T$227,'TAR FIN'!$A$1:$O$116,15,0)),0,VLOOKUP($T$227,'TAR FIN'!$A$1:$O$116,15,0))*(1-0.04)</f>
        <v>85.113599999999991</v>
      </c>
      <c r="X227" s="70">
        <f>IF(ISERROR(VLOOKUP($U$227,'TAR FIN'!$A$1:$O$116,15,0)),0,VLOOKUP($U$227,'TAR FIN'!$A$1:$O$116,15,0))*(1-0.04)</f>
        <v>298.59840000000003</v>
      </c>
      <c r="Y227" s="70">
        <f ca="1">('TUSD BE'!$AM$26+'TUSD BF'!$AM$26+'TUSD CVA'!$AM$26)*1*(1-0.02)</f>
        <v>29.207201461919809</v>
      </c>
      <c r="Z227" s="70">
        <f ca="1">('TUSD BE'!$AM$27+'TUSD BF'!$AM$27+'TUSD CVA'!$AM$27)*1*(1-0.02)</f>
        <v>134.68713722640669</v>
      </c>
      <c r="AA227" s="70">
        <f>('TE BE'!$AB$10+'TE BF'!$AB$10+'TE CVA'!$AB$10)*1*(1-0.02)</f>
        <v>306.96449101990191</v>
      </c>
      <c r="AB227" s="70">
        <f>(SUBSIDIO!$J$227*SUBSIDIO!$V$227)*(0.04)/(1-0.04)</f>
        <v>118.3664</v>
      </c>
      <c r="AC227" s="70">
        <f>((SUBSIDIO!$L$227*SUBSIDIO!$W$227)+(SUBSIDIO!$N$227*SUBSIDIO!$X$227))*(0.04)/(1-0.04)</f>
        <v>584.53726800000004</v>
      </c>
      <c r="AD227" s="70">
        <f ca="1">(SUBSIDIO!$J$227*SUBSIDIO!$Y$227)*(0.02)/(1-0.02)</f>
        <v>69.14357897107547</v>
      </c>
      <c r="AE227" s="70">
        <f ca="1">((SUBSIDIO!$L$227*SUBSIDIO!$Z$227)+(SUBSIDIO!$N$227*SUBSIDIO!$AA$227))*(0.02)/(1-0.02)</f>
        <v>329.53520776149571</v>
      </c>
      <c r="AF227" s="4" t="s">
        <v>1114</v>
      </c>
    </row>
    <row r="228" spans="1:32" ht="11.25" customHeight="1" x14ac:dyDescent="0.25">
      <c r="A228" s="4" t="s">
        <v>21</v>
      </c>
      <c r="B228" s="4" t="s">
        <v>41</v>
      </c>
      <c r="C228" s="4" t="s">
        <v>40</v>
      </c>
      <c r="D228" s="4" t="s">
        <v>45</v>
      </c>
      <c r="E228" s="4" t="s">
        <v>25</v>
      </c>
      <c r="F228" s="4" t="s">
        <v>25</v>
      </c>
      <c r="G228" s="4" t="s">
        <v>25</v>
      </c>
      <c r="H228" s="4" t="s">
        <v>35</v>
      </c>
      <c r="I228" s="5">
        <v>44652</v>
      </c>
      <c r="J228" s="6">
        <v>125</v>
      </c>
      <c r="K228" s="70">
        <v>125</v>
      </c>
      <c r="L228" s="6">
        <v>31.76</v>
      </c>
      <c r="M228" s="70">
        <v>31.76</v>
      </c>
      <c r="N228" s="6">
        <v>31.76</v>
      </c>
      <c r="O228" s="70">
        <v>31.76</v>
      </c>
      <c r="P228" s="6">
        <v>0</v>
      </c>
      <c r="Q228" s="4" t="s">
        <v>26</v>
      </c>
      <c r="R228" s="4">
        <v>0</v>
      </c>
      <c r="S228" s="4">
        <v>22</v>
      </c>
      <c r="T228" s="4">
        <v>23</v>
      </c>
      <c r="U228" s="4">
        <v>79</v>
      </c>
      <c r="V228" s="70">
        <f>IF(ISERROR(VLOOKUP($S$228,'TAR FIN'!$A$1:$O$116,15,0)),0,VLOOKUP($S$228,'TAR FIN'!$A$1:$O$116,15,0))*(1-0.04)</f>
        <v>24.489599999999999</v>
      </c>
      <c r="W228" s="70">
        <f>IF(ISERROR(VLOOKUP($T$228,'TAR FIN'!$A$1:$O$116,15,0)),0,VLOOKUP($T$228,'TAR FIN'!$A$1:$O$116,15,0))*(1-0.04)</f>
        <v>85.113599999999991</v>
      </c>
      <c r="X228" s="70">
        <f>IF(ISERROR(VLOOKUP($U$228,'TAR FIN'!$A$1:$O$116,15,0)),0,VLOOKUP($U$228,'TAR FIN'!$A$1:$O$116,15,0))*(1-0.04)</f>
        <v>298.59840000000003</v>
      </c>
      <c r="Y228" s="70">
        <f ca="1">('TUSD BE'!$AM$26+'TUSD BF'!$AM$26+'TUSD CVA'!$AM$26)*1*(1-0.02)</f>
        <v>29.207201461919809</v>
      </c>
      <c r="Z228" s="70">
        <f ca="1">('TUSD BE'!$AM$27+'TUSD BF'!$AM$27+'TUSD CVA'!$AM$27)*1*(1-0.02)</f>
        <v>134.68713722640669</v>
      </c>
      <c r="AA228" s="70">
        <f>('TE BE'!$AB$10+'TE BF'!$AB$10+'TE CVA'!$AB$10)*1*(1-0.02)</f>
        <v>306.96449101990191</v>
      </c>
      <c r="AB228" s="70">
        <f>(SUBSIDIO!$J$228*SUBSIDIO!$V$228)*(0.04)/(1-0.04)</f>
        <v>127.55</v>
      </c>
      <c r="AC228" s="70">
        <f>((SUBSIDIO!$L$228*SUBSIDIO!$W$228)+(SUBSIDIO!$N$228*SUBSIDIO!$X$228))*(0.04)/(1-0.04)</f>
        <v>507.77888000000002</v>
      </c>
      <c r="AD228" s="70">
        <f ca="1">(SUBSIDIO!$J$228*SUBSIDIO!$Y$228)*(0.02)/(1-0.02)</f>
        <v>74.508166994693397</v>
      </c>
      <c r="AE228" s="70">
        <f ca="1">((SUBSIDIO!$L$228*SUBSIDIO!$Z$228)+(SUBSIDIO!$N$228*SUBSIDIO!$AA$228))*(0.02)/(1-0.02)</f>
        <v>286.2623614918931</v>
      </c>
      <c r="AF228" s="4" t="s">
        <v>1114</v>
      </c>
    </row>
    <row r="229" spans="1:32" ht="11.25" customHeight="1" x14ac:dyDescent="0.25">
      <c r="A229" s="4" t="s">
        <v>58</v>
      </c>
      <c r="B229" s="4" t="s">
        <v>41</v>
      </c>
      <c r="C229" s="4" t="s">
        <v>40</v>
      </c>
      <c r="D229" s="4" t="s">
        <v>45</v>
      </c>
      <c r="E229" s="4" t="s">
        <v>25</v>
      </c>
      <c r="F229" s="4" t="s">
        <v>25</v>
      </c>
      <c r="G229" s="4" t="s">
        <v>25</v>
      </c>
      <c r="H229" s="4" t="s">
        <v>35</v>
      </c>
      <c r="I229" s="5">
        <v>44682</v>
      </c>
      <c r="J229" s="6">
        <v>125</v>
      </c>
      <c r="K229" s="70">
        <v>125</v>
      </c>
      <c r="L229" s="6">
        <v>31.76</v>
      </c>
      <c r="M229" s="70">
        <v>31.76</v>
      </c>
      <c r="N229" s="6">
        <v>31.76</v>
      </c>
      <c r="O229" s="70">
        <v>31.76</v>
      </c>
      <c r="P229" s="6">
        <v>0</v>
      </c>
      <c r="Q229" s="4" t="s">
        <v>26</v>
      </c>
      <c r="R229" s="4">
        <v>0</v>
      </c>
      <c r="S229" s="4">
        <v>22</v>
      </c>
      <c r="T229" s="4">
        <v>23</v>
      </c>
      <c r="U229" s="4">
        <v>79</v>
      </c>
      <c r="V229" s="70">
        <f>IF(ISERROR(VLOOKUP($S$229,'TAR FIN'!$A$1:$O$116,15,0)),0,VLOOKUP($S$229,'TAR FIN'!$A$1:$O$116,15,0))*(1-0.04)</f>
        <v>24.489599999999999</v>
      </c>
      <c r="W229" s="70">
        <f>IF(ISERROR(VLOOKUP($T$229,'TAR FIN'!$A$1:$O$116,15,0)),0,VLOOKUP($T$229,'TAR FIN'!$A$1:$O$116,15,0))*(1-0.04)</f>
        <v>85.113599999999991</v>
      </c>
      <c r="X229" s="70">
        <f>IF(ISERROR(VLOOKUP($U$229,'TAR FIN'!$A$1:$O$116,15,0)),0,VLOOKUP($U$229,'TAR FIN'!$A$1:$O$116,15,0))*(1-0.04)</f>
        <v>298.59840000000003</v>
      </c>
      <c r="Y229" s="70">
        <f ca="1">('TUSD BE'!$AM$26+'TUSD BF'!$AM$26+'TUSD CVA'!$AM$26)*1*(1-0.02)</f>
        <v>29.207201461919809</v>
      </c>
      <c r="Z229" s="70">
        <f ca="1">('TUSD BE'!$AM$27+'TUSD BF'!$AM$27+'TUSD CVA'!$AM$27)*1*(1-0.02)</f>
        <v>134.68713722640669</v>
      </c>
      <c r="AA229" s="70">
        <f>('TE BE'!$AB$10+'TE BF'!$AB$10+'TE CVA'!$AB$10)*1*(1-0.02)</f>
        <v>306.96449101990191</v>
      </c>
      <c r="AB229" s="70">
        <f>(SUBSIDIO!$J$229*SUBSIDIO!$V$229)*(0.04)/(1-0.04)</f>
        <v>127.55</v>
      </c>
      <c r="AC229" s="70">
        <f>((SUBSIDIO!$L$229*SUBSIDIO!$W$229)+(SUBSIDIO!$N$229*SUBSIDIO!$X$229))*(0.04)/(1-0.04)</f>
        <v>507.77888000000002</v>
      </c>
      <c r="AD229" s="70">
        <f ca="1">(SUBSIDIO!$J$229*SUBSIDIO!$Y$229)*(0.02)/(1-0.02)</f>
        <v>74.508166994693397</v>
      </c>
      <c r="AE229" s="70">
        <f ca="1">((SUBSIDIO!$L$229*SUBSIDIO!$Z$229)+(SUBSIDIO!$N$229*SUBSIDIO!$AA$229))*(0.02)/(1-0.02)</f>
        <v>286.2623614918931</v>
      </c>
      <c r="AF229" s="4" t="s">
        <v>1114</v>
      </c>
    </row>
    <row r="230" spans="1:32" ht="11.25" customHeight="1" x14ac:dyDescent="0.25">
      <c r="A230" s="4" t="s">
        <v>21</v>
      </c>
      <c r="B230" s="4" t="s">
        <v>41</v>
      </c>
      <c r="C230" s="4" t="s">
        <v>40</v>
      </c>
      <c r="D230" s="4" t="s">
        <v>45</v>
      </c>
      <c r="E230" s="4" t="s">
        <v>25</v>
      </c>
      <c r="F230" s="4" t="s">
        <v>25</v>
      </c>
      <c r="G230" s="4" t="s">
        <v>25</v>
      </c>
      <c r="H230" s="4" t="s">
        <v>34</v>
      </c>
      <c r="I230" s="5">
        <v>44348</v>
      </c>
      <c r="J230" s="6">
        <v>52</v>
      </c>
      <c r="K230" s="70">
        <v>52</v>
      </c>
      <c r="L230" s="6">
        <v>2.97</v>
      </c>
      <c r="M230" s="70">
        <v>2.97</v>
      </c>
      <c r="N230" s="6">
        <v>2.97</v>
      </c>
      <c r="O230" s="70">
        <v>2.97</v>
      </c>
      <c r="P230" s="6">
        <v>0</v>
      </c>
      <c r="Q230" s="4" t="s">
        <v>26</v>
      </c>
      <c r="R230" s="4">
        <v>0</v>
      </c>
      <c r="S230" s="4">
        <v>21</v>
      </c>
      <c r="T230" s="4">
        <v>23</v>
      </c>
      <c r="U230" s="4">
        <v>78</v>
      </c>
      <c r="V230" s="70">
        <f>IF(ISERROR(VLOOKUP($S$230,'TAR FIN'!$A$1:$O$116,15,0)),0,VLOOKUP($S$230,'TAR FIN'!$A$1:$O$116,15,0))*(1-0.04)</f>
        <v>62.975999999999992</v>
      </c>
      <c r="W230" s="70">
        <f>IF(ISERROR(VLOOKUP($T$230,'TAR FIN'!$A$1:$O$116,15,0)),0,VLOOKUP($T$230,'TAR FIN'!$A$1:$O$116,15,0))*(1-0.04)</f>
        <v>85.113599999999991</v>
      </c>
      <c r="X230" s="70">
        <f>IF(ISERROR(VLOOKUP($U$230,'TAR FIN'!$A$1:$O$116,15,0)),0,VLOOKUP($U$230,'TAR FIN'!$A$1:$O$116,15,0))*(1-0.04)</f>
        <v>476.30399999999997</v>
      </c>
      <c r="Y230" s="70">
        <f ca="1">('TUSD BE'!$AM$25+'TUSD BF'!$AM$25+'TUSD CVA'!$AM$25)*1*(1-0.02)</f>
        <v>73.899666486668877</v>
      </c>
      <c r="Z230" s="70">
        <f ca="1">('TUSD BE'!$AM$27+'TUSD BF'!$AM$27+'TUSD CVA'!$AM$27)*1*(1-0.02)</f>
        <v>134.68713722640669</v>
      </c>
      <c r="AA230" s="70">
        <f>('TE BE'!$AB$9+'TE BF'!$AB$9+'TE CVA'!$AB$9)*1*(1-0.02)</f>
        <v>499.84893464590823</v>
      </c>
      <c r="AB230" s="70">
        <f>(SUBSIDIO!$J$230*SUBSIDIO!$V$230)*(0.04)/(1-0.04)</f>
        <v>136.44799999999998</v>
      </c>
      <c r="AC230" s="70">
        <f>((SUBSIDIO!$L$230*SUBSIDIO!$W$230)+(SUBSIDIO!$N$230*SUBSIDIO!$X$230))*(0.04)/(1-0.04)</f>
        <v>69.475428000000008</v>
      </c>
      <c r="AD230" s="70">
        <f ca="1">(SUBSIDIO!$J$230*SUBSIDIO!$Y$230)*(0.02)/(1-0.02)</f>
        <v>78.424135863403691</v>
      </c>
      <c r="AE230" s="70">
        <f ca="1">((SUBSIDIO!$L$230*SUBSIDIO!$Z$230)+(SUBSIDIO!$N$230*SUBSIDIO!$AA$230))*(0.02)/(1-0.02)</f>
        <v>38.46065578491379</v>
      </c>
      <c r="AF230" s="4" t="s">
        <v>1114</v>
      </c>
    </row>
    <row r="231" spans="1:32" ht="11.25" customHeight="1" x14ac:dyDescent="0.25">
      <c r="A231" s="4" t="s">
        <v>21</v>
      </c>
      <c r="B231" s="4" t="s">
        <v>41</v>
      </c>
      <c r="C231" s="4" t="s">
        <v>40</v>
      </c>
      <c r="D231" s="4" t="s">
        <v>45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44378</v>
      </c>
      <c r="J231" s="6">
        <v>55</v>
      </c>
      <c r="K231" s="70">
        <v>55</v>
      </c>
      <c r="L231" s="6">
        <v>2.42</v>
      </c>
      <c r="M231" s="70">
        <v>2.42</v>
      </c>
      <c r="N231" s="6">
        <v>2.42</v>
      </c>
      <c r="O231" s="70">
        <v>2.42</v>
      </c>
      <c r="P231" s="6">
        <v>0</v>
      </c>
      <c r="Q231" s="4" t="s">
        <v>26</v>
      </c>
      <c r="R231" s="4">
        <v>0</v>
      </c>
      <c r="S231" s="4">
        <v>21</v>
      </c>
      <c r="T231" s="4">
        <v>23</v>
      </c>
      <c r="U231" s="4">
        <v>78</v>
      </c>
      <c r="V231" s="70">
        <f>IF(ISERROR(VLOOKUP($S$231,'TAR FIN'!$A$1:$O$116,15,0)),0,VLOOKUP($S$231,'TAR FIN'!$A$1:$O$116,15,0))*(1-0.04)</f>
        <v>62.975999999999992</v>
      </c>
      <c r="W231" s="70">
        <f>IF(ISERROR(VLOOKUP($T$231,'TAR FIN'!$A$1:$O$116,15,0)),0,VLOOKUP($T$231,'TAR FIN'!$A$1:$O$116,15,0))*(1-0.04)</f>
        <v>85.113599999999991</v>
      </c>
      <c r="X231" s="70">
        <f>IF(ISERROR(VLOOKUP($U$231,'TAR FIN'!$A$1:$O$116,15,0)),0,VLOOKUP($U$231,'TAR FIN'!$A$1:$O$116,15,0))*(1-0.04)</f>
        <v>476.30399999999997</v>
      </c>
      <c r="Y231" s="70">
        <f ca="1">('TUSD BE'!$AM$25+'TUSD BF'!$AM$25+'TUSD CVA'!$AM$25)*1*(1-0.02)</f>
        <v>73.899666486668877</v>
      </c>
      <c r="Z231" s="70">
        <f ca="1">('TUSD BE'!$AM$27+'TUSD BF'!$AM$27+'TUSD CVA'!$AM$27)*1*(1-0.02)</f>
        <v>134.68713722640669</v>
      </c>
      <c r="AA231" s="70">
        <f>('TE BE'!$AB$9+'TE BF'!$AB$9+'TE CVA'!$AB$9)*1*(1-0.02)</f>
        <v>499.84893464590823</v>
      </c>
      <c r="AB231" s="70">
        <f>(SUBSIDIO!$J$231*SUBSIDIO!$V$231)*(0.04)/(1-0.04)</f>
        <v>144.32</v>
      </c>
      <c r="AC231" s="70">
        <f>((SUBSIDIO!$L$231*SUBSIDIO!$W$231)+(SUBSIDIO!$N$231*SUBSIDIO!$X$231))*(0.04)/(1-0.04)</f>
        <v>56.609607999999994</v>
      </c>
      <c r="AD231" s="70">
        <f ca="1">(SUBSIDIO!$J$231*SUBSIDIO!$Y$231)*(0.02)/(1-0.02)</f>
        <v>82.948605240138534</v>
      </c>
      <c r="AE231" s="70">
        <f ca="1">((SUBSIDIO!$L$231*SUBSIDIO!$Z$231)+(SUBSIDIO!$N$231*SUBSIDIO!$AA$231))*(0.02)/(1-0.02)</f>
        <v>31.338312121040858</v>
      </c>
      <c r="AF231" s="4" t="s">
        <v>1114</v>
      </c>
    </row>
    <row r="232" spans="1:32" ht="11.25" customHeight="1" x14ac:dyDescent="0.25">
      <c r="A232" s="4" t="s">
        <v>21</v>
      </c>
      <c r="B232" s="4" t="s">
        <v>41</v>
      </c>
      <c r="C232" s="4" t="s">
        <v>40</v>
      </c>
      <c r="D232" s="4" t="s">
        <v>45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44409</v>
      </c>
      <c r="J232" s="6">
        <v>55</v>
      </c>
      <c r="K232" s="70">
        <v>55</v>
      </c>
      <c r="L232" s="6">
        <v>2.42</v>
      </c>
      <c r="M232" s="70">
        <v>2.42</v>
      </c>
      <c r="N232" s="6">
        <v>2.42</v>
      </c>
      <c r="O232" s="70">
        <v>2.42</v>
      </c>
      <c r="P232" s="6">
        <v>0</v>
      </c>
      <c r="Q232" s="4" t="s">
        <v>26</v>
      </c>
      <c r="R232" s="4">
        <v>0</v>
      </c>
      <c r="S232" s="4">
        <v>21</v>
      </c>
      <c r="T232" s="4">
        <v>23</v>
      </c>
      <c r="U232" s="4">
        <v>78</v>
      </c>
      <c r="V232" s="70">
        <f>IF(ISERROR(VLOOKUP($S$232,'TAR FIN'!$A$1:$O$116,15,0)),0,VLOOKUP($S$232,'TAR FIN'!$A$1:$O$116,15,0))*(1-0.04)</f>
        <v>62.975999999999992</v>
      </c>
      <c r="W232" s="70">
        <f>IF(ISERROR(VLOOKUP($T$232,'TAR FIN'!$A$1:$O$116,15,0)),0,VLOOKUP($T$232,'TAR FIN'!$A$1:$O$116,15,0))*(1-0.04)</f>
        <v>85.113599999999991</v>
      </c>
      <c r="X232" s="70">
        <f>IF(ISERROR(VLOOKUP($U$232,'TAR FIN'!$A$1:$O$116,15,0)),0,VLOOKUP($U$232,'TAR FIN'!$A$1:$O$116,15,0))*(1-0.04)</f>
        <v>476.30399999999997</v>
      </c>
      <c r="Y232" s="70">
        <f ca="1">('TUSD BE'!$AM$25+'TUSD BF'!$AM$25+'TUSD CVA'!$AM$25)*1*(1-0.02)</f>
        <v>73.899666486668877</v>
      </c>
      <c r="Z232" s="70">
        <f ca="1">('TUSD BE'!$AM$27+'TUSD BF'!$AM$27+'TUSD CVA'!$AM$27)*1*(1-0.02)</f>
        <v>134.68713722640669</v>
      </c>
      <c r="AA232" s="70">
        <f>('TE BE'!$AB$9+'TE BF'!$AB$9+'TE CVA'!$AB$9)*1*(1-0.02)</f>
        <v>499.84893464590823</v>
      </c>
      <c r="AB232" s="70">
        <f>(SUBSIDIO!$J$232*SUBSIDIO!$V$232)*(0.04)/(1-0.04)</f>
        <v>144.32</v>
      </c>
      <c r="AC232" s="70">
        <f>((SUBSIDIO!$L$232*SUBSIDIO!$W$232)+(SUBSIDIO!$N$232*SUBSIDIO!$X$232))*(0.04)/(1-0.04)</f>
        <v>56.609607999999994</v>
      </c>
      <c r="AD232" s="70">
        <f ca="1">(SUBSIDIO!$J$232*SUBSIDIO!$Y$232)*(0.02)/(1-0.02)</f>
        <v>82.948605240138534</v>
      </c>
      <c r="AE232" s="70">
        <f ca="1">((SUBSIDIO!$L$232*SUBSIDIO!$Z$232)+(SUBSIDIO!$N$232*SUBSIDIO!$AA$232))*(0.02)/(1-0.02)</f>
        <v>31.338312121040858</v>
      </c>
      <c r="AF232" s="4" t="s">
        <v>1114</v>
      </c>
    </row>
    <row r="233" spans="1:32" ht="11.25" customHeight="1" x14ac:dyDescent="0.25">
      <c r="A233" s="4" t="s">
        <v>21</v>
      </c>
      <c r="B233" s="4" t="s">
        <v>41</v>
      </c>
      <c r="C233" s="4" t="s">
        <v>40</v>
      </c>
      <c r="D233" s="4" t="s">
        <v>45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44440</v>
      </c>
      <c r="J233" s="6">
        <v>55</v>
      </c>
      <c r="K233" s="70">
        <v>55</v>
      </c>
      <c r="L233" s="6">
        <v>2.09</v>
      </c>
      <c r="M233" s="70">
        <v>2.09</v>
      </c>
      <c r="N233" s="6">
        <v>2.09</v>
      </c>
      <c r="O233" s="70">
        <v>2.09</v>
      </c>
      <c r="P233" s="6">
        <v>0</v>
      </c>
      <c r="Q233" s="4" t="s">
        <v>26</v>
      </c>
      <c r="R233" s="4">
        <v>0</v>
      </c>
      <c r="S233" s="4">
        <v>21</v>
      </c>
      <c r="T233" s="4">
        <v>23</v>
      </c>
      <c r="U233" s="4">
        <v>78</v>
      </c>
      <c r="V233" s="70">
        <f>IF(ISERROR(VLOOKUP($S$233,'TAR FIN'!$A$1:$O$116,15,0)),0,VLOOKUP($S$233,'TAR FIN'!$A$1:$O$116,15,0))*(1-0.04)</f>
        <v>62.975999999999992</v>
      </c>
      <c r="W233" s="70">
        <f>IF(ISERROR(VLOOKUP($T$233,'TAR FIN'!$A$1:$O$116,15,0)),0,VLOOKUP($T$233,'TAR FIN'!$A$1:$O$116,15,0))*(1-0.04)</f>
        <v>85.113599999999991</v>
      </c>
      <c r="X233" s="70">
        <f>IF(ISERROR(VLOOKUP($U$233,'TAR FIN'!$A$1:$O$116,15,0)),0,VLOOKUP($U$233,'TAR FIN'!$A$1:$O$116,15,0))*(1-0.04)</f>
        <v>476.30399999999997</v>
      </c>
      <c r="Y233" s="70">
        <f ca="1">('TUSD BE'!$AM$25+'TUSD BF'!$AM$25+'TUSD CVA'!$AM$25)*1*(1-0.02)</f>
        <v>73.899666486668877</v>
      </c>
      <c r="Z233" s="70">
        <f ca="1">('TUSD BE'!$AM$27+'TUSD BF'!$AM$27+'TUSD CVA'!$AM$27)*1*(1-0.02)</f>
        <v>134.68713722640669</v>
      </c>
      <c r="AA233" s="70">
        <f>('TE BE'!$AB$9+'TE BF'!$AB$9+'TE CVA'!$AB$9)*1*(1-0.02)</f>
        <v>499.84893464590823</v>
      </c>
      <c r="AB233" s="70">
        <f>(SUBSIDIO!$J$233*SUBSIDIO!$V$233)*(0.04)/(1-0.04)</f>
        <v>144.32</v>
      </c>
      <c r="AC233" s="70">
        <f>((SUBSIDIO!$L$233*SUBSIDIO!$W$233)+(SUBSIDIO!$N$233*SUBSIDIO!$X$233))*(0.04)/(1-0.04)</f>
        <v>48.890115999999999</v>
      </c>
      <c r="AD233" s="70">
        <f ca="1">(SUBSIDIO!$J$233*SUBSIDIO!$Y$233)*(0.02)/(1-0.02)</f>
        <v>82.948605240138534</v>
      </c>
      <c r="AE233" s="70">
        <f ca="1">((SUBSIDIO!$L$233*SUBSIDIO!$Z$233)+(SUBSIDIO!$N$233*SUBSIDIO!$AA$233))*(0.02)/(1-0.02)</f>
        <v>27.064905922717109</v>
      </c>
      <c r="AF233" s="4" t="s">
        <v>1114</v>
      </c>
    </row>
    <row r="234" spans="1:32" ht="11.25" customHeight="1" x14ac:dyDescent="0.25">
      <c r="A234" s="4" t="s">
        <v>21</v>
      </c>
      <c r="B234" s="4" t="s">
        <v>41</v>
      </c>
      <c r="C234" s="4" t="s">
        <v>40</v>
      </c>
      <c r="D234" s="4" t="s">
        <v>45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44470</v>
      </c>
      <c r="J234" s="6">
        <v>60</v>
      </c>
      <c r="K234" s="70">
        <v>60</v>
      </c>
      <c r="L234" s="6">
        <v>1.98</v>
      </c>
      <c r="M234" s="70">
        <v>1.98</v>
      </c>
      <c r="N234" s="6">
        <v>1.98</v>
      </c>
      <c r="O234" s="70">
        <v>1.98</v>
      </c>
      <c r="P234" s="6">
        <v>0</v>
      </c>
      <c r="Q234" s="4" t="s">
        <v>26</v>
      </c>
      <c r="R234" s="4">
        <v>0</v>
      </c>
      <c r="S234" s="4">
        <v>21</v>
      </c>
      <c r="T234" s="4">
        <v>23</v>
      </c>
      <c r="U234" s="4">
        <v>78</v>
      </c>
      <c r="V234" s="70">
        <f>IF(ISERROR(VLOOKUP($S$234,'TAR FIN'!$A$1:$O$116,15,0)),0,VLOOKUP($S$234,'TAR FIN'!$A$1:$O$116,15,0))*(1-0.04)</f>
        <v>62.975999999999992</v>
      </c>
      <c r="W234" s="70">
        <f>IF(ISERROR(VLOOKUP($T$234,'TAR FIN'!$A$1:$O$116,15,0)),0,VLOOKUP($T$234,'TAR FIN'!$A$1:$O$116,15,0))*(1-0.04)</f>
        <v>85.113599999999991</v>
      </c>
      <c r="X234" s="70">
        <f>IF(ISERROR(VLOOKUP($U$234,'TAR FIN'!$A$1:$O$116,15,0)),0,VLOOKUP($U$234,'TAR FIN'!$A$1:$O$116,15,0))*(1-0.04)</f>
        <v>476.30399999999997</v>
      </c>
      <c r="Y234" s="70">
        <f ca="1">('TUSD BE'!$AM$25+'TUSD BF'!$AM$25+'TUSD CVA'!$AM$25)*1*(1-0.02)</f>
        <v>73.899666486668877</v>
      </c>
      <c r="Z234" s="70">
        <f ca="1">('TUSD BE'!$AM$27+'TUSD BF'!$AM$27+'TUSD CVA'!$AM$27)*1*(1-0.02)</f>
        <v>134.68713722640669</v>
      </c>
      <c r="AA234" s="70">
        <f>('TE BE'!$AB$9+'TE BF'!$AB$9+'TE CVA'!$AB$9)*1*(1-0.02)</f>
        <v>499.84893464590823</v>
      </c>
      <c r="AB234" s="70">
        <f>(SUBSIDIO!$J$234*SUBSIDIO!$V$234)*(0.04)/(1-0.04)</f>
        <v>157.44</v>
      </c>
      <c r="AC234" s="70">
        <f>((SUBSIDIO!$L$234*SUBSIDIO!$W$234)+(SUBSIDIO!$N$234*SUBSIDIO!$X$234))*(0.04)/(1-0.04)</f>
        <v>46.316952000000001</v>
      </c>
      <c r="AD234" s="70">
        <f ca="1">(SUBSIDIO!$J$234*SUBSIDIO!$Y$234)*(0.02)/(1-0.02)</f>
        <v>90.48938753469659</v>
      </c>
      <c r="AE234" s="70">
        <f ca="1">((SUBSIDIO!$L$234*SUBSIDIO!$Z$234)+(SUBSIDIO!$N$234*SUBSIDIO!$AA$234))*(0.02)/(1-0.02)</f>
        <v>25.640437189942521</v>
      </c>
      <c r="AF234" s="4" t="s">
        <v>1114</v>
      </c>
    </row>
    <row r="235" spans="1:32" ht="11.25" customHeight="1" x14ac:dyDescent="0.25">
      <c r="A235" s="4" t="s">
        <v>21</v>
      </c>
      <c r="B235" s="4" t="s">
        <v>41</v>
      </c>
      <c r="C235" s="4" t="s">
        <v>40</v>
      </c>
      <c r="D235" s="4" t="s">
        <v>45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44501</v>
      </c>
      <c r="J235" s="6">
        <v>6</v>
      </c>
      <c r="K235" s="70">
        <v>6</v>
      </c>
      <c r="L235" s="6">
        <v>1.98</v>
      </c>
      <c r="M235" s="70">
        <v>1.98</v>
      </c>
      <c r="N235" s="6">
        <v>1.98</v>
      </c>
      <c r="O235" s="70">
        <v>1.98</v>
      </c>
      <c r="P235" s="6">
        <v>0</v>
      </c>
      <c r="Q235" s="4" t="s">
        <v>26</v>
      </c>
      <c r="R235" s="4">
        <v>0</v>
      </c>
      <c r="S235" s="4">
        <v>21</v>
      </c>
      <c r="T235" s="4">
        <v>23</v>
      </c>
      <c r="U235" s="4">
        <v>78</v>
      </c>
      <c r="V235" s="70">
        <f>IF(ISERROR(VLOOKUP($S$235,'TAR FIN'!$A$1:$O$116,15,0)),0,VLOOKUP($S$235,'TAR FIN'!$A$1:$O$116,15,0))*(1-0.04)</f>
        <v>62.975999999999992</v>
      </c>
      <c r="W235" s="70">
        <f>IF(ISERROR(VLOOKUP($T$235,'TAR FIN'!$A$1:$O$116,15,0)),0,VLOOKUP($T$235,'TAR FIN'!$A$1:$O$116,15,0))*(1-0.04)</f>
        <v>85.113599999999991</v>
      </c>
      <c r="X235" s="70">
        <f>IF(ISERROR(VLOOKUP($U$235,'TAR FIN'!$A$1:$O$116,15,0)),0,VLOOKUP($U$235,'TAR FIN'!$A$1:$O$116,15,0))*(1-0.04)</f>
        <v>476.30399999999997</v>
      </c>
      <c r="Y235" s="70">
        <f ca="1">('TUSD BE'!$AM$25+'TUSD BF'!$AM$25+'TUSD CVA'!$AM$25)*1*(1-0.02)</f>
        <v>73.899666486668877</v>
      </c>
      <c r="Z235" s="70">
        <f ca="1">('TUSD BE'!$AM$27+'TUSD BF'!$AM$27+'TUSD CVA'!$AM$27)*1*(1-0.02)</f>
        <v>134.68713722640669</v>
      </c>
      <c r="AA235" s="70">
        <f>('TE BE'!$AB$9+'TE BF'!$AB$9+'TE CVA'!$AB$9)*1*(1-0.02)</f>
        <v>499.84893464590823</v>
      </c>
      <c r="AB235" s="70">
        <f>(SUBSIDIO!$J$235*SUBSIDIO!$V$235)*(0.04)/(1-0.04)</f>
        <v>15.743999999999998</v>
      </c>
      <c r="AC235" s="70">
        <f>((SUBSIDIO!$L$235*SUBSIDIO!$W$235)+(SUBSIDIO!$N$235*SUBSIDIO!$X$235))*(0.04)/(1-0.04)</f>
        <v>46.316952000000001</v>
      </c>
      <c r="AD235" s="70">
        <f ca="1">(SUBSIDIO!$J$235*SUBSIDIO!$Y$235)*(0.02)/(1-0.02)</f>
        <v>9.0489387534696579</v>
      </c>
      <c r="AE235" s="70">
        <f ca="1">((SUBSIDIO!$L$235*SUBSIDIO!$Z$235)+(SUBSIDIO!$N$235*SUBSIDIO!$AA$235))*(0.02)/(1-0.02)</f>
        <v>25.640437189942521</v>
      </c>
      <c r="AF235" s="4" t="s">
        <v>1114</v>
      </c>
    </row>
    <row r="236" spans="1:32" ht="11.25" customHeight="1" x14ac:dyDescent="0.25">
      <c r="A236" s="4" t="s">
        <v>21</v>
      </c>
      <c r="B236" s="4" t="s">
        <v>41</v>
      </c>
      <c r="C236" s="4" t="s">
        <v>40</v>
      </c>
      <c r="D236" s="4" t="s">
        <v>45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44531</v>
      </c>
      <c r="J236" s="6">
        <v>6</v>
      </c>
      <c r="K236" s="70">
        <v>6</v>
      </c>
      <c r="L236" s="6">
        <v>1.98</v>
      </c>
      <c r="M236" s="70">
        <v>1.98</v>
      </c>
      <c r="N236" s="6">
        <v>1.98</v>
      </c>
      <c r="O236" s="70">
        <v>1.98</v>
      </c>
      <c r="P236" s="6">
        <v>0</v>
      </c>
      <c r="Q236" s="4" t="s">
        <v>26</v>
      </c>
      <c r="R236" s="4">
        <v>0</v>
      </c>
      <c r="S236" s="4">
        <v>21</v>
      </c>
      <c r="T236" s="4">
        <v>23</v>
      </c>
      <c r="U236" s="4">
        <v>78</v>
      </c>
      <c r="V236" s="70">
        <f>IF(ISERROR(VLOOKUP($S$236,'TAR FIN'!$A$1:$O$116,15,0)),0,VLOOKUP($S$236,'TAR FIN'!$A$1:$O$116,15,0))*(1-0.04)</f>
        <v>62.975999999999992</v>
      </c>
      <c r="W236" s="70">
        <f>IF(ISERROR(VLOOKUP($T$236,'TAR FIN'!$A$1:$O$116,15,0)),0,VLOOKUP($T$236,'TAR FIN'!$A$1:$O$116,15,0))*(1-0.04)</f>
        <v>85.113599999999991</v>
      </c>
      <c r="X236" s="70">
        <f>IF(ISERROR(VLOOKUP($U$236,'TAR FIN'!$A$1:$O$116,15,0)),0,VLOOKUP($U$236,'TAR FIN'!$A$1:$O$116,15,0))*(1-0.04)</f>
        <v>476.30399999999997</v>
      </c>
      <c r="Y236" s="70">
        <f ca="1">('TUSD BE'!$AM$25+'TUSD BF'!$AM$25+'TUSD CVA'!$AM$25)*1*(1-0.02)</f>
        <v>73.899666486668877</v>
      </c>
      <c r="Z236" s="70">
        <f ca="1">('TUSD BE'!$AM$27+'TUSD BF'!$AM$27+'TUSD CVA'!$AM$27)*1*(1-0.02)</f>
        <v>134.68713722640669</v>
      </c>
      <c r="AA236" s="70">
        <f>('TE BE'!$AB$9+'TE BF'!$AB$9+'TE CVA'!$AB$9)*1*(1-0.02)</f>
        <v>499.84893464590823</v>
      </c>
      <c r="AB236" s="70">
        <f>(SUBSIDIO!$J$236*SUBSIDIO!$V$236)*(0.04)/(1-0.04)</f>
        <v>15.743999999999998</v>
      </c>
      <c r="AC236" s="70">
        <f>((SUBSIDIO!$L$236*SUBSIDIO!$W$236)+(SUBSIDIO!$N$236*SUBSIDIO!$X$236))*(0.04)/(1-0.04)</f>
        <v>46.316952000000001</v>
      </c>
      <c r="AD236" s="70">
        <f ca="1">(SUBSIDIO!$J$236*SUBSIDIO!$Y$236)*(0.02)/(1-0.02)</f>
        <v>9.0489387534696579</v>
      </c>
      <c r="AE236" s="70">
        <f ca="1">((SUBSIDIO!$L$236*SUBSIDIO!$Z$236)+(SUBSIDIO!$N$236*SUBSIDIO!$AA$236))*(0.02)/(1-0.02)</f>
        <v>25.640437189942521</v>
      </c>
      <c r="AF236" s="4" t="s">
        <v>1114</v>
      </c>
    </row>
    <row r="237" spans="1:32" ht="11.25" customHeight="1" x14ac:dyDescent="0.25">
      <c r="A237" s="4" t="s">
        <v>21</v>
      </c>
      <c r="B237" s="4" t="s">
        <v>41</v>
      </c>
      <c r="C237" s="4" t="s">
        <v>40</v>
      </c>
      <c r="D237" s="4" t="s">
        <v>45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44562</v>
      </c>
      <c r="J237" s="6">
        <v>6</v>
      </c>
      <c r="K237" s="70">
        <v>6</v>
      </c>
      <c r="L237" s="6">
        <v>2.016</v>
      </c>
      <c r="M237" s="70">
        <v>2.016</v>
      </c>
      <c r="N237" s="6">
        <v>2.016</v>
      </c>
      <c r="O237" s="70">
        <v>2.016</v>
      </c>
      <c r="P237" s="6">
        <v>0</v>
      </c>
      <c r="Q237" s="4" t="s">
        <v>26</v>
      </c>
      <c r="R237" s="4">
        <v>0</v>
      </c>
      <c r="S237" s="4">
        <v>21</v>
      </c>
      <c r="T237" s="4">
        <v>23</v>
      </c>
      <c r="U237" s="4">
        <v>78</v>
      </c>
      <c r="V237" s="70">
        <f>IF(ISERROR(VLOOKUP($S$237,'TAR FIN'!$A$1:$O$116,15,0)),0,VLOOKUP($S$237,'TAR FIN'!$A$1:$O$116,15,0))*(1-0.04)</f>
        <v>62.975999999999992</v>
      </c>
      <c r="W237" s="70">
        <f>IF(ISERROR(VLOOKUP($T$237,'TAR FIN'!$A$1:$O$116,15,0)),0,VLOOKUP($T$237,'TAR FIN'!$A$1:$O$116,15,0))*(1-0.04)</f>
        <v>85.113599999999991</v>
      </c>
      <c r="X237" s="70">
        <f>IF(ISERROR(VLOOKUP($U$237,'TAR FIN'!$A$1:$O$116,15,0)),0,VLOOKUP($U$237,'TAR FIN'!$A$1:$O$116,15,0))*(1-0.04)</f>
        <v>476.30399999999997</v>
      </c>
      <c r="Y237" s="70">
        <f ca="1">('TUSD BE'!$AM$25+'TUSD BF'!$AM$25+'TUSD CVA'!$AM$25)*1*(1-0.02)</f>
        <v>73.899666486668877</v>
      </c>
      <c r="Z237" s="70">
        <f ca="1">('TUSD BE'!$AM$27+'TUSD BF'!$AM$27+'TUSD CVA'!$AM$27)*1*(1-0.02)</f>
        <v>134.68713722640669</v>
      </c>
      <c r="AA237" s="70">
        <f>('TE BE'!$AB$9+'TE BF'!$AB$9+'TE CVA'!$AB$9)*1*(1-0.02)</f>
        <v>499.84893464590823</v>
      </c>
      <c r="AB237" s="70">
        <f>(SUBSIDIO!$J$237*SUBSIDIO!$V$237)*(0.04)/(1-0.04)</f>
        <v>15.743999999999998</v>
      </c>
      <c r="AC237" s="70">
        <f>((SUBSIDIO!$L$237*SUBSIDIO!$W$237)+(SUBSIDIO!$N$237*SUBSIDIO!$X$237))*(0.04)/(1-0.04)</f>
        <v>47.159078399999999</v>
      </c>
      <c r="AD237" s="70">
        <f ca="1">(SUBSIDIO!$J$237*SUBSIDIO!$Y$237)*(0.02)/(1-0.02)</f>
        <v>9.0489387534696579</v>
      </c>
      <c r="AE237" s="70">
        <f ca="1">((SUBSIDIO!$L$237*SUBSIDIO!$Z$237)+(SUBSIDIO!$N$237*SUBSIDIO!$AA$237))*(0.02)/(1-0.02)</f>
        <v>26.106626957032386</v>
      </c>
      <c r="AF237" s="4" t="s">
        <v>1114</v>
      </c>
    </row>
    <row r="238" spans="1:32" ht="11.25" customHeight="1" x14ac:dyDescent="0.25">
      <c r="A238" s="4" t="s">
        <v>21</v>
      </c>
      <c r="B238" s="4" t="s">
        <v>41</v>
      </c>
      <c r="C238" s="4" t="s">
        <v>40</v>
      </c>
      <c r="D238" s="4" t="s">
        <v>45</v>
      </c>
      <c r="E238" s="4" t="s">
        <v>25</v>
      </c>
      <c r="F238" s="4" t="s">
        <v>25</v>
      </c>
      <c r="G238" s="4" t="s">
        <v>25</v>
      </c>
      <c r="H238" s="4" t="s">
        <v>34</v>
      </c>
      <c r="I238" s="5">
        <v>44593</v>
      </c>
      <c r="J238" s="6">
        <v>6</v>
      </c>
      <c r="K238" s="70">
        <v>6</v>
      </c>
      <c r="L238" s="6">
        <v>2.1019999999999999</v>
      </c>
      <c r="M238" s="70">
        <v>2.1019999999999999</v>
      </c>
      <c r="N238" s="6">
        <v>2.1019999999999999</v>
      </c>
      <c r="O238" s="70">
        <v>2.1019999999999999</v>
      </c>
      <c r="P238" s="6">
        <v>0</v>
      </c>
      <c r="Q238" s="4" t="s">
        <v>26</v>
      </c>
      <c r="R238" s="4">
        <v>0</v>
      </c>
      <c r="S238" s="4">
        <v>21</v>
      </c>
      <c r="T238" s="4">
        <v>23</v>
      </c>
      <c r="U238" s="4">
        <v>78</v>
      </c>
      <c r="V238" s="70">
        <f>IF(ISERROR(VLOOKUP($S$238,'TAR FIN'!$A$1:$O$116,15,0)),0,VLOOKUP($S$238,'TAR FIN'!$A$1:$O$116,15,0))*(1-0.04)</f>
        <v>62.975999999999992</v>
      </c>
      <c r="W238" s="70">
        <f>IF(ISERROR(VLOOKUP($T$238,'TAR FIN'!$A$1:$O$116,15,0)),0,VLOOKUP($T$238,'TAR FIN'!$A$1:$O$116,15,0))*(1-0.04)</f>
        <v>85.113599999999991</v>
      </c>
      <c r="X238" s="70">
        <f>IF(ISERROR(VLOOKUP($U$238,'TAR FIN'!$A$1:$O$116,15,0)),0,VLOOKUP($U$238,'TAR FIN'!$A$1:$O$116,15,0))*(1-0.04)</f>
        <v>476.30399999999997</v>
      </c>
      <c r="Y238" s="70">
        <f ca="1">('TUSD BE'!$AM$25+'TUSD BF'!$AM$25+'TUSD CVA'!$AM$25)*1*(1-0.02)</f>
        <v>73.899666486668877</v>
      </c>
      <c r="Z238" s="70">
        <f ca="1">('TUSD BE'!$AM$27+'TUSD BF'!$AM$27+'TUSD CVA'!$AM$27)*1*(1-0.02)</f>
        <v>134.68713722640669</v>
      </c>
      <c r="AA238" s="70">
        <f>('TE BE'!$AB$9+'TE BF'!$AB$9+'TE CVA'!$AB$9)*1*(1-0.02)</f>
        <v>499.84893464590823</v>
      </c>
      <c r="AB238" s="70">
        <f>(SUBSIDIO!$J$238*SUBSIDIO!$V$238)*(0.04)/(1-0.04)</f>
        <v>15.743999999999998</v>
      </c>
      <c r="AC238" s="70">
        <f>((SUBSIDIO!$L$238*SUBSIDIO!$W$238)+(SUBSIDIO!$N$238*SUBSIDIO!$X$238))*(0.04)/(1-0.04)</f>
        <v>49.170824799999991</v>
      </c>
      <c r="AD238" s="70">
        <f ca="1">(SUBSIDIO!$J$238*SUBSIDIO!$Y$238)*(0.02)/(1-0.02)</f>
        <v>9.0489387534696579</v>
      </c>
      <c r="AE238" s="70">
        <f ca="1">((SUBSIDIO!$L$238*SUBSIDIO!$Z$238)+(SUBSIDIO!$N$238*SUBSIDIO!$AA$238))*(0.02)/(1-0.02)</f>
        <v>27.220302511747057</v>
      </c>
      <c r="AF238" s="4" t="s">
        <v>1114</v>
      </c>
    </row>
    <row r="239" spans="1:32" ht="11.25" customHeight="1" x14ac:dyDescent="0.25">
      <c r="A239" s="4" t="s">
        <v>21</v>
      </c>
      <c r="B239" s="4" t="s">
        <v>41</v>
      </c>
      <c r="C239" s="4" t="s">
        <v>40</v>
      </c>
      <c r="D239" s="4" t="s">
        <v>45</v>
      </c>
      <c r="E239" s="4" t="s">
        <v>25</v>
      </c>
      <c r="F239" s="4" t="s">
        <v>25</v>
      </c>
      <c r="G239" s="4" t="s">
        <v>25</v>
      </c>
      <c r="H239" s="4" t="s">
        <v>34</v>
      </c>
      <c r="I239" s="5">
        <v>44621</v>
      </c>
      <c r="J239" s="6">
        <v>50</v>
      </c>
      <c r="K239" s="70">
        <v>50</v>
      </c>
      <c r="L239" s="6">
        <v>2.7410000000000001</v>
      </c>
      <c r="M239" s="70">
        <v>2.7410000000000001</v>
      </c>
      <c r="N239" s="6">
        <v>2.7410000000000001</v>
      </c>
      <c r="O239" s="70">
        <v>2.7410000000000001</v>
      </c>
      <c r="P239" s="6">
        <v>0</v>
      </c>
      <c r="Q239" s="4" t="s">
        <v>26</v>
      </c>
      <c r="R239" s="4">
        <v>0</v>
      </c>
      <c r="S239" s="4">
        <v>21</v>
      </c>
      <c r="T239" s="4">
        <v>23</v>
      </c>
      <c r="U239" s="4">
        <v>78</v>
      </c>
      <c r="V239" s="70">
        <f>IF(ISERROR(VLOOKUP($S$239,'TAR FIN'!$A$1:$O$116,15,0)),0,VLOOKUP($S$239,'TAR FIN'!$A$1:$O$116,15,0))*(1-0.04)</f>
        <v>62.975999999999992</v>
      </c>
      <c r="W239" s="70">
        <f>IF(ISERROR(VLOOKUP($T$239,'TAR FIN'!$A$1:$O$116,15,0)),0,VLOOKUP($T$239,'TAR FIN'!$A$1:$O$116,15,0))*(1-0.04)</f>
        <v>85.113599999999991</v>
      </c>
      <c r="X239" s="70">
        <f>IF(ISERROR(VLOOKUP($U$239,'TAR FIN'!$A$1:$O$116,15,0)),0,VLOOKUP($U$239,'TAR FIN'!$A$1:$O$116,15,0))*(1-0.04)</f>
        <v>476.30399999999997</v>
      </c>
      <c r="Y239" s="70">
        <f ca="1">('TUSD BE'!$AM$25+'TUSD BF'!$AM$25+'TUSD CVA'!$AM$25)*1*(1-0.02)</f>
        <v>73.899666486668877</v>
      </c>
      <c r="Z239" s="70">
        <f ca="1">('TUSD BE'!$AM$27+'TUSD BF'!$AM$27+'TUSD CVA'!$AM$27)*1*(1-0.02)</f>
        <v>134.68713722640669</v>
      </c>
      <c r="AA239" s="70">
        <f>('TE BE'!$AB$9+'TE BF'!$AB$9+'TE CVA'!$AB$9)*1*(1-0.02)</f>
        <v>499.84893464590823</v>
      </c>
      <c r="AB239" s="70">
        <f>(SUBSIDIO!$J$239*SUBSIDIO!$V$239)*(0.04)/(1-0.04)</f>
        <v>131.20000000000002</v>
      </c>
      <c r="AC239" s="70">
        <f>((SUBSIDIO!$L$239*SUBSIDIO!$W$239)+(SUBSIDIO!$N$239*SUBSIDIO!$X$239))*(0.04)/(1-0.04)</f>
        <v>64.118568400000001</v>
      </c>
      <c r="AD239" s="70">
        <f ca="1">(SUBSIDIO!$J$239*SUBSIDIO!$Y$239)*(0.02)/(1-0.02)</f>
        <v>75.407822945580492</v>
      </c>
      <c r="AE239" s="70">
        <f ca="1">((SUBSIDIO!$L$239*SUBSIDIO!$Z$239)+(SUBSIDIO!$N$239*SUBSIDIO!$AA$239))*(0.02)/(1-0.02)</f>
        <v>35.495170877592145</v>
      </c>
      <c r="AF239" s="4" t="s">
        <v>1114</v>
      </c>
    </row>
    <row r="240" spans="1:32" ht="11.25" customHeight="1" x14ac:dyDescent="0.25">
      <c r="A240" s="4" t="s">
        <v>21</v>
      </c>
      <c r="B240" s="4" t="s">
        <v>41</v>
      </c>
      <c r="C240" s="4" t="s">
        <v>40</v>
      </c>
      <c r="D240" s="4" t="s">
        <v>45</v>
      </c>
      <c r="E240" s="4" t="s">
        <v>25</v>
      </c>
      <c r="F240" s="4" t="s">
        <v>25</v>
      </c>
      <c r="G240" s="4" t="s">
        <v>25</v>
      </c>
      <c r="H240" s="4" t="s">
        <v>34</v>
      </c>
      <c r="I240" s="5">
        <v>44652</v>
      </c>
      <c r="J240" s="6">
        <v>48</v>
      </c>
      <c r="K240" s="70">
        <v>48</v>
      </c>
      <c r="L240" s="6">
        <v>2.1459999999999999</v>
      </c>
      <c r="M240" s="70">
        <v>2.1459999999999999</v>
      </c>
      <c r="N240" s="6">
        <v>2.1459999999999999</v>
      </c>
      <c r="O240" s="70">
        <v>2.1459999999999999</v>
      </c>
      <c r="P240" s="6">
        <v>0</v>
      </c>
      <c r="Q240" s="4" t="s">
        <v>26</v>
      </c>
      <c r="R240" s="4">
        <v>0</v>
      </c>
      <c r="S240" s="4">
        <v>21</v>
      </c>
      <c r="T240" s="4">
        <v>23</v>
      </c>
      <c r="U240" s="4">
        <v>78</v>
      </c>
      <c r="V240" s="70">
        <f>IF(ISERROR(VLOOKUP($S$240,'TAR FIN'!$A$1:$O$116,15,0)),0,VLOOKUP($S$240,'TAR FIN'!$A$1:$O$116,15,0))*(1-0.04)</f>
        <v>62.975999999999992</v>
      </c>
      <c r="W240" s="70">
        <f>IF(ISERROR(VLOOKUP($T$240,'TAR FIN'!$A$1:$O$116,15,0)),0,VLOOKUP($T$240,'TAR FIN'!$A$1:$O$116,15,0))*(1-0.04)</f>
        <v>85.113599999999991</v>
      </c>
      <c r="X240" s="70">
        <f>IF(ISERROR(VLOOKUP($U$240,'TAR FIN'!$A$1:$O$116,15,0)),0,VLOOKUP($U$240,'TAR FIN'!$A$1:$O$116,15,0))*(1-0.04)</f>
        <v>476.30399999999997</v>
      </c>
      <c r="Y240" s="70">
        <f ca="1">('TUSD BE'!$AM$25+'TUSD BF'!$AM$25+'TUSD CVA'!$AM$25)*1*(1-0.02)</f>
        <v>73.899666486668877</v>
      </c>
      <c r="Z240" s="70">
        <f ca="1">('TUSD BE'!$AM$27+'TUSD BF'!$AM$27+'TUSD CVA'!$AM$27)*1*(1-0.02)</f>
        <v>134.68713722640669</v>
      </c>
      <c r="AA240" s="70">
        <f>('TE BE'!$AB$9+'TE BF'!$AB$9+'TE CVA'!$AB$9)*1*(1-0.02)</f>
        <v>499.84893464590823</v>
      </c>
      <c r="AB240" s="70">
        <f>(SUBSIDIO!$J$240*SUBSIDIO!$V$240)*(0.04)/(1-0.04)</f>
        <v>125.95199999999998</v>
      </c>
      <c r="AC240" s="70">
        <f>((SUBSIDIO!$L$240*SUBSIDIO!$W$240)+(SUBSIDIO!$N$240*SUBSIDIO!$X$240))*(0.04)/(1-0.04)</f>
        <v>50.200090400000001</v>
      </c>
      <c r="AD240" s="70">
        <f ca="1">(SUBSIDIO!$J$240*SUBSIDIO!$Y$240)*(0.02)/(1-0.02)</f>
        <v>72.391510027757263</v>
      </c>
      <c r="AE240" s="70">
        <f ca="1">((SUBSIDIO!$L$240*SUBSIDIO!$Z$240)+(SUBSIDIO!$N$240*SUBSIDIO!$AA$240))*(0.02)/(1-0.02)</f>
        <v>27.790090004856896</v>
      </c>
      <c r="AF240" s="4" t="s">
        <v>1114</v>
      </c>
    </row>
    <row r="241" spans="1:32" ht="11.25" customHeight="1" x14ac:dyDescent="0.25">
      <c r="A241" s="4" t="s">
        <v>58</v>
      </c>
      <c r="B241" s="4" t="s">
        <v>41</v>
      </c>
      <c r="C241" s="4" t="s">
        <v>40</v>
      </c>
      <c r="D241" s="4" t="s">
        <v>45</v>
      </c>
      <c r="E241" s="4" t="s">
        <v>25</v>
      </c>
      <c r="F241" s="4" t="s">
        <v>25</v>
      </c>
      <c r="G241" s="4" t="s">
        <v>25</v>
      </c>
      <c r="H241" s="4" t="s">
        <v>34</v>
      </c>
      <c r="I241" s="5">
        <v>44682</v>
      </c>
      <c r="J241" s="6">
        <v>48</v>
      </c>
      <c r="K241" s="70">
        <v>48</v>
      </c>
      <c r="L241" s="6">
        <v>2.1459999999999999</v>
      </c>
      <c r="M241" s="70">
        <v>2.1459999999999999</v>
      </c>
      <c r="N241" s="6">
        <v>2.1459999999999999</v>
      </c>
      <c r="O241" s="70">
        <v>2.1459999999999999</v>
      </c>
      <c r="P241" s="6">
        <v>0</v>
      </c>
      <c r="Q241" s="4" t="s">
        <v>26</v>
      </c>
      <c r="R241" s="4">
        <v>0</v>
      </c>
      <c r="S241" s="4">
        <v>21</v>
      </c>
      <c r="T241" s="4">
        <v>23</v>
      </c>
      <c r="U241" s="4">
        <v>78</v>
      </c>
      <c r="V241" s="70">
        <f>IF(ISERROR(VLOOKUP($S$241,'TAR FIN'!$A$1:$O$116,15,0)),0,VLOOKUP($S$241,'TAR FIN'!$A$1:$O$116,15,0))*(1-0.04)</f>
        <v>62.975999999999992</v>
      </c>
      <c r="W241" s="70">
        <f>IF(ISERROR(VLOOKUP($T$241,'TAR FIN'!$A$1:$O$116,15,0)),0,VLOOKUP($T$241,'TAR FIN'!$A$1:$O$116,15,0))*(1-0.04)</f>
        <v>85.113599999999991</v>
      </c>
      <c r="X241" s="70">
        <f>IF(ISERROR(VLOOKUP($U$241,'TAR FIN'!$A$1:$O$116,15,0)),0,VLOOKUP($U$241,'TAR FIN'!$A$1:$O$116,15,0))*(1-0.04)</f>
        <v>476.30399999999997</v>
      </c>
      <c r="Y241" s="70">
        <f ca="1">('TUSD BE'!$AM$25+'TUSD BF'!$AM$25+'TUSD CVA'!$AM$25)*1*(1-0.02)</f>
        <v>73.899666486668877</v>
      </c>
      <c r="Z241" s="70">
        <f ca="1">('TUSD BE'!$AM$27+'TUSD BF'!$AM$27+'TUSD CVA'!$AM$27)*1*(1-0.02)</f>
        <v>134.68713722640669</v>
      </c>
      <c r="AA241" s="70">
        <f>('TE BE'!$AB$9+'TE BF'!$AB$9+'TE CVA'!$AB$9)*1*(1-0.02)</f>
        <v>499.84893464590823</v>
      </c>
      <c r="AB241" s="70">
        <f>(SUBSIDIO!$J$241*SUBSIDIO!$V$241)*(0.04)/(1-0.04)</f>
        <v>125.95199999999998</v>
      </c>
      <c r="AC241" s="70">
        <f>((SUBSIDIO!$L$241*SUBSIDIO!$W$241)+(SUBSIDIO!$N$241*SUBSIDIO!$X$241))*(0.04)/(1-0.04)</f>
        <v>50.200090400000001</v>
      </c>
      <c r="AD241" s="70">
        <f ca="1">(SUBSIDIO!$J$241*SUBSIDIO!$Y$241)*(0.02)/(1-0.02)</f>
        <v>72.391510027757263</v>
      </c>
      <c r="AE241" s="70">
        <f ca="1">((SUBSIDIO!$L$241*SUBSIDIO!$Z$241)+(SUBSIDIO!$N$241*SUBSIDIO!$AA$241))*(0.02)/(1-0.02)</f>
        <v>27.790090004856896</v>
      </c>
      <c r="AF241" s="4" t="s">
        <v>1114</v>
      </c>
    </row>
    <row r="242" spans="1:32" ht="11.25" customHeight="1" x14ac:dyDescent="0.25">
      <c r="A242" s="4" t="s">
        <v>21</v>
      </c>
      <c r="B242" s="4" t="s">
        <v>41</v>
      </c>
      <c r="C242" s="4" t="s">
        <v>40</v>
      </c>
      <c r="D242" s="4" t="s">
        <v>51</v>
      </c>
      <c r="E242" s="4" t="s">
        <v>52</v>
      </c>
      <c r="F242" s="4" t="s">
        <v>25</v>
      </c>
      <c r="G242" s="4" t="s">
        <v>25</v>
      </c>
      <c r="H242" s="4" t="s">
        <v>35</v>
      </c>
      <c r="I242" s="5">
        <v>44348</v>
      </c>
      <c r="J242" s="6">
        <v>560</v>
      </c>
      <c r="K242" s="71">
        <v>560</v>
      </c>
      <c r="L242" s="6">
        <v>218.70099999999999</v>
      </c>
      <c r="M242" s="70">
        <v>218.70099999999999</v>
      </c>
      <c r="N242" s="6">
        <v>218.70099999999999</v>
      </c>
      <c r="O242" s="70">
        <v>218.70099999999999</v>
      </c>
      <c r="P242" s="6">
        <v>0</v>
      </c>
      <c r="Q242" s="4" t="s">
        <v>26</v>
      </c>
      <c r="R242" s="4">
        <v>0</v>
      </c>
      <c r="S242" s="4">
        <v>22</v>
      </c>
      <c r="T242" s="4">
        <v>23</v>
      </c>
      <c r="U242" s="4">
        <v>79</v>
      </c>
      <c r="V242" s="70">
        <f>IF(ISERROR(VLOOKUP($S$242,'TAR FIN'!$A$1:$O$116,15,0)),0,VLOOKUP($S$242,'TAR FIN'!$A$1:$O$116,15,0))*(1-0.06)</f>
        <v>23.979400000000002</v>
      </c>
      <c r="W242" s="70">
        <f>IF(ISERROR(VLOOKUP($T$242,'TAR FIN'!$A$1:$O$116,15,0)),0,VLOOKUP($T$242,'TAR FIN'!$A$1:$O$116,15,0))*(1-0.06)</f>
        <v>83.340399999999988</v>
      </c>
      <c r="X242" s="70">
        <f>IF(ISERROR(VLOOKUP($U$242,'TAR FIN'!$A$1:$O$116,15,0)),0,VLOOKUP($U$242,'TAR FIN'!$A$1:$O$116,15,0))*(1-0.06)</f>
        <v>292.37760000000003</v>
      </c>
      <c r="Y242" s="70">
        <f ca="1">('TUSD BE'!$AM$26+'TUSD BF'!$AM$26+'TUSD CVA'!$AM$26)*1*(1-0.03)</f>
        <v>28.909168793941035</v>
      </c>
      <c r="Z242" s="70">
        <f ca="1">('TUSD BE'!$AM$27+'TUSD BF'!$AM$27+'TUSD CVA'!$AM$27)*1*(1-0.03)</f>
        <v>133.3127786832801</v>
      </c>
      <c r="AA242" s="70">
        <f>('TE BE'!$AB$10+'TE BF'!$AB$10+'TE CVA'!$AB$10)*1*(1-0.03)</f>
        <v>303.83220029520902</v>
      </c>
      <c r="AB242" s="70">
        <f>(SUBSIDIO!$J$242*SUBSIDIO!$V$242)*(0.06)/(1-0.06)</f>
        <v>857.13600000000008</v>
      </c>
      <c r="AC242" s="70">
        <f>((SUBSIDIO!$L$242*SUBSIDIO!$W$242)+(SUBSIDIO!$N$242*SUBSIDIO!$X$242))*(0.06)/(1-0.06)</f>
        <v>5244.8873820000008</v>
      </c>
      <c r="AD242" s="70">
        <f ca="1">(SUBSIDIO!$J$242*SUBSIDIO!$Y$242)*(0.03)/(1-0.03)</f>
        <v>500.69488220433954</v>
      </c>
      <c r="AE242" s="70">
        <f ca="1">((SUBSIDIO!$L$242*SUBSIDIO!$Z$242)+(SUBSIDIO!$N$242*SUBSIDIO!$AA$242))*(0.03)/(1-0.03)</f>
        <v>2956.8261045641611</v>
      </c>
      <c r="AF242" s="4" t="s">
        <v>1115</v>
      </c>
    </row>
    <row r="243" spans="1:32" ht="11.25" customHeight="1" x14ac:dyDescent="0.25">
      <c r="A243" s="4" t="s">
        <v>27</v>
      </c>
      <c r="B243" s="4" t="s">
        <v>41</v>
      </c>
      <c r="C243" s="4" t="s">
        <v>40</v>
      </c>
      <c r="D243" s="4" t="s">
        <v>51</v>
      </c>
      <c r="E243" s="4" t="s">
        <v>52</v>
      </c>
      <c r="F243" s="4" t="s">
        <v>25</v>
      </c>
      <c r="G243" s="4" t="s">
        <v>25</v>
      </c>
      <c r="H243" s="4" t="s">
        <v>35</v>
      </c>
      <c r="I243" s="5">
        <v>44348</v>
      </c>
      <c r="J243" s="6">
        <v>36</v>
      </c>
      <c r="K243" s="71">
        <v>36</v>
      </c>
      <c r="L243" s="6">
        <v>-2.16</v>
      </c>
      <c r="M243" s="70">
        <v>-2.16</v>
      </c>
      <c r="N243" s="6">
        <v>-2.16</v>
      </c>
      <c r="O243" s="70">
        <v>-2.16</v>
      </c>
      <c r="P243" s="6">
        <v>0</v>
      </c>
      <c r="Q243" s="4" t="s">
        <v>26</v>
      </c>
      <c r="R243" s="4">
        <v>0</v>
      </c>
      <c r="S243" s="4">
        <v>22</v>
      </c>
      <c r="T243" s="4">
        <v>23</v>
      </c>
      <c r="U243" s="4">
        <v>79</v>
      </c>
      <c r="V243" s="70">
        <f>IF(ISERROR(VLOOKUP($S$243,'TAR FIN'!$A$1:$O$116,15,0)),0,VLOOKUP($S$243,'TAR FIN'!$A$1:$O$116,15,0))*(1-0.06)</f>
        <v>23.979400000000002</v>
      </c>
      <c r="W243" s="70">
        <f>IF(ISERROR(VLOOKUP($T$243,'TAR FIN'!$A$1:$O$116,15,0)),0,VLOOKUP($T$243,'TAR FIN'!$A$1:$O$116,15,0))*(1-0.06)</f>
        <v>83.340399999999988</v>
      </c>
      <c r="X243" s="70">
        <f>IF(ISERROR(VLOOKUP($U$243,'TAR FIN'!$A$1:$O$116,15,0)),0,VLOOKUP($U$243,'TAR FIN'!$A$1:$O$116,15,0))*(1-0.06)</f>
        <v>292.37760000000003</v>
      </c>
      <c r="Y243" s="70">
        <f ca="1">('TUSD BE'!$AM$26+'TUSD BF'!$AM$26+'TUSD CVA'!$AM$26)*1*(1-0.03)</f>
        <v>28.909168793941035</v>
      </c>
      <c r="Z243" s="70">
        <f ca="1">('TUSD BE'!$AM$27+'TUSD BF'!$AM$27+'TUSD CVA'!$AM$27)*1*(1-0.03)</f>
        <v>133.3127786832801</v>
      </c>
      <c r="AA243" s="70">
        <f>('TE BE'!$AB$10+'TE BF'!$AB$10+'TE CVA'!$AB$10)*1*(1-0.03)</f>
        <v>303.83220029520902</v>
      </c>
      <c r="AB243" s="70">
        <f>(SUBSIDIO!$J$243*SUBSIDIO!$V$243)*(0.06)/(1-0.06)</f>
        <v>55.101600000000005</v>
      </c>
      <c r="AC243" s="70">
        <f>((SUBSIDIO!$L$243*SUBSIDIO!$W$243)+(SUBSIDIO!$N$243*SUBSIDIO!$X$243))*(0.06)/(1-0.06)</f>
        <v>-51.801120000000004</v>
      </c>
      <c r="AD243" s="70">
        <f ca="1">(SUBSIDIO!$J$243*SUBSIDIO!$Y$243)*(0.03)/(1-0.03)</f>
        <v>32.187528141707546</v>
      </c>
      <c r="AE243" s="70">
        <f ca="1">((SUBSIDIO!$L$243*SUBSIDIO!$Z$243)+(SUBSIDIO!$N$243*SUBSIDIO!$AA$243))*(0.03)/(1-0.03)</f>
        <v>-29.203087255470201</v>
      </c>
      <c r="AF243" s="4" t="s">
        <v>1115</v>
      </c>
    </row>
    <row r="244" spans="1:32" ht="11.25" customHeight="1" x14ac:dyDescent="0.25">
      <c r="A244" s="4" t="s">
        <v>21</v>
      </c>
      <c r="B244" s="4" t="s">
        <v>41</v>
      </c>
      <c r="C244" s="4" t="s">
        <v>40</v>
      </c>
      <c r="D244" s="4" t="s">
        <v>51</v>
      </c>
      <c r="E244" s="4" t="s">
        <v>52</v>
      </c>
      <c r="F244" s="4" t="s">
        <v>25</v>
      </c>
      <c r="G244" s="4" t="s">
        <v>25</v>
      </c>
      <c r="H244" s="4" t="s">
        <v>35</v>
      </c>
      <c r="I244" s="5">
        <v>44378</v>
      </c>
      <c r="J244" s="6">
        <v>577</v>
      </c>
      <c r="K244" s="71">
        <v>577</v>
      </c>
      <c r="L244" s="6">
        <v>214.874</v>
      </c>
      <c r="M244" s="70">
        <v>214.874</v>
      </c>
      <c r="N244" s="6">
        <v>214.874</v>
      </c>
      <c r="O244" s="70">
        <v>214.874</v>
      </c>
      <c r="P244" s="6">
        <v>0</v>
      </c>
      <c r="Q244" s="4" t="s">
        <v>26</v>
      </c>
      <c r="R244" s="4">
        <v>0</v>
      </c>
      <c r="S244" s="4">
        <v>22</v>
      </c>
      <c r="T244" s="4">
        <v>23</v>
      </c>
      <c r="U244" s="4">
        <v>79</v>
      </c>
      <c r="V244" s="70">
        <f>IF(ISERROR(VLOOKUP($S$244,'TAR FIN'!$A$1:$O$116,15,0)),0,VLOOKUP($S$244,'TAR FIN'!$A$1:$O$116,15,0))*(1-0.06)</f>
        <v>23.979400000000002</v>
      </c>
      <c r="W244" s="70">
        <f>IF(ISERROR(VLOOKUP($T$244,'TAR FIN'!$A$1:$O$116,15,0)),0,VLOOKUP($T$244,'TAR FIN'!$A$1:$O$116,15,0))*(1-0.06)</f>
        <v>83.340399999999988</v>
      </c>
      <c r="X244" s="70">
        <f>IF(ISERROR(VLOOKUP($U$244,'TAR FIN'!$A$1:$O$116,15,0)),0,VLOOKUP($U$244,'TAR FIN'!$A$1:$O$116,15,0))*(1-0.06)</f>
        <v>292.37760000000003</v>
      </c>
      <c r="Y244" s="70">
        <f ca="1">('TUSD BE'!$AM$26+'TUSD BF'!$AM$26+'TUSD CVA'!$AM$26)*1*(1-0.03)</f>
        <v>28.909168793941035</v>
      </c>
      <c r="Z244" s="70">
        <f ca="1">('TUSD BE'!$AM$27+'TUSD BF'!$AM$27+'TUSD CVA'!$AM$27)*1*(1-0.03)</f>
        <v>133.3127786832801</v>
      </c>
      <c r="AA244" s="70">
        <f>('TE BE'!$AB$10+'TE BF'!$AB$10+'TE CVA'!$AB$10)*1*(1-0.03)</f>
        <v>303.83220029520902</v>
      </c>
      <c r="AB244" s="70">
        <f>(SUBSIDIO!$J$244*SUBSIDIO!$V$244)*(0.06)/(1-0.06)</f>
        <v>883.15620000000001</v>
      </c>
      <c r="AC244" s="70">
        <f>((SUBSIDIO!$L$244*SUBSIDIO!$W$244)+(SUBSIDIO!$N$244*SUBSIDIO!$X$244))*(0.06)/(1-0.06)</f>
        <v>5153.108268</v>
      </c>
      <c r="AD244" s="70">
        <f ca="1">(SUBSIDIO!$J$244*SUBSIDIO!$Y$244)*(0.03)/(1-0.03)</f>
        <v>515.89454827125701</v>
      </c>
      <c r="AE244" s="70">
        <f ca="1">((SUBSIDIO!$L$244*SUBSIDIO!$Z$244)+(SUBSIDIO!$N$244*SUBSIDIO!$AA$244))*(0.03)/(1-0.03)</f>
        <v>2905.0852643203257</v>
      </c>
      <c r="AF244" s="4" t="s">
        <v>1115</v>
      </c>
    </row>
    <row r="245" spans="1:32" ht="11.25" customHeight="1" x14ac:dyDescent="0.25">
      <c r="A245" s="4" t="s">
        <v>27</v>
      </c>
      <c r="B245" s="4" t="s">
        <v>41</v>
      </c>
      <c r="C245" s="4" t="s">
        <v>40</v>
      </c>
      <c r="D245" s="4" t="s">
        <v>51</v>
      </c>
      <c r="E245" s="4" t="s">
        <v>52</v>
      </c>
      <c r="F245" s="4" t="s">
        <v>25</v>
      </c>
      <c r="G245" s="4" t="s">
        <v>25</v>
      </c>
      <c r="H245" s="4" t="s">
        <v>35</v>
      </c>
      <c r="I245" s="5">
        <v>44378</v>
      </c>
      <c r="J245" s="6">
        <v>15</v>
      </c>
      <c r="K245" s="71">
        <v>15</v>
      </c>
      <c r="L245" s="6">
        <v>-6.3780000000000001</v>
      </c>
      <c r="M245" s="70">
        <v>-6.3780000000000001</v>
      </c>
      <c r="N245" s="6">
        <v>-6.3780000000000001</v>
      </c>
      <c r="O245" s="70">
        <v>-6.3780000000000001</v>
      </c>
      <c r="P245" s="6">
        <v>0</v>
      </c>
      <c r="Q245" s="4" t="s">
        <v>26</v>
      </c>
      <c r="R245" s="4">
        <v>0</v>
      </c>
      <c r="S245" s="4">
        <v>22</v>
      </c>
      <c r="T245" s="4">
        <v>23</v>
      </c>
      <c r="U245" s="4">
        <v>79</v>
      </c>
      <c r="V245" s="70">
        <f>IF(ISERROR(VLOOKUP($S$245,'TAR FIN'!$A$1:$O$116,15,0)),0,VLOOKUP($S$245,'TAR FIN'!$A$1:$O$116,15,0))*(1-0.06)</f>
        <v>23.979400000000002</v>
      </c>
      <c r="W245" s="70">
        <f>IF(ISERROR(VLOOKUP($T$245,'TAR FIN'!$A$1:$O$116,15,0)),0,VLOOKUP($T$245,'TAR FIN'!$A$1:$O$116,15,0))*(1-0.06)</f>
        <v>83.340399999999988</v>
      </c>
      <c r="X245" s="70">
        <f>IF(ISERROR(VLOOKUP($U$245,'TAR FIN'!$A$1:$O$116,15,0)),0,VLOOKUP($U$245,'TAR FIN'!$A$1:$O$116,15,0))*(1-0.06)</f>
        <v>292.37760000000003</v>
      </c>
      <c r="Y245" s="70">
        <f ca="1">('TUSD BE'!$AM$26+'TUSD BF'!$AM$26+'TUSD CVA'!$AM$26)*1*(1-0.03)</f>
        <v>28.909168793941035</v>
      </c>
      <c r="Z245" s="70">
        <f ca="1">('TUSD BE'!$AM$27+'TUSD BF'!$AM$27+'TUSD CVA'!$AM$27)*1*(1-0.03)</f>
        <v>133.3127786832801</v>
      </c>
      <c r="AA245" s="70">
        <f>('TE BE'!$AB$10+'TE BF'!$AB$10+'TE CVA'!$AB$10)*1*(1-0.03)</f>
        <v>303.83220029520902</v>
      </c>
      <c r="AB245" s="70">
        <f>(SUBSIDIO!$J$245*SUBSIDIO!$V$245)*(0.06)/(1-0.06)</f>
        <v>22.959</v>
      </c>
      <c r="AC245" s="70">
        <f>((SUBSIDIO!$L$245*SUBSIDIO!$W$245)+(SUBSIDIO!$N$245*SUBSIDIO!$X$245))*(0.06)/(1-0.06)</f>
        <v>-152.95719600000001</v>
      </c>
      <c r="AD245" s="70">
        <f ca="1">(SUBSIDIO!$J$245*SUBSIDIO!$Y$245)*(0.03)/(1-0.03)</f>
        <v>13.411470059044809</v>
      </c>
      <c r="AE245" s="70">
        <f ca="1">((SUBSIDIO!$L$245*SUBSIDIO!$Z$245)+(SUBSIDIO!$N$245*SUBSIDIO!$AA$245))*(0.03)/(1-0.03)</f>
        <v>-86.230227090457845</v>
      </c>
      <c r="AF245" s="4" t="s">
        <v>1115</v>
      </c>
    </row>
    <row r="246" spans="1:32" ht="11.25" customHeight="1" x14ac:dyDescent="0.25">
      <c r="A246" s="4" t="s">
        <v>21</v>
      </c>
      <c r="B246" s="4" t="s">
        <v>41</v>
      </c>
      <c r="C246" s="4" t="s">
        <v>40</v>
      </c>
      <c r="D246" s="4" t="s">
        <v>51</v>
      </c>
      <c r="E246" s="4" t="s">
        <v>52</v>
      </c>
      <c r="F246" s="4" t="s">
        <v>25</v>
      </c>
      <c r="G246" s="4" t="s">
        <v>25</v>
      </c>
      <c r="H246" s="4" t="s">
        <v>35</v>
      </c>
      <c r="I246" s="5">
        <v>44409</v>
      </c>
      <c r="J246" s="6">
        <v>572</v>
      </c>
      <c r="K246" s="71">
        <v>572</v>
      </c>
      <c r="L246" s="6">
        <v>219.011</v>
      </c>
      <c r="M246" s="70">
        <v>219.011</v>
      </c>
      <c r="N246" s="6">
        <v>219.011</v>
      </c>
      <c r="O246" s="70">
        <v>219.011</v>
      </c>
      <c r="P246" s="6">
        <v>0</v>
      </c>
      <c r="Q246" s="4" t="s">
        <v>26</v>
      </c>
      <c r="R246" s="4">
        <v>0</v>
      </c>
      <c r="S246" s="4">
        <v>22</v>
      </c>
      <c r="T246" s="4">
        <v>23</v>
      </c>
      <c r="U246" s="4">
        <v>79</v>
      </c>
      <c r="V246" s="70">
        <f>IF(ISERROR(VLOOKUP($S$246,'TAR FIN'!$A$1:$O$116,15,0)),0,VLOOKUP($S$246,'TAR FIN'!$A$1:$O$116,15,0))*(1-0.06)</f>
        <v>23.979400000000002</v>
      </c>
      <c r="W246" s="70">
        <f>IF(ISERROR(VLOOKUP($T$246,'TAR FIN'!$A$1:$O$116,15,0)),0,VLOOKUP($T$246,'TAR FIN'!$A$1:$O$116,15,0))*(1-0.06)</f>
        <v>83.340399999999988</v>
      </c>
      <c r="X246" s="70">
        <f>IF(ISERROR(VLOOKUP($U$246,'TAR FIN'!$A$1:$O$116,15,0)),0,VLOOKUP($U$246,'TAR FIN'!$A$1:$O$116,15,0))*(1-0.06)</f>
        <v>292.37760000000003</v>
      </c>
      <c r="Y246" s="70">
        <f ca="1">('TUSD BE'!$AM$26+'TUSD BF'!$AM$26+'TUSD CVA'!$AM$26)*1*(1-0.03)</f>
        <v>28.909168793941035</v>
      </c>
      <c r="Z246" s="70">
        <f ca="1">('TUSD BE'!$AM$27+'TUSD BF'!$AM$27+'TUSD CVA'!$AM$27)*1*(1-0.03)</f>
        <v>133.3127786832801</v>
      </c>
      <c r="AA246" s="70">
        <f>('TE BE'!$AB$10+'TE BF'!$AB$10+'TE CVA'!$AB$10)*1*(1-0.03)</f>
        <v>303.83220029520902</v>
      </c>
      <c r="AB246" s="70">
        <f>(SUBSIDIO!$J$246*SUBSIDIO!$V$246)*(0.06)/(1-0.06)</f>
        <v>875.50319999999999</v>
      </c>
      <c r="AC246" s="70">
        <f>((SUBSIDIO!$L$246*SUBSIDIO!$W$246)+(SUBSIDIO!$N$246*SUBSIDIO!$X$246))*(0.06)/(1-0.06)</f>
        <v>5252.3218020000004</v>
      </c>
      <c r="AD246" s="70">
        <f ca="1">(SUBSIDIO!$J$246*SUBSIDIO!$Y$246)*(0.03)/(1-0.03)</f>
        <v>511.42405825157545</v>
      </c>
      <c r="AE246" s="70">
        <f ca="1">((SUBSIDIO!$L$246*SUBSIDIO!$Z$246)+(SUBSIDIO!$N$246*SUBSIDIO!$AA$246))*(0.03)/(1-0.03)</f>
        <v>2961.0172883832338</v>
      </c>
      <c r="AF246" s="4" t="s">
        <v>1115</v>
      </c>
    </row>
    <row r="247" spans="1:32" ht="11.25" customHeight="1" x14ac:dyDescent="0.25">
      <c r="A247" s="4" t="s">
        <v>21</v>
      </c>
      <c r="B247" s="4" t="s">
        <v>41</v>
      </c>
      <c r="C247" s="4" t="s">
        <v>40</v>
      </c>
      <c r="D247" s="4" t="s">
        <v>51</v>
      </c>
      <c r="E247" s="4" t="s">
        <v>52</v>
      </c>
      <c r="F247" s="4" t="s">
        <v>25</v>
      </c>
      <c r="G247" s="4" t="s">
        <v>25</v>
      </c>
      <c r="H247" s="4" t="s">
        <v>35</v>
      </c>
      <c r="I247" s="5">
        <v>44440</v>
      </c>
      <c r="J247" s="6">
        <v>578</v>
      </c>
      <c r="K247" s="71">
        <v>578</v>
      </c>
      <c r="L247" s="6">
        <v>220.649</v>
      </c>
      <c r="M247" s="70">
        <v>220.649</v>
      </c>
      <c r="N247" s="6">
        <v>220.649</v>
      </c>
      <c r="O247" s="70">
        <v>220.649</v>
      </c>
      <c r="P247" s="6">
        <v>0</v>
      </c>
      <c r="Q247" s="4" t="s">
        <v>26</v>
      </c>
      <c r="R247" s="4">
        <v>0</v>
      </c>
      <c r="S247" s="4">
        <v>22</v>
      </c>
      <c r="T247" s="4">
        <v>23</v>
      </c>
      <c r="U247" s="4">
        <v>79</v>
      </c>
      <c r="V247" s="70">
        <f>IF(ISERROR(VLOOKUP($S$247,'TAR FIN'!$A$1:$O$116,15,0)),0,VLOOKUP($S$247,'TAR FIN'!$A$1:$O$116,15,0))*(1-0.06)</f>
        <v>23.979400000000002</v>
      </c>
      <c r="W247" s="70">
        <f>IF(ISERROR(VLOOKUP($T$247,'TAR FIN'!$A$1:$O$116,15,0)),0,VLOOKUP($T$247,'TAR FIN'!$A$1:$O$116,15,0))*(1-0.06)</f>
        <v>83.340399999999988</v>
      </c>
      <c r="X247" s="70">
        <f>IF(ISERROR(VLOOKUP($U$247,'TAR FIN'!$A$1:$O$116,15,0)),0,VLOOKUP($U$247,'TAR FIN'!$A$1:$O$116,15,0))*(1-0.06)</f>
        <v>292.37760000000003</v>
      </c>
      <c r="Y247" s="70">
        <f ca="1">('TUSD BE'!$AM$26+'TUSD BF'!$AM$26+'TUSD CVA'!$AM$26)*1*(1-0.03)</f>
        <v>28.909168793941035</v>
      </c>
      <c r="Z247" s="70">
        <f ca="1">('TUSD BE'!$AM$27+'TUSD BF'!$AM$27+'TUSD CVA'!$AM$27)*1*(1-0.03)</f>
        <v>133.3127786832801</v>
      </c>
      <c r="AA247" s="70">
        <f>('TE BE'!$AB$10+'TE BF'!$AB$10+'TE CVA'!$AB$10)*1*(1-0.03)</f>
        <v>303.83220029520902</v>
      </c>
      <c r="AB247" s="70">
        <f>(SUBSIDIO!$J$247*SUBSIDIO!$V$247)*(0.06)/(1-0.06)</f>
        <v>884.68680000000006</v>
      </c>
      <c r="AC247" s="70">
        <f>((SUBSIDIO!$L$247*SUBSIDIO!$W$247)+(SUBSIDIO!$N$247*SUBSIDIO!$X$247))*(0.06)/(1-0.06)</f>
        <v>5291.6043180000006</v>
      </c>
      <c r="AD247" s="70">
        <f ca="1">(SUBSIDIO!$J$247*SUBSIDIO!$Y$247)*(0.03)/(1-0.03)</f>
        <v>516.7886462751934</v>
      </c>
      <c r="AE247" s="70">
        <f ca="1">((SUBSIDIO!$L$247*SUBSIDIO!$Z$247)+(SUBSIDIO!$N$247*SUBSIDIO!$AA$247))*(0.03)/(1-0.03)</f>
        <v>2983.1629628852984</v>
      </c>
      <c r="AF247" s="4" t="s">
        <v>1115</v>
      </c>
    </row>
    <row r="248" spans="1:32" ht="11.25" customHeight="1" x14ac:dyDescent="0.25">
      <c r="A248" s="4" t="s">
        <v>21</v>
      </c>
      <c r="B248" s="4" t="s">
        <v>41</v>
      </c>
      <c r="C248" s="4" t="s">
        <v>40</v>
      </c>
      <c r="D248" s="4" t="s">
        <v>51</v>
      </c>
      <c r="E248" s="4" t="s">
        <v>52</v>
      </c>
      <c r="F248" s="4" t="s">
        <v>25</v>
      </c>
      <c r="G248" s="4" t="s">
        <v>25</v>
      </c>
      <c r="H248" s="4" t="s">
        <v>35</v>
      </c>
      <c r="I248" s="5">
        <v>44470</v>
      </c>
      <c r="J248" s="6">
        <v>278</v>
      </c>
      <c r="K248" s="71">
        <v>278</v>
      </c>
      <c r="L248" s="6">
        <v>114.20699999999999</v>
      </c>
      <c r="M248" s="70">
        <v>114.20699999999999</v>
      </c>
      <c r="N248" s="6">
        <v>114.20699999999999</v>
      </c>
      <c r="O248" s="70">
        <v>114.20699999999999</v>
      </c>
      <c r="P248" s="6">
        <v>0</v>
      </c>
      <c r="Q248" s="4" t="s">
        <v>26</v>
      </c>
      <c r="R248" s="4">
        <v>0</v>
      </c>
      <c r="S248" s="4">
        <v>22</v>
      </c>
      <c r="T248" s="4">
        <v>23</v>
      </c>
      <c r="U248" s="4">
        <v>79</v>
      </c>
      <c r="V248" s="70">
        <f>IF(ISERROR(VLOOKUP($S$248,'TAR FIN'!$A$1:$O$116,15,0)),0,VLOOKUP($S$248,'TAR FIN'!$A$1:$O$116,15,0))*(1-0.06)</f>
        <v>23.979400000000002</v>
      </c>
      <c r="W248" s="70">
        <f>IF(ISERROR(VLOOKUP($T$248,'TAR FIN'!$A$1:$O$116,15,0)),0,VLOOKUP($T$248,'TAR FIN'!$A$1:$O$116,15,0))*(1-0.06)</f>
        <v>83.340399999999988</v>
      </c>
      <c r="X248" s="70">
        <f>IF(ISERROR(VLOOKUP($U$248,'TAR FIN'!$A$1:$O$116,15,0)),0,VLOOKUP($U$248,'TAR FIN'!$A$1:$O$116,15,0))*(1-0.06)</f>
        <v>292.37760000000003</v>
      </c>
      <c r="Y248" s="70">
        <f ca="1">('TUSD BE'!$AM$26+'TUSD BF'!$AM$26+'TUSD CVA'!$AM$26)*1*(1-0.03)</f>
        <v>28.909168793941035</v>
      </c>
      <c r="Z248" s="70">
        <f ca="1">('TUSD BE'!$AM$27+'TUSD BF'!$AM$27+'TUSD CVA'!$AM$27)*1*(1-0.03)</f>
        <v>133.3127786832801</v>
      </c>
      <c r="AA248" s="70">
        <f>('TE BE'!$AB$10+'TE BF'!$AB$10+'TE CVA'!$AB$10)*1*(1-0.03)</f>
        <v>303.83220029520902</v>
      </c>
      <c r="AB248" s="70">
        <f>(SUBSIDIO!$J$248*SUBSIDIO!$V$248)*(0.06)/(1-0.06)</f>
        <v>425.50680000000006</v>
      </c>
      <c r="AC248" s="70">
        <f>((SUBSIDIO!$L$248*SUBSIDIO!$W$248)+(SUBSIDIO!$N$248*SUBSIDIO!$X$248))*(0.06)/(1-0.06)</f>
        <v>2738.9122740000003</v>
      </c>
      <c r="AD248" s="70">
        <f ca="1">(SUBSIDIO!$J$248*SUBSIDIO!$Y$248)*(0.03)/(1-0.03)</f>
        <v>248.55924509429715</v>
      </c>
      <c r="AE248" s="70">
        <f ca="1">((SUBSIDIO!$L$248*SUBSIDIO!$Z$248)+(SUBSIDIO!$N$248*SUBSIDIO!$AA$248))*(0.03)/(1-0.03)</f>
        <v>1544.0726787895762</v>
      </c>
      <c r="AF248" s="4" t="s">
        <v>1115</v>
      </c>
    </row>
    <row r="249" spans="1:32" ht="11.25" customHeight="1" x14ac:dyDescent="0.25">
      <c r="A249" s="4" t="s">
        <v>21</v>
      </c>
      <c r="B249" s="4" t="s">
        <v>41</v>
      </c>
      <c r="C249" s="4" t="s">
        <v>40</v>
      </c>
      <c r="D249" s="4" t="s">
        <v>51</v>
      </c>
      <c r="E249" s="4" t="s">
        <v>52</v>
      </c>
      <c r="F249" s="4" t="s">
        <v>25</v>
      </c>
      <c r="G249" s="4" t="s">
        <v>25</v>
      </c>
      <c r="H249" s="4" t="s">
        <v>35</v>
      </c>
      <c r="I249" s="5">
        <v>44501</v>
      </c>
      <c r="J249" s="6">
        <v>256</v>
      </c>
      <c r="K249" s="71">
        <v>256</v>
      </c>
      <c r="L249" s="6">
        <v>91.694999999999993</v>
      </c>
      <c r="M249" s="70">
        <v>91.694999999999993</v>
      </c>
      <c r="N249" s="6">
        <v>91.694999999999993</v>
      </c>
      <c r="O249" s="70">
        <v>91.694999999999993</v>
      </c>
      <c r="P249" s="6">
        <v>0</v>
      </c>
      <c r="Q249" s="4" t="s">
        <v>26</v>
      </c>
      <c r="R249" s="4">
        <v>0</v>
      </c>
      <c r="S249" s="4">
        <v>22</v>
      </c>
      <c r="T249" s="4">
        <v>23</v>
      </c>
      <c r="U249" s="4">
        <v>79</v>
      </c>
      <c r="V249" s="70">
        <f>IF(ISERROR(VLOOKUP($S$249,'TAR FIN'!$A$1:$O$116,15,0)),0,VLOOKUP($S$249,'TAR FIN'!$A$1:$O$116,15,0))*(1-0.06)</f>
        <v>23.979400000000002</v>
      </c>
      <c r="W249" s="70">
        <f>IF(ISERROR(VLOOKUP($T$249,'TAR FIN'!$A$1:$O$116,15,0)),0,VLOOKUP($T$249,'TAR FIN'!$A$1:$O$116,15,0))*(1-0.06)</f>
        <v>83.340399999999988</v>
      </c>
      <c r="X249" s="70">
        <f>IF(ISERROR(VLOOKUP($U$249,'TAR FIN'!$A$1:$O$116,15,0)),0,VLOOKUP($U$249,'TAR FIN'!$A$1:$O$116,15,0))*(1-0.06)</f>
        <v>292.37760000000003</v>
      </c>
      <c r="Y249" s="70">
        <f ca="1">('TUSD BE'!$AM$26+'TUSD BF'!$AM$26+'TUSD CVA'!$AM$26)*1*(1-0.03)</f>
        <v>28.909168793941035</v>
      </c>
      <c r="Z249" s="70">
        <f ca="1">('TUSD BE'!$AM$27+'TUSD BF'!$AM$27+'TUSD CVA'!$AM$27)*1*(1-0.03)</f>
        <v>133.3127786832801</v>
      </c>
      <c r="AA249" s="70">
        <f>('TE BE'!$AB$10+'TE BF'!$AB$10+'TE CVA'!$AB$10)*1*(1-0.03)</f>
        <v>303.83220029520902</v>
      </c>
      <c r="AB249" s="70">
        <f>(SUBSIDIO!$J$249*SUBSIDIO!$V$249)*(0.06)/(1-0.06)</f>
        <v>391.83360000000005</v>
      </c>
      <c r="AC249" s="70">
        <f>((SUBSIDIO!$L$249*SUBSIDIO!$W$249)+(SUBSIDIO!$N$249*SUBSIDIO!$X$249))*(0.06)/(1-0.06)</f>
        <v>2199.0294900000004</v>
      </c>
      <c r="AD249" s="70">
        <f ca="1">(SUBSIDIO!$J$249*SUBSIDIO!$Y$249)*(0.03)/(1-0.03)</f>
        <v>228.88908900769809</v>
      </c>
      <c r="AE249" s="70">
        <f ca="1">((SUBSIDIO!$L$249*SUBSIDIO!$Z$249)+(SUBSIDIO!$N$249*SUBSIDIO!$AA$249))*(0.03)/(1-0.03)</f>
        <v>1239.7116138381205</v>
      </c>
      <c r="AF249" s="4" t="s">
        <v>1115</v>
      </c>
    </row>
    <row r="250" spans="1:32" ht="11.25" customHeight="1" x14ac:dyDescent="0.25">
      <c r="A250" s="4" t="s">
        <v>21</v>
      </c>
      <c r="B250" s="4" t="s">
        <v>41</v>
      </c>
      <c r="C250" s="4" t="s">
        <v>40</v>
      </c>
      <c r="D250" s="4" t="s">
        <v>51</v>
      </c>
      <c r="E250" s="4" t="s">
        <v>52</v>
      </c>
      <c r="F250" s="4" t="s">
        <v>25</v>
      </c>
      <c r="G250" s="4" t="s">
        <v>25</v>
      </c>
      <c r="H250" s="4" t="s">
        <v>35</v>
      </c>
      <c r="I250" s="5">
        <v>44531</v>
      </c>
      <c r="J250" s="6">
        <v>257</v>
      </c>
      <c r="K250" s="71">
        <v>257</v>
      </c>
      <c r="L250" s="6">
        <v>96.444000000000003</v>
      </c>
      <c r="M250" s="70">
        <v>96.444000000000003</v>
      </c>
      <c r="N250" s="6">
        <v>96.444000000000003</v>
      </c>
      <c r="O250" s="70">
        <v>96.444000000000003</v>
      </c>
      <c r="P250" s="6">
        <v>0</v>
      </c>
      <c r="Q250" s="4" t="s">
        <v>26</v>
      </c>
      <c r="R250" s="4">
        <v>0</v>
      </c>
      <c r="S250" s="4">
        <v>22</v>
      </c>
      <c r="T250" s="4">
        <v>23</v>
      </c>
      <c r="U250" s="4">
        <v>79</v>
      </c>
      <c r="V250" s="70">
        <f>IF(ISERROR(VLOOKUP($S$250,'TAR FIN'!$A$1:$O$116,15,0)),0,VLOOKUP($S$250,'TAR FIN'!$A$1:$O$116,15,0))*(1-0.06)</f>
        <v>23.979400000000002</v>
      </c>
      <c r="W250" s="70">
        <f>IF(ISERROR(VLOOKUP($T$250,'TAR FIN'!$A$1:$O$116,15,0)),0,VLOOKUP($T$250,'TAR FIN'!$A$1:$O$116,15,0))*(1-0.06)</f>
        <v>83.340399999999988</v>
      </c>
      <c r="X250" s="70">
        <f>IF(ISERROR(VLOOKUP($U$250,'TAR FIN'!$A$1:$O$116,15,0)),0,VLOOKUP($U$250,'TAR FIN'!$A$1:$O$116,15,0))*(1-0.06)</f>
        <v>292.37760000000003</v>
      </c>
      <c r="Y250" s="70">
        <f ca="1">('TUSD BE'!$AM$26+'TUSD BF'!$AM$26+'TUSD CVA'!$AM$26)*1*(1-0.03)</f>
        <v>28.909168793941035</v>
      </c>
      <c r="Z250" s="70">
        <f ca="1">('TUSD BE'!$AM$27+'TUSD BF'!$AM$27+'TUSD CVA'!$AM$27)*1*(1-0.03)</f>
        <v>133.3127786832801</v>
      </c>
      <c r="AA250" s="70">
        <f>('TE BE'!$AB$10+'TE BF'!$AB$10+'TE CVA'!$AB$10)*1*(1-0.03)</f>
        <v>303.83220029520902</v>
      </c>
      <c r="AB250" s="70">
        <f>(SUBSIDIO!$J$250*SUBSIDIO!$V$250)*(0.06)/(1-0.06)</f>
        <v>393.36420000000004</v>
      </c>
      <c r="AC250" s="70">
        <f>((SUBSIDIO!$L$250*SUBSIDIO!$W$250)+(SUBSIDIO!$N$250*SUBSIDIO!$X$250))*(0.06)/(1-0.06)</f>
        <v>2312.9200080000001</v>
      </c>
      <c r="AD250" s="70">
        <f ca="1">(SUBSIDIO!$J$250*SUBSIDIO!$Y$250)*(0.03)/(1-0.03)</f>
        <v>229.78318701163442</v>
      </c>
      <c r="AE250" s="70">
        <f ca="1">((SUBSIDIO!$L$250*SUBSIDIO!$Z$250)+(SUBSIDIO!$N$250*SUBSIDIO!$AA$250))*(0.03)/(1-0.03)</f>
        <v>1303.9178459567445</v>
      </c>
      <c r="AF250" s="4" t="s">
        <v>1115</v>
      </c>
    </row>
    <row r="251" spans="1:32" ht="11.25" customHeight="1" x14ac:dyDescent="0.25">
      <c r="A251" s="4" t="s">
        <v>21</v>
      </c>
      <c r="B251" s="4" t="s">
        <v>41</v>
      </c>
      <c r="C251" s="4" t="s">
        <v>40</v>
      </c>
      <c r="D251" s="4" t="s">
        <v>51</v>
      </c>
      <c r="E251" s="4" t="s">
        <v>52</v>
      </c>
      <c r="F251" s="4" t="s">
        <v>25</v>
      </c>
      <c r="G251" s="4" t="s">
        <v>25</v>
      </c>
      <c r="H251" s="4" t="s">
        <v>35</v>
      </c>
      <c r="I251" s="5">
        <v>44562</v>
      </c>
      <c r="J251" s="6">
        <v>257</v>
      </c>
      <c r="K251" s="71">
        <v>257</v>
      </c>
      <c r="L251" s="6">
        <v>99.897000000000006</v>
      </c>
      <c r="M251" s="70">
        <v>99.897000000000006</v>
      </c>
      <c r="N251" s="6">
        <v>99.897000000000006</v>
      </c>
      <c r="O251" s="70">
        <v>99.897000000000006</v>
      </c>
      <c r="P251" s="6">
        <v>0</v>
      </c>
      <c r="Q251" s="4" t="s">
        <v>26</v>
      </c>
      <c r="R251" s="4">
        <v>0</v>
      </c>
      <c r="S251" s="4">
        <v>22</v>
      </c>
      <c r="T251" s="4">
        <v>23</v>
      </c>
      <c r="U251" s="4">
        <v>79</v>
      </c>
      <c r="V251" s="70">
        <f>IF(ISERROR(VLOOKUP($S$251,'TAR FIN'!$A$1:$O$116,15,0)),0,VLOOKUP($S$251,'TAR FIN'!$A$1:$O$116,15,0))*(1-0.06)</f>
        <v>23.979400000000002</v>
      </c>
      <c r="W251" s="70">
        <f>IF(ISERROR(VLOOKUP($T$251,'TAR FIN'!$A$1:$O$116,15,0)),0,VLOOKUP($T$251,'TAR FIN'!$A$1:$O$116,15,0))*(1-0.06)</f>
        <v>83.340399999999988</v>
      </c>
      <c r="X251" s="70">
        <f>IF(ISERROR(VLOOKUP($U$251,'TAR FIN'!$A$1:$O$116,15,0)),0,VLOOKUP($U$251,'TAR FIN'!$A$1:$O$116,15,0))*(1-0.06)</f>
        <v>292.37760000000003</v>
      </c>
      <c r="Y251" s="70">
        <f ca="1">('TUSD BE'!$AM$26+'TUSD BF'!$AM$26+'TUSD CVA'!$AM$26)*1*(1-0.03)</f>
        <v>28.909168793941035</v>
      </c>
      <c r="Z251" s="70">
        <f ca="1">('TUSD BE'!$AM$27+'TUSD BF'!$AM$27+'TUSD CVA'!$AM$27)*1*(1-0.03)</f>
        <v>133.3127786832801</v>
      </c>
      <c r="AA251" s="70">
        <f>('TE BE'!$AB$10+'TE BF'!$AB$10+'TE CVA'!$AB$10)*1*(1-0.03)</f>
        <v>303.83220029520902</v>
      </c>
      <c r="AB251" s="70">
        <f>(SUBSIDIO!$J$251*SUBSIDIO!$V$251)*(0.06)/(1-0.06)</f>
        <v>393.36420000000004</v>
      </c>
      <c r="AC251" s="70">
        <f>((SUBSIDIO!$L$251*SUBSIDIO!$W$251)+(SUBSIDIO!$N$251*SUBSIDIO!$X$251))*(0.06)/(1-0.06)</f>
        <v>2395.7298540000002</v>
      </c>
      <c r="AD251" s="70">
        <f ca="1">(SUBSIDIO!$J$251*SUBSIDIO!$Y$251)*(0.03)/(1-0.03)</f>
        <v>229.78318701163442</v>
      </c>
      <c r="AE251" s="70">
        <f ca="1">((SUBSIDIO!$L$251*SUBSIDIO!$Z$251)+(SUBSIDIO!$N$251*SUBSIDIO!$AA$251))*(0.03)/(1-0.03)</f>
        <v>1350.6022257220864</v>
      </c>
      <c r="AF251" s="4" t="s">
        <v>1115</v>
      </c>
    </row>
    <row r="252" spans="1:32" ht="11.25" customHeight="1" x14ac:dyDescent="0.25">
      <c r="A252" s="4" t="s">
        <v>21</v>
      </c>
      <c r="B252" s="4" t="s">
        <v>41</v>
      </c>
      <c r="C252" s="4" t="s">
        <v>40</v>
      </c>
      <c r="D252" s="4" t="s">
        <v>51</v>
      </c>
      <c r="E252" s="4" t="s">
        <v>52</v>
      </c>
      <c r="F252" s="4" t="s">
        <v>25</v>
      </c>
      <c r="G252" s="4" t="s">
        <v>25</v>
      </c>
      <c r="H252" s="4" t="s">
        <v>35</v>
      </c>
      <c r="I252" s="5">
        <v>44593</v>
      </c>
      <c r="J252" s="6">
        <v>265</v>
      </c>
      <c r="K252" s="71">
        <v>265</v>
      </c>
      <c r="L252" s="6">
        <v>95.162000000000006</v>
      </c>
      <c r="M252" s="70">
        <v>95.162000000000006</v>
      </c>
      <c r="N252" s="6">
        <v>95.162000000000006</v>
      </c>
      <c r="O252" s="70">
        <v>95.162000000000006</v>
      </c>
      <c r="P252" s="6">
        <v>0</v>
      </c>
      <c r="Q252" s="4" t="s">
        <v>26</v>
      </c>
      <c r="R252" s="4">
        <v>0</v>
      </c>
      <c r="S252" s="4">
        <v>22</v>
      </c>
      <c r="T252" s="4">
        <v>23</v>
      </c>
      <c r="U252" s="4">
        <v>79</v>
      </c>
      <c r="V252" s="70">
        <f>IF(ISERROR(VLOOKUP($S$252,'TAR FIN'!$A$1:$O$116,15,0)),0,VLOOKUP($S$252,'TAR FIN'!$A$1:$O$116,15,0))*(1-0.06)</f>
        <v>23.979400000000002</v>
      </c>
      <c r="W252" s="70">
        <f>IF(ISERROR(VLOOKUP($T$252,'TAR FIN'!$A$1:$O$116,15,0)),0,VLOOKUP($T$252,'TAR FIN'!$A$1:$O$116,15,0))*(1-0.06)</f>
        <v>83.340399999999988</v>
      </c>
      <c r="X252" s="70">
        <f>IF(ISERROR(VLOOKUP($U$252,'TAR FIN'!$A$1:$O$116,15,0)),0,VLOOKUP($U$252,'TAR FIN'!$A$1:$O$116,15,0))*(1-0.06)</f>
        <v>292.37760000000003</v>
      </c>
      <c r="Y252" s="70">
        <f ca="1">('TUSD BE'!$AM$26+'TUSD BF'!$AM$26+'TUSD CVA'!$AM$26)*1*(1-0.03)</f>
        <v>28.909168793941035</v>
      </c>
      <c r="Z252" s="70">
        <f ca="1">('TUSD BE'!$AM$27+'TUSD BF'!$AM$27+'TUSD CVA'!$AM$27)*1*(1-0.03)</f>
        <v>133.3127786832801</v>
      </c>
      <c r="AA252" s="70">
        <f>('TE BE'!$AB$10+'TE BF'!$AB$10+'TE CVA'!$AB$10)*1*(1-0.03)</f>
        <v>303.83220029520902</v>
      </c>
      <c r="AB252" s="70">
        <f>(SUBSIDIO!$J$252*SUBSIDIO!$V$252)*(0.06)/(1-0.06)</f>
        <v>405.60900000000004</v>
      </c>
      <c r="AC252" s="70">
        <f>((SUBSIDIO!$L$252*SUBSIDIO!$W$252)+(SUBSIDIO!$N$252*SUBSIDIO!$X$252))*(0.06)/(1-0.06)</f>
        <v>2282.1750840000004</v>
      </c>
      <c r="AD252" s="70">
        <f ca="1">(SUBSIDIO!$J$252*SUBSIDIO!$Y$252)*(0.03)/(1-0.03)</f>
        <v>236.93597104312497</v>
      </c>
      <c r="AE252" s="70">
        <f ca="1">((SUBSIDIO!$L$252*SUBSIDIO!$Z$252)+(SUBSIDIO!$N$252*SUBSIDIO!$AA$252))*(0.03)/(1-0.03)</f>
        <v>1286.5852728727109</v>
      </c>
      <c r="AF252" s="4" t="s">
        <v>1115</v>
      </c>
    </row>
    <row r="253" spans="1:32" ht="11.25" customHeight="1" x14ac:dyDescent="0.25">
      <c r="A253" s="4" t="s">
        <v>21</v>
      </c>
      <c r="B253" s="4" t="s">
        <v>41</v>
      </c>
      <c r="C253" s="4" t="s">
        <v>40</v>
      </c>
      <c r="D253" s="4" t="s">
        <v>51</v>
      </c>
      <c r="E253" s="4" t="s">
        <v>52</v>
      </c>
      <c r="F253" s="4" t="s">
        <v>25</v>
      </c>
      <c r="G253" s="4" t="s">
        <v>25</v>
      </c>
      <c r="H253" s="4" t="s">
        <v>35</v>
      </c>
      <c r="I253" s="5">
        <v>44621</v>
      </c>
      <c r="J253" s="6">
        <v>260</v>
      </c>
      <c r="K253" s="71">
        <v>260</v>
      </c>
      <c r="L253" s="6">
        <v>97.099000000000004</v>
      </c>
      <c r="M253" s="70">
        <v>97.099000000000004</v>
      </c>
      <c r="N253" s="6">
        <v>97.099000000000004</v>
      </c>
      <c r="O253" s="70">
        <v>97.099000000000004</v>
      </c>
      <c r="P253" s="6">
        <v>0</v>
      </c>
      <c r="Q253" s="4" t="s">
        <v>26</v>
      </c>
      <c r="R253" s="4">
        <v>0</v>
      </c>
      <c r="S253" s="4">
        <v>22</v>
      </c>
      <c r="T253" s="4">
        <v>23</v>
      </c>
      <c r="U253" s="4">
        <v>79</v>
      </c>
      <c r="V253" s="70">
        <f>IF(ISERROR(VLOOKUP($S$253,'TAR FIN'!$A$1:$O$116,15,0)),0,VLOOKUP($S$253,'TAR FIN'!$A$1:$O$116,15,0))*(1-0.06)</f>
        <v>23.979400000000002</v>
      </c>
      <c r="W253" s="70">
        <f>IF(ISERROR(VLOOKUP($T$253,'TAR FIN'!$A$1:$O$116,15,0)),0,VLOOKUP($T$253,'TAR FIN'!$A$1:$O$116,15,0))*(1-0.06)</f>
        <v>83.340399999999988</v>
      </c>
      <c r="X253" s="70">
        <f>IF(ISERROR(VLOOKUP($U$253,'TAR FIN'!$A$1:$O$116,15,0)),0,VLOOKUP($U$253,'TAR FIN'!$A$1:$O$116,15,0))*(1-0.06)</f>
        <v>292.37760000000003</v>
      </c>
      <c r="Y253" s="70">
        <f ca="1">('TUSD BE'!$AM$26+'TUSD BF'!$AM$26+'TUSD CVA'!$AM$26)*1*(1-0.03)</f>
        <v>28.909168793941035</v>
      </c>
      <c r="Z253" s="70">
        <f ca="1">('TUSD BE'!$AM$27+'TUSD BF'!$AM$27+'TUSD CVA'!$AM$27)*1*(1-0.03)</f>
        <v>133.3127786832801</v>
      </c>
      <c r="AA253" s="70">
        <f>('TE BE'!$AB$10+'TE BF'!$AB$10+'TE CVA'!$AB$10)*1*(1-0.03)</f>
        <v>303.83220029520902</v>
      </c>
      <c r="AB253" s="70">
        <f>(SUBSIDIO!$J$253*SUBSIDIO!$V$253)*(0.06)/(1-0.06)</f>
        <v>397.95600000000002</v>
      </c>
      <c r="AC253" s="70">
        <f>((SUBSIDIO!$L$253*SUBSIDIO!$W$253)+(SUBSIDIO!$N$253*SUBSIDIO!$X$253))*(0.06)/(1-0.06)</f>
        <v>2328.6282180000003</v>
      </c>
      <c r="AD253" s="70">
        <f ca="1">(SUBSIDIO!$J$253*SUBSIDIO!$Y$253)*(0.03)/(1-0.03)</f>
        <v>232.46548102344337</v>
      </c>
      <c r="AE253" s="70">
        <f ca="1">((SUBSIDIO!$L$253*SUBSIDIO!$Z$253)+(SUBSIDIO!$N$253*SUBSIDIO!$AA$253))*(0.03)/(1-0.03)</f>
        <v>1312.77341176801</v>
      </c>
      <c r="AF253" s="4" t="s">
        <v>1115</v>
      </c>
    </row>
    <row r="254" spans="1:32" ht="11.25" customHeight="1" x14ac:dyDescent="0.25">
      <c r="A254" s="4" t="s">
        <v>21</v>
      </c>
      <c r="B254" s="4" t="s">
        <v>41</v>
      </c>
      <c r="C254" s="4" t="s">
        <v>40</v>
      </c>
      <c r="D254" s="4" t="s">
        <v>51</v>
      </c>
      <c r="E254" s="4" t="s">
        <v>52</v>
      </c>
      <c r="F254" s="4" t="s">
        <v>25</v>
      </c>
      <c r="G254" s="4" t="s">
        <v>25</v>
      </c>
      <c r="H254" s="4" t="s">
        <v>35</v>
      </c>
      <c r="I254" s="5">
        <v>44652</v>
      </c>
      <c r="J254" s="6">
        <v>258</v>
      </c>
      <c r="K254" s="71">
        <v>258</v>
      </c>
      <c r="L254" s="6">
        <v>101.884</v>
      </c>
      <c r="M254" s="70">
        <v>101.884</v>
      </c>
      <c r="N254" s="6">
        <v>101.884</v>
      </c>
      <c r="O254" s="70">
        <v>101.884</v>
      </c>
      <c r="P254" s="6">
        <v>0</v>
      </c>
      <c r="Q254" s="4" t="s">
        <v>26</v>
      </c>
      <c r="R254" s="4">
        <v>0</v>
      </c>
      <c r="S254" s="4">
        <v>22</v>
      </c>
      <c r="T254" s="4">
        <v>23</v>
      </c>
      <c r="U254" s="4">
        <v>79</v>
      </c>
      <c r="V254" s="70">
        <f>IF(ISERROR(VLOOKUP($S$254,'TAR FIN'!$A$1:$O$116,15,0)),0,VLOOKUP($S$254,'TAR FIN'!$A$1:$O$116,15,0))*(1-0.06)</f>
        <v>23.979400000000002</v>
      </c>
      <c r="W254" s="70">
        <f>IF(ISERROR(VLOOKUP($T$254,'TAR FIN'!$A$1:$O$116,15,0)),0,VLOOKUP($T$254,'TAR FIN'!$A$1:$O$116,15,0))*(1-0.06)</f>
        <v>83.340399999999988</v>
      </c>
      <c r="X254" s="70">
        <f>IF(ISERROR(VLOOKUP($U$254,'TAR FIN'!$A$1:$O$116,15,0)),0,VLOOKUP($U$254,'TAR FIN'!$A$1:$O$116,15,0))*(1-0.06)</f>
        <v>292.37760000000003</v>
      </c>
      <c r="Y254" s="70">
        <f ca="1">('TUSD BE'!$AM$26+'TUSD BF'!$AM$26+'TUSD CVA'!$AM$26)*1*(1-0.03)</f>
        <v>28.909168793941035</v>
      </c>
      <c r="Z254" s="70">
        <f ca="1">('TUSD BE'!$AM$27+'TUSD BF'!$AM$27+'TUSD CVA'!$AM$27)*1*(1-0.03)</f>
        <v>133.3127786832801</v>
      </c>
      <c r="AA254" s="70">
        <f>('TE BE'!$AB$10+'TE BF'!$AB$10+'TE CVA'!$AB$10)*1*(1-0.03)</f>
        <v>303.83220029520902</v>
      </c>
      <c r="AB254" s="70">
        <f>(SUBSIDIO!$J$254*SUBSIDIO!$V$254)*(0.06)/(1-0.06)</f>
        <v>394.89480000000003</v>
      </c>
      <c r="AC254" s="70">
        <f>((SUBSIDIO!$L$254*SUBSIDIO!$W$254)+(SUBSIDIO!$N$254*SUBSIDIO!$X$254))*(0.06)/(1-0.06)</f>
        <v>2443.3820879999998</v>
      </c>
      <c r="AD254" s="70">
        <f ca="1">(SUBSIDIO!$J$254*SUBSIDIO!$Y$254)*(0.03)/(1-0.03)</f>
        <v>230.67728501557073</v>
      </c>
      <c r="AE254" s="70">
        <f ca="1">((SUBSIDIO!$L$254*SUBSIDIO!$Z$254)+(SUBSIDIO!$N$254*SUBSIDIO!$AA$254))*(0.03)/(1-0.03)</f>
        <v>1377.4663620075585</v>
      </c>
      <c r="AF254" s="4" t="s">
        <v>1115</v>
      </c>
    </row>
    <row r="255" spans="1:32" ht="11.25" customHeight="1" x14ac:dyDescent="0.25">
      <c r="A255" s="4" t="s">
        <v>58</v>
      </c>
      <c r="B255" s="4" t="s">
        <v>41</v>
      </c>
      <c r="C255" s="4" t="s">
        <v>40</v>
      </c>
      <c r="D255" s="4" t="s">
        <v>51</v>
      </c>
      <c r="E255" s="4" t="s">
        <v>52</v>
      </c>
      <c r="F255" s="4" t="s">
        <v>25</v>
      </c>
      <c r="G255" s="4" t="s">
        <v>25</v>
      </c>
      <c r="H255" s="4" t="s">
        <v>35</v>
      </c>
      <c r="I255" s="5">
        <v>44682</v>
      </c>
      <c r="J255" s="6">
        <v>258</v>
      </c>
      <c r="K255" s="71">
        <v>258</v>
      </c>
      <c r="L255" s="6">
        <v>101.884</v>
      </c>
      <c r="M255" s="70">
        <v>101.884</v>
      </c>
      <c r="N255" s="6">
        <v>101.884</v>
      </c>
      <c r="O255" s="70">
        <v>101.884</v>
      </c>
      <c r="P255" s="6">
        <v>0</v>
      </c>
      <c r="Q255" s="4" t="s">
        <v>26</v>
      </c>
      <c r="R255" s="4">
        <v>0</v>
      </c>
      <c r="S255" s="4">
        <v>22</v>
      </c>
      <c r="T255" s="4">
        <v>23</v>
      </c>
      <c r="U255" s="4">
        <v>79</v>
      </c>
      <c r="V255" s="70">
        <f>IF(ISERROR(VLOOKUP($S$255,'TAR FIN'!$A$1:$O$116,15,0)),0,VLOOKUP($S$255,'TAR FIN'!$A$1:$O$116,15,0))*(1-0.06)</f>
        <v>23.979400000000002</v>
      </c>
      <c r="W255" s="70">
        <f>IF(ISERROR(VLOOKUP($T$255,'TAR FIN'!$A$1:$O$116,15,0)),0,VLOOKUP($T$255,'TAR FIN'!$A$1:$O$116,15,0))*(1-0.06)</f>
        <v>83.340399999999988</v>
      </c>
      <c r="X255" s="70">
        <f>IF(ISERROR(VLOOKUP($U$255,'TAR FIN'!$A$1:$O$116,15,0)),0,VLOOKUP($U$255,'TAR FIN'!$A$1:$O$116,15,0))*(1-0.06)</f>
        <v>292.37760000000003</v>
      </c>
      <c r="Y255" s="70">
        <f ca="1">('TUSD BE'!$AM$26+'TUSD BF'!$AM$26+'TUSD CVA'!$AM$26)*1*(1-0.03)</f>
        <v>28.909168793941035</v>
      </c>
      <c r="Z255" s="70">
        <f ca="1">('TUSD BE'!$AM$27+'TUSD BF'!$AM$27+'TUSD CVA'!$AM$27)*1*(1-0.03)</f>
        <v>133.3127786832801</v>
      </c>
      <c r="AA255" s="70">
        <f>('TE BE'!$AB$10+'TE BF'!$AB$10+'TE CVA'!$AB$10)*1*(1-0.03)</f>
        <v>303.83220029520902</v>
      </c>
      <c r="AB255" s="70">
        <f>(SUBSIDIO!$J$255*SUBSIDIO!$V$255)*(0.06)/(1-0.06)</f>
        <v>394.89480000000003</v>
      </c>
      <c r="AC255" s="70">
        <f>((SUBSIDIO!$L$255*SUBSIDIO!$W$255)+(SUBSIDIO!$N$255*SUBSIDIO!$X$255))*(0.06)/(1-0.06)</f>
        <v>2443.3820879999998</v>
      </c>
      <c r="AD255" s="70">
        <f ca="1">(SUBSIDIO!$J$255*SUBSIDIO!$Y$255)*(0.03)/(1-0.03)</f>
        <v>230.67728501557073</v>
      </c>
      <c r="AE255" s="70">
        <f ca="1">((SUBSIDIO!$L$255*SUBSIDIO!$Z$255)+(SUBSIDIO!$N$255*SUBSIDIO!$AA$255))*(0.03)/(1-0.03)</f>
        <v>1377.4663620075585</v>
      </c>
      <c r="AF255" s="4" t="s">
        <v>1115</v>
      </c>
    </row>
    <row r="256" spans="1:32" ht="11.25" customHeight="1" x14ac:dyDescent="0.25">
      <c r="A256" s="4" t="s">
        <v>21</v>
      </c>
      <c r="B256" s="4" t="s">
        <v>41</v>
      </c>
      <c r="C256" s="4" t="s">
        <v>40</v>
      </c>
      <c r="D256" s="4" t="s">
        <v>51</v>
      </c>
      <c r="E256" s="4" t="s">
        <v>52</v>
      </c>
      <c r="F256" s="4" t="s">
        <v>25</v>
      </c>
      <c r="G256" s="4" t="s">
        <v>25</v>
      </c>
      <c r="H256" s="4" t="s">
        <v>34</v>
      </c>
      <c r="I256" s="5">
        <v>44348</v>
      </c>
      <c r="J256" s="6">
        <v>537</v>
      </c>
      <c r="K256" s="71">
        <v>537</v>
      </c>
      <c r="L256" s="6">
        <v>23.594999999999999</v>
      </c>
      <c r="M256" s="70">
        <v>23.594999999999999</v>
      </c>
      <c r="N256" s="6">
        <v>23.594999999999999</v>
      </c>
      <c r="O256" s="70">
        <v>23.594999999999999</v>
      </c>
      <c r="P256" s="6">
        <v>0</v>
      </c>
      <c r="Q256" s="4" t="s">
        <v>26</v>
      </c>
      <c r="R256" s="4">
        <v>0</v>
      </c>
      <c r="S256" s="4">
        <v>21</v>
      </c>
      <c r="T256" s="4">
        <v>23</v>
      </c>
      <c r="U256" s="4">
        <v>78</v>
      </c>
      <c r="V256" s="70">
        <f>IF(ISERROR(VLOOKUP($S$256,'TAR FIN'!$A$1:$O$116,15,0)),0,VLOOKUP($S$256,'TAR FIN'!$A$1:$O$116,15,0))*(1-0.06)</f>
        <v>61.663999999999994</v>
      </c>
      <c r="W256" s="70">
        <f>IF(ISERROR(VLOOKUP($T$256,'TAR FIN'!$A$1:$O$116,15,0)),0,VLOOKUP($T$256,'TAR FIN'!$A$1:$O$116,15,0))*(1-0.06)</f>
        <v>83.340399999999988</v>
      </c>
      <c r="X256" s="70">
        <f>IF(ISERROR(VLOOKUP($U$256,'TAR FIN'!$A$1:$O$116,15,0)),0,VLOOKUP($U$256,'TAR FIN'!$A$1:$O$116,15,0))*(1-0.06)</f>
        <v>466.38099999999997</v>
      </c>
      <c r="Y256" s="70">
        <f ca="1">('TUSD BE'!$AM$25+'TUSD BF'!$AM$25+'TUSD CVA'!$AM$25)*1*(1-0.03)</f>
        <v>73.145588257213078</v>
      </c>
      <c r="Z256" s="70">
        <f ca="1">('TUSD BE'!$AM$27+'TUSD BF'!$AM$27+'TUSD CVA'!$AM$27)*1*(1-0.03)</f>
        <v>133.3127786832801</v>
      </c>
      <c r="AA256" s="70">
        <f>('TE BE'!$AB$9+'TE BF'!$AB$9+'TE CVA'!$AB$9)*1*(1-0.03)</f>
        <v>494.74843531278674</v>
      </c>
      <c r="AB256" s="70">
        <f>(SUBSIDIO!$J$256*SUBSIDIO!$V$256)*(0.06)/(1-0.06)</f>
        <v>2113.6320000000001</v>
      </c>
      <c r="AC256" s="70">
        <f>((SUBSIDIO!$L$256*SUBSIDIO!$W$256)+(SUBSIDIO!$N$256*SUBSIDIO!$X$256))*(0.06)/(1-0.06)</f>
        <v>827.91551699999991</v>
      </c>
      <c r="AD256" s="70">
        <f ca="1">(SUBSIDIO!$J$256*SUBSIDIO!$Y$256)*(0.03)/(1-0.03)</f>
        <v>1214.8200276533016</v>
      </c>
      <c r="AE256" s="70">
        <f ca="1">((SUBSIDIO!$L$256*SUBSIDIO!$Z$256)+(SUBSIDIO!$N$256*SUBSIDIO!$AA$256))*(0.03)/(1-0.03)</f>
        <v>458.32281477022258</v>
      </c>
      <c r="AF256" s="4" t="s">
        <v>1115</v>
      </c>
    </row>
    <row r="257" spans="1:32" ht="11.25" customHeight="1" x14ac:dyDescent="0.25">
      <c r="A257" s="4" t="s">
        <v>27</v>
      </c>
      <c r="B257" s="4" t="s">
        <v>41</v>
      </c>
      <c r="C257" s="4" t="s">
        <v>40</v>
      </c>
      <c r="D257" s="4" t="s">
        <v>51</v>
      </c>
      <c r="E257" s="4" t="s">
        <v>52</v>
      </c>
      <c r="F257" s="4" t="s">
        <v>25</v>
      </c>
      <c r="G257" s="4" t="s">
        <v>25</v>
      </c>
      <c r="H257" s="4" t="s">
        <v>34</v>
      </c>
      <c r="I257" s="5">
        <v>44348</v>
      </c>
      <c r="J257" s="6">
        <v>32</v>
      </c>
      <c r="K257" s="71">
        <v>32</v>
      </c>
      <c r="L257" s="6">
        <v>0</v>
      </c>
      <c r="M257" s="70">
        <v>0</v>
      </c>
      <c r="N257" s="6">
        <v>0</v>
      </c>
      <c r="O257" s="70">
        <v>0</v>
      </c>
      <c r="P257" s="6">
        <v>0</v>
      </c>
      <c r="Q257" s="4" t="s">
        <v>26</v>
      </c>
      <c r="R257" s="4">
        <v>0</v>
      </c>
      <c r="S257" s="4">
        <v>21</v>
      </c>
      <c r="T257" s="4">
        <v>0</v>
      </c>
      <c r="U257" s="4">
        <v>0</v>
      </c>
      <c r="V257" s="70">
        <f>IF(ISERROR(VLOOKUP($S$257,'TAR FIN'!$A$1:$O$116,15,0)),0,VLOOKUP($S$257,'TAR FIN'!$A$1:$O$116,15,0))*(1-0.06)</f>
        <v>61.663999999999994</v>
      </c>
      <c r="W257" s="70">
        <f>IF(ISERROR(VLOOKUP($T$257,'TAR FIN'!$A$1:$O$116,15,0)),0,VLOOKUP($T$257,'TAR FIN'!$A$1:$O$116,15,0))*(1-0.06)</f>
        <v>0</v>
      </c>
      <c r="X257" s="70">
        <f>IF(ISERROR(VLOOKUP($U$257,'TAR FIN'!$A$1:$O$116,15,0)),0,VLOOKUP($U$257,'TAR FIN'!$A$1:$O$116,15,0))*(1-0.06)</f>
        <v>0</v>
      </c>
      <c r="Y257" s="70">
        <f ca="1">('TUSD BE'!$AM$25+'TUSD BF'!$AM$25+'TUSD CVA'!$AM$25)*1*(1-0.03)</f>
        <v>73.145588257213078</v>
      </c>
      <c r="Z257" s="70">
        <f ca="1">('TUSD BE'!$AM$27+'TUSD BF'!$AM$27+'TUSD CVA'!$AM$27)*1*(1-0.03)</f>
        <v>133.3127786832801</v>
      </c>
      <c r="AA257" s="70">
        <f>('TE BE'!$AB$9+'TE BF'!$AB$9+'TE CVA'!$AB$9)*1*(1-0.03)</f>
        <v>494.74843531278674</v>
      </c>
      <c r="AB257" s="70">
        <f>(SUBSIDIO!$J$257*SUBSIDIO!$V$257)*(0.06)/(1-0.06)</f>
        <v>125.952</v>
      </c>
      <c r="AC257" s="70">
        <f>((SUBSIDIO!$L$257*SUBSIDIO!$W$257)+(SUBSIDIO!$N$257*SUBSIDIO!$X$257))*(0.06)/(1-0.06)</f>
        <v>0</v>
      </c>
      <c r="AD257" s="70">
        <f ca="1">(SUBSIDIO!$J$257*SUBSIDIO!$Y$257)*(0.03)/(1-0.03)</f>
        <v>72.391510027757278</v>
      </c>
      <c r="AE257" s="70">
        <f ca="1">((SUBSIDIO!$L$257*SUBSIDIO!$Z$257)+(SUBSIDIO!$N$257*SUBSIDIO!$AA$257))*(0.03)/(1-0.03)</f>
        <v>0</v>
      </c>
      <c r="AF257" s="4" t="s">
        <v>1115</v>
      </c>
    </row>
    <row r="258" spans="1:32" ht="11.25" customHeight="1" x14ac:dyDescent="0.25">
      <c r="A258" s="4" t="s">
        <v>21</v>
      </c>
      <c r="B258" s="4" t="s">
        <v>41</v>
      </c>
      <c r="C258" s="4" t="s">
        <v>40</v>
      </c>
      <c r="D258" s="4" t="s">
        <v>51</v>
      </c>
      <c r="E258" s="4" t="s">
        <v>52</v>
      </c>
      <c r="F258" s="4" t="s">
        <v>25</v>
      </c>
      <c r="G258" s="4" t="s">
        <v>25</v>
      </c>
      <c r="H258" s="4" t="s">
        <v>34</v>
      </c>
      <c r="I258" s="5">
        <v>44378</v>
      </c>
      <c r="J258" s="6">
        <v>550</v>
      </c>
      <c r="K258" s="71">
        <v>550</v>
      </c>
      <c r="L258" s="6">
        <v>23.18</v>
      </c>
      <c r="M258" s="70">
        <v>23.18</v>
      </c>
      <c r="N258" s="6">
        <v>23.18</v>
      </c>
      <c r="O258" s="70">
        <v>23.18</v>
      </c>
      <c r="P258" s="6">
        <v>0</v>
      </c>
      <c r="Q258" s="4" t="s">
        <v>26</v>
      </c>
      <c r="R258" s="4">
        <v>0</v>
      </c>
      <c r="S258" s="4">
        <v>21</v>
      </c>
      <c r="T258" s="4">
        <v>23</v>
      </c>
      <c r="U258" s="4">
        <v>78</v>
      </c>
      <c r="V258" s="70">
        <f>IF(ISERROR(VLOOKUP($S$258,'TAR FIN'!$A$1:$O$116,15,0)),0,VLOOKUP($S$258,'TAR FIN'!$A$1:$O$116,15,0))*(1-0.06)</f>
        <v>61.663999999999994</v>
      </c>
      <c r="W258" s="70">
        <f>IF(ISERROR(VLOOKUP($T$258,'TAR FIN'!$A$1:$O$116,15,0)),0,VLOOKUP($T$258,'TAR FIN'!$A$1:$O$116,15,0))*(1-0.06)</f>
        <v>83.340399999999988</v>
      </c>
      <c r="X258" s="70">
        <f>IF(ISERROR(VLOOKUP($U$258,'TAR FIN'!$A$1:$O$116,15,0)),0,VLOOKUP($U$258,'TAR FIN'!$A$1:$O$116,15,0))*(1-0.06)</f>
        <v>466.38099999999997</v>
      </c>
      <c r="Y258" s="70">
        <f ca="1">('TUSD BE'!$AM$25+'TUSD BF'!$AM$25+'TUSD CVA'!$AM$25)*1*(1-0.03)</f>
        <v>73.145588257213078</v>
      </c>
      <c r="Z258" s="70">
        <f ca="1">('TUSD BE'!$AM$27+'TUSD BF'!$AM$27+'TUSD CVA'!$AM$27)*1*(1-0.03)</f>
        <v>133.3127786832801</v>
      </c>
      <c r="AA258" s="70">
        <f>('TE BE'!$AB$9+'TE BF'!$AB$9+'TE CVA'!$AB$9)*1*(1-0.03)</f>
        <v>494.74843531278674</v>
      </c>
      <c r="AB258" s="70">
        <f>(SUBSIDIO!$J$258*SUBSIDIO!$V$258)*(0.06)/(1-0.06)</f>
        <v>2164.7999999999997</v>
      </c>
      <c r="AC258" s="70">
        <f>((SUBSIDIO!$L$258*SUBSIDIO!$W$258)+(SUBSIDIO!$N$258*SUBSIDIO!$X$258))*(0.06)/(1-0.06)</f>
        <v>813.353748</v>
      </c>
      <c r="AD258" s="70">
        <f ca="1">(SUBSIDIO!$J$258*SUBSIDIO!$Y$258)*(0.03)/(1-0.03)</f>
        <v>1244.2290786020783</v>
      </c>
      <c r="AE258" s="70">
        <f ca="1">((SUBSIDIO!$L$258*SUBSIDIO!$Z$258)+(SUBSIDIO!$N$258*SUBSIDIO!$AA$258))*(0.03)/(1-0.03)</f>
        <v>450.26161671429367</v>
      </c>
      <c r="AF258" s="4" t="s">
        <v>1115</v>
      </c>
    </row>
    <row r="259" spans="1:32" ht="11.25" customHeight="1" x14ac:dyDescent="0.25">
      <c r="A259" s="4" t="s">
        <v>27</v>
      </c>
      <c r="B259" s="4" t="s">
        <v>41</v>
      </c>
      <c r="C259" s="4" t="s">
        <v>40</v>
      </c>
      <c r="D259" s="4" t="s">
        <v>51</v>
      </c>
      <c r="E259" s="4" t="s">
        <v>52</v>
      </c>
      <c r="F259" s="4" t="s">
        <v>25</v>
      </c>
      <c r="G259" s="4" t="s">
        <v>25</v>
      </c>
      <c r="H259" s="4" t="s">
        <v>34</v>
      </c>
      <c r="I259" s="5">
        <v>44378</v>
      </c>
      <c r="J259" s="6">
        <v>14</v>
      </c>
      <c r="K259" s="71">
        <v>14</v>
      </c>
      <c r="L259" s="6">
        <v>-0.438</v>
      </c>
      <c r="M259" s="70">
        <v>-0.438</v>
      </c>
      <c r="N259" s="6">
        <v>-0.438</v>
      </c>
      <c r="O259" s="70">
        <v>-0.438</v>
      </c>
      <c r="P259" s="6">
        <v>0</v>
      </c>
      <c r="Q259" s="4" t="s">
        <v>26</v>
      </c>
      <c r="R259" s="4">
        <v>0</v>
      </c>
      <c r="S259" s="4">
        <v>21</v>
      </c>
      <c r="T259" s="4">
        <v>23</v>
      </c>
      <c r="U259" s="4">
        <v>78</v>
      </c>
      <c r="V259" s="70">
        <f>IF(ISERROR(VLOOKUP($S$259,'TAR FIN'!$A$1:$O$116,15,0)),0,VLOOKUP($S$259,'TAR FIN'!$A$1:$O$116,15,0))*(1-0.06)</f>
        <v>61.663999999999994</v>
      </c>
      <c r="W259" s="70">
        <f>IF(ISERROR(VLOOKUP($T$259,'TAR FIN'!$A$1:$O$116,15,0)),0,VLOOKUP($T$259,'TAR FIN'!$A$1:$O$116,15,0))*(1-0.06)</f>
        <v>83.340399999999988</v>
      </c>
      <c r="X259" s="70">
        <f>IF(ISERROR(VLOOKUP($U$259,'TAR FIN'!$A$1:$O$116,15,0)),0,VLOOKUP($U$259,'TAR FIN'!$A$1:$O$116,15,0))*(1-0.06)</f>
        <v>466.38099999999997</v>
      </c>
      <c r="Y259" s="70">
        <f ca="1">('TUSD BE'!$AM$25+'TUSD BF'!$AM$25+'TUSD CVA'!$AM$25)*1*(1-0.03)</f>
        <v>73.145588257213078</v>
      </c>
      <c r="Z259" s="70">
        <f ca="1">('TUSD BE'!$AM$27+'TUSD BF'!$AM$27+'TUSD CVA'!$AM$27)*1*(1-0.03)</f>
        <v>133.3127786832801</v>
      </c>
      <c r="AA259" s="70">
        <f>('TE BE'!$AB$9+'TE BF'!$AB$9+'TE CVA'!$AB$9)*1*(1-0.03)</f>
        <v>494.74843531278674</v>
      </c>
      <c r="AB259" s="70">
        <f>(SUBSIDIO!$J$259*SUBSIDIO!$V$259)*(0.06)/(1-0.06)</f>
        <v>55.103999999999999</v>
      </c>
      <c r="AC259" s="70">
        <f>((SUBSIDIO!$L$259*SUBSIDIO!$W$259)+(SUBSIDIO!$N$259*SUBSIDIO!$X$259))*(0.06)/(1-0.06)</f>
        <v>-15.3688068</v>
      </c>
      <c r="AD259" s="70">
        <f ca="1">(SUBSIDIO!$J$259*SUBSIDIO!$Y$259)*(0.03)/(1-0.03)</f>
        <v>31.671285637143811</v>
      </c>
      <c r="AE259" s="70">
        <f ca="1">((SUBSIDIO!$L$259*SUBSIDIO!$Z$259)+(SUBSIDIO!$N$259*SUBSIDIO!$AA$259))*(0.03)/(1-0.03)</f>
        <v>-8.5079632493900181</v>
      </c>
      <c r="AF259" s="4" t="s">
        <v>1115</v>
      </c>
    </row>
    <row r="260" spans="1:32" ht="11.25" customHeight="1" x14ac:dyDescent="0.25">
      <c r="A260" s="4" t="s">
        <v>21</v>
      </c>
      <c r="B260" s="4" t="s">
        <v>41</v>
      </c>
      <c r="C260" s="4" t="s">
        <v>40</v>
      </c>
      <c r="D260" s="4" t="s">
        <v>51</v>
      </c>
      <c r="E260" s="4" t="s">
        <v>52</v>
      </c>
      <c r="F260" s="4" t="s">
        <v>25</v>
      </c>
      <c r="G260" s="4" t="s">
        <v>25</v>
      </c>
      <c r="H260" s="4" t="s">
        <v>34</v>
      </c>
      <c r="I260" s="5">
        <v>44409</v>
      </c>
      <c r="J260" s="6">
        <v>546</v>
      </c>
      <c r="K260" s="71">
        <v>546</v>
      </c>
      <c r="L260" s="6">
        <v>22.675999999999998</v>
      </c>
      <c r="M260" s="70">
        <v>22.675999999999998</v>
      </c>
      <c r="N260" s="6">
        <v>22.675999999999998</v>
      </c>
      <c r="O260" s="70">
        <v>22.675999999999998</v>
      </c>
      <c r="P260" s="6">
        <v>0</v>
      </c>
      <c r="Q260" s="4" t="s">
        <v>26</v>
      </c>
      <c r="R260" s="4">
        <v>0</v>
      </c>
      <c r="S260" s="4">
        <v>21</v>
      </c>
      <c r="T260" s="4">
        <v>23</v>
      </c>
      <c r="U260" s="4">
        <v>78</v>
      </c>
      <c r="V260" s="70">
        <f>IF(ISERROR(VLOOKUP($S$260,'TAR FIN'!$A$1:$O$116,15,0)),0,VLOOKUP($S$260,'TAR FIN'!$A$1:$O$116,15,0))*(1-0.06)</f>
        <v>61.663999999999994</v>
      </c>
      <c r="W260" s="70">
        <f>IF(ISERROR(VLOOKUP($T$260,'TAR FIN'!$A$1:$O$116,15,0)),0,VLOOKUP($T$260,'TAR FIN'!$A$1:$O$116,15,0))*(1-0.06)</f>
        <v>83.340399999999988</v>
      </c>
      <c r="X260" s="70">
        <f>IF(ISERROR(VLOOKUP($U$260,'TAR FIN'!$A$1:$O$116,15,0)),0,VLOOKUP($U$260,'TAR FIN'!$A$1:$O$116,15,0))*(1-0.06)</f>
        <v>466.38099999999997</v>
      </c>
      <c r="Y260" s="70">
        <f ca="1">('TUSD BE'!$AM$25+'TUSD BF'!$AM$25+'TUSD CVA'!$AM$25)*1*(1-0.03)</f>
        <v>73.145588257213078</v>
      </c>
      <c r="Z260" s="70">
        <f ca="1">('TUSD BE'!$AM$27+'TUSD BF'!$AM$27+'TUSD CVA'!$AM$27)*1*(1-0.03)</f>
        <v>133.3127786832801</v>
      </c>
      <c r="AA260" s="70">
        <f>('TE BE'!$AB$9+'TE BF'!$AB$9+'TE CVA'!$AB$9)*1*(1-0.03)</f>
        <v>494.74843531278674</v>
      </c>
      <c r="AB260" s="70">
        <f>(SUBSIDIO!$J$260*SUBSIDIO!$V$260)*(0.06)/(1-0.06)</f>
        <v>2149.0559999999996</v>
      </c>
      <c r="AC260" s="70">
        <f>((SUBSIDIO!$L$260*SUBSIDIO!$W$260)+(SUBSIDIO!$N$260*SUBSIDIO!$X$260))*(0.06)/(1-0.06)</f>
        <v>795.66909359999988</v>
      </c>
      <c r="AD260" s="70">
        <f ca="1">(SUBSIDIO!$J$260*SUBSIDIO!$Y$260)*(0.03)/(1-0.03)</f>
        <v>1235.1801398486084</v>
      </c>
      <c r="AE260" s="70">
        <f ca="1">((SUBSIDIO!$L$260*SUBSIDIO!$Z$260)+(SUBSIDIO!$N$260*SUBSIDIO!$AA$260))*(0.03)/(1-0.03)</f>
        <v>440.47163160540657</v>
      </c>
      <c r="AF260" s="4" t="s">
        <v>1115</v>
      </c>
    </row>
    <row r="261" spans="1:32" ht="11.25" customHeight="1" x14ac:dyDescent="0.25">
      <c r="A261" s="4" t="s">
        <v>21</v>
      </c>
      <c r="B261" s="4" t="s">
        <v>41</v>
      </c>
      <c r="C261" s="4" t="s">
        <v>40</v>
      </c>
      <c r="D261" s="4" t="s">
        <v>51</v>
      </c>
      <c r="E261" s="4" t="s">
        <v>52</v>
      </c>
      <c r="F261" s="4" t="s">
        <v>25</v>
      </c>
      <c r="G261" s="4" t="s">
        <v>25</v>
      </c>
      <c r="H261" s="4" t="s">
        <v>34</v>
      </c>
      <c r="I261" s="5">
        <v>44440</v>
      </c>
      <c r="J261" s="6">
        <v>545</v>
      </c>
      <c r="K261" s="71">
        <v>545</v>
      </c>
      <c r="L261" s="6">
        <v>22.198</v>
      </c>
      <c r="M261" s="70">
        <v>22.198</v>
      </c>
      <c r="N261" s="6">
        <v>22.198</v>
      </c>
      <c r="O261" s="70">
        <v>22.198</v>
      </c>
      <c r="P261" s="6">
        <v>0</v>
      </c>
      <c r="Q261" s="4" t="s">
        <v>26</v>
      </c>
      <c r="R261" s="4">
        <v>0</v>
      </c>
      <c r="S261" s="4">
        <v>21</v>
      </c>
      <c r="T261" s="4">
        <v>23</v>
      </c>
      <c r="U261" s="4">
        <v>78</v>
      </c>
      <c r="V261" s="70">
        <f>IF(ISERROR(VLOOKUP($S$261,'TAR FIN'!$A$1:$O$116,15,0)),0,VLOOKUP($S$261,'TAR FIN'!$A$1:$O$116,15,0))*(1-0.06)</f>
        <v>61.663999999999994</v>
      </c>
      <c r="W261" s="70">
        <f>IF(ISERROR(VLOOKUP($T$261,'TAR FIN'!$A$1:$O$116,15,0)),0,VLOOKUP($T$261,'TAR FIN'!$A$1:$O$116,15,0))*(1-0.06)</f>
        <v>83.340399999999988</v>
      </c>
      <c r="X261" s="70">
        <f>IF(ISERROR(VLOOKUP($U$261,'TAR FIN'!$A$1:$O$116,15,0)),0,VLOOKUP($U$261,'TAR FIN'!$A$1:$O$116,15,0))*(1-0.06)</f>
        <v>466.38099999999997</v>
      </c>
      <c r="Y261" s="70">
        <f ca="1">('TUSD BE'!$AM$25+'TUSD BF'!$AM$25+'TUSD CVA'!$AM$25)*1*(1-0.03)</f>
        <v>73.145588257213078</v>
      </c>
      <c r="Z261" s="70">
        <f ca="1">('TUSD BE'!$AM$27+'TUSD BF'!$AM$27+'TUSD CVA'!$AM$27)*1*(1-0.03)</f>
        <v>133.3127786832801</v>
      </c>
      <c r="AA261" s="70">
        <f>('TE BE'!$AB$9+'TE BF'!$AB$9+'TE CVA'!$AB$9)*1*(1-0.03)</f>
        <v>494.74843531278674</v>
      </c>
      <c r="AB261" s="70">
        <f>(SUBSIDIO!$J$261*SUBSIDIO!$V$261)*(0.06)/(1-0.06)</f>
        <v>2145.12</v>
      </c>
      <c r="AC261" s="70">
        <f>((SUBSIDIO!$L$261*SUBSIDIO!$W$261)+(SUBSIDIO!$N$261*SUBSIDIO!$X$261))*(0.06)/(1-0.06)</f>
        <v>778.89674279999986</v>
      </c>
      <c r="AD261" s="70">
        <f ca="1">(SUBSIDIO!$J$261*SUBSIDIO!$Y$261)*(0.03)/(1-0.03)</f>
        <v>1232.9179051602412</v>
      </c>
      <c r="AE261" s="70">
        <f ca="1">((SUBSIDIO!$L$261*SUBSIDIO!$Z$261)+(SUBSIDIO!$N$261*SUBSIDIO!$AA$261))*(0.03)/(1-0.03)</f>
        <v>431.18668541086669</v>
      </c>
      <c r="AF261" s="4" t="s">
        <v>1115</v>
      </c>
    </row>
    <row r="262" spans="1:32" ht="11.25" customHeight="1" x14ac:dyDescent="0.25">
      <c r="A262" s="4" t="s">
        <v>21</v>
      </c>
      <c r="B262" s="4" t="s">
        <v>41</v>
      </c>
      <c r="C262" s="4" t="s">
        <v>40</v>
      </c>
      <c r="D262" s="4" t="s">
        <v>51</v>
      </c>
      <c r="E262" s="4" t="s">
        <v>52</v>
      </c>
      <c r="F262" s="4" t="s">
        <v>25</v>
      </c>
      <c r="G262" s="4" t="s">
        <v>25</v>
      </c>
      <c r="H262" s="4" t="s">
        <v>34</v>
      </c>
      <c r="I262" s="5">
        <v>44470</v>
      </c>
      <c r="J262" s="6">
        <v>254</v>
      </c>
      <c r="K262" s="71">
        <v>254</v>
      </c>
      <c r="L262" s="6">
        <v>8.6609999999999996</v>
      </c>
      <c r="M262" s="70">
        <v>8.6609999999999996</v>
      </c>
      <c r="N262" s="6">
        <v>8.6609999999999996</v>
      </c>
      <c r="O262" s="70">
        <v>8.6609999999999996</v>
      </c>
      <c r="P262" s="6">
        <v>0</v>
      </c>
      <c r="Q262" s="4" t="s">
        <v>26</v>
      </c>
      <c r="R262" s="4">
        <v>0</v>
      </c>
      <c r="S262" s="4">
        <v>21</v>
      </c>
      <c r="T262" s="4">
        <v>23</v>
      </c>
      <c r="U262" s="4">
        <v>78</v>
      </c>
      <c r="V262" s="70">
        <f>IF(ISERROR(VLOOKUP($S$262,'TAR FIN'!$A$1:$O$116,15,0)),0,VLOOKUP($S$262,'TAR FIN'!$A$1:$O$116,15,0))*(1-0.06)</f>
        <v>61.663999999999994</v>
      </c>
      <c r="W262" s="70">
        <f>IF(ISERROR(VLOOKUP($T$262,'TAR FIN'!$A$1:$O$116,15,0)),0,VLOOKUP($T$262,'TAR FIN'!$A$1:$O$116,15,0))*(1-0.06)</f>
        <v>83.340399999999988</v>
      </c>
      <c r="X262" s="70">
        <f>IF(ISERROR(VLOOKUP($U$262,'TAR FIN'!$A$1:$O$116,15,0)),0,VLOOKUP($U$262,'TAR FIN'!$A$1:$O$116,15,0))*(1-0.06)</f>
        <v>466.38099999999997</v>
      </c>
      <c r="Y262" s="70">
        <f ca="1">('TUSD BE'!$AM$25+'TUSD BF'!$AM$25+'TUSD CVA'!$AM$25)*1*(1-0.03)</f>
        <v>73.145588257213078</v>
      </c>
      <c r="Z262" s="70">
        <f ca="1">('TUSD BE'!$AM$27+'TUSD BF'!$AM$27+'TUSD CVA'!$AM$27)*1*(1-0.03)</f>
        <v>133.3127786832801</v>
      </c>
      <c r="AA262" s="70">
        <f>('TE BE'!$AB$9+'TE BF'!$AB$9+'TE CVA'!$AB$9)*1*(1-0.03)</f>
        <v>494.74843531278674</v>
      </c>
      <c r="AB262" s="70">
        <f>(SUBSIDIO!$J$262*SUBSIDIO!$V$262)*(0.06)/(1-0.06)</f>
        <v>999.74399999999991</v>
      </c>
      <c r="AC262" s="70">
        <f>((SUBSIDIO!$L$262*SUBSIDIO!$W$262)+(SUBSIDIO!$N$262*SUBSIDIO!$X$262))*(0.06)/(1-0.06)</f>
        <v>303.90236459999994</v>
      </c>
      <c r="AD262" s="70">
        <f ca="1">(SUBSIDIO!$J$262*SUBSIDIO!$Y$262)*(0.03)/(1-0.03)</f>
        <v>574.60761084532328</v>
      </c>
      <c r="AE262" s="70">
        <f ca="1">((SUBSIDIO!$L$262*SUBSIDIO!$Z$262)+(SUBSIDIO!$N$262*SUBSIDIO!$AA$262))*(0.03)/(1-0.03)</f>
        <v>168.23623219855472</v>
      </c>
      <c r="AF262" s="4" t="s">
        <v>1115</v>
      </c>
    </row>
    <row r="263" spans="1:32" ht="11.25" customHeight="1" x14ac:dyDescent="0.25">
      <c r="A263" s="4" t="s">
        <v>21</v>
      </c>
      <c r="B263" s="4" t="s">
        <v>41</v>
      </c>
      <c r="C263" s="4" t="s">
        <v>40</v>
      </c>
      <c r="D263" s="4" t="s">
        <v>51</v>
      </c>
      <c r="E263" s="4" t="s">
        <v>52</v>
      </c>
      <c r="F263" s="4" t="s">
        <v>25</v>
      </c>
      <c r="G263" s="4" t="s">
        <v>25</v>
      </c>
      <c r="H263" s="4" t="s">
        <v>34</v>
      </c>
      <c r="I263" s="5">
        <v>44501</v>
      </c>
      <c r="J263" s="6">
        <v>224</v>
      </c>
      <c r="K263" s="71">
        <v>224</v>
      </c>
      <c r="L263" s="6">
        <v>7.1050000000000004</v>
      </c>
      <c r="M263" s="70">
        <v>7.1050000000000004</v>
      </c>
      <c r="N263" s="6">
        <v>7.1050000000000004</v>
      </c>
      <c r="O263" s="70">
        <v>7.1050000000000004</v>
      </c>
      <c r="P263" s="6">
        <v>0</v>
      </c>
      <c r="Q263" s="4" t="s">
        <v>26</v>
      </c>
      <c r="R263" s="4">
        <v>0</v>
      </c>
      <c r="S263" s="4">
        <v>21</v>
      </c>
      <c r="T263" s="4">
        <v>23</v>
      </c>
      <c r="U263" s="4">
        <v>78</v>
      </c>
      <c r="V263" s="70">
        <f>IF(ISERROR(VLOOKUP($S$263,'TAR FIN'!$A$1:$O$116,15,0)),0,VLOOKUP($S$263,'TAR FIN'!$A$1:$O$116,15,0))*(1-0.06)</f>
        <v>61.663999999999994</v>
      </c>
      <c r="W263" s="70">
        <f>IF(ISERROR(VLOOKUP($T$263,'TAR FIN'!$A$1:$O$116,15,0)),0,VLOOKUP($T$263,'TAR FIN'!$A$1:$O$116,15,0))*(1-0.06)</f>
        <v>83.340399999999988</v>
      </c>
      <c r="X263" s="70">
        <f>IF(ISERROR(VLOOKUP($U$263,'TAR FIN'!$A$1:$O$116,15,0)),0,VLOOKUP($U$263,'TAR FIN'!$A$1:$O$116,15,0))*(1-0.06)</f>
        <v>466.38099999999997</v>
      </c>
      <c r="Y263" s="70">
        <f ca="1">('TUSD BE'!$AM$25+'TUSD BF'!$AM$25+'TUSD CVA'!$AM$25)*1*(1-0.03)</f>
        <v>73.145588257213078</v>
      </c>
      <c r="Z263" s="70">
        <f ca="1">('TUSD BE'!$AM$27+'TUSD BF'!$AM$27+'TUSD CVA'!$AM$27)*1*(1-0.03)</f>
        <v>133.3127786832801</v>
      </c>
      <c r="AA263" s="70">
        <f>('TE BE'!$AB$9+'TE BF'!$AB$9+'TE CVA'!$AB$9)*1*(1-0.03)</f>
        <v>494.74843531278674</v>
      </c>
      <c r="AB263" s="70">
        <f>(SUBSIDIO!$J$263*SUBSIDIO!$V$263)*(0.06)/(1-0.06)</f>
        <v>881.66399999999999</v>
      </c>
      <c r="AC263" s="70">
        <f>((SUBSIDIO!$L$263*SUBSIDIO!$W$263)+(SUBSIDIO!$N$263*SUBSIDIO!$X$263))*(0.06)/(1-0.06)</f>
        <v>249.30450299999998</v>
      </c>
      <c r="AD263" s="70">
        <f ca="1">(SUBSIDIO!$J$263*SUBSIDIO!$Y$263)*(0.03)/(1-0.03)</f>
        <v>506.74057019430097</v>
      </c>
      <c r="AE263" s="70">
        <f ca="1">((SUBSIDIO!$L$263*SUBSIDIO!$Z$263)+(SUBSIDIO!$N$263*SUBSIDIO!$AA$263))*(0.03)/(1-0.03)</f>
        <v>138.01159563222853</v>
      </c>
      <c r="AF263" s="4" t="s">
        <v>1115</v>
      </c>
    </row>
    <row r="264" spans="1:32" ht="11.25" customHeight="1" x14ac:dyDescent="0.25">
      <c r="A264" s="4" t="s">
        <v>21</v>
      </c>
      <c r="B264" s="4" t="s">
        <v>41</v>
      </c>
      <c r="C264" s="4" t="s">
        <v>40</v>
      </c>
      <c r="D264" s="4" t="s">
        <v>51</v>
      </c>
      <c r="E264" s="4" t="s">
        <v>52</v>
      </c>
      <c r="F264" s="4" t="s">
        <v>25</v>
      </c>
      <c r="G264" s="4" t="s">
        <v>25</v>
      </c>
      <c r="H264" s="4" t="s">
        <v>34</v>
      </c>
      <c r="I264" s="5">
        <v>44531</v>
      </c>
      <c r="J264" s="6">
        <v>225</v>
      </c>
      <c r="K264" s="71">
        <v>225</v>
      </c>
      <c r="L264" s="6">
        <v>8.4120000000000008</v>
      </c>
      <c r="M264" s="70">
        <v>8.4120000000000008</v>
      </c>
      <c r="N264" s="6">
        <v>8.4120000000000008</v>
      </c>
      <c r="O264" s="70">
        <v>8.4120000000000008</v>
      </c>
      <c r="P264" s="6">
        <v>0</v>
      </c>
      <c r="Q264" s="4" t="s">
        <v>26</v>
      </c>
      <c r="R264" s="4">
        <v>0</v>
      </c>
      <c r="S264" s="4">
        <v>21</v>
      </c>
      <c r="T264" s="4">
        <v>23</v>
      </c>
      <c r="U264" s="4">
        <v>78</v>
      </c>
      <c r="V264" s="70">
        <f>IF(ISERROR(VLOOKUP($S$264,'TAR FIN'!$A$1:$O$116,15,0)),0,VLOOKUP($S$264,'TAR FIN'!$A$1:$O$116,15,0))*(1-0.06)</f>
        <v>61.663999999999994</v>
      </c>
      <c r="W264" s="70">
        <f>IF(ISERROR(VLOOKUP($T$264,'TAR FIN'!$A$1:$O$116,15,0)),0,VLOOKUP($T$264,'TAR FIN'!$A$1:$O$116,15,0))*(1-0.06)</f>
        <v>83.340399999999988</v>
      </c>
      <c r="X264" s="70">
        <f>IF(ISERROR(VLOOKUP($U$264,'TAR FIN'!$A$1:$O$116,15,0)),0,VLOOKUP($U$264,'TAR FIN'!$A$1:$O$116,15,0))*(1-0.06)</f>
        <v>466.38099999999997</v>
      </c>
      <c r="Y264" s="70">
        <f ca="1">('TUSD BE'!$AM$25+'TUSD BF'!$AM$25+'TUSD CVA'!$AM$25)*1*(1-0.03)</f>
        <v>73.145588257213078</v>
      </c>
      <c r="Z264" s="70">
        <f ca="1">('TUSD BE'!$AM$27+'TUSD BF'!$AM$27+'TUSD CVA'!$AM$27)*1*(1-0.03)</f>
        <v>133.3127786832801</v>
      </c>
      <c r="AA264" s="70">
        <f>('TE BE'!$AB$9+'TE BF'!$AB$9+'TE CVA'!$AB$9)*1*(1-0.03)</f>
        <v>494.74843531278674</v>
      </c>
      <c r="AB264" s="70">
        <f>(SUBSIDIO!$J$264*SUBSIDIO!$V$264)*(0.06)/(1-0.06)</f>
        <v>885.6</v>
      </c>
      <c r="AC264" s="70">
        <f>((SUBSIDIO!$L$264*SUBSIDIO!$W$264)+(SUBSIDIO!$N$264*SUBSIDIO!$X$264))*(0.06)/(1-0.06)</f>
        <v>295.16530320000004</v>
      </c>
      <c r="AD264" s="70">
        <f ca="1">(SUBSIDIO!$J$264*SUBSIDIO!$Y$264)*(0.03)/(1-0.03)</f>
        <v>509.00280488266833</v>
      </c>
      <c r="AE264" s="70">
        <f ca="1">((SUBSIDIO!$L$264*SUBSIDIO!$Z$264)+(SUBSIDIO!$N$264*SUBSIDIO!$AA$264))*(0.03)/(1-0.03)</f>
        <v>163.39951336499735</v>
      </c>
      <c r="AF264" s="4" t="s">
        <v>1115</v>
      </c>
    </row>
    <row r="265" spans="1:32" ht="11.25" customHeight="1" x14ac:dyDescent="0.25">
      <c r="A265" s="4" t="s">
        <v>21</v>
      </c>
      <c r="B265" s="4" t="s">
        <v>41</v>
      </c>
      <c r="C265" s="4" t="s">
        <v>40</v>
      </c>
      <c r="D265" s="4" t="s">
        <v>51</v>
      </c>
      <c r="E265" s="4" t="s">
        <v>52</v>
      </c>
      <c r="F265" s="4" t="s">
        <v>25</v>
      </c>
      <c r="G265" s="4" t="s">
        <v>25</v>
      </c>
      <c r="H265" s="4" t="s">
        <v>34</v>
      </c>
      <c r="I265" s="5">
        <v>44562</v>
      </c>
      <c r="J265" s="6">
        <v>231</v>
      </c>
      <c r="K265" s="71">
        <v>231</v>
      </c>
      <c r="L265" s="6">
        <v>8.6790000000000003</v>
      </c>
      <c r="M265" s="70">
        <v>8.6790000000000003</v>
      </c>
      <c r="N265" s="6">
        <v>8.6790000000000003</v>
      </c>
      <c r="O265" s="70">
        <v>8.6790000000000003</v>
      </c>
      <c r="P265" s="6">
        <v>0</v>
      </c>
      <c r="Q265" s="4" t="s">
        <v>26</v>
      </c>
      <c r="R265" s="4">
        <v>0</v>
      </c>
      <c r="S265" s="4">
        <v>21</v>
      </c>
      <c r="T265" s="4">
        <v>23</v>
      </c>
      <c r="U265" s="4">
        <v>78</v>
      </c>
      <c r="V265" s="70">
        <f>IF(ISERROR(VLOOKUP($S$265,'TAR FIN'!$A$1:$O$116,15,0)),0,VLOOKUP($S$265,'TAR FIN'!$A$1:$O$116,15,0))*(1-0.06)</f>
        <v>61.663999999999994</v>
      </c>
      <c r="W265" s="70">
        <f>IF(ISERROR(VLOOKUP($T$265,'TAR FIN'!$A$1:$O$116,15,0)),0,VLOOKUP($T$265,'TAR FIN'!$A$1:$O$116,15,0))*(1-0.06)</f>
        <v>83.340399999999988</v>
      </c>
      <c r="X265" s="70">
        <f>IF(ISERROR(VLOOKUP($U$265,'TAR FIN'!$A$1:$O$116,15,0)),0,VLOOKUP($U$265,'TAR FIN'!$A$1:$O$116,15,0))*(1-0.06)</f>
        <v>466.38099999999997</v>
      </c>
      <c r="Y265" s="70">
        <f ca="1">('TUSD BE'!$AM$25+'TUSD BF'!$AM$25+'TUSD CVA'!$AM$25)*1*(1-0.03)</f>
        <v>73.145588257213078</v>
      </c>
      <c r="Z265" s="70">
        <f ca="1">('TUSD BE'!$AM$27+'TUSD BF'!$AM$27+'TUSD CVA'!$AM$27)*1*(1-0.03)</f>
        <v>133.3127786832801</v>
      </c>
      <c r="AA265" s="70">
        <f>('TE BE'!$AB$9+'TE BF'!$AB$9+'TE CVA'!$AB$9)*1*(1-0.03)</f>
        <v>494.74843531278674</v>
      </c>
      <c r="AB265" s="70">
        <f>(SUBSIDIO!$J$265*SUBSIDIO!$V$265)*(0.06)/(1-0.06)</f>
        <v>909.21600000000001</v>
      </c>
      <c r="AC265" s="70">
        <f>((SUBSIDIO!$L$265*SUBSIDIO!$W$265)+(SUBSIDIO!$N$265*SUBSIDIO!$X$265))*(0.06)/(1-0.06)</f>
        <v>304.53395939999996</v>
      </c>
      <c r="AD265" s="70">
        <f ca="1">(SUBSIDIO!$J$265*SUBSIDIO!$Y$265)*(0.03)/(1-0.03)</f>
        <v>522.57621301287281</v>
      </c>
      <c r="AE265" s="70">
        <f ca="1">((SUBSIDIO!$L$265*SUBSIDIO!$Z$265)+(SUBSIDIO!$N$265*SUBSIDIO!$AA$265))*(0.03)/(1-0.03)</f>
        <v>168.58587452387209</v>
      </c>
      <c r="AF265" s="4" t="s">
        <v>1115</v>
      </c>
    </row>
    <row r="266" spans="1:32" ht="11.25" customHeight="1" x14ac:dyDescent="0.25">
      <c r="A266" s="4" t="s">
        <v>21</v>
      </c>
      <c r="B266" s="4" t="s">
        <v>41</v>
      </c>
      <c r="C266" s="4" t="s">
        <v>40</v>
      </c>
      <c r="D266" s="4" t="s">
        <v>51</v>
      </c>
      <c r="E266" s="4" t="s">
        <v>52</v>
      </c>
      <c r="F266" s="4" t="s">
        <v>25</v>
      </c>
      <c r="G266" s="4" t="s">
        <v>25</v>
      </c>
      <c r="H266" s="4" t="s">
        <v>34</v>
      </c>
      <c r="I266" s="5">
        <v>44593</v>
      </c>
      <c r="J266" s="6">
        <v>236</v>
      </c>
      <c r="K266" s="71">
        <v>236</v>
      </c>
      <c r="L266" s="6">
        <v>9.5060000000000002</v>
      </c>
      <c r="M266" s="70">
        <v>9.5060000000000002</v>
      </c>
      <c r="N266" s="6">
        <v>9.5060000000000002</v>
      </c>
      <c r="O266" s="70">
        <v>9.5060000000000002</v>
      </c>
      <c r="P266" s="6">
        <v>0</v>
      </c>
      <c r="Q266" s="4" t="s">
        <v>26</v>
      </c>
      <c r="R266" s="4">
        <v>0</v>
      </c>
      <c r="S266" s="4">
        <v>21</v>
      </c>
      <c r="T266" s="4">
        <v>23</v>
      </c>
      <c r="U266" s="4">
        <v>78</v>
      </c>
      <c r="V266" s="70">
        <f>IF(ISERROR(VLOOKUP($S$266,'TAR FIN'!$A$1:$O$116,15,0)),0,VLOOKUP($S$266,'TAR FIN'!$A$1:$O$116,15,0))*(1-0.06)</f>
        <v>61.663999999999994</v>
      </c>
      <c r="W266" s="70">
        <f>IF(ISERROR(VLOOKUP($T$266,'TAR FIN'!$A$1:$O$116,15,0)),0,VLOOKUP($T$266,'TAR FIN'!$A$1:$O$116,15,0))*(1-0.06)</f>
        <v>83.340399999999988</v>
      </c>
      <c r="X266" s="70">
        <f>IF(ISERROR(VLOOKUP($U$266,'TAR FIN'!$A$1:$O$116,15,0)),0,VLOOKUP($U$266,'TAR FIN'!$A$1:$O$116,15,0))*(1-0.06)</f>
        <v>466.38099999999997</v>
      </c>
      <c r="Y266" s="70">
        <f ca="1">('TUSD BE'!$AM$25+'TUSD BF'!$AM$25+'TUSD CVA'!$AM$25)*1*(1-0.03)</f>
        <v>73.145588257213078</v>
      </c>
      <c r="Z266" s="70">
        <f ca="1">('TUSD BE'!$AM$27+'TUSD BF'!$AM$27+'TUSD CVA'!$AM$27)*1*(1-0.03)</f>
        <v>133.3127786832801</v>
      </c>
      <c r="AA266" s="70">
        <f>('TE BE'!$AB$9+'TE BF'!$AB$9+'TE CVA'!$AB$9)*1*(1-0.03)</f>
        <v>494.74843531278674</v>
      </c>
      <c r="AB266" s="70">
        <f>(SUBSIDIO!$J$266*SUBSIDIO!$V$266)*(0.06)/(1-0.06)</f>
        <v>928.89599999999996</v>
      </c>
      <c r="AC266" s="70">
        <f>((SUBSIDIO!$L$266*SUBSIDIO!$W$266)+(SUBSIDIO!$N$266*SUBSIDIO!$X$266))*(0.06)/(1-0.06)</f>
        <v>333.55223159999997</v>
      </c>
      <c r="AD266" s="70">
        <f ca="1">(SUBSIDIO!$J$266*SUBSIDIO!$Y$266)*(0.03)/(1-0.03)</f>
        <v>533.88738645470983</v>
      </c>
      <c r="AE266" s="70">
        <f ca="1">((SUBSIDIO!$L$266*SUBSIDIO!$Z$266)+(SUBSIDIO!$N$266*SUBSIDIO!$AA$266))*(0.03)/(1-0.03)</f>
        <v>184.64999691484365</v>
      </c>
      <c r="AF266" s="4" t="s">
        <v>1115</v>
      </c>
    </row>
    <row r="267" spans="1:32" ht="11.25" customHeight="1" x14ac:dyDescent="0.25">
      <c r="A267" s="4" t="s">
        <v>21</v>
      </c>
      <c r="B267" s="4" t="s">
        <v>41</v>
      </c>
      <c r="C267" s="4" t="s">
        <v>40</v>
      </c>
      <c r="D267" s="4" t="s">
        <v>51</v>
      </c>
      <c r="E267" s="4" t="s">
        <v>52</v>
      </c>
      <c r="F267" s="4" t="s">
        <v>25</v>
      </c>
      <c r="G267" s="4" t="s">
        <v>25</v>
      </c>
      <c r="H267" s="4" t="s">
        <v>34</v>
      </c>
      <c r="I267" s="5">
        <v>44621</v>
      </c>
      <c r="J267" s="6">
        <v>235</v>
      </c>
      <c r="K267" s="71">
        <v>235</v>
      </c>
      <c r="L267" s="6">
        <v>10.074</v>
      </c>
      <c r="M267" s="70">
        <v>10.074</v>
      </c>
      <c r="N267" s="6">
        <v>10.074</v>
      </c>
      <c r="O267" s="70">
        <v>10.074</v>
      </c>
      <c r="P267" s="6">
        <v>0</v>
      </c>
      <c r="Q267" s="4" t="s">
        <v>26</v>
      </c>
      <c r="R267" s="4">
        <v>0</v>
      </c>
      <c r="S267" s="4">
        <v>21</v>
      </c>
      <c r="T267" s="4">
        <v>23</v>
      </c>
      <c r="U267" s="4">
        <v>78</v>
      </c>
      <c r="V267" s="70">
        <f>IF(ISERROR(VLOOKUP($S$267,'TAR FIN'!$A$1:$O$116,15,0)),0,VLOOKUP($S$267,'TAR FIN'!$A$1:$O$116,15,0))*(1-0.06)</f>
        <v>61.663999999999994</v>
      </c>
      <c r="W267" s="70">
        <f>IF(ISERROR(VLOOKUP($T$267,'TAR FIN'!$A$1:$O$116,15,0)),0,VLOOKUP($T$267,'TAR FIN'!$A$1:$O$116,15,0))*(1-0.06)</f>
        <v>83.340399999999988</v>
      </c>
      <c r="X267" s="70">
        <f>IF(ISERROR(VLOOKUP($U$267,'TAR FIN'!$A$1:$O$116,15,0)),0,VLOOKUP($U$267,'TAR FIN'!$A$1:$O$116,15,0))*(1-0.06)</f>
        <v>466.38099999999997</v>
      </c>
      <c r="Y267" s="70">
        <f ca="1">('TUSD BE'!$AM$25+'TUSD BF'!$AM$25+'TUSD CVA'!$AM$25)*1*(1-0.03)</f>
        <v>73.145588257213078</v>
      </c>
      <c r="Z267" s="70">
        <f ca="1">('TUSD BE'!$AM$27+'TUSD BF'!$AM$27+'TUSD CVA'!$AM$27)*1*(1-0.03)</f>
        <v>133.3127786832801</v>
      </c>
      <c r="AA267" s="70">
        <f>('TE BE'!$AB$9+'TE BF'!$AB$9+'TE CVA'!$AB$9)*1*(1-0.03)</f>
        <v>494.74843531278674</v>
      </c>
      <c r="AB267" s="70">
        <f>(SUBSIDIO!$J$267*SUBSIDIO!$V$267)*(0.06)/(1-0.06)</f>
        <v>924.95999999999992</v>
      </c>
      <c r="AC267" s="70">
        <f>((SUBSIDIO!$L$267*SUBSIDIO!$W$267)+(SUBSIDIO!$N$267*SUBSIDIO!$X$267))*(0.06)/(1-0.06)</f>
        <v>353.48255640000002</v>
      </c>
      <c r="AD267" s="70">
        <f ca="1">(SUBSIDIO!$J$267*SUBSIDIO!$Y$267)*(0.03)/(1-0.03)</f>
        <v>531.62515176634247</v>
      </c>
      <c r="AE267" s="70">
        <f ca="1">((SUBSIDIO!$L$267*SUBSIDIO!$Z$267)+(SUBSIDIO!$N$267*SUBSIDIO!$AA$267))*(0.03)/(1-0.03)</f>
        <v>195.68315473597045</v>
      </c>
      <c r="AF267" s="4" t="s">
        <v>1115</v>
      </c>
    </row>
    <row r="268" spans="1:32" ht="11.25" customHeight="1" x14ac:dyDescent="0.25">
      <c r="A268" s="4" t="s">
        <v>21</v>
      </c>
      <c r="B268" s="4" t="s">
        <v>41</v>
      </c>
      <c r="C268" s="4" t="s">
        <v>40</v>
      </c>
      <c r="D268" s="4" t="s">
        <v>51</v>
      </c>
      <c r="E268" s="4" t="s">
        <v>52</v>
      </c>
      <c r="F268" s="4" t="s">
        <v>25</v>
      </c>
      <c r="G268" s="4" t="s">
        <v>25</v>
      </c>
      <c r="H268" s="4" t="s">
        <v>34</v>
      </c>
      <c r="I268" s="5">
        <v>44652</v>
      </c>
      <c r="J268" s="6">
        <v>229</v>
      </c>
      <c r="K268" s="71">
        <v>229</v>
      </c>
      <c r="L268" s="6">
        <v>11.121</v>
      </c>
      <c r="M268" s="70">
        <v>11.121</v>
      </c>
      <c r="N268" s="6">
        <v>11.121</v>
      </c>
      <c r="O268" s="70">
        <v>11.121</v>
      </c>
      <c r="P268" s="6">
        <v>0</v>
      </c>
      <c r="Q268" s="4" t="s">
        <v>26</v>
      </c>
      <c r="R268" s="4">
        <v>0</v>
      </c>
      <c r="S268" s="4">
        <v>21</v>
      </c>
      <c r="T268" s="4">
        <v>23</v>
      </c>
      <c r="U268" s="4">
        <v>78</v>
      </c>
      <c r="V268" s="70">
        <f>IF(ISERROR(VLOOKUP($S$268,'TAR FIN'!$A$1:$O$116,15,0)),0,VLOOKUP($S$268,'TAR FIN'!$A$1:$O$116,15,0))*(1-0.06)</f>
        <v>61.663999999999994</v>
      </c>
      <c r="W268" s="70">
        <f>IF(ISERROR(VLOOKUP($T$268,'TAR FIN'!$A$1:$O$116,15,0)),0,VLOOKUP($T$268,'TAR FIN'!$A$1:$O$116,15,0))*(1-0.06)</f>
        <v>83.340399999999988</v>
      </c>
      <c r="X268" s="70">
        <f>IF(ISERROR(VLOOKUP($U$268,'TAR FIN'!$A$1:$O$116,15,0)),0,VLOOKUP($U$268,'TAR FIN'!$A$1:$O$116,15,0))*(1-0.06)</f>
        <v>466.38099999999997</v>
      </c>
      <c r="Y268" s="70">
        <f ca="1">('TUSD BE'!$AM$25+'TUSD BF'!$AM$25+'TUSD CVA'!$AM$25)*1*(1-0.03)</f>
        <v>73.145588257213078</v>
      </c>
      <c r="Z268" s="70">
        <f ca="1">('TUSD BE'!$AM$27+'TUSD BF'!$AM$27+'TUSD CVA'!$AM$27)*1*(1-0.03)</f>
        <v>133.3127786832801</v>
      </c>
      <c r="AA268" s="70">
        <f>('TE BE'!$AB$9+'TE BF'!$AB$9+'TE CVA'!$AB$9)*1*(1-0.03)</f>
        <v>494.74843531278674</v>
      </c>
      <c r="AB268" s="70">
        <f>(SUBSIDIO!$J$268*SUBSIDIO!$V$268)*(0.06)/(1-0.06)</f>
        <v>901.34399999999994</v>
      </c>
      <c r="AC268" s="70">
        <f>((SUBSIDIO!$L$268*SUBSIDIO!$W$268)+(SUBSIDIO!$N$268*SUBSIDIO!$X$268))*(0.06)/(1-0.06)</f>
        <v>390.22032060000004</v>
      </c>
      <c r="AD268" s="70">
        <f ca="1">(SUBSIDIO!$J$268*SUBSIDIO!$Y$268)*(0.03)/(1-0.03)</f>
        <v>518.05174363613799</v>
      </c>
      <c r="AE268" s="70">
        <f ca="1">((SUBSIDIO!$L$268*SUBSIDIO!$Z$268)+(SUBSIDIO!$N$268*SUBSIDIO!$AA$268))*(0.03)/(1-0.03)</f>
        <v>216.02068332526576</v>
      </c>
      <c r="AF268" s="4" t="s">
        <v>1115</v>
      </c>
    </row>
    <row r="269" spans="1:32" ht="11.25" customHeight="1" x14ac:dyDescent="0.25">
      <c r="A269" s="4" t="s">
        <v>58</v>
      </c>
      <c r="B269" s="4" t="s">
        <v>41</v>
      </c>
      <c r="C269" s="4" t="s">
        <v>40</v>
      </c>
      <c r="D269" s="4" t="s">
        <v>51</v>
      </c>
      <c r="E269" s="4" t="s">
        <v>52</v>
      </c>
      <c r="F269" s="4" t="s">
        <v>25</v>
      </c>
      <c r="G269" s="4" t="s">
        <v>25</v>
      </c>
      <c r="H269" s="4" t="s">
        <v>34</v>
      </c>
      <c r="I269" s="5">
        <v>44682</v>
      </c>
      <c r="J269" s="6">
        <v>229</v>
      </c>
      <c r="K269" s="71">
        <v>229</v>
      </c>
      <c r="L269" s="6">
        <v>11.121</v>
      </c>
      <c r="M269" s="70">
        <v>11.121</v>
      </c>
      <c r="N269" s="6">
        <v>11.121</v>
      </c>
      <c r="O269" s="70">
        <v>11.121</v>
      </c>
      <c r="P269" s="6">
        <v>0</v>
      </c>
      <c r="Q269" s="4" t="s">
        <v>26</v>
      </c>
      <c r="R269" s="4">
        <v>0</v>
      </c>
      <c r="S269" s="4">
        <v>21</v>
      </c>
      <c r="T269" s="4">
        <v>23</v>
      </c>
      <c r="U269" s="4">
        <v>78</v>
      </c>
      <c r="V269" s="70">
        <f>IF(ISERROR(VLOOKUP($S$269,'TAR FIN'!$A$1:$O$116,15,0)),0,VLOOKUP($S$269,'TAR FIN'!$A$1:$O$116,15,0))*(1-0.06)</f>
        <v>61.663999999999994</v>
      </c>
      <c r="W269" s="70">
        <f>IF(ISERROR(VLOOKUP($T$269,'TAR FIN'!$A$1:$O$116,15,0)),0,VLOOKUP($T$269,'TAR FIN'!$A$1:$O$116,15,0))*(1-0.06)</f>
        <v>83.340399999999988</v>
      </c>
      <c r="X269" s="70">
        <f>IF(ISERROR(VLOOKUP($U$269,'TAR FIN'!$A$1:$O$116,15,0)),0,VLOOKUP($U$269,'TAR FIN'!$A$1:$O$116,15,0))*(1-0.06)</f>
        <v>466.38099999999997</v>
      </c>
      <c r="Y269" s="70">
        <f ca="1">('TUSD BE'!$AM$25+'TUSD BF'!$AM$25+'TUSD CVA'!$AM$25)*1*(1-0.03)</f>
        <v>73.145588257213078</v>
      </c>
      <c r="Z269" s="70">
        <f ca="1">('TUSD BE'!$AM$27+'TUSD BF'!$AM$27+'TUSD CVA'!$AM$27)*1*(1-0.03)</f>
        <v>133.3127786832801</v>
      </c>
      <c r="AA269" s="70">
        <f>('TE BE'!$AB$9+'TE BF'!$AB$9+'TE CVA'!$AB$9)*1*(1-0.03)</f>
        <v>494.74843531278674</v>
      </c>
      <c r="AB269" s="70">
        <f>(SUBSIDIO!$J$269*SUBSIDIO!$V$269)*(0.06)/(1-0.06)</f>
        <v>901.34399999999994</v>
      </c>
      <c r="AC269" s="70">
        <f>((SUBSIDIO!$L$269*SUBSIDIO!$W$269)+(SUBSIDIO!$N$269*SUBSIDIO!$X$269))*(0.06)/(1-0.06)</f>
        <v>390.22032060000004</v>
      </c>
      <c r="AD269" s="70">
        <f ca="1">(SUBSIDIO!$J$269*SUBSIDIO!$Y$269)*(0.03)/(1-0.03)</f>
        <v>518.05174363613799</v>
      </c>
      <c r="AE269" s="70">
        <f ca="1">((SUBSIDIO!$L$269*SUBSIDIO!$Z$269)+(SUBSIDIO!$N$269*SUBSIDIO!$AA$269))*(0.03)/(1-0.03)</f>
        <v>216.02068332526576</v>
      </c>
      <c r="AF269" s="4" t="s">
        <v>1115</v>
      </c>
    </row>
    <row r="270" spans="1:32" ht="11.25" customHeight="1" x14ac:dyDescent="0.25">
      <c r="A270" s="4" t="s">
        <v>21</v>
      </c>
      <c r="B270" s="4" t="s">
        <v>41</v>
      </c>
      <c r="C270" s="4" t="s">
        <v>64</v>
      </c>
      <c r="D270" s="4" t="s">
        <v>25</v>
      </c>
      <c r="E270" s="4" t="s">
        <v>25</v>
      </c>
      <c r="F270" s="4" t="s">
        <v>25</v>
      </c>
      <c r="G270" s="4" t="s">
        <v>68</v>
      </c>
      <c r="H270" s="4" t="s">
        <v>25</v>
      </c>
      <c r="I270" s="5">
        <v>44348</v>
      </c>
      <c r="J270" s="6">
        <v>302</v>
      </c>
      <c r="K270" s="6">
        <v>302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4" t="s">
        <v>66</v>
      </c>
      <c r="R270" s="4">
        <v>404</v>
      </c>
      <c r="S270" s="4">
        <v>28</v>
      </c>
      <c r="T270" s="4">
        <v>0</v>
      </c>
      <c r="U270" s="4">
        <v>0</v>
      </c>
      <c r="V270" s="6">
        <f>IF(ISERROR(VLOOKUP($S$270,'TAR FIN'!$A$1:$O$116,15,0)),0,VLOOKUP($S$270,'TAR FIN'!$A$1:$O$116,15,0))</f>
        <v>15.24</v>
      </c>
      <c r="W270" s="6">
        <f>IF(ISERROR(VLOOKUP($T$270,'TAR FIN'!$A$1:$O$116,15,0)),0,VLOOKUP($T$270,'TAR FIN'!$A$1:$O$116,15,0))</f>
        <v>0</v>
      </c>
      <c r="X270" s="6">
        <f>IF(ISERROR(VLOOKUP($U$270,'TAR FIN'!$A$1:$O$116,15,0)),0,VLOOKUP($U$270,'TAR FIN'!$A$1:$O$116,15,0))</f>
        <v>0</v>
      </c>
      <c r="Y270" s="6">
        <f ca="1">('TUSD BE'!$AM$32+'TUSD BF'!$AM$32+'TUSD CVA'!$AM$32)*1</f>
        <v>17.138874075124019</v>
      </c>
      <c r="Z270" s="6"/>
      <c r="AA270" s="6"/>
      <c r="AB270" s="6">
        <f t="shared" ref="AB270:AB321" si="18">(J270-K270)*V270</f>
        <v>0</v>
      </c>
      <c r="AC270" s="6">
        <f t="shared" ref="AC270:AC321" si="19">(L270-M270)*W270+(N270-O270)*X270</f>
        <v>0</v>
      </c>
      <c r="AD270" s="6">
        <f t="shared" ref="AD270:AD321" ca="1" si="20">(J270-K270)*Y270</f>
        <v>0</v>
      </c>
      <c r="AE270" s="6">
        <f t="shared" ref="AE270:AE321" si="21">(L270-M270)*Z270+(N270-O270)*AA270</f>
        <v>0</v>
      </c>
      <c r="AF270" s="4" t="s">
        <v>1112</v>
      </c>
    </row>
    <row r="271" spans="1:32" ht="11.25" customHeight="1" x14ac:dyDescent="0.25">
      <c r="A271" s="4" t="s">
        <v>21</v>
      </c>
      <c r="B271" s="4" t="s">
        <v>41</v>
      </c>
      <c r="C271" s="4" t="s">
        <v>64</v>
      </c>
      <c r="D271" s="4" t="s">
        <v>25</v>
      </c>
      <c r="E271" s="4" t="s">
        <v>25</v>
      </c>
      <c r="F271" s="4" t="s">
        <v>25</v>
      </c>
      <c r="G271" s="4" t="s">
        <v>70</v>
      </c>
      <c r="H271" s="4" t="s">
        <v>25</v>
      </c>
      <c r="I271" s="5">
        <v>44348</v>
      </c>
      <c r="J271" s="6">
        <v>5040</v>
      </c>
      <c r="K271" s="6">
        <v>5040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4" t="s">
        <v>66</v>
      </c>
      <c r="R271" s="4">
        <v>838</v>
      </c>
      <c r="S271" s="4">
        <v>28</v>
      </c>
      <c r="T271" s="4">
        <v>0</v>
      </c>
      <c r="U271" s="4">
        <v>0</v>
      </c>
      <c r="V271" s="6">
        <f>IF(ISERROR(VLOOKUP($S$271,'TAR FIN'!$A$1:$O$116,15,0)),0,VLOOKUP($S$271,'TAR FIN'!$A$1:$O$116,15,0))</f>
        <v>15.24</v>
      </c>
      <c r="W271" s="6">
        <f>IF(ISERROR(VLOOKUP($T$271,'TAR FIN'!$A$1:$O$116,15,0)),0,VLOOKUP($T$271,'TAR FIN'!$A$1:$O$116,15,0))</f>
        <v>0</v>
      </c>
      <c r="X271" s="6">
        <f>IF(ISERROR(VLOOKUP($U$271,'TAR FIN'!$A$1:$O$116,15,0)),0,VLOOKUP($U$271,'TAR FIN'!$A$1:$O$116,15,0))</f>
        <v>0</v>
      </c>
      <c r="Y271" s="6">
        <f ca="1">('TUSD BE'!$AM$32+'TUSD BF'!$AM$32+'TUSD CVA'!$AM$32)*1</f>
        <v>17.138874075124019</v>
      </c>
      <c r="Z271" s="6"/>
      <c r="AA271" s="6"/>
      <c r="AB271" s="6">
        <f t="shared" si="18"/>
        <v>0</v>
      </c>
      <c r="AC271" s="6">
        <f t="shared" si="19"/>
        <v>0</v>
      </c>
      <c r="AD271" s="6">
        <f t="shared" ca="1" si="20"/>
        <v>0</v>
      </c>
      <c r="AE271" s="6">
        <f t="shared" si="21"/>
        <v>0</v>
      </c>
      <c r="AF271" s="4" t="s">
        <v>1112</v>
      </c>
    </row>
    <row r="272" spans="1:32" ht="11.25" customHeight="1" x14ac:dyDescent="0.25">
      <c r="A272" s="4" t="s">
        <v>21</v>
      </c>
      <c r="B272" s="4" t="s">
        <v>41</v>
      </c>
      <c r="C272" s="4" t="s">
        <v>64</v>
      </c>
      <c r="D272" s="4" t="s">
        <v>25</v>
      </c>
      <c r="E272" s="4" t="s">
        <v>25</v>
      </c>
      <c r="F272" s="4" t="s">
        <v>25</v>
      </c>
      <c r="G272" s="4" t="s">
        <v>74</v>
      </c>
      <c r="H272" s="4" t="s">
        <v>25</v>
      </c>
      <c r="I272" s="5">
        <v>44348</v>
      </c>
      <c r="J272" s="6">
        <v>3800</v>
      </c>
      <c r="K272" s="6">
        <v>1900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4" t="s">
        <v>66</v>
      </c>
      <c r="R272" s="4">
        <v>1192</v>
      </c>
      <c r="S272" s="4">
        <v>28</v>
      </c>
      <c r="T272" s="4">
        <v>0</v>
      </c>
      <c r="U272" s="4">
        <v>0</v>
      </c>
      <c r="V272" s="6">
        <f>IF(ISERROR(VLOOKUP($S$272,'TAR FIN'!$A$1:$O$116,15,0)),0,VLOOKUP($S$272,'TAR FIN'!$A$1:$O$116,15,0))</f>
        <v>15.24</v>
      </c>
      <c r="W272" s="6">
        <f>IF(ISERROR(VLOOKUP($T$272,'TAR FIN'!$A$1:$O$116,15,0)),0,VLOOKUP($T$272,'TAR FIN'!$A$1:$O$116,15,0))</f>
        <v>0</v>
      </c>
      <c r="X272" s="6">
        <f>IF(ISERROR(VLOOKUP($U$272,'TAR FIN'!$A$1:$O$116,15,0)),0,VLOOKUP($U$272,'TAR FIN'!$A$1:$O$116,15,0))</f>
        <v>0</v>
      </c>
      <c r="Y272" s="6">
        <f ca="1">('TUSD BE'!$AM$32+'TUSD BF'!$AM$32+'TUSD CVA'!$AM$32)*1</f>
        <v>17.138874075124019</v>
      </c>
      <c r="Z272" s="6"/>
      <c r="AA272" s="6"/>
      <c r="AB272" s="6">
        <f t="shared" si="18"/>
        <v>28956</v>
      </c>
      <c r="AC272" s="6">
        <f t="shared" si="19"/>
        <v>0</v>
      </c>
      <c r="AD272" s="6">
        <f t="shared" ca="1" si="20"/>
        <v>32563.860742735636</v>
      </c>
      <c r="AE272" s="6">
        <f t="shared" si="21"/>
        <v>0</v>
      </c>
      <c r="AF272" s="4" t="s">
        <v>1112</v>
      </c>
    </row>
    <row r="273" spans="1:32" ht="11.25" customHeight="1" x14ac:dyDescent="0.25">
      <c r="A273" s="4" t="s">
        <v>21</v>
      </c>
      <c r="B273" s="4" t="s">
        <v>41</v>
      </c>
      <c r="C273" s="4" t="s">
        <v>64</v>
      </c>
      <c r="D273" s="4" t="s">
        <v>25</v>
      </c>
      <c r="E273" s="4" t="s">
        <v>25</v>
      </c>
      <c r="F273" s="4" t="s">
        <v>25</v>
      </c>
      <c r="G273" s="4" t="s">
        <v>76</v>
      </c>
      <c r="H273" s="4" t="s">
        <v>25</v>
      </c>
      <c r="I273" s="5">
        <v>44348</v>
      </c>
      <c r="J273" s="6">
        <v>480</v>
      </c>
      <c r="K273" s="6">
        <v>480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4" t="s">
        <v>66</v>
      </c>
      <c r="R273" s="4">
        <v>1438</v>
      </c>
      <c r="S273" s="4">
        <v>28</v>
      </c>
      <c r="T273" s="4">
        <v>0</v>
      </c>
      <c r="U273" s="4">
        <v>0</v>
      </c>
      <c r="V273" s="6">
        <f>IF(ISERROR(VLOOKUP($S$273,'TAR FIN'!$A$1:$O$116,15,0)),0,VLOOKUP($S$273,'TAR FIN'!$A$1:$O$116,15,0))</f>
        <v>15.24</v>
      </c>
      <c r="W273" s="6">
        <f>IF(ISERROR(VLOOKUP($T$273,'TAR FIN'!$A$1:$O$116,15,0)),0,VLOOKUP($T$273,'TAR FIN'!$A$1:$O$116,15,0))</f>
        <v>0</v>
      </c>
      <c r="X273" s="6">
        <f>IF(ISERROR(VLOOKUP($U$273,'TAR FIN'!$A$1:$O$116,15,0)),0,VLOOKUP($U$273,'TAR FIN'!$A$1:$O$116,15,0))</f>
        <v>0</v>
      </c>
      <c r="Y273" s="6">
        <f ca="1">('TUSD BE'!$AM$32+'TUSD BF'!$AM$32+'TUSD CVA'!$AM$32)*1</f>
        <v>17.138874075124019</v>
      </c>
      <c r="Z273" s="6"/>
      <c r="AA273" s="6"/>
      <c r="AB273" s="6">
        <f t="shared" si="18"/>
        <v>0</v>
      </c>
      <c r="AC273" s="6">
        <f t="shared" si="19"/>
        <v>0</v>
      </c>
      <c r="AD273" s="6">
        <f t="shared" ca="1" si="20"/>
        <v>0</v>
      </c>
      <c r="AE273" s="6">
        <f t="shared" si="21"/>
        <v>0</v>
      </c>
      <c r="AF273" s="4" t="s">
        <v>1112</v>
      </c>
    </row>
    <row r="274" spans="1:32" ht="11.25" customHeight="1" x14ac:dyDescent="0.25">
      <c r="A274" s="4" t="s">
        <v>21</v>
      </c>
      <c r="B274" s="4" t="s">
        <v>41</v>
      </c>
      <c r="C274" s="4" t="s">
        <v>64</v>
      </c>
      <c r="D274" s="4" t="s">
        <v>25</v>
      </c>
      <c r="E274" s="4" t="s">
        <v>25</v>
      </c>
      <c r="F274" s="4" t="s">
        <v>25</v>
      </c>
      <c r="G274" s="4" t="s">
        <v>77</v>
      </c>
      <c r="H274" s="4" t="s">
        <v>25</v>
      </c>
      <c r="I274" s="5">
        <v>44348</v>
      </c>
      <c r="J274" s="6">
        <v>736</v>
      </c>
      <c r="K274" s="6">
        <v>736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66</v>
      </c>
      <c r="R274" s="4">
        <v>1462</v>
      </c>
      <c r="S274" s="4">
        <v>28</v>
      </c>
      <c r="T274" s="4">
        <v>0</v>
      </c>
      <c r="U274" s="4">
        <v>0</v>
      </c>
      <c r="V274" s="6">
        <f>IF(ISERROR(VLOOKUP($S$274,'TAR FIN'!$A$1:$O$116,15,0)),0,VLOOKUP($S$274,'TAR FIN'!$A$1:$O$116,15,0))</f>
        <v>15.24</v>
      </c>
      <c r="W274" s="6">
        <f>IF(ISERROR(VLOOKUP($T$274,'TAR FIN'!$A$1:$O$116,15,0)),0,VLOOKUP($T$274,'TAR FIN'!$A$1:$O$116,15,0))</f>
        <v>0</v>
      </c>
      <c r="X274" s="6">
        <f>IF(ISERROR(VLOOKUP($U$274,'TAR FIN'!$A$1:$O$116,15,0)),0,VLOOKUP($U$274,'TAR FIN'!$A$1:$O$116,15,0))</f>
        <v>0</v>
      </c>
      <c r="Y274" s="6">
        <f ca="1">('TUSD BE'!$AM$32+'TUSD BF'!$AM$32+'TUSD CVA'!$AM$32)*1</f>
        <v>17.138874075124019</v>
      </c>
      <c r="Z274" s="6"/>
      <c r="AA274" s="6"/>
      <c r="AB274" s="6">
        <f t="shared" si="18"/>
        <v>0</v>
      </c>
      <c r="AC274" s="6">
        <f t="shared" si="19"/>
        <v>0</v>
      </c>
      <c r="AD274" s="6">
        <f t="shared" ca="1" si="20"/>
        <v>0</v>
      </c>
      <c r="AE274" s="6">
        <f t="shared" si="21"/>
        <v>0</v>
      </c>
      <c r="AF274" s="4" t="s">
        <v>1112</v>
      </c>
    </row>
    <row r="275" spans="1:32" ht="11.25" customHeight="1" x14ac:dyDescent="0.25">
      <c r="A275" s="4" t="s">
        <v>21</v>
      </c>
      <c r="B275" s="4" t="s">
        <v>41</v>
      </c>
      <c r="C275" s="4" t="s">
        <v>64</v>
      </c>
      <c r="D275" s="4" t="s">
        <v>25</v>
      </c>
      <c r="E275" s="4" t="s">
        <v>25</v>
      </c>
      <c r="F275" s="4" t="s">
        <v>25</v>
      </c>
      <c r="G275" s="4" t="s">
        <v>78</v>
      </c>
      <c r="H275" s="4" t="s">
        <v>25</v>
      </c>
      <c r="I275" s="5">
        <v>44348</v>
      </c>
      <c r="J275" s="6">
        <v>6460</v>
      </c>
      <c r="K275" s="6">
        <v>6460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4" t="s">
        <v>66</v>
      </c>
      <c r="R275" s="4">
        <v>1533</v>
      </c>
      <c r="S275" s="4">
        <v>28</v>
      </c>
      <c r="T275" s="4">
        <v>0</v>
      </c>
      <c r="U275" s="4">
        <v>0</v>
      </c>
      <c r="V275" s="6">
        <f>IF(ISERROR(VLOOKUP($S$275,'TAR FIN'!$A$1:$O$116,15,0)),0,VLOOKUP($S$275,'TAR FIN'!$A$1:$O$116,15,0))</f>
        <v>15.24</v>
      </c>
      <c r="W275" s="6">
        <f>IF(ISERROR(VLOOKUP($T$275,'TAR FIN'!$A$1:$O$116,15,0)),0,VLOOKUP($T$275,'TAR FIN'!$A$1:$O$116,15,0))</f>
        <v>0</v>
      </c>
      <c r="X275" s="6">
        <f>IF(ISERROR(VLOOKUP($U$275,'TAR FIN'!$A$1:$O$116,15,0)),0,VLOOKUP($U$275,'TAR FIN'!$A$1:$O$116,15,0))</f>
        <v>0</v>
      </c>
      <c r="Y275" s="6">
        <f ca="1">('TUSD BE'!$AM$32+'TUSD BF'!$AM$32+'TUSD CVA'!$AM$32)*1</f>
        <v>17.138874075124019</v>
      </c>
      <c r="Z275" s="6"/>
      <c r="AA275" s="6"/>
      <c r="AB275" s="6">
        <f t="shared" si="18"/>
        <v>0</v>
      </c>
      <c r="AC275" s="6">
        <f t="shared" si="19"/>
        <v>0</v>
      </c>
      <c r="AD275" s="6">
        <f t="shared" ca="1" si="20"/>
        <v>0</v>
      </c>
      <c r="AE275" s="6">
        <f t="shared" si="21"/>
        <v>0</v>
      </c>
      <c r="AF275" s="4" t="s">
        <v>1112</v>
      </c>
    </row>
    <row r="276" spans="1:32" ht="11.25" customHeight="1" x14ac:dyDescent="0.25">
      <c r="A276" s="4" t="s">
        <v>21</v>
      </c>
      <c r="B276" s="4" t="s">
        <v>41</v>
      </c>
      <c r="C276" s="4" t="s">
        <v>64</v>
      </c>
      <c r="D276" s="4" t="s">
        <v>25</v>
      </c>
      <c r="E276" s="4" t="s">
        <v>25</v>
      </c>
      <c r="F276" s="4" t="s">
        <v>25</v>
      </c>
      <c r="G276" s="4" t="s">
        <v>79</v>
      </c>
      <c r="H276" s="4" t="s">
        <v>25</v>
      </c>
      <c r="I276" s="5">
        <v>44348</v>
      </c>
      <c r="J276" s="6">
        <v>770</v>
      </c>
      <c r="K276" s="6">
        <v>770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4" t="s">
        <v>66</v>
      </c>
      <c r="R276" s="4">
        <v>2535</v>
      </c>
      <c r="S276" s="4">
        <v>28</v>
      </c>
      <c r="T276" s="4">
        <v>0</v>
      </c>
      <c r="U276" s="4">
        <v>0</v>
      </c>
      <c r="V276" s="6">
        <f>IF(ISERROR(VLOOKUP($S$276,'TAR FIN'!$A$1:$O$116,15,0)),0,VLOOKUP($S$276,'TAR FIN'!$A$1:$O$116,15,0))</f>
        <v>15.24</v>
      </c>
      <c r="W276" s="6">
        <f>IF(ISERROR(VLOOKUP($T$276,'TAR FIN'!$A$1:$O$116,15,0)),0,VLOOKUP($T$276,'TAR FIN'!$A$1:$O$116,15,0))</f>
        <v>0</v>
      </c>
      <c r="X276" s="6">
        <f>IF(ISERROR(VLOOKUP($U$276,'TAR FIN'!$A$1:$O$116,15,0)),0,VLOOKUP($U$276,'TAR FIN'!$A$1:$O$116,15,0))</f>
        <v>0</v>
      </c>
      <c r="Y276" s="6">
        <f ca="1">('TUSD BE'!$AM$32+'TUSD BF'!$AM$32+'TUSD CVA'!$AM$32)*1</f>
        <v>17.138874075124019</v>
      </c>
      <c r="Z276" s="6"/>
      <c r="AA276" s="6"/>
      <c r="AB276" s="6">
        <f t="shared" si="18"/>
        <v>0</v>
      </c>
      <c r="AC276" s="6">
        <f t="shared" si="19"/>
        <v>0</v>
      </c>
      <c r="AD276" s="6">
        <f t="shared" ca="1" si="20"/>
        <v>0</v>
      </c>
      <c r="AE276" s="6">
        <f t="shared" si="21"/>
        <v>0</v>
      </c>
      <c r="AF276" s="4" t="s">
        <v>1112</v>
      </c>
    </row>
    <row r="277" spans="1:32" ht="11.25" customHeight="1" x14ac:dyDescent="0.25">
      <c r="A277" s="4" t="s">
        <v>21</v>
      </c>
      <c r="B277" s="4" t="s">
        <v>41</v>
      </c>
      <c r="C277" s="4" t="s">
        <v>64</v>
      </c>
      <c r="D277" s="4" t="s">
        <v>25</v>
      </c>
      <c r="E277" s="4" t="s">
        <v>25</v>
      </c>
      <c r="F277" s="4" t="s">
        <v>25</v>
      </c>
      <c r="G277" s="4" t="s">
        <v>80</v>
      </c>
      <c r="H277" s="4" t="s">
        <v>25</v>
      </c>
      <c r="I277" s="5">
        <v>44348</v>
      </c>
      <c r="J277" s="6">
        <v>1416</v>
      </c>
      <c r="K277" s="6">
        <v>1416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4" t="s">
        <v>66</v>
      </c>
      <c r="R277" s="4">
        <v>2751</v>
      </c>
      <c r="S277" s="4">
        <v>28</v>
      </c>
      <c r="T277" s="4">
        <v>0</v>
      </c>
      <c r="U277" s="4">
        <v>0</v>
      </c>
      <c r="V277" s="6">
        <f>IF(ISERROR(VLOOKUP($S$277,'TAR FIN'!$A$1:$O$116,15,0)),0,VLOOKUP($S$277,'TAR FIN'!$A$1:$O$116,15,0))</f>
        <v>15.24</v>
      </c>
      <c r="W277" s="6">
        <f>IF(ISERROR(VLOOKUP($T$277,'TAR FIN'!$A$1:$O$116,15,0)),0,VLOOKUP($T$277,'TAR FIN'!$A$1:$O$116,15,0))</f>
        <v>0</v>
      </c>
      <c r="X277" s="6">
        <f>IF(ISERROR(VLOOKUP($U$277,'TAR FIN'!$A$1:$O$116,15,0)),0,VLOOKUP($U$277,'TAR FIN'!$A$1:$O$116,15,0))</f>
        <v>0</v>
      </c>
      <c r="Y277" s="6">
        <f ca="1">('TUSD BE'!$AM$32+'TUSD BF'!$AM$32+'TUSD CVA'!$AM$32)*1</f>
        <v>17.138874075124019</v>
      </c>
      <c r="Z277" s="6"/>
      <c r="AA277" s="6"/>
      <c r="AB277" s="6">
        <f t="shared" si="18"/>
        <v>0</v>
      </c>
      <c r="AC277" s="6">
        <f t="shared" si="19"/>
        <v>0</v>
      </c>
      <c r="AD277" s="6">
        <f t="shared" ca="1" si="20"/>
        <v>0</v>
      </c>
      <c r="AE277" s="6">
        <f t="shared" si="21"/>
        <v>0</v>
      </c>
      <c r="AF277" s="4" t="s">
        <v>1112</v>
      </c>
    </row>
    <row r="278" spans="1:32" ht="11.25" customHeight="1" x14ac:dyDescent="0.25">
      <c r="A278" s="4" t="s">
        <v>21</v>
      </c>
      <c r="B278" s="4" t="s">
        <v>41</v>
      </c>
      <c r="C278" s="4" t="s">
        <v>64</v>
      </c>
      <c r="D278" s="4" t="s">
        <v>25</v>
      </c>
      <c r="E278" s="4" t="s">
        <v>25</v>
      </c>
      <c r="F278" s="4" t="s">
        <v>25</v>
      </c>
      <c r="G278" s="4" t="s">
        <v>88</v>
      </c>
      <c r="H278" s="4" t="s">
        <v>25</v>
      </c>
      <c r="I278" s="5">
        <v>44348</v>
      </c>
      <c r="J278" s="6">
        <v>9500</v>
      </c>
      <c r="K278" s="6">
        <v>4750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66</v>
      </c>
      <c r="R278" s="4">
        <v>27722</v>
      </c>
      <c r="S278" s="4">
        <v>28</v>
      </c>
      <c r="T278" s="4">
        <v>0</v>
      </c>
      <c r="U278" s="4">
        <v>0</v>
      </c>
      <c r="V278" s="6">
        <f>IF(ISERROR(VLOOKUP($S$278,'TAR FIN'!$A$1:$O$116,15,0)),0,VLOOKUP($S$278,'TAR FIN'!$A$1:$O$116,15,0))</f>
        <v>15.24</v>
      </c>
      <c r="W278" s="6">
        <f>IF(ISERROR(VLOOKUP($T$278,'TAR FIN'!$A$1:$O$116,15,0)),0,VLOOKUP($T$278,'TAR FIN'!$A$1:$O$116,15,0))</f>
        <v>0</v>
      </c>
      <c r="X278" s="6">
        <f>IF(ISERROR(VLOOKUP($U$278,'TAR FIN'!$A$1:$O$116,15,0)),0,VLOOKUP($U$278,'TAR FIN'!$A$1:$O$116,15,0))</f>
        <v>0</v>
      </c>
      <c r="Y278" s="6">
        <f ca="1">('TUSD BE'!$AM$32+'TUSD BF'!$AM$32+'TUSD CVA'!$AM$32)*1</f>
        <v>17.138874075124019</v>
      </c>
      <c r="Z278" s="6"/>
      <c r="AA278" s="6"/>
      <c r="AB278" s="6">
        <f t="shared" si="18"/>
        <v>72390</v>
      </c>
      <c r="AC278" s="6">
        <f t="shared" si="19"/>
        <v>0</v>
      </c>
      <c r="AD278" s="6">
        <f t="shared" ca="1" si="20"/>
        <v>81409.651856839089</v>
      </c>
      <c r="AE278" s="6">
        <f t="shared" si="21"/>
        <v>0</v>
      </c>
      <c r="AF278" s="4" t="s">
        <v>1112</v>
      </c>
    </row>
    <row r="279" spans="1:32" ht="11.25" customHeight="1" x14ac:dyDescent="0.25">
      <c r="A279" s="4" t="s">
        <v>21</v>
      </c>
      <c r="B279" s="4" t="s">
        <v>41</v>
      </c>
      <c r="C279" s="4" t="s">
        <v>64</v>
      </c>
      <c r="D279" s="4" t="s">
        <v>25</v>
      </c>
      <c r="E279" s="4" t="s">
        <v>25</v>
      </c>
      <c r="F279" s="4" t="s">
        <v>25</v>
      </c>
      <c r="G279" s="4" t="s">
        <v>90</v>
      </c>
      <c r="H279" s="4" t="s">
        <v>25</v>
      </c>
      <c r="I279" s="5">
        <v>44348</v>
      </c>
      <c r="J279" s="6">
        <v>420</v>
      </c>
      <c r="K279" s="6">
        <v>420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4" t="s">
        <v>66</v>
      </c>
      <c r="R279" s="4">
        <v>27928</v>
      </c>
      <c r="S279" s="4">
        <v>28</v>
      </c>
      <c r="T279" s="4">
        <v>0</v>
      </c>
      <c r="U279" s="4">
        <v>0</v>
      </c>
      <c r="V279" s="6">
        <f>IF(ISERROR(VLOOKUP($S$279,'TAR FIN'!$A$1:$O$116,15,0)),0,VLOOKUP($S$279,'TAR FIN'!$A$1:$O$116,15,0))</f>
        <v>15.24</v>
      </c>
      <c r="W279" s="6">
        <f>IF(ISERROR(VLOOKUP($T$279,'TAR FIN'!$A$1:$O$116,15,0)),0,VLOOKUP($T$279,'TAR FIN'!$A$1:$O$116,15,0))</f>
        <v>0</v>
      </c>
      <c r="X279" s="6">
        <f>IF(ISERROR(VLOOKUP($U$279,'TAR FIN'!$A$1:$O$116,15,0)),0,VLOOKUP($U$279,'TAR FIN'!$A$1:$O$116,15,0))</f>
        <v>0</v>
      </c>
      <c r="Y279" s="6">
        <f ca="1">('TUSD BE'!$AM$32+'TUSD BF'!$AM$32+'TUSD CVA'!$AM$32)*1</f>
        <v>17.138874075124019</v>
      </c>
      <c r="Z279" s="6"/>
      <c r="AA279" s="6"/>
      <c r="AB279" s="6">
        <f t="shared" si="18"/>
        <v>0</v>
      </c>
      <c r="AC279" s="6">
        <f t="shared" si="19"/>
        <v>0</v>
      </c>
      <c r="AD279" s="6">
        <f t="shared" ca="1" si="20"/>
        <v>0</v>
      </c>
      <c r="AE279" s="6">
        <f t="shared" si="21"/>
        <v>0</v>
      </c>
      <c r="AF279" s="4" t="s">
        <v>1112</v>
      </c>
    </row>
    <row r="280" spans="1:32" ht="11.25" customHeight="1" x14ac:dyDescent="0.25">
      <c r="A280" s="4" t="s">
        <v>21</v>
      </c>
      <c r="B280" s="4" t="s">
        <v>41</v>
      </c>
      <c r="C280" s="4" t="s">
        <v>64</v>
      </c>
      <c r="D280" s="4" t="s">
        <v>25</v>
      </c>
      <c r="E280" s="4" t="s">
        <v>25</v>
      </c>
      <c r="F280" s="4" t="s">
        <v>25</v>
      </c>
      <c r="G280" s="4" t="s">
        <v>93</v>
      </c>
      <c r="H280" s="4" t="s">
        <v>25</v>
      </c>
      <c r="I280" s="5">
        <v>44348</v>
      </c>
      <c r="J280" s="6">
        <v>1300</v>
      </c>
      <c r="K280" s="6">
        <v>650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4" t="s">
        <v>66</v>
      </c>
      <c r="R280" s="4">
        <v>30847</v>
      </c>
      <c r="S280" s="4">
        <v>28</v>
      </c>
      <c r="T280" s="4">
        <v>0</v>
      </c>
      <c r="U280" s="4">
        <v>0</v>
      </c>
      <c r="V280" s="6">
        <f>IF(ISERROR(VLOOKUP($S$280,'TAR FIN'!$A$1:$O$116,15,0)),0,VLOOKUP($S$280,'TAR FIN'!$A$1:$O$116,15,0))</f>
        <v>15.24</v>
      </c>
      <c r="W280" s="6">
        <f>IF(ISERROR(VLOOKUP($T$280,'TAR FIN'!$A$1:$O$116,15,0)),0,VLOOKUP($T$280,'TAR FIN'!$A$1:$O$116,15,0))</f>
        <v>0</v>
      </c>
      <c r="X280" s="6">
        <f>IF(ISERROR(VLOOKUP($U$280,'TAR FIN'!$A$1:$O$116,15,0)),0,VLOOKUP($U$280,'TAR FIN'!$A$1:$O$116,15,0))</f>
        <v>0</v>
      </c>
      <c r="Y280" s="6">
        <f ca="1">('TUSD BE'!$AM$32+'TUSD BF'!$AM$32+'TUSD CVA'!$AM$32)*1</f>
        <v>17.138874075124019</v>
      </c>
      <c r="Z280" s="6"/>
      <c r="AA280" s="6"/>
      <c r="AB280" s="6">
        <f t="shared" si="18"/>
        <v>9906</v>
      </c>
      <c r="AC280" s="6">
        <f t="shared" si="19"/>
        <v>0</v>
      </c>
      <c r="AD280" s="6">
        <f t="shared" ca="1" si="20"/>
        <v>11140.268148830612</v>
      </c>
      <c r="AE280" s="6">
        <f t="shared" si="21"/>
        <v>0</v>
      </c>
      <c r="AF280" s="4" t="s">
        <v>1112</v>
      </c>
    </row>
    <row r="281" spans="1:32" ht="11.25" customHeight="1" x14ac:dyDescent="0.25">
      <c r="A281" s="4" t="s">
        <v>21</v>
      </c>
      <c r="B281" s="4" t="s">
        <v>41</v>
      </c>
      <c r="C281" s="4" t="s">
        <v>64</v>
      </c>
      <c r="D281" s="4" t="s">
        <v>25</v>
      </c>
      <c r="E281" s="4" t="s">
        <v>25</v>
      </c>
      <c r="F281" s="4" t="s">
        <v>25</v>
      </c>
      <c r="G281" s="4" t="s">
        <v>94</v>
      </c>
      <c r="H281" s="4" t="s">
        <v>25</v>
      </c>
      <c r="I281" s="5">
        <v>44348</v>
      </c>
      <c r="J281" s="6">
        <v>1180</v>
      </c>
      <c r="K281" s="6">
        <v>590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4" t="s">
        <v>66</v>
      </c>
      <c r="R281" s="4">
        <v>30866</v>
      </c>
      <c r="S281" s="4">
        <v>28</v>
      </c>
      <c r="T281" s="4">
        <v>0</v>
      </c>
      <c r="U281" s="4">
        <v>0</v>
      </c>
      <c r="V281" s="6">
        <f>IF(ISERROR(VLOOKUP($S$281,'TAR FIN'!$A$1:$O$116,15,0)),0,VLOOKUP($S$281,'TAR FIN'!$A$1:$O$116,15,0))</f>
        <v>15.24</v>
      </c>
      <c r="W281" s="6">
        <f>IF(ISERROR(VLOOKUP($T$281,'TAR FIN'!$A$1:$O$116,15,0)),0,VLOOKUP($T$281,'TAR FIN'!$A$1:$O$116,15,0))</f>
        <v>0</v>
      </c>
      <c r="X281" s="6">
        <f>IF(ISERROR(VLOOKUP($U$281,'TAR FIN'!$A$1:$O$116,15,0)),0,VLOOKUP($U$281,'TAR FIN'!$A$1:$O$116,15,0))</f>
        <v>0</v>
      </c>
      <c r="Y281" s="6">
        <f ca="1">('TUSD BE'!$AM$32+'TUSD BF'!$AM$32+'TUSD CVA'!$AM$32)*1</f>
        <v>17.138874075124019</v>
      </c>
      <c r="Z281" s="6"/>
      <c r="AA281" s="6"/>
      <c r="AB281" s="6">
        <f t="shared" si="18"/>
        <v>8991.6</v>
      </c>
      <c r="AC281" s="6">
        <f t="shared" si="19"/>
        <v>0</v>
      </c>
      <c r="AD281" s="6">
        <f t="shared" ca="1" si="20"/>
        <v>10111.93570432317</v>
      </c>
      <c r="AE281" s="6">
        <f t="shared" si="21"/>
        <v>0</v>
      </c>
      <c r="AF281" s="4" t="s">
        <v>1112</v>
      </c>
    </row>
    <row r="282" spans="1:32" ht="11.25" customHeight="1" x14ac:dyDescent="0.25">
      <c r="A282" s="4" t="s">
        <v>21</v>
      </c>
      <c r="B282" s="4" t="s">
        <v>41</v>
      </c>
      <c r="C282" s="4" t="s">
        <v>64</v>
      </c>
      <c r="D282" s="4" t="s">
        <v>25</v>
      </c>
      <c r="E282" s="4" t="s">
        <v>25</v>
      </c>
      <c r="F282" s="4" t="s">
        <v>25</v>
      </c>
      <c r="G282" s="4" t="s">
        <v>95</v>
      </c>
      <c r="H282" s="4" t="s">
        <v>25</v>
      </c>
      <c r="I282" s="5">
        <v>44348</v>
      </c>
      <c r="J282" s="6">
        <v>1180</v>
      </c>
      <c r="K282" s="6">
        <v>590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4" t="s">
        <v>66</v>
      </c>
      <c r="R282" s="4">
        <v>31051</v>
      </c>
      <c r="S282" s="4">
        <v>28</v>
      </c>
      <c r="T282" s="4">
        <v>0</v>
      </c>
      <c r="U282" s="4">
        <v>0</v>
      </c>
      <c r="V282" s="6">
        <f>IF(ISERROR(VLOOKUP($S$282,'TAR FIN'!$A$1:$O$116,15,0)),0,VLOOKUP($S$282,'TAR FIN'!$A$1:$O$116,15,0))</f>
        <v>15.24</v>
      </c>
      <c r="W282" s="6">
        <f>IF(ISERROR(VLOOKUP($T$282,'TAR FIN'!$A$1:$O$116,15,0)),0,VLOOKUP($T$282,'TAR FIN'!$A$1:$O$116,15,0))</f>
        <v>0</v>
      </c>
      <c r="X282" s="6">
        <f>IF(ISERROR(VLOOKUP($U$282,'TAR FIN'!$A$1:$O$116,15,0)),0,VLOOKUP($U$282,'TAR FIN'!$A$1:$O$116,15,0))</f>
        <v>0</v>
      </c>
      <c r="Y282" s="6">
        <f ca="1">('TUSD BE'!$AM$32+'TUSD BF'!$AM$32+'TUSD CVA'!$AM$32)*1</f>
        <v>17.138874075124019</v>
      </c>
      <c r="Z282" s="6"/>
      <c r="AA282" s="6"/>
      <c r="AB282" s="6">
        <f t="shared" si="18"/>
        <v>8991.6</v>
      </c>
      <c r="AC282" s="6">
        <f t="shared" si="19"/>
        <v>0</v>
      </c>
      <c r="AD282" s="6">
        <f t="shared" ca="1" si="20"/>
        <v>10111.93570432317</v>
      </c>
      <c r="AE282" s="6">
        <f t="shared" si="21"/>
        <v>0</v>
      </c>
      <c r="AF282" s="4" t="s">
        <v>1112</v>
      </c>
    </row>
    <row r="283" spans="1:32" ht="11.25" customHeight="1" x14ac:dyDescent="0.25">
      <c r="A283" s="4" t="s">
        <v>21</v>
      </c>
      <c r="B283" s="4" t="s">
        <v>41</v>
      </c>
      <c r="C283" s="4" t="s">
        <v>64</v>
      </c>
      <c r="D283" s="4" t="s">
        <v>25</v>
      </c>
      <c r="E283" s="4" t="s">
        <v>25</v>
      </c>
      <c r="F283" s="4" t="s">
        <v>25</v>
      </c>
      <c r="G283" s="4" t="s">
        <v>96</v>
      </c>
      <c r="H283" s="4" t="s">
        <v>25</v>
      </c>
      <c r="I283" s="5">
        <v>44348</v>
      </c>
      <c r="J283" s="6">
        <v>1000</v>
      </c>
      <c r="K283" s="6">
        <v>500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4" t="s">
        <v>66</v>
      </c>
      <c r="R283" s="4">
        <v>31277</v>
      </c>
      <c r="S283" s="4">
        <v>28</v>
      </c>
      <c r="T283" s="4">
        <v>0</v>
      </c>
      <c r="U283" s="4">
        <v>0</v>
      </c>
      <c r="V283" s="6">
        <f>IF(ISERROR(VLOOKUP($S$283,'TAR FIN'!$A$1:$O$116,15,0)),0,VLOOKUP($S$283,'TAR FIN'!$A$1:$O$116,15,0))</f>
        <v>15.24</v>
      </c>
      <c r="W283" s="6">
        <f>IF(ISERROR(VLOOKUP($T$283,'TAR FIN'!$A$1:$O$116,15,0)),0,VLOOKUP($T$283,'TAR FIN'!$A$1:$O$116,15,0))</f>
        <v>0</v>
      </c>
      <c r="X283" s="6">
        <f>IF(ISERROR(VLOOKUP($U$283,'TAR FIN'!$A$1:$O$116,15,0)),0,VLOOKUP($U$283,'TAR FIN'!$A$1:$O$116,15,0))</f>
        <v>0</v>
      </c>
      <c r="Y283" s="6">
        <f ca="1">('TUSD BE'!$AM$32+'TUSD BF'!$AM$32+'TUSD CVA'!$AM$32)*1</f>
        <v>17.138874075124019</v>
      </c>
      <c r="Z283" s="6"/>
      <c r="AA283" s="6"/>
      <c r="AB283" s="6">
        <f t="shared" si="18"/>
        <v>7620</v>
      </c>
      <c r="AC283" s="6">
        <f t="shared" si="19"/>
        <v>0</v>
      </c>
      <c r="AD283" s="6">
        <f t="shared" ca="1" si="20"/>
        <v>8569.4370375620092</v>
      </c>
      <c r="AE283" s="6">
        <f t="shared" si="21"/>
        <v>0</v>
      </c>
      <c r="AF283" s="4" t="s">
        <v>1112</v>
      </c>
    </row>
    <row r="284" spans="1:32" ht="11.25" customHeight="1" x14ac:dyDescent="0.25">
      <c r="A284" s="4" t="s">
        <v>21</v>
      </c>
      <c r="B284" s="4" t="s">
        <v>41</v>
      </c>
      <c r="C284" s="4" t="s">
        <v>64</v>
      </c>
      <c r="D284" s="4" t="s">
        <v>25</v>
      </c>
      <c r="E284" s="4" t="s">
        <v>25</v>
      </c>
      <c r="F284" s="4" t="s">
        <v>25</v>
      </c>
      <c r="G284" s="4" t="s">
        <v>97</v>
      </c>
      <c r="H284" s="4" t="s">
        <v>25</v>
      </c>
      <c r="I284" s="5">
        <v>44348</v>
      </c>
      <c r="J284" s="6">
        <v>1180</v>
      </c>
      <c r="K284" s="6">
        <v>590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4" t="s">
        <v>66</v>
      </c>
      <c r="R284" s="4">
        <v>31318</v>
      </c>
      <c r="S284" s="4">
        <v>28</v>
      </c>
      <c r="T284" s="4">
        <v>0</v>
      </c>
      <c r="U284" s="4">
        <v>0</v>
      </c>
      <c r="V284" s="6">
        <f>IF(ISERROR(VLOOKUP($S$284,'TAR FIN'!$A$1:$O$116,15,0)),0,VLOOKUP($S$284,'TAR FIN'!$A$1:$O$116,15,0))</f>
        <v>15.24</v>
      </c>
      <c r="W284" s="6">
        <f>IF(ISERROR(VLOOKUP($T$284,'TAR FIN'!$A$1:$O$116,15,0)),0,VLOOKUP($T$284,'TAR FIN'!$A$1:$O$116,15,0))</f>
        <v>0</v>
      </c>
      <c r="X284" s="6">
        <f>IF(ISERROR(VLOOKUP($U$284,'TAR FIN'!$A$1:$O$116,15,0)),0,VLOOKUP($U$284,'TAR FIN'!$A$1:$O$116,15,0))</f>
        <v>0</v>
      </c>
      <c r="Y284" s="6">
        <f ca="1">('TUSD BE'!$AM$32+'TUSD BF'!$AM$32+'TUSD CVA'!$AM$32)*1</f>
        <v>17.138874075124019</v>
      </c>
      <c r="Z284" s="6"/>
      <c r="AA284" s="6"/>
      <c r="AB284" s="6">
        <f t="shared" si="18"/>
        <v>8991.6</v>
      </c>
      <c r="AC284" s="6">
        <f t="shared" si="19"/>
        <v>0</v>
      </c>
      <c r="AD284" s="6">
        <f t="shared" ca="1" si="20"/>
        <v>10111.93570432317</v>
      </c>
      <c r="AE284" s="6">
        <f t="shared" si="21"/>
        <v>0</v>
      </c>
      <c r="AF284" s="4" t="s">
        <v>1112</v>
      </c>
    </row>
    <row r="285" spans="1:32" ht="11.25" customHeight="1" x14ac:dyDescent="0.25">
      <c r="A285" s="4" t="s">
        <v>21</v>
      </c>
      <c r="B285" s="4" t="s">
        <v>41</v>
      </c>
      <c r="C285" s="4" t="s">
        <v>64</v>
      </c>
      <c r="D285" s="4" t="s">
        <v>25</v>
      </c>
      <c r="E285" s="4" t="s">
        <v>25</v>
      </c>
      <c r="F285" s="4" t="s">
        <v>25</v>
      </c>
      <c r="G285" s="4" t="s">
        <v>98</v>
      </c>
      <c r="H285" s="4" t="s">
        <v>25</v>
      </c>
      <c r="I285" s="5">
        <v>44348</v>
      </c>
      <c r="J285" s="6">
        <v>3000</v>
      </c>
      <c r="K285" s="6">
        <v>1500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4" t="s">
        <v>66</v>
      </c>
      <c r="R285" s="4">
        <v>31334</v>
      </c>
      <c r="S285" s="4">
        <v>28</v>
      </c>
      <c r="T285" s="4">
        <v>0</v>
      </c>
      <c r="U285" s="4">
        <v>0</v>
      </c>
      <c r="V285" s="6">
        <f>IF(ISERROR(VLOOKUP($S$285,'TAR FIN'!$A$1:$O$116,15,0)),0,VLOOKUP($S$285,'TAR FIN'!$A$1:$O$116,15,0))</f>
        <v>15.24</v>
      </c>
      <c r="W285" s="6">
        <f>IF(ISERROR(VLOOKUP($T$285,'TAR FIN'!$A$1:$O$116,15,0)),0,VLOOKUP($T$285,'TAR FIN'!$A$1:$O$116,15,0))</f>
        <v>0</v>
      </c>
      <c r="X285" s="6">
        <f>IF(ISERROR(VLOOKUP($U$285,'TAR FIN'!$A$1:$O$116,15,0)),0,VLOOKUP($U$285,'TAR FIN'!$A$1:$O$116,15,0))</f>
        <v>0</v>
      </c>
      <c r="Y285" s="6">
        <f ca="1">('TUSD BE'!$AM$32+'TUSD BF'!$AM$32+'TUSD CVA'!$AM$32)*1</f>
        <v>17.138874075124019</v>
      </c>
      <c r="Z285" s="6"/>
      <c r="AA285" s="6"/>
      <c r="AB285" s="6">
        <f t="shared" si="18"/>
        <v>22860</v>
      </c>
      <c r="AC285" s="6">
        <f t="shared" si="19"/>
        <v>0</v>
      </c>
      <c r="AD285" s="6">
        <f t="shared" ca="1" si="20"/>
        <v>25708.311112686028</v>
      </c>
      <c r="AE285" s="6">
        <f t="shared" si="21"/>
        <v>0</v>
      </c>
      <c r="AF285" s="4" t="s">
        <v>1112</v>
      </c>
    </row>
    <row r="286" spans="1:32" ht="11.25" customHeight="1" x14ac:dyDescent="0.25">
      <c r="A286" s="4" t="s">
        <v>21</v>
      </c>
      <c r="B286" s="4" t="s">
        <v>41</v>
      </c>
      <c r="C286" s="4" t="s">
        <v>64</v>
      </c>
      <c r="D286" s="4" t="s">
        <v>25</v>
      </c>
      <c r="E286" s="4" t="s">
        <v>25</v>
      </c>
      <c r="F286" s="4" t="s">
        <v>25</v>
      </c>
      <c r="G286" s="4" t="s">
        <v>99</v>
      </c>
      <c r="H286" s="4" t="s">
        <v>25</v>
      </c>
      <c r="I286" s="5">
        <v>44348</v>
      </c>
      <c r="J286" s="6">
        <v>1180</v>
      </c>
      <c r="K286" s="6">
        <v>590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4" t="s">
        <v>66</v>
      </c>
      <c r="R286" s="4">
        <v>31618</v>
      </c>
      <c r="S286" s="4">
        <v>28</v>
      </c>
      <c r="T286" s="4">
        <v>0</v>
      </c>
      <c r="U286" s="4">
        <v>0</v>
      </c>
      <c r="V286" s="6">
        <f>IF(ISERROR(VLOOKUP($S$286,'TAR FIN'!$A$1:$O$116,15,0)),0,VLOOKUP($S$286,'TAR FIN'!$A$1:$O$116,15,0))</f>
        <v>15.24</v>
      </c>
      <c r="W286" s="6">
        <f>IF(ISERROR(VLOOKUP($T$286,'TAR FIN'!$A$1:$O$116,15,0)),0,VLOOKUP($T$286,'TAR FIN'!$A$1:$O$116,15,0))</f>
        <v>0</v>
      </c>
      <c r="X286" s="6">
        <f>IF(ISERROR(VLOOKUP($U$286,'TAR FIN'!$A$1:$O$116,15,0)),0,VLOOKUP($U$286,'TAR FIN'!$A$1:$O$116,15,0))</f>
        <v>0</v>
      </c>
      <c r="Y286" s="6">
        <f ca="1">('TUSD BE'!$AM$32+'TUSD BF'!$AM$32+'TUSD CVA'!$AM$32)*1</f>
        <v>17.138874075124019</v>
      </c>
      <c r="Z286" s="6"/>
      <c r="AA286" s="6"/>
      <c r="AB286" s="6">
        <f t="shared" si="18"/>
        <v>8991.6</v>
      </c>
      <c r="AC286" s="6">
        <f t="shared" si="19"/>
        <v>0</v>
      </c>
      <c r="AD286" s="6">
        <f t="shared" ca="1" si="20"/>
        <v>10111.93570432317</v>
      </c>
      <c r="AE286" s="6">
        <f t="shared" si="21"/>
        <v>0</v>
      </c>
      <c r="AF286" s="4" t="s">
        <v>1112</v>
      </c>
    </row>
    <row r="287" spans="1:32" ht="11.25" customHeight="1" x14ac:dyDescent="0.25">
      <c r="A287" s="4" t="s">
        <v>21</v>
      </c>
      <c r="B287" s="4" t="s">
        <v>41</v>
      </c>
      <c r="C287" s="4" t="s">
        <v>64</v>
      </c>
      <c r="D287" s="4" t="s">
        <v>25</v>
      </c>
      <c r="E287" s="4" t="s">
        <v>25</v>
      </c>
      <c r="F287" s="4" t="s">
        <v>25</v>
      </c>
      <c r="G287" s="4" t="s">
        <v>100</v>
      </c>
      <c r="H287" s="4" t="s">
        <v>25</v>
      </c>
      <c r="I287" s="5">
        <v>44348</v>
      </c>
      <c r="J287" s="6">
        <v>1180</v>
      </c>
      <c r="K287" s="6">
        <v>590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66</v>
      </c>
      <c r="R287" s="4">
        <v>31677</v>
      </c>
      <c r="S287" s="4">
        <v>28</v>
      </c>
      <c r="T287" s="4">
        <v>0</v>
      </c>
      <c r="U287" s="4">
        <v>0</v>
      </c>
      <c r="V287" s="6">
        <f>IF(ISERROR(VLOOKUP($S$287,'TAR FIN'!$A$1:$O$116,15,0)),0,VLOOKUP($S$287,'TAR FIN'!$A$1:$O$116,15,0))</f>
        <v>15.24</v>
      </c>
      <c r="W287" s="6">
        <f>IF(ISERROR(VLOOKUP($T$287,'TAR FIN'!$A$1:$O$116,15,0)),0,VLOOKUP($T$287,'TAR FIN'!$A$1:$O$116,15,0))</f>
        <v>0</v>
      </c>
      <c r="X287" s="6">
        <f>IF(ISERROR(VLOOKUP($U$287,'TAR FIN'!$A$1:$O$116,15,0)),0,VLOOKUP($U$287,'TAR FIN'!$A$1:$O$116,15,0))</f>
        <v>0</v>
      </c>
      <c r="Y287" s="6">
        <f ca="1">('TUSD BE'!$AM$32+'TUSD BF'!$AM$32+'TUSD CVA'!$AM$32)*1</f>
        <v>17.138874075124019</v>
      </c>
      <c r="Z287" s="6"/>
      <c r="AA287" s="6"/>
      <c r="AB287" s="6">
        <f t="shared" si="18"/>
        <v>8991.6</v>
      </c>
      <c r="AC287" s="6">
        <f t="shared" si="19"/>
        <v>0</v>
      </c>
      <c r="AD287" s="6">
        <f t="shared" ca="1" si="20"/>
        <v>10111.93570432317</v>
      </c>
      <c r="AE287" s="6">
        <f t="shared" si="21"/>
        <v>0</v>
      </c>
      <c r="AF287" s="4" t="s">
        <v>1112</v>
      </c>
    </row>
    <row r="288" spans="1:32" ht="11.25" customHeight="1" x14ac:dyDescent="0.25">
      <c r="A288" s="4" t="s">
        <v>21</v>
      </c>
      <c r="B288" s="4" t="s">
        <v>41</v>
      </c>
      <c r="C288" s="4" t="s">
        <v>64</v>
      </c>
      <c r="D288" s="4" t="s">
        <v>25</v>
      </c>
      <c r="E288" s="4" t="s">
        <v>25</v>
      </c>
      <c r="F288" s="4" t="s">
        <v>25</v>
      </c>
      <c r="G288" s="4" t="s">
        <v>68</v>
      </c>
      <c r="H288" s="4" t="s">
        <v>25</v>
      </c>
      <c r="I288" s="5">
        <v>44378</v>
      </c>
      <c r="J288" s="6">
        <v>302</v>
      </c>
      <c r="K288" s="6">
        <v>302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4" t="s">
        <v>66</v>
      </c>
      <c r="R288" s="4">
        <v>404</v>
      </c>
      <c r="S288" s="4">
        <v>28</v>
      </c>
      <c r="T288" s="4">
        <v>0</v>
      </c>
      <c r="U288" s="4">
        <v>0</v>
      </c>
      <c r="V288" s="6">
        <f>IF(ISERROR(VLOOKUP($S$288,'TAR FIN'!$A$1:$O$116,15,0)),0,VLOOKUP($S$288,'TAR FIN'!$A$1:$O$116,15,0))</f>
        <v>15.24</v>
      </c>
      <c r="W288" s="6">
        <f>IF(ISERROR(VLOOKUP($T$288,'TAR FIN'!$A$1:$O$116,15,0)),0,VLOOKUP($T$288,'TAR FIN'!$A$1:$O$116,15,0))</f>
        <v>0</v>
      </c>
      <c r="X288" s="6">
        <f>IF(ISERROR(VLOOKUP($U$288,'TAR FIN'!$A$1:$O$116,15,0)),0,VLOOKUP($U$288,'TAR FIN'!$A$1:$O$116,15,0))</f>
        <v>0</v>
      </c>
      <c r="Y288" s="6">
        <f ca="1">('TUSD BE'!$AM$32+'TUSD BF'!$AM$32+'TUSD CVA'!$AM$32)*1</f>
        <v>17.138874075124019</v>
      </c>
      <c r="Z288" s="6"/>
      <c r="AA288" s="6"/>
      <c r="AB288" s="6">
        <f t="shared" si="18"/>
        <v>0</v>
      </c>
      <c r="AC288" s="6">
        <f t="shared" si="19"/>
        <v>0</v>
      </c>
      <c r="AD288" s="6">
        <f t="shared" ca="1" si="20"/>
        <v>0</v>
      </c>
      <c r="AE288" s="6">
        <f t="shared" si="21"/>
        <v>0</v>
      </c>
      <c r="AF288" s="4" t="s">
        <v>1112</v>
      </c>
    </row>
    <row r="289" spans="1:32" ht="11.25" customHeight="1" x14ac:dyDescent="0.25">
      <c r="A289" s="4" t="s">
        <v>21</v>
      </c>
      <c r="B289" s="4" t="s">
        <v>41</v>
      </c>
      <c r="C289" s="4" t="s">
        <v>64</v>
      </c>
      <c r="D289" s="4" t="s">
        <v>25</v>
      </c>
      <c r="E289" s="4" t="s">
        <v>25</v>
      </c>
      <c r="F289" s="4" t="s">
        <v>25</v>
      </c>
      <c r="G289" s="4" t="s">
        <v>70</v>
      </c>
      <c r="H289" s="4" t="s">
        <v>25</v>
      </c>
      <c r="I289" s="5">
        <v>44378</v>
      </c>
      <c r="J289" s="6">
        <v>5040</v>
      </c>
      <c r="K289" s="6">
        <v>5040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4" t="s">
        <v>66</v>
      </c>
      <c r="R289" s="4">
        <v>838</v>
      </c>
      <c r="S289" s="4">
        <v>28</v>
      </c>
      <c r="T289" s="4">
        <v>0</v>
      </c>
      <c r="U289" s="4">
        <v>0</v>
      </c>
      <c r="V289" s="6">
        <f>IF(ISERROR(VLOOKUP($S$289,'TAR FIN'!$A$1:$O$116,15,0)),0,VLOOKUP($S$289,'TAR FIN'!$A$1:$O$116,15,0))</f>
        <v>15.24</v>
      </c>
      <c r="W289" s="6">
        <f>IF(ISERROR(VLOOKUP($T$289,'TAR FIN'!$A$1:$O$116,15,0)),0,VLOOKUP($T$289,'TAR FIN'!$A$1:$O$116,15,0))</f>
        <v>0</v>
      </c>
      <c r="X289" s="6">
        <f>IF(ISERROR(VLOOKUP($U$289,'TAR FIN'!$A$1:$O$116,15,0)),0,VLOOKUP($U$289,'TAR FIN'!$A$1:$O$116,15,0))</f>
        <v>0</v>
      </c>
      <c r="Y289" s="6">
        <f ca="1">('TUSD BE'!$AM$32+'TUSD BF'!$AM$32+'TUSD CVA'!$AM$32)*1</f>
        <v>17.138874075124019</v>
      </c>
      <c r="Z289" s="6"/>
      <c r="AA289" s="6"/>
      <c r="AB289" s="6">
        <f t="shared" si="18"/>
        <v>0</v>
      </c>
      <c r="AC289" s="6">
        <f t="shared" si="19"/>
        <v>0</v>
      </c>
      <c r="AD289" s="6">
        <f t="shared" ca="1" si="20"/>
        <v>0</v>
      </c>
      <c r="AE289" s="6">
        <f t="shared" si="21"/>
        <v>0</v>
      </c>
      <c r="AF289" s="4" t="s">
        <v>1112</v>
      </c>
    </row>
    <row r="290" spans="1:32" ht="11.25" customHeight="1" x14ac:dyDescent="0.25">
      <c r="A290" s="4" t="s">
        <v>21</v>
      </c>
      <c r="B290" s="4" t="s">
        <v>41</v>
      </c>
      <c r="C290" s="4" t="s">
        <v>64</v>
      </c>
      <c r="D290" s="4" t="s">
        <v>25</v>
      </c>
      <c r="E290" s="4" t="s">
        <v>25</v>
      </c>
      <c r="F290" s="4" t="s">
        <v>25</v>
      </c>
      <c r="G290" s="4" t="s">
        <v>74</v>
      </c>
      <c r="H290" s="4" t="s">
        <v>25</v>
      </c>
      <c r="I290" s="5">
        <v>44378</v>
      </c>
      <c r="J290" s="6">
        <v>3800</v>
      </c>
      <c r="K290" s="6">
        <v>1900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4" t="s">
        <v>66</v>
      </c>
      <c r="R290" s="4">
        <v>1192</v>
      </c>
      <c r="S290" s="4">
        <v>28</v>
      </c>
      <c r="T290" s="4">
        <v>0</v>
      </c>
      <c r="U290" s="4">
        <v>0</v>
      </c>
      <c r="V290" s="6">
        <f>IF(ISERROR(VLOOKUP($S$290,'TAR FIN'!$A$1:$O$116,15,0)),0,VLOOKUP($S$290,'TAR FIN'!$A$1:$O$116,15,0))</f>
        <v>15.24</v>
      </c>
      <c r="W290" s="6">
        <f>IF(ISERROR(VLOOKUP($T$290,'TAR FIN'!$A$1:$O$116,15,0)),0,VLOOKUP($T$290,'TAR FIN'!$A$1:$O$116,15,0))</f>
        <v>0</v>
      </c>
      <c r="X290" s="6">
        <f>IF(ISERROR(VLOOKUP($U$290,'TAR FIN'!$A$1:$O$116,15,0)),0,VLOOKUP($U$290,'TAR FIN'!$A$1:$O$116,15,0))</f>
        <v>0</v>
      </c>
      <c r="Y290" s="6">
        <f ca="1">('TUSD BE'!$AM$32+'TUSD BF'!$AM$32+'TUSD CVA'!$AM$32)*1</f>
        <v>17.138874075124019</v>
      </c>
      <c r="Z290" s="6"/>
      <c r="AA290" s="6"/>
      <c r="AB290" s="6">
        <f t="shared" si="18"/>
        <v>28956</v>
      </c>
      <c r="AC290" s="6">
        <f t="shared" si="19"/>
        <v>0</v>
      </c>
      <c r="AD290" s="6">
        <f t="shared" ca="1" si="20"/>
        <v>32563.860742735636</v>
      </c>
      <c r="AE290" s="6">
        <f t="shared" si="21"/>
        <v>0</v>
      </c>
      <c r="AF290" s="4" t="s">
        <v>1112</v>
      </c>
    </row>
    <row r="291" spans="1:32" ht="11.25" customHeight="1" x14ac:dyDescent="0.25">
      <c r="A291" s="4" t="s">
        <v>21</v>
      </c>
      <c r="B291" s="4" t="s">
        <v>41</v>
      </c>
      <c r="C291" s="4" t="s">
        <v>64</v>
      </c>
      <c r="D291" s="4" t="s">
        <v>25</v>
      </c>
      <c r="E291" s="4" t="s">
        <v>25</v>
      </c>
      <c r="F291" s="4" t="s">
        <v>25</v>
      </c>
      <c r="G291" s="4" t="s">
        <v>76</v>
      </c>
      <c r="H291" s="4" t="s">
        <v>25</v>
      </c>
      <c r="I291" s="5">
        <v>44378</v>
      </c>
      <c r="J291" s="6">
        <v>480</v>
      </c>
      <c r="K291" s="6">
        <v>480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4" t="s">
        <v>66</v>
      </c>
      <c r="R291" s="4">
        <v>1438</v>
      </c>
      <c r="S291" s="4">
        <v>28</v>
      </c>
      <c r="T291" s="4">
        <v>0</v>
      </c>
      <c r="U291" s="4">
        <v>0</v>
      </c>
      <c r="V291" s="6">
        <f>IF(ISERROR(VLOOKUP($S$291,'TAR FIN'!$A$1:$O$116,15,0)),0,VLOOKUP($S$291,'TAR FIN'!$A$1:$O$116,15,0))</f>
        <v>15.24</v>
      </c>
      <c r="W291" s="6">
        <f>IF(ISERROR(VLOOKUP($T$291,'TAR FIN'!$A$1:$O$116,15,0)),0,VLOOKUP($T$291,'TAR FIN'!$A$1:$O$116,15,0))</f>
        <v>0</v>
      </c>
      <c r="X291" s="6">
        <f>IF(ISERROR(VLOOKUP($U$291,'TAR FIN'!$A$1:$O$116,15,0)),0,VLOOKUP($U$291,'TAR FIN'!$A$1:$O$116,15,0))</f>
        <v>0</v>
      </c>
      <c r="Y291" s="6">
        <f ca="1">('TUSD BE'!$AM$32+'TUSD BF'!$AM$32+'TUSD CVA'!$AM$32)*1</f>
        <v>17.138874075124019</v>
      </c>
      <c r="Z291" s="6"/>
      <c r="AA291" s="6"/>
      <c r="AB291" s="6">
        <f t="shared" si="18"/>
        <v>0</v>
      </c>
      <c r="AC291" s="6">
        <f t="shared" si="19"/>
        <v>0</v>
      </c>
      <c r="AD291" s="6">
        <f t="shared" ca="1" si="20"/>
        <v>0</v>
      </c>
      <c r="AE291" s="6">
        <f t="shared" si="21"/>
        <v>0</v>
      </c>
      <c r="AF291" s="4" t="s">
        <v>1112</v>
      </c>
    </row>
    <row r="292" spans="1:32" ht="11.25" customHeight="1" x14ac:dyDescent="0.25">
      <c r="A292" s="4" t="s">
        <v>21</v>
      </c>
      <c r="B292" s="4" t="s">
        <v>41</v>
      </c>
      <c r="C292" s="4" t="s">
        <v>64</v>
      </c>
      <c r="D292" s="4" t="s">
        <v>25</v>
      </c>
      <c r="E292" s="4" t="s">
        <v>25</v>
      </c>
      <c r="F292" s="4" t="s">
        <v>25</v>
      </c>
      <c r="G292" s="4" t="s">
        <v>77</v>
      </c>
      <c r="H292" s="4" t="s">
        <v>25</v>
      </c>
      <c r="I292" s="5">
        <v>44378</v>
      </c>
      <c r="J292" s="6">
        <v>736</v>
      </c>
      <c r="K292" s="6">
        <v>736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66</v>
      </c>
      <c r="R292" s="4">
        <v>1462</v>
      </c>
      <c r="S292" s="4">
        <v>28</v>
      </c>
      <c r="T292" s="4">
        <v>0</v>
      </c>
      <c r="U292" s="4">
        <v>0</v>
      </c>
      <c r="V292" s="6">
        <f>IF(ISERROR(VLOOKUP($S$292,'TAR FIN'!$A$1:$O$116,15,0)),0,VLOOKUP($S$292,'TAR FIN'!$A$1:$O$116,15,0))</f>
        <v>15.24</v>
      </c>
      <c r="W292" s="6">
        <f>IF(ISERROR(VLOOKUP($T$292,'TAR FIN'!$A$1:$O$116,15,0)),0,VLOOKUP($T$292,'TAR FIN'!$A$1:$O$116,15,0))</f>
        <v>0</v>
      </c>
      <c r="X292" s="6">
        <f>IF(ISERROR(VLOOKUP($U$292,'TAR FIN'!$A$1:$O$116,15,0)),0,VLOOKUP($U$292,'TAR FIN'!$A$1:$O$116,15,0))</f>
        <v>0</v>
      </c>
      <c r="Y292" s="6">
        <f ca="1">('TUSD BE'!$AM$32+'TUSD BF'!$AM$32+'TUSD CVA'!$AM$32)*1</f>
        <v>17.138874075124019</v>
      </c>
      <c r="Z292" s="6"/>
      <c r="AA292" s="6"/>
      <c r="AB292" s="6">
        <f t="shared" si="18"/>
        <v>0</v>
      </c>
      <c r="AC292" s="6">
        <f t="shared" si="19"/>
        <v>0</v>
      </c>
      <c r="AD292" s="6">
        <f t="shared" ca="1" si="20"/>
        <v>0</v>
      </c>
      <c r="AE292" s="6">
        <f t="shared" si="21"/>
        <v>0</v>
      </c>
      <c r="AF292" s="4" t="s">
        <v>1112</v>
      </c>
    </row>
    <row r="293" spans="1:32" ht="11.25" customHeight="1" x14ac:dyDescent="0.25">
      <c r="A293" s="4" t="s">
        <v>21</v>
      </c>
      <c r="B293" s="4" t="s">
        <v>41</v>
      </c>
      <c r="C293" s="4" t="s">
        <v>64</v>
      </c>
      <c r="D293" s="4" t="s">
        <v>25</v>
      </c>
      <c r="E293" s="4" t="s">
        <v>25</v>
      </c>
      <c r="F293" s="4" t="s">
        <v>25</v>
      </c>
      <c r="G293" s="4" t="s">
        <v>78</v>
      </c>
      <c r="H293" s="4" t="s">
        <v>25</v>
      </c>
      <c r="I293" s="5">
        <v>44378</v>
      </c>
      <c r="J293" s="6">
        <v>6460</v>
      </c>
      <c r="K293" s="6">
        <v>6460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4" t="s">
        <v>66</v>
      </c>
      <c r="R293" s="4">
        <v>1533</v>
      </c>
      <c r="S293" s="4">
        <v>28</v>
      </c>
      <c r="T293" s="4">
        <v>0</v>
      </c>
      <c r="U293" s="4">
        <v>0</v>
      </c>
      <c r="V293" s="6">
        <f>IF(ISERROR(VLOOKUP($S$293,'TAR FIN'!$A$1:$O$116,15,0)),0,VLOOKUP($S$293,'TAR FIN'!$A$1:$O$116,15,0))</f>
        <v>15.24</v>
      </c>
      <c r="W293" s="6">
        <f>IF(ISERROR(VLOOKUP($T$293,'TAR FIN'!$A$1:$O$116,15,0)),0,VLOOKUP($T$293,'TAR FIN'!$A$1:$O$116,15,0))</f>
        <v>0</v>
      </c>
      <c r="X293" s="6">
        <f>IF(ISERROR(VLOOKUP($U$293,'TAR FIN'!$A$1:$O$116,15,0)),0,VLOOKUP($U$293,'TAR FIN'!$A$1:$O$116,15,0))</f>
        <v>0</v>
      </c>
      <c r="Y293" s="6">
        <f ca="1">('TUSD BE'!$AM$32+'TUSD BF'!$AM$32+'TUSD CVA'!$AM$32)*1</f>
        <v>17.138874075124019</v>
      </c>
      <c r="Z293" s="6"/>
      <c r="AA293" s="6"/>
      <c r="AB293" s="6">
        <f t="shared" si="18"/>
        <v>0</v>
      </c>
      <c r="AC293" s="6">
        <f t="shared" si="19"/>
        <v>0</v>
      </c>
      <c r="AD293" s="6">
        <f t="shared" ca="1" si="20"/>
        <v>0</v>
      </c>
      <c r="AE293" s="6">
        <f t="shared" si="21"/>
        <v>0</v>
      </c>
      <c r="AF293" s="4" t="s">
        <v>1112</v>
      </c>
    </row>
    <row r="294" spans="1:32" ht="11.25" customHeight="1" x14ac:dyDescent="0.25">
      <c r="A294" s="4" t="s">
        <v>21</v>
      </c>
      <c r="B294" s="4" t="s">
        <v>41</v>
      </c>
      <c r="C294" s="4" t="s">
        <v>64</v>
      </c>
      <c r="D294" s="4" t="s">
        <v>25</v>
      </c>
      <c r="E294" s="4" t="s">
        <v>25</v>
      </c>
      <c r="F294" s="4" t="s">
        <v>25</v>
      </c>
      <c r="G294" s="4" t="s">
        <v>79</v>
      </c>
      <c r="H294" s="4" t="s">
        <v>25</v>
      </c>
      <c r="I294" s="5">
        <v>44378</v>
      </c>
      <c r="J294" s="6">
        <v>770</v>
      </c>
      <c r="K294" s="6">
        <v>770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4" t="s">
        <v>66</v>
      </c>
      <c r="R294" s="4">
        <v>2535</v>
      </c>
      <c r="S294" s="4">
        <v>28</v>
      </c>
      <c r="T294" s="4">
        <v>0</v>
      </c>
      <c r="U294" s="4">
        <v>0</v>
      </c>
      <c r="V294" s="6">
        <f>IF(ISERROR(VLOOKUP($S$294,'TAR FIN'!$A$1:$O$116,15,0)),0,VLOOKUP($S$294,'TAR FIN'!$A$1:$O$116,15,0))</f>
        <v>15.24</v>
      </c>
      <c r="W294" s="6">
        <f>IF(ISERROR(VLOOKUP($T$294,'TAR FIN'!$A$1:$O$116,15,0)),0,VLOOKUP($T$294,'TAR FIN'!$A$1:$O$116,15,0))</f>
        <v>0</v>
      </c>
      <c r="X294" s="6">
        <f>IF(ISERROR(VLOOKUP($U$294,'TAR FIN'!$A$1:$O$116,15,0)),0,VLOOKUP($U$294,'TAR FIN'!$A$1:$O$116,15,0))</f>
        <v>0</v>
      </c>
      <c r="Y294" s="6">
        <f ca="1">('TUSD BE'!$AM$32+'TUSD BF'!$AM$32+'TUSD CVA'!$AM$32)*1</f>
        <v>17.138874075124019</v>
      </c>
      <c r="Z294" s="6"/>
      <c r="AA294" s="6"/>
      <c r="AB294" s="6">
        <f t="shared" si="18"/>
        <v>0</v>
      </c>
      <c r="AC294" s="6">
        <f t="shared" si="19"/>
        <v>0</v>
      </c>
      <c r="AD294" s="6">
        <f t="shared" ca="1" si="20"/>
        <v>0</v>
      </c>
      <c r="AE294" s="6">
        <f t="shared" si="21"/>
        <v>0</v>
      </c>
      <c r="AF294" s="4" t="s">
        <v>1112</v>
      </c>
    </row>
    <row r="295" spans="1:32" ht="11.25" customHeight="1" x14ac:dyDescent="0.25">
      <c r="A295" s="4" t="s">
        <v>21</v>
      </c>
      <c r="B295" s="4" t="s">
        <v>41</v>
      </c>
      <c r="C295" s="4" t="s">
        <v>64</v>
      </c>
      <c r="D295" s="4" t="s">
        <v>25</v>
      </c>
      <c r="E295" s="4" t="s">
        <v>25</v>
      </c>
      <c r="F295" s="4" t="s">
        <v>25</v>
      </c>
      <c r="G295" s="4" t="s">
        <v>80</v>
      </c>
      <c r="H295" s="4" t="s">
        <v>25</v>
      </c>
      <c r="I295" s="5">
        <v>44378</v>
      </c>
      <c r="J295" s="6">
        <v>1416</v>
      </c>
      <c r="K295" s="6">
        <v>1416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4" t="s">
        <v>66</v>
      </c>
      <c r="R295" s="4">
        <v>2751</v>
      </c>
      <c r="S295" s="4">
        <v>28</v>
      </c>
      <c r="T295" s="4">
        <v>0</v>
      </c>
      <c r="U295" s="4">
        <v>0</v>
      </c>
      <c r="V295" s="6">
        <f>IF(ISERROR(VLOOKUP($S$295,'TAR FIN'!$A$1:$O$116,15,0)),0,VLOOKUP($S$295,'TAR FIN'!$A$1:$O$116,15,0))</f>
        <v>15.24</v>
      </c>
      <c r="W295" s="6">
        <f>IF(ISERROR(VLOOKUP($T$295,'TAR FIN'!$A$1:$O$116,15,0)),0,VLOOKUP($T$295,'TAR FIN'!$A$1:$O$116,15,0))</f>
        <v>0</v>
      </c>
      <c r="X295" s="6">
        <f>IF(ISERROR(VLOOKUP($U$295,'TAR FIN'!$A$1:$O$116,15,0)),0,VLOOKUP($U$295,'TAR FIN'!$A$1:$O$116,15,0))</f>
        <v>0</v>
      </c>
      <c r="Y295" s="6">
        <f ca="1">('TUSD BE'!$AM$32+'TUSD BF'!$AM$32+'TUSD CVA'!$AM$32)*1</f>
        <v>17.138874075124019</v>
      </c>
      <c r="Z295" s="6"/>
      <c r="AA295" s="6"/>
      <c r="AB295" s="6">
        <f t="shared" si="18"/>
        <v>0</v>
      </c>
      <c r="AC295" s="6">
        <f t="shared" si="19"/>
        <v>0</v>
      </c>
      <c r="AD295" s="6">
        <f t="shared" ca="1" si="20"/>
        <v>0</v>
      </c>
      <c r="AE295" s="6">
        <f t="shared" si="21"/>
        <v>0</v>
      </c>
      <c r="AF295" s="4" t="s">
        <v>1112</v>
      </c>
    </row>
    <row r="296" spans="1:32" ht="11.25" customHeight="1" x14ac:dyDescent="0.25">
      <c r="A296" s="4" t="s">
        <v>21</v>
      </c>
      <c r="B296" s="4" t="s">
        <v>41</v>
      </c>
      <c r="C296" s="4" t="s">
        <v>64</v>
      </c>
      <c r="D296" s="4" t="s">
        <v>25</v>
      </c>
      <c r="E296" s="4" t="s">
        <v>25</v>
      </c>
      <c r="F296" s="4" t="s">
        <v>25</v>
      </c>
      <c r="G296" s="4" t="s">
        <v>88</v>
      </c>
      <c r="H296" s="4" t="s">
        <v>25</v>
      </c>
      <c r="I296" s="5">
        <v>44378</v>
      </c>
      <c r="J296" s="6">
        <v>9500</v>
      </c>
      <c r="K296" s="6">
        <v>4750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4" t="s">
        <v>66</v>
      </c>
      <c r="R296" s="4">
        <v>27722</v>
      </c>
      <c r="S296" s="4">
        <v>28</v>
      </c>
      <c r="T296" s="4">
        <v>0</v>
      </c>
      <c r="U296" s="4">
        <v>0</v>
      </c>
      <c r="V296" s="6">
        <f>IF(ISERROR(VLOOKUP($S$296,'TAR FIN'!$A$1:$O$116,15,0)),0,VLOOKUP($S$296,'TAR FIN'!$A$1:$O$116,15,0))</f>
        <v>15.24</v>
      </c>
      <c r="W296" s="6">
        <f>IF(ISERROR(VLOOKUP($T$296,'TAR FIN'!$A$1:$O$116,15,0)),0,VLOOKUP($T$296,'TAR FIN'!$A$1:$O$116,15,0))</f>
        <v>0</v>
      </c>
      <c r="X296" s="6">
        <f>IF(ISERROR(VLOOKUP($U$296,'TAR FIN'!$A$1:$O$116,15,0)),0,VLOOKUP($U$296,'TAR FIN'!$A$1:$O$116,15,0))</f>
        <v>0</v>
      </c>
      <c r="Y296" s="6">
        <f ca="1">('TUSD BE'!$AM$32+'TUSD BF'!$AM$32+'TUSD CVA'!$AM$32)*1</f>
        <v>17.138874075124019</v>
      </c>
      <c r="Z296" s="6"/>
      <c r="AA296" s="6"/>
      <c r="AB296" s="6">
        <f t="shared" si="18"/>
        <v>72390</v>
      </c>
      <c r="AC296" s="6">
        <f t="shared" si="19"/>
        <v>0</v>
      </c>
      <c r="AD296" s="6">
        <f t="shared" ca="1" si="20"/>
        <v>81409.651856839089</v>
      </c>
      <c r="AE296" s="6">
        <f t="shared" si="21"/>
        <v>0</v>
      </c>
      <c r="AF296" s="4" t="s">
        <v>1112</v>
      </c>
    </row>
    <row r="297" spans="1:32" ht="11.25" customHeight="1" x14ac:dyDescent="0.25">
      <c r="A297" s="4" t="s">
        <v>21</v>
      </c>
      <c r="B297" s="4" t="s">
        <v>41</v>
      </c>
      <c r="C297" s="4" t="s">
        <v>64</v>
      </c>
      <c r="D297" s="4" t="s">
        <v>25</v>
      </c>
      <c r="E297" s="4" t="s">
        <v>25</v>
      </c>
      <c r="F297" s="4" t="s">
        <v>25</v>
      </c>
      <c r="G297" s="4" t="s">
        <v>90</v>
      </c>
      <c r="H297" s="4" t="s">
        <v>25</v>
      </c>
      <c r="I297" s="5">
        <v>44378</v>
      </c>
      <c r="J297" s="6">
        <v>420</v>
      </c>
      <c r="K297" s="6">
        <v>420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4" t="s">
        <v>66</v>
      </c>
      <c r="R297" s="4">
        <v>27928</v>
      </c>
      <c r="S297" s="4">
        <v>28</v>
      </c>
      <c r="T297" s="4">
        <v>0</v>
      </c>
      <c r="U297" s="4">
        <v>0</v>
      </c>
      <c r="V297" s="6">
        <f>IF(ISERROR(VLOOKUP($S$297,'TAR FIN'!$A$1:$O$116,15,0)),0,VLOOKUP($S$297,'TAR FIN'!$A$1:$O$116,15,0))</f>
        <v>15.24</v>
      </c>
      <c r="W297" s="6">
        <f>IF(ISERROR(VLOOKUP($T$297,'TAR FIN'!$A$1:$O$116,15,0)),0,VLOOKUP($T$297,'TAR FIN'!$A$1:$O$116,15,0))</f>
        <v>0</v>
      </c>
      <c r="X297" s="6">
        <f>IF(ISERROR(VLOOKUP($U$297,'TAR FIN'!$A$1:$O$116,15,0)),0,VLOOKUP($U$297,'TAR FIN'!$A$1:$O$116,15,0))</f>
        <v>0</v>
      </c>
      <c r="Y297" s="6">
        <f ca="1">('TUSD BE'!$AM$32+'TUSD BF'!$AM$32+'TUSD CVA'!$AM$32)*1</f>
        <v>17.138874075124019</v>
      </c>
      <c r="Z297" s="6"/>
      <c r="AA297" s="6"/>
      <c r="AB297" s="6">
        <f t="shared" si="18"/>
        <v>0</v>
      </c>
      <c r="AC297" s="6">
        <f t="shared" si="19"/>
        <v>0</v>
      </c>
      <c r="AD297" s="6">
        <f t="shared" ca="1" si="20"/>
        <v>0</v>
      </c>
      <c r="AE297" s="6">
        <f t="shared" si="21"/>
        <v>0</v>
      </c>
      <c r="AF297" s="4" t="s">
        <v>1112</v>
      </c>
    </row>
    <row r="298" spans="1:32" ht="11.25" customHeight="1" x14ac:dyDescent="0.25">
      <c r="A298" s="4" t="s">
        <v>21</v>
      </c>
      <c r="B298" s="4" t="s">
        <v>41</v>
      </c>
      <c r="C298" s="4" t="s">
        <v>64</v>
      </c>
      <c r="D298" s="4" t="s">
        <v>25</v>
      </c>
      <c r="E298" s="4" t="s">
        <v>25</v>
      </c>
      <c r="F298" s="4" t="s">
        <v>25</v>
      </c>
      <c r="G298" s="4" t="s">
        <v>93</v>
      </c>
      <c r="H298" s="4" t="s">
        <v>25</v>
      </c>
      <c r="I298" s="5">
        <v>44378</v>
      </c>
      <c r="J298" s="6">
        <v>1300</v>
      </c>
      <c r="K298" s="6">
        <v>650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4" t="s">
        <v>66</v>
      </c>
      <c r="R298" s="4">
        <v>30847</v>
      </c>
      <c r="S298" s="4">
        <v>28</v>
      </c>
      <c r="T298" s="4">
        <v>0</v>
      </c>
      <c r="U298" s="4">
        <v>0</v>
      </c>
      <c r="V298" s="6">
        <f>IF(ISERROR(VLOOKUP($S$298,'TAR FIN'!$A$1:$O$116,15,0)),0,VLOOKUP($S$298,'TAR FIN'!$A$1:$O$116,15,0))</f>
        <v>15.24</v>
      </c>
      <c r="W298" s="6">
        <f>IF(ISERROR(VLOOKUP($T$298,'TAR FIN'!$A$1:$O$116,15,0)),0,VLOOKUP($T$298,'TAR FIN'!$A$1:$O$116,15,0))</f>
        <v>0</v>
      </c>
      <c r="X298" s="6">
        <f>IF(ISERROR(VLOOKUP($U$298,'TAR FIN'!$A$1:$O$116,15,0)),0,VLOOKUP($U$298,'TAR FIN'!$A$1:$O$116,15,0))</f>
        <v>0</v>
      </c>
      <c r="Y298" s="6">
        <f ca="1">('TUSD BE'!$AM$32+'TUSD BF'!$AM$32+'TUSD CVA'!$AM$32)*1</f>
        <v>17.138874075124019</v>
      </c>
      <c r="Z298" s="6"/>
      <c r="AA298" s="6"/>
      <c r="AB298" s="6">
        <f t="shared" si="18"/>
        <v>9906</v>
      </c>
      <c r="AC298" s="6">
        <f t="shared" si="19"/>
        <v>0</v>
      </c>
      <c r="AD298" s="6">
        <f t="shared" ca="1" si="20"/>
        <v>11140.268148830612</v>
      </c>
      <c r="AE298" s="6">
        <f t="shared" si="21"/>
        <v>0</v>
      </c>
      <c r="AF298" s="4" t="s">
        <v>1112</v>
      </c>
    </row>
    <row r="299" spans="1:32" ht="11.25" customHeight="1" x14ac:dyDescent="0.25">
      <c r="A299" s="4" t="s">
        <v>21</v>
      </c>
      <c r="B299" s="4" t="s">
        <v>41</v>
      </c>
      <c r="C299" s="4" t="s">
        <v>64</v>
      </c>
      <c r="D299" s="4" t="s">
        <v>25</v>
      </c>
      <c r="E299" s="4" t="s">
        <v>25</v>
      </c>
      <c r="F299" s="4" t="s">
        <v>25</v>
      </c>
      <c r="G299" s="4" t="s">
        <v>94</v>
      </c>
      <c r="H299" s="4" t="s">
        <v>25</v>
      </c>
      <c r="I299" s="5">
        <v>44378</v>
      </c>
      <c r="J299" s="6">
        <v>1180</v>
      </c>
      <c r="K299" s="6">
        <v>590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4" t="s">
        <v>66</v>
      </c>
      <c r="R299" s="4">
        <v>30866</v>
      </c>
      <c r="S299" s="4">
        <v>28</v>
      </c>
      <c r="T299" s="4">
        <v>0</v>
      </c>
      <c r="U299" s="4">
        <v>0</v>
      </c>
      <c r="V299" s="6">
        <f>IF(ISERROR(VLOOKUP($S$299,'TAR FIN'!$A$1:$O$116,15,0)),0,VLOOKUP($S$299,'TAR FIN'!$A$1:$O$116,15,0))</f>
        <v>15.24</v>
      </c>
      <c r="W299" s="6">
        <f>IF(ISERROR(VLOOKUP($T$299,'TAR FIN'!$A$1:$O$116,15,0)),0,VLOOKUP($T$299,'TAR FIN'!$A$1:$O$116,15,0))</f>
        <v>0</v>
      </c>
      <c r="X299" s="6">
        <f>IF(ISERROR(VLOOKUP($U$299,'TAR FIN'!$A$1:$O$116,15,0)),0,VLOOKUP($U$299,'TAR FIN'!$A$1:$O$116,15,0))</f>
        <v>0</v>
      </c>
      <c r="Y299" s="6">
        <f ca="1">('TUSD BE'!$AM$32+'TUSD BF'!$AM$32+'TUSD CVA'!$AM$32)*1</f>
        <v>17.138874075124019</v>
      </c>
      <c r="Z299" s="6"/>
      <c r="AA299" s="6"/>
      <c r="AB299" s="6">
        <f t="shared" si="18"/>
        <v>8991.6</v>
      </c>
      <c r="AC299" s="6">
        <f t="shared" si="19"/>
        <v>0</v>
      </c>
      <c r="AD299" s="6">
        <f t="shared" ca="1" si="20"/>
        <v>10111.93570432317</v>
      </c>
      <c r="AE299" s="6">
        <f t="shared" si="21"/>
        <v>0</v>
      </c>
      <c r="AF299" s="4" t="s">
        <v>1112</v>
      </c>
    </row>
    <row r="300" spans="1:32" ht="11.25" customHeight="1" x14ac:dyDescent="0.25">
      <c r="A300" s="4" t="s">
        <v>21</v>
      </c>
      <c r="B300" s="4" t="s">
        <v>41</v>
      </c>
      <c r="C300" s="4" t="s">
        <v>64</v>
      </c>
      <c r="D300" s="4" t="s">
        <v>25</v>
      </c>
      <c r="E300" s="4" t="s">
        <v>25</v>
      </c>
      <c r="F300" s="4" t="s">
        <v>25</v>
      </c>
      <c r="G300" s="4" t="s">
        <v>95</v>
      </c>
      <c r="H300" s="4" t="s">
        <v>25</v>
      </c>
      <c r="I300" s="5">
        <v>44378</v>
      </c>
      <c r="J300" s="6">
        <v>1180</v>
      </c>
      <c r="K300" s="6">
        <v>590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4" t="s">
        <v>66</v>
      </c>
      <c r="R300" s="4">
        <v>31051</v>
      </c>
      <c r="S300" s="4">
        <v>28</v>
      </c>
      <c r="T300" s="4">
        <v>0</v>
      </c>
      <c r="U300" s="4">
        <v>0</v>
      </c>
      <c r="V300" s="6">
        <f>IF(ISERROR(VLOOKUP($S$300,'TAR FIN'!$A$1:$O$116,15,0)),0,VLOOKUP($S$300,'TAR FIN'!$A$1:$O$116,15,0))</f>
        <v>15.24</v>
      </c>
      <c r="W300" s="6">
        <f>IF(ISERROR(VLOOKUP($T$300,'TAR FIN'!$A$1:$O$116,15,0)),0,VLOOKUP($T$300,'TAR FIN'!$A$1:$O$116,15,0))</f>
        <v>0</v>
      </c>
      <c r="X300" s="6">
        <f>IF(ISERROR(VLOOKUP($U$300,'TAR FIN'!$A$1:$O$116,15,0)),0,VLOOKUP($U$300,'TAR FIN'!$A$1:$O$116,15,0))</f>
        <v>0</v>
      </c>
      <c r="Y300" s="6">
        <f ca="1">('TUSD BE'!$AM$32+'TUSD BF'!$AM$32+'TUSD CVA'!$AM$32)*1</f>
        <v>17.138874075124019</v>
      </c>
      <c r="Z300" s="6"/>
      <c r="AA300" s="6"/>
      <c r="AB300" s="6">
        <f t="shared" si="18"/>
        <v>8991.6</v>
      </c>
      <c r="AC300" s="6">
        <f t="shared" si="19"/>
        <v>0</v>
      </c>
      <c r="AD300" s="6">
        <f t="shared" ca="1" si="20"/>
        <v>10111.93570432317</v>
      </c>
      <c r="AE300" s="6">
        <f t="shared" si="21"/>
        <v>0</v>
      </c>
      <c r="AF300" s="4" t="s">
        <v>1112</v>
      </c>
    </row>
    <row r="301" spans="1:32" ht="11.25" customHeight="1" x14ac:dyDescent="0.25">
      <c r="A301" s="4" t="s">
        <v>21</v>
      </c>
      <c r="B301" s="4" t="s">
        <v>41</v>
      </c>
      <c r="C301" s="4" t="s">
        <v>64</v>
      </c>
      <c r="D301" s="4" t="s">
        <v>25</v>
      </c>
      <c r="E301" s="4" t="s">
        <v>25</v>
      </c>
      <c r="F301" s="4" t="s">
        <v>25</v>
      </c>
      <c r="G301" s="4" t="s">
        <v>96</v>
      </c>
      <c r="H301" s="4" t="s">
        <v>25</v>
      </c>
      <c r="I301" s="5">
        <v>44378</v>
      </c>
      <c r="J301" s="6">
        <v>1000</v>
      </c>
      <c r="K301" s="6">
        <v>500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4" t="s">
        <v>66</v>
      </c>
      <c r="R301" s="4">
        <v>31277</v>
      </c>
      <c r="S301" s="4">
        <v>28</v>
      </c>
      <c r="T301" s="4">
        <v>0</v>
      </c>
      <c r="U301" s="4">
        <v>0</v>
      </c>
      <c r="V301" s="6">
        <f>IF(ISERROR(VLOOKUP($S$301,'TAR FIN'!$A$1:$O$116,15,0)),0,VLOOKUP($S$301,'TAR FIN'!$A$1:$O$116,15,0))</f>
        <v>15.24</v>
      </c>
      <c r="W301" s="6">
        <f>IF(ISERROR(VLOOKUP($T$301,'TAR FIN'!$A$1:$O$116,15,0)),0,VLOOKUP($T$301,'TAR FIN'!$A$1:$O$116,15,0))</f>
        <v>0</v>
      </c>
      <c r="X301" s="6">
        <f>IF(ISERROR(VLOOKUP($U$301,'TAR FIN'!$A$1:$O$116,15,0)),0,VLOOKUP($U$301,'TAR FIN'!$A$1:$O$116,15,0))</f>
        <v>0</v>
      </c>
      <c r="Y301" s="6">
        <f ca="1">('TUSD BE'!$AM$32+'TUSD BF'!$AM$32+'TUSD CVA'!$AM$32)*1</f>
        <v>17.138874075124019</v>
      </c>
      <c r="Z301" s="6"/>
      <c r="AA301" s="6"/>
      <c r="AB301" s="6">
        <f t="shared" si="18"/>
        <v>7620</v>
      </c>
      <c r="AC301" s="6">
        <f t="shared" si="19"/>
        <v>0</v>
      </c>
      <c r="AD301" s="6">
        <f t="shared" ca="1" si="20"/>
        <v>8569.4370375620092</v>
      </c>
      <c r="AE301" s="6">
        <f t="shared" si="21"/>
        <v>0</v>
      </c>
      <c r="AF301" s="4" t="s">
        <v>1112</v>
      </c>
    </row>
    <row r="302" spans="1:32" ht="11.25" customHeight="1" x14ac:dyDescent="0.25">
      <c r="A302" s="4" t="s">
        <v>21</v>
      </c>
      <c r="B302" s="4" t="s">
        <v>41</v>
      </c>
      <c r="C302" s="4" t="s">
        <v>64</v>
      </c>
      <c r="D302" s="4" t="s">
        <v>25</v>
      </c>
      <c r="E302" s="4" t="s">
        <v>25</v>
      </c>
      <c r="F302" s="4" t="s">
        <v>25</v>
      </c>
      <c r="G302" s="4" t="s">
        <v>97</v>
      </c>
      <c r="H302" s="4" t="s">
        <v>25</v>
      </c>
      <c r="I302" s="5">
        <v>44378</v>
      </c>
      <c r="J302" s="6">
        <v>1180</v>
      </c>
      <c r="K302" s="6">
        <v>590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4" t="s">
        <v>66</v>
      </c>
      <c r="R302" s="4">
        <v>31318</v>
      </c>
      <c r="S302" s="4">
        <v>28</v>
      </c>
      <c r="T302" s="4">
        <v>0</v>
      </c>
      <c r="U302" s="4">
        <v>0</v>
      </c>
      <c r="V302" s="6">
        <f>IF(ISERROR(VLOOKUP($S$302,'TAR FIN'!$A$1:$O$116,15,0)),0,VLOOKUP($S$302,'TAR FIN'!$A$1:$O$116,15,0))</f>
        <v>15.24</v>
      </c>
      <c r="W302" s="6">
        <f>IF(ISERROR(VLOOKUP($T$302,'TAR FIN'!$A$1:$O$116,15,0)),0,VLOOKUP($T$302,'TAR FIN'!$A$1:$O$116,15,0))</f>
        <v>0</v>
      </c>
      <c r="X302" s="6">
        <f>IF(ISERROR(VLOOKUP($U$302,'TAR FIN'!$A$1:$O$116,15,0)),0,VLOOKUP($U$302,'TAR FIN'!$A$1:$O$116,15,0))</f>
        <v>0</v>
      </c>
      <c r="Y302" s="6">
        <f ca="1">('TUSD BE'!$AM$32+'TUSD BF'!$AM$32+'TUSD CVA'!$AM$32)*1</f>
        <v>17.138874075124019</v>
      </c>
      <c r="Z302" s="6"/>
      <c r="AA302" s="6"/>
      <c r="AB302" s="6">
        <f t="shared" si="18"/>
        <v>8991.6</v>
      </c>
      <c r="AC302" s="6">
        <f t="shared" si="19"/>
        <v>0</v>
      </c>
      <c r="AD302" s="6">
        <f t="shared" ca="1" si="20"/>
        <v>10111.93570432317</v>
      </c>
      <c r="AE302" s="6">
        <f t="shared" si="21"/>
        <v>0</v>
      </c>
      <c r="AF302" s="4" t="s">
        <v>1112</v>
      </c>
    </row>
    <row r="303" spans="1:32" ht="11.25" customHeight="1" x14ac:dyDescent="0.25">
      <c r="A303" s="4" t="s">
        <v>21</v>
      </c>
      <c r="B303" s="4" t="s">
        <v>41</v>
      </c>
      <c r="C303" s="4" t="s">
        <v>64</v>
      </c>
      <c r="D303" s="4" t="s">
        <v>25</v>
      </c>
      <c r="E303" s="4" t="s">
        <v>25</v>
      </c>
      <c r="F303" s="4" t="s">
        <v>25</v>
      </c>
      <c r="G303" s="4" t="s">
        <v>98</v>
      </c>
      <c r="H303" s="4" t="s">
        <v>25</v>
      </c>
      <c r="I303" s="5">
        <v>44378</v>
      </c>
      <c r="J303" s="6">
        <v>3000</v>
      </c>
      <c r="K303" s="6">
        <v>1500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4" t="s">
        <v>66</v>
      </c>
      <c r="R303" s="4">
        <v>31334</v>
      </c>
      <c r="S303" s="4">
        <v>28</v>
      </c>
      <c r="T303" s="4">
        <v>0</v>
      </c>
      <c r="U303" s="4">
        <v>0</v>
      </c>
      <c r="V303" s="6">
        <f>IF(ISERROR(VLOOKUP($S$303,'TAR FIN'!$A$1:$O$116,15,0)),0,VLOOKUP($S$303,'TAR FIN'!$A$1:$O$116,15,0))</f>
        <v>15.24</v>
      </c>
      <c r="W303" s="6">
        <f>IF(ISERROR(VLOOKUP($T$303,'TAR FIN'!$A$1:$O$116,15,0)),0,VLOOKUP($T$303,'TAR FIN'!$A$1:$O$116,15,0))</f>
        <v>0</v>
      </c>
      <c r="X303" s="6">
        <f>IF(ISERROR(VLOOKUP($U$303,'TAR FIN'!$A$1:$O$116,15,0)),0,VLOOKUP($U$303,'TAR FIN'!$A$1:$O$116,15,0))</f>
        <v>0</v>
      </c>
      <c r="Y303" s="6">
        <f ca="1">('TUSD BE'!$AM$32+'TUSD BF'!$AM$32+'TUSD CVA'!$AM$32)*1</f>
        <v>17.138874075124019</v>
      </c>
      <c r="Z303" s="6"/>
      <c r="AA303" s="6"/>
      <c r="AB303" s="6">
        <f t="shared" si="18"/>
        <v>22860</v>
      </c>
      <c r="AC303" s="6">
        <f t="shared" si="19"/>
        <v>0</v>
      </c>
      <c r="AD303" s="6">
        <f t="shared" ca="1" si="20"/>
        <v>25708.311112686028</v>
      </c>
      <c r="AE303" s="6">
        <f t="shared" si="21"/>
        <v>0</v>
      </c>
      <c r="AF303" s="4" t="s">
        <v>1112</v>
      </c>
    </row>
    <row r="304" spans="1:32" ht="11.25" customHeight="1" x14ac:dyDescent="0.25">
      <c r="A304" s="4" t="s">
        <v>21</v>
      </c>
      <c r="B304" s="4" t="s">
        <v>41</v>
      </c>
      <c r="C304" s="4" t="s">
        <v>64</v>
      </c>
      <c r="D304" s="4" t="s">
        <v>25</v>
      </c>
      <c r="E304" s="4" t="s">
        <v>25</v>
      </c>
      <c r="F304" s="4" t="s">
        <v>25</v>
      </c>
      <c r="G304" s="4" t="s">
        <v>99</v>
      </c>
      <c r="H304" s="4" t="s">
        <v>25</v>
      </c>
      <c r="I304" s="5">
        <v>44378</v>
      </c>
      <c r="J304" s="6">
        <v>1180</v>
      </c>
      <c r="K304" s="6">
        <v>590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4" t="s">
        <v>66</v>
      </c>
      <c r="R304" s="4">
        <v>31618</v>
      </c>
      <c r="S304" s="4">
        <v>28</v>
      </c>
      <c r="T304" s="4">
        <v>0</v>
      </c>
      <c r="U304" s="4">
        <v>0</v>
      </c>
      <c r="V304" s="6">
        <f>IF(ISERROR(VLOOKUP($S$304,'TAR FIN'!$A$1:$O$116,15,0)),0,VLOOKUP($S$304,'TAR FIN'!$A$1:$O$116,15,0))</f>
        <v>15.24</v>
      </c>
      <c r="W304" s="6">
        <f>IF(ISERROR(VLOOKUP($T$304,'TAR FIN'!$A$1:$O$116,15,0)),0,VLOOKUP($T$304,'TAR FIN'!$A$1:$O$116,15,0))</f>
        <v>0</v>
      </c>
      <c r="X304" s="6">
        <f>IF(ISERROR(VLOOKUP($U$304,'TAR FIN'!$A$1:$O$116,15,0)),0,VLOOKUP($U$304,'TAR FIN'!$A$1:$O$116,15,0))</f>
        <v>0</v>
      </c>
      <c r="Y304" s="6">
        <f ca="1">('TUSD BE'!$AM$32+'TUSD BF'!$AM$32+'TUSD CVA'!$AM$32)*1</f>
        <v>17.138874075124019</v>
      </c>
      <c r="Z304" s="6"/>
      <c r="AA304" s="6"/>
      <c r="AB304" s="6">
        <f t="shared" si="18"/>
        <v>8991.6</v>
      </c>
      <c r="AC304" s="6">
        <f t="shared" si="19"/>
        <v>0</v>
      </c>
      <c r="AD304" s="6">
        <f t="shared" ca="1" si="20"/>
        <v>10111.93570432317</v>
      </c>
      <c r="AE304" s="6">
        <f t="shared" si="21"/>
        <v>0</v>
      </c>
      <c r="AF304" s="4" t="s">
        <v>1112</v>
      </c>
    </row>
    <row r="305" spans="1:32" ht="11.25" customHeight="1" x14ac:dyDescent="0.25">
      <c r="A305" s="4" t="s">
        <v>21</v>
      </c>
      <c r="B305" s="4" t="s">
        <v>41</v>
      </c>
      <c r="C305" s="4" t="s">
        <v>64</v>
      </c>
      <c r="D305" s="4" t="s">
        <v>25</v>
      </c>
      <c r="E305" s="4" t="s">
        <v>25</v>
      </c>
      <c r="F305" s="4" t="s">
        <v>25</v>
      </c>
      <c r="G305" s="4" t="s">
        <v>100</v>
      </c>
      <c r="H305" s="4" t="s">
        <v>25</v>
      </c>
      <c r="I305" s="5">
        <v>44378</v>
      </c>
      <c r="J305" s="6">
        <v>1180</v>
      </c>
      <c r="K305" s="6">
        <v>590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4" t="s">
        <v>66</v>
      </c>
      <c r="R305" s="4">
        <v>31677</v>
      </c>
      <c r="S305" s="4">
        <v>28</v>
      </c>
      <c r="T305" s="4">
        <v>0</v>
      </c>
      <c r="U305" s="4">
        <v>0</v>
      </c>
      <c r="V305" s="6">
        <f>IF(ISERROR(VLOOKUP($S$305,'TAR FIN'!$A$1:$O$116,15,0)),0,VLOOKUP($S$305,'TAR FIN'!$A$1:$O$116,15,0))</f>
        <v>15.24</v>
      </c>
      <c r="W305" s="6">
        <f>IF(ISERROR(VLOOKUP($T$305,'TAR FIN'!$A$1:$O$116,15,0)),0,VLOOKUP($T$305,'TAR FIN'!$A$1:$O$116,15,0))</f>
        <v>0</v>
      </c>
      <c r="X305" s="6">
        <f>IF(ISERROR(VLOOKUP($U$305,'TAR FIN'!$A$1:$O$116,15,0)),0,VLOOKUP($U$305,'TAR FIN'!$A$1:$O$116,15,0))</f>
        <v>0</v>
      </c>
      <c r="Y305" s="6">
        <f ca="1">('TUSD BE'!$AM$32+'TUSD BF'!$AM$32+'TUSD CVA'!$AM$32)*1</f>
        <v>17.138874075124019</v>
      </c>
      <c r="Z305" s="6"/>
      <c r="AA305" s="6"/>
      <c r="AB305" s="6">
        <f t="shared" si="18"/>
        <v>8991.6</v>
      </c>
      <c r="AC305" s="6">
        <f t="shared" si="19"/>
        <v>0</v>
      </c>
      <c r="AD305" s="6">
        <f t="shared" ca="1" si="20"/>
        <v>10111.93570432317</v>
      </c>
      <c r="AE305" s="6">
        <f t="shared" si="21"/>
        <v>0</v>
      </c>
      <c r="AF305" s="4" t="s">
        <v>1112</v>
      </c>
    </row>
    <row r="306" spans="1:32" ht="11.25" customHeight="1" x14ac:dyDescent="0.25">
      <c r="A306" s="4" t="s">
        <v>21</v>
      </c>
      <c r="B306" s="4" t="s">
        <v>41</v>
      </c>
      <c r="C306" s="4" t="s">
        <v>64</v>
      </c>
      <c r="D306" s="4" t="s">
        <v>25</v>
      </c>
      <c r="E306" s="4" t="s">
        <v>25</v>
      </c>
      <c r="F306" s="4" t="s">
        <v>25</v>
      </c>
      <c r="G306" s="4" t="s">
        <v>68</v>
      </c>
      <c r="H306" s="4" t="s">
        <v>25</v>
      </c>
      <c r="I306" s="5">
        <v>44409</v>
      </c>
      <c r="J306" s="6">
        <v>302</v>
      </c>
      <c r="K306" s="6">
        <v>302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4" t="s">
        <v>66</v>
      </c>
      <c r="R306" s="4">
        <v>404</v>
      </c>
      <c r="S306" s="4">
        <v>28</v>
      </c>
      <c r="T306" s="4">
        <v>0</v>
      </c>
      <c r="U306" s="4">
        <v>0</v>
      </c>
      <c r="V306" s="6">
        <f>IF(ISERROR(VLOOKUP($S$306,'TAR FIN'!$A$1:$O$116,15,0)),0,VLOOKUP($S$306,'TAR FIN'!$A$1:$O$116,15,0))</f>
        <v>15.24</v>
      </c>
      <c r="W306" s="6">
        <f>IF(ISERROR(VLOOKUP($T$306,'TAR FIN'!$A$1:$O$116,15,0)),0,VLOOKUP($T$306,'TAR FIN'!$A$1:$O$116,15,0))</f>
        <v>0</v>
      </c>
      <c r="X306" s="6">
        <f>IF(ISERROR(VLOOKUP($U$306,'TAR FIN'!$A$1:$O$116,15,0)),0,VLOOKUP($U$306,'TAR FIN'!$A$1:$O$116,15,0))</f>
        <v>0</v>
      </c>
      <c r="Y306" s="6">
        <f ca="1">('TUSD BE'!$AM$32+'TUSD BF'!$AM$32+'TUSD CVA'!$AM$32)*1</f>
        <v>17.138874075124019</v>
      </c>
      <c r="Z306" s="6"/>
      <c r="AA306" s="6"/>
      <c r="AB306" s="6">
        <f t="shared" si="18"/>
        <v>0</v>
      </c>
      <c r="AC306" s="6">
        <f t="shared" si="19"/>
        <v>0</v>
      </c>
      <c r="AD306" s="6">
        <f t="shared" ca="1" si="20"/>
        <v>0</v>
      </c>
      <c r="AE306" s="6">
        <f t="shared" si="21"/>
        <v>0</v>
      </c>
      <c r="AF306" s="4" t="s">
        <v>1112</v>
      </c>
    </row>
    <row r="307" spans="1:32" ht="11.25" customHeight="1" x14ac:dyDescent="0.25">
      <c r="A307" s="4" t="s">
        <v>21</v>
      </c>
      <c r="B307" s="4" t="s">
        <v>41</v>
      </c>
      <c r="C307" s="4" t="s">
        <v>64</v>
      </c>
      <c r="D307" s="4" t="s">
        <v>25</v>
      </c>
      <c r="E307" s="4" t="s">
        <v>25</v>
      </c>
      <c r="F307" s="4" t="s">
        <v>25</v>
      </c>
      <c r="G307" s="4" t="s">
        <v>70</v>
      </c>
      <c r="H307" s="4" t="s">
        <v>25</v>
      </c>
      <c r="I307" s="5">
        <v>44409</v>
      </c>
      <c r="J307" s="6">
        <v>5040</v>
      </c>
      <c r="K307" s="6">
        <v>5040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4" t="s">
        <v>66</v>
      </c>
      <c r="R307" s="4">
        <v>838</v>
      </c>
      <c r="S307" s="4">
        <v>28</v>
      </c>
      <c r="T307" s="4">
        <v>0</v>
      </c>
      <c r="U307" s="4">
        <v>0</v>
      </c>
      <c r="V307" s="6">
        <f>IF(ISERROR(VLOOKUP($S$307,'TAR FIN'!$A$1:$O$116,15,0)),0,VLOOKUP($S$307,'TAR FIN'!$A$1:$O$116,15,0))</f>
        <v>15.24</v>
      </c>
      <c r="W307" s="6">
        <f>IF(ISERROR(VLOOKUP($T$307,'TAR FIN'!$A$1:$O$116,15,0)),0,VLOOKUP($T$307,'TAR FIN'!$A$1:$O$116,15,0))</f>
        <v>0</v>
      </c>
      <c r="X307" s="6">
        <f>IF(ISERROR(VLOOKUP($U$307,'TAR FIN'!$A$1:$O$116,15,0)),0,VLOOKUP($U$307,'TAR FIN'!$A$1:$O$116,15,0))</f>
        <v>0</v>
      </c>
      <c r="Y307" s="6">
        <f ca="1">('TUSD BE'!$AM$32+'TUSD BF'!$AM$32+'TUSD CVA'!$AM$32)*1</f>
        <v>17.138874075124019</v>
      </c>
      <c r="Z307" s="6"/>
      <c r="AA307" s="6"/>
      <c r="AB307" s="6">
        <f t="shared" si="18"/>
        <v>0</v>
      </c>
      <c r="AC307" s="6">
        <f t="shared" si="19"/>
        <v>0</v>
      </c>
      <c r="AD307" s="6">
        <f t="shared" ca="1" si="20"/>
        <v>0</v>
      </c>
      <c r="AE307" s="6">
        <f t="shared" si="21"/>
        <v>0</v>
      </c>
      <c r="AF307" s="4" t="s">
        <v>1112</v>
      </c>
    </row>
    <row r="308" spans="1:32" ht="11.25" customHeight="1" x14ac:dyDescent="0.25">
      <c r="A308" s="4" t="s">
        <v>21</v>
      </c>
      <c r="B308" s="4" t="s">
        <v>41</v>
      </c>
      <c r="C308" s="4" t="s">
        <v>64</v>
      </c>
      <c r="D308" s="4" t="s">
        <v>25</v>
      </c>
      <c r="E308" s="4" t="s">
        <v>25</v>
      </c>
      <c r="F308" s="4" t="s">
        <v>25</v>
      </c>
      <c r="G308" s="4" t="s">
        <v>74</v>
      </c>
      <c r="H308" s="4" t="s">
        <v>25</v>
      </c>
      <c r="I308" s="5">
        <v>44409</v>
      </c>
      <c r="J308" s="6">
        <v>3800</v>
      </c>
      <c r="K308" s="6">
        <v>1900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4" t="s">
        <v>66</v>
      </c>
      <c r="R308" s="4">
        <v>1192</v>
      </c>
      <c r="S308" s="4">
        <v>28</v>
      </c>
      <c r="T308" s="4">
        <v>0</v>
      </c>
      <c r="U308" s="4">
        <v>0</v>
      </c>
      <c r="V308" s="6">
        <f>IF(ISERROR(VLOOKUP($S$308,'TAR FIN'!$A$1:$O$116,15,0)),0,VLOOKUP($S$308,'TAR FIN'!$A$1:$O$116,15,0))</f>
        <v>15.24</v>
      </c>
      <c r="W308" s="6">
        <f>IF(ISERROR(VLOOKUP($T$308,'TAR FIN'!$A$1:$O$116,15,0)),0,VLOOKUP($T$308,'TAR FIN'!$A$1:$O$116,15,0))</f>
        <v>0</v>
      </c>
      <c r="X308" s="6">
        <f>IF(ISERROR(VLOOKUP($U$308,'TAR FIN'!$A$1:$O$116,15,0)),0,VLOOKUP($U$308,'TAR FIN'!$A$1:$O$116,15,0))</f>
        <v>0</v>
      </c>
      <c r="Y308" s="6">
        <f ca="1">('TUSD BE'!$AM$32+'TUSD BF'!$AM$32+'TUSD CVA'!$AM$32)*1</f>
        <v>17.138874075124019</v>
      </c>
      <c r="Z308" s="6"/>
      <c r="AA308" s="6"/>
      <c r="AB308" s="6">
        <f t="shared" si="18"/>
        <v>28956</v>
      </c>
      <c r="AC308" s="6">
        <f t="shared" si="19"/>
        <v>0</v>
      </c>
      <c r="AD308" s="6">
        <f t="shared" ca="1" si="20"/>
        <v>32563.860742735636</v>
      </c>
      <c r="AE308" s="6">
        <f t="shared" si="21"/>
        <v>0</v>
      </c>
      <c r="AF308" s="4" t="s">
        <v>1112</v>
      </c>
    </row>
    <row r="309" spans="1:32" ht="11.25" customHeight="1" x14ac:dyDescent="0.25">
      <c r="A309" s="4" t="s">
        <v>21</v>
      </c>
      <c r="B309" s="4" t="s">
        <v>41</v>
      </c>
      <c r="C309" s="4" t="s">
        <v>64</v>
      </c>
      <c r="D309" s="4" t="s">
        <v>25</v>
      </c>
      <c r="E309" s="4" t="s">
        <v>25</v>
      </c>
      <c r="F309" s="4" t="s">
        <v>25</v>
      </c>
      <c r="G309" s="4" t="s">
        <v>76</v>
      </c>
      <c r="H309" s="4" t="s">
        <v>25</v>
      </c>
      <c r="I309" s="5">
        <v>44409</v>
      </c>
      <c r="J309" s="6">
        <v>480</v>
      </c>
      <c r="K309" s="6">
        <v>480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4" t="s">
        <v>66</v>
      </c>
      <c r="R309" s="4">
        <v>1438</v>
      </c>
      <c r="S309" s="4">
        <v>28</v>
      </c>
      <c r="T309" s="4">
        <v>0</v>
      </c>
      <c r="U309" s="4">
        <v>0</v>
      </c>
      <c r="V309" s="6">
        <f>IF(ISERROR(VLOOKUP($S$309,'TAR FIN'!$A$1:$O$116,15,0)),0,VLOOKUP($S$309,'TAR FIN'!$A$1:$O$116,15,0))</f>
        <v>15.24</v>
      </c>
      <c r="W309" s="6">
        <f>IF(ISERROR(VLOOKUP($T$309,'TAR FIN'!$A$1:$O$116,15,0)),0,VLOOKUP($T$309,'TAR FIN'!$A$1:$O$116,15,0))</f>
        <v>0</v>
      </c>
      <c r="X309" s="6">
        <f>IF(ISERROR(VLOOKUP($U$309,'TAR FIN'!$A$1:$O$116,15,0)),0,VLOOKUP($U$309,'TAR FIN'!$A$1:$O$116,15,0))</f>
        <v>0</v>
      </c>
      <c r="Y309" s="6">
        <f ca="1">('TUSD BE'!$AM$32+'TUSD BF'!$AM$32+'TUSD CVA'!$AM$32)*1</f>
        <v>17.138874075124019</v>
      </c>
      <c r="Z309" s="6"/>
      <c r="AA309" s="6"/>
      <c r="AB309" s="6">
        <f t="shared" si="18"/>
        <v>0</v>
      </c>
      <c r="AC309" s="6">
        <f t="shared" si="19"/>
        <v>0</v>
      </c>
      <c r="AD309" s="6">
        <f t="shared" ca="1" si="20"/>
        <v>0</v>
      </c>
      <c r="AE309" s="6">
        <f t="shared" si="21"/>
        <v>0</v>
      </c>
      <c r="AF309" s="4" t="s">
        <v>1112</v>
      </c>
    </row>
    <row r="310" spans="1:32" ht="11.25" customHeight="1" x14ac:dyDescent="0.25">
      <c r="A310" s="4" t="s">
        <v>21</v>
      </c>
      <c r="B310" s="4" t="s">
        <v>41</v>
      </c>
      <c r="C310" s="4" t="s">
        <v>64</v>
      </c>
      <c r="D310" s="4" t="s">
        <v>25</v>
      </c>
      <c r="E310" s="4" t="s">
        <v>25</v>
      </c>
      <c r="F310" s="4" t="s">
        <v>25</v>
      </c>
      <c r="G310" s="4" t="s">
        <v>77</v>
      </c>
      <c r="H310" s="4" t="s">
        <v>25</v>
      </c>
      <c r="I310" s="5">
        <v>44409</v>
      </c>
      <c r="J310" s="6">
        <v>736</v>
      </c>
      <c r="K310" s="6">
        <v>736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4" t="s">
        <v>66</v>
      </c>
      <c r="R310" s="4">
        <v>1462</v>
      </c>
      <c r="S310" s="4">
        <v>28</v>
      </c>
      <c r="T310" s="4">
        <v>0</v>
      </c>
      <c r="U310" s="4">
        <v>0</v>
      </c>
      <c r="V310" s="6">
        <f>IF(ISERROR(VLOOKUP($S$310,'TAR FIN'!$A$1:$O$116,15,0)),0,VLOOKUP($S$310,'TAR FIN'!$A$1:$O$116,15,0))</f>
        <v>15.24</v>
      </c>
      <c r="W310" s="6">
        <f>IF(ISERROR(VLOOKUP($T$310,'TAR FIN'!$A$1:$O$116,15,0)),0,VLOOKUP($T$310,'TAR FIN'!$A$1:$O$116,15,0))</f>
        <v>0</v>
      </c>
      <c r="X310" s="6">
        <f>IF(ISERROR(VLOOKUP($U$310,'TAR FIN'!$A$1:$O$116,15,0)),0,VLOOKUP($U$310,'TAR FIN'!$A$1:$O$116,15,0))</f>
        <v>0</v>
      </c>
      <c r="Y310" s="6">
        <f ca="1">('TUSD BE'!$AM$32+'TUSD BF'!$AM$32+'TUSD CVA'!$AM$32)*1</f>
        <v>17.138874075124019</v>
      </c>
      <c r="Z310" s="6"/>
      <c r="AA310" s="6"/>
      <c r="AB310" s="6">
        <f t="shared" si="18"/>
        <v>0</v>
      </c>
      <c r="AC310" s="6">
        <f t="shared" si="19"/>
        <v>0</v>
      </c>
      <c r="AD310" s="6">
        <f t="shared" ca="1" si="20"/>
        <v>0</v>
      </c>
      <c r="AE310" s="6">
        <f t="shared" si="21"/>
        <v>0</v>
      </c>
      <c r="AF310" s="4" t="s">
        <v>1112</v>
      </c>
    </row>
    <row r="311" spans="1:32" ht="11.25" customHeight="1" x14ac:dyDescent="0.25">
      <c r="A311" s="4" t="s">
        <v>21</v>
      </c>
      <c r="B311" s="4" t="s">
        <v>41</v>
      </c>
      <c r="C311" s="4" t="s">
        <v>64</v>
      </c>
      <c r="D311" s="4" t="s">
        <v>25</v>
      </c>
      <c r="E311" s="4" t="s">
        <v>25</v>
      </c>
      <c r="F311" s="4" t="s">
        <v>25</v>
      </c>
      <c r="G311" s="4" t="s">
        <v>78</v>
      </c>
      <c r="H311" s="4" t="s">
        <v>25</v>
      </c>
      <c r="I311" s="5">
        <v>44409</v>
      </c>
      <c r="J311" s="6">
        <v>6460</v>
      </c>
      <c r="K311" s="6">
        <v>6460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4" t="s">
        <v>66</v>
      </c>
      <c r="R311" s="4">
        <v>1533</v>
      </c>
      <c r="S311" s="4">
        <v>28</v>
      </c>
      <c r="T311" s="4">
        <v>0</v>
      </c>
      <c r="U311" s="4">
        <v>0</v>
      </c>
      <c r="V311" s="6">
        <f>IF(ISERROR(VLOOKUP($S$311,'TAR FIN'!$A$1:$O$116,15,0)),0,VLOOKUP($S$311,'TAR FIN'!$A$1:$O$116,15,0))</f>
        <v>15.24</v>
      </c>
      <c r="W311" s="6">
        <f>IF(ISERROR(VLOOKUP($T$311,'TAR FIN'!$A$1:$O$116,15,0)),0,VLOOKUP($T$311,'TAR FIN'!$A$1:$O$116,15,0))</f>
        <v>0</v>
      </c>
      <c r="X311" s="6">
        <f>IF(ISERROR(VLOOKUP($U$311,'TAR FIN'!$A$1:$O$116,15,0)),0,VLOOKUP($U$311,'TAR FIN'!$A$1:$O$116,15,0))</f>
        <v>0</v>
      </c>
      <c r="Y311" s="6">
        <f ca="1">('TUSD BE'!$AM$32+'TUSD BF'!$AM$32+'TUSD CVA'!$AM$32)*1</f>
        <v>17.138874075124019</v>
      </c>
      <c r="Z311" s="6"/>
      <c r="AA311" s="6"/>
      <c r="AB311" s="6">
        <f t="shared" si="18"/>
        <v>0</v>
      </c>
      <c r="AC311" s="6">
        <f t="shared" si="19"/>
        <v>0</v>
      </c>
      <c r="AD311" s="6">
        <f t="shared" ca="1" si="20"/>
        <v>0</v>
      </c>
      <c r="AE311" s="6">
        <f t="shared" si="21"/>
        <v>0</v>
      </c>
      <c r="AF311" s="4" t="s">
        <v>1112</v>
      </c>
    </row>
    <row r="312" spans="1:32" ht="11.25" customHeight="1" x14ac:dyDescent="0.25">
      <c r="A312" s="4" t="s">
        <v>21</v>
      </c>
      <c r="B312" s="4" t="s">
        <v>41</v>
      </c>
      <c r="C312" s="4" t="s">
        <v>64</v>
      </c>
      <c r="D312" s="4" t="s">
        <v>25</v>
      </c>
      <c r="E312" s="4" t="s">
        <v>25</v>
      </c>
      <c r="F312" s="4" t="s">
        <v>25</v>
      </c>
      <c r="G312" s="4" t="s">
        <v>79</v>
      </c>
      <c r="H312" s="4" t="s">
        <v>25</v>
      </c>
      <c r="I312" s="5">
        <v>44409</v>
      </c>
      <c r="J312" s="6">
        <v>770</v>
      </c>
      <c r="K312" s="6">
        <v>770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4" t="s">
        <v>66</v>
      </c>
      <c r="R312" s="4">
        <v>2535</v>
      </c>
      <c r="S312" s="4">
        <v>28</v>
      </c>
      <c r="T312" s="4">
        <v>0</v>
      </c>
      <c r="U312" s="4">
        <v>0</v>
      </c>
      <c r="V312" s="6">
        <f>IF(ISERROR(VLOOKUP($S$312,'TAR FIN'!$A$1:$O$116,15,0)),0,VLOOKUP($S$312,'TAR FIN'!$A$1:$O$116,15,0))</f>
        <v>15.24</v>
      </c>
      <c r="W312" s="6">
        <f>IF(ISERROR(VLOOKUP($T$312,'TAR FIN'!$A$1:$O$116,15,0)),0,VLOOKUP($T$312,'TAR FIN'!$A$1:$O$116,15,0))</f>
        <v>0</v>
      </c>
      <c r="X312" s="6">
        <f>IF(ISERROR(VLOOKUP($U$312,'TAR FIN'!$A$1:$O$116,15,0)),0,VLOOKUP($U$312,'TAR FIN'!$A$1:$O$116,15,0))</f>
        <v>0</v>
      </c>
      <c r="Y312" s="6">
        <f ca="1">('TUSD BE'!$AM$32+'TUSD BF'!$AM$32+'TUSD CVA'!$AM$32)*1</f>
        <v>17.138874075124019</v>
      </c>
      <c r="Z312" s="6"/>
      <c r="AA312" s="6"/>
      <c r="AB312" s="6">
        <f t="shared" si="18"/>
        <v>0</v>
      </c>
      <c r="AC312" s="6">
        <f t="shared" si="19"/>
        <v>0</v>
      </c>
      <c r="AD312" s="6">
        <f t="shared" ca="1" si="20"/>
        <v>0</v>
      </c>
      <c r="AE312" s="6">
        <f t="shared" si="21"/>
        <v>0</v>
      </c>
      <c r="AF312" s="4" t="s">
        <v>1112</v>
      </c>
    </row>
    <row r="313" spans="1:32" ht="11.25" customHeight="1" x14ac:dyDescent="0.25">
      <c r="A313" s="4" t="s">
        <v>21</v>
      </c>
      <c r="B313" s="4" t="s">
        <v>41</v>
      </c>
      <c r="C313" s="4" t="s">
        <v>64</v>
      </c>
      <c r="D313" s="4" t="s">
        <v>25</v>
      </c>
      <c r="E313" s="4" t="s">
        <v>25</v>
      </c>
      <c r="F313" s="4" t="s">
        <v>25</v>
      </c>
      <c r="G313" s="4" t="s">
        <v>80</v>
      </c>
      <c r="H313" s="4" t="s">
        <v>25</v>
      </c>
      <c r="I313" s="5">
        <v>44409</v>
      </c>
      <c r="J313" s="6">
        <v>1416</v>
      </c>
      <c r="K313" s="6">
        <v>1416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4" t="s">
        <v>66</v>
      </c>
      <c r="R313" s="4">
        <v>2751</v>
      </c>
      <c r="S313" s="4">
        <v>28</v>
      </c>
      <c r="T313" s="4">
        <v>0</v>
      </c>
      <c r="U313" s="4">
        <v>0</v>
      </c>
      <c r="V313" s="6">
        <f>IF(ISERROR(VLOOKUP($S$313,'TAR FIN'!$A$1:$O$116,15,0)),0,VLOOKUP($S$313,'TAR FIN'!$A$1:$O$116,15,0))</f>
        <v>15.24</v>
      </c>
      <c r="W313" s="6">
        <f>IF(ISERROR(VLOOKUP($T$313,'TAR FIN'!$A$1:$O$116,15,0)),0,VLOOKUP($T$313,'TAR FIN'!$A$1:$O$116,15,0))</f>
        <v>0</v>
      </c>
      <c r="X313" s="6">
        <f>IF(ISERROR(VLOOKUP($U$313,'TAR FIN'!$A$1:$O$116,15,0)),0,VLOOKUP($U$313,'TAR FIN'!$A$1:$O$116,15,0))</f>
        <v>0</v>
      </c>
      <c r="Y313" s="6">
        <f ca="1">('TUSD BE'!$AM$32+'TUSD BF'!$AM$32+'TUSD CVA'!$AM$32)*1</f>
        <v>17.138874075124019</v>
      </c>
      <c r="Z313" s="6"/>
      <c r="AA313" s="6"/>
      <c r="AB313" s="6">
        <f t="shared" si="18"/>
        <v>0</v>
      </c>
      <c r="AC313" s="6">
        <f t="shared" si="19"/>
        <v>0</v>
      </c>
      <c r="AD313" s="6">
        <f t="shared" ca="1" si="20"/>
        <v>0</v>
      </c>
      <c r="AE313" s="6">
        <f t="shared" si="21"/>
        <v>0</v>
      </c>
      <c r="AF313" s="4" t="s">
        <v>1112</v>
      </c>
    </row>
    <row r="314" spans="1:32" ht="11.25" customHeight="1" x14ac:dyDescent="0.25">
      <c r="A314" s="4" t="s">
        <v>21</v>
      </c>
      <c r="B314" s="4" t="s">
        <v>41</v>
      </c>
      <c r="C314" s="4" t="s">
        <v>64</v>
      </c>
      <c r="D314" s="4" t="s">
        <v>25</v>
      </c>
      <c r="E314" s="4" t="s">
        <v>25</v>
      </c>
      <c r="F314" s="4" t="s">
        <v>25</v>
      </c>
      <c r="G314" s="4" t="s">
        <v>88</v>
      </c>
      <c r="H314" s="4" t="s">
        <v>25</v>
      </c>
      <c r="I314" s="5">
        <v>44409</v>
      </c>
      <c r="J314" s="6">
        <v>9500</v>
      </c>
      <c r="K314" s="6">
        <v>4750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4" t="s">
        <v>66</v>
      </c>
      <c r="R314" s="4">
        <v>27722</v>
      </c>
      <c r="S314" s="4">
        <v>28</v>
      </c>
      <c r="T314" s="4">
        <v>0</v>
      </c>
      <c r="U314" s="4">
        <v>0</v>
      </c>
      <c r="V314" s="6">
        <f>IF(ISERROR(VLOOKUP($S$314,'TAR FIN'!$A$1:$O$116,15,0)),0,VLOOKUP($S$314,'TAR FIN'!$A$1:$O$116,15,0))</f>
        <v>15.24</v>
      </c>
      <c r="W314" s="6">
        <f>IF(ISERROR(VLOOKUP($T$314,'TAR FIN'!$A$1:$O$116,15,0)),0,VLOOKUP($T$314,'TAR FIN'!$A$1:$O$116,15,0))</f>
        <v>0</v>
      </c>
      <c r="X314" s="6">
        <f>IF(ISERROR(VLOOKUP($U$314,'TAR FIN'!$A$1:$O$116,15,0)),0,VLOOKUP($U$314,'TAR FIN'!$A$1:$O$116,15,0))</f>
        <v>0</v>
      </c>
      <c r="Y314" s="6">
        <f ca="1">('TUSD BE'!$AM$32+'TUSD BF'!$AM$32+'TUSD CVA'!$AM$32)*1</f>
        <v>17.138874075124019</v>
      </c>
      <c r="Z314" s="6"/>
      <c r="AA314" s="6"/>
      <c r="AB314" s="6">
        <f t="shared" si="18"/>
        <v>72390</v>
      </c>
      <c r="AC314" s="6">
        <f t="shared" si="19"/>
        <v>0</v>
      </c>
      <c r="AD314" s="6">
        <f t="shared" ca="1" si="20"/>
        <v>81409.651856839089</v>
      </c>
      <c r="AE314" s="6">
        <f t="shared" si="21"/>
        <v>0</v>
      </c>
      <c r="AF314" s="4" t="s">
        <v>1112</v>
      </c>
    </row>
    <row r="315" spans="1:32" ht="11.25" customHeight="1" x14ac:dyDescent="0.25">
      <c r="A315" s="4" t="s">
        <v>21</v>
      </c>
      <c r="B315" s="4" t="s">
        <v>41</v>
      </c>
      <c r="C315" s="4" t="s">
        <v>64</v>
      </c>
      <c r="D315" s="4" t="s">
        <v>25</v>
      </c>
      <c r="E315" s="4" t="s">
        <v>25</v>
      </c>
      <c r="F315" s="4" t="s">
        <v>25</v>
      </c>
      <c r="G315" s="4" t="s">
        <v>90</v>
      </c>
      <c r="H315" s="4" t="s">
        <v>25</v>
      </c>
      <c r="I315" s="5">
        <v>44409</v>
      </c>
      <c r="J315" s="6">
        <v>420</v>
      </c>
      <c r="K315" s="6">
        <v>420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4" t="s">
        <v>66</v>
      </c>
      <c r="R315" s="4">
        <v>27928</v>
      </c>
      <c r="S315" s="4">
        <v>28</v>
      </c>
      <c r="T315" s="4">
        <v>0</v>
      </c>
      <c r="U315" s="4">
        <v>0</v>
      </c>
      <c r="V315" s="6">
        <f>IF(ISERROR(VLOOKUP($S$315,'TAR FIN'!$A$1:$O$116,15,0)),0,VLOOKUP($S$315,'TAR FIN'!$A$1:$O$116,15,0))</f>
        <v>15.24</v>
      </c>
      <c r="W315" s="6">
        <f>IF(ISERROR(VLOOKUP($T$315,'TAR FIN'!$A$1:$O$116,15,0)),0,VLOOKUP($T$315,'TAR FIN'!$A$1:$O$116,15,0))</f>
        <v>0</v>
      </c>
      <c r="X315" s="6">
        <f>IF(ISERROR(VLOOKUP($U$315,'TAR FIN'!$A$1:$O$116,15,0)),0,VLOOKUP($U$315,'TAR FIN'!$A$1:$O$116,15,0))</f>
        <v>0</v>
      </c>
      <c r="Y315" s="6">
        <f ca="1">('TUSD BE'!$AM$32+'TUSD BF'!$AM$32+'TUSD CVA'!$AM$32)*1</f>
        <v>17.138874075124019</v>
      </c>
      <c r="Z315" s="6"/>
      <c r="AA315" s="6"/>
      <c r="AB315" s="6">
        <f t="shared" si="18"/>
        <v>0</v>
      </c>
      <c r="AC315" s="6">
        <f t="shared" si="19"/>
        <v>0</v>
      </c>
      <c r="AD315" s="6">
        <f t="shared" ca="1" si="20"/>
        <v>0</v>
      </c>
      <c r="AE315" s="6">
        <f t="shared" si="21"/>
        <v>0</v>
      </c>
      <c r="AF315" s="4" t="s">
        <v>1112</v>
      </c>
    </row>
    <row r="316" spans="1:32" ht="11.25" customHeight="1" x14ac:dyDescent="0.25">
      <c r="A316" s="4" t="s">
        <v>21</v>
      </c>
      <c r="B316" s="4" t="s">
        <v>41</v>
      </c>
      <c r="C316" s="4" t="s">
        <v>64</v>
      </c>
      <c r="D316" s="4" t="s">
        <v>25</v>
      </c>
      <c r="E316" s="4" t="s">
        <v>25</v>
      </c>
      <c r="F316" s="4" t="s">
        <v>25</v>
      </c>
      <c r="G316" s="4" t="s">
        <v>93</v>
      </c>
      <c r="H316" s="4" t="s">
        <v>25</v>
      </c>
      <c r="I316" s="5">
        <v>44409</v>
      </c>
      <c r="J316" s="6">
        <v>1300</v>
      </c>
      <c r="K316" s="6">
        <v>650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4" t="s">
        <v>66</v>
      </c>
      <c r="R316" s="4">
        <v>30847</v>
      </c>
      <c r="S316" s="4">
        <v>28</v>
      </c>
      <c r="T316" s="4">
        <v>0</v>
      </c>
      <c r="U316" s="4">
        <v>0</v>
      </c>
      <c r="V316" s="6">
        <f>IF(ISERROR(VLOOKUP($S$316,'TAR FIN'!$A$1:$O$116,15,0)),0,VLOOKUP($S$316,'TAR FIN'!$A$1:$O$116,15,0))</f>
        <v>15.24</v>
      </c>
      <c r="W316" s="6">
        <f>IF(ISERROR(VLOOKUP($T$316,'TAR FIN'!$A$1:$O$116,15,0)),0,VLOOKUP($T$316,'TAR FIN'!$A$1:$O$116,15,0))</f>
        <v>0</v>
      </c>
      <c r="X316" s="6">
        <f>IF(ISERROR(VLOOKUP($U$316,'TAR FIN'!$A$1:$O$116,15,0)),0,VLOOKUP($U$316,'TAR FIN'!$A$1:$O$116,15,0))</f>
        <v>0</v>
      </c>
      <c r="Y316" s="6">
        <f ca="1">('TUSD BE'!$AM$32+'TUSD BF'!$AM$32+'TUSD CVA'!$AM$32)*1</f>
        <v>17.138874075124019</v>
      </c>
      <c r="Z316" s="6"/>
      <c r="AA316" s="6"/>
      <c r="AB316" s="6">
        <f t="shared" si="18"/>
        <v>9906</v>
      </c>
      <c r="AC316" s="6">
        <f t="shared" si="19"/>
        <v>0</v>
      </c>
      <c r="AD316" s="6">
        <f t="shared" ca="1" si="20"/>
        <v>11140.268148830612</v>
      </c>
      <c r="AE316" s="6">
        <f t="shared" si="21"/>
        <v>0</v>
      </c>
      <c r="AF316" s="4" t="s">
        <v>1112</v>
      </c>
    </row>
    <row r="317" spans="1:32" ht="11.25" customHeight="1" x14ac:dyDescent="0.25">
      <c r="A317" s="4" t="s">
        <v>21</v>
      </c>
      <c r="B317" s="4" t="s">
        <v>41</v>
      </c>
      <c r="C317" s="4" t="s">
        <v>64</v>
      </c>
      <c r="D317" s="4" t="s">
        <v>25</v>
      </c>
      <c r="E317" s="4" t="s">
        <v>25</v>
      </c>
      <c r="F317" s="4" t="s">
        <v>25</v>
      </c>
      <c r="G317" s="4" t="s">
        <v>94</v>
      </c>
      <c r="H317" s="4" t="s">
        <v>25</v>
      </c>
      <c r="I317" s="5">
        <v>44409</v>
      </c>
      <c r="J317" s="6">
        <v>1180</v>
      </c>
      <c r="K317" s="6">
        <v>590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4" t="s">
        <v>66</v>
      </c>
      <c r="R317" s="4">
        <v>30866</v>
      </c>
      <c r="S317" s="4">
        <v>28</v>
      </c>
      <c r="T317" s="4">
        <v>0</v>
      </c>
      <c r="U317" s="4">
        <v>0</v>
      </c>
      <c r="V317" s="6">
        <f>IF(ISERROR(VLOOKUP($S$317,'TAR FIN'!$A$1:$O$116,15,0)),0,VLOOKUP($S$317,'TAR FIN'!$A$1:$O$116,15,0))</f>
        <v>15.24</v>
      </c>
      <c r="W317" s="6">
        <f>IF(ISERROR(VLOOKUP($T$317,'TAR FIN'!$A$1:$O$116,15,0)),0,VLOOKUP($T$317,'TAR FIN'!$A$1:$O$116,15,0))</f>
        <v>0</v>
      </c>
      <c r="X317" s="6">
        <f>IF(ISERROR(VLOOKUP($U$317,'TAR FIN'!$A$1:$O$116,15,0)),0,VLOOKUP($U$317,'TAR FIN'!$A$1:$O$116,15,0))</f>
        <v>0</v>
      </c>
      <c r="Y317" s="6">
        <f ca="1">('TUSD BE'!$AM$32+'TUSD BF'!$AM$32+'TUSD CVA'!$AM$32)*1</f>
        <v>17.138874075124019</v>
      </c>
      <c r="Z317" s="6"/>
      <c r="AA317" s="6"/>
      <c r="AB317" s="6">
        <f t="shared" si="18"/>
        <v>8991.6</v>
      </c>
      <c r="AC317" s="6">
        <f t="shared" si="19"/>
        <v>0</v>
      </c>
      <c r="AD317" s="6">
        <f t="shared" ca="1" si="20"/>
        <v>10111.93570432317</v>
      </c>
      <c r="AE317" s="6">
        <f t="shared" si="21"/>
        <v>0</v>
      </c>
      <c r="AF317" s="4" t="s">
        <v>1112</v>
      </c>
    </row>
    <row r="318" spans="1:32" ht="11.25" customHeight="1" x14ac:dyDescent="0.25">
      <c r="A318" s="4" t="s">
        <v>21</v>
      </c>
      <c r="B318" s="4" t="s">
        <v>41</v>
      </c>
      <c r="C318" s="4" t="s">
        <v>64</v>
      </c>
      <c r="D318" s="4" t="s">
        <v>25</v>
      </c>
      <c r="E318" s="4" t="s">
        <v>25</v>
      </c>
      <c r="F318" s="4" t="s">
        <v>25</v>
      </c>
      <c r="G318" s="4" t="s">
        <v>95</v>
      </c>
      <c r="H318" s="4" t="s">
        <v>25</v>
      </c>
      <c r="I318" s="5">
        <v>44409</v>
      </c>
      <c r="J318" s="6">
        <v>1180</v>
      </c>
      <c r="K318" s="6">
        <v>590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4" t="s">
        <v>66</v>
      </c>
      <c r="R318" s="4">
        <v>31051</v>
      </c>
      <c r="S318" s="4">
        <v>28</v>
      </c>
      <c r="T318" s="4">
        <v>0</v>
      </c>
      <c r="U318" s="4">
        <v>0</v>
      </c>
      <c r="V318" s="6">
        <f>IF(ISERROR(VLOOKUP($S$318,'TAR FIN'!$A$1:$O$116,15,0)),0,VLOOKUP($S$318,'TAR FIN'!$A$1:$O$116,15,0))</f>
        <v>15.24</v>
      </c>
      <c r="W318" s="6">
        <f>IF(ISERROR(VLOOKUP($T$318,'TAR FIN'!$A$1:$O$116,15,0)),0,VLOOKUP($T$318,'TAR FIN'!$A$1:$O$116,15,0))</f>
        <v>0</v>
      </c>
      <c r="X318" s="6">
        <f>IF(ISERROR(VLOOKUP($U$318,'TAR FIN'!$A$1:$O$116,15,0)),0,VLOOKUP($U$318,'TAR FIN'!$A$1:$O$116,15,0))</f>
        <v>0</v>
      </c>
      <c r="Y318" s="6">
        <f ca="1">('TUSD BE'!$AM$32+'TUSD BF'!$AM$32+'TUSD CVA'!$AM$32)*1</f>
        <v>17.138874075124019</v>
      </c>
      <c r="Z318" s="6"/>
      <c r="AA318" s="6"/>
      <c r="AB318" s="6">
        <f t="shared" si="18"/>
        <v>8991.6</v>
      </c>
      <c r="AC318" s="6">
        <f t="shared" si="19"/>
        <v>0</v>
      </c>
      <c r="AD318" s="6">
        <f t="shared" ca="1" si="20"/>
        <v>10111.93570432317</v>
      </c>
      <c r="AE318" s="6">
        <f t="shared" si="21"/>
        <v>0</v>
      </c>
      <c r="AF318" s="4" t="s">
        <v>1112</v>
      </c>
    </row>
    <row r="319" spans="1:32" ht="11.25" customHeight="1" x14ac:dyDescent="0.25">
      <c r="A319" s="4" t="s">
        <v>21</v>
      </c>
      <c r="B319" s="4" t="s">
        <v>41</v>
      </c>
      <c r="C319" s="4" t="s">
        <v>64</v>
      </c>
      <c r="D319" s="4" t="s">
        <v>25</v>
      </c>
      <c r="E319" s="4" t="s">
        <v>25</v>
      </c>
      <c r="F319" s="4" t="s">
        <v>25</v>
      </c>
      <c r="G319" s="4" t="s">
        <v>96</v>
      </c>
      <c r="H319" s="4" t="s">
        <v>25</v>
      </c>
      <c r="I319" s="5">
        <v>44409</v>
      </c>
      <c r="J319" s="6">
        <v>1000</v>
      </c>
      <c r="K319" s="6">
        <v>500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4" t="s">
        <v>66</v>
      </c>
      <c r="R319" s="4">
        <v>31277</v>
      </c>
      <c r="S319" s="4">
        <v>28</v>
      </c>
      <c r="T319" s="4">
        <v>0</v>
      </c>
      <c r="U319" s="4">
        <v>0</v>
      </c>
      <c r="V319" s="6">
        <f>IF(ISERROR(VLOOKUP($S$319,'TAR FIN'!$A$1:$O$116,15,0)),0,VLOOKUP($S$319,'TAR FIN'!$A$1:$O$116,15,0))</f>
        <v>15.24</v>
      </c>
      <c r="W319" s="6">
        <f>IF(ISERROR(VLOOKUP($T$319,'TAR FIN'!$A$1:$O$116,15,0)),0,VLOOKUP($T$319,'TAR FIN'!$A$1:$O$116,15,0))</f>
        <v>0</v>
      </c>
      <c r="X319" s="6">
        <f>IF(ISERROR(VLOOKUP($U$319,'TAR FIN'!$A$1:$O$116,15,0)),0,VLOOKUP($U$319,'TAR FIN'!$A$1:$O$116,15,0))</f>
        <v>0</v>
      </c>
      <c r="Y319" s="6">
        <f ca="1">('TUSD BE'!$AM$32+'TUSD BF'!$AM$32+'TUSD CVA'!$AM$32)*1</f>
        <v>17.138874075124019</v>
      </c>
      <c r="Z319" s="6"/>
      <c r="AA319" s="6"/>
      <c r="AB319" s="6">
        <f t="shared" si="18"/>
        <v>7620</v>
      </c>
      <c r="AC319" s="6">
        <f t="shared" si="19"/>
        <v>0</v>
      </c>
      <c r="AD319" s="6">
        <f t="shared" ca="1" si="20"/>
        <v>8569.4370375620092</v>
      </c>
      <c r="AE319" s="6">
        <f t="shared" si="21"/>
        <v>0</v>
      </c>
      <c r="AF319" s="4" t="s">
        <v>1112</v>
      </c>
    </row>
    <row r="320" spans="1:32" ht="11.25" customHeight="1" x14ac:dyDescent="0.25">
      <c r="A320" s="4" t="s">
        <v>21</v>
      </c>
      <c r="B320" s="4" t="s">
        <v>41</v>
      </c>
      <c r="C320" s="4" t="s">
        <v>64</v>
      </c>
      <c r="D320" s="4" t="s">
        <v>25</v>
      </c>
      <c r="E320" s="4" t="s">
        <v>25</v>
      </c>
      <c r="F320" s="4" t="s">
        <v>25</v>
      </c>
      <c r="G320" s="4" t="s">
        <v>97</v>
      </c>
      <c r="H320" s="4" t="s">
        <v>25</v>
      </c>
      <c r="I320" s="5">
        <v>44409</v>
      </c>
      <c r="J320" s="6">
        <v>1180</v>
      </c>
      <c r="K320" s="6">
        <v>590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4" t="s">
        <v>66</v>
      </c>
      <c r="R320" s="4">
        <v>31318</v>
      </c>
      <c r="S320" s="4">
        <v>28</v>
      </c>
      <c r="T320" s="4">
        <v>0</v>
      </c>
      <c r="U320" s="4">
        <v>0</v>
      </c>
      <c r="V320" s="6">
        <f>IF(ISERROR(VLOOKUP($S$320,'TAR FIN'!$A$1:$O$116,15,0)),0,VLOOKUP($S$320,'TAR FIN'!$A$1:$O$116,15,0))</f>
        <v>15.24</v>
      </c>
      <c r="W320" s="6">
        <f>IF(ISERROR(VLOOKUP($T$320,'TAR FIN'!$A$1:$O$116,15,0)),0,VLOOKUP($T$320,'TAR FIN'!$A$1:$O$116,15,0))</f>
        <v>0</v>
      </c>
      <c r="X320" s="6">
        <f>IF(ISERROR(VLOOKUP($U$320,'TAR FIN'!$A$1:$O$116,15,0)),0,VLOOKUP($U$320,'TAR FIN'!$A$1:$O$116,15,0))</f>
        <v>0</v>
      </c>
      <c r="Y320" s="6">
        <f ca="1">('TUSD BE'!$AM$32+'TUSD BF'!$AM$32+'TUSD CVA'!$AM$32)*1</f>
        <v>17.138874075124019</v>
      </c>
      <c r="Z320" s="6"/>
      <c r="AA320" s="6"/>
      <c r="AB320" s="6">
        <f t="shared" si="18"/>
        <v>8991.6</v>
      </c>
      <c r="AC320" s="6">
        <f t="shared" si="19"/>
        <v>0</v>
      </c>
      <c r="AD320" s="6">
        <f t="shared" ca="1" si="20"/>
        <v>10111.93570432317</v>
      </c>
      <c r="AE320" s="6">
        <f t="shared" si="21"/>
        <v>0</v>
      </c>
      <c r="AF320" s="4" t="s">
        <v>1112</v>
      </c>
    </row>
    <row r="321" spans="1:32" ht="11.25" customHeight="1" x14ac:dyDescent="0.25">
      <c r="A321" s="4" t="s">
        <v>21</v>
      </c>
      <c r="B321" s="4" t="s">
        <v>41</v>
      </c>
      <c r="C321" s="4" t="s">
        <v>64</v>
      </c>
      <c r="D321" s="4" t="s">
        <v>25</v>
      </c>
      <c r="E321" s="4" t="s">
        <v>25</v>
      </c>
      <c r="F321" s="4" t="s">
        <v>25</v>
      </c>
      <c r="G321" s="4" t="s">
        <v>98</v>
      </c>
      <c r="H321" s="4" t="s">
        <v>25</v>
      </c>
      <c r="I321" s="5">
        <v>44409</v>
      </c>
      <c r="J321" s="6">
        <v>3000</v>
      </c>
      <c r="K321" s="6">
        <v>1500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4" t="s">
        <v>66</v>
      </c>
      <c r="R321" s="4">
        <v>31334</v>
      </c>
      <c r="S321" s="4">
        <v>28</v>
      </c>
      <c r="T321" s="4">
        <v>0</v>
      </c>
      <c r="U321" s="4">
        <v>0</v>
      </c>
      <c r="V321" s="6">
        <f>IF(ISERROR(VLOOKUP($S$321,'TAR FIN'!$A$1:$O$116,15,0)),0,VLOOKUP($S$321,'TAR FIN'!$A$1:$O$116,15,0))</f>
        <v>15.24</v>
      </c>
      <c r="W321" s="6">
        <f>IF(ISERROR(VLOOKUP($T$321,'TAR FIN'!$A$1:$O$116,15,0)),0,VLOOKUP($T$321,'TAR FIN'!$A$1:$O$116,15,0))</f>
        <v>0</v>
      </c>
      <c r="X321" s="6">
        <f>IF(ISERROR(VLOOKUP($U$321,'TAR FIN'!$A$1:$O$116,15,0)),0,VLOOKUP($U$321,'TAR FIN'!$A$1:$O$116,15,0))</f>
        <v>0</v>
      </c>
      <c r="Y321" s="6">
        <f ca="1">('TUSD BE'!$AM$32+'TUSD BF'!$AM$32+'TUSD CVA'!$AM$32)*1</f>
        <v>17.138874075124019</v>
      </c>
      <c r="Z321" s="6"/>
      <c r="AA321" s="6"/>
      <c r="AB321" s="6">
        <f t="shared" si="18"/>
        <v>22860</v>
      </c>
      <c r="AC321" s="6">
        <f t="shared" si="19"/>
        <v>0</v>
      </c>
      <c r="AD321" s="6">
        <f t="shared" ca="1" si="20"/>
        <v>25708.311112686028</v>
      </c>
      <c r="AE321" s="6">
        <f t="shared" si="21"/>
        <v>0</v>
      </c>
      <c r="AF321" s="4" t="s">
        <v>1112</v>
      </c>
    </row>
    <row r="322" spans="1:32" ht="11.25" customHeight="1" x14ac:dyDescent="0.25">
      <c r="A322" s="4" t="s">
        <v>21</v>
      </c>
      <c r="B322" s="4" t="s">
        <v>41</v>
      </c>
      <c r="C322" s="4" t="s">
        <v>64</v>
      </c>
      <c r="D322" s="4" t="s">
        <v>25</v>
      </c>
      <c r="E322" s="4" t="s">
        <v>25</v>
      </c>
      <c r="F322" s="4" t="s">
        <v>25</v>
      </c>
      <c r="G322" s="4" t="s">
        <v>99</v>
      </c>
      <c r="H322" s="4" t="s">
        <v>25</v>
      </c>
      <c r="I322" s="5">
        <v>44409</v>
      </c>
      <c r="J322" s="6">
        <v>1180</v>
      </c>
      <c r="K322" s="6">
        <v>590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4" t="s">
        <v>66</v>
      </c>
      <c r="R322" s="4">
        <v>31618</v>
      </c>
      <c r="S322" s="4">
        <v>28</v>
      </c>
      <c r="T322" s="4">
        <v>0</v>
      </c>
      <c r="U322" s="4">
        <v>0</v>
      </c>
      <c r="V322" s="6">
        <f>IF(ISERROR(VLOOKUP($S$322,'TAR FIN'!$A$1:$O$116,15,0)),0,VLOOKUP($S$322,'TAR FIN'!$A$1:$O$116,15,0))</f>
        <v>15.24</v>
      </c>
      <c r="W322" s="6">
        <f>IF(ISERROR(VLOOKUP($T$322,'TAR FIN'!$A$1:$O$116,15,0)),0,VLOOKUP($T$322,'TAR FIN'!$A$1:$O$116,15,0))</f>
        <v>0</v>
      </c>
      <c r="X322" s="6">
        <f>IF(ISERROR(VLOOKUP($U$322,'TAR FIN'!$A$1:$O$116,15,0)),0,VLOOKUP($U$322,'TAR FIN'!$A$1:$O$116,15,0))</f>
        <v>0</v>
      </c>
      <c r="Y322" s="6">
        <f ca="1">('TUSD BE'!$AM$32+'TUSD BF'!$AM$32+'TUSD CVA'!$AM$32)*1</f>
        <v>17.138874075124019</v>
      </c>
      <c r="Z322" s="6"/>
      <c r="AA322" s="6"/>
      <c r="AB322" s="6">
        <f t="shared" ref="AB322:AB385" si="22">(J322-K322)*V322</f>
        <v>8991.6</v>
      </c>
      <c r="AC322" s="6">
        <f t="shared" ref="AC322:AC385" si="23">(L322-M322)*W322+(N322-O322)*X322</f>
        <v>0</v>
      </c>
      <c r="AD322" s="6">
        <f t="shared" ref="AD322:AD385" ca="1" si="24">(J322-K322)*Y322</f>
        <v>10111.93570432317</v>
      </c>
      <c r="AE322" s="6">
        <f t="shared" ref="AE322:AE385" si="25">(L322-M322)*Z322+(N322-O322)*AA322</f>
        <v>0</v>
      </c>
      <c r="AF322" s="4" t="s">
        <v>1112</v>
      </c>
    </row>
    <row r="323" spans="1:32" ht="11.25" customHeight="1" x14ac:dyDescent="0.25">
      <c r="A323" s="4" t="s">
        <v>21</v>
      </c>
      <c r="B323" s="4" t="s">
        <v>41</v>
      </c>
      <c r="C323" s="4" t="s">
        <v>64</v>
      </c>
      <c r="D323" s="4" t="s">
        <v>25</v>
      </c>
      <c r="E323" s="4" t="s">
        <v>25</v>
      </c>
      <c r="F323" s="4" t="s">
        <v>25</v>
      </c>
      <c r="G323" s="4" t="s">
        <v>100</v>
      </c>
      <c r="H323" s="4" t="s">
        <v>25</v>
      </c>
      <c r="I323" s="5">
        <v>44409</v>
      </c>
      <c r="J323" s="6">
        <v>1180</v>
      </c>
      <c r="K323" s="6">
        <v>590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4" t="s">
        <v>66</v>
      </c>
      <c r="R323" s="4">
        <v>31677</v>
      </c>
      <c r="S323" s="4">
        <v>28</v>
      </c>
      <c r="T323" s="4">
        <v>0</v>
      </c>
      <c r="U323" s="4">
        <v>0</v>
      </c>
      <c r="V323" s="6">
        <f>IF(ISERROR(VLOOKUP($S$323,'TAR FIN'!$A$1:$O$116,15,0)),0,VLOOKUP($S$323,'TAR FIN'!$A$1:$O$116,15,0))</f>
        <v>15.24</v>
      </c>
      <c r="W323" s="6">
        <f>IF(ISERROR(VLOOKUP($T$323,'TAR FIN'!$A$1:$O$116,15,0)),0,VLOOKUP($T$323,'TAR FIN'!$A$1:$O$116,15,0))</f>
        <v>0</v>
      </c>
      <c r="X323" s="6">
        <f>IF(ISERROR(VLOOKUP($U$323,'TAR FIN'!$A$1:$O$116,15,0)),0,VLOOKUP($U$323,'TAR FIN'!$A$1:$O$116,15,0))</f>
        <v>0</v>
      </c>
      <c r="Y323" s="6">
        <f ca="1">('TUSD BE'!$AM$32+'TUSD BF'!$AM$32+'TUSD CVA'!$AM$32)*1</f>
        <v>17.138874075124019</v>
      </c>
      <c r="Z323" s="6"/>
      <c r="AA323" s="6"/>
      <c r="AB323" s="6">
        <f t="shared" si="22"/>
        <v>8991.6</v>
      </c>
      <c r="AC323" s="6">
        <f t="shared" si="23"/>
        <v>0</v>
      </c>
      <c r="AD323" s="6">
        <f t="shared" ca="1" si="24"/>
        <v>10111.93570432317</v>
      </c>
      <c r="AE323" s="6">
        <f t="shared" si="25"/>
        <v>0</v>
      </c>
      <c r="AF323" s="4" t="s">
        <v>1112</v>
      </c>
    </row>
    <row r="324" spans="1:32" ht="11.25" customHeight="1" x14ac:dyDescent="0.25">
      <c r="A324" s="4" t="s">
        <v>21</v>
      </c>
      <c r="B324" s="4" t="s">
        <v>41</v>
      </c>
      <c r="C324" s="4" t="s">
        <v>64</v>
      </c>
      <c r="D324" s="4" t="s">
        <v>25</v>
      </c>
      <c r="E324" s="4" t="s">
        <v>25</v>
      </c>
      <c r="F324" s="4" t="s">
        <v>25</v>
      </c>
      <c r="G324" s="4" t="s">
        <v>68</v>
      </c>
      <c r="H324" s="4" t="s">
        <v>25</v>
      </c>
      <c r="I324" s="5">
        <v>44440</v>
      </c>
      <c r="J324" s="6">
        <v>302</v>
      </c>
      <c r="K324" s="6">
        <v>302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4" t="s">
        <v>66</v>
      </c>
      <c r="R324" s="4">
        <v>404</v>
      </c>
      <c r="S324" s="4">
        <v>28</v>
      </c>
      <c r="T324" s="4">
        <v>0</v>
      </c>
      <c r="U324" s="4">
        <v>0</v>
      </c>
      <c r="V324" s="6">
        <f>IF(ISERROR(VLOOKUP($S$324,'TAR FIN'!$A$1:$O$116,15,0)),0,VLOOKUP($S$324,'TAR FIN'!$A$1:$O$116,15,0))</f>
        <v>15.24</v>
      </c>
      <c r="W324" s="6">
        <f>IF(ISERROR(VLOOKUP($T$324,'TAR FIN'!$A$1:$O$116,15,0)),0,VLOOKUP($T$324,'TAR FIN'!$A$1:$O$116,15,0))</f>
        <v>0</v>
      </c>
      <c r="X324" s="6">
        <f>IF(ISERROR(VLOOKUP($U$324,'TAR FIN'!$A$1:$O$116,15,0)),0,VLOOKUP($U$324,'TAR FIN'!$A$1:$O$116,15,0))</f>
        <v>0</v>
      </c>
      <c r="Y324" s="6">
        <f ca="1">('TUSD BE'!$AM$32+'TUSD BF'!$AM$32+'TUSD CVA'!$AM$32)*1</f>
        <v>17.138874075124019</v>
      </c>
      <c r="Z324" s="6"/>
      <c r="AA324" s="6"/>
      <c r="AB324" s="6">
        <f t="shared" si="22"/>
        <v>0</v>
      </c>
      <c r="AC324" s="6">
        <f t="shared" si="23"/>
        <v>0</v>
      </c>
      <c r="AD324" s="6">
        <f t="shared" ca="1" si="24"/>
        <v>0</v>
      </c>
      <c r="AE324" s="6">
        <f t="shared" si="25"/>
        <v>0</v>
      </c>
      <c r="AF324" s="4" t="s">
        <v>1112</v>
      </c>
    </row>
    <row r="325" spans="1:32" ht="11.25" customHeight="1" x14ac:dyDescent="0.25">
      <c r="A325" s="4" t="s">
        <v>21</v>
      </c>
      <c r="B325" s="4" t="s">
        <v>41</v>
      </c>
      <c r="C325" s="4" t="s">
        <v>64</v>
      </c>
      <c r="D325" s="4" t="s">
        <v>25</v>
      </c>
      <c r="E325" s="4" t="s">
        <v>25</v>
      </c>
      <c r="F325" s="4" t="s">
        <v>25</v>
      </c>
      <c r="G325" s="4" t="s">
        <v>70</v>
      </c>
      <c r="H325" s="4" t="s">
        <v>25</v>
      </c>
      <c r="I325" s="5">
        <v>44440</v>
      </c>
      <c r="J325" s="6">
        <v>5040</v>
      </c>
      <c r="K325" s="6">
        <v>5040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4" t="s">
        <v>66</v>
      </c>
      <c r="R325" s="4">
        <v>838</v>
      </c>
      <c r="S325" s="4">
        <v>28</v>
      </c>
      <c r="T325" s="4">
        <v>0</v>
      </c>
      <c r="U325" s="4">
        <v>0</v>
      </c>
      <c r="V325" s="6">
        <f>IF(ISERROR(VLOOKUP($S$325,'TAR FIN'!$A$1:$O$116,15,0)),0,VLOOKUP($S$325,'TAR FIN'!$A$1:$O$116,15,0))</f>
        <v>15.24</v>
      </c>
      <c r="W325" s="6">
        <f>IF(ISERROR(VLOOKUP($T$325,'TAR FIN'!$A$1:$O$116,15,0)),0,VLOOKUP($T$325,'TAR FIN'!$A$1:$O$116,15,0))</f>
        <v>0</v>
      </c>
      <c r="X325" s="6">
        <f>IF(ISERROR(VLOOKUP($U$325,'TAR FIN'!$A$1:$O$116,15,0)),0,VLOOKUP($U$325,'TAR FIN'!$A$1:$O$116,15,0))</f>
        <v>0</v>
      </c>
      <c r="Y325" s="6">
        <f ca="1">('TUSD BE'!$AM$32+'TUSD BF'!$AM$32+'TUSD CVA'!$AM$32)*1</f>
        <v>17.138874075124019</v>
      </c>
      <c r="Z325" s="6"/>
      <c r="AA325" s="6"/>
      <c r="AB325" s="6">
        <f t="shared" si="22"/>
        <v>0</v>
      </c>
      <c r="AC325" s="6">
        <f t="shared" si="23"/>
        <v>0</v>
      </c>
      <c r="AD325" s="6">
        <f t="shared" ca="1" si="24"/>
        <v>0</v>
      </c>
      <c r="AE325" s="6">
        <f t="shared" si="25"/>
        <v>0</v>
      </c>
      <c r="AF325" s="4" t="s">
        <v>1112</v>
      </c>
    </row>
    <row r="326" spans="1:32" ht="11.25" customHeight="1" x14ac:dyDescent="0.25">
      <c r="A326" s="4" t="s">
        <v>21</v>
      </c>
      <c r="B326" s="4" t="s">
        <v>41</v>
      </c>
      <c r="C326" s="4" t="s">
        <v>64</v>
      </c>
      <c r="D326" s="4" t="s">
        <v>25</v>
      </c>
      <c r="E326" s="4" t="s">
        <v>25</v>
      </c>
      <c r="F326" s="4" t="s">
        <v>25</v>
      </c>
      <c r="G326" s="4" t="s">
        <v>74</v>
      </c>
      <c r="H326" s="4" t="s">
        <v>25</v>
      </c>
      <c r="I326" s="5">
        <v>44440</v>
      </c>
      <c r="J326" s="6">
        <v>3800</v>
      </c>
      <c r="K326" s="6">
        <v>1900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4" t="s">
        <v>66</v>
      </c>
      <c r="R326" s="4">
        <v>1192</v>
      </c>
      <c r="S326" s="4">
        <v>28</v>
      </c>
      <c r="T326" s="4">
        <v>0</v>
      </c>
      <c r="U326" s="4">
        <v>0</v>
      </c>
      <c r="V326" s="6">
        <f>IF(ISERROR(VLOOKUP($S$326,'TAR FIN'!$A$1:$O$116,15,0)),0,VLOOKUP($S$326,'TAR FIN'!$A$1:$O$116,15,0))</f>
        <v>15.24</v>
      </c>
      <c r="W326" s="6">
        <f>IF(ISERROR(VLOOKUP($T$326,'TAR FIN'!$A$1:$O$116,15,0)),0,VLOOKUP($T$326,'TAR FIN'!$A$1:$O$116,15,0))</f>
        <v>0</v>
      </c>
      <c r="X326" s="6">
        <f>IF(ISERROR(VLOOKUP($U$326,'TAR FIN'!$A$1:$O$116,15,0)),0,VLOOKUP($U$326,'TAR FIN'!$A$1:$O$116,15,0))</f>
        <v>0</v>
      </c>
      <c r="Y326" s="6">
        <f ca="1">('TUSD BE'!$AM$32+'TUSD BF'!$AM$32+'TUSD CVA'!$AM$32)*1</f>
        <v>17.138874075124019</v>
      </c>
      <c r="Z326" s="6"/>
      <c r="AA326" s="6"/>
      <c r="AB326" s="6">
        <f t="shared" si="22"/>
        <v>28956</v>
      </c>
      <c r="AC326" s="6">
        <f t="shared" si="23"/>
        <v>0</v>
      </c>
      <c r="AD326" s="6">
        <f t="shared" ca="1" si="24"/>
        <v>32563.860742735636</v>
      </c>
      <c r="AE326" s="6">
        <f t="shared" si="25"/>
        <v>0</v>
      </c>
      <c r="AF326" s="4" t="s">
        <v>1112</v>
      </c>
    </row>
    <row r="327" spans="1:32" ht="11.25" customHeight="1" x14ac:dyDescent="0.25">
      <c r="A327" s="4" t="s">
        <v>21</v>
      </c>
      <c r="B327" s="4" t="s">
        <v>41</v>
      </c>
      <c r="C327" s="4" t="s">
        <v>64</v>
      </c>
      <c r="D327" s="4" t="s">
        <v>25</v>
      </c>
      <c r="E327" s="4" t="s">
        <v>25</v>
      </c>
      <c r="F327" s="4" t="s">
        <v>25</v>
      </c>
      <c r="G327" s="4" t="s">
        <v>76</v>
      </c>
      <c r="H327" s="4" t="s">
        <v>25</v>
      </c>
      <c r="I327" s="5">
        <v>44440</v>
      </c>
      <c r="J327" s="6">
        <v>480</v>
      </c>
      <c r="K327" s="6">
        <v>480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4" t="s">
        <v>66</v>
      </c>
      <c r="R327" s="4">
        <v>1438</v>
      </c>
      <c r="S327" s="4">
        <v>28</v>
      </c>
      <c r="T327" s="4">
        <v>0</v>
      </c>
      <c r="U327" s="4">
        <v>0</v>
      </c>
      <c r="V327" s="6">
        <f>IF(ISERROR(VLOOKUP($S$327,'TAR FIN'!$A$1:$O$116,15,0)),0,VLOOKUP($S$327,'TAR FIN'!$A$1:$O$116,15,0))</f>
        <v>15.24</v>
      </c>
      <c r="W327" s="6">
        <f>IF(ISERROR(VLOOKUP($T$327,'TAR FIN'!$A$1:$O$116,15,0)),0,VLOOKUP($T$327,'TAR FIN'!$A$1:$O$116,15,0))</f>
        <v>0</v>
      </c>
      <c r="X327" s="6">
        <f>IF(ISERROR(VLOOKUP($U$327,'TAR FIN'!$A$1:$O$116,15,0)),0,VLOOKUP($U$327,'TAR FIN'!$A$1:$O$116,15,0))</f>
        <v>0</v>
      </c>
      <c r="Y327" s="6">
        <f ca="1">('TUSD BE'!$AM$32+'TUSD BF'!$AM$32+'TUSD CVA'!$AM$32)*1</f>
        <v>17.138874075124019</v>
      </c>
      <c r="Z327" s="6"/>
      <c r="AA327" s="6"/>
      <c r="AB327" s="6">
        <f t="shared" si="22"/>
        <v>0</v>
      </c>
      <c r="AC327" s="6">
        <f t="shared" si="23"/>
        <v>0</v>
      </c>
      <c r="AD327" s="6">
        <f t="shared" ca="1" si="24"/>
        <v>0</v>
      </c>
      <c r="AE327" s="6">
        <f t="shared" si="25"/>
        <v>0</v>
      </c>
      <c r="AF327" s="4" t="s">
        <v>1112</v>
      </c>
    </row>
    <row r="328" spans="1:32" ht="11.25" customHeight="1" x14ac:dyDescent="0.25">
      <c r="A328" s="4" t="s">
        <v>21</v>
      </c>
      <c r="B328" s="4" t="s">
        <v>41</v>
      </c>
      <c r="C328" s="4" t="s">
        <v>64</v>
      </c>
      <c r="D328" s="4" t="s">
        <v>25</v>
      </c>
      <c r="E328" s="4" t="s">
        <v>25</v>
      </c>
      <c r="F328" s="4" t="s">
        <v>25</v>
      </c>
      <c r="G328" s="4" t="s">
        <v>77</v>
      </c>
      <c r="H328" s="4" t="s">
        <v>25</v>
      </c>
      <c r="I328" s="5">
        <v>44440</v>
      </c>
      <c r="J328" s="6">
        <v>736</v>
      </c>
      <c r="K328" s="6">
        <v>736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4" t="s">
        <v>66</v>
      </c>
      <c r="R328" s="4">
        <v>1462</v>
      </c>
      <c r="S328" s="4">
        <v>28</v>
      </c>
      <c r="T328" s="4">
        <v>0</v>
      </c>
      <c r="U328" s="4">
        <v>0</v>
      </c>
      <c r="V328" s="6">
        <f>IF(ISERROR(VLOOKUP($S$328,'TAR FIN'!$A$1:$O$116,15,0)),0,VLOOKUP($S$328,'TAR FIN'!$A$1:$O$116,15,0))</f>
        <v>15.24</v>
      </c>
      <c r="W328" s="6">
        <f>IF(ISERROR(VLOOKUP($T$328,'TAR FIN'!$A$1:$O$116,15,0)),0,VLOOKUP($T$328,'TAR FIN'!$A$1:$O$116,15,0))</f>
        <v>0</v>
      </c>
      <c r="X328" s="6">
        <f>IF(ISERROR(VLOOKUP($U$328,'TAR FIN'!$A$1:$O$116,15,0)),0,VLOOKUP($U$328,'TAR FIN'!$A$1:$O$116,15,0))</f>
        <v>0</v>
      </c>
      <c r="Y328" s="6">
        <f ca="1">('TUSD BE'!$AM$32+'TUSD BF'!$AM$32+'TUSD CVA'!$AM$32)*1</f>
        <v>17.138874075124019</v>
      </c>
      <c r="Z328" s="6"/>
      <c r="AA328" s="6"/>
      <c r="AB328" s="6">
        <f t="shared" si="22"/>
        <v>0</v>
      </c>
      <c r="AC328" s="6">
        <f t="shared" si="23"/>
        <v>0</v>
      </c>
      <c r="AD328" s="6">
        <f t="shared" ca="1" si="24"/>
        <v>0</v>
      </c>
      <c r="AE328" s="6">
        <f t="shared" si="25"/>
        <v>0</v>
      </c>
      <c r="AF328" s="4" t="s">
        <v>1112</v>
      </c>
    </row>
    <row r="329" spans="1:32" ht="11.25" customHeight="1" x14ac:dyDescent="0.25">
      <c r="A329" s="4" t="s">
        <v>21</v>
      </c>
      <c r="B329" s="4" t="s">
        <v>41</v>
      </c>
      <c r="C329" s="4" t="s">
        <v>64</v>
      </c>
      <c r="D329" s="4" t="s">
        <v>25</v>
      </c>
      <c r="E329" s="4" t="s">
        <v>25</v>
      </c>
      <c r="F329" s="4" t="s">
        <v>25</v>
      </c>
      <c r="G329" s="4" t="s">
        <v>78</v>
      </c>
      <c r="H329" s="4" t="s">
        <v>25</v>
      </c>
      <c r="I329" s="5">
        <v>44440</v>
      </c>
      <c r="J329" s="6">
        <v>6460</v>
      </c>
      <c r="K329" s="6">
        <v>6460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4" t="s">
        <v>66</v>
      </c>
      <c r="R329" s="4">
        <v>1533</v>
      </c>
      <c r="S329" s="4">
        <v>28</v>
      </c>
      <c r="T329" s="4">
        <v>0</v>
      </c>
      <c r="U329" s="4">
        <v>0</v>
      </c>
      <c r="V329" s="6">
        <f>IF(ISERROR(VLOOKUP($S$329,'TAR FIN'!$A$1:$O$116,15,0)),0,VLOOKUP($S$329,'TAR FIN'!$A$1:$O$116,15,0))</f>
        <v>15.24</v>
      </c>
      <c r="W329" s="6">
        <f>IF(ISERROR(VLOOKUP($T$329,'TAR FIN'!$A$1:$O$116,15,0)),0,VLOOKUP($T$329,'TAR FIN'!$A$1:$O$116,15,0))</f>
        <v>0</v>
      </c>
      <c r="X329" s="6">
        <f>IF(ISERROR(VLOOKUP($U$329,'TAR FIN'!$A$1:$O$116,15,0)),0,VLOOKUP($U$329,'TAR FIN'!$A$1:$O$116,15,0))</f>
        <v>0</v>
      </c>
      <c r="Y329" s="6">
        <f ca="1">('TUSD BE'!$AM$32+'TUSD BF'!$AM$32+'TUSD CVA'!$AM$32)*1</f>
        <v>17.138874075124019</v>
      </c>
      <c r="Z329" s="6"/>
      <c r="AA329" s="6"/>
      <c r="AB329" s="6">
        <f t="shared" si="22"/>
        <v>0</v>
      </c>
      <c r="AC329" s="6">
        <f t="shared" si="23"/>
        <v>0</v>
      </c>
      <c r="AD329" s="6">
        <f t="shared" ca="1" si="24"/>
        <v>0</v>
      </c>
      <c r="AE329" s="6">
        <f t="shared" si="25"/>
        <v>0</v>
      </c>
      <c r="AF329" s="4" t="s">
        <v>1112</v>
      </c>
    </row>
    <row r="330" spans="1:32" ht="11.25" customHeight="1" x14ac:dyDescent="0.25">
      <c r="A330" s="4" t="s">
        <v>21</v>
      </c>
      <c r="B330" s="4" t="s">
        <v>41</v>
      </c>
      <c r="C330" s="4" t="s">
        <v>64</v>
      </c>
      <c r="D330" s="4" t="s">
        <v>25</v>
      </c>
      <c r="E330" s="4" t="s">
        <v>25</v>
      </c>
      <c r="F330" s="4" t="s">
        <v>25</v>
      </c>
      <c r="G330" s="4" t="s">
        <v>79</v>
      </c>
      <c r="H330" s="4" t="s">
        <v>25</v>
      </c>
      <c r="I330" s="5">
        <v>44440</v>
      </c>
      <c r="J330" s="6">
        <v>770</v>
      </c>
      <c r="K330" s="6">
        <v>770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4" t="s">
        <v>66</v>
      </c>
      <c r="R330" s="4">
        <v>2535</v>
      </c>
      <c r="S330" s="4">
        <v>28</v>
      </c>
      <c r="T330" s="4">
        <v>0</v>
      </c>
      <c r="U330" s="4">
        <v>0</v>
      </c>
      <c r="V330" s="6">
        <f>IF(ISERROR(VLOOKUP($S$330,'TAR FIN'!$A$1:$O$116,15,0)),0,VLOOKUP($S$330,'TAR FIN'!$A$1:$O$116,15,0))</f>
        <v>15.24</v>
      </c>
      <c r="W330" s="6">
        <f>IF(ISERROR(VLOOKUP($T$330,'TAR FIN'!$A$1:$O$116,15,0)),0,VLOOKUP($T$330,'TAR FIN'!$A$1:$O$116,15,0))</f>
        <v>0</v>
      </c>
      <c r="X330" s="6">
        <f>IF(ISERROR(VLOOKUP($U$330,'TAR FIN'!$A$1:$O$116,15,0)),0,VLOOKUP($U$330,'TAR FIN'!$A$1:$O$116,15,0))</f>
        <v>0</v>
      </c>
      <c r="Y330" s="6">
        <f ca="1">('TUSD BE'!$AM$32+'TUSD BF'!$AM$32+'TUSD CVA'!$AM$32)*1</f>
        <v>17.138874075124019</v>
      </c>
      <c r="Z330" s="6"/>
      <c r="AA330" s="6"/>
      <c r="AB330" s="6">
        <f t="shared" si="22"/>
        <v>0</v>
      </c>
      <c r="AC330" s="6">
        <f t="shared" si="23"/>
        <v>0</v>
      </c>
      <c r="AD330" s="6">
        <f t="shared" ca="1" si="24"/>
        <v>0</v>
      </c>
      <c r="AE330" s="6">
        <f t="shared" si="25"/>
        <v>0</v>
      </c>
      <c r="AF330" s="4" t="s">
        <v>1112</v>
      </c>
    </row>
    <row r="331" spans="1:32" ht="11.25" customHeight="1" x14ac:dyDescent="0.25">
      <c r="A331" s="4" t="s">
        <v>21</v>
      </c>
      <c r="B331" s="4" t="s">
        <v>41</v>
      </c>
      <c r="C331" s="4" t="s">
        <v>64</v>
      </c>
      <c r="D331" s="4" t="s">
        <v>25</v>
      </c>
      <c r="E331" s="4" t="s">
        <v>25</v>
      </c>
      <c r="F331" s="4" t="s">
        <v>25</v>
      </c>
      <c r="G331" s="4" t="s">
        <v>80</v>
      </c>
      <c r="H331" s="4" t="s">
        <v>25</v>
      </c>
      <c r="I331" s="5">
        <v>44440</v>
      </c>
      <c r="J331" s="6">
        <v>1416</v>
      </c>
      <c r="K331" s="6">
        <v>1416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4" t="s">
        <v>66</v>
      </c>
      <c r="R331" s="4">
        <v>2751</v>
      </c>
      <c r="S331" s="4">
        <v>28</v>
      </c>
      <c r="T331" s="4">
        <v>0</v>
      </c>
      <c r="U331" s="4">
        <v>0</v>
      </c>
      <c r="V331" s="6">
        <f>IF(ISERROR(VLOOKUP($S$331,'TAR FIN'!$A$1:$O$116,15,0)),0,VLOOKUP($S$331,'TAR FIN'!$A$1:$O$116,15,0))</f>
        <v>15.24</v>
      </c>
      <c r="W331" s="6">
        <f>IF(ISERROR(VLOOKUP($T$331,'TAR FIN'!$A$1:$O$116,15,0)),0,VLOOKUP($T$331,'TAR FIN'!$A$1:$O$116,15,0))</f>
        <v>0</v>
      </c>
      <c r="X331" s="6">
        <f>IF(ISERROR(VLOOKUP($U$331,'TAR FIN'!$A$1:$O$116,15,0)),0,VLOOKUP($U$331,'TAR FIN'!$A$1:$O$116,15,0))</f>
        <v>0</v>
      </c>
      <c r="Y331" s="6">
        <f ca="1">('TUSD BE'!$AM$32+'TUSD BF'!$AM$32+'TUSD CVA'!$AM$32)*1</f>
        <v>17.138874075124019</v>
      </c>
      <c r="Z331" s="6"/>
      <c r="AA331" s="6"/>
      <c r="AB331" s="6">
        <f t="shared" si="22"/>
        <v>0</v>
      </c>
      <c r="AC331" s="6">
        <f t="shared" si="23"/>
        <v>0</v>
      </c>
      <c r="AD331" s="6">
        <f t="shared" ca="1" si="24"/>
        <v>0</v>
      </c>
      <c r="AE331" s="6">
        <f t="shared" si="25"/>
        <v>0</v>
      </c>
      <c r="AF331" s="4" t="s">
        <v>1112</v>
      </c>
    </row>
    <row r="332" spans="1:32" ht="11.25" customHeight="1" x14ac:dyDescent="0.25">
      <c r="A332" s="4" t="s">
        <v>21</v>
      </c>
      <c r="B332" s="4" t="s">
        <v>41</v>
      </c>
      <c r="C332" s="4" t="s">
        <v>64</v>
      </c>
      <c r="D332" s="4" t="s">
        <v>25</v>
      </c>
      <c r="E332" s="4" t="s">
        <v>25</v>
      </c>
      <c r="F332" s="4" t="s">
        <v>25</v>
      </c>
      <c r="G332" s="4" t="s">
        <v>88</v>
      </c>
      <c r="H332" s="4" t="s">
        <v>25</v>
      </c>
      <c r="I332" s="5">
        <v>44440</v>
      </c>
      <c r="J332" s="6">
        <v>9500</v>
      </c>
      <c r="K332" s="6">
        <v>4750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4" t="s">
        <v>66</v>
      </c>
      <c r="R332" s="4">
        <v>27722</v>
      </c>
      <c r="S332" s="4">
        <v>28</v>
      </c>
      <c r="T332" s="4">
        <v>0</v>
      </c>
      <c r="U332" s="4">
        <v>0</v>
      </c>
      <c r="V332" s="6">
        <f>IF(ISERROR(VLOOKUP($S$332,'TAR FIN'!$A$1:$O$116,15,0)),0,VLOOKUP($S$332,'TAR FIN'!$A$1:$O$116,15,0))</f>
        <v>15.24</v>
      </c>
      <c r="W332" s="6">
        <f>IF(ISERROR(VLOOKUP($T$332,'TAR FIN'!$A$1:$O$116,15,0)),0,VLOOKUP($T$332,'TAR FIN'!$A$1:$O$116,15,0))</f>
        <v>0</v>
      </c>
      <c r="X332" s="6">
        <f>IF(ISERROR(VLOOKUP($U$332,'TAR FIN'!$A$1:$O$116,15,0)),0,VLOOKUP($U$332,'TAR FIN'!$A$1:$O$116,15,0))</f>
        <v>0</v>
      </c>
      <c r="Y332" s="6">
        <f ca="1">('TUSD BE'!$AM$32+'TUSD BF'!$AM$32+'TUSD CVA'!$AM$32)*1</f>
        <v>17.138874075124019</v>
      </c>
      <c r="Z332" s="6"/>
      <c r="AA332" s="6"/>
      <c r="AB332" s="6">
        <f t="shared" si="22"/>
        <v>72390</v>
      </c>
      <c r="AC332" s="6">
        <f t="shared" si="23"/>
        <v>0</v>
      </c>
      <c r="AD332" s="6">
        <f t="shared" ca="1" si="24"/>
        <v>81409.651856839089</v>
      </c>
      <c r="AE332" s="6">
        <f t="shared" si="25"/>
        <v>0</v>
      </c>
      <c r="AF332" s="4" t="s">
        <v>1112</v>
      </c>
    </row>
    <row r="333" spans="1:32" ht="11.25" customHeight="1" x14ac:dyDescent="0.25">
      <c r="A333" s="4" t="s">
        <v>21</v>
      </c>
      <c r="B333" s="4" t="s">
        <v>41</v>
      </c>
      <c r="C333" s="4" t="s">
        <v>64</v>
      </c>
      <c r="D333" s="4" t="s">
        <v>25</v>
      </c>
      <c r="E333" s="4" t="s">
        <v>25</v>
      </c>
      <c r="F333" s="4" t="s">
        <v>25</v>
      </c>
      <c r="G333" s="4" t="s">
        <v>90</v>
      </c>
      <c r="H333" s="4" t="s">
        <v>25</v>
      </c>
      <c r="I333" s="5">
        <v>44440</v>
      </c>
      <c r="J333" s="6">
        <v>420</v>
      </c>
      <c r="K333" s="6">
        <v>420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4" t="s">
        <v>66</v>
      </c>
      <c r="R333" s="4">
        <v>27928</v>
      </c>
      <c r="S333" s="4">
        <v>28</v>
      </c>
      <c r="T333" s="4">
        <v>0</v>
      </c>
      <c r="U333" s="4">
        <v>0</v>
      </c>
      <c r="V333" s="6">
        <f>IF(ISERROR(VLOOKUP($S$333,'TAR FIN'!$A$1:$O$116,15,0)),0,VLOOKUP($S$333,'TAR FIN'!$A$1:$O$116,15,0))</f>
        <v>15.24</v>
      </c>
      <c r="W333" s="6">
        <f>IF(ISERROR(VLOOKUP($T$333,'TAR FIN'!$A$1:$O$116,15,0)),0,VLOOKUP($T$333,'TAR FIN'!$A$1:$O$116,15,0))</f>
        <v>0</v>
      </c>
      <c r="X333" s="6">
        <f>IF(ISERROR(VLOOKUP($U$333,'TAR FIN'!$A$1:$O$116,15,0)),0,VLOOKUP($U$333,'TAR FIN'!$A$1:$O$116,15,0))</f>
        <v>0</v>
      </c>
      <c r="Y333" s="6">
        <f ca="1">('TUSD BE'!$AM$32+'TUSD BF'!$AM$32+'TUSD CVA'!$AM$32)*1</f>
        <v>17.138874075124019</v>
      </c>
      <c r="Z333" s="6"/>
      <c r="AA333" s="6"/>
      <c r="AB333" s="6">
        <f t="shared" si="22"/>
        <v>0</v>
      </c>
      <c r="AC333" s="6">
        <f t="shared" si="23"/>
        <v>0</v>
      </c>
      <c r="AD333" s="6">
        <f t="shared" ca="1" si="24"/>
        <v>0</v>
      </c>
      <c r="AE333" s="6">
        <f t="shared" si="25"/>
        <v>0</v>
      </c>
      <c r="AF333" s="4" t="s">
        <v>1112</v>
      </c>
    </row>
    <row r="334" spans="1:32" ht="11.25" customHeight="1" x14ac:dyDescent="0.25">
      <c r="A334" s="4" t="s">
        <v>21</v>
      </c>
      <c r="B334" s="4" t="s">
        <v>41</v>
      </c>
      <c r="C334" s="4" t="s">
        <v>64</v>
      </c>
      <c r="D334" s="4" t="s">
        <v>25</v>
      </c>
      <c r="E334" s="4" t="s">
        <v>25</v>
      </c>
      <c r="F334" s="4" t="s">
        <v>25</v>
      </c>
      <c r="G334" s="4" t="s">
        <v>93</v>
      </c>
      <c r="H334" s="4" t="s">
        <v>25</v>
      </c>
      <c r="I334" s="5">
        <v>44440</v>
      </c>
      <c r="J334" s="6">
        <v>1300</v>
      </c>
      <c r="K334" s="6">
        <v>650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4" t="s">
        <v>66</v>
      </c>
      <c r="R334" s="4">
        <v>30847</v>
      </c>
      <c r="S334" s="4">
        <v>28</v>
      </c>
      <c r="T334" s="4">
        <v>0</v>
      </c>
      <c r="U334" s="4">
        <v>0</v>
      </c>
      <c r="V334" s="6">
        <f>IF(ISERROR(VLOOKUP($S$334,'TAR FIN'!$A$1:$O$116,15,0)),0,VLOOKUP($S$334,'TAR FIN'!$A$1:$O$116,15,0))</f>
        <v>15.24</v>
      </c>
      <c r="W334" s="6">
        <f>IF(ISERROR(VLOOKUP($T$334,'TAR FIN'!$A$1:$O$116,15,0)),0,VLOOKUP($T$334,'TAR FIN'!$A$1:$O$116,15,0))</f>
        <v>0</v>
      </c>
      <c r="X334" s="6">
        <f>IF(ISERROR(VLOOKUP($U$334,'TAR FIN'!$A$1:$O$116,15,0)),0,VLOOKUP($U$334,'TAR FIN'!$A$1:$O$116,15,0))</f>
        <v>0</v>
      </c>
      <c r="Y334" s="6">
        <f ca="1">('TUSD BE'!$AM$32+'TUSD BF'!$AM$32+'TUSD CVA'!$AM$32)*1</f>
        <v>17.138874075124019</v>
      </c>
      <c r="Z334" s="6"/>
      <c r="AA334" s="6"/>
      <c r="AB334" s="6">
        <f t="shared" si="22"/>
        <v>9906</v>
      </c>
      <c r="AC334" s="6">
        <f t="shared" si="23"/>
        <v>0</v>
      </c>
      <c r="AD334" s="6">
        <f t="shared" ca="1" si="24"/>
        <v>11140.268148830612</v>
      </c>
      <c r="AE334" s="6">
        <f t="shared" si="25"/>
        <v>0</v>
      </c>
      <c r="AF334" s="4" t="s">
        <v>1112</v>
      </c>
    </row>
    <row r="335" spans="1:32" ht="11.25" customHeight="1" x14ac:dyDescent="0.25">
      <c r="A335" s="4" t="s">
        <v>21</v>
      </c>
      <c r="B335" s="4" t="s">
        <v>41</v>
      </c>
      <c r="C335" s="4" t="s">
        <v>64</v>
      </c>
      <c r="D335" s="4" t="s">
        <v>25</v>
      </c>
      <c r="E335" s="4" t="s">
        <v>25</v>
      </c>
      <c r="F335" s="4" t="s">
        <v>25</v>
      </c>
      <c r="G335" s="4" t="s">
        <v>94</v>
      </c>
      <c r="H335" s="4" t="s">
        <v>25</v>
      </c>
      <c r="I335" s="5">
        <v>44440</v>
      </c>
      <c r="J335" s="6">
        <v>1180</v>
      </c>
      <c r="K335" s="6">
        <v>590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4" t="s">
        <v>66</v>
      </c>
      <c r="R335" s="4">
        <v>30866</v>
      </c>
      <c r="S335" s="4">
        <v>28</v>
      </c>
      <c r="T335" s="4">
        <v>0</v>
      </c>
      <c r="U335" s="4">
        <v>0</v>
      </c>
      <c r="V335" s="6">
        <f>IF(ISERROR(VLOOKUP($S$335,'TAR FIN'!$A$1:$O$116,15,0)),0,VLOOKUP($S$335,'TAR FIN'!$A$1:$O$116,15,0))</f>
        <v>15.24</v>
      </c>
      <c r="W335" s="6">
        <f>IF(ISERROR(VLOOKUP($T$335,'TAR FIN'!$A$1:$O$116,15,0)),0,VLOOKUP($T$335,'TAR FIN'!$A$1:$O$116,15,0))</f>
        <v>0</v>
      </c>
      <c r="X335" s="6">
        <f>IF(ISERROR(VLOOKUP($U$335,'TAR FIN'!$A$1:$O$116,15,0)),0,VLOOKUP($U$335,'TAR FIN'!$A$1:$O$116,15,0))</f>
        <v>0</v>
      </c>
      <c r="Y335" s="6">
        <f ca="1">('TUSD BE'!$AM$32+'TUSD BF'!$AM$32+'TUSD CVA'!$AM$32)*1</f>
        <v>17.138874075124019</v>
      </c>
      <c r="Z335" s="6"/>
      <c r="AA335" s="6"/>
      <c r="AB335" s="6">
        <f t="shared" si="22"/>
        <v>8991.6</v>
      </c>
      <c r="AC335" s="6">
        <f t="shared" si="23"/>
        <v>0</v>
      </c>
      <c r="AD335" s="6">
        <f t="shared" ca="1" si="24"/>
        <v>10111.93570432317</v>
      </c>
      <c r="AE335" s="6">
        <f t="shared" si="25"/>
        <v>0</v>
      </c>
      <c r="AF335" s="4" t="s">
        <v>1112</v>
      </c>
    </row>
    <row r="336" spans="1:32" ht="11.25" customHeight="1" x14ac:dyDescent="0.25">
      <c r="A336" s="4" t="s">
        <v>21</v>
      </c>
      <c r="B336" s="4" t="s">
        <v>41</v>
      </c>
      <c r="C336" s="4" t="s">
        <v>64</v>
      </c>
      <c r="D336" s="4" t="s">
        <v>25</v>
      </c>
      <c r="E336" s="4" t="s">
        <v>25</v>
      </c>
      <c r="F336" s="4" t="s">
        <v>25</v>
      </c>
      <c r="G336" s="4" t="s">
        <v>95</v>
      </c>
      <c r="H336" s="4" t="s">
        <v>25</v>
      </c>
      <c r="I336" s="5">
        <v>44440</v>
      </c>
      <c r="J336" s="6">
        <v>1180</v>
      </c>
      <c r="K336" s="6">
        <v>590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4" t="s">
        <v>66</v>
      </c>
      <c r="R336" s="4">
        <v>31051</v>
      </c>
      <c r="S336" s="4">
        <v>28</v>
      </c>
      <c r="T336" s="4">
        <v>0</v>
      </c>
      <c r="U336" s="4">
        <v>0</v>
      </c>
      <c r="V336" s="6">
        <f>IF(ISERROR(VLOOKUP($S$336,'TAR FIN'!$A$1:$O$116,15,0)),0,VLOOKUP($S$336,'TAR FIN'!$A$1:$O$116,15,0))</f>
        <v>15.24</v>
      </c>
      <c r="W336" s="6">
        <f>IF(ISERROR(VLOOKUP($T$336,'TAR FIN'!$A$1:$O$116,15,0)),0,VLOOKUP($T$336,'TAR FIN'!$A$1:$O$116,15,0))</f>
        <v>0</v>
      </c>
      <c r="X336" s="6">
        <f>IF(ISERROR(VLOOKUP($U$336,'TAR FIN'!$A$1:$O$116,15,0)),0,VLOOKUP($U$336,'TAR FIN'!$A$1:$O$116,15,0))</f>
        <v>0</v>
      </c>
      <c r="Y336" s="6">
        <f ca="1">('TUSD BE'!$AM$32+'TUSD BF'!$AM$32+'TUSD CVA'!$AM$32)*1</f>
        <v>17.138874075124019</v>
      </c>
      <c r="Z336" s="6"/>
      <c r="AA336" s="6"/>
      <c r="AB336" s="6">
        <f t="shared" si="22"/>
        <v>8991.6</v>
      </c>
      <c r="AC336" s="6">
        <f t="shared" si="23"/>
        <v>0</v>
      </c>
      <c r="AD336" s="6">
        <f t="shared" ca="1" si="24"/>
        <v>10111.93570432317</v>
      </c>
      <c r="AE336" s="6">
        <f t="shared" si="25"/>
        <v>0</v>
      </c>
      <c r="AF336" s="4" t="s">
        <v>1112</v>
      </c>
    </row>
    <row r="337" spans="1:32" ht="11.25" customHeight="1" x14ac:dyDescent="0.25">
      <c r="A337" s="4" t="s">
        <v>21</v>
      </c>
      <c r="B337" s="4" t="s">
        <v>41</v>
      </c>
      <c r="C337" s="4" t="s">
        <v>64</v>
      </c>
      <c r="D337" s="4" t="s">
        <v>25</v>
      </c>
      <c r="E337" s="4" t="s">
        <v>25</v>
      </c>
      <c r="F337" s="4" t="s">
        <v>25</v>
      </c>
      <c r="G337" s="4" t="s">
        <v>96</v>
      </c>
      <c r="H337" s="4" t="s">
        <v>25</v>
      </c>
      <c r="I337" s="5">
        <v>44440</v>
      </c>
      <c r="J337" s="6">
        <v>1000</v>
      </c>
      <c r="K337" s="6">
        <v>500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4" t="s">
        <v>66</v>
      </c>
      <c r="R337" s="4">
        <v>31277</v>
      </c>
      <c r="S337" s="4">
        <v>28</v>
      </c>
      <c r="T337" s="4">
        <v>0</v>
      </c>
      <c r="U337" s="4">
        <v>0</v>
      </c>
      <c r="V337" s="6">
        <f>IF(ISERROR(VLOOKUP($S$337,'TAR FIN'!$A$1:$O$116,15,0)),0,VLOOKUP($S$337,'TAR FIN'!$A$1:$O$116,15,0))</f>
        <v>15.24</v>
      </c>
      <c r="W337" s="6">
        <f>IF(ISERROR(VLOOKUP($T$337,'TAR FIN'!$A$1:$O$116,15,0)),0,VLOOKUP($T$337,'TAR FIN'!$A$1:$O$116,15,0))</f>
        <v>0</v>
      </c>
      <c r="X337" s="6">
        <f>IF(ISERROR(VLOOKUP($U$337,'TAR FIN'!$A$1:$O$116,15,0)),0,VLOOKUP($U$337,'TAR FIN'!$A$1:$O$116,15,0))</f>
        <v>0</v>
      </c>
      <c r="Y337" s="6">
        <f ca="1">('TUSD BE'!$AM$32+'TUSD BF'!$AM$32+'TUSD CVA'!$AM$32)*1</f>
        <v>17.138874075124019</v>
      </c>
      <c r="Z337" s="6"/>
      <c r="AA337" s="6"/>
      <c r="AB337" s="6">
        <f t="shared" si="22"/>
        <v>7620</v>
      </c>
      <c r="AC337" s="6">
        <f t="shared" si="23"/>
        <v>0</v>
      </c>
      <c r="AD337" s="6">
        <f t="shared" ca="1" si="24"/>
        <v>8569.4370375620092</v>
      </c>
      <c r="AE337" s="6">
        <f t="shared" si="25"/>
        <v>0</v>
      </c>
      <c r="AF337" s="4" t="s">
        <v>1112</v>
      </c>
    </row>
    <row r="338" spans="1:32" ht="11.25" customHeight="1" x14ac:dyDescent="0.25">
      <c r="A338" s="4" t="s">
        <v>21</v>
      </c>
      <c r="B338" s="4" t="s">
        <v>41</v>
      </c>
      <c r="C338" s="4" t="s">
        <v>64</v>
      </c>
      <c r="D338" s="4" t="s">
        <v>25</v>
      </c>
      <c r="E338" s="4" t="s">
        <v>25</v>
      </c>
      <c r="F338" s="4" t="s">
        <v>25</v>
      </c>
      <c r="G338" s="4" t="s">
        <v>97</v>
      </c>
      <c r="H338" s="4" t="s">
        <v>25</v>
      </c>
      <c r="I338" s="5">
        <v>44440</v>
      </c>
      <c r="J338" s="6">
        <v>1180</v>
      </c>
      <c r="K338" s="6">
        <v>590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4" t="s">
        <v>66</v>
      </c>
      <c r="R338" s="4">
        <v>31318</v>
      </c>
      <c r="S338" s="4">
        <v>28</v>
      </c>
      <c r="T338" s="4">
        <v>0</v>
      </c>
      <c r="U338" s="4">
        <v>0</v>
      </c>
      <c r="V338" s="6">
        <f>IF(ISERROR(VLOOKUP($S$338,'TAR FIN'!$A$1:$O$116,15,0)),0,VLOOKUP($S$338,'TAR FIN'!$A$1:$O$116,15,0))</f>
        <v>15.24</v>
      </c>
      <c r="W338" s="6">
        <f>IF(ISERROR(VLOOKUP($T$338,'TAR FIN'!$A$1:$O$116,15,0)),0,VLOOKUP($T$338,'TAR FIN'!$A$1:$O$116,15,0))</f>
        <v>0</v>
      </c>
      <c r="X338" s="6">
        <f>IF(ISERROR(VLOOKUP($U$338,'TAR FIN'!$A$1:$O$116,15,0)),0,VLOOKUP($U$338,'TAR FIN'!$A$1:$O$116,15,0))</f>
        <v>0</v>
      </c>
      <c r="Y338" s="6">
        <f ca="1">('TUSD BE'!$AM$32+'TUSD BF'!$AM$32+'TUSD CVA'!$AM$32)*1</f>
        <v>17.138874075124019</v>
      </c>
      <c r="Z338" s="6"/>
      <c r="AA338" s="6"/>
      <c r="AB338" s="6">
        <f t="shared" si="22"/>
        <v>8991.6</v>
      </c>
      <c r="AC338" s="6">
        <f t="shared" si="23"/>
        <v>0</v>
      </c>
      <c r="AD338" s="6">
        <f t="shared" ca="1" si="24"/>
        <v>10111.93570432317</v>
      </c>
      <c r="AE338" s="6">
        <f t="shared" si="25"/>
        <v>0</v>
      </c>
      <c r="AF338" s="4" t="s">
        <v>1112</v>
      </c>
    </row>
    <row r="339" spans="1:32" ht="11.25" customHeight="1" x14ac:dyDescent="0.25">
      <c r="A339" s="4" t="s">
        <v>21</v>
      </c>
      <c r="B339" s="4" t="s">
        <v>41</v>
      </c>
      <c r="C339" s="4" t="s">
        <v>64</v>
      </c>
      <c r="D339" s="4" t="s">
        <v>25</v>
      </c>
      <c r="E339" s="4" t="s">
        <v>25</v>
      </c>
      <c r="F339" s="4" t="s">
        <v>25</v>
      </c>
      <c r="G339" s="4" t="s">
        <v>98</v>
      </c>
      <c r="H339" s="4" t="s">
        <v>25</v>
      </c>
      <c r="I339" s="5">
        <v>44440</v>
      </c>
      <c r="J339" s="6">
        <v>3000</v>
      </c>
      <c r="K339" s="6">
        <v>1500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4" t="s">
        <v>66</v>
      </c>
      <c r="R339" s="4">
        <v>31334</v>
      </c>
      <c r="S339" s="4">
        <v>28</v>
      </c>
      <c r="T339" s="4">
        <v>0</v>
      </c>
      <c r="U339" s="4">
        <v>0</v>
      </c>
      <c r="V339" s="6">
        <f>IF(ISERROR(VLOOKUP($S$339,'TAR FIN'!$A$1:$O$116,15,0)),0,VLOOKUP($S$339,'TAR FIN'!$A$1:$O$116,15,0))</f>
        <v>15.24</v>
      </c>
      <c r="W339" s="6">
        <f>IF(ISERROR(VLOOKUP($T$339,'TAR FIN'!$A$1:$O$116,15,0)),0,VLOOKUP($T$339,'TAR FIN'!$A$1:$O$116,15,0))</f>
        <v>0</v>
      </c>
      <c r="X339" s="6">
        <f>IF(ISERROR(VLOOKUP($U$339,'TAR FIN'!$A$1:$O$116,15,0)),0,VLOOKUP($U$339,'TAR FIN'!$A$1:$O$116,15,0))</f>
        <v>0</v>
      </c>
      <c r="Y339" s="6">
        <f ca="1">('TUSD BE'!$AM$32+'TUSD BF'!$AM$32+'TUSD CVA'!$AM$32)*1</f>
        <v>17.138874075124019</v>
      </c>
      <c r="Z339" s="6"/>
      <c r="AA339" s="6"/>
      <c r="AB339" s="6">
        <f t="shared" si="22"/>
        <v>22860</v>
      </c>
      <c r="AC339" s="6">
        <f t="shared" si="23"/>
        <v>0</v>
      </c>
      <c r="AD339" s="6">
        <f t="shared" ca="1" si="24"/>
        <v>25708.311112686028</v>
      </c>
      <c r="AE339" s="6">
        <f t="shared" si="25"/>
        <v>0</v>
      </c>
      <c r="AF339" s="4" t="s">
        <v>1112</v>
      </c>
    </row>
    <row r="340" spans="1:32" ht="11.25" customHeight="1" x14ac:dyDescent="0.25">
      <c r="A340" s="4" t="s">
        <v>21</v>
      </c>
      <c r="B340" s="4" t="s">
        <v>41</v>
      </c>
      <c r="C340" s="4" t="s">
        <v>64</v>
      </c>
      <c r="D340" s="4" t="s">
        <v>25</v>
      </c>
      <c r="E340" s="4" t="s">
        <v>25</v>
      </c>
      <c r="F340" s="4" t="s">
        <v>25</v>
      </c>
      <c r="G340" s="4" t="s">
        <v>99</v>
      </c>
      <c r="H340" s="4" t="s">
        <v>25</v>
      </c>
      <c r="I340" s="5">
        <v>44440</v>
      </c>
      <c r="J340" s="6">
        <v>1180</v>
      </c>
      <c r="K340" s="6">
        <v>590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4" t="s">
        <v>66</v>
      </c>
      <c r="R340" s="4">
        <v>31618</v>
      </c>
      <c r="S340" s="4">
        <v>28</v>
      </c>
      <c r="T340" s="4">
        <v>0</v>
      </c>
      <c r="U340" s="4">
        <v>0</v>
      </c>
      <c r="V340" s="6">
        <f>IF(ISERROR(VLOOKUP($S$340,'TAR FIN'!$A$1:$O$116,15,0)),0,VLOOKUP($S$340,'TAR FIN'!$A$1:$O$116,15,0))</f>
        <v>15.24</v>
      </c>
      <c r="W340" s="6">
        <f>IF(ISERROR(VLOOKUP($T$340,'TAR FIN'!$A$1:$O$116,15,0)),0,VLOOKUP($T$340,'TAR FIN'!$A$1:$O$116,15,0))</f>
        <v>0</v>
      </c>
      <c r="X340" s="6">
        <f>IF(ISERROR(VLOOKUP($U$340,'TAR FIN'!$A$1:$O$116,15,0)),0,VLOOKUP($U$340,'TAR FIN'!$A$1:$O$116,15,0))</f>
        <v>0</v>
      </c>
      <c r="Y340" s="6">
        <f ca="1">('TUSD BE'!$AM$32+'TUSD BF'!$AM$32+'TUSD CVA'!$AM$32)*1</f>
        <v>17.138874075124019</v>
      </c>
      <c r="Z340" s="6"/>
      <c r="AA340" s="6"/>
      <c r="AB340" s="6">
        <f t="shared" si="22"/>
        <v>8991.6</v>
      </c>
      <c r="AC340" s="6">
        <f t="shared" si="23"/>
        <v>0</v>
      </c>
      <c r="AD340" s="6">
        <f t="shared" ca="1" si="24"/>
        <v>10111.93570432317</v>
      </c>
      <c r="AE340" s="6">
        <f t="shared" si="25"/>
        <v>0</v>
      </c>
      <c r="AF340" s="4" t="s">
        <v>1112</v>
      </c>
    </row>
    <row r="341" spans="1:32" ht="11.25" customHeight="1" x14ac:dyDescent="0.25">
      <c r="A341" s="4" t="s">
        <v>21</v>
      </c>
      <c r="B341" s="4" t="s">
        <v>41</v>
      </c>
      <c r="C341" s="4" t="s">
        <v>64</v>
      </c>
      <c r="D341" s="4" t="s">
        <v>25</v>
      </c>
      <c r="E341" s="4" t="s">
        <v>25</v>
      </c>
      <c r="F341" s="4" t="s">
        <v>25</v>
      </c>
      <c r="G341" s="4" t="s">
        <v>100</v>
      </c>
      <c r="H341" s="4" t="s">
        <v>25</v>
      </c>
      <c r="I341" s="5">
        <v>44440</v>
      </c>
      <c r="J341" s="6">
        <v>1180</v>
      </c>
      <c r="K341" s="6">
        <v>590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4" t="s">
        <v>66</v>
      </c>
      <c r="R341" s="4">
        <v>31677</v>
      </c>
      <c r="S341" s="4">
        <v>28</v>
      </c>
      <c r="T341" s="4">
        <v>0</v>
      </c>
      <c r="U341" s="4">
        <v>0</v>
      </c>
      <c r="V341" s="6">
        <f>IF(ISERROR(VLOOKUP($S$341,'TAR FIN'!$A$1:$O$116,15,0)),0,VLOOKUP($S$341,'TAR FIN'!$A$1:$O$116,15,0))</f>
        <v>15.24</v>
      </c>
      <c r="W341" s="6">
        <f>IF(ISERROR(VLOOKUP($T$341,'TAR FIN'!$A$1:$O$116,15,0)),0,VLOOKUP($T$341,'TAR FIN'!$A$1:$O$116,15,0))</f>
        <v>0</v>
      </c>
      <c r="X341" s="6">
        <f>IF(ISERROR(VLOOKUP($U$341,'TAR FIN'!$A$1:$O$116,15,0)),0,VLOOKUP($U$341,'TAR FIN'!$A$1:$O$116,15,0))</f>
        <v>0</v>
      </c>
      <c r="Y341" s="6">
        <f ca="1">('TUSD BE'!$AM$32+'TUSD BF'!$AM$32+'TUSD CVA'!$AM$32)*1</f>
        <v>17.138874075124019</v>
      </c>
      <c r="Z341" s="6"/>
      <c r="AA341" s="6"/>
      <c r="AB341" s="6">
        <f t="shared" si="22"/>
        <v>8991.6</v>
      </c>
      <c r="AC341" s="6">
        <f t="shared" si="23"/>
        <v>0</v>
      </c>
      <c r="AD341" s="6">
        <f t="shared" ca="1" si="24"/>
        <v>10111.93570432317</v>
      </c>
      <c r="AE341" s="6">
        <f t="shared" si="25"/>
        <v>0</v>
      </c>
      <c r="AF341" s="4" t="s">
        <v>1112</v>
      </c>
    </row>
    <row r="342" spans="1:32" ht="11.25" customHeight="1" x14ac:dyDescent="0.25">
      <c r="A342" s="4" t="s">
        <v>21</v>
      </c>
      <c r="B342" s="4" t="s">
        <v>41</v>
      </c>
      <c r="C342" s="4" t="s">
        <v>64</v>
      </c>
      <c r="D342" s="4" t="s">
        <v>25</v>
      </c>
      <c r="E342" s="4" t="s">
        <v>25</v>
      </c>
      <c r="F342" s="4" t="s">
        <v>25</v>
      </c>
      <c r="G342" s="4" t="s">
        <v>68</v>
      </c>
      <c r="H342" s="4" t="s">
        <v>25</v>
      </c>
      <c r="I342" s="5">
        <v>44470</v>
      </c>
      <c r="J342" s="6">
        <v>302</v>
      </c>
      <c r="K342" s="6">
        <v>302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4" t="s">
        <v>66</v>
      </c>
      <c r="R342" s="4">
        <v>404</v>
      </c>
      <c r="S342" s="4">
        <v>28</v>
      </c>
      <c r="T342" s="4">
        <v>0</v>
      </c>
      <c r="U342" s="4">
        <v>0</v>
      </c>
      <c r="V342" s="6">
        <f>IF(ISERROR(VLOOKUP($S$342,'TAR FIN'!$A$1:$O$116,15,0)),0,VLOOKUP($S$342,'TAR FIN'!$A$1:$O$116,15,0))</f>
        <v>15.24</v>
      </c>
      <c r="W342" s="6">
        <f>IF(ISERROR(VLOOKUP($T$342,'TAR FIN'!$A$1:$O$116,15,0)),0,VLOOKUP($T$342,'TAR FIN'!$A$1:$O$116,15,0))</f>
        <v>0</v>
      </c>
      <c r="X342" s="6">
        <f>IF(ISERROR(VLOOKUP($U$342,'TAR FIN'!$A$1:$O$116,15,0)),0,VLOOKUP($U$342,'TAR FIN'!$A$1:$O$116,15,0))</f>
        <v>0</v>
      </c>
      <c r="Y342" s="6">
        <f ca="1">('TUSD BE'!$AM$32+'TUSD BF'!$AM$32+'TUSD CVA'!$AM$32)*1</f>
        <v>17.138874075124019</v>
      </c>
      <c r="Z342" s="6"/>
      <c r="AA342" s="6"/>
      <c r="AB342" s="6">
        <f t="shared" si="22"/>
        <v>0</v>
      </c>
      <c r="AC342" s="6">
        <f t="shared" si="23"/>
        <v>0</v>
      </c>
      <c r="AD342" s="6">
        <f t="shared" ca="1" si="24"/>
        <v>0</v>
      </c>
      <c r="AE342" s="6">
        <f t="shared" si="25"/>
        <v>0</v>
      </c>
      <c r="AF342" s="4" t="s">
        <v>1112</v>
      </c>
    </row>
    <row r="343" spans="1:32" ht="11.25" customHeight="1" x14ac:dyDescent="0.25">
      <c r="A343" s="4" t="s">
        <v>21</v>
      </c>
      <c r="B343" s="4" t="s">
        <v>41</v>
      </c>
      <c r="C343" s="4" t="s">
        <v>64</v>
      </c>
      <c r="D343" s="4" t="s">
        <v>25</v>
      </c>
      <c r="E343" s="4" t="s">
        <v>25</v>
      </c>
      <c r="F343" s="4" t="s">
        <v>25</v>
      </c>
      <c r="G343" s="4" t="s">
        <v>70</v>
      </c>
      <c r="H343" s="4" t="s">
        <v>25</v>
      </c>
      <c r="I343" s="5">
        <v>44470</v>
      </c>
      <c r="J343" s="6">
        <v>5040</v>
      </c>
      <c r="K343" s="6">
        <v>5040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4" t="s">
        <v>66</v>
      </c>
      <c r="R343" s="4">
        <v>838</v>
      </c>
      <c r="S343" s="4">
        <v>28</v>
      </c>
      <c r="T343" s="4">
        <v>0</v>
      </c>
      <c r="U343" s="4">
        <v>0</v>
      </c>
      <c r="V343" s="6">
        <f>IF(ISERROR(VLOOKUP($S$343,'TAR FIN'!$A$1:$O$116,15,0)),0,VLOOKUP($S$343,'TAR FIN'!$A$1:$O$116,15,0))</f>
        <v>15.24</v>
      </c>
      <c r="W343" s="6">
        <f>IF(ISERROR(VLOOKUP($T$343,'TAR FIN'!$A$1:$O$116,15,0)),0,VLOOKUP($T$343,'TAR FIN'!$A$1:$O$116,15,0))</f>
        <v>0</v>
      </c>
      <c r="X343" s="6">
        <f>IF(ISERROR(VLOOKUP($U$343,'TAR FIN'!$A$1:$O$116,15,0)),0,VLOOKUP($U$343,'TAR FIN'!$A$1:$O$116,15,0))</f>
        <v>0</v>
      </c>
      <c r="Y343" s="6">
        <f ca="1">('TUSD BE'!$AM$32+'TUSD BF'!$AM$32+'TUSD CVA'!$AM$32)*1</f>
        <v>17.138874075124019</v>
      </c>
      <c r="Z343" s="6"/>
      <c r="AA343" s="6"/>
      <c r="AB343" s="6">
        <f t="shared" si="22"/>
        <v>0</v>
      </c>
      <c r="AC343" s="6">
        <f t="shared" si="23"/>
        <v>0</v>
      </c>
      <c r="AD343" s="6">
        <f t="shared" ca="1" si="24"/>
        <v>0</v>
      </c>
      <c r="AE343" s="6">
        <f t="shared" si="25"/>
        <v>0</v>
      </c>
      <c r="AF343" s="4" t="s">
        <v>1112</v>
      </c>
    </row>
    <row r="344" spans="1:32" ht="11.25" customHeight="1" x14ac:dyDescent="0.25">
      <c r="A344" s="4" t="s">
        <v>21</v>
      </c>
      <c r="B344" s="4" t="s">
        <v>41</v>
      </c>
      <c r="C344" s="4" t="s">
        <v>64</v>
      </c>
      <c r="D344" s="4" t="s">
        <v>25</v>
      </c>
      <c r="E344" s="4" t="s">
        <v>25</v>
      </c>
      <c r="F344" s="4" t="s">
        <v>25</v>
      </c>
      <c r="G344" s="4" t="s">
        <v>74</v>
      </c>
      <c r="H344" s="4" t="s">
        <v>25</v>
      </c>
      <c r="I344" s="5">
        <v>44470</v>
      </c>
      <c r="J344" s="6">
        <v>3800</v>
      </c>
      <c r="K344" s="6">
        <v>1900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4" t="s">
        <v>66</v>
      </c>
      <c r="R344" s="4">
        <v>1192</v>
      </c>
      <c r="S344" s="4">
        <v>28</v>
      </c>
      <c r="T344" s="4">
        <v>0</v>
      </c>
      <c r="U344" s="4">
        <v>0</v>
      </c>
      <c r="V344" s="6">
        <f>IF(ISERROR(VLOOKUP($S$344,'TAR FIN'!$A$1:$O$116,15,0)),0,VLOOKUP($S$344,'TAR FIN'!$A$1:$O$116,15,0))</f>
        <v>15.24</v>
      </c>
      <c r="W344" s="6">
        <f>IF(ISERROR(VLOOKUP($T$344,'TAR FIN'!$A$1:$O$116,15,0)),0,VLOOKUP($T$344,'TAR FIN'!$A$1:$O$116,15,0))</f>
        <v>0</v>
      </c>
      <c r="X344" s="6">
        <f>IF(ISERROR(VLOOKUP($U$344,'TAR FIN'!$A$1:$O$116,15,0)),0,VLOOKUP($U$344,'TAR FIN'!$A$1:$O$116,15,0))</f>
        <v>0</v>
      </c>
      <c r="Y344" s="6">
        <f ca="1">('TUSD BE'!$AM$32+'TUSD BF'!$AM$32+'TUSD CVA'!$AM$32)*1</f>
        <v>17.138874075124019</v>
      </c>
      <c r="Z344" s="6"/>
      <c r="AA344" s="6"/>
      <c r="AB344" s="6">
        <f t="shared" si="22"/>
        <v>28956</v>
      </c>
      <c r="AC344" s="6">
        <f t="shared" si="23"/>
        <v>0</v>
      </c>
      <c r="AD344" s="6">
        <f t="shared" ca="1" si="24"/>
        <v>32563.860742735636</v>
      </c>
      <c r="AE344" s="6">
        <f t="shared" si="25"/>
        <v>0</v>
      </c>
      <c r="AF344" s="4" t="s">
        <v>1112</v>
      </c>
    </row>
    <row r="345" spans="1:32" ht="11.25" customHeight="1" x14ac:dyDescent="0.25">
      <c r="A345" s="4" t="s">
        <v>21</v>
      </c>
      <c r="B345" s="4" t="s">
        <v>41</v>
      </c>
      <c r="C345" s="4" t="s">
        <v>64</v>
      </c>
      <c r="D345" s="4" t="s">
        <v>25</v>
      </c>
      <c r="E345" s="4" t="s">
        <v>25</v>
      </c>
      <c r="F345" s="4" t="s">
        <v>25</v>
      </c>
      <c r="G345" s="4" t="s">
        <v>76</v>
      </c>
      <c r="H345" s="4" t="s">
        <v>25</v>
      </c>
      <c r="I345" s="5">
        <v>44470</v>
      </c>
      <c r="J345" s="6">
        <v>480</v>
      </c>
      <c r="K345" s="6">
        <v>480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4" t="s">
        <v>66</v>
      </c>
      <c r="R345" s="4">
        <v>1438</v>
      </c>
      <c r="S345" s="4">
        <v>28</v>
      </c>
      <c r="T345" s="4">
        <v>0</v>
      </c>
      <c r="U345" s="4">
        <v>0</v>
      </c>
      <c r="V345" s="6">
        <f>IF(ISERROR(VLOOKUP($S$345,'TAR FIN'!$A$1:$O$116,15,0)),0,VLOOKUP($S$345,'TAR FIN'!$A$1:$O$116,15,0))</f>
        <v>15.24</v>
      </c>
      <c r="W345" s="6">
        <f>IF(ISERROR(VLOOKUP($T$345,'TAR FIN'!$A$1:$O$116,15,0)),0,VLOOKUP($T$345,'TAR FIN'!$A$1:$O$116,15,0))</f>
        <v>0</v>
      </c>
      <c r="X345" s="6">
        <f>IF(ISERROR(VLOOKUP($U$345,'TAR FIN'!$A$1:$O$116,15,0)),0,VLOOKUP($U$345,'TAR FIN'!$A$1:$O$116,15,0))</f>
        <v>0</v>
      </c>
      <c r="Y345" s="6">
        <f ca="1">('TUSD BE'!$AM$32+'TUSD BF'!$AM$32+'TUSD CVA'!$AM$32)*1</f>
        <v>17.138874075124019</v>
      </c>
      <c r="Z345" s="6"/>
      <c r="AA345" s="6"/>
      <c r="AB345" s="6">
        <f t="shared" si="22"/>
        <v>0</v>
      </c>
      <c r="AC345" s="6">
        <f t="shared" si="23"/>
        <v>0</v>
      </c>
      <c r="AD345" s="6">
        <f t="shared" ca="1" si="24"/>
        <v>0</v>
      </c>
      <c r="AE345" s="6">
        <f t="shared" si="25"/>
        <v>0</v>
      </c>
      <c r="AF345" s="4" t="s">
        <v>1112</v>
      </c>
    </row>
    <row r="346" spans="1:32" ht="11.25" customHeight="1" x14ac:dyDescent="0.25">
      <c r="A346" s="4" t="s">
        <v>21</v>
      </c>
      <c r="B346" s="4" t="s">
        <v>41</v>
      </c>
      <c r="C346" s="4" t="s">
        <v>64</v>
      </c>
      <c r="D346" s="4" t="s">
        <v>25</v>
      </c>
      <c r="E346" s="4" t="s">
        <v>25</v>
      </c>
      <c r="F346" s="4" t="s">
        <v>25</v>
      </c>
      <c r="G346" s="4" t="s">
        <v>77</v>
      </c>
      <c r="H346" s="4" t="s">
        <v>25</v>
      </c>
      <c r="I346" s="5">
        <v>44470</v>
      </c>
      <c r="J346" s="6">
        <v>736</v>
      </c>
      <c r="K346" s="6">
        <v>736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4" t="s">
        <v>66</v>
      </c>
      <c r="R346" s="4">
        <v>1462</v>
      </c>
      <c r="S346" s="4">
        <v>28</v>
      </c>
      <c r="T346" s="4">
        <v>0</v>
      </c>
      <c r="U346" s="4">
        <v>0</v>
      </c>
      <c r="V346" s="6">
        <f>IF(ISERROR(VLOOKUP($S$346,'TAR FIN'!$A$1:$O$116,15,0)),0,VLOOKUP($S$346,'TAR FIN'!$A$1:$O$116,15,0))</f>
        <v>15.24</v>
      </c>
      <c r="W346" s="6">
        <f>IF(ISERROR(VLOOKUP($T$346,'TAR FIN'!$A$1:$O$116,15,0)),0,VLOOKUP($T$346,'TAR FIN'!$A$1:$O$116,15,0))</f>
        <v>0</v>
      </c>
      <c r="X346" s="6">
        <f>IF(ISERROR(VLOOKUP($U$346,'TAR FIN'!$A$1:$O$116,15,0)),0,VLOOKUP($U$346,'TAR FIN'!$A$1:$O$116,15,0))</f>
        <v>0</v>
      </c>
      <c r="Y346" s="6">
        <f ca="1">('TUSD BE'!$AM$32+'TUSD BF'!$AM$32+'TUSD CVA'!$AM$32)*1</f>
        <v>17.138874075124019</v>
      </c>
      <c r="Z346" s="6"/>
      <c r="AA346" s="6"/>
      <c r="AB346" s="6">
        <f t="shared" si="22"/>
        <v>0</v>
      </c>
      <c r="AC346" s="6">
        <f t="shared" si="23"/>
        <v>0</v>
      </c>
      <c r="AD346" s="6">
        <f t="shared" ca="1" si="24"/>
        <v>0</v>
      </c>
      <c r="AE346" s="6">
        <f t="shared" si="25"/>
        <v>0</v>
      </c>
      <c r="AF346" s="4" t="s">
        <v>1112</v>
      </c>
    </row>
    <row r="347" spans="1:32" ht="11.25" customHeight="1" x14ac:dyDescent="0.25">
      <c r="A347" s="4" t="s">
        <v>21</v>
      </c>
      <c r="B347" s="4" t="s">
        <v>41</v>
      </c>
      <c r="C347" s="4" t="s">
        <v>64</v>
      </c>
      <c r="D347" s="4" t="s">
        <v>25</v>
      </c>
      <c r="E347" s="4" t="s">
        <v>25</v>
      </c>
      <c r="F347" s="4" t="s">
        <v>25</v>
      </c>
      <c r="G347" s="4" t="s">
        <v>78</v>
      </c>
      <c r="H347" s="4" t="s">
        <v>25</v>
      </c>
      <c r="I347" s="5">
        <v>44470</v>
      </c>
      <c r="J347" s="6">
        <v>6460</v>
      </c>
      <c r="K347" s="6">
        <v>6460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4" t="s">
        <v>66</v>
      </c>
      <c r="R347" s="4">
        <v>1533</v>
      </c>
      <c r="S347" s="4">
        <v>28</v>
      </c>
      <c r="T347" s="4">
        <v>0</v>
      </c>
      <c r="U347" s="4">
        <v>0</v>
      </c>
      <c r="V347" s="6">
        <f>IF(ISERROR(VLOOKUP($S$347,'TAR FIN'!$A$1:$O$116,15,0)),0,VLOOKUP($S$347,'TAR FIN'!$A$1:$O$116,15,0))</f>
        <v>15.24</v>
      </c>
      <c r="W347" s="6">
        <f>IF(ISERROR(VLOOKUP($T$347,'TAR FIN'!$A$1:$O$116,15,0)),0,VLOOKUP($T$347,'TAR FIN'!$A$1:$O$116,15,0))</f>
        <v>0</v>
      </c>
      <c r="X347" s="6">
        <f>IF(ISERROR(VLOOKUP($U$347,'TAR FIN'!$A$1:$O$116,15,0)),0,VLOOKUP($U$347,'TAR FIN'!$A$1:$O$116,15,0))</f>
        <v>0</v>
      </c>
      <c r="Y347" s="6">
        <f ca="1">('TUSD BE'!$AM$32+'TUSD BF'!$AM$32+'TUSD CVA'!$AM$32)*1</f>
        <v>17.138874075124019</v>
      </c>
      <c r="Z347" s="6"/>
      <c r="AA347" s="6"/>
      <c r="AB347" s="6">
        <f t="shared" si="22"/>
        <v>0</v>
      </c>
      <c r="AC347" s="6">
        <f t="shared" si="23"/>
        <v>0</v>
      </c>
      <c r="AD347" s="6">
        <f t="shared" ca="1" si="24"/>
        <v>0</v>
      </c>
      <c r="AE347" s="6">
        <f t="shared" si="25"/>
        <v>0</v>
      </c>
      <c r="AF347" s="4" t="s">
        <v>1112</v>
      </c>
    </row>
    <row r="348" spans="1:32" ht="11.25" customHeight="1" x14ac:dyDescent="0.25">
      <c r="A348" s="4" t="s">
        <v>21</v>
      </c>
      <c r="B348" s="4" t="s">
        <v>41</v>
      </c>
      <c r="C348" s="4" t="s">
        <v>64</v>
      </c>
      <c r="D348" s="4" t="s">
        <v>25</v>
      </c>
      <c r="E348" s="4" t="s">
        <v>25</v>
      </c>
      <c r="F348" s="4" t="s">
        <v>25</v>
      </c>
      <c r="G348" s="4" t="s">
        <v>79</v>
      </c>
      <c r="H348" s="4" t="s">
        <v>25</v>
      </c>
      <c r="I348" s="5">
        <v>44470</v>
      </c>
      <c r="J348" s="6">
        <v>770</v>
      </c>
      <c r="K348" s="6">
        <v>770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4" t="s">
        <v>66</v>
      </c>
      <c r="R348" s="4">
        <v>2535</v>
      </c>
      <c r="S348" s="4">
        <v>28</v>
      </c>
      <c r="T348" s="4">
        <v>0</v>
      </c>
      <c r="U348" s="4">
        <v>0</v>
      </c>
      <c r="V348" s="6">
        <f>IF(ISERROR(VLOOKUP($S$348,'TAR FIN'!$A$1:$O$116,15,0)),0,VLOOKUP($S$348,'TAR FIN'!$A$1:$O$116,15,0))</f>
        <v>15.24</v>
      </c>
      <c r="W348" s="6">
        <f>IF(ISERROR(VLOOKUP($T$348,'TAR FIN'!$A$1:$O$116,15,0)),0,VLOOKUP($T$348,'TAR FIN'!$A$1:$O$116,15,0))</f>
        <v>0</v>
      </c>
      <c r="X348" s="6">
        <f>IF(ISERROR(VLOOKUP($U$348,'TAR FIN'!$A$1:$O$116,15,0)),0,VLOOKUP($U$348,'TAR FIN'!$A$1:$O$116,15,0))</f>
        <v>0</v>
      </c>
      <c r="Y348" s="6">
        <f ca="1">('TUSD BE'!$AM$32+'TUSD BF'!$AM$32+'TUSD CVA'!$AM$32)*1</f>
        <v>17.138874075124019</v>
      </c>
      <c r="Z348" s="6"/>
      <c r="AA348" s="6"/>
      <c r="AB348" s="6">
        <f t="shared" si="22"/>
        <v>0</v>
      </c>
      <c r="AC348" s="6">
        <f t="shared" si="23"/>
        <v>0</v>
      </c>
      <c r="AD348" s="6">
        <f t="shared" ca="1" si="24"/>
        <v>0</v>
      </c>
      <c r="AE348" s="6">
        <f t="shared" si="25"/>
        <v>0</v>
      </c>
      <c r="AF348" s="4" t="s">
        <v>1112</v>
      </c>
    </row>
    <row r="349" spans="1:32" ht="11.25" customHeight="1" x14ac:dyDescent="0.25">
      <c r="A349" s="4" t="s">
        <v>21</v>
      </c>
      <c r="B349" s="4" t="s">
        <v>41</v>
      </c>
      <c r="C349" s="4" t="s">
        <v>64</v>
      </c>
      <c r="D349" s="4" t="s">
        <v>25</v>
      </c>
      <c r="E349" s="4" t="s">
        <v>25</v>
      </c>
      <c r="F349" s="4" t="s">
        <v>25</v>
      </c>
      <c r="G349" s="4" t="s">
        <v>80</v>
      </c>
      <c r="H349" s="4" t="s">
        <v>25</v>
      </c>
      <c r="I349" s="5">
        <v>44470</v>
      </c>
      <c r="J349" s="6">
        <v>1416</v>
      </c>
      <c r="K349" s="6">
        <v>1416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4" t="s">
        <v>66</v>
      </c>
      <c r="R349" s="4">
        <v>2751</v>
      </c>
      <c r="S349" s="4">
        <v>28</v>
      </c>
      <c r="T349" s="4">
        <v>0</v>
      </c>
      <c r="U349" s="4">
        <v>0</v>
      </c>
      <c r="V349" s="6">
        <f>IF(ISERROR(VLOOKUP($S$349,'TAR FIN'!$A$1:$O$116,15,0)),0,VLOOKUP($S$349,'TAR FIN'!$A$1:$O$116,15,0))</f>
        <v>15.24</v>
      </c>
      <c r="W349" s="6">
        <f>IF(ISERROR(VLOOKUP($T$349,'TAR FIN'!$A$1:$O$116,15,0)),0,VLOOKUP($T$349,'TAR FIN'!$A$1:$O$116,15,0))</f>
        <v>0</v>
      </c>
      <c r="X349" s="6">
        <f>IF(ISERROR(VLOOKUP($U$349,'TAR FIN'!$A$1:$O$116,15,0)),0,VLOOKUP($U$349,'TAR FIN'!$A$1:$O$116,15,0))</f>
        <v>0</v>
      </c>
      <c r="Y349" s="6">
        <f ca="1">('TUSD BE'!$AM$32+'TUSD BF'!$AM$32+'TUSD CVA'!$AM$32)*1</f>
        <v>17.138874075124019</v>
      </c>
      <c r="Z349" s="6"/>
      <c r="AA349" s="6"/>
      <c r="AB349" s="6">
        <f t="shared" si="22"/>
        <v>0</v>
      </c>
      <c r="AC349" s="6">
        <f t="shared" si="23"/>
        <v>0</v>
      </c>
      <c r="AD349" s="6">
        <f t="shared" ca="1" si="24"/>
        <v>0</v>
      </c>
      <c r="AE349" s="6">
        <f t="shared" si="25"/>
        <v>0</v>
      </c>
      <c r="AF349" s="4" t="s">
        <v>1112</v>
      </c>
    </row>
    <row r="350" spans="1:32" ht="11.25" customHeight="1" x14ac:dyDescent="0.25">
      <c r="A350" s="4" t="s">
        <v>21</v>
      </c>
      <c r="B350" s="4" t="s">
        <v>41</v>
      </c>
      <c r="C350" s="4" t="s">
        <v>64</v>
      </c>
      <c r="D350" s="4" t="s">
        <v>25</v>
      </c>
      <c r="E350" s="4" t="s">
        <v>25</v>
      </c>
      <c r="F350" s="4" t="s">
        <v>25</v>
      </c>
      <c r="G350" s="4" t="s">
        <v>88</v>
      </c>
      <c r="H350" s="4" t="s">
        <v>25</v>
      </c>
      <c r="I350" s="5">
        <v>44470</v>
      </c>
      <c r="J350" s="6">
        <v>9500</v>
      </c>
      <c r="K350" s="6">
        <v>4750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4" t="s">
        <v>66</v>
      </c>
      <c r="R350" s="4">
        <v>27722</v>
      </c>
      <c r="S350" s="4">
        <v>28</v>
      </c>
      <c r="T350" s="4">
        <v>0</v>
      </c>
      <c r="U350" s="4">
        <v>0</v>
      </c>
      <c r="V350" s="6">
        <f>IF(ISERROR(VLOOKUP($S$350,'TAR FIN'!$A$1:$O$116,15,0)),0,VLOOKUP($S$350,'TAR FIN'!$A$1:$O$116,15,0))</f>
        <v>15.24</v>
      </c>
      <c r="W350" s="6">
        <f>IF(ISERROR(VLOOKUP($T$350,'TAR FIN'!$A$1:$O$116,15,0)),0,VLOOKUP($T$350,'TAR FIN'!$A$1:$O$116,15,0))</f>
        <v>0</v>
      </c>
      <c r="X350" s="6">
        <f>IF(ISERROR(VLOOKUP($U$350,'TAR FIN'!$A$1:$O$116,15,0)),0,VLOOKUP($U$350,'TAR FIN'!$A$1:$O$116,15,0))</f>
        <v>0</v>
      </c>
      <c r="Y350" s="6">
        <f ca="1">('TUSD BE'!$AM$32+'TUSD BF'!$AM$32+'TUSD CVA'!$AM$32)*1</f>
        <v>17.138874075124019</v>
      </c>
      <c r="Z350" s="6"/>
      <c r="AA350" s="6"/>
      <c r="AB350" s="6">
        <f t="shared" si="22"/>
        <v>72390</v>
      </c>
      <c r="AC350" s="6">
        <f t="shared" si="23"/>
        <v>0</v>
      </c>
      <c r="AD350" s="6">
        <f t="shared" ca="1" si="24"/>
        <v>81409.651856839089</v>
      </c>
      <c r="AE350" s="6">
        <f t="shared" si="25"/>
        <v>0</v>
      </c>
      <c r="AF350" s="4" t="s">
        <v>1112</v>
      </c>
    </row>
    <row r="351" spans="1:32" ht="11.25" customHeight="1" x14ac:dyDescent="0.25">
      <c r="A351" s="4" t="s">
        <v>21</v>
      </c>
      <c r="B351" s="4" t="s">
        <v>41</v>
      </c>
      <c r="C351" s="4" t="s">
        <v>64</v>
      </c>
      <c r="D351" s="4" t="s">
        <v>25</v>
      </c>
      <c r="E351" s="4" t="s">
        <v>25</v>
      </c>
      <c r="F351" s="4" t="s">
        <v>25</v>
      </c>
      <c r="G351" s="4" t="s">
        <v>90</v>
      </c>
      <c r="H351" s="4" t="s">
        <v>25</v>
      </c>
      <c r="I351" s="5">
        <v>44470</v>
      </c>
      <c r="J351" s="6">
        <v>420</v>
      </c>
      <c r="K351" s="6">
        <v>420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4" t="s">
        <v>66</v>
      </c>
      <c r="R351" s="4">
        <v>27928</v>
      </c>
      <c r="S351" s="4">
        <v>28</v>
      </c>
      <c r="T351" s="4">
        <v>0</v>
      </c>
      <c r="U351" s="4">
        <v>0</v>
      </c>
      <c r="V351" s="6">
        <f>IF(ISERROR(VLOOKUP($S$351,'TAR FIN'!$A$1:$O$116,15,0)),0,VLOOKUP($S$351,'TAR FIN'!$A$1:$O$116,15,0))</f>
        <v>15.24</v>
      </c>
      <c r="W351" s="6">
        <f>IF(ISERROR(VLOOKUP($T$351,'TAR FIN'!$A$1:$O$116,15,0)),0,VLOOKUP($T$351,'TAR FIN'!$A$1:$O$116,15,0))</f>
        <v>0</v>
      </c>
      <c r="X351" s="6">
        <f>IF(ISERROR(VLOOKUP($U$351,'TAR FIN'!$A$1:$O$116,15,0)),0,VLOOKUP($U$351,'TAR FIN'!$A$1:$O$116,15,0))</f>
        <v>0</v>
      </c>
      <c r="Y351" s="6">
        <f ca="1">('TUSD BE'!$AM$32+'TUSD BF'!$AM$32+'TUSD CVA'!$AM$32)*1</f>
        <v>17.138874075124019</v>
      </c>
      <c r="Z351" s="6"/>
      <c r="AA351" s="6"/>
      <c r="AB351" s="6">
        <f t="shared" si="22"/>
        <v>0</v>
      </c>
      <c r="AC351" s="6">
        <f t="shared" si="23"/>
        <v>0</v>
      </c>
      <c r="AD351" s="6">
        <f t="shared" ca="1" si="24"/>
        <v>0</v>
      </c>
      <c r="AE351" s="6">
        <f t="shared" si="25"/>
        <v>0</v>
      </c>
      <c r="AF351" s="4" t="s">
        <v>1112</v>
      </c>
    </row>
    <row r="352" spans="1:32" ht="11.25" customHeight="1" x14ac:dyDescent="0.25">
      <c r="A352" s="4" t="s">
        <v>21</v>
      </c>
      <c r="B352" s="4" t="s">
        <v>41</v>
      </c>
      <c r="C352" s="4" t="s">
        <v>64</v>
      </c>
      <c r="D352" s="4" t="s">
        <v>25</v>
      </c>
      <c r="E352" s="4" t="s">
        <v>25</v>
      </c>
      <c r="F352" s="4" t="s">
        <v>25</v>
      </c>
      <c r="G352" s="4" t="s">
        <v>93</v>
      </c>
      <c r="H352" s="4" t="s">
        <v>25</v>
      </c>
      <c r="I352" s="5">
        <v>44470</v>
      </c>
      <c r="J352" s="6">
        <v>1300</v>
      </c>
      <c r="K352" s="6">
        <v>650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4" t="s">
        <v>66</v>
      </c>
      <c r="R352" s="4">
        <v>30847</v>
      </c>
      <c r="S352" s="4">
        <v>28</v>
      </c>
      <c r="T352" s="4">
        <v>0</v>
      </c>
      <c r="U352" s="4">
        <v>0</v>
      </c>
      <c r="V352" s="6">
        <f>IF(ISERROR(VLOOKUP($S$352,'TAR FIN'!$A$1:$O$116,15,0)),0,VLOOKUP($S$352,'TAR FIN'!$A$1:$O$116,15,0))</f>
        <v>15.24</v>
      </c>
      <c r="W352" s="6">
        <f>IF(ISERROR(VLOOKUP($T$352,'TAR FIN'!$A$1:$O$116,15,0)),0,VLOOKUP($T$352,'TAR FIN'!$A$1:$O$116,15,0))</f>
        <v>0</v>
      </c>
      <c r="X352" s="6">
        <f>IF(ISERROR(VLOOKUP($U$352,'TAR FIN'!$A$1:$O$116,15,0)),0,VLOOKUP($U$352,'TAR FIN'!$A$1:$O$116,15,0))</f>
        <v>0</v>
      </c>
      <c r="Y352" s="6">
        <f ca="1">('TUSD BE'!$AM$32+'TUSD BF'!$AM$32+'TUSD CVA'!$AM$32)*1</f>
        <v>17.138874075124019</v>
      </c>
      <c r="Z352" s="6"/>
      <c r="AA352" s="6"/>
      <c r="AB352" s="6">
        <f t="shared" si="22"/>
        <v>9906</v>
      </c>
      <c r="AC352" s="6">
        <f t="shared" si="23"/>
        <v>0</v>
      </c>
      <c r="AD352" s="6">
        <f t="shared" ca="1" si="24"/>
        <v>11140.268148830612</v>
      </c>
      <c r="AE352" s="6">
        <f t="shared" si="25"/>
        <v>0</v>
      </c>
      <c r="AF352" s="4" t="s">
        <v>1112</v>
      </c>
    </row>
    <row r="353" spans="1:32" ht="11.25" customHeight="1" x14ac:dyDescent="0.25">
      <c r="A353" s="4" t="s">
        <v>21</v>
      </c>
      <c r="B353" s="4" t="s">
        <v>41</v>
      </c>
      <c r="C353" s="4" t="s">
        <v>64</v>
      </c>
      <c r="D353" s="4" t="s">
        <v>25</v>
      </c>
      <c r="E353" s="4" t="s">
        <v>25</v>
      </c>
      <c r="F353" s="4" t="s">
        <v>25</v>
      </c>
      <c r="G353" s="4" t="s">
        <v>94</v>
      </c>
      <c r="H353" s="4" t="s">
        <v>25</v>
      </c>
      <c r="I353" s="5">
        <v>44470</v>
      </c>
      <c r="J353" s="6">
        <v>1180</v>
      </c>
      <c r="K353" s="6">
        <v>590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4" t="s">
        <v>66</v>
      </c>
      <c r="R353" s="4">
        <v>30866</v>
      </c>
      <c r="S353" s="4">
        <v>28</v>
      </c>
      <c r="T353" s="4">
        <v>0</v>
      </c>
      <c r="U353" s="4">
        <v>0</v>
      </c>
      <c r="V353" s="6">
        <f>IF(ISERROR(VLOOKUP($S$353,'TAR FIN'!$A$1:$O$116,15,0)),0,VLOOKUP($S$353,'TAR FIN'!$A$1:$O$116,15,0))</f>
        <v>15.24</v>
      </c>
      <c r="W353" s="6">
        <f>IF(ISERROR(VLOOKUP($T$353,'TAR FIN'!$A$1:$O$116,15,0)),0,VLOOKUP($T$353,'TAR FIN'!$A$1:$O$116,15,0))</f>
        <v>0</v>
      </c>
      <c r="X353" s="6">
        <f>IF(ISERROR(VLOOKUP($U$353,'TAR FIN'!$A$1:$O$116,15,0)),0,VLOOKUP($U$353,'TAR FIN'!$A$1:$O$116,15,0))</f>
        <v>0</v>
      </c>
      <c r="Y353" s="6">
        <f ca="1">('TUSD BE'!$AM$32+'TUSD BF'!$AM$32+'TUSD CVA'!$AM$32)*1</f>
        <v>17.138874075124019</v>
      </c>
      <c r="Z353" s="6"/>
      <c r="AA353" s="6"/>
      <c r="AB353" s="6">
        <f t="shared" si="22"/>
        <v>8991.6</v>
      </c>
      <c r="AC353" s="6">
        <f t="shared" si="23"/>
        <v>0</v>
      </c>
      <c r="AD353" s="6">
        <f t="shared" ca="1" si="24"/>
        <v>10111.93570432317</v>
      </c>
      <c r="AE353" s="6">
        <f t="shared" si="25"/>
        <v>0</v>
      </c>
      <c r="AF353" s="4" t="s">
        <v>1112</v>
      </c>
    </row>
    <row r="354" spans="1:32" ht="11.25" customHeight="1" x14ac:dyDescent="0.25">
      <c r="A354" s="4" t="s">
        <v>21</v>
      </c>
      <c r="B354" s="4" t="s">
        <v>41</v>
      </c>
      <c r="C354" s="4" t="s">
        <v>64</v>
      </c>
      <c r="D354" s="4" t="s">
        <v>25</v>
      </c>
      <c r="E354" s="4" t="s">
        <v>25</v>
      </c>
      <c r="F354" s="4" t="s">
        <v>25</v>
      </c>
      <c r="G354" s="4" t="s">
        <v>95</v>
      </c>
      <c r="H354" s="4" t="s">
        <v>25</v>
      </c>
      <c r="I354" s="5">
        <v>44470</v>
      </c>
      <c r="J354" s="6">
        <v>1180</v>
      </c>
      <c r="K354" s="6">
        <v>590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4" t="s">
        <v>66</v>
      </c>
      <c r="R354" s="4">
        <v>31051</v>
      </c>
      <c r="S354" s="4">
        <v>28</v>
      </c>
      <c r="T354" s="4">
        <v>0</v>
      </c>
      <c r="U354" s="4">
        <v>0</v>
      </c>
      <c r="V354" s="6">
        <f>IF(ISERROR(VLOOKUP($S$354,'TAR FIN'!$A$1:$O$116,15,0)),0,VLOOKUP($S$354,'TAR FIN'!$A$1:$O$116,15,0))</f>
        <v>15.24</v>
      </c>
      <c r="W354" s="6">
        <f>IF(ISERROR(VLOOKUP($T$354,'TAR FIN'!$A$1:$O$116,15,0)),0,VLOOKUP($T$354,'TAR FIN'!$A$1:$O$116,15,0))</f>
        <v>0</v>
      </c>
      <c r="X354" s="6">
        <f>IF(ISERROR(VLOOKUP($U$354,'TAR FIN'!$A$1:$O$116,15,0)),0,VLOOKUP($U$354,'TAR FIN'!$A$1:$O$116,15,0))</f>
        <v>0</v>
      </c>
      <c r="Y354" s="6">
        <f ca="1">('TUSD BE'!$AM$32+'TUSD BF'!$AM$32+'TUSD CVA'!$AM$32)*1</f>
        <v>17.138874075124019</v>
      </c>
      <c r="Z354" s="6"/>
      <c r="AA354" s="6"/>
      <c r="AB354" s="6">
        <f t="shared" si="22"/>
        <v>8991.6</v>
      </c>
      <c r="AC354" s="6">
        <f t="shared" si="23"/>
        <v>0</v>
      </c>
      <c r="AD354" s="6">
        <f t="shared" ca="1" si="24"/>
        <v>10111.93570432317</v>
      </c>
      <c r="AE354" s="6">
        <f t="shared" si="25"/>
        <v>0</v>
      </c>
      <c r="AF354" s="4" t="s">
        <v>1112</v>
      </c>
    </row>
    <row r="355" spans="1:32" ht="11.25" customHeight="1" x14ac:dyDescent="0.25">
      <c r="A355" s="4" t="s">
        <v>21</v>
      </c>
      <c r="B355" s="4" t="s">
        <v>41</v>
      </c>
      <c r="C355" s="4" t="s">
        <v>64</v>
      </c>
      <c r="D355" s="4" t="s">
        <v>25</v>
      </c>
      <c r="E355" s="4" t="s">
        <v>25</v>
      </c>
      <c r="F355" s="4" t="s">
        <v>25</v>
      </c>
      <c r="G355" s="4" t="s">
        <v>96</v>
      </c>
      <c r="H355" s="4" t="s">
        <v>25</v>
      </c>
      <c r="I355" s="5">
        <v>44470</v>
      </c>
      <c r="J355" s="6">
        <v>1000</v>
      </c>
      <c r="K355" s="6">
        <v>500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66</v>
      </c>
      <c r="R355" s="4">
        <v>31277</v>
      </c>
      <c r="S355" s="4">
        <v>28</v>
      </c>
      <c r="T355" s="4">
        <v>0</v>
      </c>
      <c r="U355" s="4">
        <v>0</v>
      </c>
      <c r="V355" s="6">
        <f>IF(ISERROR(VLOOKUP($S$355,'TAR FIN'!$A$1:$O$116,15,0)),0,VLOOKUP($S$355,'TAR FIN'!$A$1:$O$116,15,0))</f>
        <v>15.24</v>
      </c>
      <c r="W355" s="6">
        <f>IF(ISERROR(VLOOKUP($T$355,'TAR FIN'!$A$1:$O$116,15,0)),0,VLOOKUP($T$355,'TAR FIN'!$A$1:$O$116,15,0))</f>
        <v>0</v>
      </c>
      <c r="X355" s="6">
        <f>IF(ISERROR(VLOOKUP($U$355,'TAR FIN'!$A$1:$O$116,15,0)),0,VLOOKUP($U$355,'TAR FIN'!$A$1:$O$116,15,0))</f>
        <v>0</v>
      </c>
      <c r="Y355" s="6">
        <f ca="1">('TUSD BE'!$AM$32+'TUSD BF'!$AM$32+'TUSD CVA'!$AM$32)*1</f>
        <v>17.138874075124019</v>
      </c>
      <c r="Z355" s="6"/>
      <c r="AA355" s="6"/>
      <c r="AB355" s="6">
        <f t="shared" si="22"/>
        <v>7620</v>
      </c>
      <c r="AC355" s="6">
        <f t="shared" si="23"/>
        <v>0</v>
      </c>
      <c r="AD355" s="6">
        <f t="shared" ca="1" si="24"/>
        <v>8569.4370375620092</v>
      </c>
      <c r="AE355" s="6">
        <f t="shared" si="25"/>
        <v>0</v>
      </c>
      <c r="AF355" s="4" t="s">
        <v>1112</v>
      </c>
    </row>
    <row r="356" spans="1:32" ht="11.25" customHeight="1" x14ac:dyDescent="0.25">
      <c r="A356" s="4" t="s">
        <v>21</v>
      </c>
      <c r="B356" s="4" t="s">
        <v>41</v>
      </c>
      <c r="C356" s="4" t="s">
        <v>64</v>
      </c>
      <c r="D356" s="4" t="s">
        <v>25</v>
      </c>
      <c r="E356" s="4" t="s">
        <v>25</v>
      </c>
      <c r="F356" s="4" t="s">
        <v>25</v>
      </c>
      <c r="G356" s="4" t="s">
        <v>97</v>
      </c>
      <c r="H356" s="4" t="s">
        <v>25</v>
      </c>
      <c r="I356" s="5">
        <v>44470</v>
      </c>
      <c r="J356" s="6">
        <v>1180</v>
      </c>
      <c r="K356" s="6">
        <v>590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4" t="s">
        <v>66</v>
      </c>
      <c r="R356" s="4">
        <v>31318</v>
      </c>
      <c r="S356" s="4">
        <v>28</v>
      </c>
      <c r="T356" s="4">
        <v>0</v>
      </c>
      <c r="U356" s="4">
        <v>0</v>
      </c>
      <c r="V356" s="6">
        <f>IF(ISERROR(VLOOKUP($S$356,'TAR FIN'!$A$1:$O$116,15,0)),0,VLOOKUP($S$356,'TAR FIN'!$A$1:$O$116,15,0))</f>
        <v>15.24</v>
      </c>
      <c r="W356" s="6">
        <f>IF(ISERROR(VLOOKUP($T$356,'TAR FIN'!$A$1:$O$116,15,0)),0,VLOOKUP($T$356,'TAR FIN'!$A$1:$O$116,15,0))</f>
        <v>0</v>
      </c>
      <c r="X356" s="6">
        <f>IF(ISERROR(VLOOKUP($U$356,'TAR FIN'!$A$1:$O$116,15,0)),0,VLOOKUP($U$356,'TAR FIN'!$A$1:$O$116,15,0))</f>
        <v>0</v>
      </c>
      <c r="Y356" s="6">
        <f ca="1">('TUSD BE'!$AM$32+'TUSD BF'!$AM$32+'TUSD CVA'!$AM$32)*1</f>
        <v>17.138874075124019</v>
      </c>
      <c r="Z356" s="6"/>
      <c r="AA356" s="6"/>
      <c r="AB356" s="6">
        <f t="shared" si="22"/>
        <v>8991.6</v>
      </c>
      <c r="AC356" s="6">
        <f t="shared" si="23"/>
        <v>0</v>
      </c>
      <c r="AD356" s="6">
        <f t="shared" ca="1" si="24"/>
        <v>10111.93570432317</v>
      </c>
      <c r="AE356" s="6">
        <f t="shared" si="25"/>
        <v>0</v>
      </c>
      <c r="AF356" s="4" t="s">
        <v>1112</v>
      </c>
    </row>
    <row r="357" spans="1:32" ht="11.25" customHeight="1" x14ac:dyDescent="0.25">
      <c r="A357" s="4" t="s">
        <v>21</v>
      </c>
      <c r="B357" s="4" t="s">
        <v>41</v>
      </c>
      <c r="C357" s="4" t="s">
        <v>64</v>
      </c>
      <c r="D357" s="4" t="s">
        <v>25</v>
      </c>
      <c r="E357" s="4" t="s">
        <v>25</v>
      </c>
      <c r="F357" s="4" t="s">
        <v>25</v>
      </c>
      <c r="G357" s="4" t="s">
        <v>98</v>
      </c>
      <c r="H357" s="4" t="s">
        <v>25</v>
      </c>
      <c r="I357" s="5">
        <v>44470</v>
      </c>
      <c r="J357" s="6">
        <v>3000</v>
      </c>
      <c r="K357" s="6">
        <v>1500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4" t="s">
        <v>66</v>
      </c>
      <c r="R357" s="4">
        <v>31334</v>
      </c>
      <c r="S357" s="4">
        <v>28</v>
      </c>
      <c r="T357" s="4">
        <v>0</v>
      </c>
      <c r="U357" s="4">
        <v>0</v>
      </c>
      <c r="V357" s="6">
        <f>IF(ISERROR(VLOOKUP($S$357,'TAR FIN'!$A$1:$O$116,15,0)),0,VLOOKUP($S$357,'TAR FIN'!$A$1:$O$116,15,0))</f>
        <v>15.24</v>
      </c>
      <c r="W357" s="6">
        <f>IF(ISERROR(VLOOKUP($T$357,'TAR FIN'!$A$1:$O$116,15,0)),0,VLOOKUP($T$357,'TAR FIN'!$A$1:$O$116,15,0))</f>
        <v>0</v>
      </c>
      <c r="X357" s="6">
        <f>IF(ISERROR(VLOOKUP($U$357,'TAR FIN'!$A$1:$O$116,15,0)),0,VLOOKUP($U$357,'TAR FIN'!$A$1:$O$116,15,0))</f>
        <v>0</v>
      </c>
      <c r="Y357" s="6">
        <f ca="1">('TUSD BE'!$AM$32+'TUSD BF'!$AM$32+'TUSD CVA'!$AM$32)*1</f>
        <v>17.138874075124019</v>
      </c>
      <c r="Z357" s="6"/>
      <c r="AA357" s="6"/>
      <c r="AB357" s="6">
        <f t="shared" si="22"/>
        <v>22860</v>
      </c>
      <c r="AC357" s="6">
        <f t="shared" si="23"/>
        <v>0</v>
      </c>
      <c r="AD357" s="6">
        <f t="shared" ca="1" si="24"/>
        <v>25708.311112686028</v>
      </c>
      <c r="AE357" s="6">
        <f t="shared" si="25"/>
        <v>0</v>
      </c>
      <c r="AF357" s="4" t="s">
        <v>1112</v>
      </c>
    </row>
    <row r="358" spans="1:32" ht="11.25" customHeight="1" x14ac:dyDescent="0.25">
      <c r="A358" s="4" t="s">
        <v>21</v>
      </c>
      <c r="B358" s="4" t="s">
        <v>41</v>
      </c>
      <c r="C358" s="4" t="s">
        <v>64</v>
      </c>
      <c r="D358" s="4" t="s">
        <v>25</v>
      </c>
      <c r="E358" s="4" t="s">
        <v>25</v>
      </c>
      <c r="F358" s="4" t="s">
        <v>25</v>
      </c>
      <c r="G358" s="4" t="s">
        <v>99</v>
      </c>
      <c r="H358" s="4" t="s">
        <v>25</v>
      </c>
      <c r="I358" s="5">
        <v>44470</v>
      </c>
      <c r="J358" s="6">
        <v>1180</v>
      </c>
      <c r="K358" s="6">
        <v>590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4" t="s">
        <v>66</v>
      </c>
      <c r="R358" s="4">
        <v>31618</v>
      </c>
      <c r="S358" s="4">
        <v>28</v>
      </c>
      <c r="T358" s="4">
        <v>0</v>
      </c>
      <c r="U358" s="4">
        <v>0</v>
      </c>
      <c r="V358" s="6">
        <f>IF(ISERROR(VLOOKUP($S$358,'TAR FIN'!$A$1:$O$116,15,0)),0,VLOOKUP($S$358,'TAR FIN'!$A$1:$O$116,15,0))</f>
        <v>15.24</v>
      </c>
      <c r="W358" s="6">
        <f>IF(ISERROR(VLOOKUP($T$358,'TAR FIN'!$A$1:$O$116,15,0)),0,VLOOKUP($T$358,'TAR FIN'!$A$1:$O$116,15,0))</f>
        <v>0</v>
      </c>
      <c r="X358" s="6">
        <f>IF(ISERROR(VLOOKUP($U$358,'TAR FIN'!$A$1:$O$116,15,0)),0,VLOOKUP($U$358,'TAR FIN'!$A$1:$O$116,15,0))</f>
        <v>0</v>
      </c>
      <c r="Y358" s="6">
        <f ca="1">('TUSD BE'!$AM$32+'TUSD BF'!$AM$32+'TUSD CVA'!$AM$32)*1</f>
        <v>17.138874075124019</v>
      </c>
      <c r="Z358" s="6"/>
      <c r="AA358" s="6"/>
      <c r="AB358" s="6">
        <f t="shared" si="22"/>
        <v>8991.6</v>
      </c>
      <c r="AC358" s="6">
        <f t="shared" si="23"/>
        <v>0</v>
      </c>
      <c r="AD358" s="6">
        <f t="shared" ca="1" si="24"/>
        <v>10111.93570432317</v>
      </c>
      <c r="AE358" s="6">
        <f t="shared" si="25"/>
        <v>0</v>
      </c>
      <c r="AF358" s="4" t="s">
        <v>1112</v>
      </c>
    </row>
    <row r="359" spans="1:32" ht="11.25" customHeight="1" x14ac:dyDescent="0.25">
      <c r="A359" s="4" t="s">
        <v>21</v>
      </c>
      <c r="B359" s="4" t="s">
        <v>41</v>
      </c>
      <c r="C359" s="4" t="s">
        <v>64</v>
      </c>
      <c r="D359" s="4" t="s">
        <v>25</v>
      </c>
      <c r="E359" s="4" t="s">
        <v>25</v>
      </c>
      <c r="F359" s="4" t="s">
        <v>25</v>
      </c>
      <c r="G359" s="4" t="s">
        <v>100</v>
      </c>
      <c r="H359" s="4" t="s">
        <v>25</v>
      </c>
      <c r="I359" s="5">
        <v>44470</v>
      </c>
      <c r="J359" s="6">
        <v>1180</v>
      </c>
      <c r="K359" s="6">
        <v>590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4" t="s">
        <v>66</v>
      </c>
      <c r="R359" s="4">
        <v>31677</v>
      </c>
      <c r="S359" s="4">
        <v>28</v>
      </c>
      <c r="T359" s="4">
        <v>0</v>
      </c>
      <c r="U359" s="4">
        <v>0</v>
      </c>
      <c r="V359" s="6">
        <f>IF(ISERROR(VLOOKUP($S$359,'TAR FIN'!$A$1:$O$116,15,0)),0,VLOOKUP($S$359,'TAR FIN'!$A$1:$O$116,15,0))</f>
        <v>15.24</v>
      </c>
      <c r="W359" s="6">
        <f>IF(ISERROR(VLOOKUP($T$359,'TAR FIN'!$A$1:$O$116,15,0)),0,VLOOKUP($T$359,'TAR FIN'!$A$1:$O$116,15,0))</f>
        <v>0</v>
      </c>
      <c r="X359" s="6">
        <f>IF(ISERROR(VLOOKUP($U$359,'TAR FIN'!$A$1:$O$116,15,0)),0,VLOOKUP($U$359,'TAR FIN'!$A$1:$O$116,15,0))</f>
        <v>0</v>
      </c>
      <c r="Y359" s="6">
        <f ca="1">('TUSD BE'!$AM$32+'TUSD BF'!$AM$32+'TUSD CVA'!$AM$32)*1</f>
        <v>17.138874075124019</v>
      </c>
      <c r="Z359" s="6"/>
      <c r="AA359" s="6"/>
      <c r="AB359" s="6">
        <f t="shared" si="22"/>
        <v>8991.6</v>
      </c>
      <c r="AC359" s="6">
        <f t="shared" si="23"/>
        <v>0</v>
      </c>
      <c r="AD359" s="6">
        <f t="shared" ca="1" si="24"/>
        <v>10111.93570432317</v>
      </c>
      <c r="AE359" s="6">
        <f t="shared" si="25"/>
        <v>0</v>
      </c>
      <c r="AF359" s="4" t="s">
        <v>1112</v>
      </c>
    </row>
    <row r="360" spans="1:32" ht="11.25" customHeight="1" x14ac:dyDescent="0.25">
      <c r="A360" s="4" t="s">
        <v>21</v>
      </c>
      <c r="B360" s="4" t="s">
        <v>41</v>
      </c>
      <c r="C360" s="4" t="s">
        <v>64</v>
      </c>
      <c r="D360" s="4" t="s">
        <v>25</v>
      </c>
      <c r="E360" s="4" t="s">
        <v>25</v>
      </c>
      <c r="F360" s="4" t="s">
        <v>25</v>
      </c>
      <c r="G360" s="4" t="s">
        <v>68</v>
      </c>
      <c r="H360" s="4" t="s">
        <v>25</v>
      </c>
      <c r="I360" s="5">
        <v>44501</v>
      </c>
      <c r="J360" s="6">
        <v>302</v>
      </c>
      <c r="K360" s="6">
        <v>302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4" t="s">
        <v>66</v>
      </c>
      <c r="R360" s="4">
        <v>404</v>
      </c>
      <c r="S360" s="4">
        <v>28</v>
      </c>
      <c r="T360" s="4">
        <v>0</v>
      </c>
      <c r="U360" s="4">
        <v>0</v>
      </c>
      <c r="V360" s="6">
        <f>IF(ISERROR(VLOOKUP($S$360,'TAR FIN'!$A$1:$O$116,15,0)),0,VLOOKUP($S$360,'TAR FIN'!$A$1:$O$116,15,0))</f>
        <v>15.24</v>
      </c>
      <c r="W360" s="6">
        <f>IF(ISERROR(VLOOKUP($T$360,'TAR FIN'!$A$1:$O$116,15,0)),0,VLOOKUP($T$360,'TAR FIN'!$A$1:$O$116,15,0))</f>
        <v>0</v>
      </c>
      <c r="X360" s="6">
        <f>IF(ISERROR(VLOOKUP($U$360,'TAR FIN'!$A$1:$O$116,15,0)),0,VLOOKUP($U$360,'TAR FIN'!$A$1:$O$116,15,0))</f>
        <v>0</v>
      </c>
      <c r="Y360" s="6">
        <f ca="1">('TUSD BE'!$AM$32+'TUSD BF'!$AM$32+'TUSD CVA'!$AM$32)*1</f>
        <v>17.138874075124019</v>
      </c>
      <c r="Z360" s="6"/>
      <c r="AA360" s="6"/>
      <c r="AB360" s="6">
        <f t="shared" si="22"/>
        <v>0</v>
      </c>
      <c r="AC360" s="6">
        <f t="shared" si="23"/>
        <v>0</v>
      </c>
      <c r="AD360" s="6">
        <f t="shared" ca="1" si="24"/>
        <v>0</v>
      </c>
      <c r="AE360" s="6">
        <f t="shared" si="25"/>
        <v>0</v>
      </c>
      <c r="AF360" s="4" t="s">
        <v>1112</v>
      </c>
    </row>
    <row r="361" spans="1:32" ht="11.25" customHeight="1" x14ac:dyDescent="0.25">
      <c r="A361" s="4" t="s">
        <v>21</v>
      </c>
      <c r="B361" s="4" t="s">
        <v>41</v>
      </c>
      <c r="C361" s="4" t="s">
        <v>64</v>
      </c>
      <c r="D361" s="4" t="s">
        <v>25</v>
      </c>
      <c r="E361" s="4" t="s">
        <v>25</v>
      </c>
      <c r="F361" s="4" t="s">
        <v>25</v>
      </c>
      <c r="G361" s="4" t="s">
        <v>70</v>
      </c>
      <c r="H361" s="4" t="s">
        <v>25</v>
      </c>
      <c r="I361" s="5">
        <v>44501</v>
      </c>
      <c r="J361" s="6">
        <v>5040</v>
      </c>
      <c r="K361" s="6">
        <v>5040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4" t="s">
        <v>66</v>
      </c>
      <c r="R361" s="4">
        <v>838</v>
      </c>
      <c r="S361" s="4">
        <v>28</v>
      </c>
      <c r="T361" s="4">
        <v>0</v>
      </c>
      <c r="U361" s="4">
        <v>0</v>
      </c>
      <c r="V361" s="6">
        <f>IF(ISERROR(VLOOKUP($S$361,'TAR FIN'!$A$1:$O$116,15,0)),0,VLOOKUP($S$361,'TAR FIN'!$A$1:$O$116,15,0))</f>
        <v>15.24</v>
      </c>
      <c r="W361" s="6">
        <f>IF(ISERROR(VLOOKUP($T$361,'TAR FIN'!$A$1:$O$116,15,0)),0,VLOOKUP($T$361,'TAR FIN'!$A$1:$O$116,15,0))</f>
        <v>0</v>
      </c>
      <c r="X361" s="6">
        <f>IF(ISERROR(VLOOKUP($U$361,'TAR FIN'!$A$1:$O$116,15,0)),0,VLOOKUP($U$361,'TAR FIN'!$A$1:$O$116,15,0))</f>
        <v>0</v>
      </c>
      <c r="Y361" s="6">
        <f ca="1">('TUSD BE'!$AM$32+'TUSD BF'!$AM$32+'TUSD CVA'!$AM$32)*1</f>
        <v>17.138874075124019</v>
      </c>
      <c r="Z361" s="6"/>
      <c r="AA361" s="6"/>
      <c r="AB361" s="6">
        <f t="shared" si="22"/>
        <v>0</v>
      </c>
      <c r="AC361" s="6">
        <f t="shared" si="23"/>
        <v>0</v>
      </c>
      <c r="AD361" s="6">
        <f t="shared" ca="1" si="24"/>
        <v>0</v>
      </c>
      <c r="AE361" s="6">
        <f t="shared" si="25"/>
        <v>0</v>
      </c>
      <c r="AF361" s="4" t="s">
        <v>1112</v>
      </c>
    </row>
    <row r="362" spans="1:32" ht="11.25" customHeight="1" x14ac:dyDescent="0.25">
      <c r="A362" s="4" t="s">
        <v>21</v>
      </c>
      <c r="B362" s="4" t="s">
        <v>41</v>
      </c>
      <c r="C362" s="4" t="s">
        <v>64</v>
      </c>
      <c r="D362" s="4" t="s">
        <v>25</v>
      </c>
      <c r="E362" s="4" t="s">
        <v>25</v>
      </c>
      <c r="F362" s="4" t="s">
        <v>25</v>
      </c>
      <c r="G362" s="4" t="s">
        <v>74</v>
      </c>
      <c r="H362" s="4" t="s">
        <v>25</v>
      </c>
      <c r="I362" s="5">
        <v>44501</v>
      </c>
      <c r="J362" s="6">
        <v>3800</v>
      </c>
      <c r="K362" s="6">
        <v>1900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4" t="s">
        <v>66</v>
      </c>
      <c r="R362" s="4">
        <v>1192</v>
      </c>
      <c r="S362" s="4">
        <v>28</v>
      </c>
      <c r="T362" s="4">
        <v>0</v>
      </c>
      <c r="U362" s="4">
        <v>0</v>
      </c>
      <c r="V362" s="6">
        <f>IF(ISERROR(VLOOKUP($S$362,'TAR FIN'!$A$1:$O$116,15,0)),0,VLOOKUP($S$362,'TAR FIN'!$A$1:$O$116,15,0))</f>
        <v>15.24</v>
      </c>
      <c r="W362" s="6">
        <f>IF(ISERROR(VLOOKUP($T$362,'TAR FIN'!$A$1:$O$116,15,0)),0,VLOOKUP($T$362,'TAR FIN'!$A$1:$O$116,15,0))</f>
        <v>0</v>
      </c>
      <c r="X362" s="6">
        <f>IF(ISERROR(VLOOKUP($U$362,'TAR FIN'!$A$1:$O$116,15,0)),0,VLOOKUP($U$362,'TAR FIN'!$A$1:$O$116,15,0))</f>
        <v>0</v>
      </c>
      <c r="Y362" s="6">
        <f ca="1">('TUSD BE'!$AM$32+'TUSD BF'!$AM$32+'TUSD CVA'!$AM$32)*1</f>
        <v>17.138874075124019</v>
      </c>
      <c r="Z362" s="6"/>
      <c r="AA362" s="6"/>
      <c r="AB362" s="6">
        <f t="shared" si="22"/>
        <v>28956</v>
      </c>
      <c r="AC362" s="6">
        <f t="shared" si="23"/>
        <v>0</v>
      </c>
      <c r="AD362" s="6">
        <f t="shared" ca="1" si="24"/>
        <v>32563.860742735636</v>
      </c>
      <c r="AE362" s="6">
        <f t="shared" si="25"/>
        <v>0</v>
      </c>
      <c r="AF362" s="4" t="s">
        <v>1112</v>
      </c>
    </row>
    <row r="363" spans="1:32" ht="11.25" customHeight="1" x14ac:dyDescent="0.25">
      <c r="A363" s="4" t="s">
        <v>21</v>
      </c>
      <c r="B363" s="4" t="s">
        <v>41</v>
      </c>
      <c r="C363" s="4" t="s">
        <v>64</v>
      </c>
      <c r="D363" s="4" t="s">
        <v>25</v>
      </c>
      <c r="E363" s="4" t="s">
        <v>25</v>
      </c>
      <c r="F363" s="4" t="s">
        <v>25</v>
      </c>
      <c r="G363" s="4" t="s">
        <v>76</v>
      </c>
      <c r="H363" s="4" t="s">
        <v>25</v>
      </c>
      <c r="I363" s="5">
        <v>44501</v>
      </c>
      <c r="J363" s="6">
        <v>480</v>
      </c>
      <c r="K363" s="6">
        <v>480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4" t="s">
        <v>66</v>
      </c>
      <c r="R363" s="4">
        <v>1438</v>
      </c>
      <c r="S363" s="4">
        <v>28</v>
      </c>
      <c r="T363" s="4">
        <v>0</v>
      </c>
      <c r="U363" s="4">
        <v>0</v>
      </c>
      <c r="V363" s="6">
        <f>IF(ISERROR(VLOOKUP($S$363,'TAR FIN'!$A$1:$O$116,15,0)),0,VLOOKUP($S$363,'TAR FIN'!$A$1:$O$116,15,0))</f>
        <v>15.24</v>
      </c>
      <c r="W363" s="6">
        <f>IF(ISERROR(VLOOKUP($T$363,'TAR FIN'!$A$1:$O$116,15,0)),0,VLOOKUP($T$363,'TAR FIN'!$A$1:$O$116,15,0))</f>
        <v>0</v>
      </c>
      <c r="X363" s="6">
        <f>IF(ISERROR(VLOOKUP($U$363,'TAR FIN'!$A$1:$O$116,15,0)),0,VLOOKUP($U$363,'TAR FIN'!$A$1:$O$116,15,0))</f>
        <v>0</v>
      </c>
      <c r="Y363" s="6">
        <f ca="1">('TUSD BE'!$AM$32+'TUSD BF'!$AM$32+'TUSD CVA'!$AM$32)*1</f>
        <v>17.138874075124019</v>
      </c>
      <c r="Z363" s="6"/>
      <c r="AA363" s="6"/>
      <c r="AB363" s="6">
        <f t="shared" si="22"/>
        <v>0</v>
      </c>
      <c r="AC363" s="6">
        <f t="shared" si="23"/>
        <v>0</v>
      </c>
      <c r="AD363" s="6">
        <f t="shared" ca="1" si="24"/>
        <v>0</v>
      </c>
      <c r="AE363" s="6">
        <f t="shared" si="25"/>
        <v>0</v>
      </c>
      <c r="AF363" s="4" t="s">
        <v>1112</v>
      </c>
    </row>
    <row r="364" spans="1:32" ht="11.25" customHeight="1" x14ac:dyDescent="0.25">
      <c r="A364" s="4" t="s">
        <v>21</v>
      </c>
      <c r="B364" s="4" t="s">
        <v>41</v>
      </c>
      <c r="C364" s="4" t="s">
        <v>64</v>
      </c>
      <c r="D364" s="4" t="s">
        <v>25</v>
      </c>
      <c r="E364" s="4" t="s">
        <v>25</v>
      </c>
      <c r="F364" s="4" t="s">
        <v>25</v>
      </c>
      <c r="G364" s="4" t="s">
        <v>77</v>
      </c>
      <c r="H364" s="4" t="s">
        <v>25</v>
      </c>
      <c r="I364" s="5">
        <v>44501</v>
      </c>
      <c r="J364" s="6">
        <v>736</v>
      </c>
      <c r="K364" s="6">
        <v>736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4" t="s">
        <v>66</v>
      </c>
      <c r="R364" s="4">
        <v>1462</v>
      </c>
      <c r="S364" s="4">
        <v>28</v>
      </c>
      <c r="T364" s="4">
        <v>0</v>
      </c>
      <c r="U364" s="4">
        <v>0</v>
      </c>
      <c r="V364" s="6">
        <f>IF(ISERROR(VLOOKUP($S$364,'TAR FIN'!$A$1:$O$116,15,0)),0,VLOOKUP($S$364,'TAR FIN'!$A$1:$O$116,15,0))</f>
        <v>15.24</v>
      </c>
      <c r="W364" s="6">
        <f>IF(ISERROR(VLOOKUP($T$364,'TAR FIN'!$A$1:$O$116,15,0)),0,VLOOKUP($T$364,'TAR FIN'!$A$1:$O$116,15,0))</f>
        <v>0</v>
      </c>
      <c r="X364" s="6">
        <f>IF(ISERROR(VLOOKUP($U$364,'TAR FIN'!$A$1:$O$116,15,0)),0,VLOOKUP($U$364,'TAR FIN'!$A$1:$O$116,15,0))</f>
        <v>0</v>
      </c>
      <c r="Y364" s="6">
        <f ca="1">('TUSD BE'!$AM$32+'TUSD BF'!$AM$32+'TUSD CVA'!$AM$32)*1</f>
        <v>17.138874075124019</v>
      </c>
      <c r="Z364" s="6"/>
      <c r="AA364" s="6"/>
      <c r="AB364" s="6">
        <f t="shared" si="22"/>
        <v>0</v>
      </c>
      <c r="AC364" s="6">
        <f t="shared" si="23"/>
        <v>0</v>
      </c>
      <c r="AD364" s="6">
        <f t="shared" ca="1" si="24"/>
        <v>0</v>
      </c>
      <c r="AE364" s="6">
        <f t="shared" si="25"/>
        <v>0</v>
      </c>
      <c r="AF364" s="4" t="s">
        <v>1112</v>
      </c>
    </row>
    <row r="365" spans="1:32" ht="11.25" customHeight="1" x14ac:dyDescent="0.25">
      <c r="A365" s="4" t="s">
        <v>21</v>
      </c>
      <c r="B365" s="4" t="s">
        <v>41</v>
      </c>
      <c r="C365" s="4" t="s">
        <v>64</v>
      </c>
      <c r="D365" s="4" t="s">
        <v>25</v>
      </c>
      <c r="E365" s="4" t="s">
        <v>25</v>
      </c>
      <c r="F365" s="4" t="s">
        <v>25</v>
      </c>
      <c r="G365" s="4" t="s">
        <v>78</v>
      </c>
      <c r="H365" s="4" t="s">
        <v>25</v>
      </c>
      <c r="I365" s="5">
        <v>44501</v>
      </c>
      <c r="J365" s="6">
        <v>6460</v>
      </c>
      <c r="K365" s="6">
        <v>6460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4" t="s">
        <v>66</v>
      </c>
      <c r="R365" s="4">
        <v>1533</v>
      </c>
      <c r="S365" s="4">
        <v>28</v>
      </c>
      <c r="T365" s="4">
        <v>0</v>
      </c>
      <c r="U365" s="4">
        <v>0</v>
      </c>
      <c r="V365" s="6">
        <f>IF(ISERROR(VLOOKUP($S$365,'TAR FIN'!$A$1:$O$116,15,0)),0,VLOOKUP($S$365,'TAR FIN'!$A$1:$O$116,15,0))</f>
        <v>15.24</v>
      </c>
      <c r="W365" s="6">
        <f>IF(ISERROR(VLOOKUP($T$365,'TAR FIN'!$A$1:$O$116,15,0)),0,VLOOKUP($T$365,'TAR FIN'!$A$1:$O$116,15,0))</f>
        <v>0</v>
      </c>
      <c r="X365" s="6">
        <f>IF(ISERROR(VLOOKUP($U$365,'TAR FIN'!$A$1:$O$116,15,0)),0,VLOOKUP($U$365,'TAR FIN'!$A$1:$O$116,15,0))</f>
        <v>0</v>
      </c>
      <c r="Y365" s="6">
        <f ca="1">('TUSD BE'!$AM$32+'TUSD BF'!$AM$32+'TUSD CVA'!$AM$32)*1</f>
        <v>17.138874075124019</v>
      </c>
      <c r="Z365" s="6"/>
      <c r="AA365" s="6"/>
      <c r="AB365" s="6">
        <f t="shared" si="22"/>
        <v>0</v>
      </c>
      <c r="AC365" s="6">
        <f t="shared" si="23"/>
        <v>0</v>
      </c>
      <c r="AD365" s="6">
        <f t="shared" ca="1" si="24"/>
        <v>0</v>
      </c>
      <c r="AE365" s="6">
        <f t="shared" si="25"/>
        <v>0</v>
      </c>
      <c r="AF365" s="4" t="s">
        <v>1112</v>
      </c>
    </row>
    <row r="366" spans="1:32" ht="11.25" customHeight="1" x14ac:dyDescent="0.25">
      <c r="A366" s="4" t="s">
        <v>21</v>
      </c>
      <c r="B366" s="4" t="s">
        <v>41</v>
      </c>
      <c r="C366" s="4" t="s">
        <v>64</v>
      </c>
      <c r="D366" s="4" t="s">
        <v>25</v>
      </c>
      <c r="E366" s="4" t="s">
        <v>25</v>
      </c>
      <c r="F366" s="4" t="s">
        <v>25</v>
      </c>
      <c r="G366" s="4" t="s">
        <v>79</v>
      </c>
      <c r="H366" s="4" t="s">
        <v>25</v>
      </c>
      <c r="I366" s="5">
        <v>44501</v>
      </c>
      <c r="J366" s="6">
        <v>770</v>
      </c>
      <c r="K366" s="6">
        <v>770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4" t="s">
        <v>66</v>
      </c>
      <c r="R366" s="4">
        <v>2535</v>
      </c>
      <c r="S366" s="4">
        <v>28</v>
      </c>
      <c r="T366" s="4">
        <v>0</v>
      </c>
      <c r="U366" s="4">
        <v>0</v>
      </c>
      <c r="V366" s="6">
        <f>IF(ISERROR(VLOOKUP($S$366,'TAR FIN'!$A$1:$O$116,15,0)),0,VLOOKUP($S$366,'TAR FIN'!$A$1:$O$116,15,0))</f>
        <v>15.24</v>
      </c>
      <c r="W366" s="6">
        <f>IF(ISERROR(VLOOKUP($T$366,'TAR FIN'!$A$1:$O$116,15,0)),0,VLOOKUP($T$366,'TAR FIN'!$A$1:$O$116,15,0))</f>
        <v>0</v>
      </c>
      <c r="X366" s="6">
        <f>IF(ISERROR(VLOOKUP($U$366,'TAR FIN'!$A$1:$O$116,15,0)),0,VLOOKUP($U$366,'TAR FIN'!$A$1:$O$116,15,0))</f>
        <v>0</v>
      </c>
      <c r="Y366" s="6">
        <f ca="1">('TUSD BE'!$AM$32+'TUSD BF'!$AM$32+'TUSD CVA'!$AM$32)*1</f>
        <v>17.138874075124019</v>
      </c>
      <c r="Z366" s="6"/>
      <c r="AA366" s="6"/>
      <c r="AB366" s="6">
        <f t="shared" si="22"/>
        <v>0</v>
      </c>
      <c r="AC366" s="6">
        <f t="shared" si="23"/>
        <v>0</v>
      </c>
      <c r="AD366" s="6">
        <f t="shared" ca="1" si="24"/>
        <v>0</v>
      </c>
      <c r="AE366" s="6">
        <f t="shared" si="25"/>
        <v>0</v>
      </c>
      <c r="AF366" s="4" t="s">
        <v>1112</v>
      </c>
    </row>
    <row r="367" spans="1:32" ht="11.25" customHeight="1" x14ac:dyDescent="0.25">
      <c r="A367" s="4" t="s">
        <v>21</v>
      </c>
      <c r="B367" s="4" t="s">
        <v>41</v>
      </c>
      <c r="C367" s="4" t="s">
        <v>64</v>
      </c>
      <c r="D367" s="4" t="s">
        <v>25</v>
      </c>
      <c r="E367" s="4" t="s">
        <v>25</v>
      </c>
      <c r="F367" s="4" t="s">
        <v>25</v>
      </c>
      <c r="G367" s="4" t="s">
        <v>80</v>
      </c>
      <c r="H367" s="4" t="s">
        <v>25</v>
      </c>
      <c r="I367" s="5">
        <v>44501</v>
      </c>
      <c r="J367" s="6">
        <v>1416</v>
      </c>
      <c r="K367" s="6">
        <v>1416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4" t="s">
        <v>66</v>
      </c>
      <c r="R367" s="4">
        <v>2751</v>
      </c>
      <c r="S367" s="4">
        <v>28</v>
      </c>
      <c r="T367" s="4">
        <v>0</v>
      </c>
      <c r="U367" s="4">
        <v>0</v>
      </c>
      <c r="V367" s="6">
        <f>IF(ISERROR(VLOOKUP($S$367,'TAR FIN'!$A$1:$O$116,15,0)),0,VLOOKUP($S$367,'TAR FIN'!$A$1:$O$116,15,0))</f>
        <v>15.24</v>
      </c>
      <c r="W367" s="6">
        <f>IF(ISERROR(VLOOKUP($T$367,'TAR FIN'!$A$1:$O$116,15,0)),0,VLOOKUP($T$367,'TAR FIN'!$A$1:$O$116,15,0))</f>
        <v>0</v>
      </c>
      <c r="X367" s="6">
        <f>IF(ISERROR(VLOOKUP($U$367,'TAR FIN'!$A$1:$O$116,15,0)),0,VLOOKUP($U$367,'TAR FIN'!$A$1:$O$116,15,0))</f>
        <v>0</v>
      </c>
      <c r="Y367" s="6">
        <f ca="1">('TUSD BE'!$AM$32+'TUSD BF'!$AM$32+'TUSD CVA'!$AM$32)*1</f>
        <v>17.138874075124019</v>
      </c>
      <c r="Z367" s="6"/>
      <c r="AA367" s="6"/>
      <c r="AB367" s="6">
        <f t="shared" si="22"/>
        <v>0</v>
      </c>
      <c r="AC367" s="6">
        <f t="shared" si="23"/>
        <v>0</v>
      </c>
      <c r="AD367" s="6">
        <f t="shared" ca="1" si="24"/>
        <v>0</v>
      </c>
      <c r="AE367" s="6">
        <f t="shared" si="25"/>
        <v>0</v>
      </c>
      <c r="AF367" s="4" t="s">
        <v>1112</v>
      </c>
    </row>
    <row r="368" spans="1:32" ht="11.25" customHeight="1" x14ac:dyDescent="0.25">
      <c r="A368" s="4" t="s">
        <v>21</v>
      </c>
      <c r="B368" s="4" t="s">
        <v>41</v>
      </c>
      <c r="C368" s="4" t="s">
        <v>64</v>
      </c>
      <c r="D368" s="4" t="s">
        <v>25</v>
      </c>
      <c r="E368" s="4" t="s">
        <v>25</v>
      </c>
      <c r="F368" s="4" t="s">
        <v>25</v>
      </c>
      <c r="G368" s="4" t="s">
        <v>88</v>
      </c>
      <c r="H368" s="4" t="s">
        <v>25</v>
      </c>
      <c r="I368" s="5">
        <v>44501</v>
      </c>
      <c r="J368" s="6">
        <v>9500</v>
      </c>
      <c r="K368" s="6">
        <v>4750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4" t="s">
        <v>66</v>
      </c>
      <c r="R368" s="4">
        <v>27722</v>
      </c>
      <c r="S368" s="4">
        <v>28</v>
      </c>
      <c r="T368" s="4">
        <v>0</v>
      </c>
      <c r="U368" s="4">
        <v>0</v>
      </c>
      <c r="V368" s="6">
        <f>IF(ISERROR(VLOOKUP($S$368,'TAR FIN'!$A$1:$O$116,15,0)),0,VLOOKUP($S$368,'TAR FIN'!$A$1:$O$116,15,0))</f>
        <v>15.24</v>
      </c>
      <c r="W368" s="6">
        <f>IF(ISERROR(VLOOKUP($T$368,'TAR FIN'!$A$1:$O$116,15,0)),0,VLOOKUP($T$368,'TAR FIN'!$A$1:$O$116,15,0))</f>
        <v>0</v>
      </c>
      <c r="X368" s="6">
        <f>IF(ISERROR(VLOOKUP($U$368,'TAR FIN'!$A$1:$O$116,15,0)),0,VLOOKUP($U$368,'TAR FIN'!$A$1:$O$116,15,0))</f>
        <v>0</v>
      </c>
      <c r="Y368" s="6">
        <f ca="1">('TUSD BE'!$AM$32+'TUSD BF'!$AM$32+'TUSD CVA'!$AM$32)*1</f>
        <v>17.138874075124019</v>
      </c>
      <c r="Z368" s="6"/>
      <c r="AA368" s="6"/>
      <c r="AB368" s="6">
        <f t="shared" si="22"/>
        <v>72390</v>
      </c>
      <c r="AC368" s="6">
        <f t="shared" si="23"/>
        <v>0</v>
      </c>
      <c r="AD368" s="6">
        <f t="shared" ca="1" si="24"/>
        <v>81409.651856839089</v>
      </c>
      <c r="AE368" s="6">
        <f t="shared" si="25"/>
        <v>0</v>
      </c>
      <c r="AF368" s="4" t="s">
        <v>1112</v>
      </c>
    </row>
    <row r="369" spans="1:32" ht="11.25" customHeight="1" x14ac:dyDescent="0.25">
      <c r="A369" s="4" t="s">
        <v>21</v>
      </c>
      <c r="B369" s="4" t="s">
        <v>41</v>
      </c>
      <c r="C369" s="4" t="s">
        <v>64</v>
      </c>
      <c r="D369" s="4" t="s">
        <v>25</v>
      </c>
      <c r="E369" s="4" t="s">
        <v>25</v>
      </c>
      <c r="F369" s="4" t="s">
        <v>25</v>
      </c>
      <c r="G369" s="4" t="s">
        <v>90</v>
      </c>
      <c r="H369" s="4" t="s">
        <v>25</v>
      </c>
      <c r="I369" s="5">
        <v>44501</v>
      </c>
      <c r="J369" s="6">
        <v>420</v>
      </c>
      <c r="K369" s="6">
        <v>420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4" t="s">
        <v>66</v>
      </c>
      <c r="R369" s="4">
        <v>27928</v>
      </c>
      <c r="S369" s="4">
        <v>28</v>
      </c>
      <c r="T369" s="4">
        <v>0</v>
      </c>
      <c r="U369" s="4">
        <v>0</v>
      </c>
      <c r="V369" s="6">
        <f>IF(ISERROR(VLOOKUP($S$369,'TAR FIN'!$A$1:$O$116,15,0)),0,VLOOKUP($S$369,'TAR FIN'!$A$1:$O$116,15,0))</f>
        <v>15.24</v>
      </c>
      <c r="W369" s="6">
        <f>IF(ISERROR(VLOOKUP($T$369,'TAR FIN'!$A$1:$O$116,15,0)),0,VLOOKUP($T$369,'TAR FIN'!$A$1:$O$116,15,0))</f>
        <v>0</v>
      </c>
      <c r="X369" s="6">
        <f>IF(ISERROR(VLOOKUP($U$369,'TAR FIN'!$A$1:$O$116,15,0)),0,VLOOKUP($U$369,'TAR FIN'!$A$1:$O$116,15,0))</f>
        <v>0</v>
      </c>
      <c r="Y369" s="6">
        <f ca="1">('TUSD BE'!$AM$32+'TUSD BF'!$AM$32+'TUSD CVA'!$AM$32)*1</f>
        <v>17.138874075124019</v>
      </c>
      <c r="Z369" s="6"/>
      <c r="AA369" s="6"/>
      <c r="AB369" s="6">
        <f t="shared" si="22"/>
        <v>0</v>
      </c>
      <c r="AC369" s="6">
        <f t="shared" si="23"/>
        <v>0</v>
      </c>
      <c r="AD369" s="6">
        <f t="shared" ca="1" si="24"/>
        <v>0</v>
      </c>
      <c r="AE369" s="6">
        <f t="shared" si="25"/>
        <v>0</v>
      </c>
      <c r="AF369" s="4" t="s">
        <v>1112</v>
      </c>
    </row>
    <row r="370" spans="1:32" ht="11.25" customHeight="1" x14ac:dyDescent="0.25">
      <c r="A370" s="4" t="s">
        <v>21</v>
      </c>
      <c r="B370" s="4" t="s">
        <v>41</v>
      </c>
      <c r="C370" s="4" t="s">
        <v>64</v>
      </c>
      <c r="D370" s="4" t="s">
        <v>25</v>
      </c>
      <c r="E370" s="4" t="s">
        <v>25</v>
      </c>
      <c r="F370" s="4" t="s">
        <v>25</v>
      </c>
      <c r="G370" s="4" t="s">
        <v>93</v>
      </c>
      <c r="H370" s="4" t="s">
        <v>25</v>
      </c>
      <c r="I370" s="5">
        <v>44501</v>
      </c>
      <c r="J370" s="6">
        <v>1300</v>
      </c>
      <c r="K370" s="6">
        <v>650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4" t="s">
        <v>66</v>
      </c>
      <c r="R370" s="4">
        <v>30847</v>
      </c>
      <c r="S370" s="4">
        <v>28</v>
      </c>
      <c r="T370" s="4">
        <v>0</v>
      </c>
      <c r="U370" s="4">
        <v>0</v>
      </c>
      <c r="V370" s="6">
        <f>IF(ISERROR(VLOOKUP($S$370,'TAR FIN'!$A$1:$O$116,15,0)),0,VLOOKUP($S$370,'TAR FIN'!$A$1:$O$116,15,0))</f>
        <v>15.24</v>
      </c>
      <c r="W370" s="6">
        <f>IF(ISERROR(VLOOKUP($T$370,'TAR FIN'!$A$1:$O$116,15,0)),0,VLOOKUP($T$370,'TAR FIN'!$A$1:$O$116,15,0))</f>
        <v>0</v>
      </c>
      <c r="X370" s="6">
        <f>IF(ISERROR(VLOOKUP($U$370,'TAR FIN'!$A$1:$O$116,15,0)),0,VLOOKUP($U$370,'TAR FIN'!$A$1:$O$116,15,0))</f>
        <v>0</v>
      </c>
      <c r="Y370" s="6">
        <f ca="1">('TUSD BE'!$AM$32+'TUSD BF'!$AM$32+'TUSD CVA'!$AM$32)*1</f>
        <v>17.138874075124019</v>
      </c>
      <c r="Z370" s="6"/>
      <c r="AA370" s="6"/>
      <c r="AB370" s="6">
        <f t="shared" si="22"/>
        <v>9906</v>
      </c>
      <c r="AC370" s="6">
        <f t="shared" si="23"/>
        <v>0</v>
      </c>
      <c r="AD370" s="6">
        <f t="shared" ca="1" si="24"/>
        <v>11140.268148830612</v>
      </c>
      <c r="AE370" s="6">
        <f t="shared" si="25"/>
        <v>0</v>
      </c>
      <c r="AF370" s="4" t="s">
        <v>1112</v>
      </c>
    </row>
    <row r="371" spans="1:32" ht="11.25" customHeight="1" x14ac:dyDescent="0.25">
      <c r="A371" s="4" t="s">
        <v>21</v>
      </c>
      <c r="B371" s="4" t="s">
        <v>41</v>
      </c>
      <c r="C371" s="4" t="s">
        <v>64</v>
      </c>
      <c r="D371" s="4" t="s">
        <v>25</v>
      </c>
      <c r="E371" s="4" t="s">
        <v>25</v>
      </c>
      <c r="F371" s="4" t="s">
        <v>25</v>
      </c>
      <c r="G371" s="4" t="s">
        <v>94</v>
      </c>
      <c r="H371" s="4" t="s">
        <v>25</v>
      </c>
      <c r="I371" s="5">
        <v>44501</v>
      </c>
      <c r="J371" s="6">
        <v>1180</v>
      </c>
      <c r="K371" s="6">
        <v>590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4" t="s">
        <v>66</v>
      </c>
      <c r="R371" s="4">
        <v>30866</v>
      </c>
      <c r="S371" s="4">
        <v>28</v>
      </c>
      <c r="T371" s="4">
        <v>0</v>
      </c>
      <c r="U371" s="4">
        <v>0</v>
      </c>
      <c r="V371" s="6">
        <f>IF(ISERROR(VLOOKUP($S$371,'TAR FIN'!$A$1:$O$116,15,0)),0,VLOOKUP($S$371,'TAR FIN'!$A$1:$O$116,15,0))</f>
        <v>15.24</v>
      </c>
      <c r="W371" s="6">
        <f>IF(ISERROR(VLOOKUP($T$371,'TAR FIN'!$A$1:$O$116,15,0)),0,VLOOKUP($T$371,'TAR FIN'!$A$1:$O$116,15,0))</f>
        <v>0</v>
      </c>
      <c r="X371" s="6">
        <f>IF(ISERROR(VLOOKUP($U$371,'TAR FIN'!$A$1:$O$116,15,0)),0,VLOOKUP($U$371,'TAR FIN'!$A$1:$O$116,15,0))</f>
        <v>0</v>
      </c>
      <c r="Y371" s="6">
        <f ca="1">('TUSD BE'!$AM$32+'TUSD BF'!$AM$32+'TUSD CVA'!$AM$32)*1</f>
        <v>17.138874075124019</v>
      </c>
      <c r="Z371" s="6"/>
      <c r="AA371" s="6"/>
      <c r="AB371" s="6">
        <f t="shared" si="22"/>
        <v>8991.6</v>
      </c>
      <c r="AC371" s="6">
        <f t="shared" si="23"/>
        <v>0</v>
      </c>
      <c r="AD371" s="6">
        <f t="shared" ca="1" si="24"/>
        <v>10111.93570432317</v>
      </c>
      <c r="AE371" s="6">
        <f t="shared" si="25"/>
        <v>0</v>
      </c>
      <c r="AF371" s="4" t="s">
        <v>1112</v>
      </c>
    </row>
    <row r="372" spans="1:32" ht="11.25" customHeight="1" x14ac:dyDescent="0.25">
      <c r="A372" s="4" t="s">
        <v>21</v>
      </c>
      <c r="B372" s="4" t="s">
        <v>41</v>
      </c>
      <c r="C372" s="4" t="s">
        <v>64</v>
      </c>
      <c r="D372" s="4" t="s">
        <v>25</v>
      </c>
      <c r="E372" s="4" t="s">
        <v>25</v>
      </c>
      <c r="F372" s="4" t="s">
        <v>25</v>
      </c>
      <c r="G372" s="4" t="s">
        <v>95</v>
      </c>
      <c r="H372" s="4" t="s">
        <v>25</v>
      </c>
      <c r="I372" s="5">
        <v>44501</v>
      </c>
      <c r="J372" s="6">
        <v>1180</v>
      </c>
      <c r="K372" s="6">
        <v>590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4" t="s">
        <v>66</v>
      </c>
      <c r="R372" s="4">
        <v>31051</v>
      </c>
      <c r="S372" s="4">
        <v>28</v>
      </c>
      <c r="T372" s="4">
        <v>0</v>
      </c>
      <c r="U372" s="4">
        <v>0</v>
      </c>
      <c r="V372" s="6">
        <f>IF(ISERROR(VLOOKUP($S$372,'TAR FIN'!$A$1:$O$116,15,0)),0,VLOOKUP($S$372,'TAR FIN'!$A$1:$O$116,15,0))</f>
        <v>15.24</v>
      </c>
      <c r="W372" s="6">
        <f>IF(ISERROR(VLOOKUP($T$372,'TAR FIN'!$A$1:$O$116,15,0)),0,VLOOKUP($T$372,'TAR FIN'!$A$1:$O$116,15,0))</f>
        <v>0</v>
      </c>
      <c r="X372" s="6">
        <f>IF(ISERROR(VLOOKUP($U$372,'TAR FIN'!$A$1:$O$116,15,0)),0,VLOOKUP($U$372,'TAR FIN'!$A$1:$O$116,15,0))</f>
        <v>0</v>
      </c>
      <c r="Y372" s="6">
        <f ca="1">('TUSD BE'!$AM$32+'TUSD BF'!$AM$32+'TUSD CVA'!$AM$32)*1</f>
        <v>17.138874075124019</v>
      </c>
      <c r="Z372" s="6"/>
      <c r="AA372" s="6"/>
      <c r="AB372" s="6">
        <f t="shared" si="22"/>
        <v>8991.6</v>
      </c>
      <c r="AC372" s="6">
        <f t="shared" si="23"/>
        <v>0</v>
      </c>
      <c r="AD372" s="6">
        <f t="shared" ca="1" si="24"/>
        <v>10111.93570432317</v>
      </c>
      <c r="AE372" s="6">
        <f t="shared" si="25"/>
        <v>0</v>
      </c>
      <c r="AF372" s="4" t="s">
        <v>1112</v>
      </c>
    </row>
    <row r="373" spans="1:32" ht="11.25" customHeight="1" x14ac:dyDescent="0.25">
      <c r="A373" s="4" t="s">
        <v>21</v>
      </c>
      <c r="B373" s="4" t="s">
        <v>41</v>
      </c>
      <c r="C373" s="4" t="s">
        <v>64</v>
      </c>
      <c r="D373" s="4" t="s">
        <v>25</v>
      </c>
      <c r="E373" s="4" t="s">
        <v>25</v>
      </c>
      <c r="F373" s="4" t="s">
        <v>25</v>
      </c>
      <c r="G373" s="4" t="s">
        <v>96</v>
      </c>
      <c r="H373" s="4" t="s">
        <v>25</v>
      </c>
      <c r="I373" s="5">
        <v>44501</v>
      </c>
      <c r="J373" s="6">
        <v>1000</v>
      </c>
      <c r="K373" s="6">
        <v>500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4" t="s">
        <v>66</v>
      </c>
      <c r="R373" s="4">
        <v>31277</v>
      </c>
      <c r="S373" s="4">
        <v>28</v>
      </c>
      <c r="T373" s="4">
        <v>0</v>
      </c>
      <c r="U373" s="4">
        <v>0</v>
      </c>
      <c r="V373" s="6">
        <f>IF(ISERROR(VLOOKUP($S$373,'TAR FIN'!$A$1:$O$116,15,0)),0,VLOOKUP($S$373,'TAR FIN'!$A$1:$O$116,15,0))</f>
        <v>15.24</v>
      </c>
      <c r="W373" s="6">
        <f>IF(ISERROR(VLOOKUP($T$373,'TAR FIN'!$A$1:$O$116,15,0)),0,VLOOKUP($T$373,'TAR FIN'!$A$1:$O$116,15,0))</f>
        <v>0</v>
      </c>
      <c r="X373" s="6">
        <f>IF(ISERROR(VLOOKUP($U$373,'TAR FIN'!$A$1:$O$116,15,0)),0,VLOOKUP($U$373,'TAR FIN'!$A$1:$O$116,15,0))</f>
        <v>0</v>
      </c>
      <c r="Y373" s="6">
        <f ca="1">('TUSD BE'!$AM$32+'TUSD BF'!$AM$32+'TUSD CVA'!$AM$32)*1</f>
        <v>17.138874075124019</v>
      </c>
      <c r="Z373" s="6"/>
      <c r="AA373" s="6"/>
      <c r="AB373" s="6">
        <f t="shared" si="22"/>
        <v>7620</v>
      </c>
      <c r="AC373" s="6">
        <f t="shared" si="23"/>
        <v>0</v>
      </c>
      <c r="AD373" s="6">
        <f t="shared" ca="1" si="24"/>
        <v>8569.4370375620092</v>
      </c>
      <c r="AE373" s="6">
        <f t="shared" si="25"/>
        <v>0</v>
      </c>
      <c r="AF373" s="4" t="s">
        <v>1112</v>
      </c>
    </row>
    <row r="374" spans="1:32" ht="11.25" customHeight="1" x14ac:dyDescent="0.25">
      <c r="A374" s="4" t="s">
        <v>21</v>
      </c>
      <c r="B374" s="4" t="s">
        <v>41</v>
      </c>
      <c r="C374" s="4" t="s">
        <v>64</v>
      </c>
      <c r="D374" s="4" t="s">
        <v>25</v>
      </c>
      <c r="E374" s="4" t="s">
        <v>25</v>
      </c>
      <c r="F374" s="4" t="s">
        <v>25</v>
      </c>
      <c r="G374" s="4" t="s">
        <v>97</v>
      </c>
      <c r="H374" s="4" t="s">
        <v>25</v>
      </c>
      <c r="I374" s="5">
        <v>44501</v>
      </c>
      <c r="J374" s="6">
        <v>1180</v>
      </c>
      <c r="K374" s="6">
        <v>590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4" t="s">
        <v>66</v>
      </c>
      <c r="R374" s="4">
        <v>31318</v>
      </c>
      <c r="S374" s="4">
        <v>28</v>
      </c>
      <c r="T374" s="4">
        <v>0</v>
      </c>
      <c r="U374" s="4">
        <v>0</v>
      </c>
      <c r="V374" s="6">
        <f>IF(ISERROR(VLOOKUP($S$374,'TAR FIN'!$A$1:$O$116,15,0)),0,VLOOKUP($S$374,'TAR FIN'!$A$1:$O$116,15,0))</f>
        <v>15.24</v>
      </c>
      <c r="W374" s="6">
        <f>IF(ISERROR(VLOOKUP($T$374,'TAR FIN'!$A$1:$O$116,15,0)),0,VLOOKUP($T$374,'TAR FIN'!$A$1:$O$116,15,0))</f>
        <v>0</v>
      </c>
      <c r="X374" s="6">
        <f>IF(ISERROR(VLOOKUP($U$374,'TAR FIN'!$A$1:$O$116,15,0)),0,VLOOKUP($U$374,'TAR FIN'!$A$1:$O$116,15,0))</f>
        <v>0</v>
      </c>
      <c r="Y374" s="6">
        <f ca="1">('TUSD BE'!$AM$32+'TUSD BF'!$AM$32+'TUSD CVA'!$AM$32)*1</f>
        <v>17.138874075124019</v>
      </c>
      <c r="Z374" s="6"/>
      <c r="AA374" s="6"/>
      <c r="AB374" s="6">
        <f t="shared" si="22"/>
        <v>8991.6</v>
      </c>
      <c r="AC374" s="6">
        <f t="shared" si="23"/>
        <v>0</v>
      </c>
      <c r="AD374" s="6">
        <f t="shared" ca="1" si="24"/>
        <v>10111.93570432317</v>
      </c>
      <c r="AE374" s="6">
        <f t="shared" si="25"/>
        <v>0</v>
      </c>
      <c r="AF374" s="4" t="s">
        <v>1112</v>
      </c>
    </row>
    <row r="375" spans="1:32" ht="11.25" customHeight="1" x14ac:dyDescent="0.25">
      <c r="A375" s="4" t="s">
        <v>21</v>
      </c>
      <c r="B375" s="4" t="s">
        <v>41</v>
      </c>
      <c r="C375" s="4" t="s">
        <v>64</v>
      </c>
      <c r="D375" s="4" t="s">
        <v>25</v>
      </c>
      <c r="E375" s="4" t="s">
        <v>25</v>
      </c>
      <c r="F375" s="4" t="s">
        <v>25</v>
      </c>
      <c r="G375" s="4" t="s">
        <v>98</v>
      </c>
      <c r="H375" s="4" t="s">
        <v>25</v>
      </c>
      <c r="I375" s="5">
        <v>44501</v>
      </c>
      <c r="J375" s="6">
        <v>3000</v>
      </c>
      <c r="K375" s="6">
        <v>1500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4" t="s">
        <v>66</v>
      </c>
      <c r="R375" s="4">
        <v>31334</v>
      </c>
      <c r="S375" s="4">
        <v>28</v>
      </c>
      <c r="T375" s="4">
        <v>0</v>
      </c>
      <c r="U375" s="4">
        <v>0</v>
      </c>
      <c r="V375" s="6">
        <f>IF(ISERROR(VLOOKUP($S$375,'TAR FIN'!$A$1:$O$116,15,0)),0,VLOOKUP($S$375,'TAR FIN'!$A$1:$O$116,15,0))</f>
        <v>15.24</v>
      </c>
      <c r="W375" s="6">
        <f>IF(ISERROR(VLOOKUP($T$375,'TAR FIN'!$A$1:$O$116,15,0)),0,VLOOKUP($T$375,'TAR FIN'!$A$1:$O$116,15,0))</f>
        <v>0</v>
      </c>
      <c r="X375" s="6">
        <f>IF(ISERROR(VLOOKUP($U$375,'TAR FIN'!$A$1:$O$116,15,0)),0,VLOOKUP($U$375,'TAR FIN'!$A$1:$O$116,15,0))</f>
        <v>0</v>
      </c>
      <c r="Y375" s="6">
        <f ca="1">('TUSD BE'!$AM$32+'TUSD BF'!$AM$32+'TUSD CVA'!$AM$32)*1</f>
        <v>17.138874075124019</v>
      </c>
      <c r="Z375" s="6"/>
      <c r="AA375" s="6"/>
      <c r="AB375" s="6">
        <f t="shared" si="22"/>
        <v>22860</v>
      </c>
      <c r="AC375" s="6">
        <f t="shared" si="23"/>
        <v>0</v>
      </c>
      <c r="AD375" s="6">
        <f t="shared" ca="1" si="24"/>
        <v>25708.311112686028</v>
      </c>
      <c r="AE375" s="6">
        <f t="shared" si="25"/>
        <v>0</v>
      </c>
      <c r="AF375" s="4" t="s">
        <v>1112</v>
      </c>
    </row>
    <row r="376" spans="1:32" ht="11.25" customHeight="1" x14ac:dyDescent="0.25">
      <c r="A376" s="4" t="s">
        <v>21</v>
      </c>
      <c r="B376" s="4" t="s">
        <v>41</v>
      </c>
      <c r="C376" s="4" t="s">
        <v>64</v>
      </c>
      <c r="D376" s="4" t="s">
        <v>25</v>
      </c>
      <c r="E376" s="4" t="s">
        <v>25</v>
      </c>
      <c r="F376" s="4" t="s">
        <v>25</v>
      </c>
      <c r="G376" s="4" t="s">
        <v>99</v>
      </c>
      <c r="H376" s="4" t="s">
        <v>25</v>
      </c>
      <c r="I376" s="5">
        <v>44501</v>
      </c>
      <c r="J376" s="6">
        <v>1180</v>
      </c>
      <c r="K376" s="6">
        <v>590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4" t="s">
        <v>66</v>
      </c>
      <c r="R376" s="4">
        <v>31618</v>
      </c>
      <c r="S376" s="4">
        <v>28</v>
      </c>
      <c r="T376" s="4">
        <v>0</v>
      </c>
      <c r="U376" s="4">
        <v>0</v>
      </c>
      <c r="V376" s="6">
        <f>IF(ISERROR(VLOOKUP($S$376,'TAR FIN'!$A$1:$O$116,15,0)),0,VLOOKUP($S$376,'TAR FIN'!$A$1:$O$116,15,0))</f>
        <v>15.24</v>
      </c>
      <c r="W376" s="6">
        <f>IF(ISERROR(VLOOKUP($T$376,'TAR FIN'!$A$1:$O$116,15,0)),0,VLOOKUP($T$376,'TAR FIN'!$A$1:$O$116,15,0))</f>
        <v>0</v>
      </c>
      <c r="X376" s="6">
        <f>IF(ISERROR(VLOOKUP($U$376,'TAR FIN'!$A$1:$O$116,15,0)),0,VLOOKUP($U$376,'TAR FIN'!$A$1:$O$116,15,0))</f>
        <v>0</v>
      </c>
      <c r="Y376" s="6">
        <f ca="1">('TUSD BE'!$AM$32+'TUSD BF'!$AM$32+'TUSD CVA'!$AM$32)*1</f>
        <v>17.138874075124019</v>
      </c>
      <c r="Z376" s="6"/>
      <c r="AA376" s="6"/>
      <c r="AB376" s="6">
        <f t="shared" si="22"/>
        <v>8991.6</v>
      </c>
      <c r="AC376" s="6">
        <f t="shared" si="23"/>
        <v>0</v>
      </c>
      <c r="AD376" s="6">
        <f t="shared" ca="1" si="24"/>
        <v>10111.93570432317</v>
      </c>
      <c r="AE376" s="6">
        <f t="shared" si="25"/>
        <v>0</v>
      </c>
      <c r="AF376" s="4" t="s">
        <v>1112</v>
      </c>
    </row>
    <row r="377" spans="1:32" ht="11.25" customHeight="1" x14ac:dyDescent="0.25">
      <c r="A377" s="4" t="s">
        <v>21</v>
      </c>
      <c r="B377" s="4" t="s">
        <v>41</v>
      </c>
      <c r="C377" s="4" t="s">
        <v>64</v>
      </c>
      <c r="D377" s="4" t="s">
        <v>25</v>
      </c>
      <c r="E377" s="4" t="s">
        <v>25</v>
      </c>
      <c r="F377" s="4" t="s">
        <v>25</v>
      </c>
      <c r="G377" s="4" t="s">
        <v>100</v>
      </c>
      <c r="H377" s="4" t="s">
        <v>25</v>
      </c>
      <c r="I377" s="5">
        <v>44501</v>
      </c>
      <c r="J377" s="6">
        <v>1180</v>
      </c>
      <c r="K377" s="6">
        <v>590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4" t="s">
        <v>66</v>
      </c>
      <c r="R377" s="4">
        <v>31677</v>
      </c>
      <c r="S377" s="4">
        <v>28</v>
      </c>
      <c r="T377" s="4">
        <v>0</v>
      </c>
      <c r="U377" s="4">
        <v>0</v>
      </c>
      <c r="V377" s="6">
        <f>IF(ISERROR(VLOOKUP($S$377,'TAR FIN'!$A$1:$O$116,15,0)),0,VLOOKUP($S$377,'TAR FIN'!$A$1:$O$116,15,0))</f>
        <v>15.24</v>
      </c>
      <c r="W377" s="6">
        <f>IF(ISERROR(VLOOKUP($T$377,'TAR FIN'!$A$1:$O$116,15,0)),0,VLOOKUP($T$377,'TAR FIN'!$A$1:$O$116,15,0))</f>
        <v>0</v>
      </c>
      <c r="X377" s="6">
        <f>IF(ISERROR(VLOOKUP($U$377,'TAR FIN'!$A$1:$O$116,15,0)),0,VLOOKUP($U$377,'TAR FIN'!$A$1:$O$116,15,0))</f>
        <v>0</v>
      </c>
      <c r="Y377" s="6">
        <f ca="1">('TUSD BE'!$AM$32+'TUSD BF'!$AM$32+'TUSD CVA'!$AM$32)*1</f>
        <v>17.138874075124019</v>
      </c>
      <c r="Z377" s="6"/>
      <c r="AA377" s="6"/>
      <c r="AB377" s="6">
        <f t="shared" si="22"/>
        <v>8991.6</v>
      </c>
      <c r="AC377" s="6">
        <f t="shared" si="23"/>
        <v>0</v>
      </c>
      <c r="AD377" s="6">
        <f t="shared" ca="1" si="24"/>
        <v>10111.93570432317</v>
      </c>
      <c r="AE377" s="6">
        <f t="shared" si="25"/>
        <v>0</v>
      </c>
      <c r="AF377" s="4" t="s">
        <v>1112</v>
      </c>
    </row>
    <row r="378" spans="1:32" ht="11.25" customHeight="1" x14ac:dyDescent="0.25">
      <c r="A378" s="4" t="s">
        <v>21</v>
      </c>
      <c r="B378" s="4" t="s">
        <v>41</v>
      </c>
      <c r="C378" s="4" t="s">
        <v>64</v>
      </c>
      <c r="D378" s="4" t="s">
        <v>25</v>
      </c>
      <c r="E378" s="4" t="s">
        <v>25</v>
      </c>
      <c r="F378" s="4" t="s">
        <v>25</v>
      </c>
      <c r="G378" s="4" t="s">
        <v>68</v>
      </c>
      <c r="H378" s="4" t="s">
        <v>25</v>
      </c>
      <c r="I378" s="5">
        <v>44531</v>
      </c>
      <c r="J378" s="6">
        <v>302</v>
      </c>
      <c r="K378" s="6">
        <v>302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4" t="s">
        <v>66</v>
      </c>
      <c r="R378" s="4">
        <v>404</v>
      </c>
      <c r="S378" s="4">
        <v>28</v>
      </c>
      <c r="T378" s="4">
        <v>0</v>
      </c>
      <c r="U378" s="4">
        <v>0</v>
      </c>
      <c r="V378" s="6">
        <f>IF(ISERROR(VLOOKUP($S$378,'TAR FIN'!$A$1:$O$116,15,0)),0,VLOOKUP($S$378,'TAR FIN'!$A$1:$O$116,15,0))</f>
        <v>15.24</v>
      </c>
      <c r="W378" s="6">
        <f>IF(ISERROR(VLOOKUP($T$378,'TAR FIN'!$A$1:$O$116,15,0)),0,VLOOKUP($T$378,'TAR FIN'!$A$1:$O$116,15,0))</f>
        <v>0</v>
      </c>
      <c r="X378" s="6">
        <f>IF(ISERROR(VLOOKUP($U$378,'TAR FIN'!$A$1:$O$116,15,0)),0,VLOOKUP($U$378,'TAR FIN'!$A$1:$O$116,15,0))</f>
        <v>0</v>
      </c>
      <c r="Y378" s="6">
        <f ca="1">('TUSD BE'!$AM$32+'TUSD BF'!$AM$32+'TUSD CVA'!$AM$32)*1</f>
        <v>17.138874075124019</v>
      </c>
      <c r="Z378" s="6"/>
      <c r="AA378" s="6"/>
      <c r="AB378" s="6">
        <f t="shared" si="22"/>
        <v>0</v>
      </c>
      <c r="AC378" s="6">
        <f t="shared" si="23"/>
        <v>0</v>
      </c>
      <c r="AD378" s="6">
        <f t="shared" ca="1" si="24"/>
        <v>0</v>
      </c>
      <c r="AE378" s="6">
        <f t="shared" si="25"/>
        <v>0</v>
      </c>
      <c r="AF378" s="4" t="s">
        <v>1112</v>
      </c>
    </row>
    <row r="379" spans="1:32" ht="11.25" customHeight="1" x14ac:dyDescent="0.25">
      <c r="A379" s="4" t="s">
        <v>21</v>
      </c>
      <c r="B379" s="4" t="s">
        <v>41</v>
      </c>
      <c r="C379" s="4" t="s">
        <v>64</v>
      </c>
      <c r="D379" s="4" t="s">
        <v>25</v>
      </c>
      <c r="E379" s="4" t="s">
        <v>25</v>
      </c>
      <c r="F379" s="4" t="s">
        <v>25</v>
      </c>
      <c r="G379" s="4" t="s">
        <v>70</v>
      </c>
      <c r="H379" s="4" t="s">
        <v>25</v>
      </c>
      <c r="I379" s="5">
        <v>44531</v>
      </c>
      <c r="J379" s="6">
        <v>5040</v>
      </c>
      <c r="K379" s="6">
        <v>5040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4" t="s">
        <v>66</v>
      </c>
      <c r="R379" s="4">
        <v>838</v>
      </c>
      <c r="S379" s="4">
        <v>28</v>
      </c>
      <c r="T379" s="4">
        <v>0</v>
      </c>
      <c r="U379" s="4">
        <v>0</v>
      </c>
      <c r="V379" s="6">
        <f>IF(ISERROR(VLOOKUP($S$379,'TAR FIN'!$A$1:$O$116,15,0)),0,VLOOKUP($S$379,'TAR FIN'!$A$1:$O$116,15,0))</f>
        <v>15.24</v>
      </c>
      <c r="W379" s="6">
        <f>IF(ISERROR(VLOOKUP($T$379,'TAR FIN'!$A$1:$O$116,15,0)),0,VLOOKUP($T$379,'TAR FIN'!$A$1:$O$116,15,0))</f>
        <v>0</v>
      </c>
      <c r="X379" s="6">
        <f>IF(ISERROR(VLOOKUP($U$379,'TAR FIN'!$A$1:$O$116,15,0)),0,VLOOKUP($U$379,'TAR FIN'!$A$1:$O$116,15,0))</f>
        <v>0</v>
      </c>
      <c r="Y379" s="6">
        <f ca="1">('TUSD BE'!$AM$32+'TUSD BF'!$AM$32+'TUSD CVA'!$AM$32)*1</f>
        <v>17.138874075124019</v>
      </c>
      <c r="Z379" s="6"/>
      <c r="AA379" s="6"/>
      <c r="AB379" s="6">
        <f t="shared" si="22"/>
        <v>0</v>
      </c>
      <c r="AC379" s="6">
        <f t="shared" si="23"/>
        <v>0</v>
      </c>
      <c r="AD379" s="6">
        <f t="shared" ca="1" si="24"/>
        <v>0</v>
      </c>
      <c r="AE379" s="6">
        <f t="shared" si="25"/>
        <v>0</v>
      </c>
      <c r="AF379" s="4" t="s">
        <v>1112</v>
      </c>
    </row>
    <row r="380" spans="1:32" ht="11.25" customHeight="1" x14ac:dyDescent="0.25">
      <c r="A380" s="4" t="s">
        <v>21</v>
      </c>
      <c r="B380" s="4" t="s">
        <v>41</v>
      </c>
      <c r="C380" s="4" t="s">
        <v>64</v>
      </c>
      <c r="D380" s="4" t="s">
        <v>25</v>
      </c>
      <c r="E380" s="4" t="s">
        <v>25</v>
      </c>
      <c r="F380" s="4" t="s">
        <v>25</v>
      </c>
      <c r="G380" s="4" t="s">
        <v>74</v>
      </c>
      <c r="H380" s="4" t="s">
        <v>25</v>
      </c>
      <c r="I380" s="5">
        <v>44531</v>
      </c>
      <c r="J380" s="6">
        <v>3800</v>
      </c>
      <c r="K380" s="6">
        <v>1900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4" t="s">
        <v>66</v>
      </c>
      <c r="R380" s="4">
        <v>1192</v>
      </c>
      <c r="S380" s="4">
        <v>28</v>
      </c>
      <c r="T380" s="4">
        <v>0</v>
      </c>
      <c r="U380" s="4">
        <v>0</v>
      </c>
      <c r="V380" s="6">
        <f>IF(ISERROR(VLOOKUP($S$380,'TAR FIN'!$A$1:$O$116,15,0)),0,VLOOKUP($S$380,'TAR FIN'!$A$1:$O$116,15,0))</f>
        <v>15.24</v>
      </c>
      <c r="W380" s="6">
        <f>IF(ISERROR(VLOOKUP($T$380,'TAR FIN'!$A$1:$O$116,15,0)),0,VLOOKUP($T$380,'TAR FIN'!$A$1:$O$116,15,0))</f>
        <v>0</v>
      </c>
      <c r="X380" s="6">
        <f>IF(ISERROR(VLOOKUP($U$380,'TAR FIN'!$A$1:$O$116,15,0)),0,VLOOKUP($U$380,'TAR FIN'!$A$1:$O$116,15,0))</f>
        <v>0</v>
      </c>
      <c r="Y380" s="6">
        <f ca="1">('TUSD BE'!$AM$32+'TUSD BF'!$AM$32+'TUSD CVA'!$AM$32)*1</f>
        <v>17.138874075124019</v>
      </c>
      <c r="Z380" s="6"/>
      <c r="AA380" s="6"/>
      <c r="AB380" s="6">
        <f t="shared" si="22"/>
        <v>28956</v>
      </c>
      <c r="AC380" s="6">
        <f t="shared" si="23"/>
        <v>0</v>
      </c>
      <c r="AD380" s="6">
        <f t="shared" ca="1" si="24"/>
        <v>32563.860742735636</v>
      </c>
      <c r="AE380" s="6">
        <f t="shared" si="25"/>
        <v>0</v>
      </c>
      <c r="AF380" s="4" t="s">
        <v>1112</v>
      </c>
    </row>
    <row r="381" spans="1:32" ht="11.25" customHeight="1" x14ac:dyDescent="0.25">
      <c r="A381" s="4" t="s">
        <v>21</v>
      </c>
      <c r="B381" s="4" t="s">
        <v>41</v>
      </c>
      <c r="C381" s="4" t="s">
        <v>64</v>
      </c>
      <c r="D381" s="4" t="s">
        <v>25</v>
      </c>
      <c r="E381" s="4" t="s">
        <v>25</v>
      </c>
      <c r="F381" s="4" t="s">
        <v>25</v>
      </c>
      <c r="G381" s="4" t="s">
        <v>76</v>
      </c>
      <c r="H381" s="4" t="s">
        <v>25</v>
      </c>
      <c r="I381" s="5">
        <v>44531</v>
      </c>
      <c r="J381" s="6">
        <v>480</v>
      </c>
      <c r="K381" s="6">
        <v>480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4" t="s">
        <v>66</v>
      </c>
      <c r="R381" s="4">
        <v>1438</v>
      </c>
      <c r="S381" s="4">
        <v>28</v>
      </c>
      <c r="T381" s="4">
        <v>0</v>
      </c>
      <c r="U381" s="4">
        <v>0</v>
      </c>
      <c r="V381" s="6">
        <f>IF(ISERROR(VLOOKUP($S$381,'TAR FIN'!$A$1:$O$116,15,0)),0,VLOOKUP($S$381,'TAR FIN'!$A$1:$O$116,15,0))</f>
        <v>15.24</v>
      </c>
      <c r="W381" s="6">
        <f>IF(ISERROR(VLOOKUP($T$381,'TAR FIN'!$A$1:$O$116,15,0)),0,VLOOKUP($T$381,'TAR FIN'!$A$1:$O$116,15,0))</f>
        <v>0</v>
      </c>
      <c r="X381" s="6">
        <f>IF(ISERROR(VLOOKUP($U$381,'TAR FIN'!$A$1:$O$116,15,0)),0,VLOOKUP($U$381,'TAR FIN'!$A$1:$O$116,15,0))</f>
        <v>0</v>
      </c>
      <c r="Y381" s="6">
        <f ca="1">('TUSD BE'!$AM$32+'TUSD BF'!$AM$32+'TUSD CVA'!$AM$32)*1</f>
        <v>17.138874075124019</v>
      </c>
      <c r="Z381" s="6"/>
      <c r="AA381" s="6"/>
      <c r="AB381" s="6">
        <f t="shared" si="22"/>
        <v>0</v>
      </c>
      <c r="AC381" s="6">
        <f t="shared" si="23"/>
        <v>0</v>
      </c>
      <c r="AD381" s="6">
        <f t="shared" ca="1" si="24"/>
        <v>0</v>
      </c>
      <c r="AE381" s="6">
        <f t="shared" si="25"/>
        <v>0</v>
      </c>
      <c r="AF381" s="4" t="s">
        <v>1112</v>
      </c>
    </row>
    <row r="382" spans="1:32" ht="11.25" customHeight="1" x14ac:dyDescent="0.25">
      <c r="A382" s="4" t="s">
        <v>21</v>
      </c>
      <c r="B382" s="4" t="s">
        <v>41</v>
      </c>
      <c r="C382" s="4" t="s">
        <v>64</v>
      </c>
      <c r="D382" s="4" t="s">
        <v>25</v>
      </c>
      <c r="E382" s="4" t="s">
        <v>25</v>
      </c>
      <c r="F382" s="4" t="s">
        <v>25</v>
      </c>
      <c r="G382" s="4" t="s">
        <v>77</v>
      </c>
      <c r="H382" s="4" t="s">
        <v>25</v>
      </c>
      <c r="I382" s="5">
        <v>44531</v>
      </c>
      <c r="J382" s="6">
        <v>736</v>
      </c>
      <c r="K382" s="6">
        <v>736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4" t="s">
        <v>66</v>
      </c>
      <c r="R382" s="4">
        <v>1462</v>
      </c>
      <c r="S382" s="4">
        <v>28</v>
      </c>
      <c r="T382" s="4">
        <v>0</v>
      </c>
      <c r="U382" s="4">
        <v>0</v>
      </c>
      <c r="V382" s="6">
        <f>IF(ISERROR(VLOOKUP($S$382,'TAR FIN'!$A$1:$O$116,15,0)),0,VLOOKUP($S$382,'TAR FIN'!$A$1:$O$116,15,0))</f>
        <v>15.24</v>
      </c>
      <c r="W382" s="6">
        <f>IF(ISERROR(VLOOKUP($T$382,'TAR FIN'!$A$1:$O$116,15,0)),0,VLOOKUP($T$382,'TAR FIN'!$A$1:$O$116,15,0))</f>
        <v>0</v>
      </c>
      <c r="X382" s="6">
        <f>IF(ISERROR(VLOOKUP($U$382,'TAR FIN'!$A$1:$O$116,15,0)),0,VLOOKUP($U$382,'TAR FIN'!$A$1:$O$116,15,0))</f>
        <v>0</v>
      </c>
      <c r="Y382" s="6">
        <f ca="1">('TUSD BE'!$AM$32+'TUSD BF'!$AM$32+'TUSD CVA'!$AM$32)*1</f>
        <v>17.138874075124019</v>
      </c>
      <c r="Z382" s="6"/>
      <c r="AA382" s="6"/>
      <c r="AB382" s="6">
        <f t="shared" si="22"/>
        <v>0</v>
      </c>
      <c r="AC382" s="6">
        <f t="shared" si="23"/>
        <v>0</v>
      </c>
      <c r="AD382" s="6">
        <f t="shared" ca="1" si="24"/>
        <v>0</v>
      </c>
      <c r="AE382" s="6">
        <f t="shared" si="25"/>
        <v>0</v>
      </c>
      <c r="AF382" s="4" t="s">
        <v>1112</v>
      </c>
    </row>
    <row r="383" spans="1:32" ht="11.25" customHeight="1" x14ac:dyDescent="0.25">
      <c r="A383" s="4" t="s">
        <v>21</v>
      </c>
      <c r="B383" s="4" t="s">
        <v>41</v>
      </c>
      <c r="C383" s="4" t="s">
        <v>64</v>
      </c>
      <c r="D383" s="4" t="s">
        <v>25</v>
      </c>
      <c r="E383" s="4" t="s">
        <v>25</v>
      </c>
      <c r="F383" s="4" t="s">
        <v>25</v>
      </c>
      <c r="G383" s="4" t="s">
        <v>78</v>
      </c>
      <c r="H383" s="4" t="s">
        <v>25</v>
      </c>
      <c r="I383" s="5">
        <v>44531</v>
      </c>
      <c r="J383" s="6">
        <v>6460</v>
      </c>
      <c r="K383" s="6">
        <v>6460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4" t="s">
        <v>66</v>
      </c>
      <c r="R383" s="4">
        <v>1533</v>
      </c>
      <c r="S383" s="4">
        <v>28</v>
      </c>
      <c r="T383" s="4">
        <v>0</v>
      </c>
      <c r="U383" s="4">
        <v>0</v>
      </c>
      <c r="V383" s="6">
        <f>IF(ISERROR(VLOOKUP($S$383,'TAR FIN'!$A$1:$O$116,15,0)),0,VLOOKUP($S$383,'TAR FIN'!$A$1:$O$116,15,0))</f>
        <v>15.24</v>
      </c>
      <c r="W383" s="6">
        <f>IF(ISERROR(VLOOKUP($T$383,'TAR FIN'!$A$1:$O$116,15,0)),0,VLOOKUP($T$383,'TAR FIN'!$A$1:$O$116,15,0))</f>
        <v>0</v>
      </c>
      <c r="X383" s="6">
        <f>IF(ISERROR(VLOOKUP($U$383,'TAR FIN'!$A$1:$O$116,15,0)),0,VLOOKUP($U$383,'TAR FIN'!$A$1:$O$116,15,0))</f>
        <v>0</v>
      </c>
      <c r="Y383" s="6">
        <f ca="1">('TUSD BE'!$AM$32+'TUSD BF'!$AM$32+'TUSD CVA'!$AM$32)*1</f>
        <v>17.138874075124019</v>
      </c>
      <c r="Z383" s="6"/>
      <c r="AA383" s="6"/>
      <c r="AB383" s="6">
        <f t="shared" si="22"/>
        <v>0</v>
      </c>
      <c r="AC383" s="6">
        <f t="shared" si="23"/>
        <v>0</v>
      </c>
      <c r="AD383" s="6">
        <f t="shared" ca="1" si="24"/>
        <v>0</v>
      </c>
      <c r="AE383" s="6">
        <f t="shared" si="25"/>
        <v>0</v>
      </c>
      <c r="AF383" s="4" t="s">
        <v>1112</v>
      </c>
    </row>
    <row r="384" spans="1:32" ht="11.25" customHeight="1" x14ac:dyDescent="0.25">
      <c r="A384" s="4" t="s">
        <v>21</v>
      </c>
      <c r="B384" s="4" t="s">
        <v>41</v>
      </c>
      <c r="C384" s="4" t="s">
        <v>64</v>
      </c>
      <c r="D384" s="4" t="s">
        <v>25</v>
      </c>
      <c r="E384" s="4" t="s">
        <v>25</v>
      </c>
      <c r="F384" s="4" t="s">
        <v>25</v>
      </c>
      <c r="G384" s="4" t="s">
        <v>79</v>
      </c>
      <c r="H384" s="4" t="s">
        <v>25</v>
      </c>
      <c r="I384" s="5">
        <v>44531</v>
      </c>
      <c r="J384" s="6">
        <v>770</v>
      </c>
      <c r="K384" s="6">
        <v>770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4" t="s">
        <v>66</v>
      </c>
      <c r="R384" s="4">
        <v>2535</v>
      </c>
      <c r="S384" s="4">
        <v>28</v>
      </c>
      <c r="T384" s="4">
        <v>0</v>
      </c>
      <c r="U384" s="4">
        <v>0</v>
      </c>
      <c r="V384" s="6">
        <f>IF(ISERROR(VLOOKUP($S$384,'TAR FIN'!$A$1:$O$116,15,0)),0,VLOOKUP($S$384,'TAR FIN'!$A$1:$O$116,15,0))</f>
        <v>15.24</v>
      </c>
      <c r="W384" s="6">
        <f>IF(ISERROR(VLOOKUP($T$384,'TAR FIN'!$A$1:$O$116,15,0)),0,VLOOKUP($T$384,'TAR FIN'!$A$1:$O$116,15,0))</f>
        <v>0</v>
      </c>
      <c r="X384" s="6">
        <f>IF(ISERROR(VLOOKUP($U$384,'TAR FIN'!$A$1:$O$116,15,0)),0,VLOOKUP($U$384,'TAR FIN'!$A$1:$O$116,15,0))</f>
        <v>0</v>
      </c>
      <c r="Y384" s="6">
        <f ca="1">('TUSD BE'!$AM$32+'TUSD BF'!$AM$32+'TUSD CVA'!$AM$32)*1</f>
        <v>17.138874075124019</v>
      </c>
      <c r="Z384" s="6"/>
      <c r="AA384" s="6"/>
      <c r="AB384" s="6">
        <f t="shared" si="22"/>
        <v>0</v>
      </c>
      <c r="AC384" s="6">
        <f t="shared" si="23"/>
        <v>0</v>
      </c>
      <c r="AD384" s="6">
        <f t="shared" ca="1" si="24"/>
        <v>0</v>
      </c>
      <c r="AE384" s="6">
        <f t="shared" si="25"/>
        <v>0</v>
      </c>
      <c r="AF384" s="4" t="s">
        <v>1112</v>
      </c>
    </row>
    <row r="385" spans="1:32" ht="11.25" customHeight="1" x14ac:dyDescent="0.25">
      <c r="A385" s="4" t="s">
        <v>21</v>
      </c>
      <c r="B385" s="4" t="s">
        <v>41</v>
      </c>
      <c r="C385" s="4" t="s">
        <v>64</v>
      </c>
      <c r="D385" s="4" t="s">
        <v>25</v>
      </c>
      <c r="E385" s="4" t="s">
        <v>25</v>
      </c>
      <c r="F385" s="4" t="s">
        <v>25</v>
      </c>
      <c r="G385" s="4" t="s">
        <v>80</v>
      </c>
      <c r="H385" s="4" t="s">
        <v>25</v>
      </c>
      <c r="I385" s="5">
        <v>44531</v>
      </c>
      <c r="J385" s="6">
        <v>1416</v>
      </c>
      <c r="K385" s="6">
        <v>1416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4" t="s">
        <v>66</v>
      </c>
      <c r="R385" s="4">
        <v>2751</v>
      </c>
      <c r="S385" s="4">
        <v>28</v>
      </c>
      <c r="T385" s="4">
        <v>0</v>
      </c>
      <c r="U385" s="4">
        <v>0</v>
      </c>
      <c r="V385" s="6">
        <f>IF(ISERROR(VLOOKUP($S$385,'TAR FIN'!$A$1:$O$116,15,0)),0,VLOOKUP($S$385,'TAR FIN'!$A$1:$O$116,15,0))</f>
        <v>15.24</v>
      </c>
      <c r="W385" s="6">
        <f>IF(ISERROR(VLOOKUP($T$385,'TAR FIN'!$A$1:$O$116,15,0)),0,VLOOKUP($T$385,'TAR FIN'!$A$1:$O$116,15,0))</f>
        <v>0</v>
      </c>
      <c r="X385" s="6">
        <f>IF(ISERROR(VLOOKUP($U$385,'TAR FIN'!$A$1:$O$116,15,0)),0,VLOOKUP($U$385,'TAR FIN'!$A$1:$O$116,15,0))</f>
        <v>0</v>
      </c>
      <c r="Y385" s="6">
        <f ca="1">('TUSD BE'!$AM$32+'TUSD BF'!$AM$32+'TUSD CVA'!$AM$32)*1</f>
        <v>17.138874075124019</v>
      </c>
      <c r="Z385" s="6"/>
      <c r="AA385" s="6"/>
      <c r="AB385" s="6">
        <f t="shared" si="22"/>
        <v>0</v>
      </c>
      <c r="AC385" s="6">
        <f t="shared" si="23"/>
        <v>0</v>
      </c>
      <c r="AD385" s="6">
        <f t="shared" ca="1" si="24"/>
        <v>0</v>
      </c>
      <c r="AE385" s="6">
        <f t="shared" si="25"/>
        <v>0</v>
      </c>
      <c r="AF385" s="4" t="s">
        <v>1112</v>
      </c>
    </row>
    <row r="386" spans="1:32" ht="11.25" customHeight="1" x14ac:dyDescent="0.25">
      <c r="A386" s="4" t="s">
        <v>21</v>
      </c>
      <c r="B386" s="4" t="s">
        <v>41</v>
      </c>
      <c r="C386" s="4" t="s">
        <v>64</v>
      </c>
      <c r="D386" s="4" t="s">
        <v>25</v>
      </c>
      <c r="E386" s="4" t="s">
        <v>25</v>
      </c>
      <c r="F386" s="4" t="s">
        <v>25</v>
      </c>
      <c r="G386" s="4" t="s">
        <v>88</v>
      </c>
      <c r="H386" s="4" t="s">
        <v>25</v>
      </c>
      <c r="I386" s="5">
        <v>44531</v>
      </c>
      <c r="J386" s="6">
        <v>9500</v>
      </c>
      <c r="K386" s="6">
        <v>4750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4" t="s">
        <v>66</v>
      </c>
      <c r="R386" s="4">
        <v>27722</v>
      </c>
      <c r="S386" s="4">
        <v>28</v>
      </c>
      <c r="T386" s="4">
        <v>0</v>
      </c>
      <c r="U386" s="4">
        <v>0</v>
      </c>
      <c r="V386" s="6">
        <f>IF(ISERROR(VLOOKUP($S$386,'TAR FIN'!$A$1:$O$116,15,0)),0,VLOOKUP($S$386,'TAR FIN'!$A$1:$O$116,15,0))</f>
        <v>15.24</v>
      </c>
      <c r="W386" s="6">
        <f>IF(ISERROR(VLOOKUP($T$386,'TAR FIN'!$A$1:$O$116,15,0)),0,VLOOKUP($T$386,'TAR FIN'!$A$1:$O$116,15,0))</f>
        <v>0</v>
      </c>
      <c r="X386" s="6">
        <f>IF(ISERROR(VLOOKUP($U$386,'TAR FIN'!$A$1:$O$116,15,0)),0,VLOOKUP($U$386,'TAR FIN'!$A$1:$O$116,15,0))</f>
        <v>0</v>
      </c>
      <c r="Y386" s="6">
        <f ca="1">('TUSD BE'!$AM$32+'TUSD BF'!$AM$32+'TUSD CVA'!$AM$32)*1</f>
        <v>17.138874075124019</v>
      </c>
      <c r="Z386" s="6"/>
      <c r="AA386" s="6"/>
      <c r="AB386" s="6">
        <f t="shared" ref="AB386:AB449" si="26">(J386-K386)*V386</f>
        <v>72390</v>
      </c>
      <c r="AC386" s="6">
        <f t="shared" ref="AC386:AC449" si="27">(L386-M386)*W386+(N386-O386)*X386</f>
        <v>0</v>
      </c>
      <c r="AD386" s="6">
        <f t="shared" ref="AD386:AD449" ca="1" si="28">(J386-K386)*Y386</f>
        <v>81409.651856839089</v>
      </c>
      <c r="AE386" s="6">
        <f t="shared" ref="AE386:AE449" si="29">(L386-M386)*Z386+(N386-O386)*AA386</f>
        <v>0</v>
      </c>
      <c r="AF386" s="4" t="s">
        <v>1112</v>
      </c>
    </row>
    <row r="387" spans="1:32" ht="11.25" customHeight="1" x14ac:dyDescent="0.25">
      <c r="A387" s="4" t="s">
        <v>21</v>
      </c>
      <c r="B387" s="4" t="s">
        <v>41</v>
      </c>
      <c r="C387" s="4" t="s">
        <v>64</v>
      </c>
      <c r="D387" s="4" t="s">
        <v>25</v>
      </c>
      <c r="E387" s="4" t="s">
        <v>25</v>
      </c>
      <c r="F387" s="4" t="s">
        <v>25</v>
      </c>
      <c r="G387" s="4" t="s">
        <v>90</v>
      </c>
      <c r="H387" s="4" t="s">
        <v>25</v>
      </c>
      <c r="I387" s="5">
        <v>44531</v>
      </c>
      <c r="J387" s="6">
        <v>420</v>
      </c>
      <c r="K387" s="6">
        <v>420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66</v>
      </c>
      <c r="R387" s="4">
        <v>27928</v>
      </c>
      <c r="S387" s="4">
        <v>28</v>
      </c>
      <c r="T387" s="4">
        <v>0</v>
      </c>
      <c r="U387" s="4">
        <v>0</v>
      </c>
      <c r="V387" s="6">
        <f>IF(ISERROR(VLOOKUP($S$387,'TAR FIN'!$A$1:$O$116,15,0)),0,VLOOKUP($S$387,'TAR FIN'!$A$1:$O$116,15,0))</f>
        <v>15.24</v>
      </c>
      <c r="W387" s="6">
        <f>IF(ISERROR(VLOOKUP($T$387,'TAR FIN'!$A$1:$O$116,15,0)),0,VLOOKUP($T$387,'TAR FIN'!$A$1:$O$116,15,0))</f>
        <v>0</v>
      </c>
      <c r="X387" s="6">
        <f>IF(ISERROR(VLOOKUP($U$387,'TAR FIN'!$A$1:$O$116,15,0)),0,VLOOKUP($U$387,'TAR FIN'!$A$1:$O$116,15,0))</f>
        <v>0</v>
      </c>
      <c r="Y387" s="6">
        <f ca="1">('TUSD BE'!$AM$32+'TUSD BF'!$AM$32+'TUSD CVA'!$AM$32)*1</f>
        <v>17.138874075124019</v>
      </c>
      <c r="Z387" s="6"/>
      <c r="AA387" s="6"/>
      <c r="AB387" s="6">
        <f t="shared" si="26"/>
        <v>0</v>
      </c>
      <c r="AC387" s="6">
        <f t="shared" si="27"/>
        <v>0</v>
      </c>
      <c r="AD387" s="6">
        <f t="shared" ca="1" si="28"/>
        <v>0</v>
      </c>
      <c r="AE387" s="6">
        <f t="shared" si="29"/>
        <v>0</v>
      </c>
      <c r="AF387" s="4" t="s">
        <v>1112</v>
      </c>
    </row>
    <row r="388" spans="1:32" ht="11.25" customHeight="1" x14ac:dyDescent="0.25">
      <c r="A388" s="4" t="s">
        <v>21</v>
      </c>
      <c r="B388" s="4" t="s">
        <v>41</v>
      </c>
      <c r="C388" s="4" t="s">
        <v>64</v>
      </c>
      <c r="D388" s="4" t="s">
        <v>25</v>
      </c>
      <c r="E388" s="4" t="s">
        <v>25</v>
      </c>
      <c r="F388" s="4" t="s">
        <v>25</v>
      </c>
      <c r="G388" s="4" t="s">
        <v>93</v>
      </c>
      <c r="H388" s="4" t="s">
        <v>25</v>
      </c>
      <c r="I388" s="5">
        <v>44531</v>
      </c>
      <c r="J388" s="6">
        <v>1300</v>
      </c>
      <c r="K388" s="6">
        <v>650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4" t="s">
        <v>66</v>
      </c>
      <c r="R388" s="4">
        <v>30847</v>
      </c>
      <c r="S388" s="4">
        <v>28</v>
      </c>
      <c r="T388" s="4">
        <v>0</v>
      </c>
      <c r="U388" s="4">
        <v>0</v>
      </c>
      <c r="V388" s="6">
        <f>IF(ISERROR(VLOOKUP($S$388,'TAR FIN'!$A$1:$O$116,15,0)),0,VLOOKUP($S$388,'TAR FIN'!$A$1:$O$116,15,0))</f>
        <v>15.24</v>
      </c>
      <c r="W388" s="6">
        <f>IF(ISERROR(VLOOKUP($T$388,'TAR FIN'!$A$1:$O$116,15,0)),0,VLOOKUP($T$388,'TAR FIN'!$A$1:$O$116,15,0))</f>
        <v>0</v>
      </c>
      <c r="X388" s="6">
        <f>IF(ISERROR(VLOOKUP($U$388,'TAR FIN'!$A$1:$O$116,15,0)),0,VLOOKUP($U$388,'TAR FIN'!$A$1:$O$116,15,0))</f>
        <v>0</v>
      </c>
      <c r="Y388" s="6">
        <f ca="1">('TUSD BE'!$AM$32+'TUSD BF'!$AM$32+'TUSD CVA'!$AM$32)*1</f>
        <v>17.138874075124019</v>
      </c>
      <c r="Z388" s="6"/>
      <c r="AA388" s="6"/>
      <c r="AB388" s="6">
        <f t="shared" si="26"/>
        <v>9906</v>
      </c>
      <c r="AC388" s="6">
        <f t="shared" si="27"/>
        <v>0</v>
      </c>
      <c r="AD388" s="6">
        <f t="shared" ca="1" si="28"/>
        <v>11140.268148830612</v>
      </c>
      <c r="AE388" s="6">
        <f t="shared" si="29"/>
        <v>0</v>
      </c>
      <c r="AF388" s="4" t="s">
        <v>1112</v>
      </c>
    </row>
    <row r="389" spans="1:32" ht="11.25" customHeight="1" x14ac:dyDescent="0.25">
      <c r="A389" s="4" t="s">
        <v>21</v>
      </c>
      <c r="B389" s="4" t="s">
        <v>41</v>
      </c>
      <c r="C389" s="4" t="s">
        <v>64</v>
      </c>
      <c r="D389" s="4" t="s">
        <v>25</v>
      </c>
      <c r="E389" s="4" t="s">
        <v>25</v>
      </c>
      <c r="F389" s="4" t="s">
        <v>25</v>
      </c>
      <c r="G389" s="4" t="s">
        <v>94</v>
      </c>
      <c r="H389" s="4" t="s">
        <v>25</v>
      </c>
      <c r="I389" s="5">
        <v>44531</v>
      </c>
      <c r="J389" s="6">
        <v>1180</v>
      </c>
      <c r="K389" s="6">
        <v>590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4" t="s">
        <v>66</v>
      </c>
      <c r="R389" s="4">
        <v>30866</v>
      </c>
      <c r="S389" s="4">
        <v>28</v>
      </c>
      <c r="T389" s="4">
        <v>0</v>
      </c>
      <c r="U389" s="4">
        <v>0</v>
      </c>
      <c r="V389" s="6">
        <f>IF(ISERROR(VLOOKUP($S$389,'TAR FIN'!$A$1:$O$116,15,0)),0,VLOOKUP($S$389,'TAR FIN'!$A$1:$O$116,15,0))</f>
        <v>15.24</v>
      </c>
      <c r="W389" s="6">
        <f>IF(ISERROR(VLOOKUP($T$389,'TAR FIN'!$A$1:$O$116,15,0)),0,VLOOKUP($T$389,'TAR FIN'!$A$1:$O$116,15,0))</f>
        <v>0</v>
      </c>
      <c r="X389" s="6">
        <f>IF(ISERROR(VLOOKUP($U$389,'TAR FIN'!$A$1:$O$116,15,0)),0,VLOOKUP($U$389,'TAR FIN'!$A$1:$O$116,15,0))</f>
        <v>0</v>
      </c>
      <c r="Y389" s="6">
        <f ca="1">('TUSD BE'!$AM$32+'TUSD BF'!$AM$32+'TUSD CVA'!$AM$32)*1</f>
        <v>17.138874075124019</v>
      </c>
      <c r="Z389" s="6"/>
      <c r="AA389" s="6"/>
      <c r="AB389" s="6">
        <f t="shared" si="26"/>
        <v>8991.6</v>
      </c>
      <c r="AC389" s="6">
        <f t="shared" si="27"/>
        <v>0</v>
      </c>
      <c r="AD389" s="6">
        <f t="shared" ca="1" si="28"/>
        <v>10111.93570432317</v>
      </c>
      <c r="AE389" s="6">
        <f t="shared" si="29"/>
        <v>0</v>
      </c>
      <c r="AF389" s="4" t="s">
        <v>1112</v>
      </c>
    </row>
    <row r="390" spans="1:32" ht="11.25" customHeight="1" x14ac:dyDescent="0.25">
      <c r="A390" s="4" t="s">
        <v>21</v>
      </c>
      <c r="B390" s="4" t="s">
        <v>41</v>
      </c>
      <c r="C390" s="4" t="s">
        <v>64</v>
      </c>
      <c r="D390" s="4" t="s">
        <v>25</v>
      </c>
      <c r="E390" s="4" t="s">
        <v>25</v>
      </c>
      <c r="F390" s="4" t="s">
        <v>25</v>
      </c>
      <c r="G390" s="4" t="s">
        <v>95</v>
      </c>
      <c r="H390" s="4" t="s">
        <v>25</v>
      </c>
      <c r="I390" s="5">
        <v>44531</v>
      </c>
      <c r="J390" s="6">
        <v>1180</v>
      </c>
      <c r="K390" s="6">
        <v>590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4" t="s">
        <v>66</v>
      </c>
      <c r="R390" s="4">
        <v>31051</v>
      </c>
      <c r="S390" s="4">
        <v>28</v>
      </c>
      <c r="T390" s="4">
        <v>0</v>
      </c>
      <c r="U390" s="4">
        <v>0</v>
      </c>
      <c r="V390" s="6">
        <f>IF(ISERROR(VLOOKUP($S$390,'TAR FIN'!$A$1:$O$116,15,0)),0,VLOOKUP($S$390,'TAR FIN'!$A$1:$O$116,15,0))</f>
        <v>15.24</v>
      </c>
      <c r="W390" s="6">
        <f>IF(ISERROR(VLOOKUP($T$390,'TAR FIN'!$A$1:$O$116,15,0)),0,VLOOKUP($T$390,'TAR FIN'!$A$1:$O$116,15,0))</f>
        <v>0</v>
      </c>
      <c r="X390" s="6">
        <f>IF(ISERROR(VLOOKUP($U$390,'TAR FIN'!$A$1:$O$116,15,0)),0,VLOOKUP($U$390,'TAR FIN'!$A$1:$O$116,15,0))</f>
        <v>0</v>
      </c>
      <c r="Y390" s="6">
        <f ca="1">('TUSD BE'!$AM$32+'TUSD BF'!$AM$32+'TUSD CVA'!$AM$32)*1</f>
        <v>17.138874075124019</v>
      </c>
      <c r="Z390" s="6"/>
      <c r="AA390" s="6"/>
      <c r="AB390" s="6">
        <f t="shared" si="26"/>
        <v>8991.6</v>
      </c>
      <c r="AC390" s="6">
        <f t="shared" si="27"/>
        <v>0</v>
      </c>
      <c r="AD390" s="6">
        <f t="shared" ca="1" si="28"/>
        <v>10111.93570432317</v>
      </c>
      <c r="AE390" s="6">
        <f t="shared" si="29"/>
        <v>0</v>
      </c>
      <c r="AF390" s="4" t="s">
        <v>1112</v>
      </c>
    </row>
    <row r="391" spans="1:32" ht="11.25" customHeight="1" x14ac:dyDescent="0.25">
      <c r="A391" s="4" t="s">
        <v>21</v>
      </c>
      <c r="B391" s="4" t="s">
        <v>41</v>
      </c>
      <c r="C391" s="4" t="s">
        <v>64</v>
      </c>
      <c r="D391" s="4" t="s">
        <v>25</v>
      </c>
      <c r="E391" s="4" t="s">
        <v>25</v>
      </c>
      <c r="F391" s="4" t="s">
        <v>25</v>
      </c>
      <c r="G391" s="4" t="s">
        <v>96</v>
      </c>
      <c r="H391" s="4" t="s">
        <v>25</v>
      </c>
      <c r="I391" s="5">
        <v>44531</v>
      </c>
      <c r="J391" s="6">
        <v>1000</v>
      </c>
      <c r="K391" s="6">
        <v>500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4" t="s">
        <v>66</v>
      </c>
      <c r="R391" s="4">
        <v>31277</v>
      </c>
      <c r="S391" s="4">
        <v>28</v>
      </c>
      <c r="T391" s="4">
        <v>0</v>
      </c>
      <c r="U391" s="4">
        <v>0</v>
      </c>
      <c r="V391" s="6">
        <f>IF(ISERROR(VLOOKUP($S$391,'TAR FIN'!$A$1:$O$116,15,0)),0,VLOOKUP($S$391,'TAR FIN'!$A$1:$O$116,15,0))</f>
        <v>15.24</v>
      </c>
      <c r="W391" s="6">
        <f>IF(ISERROR(VLOOKUP($T$391,'TAR FIN'!$A$1:$O$116,15,0)),0,VLOOKUP($T$391,'TAR FIN'!$A$1:$O$116,15,0))</f>
        <v>0</v>
      </c>
      <c r="X391" s="6">
        <f>IF(ISERROR(VLOOKUP($U$391,'TAR FIN'!$A$1:$O$116,15,0)),0,VLOOKUP($U$391,'TAR FIN'!$A$1:$O$116,15,0))</f>
        <v>0</v>
      </c>
      <c r="Y391" s="6">
        <f ca="1">('TUSD BE'!$AM$32+'TUSD BF'!$AM$32+'TUSD CVA'!$AM$32)*1</f>
        <v>17.138874075124019</v>
      </c>
      <c r="Z391" s="6"/>
      <c r="AA391" s="6"/>
      <c r="AB391" s="6">
        <f t="shared" si="26"/>
        <v>7620</v>
      </c>
      <c r="AC391" s="6">
        <f t="shared" si="27"/>
        <v>0</v>
      </c>
      <c r="AD391" s="6">
        <f t="shared" ca="1" si="28"/>
        <v>8569.4370375620092</v>
      </c>
      <c r="AE391" s="6">
        <f t="shared" si="29"/>
        <v>0</v>
      </c>
      <c r="AF391" s="4" t="s">
        <v>1112</v>
      </c>
    </row>
    <row r="392" spans="1:32" ht="11.25" customHeight="1" x14ac:dyDescent="0.25">
      <c r="A392" s="4" t="s">
        <v>21</v>
      </c>
      <c r="B392" s="4" t="s">
        <v>41</v>
      </c>
      <c r="C392" s="4" t="s">
        <v>64</v>
      </c>
      <c r="D392" s="4" t="s">
        <v>25</v>
      </c>
      <c r="E392" s="4" t="s">
        <v>25</v>
      </c>
      <c r="F392" s="4" t="s">
        <v>25</v>
      </c>
      <c r="G392" s="4" t="s">
        <v>97</v>
      </c>
      <c r="H392" s="4" t="s">
        <v>25</v>
      </c>
      <c r="I392" s="5">
        <v>44531</v>
      </c>
      <c r="J392" s="6">
        <v>1180</v>
      </c>
      <c r="K392" s="6">
        <v>590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4" t="s">
        <v>66</v>
      </c>
      <c r="R392" s="4">
        <v>31318</v>
      </c>
      <c r="S392" s="4">
        <v>28</v>
      </c>
      <c r="T392" s="4">
        <v>0</v>
      </c>
      <c r="U392" s="4">
        <v>0</v>
      </c>
      <c r="V392" s="6">
        <f>IF(ISERROR(VLOOKUP($S$392,'TAR FIN'!$A$1:$O$116,15,0)),0,VLOOKUP($S$392,'TAR FIN'!$A$1:$O$116,15,0))</f>
        <v>15.24</v>
      </c>
      <c r="W392" s="6">
        <f>IF(ISERROR(VLOOKUP($T$392,'TAR FIN'!$A$1:$O$116,15,0)),0,VLOOKUP($T$392,'TAR FIN'!$A$1:$O$116,15,0))</f>
        <v>0</v>
      </c>
      <c r="X392" s="6">
        <f>IF(ISERROR(VLOOKUP($U$392,'TAR FIN'!$A$1:$O$116,15,0)),0,VLOOKUP($U$392,'TAR FIN'!$A$1:$O$116,15,0))</f>
        <v>0</v>
      </c>
      <c r="Y392" s="6">
        <f ca="1">('TUSD BE'!$AM$32+'TUSD BF'!$AM$32+'TUSD CVA'!$AM$32)*1</f>
        <v>17.138874075124019</v>
      </c>
      <c r="Z392" s="6"/>
      <c r="AA392" s="6"/>
      <c r="AB392" s="6">
        <f t="shared" si="26"/>
        <v>8991.6</v>
      </c>
      <c r="AC392" s="6">
        <f t="shared" si="27"/>
        <v>0</v>
      </c>
      <c r="AD392" s="6">
        <f t="shared" ca="1" si="28"/>
        <v>10111.93570432317</v>
      </c>
      <c r="AE392" s="6">
        <f t="shared" si="29"/>
        <v>0</v>
      </c>
      <c r="AF392" s="4" t="s">
        <v>1112</v>
      </c>
    </row>
    <row r="393" spans="1:32" ht="11.25" customHeight="1" x14ac:dyDescent="0.25">
      <c r="A393" s="4" t="s">
        <v>21</v>
      </c>
      <c r="B393" s="4" t="s">
        <v>41</v>
      </c>
      <c r="C393" s="4" t="s">
        <v>64</v>
      </c>
      <c r="D393" s="4" t="s">
        <v>25</v>
      </c>
      <c r="E393" s="4" t="s">
        <v>25</v>
      </c>
      <c r="F393" s="4" t="s">
        <v>25</v>
      </c>
      <c r="G393" s="4" t="s">
        <v>98</v>
      </c>
      <c r="H393" s="4" t="s">
        <v>25</v>
      </c>
      <c r="I393" s="5">
        <v>44531</v>
      </c>
      <c r="J393" s="6">
        <v>3011</v>
      </c>
      <c r="K393" s="6">
        <v>1505.5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4" t="s">
        <v>66</v>
      </c>
      <c r="R393" s="4">
        <v>31334</v>
      </c>
      <c r="S393" s="4">
        <v>28</v>
      </c>
      <c r="T393" s="4">
        <v>0</v>
      </c>
      <c r="U393" s="4">
        <v>0</v>
      </c>
      <c r="V393" s="6">
        <f>IF(ISERROR(VLOOKUP($S$393,'TAR FIN'!$A$1:$O$116,15,0)),0,VLOOKUP($S$393,'TAR FIN'!$A$1:$O$116,15,0))</f>
        <v>15.24</v>
      </c>
      <c r="W393" s="6">
        <f>IF(ISERROR(VLOOKUP($T$393,'TAR FIN'!$A$1:$O$116,15,0)),0,VLOOKUP($T$393,'TAR FIN'!$A$1:$O$116,15,0))</f>
        <v>0</v>
      </c>
      <c r="X393" s="6">
        <f>IF(ISERROR(VLOOKUP($U$393,'TAR FIN'!$A$1:$O$116,15,0)),0,VLOOKUP($U$393,'TAR FIN'!$A$1:$O$116,15,0))</f>
        <v>0</v>
      </c>
      <c r="Y393" s="6">
        <f ca="1">('TUSD BE'!$AM$32+'TUSD BF'!$AM$32+'TUSD CVA'!$AM$32)*1</f>
        <v>17.138874075124019</v>
      </c>
      <c r="Z393" s="6"/>
      <c r="AA393" s="6"/>
      <c r="AB393" s="6">
        <f t="shared" si="26"/>
        <v>22943.82</v>
      </c>
      <c r="AC393" s="6">
        <f t="shared" si="27"/>
        <v>0</v>
      </c>
      <c r="AD393" s="6">
        <f t="shared" ca="1" si="28"/>
        <v>25802.57492009921</v>
      </c>
      <c r="AE393" s="6">
        <f t="shared" si="29"/>
        <v>0</v>
      </c>
      <c r="AF393" s="4" t="s">
        <v>1112</v>
      </c>
    </row>
    <row r="394" spans="1:32" ht="11.25" customHeight="1" x14ac:dyDescent="0.25">
      <c r="A394" s="4" t="s">
        <v>21</v>
      </c>
      <c r="B394" s="4" t="s">
        <v>41</v>
      </c>
      <c r="C394" s="4" t="s">
        <v>64</v>
      </c>
      <c r="D394" s="4" t="s">
        <v>25</v>
      </c>
      <c r="E394" s="4" t="s">
        <v>25</v>
      </c>
      <c r="F394" s="4" t="s">
        <v>25</v>
      </c>
      <c r="G394" s="4" t="s">
        <v>99</v>
      </c>
      <c r="H394" s="4" t="s">
        <v>25</v>
      </c>
      <c r="I394" s="5">
        <v>44531</v>
      </c>
      <c r="J394" s="6">
        <v>1180</v>
      </c>
      <c r="K394" s="6">
        <v>590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4" t="s">
        <v>66</v>
      </c>
      <c r="R394" s="4">
        <v>31618</v>
      </c>
      <c r="S394" s="4">
        <v>28</v>
      </c>
      <c r="T394" s="4">
        <v>0</v>
      </c>
      <c r="U394" s="4">
        <v>0</v>
      </c>
      <c r="V394" s="6">
        <f>IF(ISERROR(VLOOKUP($S$394,'TAR FIN'!$A$1:$O$116,15,0)),0,VLOOKUP($S$394,'TAR FIN'!$A$1:$O$116,15,0))</f>
        <v>15.24</v>
      </c>
      <c r="W394" s="6">
        <f>IF(ISERROR(VLOOKUP($T$394,'TAR FIN'!$A$1:$O$116,15,0)),0,VLOOKUP($T$394,'TAR FIN'!$A$1:$O$116,15,0))</f>
        <v>0</v>
      </c>
      <c r="X394" s="6">
        <f>IF(ISERROR(VLOOKUP($U$394,'TAR FIN'!$A$1:$O$116,15,0)),0,VLOOKUP($U$394,'TAR FIN'!$A$1:$O$116,15,0))</f>
        <v>0</v>
      </c>
      <c r="Y394" s="6">
        <f ca="1">('TUSD BE'!$AM$32+'TUSD BF'!$AM$32+'TUSD CVA'!$AM$32)*1</f>
        <v>17.138874075124019</v>
      </c>
      <c r="Z394" s="6"/>
      <c r="AA394" s="6"/>
      <c r="AB394" s="6">
        <f t="shared" si="26"/>
        <v>8991.6</v>
      </c>
      <c r="AC394" s="6">
        <f t="shared" si="27"/>
        <v>0</v>
      </c>
      <c r="AD394" s="6">
        <f t="shared" ca="1" si="28"/>
        <v>10111.93570432317</v>
      </c>
      <c r="AE394" s="6">
        <f t="shared" si="29"/>
        <v>0</v>
      </c>
      <c r="AF394" s="4" t="s">
        <v>1112</v>
      </c>
    </row>
    <row r="395" spans="1:32" ht="11.25" customHeight="1" x14ac:dyDescent="0.25">
      <c r="A395" s="4" t="s">
        <v>21</v>
      </c>
      <c r="B395" s="4" t="s">
        <v>41</v>
      </c>
      <c r="C395" s="4" t="s">
        <v>64</v>
      </c>
      <c r="D395" s="4" t="s">
        <v>25</v>
      </c>
      <c r="E395" s="4" t="s">
        <v>25</v>
      </c>
      <c r="F395" s="4" t="s">
        <v>25</v>
      </c>
      <c r="G395" s="4" t="s">
        <v>100</v>
      </c>
      <c r="H395" s="4" t="s">
        <v>25</v>
      </c>
      <c r="I395" s="5">
        <v>44531</v>
      </c>
      <c r="J395" s="6">
        <v>1180</v>
      </c>
      <c r="K395" s="6">
        <v>590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4" t="s">
        <v>66</v>
      </c>
      <c r="R395" s="4">
        <v>31677</v>
      </c>
      <c r="S395" s="4">
        <v>28</v>
      </c>
      <c r="T395" s="4">
        <v>0</v>
      </c>
      <c r="U395" s="4">
        <v>0</v>
      </c>
      <c r="V395" s="6">
        <f>IF(ISERROR(VLOOKUP($S$395,'TAR FIN'!$A$1:$O$116,15,0)),0,VLOOKUP($S$395,'TAR FIN'!$A$1:$O$116,15,0))</f>
        <v>15.24</v>
      </c>
      <c r="W395" s="6">
        <f>IF(ISERROR(VLOOKUP($T$395,'TAR FIN'!$A$1:$O$116,15,0)),0,VLOOKUP($T$395,'TAR FIN'!$A$1:$O$116,15,0))</f>
        <v>0</v>
      </c>
      <c r="X395" s="6">
        <f>IF(ISERROR(VLOOKUP($U$395,'TAR FIN'!$A$1:$O$116,15,0)),0,VLOOKUP($U$395,'TAR FIN'!$A$1:$O$116,15,0))</f>
        <v>0</v>
      </c>
      <c r="Y395" s="6">
        <f ca="1">('TUSD BE'!$AM$32+'TUSD BF'!$AM$32+'TUSD CVA'!$AM$32)*1</f>
        <v>17.138874075124019</v>
      </c>
      <c r="Z395" s="6"/>
      <c r="AA395" s="6"/>
      <c r="AB395" s="6">
        <f t="shared" si="26"/>
        <v>8991.6</v>
      </c>
      <c r="AC395" s="6">
        <f t="shared" si="27"/>
        <v>0</v>
      </c>
      <c r="AD395" s="6">
        <f t="shared" ca="1" si="28"/>
        <v>10111.93570432317</v>
      </c>
      <c r="AE395" s="6">
        <f t="shared" si="29"/>
        <v>0</v>
      </c>
      <c r="AF395" s="4" t="s">
        <v>1112</v>
      </c>
    </row>
    <row r="396" spans="1:32" ht="11.25" customHeight="1" x14ac:dyDescent="0.25">
      <c r="A396" s="4" t="s">
        <v>21</v>
      </c>
      <c r="B396" s="4" t="s">
        <v>41</v>
      </c>
      <c r="C396" s="4" t="s">
        <v>64</v>
      </c>
      <c r="D396" s="4" t="s">
        <v>25</v>
      </c>
      <c r="E396" s="4" t="s">
        <v>25</v>
      </c>
      <c r="F396" s="4" t="s">
        <v>25</v>
      </c>
      <c r="G396" s="4" t="s">
        <v>68</v>
      </c>
      <c r="H396" s="4" t="s">
        <v>25</v>
      </c>
      <c r="I396" s="5">
        <v>44562</v>
      </c>
      <c r="J396" s="6">
        <v>302</v>
      </c>
      <c r="K396" s="6">
        <v>302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4" t="s">
        <v>66</v>
      </c>
      <c r="R396" s="4">
        <v>404</v>
      </c>
      <c r="S396" s="4">
        <v>28</v>
      </c>
      <c r="T396" s="4">
        <v>0</v>
      </c>
      <c r="U396" s="4">
        <v>0</v>
      </c>
      <c r="V396" s="6">
        <f>IF(ISERROR(VLOOKUP($S$396,'TAR FIN'!$A$1:$O$116,15,0)),0,VLOOKUP($S$396,'TAR FIN'!$A$1:$O$116,15,0))</f>
        <v>15.24</v>
      </c>
      <c r="W396" s="6">
        <f>IF(ISERROR(VLOOKUP($T$396,'TAR FIN'!$A$1:$O$116,15,0)),0,VLOOKUP($T$396,'TAR FIN'!$A$1:$O$116,15,0))</f>
        <v>0</v>
      </c>
      <c r="X396" s="6">
        <f>IF(ISERROR(VLOOKUP($U$396,'TAR FIN'!$A$1:$O$116,15,0)),0,VLOOKUP($U$396,'TAR FIN'!$A$1:$O$116,15,0))</f>
        <v>0</v>
      </c>
      <c r="Y396" s="6">
        <f ca="1">('TUSD BE'!$AM$32+'TUSD BF'!$AM$32+'TUSD CVA'!$AM$32)*1</f>
        <v>17.138874075124019</v>
      </c>
      <c r="Z396" s="6"/>
      <c r="AA396" s="6"/>
      <c r="AB396" s="6">
        <f t="shared" si="26"/>
        <v>0</v>
      </c>
      <c r="AC396" s="6">
        <f t="shared" si="27"/>
        <v>0</v>
      </c>
      <c r="AD396" s="6">
        <f t="shared" ca="1" si="28"/>
        <v>0</v>
      </c>
      <c r="AE396" s="6">
        <f t="shared" si="29"/>
        <v>0</v>
      </c>
      <c r="AF396" s="4" t="s">
        <v>1112</v>
      </c>
    </row>
    <row r="397" spans="1:32" ht="11.25" customHeight="1" x14ac:dyDescent="0.25">
      <c r="A397" s="4" t="s">
        <v>21</v>
      </c>
      <c r="B397" s="4" t="s">
        <v>41</v>
      </c>
      <c r="C397" s="4" t="s">
        <v>64</v>
      </c>
      <c r="D397" s="4" t="s">
        <v>25</v>
      </c>
      <c r="E397" s="4" t="s">
        <v>25</v>
      </c>
      <c r="F397" s="4" t="s">
        <v>25</v>
      </c>
      <c r="G397" s="4" t="s">
        <v>70</v>
      </c>
      <c r="H397" s="4" t="s">
        <v>25</v>
      </c>
      <c r="I397" s="5">
        <v>44562</v>
      </c>
      <c r="J397" s="6">
        <v>5040</v>
      </c>
      <c r="K397" s="6">
        <v>5040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4" t="s">
        <v>66</v>
      </c>
      <c r="R397" s="4">
        <v>838</v>
      </c>
      <c r="S397" s="4">
        <v>28</v>
      </c>
      <c r="T397" s="4">
        <v>0</v>
      </c>
      <c r="U397" s="4">
        <v>0</v>
      </c>
      <c r="V397" s="6">
        <f>IF(ISERROR(VLOOKUP($S$397,'TAR FIN'!$A$1:$O$116,15,0)),0,VLOOKUP($S$397,'TAR FIN'!$A$1:$O$116,15,0))</f>
        <v>15.24</v>
      </c>
      <c r="W397" s="6">
        <f>IF(ISERROR(VLOOKUP($T$397,'TAR FIN'!$A$1:$O$116,15,0)),0,VLOOKUP($T$397,'TAR FIN'!$A$1:$O$116,15,0))</f>
        <v>0</v>
      </c>
      <c r="X397" s="6">
        <f>IF(ISERROR(VLOOKUP($U$397,'TAR FIN'!$A$1:$O$116,15,0)),0,VLOOKUP($U$397,'TAR FIN'!$A$1:$O$116,15,0))</f>
        <v>0</v>
      </c>
      <c r="Y397" s="6">
        <f ca="1">('TUSD BE'!$AM$32+'TUSD BF'!$AM$32+'TUSD CVA'!$AM$32)*1</f>
        <v>17.138874075124019</v>
      </c>
      <c r="Z397" s="6"/>
      <c r="AA397" s="6"/>
      <c r="AB397" s="6">
        <f t="shared" si="26"/>
        <v>0</v>
      </c>
      <c r="AC397" s="6">
        <f t="shared" si="27"/>
        <v>0</v>
      </c>
      <c r="AD397" s="6">
        <f t="shared" ca="1" si="28"/>
        <v>0</v>
      </c>
      <c r="AE397" s="6">
        <f t="shared" si="29"/>
        <v>0</v>
      </c>
      <c r="AF397" s="4" t="s">
        <v>1112</v>
      </c>
    </row>
    <row r="398" spans="1:32" ht="11.25" customHeight="1" x14ac:dyDescent="0.25">
      <c r="A398" s="4" t="s">
        <v>21</v>
      </c>
      <c r="B398" s="4" t="s">
        <v>41</v>
      </c>
      <c r="C398" s="4" t="s">
        <v>64</v>
      </c>
      <c r="D398" s="4" t="s">
        <v>25</v>
      </c>
      <c r="E398" s="4" t="s">
        <v>25</v>
      </c>
      <c r="F398" s="4" t="s">
        <v>25</v>
      </c>
      <c r="G398" s="4" t="s">
        <v>74</v>
      </c>
      <c r="H398" s="4" t="s">
        <v>25</v>
      </c>
      <c r="I398" s="5">
        <v>44562</v>
      </c>
      <c r="J398" s="6">
        <v>3859</v>
      </c>
      <c r="K398" s="6">
        <v>1929.5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4" t="s">
        <v>66</v>
      </c>
      <c r="R398" s="4">
        <v>1192</v>
      </c>
      <c r="S398" s="4">
        <v>28</v>
      </c>
      <c r="T398" s="4">
        <v>0</v>
      </c>
      <c r="U398" s="4">
        <v>0</v>
      </c>
      <c r="V398" s="6">
        <f>IF(ISERROR(VLOOKUP($S$398,'TAR FIN'!$A$1:$O$116,15,0)),0,VLOOKUP($S$398,'TAR FIN'!$A$1:$O$116,15,0))</f>
        <v>15.24</v>
      </c>
      <c r="W398" s="6">
        <f>IF(ISERROR(VLOOKUP($T$398,'TAR FIN'!$A$1:$O$116,15,0)),0,VLOOKUP($T$398,'TAR FIN'!$A$1:$O$116,15,0))</f>
        <v>0</v>
      </c>
      <c r="X398" s="6">
        <f>IF(ISERROR(VLOOKUP($U$398,'TAR FIN'!$A$1:$O$116,15,0)),0,VLOOKUP($U$398,'TAR FIN'!$A$1:$O$116,15,0))</f>
        <v>0</v>
      </c>
      <c r="Y398" s="6">
        <f ca="1">('TUSD BE'!$AM$32+'TUSD BF'!$AM$32+'TUSD CVA'!$AM$32)*1</f>
        <v>17.138874075124019</v>
      </c>
      <c r="Z398" s="6"/>
      <c r="AA398" s="6"/>
      <c r="AB398" s="6">
        <f t="shared" si="26"/>
        <v>29405.58</v>
      </c>
      <c r="AC398" s="6">
        <f t="shared" si="27"/>
        <v>0</v>
      </c>
      <c r="AD398" s="6">
        <f t="shared" ca="1" si="28"/>
        <v>33069.457527951796</v>
      </c>
      <c r="AE398" s="6">
        <f t="shared" si="29"/>
        <v>0</v>
      </c>
      <c r="AF398" s="4" t="s">
        <v>1112</v>
      </c>
    </row>
    <row r="399" spans="1:32" ht="11.25" customHeight="1" x14ac:dyDescent="0.25">
      <c r="A399" s="4" t="s">
        <v>21</v>
      </c>
      <c r="B399" s="4" t="s">
        <v>41</v>
      </c>
      <c r="C399" s="4" t="s">
        <v>64</v>
      </c>
      <c r="D399" s="4" t="s">
        <v>25</v>
      </c>
      <c r="E399" s="4" t="s">
        <v>25</v>
      </c>
      <c r="F399" s="4" t="s">
        <v>25</v>
      </c>
      <c r="G399" s="4" t="s">
        <v>76</v>
      </c>
      <c r="H399" s="4" t="s">
        <v>25</v>
      </c>
      <c r="I399" s="5">
        <v>44562</v>
      </c>
      <c r="J399" s="6">
        <v>480</v>
      </c>
      <c r="K399" s="6">
        <v>480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4" t="s">
        <v>66</v>
      </c>
      <c r="R399" s="4">
        <v>1438</v>
      </c>
      <c r="S399" s="4">
        <v>28</v>
      </c>
      <c r="T399" s="4">
        <v>0</v>
      </c>
      <c r="U399" s="4">
        <v>0</v>
      </c>
      <c r="V399" s="6">
        <f>IF(ISERROR(VLOOKUP($S$399,'TAR FIN'!$A$1:$O$116,15,0)),0,VLOOKUP($S$399,'TAR FIN'!$A$1:$O$116,15,0))</f>
        <v>15.24</v>
      </c>
      <c r="W399" s="6">
        <f>IF(ISERROR(VLOOKUP($T$399,'TAR FIN'!$A$1:$O$116,15,0)),0,VLOOKUP($T$399,'TAR FIN'!$A$1:$O$116,15,0))</f>
        <v>0</v>
      </c>
      <c r="X399" s="6">
        <f>IF(ISERROR(VLOOKUP($U$399,'TAR FIN'!$A$1:$O$116,15,0)),0,VLOOKUP($U$399,'TAR FIN'!$A$1:$O$116,15,0))</f>
        <v>0</v>
      </c>
      <c r="Y399" s="6">
        <f ca="1">('TUSD BE'!$AM$32+'TUSD BF'!$AM$32+'TUSD CVA'!$AM$32)*1</f>
        <v>17.138874075124019</v>
      </c>
      <c r="Z399" s="6"/>
      <c r="AA399" s="6"/>
      <c r="AB399" s="6">
        <f t="shared" si="26"/>
        <v>0</v>
      </c>
      <c r="AC399" s="6">
        <f t="shared" si="27"/>
        <v>0</v>
      </c>
      <c r="AD399" s="6">
        <f t="shared" ca="1" si="28"/>
        <v>0</v>
      </c>
      <c r="AE399" s="6">
        <f t="shared" si="29"/>
        <v>0</v>
      </c>
      <c r="AF399" s="4" t="s">
        <v>1112</v>
      </c>
    </row>
    <row r="400" spans="1:32" ht="11.25" customHeight="1" x14ac:dyDescent="0.25">
      <c r="A400" s="4" t="s">
        <v>21</v>
      </c>
      <c r="B400" s="4" t="s">
        <v>41</v>
      </c>
      <c r="C400" s="4" t="s">
        <v>64</v>
      </c>
      <c r="D400" s="4" t="s">
        <v>25</v>
      </c>
      <c r="E400" s="4" t="s">
        <v>25</v>
      </c>
      <c r="F400" s="4" t="s">
        <v>25</v>
      </c>
      <c r="G400" s="4" t="s">
        <v>77</v>
      </c>
      <c r="H400" s="4" t="s">
        <v>25</v>
      </c>
      <c r="I400" s="5">
        <v>44562</v>
      </c>
      <c r="J400" s="6">
        <v>736</v>
      </c>
      <c r="K400" s="6">
        <v>736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4" t="s">
        <v>66</v>
      </c>
      <c r="R400" s="4">
        <v>1462</v>
      </c>
      <c r="S400" s="4">
        <v>28</v>
      </c>
      <c r="T400" s="4">
        <v>0</v>
      </c>
      <c r="U400" s="4">
        <v>0</v>
      </c>
      <c r="V400" s="6">
        <f>IF(ISERROR(VLOOKUP($S$400,'TAR FIN'!$A$1:$O$116,15,0)),0,VLOOKUP($S$400,'TAR FIN'!$A$1:$O$116,15,0))</f>
        <v>15.24</v>
      </c>
      <c r="W400" s="6">
        <f>IF(ISERROR(VLOOKUP($T$400,'TAR FIN'!$A$1:$O$116,15,0)),0,VLOOKUP($T$400,'TAR FIN'!$A$1:$O$116,15,0))</f>
        <v>0</v>
      </c>
      <c r="X400" s="6">
        <f>IF(ISERROR(VLOOKUP($U$400,'TAR FIN'!$A$1:$O$116,15,0)),0,VLOOKUP($U$400,'TAR FIN'!$A$1:$O$116,15,0))</f>
        <v>0</v>
      </c>
      <c r="Y400" s="6">
        <f ca="1">('TUSD BE'!$AM$32+'TUSD BF'!$AM$32+'TUSD CVA'!$AM$32)*1</f>
        <v>17.138874075124019</v>
      </c>
      <c r="Z400" s="6"/>
      <c r="AA400" s="6"/>
      <c r="AB400" s="6">
        <f t="shared" si="26"/>
        <v>0</v>
      </c>
      <c r="AC400" s="6">
        <f t="shared" si="27"/>
        <v>0</v>
      </c>
      <c r="AD400" s="6">
        <f t="shared" ca="1" si="28"/>
        <v>0</v>
      </c>
      <c r="AE400" s="6">
        <f t="shared" si="29"/>
        <v>0</v>
      </c>
      <c r="AF400" s="4" t="s">
        <v>1112</v>
      </c>
    </row>
    <row r="401" spans="1:32" ht="11.25" customHeight="1" x14ac:dyDescent="0.25">
      <c r="A401" s="4" t="s">
        <v>21</v>
      </c>
      <c r="B401" s="4" t="s">
        <v>41</v>
      </c>
      <c r="C401" s="4" t="s">
        <v>64</v>
      </c>
      <c r="D401" s="4" t="s">
        <v>25</v>
      </c>
      <c r="E401" s="4" t="s">
        <v>25</v>
      </c>
      <c r="F401" s="4" t="s">
        <v>25</v>
      </c>
      <c r="G401" s="4" t="s">
        <v>78</v>
      </c>
      <c r="H401" s="4" t="s">
        <v>25</v>
      </c>
      <c r="I401" s="5">
        <v>44562</v>
      </c>
      <c r="J401" s="6">
        <v>6460</v>
      </c>
      <c r="K401" s="6">
        <v>6460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4" t="s">
        <v>66</v>
      </c>
      <c r="R401" s="4">
        <v>1533</v>
      </c>
      <c r="S401" s="4">
        <v>28</v>
      </c>
      <c r="T401" s="4">
        <v>0</v>
      </c>
      <c r="U401" s="4">
        <v>0</v>
      </c>
      <c r="V401" s="6">
        <f>IF(ISERROR(VLOOKUP($S$401,'TAR FIN'!$A$1:$O$116,15,0)),0,VLOOKUP($S$401,'TAR FIN'!$A$1:$O$116,15,0))</f>
        <v>15.24</v>
      </c>
      <c r="W401" s="6">
        <f>IF(ISERROR(VLOOKUP($T$401,'TAR FIN'!$A$1:$O$116,15,0)),0,VLOOKUP($T$401,'TAR FIN'!$A$1:$O$116,15,0))</f>
        <v>0</v>
      </c>
      <c r="X401" s="6">
        <f>IF(ISERROR(VLOOKUP($U$401,'TAR FIN'!$A$1:$O$116,15,0)),0,VLOOKUP($U$401,'TAR FIN'!$A$1:$O$116,15,0))</f>
        <v>0</v>
      </c>
      <c r="Y401" s="6">
        <f ca="1">('TUSD BE'!$AM$32+'TUSD BF'!$AM$32+'TUSD CVA'!$AM$32)*1</f>
        <v>17.138874075124019</v>
      </c>
      <c r="Z401" s="6"/>
      <c r="AA401" s="6"/>
      <c r="AB401" s="6">
        <f t="shared" si="26"/>
        <v>0</v>
      </c>
      <c r="AC401" s="6">
        <f t="shared" si="27"/>
        <v>0</v>
      </c>
      <c r="AD401" s="6">
        <f t="shared" ca="1" si="28"/>
        <v>0</v>
      </c>
      <c r="AE401" s="6">
        <f t="shared" si="29"/>
        <v>0</v>
      </c>
      <c r="AF401" s="4" t="s">
        <v>1112</v>
      </c>
    </row>
    <row r="402" spans="1:32" ht="11.25" customHeight="1" x14ac:dyDescent="0.25">
      <c r="A402" s="4" t="s">
        <v>21</v>
      </c>
      <c r="B402" s="4" t="s">
        <v>41</v>
      </c>
      <c r="C402" s="4" t="s">
        <v>64</v>
      </c>
      <c r="D402" s="4" t="s">
        <v>25</v>
      </c>
      <c r="E402" s="4" t="s">
        <v>25</v>
      </c>
      <c r="F402" s="4" t="s">
        <v>25</v>
      </c>
      <c r="G402" s="4" t="s">
        <v>79</v>
      </c>
      <c r="H402" s="4" t="s">
        <v>25</v>
      </c>
      <c r="I402" s="5">
        <v>44562</v>
      </c>
      <c r="J402" s="6">
        <v>770</v>
      </c>
      <c r="K402" s="6">
        <v>770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4" t="s">
        <v>66</v>
      </c>
      <c r="R402" s="4">
        <v>2535</v>
      </c>
      <c r="S402" s="4">
        <v>28</v>
      </c>
      <c r="T402" s="4">
        <v>0</v>
      </c>
      <c r="U402" s="4">
        <v>0</v>
      </c>
      <c r="V402" s="6">
        <f>IF(ISERROR(VLOOKUP($S$402,'TAR FIN'!$A$1:$O$116,15,0)),0,VLOOKUP($S$402,'TAR FIN'!$A$1:$O$116,15,0))</f>
        <v>15.24</v>
      </c>
      <c r="W402" s="6">
        <f>IF(ISERROR(VLOOKUP($T$402,'TAR FIN'!$A$1:$O$116,15,0)),0,VLOOKUP($T$402,'TAR FIN'!$A$1:$O$116,15,0))</f>
        <v>0</v>
      </c>
      <c r="X402" s="6">
        <f>IF(ISERROR(VLOOKUP($U$402,'TAR FIN'!$A$1:$O$116,15,0)),0,VLOOKUP($U$402,'TAR FIN'!$A$1:$O$116,15,0))</f>
        <v>0</v>
      </c>
      <c r="Y402" s="6">
        <f ca="1">('TUSD BE'!$AM$32+'TUSD BF'!$AM$32+'TUSD CVA'!$AM$32)*1</f>
        <v>17.138874075124019</v>
      </c>
      <c r="Z402" s="6"/>
      <c r="AA402" s="6"/>
      <c r="AB402" s="6">
        <f t="shared" si="26"/>
        <v>0</v>
      </c>
      <c r="AC402" s="6">
        <f t="shared" si="27"/>
        <v>0</v>
      </c>
      <c r="AD402" s="6">
        <f t="shared" ca="1" si="28"/>
        <v>0</v>
      </c>
      <c r="AE402" s="6">
        <f t="shared" si="29"/>
        <v>0</v>
      </c>
      <c r="AF402" s="4" t="s">
        <v>1112</v>
      </c>
    </row>
    <row r="403" spans="1:32" ht="11.25" customHeight="1" x14ac:dyDescent="0.25">
      <c r="A403" s="4" t="s">
        <v>21</v>
      </c>
      <c r="B403" s="4" t="s">
        <v>41</v>
      </c>
      <c r="C403" s="4" t="s">
        <v>64</v>
      </c>
      <c r="D403" s="4" t="s">
        <v>25</v>
      </c>
      <c r="E403" s="4" t="s">
        <v>25</v>
      </c>
      <c r="F403" s="4" t="s">
        <v>25</v>
      </c>
      <c r="G403" s="4" t="s">
        <v>80</v>
      </c>
      <c r="H403" s="4" t="s">
        <v>25</v>
      </c>
      <c r="I403" s="5">
        <v>44562</v>
      </c>
      <c r="J403" s="6">
        <v>1416</v>
      </c>
      <c r="K403" s="6">
        <v>1416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4" t="s">
        <v>66</v>
      </c>
      <c r="R403" s="4">
        <v>2751</v>
      </c>
      <c r="S403" s="4">
        <v>28</v>
      </c>
      <c r="T403" s="4">
        <v>0</v>
      </c>
      <c r="U403" s="4">
        <v>0</v>
      </c>
      <c r="V403" s="6">
        <f>IF(ISERROR(VLOOKUP($S$403,'TAR FIN'!$A$1:$O$116,15,0)),0,VLOOKUP($S$403,'TAR FIN'!$A$1:$O$116,15,0))</f>
        <v>15.24</v>
      </c>
      <c r="W403" s="6">
        <f>IF(ISERROR(VLOOKUP($T$403,'TAR FIN'!$A$1:$O$116,15,0)),0,VLOOKUP($T$403,'TAR FIN'!$A$1:$O$116,15,0))</f>
        <v>0</v>
      </c>
      <c r="X403" s="6">
        <f>IF(ISERROR(VLOOKUP($U$403,'TAR FIN'!$A$1:$O$116,15,0)),0,VLOOKUP($U$403,'TAR FIN'!$A$1:$O$116,15,0))</f>
        <v>0</v>
      </c>
      <c r="Y403" s="6">
        <f ca="1">('TUSD BE'!$AM$32+'TUSD BF'!$AM$32+'TUSD CVA'!$AM$32)*1</f>
        <v>17.138874075124019</v>
      </c>
      <c r="Z403" s="6"/>
      <c r="AA403" s="6"/>
      <c r="AB403" s="6">
        <f t="shared" si="26"/>
        <v>0</v>
      </c>
      <c r="AC403" s="6">
        <f t="shared" si="27"/>
        <v>0</v>
      </c>
      <c r="AD403" s="6">
        <f t="shared" ca="1" si="28"/>
        <v>0</v>
      </c>
      <c r="AE403" s="6">
        <f t="shared" si="29"/>
        <v>0</v>
      </c>
      <c r="AF403" s="4" t="s">
        <v>1112</v>
      </c>
    </row>
    <row r="404" spans="1:32" ht="11.25" customHeight="1" x14ac:dyDescent="0.25">
      <c r="A404" s="4" t="s">
        <v>21</v>
      </c>
      <c r="B404" s="4" t="s">
        <v>41</v>
      </c>
      <c r="C404" s="4" t="s">
        <v>64</v>
      </c>
      <c r="D404" s="4" t="s">
        <v>25</v>
      </c>
      <c r="E404" s="4" t="s">
        <v>25</v>
      </c>
      <c r="F404" s="4" t="s">
        <v>25</v>
      </c>
      <c r="G404" s="4" t="s">
        <v>88</v>
      </c>
      <c r="H404" s="4" t="s">
        <v>25</v>
      </c>
      <c r="I404" s="5">
        <v>44562</v>
      </c>
      <c r="J404" s="6">
        <v>9500</v>
      </c>
      <c r="K404" s="6">
        <v>4750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66</v>
      </c>
      <c r="R404" s="4">
        <v>27722</v>
      </c>
      <c r="S404" s="4">
        <v>28</v>
      </c>
      <c r="T404" s="4">
        <v>0</v>
      </c>
      <c r="U404" s="4">
        <v>0</v>
      </c>
      <c r="V404" s="6">
        <f>IF(ISERROR(VLOOKUP($S$404,'TAR FIN'!$A$1:$O$116,15,0)),0,VLOOKUP($S$404,'TAR FIN'!$A$1:$O$116,15,0))</f>
        <v>15.24</v>
      </c>
      <c r="W404" s="6">
        <f>IF(ISERROR(VLOOKUP($T$404,'TAR FIN'!$A$1:$O$116,15,0)),0,VLOOKUP($T$404,'TAR FIN'!$A$1:$O$116,15,0))</f>
        <v>0</v>
      </c>
      <c r="X404" s="6">
        <f>IF(ISERROR(VLOOKUP($U$404,'TAR FIN'!$A$1:$O$116,15,0)),0,VLOOKUP($U$404,'TAR FIN'!$A$1:$O$116,15,0))</f>
        <v>0</v>
      </c>
      <c r="Y404" s="6">
        <f ca="1">('TUSD BE'!$AM$32+'TUSD BF'!$AM$32+'TUSD CVA'!$AM$32)*1</f>
        <v>17.138874075124019</v>
      </c>
      <c r="Z404" s="6"/>
      <c r="AA404" s="6"/>
      <c r="AB404" s="6">
        <f t="shared" si="26"/>
        <v>72390</v>
      </c>
      <c r="AC404" s="6">
        <f t="shared" si="27"/>
        <v>0</v>
      </c>
      <c r="AD404" s="6">
        <f t="shared" ca="1" si="28"/>
        <v>81409.651856839089</v>
      </c>
      <c r="AE404" s="6">
        <f t="shared" si="29"/>
        <v>0</v>
      </c>
      <c r="AF404" s="4" t="s">
        <v>1112</v>
      </c>
    </row>
    <row r="405" spans="1:32" ht="11.25" customHeight="1" x14ac:dyDescent="0.25">
      <c r="A405" s="4" t="s">
        <v>21</v>
      </c>
      <c r="B405" s="4" t="s">
        <v>41</v>
      </c>
      <c r="C405" s="4" t="s">
        <v>64</v>
      </c>
      <c r="D405" s="4" t="s">
        <v>25</v>
      </c>
      <c r="E405" s="4" t="s">
        <v>25</v>
      </c>
      <c r="F405" s="4" t="s">
        <v>25</v>
      </c>
      <c r="G405" s="4" t="s">
        <v>90</v>
      </c>
      <c r="H405" s="4" t="s">
        <v>25</v>
      </c>
      <c r="I405" s="5">
        <v>44562</v>
      </c>
      <c r="J405" s="6">
        <v>420</v>
      </c>
      <c r="K405" s="6">
        <v>420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4" t="s">
        <v>66</v>
      </c>
      <c r="R405" s="4">
        <v>27928</v>
      </c>
      <c r="S405" s="4">
        <v>28</v>
      </c>
      <c r="T405" s="4">
        <v>0</v>
      </c>
      <c r="U405" s="4">
        <v>0</v>
      </c>
      <c r="V405" s="6">
        <f>IF(ISERROR(VLOOKUP($S$405,'TAR FIN'!$A$1:$O$116,15,0)),0,VLOOKUP($S$405,'TAR FIN'!$A$1:$O$116,15,0))</f>
        <v>15.24</v>
      </c>
      <c r="W405" s="6">
        <f>IF(ISERROR(VLOOKUP($T$405,'TAR FIN'!$A$1:$O$116,15,0)),0,VLOOKUP($T$405,'TAR FIN'!$A$1:$O$116,15,0))</f>
        <v>0</v>
      </c>
      <c r="X405" s="6">
        <f>IF(ISERROR(VLOOKUP($U$405,'TAR FIN'!$A$1:$O$116,15,0)),0,VLOOKUP($U$405,'TAR FIN'!$A$1:$O$116,15,0))</f>
        <v>0</v>
      </c>
      <c r="Y405" s="6">
        <f ca="1">('TUSD BE'!$AM$32+'TUSD BF'!$AM$32+'TUSD CVA'!$AM$32)*1</f>
        <v>17.138874075124019</v>
      </c>
      <c r="Z405" s="6"/>
      <c r="AA405" s="6"/>
      <c r="AB405" s="6">
        <f t="shared" si="26"/>
        <v>0</v>
      </c>
      <c r="AC405" s="6">
        <f t="shared" si="27"/>
        <v>0</v>
      </c>
      <c r="AD405" s="6">
        <f t="shared" ca="1" si="28"/>
        <v>0</v>
      </c>
      <c r="AE405" s="6">
        <f t="shared" si="29"/>
        <v>0</v>
      </c>
      <c r="AF405" s="4" t="s">
        <v>1112</v>
      </c>
    </row>
    <row r="406" spans="1:32" ht="11.25" customHeight="1" x14ac:dyDescent="0.25">
      <c r="A406" s="4" t="s">
        <v>21</v>
      </c>
      <c r="B406" s="4" t="s">
        <v>41</v>
      </c>
      <c r="C406" s="4" t="s">
        <v>64</v>
      </c>
      <c r="D406" s="4" t="s">
        <v>25</v>
      </c>
      <c r="E406" s="4" t="s">
        <v>25</v>
      </c>
      <c r="F406" s="4" t="s">
        <v>25</v>
      </c>
      <c r="G406" s="4" t="s">
        <v>93</v>
      </c>
      <c r="H406" s="4" t="s">
        <v>25</v>
      </c>
      <c r="I406" s="5">
        <v>44562</v>
      </c>
      <c r="J406" s="6">
        <v>1300</v>
      </c>
      <c r="K406" s="6">
        <v>650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66</v>
      </c>
      <c r="R406" s="4">
        <v>30847</v>
      </c>
      <c r="S406" s="4">
        <v>28</v>
      </c>
      <c r="T406" s="4">
        <v>0</v>
      </c>
      <c r="U406" s="4">
        <v>0</v>
      </c>
      <c r="V406" s="6">
        <f>IF(ISERROR(VLOOKUP($S$406,'TAR FIN'!$A$1:$O$116,15,0)),0,VLOOKUP($S$406,'TAR FIN'!$A$1:$O$116,15,0))</f>
        <v>15.24</v>
      </c>
      <c r="W406" s="6">
        <f>IF(ISERROR(VLOOKUP($T$406,'TAR FIN'!$A$1:$O$116,15,0)),0,VLOOKUP($T$406,'TAR FIN'!$A$1:$O$116,15,0))</f>
        <v>0</v>
      </c>
      <c r="X406" s="6">
        <f>IF(ISERROR(VLOOKUP($U$406,'TAR FIN'!$A$1:$O$116,15,0)),0,VLOOKUP($U$406,'TAR FIN'!$A$1:$O$116,15,0))</f>
        <v>0</v>
      </c>
      <c r="Y406" s="6">
        <f ca="1">('TUSD BE'!$AM$32+'TUSD BF'!$AM$32+'TUSD CVA'!$AM$32)*1</f>
        <v>17.138874075124019</v>
      </c>
      <c r="Z406" s="6"/>
      <c r="AA406" s="6"/>
      <c r="AB406" s="6">
        <f t="shared" si="26"/>
        <v>9906</v>
      </c>
      <c r="AC406" s="6">
        <f t="shared" si="27"/>
        <v>0</v>
      </c>
      <c r="AD406" s="6">
        <f t="shared" ca="1" si="28"/>
        <v>11140.268148830612</v>
      </c>
      <c r="AE406" s="6">
        <f t="shared" si="29"/>
        <v>0</v>
      </c>
      <c r="AF406" s="4" t="s">
        <v>1112</v>
      </c>
    </row>
    <row r="407" spans="1:32" ht="11.25" customHeight="1" x14ac:dyDescent="0.25">
      <c r="A407" s="4" t="s">
        <v>21</v>
      </c>
      <c r="B407" s="4" t="s">
        <v>41</v>
      </c>
      <c r="C407" s="4" t="s">
        <v>64</v>
      </c>
      <c r="D407" s="4" t="s">
        <v>25</v>
      </c>
      <c r="E407" s="4" t="s">
        <v>25</v>
      </c>
      <c r="F407" s="4" t="s">
        <v>25</v>
      </c>
      <c r="G407" s="4" t="s">
        <v>94</v>
      </c>
      <c r="H407" s="4" t="s">
        <v>25</v>
      </c>
      <c r="I407" s="5">
        <v>44562</v>
      </c>
      <c r="J407" s="6">
        <v>1180</v>
      </c>
      <c r="K407" s="6">
        <v>590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4" t="s">
        <v>66</v>
      </c>
      <c r="R407" s="4">
        <v>30866</v>
      </c>
      <c r="S407" s="4">
        <v>28</v>
      </c>
      <c r="T407" s="4">
        <v>0</v>
      </c>
      <c r="U407" s="4">
        <v>0</v>
      </c>
      <c r="V407" s="6">
        <f>IF(ISERROR(VLOOKUP($S$407,'TAR FIN'!$A$1:$O$116,15,0)),0,VLOOKUP($S$407,'TAR FIN'!$A$1:$O$116,15,0))</f>
        <v>15.24</v>
      </c>
      <c r="W407" s="6">
        <f>IF(ISERROR(VLOOKUP($T$407,'TAR FIN'!$A$1:$O$116,15,0)),0,VLOOKUP($T$407,'TAR FIN'!$A$1:$O$116,15,0))</f>
        <v>0</v>
      </c>
      <c r="X407" s="6">
        <f>IF(ISERROR(VLOOKUP($U$407,'TAR FIN'!$A$1:$O$116,15,0)),0,VLOOKUP($U$407,'TAR FIN'!$A$1:$O$116,15,0))</f>
        <v>0</v>
      </c>
      <c r="Y407" s="6">
        <f ca="1">('TUSD BE'!$AM$32+'TUSD BF'!$AM$32+'TUSD CVA'!$AM$32)*1</f>
        <v>17.138874075124019</v>
      </c>
      <c r="Z407" s="6"/>
      <c r="AA407" s="6"/>
      <c r="AB407" s="6">
        <f t="shared" si="26"/>
        <v>8991.6</v>
      </c>
      <c r="AC407" s="6">
        <f t="shared" si="27"/>
        <v>0</v>
      </c>
      <c r="AD407" s="6">
        <f t="shared" ca="1" si="28"/>
        <v>10111.93570432317</v>
      </c>
      <c r="AE407" s="6">
        <f t="shared" si="29"/>
        <v>0</v>
      </c>
      <c r="AF407" s="4" t="s">
        <v>1112</v>
      </c>
    </row>
    <row r="408" spans="1:32" ht="11.25" customHeight="1" x14ac:dyDescent="0.25">
      <c r="A408" s="4" t="s">
        <v>21</v>
      </c>
      <c r="B408" s="4" t="s">
        <v>41</v>
      </c>
      <c r="C408" s="4" t="s">
        <v>64</v>
      </c>
      <c r="D408" s="4" t="s">
        <v>25</v>
      </c>
      <c r="E408" s="4" t="s">
        <v>25</v>
      </c>
      <c r="F408" s="4" t="s">
        <v>25</v>
      </c>
      <c r="G408" s="4" t="s">
        <v>95</v>
      </c>
      <c r="H408" s="4" t="s">
        <v>25</v>
      </c>
      <c r="I408" s="5">
        <v>44562</v>
      </c>
      <c r="J408" s="6">
        <v>1180</v>
      </c>
      <c r="K408" s="6">
        <v>590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66</v>
      </c>
      <c r="R408" s="4">
        <v>31051</v>
      </c>
      <c r="S408" s="4">
        <v>28</v>
      </c>
      <c r="T408" s="4">
        <v>0</v>
      </c>
      <c r="U408" s="4">
        <v>0</v>
      </c>
      <c r="V408" s="6">
        <f>IF(ISERROR(VLOOKUP($S$408,'TAR FIN'!$A$1:$O$116,15,0)),0,VLOOKUP($S$408,'TAR FIN'!$A$1:$O$116,15,0))</f>
        <v>15.24</v>
      </c>
      <c r="W408" s="6">
        <f>IF(ISERROR(VLOOKUP($T$408,'TAR FIN'!$A$1:$O$116,15,0)),0,VLOOKUP($T$408,'TAR FIN'!$A$1:$O$116,15,0))</f>
        <v>0</v>
      </c>
      <c r="X408" s="6">
        <f>IF(ISERROR(VLOOKUP($U$408,'TAR FIN'!$A$1:$O$116,15,0)),0,VLOOKUP($U$408,'TAR FIN'!$A$1:$O$116,15,0))</f>
        <v>0</v>
      </c>
      <c r="Y408" s="6">
        <f ca="1">('TUSD BE'!$AM$32+'TUSD BF'!$AM$32+'TUSD CVA'!$AM$32)*1</f>
        <v>17.138874075124019</v>
      </c>
      <c r="Z408" s="6"/>
      <c r="AA408" s="6"/>
      <c r="AB408" s="6">
        <f t="shared" si="26"/>
        <v>8991.6</v>
      </c>
      <c r="AC408" s="6">
        <f t="shared" si="27"/>
        <v>0</v>
      </c>
      <c r="AD408" s="6">
        <f t="shared" ca="1" si="28"/>
        <v>10111.93570432317</v>
      </c>
      <c r="AE408" s="6">
        <f t="shared" si="29"/>
        <v>0</v>
      </c>
      <c r="AF408" s="4" t="s">
        <v>1112</v>
      </c>
    </row>
    <row r="409" spans="1:32" ht="11.25" customHeight="1" x14ac:dyDescent="0.25">
      <c r="A409" s="4" t="s">
        <v>21</v>
      </c>
      <c r="B409" s="4" t="s">
        <v>41</v>
      </c>
      <c r="C409" s="4" t="s">
        <v>64</v>
      </c>
      <c r="D409" s="4" t="s">
        <v>25</v>
      </c>
      <c r="E409" s="4" t="s">
        <v>25</v>
      </c>
      <c r="F409" s="4" t="s">
        <v>25</v>
      </c>
      <c r="G409" s="4" t="s">
        <v>96</v>
      </c>
      <c r="H409" s="4" t="s">
        <v>25</v>
      </c>
      <c r="I409" s="5">
        <v>44562</v>
      </c>
      <c r="J409" s="6">
        <v>1000</v>
      </c>
      <c r="K409" s="6">
        <v>500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4" t="s">
        <v>66</v>
      </c>
      <c r="R409" s="4">
        <v>31277</v>
      </c>
      <c r="S409" s="4">
        <v>28</v>
      </c>
      <c r="T409" s="4">
        <v>0</v>
      </c>
      <c r="U409" s="4">
        <v>0</v>
      </c>
      <c r="V409" s="6">
        <f>IF(ISERROR(VLOOKUP($S$409,'TAR FIN'!$A$1:$O$116,15,0)),0,VLOOKUP($S$409,'TAR FIN'!$A$1:$O$116,15,0))</f>
        <v>15.24</v>
      </c>
      <c r="W409" s="6">
        <f>IF(ISERROR(VLOOKUP($T$409,'TAR FIN'!$A$1:$O$116,15,0)),0,VLOOKUP($T$409,'TAR FIN'!$A$1:$O$116,15,0))</f>
        <v>0</v>
      </c>
      <c r="X409" s="6">
        <f>IF(ISERROR(VLOOKUP($U$409,'TAR FIN'!$A$1:$O$116,15,0)),0,VLOOKUP($U$409,'TAR FIN'!$A$1:$O$116,15,0))</f>
        <v>0</v>
      </c>
      <c r="Y409" s="6">
        <f ca="1">('TUSD BE'!$AM$32+'TUSD BF'!$AM$32+'TUSD CVA'!$AM$32)*1</f>
        <v>17.138874075124019</v>
      </c>
      <c r="Z409" s="6"/>
      <c r="AA409" s="6"/>
      <c r="AB409" s="6">
        <f t="shared" si="26"/>
        <v>7620</v>
      </c>
      <c r="AC409" s="6">
        <f t="shared" si="27"/>
        <v>0</v>
      </c>
      <c r="AD409" s="6">
        <f t="shared" ca="1" si="28"/>
        <v>8569.4370375620092</v>
      </c>
      <c r="AE409" s="6">
        <f t="shared" si="29"/>
        <v>0</v>
      </c>
      <c r="AF409" s="4" t="s">
        <v>1112</v>
      </c>
    </row>
    <row r="410" spans="1:32" ht="11.25" customHeight="1" x14ac:dyDescent="0.25">
      <c r="A410" s="4" t="s">
        <v>21</v>
      </c>
      <c r="B410" s="4" t="s">
        <v>41</v>
      </c>
      <c r="C410" s="4" t="s">
        <v>64</v>
      </c>
      <c r="D410" s="4" t="s">
        <v>25</v>
      </c>
      <c r="E410" s="4" t="s">
        <v>25</v>
      </c>
      <c r="F410" s="4" t="s">
        <v>25</v>
      </c>
      <c r="G410" s="4" t="s">
        <v>97</v>
      </c>
      <c r="H410" s="4" t="s">
        <v>25</v>
      </c>
      <c r="I410" s="5">
        <v>44562</v>
      </c>
      <c r="J410" s="6">
        <v>1180</v>
      </c>
      <c r="K410" s="6">
        <v>590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4" t="s">
        <v>66</v>
      </c>
      <c r="R410" s="4">
        <v>31318</v>
      </c>
      <c r="S410" s="4">
        <v>28</v>
      </c>
      <c r="T410" s="4">
        <v>0</v>
      </c>
      <c r="U410" s="4">
        <v>0</v>
      </c>
      <c r="V410" s="6">
        <f>IF(ISERROR(VLOOKUP($S$410,'TAR FIN'!$A$1:$O$116,15,0)),0,VLOOKUP($S$410,'TAR FIN'!$A$1:$O$116,15,0))</f>
        <v>15.24</v>
      </c>
      <c r="W410" s="6">
        <f>IF(ISERROR(VLOOKUP($T$410,'TAR FIN'!$A$1:$O$116,15,0)),0,VLOOKUP($T$410,'TAR FIN'!$A$1:$O$116,15,0))</f>
        <v>0</v>
      </c>
      <c r="X410" s="6">
        <f>IF(ISERROR(VLOOKUP($U$410,'TAR FIN'!$A$1:$O$116,15,0)),0,VLOOKUP($U$410,'TAR FIN'!$A$1:$O$116,15,0))</f>
        <v>0</v>
      </c>
      <c r="Y410" s="6">
        <f ca="1">('TUSD BE'!$AM$32+'TUSD BF'!$AM$32+'TUSD CVA'!$AM$32)*1</f>
        <v>17.138874075124019</v>
      </c>
      <c r="Z410" s="6"/>
      <c r="AA410" s="6"/>
      <c r="AB410" s="6">
        <f t="shared" si="26"/>
        <v>8991.6</v>
      </c>
      <c r="AC410" s="6">
        <f t="shared" si="27"/>
        <v>0</v>
      </c>
      <c r="AD410" s="6">
        <f t="shared" ca="1" si="28"/>
        <v>10111.93570432317</v>
      </c>
      <c r="AE410" s="6">
        <f t="shared" si="29"/>
        <v>0</v>
      </c>
      <c r="AF410" s="4" t="s">
        <v>1112</v>
      </c>
    </row>
    <row r="411" spans="1:32" ht="11.25" customHeight="1" x14ac:dyDescent="0.25">
      <c r="A411" s="4" t="s">
        <v>21</v>
      </c>
      <c r="B411" s="4" t="s">
        <v>41</v>
      </c>
      <c r="C411" s="4" t="s">
        <v>64</v>
      </c>
      <c r="D411" s="4" t="s">
        <v>25</v>
      </c>
      <c r="E411" s="4" t="s">
        <v>25</v>
      </c>
      <c r="F411" s="4" t="s">
        <v>25</v>
      </c>
      <c r="G411" s="4" t="s">
        <v>98</v>
      </c>
      <c r="H411" s="4" t="s">
        <v>25</v>
      </c>
      <c r="I411" s="5">
        <v>44562</v>
      </c>
      <c r="J411" s="6">
        <v>3025</v>
      </c>
      <c r="K411" s="6">
        <v>1512.5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4" t="s">
        <v>66</v>
      </c>
      <c r="R411" s="4">
        <v>31334</v>
      </c>
      <c r="S411" s="4">
        <v>28</v>
      </c>
      <c r="T411" s="4">
        <v>0</v>
      </c>
      <c r="U411" s="4">
        <v>0</v>
      </c>
      <c r="V411" s="6">
        <f>IF(ISERROR(VLOOKUP($S$411,'TAR FIN'!$A$1:$O$116,15,0)),0,VLOOKUP($S$411,'TAR FIN'!$A$1:$O$116,15,0))</f>
        <v>15.24</v>
      </c>
      <c r="W411" s="6">
        <f>IF(ISERROR(VLOOKUP($T$411,'TAR FIN'!$A$1:$O$116,15,0)),0,VLOOKUP($T$411,'TAR FIN'!$A$1:$O$116,15,0))</f>
        <v>0</v>
      </c>
      <c r="X411" s="6">
        <f>IF(ISERROR(VLOOKUP($U$411,'TAR FIN'!$A$1:$O$116,15,0)),0,VLOOKUP($U$411,'TAR FIN'!$A$1:$O$116,15,0))</f>
        <v>0</v>
      </c>
      <c r="Y411" s="6">
        <f ca="1">('TUSD BE'!$AM$32+'TUSD BF'!$AM$32+'TUSD CVA'!$AM$32)*1</f>
        <v>17.138874075124019</v>
      </c>
      <c r="Z411" s="6"/>
      <c r="AA411" s="6"/>
      <c r="AB411" s="6">
        <f t="shared" si="26"/>
        <v>23050.5</v>
      </c>
      <c r="AC411" s="6">
        <f t="shared" si="27"/>
        <v>0</v>
      </c>
      <c r="AD411" s="6">
        <f t="shared" ca="1" si="28"/>
        <v>25922.547038625078</v>
      </c>
      <c r="AE411" s="6">
        <f t="shared" si="29"/>
        <v>0</v>
      </c>
      <c r="AF411" s="4" t="s">
        <v>1112</v>
      </c>
    </row>
    <row r="412" spans="1:32" ht="11.25" customHeight="1" x14ac:dyDescent="0.25">
      <c r="A412" s="4" t="s">
        <v>21</v>
      </c>
      <c r="B412" s="4" t="s">
        <v>41</v>
      </c>
      <c r="C412" s="4" t="s">
        <v>64</v>
      </c>
      <c r="D412" s="4" t="s">
        <v>25</v>
      </c>
      <c r="E412" s="4" t="s">
        <v>25</v>
      </c>
      <c r="F412" s="4" t="s">
        <v>25</v>
      </c>
      <c r="G412" s="4" t="s">
        <v>99</v>
      </c>
      <c r="H412" s="4" t="s">
        <v>25</v>
      </c>
      <c r="I412" s="5">
        <v>44562</v>
      </c>
      <c r="J412" s="6">
        <v>1180</v>
      </c>
      <c r="K412" s="6">
        <v>590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4" t="s">
        <v>66</v>
      </c>
      <c r="R412" s="4">
        <v>31618</v>
      </c>
      <c r="S412" s="4">
        <v>28</v>
      </c>
      <c r="T412" s="4">
        <v>0</v>
      </c>
      <c r="U412" s="4">
        <v>0</v>
      </c>
      <c r="V412" s="6">
        <f>IF(ISERROR(VLOOKUP($S$412,'TAR FIN'!$A$1:$O$116,15,0)),0,VLOOKUP($S$412,'TAR FIN'!$A$1:$O$116,15,0))</f>
        <v>15.24</v>
      </c>
      <c r="W412" s="6">
        <f>IF(ISERROR(VLOOKUP($T$412,'TAR FIN'!$A$1:$O$116,15,0)),0,VLOOKUP($T$412,'TAR FIN'!$A$1:$O$116,15,0))</f>
        <v>0</v>
      </c>
      <c r="X412" s="6">
        <f>IF(ISERROR(VLOOKUP($U$412,'TAR FIN'!$A$1:$O$116,15,0)),0,VLOOKUP($U$412,'TAR FIN'!$A$1:$O$116,15,0))</f>
        <v>0</v>
      </c>
      <c r="Y412" s="6">
        <f ca="1">('TUSD BE'!$AM$32+'TUSD BF'!$AM$32+'TUSD CVA'!$AM$32)*1</f>
        <v>17.138874075124019</v>
      </c>
      <c r="Z412" s="6"/>
      <c r="AA412" s="6"/>
      <c r="AB412" s="6">
        <f t="shared" si="26"/>
        <v>8991.6</v>
      </c>
      <c r="AC412" s="6">
        <f t="shared" si="27"/>
        <v>0</v>
      </c>
      <c r="AD412" s="6">
        <f t="shared" ca="1" si="28"/>
        <v>10111.93570432317</v>
      </c>
      <c r="AE412" s="6">
        <f t="shared" si="29"/>
        <v>0</v>
      </c>
      <c r="AF412" s="4" t="s">
        <v>1112</v>
      </c>
    </row>
    <row r="413" spans="1:32" ht="11.25" customHeight="1" x14ac:dyDescent="0.25">
      <c r="A413" s="4" t="s">
        <v>21</v>
      </c>
      <c r="B413" s="4" t="s">
        <v>41</v>
      </c>
      <c r="C413" s="4" t="s">
        <v>64</v>
      </c>
      <c r="D413" s="4" t="s">
        <v>25</v>
      </c>
      <c r="E413" s="4" t="s">
        <v>25</v>
      </c>
      <c r="F413" s="4" t="s">
        <v>25</v>
      </c>
      <c r="G413" s="4" t="s">
        <v>100</v>
      </c>
      <c r="H413" s="4" t="s">
        <v>25</v>
      </c>
      <c r="I413" s="5">
        <v>44562</v>
      </c>
      <c r="J413" s="6">
        <v>1180</v>
      </c>
      <c r="K413" s="6">
        <v>590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4" t="s">
        <v>66</v>
      </c>
      <c r="R413" s="4">
        <v>31677</v>
      </c>
      <c r="S413" s="4">
        <v>28</v>
      </c>
      <c r="T413" s="4">
        <v>0</v>
      </c>
      <c r="U413" s="4">
        <v>0</v>
      </c>
      <c r="V413" s="6">
        <f>IF(ISERROR(VLOOKUP($S$413,'TAR FIN'!$A$1:$O$116,15,0)),0,VLOOKUP($S$413,'TAR FIN'!$A$1:$O$116,15,0))</f>
        <v>15.24</v>
      </c>
      <c r="W413" s="6">
        <f>IF(ISERROR(VLOOKUP($T$413,'TAR FIN'!$A$1:$O$116,15,0)),0,VLOOKUP($T$413,'TAR FIN'!$A$1:$O$116,15,0))</f>
        <v>0</v>
      </c>
      <c r="X413" s="6">
        <f>IF(ISERROR(VLOOKUP($U$413,'TAR FIN'!$A$1:$O$116,15,0)),0,VLOOKUP($U$413,'TAR FIN'!$A$1:$O$116,15,0))</f>
        <v>0</v>
      </c>
      <c r="Y413" s="6">
        <f ca="1">('TUSD BE'!$AM$32+'TUSD BF'!$AM$32+'TUSD CVA'!$AM$32)*1</f>
        <v>17.138874075124019</v>
      </c>
      <c r="Z413" s="6"/>
      <c r="AA413" s="6"/>
      <c r="AB413" s="6">
        <f t="shared" si="26"/>
        <v>8991.6</v>
      </c>
      <c r="AC413" s="6">
        <f t="shared" si="27"/>
        <v>0</v>
      </c>
      <c r="AD413" s="6">
        <f t="shared" ca="1" si="28"/>
        <v>10111.93570432317</v>
      </c>
      <c r="AE413" s="6">
        <f t="shared" si="29"/>
        <v>0</v>
      </c>
      <c r="AF413" s="4" t="s">
        <v>1112</v>
      </c>
    </row>
    <row r="414" spans="1:32" ht="11.25" customHeight="1" x14ac:dyDescent="0.25">
      <c r="A414" s="4" t="s">
        <v>21</v>
      </c>
      <c r="B414" s="4" t="s">
        <v>41</v>
      </c>
      <c r="C414" s="4" t="s">
        <v>64</v>
      </c>
      <c r="D414" s="4" t="s">
        <v>25</v>
      </c>
      <c r="E414" s="4" t="s">
        <v>25</v>
      </c>
      <c r="F414" s="4" t="s">
        <v>25</v>
      </c>
      <c r="G414" s="4" t="s">
        <v>68</v>
      </c>
      <c r="H414" s="4" t="s">
        <v>25</v>
      </c>
      <c r="I414" s="5">
        <v>44593</v>
      </c>
      <c r="J414" s="6">
        <v>302</v>
      </c>
      <c r="K414" s="6">
        <v>302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4" t="s">
        <v>66</v>
      </c>
      <c r="R414" s="4">
        <v>404</v>
      </c>
      <c r="S414" s="4">
        <v>28</v>
      </c>
      <c r="T414" s="4">
        <v>0</v>
      </c>
      <c r="U414" s="4">
        <v>0</v>
      </c>
      <c r="V414" s="6">
        <f>IF(ISERROR(VLOOKUP($S$414,'TAR FIN'!$A$1:$O$116,15,0)),0,VLOOKUP($S$414,'TAR FIN'!$A$1:$O$116,15,0))</f>
        <v>15.24</v>
      </c>
      <c r="W414" s="6">
        <f>IF(ISERROR(VLOOKUP($T$414,'TAR FIN'!$A$1:$O$116,15,0)),0,VLOOKUP($T$414,'TAR FIN'!$A$1:$O$116,15,0))</f>
        <v>0</v>
      </c>
      <c r="X414" s="6">
        <f>IF(ISERROR(VLOOKUP($U$414,'TAR FIN'!$A$1:$O$116,15,0)),0,VLOOKUP($U$414,'TAR FIN'!$A$1:$O$116,15,0))</f>
        <v>0</v>
      </c>
      <c r="Y414" s="6">
        <f ca="1">('TUSD BE'!$AM$32+'TUSD BF'!$AM$32+'TUSD CVA'!$AM$32)*1</f>
        <v>17.138874075124019</v>
      </c>
      <c r="Z414" s="6"/>
      <c r="AA414" s="6"/>
      <c r="AB414" s="6">
        <f t="shared" si="26"/>
        <v>0</v>
      </c>
      <c r="AC414" s="6">
        <f t="shared" si="27"/>
        <v>0</v>
      </c>
      <c r="AD414" s="6">
        <f t="shared" ca="1" si="28"/>
        <v>0</v>
      </c>
      <c r="AE414" s="6">
        <f t="shared" si="29"/>
        <v>0</v>
      </c>
      <c r="AF414" s="4" t="s">
        <v>1112</v>
      </c>
    </row>
    <row r="415" spans="1:32" ht="11.25" customHeight="1" x14ac:dyDescent="0.25">
      <c r="A415" s="4" t="s">
        <v>21</v>
      </c>
      <c r="B415" s="4" t="s">
        <v>41</v>
      </c>
      <c r="C415" s="4" t="s">
        <v>64</v>
      </c>
      <c r="D415" s="4" t="s">
        <v>25</v>
      </c>
      <c r="E415" s="4" t="s">
        <v>25</v>
      </c>
      <c r="F415" s="4" t="s">
        <v>25</v>
      </c>
      <c r="G415" s="4" t="s">
        <v>70</v>
      </c>
      <c r="H415" s="4" t="s">
        <v>25</v>
      </c>
      <c r="I415" s="5">
        <v>44593</v>
      </c>
      <c r="J415" s="6">
        <v>5040</v>
      </c>
      <c r="K415" s="6">
        <v>5040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4" t="s">
        <v>66</v>
      </c>
      <c r="R415" s="4">
        <v>838</v>
      </c>
      <c r="S415" s="4">
        <v>28</v>
      </c>
      <c r="T415" s="4">
        <v>0</v>
      </c>
      <c r="U415" s="4">
        <v>0</v>
      </c>
      <c r="V415" s="6">
        <f>IF(ISERROR(VLOOKUP($S$415,'TAR FIN'!$A$1:$O$116,15,0)),0,VLOOKUP($S$415,'TAR FIN'!$A$1:$O$116,15,0))</f>
        <v>15.24</v>
      </c>
      <c r="W415" s="6">
        <f>IF(ISERROR(VLOOKUP($T$415,'TAR FIN'!$A$1:$O$116,15,0)),0,VLOOKUP($T$415,'TAR FIN'!$A$1:$O$116,15,0))</f>
        <v>0</v>
      </c>
      <c r="X415" s="6">
        <f>IF(ISERROR(VLOOKUP($U$415,'TAR FIN'!$A$1:$O$116,15,0)),0,VLOOKUP($U$415,'TAR FIN'!$A$1:$O$116,15,0))</f>
        <v>0</v>
      </c>
      <c r="Y415" s="6">
        <f ca="1">('TUSD BE'!$AM$32+'TUSD BF'!$AM$32+'TUSD CVA'!$AM$32)*1</f>
        <v>17.138874075124019</v>
      </c>
      <c r="Z415" s="6"/>
      <c r="AA415" s="6"/>
      <c r="AB415" s="6">
        <f t="shared" si="26"/>
        <v>0</v>
      </c>
      <c r="AC415" s="6">
        <f t="shared" si="27"/>
        <v>0</v>
      </c>
      <c r="AD415" s="6">
        <f t="shared" ca="1" si="28"/>
        <v>0</v>
      </c>
      <c r="AE415" s="6">
        <f t="shared" si="29"/>
        <v>0</v>
      </c>
      <c r="AF415" s="4" t="s">
        <v>1112</v>
      </c>
    </row>
    <row r="416" spans="1:32" ht="11.25" customHeight="1" x14ac:dyDescent="0.25">
      <c r="A416" s="4" t="s">
        <v>21</v>
      </c>
      <c r="B416" s="4" t="s">
        <v>41</v>
      </c>
      <c r="C416" s="4" t="s">
        <v>64</v>
      </c>
      <c r="D416" s="4" t="s">
        <v>25</v>
      </c>
      <c r="E416" s="4" t="s">
        <v>25</v>
      </c>
      <c r="F416" s="4" t="s">
        <v>25</v>
      </c>
      <c r="G416" s="4" t="s">
        <v>74</v>
      </c>
      <c r="H416" s="4" t="s">
        <v>25</v>
      </c>
      <c r="I416" s="5">
        <v>44593</v>
      </c>
      <c r="J416" s="6">
        <v>3800</v>
      </c>
      <c r="K416" s="6">
        <v>1900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4" t="s">
        <v>66</v>
      </c>
      <c r="R416" s="4">
        <v>1192</v>
      </c>
      <c r="S416" s="4">
        <v>28</v>
      </c>
      <c r="T416" s="4">
        <v>0</v>
      </c>
      <c r="U416" s="4">
        <v>0</v>
      </c>
      <c r="V416" s="6">
        <f>IF(ISERROR(VLOOKUP($S$416,'TAR FIN'!$A$1:$O$116,15,0)),0,VLOOKUP($S$416,'TAR FIN'!$A$1:$O$116,15,0))</f>
        <v>15.24</v>
      </c>
      <c r="W416" s="6">
        <f>IF(ISERROR(VLOOKUP($T$416,'TAR FIN'!$A$1:$O$116,15,0)),0,VLOOKUP($T$416,'TAR FIN'!$A$1:$O$116,15,0))</f>
        <v>0</v>
      </c>
      <c r="X416" s="6">
        <f>IF(ISERROR(VLOOKUP($U$416,'TAR FIN'!$A$1:$O$116,15,0)),0,VLOOKUP($U$416,'TAR FIN'!$A$1:$O$116,15,0))</f>
        <v>0</v>
      </c>
      <c r="Y416" s="6">
        <f ca="1">('TUSD BE'!$AM$32+'TUSD BF'!$AM$32+'TUSD CVA'!$AM$32)*1</f>
        <v>17.138874075124019</v>
      </c>
      <c r="Z416" s="6"/>
      <c r="AA416" s="6"/>
      <c r="AB416" s="6">
        <f t="shared" si="26"/>
        <v>28956</v>
      </c>
      <c r="AC416" s="6">
        <f t="shared" si="27"/>
        <v>0</v>
      </c>
      <c r="AD416" s="6">
        <f t="shared" ca="1" si="28"/>
        <v>32563.860742735636</v>
      </c>
      <c r="AE416" s="6">
        <f t="shared" si="29"/>
        <v>0</v>
      </c>
      <c r="AF416" s="4" t="s">
        <v>1112</v>
      </c>
    </row>
    <row r="417" spans="1:32" ht="11.25" customHeight="1" x14ac:dyDescent="0.25">
      <c r="A417" s="4" t="s">
        <v>21</v>
      </c>
      <c r="B417" s="4" t="s">
        <v>41</v>
      </c>
      <c r="C417" s="4" t="s">
        <v>64</v>
      </c>
      <c r="D417" s="4" t="s">
        <v>25</v>
      </c>
      <c r="E417" s="4" t="s">
        <v>25</v>
      </c>
      <c r="F417" s="4" t="s">
        <v>25</v>
      </c>
      <c r="G417" s="4" t="s">
        <v>76</v>
      </c>
      <c r="H417" s="4" t="s">
        <v>25</v>
      </c>
      <c r="I417" s="5">
        <v>44593</v>
      </c>
      <c r="J417" s="6">
        <v>480</v>
      </c>
      <c r="K417" s="6">
        <v>480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4" t="s">
        <v>66</v>
      </c>
      <c r="R417" s="4">
        <v>1438</v>
      </c>
      <c r="S417" s="4">
        <v>28</v>
      </c>
      <c r="T417" s="4">
        <v>0</v>
      </c>
      <c r="U417" s="4">
        <v>0</v>
      </c>
      <c r="V417" s="6">
        <f>IF(ISERROR(VLOOKUP($S$417,'TAR FIN'!$A$1:$O$116,15,0)),0,VLOOKUP($S$417,'TAR FIN'!$A$1:$O$116,15,0))</f>
        <v>15.24</v>
      </c>
      <c r="W417" s="6">
        <f>IF(ISERROR(VLOOKUP($T$417,'TAR FIN'!$A$1:$O$116,15,0)),0,VLOOKUP($T$417,'TAR FIN'!$A$1:$O$116,15,0))</f>
        <v>0</v>
      </c>
      <c r="X417" s="6">
        <f>IF(ISERROR(VLOOKUP($U$417,'TAR FIN'!$A$1:$O$116,15,0)),0,VLOOKUP($U$417,'TAR FIN'!$A$1:$O$116,15,0))</f>
        <v>0</v>
      </c>
      <c r="Y417" s="6">
        <f ca="1">('TUSD BE'!$AM$32+'TUSD BF'!$AM$32+'TUSD CVA'!$AM$32)*1</f>
        <v>17.138874075124019</v>
      </c>
      <c r="Z417" s="6"/>
      <c r="AA417" s="6"/>
      <c r="AB417" s="6">
        <f t="shared" si="26"/>
        <v>0</v>
      </c>
      <c r="AC417" s="6">
        <f t="shared" si="27"/>
        <v>0</v>
      </c>
      <c r="AD417" s="6">
        <f t="shared" ca="1" si="28"/>
        <v>0</v>
      </c>
      <c r="AE417" s="6">
        <f t="shared" si="29"/>
        <v>0</v>
      </c>
      <c r="AF417" s="4" t="s">
        <v>1112</v>
      </c>
    </row>
    <row r="418" spans="1:32" ht="11.25" customHeight="1" x14ac:dyDescent="0.25">
      <c r="A418" s="4" t="s">
        <v>21</v>
      </c>
      <c r="B418" s="4" t="s">
        <v>41</v>
      </c>
      <c r="C418" s="4" t="s">
        <v>64</v>
      </c>
      <c r="D418" s="4" t="s">
        <v>25</v>
      </c>
      <c r="E418" s="4" t="s">
        <v>25</v>
      </c>
      <c r="F418" s="4" t="s">
        <v>25</v>
      </c>
      <c r="G418" s="4" t="s">
        <v>77</v>
      </c>
      <c r="H418" s="4" t="s">
        <v>25</v>
      </c>
      <c r="I418" s="5">
        <v>44593</v>
      </c>
      <c r="J418" s="6">
        <v>736</v>
      </c>
      <c r="K418" s="6">
        <v>736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4" t="s">
        <v>66</v>
      </c>
      <c r="R418" s="4">
        <v>1462</v>
      </c>
      <c r="S418" s="4">
        <v>28</v>
      </c>
      <c r="T418" s="4">
        <v>0</v>
      </c>
      <c r="U418" s="4">
        <v>0</v>
      </c>
      <c r="V418" s="6">
        <f>IF(ISERROR(VLOOKUP($S$418,'TAR FIN'!$A$1:$O$116,15,0)),0,VLOOKUP($S$418,'TAR FIN'!$A$1:$O$116,15,0))</f>
        <v>15.24</v>
      </c>
      <c r="W418" s="6">
        <f>IF(ISERROR(VLOOKUP($T$418,'TAR FIN'!$A$1:$O$116,15,0)),0,VLOOKUP($T$418,'TAR FIN'!$A$1:$O$116,15,0))</f>
        <v>0</v>
      </c>
      <c r="X418" s="6">
        <f>IF(ISERROR(VLOOKUP($U$418,'TAR FIN'!$A$1:$O$116,15,0)),0,VLOOKUP($U$418,'TAR FIN'!$A$1:$O$116,15,0))</f>
        <v>0</v>
      </c>
      <c r="Y418" s="6">
        <f ca="1">('TUSD BE'!$AM$32+'TUSD BF'!$AM$32+'TUSD CVA'!$AM$32)*1</f>
        <v>17.138874075124019</v>
      </c>
      <c r="Z418" s="6"/>
      <c r="AA418" s="6"/>
      <c r="AB418" s="6">
        <f t="shared" si="26"/>
        <v>0</v>
      </c>
      <c r="AC418" s="6">
        <f t="shared" si="27"/>
        <v>0</v>
      </c>
      <c r="AD418" s="6">
        <f t="shared" ca="1" si="28"/>
        <v>0</v>
      </c>
      <c r="AE418" s="6">
        <f t="shared" si="29"/>
        <v>0</v>
      </c>
      <c r="AF418" s="4" t="s">
        <v>1112</v>
      </c>
    </row>
    <row r="419" spans="1:32" ht="11.25" customHeight="1" x14ac:dyDescent="0.25">
      <c r="A419" s="4" t="s">
        <v>21</v>
      </c>
      <c r="B419" s="4" t="s">
        <v>41</v>
      </c>
      <c r="C419" s="4" t="s">
        <v>64</v>
      </c>
      <c r="D419" s="4" t="s">
        <v>25</v>
      </c>
      <c r="E419" s="4" t="s">
        <v>25</v>
      </c>
      <c r="F419" s="4" t="s">
        <v>25</v>
      </c>
      <c r="G419" s="4" t="s">
        <v>78</v>
      </c>
      <c r="H419" s="4" t="s">
        <v>25</v>
      </c>
      <c r="I419" s="5">
        <v>44593</v>
      </c>
      <c r="J419" s="6">
        <v>6460</v>
      </c>
      <c r="K419" s="6">
        <v>6460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4" t="s">
        <v>66</v>
      </c>
      <c r="R419" s="4">
        <v>1533</v>
      </c>
      <c r="S419" s="4">
        <v>28</v>
      </c>
      <c r="T419" s="4">
        <v>0</v>
      </c>
      <c r="U419" s="4">
        <v>0</v>
      </c>
      <c r="V419" s="6">
        <f>IF(ISERROR(VLOOKUP($S$419,'TAR FIN'!$A$1:$O$116,15,0)),0,VLOOKUP($S$419,'TAR FIN'!$A$1:$O$116,15,0))</f>
        <v>15.24</v>
      </c>
      <c r="W419" s="6">
        <f>IF(ISERROR(VLOOKUP($T$419,'TAR FIN'!$A$1:$O$116,15,0)),0,VLOOKUP($T$419,'TAR FIN'!$A$1:$O$116,15,0))</f>
        <v>0</v>
      </c>
      <c r="X419" s="6">
        <f>IF(ISERROR(VLOOKUP($U$419,'TAR FIN'!$A$1:$O$116,15,0)),0,VLOOKUP($U$419,'TAR FIN'!$A$1:$O$116,15,0))</f>
        <v>0</v>
      </c>
      <c r="Y419" s="6">
        <f ca="1">('TUSD BE'!$AM$32+'TUSD BF'!$AM$32+'TUSD CVA'!$AM$32)*1</f>
        <v>17.138874075124019</v>
      </c>
      <c r="Z419" s="6"/>
      <c r="AA419" s="6"/>
      <c r="AB419" s="6">
        <f t="shared" si="26"/>
        <v>0</v>
      </c>
      <c r="AC419" s="6">
        <f t="shared" si="27"/>
        <v>0</v>
      </c>
      <c r="AD419" s="6">
        <f t="shared" ca="1" si="28"/>
        <v>0</v>
      </c>
      <c r="AE419" s="6">
        <f t="shared" si="29"/>
        <v>0</v>
      </c>
      <c r="AF419" s="4" t="s">
        <v>1112</v>
      </c>
    </row>
    <row r="420" spans="1:32" ht="11.25" customHeight="1" x14ac:dyDescent="0.25">
      <c r="A420" s="4" t="s">
        <v>21</v>
      </c>
      <c r="B420" s="4" t="s">
        <v>41</v>
      </c>
      <c r="C420" s="4" t="s">
        <v>64</v>
      </c>
      <c r="D420" s="4" t="s">
        <v>25</v>
      </c>
      <c r="E420" s="4" t="s">
        <v>25</v>
      </c>
      <c r="F420" s="4" t="s">
        <v>25</v>
      </c>
      <c r="G420" s="4" t="s">
        <v>79</v>
      </c>
      <c r="H420" s="4" t="s">
        <v>25</v>
      </c>
      <c r="I420" s="5">
        <v>44593</v>
      </c>
      <c r="J420" s="6">
        <v>770</v>
      </c>
      <c r="K420" s="6">
        <v>770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4" t="s">
        <v>66</v>
      </c>
      <c r="R420" s="4">
        <v>2535</v>
      </c>
      <c r="S420" s="4">
        <v>28</v>
      </c>
      <c r="T420" s="4">
        <v>0</v>
      </c>
      <c r="U420" s="4">
        <v>0</v>
      </c>
      <c r="V420" s="6">
        <f>IF(ISERROR(VLOOKUP($S$420,'TAR FIN'!$A$1:$O$116,15,0)),0,VLOOKUP($S$420,'TAR FIN'!$A$1:$O$116,15,0))</f>
        <v>15.24</v>
      </c>
      <c r="W420" s="6">
        <f>IF(ISERROR(VLOOKUP($T$420,'TAR FIN'!$A$1:$O$116,15,0)),0,VLOOKUP($T$420,'TAR FIN'!$A$1:$O$116,15,0))</f>
        <v>0</v>
      </c>
      <c r="X420" s="6">
        <f>IF(ISERROR(VLOOKUP($U$420,'TAR FIN'!$A$1:$O$116,15,0)),0,VLOOKUP($U$420,'TAR FIN'!$A$1:$O$116,15,0))</f>
        <v>0</v>
      </c>
      <c r="Y420" s="6">
        <f ca="1">('TUSD BE'!$AM$32+'TUSD BF'!$AM$32+'TUSD CVA'!$AM$32)*1</f>
        <v>17.138874075124019</v>
      </c>
      <c r="Z420" s="6"/>
      <c r="AA420" s="6"/>
      <c r="AB420" s="6">
        <f t="shared" si="26"/>
        <v>0</v>
      </c>
      <c r="AC420" s="6">
        <f t="shared" si="27"/>
        <v>0</v>
      </c>
      <c r="AD420" s="6">
        <f t="shared" ca="1" si="28"/>
        <v>0</v>
      </c>
      <c r="AE420" s="6">
        <f t="shared" si="29"/>
        <v>0</v>
      </c>
      <c r="AF420" s="4" t="s">
        <v>1112</v>
      </c>
    </row>
    <row r="421" spans="1:32" ht="11.25" customHeight="1" x14ac:dyDescent="0.25">
      <c r="A421" s="4" t="s">
        <v>21</v>
      </c>
      <c r="B421" s="4" t="s">
        <v>41</v>
      </c>
      <c r="C421" s="4" t="s">
        <v>64</v>
      </c>
      <c r="D421" s="4" t="s">
        <v>25</v>
      </c>
      <c r="E421" s="4" t="s">
        <v>25</v>
      </c>
      <c r="F421" s="4" t="s">
        <v>25</v>
      </c>
      <c r="G421" s="4" t="s">
        <v>80</v>
      </c>
      <c r="H421" s="4" t="s">
        <v>25</v>
      </c>
      <c r="I421" s="5">
        <v>44593</v>
      </c>
      <c r="J421" s="6">
        <v>1416</v>
      </c>
      <c r="K421" s="6">
        <v>1416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4" t="s">
        <v>66</v>
      </c>
      <c r="R421" s="4">
        <v>2751</v>
      </c>
      <c r="S421" s="4">
        <v>28</v>
      </c>
      <c r="T421" s="4">
        <v>0</v>
      </c>
      <c r="U421" s="4">
        <v>0</v>
      </c>
      <c r="V421" s="6">
        <f>IF(ISERROR(VLOOKUP($S$421,'TAR FIN'!$A$1:$O$116,15,0)),0,VLOOKUP($S$421,'TAR FIN'!$A$1:$O$116,15,0))</f>
        <v>15.24</v>
      </c>
      <c r="W421" s="6">
        <f>IF(ISERROR(VLOOKUP($T$421,'TAR FIN'!$A$1:$O$116,15,0)),0,VLOOKUP($T$421,'TAR FIN'!$A$1:$O$116,15,0))</f>
        <v>0</v>
      </c>
      <c r="X421" s="6">
        <f>IF(ISERROR(VLOOKUP($U$421,'TAR FIN'!$A$1:$O$116,15,0)),0,VLOOKUP($U$421,'TAR FIN'!$A$1:$O$116,15,0))</f>
        <v>0</v>
      </c>
      <c r="Y421" s="6">
        <f ca="1">('TUSD BE'!$AM$32+'TUSD BF'!$AM$32+'TUSD CVA'!$AM$32)*1</f>
        <v>17.138874075124019</v>
      </c>
      <c r="Z421" s="6"/>
      <c r="AA421" s="6"/>
      <c r="AB421" s="6">
        <f t="shared" si="26"/>
        <v>0</v>
      </c>
      <c r="AC421" s="6">
        <f t="shared" si="27"/>
        <v>0</v>
      </c>
      <c r="AD421" s="6">
        <f t="shared" ca="1" si="28"/>
        <v>0</v>
      </c>
      <c r="AE421" s="6">
        <f t="shared" si="29"/>
        <v>0</v>
      </c>
      <c r="AF421" s="4" t="s">
        <v>1112</v>
      </c>
    </row>
    <row r="422" spans="1:32" ht="11.25" customHeight="1" x14ac:dyDescent="0.25">
      <c r="A422" s="4" t="s">
        <v>21</v>
      </c>
      <c r="B422" s="4" t="s">
        <v>41</v>
      </c>
      <c r="C422" s="4" t="s">
        <v>64</v>
      </c>
      <c r="D422" s="4" t="s">
        <v>25</v>
      </c>
      <c r="E422" s="4" t="s">
        <v>25</v>
      </c>
      <c r="F422" s="4" t="s">
        <v>25</v>
      </c>
      <c r="G422" s="4" t="s">
        <v>88</v>
      </c>
      <c r="H422" s="4" t="s">
        <v>25</v>
      </c>
      <c r="I422" s="5">
        <v>44593</v>
      </c>
      <c r="J422" s="6">
        <v>9500</v>
      </c>
      <c r="K422" s="6">
        <v>4750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4" t="s">
        <v>66</v>
      </c>
      <c r="R422" s="4">
        <v>27722</v>
      </c>
      <c r="S422" s="4">
        <v>28</v>
      </c>
      <c r="T422" s="4">
        <v>0</v>
      </c>
      <c r="U422" s="4">
        <v>0</v>
      </c>
      <c r="V422" s="6">
        <f>IF(ISERROR(VLOOKUP($S$422,'TAR FIN'!$A$1:$O$116,15,0)),0,VLOOKUP($S$422,'TAR FIN'!$A$1:$O$116,15,0))</f>
        <v>15.24</v>
      </c>
      <c r="W422" s="6">
        <f>IF(ISERROR(VLOOKUP($T$422,'TAR FIN'!$A$1:$O$116,15,0)),0,VLOOKUP($T$422,'TAR FIN'!$A$1:$O$116,15,0))</f>
        <v>0</v>
      </c>
      <c r="X422" s="6">
        <f>IF(ISERROR(VLOOKUP($U$422,'TAR FIN'!$A$1:$O$116,15,0)),0,VLOOKUP($U$422,'TAR FIN'!$A$1:$O$116,15,0))</f>
        <v>0</v>
      </c>
      <c r="Y422" s="6">
        <f ca="1">('TUSD BE'!$AM$32+'TUSD BF'!$AM$32+'TUSD CVA'!$AM$32)*1</f>
        <v>17.138874075124019</v>
      </c>
      <c r="Z422" s="6"/>
      <c r="AA422" s="6"/>
      <c r="AB422" s="6">
        <f t="shared" si="26"/>
        <v>72390</v>
      </c>
      <c r="AC422" s="6">
        <f t="shared" si="27"/>
        <v>0</v>
      </c>
      <c r="AD422" s="6">
        <f t="shared" ca="1" si="28"/>
        <v>81409.651856839089</v>
      </c>
      <c r="AE422" s="6">
        <f t="shared" si="29"/>
        <v>0</v>
      </c>
      <c r="AF422" s="4" t="s">
        <v>1112</v>
      </c>
    </row>
    <row r="423" spans="1:32" ht="11.25" customHeight="1" x14ac:dyDescent="0.25">
      <c r="A423" s="4" t="s">
        <v>21</v>
      </c>
      <c r="B423" s="4" t="s">
        <v>41</v>
      </c>
      <c r="C423" s="4" t="s">
        <v>64</v>
      </c>
      <c r="D423" s="4" t="s">
        <v>25</v>
      </c>
      <c r="E423" s="4" t="s">
        <v>25</v>
      </c>
      <c r="F423" s="4" t="s">
        <v>25</v>
      </c>
      <c r="G423" s="4" t="s">
        <v>90</v>
      </c>
      <c r="H423" s="4" t="s">
        <v>25</v>
      </c>
      <c r="I423" s="5">
        <v>44593</v>
      </c>
      <c r="J423" s="6">
        <v>420</v>
      </c>
      <c r="K423" s="6">
        <v>420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4" t="s">
        <v>66</v>
      </c>
      <c r="R423" s="4">
        <v>27928</v>
      </c>
      <c r="S423" s="4">
        <v>28</v>
      </c>
      <c r="T423" s="4">
        <v>0</v>
      </c>
      <c r="U423" s="4">
        <v>0</v>
      </c>
      <c r="V423" s="6">
        <f>IF(ISERROR(VLOOKUP($S$423,'TAR FIN'!$A$1:$O$116,15,0)),0,VLOOKUP($S$423,'TAR FIN'!$A$1:$O$116,15,0))</f>
        <v>15.24</v>
      </c>
      <c r="W423" s="6">
        <f>IF(ISERROR(VLOOKUP($T$423,'TAR FIN'!$A$1:$O$116,15,0)),0,VLOOKUP($T$423,'TAR FIN'!$A$1:$O$116,15,0))</f>
        <v>0</v>
      </c>
      <c r="X423" s="6">
        <f>IF(ISERROR(VLOOKUP($U$423,'TAR FIN'!$A$1:$O$116,15,0)),0,VLOOKUP($U$423,'TAR FIN'!$A$1:$O$116,15,0))</f>
        <v>0</v>
      </c>
      <c r="Y423" s="6">
        <f ca="1">('TUSD BE'!$AM$32+'TUSD BF'!$AM$32+'TUSD CVA'!$AM$32)*1</f>
        <v>17.138874075124019</v>
      </c>
      <c r="Z423" s="6"/>
      <c r="AA423" s="6"/>
      <c r="AB423" s="6">
        <f t="shared" si="26"/>
        <v>0</v>
      </c>
      <c r="AC423" s="6">
        <f t="shared" si="27"/>
        <v>0</v>
      </c>
      <c r="AD423" s="6">
        <f t="shared" ca="1" si="28"/>
        <v>0</v>
      </c>
      <c r="AE423" s="6">
        <f t="shared" si="29"/>
        <v>0</v>
      </c>
      <c r="AF423" s="4" t="s">
        <v>1112</v>
      </c>
    </row>
    <row r="424" spans="1:32" ht="11.25" customHeight="1" x14ac:dyDescent="0.25">
      <c r="A424" s="4" t="s">
        <v>21</v>
      </c>
      <c r="B424" s="4" t="s">
        <v>41</v>
      </c>
      <c r="C424" s="4" t="s">
        <v>64</v>
      </c>
      <c r="D424" s="4" t="s">
        <v>25</v>
      </c>
      <c r="E424" s="4" t="s">
        <v>25</v>
      </c>
      <c r="F424" s="4" t="s">
        <v>25</v>
      </c>
      <c r="G424" s="4" t="s">
        <v>93</v>
      </c>
      <c r="H424" s="4" t="s">
        <v>25</v>
      </c>
      <c r="I424" s="5">
        <v>44593</v>
      </c>
      <c r="J424" s="6">
        <v>1300</v>
      </c>
      <c r="K424" s="6">
        <v>650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4" t="s">
        <v>66</v>
      </c>
      <c r="R424" s="4">
        <v>30847</v>
      </c>
      <c r="S424" s="4">
        <v>28</v>
      </c>
      <c r="T424" s="4">
        <v>0</v>
      </c>
      <c r="U424" s="4">
        <v>0</v>
      </c>
      <c r="V424" s="6">
        <f>IF(ISERROR(VLOOKUP($S$424,'TAR FIN'!$A$1:$O$116,15,0)),0,VLOOKUP($S$424,'TAR FIN'!$A$1:$O$116,15,0))</f>
        <v>15.24</v>
      </c>
      <c r="W424" s="6">
        <f>IF(ISERROR(VLOOKUP($T$424,'TAR FIN'!$A$1:$O$116,15,0)),0,VLOOKUP($T$424,'TAR FIN'!$A$1:$O$116,15,0))</f>
        <v>0</v>
      </c>
      <c r="X424" s="6">
        <f>IF(ISERROR(VLOOKUP($U$424,'TAR FIN'!$A$1:$O$116,15,0)),0,VLOOKUP($U$424,'TAR FIN'!$A$1:$O$116,15,0))</f>
        <v>0</v>
      </c>
      <c r="Y424" s="6">
        <f ca="1">('TUSD BE'!$AM$32+'TUSD BF'!$AM$32+'TUSD CVA'!$AM$32)*1</f>
        <v>17.138874075124019</v>
      </c>
      <c r="Z424" s="6"/>
      <c r="AA424" s="6"/>
      <c r="AB424" s="6">
        <f t="shared" si="26"/>
        <v>9906</v>
      </c>
      <c r="AC424" s="6">
        <f t="shared" si="27"/>
        <v>0</v>
      </c>
      <c r="AD424" s="6">
        <f t="shared" ca="1" si="28"/>
        <v>11140.268148830612</v>
      </c>
      <c r="AE424" s="6">
        <f t="shared" si="29"/>
        <v>0</v>
      </c>
      <c r="AF424" s="4" t="s">
        <v>1112</v>
      </c>
    </row>
    <row r="425" spans="1:32" ht="11.25" customHeight="1" x14ac:dyDescent="0.25">
      <c r="A425" s="4" t="s">
        <v>21</v>
      </c>
      <c r="B425" s="4" t="s">
        <v>41</v>
      </c>
      <c r="C425" s="4" t="s">
        <v>64</v>
      </c>
      <c r="D425" s="4" t="s">
        <v>25</v>
      </c>
      <c r="E425" s="4" t="s">
        <v>25</v>
      </c>
      <c r="F425" s="4" t="s">
        <v>25</v>
      </c>
      <c r="G425" s="4" t="s">
        <v>94</v>
      </c>
      <c r="H425" s="4" t="s">
        <v>25</v>
      </c>
      <c r="I425" s="5">
        <v>44593</v>
      </c>
      <c r="J425" s="6">
        <v>1180</v>
      </c>
      <c r="K425" s="6">
        <v>590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4" t="s">
        <v>66</v>
      </c>
      <c r="R425" s="4">
        <v>30866</v>
      </c>
      <c r="S425" s="4">
        <v>28</v>
      </c>
      <c r="T425" s="4">
        <v>0</v>
      </c>
      <c r="U425" s="4">
        <v>0</v>
      </c>
      <c r="V425" s="6">
        <f>IF(ISERROR(VLOOKUP($S$425,'TAR FIN'!$A$1:$O$116,15,0)),0,VLOOKUP($S$425,'TAR FIN'!$A$1:$O$116,15,0))</f>
        <v>15.24</v>
      </c>
      <c r="W425" s="6">
        <f>IF(ISERROR(VLOOKUP($T$425,'TAR FIN'!$A$1:$O$116,15,0)),0,VLOOKUP($T$425,'TAR FIN'!$A$1:$O$116,15,0))</f>
        <v>0</v>
      </c>
      <c r="X425" s="6">
        <f>IF(ISERROR(VLOOKUP($U$425,'TAR FIN'!$A$1:$O$116,15,0)),0,VLOOKUP($U$425,'TAR FIN'!$A$1:$O$116,15,0))</f>
        <v>0</v>
      </c>
      <c r="Y425" s="6">
        <f ca="1">('TUSD BE'!$AM$32+'TUSD BF'!$AM$32+'TUSD CVA'!$AM$32)*1</f>
        <v>17.138874075124019</v>
      </c>
      <c r="Z425" s="6"/>
      <c r="AA425" s="6"/>
      <c r="AB425" s="6">
        <f t="shared" si="26"/>
        <v>8991.6</v>
      </c>
      <c r="AC425" s="6">
        <f t="shared" si="27"/>
        <v>0</v>
      </c>
      <c r="AD425" s="6">
        <f t="shared" ca="1" si="28"/>
        <v>10111.93570432317</v>
      </c>
      <c r="AE425" s="6">
        <f t="shared" si="29"/>
        <v>0</v>
      </c>
      <c r="AF425" s="4" t="s">
        <v>1112</v>
      </c>
    </row>
    <row r="426" spans="1:32" ht="11.25" customHeight="1" x14ac:dyDescent="0.25">
      <c r="A426" s="4" t="s">
        <v>21</v>
      </c>
      <c r="B426" s="4" t="s">
        <v>41</v>
      </c>
      <c r="C426" s="4" t="s">
        <v>64</v>
      </c>
      <c r="D426" s="4" t="s">
        <v>25</v>
      </c>
      <c r="E426" s="4" t="s">
        <v>25</v>
      </c>
      <c r="F426" s="4" t="s">
        <v>25</v>
      </c>
      <c r="G426" s="4" t="s">
        <v>95</v>
      </c>
      <c r="H426" s="4" t="s">
        <v>25</v>
      </c>
      <c r="I426" s="5">
        <v>44593</v>
      </c>
      <c r="J426" s="6">
        <v>1180</v>
      </c>
      <c r="K426" s="6">
        <v>590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4" t="s">
        <v>66</v>
      </c>
      <c r="R426" s="4">
        <v>31051</v>
      </c>
      <c r="S426" s="4">
        <v>28</v>
      </c>
      <c r="T426" s="4">
        <v>0</v>
      </c>
      <c r="U426" s="4">
        <v>0</v>
      </c>
      <c r="V426" s="6">
        <f>IF(ISERROR(VLOOKUP($S$426,'TAR FIN'!$A$1:$O$116,15,0)),0,VLOOKUP($S$426,'TAR FIN'!$A$1:$O$116,15,0))</f>
        <v>15.24</v>
      </c>
      <c r="W426" s="6">
        <f>IF(ISERROR(VLOOKUP($T$426,'TAR FIN'!$A$1:$O$116,15,0)),0,VLOOKUP($T$426,'TAR FIN'!$A$1:$O$116,15,0))</f>
        <v>0</v>
      </c>
      <c r="X426" s="6">
        <f>IF(ISERROR(VLOOKUP($U$426,'TAR FIN'!$A$1:$O$116,15,0)),0,VLOOKUP($U$426,'TAR FIN'!$A$1:$O$116,15,0))</f>
        <v>0</v>
      </c>
      <c r="Y426" s="6">
        <f ca="1">('TUSD BE'!$AM$32+'TUSD BF'!$AM$32+'TUSD CVA'!$AM$32)*1</f>
        <v>17.138874075124019</v>
      </c>
      <c r="Z426" s="6"/>
      <c r="AA426" s="6"/>
      <c r="AB426" s="6">
        <f t="shared" si="26"/>
        <v>8991.6</v>
      </c>
      <c r="AC426" s="6">
        <f t="shared" si="27"/>
        <v>0</v>
      </c>
      <c r="AD426" s="6">
        <f t="shared" ca="1" si="28"/>
        <v>10111.93570432317</v>
      </c>
      <c r="AE426" s="6">
        <f t="shared" si="29"/>
        <v>0</v>
      </c>
      <c r="AF426" s="4" t="s">
        <v>1112</v>
      </c>
    </row>
    <row r="427" spans="1:32" ht="11.25" customHeight="1" x14ac:dyDescent="0.25">
      <c r="A427" s="4" t="s">
        <v>21</v>
      </c>
      <c r="B427" s="4" t="s">
        <v>41</v>
      </c>
      <c r="C427" s="4" t="s">
        <v>64</v>
      </c>
      <c r="D427" s="4" t="s">
        <v>25</v>
      </c>
      <c r="E427" s="4" t="s">
        <v>25</v>
      </c>
      <c r="F427" s="4" t="s">
        <v>25</v>
      </c>
      <c r="G427" s="4" t="s">
        <v>96</v>
      </c>
      <c r="H427" s="4" t="s">
        <v>25</v>
      </c>
      <c r="I427" s="5">
        <v>44593</v>
      </c>
      <c r="J427" s="6">
        <v>1000</v>
      </c>
      <c r="K427" s="6">
        <v>500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4" t="s">
        <v>66</v>
      </c>
      <c r="R427" s="4">
        <v>31277</v>
      </c>
      <c r="S427" s="4">
        <v>28</v>
      </c>
      <c r="T427" s="4">
        <v>0</v>
      </c>
      <c r="U427" s="4">
        <v>0</v>
      </c>
      <c r="V427" s="6">
        <f>IF(ISERROR(VLOOKUP($S$427,'TAR FIN'!$A$1:$O$116,15,0)),0,VLOOKUP($S$427,'TAR FIN'!$A$1:$O$116,15,0))</f>
        <v>15.24</v>
      </c>
      <c r="W427" s="6">
        <f>IF(ISERROR(VLOOKUP($T$427,'TAR FIN'!$A$1:$O$116,15,0)),0,VLOOKUP($T$427,'TAR FIN'!$A$1:$O$116,15,0))</f>
        <v>0</v>
      </c>
      <c r="X427" s="6">
        <f>IF(ISERROR(VLOOKUP($U$427,'TAR FIN'!$A$1:$O$116,15,0)),0,VLOOKUP($U$427,'TAR FIN'!$A$1:$O$116,15,0))</f>
        <v>0</v>
      </c>
      <c r="Y427" s="6">
        <f ca="1">('TUSD BE'!$AM$32+'TUSD BF'!$AM$32+'TUSD CVA'!$AM$32)*1</f>
        <v>17.138874075124019</v>
      </c>
      <c r="Z427" s="6"/>
      <c r="AA427" s="6"/>
      <c r="AB427" s="6">
        <f t="shared" si="26"/>
        <v>7620</v>
      </c>
      <c r="AC427" s="6">
        <f t="shared" si="27"/>
        <v>0</v>
      </c>
      <c r="AD427" s="6">
        <f t="shared" ca="1" si="28"/>
        <v>8569.4370375620092</v>
      </c>
      <c r="AE427" s="6">
        <f t="shared" si="29"/>
        <v>0</v>
      </c>
      <c r="AF427" s="4" t="s">
        <v>1112</v>
      </c>
    </row>
    <row r="428" spans="1:32" ht="11.25" customHeight="1" x14ac:dyDescent="0.25">
      <c r="A428" s="4" t="s">
        <v>21</v>
      </c>
      <c r="B428" s="4" t="s">
        <v>41</v>
      </c>
      <c r="C428" s="4" t="s">
        <v>64</v>
      </c>
      <c r="D428" s="4" t="s">
        <v>25</v>
      </c>
      <c r="E428" s="4" t="s">
        <v>25</v>
      </c>
      <c r="F428" s="4" t="s">
        <v>25</v>
      </c>
      <c r="G428" s="4" t="s">
        <v>97</v>
      </c>
      <c r="H428" s="4" t="s">
        <v>25</v>
      </c>
      <c r="I428" s="5">
        <v>44593</v>
      </c>
      <c r="J428" s="6">
        <v>1180</v>
      </c>
      <c r="K428" s="6">
        <v>590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4" t="s">
        <v>66</v>
      </c>
      <c r="R428" s="4">
        <v>31318</v>
      </c>
      <c r="S428" s="4">
        <v>28</v>
      </c>
      <c r="T428" s="4">
        <v>0</v>
      </c>
      <c r="U428" s="4">
        <v>0</v>
      </c>
      <c r="V428" s="6">
        <f>IF(ISERROR(VLOOKUP($S$428,'TAR FIN'!$A$1:$O$116,15,0)),0,VLOOKUP($S$428,'TAR FIN'!$A$1:$O$116,15,0))</f>
        <v>15.24</v>
      </c>
      <c r="W428" s="6">
        <f>IF(ISERROR(VLOOKUP($T$428,'TAR FIN'!$A$1:$O$116,15,0)),0,VLOOKUP($T$428,'TAR FIN'!$A$1:$O$116,15,0))</f>
        <v>0</v>
      </c>
      <c r="X428" s="6">
        <f>IF(ISERROR(VLOOKUP($U$428,'TAR FIN'!$A$1:$O$116,15,0)),0,VLOOKUP($U$428,'TAR FIN'!$A$1:$O$116,15,0))</f>
        <v>0</v>
      </c>
      <c r="Y428" s="6">
        <f ca="1">('TUSD BE'!$AM$32+'TUSD BF'!$AM$32+'TUSD CVA'!$AM$32)*1</f>
        <v>17.138874075124019</v>
      </c>
      <c r="Z428" s="6"/>
      <c r="AA428" s="6"/>
      <c r="AB428" s="6">
        <f t="shared" si="26"/>
        <v>8991.6</v>
      </c>
      <c r="AC428" s="6">
        <f t="shared" si="27"/>
        <v>0</v>
      </c>
      <c r="AD428" s="6">
        <f t="shared" ca="1" si="28"/>
        <v>10111.93570432317</v>
      </c>
      <c r="AE428" s="6">
        <f t="shared" si="29"/>
        <v>0</v>
      </c>
      <c r="AF428" s="4" t="s">
        <v>1112</v>
      </c>
    </row>
    <row r="429" spans="1:32" ht="11.25" customHeight="1" x14ac:dyDescent="0.25">
      <c r="A429" s="4" t="s">
        <v>21</v>
      </c>
      <c r="B429" s="4" t="s">
        <v>41</v>
      </c>
      <c r="C429" s="4" t="s">
        <v>64</v>
      </c>
      <c r="D429" s="4" t="s">
        <v>25</v>
      </c>
      <c r="E429" s="4" t="s">
        <v>25</v>
      </c>
      <c r="F429" s="4" t="s">
        <v>25</v>
      </c>
      <c r="G429" s="4" t="s">
        <v>98</v>
      </c>
      <c r="H429" s="4" t="s">
        <v>25</v>
      </c>
      <c r="I429" s="5">
        <v>44593</v>
      </c>
      <c r="J429" s="6">
        <v>3032</v>
      </c>
      <c r="K429" s="6">
        <v>1516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66</v>
      </c>
      <c r="R429" s="4">
        <v>31334</v>
      </c>
      <c r="S429" s="4">
        <v>28</v>
      </c>
      <c r="T429" s="4">
        <v>0</v>
      </c>
      <c r="U429" s="4">
        <v>0</v>
      </c>
      <c r="V429" s="6">
        <f>IF(ISERROR(VLOOKUP($S$429,'TAR FIN'!$A$1:$O$116,15,0)),0,VLOOKUP($S$429,'TAR FIN'!$A$1:$O$116,15,0))</f>
        <v>15.24</v>
      </c>
      <c r="W429" s="6">
        <f>IF(ISERROR(VLOOKUP($T$429,'TAR FIN'!$A$1:$O$116,15,0)),0,VLOOKUP($T$429,'TAR FIN'!$A$1:$O$116,15,0))</f>
        <v>0</v>
      </c>
      <c r="X429" s="6">
        <f>IF(ISERROR(VLOOKUP($U$429,'TAR FIN'!$A$1:$O$116,15,0)),0,VLOOKUP($U$429,'TAR FIN'!$A$1:$O$116,15,0))</f>
        <v>0</v>
      </c>
      <c r="Y429" s="6">
        <f ca="1">('TUSD BE'!$AM$32+'TUSD BF'!$AM$32+'TUSD CVA'!$AM$32)*1</f>
        <v>17.138874075124019</v>
      </c>
      <c r="Z429" s="6"/>
      <c r="AA429" s="6"/>
      <c r="AB429" s="6">
        <f t="shared" si="26"/>
        <v>23103.84</v>
      </c>
      <c r="AC429" s="6">
        <f t="shared" si="27"/>
        <v>0</v>
      </c>
      <c r="AD429" s="6">
        <f t="shared" ca="1" si="28"/>
        <v>25982.533097888012</v>
      </c>
      <c r="AE429" s="6">
        <f t="shared" si="29"/>
        <v>0</v>
      </c>
      <c r="AF429" s="4" t="s">
        <v>1112</v>
      </c>
    </row>
    <row r="430" spans="1:32" ht="11.25" customHeight="1" x14ac:dyDescent="0.25">
      <c r="A430" s="4" t="s">
        <v>21</v>
      </c>
      <c r="B430" s="4" t="s">
        <v>41</v>
      </c>
      <c r="C430" s="4" t="s">
        <v>64</v>
      </c>
      <c r="D430" s="4" t="s">
        <v>25</v>
      </c>
      <c r="E430" s="4" t="s">
        <v>25</v>
      </c>
      <c r="F430" s="4" t="s">
        <v>25</v>
      </c>
      <c r="G430" s="4" t="s">
        <v>99</v>
      </c>
      <c r="H430" s="4" t="s">
        <v>25</v>
      </c>
      <c r="I430" s="5">
        <v>44593</v>
      </c>
      <c r="J430" s="6">
        <v>1180</v>
      </c>
      <c r="K430" s="6">
        <v>590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4" t="s">
        <v>66</v>
      </c>
      <c r="R430" s="4">
        <v>31618</v>
      </c>
      <c r="S430" s="4">
        <v>28</v>
      </c>
      <c r="T430" s="4">
        <v>0</v>
      </c>
      <c r="U430" s="4">
        <v>0</v>
      </c>
      <c r="V430" s="6">
        <f>IF(ISERROR(VLOOKUP($S$430,'TAR FIN'!$A$1:$O$116,15,0)),0,VLOOKUP($S$430,'TAR FIN'!$A$1:$O$116,15,0))</f>
        <v>15.24</v>
      </c>
      <c r="W430" s="6">
        <f>IF(ISERROR(VLOOKUP($T$430,'TAR FIN'!$A$1:$O$116,15,0)),0,VLOOKUP($T$430,'TAR FIN'!$A$1:$O$116,15,0))</f>
        <v>0</v>
      </c>
      <c r="X430" s="6">
        <f>IF(ISERROR(VLOOKUP($U$430,'TAR FIN'!$A$1:$O$116,15,0)),0,VLOOKUP($U$430,'TAR FIN'!$A$1:$O$116,15,0))</f>
        <v>0</v>
      </c>
      <c r="Y430" s="6">
        <f ca="1">('TUSD BE'!$AM$32+'TUSD BF'!$AM$32+'TUSD CVA'!$AM$32)*1</f>
        <v>17.138874075124019</v>
      </c>
      <c r="Z430" s="6"/>
      <c r="AA430" s="6"/>
      <c r="AB430" s="6">
        <f t="shared" si="26"/>
        <v>8991.6</v>
      </c>
      <c r="AC430" s="6">
        <f t="shared" si="27"/>
        <v>0</v>
      </c>
      <c r="AD430" s="6">
        <f t="shared" ca="1" si="28"/>
        <v>10111.93570432317</v>
      </c>
      <c r="AE430" s="6">
        <f t="shared" si="29"/>
        <v>0</v>
      </c>
      <c r="AF430" s="4" t="s">
        <v>1112</v>
      </c>
    </row>
    <row r="431" spans="1:32" ht="11.25" customHeight="1" x14ac:dyDescent="0.25">
      <c r="A431" s="4" t="s">
        <v>21</v>
      </c>
      <c r="B431" s="4" t="s">
        <v>41</v>
      </c>
      <c r="C431" s="4" t="s">
        <v>64</v>
      </c>
      <c r="D431" s="4" t="s">
        <v>25</v>
      </c>
      <c r="E431" s="4" t="s">
        <v>25</v>
      </c>
      <c r="F431" s="4" t="s">
        <v>25</v>
      </c>
      <c r="G431" s="4" t="s">
        <v>100</v>
      </c>
      <c r="H431" s="4" t="s">
        <v>25</v>
      </c>
      <c r="I431" s="5">
        <v>44593</v>
      </c>
      <c r="J431" s="6">
        <v>1180</v>
      </c>
      <c r="K431" s="6">
        <v>590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4" t="s">
        <v>66</v>
      </c>
      <c r="R431" s="4">
        <v>31677</v>
      </c>
      <c r="S431" s="4">
        <v>28</v>
      </c>
      <c r="T431" s="4">
        <v>0</v>
      </c>
      <c r="U431" s="4">
        <v>0</v>
      </c>
      <c r="V431" s="6">
        <f>IF(ISERROR(VLOOKUP($S$431,'TAR FIN'!$A$1:$O$116,15,0)),0,VLOOKUP($S$431,'TAR FIN'!$A$1:$O$116,15,0))</f>
        <v>15.24</v>
      </c>
      <c r="W431" s="6">
        <f>IF(ISERROR(VLOOKUP($T$431,'TAR FIN'!$A$1:$O$116,15,0)),0,VLOOKUP($T$431,'TAR FIN'!$A$1:$O$116,15,0))</f>
        <v>0</v>
      </c>
      <c r="X431" s="6">
        <f>IF(ISERROR(VLOOKUP($U$431,'TAR FIN'!$A$1:$O$116,15,0)),0,VLOOKUP($U$431,'TAR FIN'!$A$1:$O$116,15,0))</f>
        <v>0</v>
      </c>
      <c r="Y431" s="6">
        <f ca="1">('TUSD BE'!$AM$32+'TUSD BF'!$AM$32+'TUSD CVA'!$AM$32)*1</f>
        <v>17.138874075124019</v>
      </c>
      <c r="Z431" s="6"/>
      <c r="AA431" s="6"/>
      <c r="AB431" s="6">
        <f t="shared" si="26"/>
        <v>8991.6</v>
      </c>
      <c r="AC431" s="6">
        <f t="shared" si="27"/>
        <v>0</v>
      </c>
      <c r="AD431" s="6">
        <f t="shared" ca="1" si="28"/>
        <v>10111.93570432317</v>
      </c>
      <c r="AE431" s="6">
        <f t="shared" si="29"/>
        <v>0</v>
      </c>
      <c r="AF431" s="4" t="s">
        <v>1112</v>
      </c>
    </row>
    <row r="432" spans="1:32" ht="11.25" customHeight="1" x14ac:dyDescent="0.25">
      <c r="A432" s="4" t="s">
        <v>21</v>
      </c>
      <c r="B432" s="4" t="s">
        <v>41</v>
      </c>
      <c r="C432" s="4" t="s">
        <v>64</v>
      </c>
      <c r="D432" s="4" t="s">
        <v>25</v>
      </c>
      <c r="E432" s="4" t="s">
        <v>25</v>
      </c>
      <c r="F432" s="4" t="s">
        <v>25</v>
      </c>
      <c r="G432" s="4" t="s">
        <v>68</v>
      </c>
      <c r="H432" s="4" t="s">
        <v>25</v>
      </c>
      <c r="I432" s="5">
        <v>44621</v>
      </c>
      <c r="J432" s="6">
        <v>302</v>
      </c>
      <c r="K432" s="6">
        <v>302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66</v>
      </c>
      <c r="R432" s="4">
        <v>404</v>
      </c>
      <c r="S432" s="4">
        <v>28</v>
      </c>
      <c r="T432" s="4">
        <v>0</v>
      </c>
      <c r="U432" s="4">
        <v>0</v>
      </c>
      <c r="V432" s="6">
        <f>IF(ISERROR(VLOOKUP($S$432,'TAR FIN'!$A$1:$O$116,15,0)),0,VLOOKUP($S$432,'TAR FIN'!$A$1:$O$116,15,0))</f>
        <v>15.24</v>
      </c>
      <c r="W432" s="6">
        <f>IF(ISERROR(VLOOKUP($T$432,'TAR FIN'!$A$1:$O$116,15,0)),0,VLOOKUP($T$432,'TAR FIN'!$A$1:$O$116,15,0))</f>
        <v>0</v>
      </c>
      <c r="X432" s="6">
        <f>IF(ISERROR(VLOOKUP($U$432,'TAR FIN'!$A$1:$O$116,15,0)),0,VLOOKUP($U$432,'TAR FIN'!$A$1:$O$116,15,0))</f>
        <v>0</v>
      </c>
      <c r="Y432" s="6">
        <f ca="1">('TUSD BE'!$AM$32+'TUSD BF'!$AM$32+'TUSD CVA'!$AM$32)*1</f>
        <v>17.138874075124019</v>
      </c>
      <c r="Z432" s="6"/>
      <c r="AA432" s="6"/>
      <c r="AB432" s="6">
        <f t="shared" si="26"/>
        <v>0</v>
      </c>
      <c r="AC432" s="6">
        <f t="shared" si="27"/>
        <v>0</v>
      </c>
      <c r="AD432" s="6">
        <f t="shared" ca="1" si="28"/>
        <v>0</v>
      </c>
      <c r="AE432" s="6">
        <f t="shared" si="29"/>
        <v>0</v>
      </c>
      <c r="AF432" s="4" t="s">
        <v>1112</v>
      </c>
    </row>
    <row r="433" spans="1:32" ht="11.25" customHeight="1" x14ac:dyDescent="0.25">
      <c r="A433" s="4" t="s">
        <v>21</v>
      </c>
      <c r="B433" s="4" t="s">
        <v>41</v>
      </c>
      <c r="C433" s="4" t="s">
        <v>64</v>
      </c>
      <c r="D433" s="4" t="s">
        <v>25</v>
      </c>
      <c r="E433" s="4" t="s">
        <v>25</v>
      </c>
      <c r="F433" s="4" t="s">
        <v>25</v>
      </c>
      <c r="G433" s="4" t="s">
        <v>70</v>
      </c>
      <c r="H433" s="4" t="s">
        <v>25</v>
      </c>
      <c r="I433" s="5">
        <v>44621</v>
      </c>
      <c r="J433" s="6">
        <v>5040</v>
      </c>
      <c r="K433" s="6">
        <v>5040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66</v>
      </c>
      <c r="R433" s="4">
        <v>838</v>
      </c>
      <c r="S433" s="4">
        <v>28</v>
      </c>
      <c r="T433" s="4">
        <v>0</v>
      </c>
      <c r="U433" s="4">
        <v>0</v>
      </c>
      <c r="V433" s="6">
        <f>IF(ISERROR(VLOOKUP($S$433,'TAR FIN'!$A$1:$O$116,15,0)),0,VLOOKUP($S$433,'TAR FIN'!$A$1:$O$116,15,0))</f>
        <v>15.24</v>
      </c>
      <c r="W433" s="6">
        <f>IF(ISERROR(VLOOKUP($T$433,'TAR FIN'!$A$1:$O$116,15,0)),0,VLOOKUP($T$433,'TAR FIN'!$A$1:$O$116,15,0))</f>
        <v>0</v>
      </c>
      <c r="X433" s="6">
        <f>IF(ISERROR(VLOOKUP($U$433,'TAR FIN'!$A$1:$O$116,15,0)),0,VLOOKUP($U$433,'TAR FIN'!$A$1:$O$116,15,0))</f>
        <v>0</v>
      </c>
      <c r="Y433" s="6">
        <f ca="1">('TUSD BE'!$AM$32+'TUSD BF'!$AM$32+'TUSD CVA'!$AM$32)*1</f>
        <v>17.138874075124019</v>
      </c>
      <c r="Z433" s="6"/>
      <c r="AA433" s="6"/>
      <c r="AB433" s="6">
        <f t="shared" si="26"/>
        <v>0</v>
      </c>
      <c r="AC433" s="6">
        <f t="shared" si="27"/>
        <v>0</v>
      </c>
      <c r="AD433" s="6">
        <f t="shared" ca="1" si="28"/>
        <v>0</v>
      </c>
      <c r="AE433" s="6">
        <f t="shared" si="29"/>
        <v>0</v>
      </c>
      <c r="AF433" s="4" t="s">
        <v>1112</v>
      </c>
    </row>
    <row r="434" spans="1:32" ht="11.25" customHeight="1" x14ac:dyDescent="0.25">
      <c r="A434" s="4" t="s">
        <v>21</v>
      </c>
      <c r="B434" s="4" t="s">
        <v>41</v>
      </c>
      <c r="C434" s="4" t="s">
        <v>64</v>
      </c>
      <c r="D434" s="4" t="s">
        <v>25</v>
      </c>
      <c r="E434" s="4" t="s">
        <v>25</v>
      </c>
      <c r="F434" s="4" t="s">
        <v>25</v>
      </c>
      <c r="G434" s="4" t="s">
        <v>74</v>
      </c>
      <c r="H434" s="4" t="s">
        <v>25</v>
      </c>
      <c r="I434" s="5">
        <v>44621</v>
      </c>
      <c r="J434" s="6">
        <v>3832</v>
      </c>
      <c r="K434" s="6">
        <v>1916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4" t="s">
        <v>66</v>
      </c>
      <c r="R434" s="4">
        <v>1192</v>
      </c>
      <c r="S434" s="4">
        <v>28</v>
      </c>
      <c r="T434" s="4">
        <v>0</v>
      </c>
      <c r="U434" s="4">
        <v>0</v>
      </c>
      <c r="V434" s="6">
        <f>IF(ISERROR(VLOOKUP($S$434,'TAR FIN'!$A$1:$O$116,15,0)),0,VLOOKUP($S$434,'TAR FIN'!$A$1:$O$116,15,0))</f>
        <v>15.24</v>
      </c>
      <c r="W434" s="6">
        <f>IF(ISERROR(VLOOKUP($T$434,'TAR FIN'!$A$1:$O$116,15,0)),0,VLOOKUP($T$434,'TAR FIN'!$A$1:$O$116,15,0))</f>
        <v>0</v>
      </c>
      <c r="X434" s="6">
        <f>IF(ISERROR(VLOOKUP($U$434,'TAR FIN'!$A$1:$O$116,15,0)),0,VLOOKUP($U$434,'TAR FIN'!$A$1:$O$116,15,0))</f>
        <v>0</v>
      </c>
      <c r="Y434" s="6">
        <f ca="1">('TUSD BE'!$AM$32+'TUSD BF'!$AM$32+'TUSD CVA'!$AM$32)*1</f>
        <v>17.138874075124019</v>
      </c>
      <c r="Z434" s="6"/>
      <c r="AA434" s="6"/>
      <c r="AB434" s="6">
        <f t="shared" si="26"/>
        <v>29199.84</v>
      </c>
      <c r="AC434" s="6">
        <f t="shared" si="27"/>
        <v>0</v>
      </c>
      <c r="AD434" s="6">
        <f t="shared" ca="1" si="28"/>
        <v>32838.082727937617</v>
      </c>
      <c r="AE434" s="6">
        <f t="shared" si="29"/>
        <v>0</v>
      </c>
      <c r="AF434" s="4" t="s">
        <v>1112</v>
      </c>
    </row>
    <row r="435" spans="1:32" ht="11.25" customHeight="1" x14ac:dyDescent="0.25">
      <c r="A435" s="4" t="s">
        <v>21</v>
      </c>
      <c r="B435" s="4" t="s">
        <v>41</v>
      </c>
      <c r="C435" s="4" t="s">
        <v>64</v>
      </c>
      <c r="D435" s="4" t="s">
        <v>25</v>
      </c>
      <c r="E435" s="4" t="s">
        <v>25</v>
      </c>
      <c r="F435" s="4" t="s">
        <v>25</v>
      </c>
      <c r="G435" s="4" t="s">
        <v>76</v>
      </c>
      <c r="H435" s="4" t="s">
        <v>25</v>
      </c>
      <c r="I435" s="5">
        <v>44621</v>
      </c>
      <c r="J435" s="6">
        <v>480</v>
      </c>
      <c r="K435" s="6">
        <v>480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66</v>
      </c>
      <c r="R435" s="4">
        <v>1438</v>
      </c>
      <c r="S435" s="4">
        <v>28</v>
      </c>
      <c r="T435" s="4">
        <v>0</v>
      </c>
      <c r="U435" s="4">
        <v>0</v>
      </c>
      <c r="V435" s="6">
        <f>IF(ISERROR(VLOOKUP($S$435,'TAR FIN'!$A$1:$O$116,15,0)),0,VLOOKUP($S$435,'TAR FIN'!$A$1:$O$116,15,0))</f>
        <v>15.24</v>
      </c>
      <c r="W435" s="6">
        <f>IF(ISERROR(VLOOKUP($T$435,'TAR FIN'!$A$1:$O$116,15,0)),0,VLOOKUP($T$435,'TAR FIN'!$A$1:$O$116,15,0))</f>
        <v>0</v>
      </c>
      <c r="X435" s="6">
        <f>IF(ISERROR(VLOOKUP($U$435,'TAR FIN'!$A$1:$O$116,15,0)),0,VLOOKUP($U$435,'TAR FIN'!$A$1:$O$116,15,0))</f>
        <v>0</v>
      </c>
      <c r="Y435" s="6">
        <f ca="1">('TUSD BE'!$AM$32+'TUSD BF'!$AM$32+'TUSD CVA'!$AM$32)*1</f>
        <v>17.138874075124019</v>
      </c>
      <c r="Z435" s="6"/>
      <c r="AA435" s="6"/>
      <c r="AB435" s="6">
        <f t="shared" si="26"/>
        <v>0</v>
      </c>
      <c r="AC435" s="6">
        <f t="shared" si="27"/>
        <v>0</v>
      </c>
      <c r="AD435" s="6">
        <f t="shared" ca="1" si="28"/>
        <v>0</v>
      </c>
      <c r="AE435" s="6">
        <f t="shared" si="29"/>
        <v>0</v>
      </c>
      <c r="AF435" s="4" t="s">
        <v>1112</v>
      </c>
    </row>
    <row r="436" spans="1:32" ht="11.25" customHeight="1" x14ac:dyDescent="0.25">
      <c r="A436" s="4" t="s">
        <v>21</v>
      </c>
      <c r="B436" s="4" t="s">
        <v>41</v>
      </c>
      <c r="C436" s="4" t="s">
        <v>64</v>
      </c>
      <c r="D436" s="4" t="s">
        <v>25</v>
      </c>
      <c r="E436" s="4" t="s">
        <v>25</v>
      </c>
      <c r="F436" s="4" t="s">
        <v>25</v>
      </c>
      <c r="G436" s="4" t="s">
        <v>77</v>
      </c>
      <c r="H436" s="4" t="s">
        <v>25</v>
      </c>
      <c r="I436" s="5">
        <v>44621</v>
      </c>
      <c r="J436" s="6">
        <v>736</v>
      </c>
      <c r="K436" s="6">
        <v>736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4" t="s">
        <v>66</v>
      </c>
      <c r="R436" s="4">
        <v>1462</v>
      </c>
      <c r="S436" s="4">
        <v>28</v>
      </c>
      <c r="T436" s="4">
        <v>0</v>
      </c>
      <c r="U436" s="4">
        <v>0</v>
      </c>
      <c r="V436" s="6">
        <f>IF(ISERROR(VLOOKUP($S$436,'TAR FIN'!$A$1:$O$116,15,0)),0,VLOOKUP($S$436,'TAR FIN'!$A$1:$O$116,15,0))</f>
        <v>15.24</v>
      </c>
      <c r="W436" s="6">
        <f>IF(ISERROR(VLOOKUP($T$436,'TAR FIN'!$A$1:$O$116,15,0)),0,VLOOKUP($T$436,'TAR FIN'!$A$1:$O$116,15,0))</f>
        <v>0</v>
      </c>
      <c r="X436" s="6">
        <f>IF(ISERROR(VLOOKUP($U$436,'TAR FIN'!$A$1:$O$116,15,0)),0,VLOOKUP($U$436,'TAR FIN'!$A$1:$O$116,15,0))</f>
        <v>0</v>
      </c>
      <c r="Y436" s="6">
        <f ca="1">('TUSD BE'!$AM$32+'TUSD BF'!$AM$32+'TUSD CVA'!$AM$32)*1</f>
        <v>17.138874075124019</v>
      </c>
      <c r="Z436" s="6"/>
      <c r="AA436" s="6"/>
      <c r="AB436" s="6">
        <f t="shared" si="26"/>
        <v>0</v>
      </c>
      <c r="AC436" s="6">
        <f t="shared" si="27"/>
        <v>0</v>
      </c>
      <c r="AD436" s="6">
        <f t="shared" ca="1" si="28"/>
        <v>0</v>
      </c>
      <c r="AE436" s="6">
        <f t="shared" si="29"/>
        <v>0</v>
      </c>
      <c r="AF436" s="4" t="s">
        <v>1112</v>
      </c>
    </row>
    <row r="437" spans="1:32" ht="11.25" customHeight="1" x14ac:dyDescent="0.25">
      <c r="A437" s="4" t="s">
        <v>21</v>
      </c>
      <c r="B437" s="4" t="s">
        <v>41</v>
      </c>
      <c r="C437" s="4" t="s">
        <v>64</v>
      </c>
      <c r="D437" s="4" t="s">
        <v>25</v>
      </c>
      <c r="E437" s="4" t="s">
        <v>25</v>
      </c>
      <c r="F437" s="4" t="s">
        <v>25</v>
      </c>
      <c r="G437" s="4" t="s">
        <v>78</v>
      </c>
      <c r="H437" s="4" t="s">
        <v>25</v>
      </c>
      <c r="I437" s="5">
        <v>44621</v>
      </c>
      <c r="J437" s="6">
        <v>6460</v>
      </c>
      <c r="K437" s="6">
        <v>6460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66</v>
      </c>
      <c r="R437" s="4">
        <v>1533</v>
      </c>
      <c r="S437" s="4">
        <v>28</v>
      </c>
      <c r="T437" s="4">
        <v>0</v>
      </c>
      <c r="U437" s="4">
        <v>0</v>
      </c>
      <c r="V437" s="6">
        <f>IF(ISERROR(VLOOKUP($S$437,'TAR FIN'!$A$1:$O$116,15,0)),0,VLOOKUP($S$437,'TAR FIN'!$A$1:$O$116,15,0))</f>
        <v>15.24</v>
      </c>
      <c r="W437" s="6">
        <f>IF(ISERROR(VLOOKUP($T$437,'TAR FIN'!$A$1:$O$116,15,0)),0,VLOOKUP($T$437,'TAR FIN'!$A$1:$O$116,15,0))</f>
        <v>0</v>
      </c>
      <c r="X437" s="6">
        <f>IF(ISERROR(VLOOKUP($U$437,'TAR FIN'!$A$1:$O$116,15,0)),0,VLOOKUP($U$437,'TAR FIN'!$A$1:$O$116,15,0))</f>
        <v>0</v>
      </c>
      <c r="Y437" s="6">
        <f ca="1">('TUSD BE'!$AM$32+'TUSD BF'!$AM$32+'TUSD CVA'!$AM$32)*1</f>
        <v>17.138874075124019</v>
      </c>
      <c r="Z437" s="6"/>
      <c r="AA437" s="6"/>
      <c r="AB437" s="6">
        <f t="shared" si="26"/>
        <v>0</v>
      </c>
      <c r="AC437" s="6">
        <f t="shared" si="27"/>
        <v>0</v>
      </c>
      <c r="AD437" s="6">
        <f t="shared" ca="1" si="28"/>
        <v>0</v>
      </c>
      <c r="AE437" s="6">
        <f t="shared" si="29"/>
        <v>0</v>
      </c>
      <c r="AF437" s="4" t="s">
        <v>1112</v>
      </c>
    </row>
    <row r="438" spans="1:32" ht="11.25" customHeight="1" x14ac:dyDescent="0.25">
      <c r="A438" s="4" t="s">
        <v>21</v>
      </c>
      <c r="B438" s="4" t="s">
        <v>41</v>
      </c>
      <c r="C438" s="4" t="s">
        <v>64</v>
      </c>
      <c r="D438" s="4" t="s">
        <v>25</v>
      </c>
      <c r="E438" s="4" t="s">
        <v>25</v>
      </c>
      <c r="F438" s="4" t="s">
        <v>25</v>
      </c>
      <c r="G438" s="4" t="s">
        <v>79</v>
      </c>
      <c r="H438" s="4" t="s">
        <v>25</v>
      </c>
      <c r="I438" s="5">
        <v>44621</v>
      </c>
      <c r="J438" s="6">
        <v>770</v>
      </c>
      <c r="K438" s="6">
        <v>770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66</v>
      </c>
      <c r="R438" s="4">
        <v>2535</v>
      </c>
      <c r="S438" s="4">
        <v>28</v>
      </c>
      <c r="T438" s="4">
        <v>0</v>
      </c>
      <c r="U438" s="4">
        <v>0</v>
      </c>
      <c r="V438" s="6">
        <f>IF(ISERROR(VLOOKUP($S$438,'TAR FIN'!$A$1:$O$116,15,0)),0,VLOOKUP($S$438,'TAR FIN'!$A$1:$O$116,15,0))</f>
        <v>15.24</v>
      </c>
      <c r="W438" s="6">
        <f>IF(ISERROR(VLOOKUP($T$438,'TAR FIN'!$A$1:$O$116,15,0)),0,VLOOKUP($T$438,'TAR FIN'!$A$1:$O$116,15,0))</f>
        <v>0</v>
      </c>
      <c r="X438" s="6">
        <f>IF(ISERROR(VLOOKUP($U$438,'TAR FIN'!$A$1:$O$116,15,0)),0,VLOOKUP($U$438,'TAR FIN'!$A$1:$O$116,15,0))</f>
        <v>0</v>
      </c>
      <c r="Y438" s="6">
        <f ca="1">('TUSD BE'!$AM$32+'TUSD BF'!$AM$32+'TUSD CVA'!$AM$32)*1</f>
        <v>17.138874075124019</v>
      </c>
      <c r="Z438" s="6"/>
      <c r="AA438" s="6"/>
      <c r="AB438" s="6">
        <f t="shared" si="26"/>
        <v>0</v>
      </c>
      <c r="AC438" s="6">
        <f t="shared" si="27"/>
        <v>0</v>
      </c>
      <c r="AD438" s="6">
        <f t="shared" ca="1" si="28"/>
        <v>0</v>
      </c>
      <c r="AE438" s="6">
        <f t="shared" si="29"/>
        <v>0</v>
      </c>
      <c r="AF438" s="4" t="s">
        <v>1112</v>
      </c>
    </row>
    <row r="439" spans="1:32" ht="11.25" customHeight="1" x14ac:dyDescent="0.25">
      <c r="A439" s="4" t="s">
        <v>21</v>
      </c>
      <c r="B439" s="4" t="s">
        <v>41</v>
      </c>
      <c r="C439" s="4" t="s">
        <v>64</v>
      </c>
      <c r="D439" s="4" t="s">
        <v>25</v>
      </c>
      <c r="E439" s="4" t="s">
        <v>25</v>
      </c>
      <c r="F439" s="4" t="s">
        <v>25</v>
      </c>
      <c r="G439" s="4" t="s">
        <v>80</v>
      </c>
      <c r="H439" s="4" t="s">
        <v>25</v>
      </c>
      <c r="I439" s="5">
        <v>44621</v>
      </c>
      <c r="J439" s="6">
        <v>1416</v>
      </c>
      <c r="K439" s="6">
        <v>1416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4" t="s">
        <v>66</v>
      </c>
      <c r="R439" s="4">
        <v>2751</v>
      </c>
      <c r="S439" s="4">
        <v>28</v>
      </c>
      <c r="T439" s="4">
        <v>0</v>
      </c>
      <c r="U439" s="4">
        <v>0</v>
      </c>
      <c r="V439" s="6">
        <f>IF(ISERROR(VLOOKUP($S$439,'TAR FIN'!$A$1:$O$116,15,0)),0,VLOOKUP($S$439,'TAR FIN'!$A$1:$O$116,15,0))</f>
        <v>15.24</v>
      </c>
      <c r="W439" s="6">
        <f>IF(ISERROR(VLOOKUP($T$439,'TAR FIN'!$A$1:$O$116,15,0)),0,VLOOKUP($T$439,'TAR FIN'!$A$1:$O$116,15,0))</f>
        <v>0</v>
      </c>
      <c r="X439" s="6">
        <f>IF(ISERROR(VLOOKUP($U$439,'TAR FIN'!$A$1:$O$116,15,0)),0,VLOOKUP($U$439,'TAR FIN'!$A$1:$O$116,15,0))</f>
        <v>0</v>
      </c>
      <c r="Y439" s="6">
        <f ca="1">('TUSD BE'!$AM$32+'TUSD BF'!$AM$32+'TUSD CVA'!$AM$32)*1</f>
        <v>17.138874075124019</v>
      </c>
      <c r="Z439" s="6"/>
      <c r="AA439" s="6"/>
      <c r="AB439" s="6">
        <f t="shared" si="26"/>
        <v>0</v>
      </c>
      <c r="AC439" s="6">
        <f t="shared" si="27"/>
        <v>0</v>
      </c>
      <c r="AD439" s="6">
        <f t="shared" ca="1" si="28"/>
        <v>0</v>
      </c>
      <c r="AE439" s="6">
        <f t="shared" si="29"/>
        <v>0</v>
      </c>
      <c r="AF439" s="4" t="s">
        <v>1112</v>
      </c>
    </row>
    <row r="440" spans="1:32" ht="11.25" customHeight="1" x14ac:dyDescent="0.25">
      <c r="A440" s="4" t="s">
        <v>21</v>
      </c>
      <c r="B440" s="4" t="s">
        <v>41</v>
      </c>
      <c r="C440" s="4" t="s">
        <v>64</v>
      </c>
      <c r="D440" s="4" t="s">
        <v>25</v>
      </c>
      <c r="E440" s="4" t="s">
        <v>25</v>
      </c>
      <c r="F440" s="4" t="s">
        <v>25</v>
      </c>
      <c r="G440" s="4" t="s">
        <v>88</v>
      </c>
      <c r="H440" s="4" t="s">
        <v>25</v>
      </c>
      <c r="I440" s="5">
        <v>44621</v>
      </c>
      <c r="J440" s="6">
        <v>9500</v>
      </c>
      <c r="K440" s="6">
        <v>4750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4" t="s">
        <v>66</v>
      </c>
      <c r="R440" s="4">
        <v>27722</v>
      </c>
      <c r="S440" s="4">
        <v>28</v>
      </c>
      <c r="T440" s="4">
        <v>0</v>
      </c>
      <c r="U440" s="4">
        <v>0</v>
      </c>
      <c r="V440" s="6">
        <f>IF(ISERROR(VLOOKUP($S$440,'TAR FIN'!$A$1:$O$116,15,0)),0,VLOOKUP($S$440,'TAR FIN'!$A$1:$O$116,15,0))</f>
        <v>15.24</v>
      </c>
      <c r="W440" s="6">
        <f>IF(ISERROR(VLOOKUP($T$440,'TAR FIN'!$A$1:$O$116,15,0)),0,VLOOKUP($T$440,'TAR FIN'!$A$1:$O$116,15,0))</f>
        <v>0</v>
      </c>
      <c r="X440" s="6">
        <f>IF(ISERROR(VLOOKUP($U$440,'TAR FIN'!$A$1:$O$116,15,0)),0,VLOOKUP($U$440,'TAR FIN'!$A$1:$O$116,15,0))</f>
        <v>0</v>
      </c>
      <c r="Y440" s="6">
        <f ca="1">('TUSD BE'!$AM$32+'TUSD BF'!$AM$32+'TUSD CVA'!$AM$32)*1</f>
        <v>17.138874075124019</v>
      </c>
      <c r="Z440" s="6"/>
      <c r="AA440" s="6"/>
      <c r="AB440" s="6">
        <f t="shared" si="26"/>
        <v>72390</v>
      </c>
      <c r="AC440" s="6">
        <f t="shared" si="27"/>
        <v>0</v>
      </c>
      <c r="AD440" s="6">
        <f t="shared" ca="1" si="28"/>
        <v>81409.651856839089</v>
      </c>
      <c r="AE440" s="6">
        <f t="shared" si="29"/>
        <v>0</v>
      </c>
      <c r="AF440" s="4" t="s">
        <v>1112</v>
      </c>
    </row>
    <row r="441" spans="1:32" ht="11.25" customHeight="1" x14ac:dyDescent="0.25">
      <c r="A441" s="4" t="s">
        <v>21</v>
      </c>
      <c r="B441" s="4" t="s">
        <v>41</v>
      </c>
      <c r="C441" s="4" t="s">
        <v>64</v>
      </c>
      <c r="D441" s="4" t="s">
        <v>25</v>
      </c>
      <c r="E441" s="4" t="s">
        <v>25</v>
      </c>
      <c r="F441" s="4" t="s">
        <v>25</v>
      </c>
      <c r="G441" s="4" t="s">
        <v>90</v>
      </c>
      <c r="H441" s="4" t="s">
        <v>25</v>
      </c>
      <c r="I441" s="5">
        <v>44621</v>
      </c>
      <c r="J441" s="6">
        <v>420</v>
      </c>
      <c r="K441" s="6">
        <v>420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4" t="s">
        <v>66</v>
      </c>
      <c r="R441" s="4">
        <v>27928</v>
      </c>
      <c r="S441" s="4">
        <v>28</v>
      </c>
      <c r="T441" s="4">
        <v>0</v>
      </c>
      <c r="U441" s="4">
        <v>0</v>
      </c>
      <c r="V441" s="6">
        <f>IF(ISERROR(VLOOKUP($S$441,'TAR FIN'!$A$1:$O$116,15,0)),0,VLOOKUP($S$441,'TAR FIN'!$A$1:$O$116,15,0))</f>
        <v>15.24</v>
      </c>
      <c r="W441" s="6">
        <f>IF(ISERROR(VLOOKUP($T$441,'TAR FIN'!$A$1:$O$116,15,0)),0,VLOOKUP($T$441,'TAR FIN'!$A$1:$O$116,15,0))</f>
        <v>0</v>
      </c>
      <c r="X441" s="6">
        <f>IF(ISERROR(VLOOKUP($U$441,'TAR FIN'!$A$1:$O$116,15,0)),0,VLOOKUP($U$441,'TAR FIN'!$A$1:$O$116,15,0))</f>
        <v>0</v>
      </c>
      <c r="Y441" s="6">
        <f ca="1">('TUSD BE'!$AM$32+'TUSD BF'!$AM$32+'TUSD CVA'!$AM$32)*1</f>
        <v>17.138874075124019</v>
      </c>
      <c r="Z441" s="6"/>
      <c r="AA441" s="6"/>
      <c r="AB441" s="6">
        <f t="shared" si="26"/>
        <v>0</v>
      </c>
      <c r="AC441" s="6">
        <f t="shared" si="27"/>
        <v>0</v>
      </c>
      <c r="AD441" s="6">
        <f t="shared" ca="1" si="28"/>
        <v>0</v>
      </c>
      <c r="AE441" s="6">
        <f t="shared" si="29"/>
        <v>0</v>
      </c>
      <c r="AF441" s="4" t="s">
        <v>1112</v>
      </c>
    </row>
    <row r="442" spans="1:32" ht="11.25" customHeight="1" x14ac:dyDescent="0.25">
      <c r="A442" s="4" t="s">
        <v>21</v>
      </c>
      <c r="B442" s="4" t="s">
        <v>41</v>
      </c>
      <c r="C442" s="4" t="s">
        <v>64</v>
      </c>
      <c r="D442" s="4" t="s">
        <v>25</v>
      </c>
      <c r="E442" s="4" t="s">
        <v>25</v>
      </c>
      <c r="F442" s="4" t="s">
        <v>25</v>
      </c>
      <c r="G442" s="4" t="s">
        <v>93</v>
      </c>
      <c r="H442" s="4" t="s">
        <v>25</v>
      </c>
      <c r="I442" s="5">
        <v>44621</v>
      </c>
      <c r="J442" s="6">
        <v>1300</v>
      </c>
      <c r="K442" s="6">
        <v>650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4" t="s">
        <v>66</v>
      </c>
      <c r="R442" s="4">
        <v>30847</v>
      </c>
      <c r="S442" s="4">
        <v>28</v>
      </c>
      <c r="T442" s="4">
        <v>0</v>
      </c>
      <c r="U442" s="4">
        <v>0</v>
      </c>
      <c r="V442" s="6">
        <f>IF(ISERROR(VLOOKUP($S$442,'TAR FIN'!$A$1:$O$116,15,0)),0,VLOOKUP($S$442,'TAR FIN'!$A$1:$O$116,15,0))</f>
        <v>15.24</v>
      </c>
      <c r="W442" s="6">
        <f>IF(ISERROR(VLOOKUP($T$442,'TAR FIN'!$A$1:$O$116,15,0)),0,VLOOKUP($T$442,'TAR FIN'!$A$1:$O$116,15,0))</f>
        <v>0</v>
      </c>
      <c r="X442" s="6">
        <f>IF(ISERROR(VLOOKUP($U$442,'TAR FIN'!$A$1:$O$116,15,0)),0,VLOOKUP($U$442,'TAR FIN'!$A$1:$O$116,15,0))</f>
        <v>0</v>
      </c>
      <c r="Y442" s="6">
        <f ca="1">('TUSD BE'!$AM$32+'TUSD BF'!$AM$32+'TUSD CVA'!$AM$32)*1</f>
        <v>17.138874075124019</v>
      </c>
      <c r="Z442" s="6"/>
      <c r="AA442" s="6"/>
      <c r="AB442" s="6">
        <f t="shared" si="26"/>
        <v>9906</v>
      </c>
      <c r="AC442" s="6">
        <f t="shared" si="27"/>
        <v>0</v>
      </c>
      <c r="AD442" s="6">
        <f t="shared" ca="1" si="28"/>
        <v>11140.268148830612</v>
      </c>
      <c r="AE442" s="6">
        <f t="shared" si="29"/>
        <v>0</v>
      </c>
      <c r="AF442" s="4" t="s">
        <v>1112</v>
      </c>
    </row>
    <row r="443" spans="1:32" ht="11.25" customHeight="1" x14ac:dyDescent="0.25">
      <c r="A443" s="4" t="s">
        <v>21</v>
      </c>
      <c r="B443" s="4" t="s">
        <v>41</v>
      </c>
      <c r="C443" s="4" t="s">
        <v>64</v>
      </c>
      <c r="D443" s="4" t="s">
        <v>25</v>
      </c>
      <c r="E443" s="4" t="s">
        <v>25</v>
      </c>
      <c r="F443" s="4" t="s">
        <v>25</v>
      </c>
      <c r="G443" s="4" t="s">
        <v>94</v>
      </c>
      <c r="H443" s="4" t="s">
        <v>25</v>
      </c>
      <c r="I443" s="5">
        <v>44621</v>
      </c>
      <c r="J443" s="6">
        <v>1180</v>
      </c>
      <c r="K443" s="6">
        <v>590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66</v>
      </c>
      <c r="R443" s="4">
        <v>30866</v>
      </c>
      <c r="S443" s="4">
        <v>28</v>
      </c>
      <c r="T443" s="4">
        <v>0</v>
      </c>
      <c r="U443" s="4">
        <v>0</v>
      </c>
      <c r="V443" s="6">
        <f>IF(ISERROR(VLOOKUP($S$443,'TAR FIN'!$A$1:$O$116,15,0)),0,VLOOKUP($S$443,'TAR FIN'!$A$1:$O$116,15,0))</f>
        <v>15.24</v>
      </c>
      <c r="W443" s="6">
        <f>IF(ISERROR(VLOOKUP($T$443,'TAR FIN'!$A$1:$O$116,15,0)),0,VLOOKUP($T$443,'TAR FIN'!$A$1:$O$116,15,0))</f>
        <v>0</v>
      </c>
      <c r="X443" s="6">
        <f>IF(ISERROR(VLOOKUP($U$443,'TAR FIN'!$A$1:$O$116,15,0)),0,VLOOKUP($U$443,'TAR FIN'!$A$1:$O$116,15,0))</f>
        <v>0</v>
      </c>
      <c r="Y443" s="6">
        <f ca="1">('TUSD BE'!$AM$32+'TUSD BF'!$AM$32+'TUSD CVA'!$AM$32)*1</f>
        <v>17.138874075124019</v>
      </c>
      <c r="Z443" s="6"/>
      <c r="AA443" s="6"/>
      <c r="AB443" s="6">
        <f t="shared" si="26"/>
        <v>8991.6</v>
      </c>
      <c r="AC443" s="6">
        <f t="shared" si="27"/>
        <v>0</v>
      </c>
      <c r="AD443" s="6">
        <f t="shared" ca="1" si="28"/>
        <v>10111.93570432317</v>
      </c>
      <c r="AE443" s="6">
        <f t="shared" si="29"/>
        <v>0</v>
      </c>
      <c r="AF443" s="4" t="s">
        <v>1112</v>
      </c>
    </row>
    <row r="444" spans="1:32" ht="11.25" customHeight="1" x14ac:dyDescent="0.25">
      <c r="A444" s="4" t="s">
        <v>21</v>
      </c>
      <c r="B444" s="4" t="s">
        <v>41</v>
      </c>
      <c r="C444" s="4" t="s">
        <v>64</v>
      </c>
      <c r="D444" s="4" t="s">
        <v>25</v>
      </c>
      <c r="E444" s="4" t="s">
        <v>25</v>
      </c>
      <c r="F444" s="4" t="s">
        <v>25</v>
      </c>
      <c r="G444" s="4" t="s">
        <v>95</v>
      </c>
      <c r="H444" s="4" t="s">
        <v>25</v>
      </c>
      <c r="I444" s="5">
        <v>44621</v>
      </c>
      <c r="J444" s="6">
        <v>1180</v>
      </c>
      <c r="K444" s="6">
        <v>590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4" t="s">
        <v>66</v>
      </c>
      <c r="R444" s="4">
        <v>31051</v>
      </c>
      <c r="S444" s="4">
        <v>28</v>
      </c>
      <c r="T444" s="4">
        <v>0</v>
      </c>
      <c r="U444" s="4">
        <v>0</v>
      </c>
      <c r="V444" s="6">
        <f>IF(ISERROR(VLOOKUP($S$444,'TAR FIN'!$A$1:$O$116,15,0)),0,VLOOKUP($S$444,'TAR FIN'!$A$1:$O$116,15,0))</f>
        <v>15.24</v>
      </c>
      <c r="W444" s="6">
        <f>IF(ISERROR(VLOOKUP($T$444,'TAR FIN'!$A$1:$O$116,15,0)),0,VLOOKUP($T$444,'TAR FIN'!$A$1:$O$116,15,0))</f>
        <v>0</v>
      </c>
      <c r="X444" s="6">
        <f>IF(ISERROR(VLOOKUP($U$444,'TAR FIN'!$A$1:$O$116,15,0)),0,VLOOKUP($U$444,'TAR FIN'!$A$1:$O$116,15,0))</f>
        <v>0</v>
      </c>
      <c r="Y444" s="6">
        <f ca="1">('TUSD BE'!$AM$32+'TUSD BF'!$AM$32+'TUSD CVA'!$AM$32)*1</f>
        <v>17.138874075124019</v>
      </c>
      <c r="Z444" s="6"/>
      <c r="AA444" s="6"/>
      <c r="AB444" s="6">
        <f t="shared" si="26"/>
        <v>8991.6</v>
      </c>
      <c r="AC444" s="6">
        <f t="shared" si="27"/>
        <v>0</v>
      </c>
      <c r="AD444" s="6">
        <f t="shared" ca="1" si="28"/>
        <v>10111.93570432317</v>
      </c>
      <c r="AE444" s="6">
        <f t="shared" si="29"/>
        <v>0</v>
      </c>
      <c r="AF444" s="4" t="s">
        <v>1112</v>
      </c>
    </row>
    <row r="445" spans="1:32" ht="11.25" customHeight="1" x14ac:dyDescent="0.25">
      <c r="A445" s="4" t="s">
        <v>21</v>
      </c>
      <c r="B445" s="4" t="s">
        <v>41</v>
      </c>
      <c r="C445" s="4" t="s">
        <v>64</v>
      </c>
      <c r="D445" s="4" t="s">
        <v>25</v>
      </c>
      <c r="E445" s="4" t="s">
        <v>25</v>
      </c>
      <c r="F445" s="4" t="s">
        <v>25</v>
      </c>
      <c r="G445" s="4" t="s">
        <v>96</v>
      </c>
      <c r="H445" s="4" t="s">
        <v>25</v>
      </c>
      <c r="I445" s="5">
        <v>44621</v>
      </c>
      <c r="J445" s="6">
        <v>1000</v>
      </c>
      <c r="K445" s="6">
        <v>500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4" t="s">
        <v>66</v>
      </c>
      <c r="R445" s="4">
        <v>31277</v>
      </c>
      <c r="S445" s="4">
        <v>28</v>
      </c>
      <c r="T445" s="4">
        <v>0</v>
      </c>
      <c r="U445" s="4">
        <v>0</v>
      </c>
      <c r="V445" s="6">
        <f>IF(ISERROR(VLOOKUP($S$445,'TAR FIN'!$A$1:$O$116,15,0)),0,VLOOKUP($S$445,'TAR FIN'!$A$1:$O$116,15,0))</f>
        <v>15.24</v>
      </c>
      <c r="W445" s="6">
        <f>IF(ISERROR(VLOOKUP($T$445,'TAR FIN'!$A$1:$O$116,15,0)),0,VLOOKUP($T$445,'TAR FIN'!$A$1:$O$116,15,0))</f>
        <v>0</v>
      </c>
      <c r="X445" s="6">
        <f>IF(ISERROR(VLOOKUP($U$445,'TAR FIN'!$A$1:$O$116,15,0)),0,VLOOKUP($U$445,'TAR FIN'!$A$1:$O$116,15,0))</f>
        <v>0</v>
      </c>
      <c r="Y445" s="6">
        <f ca="1">('TUSD BE'!$AM$32+'TUSD BF'!$AM$32+'TUSD CVA'!$AM$32)*1</f>
        <v>17.138874075124019</v>
      </c>
      <c r="Z445" s="6"/>
      <c r="AA445" s="6"/>
      <c r="AB445" s="6">
        <f t="shared" si="26"/>
        <v>7620</v>
      </c>
      <c r="AC445" s="6">
        <f t="shared" si="27"/>
        <v>0</v>
      </c>
      <c r="AD445" s="6">
        <f t="shared" ca="1" si="28"/>
        <v>8569.4370375620092</v>
      </c>
      <c r="AE445" s="6">
        <f t="shared" si="29"/>
        <v>0</v>
      </c>
      <c r="AF445" s="4" t="s">
        <v>1112</v>
      </c>
    </row>
    <row r="446" spans="1:32" ht="11.25" customHeight="1" x14ac:dyDescent="0.25">
      <c r="A446" s="4" t="s">
        <v>21</v>
      </c>
      <c r="B446" s="4" t="s">
        <v>41</v>
      </c>
      <c r="C446" s="4" t="s">
        <v>64</v>
      </c>
      <c r="D446" s="4" t="s">
        <v>25</v>
      </c>
      <c r="E446" s="4" t="s">
        <v>25</v>
      </c>
      <c r="F446" s="4" t="s">
        <v>25</v>
      </c>
      <c r="G446" s="4" t="s">
        <v>97</v>
      </c>
      <c r="H446" s="4" t="s">
        <v>25</v>
      </c>
      <c r="I446" s="5">
        <v>44621</v>
      </c>
      <c r="J446" s="6">
        <v>1180</v>
      </c>
      <c r="K446" s="6">
        <v>590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4" t="s">
        <v>66</v>
      </c>
      <c r="R446" s="4">
        <v>31318</v>
      </c>
      <c r="S446" s="4">
        <v>28</v>
      </c>
      <c r="T446" s="4">
        <v>0</v>
      </c>
      <c r="U446" s="4">
        <v>0</v>
      </c>
      <c r="V446" s="6">
        <f>IF(ISERROR(VLOOKUP($S$446,'TAR FIN'!$A$1:$O$116,15,0)),0,VLOOKUP($S$446,'TAR FIN'!$A$1:$O$116,15,0))</f>
        <v>15.24</v>
      </c>
      <c r="W446" s="6">
        <f>IF(ISERROR(VLOOKUP($T$446,'TAR FIN'!$A$1:$O$116,15,0)),0,VLOOKUP($T$446,'TAR FIN'!$A$1:$O$116,15,0))</f>
        <v>0</v>
      </c>
      <c r="X446" s="6">
        <f>IF(ISERROR(VLOOKUP($U$446,'TAR FIN'!$A$1:$O$116,15,0)),0,VLOOKUP($U$446,'TAR FIN'!$A$1:$O$116,15,0))</f>
        <v>0</v>
      </c>
      <c r="Y446" s="6">
        <f ca="1">('TUSD BE'!$AM$32+'TUSD BF'!$AM$32+'TUSD CVA'!$AM$32)*1</f>
        <v>17.138874075124019</v>
      </c>
      <c r="Z446" s="6"/>
      <c r="AA446" s="6"/>
      <c r="AB446" s="6">
        <f t="shared" si="26"/>
        <v>8991.6</v>
      </c>
      <c r="AC446" s="6">
        <f t="shared" si="27"/>
        <v>0</v>
      </c>
      <c r="AD446" s="6">
        <f t="shared" ca="1" si="28"/>
        <v>10111.93570432317</v>
      </c>
      <c r="AE446" s="6">
        <f t="shared" si="29"/>
        <v>0</v>
      </c>
      <c r="AF446" s="4" t="s">
        <v>1112</v>
      </c>
    </row>
    <row r="447" spans="1:32" ht="11.25" customHeight="1" x14ac:dyDescent="0.25">
      <c r="A447" s="4" t="s">
        <v>21</v>
      </c>
      <c r="B447" s="4" t="s">
        <v>41</v>
      </c>
      <c r="C447" s="4" t="s">
        <v>64</v>
      </c>
      <c r="D447" s="4" t="s">
        <v>25</v>
      </c>
      <c r="E447" s="4" t="s">
        <v>25</v>
      </c>
      <c r="F447" s="4" t="s">
        <v>25</v>
      </c>
      <c r="G447" s="4" t="s">
        <v>98</v>
      </c>
      <c r="H447" s="4" t="s">
        <v>25</v>
      </c>
      <c r="I447" s="5">
        <v>44621</v>
      </c>
      <c r="J447" s="6">
        <v>3000</v>
      </c>
      <c r="K447" s="6">
        <v>1500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4" t="s">
        <v>66</v>
      </c>
      <c r="R447" s="4">
        <v>31334</v>
      </c>
      <c r="S447" s="4">
        <v>28</v>
      </c>
      <c r="T447" s="4">
        <v>0</v>
      </c>
      <c r="U447" s="4">
        <v>0</v>
      </c>
      <c r="V447" s="6">
        <f>IF(ISERROR(VLOOKUP($S$447,'TAR FIN'!$A$1:$O$116,15,0)),0,VLOOKUP($S$447,'TAR FIN'!$A$1:$O$116,15,0))</f>
        <v>15.24</v>
      </c>
      <c r="W447" s="6">
        <f>IF(ISERROR(VLOOKUP($T$447,'TAR FIN'!$A$1:$O$116,15,0)),0,VLOOKUP($T$447,'TAR FIN'!$A$1:$O$116,15,0))</f>
        <v>0</v>
      </c>
      <c r="X447" s="6">
        <f>IF(ISERROR(VLOOKUP($U$447,'TAR FIN'!$A$1:$O$116,15,0)),0,VLOOKUP($U$447,'TAR FIN'!$A$1:$O$116,15,0))</f>
        <v>0</v>
      </c>
      <c r="Y447" s="6">
        <f ca="1">('TUSD BE'!$AM$32+'TUSD BF'!$AM$32+'TUSD CVA'!$AM$32)*1</f>
        <v>17.138874075124019</v>
      </c>
      <c r="Z447" s="6"/>
      <c r="AA447" s="6"/>
      <c r="AB447" s="6">
        <f t="shared" si="26"/>
        <v>22860</v>
      </c>
      <c r="AC447" s="6">
        <f t="shared" si="27"/>
        <v>0</v>
      </c>
      <c r="AD447" s="6">
        <f t="shared" ca="1" si="28"/>
        <v>25708.311112686028</v>
      </c>
      <c r="AE447" s="6">
        <f t="shared" si="29"/>
        <v>0</v>
      </c>
      <c r="AF447" s="4" t="s">
        <v>1112</v>
      </c>
    </row>
    <row r="448" spans="1:32" ht="11.25" customHeight="1" x14ac:dyDescent="0.25">
      <c r="A448" s="4" t="s">
        <v>21</v>
      </c>
      <c r="B448" s="4" t="s">
        <v>41</v>
      </c>
      <c r="C448" s="4" t="s">
        <v>64</v>
      </c>
      <c r="D448" s="4" t="s">
        <v>25</v>
      </c>
      <c r="E448" s="4" t="s">
        <v>25</v>
      </c>
      <c r="F448" s="4" t="s">
        <v>25</v>
      </c>
      <c r="G448" s="4" t="s">
        <v>99</v>
      </c>
      <c r="H448" s="4" t="s">
        <v>25</v>
      </c>
      <c r="I448" s="5">
        <v>44621</v>
      </c>
      <c r="J448" s="6">
        <v>1208</v>
      </c>
      <c r="K448" s="6">
        <v>604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4" t="s">
        <v>66</v>
      </c>
      <c r="R448" s="4">
        <v>31618</v>
      </c>
      <c r="S448" s="4">
        <v>28</v>
      </c>
      <c r="T448" s="4">
        <v>0</v>
      </c>
      <c r="U448" s="4">
        <v>0</v>
      </c>
      <c r="V448" s="6">
        <f>IF(ISERROR(VLOOKUP($S$448,'TAR FIN'!$A$1:$O$116,15,0)),0,VLOOKUP($S$448,'TAR FIN'!$A$1:$O$116,15,0))</f>
        <v>15.24</v>
      </c>
      <c r="W448" s="6">
        <f>IF(ISERROR(VLOOKUP($T$448,'TAR FIN'!$A$1:$O$116,15,0)),0,VLOOKUP($T$448,'TAR FIN'!$A$1:$O$116,15,0))</f>
        <v>0</v>
      </c>
      <c r="X448" s="6">
        <f>IF(ISERROR(VLOOKUP($U$448,'TAR FIN'!$A$1:$O$116,15,0)),0,VLOOKUP($U$448,'TAR FIN'!$A$1:$O$116,15,0))</f>
        <v>0</v>
      </c>
      <c r="Y448" s="6">
        <f ca="1">('TUSD BE'!$AM$32+'TUSD BF'!$AM$32+'TUSD CVA'!$AM$32)*1</f>
        <v>17.138874075124019</v>
      </c>
      <c r="Z448" s="6"/>
      <c r="AA448" s="6"/>
      <c r="AB448" s="6">
        <f t="shared" si="26"/>
        <v>9204.9600000000009</v>
      </c>
      <c r="AC448" s="6">
        <f t="shared" si="27"/>
        <v>0</v>
      </c>
      <c r="AD448" s="6">
        <f t="shared" ca="1" si="28"/>
        <v>10351.879941374908</v>
      </c>
      <c r="AE448" s="6">
        <f t="shared" si="29"/>
        <v>0</v>
      </c>
      <c r="AF448" s="4" t="s">
        <v>1112</v>
      </c>
    </row>
    <row r="449" spans="1:32" ht="11.25" customHeight="1" x14ac:dyDescent="0.25">
      <c r="A449" s="4" t="s">
        <v>21</v>
      </c>
      <c r="B449" s="4" t="s">
        <v>41</v>
      </c>
      <c r="C449" s="4" t="s">
        <v>64</v>
      </c>
      <c r="D449" s="4" t="s">
        <v>25</v>
      </c>
      <c r="E449" s="4" t="s">
        <v>25</v>
      </c>
      <c r="F449" s="4" t="s">
        <v>25</v>
      </c>
      <c r="G449" s="4" t="s">
        <v>100</v>
      </c>
      <c r="H449" s="4" t="s">
        <v>25</v>
      </c>
      <c r="I449" s="5">
        <v>44621</v>
      </c>
      <c r="J449" s="6">
        <v>1180</v>
      </c>
      <c r="K449" s="6">
        <v>590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66</v>
      </c>
      <c r="R449" s="4">
        <v>31677</v>
      </c>
      <c r="S449" s="4">
        <v>28</v>
      </c>
      <c r="T449" s="4">
        <v>0</v>
      </c>
      <c r="U449" s="4">
        <v>0</v>
      </c>
      <c r="V449" s="6">
        <f>IF(ISERROR(VLOOKUP($S$449,'TAR FIN'!$A$1:$O$116,15,0)),0,VLOOKUP($S$449,'TAR FIN'!$A$1:$O$116,15,0))</f>
        <v>15.24</v>
      </c>
      <c r="W449" s="6">
        <f>IF(ISERROR(VLOOKUP($T$449,'TAR FIN'!$A$1:$O$116,15,0)),0,VLOOKUP($T$449,'TAR FIN'!$A$1:$O$116,15,0))</f>
        <v>0</v>
      </c>
      <c r="X449" s="6">
        <f>IF(ISERROR(VLOOKUP($U$449,'TAR FIN'!$A$1:$O$116,15,0)),0,VLOOKUP($U$449,'TAR FIN'!$A$1:$O$116,15,0))</f>
        <v>0</v>
      </c>
      <c r="Y449" s="6">
        <f ca="1">('TUSD BE'!$AM$32+'TUSD BF'!$AM$32+'TUSD CVA'!$AM$32)*1</f>
        <v>17.138874075124019</v>
      </c>
      <c r="Z449" s="6"/>
      <c r="AA449" s="6"/>
      <c r="AB449" s="6">
        <f t="shared" si="26"/>
        <v>8991.6</v>
      </c>
      <c r="AC449" s="6">
        <f t="shared" si="27"/>
        <v>0</v>
      </c>
      <c r="AD449" s="6">
        <f t="shared" ca="1" si="28"/>
        <v>10111.93570432317</v>
      </c>
      <c r="AE449" s="6">
        <f t="shared" si="29"/>
        <v>0</v>
      </c>
      <c r="AF449" s="4" t="s">
        <v>1112</v>
      </c>
    </row>
    <row r="450" spans="1:32" ht="11.25" customHeight="1" x14ac:dyDescent="0.25">
      <c r="A450" s="4" t="s">
        <v>21</v>
      </c>
      <c r="B450" s="4" t="s">
        <v>41</v>
      </c>
      <c r="C450" s="4" t="s">
        <v>64</v>
      </c>
      <c r="D450" s="4" t="s">
        <v>25</v>
      </c>
      <c r="E450" s="4" t="s">
        <v>25</v>
      </c>
      <c r="F450" s="4" t="s">
        <v>25</v>
      </c>
      <c r="G450" s="4" t="s">
        <v>68</v>
      </c>
      <c r="H450" s="4" t="s">
        <v>25</v>
      </c>
      <c r="I450" s="5">
        <v>44652</v>
      </c>
      <c r="J450" s="6">
        <v>302</v>
      </c>
      <c r="K450" s="6">
        <v>302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4" t="s">
        <v>66</v>
      </c>
      <c r="R450" s="4">
        <v>404</v>
      </c>
      <c r="S450" s="4">
        <v>28</v>
      </c>
      <c r="T450" s="4">
        <v>0</v>
      </c>
      <c r="U450" s="4">
        <v>0</v>
      </c>
      <c r="V450" s="6">
        <f>IF(ISERROR(VLOOKUP($S$450,'TAR FIN'!$A$1:$O$116,15,0)),0,VLOOKUP($S$450,'TAR FIN'!$A$1:$O$116,15,0))</f>
        <v>15.24</v>
      </c>
      <c r="W450" s="6">
        <f>IF(ISERROR(VLOOKUP($T$450,'TAR FIN'!$A$1:$O$116,15,0)),0,VLOOKUP($T$450,'TAR FIN'!$A$1:$O$116,15,0))</f>
        <v>0</v>
      </c>
      <c r="X450" s="6">
        <f>IF(ISERROR(VLOOKUP($U$450,'TAR FIN'!$A$1:$O$116,15,0)),0,VLOOKUP($U$450,'TAR FIN'!$A$1:$O$116,15,0))</f>
        <v>0</v>
      </c>
      <c r="Y450" s="6">
        <f ca="1">('TUSD BE'!$AM$32+'TUSD BF'!$AM$32+'TUSD CVA'!$AM$32)*1</f>
        <v>17.138874075124019</v>
      </c>
      <c r="Z450" s="6"/>
      <c r="AA450" s="6"/>
      <c r="AB450" s="6">
        <f t="shared" ref="AB450:AB513" si="30">(J450-K450)*V450</f>
        <v>0</v>
      </c>
      <c r="AC450" s="6">
        <f t="shared" ref="AC450:AC513" si="31">(L450-M450)*W450+(N450-O450)*X450</f>
        <v>0</v>
      </c>
      <c r="AD450" s="6">
        <f t="shared" ref="AD450:AD513" ca="1" si="32">(J450-K450)*Y450</f>
        <v>0</v>
      </c>
      <c r="AE450" s="6">
        <f t="shared" ref="AE450:AE513" si="33">(L450-M450)*Z450+(N450-O450)*AA450</f>
        <v>0</v>
      </c>
      <c r="AF450" s="4" t="s">
        <v>1112</v>
      </c>
    </row>
    <row r="451" spans="1:32" ht="11.25" customHeight="1" x14ac:dyDescent="0.25">
      <c r="A451" s="4" t="s">
        <v>21</v>
      </c>
      <c r="B451" s="4" t="s">
        <v>41</v>
      </c>
      <c r="C451" s="4" t="s">
        <v>64</v>
      </c>
      <c r="D451" s="4" t="s">
        <v>25</v>
      </c>
      <c r="E451" s="4" t="s">
        <v>25</v>
      </c>
      <c r="F451" s="4" t="s">
        <v>25</v>
      </c>
      <c r="G451" s="4" t="s">
        <v>70</v>
      </c>
      <c r="H451" s="4" t="s">
        <v>25</v>
      </c>
      <c r="I451" s="5">
        <v>44652</v>
      </c>
      <c r="J451" s="6">
        <v>5040</v>
      </c>
      <c r="K451" s="6">
        <v>5040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4" t="s">
        <v>66</v>
      </c>
      <c r="R451" s="4">
        <v>838</v>
      </c>
      <c r="S451" s="4">
        <v>28</v>
      </c>
      <c r="T451" s="4">
        <v>0</v>
      </c>
      <c r="U451" s="4">
        <v>0</v>
      </c>
      <c r="V451" s="6">
        <f>IF(ISERROR(VLOOKUP($S$451,'TAR FIN'!$A$1:$O$116,15,0)),0,VLOOKUP($S$451,'TAR FIN'!$A$1:$O$116,15,0))</f>
        <v>15.24</v>
      </c>
      <c r="W451" s="6">
        <f>IF(ISERROR(VLOOKUP($T$451,'TAR FIN'!$A$1:$O$116,15,0)),0,VLOOKUP($T$451,'TAR FIN'!$A$1:$O$116,15,0))</f>
        <v>0</v>
      </c>
      <c r="X451" s="6">
        <f>IF(ISERROR(VLOOKUP($U$451,'TAR FIN'!$A$1:$O$116,15,0)),0,VLOOKUP($U$451,'TAR FIN'!$A$1:$O$116,15,0))</f>
        <v>0</v>
      </c>
      <c r="Y451" s="6">
        <f ca="1">('TUSD BE'!$AM$32+'TUSD BF'!$AM$32+'TUSD CVA'!$AM$32)*1</f>
        <v>17.138874075124019</v>
      </c>
      <c r="Z451" s="6"/>
      <c r="AA451" s="6"/>
      <c r="AB451" s="6">
        <f t="shared" si="30"/>
        <v>0</v>
      </c>
      <c r="AC451" s="6">
        <f t="shared" si="31"/>
        <v>0</v>
      </c>
      <c r="AD451" s="6">
        <f t="shared" ca="1" si="32"/>
        <v>0</v>
      </c>
      <c r="AE451" s="6">
        <f t="shared" si="33"/>
        <v>0</v>
      </c>
      <c r="AF451" s="4" t="s">
        <v>1112</v>
      </c>
    </row>
    <row r="452" spans="1:32" ht="11.25" customHeight="1" x14ac:dyDescent="0.25">
      <c r="A452" s="4" t="s">
        <v>21</v>
      </c>
      <c r="B452" s="4" t="s">
        <v>41</v>
      </c>
      <c r="C452" s="4" t="s">
        <v>64</v>
      </c>
      <c r="D452" s="4" t="s">
        <v>25</v>
      </c>
      <c r="E452" s="4" t="s">
        <v>25</v>
      </c>
      <c r="F452" s="4" t="s">
        <v>25</v>
      </c>
      <c r="G452" s="4" t="s">
        <v>74</v>
      </c>
      <c r="H452" s="4" t="s">
        <v>25</v>
      </c>
      <c r="I452" s="5">
        <v>44652</v>
      </c>
      <c r="J452" s="6">
        <v>3800</v>
      </c>
      <c r="K452" s="6">
        <v>1900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4" t="s">
        <v>66</v>
      </c>
      <c r="R452" s="4">
        <v>1192</v>
      </c>
      <c r="S452" s="4">
        <v>28</v>
      </c>
      <c r="T452" s="4">
        <v>0</v>
      </c>
      <c r="U452" s="4">
        <v>0</v>
      </c>
      <c r="V452" s="6">
        <f>IF(ISERROR(VLOOKUP($S$452,'TAR FIN'!$A$1:$O$116,15,0)),0,VLOOKUP($S$452,'TAR FIN'!$A$1:$O$116,15,0))</f>
        <v>15.24</v>
      </c>
      <c r="W452" s="6">
        <f>IF(ISERROR(VLOOKUP($T$452,'TAR FIN'!$A$1:$O$116,15,0)),0,VLOOKUP($T$452,'TAR FIN'!$A$1:$O$116,15,0))</f>
        <v>0</v>
      </c>
      <c r="X452" s="6">
        <f>IF(ISERROR(VLOOKUP($U$452,'TAR FIN'!$A$1:$O$116,15,0)),0,VLOOKUP($U$452,'TAR FIN'!$A$1:$O$116,15,0))</f>
        <v>0</v>
      </c>
      <c r="Y452" s="6">
        <f ca="1">('TUSD BE'!$AM$32+'TUSD BF'!$AM$32+'TUSD CVA'!$AM$32)*1</f>
        <v>17.138874075124019</v>
      </c>
      <c r="Z452" s="6"/>
      <c r="AA452" s="6"/>
      <c r="AB452" s="6">
        <f t="shared" si="30"/>
        <v>28956</v>
      </c>
      <c r="AC452" s="6">
        <f t="shared" si="31"/>
        <v>0</v>
      </c>
      <c r="AD452" s="6">
        <f t="shared" ca="1" si="32"/>
        <v>32563.860742735636</v>
      </c>
      <c r="AE452" s="6">
        <f t="shared" si="33"/>
        <v>0</v>
      </c>
      <c r="AF452" s="4" t="s">
        <v>1112</v>
      </c>
    </row>
    <row r="453" spans="1:32" ht="11.25" customHeight="1" x14ac:dyDescent="0.25">
      <c r="A453" s="4" t="s">
        <v>21</v>
      </c>
      <c r="B453" s="4" t="s">
        <v>41</v>
      </c>
      <c r="C453" s="4" t="s">
        <v>64</v>
      </c>
      <c r="D453" s="4" t="s">
        <v>25</v>
      </c>
      <c r="E453" s="4" t="s">
        <v>25</v>
      </c>
      <c r="F453" s="4" t="s">
        <v>25</v>
      </c>
      <c r="G453" s="4" t="s">
        <v>76</v>
      </c>
      <c r="H453" s="4" t="s">
        <v>25</v>
      </c>
      <c r="I453" s="5">
        <v>44652</v>
      </c>
      <c r="J453" s="6">
        <v>480</v>
      </c>
      <c r="K453" s="6">
        <v>480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66</v>
      </c>
      <c r="R453" s="4">
        <v>1438</v>
      </c>
      <c r="S453" s="4">
        <v>28</v>
      </c>
      <c r="T453" s="4">
        <v>0</v>
      </c>
      <c r="U453" s="4">
        <v>0</v>
      </c>
      <c r="V453" s="6">
        <f>IF(ISERROR(VLOOKUP($S$453,'TAR FIN'!$A$1:$O$116,15,0)),0,VLOOKUP($S$453,'TAR FIN'!$A$1:$O$116,15,0))</f>
        <v>15.24</v>
      </c>
      <c r="W453" s="6">
        <f>IF(ISERROR(VLOOKUP($T$453,'TAR FIN'!$A$1:$O$116,15,0)),0,VLOOKUP($T$453,'TAR FIN'!$A$1:$O$116,15,0))</f>
        <v>0</v>
      </c>
      <c r="X453" s="6">
        <f>IF(ISERROR(VLOOKUP($U$453,'TAR FIN'!$A$1:$O$116,15,0)),0,VLOOKUP($U$453,'TAR FIN'!$A$1:$O$116,15,0))</f>
        <v>0</v>
      </c>
      <c r="Y453" s="6">
        <f ca="1">('TUSD BE'!$AM$32+'TUSD BF'!$AM$32+'TUSD CVA'!$AM$32)*1</f>
        <v>17.138874075124019</v>
      </c>
      <c r="Z453" s="6"/>
      <c r="AA453" s="6"/>
      <c r="AB453" s="6">
        <f t="shared" si="30"/>
        <v>0</v>
      </c>
      <c r="AC453" s="6">
        <f t="shared" si="31"/>
        <v>0</v>
      </c>
      <c r="AD453" s="6">
        <f t="shared" ca="1" si="32"/>
        <v>0</v>
      </c>
      <c r="AE453" s="6">
        <f t="shared" si="33"/>
        <v>0</v>
      </c>
      <c r="AF453" s="4" t="s">
        <v>1112</v>
      </c>
    </row>
    <row r="454" spans="1:32" ht="11.25" customHeight="1" x14ac:dyDescent="0.25">
      <c r="A454" s="4" t="s">
        <v>21</v>
      </c>
      <c r="B454" s="4" t="s">
        <v>41</v>
      </c>
      <c r="C454" s="4" t="s">
        <v>64</v>
      </c>
      <c r="D454" s="4" t="s">
        <v>25</v>
      </c>
      <c r="E454" s="4" t="s">
        <v>25</v>
      </c>
      <c r="F454" s="4" t="s">
        <v>25</v>
      </c>
      <c r="G454" s="4" t="s">
        <v>77</v>
      </c>
      <c r="H454" s="4" t="s">
        <v>25</v>
      </c>
      <c r="I454" s="5">
        <v>44652</v>
      </c>
      <c r="J454" s="6">
        <v>736</v>
      </c>
      <c r="K454" s="6">
        <v>736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4" t="s">
        <v>66</v>
      </c>
      <c r="R454" s="4">
        <v>1462</v>
      </c>
      <c r="S454" s="4">
        <v>28</v>
      </c>
      <c r="T454" s="4">
        <v>0</v>
      </c>
      <c r="U454" s="4">
        <v>0</v>
      </c>
      <c r="V454" s="6">
        <f>IF(ISERROR(VLOOKUP($S$454,'TAR FIN'!$A$1:$O$116,15,0)),0,VLOOKUP($S$454,'TAR FIN'!$A$1:$O$116,15,0))</f>
        <v>15.24</v>
      </c>
      <c r="W454" s="6">
        <f>IF(ISERROR(VLOOKUP($T$454,'TAR FIN'!$A$1:$O$116,15,0)),0,VLOOKUP($T$454,'TAR FIN'!$A$1:$O$116,15,0))</f>
        <v>0</v>
      </c>
      <c r="X454" s="6">
        <f>IF(ISERROR(VLOOKUP($U$454,'TAR FIN'!$A$1:$O$116,15,0)),0,VLOOKUP($U$454,'TAR FIN'!$A$1:$O$116,15,0))</f>
        <v>0</v>
      </c>
      <c r="Y454" s="6">
        <f ca="1">('TUSD BE'!$AM$32+'TUSD BF'!$AM$32+'TUSD CVA'!$AM$32)*1</f>
        <v>17.138874075124019</v>
      </c>
      <c r="Z454" s="6"/>
      <c r="AA454" s="6"/>
      <c r="AB454" s="6">
        <f t="shared" si="30"/>
        <v>0</v>
      </c>
      <c r="AC454" s="6">
        <f t="shared" si="31"/>
        <v>0</v>
      </c>
      <c r="AD454" s="6">
        <f t="shared" ca="1" si="32"/>
        <v>0</v>
      </c>
      <c r="AE454" s="6">
        <f t="shared" si="33"/>
        <v>0</v>
      </c>
      <c r="AF454" s="4" t="s">
        <v>1112</v>
      </c>
    </row>
    <row r="455" spans="1:32" ht="11.25" customHeight="1" x14ac:dyDescent="0.25">
      <c r="A455" s="4" t="s">
        <v>21</v>
      </c>
      <c r="B455" s="4" t="s">
        <v>41</v>
      </c>
      <c r="C455" s="4" t="s">
        <v>64</v>
      </c>
      <c r="D455" s="4" t="s">
        <v>25</v>
      </c>
      <c r="E455" s="4" t="s">
        <v>25</v>
      </c>
      <c r="F455" s="4" t="s">
        <v>25</v>
      </c>
      <c r="G455" s="4" t="s">
        <v>78</v>
      </c>
      <c r="H455" s="4" t="s">
        <v>25</v>
      </c>
      <c r="I455" s="5">
        <v>44652</v>
      </c>
      <c r="J455" s="6">
        <v>6460</v>
      </c>
      <c r="K455" s="6">
        <v>6460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4" t="s">
        <v>66</v>
      </c>
      <c r="R455" s="4">
        <v>1533</v>
      </c>
      <c r="S455" s="4">
        <v>28</v>
      </c>
      <c r="T455" s="4">
        <v>0</v>
      </c>
      <c r="U455" s="4">
        <v>0</v>
      </c>
      <c r="V455" s="6">
        <f>IF(ISERROR(VLOOKUP($S$455,'TAR FIN'!$A$1:$O$116,15,0)),0,VLOOKUP($S$455,'TAR FIN'!$A$1:$O$116,15,0))</f>
        <v>15.24</v>
      </c>
      <c r="W455" s="6">
        <f>IF(ISERROR(VLOOKUP($T$455,'TAR FIN'!$A$1:$O$116,15,0)),0,VLOOKUP($T$455,'TAR FIN'!$A$1:$O$116,15,0))</f>
        <v>0</v>
      </c>
      <c r="X455" s="6">
        <f>IF(ISERROR(VLOOKUP($U$455,'TAR FIN'!$A$1:$O$116,15,0)),0,VLOOKUP($U$455,'TAR FIN'!$A$1:$O$116,15,0))</f>
        <v>0</v>
      </c>
      <c r="Y455" s="6">
        <f ca="1">('TUSD BE'!$AM$32+'TUSD BF'!$AM$32+'TUSD CVA'!$AM$32)*1</f>
        <v>17.138874075124019</v>
      </c>
      <c r="Z455" s="6"/>
      <c r="AA455" s="6"/>
      <c r="AB455" s="6">
        <f t="shared" si="30"/>
        <v>0</v>
      </c>
      <c r="AC455" s="6">
        <f t="shared" si="31"/>
        <v>0</v>
      </c>
      <c r="AD455" s="6">
        <f t="shared" ca="1" si="32"/>
        <v>0</v>
      </c>
      <c r="AE455" s="6">
        <f t="shared" si="33"/>
        <v>0</v>
      </c>
      <c r="AF455" s="4" t="s">
        <v>1112</v>
      </c>
    </row>
    <row r="456" spans="1:32" ht="11.25" customHeight="1" x14ac:dyDescent="0.25">
      <c r="A456" s="4" t="s">
        <v>21</v>
      </c>
      <c r="B456" s="4" t="s">
        <v>41</v>
      </c>
      <c r="C456" s="4" t="s">
        <v>64</v>
      </c>
      <c r="D456" s="4" t="s">
        <v>25</v>
      </c>
      <c r="E456" s="4" t="s">
        <v>25</v>
      </c>
      <c r="F456" s="4" t="s">
        <v>25</v>
      </c>
      <c r="G456" s="4" t="s">
        <v>79</v>
      </c>
      <c r="H456" s="4" t="s">
        <v>25</v>
      </c>
      <c r="I456" s="5">
        <v>44652</v>
      </c>
      <c r="J456" s="6">
        <v>770</v>
      </c>
      <c r="K456" s="6">
        <v>770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4" t="s">
        <v>66</v>
      </c>
      <c r="R456" s="4">
        <v>2535</v>
      </c>
      <c r="S456" s="4">
        <v>28</v>
      </c>
      <c r="T456" s="4">
        <v>0</v>
      </c>
      <c r="U456" s="4">
        <v>0</v>
      </c>
      <c r="V456" s="6">
        <f>IF(ISERROR(VLOOKUP($S$456,'TAR FIN'!$A$1:$O$116,15,0)),0,VLOOKUP($S$456,'TAR FIN'!$A$1:$O$116,15,0))</f>
        <v>15.24</v>
      </c>
      <c r="W456" s="6">
        <f>IF(ISERROR(VLOOKUP($T$456,'TAR FIN'!$A$1:$O$116,15,0)),0,VLOOKUP($T$456,'TAR FIN'!$A$1:$O$116,15,0))</f>
        <v>0</v>
      </c>
      <c r="X456" s="6">
        <f>IF(ISERROR(VLOOKUP($U$456,'TAR FIN'!$A$1:$O$116,15,0)),0,VLOOKUP($U$456,'TAR FIN'!$A$1:$O$116,15,0))</f>
        <v>0</v>
      </c>
      <c r="Y456" s="6">
        <f ca="1">('TUSD BE'!$AM$32+'TUSD BF'!$AM$32+'TUSD CVA'!$AM$32)*1</f>
        <v>17.138874075124019</v>
      </c>
      <c r="Z456" s="6"/>
      <c r="AA456" s="6"/>
      <c r="AB456" s="6">
        <f t="shared" si="30"/>
        <v>0</v>
      </c>
      <c r="AC456" s="6">
        <f t="shared" si="31"/>
        <v>0</v>
      </c>
      <c r="AD456" s="6">
        <f t="shared" ca="1" si="32"/>
        <v>0</v>
      </c>
      <c r="AE456" s="6">
        <f t="shared" si="33"/>
        <v>0</v>
      </c>
      <c r="AF456" s="4" t="s">
        <v>1112</v>
      </c>
    </row>
    <row r="457" spans="1:32" ht="11.25" customHeight="1" x14ac:dyDescent="0.25">
      <c r="A457" s="4" t="s">
        <v>21</v>
      </c>
      <c r="B457" s="4" t="s">
        <v>41</v>
      </c>
      <c r="C457" s="4" t="s">
        <v>64</v>
      </c>
      <c r="D457" s="4" t="s">
        <v>25</v>
      </c>
      <c r="E457" s="4" t="s">
        <v>25</v>
      </c>
      <c r="F457" s="4" t="s">
        <v>25</v>
      </c>
      <c r="G457" s="4" t="s">
        <v>80</v>
      </c>
      <c r="H457" s="4" t="s">
        <v>25</v>
      </c>
      <c r="I457" s="5">
        <v>44652</v>
      </c>
      <c r="J457" s="6">
        <v>1416</v>
      </c>
      <c r="K457" s="6">
        <v>1416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4" t="s">
        <v>66</v>
      </c>
      <c r="R457" s="4">
        <v>2751</v>
      </c>
      <c r="S457" s="4">
        <v>28</v>
      </c>
      <c r="T457" s="4">
        <v>0</v>
      </c>
      <c r="U457" s="4">
        <v>0</v>
      </c>
      <c r="V457" s="6">
        <f>IF(ISERROR(VLOOKUP($S$457,'TAR FIN'!$A$1:$O$116,15,0)),0,VLOOKUP($S$457,'TAR FIN'!$A$1:$O$116,15,0))</f>
        <v>15.24</v>
      </c>
      <c r="W457" s="6">
        <f>IF(ISERROR(VLOOKUP($T$457,'TAR FIN'!$A$1:$O$116,15,0)),0,VLOOKUP($T$457,'TAR FIN'!$A$1:$O$116,15,0))</f>
        <v>0</v>
      </c>
      <c r="X457" s="6">
        <f>IF(ISERROR(VLOOKUP($U$457,'TAR FIN'!$A$1:$O$116,15,0)),0,VLOOKUP($U$457,'TAR FIN'!$A$1:$O$116,15,0))</f>
        <v>0</v>
      </c>
      <c r="Y457" s="6">
        <f ca="1">('TUSD BE'!$AM$32+'TUSD BF'!$AM$32+'TUSD CVA'!$AM$32)*1</f>
        <v>17.138874075124019</v>
      </c>
      <c r="Z457" s="6"/>
      <c r="AA457" s="6"/>
      <c r="AB457" s="6">
        <f t="shared" si="30"/>
        <v>0</v>
      </c>
      <c r="AC457" s="6">
        <f t="shared" si="31"/>
        <v>0</v>
      </c>
      <c r="AD457" s="6">
        <f t="shared" ca="1" si="32"/>
        <v>0</v>
      </c>
      <c r="AE457" s="6">
        <f t="shared" si="33"/>
        <v>0</v>
      </c>
      <c r="AF457" s="4" t="s">
        <v>1112</v>
      </c>
    </row>
    <row r="458" spans="1:32" ht="11.25" customHeight="1" x14ac:dyDescent="0.25">
      <c r="A458" s="4" t="s">
        <v>21</v>
      </c>
      <c r="B458" s="4" t="s">
        <v>41</v>
      </c>
      <c r="C458" s="4" t="s">
        <v>64</v>
      </c>
      <c r="D458" s="4" t="s">
        <v>25</v>
      </c>
      <c r="E458" s="4" t="s">
        <v>25</v>
      </c>
      <c r="F458" s="4" t="s">
        <v>25</v>
      </c>
      <c r="G458" s="4" t="s">
        <v>88</v>
      </c>
      <c r="H458" s="4" t="s">
        <v>25</v>
      </c>
      <c r="I458" s="5">
        <v>44652</v>
      </c>
      <c r="J458" s="6">
        <v>9500</v>
      </c>
      <c r="K458" s="6">
        <v>4750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4" t="s">
        <v>66</v>
      </c>
      <c r="R458" s="4">
        <v>27722</v>
      </c>
      <c r="S458" s="4">
        <v>28</v>
      </c>
      <c r="T458" s="4">
        <v>0</v>
      </c>
      <c r="U458" s="4">
        <v>0</v>
      </c>
      <c r="V458" s="6">
        <f>IF(ISERROR(VLOOKUP($S$458,'TAR FIN'!$A$1:$O$116,15,0)),0,VLOOKUP($S$458,'TAR FIN'!$A$1:$O$116,15,0))</f>
        <v>15.24</v>
      </c>
      <c r="W458" s="6">
        <f>IF(ISERROR(VLOOKUP($T$458,'TAR FIN'!$A$1:$O$116,15,0)),0,VLOOKUP($T$458,'TAR FIN'!$A$1:$O$116,15,0))</f>
        <v>0</v>
      </c>
      <c r="X458" s="6">
        <f>IF(ISERROR(VLOOKUP($U$458,'TAR FIN'!$A$1:$O$116,15,0)),0,VLOOKUP($U$458,'TAR FIN'!$A$1:$O$116,15,0))</f>
        <v>0</v>
      </c>
      <c r="Y458" s="6">
        <f ca="1">('TUSD BE'!$AM$32+'TUSD BF'!$AM$32+'TUSD CVA'!$AM$32)*1</f>
        <v>17.138874075124019</v>
      </c>
      <c r="Z458" s="6"/>
      <c r="AA458" s="6"/>
      <c r="AB458" s="6">
        <f t="shared" si="30"/>
        <v>72390</v>
      </c>
      <c r="AC458" s="6">
        <f t="shared" si="31"/>
        <v>0</v>
      </c>
      <c r="AD458" s="6">
        <f t="shared" ca="1" si="32"/>
        <v>81409.651856839089</v>
      </c>
      <c r="AE458" s="6">
        <f t="shared" si="33"/>
        <v>0</v>
      </c>
      <c r="AF458" s="4" t="s">
        <v>1112</v>
      </c>
    </row>
    <row r="459" spans="1:32" ht="11.25" customHeight="1" x14ac:dyDescent="0.25">
      <c r="A459" s="4" t="s">
        <v>21</v>
      </c>
      <c r="B459" s="4" t="s">
        <v>41</v>
      </c>
      <c r="C459" s="4" t="s">
        <v>64</v>
      </c>
      <c r="D459" s="4" t="s">
        <v>25</v>
      </c>
      <c r="E459" s="4" t="s">
        <v>25</v>
      </c>
      <c r="F459" s="4" t="s">
        <v>25</v>
      </c>
      <c r="G459" s="4" t="s">
        <v>90</v>
      </c>
      <c r="H459" s="4" t="s">
        <v>25</v>
      </c>
      <c r="I459" s="5">
        <v>44652</v>
      </c>
      <c r="J459" s="6">
        <v>420</v>
      </c>
      <c r="K459" s="6">
        <v>420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4" t="s">
        <v>66</v>
      </c>
      <c r="R459" s="4">
        <v>27928</v>
      </c>
      <c r="S459" s="4">
        <v>28</v>
      </c>
      <c r="T459" s="4">
        <v>0</v>
      </c>
      <c r="U459" s="4">
        <v>0</v>
      </c>
      <c r="V459" s="6">
        <f>IF(ISERROR(VLOOKUP($S$459,'TAR FIN'!$A$1:$O$116,15,0)),0,VLOOKUP($S$459,'TAR FIN'!$A$1:$O$116,15,0))</f>
        <v>15.24</v>
      </c>
      <c r="W459" s="6">
        <f>IF(ISERROR(VLOOKUP($T$459,'TAR FIN'!$A$1:$O$116,15,0)),0,VLOOKUP($T$459,'TAR FIN'!$A$1:$O$116,15,0))</f>
        <v>0</v>
      </c>
      <c r="X459" s="6">
        <f>IF(ISERROR(VLOOKUP($U$459,'TAR FIN'!$A$1:$O$116,15,0)),0,VLOOKUP($U$459,'TAR FIN'!$A$1:$O$116,15,0))</f>
        <v>0</v>
      </c>
      <c r="Y459" s="6">
        <f ca="1">('TUSD BE'!$AM$32+'TUSD BF'!$AM$32+'TUSD CVA'!$AM$32)*1</f>
        <v>17.138874075124019</v>
      </c>
      <c r="Z459" s="6"/>
      <c r="AA459" s="6"/>
      <c r="AB459" s="6">
        <f t="shared" si="30"/>
        <v>0</v>
      </c>
      <c r="AC459" s="6">
        <f t="shared" si="31"/>
        <v>0</v>
      </c>
      <c r="AD459" s="6">
        <f t="shared" ca="1" si="32"/>
        <v>0</v>
      </c>
      <c r="AE459" s="6">
        <f t="shared" si="33"/>
        <v>0</v>
      </c>
      <c r="AF459" s="4" t="s">
        <v>1112</v>
      </c>
    </row>
    <row r="460" spans="1:32" ht="11.25" customHeight="1" x14ac:dyDescent="0.25">
      <c r="A460" s="4" t="s">
        <v>21</v>
      </c>
      <c r="B460" s="4" t="s">
        <v>41</v>
      </c>
      <c r="C460" s="4" t="s">
        <v>64</v>
      </c>
      <c r="D460" s="4" t="s">
        <v>25</v>
      </c>
      <c r="E460" s="4" t="s">
        <v>25</v>
      </c>
      <c r="F460" s="4" t="s">
        <v>25</v>
      </c>
      <c r="G460" s="4" t="s">
        <v>93</v>
      </c>
      <c r="H460" s="4" t="s">
        <v>25</v>
      </c>
      <c r="I460" s="5">
        <v>44652</v>
      </c>
      <c r="J460" s="6">
        <v>1300</v>
      </c>
      <c r="K460" s="6">
        <v>650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4" t="s">
        <v>66</v>
      </c>
      <c r="R460" s="4">
        <v>30847</v>
      </c>
      <c r="S460" s="4">
        <v>28</v>
      </c>
      <c r="T460" s="4">
        <v>0</v>
      </c>
      <c r="U460" s="4">
        <v>0</v>
      </c>
      <c r="V460" s="6">
        <f>IF(ISERROR(VLOOKUP($S$460,'TAR FIN'!$A$1:$O$116,15,0)),0,VLOOKUP($S$460,'TAR FIN'!$A$1:$O$116,15,0))</f>
        <v>15.24</v>
      </c>
      <c r="W460" s="6">
        <f>IF(ISERROR(VLOOKUP($T$460,'TAR FIN'!$A$1:$O$116,15,0)),0,VLOOKUP($T$460,'TAR FIN'!$A$1:$O$116,15,0))</f>
        <v>0</v>
      </c>
      <c r="X460" s="6">
        <f>IF(ISERROR(VLOOKUP($U$460,'TAR FIN'!$A$1:$O$116,15,0)),0,VLOOKUP($U$460,'TAR FIN'!$A$1:$O$116,15,0))</f>
        <v>0</v>
      </c>
      <c r="Y460" s="6">
        <f ca="1">('TUSD BE'!$AM$32+'TUSD BF'!$AM$32+'TUSD CVA'!$AM$32)*1</f>
        <v>17.138874075124019</v>
      </c>
      <c r="Z460" s="6"/>
      <c r="AA460" s="6"/>
      <c r="AB460" s="6">
        <f t="shared" si="30"/>
        <v>9906</v>
      </c>
      <c r="AC460" s="6">
        <f t="shared" si="31"/>
        <v>0</v>
      </c>
      <c r="AD460" s="6">
        <f t="shared" ca="1" si="32"/>
        <v>11140.268148830612</v>
      </c>
      <c r="AE460" s="6">
        <f t="shared" si="33"/>
        <v>0</v>
      </c>
      <c r="AF460" s="4" t="s">
        <v>1112</v>
      </c>
    </row>
    <row r="461" spans="1:32" ht="11.25" customHeight="1" x14ac:dyDescent="0.25">
      <c r="A461" s="4" t="s">
        <v>21</v>
      </c>
      <c r="B461" s="4" t="s">
        <v>41</v>
      </c>
      <c r="C461" s="4" t="s">
        <v>64</v>
      </c>
      <c r="D461" s="4" t="s">
        <v>25</v>
      </c>
      <c r="E461" s="4" t="s">
        <v>25</v>
      </c>
      <c r="F461" s="4" t="s">
        <v>25</v>
      </c>
      <c r="G461" s="4" t="s">
        <v>94</v>
      </c>
      <c r="H461" s="4" t="s">
        <v>25</v>
      </c>
      <c r="I461" s="5">
        <v>44652</v>
      </c>
      <c r="J461" s="6">
        <v>1180</v>
      </c>
      <c r="K461" s="6">
        <v>590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4" t="s">
        <v>66</v>
      </c>
      <c r="R461" s="4">
        <v>30866</v>
      </c>
      <c r="S461" s="4">
        <v>28</v>
      </c>
      <c r="T461" s="4">
        <v>0</v>
      </c>
      <c r="U461" s="4">
        <v>0</v>
      </c>
      <c r="V461" s="6">
        <f>IF(ISERROR(VLOOKUP($S$461,'TAR FIN'!$A$1:$O$116,15,0)),0,VLOOKUP($S$461,'TAR FIN'!$A$1:$O$116,15,0))</f>
        <v>15.24</v>
      </c>
      <c r="W461" s="6">
        <f>IF(ISERROR(VLOOKUP($T$461,'TAR FIN'!$A$1:$O$116,15,0)),0,VLOOKUP($T$461,'TAR FIN'!$A$1:$O$116,15,0))</f>
        <v>0</v>
      </c>
      <c r="X461" s="6">
        <f>IF(ISERROR(VLOOKUP($U$461,'TAR FIN'!$A$1:$O$116,15,0)),0,VLOOKUP($U$461,'TAR FIN'!$A$1:$O$116,15,0))</f>
        <v>0</v>
      </c>
      <c r="Y461" s="6">
        <f ca="1">('TUSD BE'!$AM$32+'TUSD BF'!$AM$32+'TUSD CVA'!$AM$32)*1</f>
        <v>17.138874075124019</v>
      </c>
      <c r="Z461" s="6"/>
      <c r="AA461" s="6"/>
      <c r="AB461" s="6">
        <f t="shared" si="30"/>
        <v>8991.6</v>
      </c>
      <c r="AC461" s="6">
        <f t="shared" si="31"/>
        <v>0</v>
      </c>
      <c r="AD461" s="6">
        <f t="shared" ca="1" si="32"/>
        <v>10111.93570432317</v>
      </c>
      <c r="AE461" s="6">
        <f t="shared" si="33"/>
        <v>0</v>
      </c>
      <c r="AF461" s="4" t="s">
        <v>1112</v>
      </c>
    </row>
    <row r="462" spans="1:32" ht="11.25" customHeight="1" x14ac:dyDescent="0.25">
      <c r="A462" s="4" t="s">
        <v>21</v>
      </c>
      <c r="B462" s="4" t="s">
        <v>41</v>
      </c>
      <c r="C462" s="4" t="s">
        <v>64</v>
      </c>
      <c r="D462" s="4" t="s">
        <v>25</v>
      </c>
      <c r="E462" s="4" t="s">
        <v>25</v>
      </c>
      <c r="F462" s="4" t="s">
        <v>25</v>
      </c>
      <c r="G462" s="4" t="s">
        <v>95</v>
      </c>
      <c r="H462" s="4" t="s">
        <v>25</v>
      </c>
      <c r="I462" s="5">
        <v>44652</v>
      </c>
      <c r="J462" s="6">
        <v>1180</v>
      </c>
      <c r="K462" s="6">
        <v>590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4" t="s">
        <v>66</v>
      </c>
      <c r="R462" s="4">
        <v>31051</v>
      </c>
      <c r="S462" s="4">
        <v>28</v>
      </c>
      <c r="T462" s="4">
        <v>0</v>
      </c>
      <c r="U462" s="4">
        <v>0</v>
      </c>
      <c r="V462" s="6">
        <f>IF(ISERROR(VLOOKUP($S$462,'TAR FIN'!$A$1:$O$116,15,0)),0,VLOOKUP($S$462,'TAR FIN'!$A$1:$O$116,15,0))</f>
        <v>15.24</v>
      </c>
      <c r="W462" s="6">
        <f>IF(ISERROR(VLOOKUP($T$462,'TAR FIN'!$A$1:$O$116,15,0)),0,VLOOKUP($T$462,'TAR FIN'!$A$1:$O$116,15,0))</f>
        <v>0</v>
      </c>
      <c r="X462" s="6">
        <f>IF(ISERROR(VLOOKUP($U$462,'TAR FIN'!$A$1:$O$116,15,0)),0,VLOOKUP($U$462,'TAR FIN'!$A$1:$O$116,15,0))</f>
        <v>0</v>
      </c>
      <c r="Y462" s="6">
        <f ca="1">('TUSD BE'!$AM$32+'TUSD BF'!$AM$32+'TUSD CVA'!$AM$32)*1</f>
        <v>17.138874075124019</v>
      </c>
      <c r="Z462" s="6"/>
      <c r="AA462" s="6"/>
      <c r="AB462" s="6">
        <f t="shared" si="30"/>
        <v>8991.6</v>
      </c>
      <c r="AC462" s="6">
        <f t="shared" si="31"/>
        <v>0</v>
      </c>
      <c r="AD462" s="6">
        <f t="shared" ca="1" si="32"/>
        <v>10111.93570432317</v>
      </c>
      <c r="AE462" s="6">
        <f t="shared" si="33"/>
        <v>0</v>
      </c>
      <c r="AF462" s="4" t="s">
        <v>1112</v>
      </c>
    </row>
    <row r="463" spans="1:32" ht="11.25" customHeight="1" x14ac:dyDescent="0.25">
      <c r="A463" s="4" t="s">
        <v>21</v>
      </c>
      <c r="B463" s="4" t="s">
        <v>41</v>
      </c>
      <c r="C463" s="4" t="s">
        <v>64</v>
      </c>
      <c r="D463" s="4" t="s">
        <v>25</v>
      </c>
      <c r="E463" s="4" t="s">
        <v>25</v>
      </c>
      <c r="F463" s="4" t="s">
        <v>25</v>
      </c>
      <c r="G463" s="4" t="s">
        <v>96</v>
      </c>
      <c r="H463" s="4" t="s">
        <v>25</v>
      </c>
      <c r="I463" s="5">
        <v>44652</v>
      </c>
      <c r="J463" s="6">
        <v>1000</v>
      </c>
      <c r="K463" s="6">
        <v>500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4" t="s">
        <v>66</v>
      </c>
      <c r="R463" s="4">
        <v>31277</v>
      </c>
      <c r="S463" s="4">
        <v>28</v>
      </c>
      <c r="T463" s="4">
        <v>0</v>
      </c>
      <c r="U463" s="4">
        <v>0</v>
      </c>
      <c r="V463" s="6">
        <f>IF(ISERROR(VLOOKUP($S$463,'TAR FIN'!$A$1:$O$116,15,0)),0,VLOOKUP($S$463,'TAR FIN'!$A$1:$O$116,15,0))</f>
        <v>15.24</v>
      </c>
      <c r="W463" s="6">
        <f>IF(ISERROR(VLOOKUP($T$463,'TAR FIN'!$A$1:$O$116,15,0)),0,VLOOKUP($T$463,'TAR FIN'!$A$1:$O$116,15,0))</f>
        <v>0</v>
      </c>
      <c r="X463" s="6">
        <f>IF(ISERROR(VLOOKUP($U$463,'TAR FIN'!$A$1:$O$116,15,0)),0,VLOOKUP($U$463,'TAR FIN'!$A$1:$O$116,15,0))</f>
        <v>0</v>
      </c>
      <c r="Y463" s="6">
        <f ca="1">('TUSD BE'!$AM$32+'TUSD BF'!$AM$32+'TUSD CVA'!$AM$32)*1</f>
        <v>17.138874075124019</v>
      </c>
      <c r="Z463" s="6"/>
      <c r="AA463" s="6"/>
      <c r="AB463" s="6">
        <f t="shared" si="30"/>
        <v>7620</v>
      </c>
      <c r="AC463" s="6">
        <f t="shared" si="31"/>
        <v>0</v>
      </c>
      <c r="AD463" s="6">
        <f t="shared" ca="1" si="32"/>
        <v>8569.4370375620092</v>
      </c>
      <c r="AE463" s="6">
        <f t="shared" si="33"/>
        <v>0</v>
      </c>
      <c r="AF463" s="4" t="s">
        <v>1112</v>
      </c>
    </row>
    <row r="464" spans="1:32" ht="11.25" customHeight="1" x14ac:dyDescent="0.25">
      <c r="A464" s="4" t="s">
        <v>21</v>
      </c>
      <c r="B464" s="4" t="s">
        <v>41</v>
      </c>
      <c r="C464" s="4" t="s">
        <v>64</v>
      </c>
      <c r="D464" s="4" t="s">
        <v>25</v>
      </c>
      <c r="E464" s="4" t="s">
        <v>25</v>
      </c>
      <c r="F464" s="4" t="s">
        <v>25</v>
      </c>
      <c r="G464" s="4" t="s">
        <v>97</v>
      </c>
      <c r="H464" s="4" t="s">
        <v>25</v>
      </c>
      <c r="I464" s="5">
        <v>44652</v>
      </c>
      <c r="J464" s="6">
        <v>1180</v>
      </c>
      <c r="K464" s="6">
        <v>590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4" t="s">
        <v>66</v>
      </c>
      <c r="R464" s="4">
        <v>31318</v>
      </c>
      <c r="S464" s="4">
        <v>28</v>
      </c>
      <c r="T464" s="4">
        <v>0</v>
      </c>
      <c r="U464" s="4">
        <v>0</v>
      </c>
      <c r="V464" s="6">
        <f>IF(ISERROR(VLOOKUP($S$464,'TAR FIN'!$A$1:$O$116,15,0)),0,VLOOKUP($S$464,'TAR FIN'!$A$1:$O$116,15,0))</f>
        <v>15.24</v>
      </c>
      <c r="W464" s="6">
        <f>IF(ISERROR(VLOOKUP($T$464,'TAR FIN'!$A$1:$O$116,15,0)),0,VLOOKUP($T$464,'TAR FIN'!$A$1:$O$116,15,0))</f>
        <v>0</v>
      </c>
      <c r="X464" s="6">
        <f>IF(ISERROR(VLOOKUP($U$464,'TAR FIN'!$A$1:$O$116,15,0)),0,VLOOKUP($U$464,'TAR FIN'!$A$1:$O$116,15,0))</f>
        <v>0</v>
      </c>
      <c r="Y464" s="6">
        <f ca="1">('TUSD BE'!$AM$32+'TUSD BF'!$AM$32+'TUSD CVA'!$AM$32)*1</f>
        <v>17.138874075124019</v>
      </c>
      <c r="Z464" s="6"/>
      <c r="AA464" s="6"/>
      <c r="AB464" s="6">
        <f t="shared" si="30"/>
        <v>8991.6</v>
      </c>
      <c r="AC464" s="6">
        <f t="shared" si="31"/>
        <v>0</v>
      </c>
      <c r="AD464" s="6">
        <f t="shared" ca="1" si="32"/>
        <v>10111.93570432317</v>
      </c>
      <c r="AE464" s="6">
        <f t="shared" si="33"/>
        <v>0</v>
      </c>
      <c r="AF464" s="4" t="s">
        <v>1112</v>
      </c>
    </row>
    <row r="465" spans="1:32" ht="11.25" customHeight="1" x14ac:dyDescent="0.25">
      <c r="A465" s="4" t="s">
        <v>21</v>
      </c>
      <c r="B465" s="4" t="s">
        <v>41</v>
      </c>
      <c r="C465" s="4" t="s">
        <v>64</v>
      </c>
      <c r="D465" s="4" t="s">
        <v>25</v>
      </c>
      <c r="E465" s="4" t="s">
        <v>25</v>
      </c>
      <c r="F465" s="4" t="s">
        <v>25</v>
      </c>
      <c r="G465" s="4" t="s">
        <v>98</v>
      </c>
      <c r="H465" s="4" t="s">
        <v>25</v>
      </c>
      <c r="I465" s="5">
        <v>44652</v>
      </c>
      <c r="J465" s="6">
        <v>3000</v>
      </c>
      <c r="K465" s="6">
        <v>1500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4" t="s">
        <v>66</v>
      </c>
      <c r="R465" s="4">
        <v>31334</v>
      </c>
      <c r="S465" s="4">
        <v>28</v>
      </c>
      <c r="T465" s="4">
        <v>0</v>
      </c>
      <c r="U465" s="4">
        <v>0</v>
      </c>
      <c r="V465" s="6">
        <f>IF(ISERROR(VLOOKUP($S$465,'TAR FIN'!$A$1:$O$116,15,0)),0,VLOOKUP($S$465,'TAR FIN'!$A$1:$O$116,15,0))</f>
        <v>15.24</v>
      </c>
      <c r="W465" s="6">
        <f>IF(ISERROR(VLOOKUP($T$465,'TAR FIN'!$A$1:$O$116,15,0)),0,VLOOKUP($T$465,'TAR FIN'!$A$1:$O$116,15,0))</f>
        <v>0</v>
      </c>
      <c r="X465" s="6">
        <f>IF(ISERROR(VLOOKUP($U$465,'TAR FIN'!$A$1:$O$116,15,0)),0,VLOOKUP($U$465,'TAR FIN'!$A$1:$O$116,15,0))</f>
        <v>0</v>
      </c>
      <c r="Y465" s="6">
        <f ca="1">('TUSD BE'!$AM$32+'TUSD BF'!$AM$32+'TUSD CVA'!$AM$32)*1</f>
        <v>17.138874075124019</v>
      </c>
      <c r="Z465" s="6"/>
      <c r="AA465" s="6"/>
      <c r="AB465" s="6">
        <f t="shared" si="30"/>
        <v>22860</v>
      </c>
      <c r="AC465" s="6">
        <f t="shared" si="31"/>
        <v>0</v>
      </c>
      <c r="AD465" s="6">
        <f t="shared" ca="1" si="32"/>
        <v>25708.311112686028</v>
      </c>
      <c r="AE465" s="6">
        <f t="shared" si="33"/>
        <v>0</v>
      </c>
      <c r="AF465" s="4" t="s">
        <v>1112</v>
      </c>
    </row>
    <row r="466" spans="1:32" ht="11.25" customHeight="1" x14ac:dyDescent="0.25">
      <c r="A466" s="4" t="s">
        <v>21</v>
      </c>
      <c r="B466" s="4" t="s">
        <v>41</v>
      </c>
      <c r="C466" s="4" t="s">
        <v>64</v>
      </c>
      <c r="D466" s="4" t="s">
        <v>25</v>
      </c>
      <c r="E466" s="4" t="s">
        <v>25</v>
      </c>
      <c r="F466" s="4" t="s">
        <v>25</v>
      </c>
      <c r="G466" s="4" t="s">
        <v>99</v>
      </c>
      <c r="H466" s="4" t="s">
        <v>25</v>
      </c>
      <c r="I466" s="5">
        <v>44652</v>
      </c>
      <c r="J466" s="6">
        <v>1180</v>
      </c>
      <c r="K466" s="6">
        <v>590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4" t="s">
        <v>66</v>
      </c>
      <c r="R466" s="4">
        <v>31618</v>
      </c>
      <c r="S466" s="4">
        <v>28</v>
      </c>
      <c r="T466" s="4">
        <v>0</v>
      </c>
      <c r="U466" s="4">
        <v>0</v>
      </c>
      <c r="V466" s="6">
        <f>IF(ISERROR(VLOOKUP($S$466,'TAR FIN'!$A$1:$O$116,15,0)),0,VLOOKUP($S$466,'TAR FIN'!$A$1:$O$116,15,0))</f>
        <v>15.24</v>
      </c>
      <c r="W466" s="6">
        <f>IF(ISERROR(VLOOKUP($T$466,'TAR FIN'!$A$1:$O$116,15,0)),0,VLOOKUP($T$466,'TAR FIN'!$A$1:$O$116,15,0))</f>
        <v>0</v>
      </c>
      <c r="X466" s="6">
        <f>IF(ISERROR(VLOOKUP($U$466,'TAR FIN'!$A$1:$O$116,15,0)),0,VLOOKUP($U$466,'TAR FIN'!$A$1:$O$116,15,0))</f>
        <v>0</v>
      </c>
      <c r="Y466" s="6">
        <f ca="1">('TUSD BE'!$AM$32+'TUSD BF'!$AM$32+'TUSD CVA'!$AM$32)*1</f>
        <v>17.138874075124019</v>
      </c>
      <c r="Z466" s="6"/>
      <c r="AA466" s="6"/>
      <c r="AB466" s="6">
        <f t="shared" si="30"/>
        <v>8991.6</v>
      </c>
      <c r="AC466" s="6">
        <f t="shared" si="31"/>
        <v>0</v>
      </c>
      <c r="AD466" s="6">
        <f t="shared" ca="1" si="32"/>
        <v>10111.93570432317</v>
      </c>
      <c r="AE466" s="6">
        <f t="shared" si="33"/>
        <v>0</v>
      </c>
      <c r="AF466" s="4" t="s">
        <v>1112</v>
      </c>
    </row>
    <row r="467" spans="1:32" ht="11.25" customHeight="1" x14ac:dyDescent="0.25">
      <c r="A467" s="4" t="s">
        <v>21</v>
      </c>
      <c r="B467" s="4" t="s">
        <v>41</v>
      </c>
      <c r="C467" s="4" t="s">
        <v>64</v>
      </c>
      <c r="D467" s="4" t="s">
        <v>25</v>
      </c>
      <c r="E467" s="4" t="s">
        <v>25</v>
      </c>
      <c r="F467" s="4" t="s">
        <v>25</v>
      </c>
      <c r="G467" s="4" t="s">
        <v>100</v>
      </c>
      <c r="H467" s="4" t="s">
        <v>25</v>
      </c>
      <c r="I467" s="5">
        <v>44652</v>
      </c>
      <c r="J467" s="6">
        <v>1180</v>
      </c>
      <c r="K467" s="6">
        <v>590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4" t="s">
        <v>66</v>
      </c>
      <c r="R467" s="4">
        <v>31677</v>
      </c>
      <c r="S467" s="4">
        <v>28</v>
      </c>
      <c r="T467" s="4">
        <v>0</v>
      </c>
      <c r="U467" s="4">
        <v>0</v>
      </c>
      <c r="V467" s="6">
        <f>IF(ISERROR(VLOOKUP($S$467,'TAR FIN'!$A$1:$O$116,15,0)),0,VLOOKUP($S$467,'TAR FIN'!$A$1:$O$116,15,0))</f>
        <v>15.24</v>
      </c>
      <c r="W467" s="6">
        <f>IF(ISERROR(VLOOKUP($T$467,'TAR FIN'!$A$1:$O$116,15,0)),0,VLOOKUP($T$467,'TAR FIN'!$A$1:$O$116,15,0))</f>
        <v>0</v>
      </c>
      <c r="X467" s="6">
        <f>IF(ISERROR(VLOOKUP($U$467,'TAR FIN'!$A$1:$O$116,15,0)),0,VLOOKUP($U$467,'TAR FIN'!$A$1:$O$116,15,0))</f>
        <v>0</v>
      </c>
      <c r="Y467" s="6">
        <f ca="1">('TUSD BE'!$AM$32+'TUSD BF'!$AM$32+'TUSD CVA'!$AM$32)*1</f>
        <v>17.138874075124019</v>
      </c>
      <c r="Z467" s="6"/>
      <c r="AA467" s="6"/>
      <c r="AB467" s="6">
        <f t="shared" si="30"/>
        <v>8991.6</v>
      </c>
      <c r="AC467" s="6">
        <f t="shared" si="31"/>
        <v>0</v>
      </c>
      <c r="AD467" s="6">
        <f t="shared" ca="1" si="32"/>
        <v>10111.93570432317</v>
      </c>
      <c r="AE467" s="6">
        <f t="shared" si="33"/>
        <v>0</v>
      </c>
      <c r="AF467" s="4" t="s">
        <v>1112</v>
      </c>
    </row>
    <row r="468" spans="1:32" ht="11.25" customHeight="1" x14ac:dyDescent="0.25">
      <c r="A468" s="4" t="s">
        <v>58</v>
      </c>
      <c r="B468" s="4" t="s">
        <v>41</v>
      </c>
      <c r="C468" s="4" t="s">
        <v>64</v>
      </c>
      <c r="D468" s="4" t="s">
        <v>25</v>
      </c>
      <c r="E468" s="4" t="s">
        <v>25</v>
      </c>
      <c r="F468" s="4" t="s">
        <v>25</v>
      </c>
      <c r="G468" s="4" t="s">
        <v>68</v>
      </c>
      <c r="H468" s="4" t="s">
        <v>25</v>
      </c>
      <c r="I468" s="5">
        <v>44682</v>
      </c>
      <c r="J468" s="6">
        <v>302</v>
      </c>
      <c r="K468" s="6">
        <v>302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4" t="s">
        <v>66</v>
      </c>
      <c r="R468" s="4">
        <v>404</v>
      </c>
      <c r="S468" s="4">
        <v>28</v>
      </c>
      <c r="T468" s="4">
        <v>0</v>
      </c>
      <c r="U468" s="4">
        <v>0</v>
      </c>
      <c r="V468" s="6">
        <f>IF(ISERROR(VLOOKUP($S$468,'TAR FIN'!$A$1:$O$116,15,0)),0,VLOOKUP($S$468,'TAR FIN'!$A$1:$O$116,15,0))</f>
        <v>15.24</v>
      </c>
      <c r="W468" s="6">
        <f>IF(ISERROR(VLOOKUP($T$468,'TAR FIN'!$A$1:$O$116,15,0)),0,VLOOKUP($T$468,'TAR FIN'!$A$1:$O$116,15,0))</f>
        <v>0</v>
      </c>
      <c r="X468" s="6">
        <f>IF(ISERROR(VLOOKUP($U$468,'TAR FIN'!$A$1:$O$116,15,0)),0,VLOOKUP($U$468,'TAR FIN'!$A$1:$O$116,15,0))</f>
        <v>0</v>
      </c>
      <c r="Y468" s="6">
        <f ca="1">('TUSD BE'!$AM$32+'TUSD BF'!$AM$32+'TUSD CVA'!$AM$32)*1</f>
        <v>17.138874075124019</v>
      </c>
      <c r="Z468" s="6"/>
      <c r="AA468" s="6"/>
      <c r="AB468" s="6">
        <f t="shared" si="30"/>
        <v>0</v>
      </c>
      <c r="AC468" s="6">
        <f t="shared" si="31"/>
        <v>0</v>
      </c>
      <c r="AD468" s="6">
        <f t="shared" ca="1" si="32"/>
        <v>0</v>
      </c>
      <c r="AE468" s="6">
        <f t="shared" si="33"/>
        <v>0</v>
      </c>
      <c r="AF468" s="4" t="s">
        <v>1112</v>
      </c>
    </row>
    <row r="469" spans="1:32" ht="11.25" customHeight="1" x14ac:dyDescent="0.25">
      <c r="A469" s="4" t="s">
        <v>58</v>
      </c>
      <c r="B469" s="4" t="s">
        <v>41</v>
      </c>
      <c r="C469" s="4" t="s">
        <v>64</v>
      </c>
      <c r="D469" s="4" t="s">
        <v>25</v>
      </c>
      <c r="E469" s="4" t="s">
        <v>25</v>
      </c>
      <c r="F469" s="4" t="s">
        <v>25</v>
      </c>
      <c r="G469" s="4" t="s">
        <v>70</v>
      </c>
      <c r="H469" s="4" t="s">
        <v>25</v>
      </c>
      <c r="I469" s="5">
        <v>44682</v>
      </c>
      <c r="J469" s="6">
        <v>5040</v>
      </c>
      <c r="K469" s="6">
        <v>5040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4" t="s">
        <v>66</v>
      </c>
      <c r="R469" s="4">
        <v>838</v>
      </c>
      <c r="S469" s="4">
        <v>28</v>
      </c>
      <c r="T469" s="4">
        <v>0</v>
      </c>
      <c r="U469" s="4">
        <v>0</v>
      </c>
      <c r="V469" s="6">
        <f>IF(ISERROR(VLOOKUP($S$469,'TAR FIN'!$A$1:$O$116,15,0)),0,VLOOKUP($S$469,'TAR FIN'!$A$1:$O$116,15,0))</f>
        <v>15.24</v>
      </c>
      <c r="W469" s="6">
        <f>IF(ISERROR(VLOOKUP($T$469,'TAR FIN'!$A$1:$O$116,15,0)),0,VLOOKUP($T$469,'TAR FIN'!$A$1:$O$116,15,0))</f>
        <v>0</v>
      </c>
      <c r="X469" s="6">
        <f>IF(ISERROR(VLOOKUP($U$469,'TAR FIN'!$A$1:$O$116,15,0)),0,VLOOKUP($U$469,'TAR FIN'!$A$1:$O$116,15,0))</f>
        <v>0</v>
      </c>
      <c r="Y469" s="6">
        <f ca="1">('TUSD BE'!$AM$32+'TUSD BF'!$AM$32+'TUSD CVA'!$AM$32)*1</f>
        <v>17.138874075124019</v>
      </c>
      <c r="Z469" s="6"/>
      <c r="AA469" s="6"/>
      <c r="AB469" s="6">
        <f t="shared" si="30"/>
        <v>0</v>
      </c>
      <c r="AC469" s="6">
        <f t="shared" si="31"/>
        <v>0</v>
      </c>
      <c r="AD469" s="6">
        <f t="shared" ca="1" si="32"/>
        <v>0</v>
      </c>
      <c r="AE469" s="6">
        <f t="shared" si="33"/>
        <v>0</v>
      </c>
      <c r="AF469" s="4" t="s">
        <v>1112</v>
      </c>
    </row>
    <row r="470" spans="1:32" ht="11.25" customHeight="1" x14ac:dyDescent="0.25">
      <c r="A470" s="4" t="s">
        <v>58</v>
      </c>
      <c r="B470" s="4" t="s">
        <v>41</v>
      </c>
      <c r="C470" s="4" t="s">
        <v>64</v>
      </c>
      <c r="D470" s="4" t="s">
        <v>25</v>
      </c>
      <c r="E470" s="4" t="s">
        <v>25</v>
      </c>
      <c r="F470" s="4" t="s">
        <v>25</v>
      </c>
      <c r="G470" s="4" t="s">
        <v>74</v>
      </c>
      <c r="H470" s="4" t="s">
        <v>25</v>
      </c>
      <c r="I470" s="5">
        <v>44682</v>
      </c>
      <c r="J470" s="6">
        <v>3800</v>
      </c>
      <c r="K470" s="6">
        <v>1900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4" t="s">
        <v>66</v>
      </c>
      <c r="R470" s="4">
        <v>1192</v>
      </c>
      <c r="S470" s="4">
        <v>28</v>
      </c>
      <c r="T470" s="4">
        <v>0</v>
      </c>
      <c r="U470" s="4">
        <v>0</v>
      </c>
      <c r="V470" s="6">
        <f>IF(ISERROR(VLOOKUP($S$470,'TAR FIN'!$A$1:$O$116,15,0)),0,VLOOKUP($S$470,'TAR FIN'!$A$1:$O$116,15,0))</f>
        <v>15.24</v>
      </c>
      <c r="W470" s="6">
        <f>IF(ISERROR(VLOOKUP($T$470,'TAR FIN'!$A$1:$O$116,15,0)),0,VLOOKUP($T$470,'TAR FIN'!$A$1:$O$116,15,0))</f>
        <v>0</v>
      </c>
      <c r="X470" s="6">
        <f>IF(ISERROR(VLOOKUP($U$470,'TAR FIN'!$A$1:$O$116,15,0)),0,VLOOKUP($U$470,'TAR FIN'!$A$1:$O$116,15,0))</f>
        <v>0</v>
      </c>
      <c r="Y470" s="6">
        <f ca="1">('TUSD BE'!$AM$32+'TUSD BF'!$AM$32+'TUSD CVA'!$AM$32)*1</f>
        <v>17.138874075124019</v>
      </c>
      <c r="Z470" s="6"/>
      <c r="AA470" s="6"/>
      <c r="AB470" s="6">
        <f t="shared" si="30"/>
        <v>28956</v>
      </c>
      <c r="AC470" s="6">
        <f t="shared" si="31"/>
        <v>0</v>
      </c>
      <c r="AD470" s="6">
        <f t="shared" ca="1" si="32"/>
        <v>32563.860742735636</v>
      </c>
      <c r="AE470" s="6">
        <f t="shared" si="33"/>
        <v>0</v>
      </c>
      <c r="AF470" s="4" t="s">
        <v>1112</v>
      </c>
    </row>
    <row r="471" spans="1:32" ht="11.25" customHeight="1" x14ac:dyDescent="0.25">
      <c r="A471" s="4" t="s">
        <v>58</v>
      </c>
      <c r="B471" s="4" t="s">
        <v>41</v>
      </c>
      <c r="C471" s="4" t="s">
        <v>64</v>
      </c>
      <c r="D471" s="4" t="s">
        <v>25</v>
      </c>
      <c r="E471" s="4" t="s">
        <v>25</v>
      </c>
      <c r="F471" s="4" t="s">
        <v>25</v>
      </c>
      <c r="G471" s="4" t="s">
        <v>76</v>
      </c>
      <c r="H471" s="4" t="s">
        <v>25</v>
      </c>
      <c r="I471" s="5">
        <v>44682</v>
      </c>
      <c r="J471" s="6">
        <v>480</v>
      </c>
      <c r="K471" s="6">
        <v>480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4" t="s">
        <v>66</v>
      </c>
      <c r="R471" s="4">
        <v>1438</v>
      </c>
      <c r="S471" s="4">
        <v>28</v>
      </c>
      <c r="T471" s="4">
        <v>0</v>
      </c>
      <c r="U471" s="4">
        <v>0</v>
      </c>
      <c r="V471" s="6">
        <f>IF(ISERROR(VLOOKUP($S$471,'TAR FIN'!$A$1:$O$116,15,0)),0,VLOOKUP($S$471,'TAR FIN'!$A$1:$O$116,15,0))</f>
        <v>15.24</v>
      </c>
      <c r="W471" s="6">
        <f>IF(ISERROR(VLOOKUP($T$471,'TAR FIN'!$A$1:$O$116,15,0)),0,VLOOKUP($T$471,'TAR FIN'!$A$1:$O$116,15,0))</f>
        <v>0</v>
      </c>
      <c r="X471" s="6">
        <f>IF(ISERROR(VLOOKUP($U$471,'TAR FIN'!$A$1:$O$116,15,0)),0,VLOOKUP($U$471,'TAR FIN'!$A$1:$O$116,15,0))</f>
        <v>0</v>
      </c>
      <c r="Y471" s="6">
        <f ca="1">('TUSD BE'!$AM$32+'TUSD BF'!$AM$32+'TUSD CVA'!$AM$32)*1</f>
        <v>17.138874075124019</v>
      </c>
      <c r="Z471" s="6"/>
      <c r="AA471" s="6"/>
      <c r="AB471" s="6">
        <f t="shared" si="30"/>
        <v>0</v>
      </c>
      <c r="AC471" s="6">
        <f t="shared" si="31"/>
        <v>0</v>
      </c>
      <c r="AD471" s="6">
        <f t="shared" ca="1" si="32"/>
        <v>0</v>
      </c>
      <c r="AE471" s="6">
        <f t="shared" si="33"/>
        <v>0</v>
      </c>
      <c r="AF471" s="4" t="s">
        <v>1112</v>
      </c>
    </row>
    <row r="472" spans="1:32" ht="11.25" customHeight="1" x14ac:dyDescent="0.25">
      <c r="A472" s="4" t="s">
        <v>58</v>
      </c>
      <c r="B472" s="4" t="s">
        <v>41</v>
      </c>
      <c r="C472" s="4" t="s">
        <v>64</v>
      </c>
      <c r="D472" s="4" t="s">
        <v>25</v>
      </c>
      <c r="E472" s="4" t="s">
        <v>25</v>
      </c>
      <c r="F472" s="4" t="s">
        <v>25</v>
      </c>
      <c r="G472" s="4" t="s">
        <v>77</v>
      </c>
      <c r="H472" s="4" t="s">
        <v>25</v>
      </c>
      <c r="I472" s="5">
        <v>44682</v>
      </c>
      <c r="J472" s="6">
        <v>736</v>
      </c>
      <c r="K472" s="6">
        <v>736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4" t="s">
        <v>66</v>
      </c>
      <c r="R472" s="4">
        <v>1462</v>
      </c>
      <c r="S472" s="4">
        <v>28</v>
      </c>
      <c r="T472" s="4">
        <v>0</v>
      </c>
      <c r="U472" s="4">
        <v>0</v>
      </c>
      <c r="V472" s="6">
        <f>IF(ISERROR(VLOOKUP($S$472,'TAR FIN'!$A$1:$O$116,15,0)),0,VLOOKUP($S$472,'TAR FIN'!$A$1:$O$116,15,0))</f>
        <v>15.24</v>
      </c>
      <c r="W472" s="6">
        <f>IF(ISERROR(VLOOKUP($T$472,'TAR FIN'!$A$1:$O$116,15,0)),0,VLOOKUP($T$472,'TAR FIN'!$A$1:$O$116,15,0))</f>
        <v>0</v>
      </c>
      <c r="X472" s="6">
        <f>IF(ISERROR(VLOOKUP($U$472,'TAR FIN'!$A$1:$O$116,15,0)),0,VLOOKUP($U$472,'TAR FIN'!$A$1:$O$116,15,0))</f>
        <v>0</v>
      </c>
      <c r="Y472" s="6">
        <f ca="1">('TUSD BE'!$AM$32+'TUSD BF'!$AM$32+'TUSD CVA'!$AM$32)*1</f>
        <v>17.138874075124019</v>
      </c>
      <c r="Z472" s="6"/>
      <c r="AA472" s="6"/>
      <c r="AB472" s="6">
        <f t="shared" si="30"/>
        <v>0</v>
      </c>
      <c r="AC472" s="6">
        <f t="shared" si="31"/>
        <v>0</v>
      </c>
      <c r="AD472" s="6">
        <f t="shared" ca="1" si="32"/>
        <v>0</v>
      </c>
      <c r="AE472" s="6">
        <f t="shared" si="33"/>
        <v>0</v>
      </c>
      <c r="AF472" s="4" t="s">
        <v>1112</v>
      </c>
    </row>
    <row r="473" spans="1:32" ht="11.25" customHeight="1" x14ac:dyDescent="0.25">
      <c r="A473" s="4" t="s">
        <v>58</v>
      </c>
      <c r="B473" s="4" t="s">
        <v>41</v>
      </c>
      <c r="C473" s="4" t="s">
        <v>64</v>
      </c>
      <c r="D473" s="4" t="s">
        <v>25</v>
      </c>
      <c r="E473" s="4" t="s">
        <v>25</v>
      </c>
      <c r="F473" s="4" t="s">
        <v>25</v>
      </c>
      <c r="G473" s="4" t="s">
        <v>78</v>
      </c>
      <c r="H473" s="4" t="s">
        <v>25</v>
      </c>
      <c r="I473" s="5">
        <v>44682</v>
      </c>
      <c r="J473" s="6">
        <v>6460</v>
      </c>
      <c r="K473" s="6">
        <v>6460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4" t="s">
        <v>66</v>
      </c>
      <c r="R473" s="4">
        <v>1533</v>
      </c>
      <c r="S473" s="4">
        <v>28</v>
      </c>
      <c r="T473" s="4">
        <v>0</v>
      </c>
      <c r="U473" s="4">
        <v>0</v>
      </c>
      <c r="V473" s="6">
        <f>IF(ISERROR(VLOOKUP($S$473,'TAR FIN'!$A$1:$O$116,15,0)),0,VLOOKUP($S$473,'TAR FIN'!$A$1:$O$116,15,0))</f>
        <v>15.24</v>
      </c>
      <c r="W473" s="6">
        <f>IF(ISERROR(VLOOKUP($T$473,'TAR FIN'!$A$1:$O$116,15,0)),0,VLOOKUP($T$473,'TAR FIN'!$A$1:$O$116,15,0))</f>
        <v>0</v>
      </c>
      <c r="X473" s="6">
        <f>IF(ISERROR(VLOOKUP($U$473,'TAR FIN'!$A$1:$O$116,15,0)),0,VLOOKUP($U$473,'TAR FIN'!$A$1:$O$116,15,0))</f>
        <v>0</v>
      </c>
      <c r="Y473" s="6">
        <f ca="1">('TUSD BE'!$AM$32+'TUSD BF'!$AM$32+'TUSD CVA'!$AM$32)*1</f>
        <v>17.138874075124019</v>
      </c>
      <c r="Z473" s="6"/>
      <c r="AA473" s="6"/>
      <c r="AB473" s="6">
        <f t="shared" si="30"/>
        <v>0</v>
      </c>
      <c r="AC473" s="6">
        <f t="shared" si="31"/>
        <v>0</v>
      </c>
      <c r="AD473" s="6">
        <f t="shared" ca="1" si="32"/>
        <v>0</v>
      </c>
      <c r="AE473" s="6">
        <f t="shared" si="33"/>
        <v>0</v>
      </c>
      <c r="AF473" s="4" t="s">
        <v>1112</v>
      </c>
    </row>
    <row r="474" spans="1:32" ht="11.25" customHeight="1" x14ac:dyDescent="0.25">
      <c r="A474" s="4" t="s">
        <v>58</v>
      </c>
      <c r="B474" s="4" t="s">
        <v>41</v>
      </c>
      <c r="C474" s="4" t="s">
        <v>64</v>
      </c>
      <c r="D474" s="4" t="s">
        <v>25</v>
      </c>
      <c r="E474" s="4" t="s">
        <v>25</v>
      </c>
      <c r="F474" s="4" t="s">
        <v>25</v>
      </c>
      <c r="G474" s="4" t="s">
        <v>79</v>
      </c>
      <c r="H474" s="4" t="s">
        <v>25</v>
      </c>
      <c r="I474" s="5">
        <v>44682</v>
      </c>
      <c r="J474" s="6">
        <v>770</v>
      </c>
      <c r="K474" s="6">
        <v>770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4" t="s">
        <v>66</v>
      </c>
      <c r="R474" s="4">
        <v>2535</v>
      </c>
      <c r="S474" s="4">
        <v>28</v>
      </c>
      <c r="T474" s="4">
        <v>0</v>
      </c>
      <c r="U474" s="4">
        <v>0</v>
      </c>
      <c r="V474" s="6">
        <f>IF(ISERROR(VLOOKUP($S$474,'TAR FIN'!$A$1:$O$116,15,0)),0,VLOOKUP($S$474,'TAR FIN'!$A$1:$O$116,15,0))</f>
        <v>15.24</v>
      </c>
      <c r="W474" s="6">
        <f>IF(ISERROR(VLOOKUP($T$474,'TAR FIN'!$A$1:$O$116,15,0)),0,VLOOKUP($T$474,'TAR FIN'!$A$1:$O$116,15,0))</f>
        <v>0</v>
      </c>
      <c r="X474" s="6">
        <f>IF(ISERROR(VLOOKUP($U$474,'TAR FIN'!$A$1:$O$116,15,0)),0,VLOOKUP($U$474,'TAR FIN'!$A$1:$O$116,15,0))</f>
        <v>0</v>
      </c>
      <c r="Y474" s="6">
        <f ca="1">('TUSD BE'!$AM$32+'TUSD BF'!$AM$32+'TUSD CVA'!$AM$32)*1</f>
        <v>17.138874075124019</v>
      </c>
      <c r="Z474" s="6"/>
      <c r="AA474" s="6"/>
      <c r="AB474" s="6">
        <f t="shared" si="30"/>
        <v>0</v>
      </c>
      <c r="AC474" s="6">
        <f t="shared" si="31"/>
        <v>0</v>
      </c>
      <c r="AD474" s="6">
        <f t="shared" ca="1" si="32"/>
        <v>0</v>
      </c>
      <c r="AE474" s="6">
        <f t="shared" si="33"/>
        <v>0</v>
      </c>
      <c r="AF474" s="4" t="s">
        <v>1112</v>
      </c>
    </row>
    <row r="475" spans="1:32" ht="11.25" customHeight="1" x14ac:dyDescent="0.25">
      <c r="A475" s="4" t="s">
        <v>58</v>
      </c>
      <c r="B475" s="4" t="s">
        <v>41</v>
      </c>
      <c r="C475" s="4" t="s">
        <v>64</v>
      </c>
      <c r="D475" s="4" t="s">
        <v>25</v>
      </c>
      <c r="E475" s="4" t="s">
        <v>25</v>
      </c>
      <c r="F475" s="4" t="s">
        <v>25</v>
      </c>
      <c r="G475" s="4" t="s">
        <v>80</v>
      </c>
      <c r="H475" s="4" t="s">
        <v>25</v>
      </c>
      <c r="I475" s="5">
        <v>44682</v>
      </c>
      <c r="J475" s="6">
        <v>1416</v>
      </c>
      <c r="K475" s="6">
        <v>1416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4" t="s">
        <v>66</v>
      </c>
      <c r="R475" s="4">
        <v>2751</v>
      </c>
      <c r="S475" s="4">
        <v>28</v>
      </c>
      <c r="T475" s="4">
        <v>0</v>
      </c>
      <c r="U475" s="4">
        <v>0</v>
      </c>
      <c r="V475" s="6">
        <f>IF(ISERROR(VLOOKUP($S$475,'TAR FIN'!$A$1:$O$116,15,0)),0,VLOOKUP($S$475,'TAR FIN'!$A$1:$O$116,15,0))</f>
        <v>15.24</v>
      </c>
      <c r="W475" s="6">
        <f>IF(ISERROR(VLOOKUP($T$475,'TAR FIN'!$A$1:$O$116,15,0)),0,VLOOKUP($T$475,'TAR FIN'!$A$1:$O$116,15,0))</f>
        <v>0</v>
      </c>
      <c r="X475" s="6">
        <f>IF(ISERROR(VLOOKUP($U$475,'TAR FIN'!$A$1:$O$116,15,0)),0,VLOOKUP($U$475,'TAR FIN'!$A$1:$O$116,15,0))</f>
        <v>0</v>
      </c>
      <c r="Y475" s="6">
        <f ca="1">('TUSD BE'!$AM$32+'TUSD BF'!$AM$32+'TUSD CVA'!$AM$32)*1</f>
        <v>17.138874075124019</v>
      </c>
      <c r="Z475" s="6"/>
      <c r="AA475" s="6"/>
      <c r="AB475" s="6">
        <f t="shared" si="30"/>
        <v>0</v>
      </c>
      <c r="AC475" s="6">
        <f t="shared" si="31"/>
        <v>0</v>
      </c>
      <c r="AD475" s="6">
        <f t="shared" ca="1" si="32"/>
        <v>0</v>
      </c>
      <c r="AE475" s="6">
        <f t="shared" si="33"/>
        <v>0</v>
      </c>
      <c r="AF475" s="4" t="s">
        <v>1112</v>
      </c>
    </row>
    <row r="476" spans="1:32" ht="11.25" customHeight="1" x14ac:dyDescent="0.25">
      <c r="A476" s="4" t="s">
        <v>58</v>
      </c>
      <c r="B476" s="4" t="s">
        <v>41</v>
      </c>
      <c r="C476" s="4" t="s">
        <v>64</v>
      </c>
      <c r="D476" s="4" t="s">
        <v>25</v>
      </c>
      <c r="E476" s="4" t="s">
        <v>25</v>
      </c>
      <c r="F476" s="4" t="s">
        <v>25</v>
      </c>
      <c r="G476" s="4" t="s">
        <v>88</v>
      </c>
      <c r="H476" s="4" t="s">
        <v>25</v>
      </c>
      <c r="I476" s="5">
        <v>44682</v>
      </c>
      <c r="J476" s="6">
        <v>9500</v>
      </c>
      <c r="K476" s="6">
        <v>4750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66</v>
      </c>
      <c r="R476" s="4">
        <v>27722</v>
      </c>
      <c r="S476" s="4">
        <v>28</v>
      </c>
      <c r="T476" s="4">
        <v>0</v>
      </c>
      <c r="U476" s="4">
        <v>0</v>
      </c>
      <c r="V476" s="6">
        <f>IF(ISERROR(VLOOKUP($S$476,'TAR FIN'!$A$1:$O$116,15,0)),0,VLOOKUP($S$476,'TAR FIN'!$A$1:$O$116,15,0))</f>
        <v>15.24</v>
      </c>
      <c r="W476" s="6">
        <f>IF(ISERROR(VLOOKUP($T$476,'TAR FIN'!$A$1:$O$116,15,0)),0,VLOOKUP($T$476,'TAR FIN'!$A$1:$O$116,15,0))</f>
        <v>0</v>
      </c>
      <c r="X476" s="6">
        <f>IF(ISERROR(VLOOKUP($U$476,'TAR FIN'!$A$1:$O$116,15,0)),0,VLOOKUP($U$476,'TAR FIN'!$A$1:$O$116,15,0))</f>
        <v>0</v>
      </c>
      <c r="Y476" s="6">
        <f ca="1">('TUSD BE'!$AM$32+'TUSD BF'!$AM$32+'TUSD CVA'!$AM$32)*1</f>
        <v>17.138874075124019</v>
      </c>
      <c r="Z476" s="6"/>
      <c r="AA476" s="6"/>
      <c r="AB476" s="6">
        <f t="shared" si="30"/>
        <v>72390</v>
      </c>
      <c r="AC476" s="6">
        <f t="shared" si="31"/>
        <v>0</v>
      </c>
      <c r="AD476" s="6">
        <f t="shared" ca="1" si="32"/>
        <v>81409.651856839089</v>
      </c>
      <c r="AE476" s="6">
        <f t="shared" si="33"/>
        <v>0</v>
      </c>
      <c r="AF476" s="4" t="s">
        <v>1112</v>
      </c>
    </row>
    <row r="477" spans="1:32" ht="11.25" customHeight="1" x14ac:dyDescent="0.25">
      <c r="A477" s="4" t="s">
        <v>58</v>
      </c>
      <c r="B477" s="4" t="s">
        <v>41</v>
      </c>
      <c r="C477" s="4" t="s">
        <v>64</v>
      </c>
      <c r="D477" s="4" t="s">
        <v>25</v>
      </c>
      <c r="E477" s="4" t="s">
        <v>25</v>
      </c>
      <c r="F477" s="4" t="s">
        <v>25</v>
      </c>
      <c r="G477" s="4" t="s">
        <v>90</v>
      </c>
      <c r="H477" s="4" t="s">
        <v>25</v>
      </c>
      <c r="I477" s="5">
        <v>44682</v>
      </c>
      <c r="J477" s="6">
        <v>420</v>
      </c>
      <c r="K477" s="6">
        <v>420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4" t="s">
        <v>66</v>
      </c>
      <c r="R477" s="4">
        <v>27928</v>
      </c>
      <c r="S477" s="4">
        <v>28</v>
      </c>
      <c r="T477" s="4">
        <v>0</v>
      </c>
      <c r="U477" s="4">
        <v>0</v>
      </c>
      <c r="V477" s="6">
        <f>IF(ISERROR(VLOOKUP($S$477,'TAR FIN'!$A$1:$O$116,15,0)),0,VLOOKUP($S$477,'TAR FIN'!$A$1:$O$116,15,0))</f>
        <v>15.24</v>
      </c>
      <c r="W477" s="6">
        <f>IF(ISERROR(VLOOKUP($T$477,'TAR FIN'!$A$1:$O$116,15,0)),0,VLOOKUP($T$477,'TAR FIN'!$A$1:$O$116,15,0))</f>
        <v>0</v>
      </c>
      <c r="X477" s="6">
        <f>IF(ISERROR(VLOOKUP($U$477,'TAR FIN'!$A$1:$O$116,15,0)),0,VLOOKUP($U$477,'TAR FIN'!$A$1:$O$116,15,0))</f>
        <v>0</v>
      </c>
      <c r="Y477" s="6">
        <f ca="1">('TUSD BE'!$AM$32+'TUSD BF'!$AM$32+'TUSD CVA'!$AM$32)*1</f>
        <v>17.138874075124019</v>
      </c>
      <c r="Z477" s="6"/>
      <c r="AA477" s="6"/>
      <c r="AB477" s="6">
        <f t="shared" si="30"/>
        <v>0</v>
      </c>
      <c r="AC477" s="6">
        <f t="shared" si="31"/>
        <v>0</v>
      </c>
      <c r="AD477" s="6">
        <f t="shared" ca="1" si="32"/>
        <v>0</v>
      </c>
      <c r="AE477" s="6">
        <f t="shared" si="33"/>
        <v>0</v>
      </c>
      <c r="AF477" s="4" t="s">
        <v>1112</v>
      </c>
    </row>
    <row r="478" spans="1:32" ht="11.25" customHeight="1" x14ac:dyDescent="0.25">
      <c r="A478" s="4" t="s">
        <v>58</v>
      </c>
      <c r="B478" s="4" t="s">
        <v>41</v>
      </c>
      <c r="C478" s="4" t="s">
        <v>64</v>
      </c>
      <c r="D478" s="4" t="s">
        <v>25</v>
      </c>
      <c r="E478" s="4" t="s">
        <v>25</v>
      </c>
      <c r="F478" s="4" t="s">
        <v>25</v>
      </c>
      <c r="G478" s="4" t="s">
        <v>93</v>
      </c>
      <c r="H478" s="4" t="s">
        <v>25</v>
      </c>
      <c r="I478" s="5">
        <v>44682</v>
      </c>
      <c r="J478" s="6">
        <v>1300</v>
      </c>
      <c r="K478" s="6">
        <v>650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4" t="s">
        <v>66</v>
      </c>
      <c r="R478" s="4">
        <v>30847</v>
      </c>
      <c r="S478" s="4">
        <v>28</v>
      </c>
      <c r="T478" s="4">
        <v>0</v>
      </c>
      <c r="U478" s="4">
        <v>0</v>
      </c>
      <c r="V478" s="6">
        <f>IF(ISERROR(VLOOKUP($S$478,'TAR FIN'!$A$1:$O$116,15,0)),0,VLOOKUP($S$478,'TAR FIN'!$A$1:$O$116,15,0))</f>
        <v>15.24</v>
      </c>
      <c r="W478" s="6">
        <f>IF(ISERROR(VLOOKUP($T$478,'TAR FIN'!$A$1:$O$116,15,0)),0,VLOOKUP($T$478,'TAR FIN'!$A$1:$O$116,15,0))</f>
        <v>0</v>
      </c>
      <c r="X478" s="6">
        <f>IF(ISERROR(VLOOKUP($U$478,'TAR FIN'!$A$1:$O$116,15,0)),0,VLOOKUP($U$478,'TAR FIN'!$A$1:$O$116,15,0))</f>
        <v>0</v>
      </c>
      <c r="Y478" s="6">
        <f ca="1">('TUSD BE'!$AM$32+'TUSD BF'!$AM$32+'TUSD CVA'!$AM$32)*1</f>
        <v>17.138874075124019</v>
      </c>
      <c r="Z478" s="6"/>
      <c r="AA478" s="6"/>
      <c r="AB478" s="6">
        <f t="shared" si="30"/>
        <v>9906</v>
      </c>
      <c r="AC478" s="6">
        <f t="shared" si="31"/>
        <v>0</v>
      </c>
      <c r="AD478" s="6">
        <f t="shared" ca="1" si="32"/>
        <v>11140.268148830612</v>
      </c>
      <c r="AE478" s="6">
        <f t="shared" si="33"/>
        <v>0</v>
      </c>
      <c r="AF478" s="4" t="s">
        <v>1112</v>
      </c>
    </row>
    <row r="479" spans="1:32" ht="11.25" customHeight="1" x14ac:dyDescent="0.25">
      <c r="A479" s="4" t="s">
        <v>58</v>
      </c>
      <c r="B479" s="4" t="s">
        <v>41</v>
      </c>
      <c r="C479" s="4" t="s">
        <v>64</v>
      </c>
      <c r="D479" s="4" t="s">
        <v>25</v>
      </c>
      <c r="E479" s="4" t="s">
        <v>25</v>
      </c>
      <c r="F479" s="4" t="s">
        <v>25</v>
      </c>
      <c r="G479" s="4" t="s">
        <v>94</v>
      </c>
      <c r="H479" s="4" t="s">
        <v>25</v>
      </c>
      <c r="I479" s="5">
        <v>44682</v>
      </c>
      <c r="J479" s="6">
        <v>1180</v>
      </c>
      <c r="K479" s="6">
        <v>590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4" t="s">
        <v>66</v>
      </c>
      <c r="R479" s="4">
        <v>30866</v>
      </c>
      <c r="S479" s="4">
        <v>28</v>
      </c>
      <c r="T479" s="4">
        <v>0</v>
      </c>
      <c r="U479" s="4">
        <v>0</v>
      </c>
      <c r="V479" s="6">
        <f>IF(ISERROR(VLOOKUP($S$479,'TAR FIN'!$A$1:$O$116,15,0)),0,VLOOKUP($S$479,'TAR FIN'!$A$1:$O$116,15,0))</f>
        <v>15.24</v>
      </c>
      <c r="W479" s="6">
        <f>IF(ISERROR(VLOOKUP($T$479,'TAR FIN'!$A$1:$O$116,15,0)),0,VLOOKUP($T$479,'TAR FIN'!$A$1:$O$116,15,0))</f>
        <v>0</v>
      </c>
      <c r="X479" s="6">
        <f>IF(ISERROR(VLOOKUP($U$479,'TAR FIN'!$A$1:$O$116,15,0)),0,VLOOKUP($U$479,'TAR FIN'!$A$1:$O$116,15,0))</f>
        <v>0</v>
      </c>
      <c r="Y479" s="6">
        <f ca="1">('TUSD BE'!$AM$32+'TUSD BF'!$AM$32+'TUSD CVA'!$AM$32)*1</f>
        <v>17.138874075124019</v>
      </c>
      <c r="Z479" s="6"/>
      <c r="AA479" s="6"/>
      <c r="AB479" s="6">
        <f t="shared" si="30"/>
        <v>8991.6</v>
      </c>
      <c r="AC479" s="6">
        <f t="shared" si="31"/>
        <v>0</v>
      </c>
      <c r="AD479" s="6">
        <f t="shared" ca="1" si="32"/>
        <v>10111.93570432317</v>
      </c>
      <c r="AE479" s="6">
        <f t="shared" si="33"/>
        <v>0</v>
      </c>
      <c r="AF479" s="4" t="s">
        <v>1112</v>
      </c>
    </row>
    <row r="480" spans="1:32" ht="11.25" customHeight="1" x14ac:dyDescent="0.25">
      <c r="A480" s="4" t="s">
        <v>58</v>
      </c>
      <c r="B480" s="4" t="s">
        <v>41</v>
      </c>
      <c r="C480" s="4" t="s">
        <v>64</v>
      </c>
      <c r="D480" s="4" t="s">
        <v>25</v>
      </c>
      <c r="E480" s="4" t="s">
        <v>25</v>
      </c>
      <c r="F480" s="4" t="s">
        <v>25</v>
      </c>
      <c r="G480" s="4" t="s">
        <v>95</v>
      </c>
      <c r="H480" s="4" t="s">
        <v>25</v>
      </c>
      <c r="I480" s="5">
        <v>44682</v>
      </c>
      <c r="J480" s="6">
        <v>1180</v>
      </c>
      <c r="K480" s="6">
        <v>590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4" t="s">
        <v>66</v>
      </c>
      <c r="R480" s="4">
        <v>31051</v>
      </c>
      <c r="S480" s="4">
        <v>28</v>
      </c>
      <c r="T480" s="4">
        <v>0</v>
      </c>
      <c r="U480" s="4">
        <v>0</v>
      </c>
      <c r="V480" s="6">
        <f>IF(ISERROR(VLOOKUP($S$480,'TAR FIN'!$A$1:$O$116,15,0)),0,VLOOKUP($S$480,'TAR FIN'!$A$1:$O$116,15,0))</f>
        <v>15.24</v>
      </c>
      <c r="W480" s="6">
        <f>IF(ISERROR(VLOOKUP($T$480,'TAR FIN'!$A$1:$O$116,15,0)),0,VLOOKUP($T$480,'TAR FIN'!$A$1:$O$116,15,0))</f>
        <v>0</v>
      </c>
      <c r="X480" s="6">
        <f>IF(ISERROR(VLOOKUP($U$480,'TAR FIN'!$A$1:$O$116,15,0)),0,VLOOKUP($U$480,'TAR FIN'!$A$1:$O$116,15,0))</f>
        <v>0</v>
      </c>
      <c r="Y480" s="6">
        <f ca="1">('TUSD BE'!$AM$32+'TUSD BF'!$AM$32+'TUSD CVA'!$AM$32)*1</f>
        <v>17.138874075124019</v>
      </c>
      <c r="Z480" s="6"/>
      <c r="AA480" s="6"/>
      <c r="AB480" s="6">
        <f t="shared" si="30"/>
        <v>8991.6</v>
      </c>
      <c r="AC480" s="6">
        <f t="shared" si="31"/>
        <v>0</v>
      </c>
      <c r="AD480" s="6">
        <f t="shared" ca="1" si="32"/>
        <v>10111.93570432317</v>
      </c>
      <c r="AE480" s="6">
        <f t="shared" si="33"/>
        <v>0</v>
      </c>
      <c r="AF480" s="4" t="s">
        <v>1112</v>
      </c>
    </row>
    <row r="481" spans="1:32" ht="11.25" customHeight="1" x14ac:dyDescent="0.25">
      <c r="A481" s="4" t="s">
        <v>58</v>
      </c>
      <c r="B481" s="4" t="s">
        <v>41</v>
      </c>
      <c r="C481" s="4" t="s">
        <v>64</v>
      </c>
      <c r="D481" s="4" t="s">
        <v>25</v>
      </c>
      <c r="E481" s="4" t="s">
        <v>25</v>
      </c>
      <c r="F481" s="4" t="s">
        <v>25</v>
      </c>
      <c r="G481" s="4" t="s">
        <v>96</v>
      </c>
      <c r="H481" s="4" t="s">
        <v>25</v>
      </c>
      <c r="I481" s="5">
        <v>44682</v>
      </c>
      <c r="J481" s="6">
        <v>1000</v>
      </c>
      <c r="K481" s="6">
        <v>500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4" t="s">
        <v>66</v>
      </c>
      <c r="R481" s="4">
        <v>31277</v>
      </c>
      <c r="S481" s="4">
        <v>28</v>
      </c>
      <c r="T481" s="4">
        <v>0</v>
      </c>
      <c r="U481" s="4">
        <v>0</v>
      </c>
      <c r="V481" s="6">
        <f>IF(ISERROR(VLOOKUP($S$481,'TAR FIN'!$A$1:$O$116,15,0)),0,VLOOKUP($S$481,'TAR FIN'!$A$1:$O$116,15,0))</f>
        <v>15.24</v>
      </c>
      <c r="W481" s="6">
        <f>IF(ISERROR(VLOOKUP($T$481,'TAR FIN'!$A$1:$O$116,15,0)),0,VLOOKUP($T$481,'TAR FIN'!$A$1:$O$116,15,0))</f>
        <v>0</v>
      </c>
      <c r="X481" s="6">
        <f>IF(ISERROR(VLOOKUP($U$481,'TAR FIN'!$A$1:$O$116,15,0)),0,VLOOKUP($U$481,'TAR FIN'!$A$1:$O$116,15,0))</f>
        <v>0</v>
      </c>
      <c r="Y481" s="6">
        <f ca="1">('TUSD BE'!$AM$32+'TUSD BF'!$AM$32+'TUSD CVA'!$AM$32)*1</f>
        <v>17.138874075124019</v>
      </c>
      <c r="Z481" s="6"/>
      <c r="AA481" s="6"/>
      <c r="AB481" s="6">
        <f t="shared" si="30"/>
        <v>7620</v>
      </c>
      <c r="AC481" s="6">
        <f t="shared" si="31"/>
        <v>0</v>
      </c>
      <c r="AD481" s="6">
        <f t="shared" ca="1" si="32"/>
        <v>8569.4370375620092</v>
      </c>
      <c r="AE481" s="6">
        <f t="shared" si="33"/>
        <v>0</v>
      </c>
      <c r="AF481" s="4" t="s">
        <v>1112</v>
      </c>
    </row>
    <row r="482" spans="1:32" ht="11.25" customHeight="1" x14ac:dyDescent="0.25">
      <c r="A482" s="4" t="s">
        <v>58</v>
      </c>
      <c r="B482" s="4" t="s">
        <v>41</v>
      </c>
      <c r="C482" s="4" t="s">
        <v>64</v>
      </c>
      <c r="D482" s="4" t="s">
        <v>25</v>
      </c>
      <c r="E482" s="4" t="s">
        <v>25</v>
      </c>
      <c r="F482" s="4" t="s">
        <v>25</v>
      </c>
      <c r="G482" s="4" t="s">
        <v>97</v>
      </c>
      <c r="H482" s="4" t="s">
        <v>25</v>
      </c>
      <c r="I482" s="5">
        <v>44682</v>
      </c>
      <c r="J482" s="6">
        <v>1180</v>
      </c>
      <c r="K482" s="6">
        <v>590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4" t="s">
        <v>66</v>
      </c>
      <c r="R482" s="4">
        <v>31318</v>
      </c>
      <c r="S482" s="4">
        <v>28</v>
      </c>
      <c r="T482" s="4">
        <v>0</v>
      </c>
      <c r="U482" s="4">
        <v>0</v>
      </c>
      <c r="V482" s="6">
        <f>IF(ISERROR(VLOOKUP($S$482,'TAR FIN'!$A$1:$O$116,15,0)),0,VLOOKUP($S$482,'TAR FIN'!$A$1:$O$116,15,0))</f>
        <v>15.24</v>
      </c>
      <c r="W482" s="6">
        <f>IF(ISERROR(VLOOKUP($T$482,'TAR FIN'!$A$1:$O$116,15,0)),0,VLOOKUP($T$482,'TAR FIN'!$A$1:$O$116,15,0))</f>
        <v>0</v>
      </c>
      <c r="X482" s="6">
        <f>IF(ISERROR(VLOOKUP($U$482,'TAR FIN'!$A$1:$O$116,15,0)),0,VLOOKUP($U$482,'TAR FIN'!$A$1:$O$116,15,0))</f>
        <v>0</v>
      </c>
      <c r="Y482" s="6">
        <f ca="1">('TUSD BE'!$AM$32+'TUSD BF'!$AM$32+'TUSD CVA'!$AM$32)*1</f>
        <v>17.138874075124019</v>
      </c>
      <c r="Z482" s="6"/>
      <c r="AA482" s="6"/>
      <c r="AB482" s="6">
        <f t="shared" si="30"/>
        <v>8991.6</v>
      </c>
      <c r="AC482" s="6">
        <f t="shared" si="31"/>
        <v>0</v>
      </c>
      <c r="AD482" s="6">
        <f t="shared" ca="1" si="32"/>
        <v>10111.93570432317</v>
      </c>
      <c r="AE482" s="6">
        <f t="shared" si="33"/>
        <v>0</v>
      </c>
      <c r="AF482" s="4" t="s">
        <v>1112</v>
      </c>
    </row>
    <row r="483" spans="1:32" ht="11.25" customHeight="1" x14ac:dyDescent="0.25">
      <c r="A483" s="4" t="s">
        <v>58</v>
      </c>
      <c r="B483" s="4" t="s">
        <v>41</v>
      </c>
      <c r="C483" s="4" t="s">
        <v>64</v>
      </c>
      <c r="D483" s="4" t="s">
        <v>25</v>
      </c>
      <c r="E483" s="4" t="s">
        <v>25</v>
      </c>
      <c r="F483" s="4" t="s">
        <v>25</v>
      </c>
      <c r="G483" s="4" t="s">
        <v>98</v>
      </c>
      <c r="H483" s="4" t="s">
        <v>25</v>
      </c>
      <c r="I483" s="5">
        <v>44682</v>
      </c>
      <c r="J483" s="6">
        <v>3000</v>
      </c>
      <c r="K483" s="6">
        <v>1500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4" t="s">
        <v>66</v>
      </c>
      <c r="R483" s="4">
        <v>31334</v>
      </c>
      <c r="S483" s="4">
        <v>28</v>
      </c>
      <c r="T483" s="4">
        <v>0</v>
      </c>
      <c r="U483" s="4">
        <v>0</v>
      </c>
      <c r="V483" s="6">
        <f>IF(ISERROR(VLOOKUP($S$483,'TAR FIN'!$A$1:$O$116,15,0)),0,VLOOKUP($S$483,'TAR FIN'!$A$1:$O$116,15,0))</f>
        <v>15.24</v>
      </c>
      <c r="W483" s="6">
        <f>IF(ISERROR(VLOOKUP($T$483,'TAR FIN'!$A$1:$O$116,15,0)),0,VLOOKUP($T$483,'TAR FIN'!$A$1:$O$116,15,0))</f>
        <v>0</v>
      </c>
      <c r="X483" s="6">
        <f>IF(ISERROR(VLOOKUP($U$483,'TAR FIN'!$A$1:$O$116,15,0)),0,VLOOKUP($U$483,'TAR FIN'!$A$1:$O$116,15,0))</f>
        <v>0</v>
      </c>
      <c r="Y483" s="6">
        <f ca="1">('TUSD BE'!$AM$32+'TUSD BF'!$AM$32+'TUSD CVA'!$AM$32)*1</f>
        <v>17.138874075124019</v>
      </c>
      <c r="Z483" s="6"/>
      <c r="AA483" s="6"/>
      <c r="AB483" s="6">
        <f t="shared" si="30"/>
        <v>22860</v>
      </c>
      <c r="AC483" s="6">
        <f t="shared" si="31"/>
        <v>0</v>
      </c>
      <c r="AD483" s="6">
        <f t="shared" ca="1" si="32"/>
        <v>25708.311112686028</v>
      </c>
      <c r="AE483" s="6">
        <f t="shared" si="33"/>
        <v>0</v>
      </c>
      <c r="AF483" s="4" t="s">
        <v>1112</v>
      </c>
    </row>
    <row r="484" spans="1:32" ht="11.25" customHeight="1" x14ac:dyDescent="0.25">
      <c r="A484" s="4" t="s">
        <v>58</v>
      </c>
      <c r="B484" s="4" t="s">
        <v>41</v>
      </c>
      <c r="C484" s="4" t="s">
        <v>64</v>
      </c>
      <c r="D484" s="4" t="s">
        <v>25</v>
      </c>
      <c r="E484" s="4" t="s">
        <v>25</v>
      </c>
      <c r="F484" s="4" t="s">
        <v>25</v>
      </c>
      <c r="G484" s="4" t="s">
        <v>99</v>
      </c>
      <c r="H484" s="4" t="s">
        <v>25</v>
      </c>
      <c r="I484" s="5">
        <v>44682</v>
      </c>
      <c r="J484" s="6">
        <v>1180</v>
      </c>
      <c r="K484" s="6">
        <v>590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4" t="s">
        <v>66</v>
      </c>
      <c r="R484" s="4">
        <v>31618</v>
      </c>
      <c r="S484" s="4">
        <v>28</v>
      </c>
      <c r="T484" s="4">
        <v>0</v>
      </c>
      <c r="U484" s="4">
        <v>0</v>
      </c>
      <c r="V484" s="6">
        <f>IF(ISERROR(VLOOKUP($S$484,'TAR FIN'!$A$1:$O$116,15,0)),0,VLOOKUP($S$484,'TAR FIN'!$A$1:$O$116,15,0))</f>
        <v>15.24</v>
      </c>
      <c r="W484" s="6">
        <f>IF(ISERROR(VLOOKUP($T$484,'TAR FIN'!$A$1:$O$116,15,0)),0,VLOOKUP($T$484,'TAR FIN'!$A$1:$O$116,15,0))</f>
        <v>0</v>
      </c>
      <c r="X484" s="6">
        <f>IF(ISERROR(VLOOKUP($U$484,'TAR FIN'!$A$1:$O$116,15,0)),0,VLOOKUP($U$484,'TAR FIN'!$A$1:$O$116,15,0))</f>
        <v>0</v>
      </c>
      <c r="Y484" s="6">
        <f ca="1">('TUSD BE'!$AM$32+'TUSD BF'!$AM$32+'TUSD CVA'!$AM$32)*1</f>
        <v>17.138874075124019</v>
      </c>
      <c r="Z484" s="6"/>
      <c r="AA484" s="6"/>
      <c r="AB484" s="6">
        <f t="shared" si="30"/>
        <v>8991.6</v>
      </c>
      <c r="AC484" s="6">
        <f t="shared" si="31"/>
        <v>0</v>
      </c>
      <c r="AD484" s="6">
        <f t="shared" ca="1" si="32"/>
        <v>10111.93570432317</v>
      </c>
      <c r="AE484" s="6">
        <f t="shared" si="33"/>
        <v>0</v>
      </c>
      <c r="AF484" s="4" t="s">
        <v>1112</v>
      </c>
    </row>
    <row r="485" spans="1:32" ht="11.25" customHeight="1" x14ac:dyDescent="0.25">
      <c r="A485" s="4" t="s">
        <v>58</v>
      </c>
      <c r="B485" s="4" t="s">
        <v>41</v>
      </c>
      <c r="C485" s="4" t="s">
        <v>64</v>
      </c>
      <c r="D485" s="4" t="s">
        <v>25</v>
      </c>
      <c r="E485" s="4" t="s">
        <v>25</v>
      </c>
      <c r="F485" s="4" t="s">
        <v>25</v>
      </c>
      <c r="G485" s="4" t="s">
        <v>100</v>
      </c>
      <c r="H485" s="4" t="s">
        <v>25</v>
      </c>
      <c r="I485" s="5">
        <v>44682</v>
      </c>
      <c r="J485" s="6">
        <v>1180</v>
      </c>
      <c r="K485" s="6">
        <v>590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4" t="s">
        <v>66</v>
      </c>
      <c r="R485" s="4">
        <v>31677</v>
      </c>
      <c r="S485" s="4">
        <v>28</v>
      </c>
      <c r="T485" s="4">
        <v>0</v>
      </c>
      <c r="U485" s="4">
        <v>0</v>
      </c>
      <c r="V485" s="6">
        <f>IF(ISERROR(VLOOKUP($S$485,'TAR FIN'!$A$1:$O$116,15,0)),0,VLOOKUP($S$485,'TAR FIN'!$A$1:$O$116,15,0))</f>
        <v>15.24</v>
      </c>
      <c r="W485" s="6">
        <f>IF(ISERROR(VLOOKUP($T$485,'TAR FIN'!$A$1:$O$116,15,0)),0,VLOOKUP($T$485,'TAR FIN'!$A$1:$O$116,15,0))</f>
        <v>0</v>
      </c>
      <c r="X485" s="6">
        <f>IF(ISERROR(VLOOKUP($U$485,'TAR FIN'!$A$1:$O$116,15,0)),0,VLOOKUP($U$485,'TAR FIN'!$A$1:$O$116,15,0))</f>
        <v>0</v>
      </c>
      <c r="Y485" s="6">
        <f ca="1">('TUSD BE'!$AM$32+'TUSD BF'!$AM$32+'TUSD CVA'!$AM$32)*1</f>
        <v>17.138874075124019</v>
      </c>
      <c r="Z485" s="6"/>
      <c r="AA485" s="6"/>
      <c r="AB485" s="6">
        <f t="shared" si="30"/>
        <v>8991.6</v>
      </c>
      <c r="AC485" s="6">
        <f t="shared" si="31"/>
        <v>0</v>
      </c>
      <c r="AD485" s="6">
        <f t="shared" ca="1" si="32"/>
        <v>10111.93570432317</v>
      </c>
      <c r="AE485" s="6">
        <f t="shared" si="33"/>
        <v>0</v>
      </c>
      <c r="AF485" s="4" t="s">
        <v>1112</v>
      </c>
    </row>
    <row r="486" spans="1:32" ht="11.25" customHeight="1" x14ac:dyDescent="0.25">
      <c r="A486" s="4" t="s">
        <v>21</v>
      </c>
      <c r="B486" s="4" t="s">
        <v>41</v>
      </c>
      <c r="C486" s="4" t="s">
        <v>42</v>
      </c>
      <c r="D486" s="4" t="s">
        <v>38</v>
      </c>
      <c r="E486" s="4" t="s">
        <v>25</v>
      </c>
      <c r="F486" s="4" t="s">
        <v>63</v>
      </c>
      <c r="G486" s="4" t="s">
        <v>25</v>
      </c>
      <c r="H486" s="4" t="s">
        <v>35</v>
      </c>
      <c r="I486" s="5">
        <v>44348</v>
      </c>
      <c r="J486" s="6">
        <v>0</v>
      </c>
      <c r="K486" s="6">
        <v>0</v>
      </c>
      <c r="L486" s="6">
        <v>8131.9930000000004</v>
      </c>
      <c r="M486" s="6">
        <v>8131.9930000000004</v>
      </c>
      <c r="N486" s="6">
        <v>0</v>
      </c>
      <c r="O486" s="6">
        <v>0</v>
      </c>
      <c r="P486" s="6">
        <v>0</v>
      </c>
      <c r="Q486" s="4" t="s">
        <v>60</v>
      </c>
      <c r="R486" s="4">
        <v>0</v>
      </c>
      <c r="S486" s="4">
        <v>0</v>
      </c>
      <c r="T486" s="4">
        <v>31</v>
      </c>
      <c r="U486" s="4">
        <v>0</v>
      </c>
      <c r="V486" s="6">
        <f>IF(ISERROR(VLOOKUP($S$486,'TAR FIN'!$A$1:$O$116,15,0)),0,VLOOKUP($S$486,'TAR FIN'!$A$1:$O$116,15,0))</f>
        <v>0</v>
      </c>
      <c r="W486" s="6">
        <f>IF(ISERROR(VLOOKUP($T$486,'TAR FIN'!$A$1:$O$116,15,0)),0,VLOOKUP($T$486,'TAR FIN'!$A$1:$O$116,15,0))</f>
        <v>88.66</v>
      </c>
      <c r="X486" s="6">
        <f>IF(ISERROR(VLOOKUP($U$486,'TAR FIN'!$A$1:$O$116,15,0)),0,VLOOKUP($U$486,'TAR FIN'!$A$1:$O$116,15,0))</f>
        <v>0</v>
      </c>
      <c r="Y486" s="6"/>
      <c r="Z486" s="6">
        <f ca="1">('TUSD BE'!$AM$35+'TUSD BF'!$AM$35+'TUSD CVA'!$AM$35)*1</f>
        <v>137.4358543126599</v>
      </c>
      <c r="AA486" s="6"/>
      <c r="AB486" s="6">
        <f t="shared" si="30"/>
        <v>0</v>
      </c>
      <c r="AC486" s="6">
        <f t="shared" si="31"/>
        <v>0</v>
      </c>
      <c r="AD486" s="6">
        <f t="shared" si="32"/>
        <v>0</v>
      </c>
      <c r="AE486" s="6">
        <f t="shared" ca="1" si="33"/>
        <v>0</v>
      </c>
      <c r="AF486" s="4" t="s">
        <v>1113</v>
      </c>
    </row>
    <row r="487" spans="1:32" ht="11.25" customHeight="1" x14ac:dyDescent="0.25">
      <c r="A487" s="4" t="s">
        <v>21</v>
      </c>
      <c r="B487" s="4" t="s">
        <v>41</v>
      </c>
      <c r="C487" s="4" t="s">
        <v>42</v>
      </c>
      <c r="D487" s="4" t="s">
        <v>38</v>
      </c>
      <c r="E487" s="4" t="s">
        <v>25</v>
      </c>
      <c r="F487" s="4" t="s">
        <v>63</v>
      </c>
      <c r="G487" s="4" t="s">
        <v>25</v>
      </c>
      <c r="H487" s="4" t="s">
        <v>35</v>
      </c>
      <c r="I487" s="5">
        <v>44378</v>
      </c>
      <c r="J487" s="6">
        <v>0</v>
      </c>
      <c r="K487" s="6">
        <v>0</v>
      </c>
      <c r="L487" s="6">
        <v>8315.268</v>
      </c>
      <c r="M487" s="6">
        <v>8315.268</v>
      </c>
      <c r="N487" s="6">
        <v>0</v>
      </c>
      <c r="O487" s="6">
        <v>0</v>
      </c>
      <c r="P487" s="6">
        <v>0</v>
      </c>
      <c r="Q487" s="4" t="s">
        <v>60</v>
      </c>
      <c r="R487" s="4">
        <v>0</v>
      </c>
      <c r="S487" s="4">
        <v>0</v>
      </c>
      <c r="T487" s="4">
        <v>31</v>
      </c>
      <c r="U487" s="4">
        <v>0</v>
      </c>
      <c r="V487" s="6">
        <f>IF(ISERROR(VLOOKUP($S$487,'TAR FIN'!$A$1:$O$116,15,0)),0,VLOOKUP($S$487,'TAR FIN'!$A$1:$O$116,15,0))</f>
        <v>0</v>
      </c>
      <c r="W487" s="6">
        <f>IF(ISERROR(VLOOKUP($T$487,'TAR FIN'!$A$1:$O$116,15,0)),0,VLOOKUP($T$487,'TAR FIN'!$A$1:$O$116,15,0))</f>
        <v>88.66</v>
      </c>
      <c r="X487" s="6">
        <f>IF(ISERROR(VLOOKUP($U$487,'TAR FIN'!$A$1:$O$116,15,0)),0,VLOOKUP($U$487,'TAR FIN'!$A$1:$O$116,15,0))</f>
        <v>0</v>
      </c>
      <c r="Y487" s="6"/>
      <c r="Z487" s="6">
        <f ca="1">('TUSD BE'!$AM$35+'TUSD BF'!$AM$35+'TUSD CVA'!$AM$35)*1</f>
        <v>137.4358543126599</v>
      </c>
      <c r="AA487" s="6"/>
      <c r="AB487" s="6">
        <f t="shared" si="30"/>
        <v>0</v>
      </c>
      <c r="AC487" s="6">
        <f t="shared" si="31"/>
        <v>0</v>
      </c>
      <c r="AD487" s="6">
        <f t="shared" si="32"/>
        <v>0</v>
      </c>
      <c r="AE487" s="6">
        <f t="shared" ca="1" si="33"/>
        <v>0</v>
      </c>
      <c r="AF487" s="4" t="s">
        <v>1113</v>
      </c>
    </row>
    <row r="488" spans="1:32" ht="11.25" customHeight="1" x14ac:dyDescent="0.25">
      <c r="A488" s="4" t="s">
        <v>21</v>
      </c>
      <c r="B488" s="4" t="s">
        <v>41</v>
      </c>
      <c r="C488" s="4" t="s">
        <v>42</v>
      </c>
      <c r="D488" s="4" t="s">
        <v>38</v>
      </c>
      <c r="E488" s="4" t="s">
        <v>25</v>
      </c>
      <c r="F488" s="4" t="s">
        <v>63</v>
      </c>
      <c r="G488" s="4" t="s">
        <v>25</v>
      </c>
      <c r="H488" s="4" t="s">
        <v>35</v>
      </c>
      <c r="I488" s="5">
        <v>44409</v>
      </c>
      <c r="J488" s="6">
        <v>0</v>
      </c>
      <c r="K488" s="6">
        <v>0</v>
      </c>
      <c r="L488" s="6">
        <v>9395.1239999999998</v>
      </c>
      <c r="M488" s="6">
        <v>9395.1239999999998</v>
      </c>
      <c r="N488" s="6">
        <v>0</v>
      </c>
      <c r="O488" s="6">
        <v>0</v>
      </c>
      <c r="P488" s="6">
        <v>0</v>
      </c>
      <c r="Q488" s="4" t="s">
        <v>60</v>
      </c>
      <c r="R488" s="4">
        <v>0</v>
      </c>
      <c r="S488" s="4">
        <v>0</v>
      </c>
      <c r="T488" s="4">
        <v>31</v>
      </c>
      <c r="U488" s="4">
        <v>0</v>
      </c>
      <c r="V488" s="6">
        <f>IF(ISERROR(VLOOKUP($S$488,'TAR FIN'!$A$1:$O$116,15,0)),0,VLOOKUP($S$488,'TAR FIN'!$A$1:$O$116,15,0))</f>
        <v>0</v>
      </c>
      <c r="W488" s="6">
        <f>IF(ISERROR(VLOOKUP($T$488,'TAR FIN'!$A$1:$O$116,15,0)),0,VLOOKUP($T$488,'TAR FIN'!$A$1:$O$116,15,0))</f>
        <v>88.66</v>
      </c>
      <c r="X488" s="6">
        <f>IF(ISERROR(VLOOKUP($U$488,'TAR FIN'!$A$1:$O$116,15,0)),0,VLOOKUP($U$488,'TAR FIN'!$A$1:$O$116,15,0))</f>
        <v>0</v>
      </c>
      <c r="Y488" s="6"/>
      <c r="Z488" s="6">
        <f ca="1">('TUSD BE'!$AM$35+'TUSD BF'!$AM$35+'TUSD CVA'!$AM$35)*1</f>
        <v>137.4358543126599</v>
      </c>
      <c r="AA488" s="6"/>
      <c r="AB488" s="6">
        <f t="shared" si="30"/>
        <v>0</v>
      </c>
      <c r="AC488" s="6">
        <f t="shared" si="31"/>
        <v>0</v>
      </c>
      <c r="AD488" s="6">
        <f t="shared" si="32"/>
        <v>0</v>
      </c>
      <c r="AE488" s="6">
        <f t="shared" ca="1" si="33"/>
        <v>0</v>
      </c>
      <c r="AF488" s="4" t="s">
        <v>1113</v>
      </c>
    </row>
    <row r="489" spans="1:32" ht="11.25" customHeight="1" x14ac:dyDescent="0.25">
      <c r="A489" s="4" t="s">
        <v>21</v>
      </c>
      <c r="B489" s="4" t="s">
        <v>41</v>
      </c>
      <c r="C489" s="4" t="s">
        <v>42</v>
      </c>
      <c r="D489" s="4" t="s">
        <v>38</v>
      </c>
      <c r="E489" s="4" t="s">
        <v>25</v>
      </c>
      <c r="F489" s="4" t="s">
        <v>63</v>
      </c>
      <c r="G489" s="4" t="s">
        <v>25</v>
      </c>
      <c r="H489" s="4" t="s">
        <v>35</v>
      </c>
      <c r="I489" s="5">
        <v>44440</v>
      </c>
      <c r="J489" s="6">
        <v>0</v>
      </c>
      <c r="K489" s="6">
        <v>0</v>
      </c>
      <c r="L489" s="6">
        <v>9668.259</v>
      </c>
      <c r="M489" s="6">
        <v>9668.259</v>
      </c>
      <c r="N489" s="6">
        <v>0</v>
      </c>
      <c r="O489" s="6">
        <v>0</v>
      </c>
      <c r="P489" s="6">
        <v>0</v>
      </c>
      <c r="Q489" s="4" t="s">
        <v>60</v>
      </c>
      <c r="R489" s="4">
        <v>0</v>
      </c>
      <c r="S489" s="4">
        <v>0</v>
      </c>
      <c r="T489" s="4">
        <v>31</v>
      </c>
      <c r="U489" s="4">
        <v>0</v>
      </c>
      <c r="V489" s="6">
        <f>IF(ISERROR(VLOOKUP($S$489,'TAR FIN'!$A$1:$O$116,15,0)),0,VLOOKUP($S$489,'TAR FIN'!$A$1:$O$116,15,0))</f>
        <v>0</v>
      </c>
      <c r="W489" s="6">
        <f>IF(ISERROR(VLOOKUP($T$489,'TAR FIN'!$A$1:$O$116,15,0)),0,VLOOKUP($T$489,'TAR FIN'!$A$1:$O$116,15,0))</f>
        <v>88.66</v>
      </c>
      <c r="X489" s="6">
        <f>IF(ISERROR(VLOOKUP($U$489,'TAR FIN'!$A$1:$O$116,15,0)),0,VLOOKUP($U$489,'TAR FIN'!$A$1:$O$116,15,0))</f>
        <v>0</v>
      </c>
      <c r="Y489" s="6"/>
      <c r="Z489" s="6">
        <f ca="1">('TUSD BE'!$AM$35+'TUSD BF'!$AM$35+'TUSD CVA'!$AM$35)*1</f>
        <v>137.4358543126599</v>
      </c>
      <c r="AA489" s="6"/>
      <c r="AB489" s="6">
        <f t="shared" si="30"/>
        <v>0</v>
      </c>
      <c r="AC489" s="6">
        <f t="shared" si="31"/>
        <v>0</v>
      </c>
      <c r="AD489" s="6">
        <f t="shared" si="32"/>
        <v>0</v>
      </c>
      <c r="AE489" s="6">
        <f t="shared" ca="1" si="33"/>
        <v>0</v>
      </c>
      <c r="AF489" s="4" t="s">
        <v>1113</v>
      </c>
    </row>
    <row r="490" spans="1:32" ht="11.25" customHeight="1" x14ac:dyDescent="0.25">
      <c r="A490" s="4" t="s">
        <v>21</v>
      </c>
      <c r="B490" s="4" t="s">
        <v>41</v>
      </c>
      <c r="C490" s="4" t="s">
        <v>42</v>
      </c>
      <c r="D490" s="4" t="s">
        <v>38</v>
      </c>
      <c r="E490" s="4" t="s">
        <v>25</v>
      </c>
      <c r="F490" s="4" t="s">
        <v>63</v>
      </c>
      <c r="G490" s="4" t="s">
        <v>25</v>
      </c>
      <c r="H490" s="4" t="s">
        <v>35</v>
      </c>
      <c r="I490" s="5">
        <v>44470</v>
      </c>
      <c r="J490" s="6">
        <v>0</v>
      </c>
      <c r="K490" s="6">
        <v>0</v>
      </c>
      <c r="L490" s="6">
        <v>9934.5319999999992</v>
      </c>
      <c r="M490" s="6">
        <v>9934.5319999999992</v>
      </c>
      <c r="N490" s="6">
        <v>0</v>
      </c>
      <c r="O490" s="6">
        <v>0</v>
      </c>
      <c r="P490" s="6">
        <v>0</v>
      </c>
      <c r="Q490" s="4" t="s">
        <v>60</v>
      </c>
      <c r="R490" s="4">
        <v>0</v>
      </c>
      <c r="S490" s="4">
        <v>0</v>
      </c>
      <c r="T490" s="4">
        <v>31</v>
      </c>
      <c r="U490" s="4">
        <v>0</v>
      </c>
      <c r="V490" s="6">
        <f>IF(ISERROR(VLOOKUP($S$490,'TAR FIN'!$A$1:$O$116,15,0)),0,VLOOKUP($S$490,'TAR FIN'!$A$1:$O$116,15,0))</f>
        <v>0</v>
      </c>
      <c r="W490" s="6">
        <f>IF(ISERROR(VLOOKUP($T$490,'TAR FIN'!$A$1:$O$116,15,0)),0,VLOOKUP($T$490,'TAR FIN'!$A$1:$O$116,15,0))</f>
        <v>88.66</v>
      </c>
      <c r="X490" s="6">
        <f>IF(ISERROR(VLOOKUP($U$490,'TAR FIN'!$A$1:$O$116,15,0)),0,VLOOKUP($U$490,'TAR FIN'!$A$1:$O$116,15,0))</f>
        <v>0</v>
      </c>
      <c r="Y490" s="6"/>
      <c r="Z490" s="6">
        <f ca="1">('TUSD BE'!$AM$35+'TUSD BF'!$AM$35+'TUSD CVA'!$AM$35)*1</f>
        <v>137.4358543126599</v>
      </c>
      <c r="AA490" s="6"/>
      <c r="AB490" s="6">
        <f t="shared" si="30"/>
        <v>0</v>
      </c>
      <c r="AC490" s="6">
        <f t="shared" si="31"/>
        <v>0</v>
      </c>
      <c r="AD490" s="6">
        <f t="shared" si="32"/>
        <v>0</v>
      </c>
      <c r="AE490" s="6">
        <f t="shared" ca="1" si="33"/>
        <v>0</v>
      </c>
      <c r="AF490" s="4" t="s">
        <v>1113</v>
      </c>
    </row>
    <row r="491" spans="1:32" ht="11.25" customHeight="1" x14ac:dyDescent="0.25">
      <c r="A491" s="4" t="s">
        <v>21</v>
      </c>
      <c r="B491" s="4" t="s">
        <v>41</v>
      </c>
      <c r="C491" s="4" t="s">
        <v>42</v>
      </c>
      <c r="D491" s="4" t="s">
        <v>38</v>
      </c>
      <c r="E491" s="4" t="s">
        <v>25</v>
      </c>
      <c r="F491" s="4" t="s">
        <v>63</v>
      </c>
      <c r="G491" s="4" t="s">
        <v>25</v>
      </c>
      <c r="H491" s="4" t="s">
        <v>35</v>
      </c>
      <c r="I491" s="5">
        <v>44501</v>
      </c>
      <c r="J491" s="6">
        <v>0</v>
      </c>
      <c r="K491" s="6">
        <v>0</v>
      </c>
      <c r="L491" s="6">
        <v>10098.861999999999</v>
      </c>
      <c r="M491" s="6">
        <v>10098.861999999999</v>
      </c>
      <c r="N491" s="6">
        <v>0</v>
      </c>
      <c r="O491" s="6">
        <v>0</v>
      </c>
      <c r="P491" s="6">
        <v>0</v>
      </c>
      <c r="Q491" s="4" t="s">
        <v>60</v>
      </c>
      <c r="R491" s="4">
        <v>0</v>
      </c>
      <c r="S491" s="4">
        <v>0</v>
      </c>
      <c r="T491" s="4">
        <v>31</v>
      </c>
      <c r="U491" s="4">
        <v>0</v>
      </c>
      <c r="V491" s="6">
        <f>IF(ISERROR(VLOOKUP($S$491,'TAR FIN'!$A$1:$O$116,15,0)),0,VLOOKUP($S$491,'TAR FIN'!$A$1:$O$116,15,0))</f>
        <v>0</v>
      </c>
      <c r="W491" s="6">
        <f>IF(ISERROR(VLOOKUP($T$491,'TAR FIN'!$A$1:$O$116,15,0)),0,VLOOKUP($T$491,'TAR FIN'!$A$1:$O$116,15,0))</f>
        <v>88.66</v>
      </c>
      <c r="X491" s="6">
        <f>IF(ISERROR(VLOOKUP($U$491,'TAR FIN'!$A$1:$O$116,15,0)),0,VLOOKUP($U$491,'TAR FIN'!$A$1:$O$116,15,0))</f>
        <v>0</v>
      </c>
      <c r="Y491" s="6"/>
      <c r="Z491" s="6">
        <f ca="1">('TUSD BE'!$AM$35+'TUSD BF'!$AM$35+'TUSD CVA'!$AM$35)*1</f>
        <v>137.4358543126599</v>
      </c>
      <c r="AA491" s="6"/>
      <c r="AB491" s="6">
        <f t="shared" si="30"/>
        <v>0</v>
      </c>
      <c r="AC491" s="6">
        <f t="shared" si="31"/>
        <v>0</v>
      </c>
      <c r="AD491" s="6">
        <f t="shared" si="32"/>
        <v>0</v>
      </c>
      <c r="AE491" s="6">
        <f t="shared" ca="1" si="33"/>
        <v>0</v>
      </c>
      <c r="AF491" s="4" t="s">
        <v>1113</v>
      </c>
    </row>
    <row r="492" spans="1:32" ht="11.25" customHeight="1" x14ac:dyDescent="0.25">
      <c r="A492" s="4" t="s">
        <v>21</v>
      </c>
      <c r="B492" s="4" t="s">
        <v>41</v>
      </c>
      <c r="C492" s="4" t="s">
        <v>42</v>
      </c>
      <c r="D492" s="4" t="s">
        <v>38</v>
      </c>
      <c r="E492" s="4" t="s">
        <v>25</v>
      </c>
      <c r="F492" s="4" t="s">
        <v>63</v>
      </c>
      <c r="G492" s="4" t="s">
        <v>25</v>
      </c>
      <c r="H492" s="4" t="s">
        <v>35</v>
      </c>
      <c r="I492" s="5">
        <v>44531</v>
      </c>
      <c r="J492" s="6">
        <v>0</v>
      </c>
      <c r="K492" s="6">
        <v>0</v>
      </c>
      <c r="L492" s="6">
        <v>9983.5329999999994</v>
      </c>
      <c r="M492" s="6">
        <v>9983.5329999999994</v>
      </c>
      <c r="N492" s="6">
        <v>0</v>
      </c>
      <c r="O492" s="6">
        <v>0</v>
      </c>
      <c r="P492" s="6">
        <v>0</v>
      </c>
      <c r="Q492" s="4" t="s">
        <v>60</v>
      </c>
      <c r="R492" s="4">
        <v>0</v>
      </c>
      <c r="S492" s="4">
        <v>0</v>
      </c>
      <c r="T492" s="4">
        <v>31</v>
      </c>
      <c r="U492" s="4">
        <v>0</v>
      </c>
      <c r="V492" s="6">
        <f>IF(ISERROR(VLOOKUP($S$492,'TAR FIN'!$A$1:$O$116,15,0)),0,VLOOKUP($S$492,'TAR FIN'!$A$1:$O$116,15,0))</f>
        <v>0</v>
      </c>
      <c r="W492" s="6">
        <f>IF(ISERROR(VLOOKUP($T$492,'TAR FIN'!$A$1:$O$116,15,0)),0,VLOOKUP($T$492,'TAR FIN'!$A$1:$O$116,15,0))</f>
        <v>88.66</v>
      </c>
      <c r="X492" s="6">
        <f>IF(ISERROR(VLOOKUP($U$492,'TAR FIN'!$A$1:$O$116,15,0)),0,VLOOKUP($U$492,'TAR FIN'!$A$1:$O$116,15,0))</f>
        <v>0</v>
      </c>
      <c r="Y492" s="6"/>
      <c r="Z492" s="6">
        <f ca="1">('TUSD BE'!$AM$35+'TUSD BF'!$AM$35+'TUSD CVA'!$AM$35)*1</f>
        <v>137.4358543126599</v>
      </c>
      <c r="AA492" s="6"/>
      <c r="AB492" s="6">
        <f t="shared" si="30"/>
        <v>0</v>
      </c>
      <c r="AC492" s="6">
        <f t="shared" si="31"/>
        <v>0</v>
      </c>
      <c r="AD492" s="6">
        <f t="shared" si="32"/>
        <v>0</v>
      </c>
      <c r="AE492" s="6">
        <f t="shared" ca="1" si="33"/>
        <v>0</v>
      </c>
      <c r="AF492" s="4" t="s">
        <v>1113</v>
      </c>
    </row>
    <row r="493" spans="1:32" ht="11.25" customHeight="1" x14ac:dyDescent="0.25">
      <c r="A493" s="4" t="s">
        <v>21</v>
      </c>
      <c r="B493" s="4" t="s">
        <v>41</v>
      </c>
      <c r="C493" s="4" t="s">
        <v>42</v>
      </c>
      <c r="D493" s="4" t="s">
        <v>38</v>
      </c>
      <c r="E493" s="4" t="s">
        <v>25</v>
      </c>
      <c r="F493" s="4" t="s">
        <v>63</v>
      </c>
      <c r="G493" s="4" t="s">
        <v>25</v>
      </c>
      <c r="H493" s="4" t="s">
        <v>35</v>
      </c>
      <c r="I493" s="5">
        <v>44562</v>
      </c>
      <c r="J493" s="6">
        <v>0</v>
      </c>
      <c r="K493" s="6">
        <v>0</v>
      </c>
      <c r="L493" s="6">
        <v>8848.39</v>
      </c>
      <c r="M493" s="6">
        <v>8848.39</v>
      </c>
      <c r="N493" s="6">
        <v>0</v>
      </c>
      <c r="O493" s="6">
        <v>0</v>
      </c>
      <c r="P493" s="6">
        <v>0</v>
      </c>
      <c r="Q493" s="4" t="s">
        <v>60</v>
      </c>
      <c r="R493" s="4">
        <v>0</v>
      </c>
      <c r="S493" s="4">
        <v>0</v>
      </c>
      <c r="T493" s="4">
        <v>31</v>
      </c>
      <c r="U493" s="4">
        <v>0</v>
      </c>
      <c r="V493" s="6">
        <f>IF(ISERROR(VLOOKUP($S$493,'TAR FIN'!$A$1:$O$116,15,0)),0,VLOOKUP($S$493,'TAR FIN'!$A$1:$O$116,15,0))</f>
        <v>0</v>
      </c>
      <c r="W493" s="6">
        <f>IF(ISERROR(VLOOKUP($T$493,'TAR FIN'!$A$1:$O$116,15,0)),0,VLOOKUP($T$493,'TAR FIN'!$A$1:$O$116,15,0))</f>
        <v>88.66</v>
      </c>
      <c r="X493" s="6">
        <f>IF(ISERROR(VLOOKUP($U$493,'TAR FIN'!$A$1:$O$116,15,0)),0,VLOOKUP($U$493,'TAR FIN'!$A$1:$O$116,15,0))</f>
        <v>0</v>
      </c>
      <c r="Y493" s="6"/>
      <c r="Z493" s="6">
        <f ca="1">('TUSD BE'!$AM$35+'TUSD BF'!$AM$35+'TUSD CVA'!$AM$35)*1</f>
        <v>137.4358543126599</v>
      </c>
      <c r="AA493" s="6"/>
      <c r="AB493" s="6">
        <f t="shared" si="30"/>
        <v>0</v>
      </c>
      <c r="AC493" s="6">
        <f t="shared" si="31"/>
        <v>0</v>
      </c>
      <c r="AD493" s="6">
        <f t="shared" si="32"/>
        <v>0</v>
      </c>
      <c r="AE493" s="6">
        <f t="shared" ca="1" si="33"/>
        <v>0</v>
      </c>
      <c r="AF493" s="4" t="s">
        <v>1113</v>
      </c>
    </row>
    <row r="494" spans="1:32" ht="11.25" customHeight="1" x14ac:dyDescent="0.25">
      <c r="A494" s="4" t="s">
        <v>21</v>
      </c>
      <c r="B494" s="4" t="s">
        <v>41</v>
      </c>
      <c r="C494" s="4" t="s">
        <v>42</v>
      </c>
      <c r="D494" s="4" t="s">
        <v>38</v>
      </c>
      <c r="E494" s="4" t="s">
        <v>25</v>
      </c>
      <c r="F494" s="4" t="s">
        <v>63</v>
      </c>
      <c r="G494" s="4" t="s">
        <v>25</v>
      </c>
      <c r="H494" s="4" t="s">
        <v>35</v>
      </c>
      <c r="I494" s="5">
        <v>44593</v>
      </c>
      <c r="J494" s="6">
        <v>0</v>
      </c>
      <c r="K494" s="6">
        <v>0</v>
      </c>
      <c r="L494" s="6">
        <v>10698.968999999999</v>
      </c>
      <c r="M494" s="6">
        <v>10698.968999999999</v>
      </c>
      <c r="N494" s="6">
        <v>0</v>
      </c>
      <c r="O494" s="6">
        <v>0</v>
      </c>
      <c r="P494" s="6">
        <v>0</v>
      </c>
      <c r="Q494" s="4" t="s">
        <v>60</v>
      </c>
      <c r="R494" s="4">
        <v>0</v>
      </c>
      <c r="S494" s="4">
        <v>0</v>
      </c>
      <c r="T494" s="4">
        <v>31</v>
      </c>
      <c r="U494" s="4">
        <v>0</v>
      </c>
      <c r="V494" s="6">
        <f>IF(ISERROR(VLOOKUP($S$494,'TAR FIN'!$A$1:$O$116,15,0)),0,VLOOKUP($S$494,'TAR FIN'!$A$1:$O$116,15,0))</f>
        <v>0</v>
      </c>
      <c r="W494" s="6">
        <f>IF(ISERROR(VLOOKUP($T$494,'TAR FIN'!$A$1:$O$116,15,0)),0,VLOOKUP($T$494,'TAR FIN'!$A$1:$O$116,15,0))</f>
        <v>88.66</v>
      </c>
      <c r="X494" s="6">
        <f>IF(ISERROR(VLOOKUP($U$494,'TAR FIN'!$A$1:$O$116,15,0)),0,VLOOKUP($U$494,'TAR FIN'!$A$1:$O$116,15,0))</f>
        <v>0</v>
      </c>
      <c r="Y494" s="6"/>
      <c r="Z494" s="6">
        <f ca="1">('TUSD BE'!$AM$35+'TUSD BF'!$AM$35+'TUSD CVA'!$AM$35)*1</f>
        <v>137.4358543126599</v>
      </c>
      <c r="AA494" s="6"/>
      <c r="AB494" s="6">
        <f t="shared" si="30"/>
        <v>0</v>
      </c>
      <c r="AC494" s="6">
        <f t="shared" si="31"/>
        <v>0</v>
      </c>
      <c r="AD494" s="6">
        <f t="shared" si="32"/>
        <v>0</v>
      </c>
      <c r="AE494" s="6">
        <f t="shared" ca="1" si="33"/>
        <v>0</v>
      </c>
      <c r="AF494" s="4" t="s">
        <v>1113</v>
      </c>
    </row>
    <row r="495" spans="1:32" ht="11.25" customHeight="1" x14ac:dyDescent="0.25">
      <c r="A495" s="4" t="s">
        <v>21</v>
      </c>
      <c r="B495" s="4" t="s">
        <v>41</v>
      </c>
      <c r="C495" s="4" t="s">
        <v>42</v>
      </c>
      <c r="D495" s="4" t="s">
        <v>38</v>
      </c>
      <c r="E495" s="4" t="s">
        <v>25</v>
      </c>
      <c r="F495" s="4" t="s">
        <v>63</v>
      </c>
      <c r="G495" s="4" t="s">
        <v>25</v>
      </c>
      <c r="H495" s="4" t="s">
        <v>35</v>
      </c>
      <c r="I495" s="5">
        <v>44621</v>
      </c>
      <c r="J495" s="6">
        <v>0</v>
      </c>
      <c r="K495" s="6">
        <v>0</v>
      </c>
      <c r="L495" s="6">
        <v>10571.866</v>
      </c>
      <c r="M495" s="6">
        <v>10571.866</v>
      </c>
      <c r="N495" s="6">
        <v>0</v>
      </c>
      <c r="O495" s="6">
        <v>0</v>
      </c>
      <c r="P495" s="6">
        <v>0</v>
      </c>
      <c r="Q495" s="4" t="s">
        <v>60</v>
      </c>
      <c r="R495" s="4">
        <v>0</v>
      </c>
      <c r="S495" s="4">
        <v>0</v>
      </c>
      <c r="T495" s="4">
        <v>31</v>
      </c>
      <c r="U495" s="4">
        <v>0</v>
      </c>
      <c r="V495" s="6">
        <f>IF(ISERROR(VLOOKUP($S$495,'TAR FIN'!$A$1:$O$116,15,0)),0,VLOOKUP($S$495,'TAR FIN'!$A$1:$O$116,15,0))</f>
        <v>0</v>
      </c>
      <c r="W495" s="6">
        <f>IF(ISERROR(VLOOKUP($T$495,'TAR FIN'!$A$1:$O$116,15,0)),0,VLOOKUP($T$495,'TAR FIN'!$A$1:$O$116,15,0))</f>
        <v>88.66</v>
      </c>
      <c r="X495" s="6">
        <f>IF(ISERROR(VLOOKUP($U$495,'TAR FIN'!$A$1:$O$116,15,0)),0,VLOOKUP($U$495,'TAR FIN'!$A$1:$O$116,15,0))</f>
        <v>0</v>
      </c>
      <c r="Y495" s="6"/>
      <c r="Z495" s="6">
        <f ca="1">('TUSD BE'!$AM$35+'TUSD BF'!$AM$35+'TUSD CVA'!$AM$35)*1</f>
        <v>137.4358543126599</v>
      </c>
      <c r="AA495" s="6"/>
      <c r="AB495" s="6">
        <f t="shared" si="30"/>
        <v>0</v>
      </c>
      <c r="AC495" s="6">
        <f t="shared" si="31"/>
        <v>0</v>
      </c>
      <c r="AD495" s="6">
        <f t="shared" si="32"/>
        <v>0</v>
      </c>
      <c r="AE495" s="6">
        <f t="shared" ca="1" si="33"/>
        <v>0</v>
      </c>
      <c r="AF495" s="4" t="s">
        <v>1113</v>
      </c>
    </row>
    <row r="496" spans="1:32" ht="11.25" customHeight="1" x14ac:dyDescent="0.25">
      <c r="A496" s="4" t="s">
        <v>21</v>
      </c>
      <c r="B496" s="4" t="s">
        <v>41</v>
      </c>
      <c r="C496" s="4" t="s">
        <v>42</v>
      </c>
      <c r="D496" s="4" t="s">
        <v>38</v>
      </c>
      <c r="E496" s="4" t="s">
        <v>25</v>
      </c>
      <c r="F496" s="4" t="s">
        <v>63</v>
      </c>
      <c r="G496" s="4" t="s">
        <v>25</v>
      </c>
      <c r="H496" s="4" t="s">
        <v>35</v>
      </c>
      <c r="I496" s="5">
        <v>44652</v>
      </c>
      <c r="J496" s="6">
        <v>0</v>
      </c>
      <c r="K496" s="6">
        <v>0</v>
      </c>
      <c r="L496" s="6">
        <v>12207.191999999999</v>
      </c>
      <c r="M496" s="6">
        <v>12207.191999999999</v>
      </c>
      <c r="N496" s="6">
        <v>0</v>
      </c>
      <c r="O496" s="6">
        <v>0</v>
      </c>
      <c r="P496" s="6">
        <v>0</v>
      </c>
      <c r="Q496" s="4" t="s">
        <v>60</v>
      </c>
      <c r="R496" s="4">
        <v>0</v>
      </c>
      <c r="S496" s="4">
        <v>0</v>
      </c>
      <c r="T496" s="4">
        <v>31</v>
      </c>
      <c r="U496" s="4">
        <v>0</v>
      </c>
      <c r="V496" s="6">
        <f>IF(ISERROR(VLOOKUP($S$496,'TAR FIN'!$A$1:$O$116,15,0)),0,VLOOKUP($S$496,'TAR FIN'!$A$1:$O$116,15,0))</f>
        <v>0</v>
      </c>
      <c r="W496" s="6">
        <f>IF(ISERROR(VLOOKUP($T$496,'TAR FIN'!$A$1:$O$116,15,0)),0,VLOOKUP($T$496,'TAR FIN'!$A$1:$O$116,15,0))</f>
        <v>88.66</v>
      </c>
      <c r="X496" s="6">
        <f>IF(ISERROR(VLOOKUP($U$496,'TAR FIN'!$A$1:$O$116,15,0)),0,VLOOKUP($U$496,'TAR FIN'!$A$1:$O$116,15,0))</f>
        <v>0</v>
      </c>
      <c r="Y496" s="6"/>
      <c r="Z496" s="6">
        <f ca="1">('TUSD BE'!$AM$35+'TUSD BF'!$AM$35+'TUSD CVA'!$AM$35)*1</f>
        <v>137.4358543126599</v>
      </c>
      <c r="AA496" s="6"/>
      <c r="AB496" s="6">
        <f t="shared" si="30"/>
        <v>0</v>
      </c>
      <c r="AC496" s="6">
        <f t="shared" si="31"/>
        <v>0</v>
      </c>
      <c r="AD496" s="6">
        <f t="shared" si="32"/>
        <v>0</v>
      </c>
      <c r="AE496" s="6">
        <f t="shared" ca="1" si="33"/>
        <v>0</v>
      </c>
      <c r="AF496" s="4" t="s">
        <v>1113</v>
      </c>
    </row>
    <row r="497" spans="1:32" ht="11.25" customHeight="1" x14ac:dyDescent="0.25">
      <c r="A497" s="4" t="s">
        <v>58</v>
      </c>
      <c r="B497" s="4" t="s">
        <v>41</v>
      </c>
      <c r="C497" s="4" t="s">
        <v>42</v>
      </c>
      <c r="D497" s="4" t="s">
        <v>38</v>
      </c>
      <c r="E497" s="4" t="s">
        <v>25</v>
      </c>
      <c r="F497" s="4" t="s">
        <v>63</v>
      </c>
      <c r="G497" s="4" t="s">
        <v>25</v>
      </c>
      <c r="H497" s="4" t="s">
        <v>35</v>
      </c>
      <c r="I497" s="5">
        <v>44682</v>
      </c>
      <c r="J497" s="6">
        <v>0</v>
      </c>
      <c r="K497" s="6">
        <v>0</v>
      </c>
      <c r="L497" s="6">
        <v>12207.191999999999</v>
      </c>
      <c r="M497" s="6">
        <v>12207.191999999999</v>
      </c>
      <c r="N497" s="6">
        <v>0</v>
      </c>
      <c r="O497" s="6">
        <v>0</v>
      </c>
      <c r="P497" s="6">
        <v>0</v>
      </c>
      <c r="Q497" s="4" t="s">
        <v>60</v>
      </c>
      <c r="R497" s="4">
        <v>0</v>
      </c>
      <c r="S497" s="4">
        <v>0</v>
      </c>
      <c r="T497" s="4">
        <v>31</v>
      </c>
      <c r="U497" s="4">
        <v>0</v>
      </c>
      <c r="V497" s="6">
        <f>IF(ISERROR(VLOOKUP($S$497,'TAR FIN'!$A$1:$O$116,15,0)),0,VLOOKUP($S$497,'TAR FIN'!$A$1:$O$116,15,0))</f>
        <v>0</v>
      </c>
      <c r="W497" s="6">
        <f>IF(ISERROR(VLOOKUP($T$497,'TAR FIN'!$A$1:$O$116,15,0)),0,VLOOKUP($T$497,'TAR FIN'!$A$1:$O$116,15,0))</f>
        <v>88.66</v>
      </c>
      <c r="X497" s="6">
        <f>IF(ISERROR(VLOOKUP($U$497,'TAR FIN'!$A$1:$O$116,15,0)),0,VLOOKUP($U$497,'TAR FIN'!$A$1:$O$116,15,0))</f>
        <v>0</v>
      </c>
      <c r="Y497" s="6"/>
      <c r="Z497" s="6">
        <f ca="1">('TUSD BE'!$AM$35+'TUSD BF'!$AM$35+'TUSD CVA'!$AM$35)*1</f>
        <v>137.4358543126599</v>
      </c>
      <c r="AA497" s="6"/>
      <c r="AB497" s="6">
        <f t="shared" si="30"/>
        <v>0</v>
      </c>
      <c r="AC497" s="6">
        <f t="shared" si="31"/>
        <v>0</v>
      </c>
      <c r="AD497" s="6">
        <f t="shared" si="32"/>
        <v>0</v>
      </c>
      <c r="AE497" s="6">
        <f t="shared" ca="1" si="33"/>
        <v>0</v>
      </c>
      <c r="AF497" s="4" t="s">
        <v>1113</v>
      </c>
    </row>
    <row r="498" spans="1:32" ht="11.25" customHeight="1" x14ac:dyDescent="0.25">
      <c r="A498" s="4" t="s">
        <v>21</v>
      </c>
      <c r="B498" s="4" t="s">
        <v>41</v>
      </c>
      <c r="C498" s="4" t="s">
        <v>42</v>
      </c>
      <c r="D498" s="4" t="s">
        <v>38</v>
      </c>
      <c r="E498" s="4" t="s">
        <v>25</v>
      </c>
      <c r="F498" s="4" t="s">
        <v>63</v>
      </c>
      <c r="G498" s="4" t="s">
        <v>25</v>
      </c>
      <c r="H498" s="4" t="s">
        <v>25</v>
      </c>
      <c r="I498" s="5">
        <v>44348</v>
      </c>
      <c r="J498" s="6">
        <v>41181</v>
      </c>
      <c r="K498" s="6">
        <v>19220.616505860002</v>
      </c>
      <c r="L498" s="6">
        <v>0</v>
      </c>
      <c r="M498" s="6">
        <v>0</v>
      </c>
      <c r="N498" s="6">
        <v>0</v>
      </c>
      <c r="O498" s="6">
        <v>0</v>
      </c>
      <c r="P498" s="6">
        <v>57</v>
      </c>
      <c r="Q498" s="4" t="s">
        <v>60</v>
      </c>
      <c r="R498" s="4">
        <v>0</v>
      </c>
      <c r="S498" s="4">
        <v>29</v>
      </c>
      <c r="T498" s="4">
        <v>0</v>
      </c>
      <c r="U498" s="4">
        <v>0</v>
      </c>
      <c r="V498" s="6">
        <f>IF(ISERROR(VLOOKUP($S$498,'TAR FIN'!$A$1:$O$116,15,0)),0,VLOOKUP($S$498,'TAR FIN'!$A$1:$O$116,15,0))</f>
        <v>25.51</v>
      </c>
      <c r="W498" s="6">
        <f>IF(ISERROR(VLOOKUP($T$498,'TAR FIN'!$A$1:$O$116,15,0)),0,VLOOKUP($T$498,'TAR FIN'!$A$1:$O$116,15,0))</f>
        <v>0</v>
      </c>
      <c r="X498" s="6">
        <f>IF(ISERROR(VLOOKUP($U$498,'TAR FIN'!$A$1:$O$116,15,0)),0,VLOOKUP($U$498,'TAR FIN'!$A$1:$O$116,15,0))</f>
        <v>0</v>
      </c>
      <c r="Y498" s="6">
        <f ca="1">('TUSD BE'!$AM$33+'TUSD BF'!$AM$33+'TUSD CVA'!$AM$33)*1</f>
        <v>29.803266797877356</v>
      </c>
      <c r="Z498" s="6"/>
      <c r="AA498" s="6"/>
      <c r="AB498" s="6">
        <f t="shared" si="30"/>
        <v>560209.38293551141</v>
      </c>
      <c r="AC498" s="6">
        <f t="shared" si="31"/>
        <v>0</v>
      </c>
      <c r="AD498" s="6">
        <f t="shared" ca="1" si="32"/>
        <v>654491.16825955652</v>
      </c>
      <c r="AE498" s="6">
        <f t="shared" si="33"/>
        <v>0</v>
      </c>
      <c r="AF498" s="4" t="s">
        <v>1113</v>
      </c>
    </row>
    <row r="499" spans="1:32" ht="11.25" customHeight="1" x14ac:dyDescent="0.25">
      <c r="A499" s="4" t="s">
        <v>21</v>
      </c>
      <c r="B499" s="4" t="s">
        <v>41</v>
      </c>
      <c r="C499" s="4" t="s">
        <v>42</v>
      </c>
      <c r="D499" s="4" t="s">
        <v>38</v>
      </c>
      <c r="E499" s="4" t="s">
        <v>25</v>
      </c>
      <c r="F499" s="4" t="s">
        <v>63</v>
      </c>
      <c r="G499" s="4" t="s">
        <v>25</v>
      </c>
      <c r="H499" s="4" t="s">
        <v>25</v>
      </c>
      <c r="I499" s="5">
        <v>44378</v>
      </c>
      <c r="J499" s="6">
        <v>41170</v>
      </c>
      <c r="K499" s="6">
        <v>16880.3500743</v>
      </c>
      <c r="L499" s="6">
        <v>0</v>
      </c>
      <c r="M499" s="6">
        <v>0</v>
      </c>
      <c r="N499" s="6">
        <v>0</v>
      </c>
      <c r="O499" s="6">
        <v>0</v>
      </c>
      <c r="P499" s="6">
        <v>58</v>
      </c>
      <c r="Q499" s="4" t="s">
        <v>60</v>
      </c>
      <c r="R499" s="4">
        <v>0</v>
      </c>
      <c r="S499" s="4">
        <v>29</v>
      </c>
      <c r="T499" s="4">
        <v>0</v>
      </c>
      <c r="U499" s="4">
        <v>0</v>
      </c>
      <c r="V499" s="6">
        <f>IF(ISERROR(VLOOKUP($S$499,'TAR FIN'!$A$1:$O$116,15,0)),0,VLOOKUP($S$499,'TAR FIN'!$A$1:$O$116,15,0))</f>
        <v>25.51</v>
      </c>
      <c r="W499" s="6">
        <f>IF(ISERROR(VLOOKUP($T$499,'TAR FIN'!$A$1:$O$116,15,0)),0,VLOOKUP($T$499,'TAR FIN'!$A$1:$O$116,15,0))</f>
        <v>0</v>
      </c>
      <c r="X499" s="6">
        <f>IF(ISERROR(VLOOKUP($U$499,'TAR FIN'!$A$1:$O$116,15,0)),0,VLOOKUP($U$499,'TAR FIN'!$A$1:$O$116,15,0))</f>
        <v>0</v>
      </c>
      <c r="Y499" s="6">
        <f ca="1">('TUSD BE'!$AM$33+'TUSD BF'!$AM$33+'TUSD CVA'!$AM$33)*1</f>
        <v>29.803266797877356</v>
      </c>
      <c r="Z499" s="6"/>
      <c r="AA499" s="6"/>
      <c r="AB499" s="6">
        <f t="shared" si="30"/>
        <v>619628.96960460697</v>
      </c>
      <c r="AC499" s="6">
        <f t="shared" si="31"/>
        <v>0</v>
      </c>
      <c r="AD499" s="6">
        <f t="shared" ca="1" si="32"/>
        <v>723910.91716267902</v>
      </c>
      <c r="AE499" s="6">
        <f t="shared" si="33"/>
        <v>0</v>
      </c>
      <c r="AF499" s="4" t="s">
        <v>1113</v>
      </c>
    </row>
    <row r="500" spans="1:32" ht="11.25" customHeight="1" x14ac:dyDescent="0.25">
      <c r="A500" s="4" t="s">
        <v>21</v>
      </c>
      <c r="B500" s="4" t="s">
        <v>41</v>
      </c>
      <c r="C500" s="4" t="s">
        <v>42</v>
      </c>
      <c r="D500" s="4" t="s">
        <v>38</v>
      </c>
      <c r="E500" s="4" t="s">
        <v>25</v>
      </c>
      <c r="F500" s="4" t="s">
        <v>63</v>
      </c>
      <c r="G500" s="4" t="s">
        <v>25</v>
      </c>
      <c r="H500" s="4" t="s">
        <v>25</v>
      </c>
      <c r="I500" s="5">
        <v>44409</v>
      </c>
      <c r="J500" s="6">
        <v>42740</v>
      </c>
      <c r="K500" s="6">
        <v>19377.588992600002</v>
      </c>
      <c r="L500" s="6">
        <v>0</v>
      </c>
      <c r="M500" s="6">
        <v>0</v>
      </c>
      <c r="N500" s="6">
        <v>0</v>
      </c>
      <c r="O500" s="6">
        <v>0</v>
      </c>
      <c r="P500" s="6">
        <v>59</v>
      </c>
      <c r="Q500" s="4" t="s">
        <v>60</v>
      </c>
      <c r="R500" s="4">
        <v>0</v>
      </c>
      <c r="S500" s="4">
        <v>29</v>
      </c>
      <c r="T500" s="4">
        <v>0</v>
      </c>
      <c r="U500" s="4">
        <v>0</v>
      </c>
      <c r="V500" s="6">
        <f>IF(ISERROR(VLOOKUP($S$500,'TAR FIN'!$A$1:$O$116,15,0)),0,VLOOKUP($S$500,'TAR FIN'!$A$1:$O$116,15,0))</f>
        <v>25.51</v>
      </c>
      <c r="W500" s="6">
        <f>IF(ISERROR(VLOOKUP($T$500,'TAR FIN'!$A$1:$O$116,15,0)),0,VLOOKUP($T$500,'TAR FIN'!$A$1:$O$116,15,0))</f>
        <v>0</v>
      </c>
      <c r="X500" s="6">
        <f>IF(ISERROR(VLOOKUP($U$500,'TAR FIN'!$A$1:$O$116,15,0)),0,VLOOKUP($U$500,'TAR FIN'!$A$1:$O$116,15,0))</f>
        <v>0</v>
      </c>
      <c r="Y500" s="6">
        <f ca="1">('TUSD BE'!$AM$33+'TUSD BF'!$AM$33+'TUSD CVA'!$AM$33)*1</f>
        <v>29.803266797877356</v>
      </c>
      <c r="Z500" s="6"/>
      <c r="AA500" s="6"/>
      <c r="AB500" s="6">
        <f t="shared" si="30"/>
        <v>595975.104798774</v>
      </c>
      <c r="AC500" s="6">
        <f t="shared" si="31"/>
        <v>0</v>
      </c>
      <c r="AD500" s="6">
        <f t="shared" ca="1" si="32"/>
        <v>696276.16829520883</v>
      </c>
      <c r="AE500" s="6">
        <f t="shared" si="33"/>
        <v>0</v>
      </c>
      <c r="AF500" s="4" t="s">
        <v>1113</v>
      </c>
    </row>
    <row r="501" spans="1:32" ht="11.25" customHeight="1" x14ac:dyDescent="0.25">
      <c r="A501" s="4" t="s">
        <v>21</v>
      </c>
      <c r="B501" s="4" t="s">
        <v>41</v>
      </c>
      <c r="C501" s="4" t="s">
        <v>42</v>
      </c>
      <c r="D501" s="4" t="s">
        <v>38</v>
      </c>
      <c r="E501" s="4" t="s">
        <v>25</v>
      </c>
      <c r="F501" s="4" t="s">
        <v>63</v>
      </c>
      <c r="G501" s="4" t="s">
        <v>25</v>
      </c>
      <c r="H501" s="4" t="s">
        <v>25</v>
      </c>
      <c r="I501" s="5">
        <v>44440</v>
      </c>
      <c r="J501" s="6">
        <v>43623</v>
      </c>
      <c r="K501" s="6">
        <v>19310.943266459999</v>
      </c>
      <c r="L501" s="6">
        <v>0</v>
      </c>
      <c r="M501" s="6">
        <v>0</v>
      </c>
      <c r="N501" s="6">
        <v>0</v>
      </c>
      <c r="O501" s="6">
        <v>0</v>
      </c>
      <c r="P501" s="6">
        <v>58</v>
      </c>
      <c r="Q501" s="4" t="s">
        <v>60</v>
      </c>
      <c r="R501" s="4">
        <v>0</v>
      </c>
      <c r="S501" s="4">
        <v>29</v>
      </c>
      <c r="T501" s="4">
        <v>0</v>
      </c>
      <c r="U501" s="4">
        <v>0</v>
      </c>
      <c r="V501" s="6">
        <f>IF(ISERROR(VLOOKUP($S$501,'TAR FIN'!$A$1:$O$116,15,0)),0,VLOOKUP($S$501,'TAR FIN'!$A$1:$O$116,15,0))</f>
        <v>25.51</v>
      </c>
      <c r="W501" s="6">
        <f>IF(ISERROR(VLOOKUP($T$501,'TAR FIN'!$A$1:$O$116,15,0)),0,VLOOKUP($T$501,'TAR FIN'!$A$1:$O$116,15,0))</f>
        <v>0</v>
      </c>
      <c r="X501" s="6">
        <f>IF(ISERROR(VLOOKUP($U$501,'TAR FIN'!$A$1:$O$116,15,0)),0,VLOOKUP($U$501,'TAR FIN'!$A$1:$O$116,15,0))</f>
        <v>0</v>
      </c>
      <c r="Y501" s="6">
        <f ca="1">('TUSD BE'!$AM$33+'TUSD BF'!$AM$33+'TUSD CVA'!$AM$33)*1</f>
        <v>29.803266797877356</v>
      </c>
      <c r="Z501" s="6"/>
      <c r="AA501" s="6"/>
      <c r="AB501" s="6">
        <f t="shared" si="30"/>
        <v>620200.56727260549</v>
      </c>
      <c r="AC501" s="6">
        <f t="shared" si="31"/>
        <v>0</v>
      </c>
      <c r="AD501" s="6">
        <f t="shared" ca="1" si="32"/>
        <v>724578.71323482331</v>
      </c>
      <c r="AE501" s="6">
        <f t="shared" si="33"/>
        <v>0</v>
      </c>
      <c r="AF501" s="4" t="s">
        <v>1113</v>
      </c>
    </row>
    <row r="502" spans="1:32" ht="11.25" customHeight="1" x14ac:dyDescent="0.25">
      <c r="A502" s="4" t="s">
        <v>21</v>
      </c>
      <c r="B502" s="4" t="s">
        <v>41</v>
      </c>
      <c r="C502" s="4" t="s">
        <v>42</v>
      </c>
      <c r="D502" s="4" t="s">
        <v>38</v>
      </c>
      <c r="E502" s="4" t="s">
        <v>25</v>
      </c>
      <c r="F502" s="4" t="s">
        <v>63</v>
      </c>
      <c r="G502" s="4" t="s">
        <v>25</v>
      </c>
      <c r="H502" s="4" t="s">
        <v>25</v>
      </c>
      <c r="I502" s="5">
        <v>44470</v>
      </c>
      <c r="J502" s="6">
        <v>44541</v>
      </c>
      <c r="K502" s="6">
        <v>20529.41636214</v>
      </c>
      <c r="L502" s="6">
        <v>0</v>
      </c>
      <c r="M502" s="6">
        <v>0</v>
      </c>
      <c r="N502" s="6">
        <v>0</v>
      </c>
      <c r="O502" s="6">
        <v>0</v>
      </c>
      <c r="P502" s="6">
        <v>60</v>
      </c>
      <c r="Q502" s="4" t="s">
        <v>60</v>
      </c>
      <c r="R502" s="4">
        <v>0</v>
      </c>
      <c r="S502" s="4">
        <v>29</v>
      </c>
      <c r="T502" s="4">
        <v>0</v>
      </c>
      <c r="U502" s="4">
        <v>0</v>
      </c>
      <c r="V502" s="6">
        <f>IF(ISERROR(VLOOKUP($S$502,'TAR FIN'!$A$1:$O$116,15,0)),0,VLOOKUP($S$502,'TAR FIN'!$A$1:$O$116,15,0))</f>
        <v>25.51</v>
      </c>
      <c r="W502" s="6">
        <f>IF(ISERROR(VLOOKUP($T$502,'TAR FIN'!$A$1:$O$116,15,0)),0,VLOOKUP($T$502,'TAR FIN'!$A$1:$O$116,15,0))</f>
        <v>0</v>
      </c>
      <c r="X502" s="6">
        <f>IF(ISERROR(VLOOKUP($U$502,'TAR FIN'!$A$1:$O$116,15,0)),0,VLOOKUP($U$502,'TAR FIN'!$A$1:$O$116,15,0))</f>
        <v>0</v>
      </c>
      <c r="Y502" s="6">
        <f ca="1">('TUSD BE'!$AM$33+'TUSD BF'!$AM$33+'TUSD CVA'!$AM$33)*1</f>
        <v>29.803266797877356</v>
      </c>
      <c r="Z502" s="6"/>
      <c r="AA502" s="6"/>
      <c r="AB502" s="6">
        <f t="shared" si="30"/>
        <v>612535.49860180868</v>
      </c>
      <c r="AC502" s="6">
        <f t="shared" si="31"/>
        <v>0</v>
      </c>
      <c r="AD502" s="6">
        <f t="shared" ca="1" si="32"/>
        <v>715623.63339868817</v>
      </c>
      <c r="AE502" s="6">
        <f t="shared" si="33"/>
        <v>0</v>
      </c>
      <c r="AF502" s="4" t="s">
        <v>1113</v>
      </c>
    </row>
    <row r="503" spans="1:32" ht="11.25" customHeight="1" x14ac:dyDescent="0.25">
      <c r="A503" s="4" t="s">
        <v>21</v>
      </c>
      <c r="B503" s="4" t="s">
        <v>41</v>
      </c>
      <c r="C503" s="4" t="s">
        <v>42</v>
      </c>
      <c r="D503" s="4" t="s">
        <v>38</v>
      </c>
      <c r="E503" s="4" t="s">
        <v>25</v>
      </c>
      <c r="F503" s="4" t="s">
        <v>63</v>
      </c>
      <c r="G503" s="4" t="s">
        <v>25</v>
      </c>
      <c r="H503" s="4" t="s">
        <v>25</v>
      </c>
      <c r="I503" s="5">
        <v>44501</v>
      </c>
      <c r="J503" s="6">
        <v>45888</v>
      </c>
      <c r="K503" s="6">
        <v>20296.62812736</v>
      </c>
      <c r="L503" s="6">
        <v>0</v>
      </c>
      <c r="M503" s="6">
        <v>0</v>
      </c>
      <c r="N503" s="6">
        <v>0</v>
      </c>
      <c r="O503" s="6">
        <v>0</v>
      </c>
      <c r="P503" s="6">
        <v>63</v>
      </c>
      <c r="Q503" s="4" t="s">
        <v>60</v>
      </c>
      <c r="R503" s="4">
        <v>0</v>
      </c>
      <c r="S503" s="4">
        <v>29</v>
      </c>
      <c r="T503" s="4">
        <v>0</v>
      </c>
      <c r="U503" s="4">
        <v>0</v>
      </c>
      <c r="V503" s="6">
        <f>IF(ISERROR(VLOOKUP($S$503,'TAR FIN'!$A$1:$O$116,15,0)),0,VLOOKUP($S$503,'TAR FIN'!$A$1:$O$116,15,0))</f>
        <v>25.51</v>
      </c>
      <c r="W503" s="6">
        <f>IF(ISERROR(VLOOKUP($T$503,'TAR FIN'!$A$1:$O$116,15,0)),0,VLOOKUP($T$503,'TAR FIN'!$A$1:$O$116,15,0))</f>
        <v>0</v>
      </c>
      <c r="X503" s="6">
        <f>IF(ISERROR(VLOOKUP($U$503,'TAR FIN'!$A$1:$O$116,15,0)),0,VLOOKUP($U$503,'TAR FIN'!$A$1:$O$116,15,0))</f>
        <v>0</v>
      </c>
      <c r="Y503" s="6">
        <f ca="1">('TUSD BE'!$AM$33+'TUSD BF'!$AM$33+'TUSD CVA'!$AM$33)*1</f>
        <v>29.803266797877356</v>
      </c>
      <c r="Z503" s="6"/>
      <c r="AA503" s="6"/>
      <c r="AB503" s="6">
        <f t="shared" si="30"/>
        <v>652835.89647104649</v>
      </c>
      <c r="AC503" s="6">
        <f t="shared" si="31"/>
        <v>0</v>
      </c>
      <c r="AD503" s="6">
        <f t="shared" ca="1" si="32"/>
        <v>762706.48364398419</v>
      </c>
      <c r="AE503" s="6">
        <f t="shared" si="33"/>
        <v>0</v>
      </c>
      <c r="AF503" s="4" t="s">
        <v>1113</v>
      </c>
    </row>
    <row r="504" spans="1:32" ht="11.25" customHeight="1" x14ac:dyDescent="0.25">
      <c r="A504" s="4" t="s">
        <v>21</v>
      </c>
      <c r="B504" s="4" t="s">
        <v>41</v>
      </c>
      <c r="C504" s="4" t="s">
        <v>42</v>
      </c>
      <c r="D504" s="4" t="s">
        <v>38</v>
      </c>
      <c r="E504" s="4" t="s">
        <v>25</v>
      </c>
      <c r="F504" s="4" t="s">
        <v>63</v>
      </c>
      <c r="G504" s="4" t="s">
        <v>25</v>
      </c>
      <c r="H504" s="4" t="s">
        <v>25</v>
      </c>
      <c r="I504" s="5">
        <v>44531</v>
      </c>
      <c r="J504" s="6">
        <v>46627</v>
      </c>
      <c r="K504" s="6">
        <v>20866.83863138</v>
      </c>
      <c r="L504" s="6">
        <v>0</v>
      </c>
      <c r="M504" s="6">
        <v>0</v>
      </c>
      <c r="N504" s="6">
        <v>0</v>
      </c>
      <c r="O504" s="6">
        <v>0</v>
      </c>
      <c r="P504" s="6">
        <v>66</v>
      </c>
      <c r="Q504" s="4" t="s">
        <v>60</v>
      </c>
      <c r="R504" s="4">
        <v>0</v>
      </c>
      <c r="S504" s="4">
        <v>29</v>
      </c>
      <c r="T504" s="4">
        <v>0</v>
      </c>
      <c r="U504" s="4">
        <v>0</v>
      </c>
      <c r="V504" s="6">
        <f>IF(ISERROR(VLOOKUP($S$504,'TAR FIN'!$A$1:$O$116,15,0)),0,VLOOKUP($S$504,'TAR FIN'!$A$1:$O$116,15,0))</f>
        <v>25.51</v>
      </c>
      <c r="W504" s="6">
        <f>IF(ISERROR(VLOOKUP($T$504,'TAR FIN'!$A$1:$O$116,15,0)),0,VLOOKUP($T$504,'TAR FIN'!$A$1:$O$116,15,0))</f>
        <v>0</v>
      </c>
      <c r="X504" s="6">
        <f>IF(ISERROR(VLOOKUP($U$504,'TAR FIN'!$A$1:$O$116,15,0)),0,VLOOKUP($U$504,'TAR FIN'!$A$1:$O$116,15,0))</f>
        <v>0</v>
      </c>
      <c r="Y504" s="6">
        <f ca="1">('TUSD BE'!$AM$33+'TUSD BF'!$AM$33+'TUSD CVA'!$AM$33)*1</f>
        <v>29.803266797877356</v>
      </c>
      <c r="Z504" s="6"/>
      <c r="AA504" s="6"/>
      <c r="AB504" s="6">
        <f t="shared" si="30"/>
        <v>657141.71651349624</v>
      </c>
      <c r="AC504" s="6">
        <f t="shared" si="31"/>
        <v>0</v>
      </c>
      <c r="AD504" s="6">
        <f t="shared" ca="1" si="32"/>
        <v>767736.96202535531</v>
      </c>
      <c r="AE504" s="6">
        <f t="shared" si="33"/>
        <v>0</v>
      </c>
      <c r="AF504" s="4" t="s">
        <v>1113</v>
      </c>
    </row>
    <row r="505" spans="1:32" ht="11.25" customHeight="1" x14ac:dyDescent="0.25">
      <c r="A505" s="4" t="s">
        <v>21</v>
      </c>
      <c r="B505" s="4" t="s">
        <v>41</v>
      </c>
      <c r="C505" s="4" t="s">
        <v>42</v>
      </c>
      <c r="D505" s="4" t="s">
        <v>38</v>
      </c>
      <c r="E505" s="4" t="s">
        <v>25</v>
      </c>
      <c r="F505" s="4" t="s">
        <v>63</v>
      </c>
      <c r="G505" s="4" t="s">
        <v>25</v>
      </c>
      <c r="H505" s="4" t="s">
        <v>25</v>
      </c>
      <c r="I505" s="5">
        <v>44562</v>
      </c>
      <c r="J505" s="6">
        <v>46548</v>
      </c>
      <c r="K505" s="6">
        <v>20991.48297804</v>
      </c>
      <c r="L505" s="6">
        <v>0</v>
      </c>
      <c r="M505" s="6">
        <v>0</v>
      </c>
      <c r="N505" s="6">
        <v>0</v>
      </c>
      <c r="O505" s="6">
        <v>0</v>
      </c>
      <c r="P505" s="6">
        <v>66</v>
      </c>
      <c r="Q505" s="4" t="s">
        <v>60</v>
      </c>
      <c r="R505" s="4">
        <v>0</v>
      </c>
      <c r="S505" s="4">
        <v>29</v>
      </c>
      <c r="T505" s="4">
        <v>0</v>
      </c>
      <c r="U505" s="4">
        <v>0</v>
      </c>
      <c r="V505" s="6">
        <f>IF(ISERROR(VLOOKUP($S$505,'TAR FIN'!$A$1:$O$116,15,0)),0,VLOOKUP($S$505,'TAR FIN'!$A$1:$O$116,15,0))</f>
        <v>25.51</v>
      </c>
      <c r="W505" s="6">
        <f>IF(ISERROR(VLOOKUP($T$505,'TAR FIN'!$A$1:$O$116,15,0)),0,VLOOKUP($T$505,'TAR FIN'!$A$1:$O$116,15,0))</f>
        <v>0</v>
      </c>
      <c r="X505" s="6">
        <f>IF(ISERROR(VLOOKUP($U$505,'TAR FIN'!$A$1:$O$116,15,0)),0,VLOOKUP($U$505,'TAR FIN'!$A$1:$O$116,15,0))</f>
        <v>0</v>
      </c>
      <c r="Y505" s="6">
        <f ca="1">('TUSD BE'!$AM$33+'TUSD BF'!$AM$33+'TUSD CVA'!$AM$33)*1</f>
        <v>29.803266797877356</v>
      </c>
      <c r="Z505" s="6"/>
      <c r="AA505" s="6"/>
      <c r="AB505" s="6">
        <f t="shared" si="30"/>
        <v>651946.74923019961</v>
      </c>
      <c r="AC505" s="6">
        <f t="shared" si="31"/>
        <v>0</v>
      </c>
      <c r="AD505" s="6">
        <f t="shared" ca="1" si="32"/>
        <v>761667.69522996794</v>
      </c>
      <c r="AE505" s="6">
        <f t="shared" si="33"/>
        <v>0</v>
      </c>
      <c r="AF505" s="4" t="s">
        <v>1113</v>
      </c>
    </row>
    <row r="506" spans="1:32" ht="11.25" customHeight="1" x14ac:dyDescent="0.25">
      <c r="A506" s="4" t="s">
        <v>21</v>
      </c>
      <c r="B506" s="4" t="s">
        <v>41</v>
      </c>
      <c r="C506" s="4" t="s">
        <v>42</v>
      </c>
      <c r="D506" s="4" t="s">
        <v>38</v>
      </c>
      <c r="E506" s="4" t="s">
        <v>25</v>
      </c>
      <c r="F506" s="4" t="s">
        <v>63</v>
      </c>
      <c r="G506" s="4" t="s">
        <v>25</v>
      </c>
      <c r="H506" s="4" t="s">
        <v>25</v>
      </c>
      <c r="I506" s="5">
        <v>44593</v>
      </c>
      <c r="J506" s="6">
        <v>49961</v>
      </c>
      <c r="K506" s="6">
        <v>22546.725825720001</v>
      </c>
      <c r="L506" s="6">
        <v>0</v>
      </c>
      <c r="M506" s="6">
        <v>0</v>
      </c>
      <c r="N506" s="6">
        <v>0</v>
      </c>
      <c r="O506" s="6">
        <v>0</v>
      </c>
      <c r="P506" s="6">
        <v>71</v>
      </c>
      <c r="Q506" s="4" t="s">
        <v>60</v>
      </c>
      <c r="R506" s="4">
        <v>0</v>
      </c>
      <c r="S506" s="4">
        <v>29</v>
      </c>
      <c r="T506" s="4">
        <v>0</v>
      </c>
      <c r="U506" s="4">
        <v>0</v>
      </c>
      <c r="V506" s="6">
        <f>IF(ISERROR(VLOOKUP($S$506,'TAR FIN'!$A$1:$O$116,15,0)),0,VLOOKUP($S$506,'TAR FIN'!$A$1:$O$116,15,0))</f>
        <v>25.51</v>
      </c>
      <c r="W506" s="6">
        <f>IF(ISERROR(VLOOKUP($T$506,'TAR FIN'!$A$1:$O$116,15,0)),0,VLOOKUP($T$506,'TAR FIN'!$A$1:$O$116,15,0))</f>
        <v>0</v>
      </c>
      <c r="X506" s="6">
        <f>IF(ISERROR(VLOOKUP($U$506,'TAR FIN'!$A$1:$O$116,15,0)),0,VLOOKUP($U$506,'TAR FIN'!$A$1:$O$116,15,0))</f>
        <v>0</v>
      </c>
      <c r="Y506" s="6">
        <f ca="1">('TUSD BE'!$AM$33+'TUSD BF'!$AM$33+'TUSD CVA'!$AM$33)*1</f>
        <v>29.803266797877356</v>
      </c>
      <c r="Z506" s="6"/>
      <c r="AA506" s="6"/>
      <c r="AB506" s="6">
        <f t="shared" si="30"/>
        <v>699338.13418588287</v>
      </c>
      <c r="AC506" s="6">
        <f t="shared" si="31"/>
        <v>0</v>
      </c>
      <c r="AD506" s="6">
        <f t="shared" ca="1" si="32"/>
        <v>817034.92728622572</v>
      </c>
      <c r="AE506" s="6">
        <f t="shared" si="33"/>
        <v>0</v>
      </c>
      <c r="AF506" s="4" t="s">
        <v>1113</v>
      </c>
    </row>
    <row r="507" spans="1:32" ht="11.25" customHeight="1" x14ac:dyDescent="0.25">
      <c r="A507" s="4" t="s">
        <v>21</v>
      </c>
      <c r="B507" s="4" t="s">
        <v>41</v>
      </c>
      <c r="C507" s="4" t="s">
        <v>42</v>
      </c>
      <c r="D507" s="4" t="s">
        <v>38</v>
      </c>
      <c r="E507" s="4" t="s">
        <v>25</v>
      </c>
      <c r="F507" s="4" t="s">
        <v>63</v>
      </c>
      <c r="G507" s="4" t="s">
        <v>25</v>
      </c>
      <c r="H507" s="4" t="s">
        <v>25</v>
      </c>
      <c r="I507" s="5">
        <v>44621</v>
      </c>
      <c r="J507" s="6">
        <v>50562</v>
      </c>
      <c r="K507" s="6">
        <v>22860.607172399999</v>
      </c>
      <c r="L507" s="6">
        <v>0</v>
      </c>
      <c r="M507" s="6">
        <v>0</v>
      </c>
      <c r="N507" s="6">
        <v>0</v>
      </c>
      <c r="O507" s="6">
        <v>0</v>
      </c>
      <c r="P507" s="6">
        <v>72</v>
      </c>
      <c r="Q507" s="4" t="s">
        <v>60</v>
      </c>
      <c r="R507" s="4">
        <v>0</v>
      </c>
      <c r="S507" s="4">
        <v>29</v>
      </c>
      <c r="T507" s="4">
        <v>0</v>
      </c>
      <c r="U507" s="4">
        <v>0</v>
      </c>
      <c r="V507" s="6">
        <f>IF(ISERROR(VLOOKUP($S$507,'TAR FIN'!$A$1:$O$116,15,0)),0,VLOOKUP($S$507,'TAR FIN'!$A$1:$O$116,15,0))</f>
        <v>25.51</v>
      </c>
      <c r="W507" s="6">
        <f>IF(ISERROR(VLOOKUP($T$507,'TAR FIN'!$A$1:$O$116,15,0)),0,VLOOKUP($T$507,'TAR FIN'!$A$1:$O$116,15,0))</f>
        <v>0</v>
      </c>
      <c r="X507" s="6">
        <f>IF(ISERROR(VLOOKUP($U$507,'TAR FIN'!$A$1:$O$116,15,0)),0,VLOOKUP($U$507,'TAR FIN'!$A$1:$O$116,15,0))</f>
        <v>0</v>
      </c>
      <c r="Y507" s="6">
        <f ca="1">('TUSD BE'!$AM$33+'TUSD BF'!$AM$33+'TUSD CVA'!$AM$33)*1</f>
        <v>29.803266797877356</v>
      </c>
      <c r="Z507" s="6"/>
      <c r="AA507" s="6"/>
      <c r="AB507" s="6">
        <f t="shared" si="30"/>
        <v>706662.53103207611</v>
      </c>
      <c r="AC507" s="6">
        <f t="shared" si="31"/>
        <v>0</v>
      </c>
      <c r="AD507" s="6">
        <f t="shared" ca="1" si="32"/>
        <v>825592.00111376902</v>
      </c>
      <c r="AE507" s="6">
        <f t="shared" si="33"/>
        <v>0</v>
      </c>
      <c r="AF507" s="4" t="s">
        <v>1113</v>
      </c>
    </row>
    <row r="508" spans="1:32" ht="11.25" customHeight="1" x14ac:dyDescent="0.25">
      <c r="A508" s="4" t="s">
        <v>21</v>
      </c>
      <c r="B508" s="4" t="s">
        <v>41</v>
      </c>
      <c r="C508" s="4" t="s">
        <v>42</v>
      </c>
      <c r="D508" s="4" t="s">
        <v>38</v>
      </c>
      <c r="E508" s="4" t="s">
        <v>25</v>
      </c>
      <c r="F508" s="4" t="s">
        <v>63</v>
      </c>
      <c r="G508" s="4" t="s">
        <v>25</v>
      </c>
      <c r="H508" s="4" t="s">
        <v>25</v>
      </c>
      <c r="I508" s="5">
        <v>44652</v>
      </c>
      <c r="J508" s="6">
        <v>51418</v>
      </c>
      <c r="K508" s="6">
        <v>24840.067164979999</v>
      </c>
      <c r="L508" s="6">
        <v>0</v>
      </c>
      <c r="M508" s="6">
        <v>0</v>
      </c>
      <c r="N508" s="6">
        <v>0</v>
      </c>
      <c r="O508" s="6">
        <v>0</v>
      </c>
      <c r="P508" s="6">
        <v>73</v>
      </c>
      <c r="Q508" s="4" t="s">
        <v>60</v>
      </c>
      <c r="R508" s="4">
        <v>0</v>
      </c>
      <c r="S508" s="4">
        <v>29</v>
      </c>
      <c r="T508" s="4">
        <v>0</v>
      </c>
      <c r="U508" s="4">
        <v>0</v>
      </c>
      <c r="V508" s="6">
        <f>IF(ISERROR(VLOOKUP($S$508,'TAR FIN'!$A$1:$O$116,15,0)),0,VLOOKUP($S$508,'TAR FIN'!$A$1:$O$116,15,0))</f>
        <v>25.51</v>
      </c>
      <c r="W508" s="6">
        <f>IF(ISERROR(VLOOKUP($T$508,'TAR FIN'!$A$1:$O$116,15,0)),0,VLOOKUP($T$508,'TAR FIN'!$A$1:$O$116,15,0))</f>
        <v>0</v>
      </c>
      <c r="X508" s="6">
        <f>IF(ISERROR(VLOOKUP($U$508,'TAR FIN'!$A$1:$O$116,15,0)),0,VLOOKUP($U$508,'TAR FIN'!$A$1:$O$116,15,0))</f>
        <v>0</v>
      </c>
      <c r="Y508" s="6">
        <f ca="1">('TUSD BE'!$AM$33+'TUSD BF'!$AM$33+'TUSD CVA'!$AM$33)*1</f>
        <v>29.803266797877356</v>
      </c>
      <c r="Z508" s="6"/>
      <c r="AA508" s="6"/>
      <c r="AB508" s="6">
        <f t="shared" si="30"/>
        <v>678003.06662136025</v>
      </c>
      <c r="AC508" s="6">
        <f t="shared" si="31"/>
        <v>0</v>
      </c>
      <c r="AD508" s="6">
        <f t="shared" ca="1" si="32"/>
        <v>792109.22321816604</v>
      </c>
      <c r="AE508" s="6">
        <f t="shared" si="33"/>
        <v>0</v>
      </c>
      <c r="AF508" s="4" t="s">
        <v>1113</v>
      </c>
    </row>
    <row r="509" spans="1:32" ht="11.25" customHeight="1" x14ac:dyDescent="0.25">
      <c r="A509" s="4" t="s">
        <v>58</v>
      </c>
      <c r="B509" s="4" t="s">
        <v>41</v>
      </c>
      <c r="C509" s="4" t="s">
        <v>42</v>
      </c>
      <c r="D509" s="4" t="s">
        <v>38</v>
      </c>
      <c r="E509" s="4" t="s">
        <v>25</v>
      </c>
      <c r="F509" s="4" t="s">
        <v>63</v>
      </c>
      <c r="G509" s="4" t="s">
        <v>25</v>
      </c>
      <c r="H509" s="4" t="s">
        <v>25</v>
      </c>
      <c r="I509" s="5">
        <v>44682</v>
      </c>
      <c r="J509" s="6">
        <v>51418</v>
      </c>
      <c r="K509" s="6">
        <v>24840.067164979999</v>
      </c>
      <c r="L509" s="6">
        <v>0</v>
      </c>
      <c r="M509" s="6">
        <v>0</v>
      </c>
      <c r="N509" s="6">
        <v>0</v>
      </c>
      <c r="O509" s="6">
        <v>0</v>
      </c>
      <c r="P509" s="6">
        <v>73</v>
      </c>
      <c r="Q509" s="4" t="s">
        <v>60</v>
      </c>
      <c r="R509" s="4">
        <v>0</v>
      </c>
      <c r="S509" s="4">
        <v>29</v>
      </c>
      <c r="T509" s="4">
        <v>0</v>
      </c>
      <c r="U509" s="4">
        <v>0</v>
      </c>
      <c r="V509" s="6">
        <f>IF(ISERROR(VLOOKUP($S$509,'TAR FIN'!$A$1:$O$116,15,0)),0,VLOOKUP($S$509,'TAR FIN'!$A$1:$O$116,15,0))</f>
        <v>25.51</v>
      </c>
      <c r="W509" s="6">
        <f>IF(ISERROR(VLOOKUP($T$509,'TAR FIN'!$A$1:$O$116,15,0)),0,VLOOKUP($T$509,'TAR FIN'!$A$1:$O$116,15,0))</f>
        <v>0</v>
      </c>
      <c r="X509" s="6">
        <f>IF(ISERROR(VLOOKUP($U$509,'TAR FIN'!$A$1:$O$116,15,0)),0,VLOOKUP($U$509,'TAR FIN'!$A$1:$O$116,15,0))</f>
        <v>0</v>
      </c>
      <c r="Y509" s="6">
        <f ca="1">('TUSD BE'!$AM$33+'TUSD BF'!$AM$33+'TUSD CVA'!$AM$33)*1</f>
        <v>29.803266797877356</v>
      </c>
      <c r="Z509" s="6"/>
      <c r="AA509" s="6"/>
      <c r="AB509" s="6">
        <f t="shared" si="30"/>
        <v>678003.06662136025</v>
      </c>
      <c r="AC509" s="6">
        <f t="shared" si="31"/>
        <v>0</v>
      </c>
      <c r="AD509" s="6">
        <f t="shared" ca="1" si="32"/>
        <v>792109.22321816604</v>
      </c>
      <c r="AE509" s="6">
        <f t="shared" si="33"/>
        <v>0</v>
      </c>
      <c r="AF509" s="4" t="s">
        <v>1113</v>
      </c>
    </row>
    <row r="510" spans="1:32" ht="11.25" customHeight="1" x14ac:dyDescent="0.25">
      <c r="A510" s="4" t="s">
        <v>21</v>
      </c>
      <c r="B510" s="4" t="s">
        <v>41</v>
      </c>
      <c r="C510" s="4" t="s">
        <v>42</v>
      </c>
      <c r="D510" s="4" t="s">
        <v>38</v>
      </c>
      <c r="E510" s="4" t="s">
        <v>25</v>
      </c>
      <c r="F510" s="4" t="s">
        <v>63</v>
      </c>
      <c r="G510" s="4" t="s">
        <v>25</v>
      </c>
      <c r="H510" s="4" t="s">
        <v>34</v>
      </c>
      <c r="I510" s="5">
        <v>44348</v>
      </c>
      <c r="J510" s="6">
        <v>0</v>
      </c>
      <c r="K510" s="6">
        <v>0</v>
      </c>
      <c r="L510" s="6">
        <v>521.98800000000006</v>
      </c>
      <c r="M510" s="6">
        <v>284.31180946607998</v>
      </c>
      <c r="N510" s="6">
        <v>0</v>
      </c>
      <c r="O510" s="6">
        <v>0</v>
      </c>
      <c r="P510" s="6">
        <v>0</v>
      </c>
      <c r="Q510" s="4" t="s">
        <v>60</v>
      </c>
      <c r="R510" s="4">
        <v>0</v>
      </c>
      <c r="S510" s="4">
        <v>0</v>
      </c>
      <c r="T510" s="4">
        <v>30</v>
      </c>
      <c r="U510" s="4">
        <v>0</v>
      </c>
      <c r="V510" s="6">
        <f>IF(ISERROR(VLOOKUP($S$510,'TAR FIN'!$A$1:$O$116,15,0)),0,VLOOKUP($S$510,'TAR FIN'!$A$1:$O$116,15,0))</f>
        <v>0</v>
      </c>
      <c r="W510" s="6">
        <f>IF(ISERROR(VLOOKUP($T$510,'TAR FIN'!$A$1:$O$116,15,0)),0,VLOOKUP($T$510,'TAR FIN'!$A$1:$O$116,15,0))</f>
        <v>1682.12</v>
      </c>
      <c r="X510" s="6">
        <f>IF(ISERROR(VLOOKUP($U$510,'TAR FIN'!$A$1:$O$116,15,0)),0,VLOOKUP($U$510,'TAR FIN'!$A$1:$O$116,15,0))</f>
        <v>0</v>
      </c>
      <c r="Y510" s="6"/>
      <c r="Z510" s="6">
        <f ca="1">('TUSD BE'!$AM$34+'TUSD BF'!$AM$34+'TUSD CVA'!$AM$34)*1</f>
        <v>1969.9199547802996</v>
      </c>
      <c r="AA510" s="6"/>
      <c r="AB510" s="6">
        <f t="shared" si="30"/>
        <v>0</v>
      </c>
      <c r="AC510" s="6">
        <f t="shared" si="31"/>
        <v>399799.87362091761</v>
      </c>
      <c r="AD510" s="6">
        <f t="shared" si="32"/>
        <v>0</v>
      </c>
      <c r="AE510" s="6">
        <f t="shared" ca="1" si="33"/>
        <v>468203.07050893368</v>
      </c>
      <c r="AF510" s="4" t="s">
        <v>1113</v>
      </c>
    </row>
    <row r="511" spans="1:32" ht="11.25" customHeight="1" x14ac:dyDescent="0.25">
      <c r="A511" s="4" t="s">
        <v>21</v>
      </c>
      <c r="B511" s="4" t="s">
        <v>41</v>
      </c>
      <c r="C511" s="4" t="s">
        <v>42</v>
      </c>
      <c r="D511" s="4" t="s">
        <v>38</v>
      </c>
      <c r="E511" s="4" t="s">
        <v>25</v>
      </c>
      <c r="F511" s="4" t="s">
        <v>63</v>
      </c>
      <c r="G511" s="4" t="s">
        <v>25</v>
      </c>
      <c r="H511" s="4" t="s">
        <v>34</v>
      </c>
      <c r="I511" s="5">
        <v>44378</v>
      </c>
      <c r="J511" s="6">
        <v>0</v>
      </c>
      <c r="K511" s="6">
        <v>0</v>
      </c>
      <c r="L511" s="6">
        <v>529.19000000000005</v>
      </c>
      <c r="M511" s="6">
        <v>234.49005826320001</v>
      </c>
      <c r="N511" s="6">
        <v>0</v>
      </c>
      <c r="O511" s="6">
        <v>0</v>
      </c>
      <c r="P511" s="6">
        <v>0</v>
      </c>
      <c r="Q511" s="4" t="s">
        <v>60</v>
      </c>
      <c r="R511" s="4">
        <v>0</v>
      </c>
      <c r="S511" s="4">
        <v>0</v>
      </c>
      <c r="T511" s="4">
        <v>30</v>
      </c>
      <c r="U511" s="4">
        <v>0</v>
      </c>
      <c r="V511" s="6">
        <f>IF(ISERROR(VLOOKUP($S$511,'TAR FIN'!$A$1:$O$116,15,0)),0,VLOOKUP($S$511,'TAR FIN'!$A$1:$O$116,15,0))</f>
        <v>0</v>
      </c>
      <c r="W511" s="6">
        <f>IF(ISERROR(VLOOKUP($T$511,'TAR FIN'!$A$1:$O$116,15,0)),0,VLOOKUP($T$511,'TAR FIN'!$A$1:$O$116,15,0))</f>
        <v>1682.12</v>
      </c>
      <c r="X511" s="6">
        <f>IF(ISERROR(VLOOKUP($U$511,'TAR FIN'!$A$1:$O$116,15,0)),0,VLOOKUP($U$511,'TAR FIN'!$A$1:$O$116,15,0))</f>
        <v>0</v>
      </c>
      <c r="Y511" s="6"/>
      <c r="Z511" s="6">
        <f ca="1">('TUSD BE'!$AM$34+'TUSD BF'!$AM$34+'TUSD CVA'!$AM$34)*1</f>
        <v>1969.9199547802996</v>
      </c>
      <c r="AA511" s="6"/>
      <c r="AB511" s="6">
        <f t="shared" si="30"/>
        <v>0</v>
      </c>
      <c r="AC511" s="6">
        <f t="shared" si="31"/>
        <v>495720.66599430604</v>
      </c>
      <c r="AD511" s="6">
        <f t="shared" si="32"/>
        <v>0</v>
      </c>
      <c r="AE511" s="6">
        <f t="shared" ca="1" si="33"/>
        <v>580535.29589991411</v>
      </c>
      <c r="AF511" s="4" t="s">
        <v>1113</v>
      </c>
    </row>
    <row r="512" spans="1:32" ht="11.25" customHeight="1" x14ac:dyDescent="0.25">
      <c r="A512" s="4" t="s">
        <v>21</v>
      </c>
      <c r="B512" s="4" t="s">
        <v>41</v>
      </c>
      <c r="C512" s="4" t="s">
        <v>42</v>
      </c>
      <c r="D512" s="4" t="s">
        <v>38</v>
      </c>
      <c r="E512" s="4" t="s">
        <v>25</v>
      </c>
      <c r="F512" s="4" t="s">
        <v>63</v>
      </c>
      <c r="G512" s="4" t="s">
        <v>25</v>
      </c>
      <c r="H512" s="4" t="s">
        <v>34</v>
      </c>
      <c r="I512" s="5">
        <v>44409</v>
      </c>
      <c r="J512" s="6">
        <v>0</v>
      </c>
      <c r="K512" s="6">
        <v>0</v>
      </c>
      <c r="L512" s="6">
        <v>595.07899999999995</v>
      </c>
      <c r="M512" s="6">
        <v>282.61363926015002</v>
      </c>
      <c r="N512" s="6">
        <v>0</v>
      </c>
      <c r="O512" s="6">
        <v>0</v>
      </c>
      <c r="P512" s="6">
        <v>0</v>
      </c>
      <c r="Q512" s="4" t="s">
        <v>60</v>
      </c>
      <c r="R512" s="4">
        <v>0</v>
      </c>
      <c r="S512" s="4">
        <v>0</v>
      </c>
      <c r="T512" s="4">
        <v>30</v>
      </c>
      <c r="U512" s="4">
        <v>0</v>
      </c>
      <c r="V512" s="6">
        <f>IF(ISERROR(VLOOKUP($S$512,'TAR FIN'!$A$1:$O$116,15,0)),0,VLOOKUP($S$512,'TAR FIN'!$A$1:$O$116,15,0))</f>
        <v>0</v>
      </c>
      <c r="W512" s="6">
        <f>IF(ISERROR(VLOOKUP($T$512,'TAR FIN'!$A$1:$O$116,15,0)),0,VLOOKUP($T$512,'TAR FIN'!$A$1:$O$116,15,0))</f>
        <v>1682.12</v>
      </c>
      <c r="X512" s="6">
        <f>IF(ISERROR(VLOOKUP($U$512,'TAR FIN'!$A$1:$O$116,15,0)),0,VLOOKUP($U$512,'TAR FIN'!$A$1:$O$116,15,0))</f>
        <v>0</v>
      </c>
      <c r="Y512" s="6"/>
      <c r="Z512" s="6">
        <f ca="1">('TUSD BE'!$AM$34+'TUSD BF'!$AM$34+'TUSD CVA'!$AM$34)*1</f>
        <v>1969.9199547802996</v>
      </c>
      <c r="AA512" s="6"/>
      <c r="AB512" s="6">
        <f t="shared" si="30"/>
        <v>0</v>
      </c>
      <c r="AC512" s="6">
        <f t="shared" si="31"/>
        <v>525604.23260771635</v>
      </c>
      <c r="AD512" s="6">
        <f t="shared" si="32"/>
        <v>0</v>
      </c>
      <c r="AE512" s="6">
        <f t="shared" ca="1" si="33"/>
        <v>615531.7492990552</v>
      </c>
      <c r="AF512" s="4" t="s">
        <v>1113</v>
      </c>
    </row>
    <row r="513" spans="1:32" ht="11.25" customHeight="1" x14ac:dyDescent="0.25">
      <c r="A513" s="4" t="s">
        <v>21</v>
      </c>
      <c r="B513" s="4" t="s">
        <v>41</v>
      </c>
      <c r="C513" s="4" t="s">
        <v>42</v>
      </c>
      <c r="D513" s="4" t="s">
        <v>38</v>
      </c>
      <c r="E513" s="4" t="s">
        <v>25</v>
      </c>
      <c r="F513" s="4" t="s">
        <v>63</v>
      </c>
      <c r="G513" s="4" t="s">
        <v>25</v>
      </c>
      <c r="H513" s="4" t="s">
        <v>34</v>
      </c>
      <c r="I513" s="5">
        <v>44440</v>
      </c>
      <c r="J513" s="6">
        <v>0</v>
      </c>
      <c r="K513" s="6">
        <v>0</v>
      </c>
      <c r="L513" s="6">
        <v>635.16800000000001</v>
      </c>
      <c r="M513" s="6">
        <v>290.33099271264001</v>
      </c>
      <c r="N513" s="6">
        <v>0</v>
      </c>
      <c r="O513" s="6">
        <v>0</v>
      </c>
      <c r="P513" s="6">
        <v>0</v>
      </c>
      <c r="Q513" s="4" t="s">
        <v>60</v>
      </c>
      <c r="R513" s="4">
        <v>0</v>
      </c>
      <c r="S513" s="4">
        <v>0</v>
      </c>
      <c r="T513" s="4">
        <v>30</v>
      </c>
      <c r="U513" s="4">
        <v>0</v>
      </c>
      <c r="V513" s="6">
        <f>IF(ISERROR(VLOOKUP($S$513,'TAR FIN'!$A$1:$O$116,15,0)),0,VLOOKUP($S$513,'TAR FIN'!$A$1:$O$116,15,0))</f>
        <v>0</v>
      </c>
      <c r="W513" s="6">
        <f>IF(ISERROR(VLOOKUP($T$513,'TAR FIN'!$A$1:$O$116,15,0)),0,VLOOKUP($T$513,'TAR FIN'!$A$1:$O$116,15,0))</f>
        <v>1682.12</v>
      </c>
      <c r="X513" s="6">
        <f>IF(ISERROR(VLOOKUP($U$513,'TAR FIN'!$A$1:$O$116,15,0)),0,VLOOKUP($U$513,'TAR FIN'!$A$1:$O$116,15,0))</f>
        <v>0</v>
      </c>
      <c r="Y513" s="6"/>
      <c r="Z513" s="6">
        <f ca="1">('TUSD BE'!$AM$34+'TUSD BF'!$AM$34+'TUSD CVA'!$AM$34)*1</f>
        <v>1969.9199547802996</v>
      </c>
      <c r="AA513" s="6"/>
      <c r="AB513" s="6">
        <f t="shared" si="30"/>
        <v>0</v>
      </c>
      <c r="AC513" s="6">
        <f t="shared" si="31"/>
        <v>580057.22669821396</v>
      </c>
      <c r="AD513" s="6">
        <f t="shared" si="32"/>
        <v>0</v>
      </c>
      <c r="AE513" s="6">
        <f t="shared" ca="1" si="33"/>
        <v>679301.30180209002</v>
      </c>
      <c r="AF513" s="4" t="s">
        <v>1113</v>
      </c>
    </row>
    <row r="514" spans="1:32" ht="11.25" customHeight="1" x14ac:dyDescent="0.25">
      <c r="A514" s="4" t="s">
        <v>21</v>
      </c>
      <c r="B514" s="4" t="s">
        <v>41</v>
      </c>
      <c r="C514" s="4" t="s">
        <v>42</v>
      </c>
      <c r="D514" s="4" t="s">
        <v>38</v>
      </c>
      <c r="E514" s="4" t="s">
        <v>25</v>
      </c>
      <c r="F514" s="4" t="s">
        <v>63</v>
      </c>
      <c r="G514" s="4" t="s">
        <v>25</v>
      </c>
      <c r="H514" s="4" t="s">
        <v>34</v>
      </c>
      <c r="I514" s="5">
        <v>44470</v>
      </c>
      <c r="J514" s="6">
        <v>0</v>
      </c>
      <c r="K514" s="6">
        <v>0</v>
      </c>
      <c r="L514" s="6">
        <v>633.26</v>
      </c>
      <c r="M514" s="6">
        <v>311.25540839320001</v>
      </c>
      <c r="N514" s="6">
        <v>0</v>
      </c>
      <c r="O514" s="6">
        <v>0</v>
      </c>
      <c r="P514" s="6">
        <v>0</v>
      </c>
      <c r="Q514" s="4" t="s">
        <v>60</v>
      </c>
      <c r="R514" s="4">
        <v>0</v>
      </c>
      <c r="S514" s="4">
        <v>0</v>
      </c>
      <c r="T514" s="4">
        <v>30</v>
      </c>
      <c r="U514" s="4">
        <v>0</v>
      </c>
      <c r="V514" s="6">
        <f>IF(ISERROR(VLOOKUP($S$514,'TAR FIN'!$A$1:$O$116,15,0)),0,VLOOKUP($S$514,'TAR FIN'!$A$1:$O$116,15,0))</f>
        <v>0</v>
      </c>
      <c r="W514" s="6">
        <f>IF(ISERROR(VLOOKUP($T$514,'TAR FIN'!$A$1:$O$116,15,0)),0,VLOOKUP($T$514,'TAR FIN'!$A$1:$O$116,15,0))</f>
        <v>1682.12</v>
      </c>
      <c r="X514" s="6">
        <f>IF(ISERROR(VLOOKUP($U$514,'TAR FIN'!$A$1:$O$116,15,0)),0,VLOOKUP($U$514,'TAR FIN'!$A$1:$O$116,15,0))</f>
        <v>0</v>
      </c>
      <c r="Y514" s="6"/>
      <c r="Z514" s="6">
        <f ca="1">('TUSD BE'!$AM$34+'TUSD BF'!$AM$34+'TUSD CVA'!$AM$34)*1</f>
        <v>1969.9199547802996</v>
      </c>
      <c r="AA514" s="6"/>
      <c r="AB514" s="6">
        <f t="shared" ref="AB514:AB521" si="34">(J514-K514)*V514</f>
        <v>0</v>
      </c>
      <c r="AC514" s="6">
        <f t="shared" ref="AC514:AC521" si="35">(L514-M514)*W514+(N514-O514)*X514</f>
        <v>541650.36363363033</v>
      </c>
      <c r="AD514" s="6">
        <f t="shared" ref="AD514:AD521" si="36">(J514-K514)*Y514</f>
        <v>0</v>
      </c>
      <c r="AE514" s="6">
        <f t="shared" ref="AE514:AE521" ca="1" si="37">(L514-M514)*Z514+(N514-O514)*AA514</f>
        <v>634323.27053711622</v>
      </c>
      <c r="AF514" s="4" t="s">
        <v>1113</v>
      </c>
    </row>
    <row r="515" spans="1:32" ht="11.25" customHeight="1" x14ac:dyDescent="0.25">
      <c r="A515" s="4" t="s">
        <v>21</v>
      </c>
      <c r="B515" s="4" t="s">
        <v>41</v>
      </c>
      <c r="C515" s="4" t="s">
        <v>42</v>
      </c>
      <c r="D515" s="4" t="s">
        <v>38</v>
      </c>
      <c r="E515" s="4" t="s">
        <v>25</v>
      </c>
      <c r="F515" s="4" t="s">
        <v>63</v>
      </c>
      <c r="G515" s="4" t="s">
        <v>25</v>
      </c>
      <c r="H515" s="4" t="s">
        <v>34</v>
      </c>
      <c r="I515" s="5">
        <v>44501</v>
      </c>
      <c r="J515" s="6">
        <v>0</v>
      </c>
      <c r="K515" s="6">
        <v>0</v>
      </c>
      <c r="L515" s="6">
        <v>603.77200000000005</v>
      </c>
      <c r="M515" s="6">
        <v>272.93737863183998</v>
      </c>
      <c r="N515" s="6">
        <v>0</v>
      </c>
      <c r="O515" s="6">
        <v>0</v>
      </c>
      <c r="P515" s="6">
        <v>0</v>
      </c>
      <c r="Q515" s="4" t="s">
        <v>60</v>
      </c>
      <c r="R515" s="4">
        <v>0</v>
      </c>
      <c r="S515" s="4">
        <v>0</v>
      </c>
      <c r="T515" s="4">
        <v>30</v>
      </c>
      <c r="U515" s="4">
        <v>0</v>
      </c>
      <c r="V515" s="6">
        <f>IF(ISERROR(VLOOKUP($S$515,'TAR FIN'!$A$1:$O$116,15,0)),0,VLOOKUP($S$515,'TAR FIN'!$A$1:$O$116,15,0))</f>
        <v>0</v>
      </c>
      <c r="W515" s="6">
        <f>IF(ISERROR(VLOOKUP($T$515,'TAR FIN'!$A$1:$O$116,15,0)),0,VLOOKUP($T$515,'TAR FIN'!$A$1:$O$116,15,0))</f>
        <v>1682.12</v>
      </c>
      <c r="X515" s="6">
        <f>IF(ISERROR(VLOOKUP($U$515,'TAR FIN'!$A$1:$O$116,15,0)),0,VLOOKUP($U$515,'TAR FIN'!$A$1:$O$116,15,0))</f>
        <v>0</v>
      </c>
      <c r="Y515" s="6"/>
      <c r="Z515" s="6">
        <f ca="1">('TUSD BE'!$AM$34+'TUSD BF'!$AM$34+'TUSD CVA'!$AM$34)*1</f>
        <v>1969.9199547802996</v>
      </c>
      <c r="AA515" s="6"/>
      <c r="AB515" s="6">
        <f t="shared" si="34"/>
        <v>0</v>
      </c>
      <c r="AC515" s="6">
        <f t="shared" si="35"/>
        <v>556503.53329580941</v>
      </c>
      <c r="AD515" s="6">
        <f t="shared" si="36"/>
        <v>0</v>
      </c>
      <c r="AE515" s="6">
        <f t="shared" ca="1" si="37"/>
        <v>651717.72236532345</v>
      </c>
      <c r="AF515" s="4" t="s">
        <v>1113</v>
      </c>
    </row>
    <row r="516" spans="1:32" ht="11.25" customHeight="1" x14ac:dyDescent="0.25">
      <c r="A516" s="4" t="s">
        <v>21</v>
      </c>
      <c r="B516" s="4" t="s">
        <v>41</v>
      </c>
      <c r="C516" s="4" t="s">
        <v>42</v>
      </c>
      <c r="D516" s="4" t="s">
        <v>38</v>
      </c>
      <c r="E516" s="4" t="s">
        <v>25</v>
      </c>
      <c r="F516" s="4" t="s">
        <v>63</v>
      </c>
      <c r="G516" s="4" t="s">
        <v>25</v>
      </c>
      <c r="H516" s="4" t="s">
        <v>34</v>
      </c>
      <c r="I516" s="5">
        <v>44531</v>
      </c>
      <c r="J516" s="6">
        <v>0</v>
      </c>
      <c r="K516" s="6">
        <v>0</v>
      </c>
      <c r="L516" s="6">
        <v>581.6</v>
      </c>
      <c r="M516" s="6">
        <v>262.41905412</v>
      </c>
      <c r="N516" s="6">
        <v>0</v>
      </c>
      <c r="O516" s="6">
        <v>0</v>
      </c>
      <c r="P516" s="6">
        <v>0</v>
      </c>
      <c r="Q516" s="4" t="s">
        <v>60</v>
      </c>
      <c r="R516" s="4">
        <v>0</v>
      </c>
      <c r="S516" s="4">
        <v>0</v>
      </c>
      <c r="T516" s="4">
        <v>30</v>
      </c>
      <c r="U516" s="4">
        <v>0</v>
      </c>
      <c r="V516" s="6">
        <f>IF(ISERROR(VLOOKUP($S$516,'TAR FIN'!$A$1:$O$116,15,0)),0,VLOOKUP($S$516,'TAR FIN'!$A$1:$O$116,15,0))</f>
        <v>0</v>
      </c>
      <c r="W516" s="6">
        <f>IF(ISERROR(VLOOKUP($T$516,'TAR FIN'!$A$1:$O$116,15,0)),0,VLOOKUP($T$516,'TAR FIN'!$A$1:$O$116,15,0))</f>
        <v>1682.12</v>
      </c>
      <c r="X516" s="6">
        <f>IF(ISERROR(VLOOKUP($U$516,'TAR FIN'!$A$1:$O$116,15,0)),0,VLOOKUP($U$516,'TAR FIN'!$A$1:$O$116,15,0))</f>
        <v>0</v>
      </c>
      <c r="Y516" s="6"/>
      <c r="Z516" s="6">
        <f ca="1">('TUSD BE'!$AM$34+'TUSD BF'!$AM$34+'TUSD CVA'!$AM$34)*1</f>
        <v>1969.9199547802996</v>
      </c>
      <c r="AA516" s="6"/>
      <c r="AB516" s="6">
        <f t="shared" si="34"/>
        <v>0</v>
      </c>
      <c r="AC516" s="6">
        <f t="shared" si="35"/>
        <v>536900.65268366563</v>
      </c>
      <c r="AD516" s="6">
        <f t="shared" si="36"/>
        <v>0</v>
      </c>
      <c r="AE516" s="6">
        <f t="shared" ca="1" si="37"/>
        <v>628760.91447466286</v>
      </c>
      <c r="AF516" s="4" t="s">
        <v>1113</v>
      </c>
    </row>
    <row r="517" spans="1:32" ht="11.25" customHeight="1" x14ac:dyDescent="0.25">
      <c r="A517" s="4" t="s">
        <v>21</v>
      </c>
      <c r="B517" s="4" t="s">
        <v>41</v>
      </c>
      <c r="C517" s="4" t="s">
        <v>42</v>
      </c>
      <c r="D517" s="4" t="s">
        <v>38</v>
      </c>
      <c r="E517" s="4" t="s">
        <v>25</v>
      </c>
      <c r="F517" s="4" t="s">
        <v>63</v>
      </c>
      <c r="G517" s="4" t="s">
        <v>25</v>
      </c>
      <c r="H517" s="4" t="s">
        <v>34</v>
      </c>
      <c r="I517" s="5">
        <v>44562</v>
      </c>
      <c r="J517" s="6">
        <v>0</v>
      </c>
      <c r="K517" s="6">
        <v>0</v>
      </c>
      <c r="L517" s="6">
        <v>594.10199999999998</v>
      </c>
      <c r="M517" s="6">
        <v>282.09268796196</v>
      </c>
      <c r="N517" s="6">
        <v>0</v>
      </c>
      <c r="O517" s="6">
        <v>0</v>
      </c>
      <c r="P517" s="6">
        <v>0</v>
      </c>
      <c r="Q517" s="4" t="s">
        <v>60</v>
      </c>
      <c r="R517" s="4">
        <v>0</v>
      </c>
      <c r="S517" s="4">
        <v>0</v>
      </c>
      <c r="T517" s="4">
        <v>30</v>
      </c>
      <c r="U517" s="4">
        <v>0</v>
      </c>
      <c r="V517" s="6">
        <f>IF(ISERROR(VLOOKUP($S$517,'TAR FIN'!$A$1:$O$116,15,0)),0,VLOOKUP($S$517,'TAR FIN'!$A$1:$O$116,15,0))</f>
        <v>0</v>
      </c>
      <c r="W517" s="6">
        <f>IF(ISERROR(VLOOKUP($T$517,'TAR FIN'!$A$1:$O$116,15,0)),0,VLOOKUP($T$517,'TAR FIN'!$A$1:$O$116,15,0))</f>
        <v>1682.12</v>
      </c>
      <c r="X517" s="6">
        <f>IF(ISERROR(VLOOKUP($U$517,'TAR FIN'!$A$1:$O$116,15,0)),0,VLOOKUP($U$517,'TAR FIN'!$A$1:$O$116,15,0))</f>
        <v>0</v>
      </c>
      <c r="Y517" s="6"/>
      <c r="Z517" s="6">
        <f ca="1">('TUSD BE'!$AM$34+'TUSD BF'!$AM$34+'TUSD CVA'!$AM$34)*1</f>
        <v>1969.9199547802996</v>
      </c>
      <c r="AA517" s="6"/>
      <c r="AB517" s="6">
        <f t="shared" si="34"/>
        <v>0</v>
      </c>
      <c r="AC517" s="6">
        <f t="shared" si="35"/>
        <v>524837.10396542773</v>
      </c>
      <c r="AD517" s="6">
        <f t="shared" si="36"/>
        <v>0</v>
      </c>
      <c r="AE517" s="6">
        <f t="shared" ca="1" si="37"/>
        <v>614633.36986100813</v>
      </c>
      <c r="AF517" s="4" t="s">
        <v>1113</v>
      </c>
    </row>
    <row r="518" spans="1:32" ht="11.25" customHeight="1" x14ac:dyDescent="0.25">
      <c r="A518" s="4" t="s">
        <v>21</v>
      </c>
      <c r="B518" s="4" t="s">
        <v>41</v>
      </c>
      <c r="C518" s="4" t="s">
        <v>42</v>
      </c>
      <c r="D518" s="4" t="s">
        <v>38</v>
      </c>
      <c r="E518" s="4" t="s">
        <v>25</v>
      </c>
      <c r="F518" s="4" t="s">
        <v>63</v>
      </c>
      <c r="G518" s="4" t="s">
        <v>25</v>
      </c>
      <c r="H518" s="4" t="s">
        <v>34</v>
      </c>
      <c r="I518" s="5">
        <v>44593</v>
      </c>
      <c r="J518" s="6">
        <v>0</v>
      </c>
      <c r="K518" s="6">
        <v>0</v>
      </c>
      <c r="L518" s="6">
        <v>684.048</v>
      </c>
      <c r="M518" s="6">
        <v>332.65037396783998</v>
      </c>
      <c r="N518" s="6">
        <v>0</v>
      </c>
      <c r="O518" s="6">
        <v>0</v>
      </c>
      <c r="P518" s="6">
        <v>0</v>
      </c>
      <c r="Q518" s="4" t="s">
        <v>60</v>
      </c>
      <c r="R518" s="4">
        <v>0</v>
      </c>
      <c r="S518" s="4">
        <v>0</v>
      </c>
      <c r="T518" s="4">
        <v>30</v>
      </c>
      <c r="U518" s="4">
        <v>0</v>
      </c>
      <c r="V518" s="6">
        <f>IF(ISERROR(VLOOKUP($S$518,'TAR FIN'!$A$1:$O$116,15,0)),0,VLOOKUP($S$518,'TAR FIN'!$A$1:$O$116,15,0))</f>
        <v>0</v>
      </c>
      <c r="W518" s="6">
        <f>IF(ISERROR(VLOOKUP($T$518,'TAR FIN'!$A$1:$O$116,15,0)),0,VLOOKUP($T$518,'TAR FIN'!$A$1:$O$116,15,0))</f>
        <v>1682.12</v>
      </c>
      <c r="X518" s="6">
        <f>IF(ISERROR(VLOOKUP($U$518,'TAR FIN'!$A$1:$O$116,15,0)),0,VLOOKUP($U$518,'TAR FIN'!$A$1:$O$116,15,0))</f>
        <v>0</v>
      </c>
      <c r="Y518" s="6"/>
      <c r="Z518" s="6">
        <f ca="1">('TUSD BE'!$AM$34+'TUSD BF'!$AM$34+'TUSD CVA'!$AM$34)*1</f>
        <v>1969.9199547802996</v>
      </c>
      <c r="AA518" s="6"/>
      <c r="AB518" s="6">
        <f t="shared" si="34"/>
        <v>0</v>
      </c>
      <c r="AC518" s="6">
        <f t="shared" si="35"/>
        <v>591092.97470121703</v>
      </c>
      <c r="AD518" s="6">
        <f t="shared" si="36"/>
        <v>0</v>
      </c>
      <c r="AE518" s="6">
        <f t="shared" ca="1" si="37"/>
        <v>692225.19558317726</v>
      </c>
      <c r="AF518" s="4" t="s">
        <v>1113</v>
      </c>
    </row>
    <row r="519" spans="1:32" ht="11.25" customHeight="1" x14ac:dyDescent="0.25">
      <c r="A519" s="4" t="s">
        <v>21</v>
      </c>
      <c r="B519" s="4" t="s">
        <v>41</v>
      </c>
      <c r="C519" s="4" t="s">
        <v>42</v>
      </c>
      <c r="D519" s="4" t="s">
        <v>38</v>
      </c>
      <c r="E519" s="4" t="s">
        <v>25</v>
      </c>
      <c r="F519" s="4" t="s">
        <v>63</v>
      </c>
      <c r="G519" s="4" t="s">
        <v>25</v>
      </c>
      <c r="H519" s="4" t="s">
        <v>34</v>
      </c>
      <c r="I519" s="5">
        <v>44621</v>
      </c>
      <c r="J519" s="6">
        <v>0</v>
      </c>
      <c r="K519" s="6">
        <v>0</v>
      </c>
      <c r="L519" s="6">
        <v>699.726</v>
      </c>
      <c r="M519" s="6">
        <v>344.76040208472</v>
      </c>
      <c r="N519" s="6">
        <v>0</v>
      </c>
      <c r="O519" s="6">
        <v>0</v>
      </c>
      <c r="P519" s="6">
        <v>0</v>
      </c>
      <c r="Q519" s="4" t="s">
        <v>60</v>
      </c>
      <c r="R519" s="4">
        <v>0</v>
      </c>
      <c r="S519" s="4">
        <v>0</v>
      </c>
      <c r="T519" s="4">
        <v>30</v>
      </c>
      <c r="U519" s="4">
        <v>0</v>
      </c>
      <c r="V519" s="6">
        <f>IF(ISERROR(VLOOKUP($S$519,'TAR FIN'!$A$1:$O$116,15,0)),0,VLOOKUP($S$519,'TAR FIN'!$A$1:$O$116,15,0))</f>
        <v>0</v>
      </c>
      <c r="W519" s="6">
        <f>IF(ISERROR(VLOOKUP($T$519,'TAR FIN'!$A$1:$O$116,15,0)),0,VLOOKUP($T$519,'TAR FIN'!$A$1:$O$116,15,0))</f>
        <v>1682.12</v>
      </c>
      <c r="X519" s="6">
        <f>IF(ISERROR(VLOOKUP($U$519,'TAR FIN'!$A$1:$O$116,15,0)),0,VLOOKUP($U$519,'TAR FIN'!$A$1:$O$116,15,0))</f>
        <v>0</v>
      </c>
      <c r="Y519" s="6"/>
      <c r="Z519" s="6">
        <f ca="1">('TUSD BE'!$AM$34+'TUSD BF'!$AM$34+'TUSD CVA'!$AM$34)*1</f>
        <v>1969.9199547802996</v>
      </c>
      <c r="AA519" s="6"/>
      <c r="AB519" s="6">
        <f t="shared" si="34"/>
        <v>0</v>
      </c>
      <c r="AC519" s="6">
        <f t="shared" si="35"/>
        <v>597094.73156525078</v>
      </c>
      <c r="AD519" s="6">
        <f t="shared" si="36"/>
        <v>0</v>
      </c>
      <c r="AE519" s="6">
        <f t="shared" ca="1" si="37"/>
        <v>699253.81459383038</v>
      </c>
      <c r="AF519" s="4" t="s">
        <v>1113</v>
      </c>
    </row>
    <row r="520" spans="1:32" ht="11.25" customHeight="1" x14ac:dyDescent="0.25">
      <c r="A520" s="4" t="s">
        <v>21</v>
      </c>
      <c r="B520" s="4" t="s">
        <v>41</v>
      </c>
      <c r="C520" s="4" t="s">
        <v>42</v>
      </c>
      <c r="D520" s="4" t="s">
        <v>38</v>
      </c>
      <c r="E520" s="4" t="s">
        <v>25</v>
      </c>
      <c r="F520" s="4" t="s">
        <v>63</v>
      </c>
      <c r="G520" s="4" t="s">
        <v>25</v>
      </c>
      <c r="H520" s="4" t="s">
        <v>34</v>
      </c>
      <c r="I520" s="5">
        <v>44652</v>
      </c>
      <c r="J520" s="6">
        <v>0</v>
      </c>
      <c r="K520" s="6">
        <v>0</v>
      </c>
      <c r="L520" s="6">
        <v>821.54499999999996</v>
      </c>
      <c r="M520" s="6">
        <v>414.78320875095</v>
      </c>
      <c r="N520" s="6">
        <v>0</v>
      </c>
      <c r="O520" s="6">
        <v>0</v>
      </c>
      <c r="P520" s="6">
        <v>0</v>
      </c>
      <c r="Q520" s="4" t="s">
        <v>60</v>
      </c>
      <c r="R520" s="4">
        <v>0</v>
      </c>
      <c r="S520" s="4">
        <v>0</v>
      </c>
      <c r="T520" s="4">
        <v>30</v>
      </c>
      <c r="U520" s="4">
        <v>0</v>
      </c>
      <c r="V520" s="6">
        <f>IF(ISERROR(VLOOKUP($S$520,'TAR FIN'!$A$1:$O$116,15,0)),0,VLOOKUP($S$520,'TAR FIN'!$A$1:$O$116,15,0))</f>
        <v>0</v>
      </c>
      <c r="W520" s="6">
        <f>IF(ISERROR(VLOOKUP($T$520,'TAR FIN'!$A$1:$O$116,15,0)),0,VLOOKUP($T$520,'TAR FIN'!$A$1:$O$116,15,0))</f>
        <v>1682.12</v>
      </c>
      <c r="X520" s="6">
        <f>IF(ISERROR(VLOOKUP($U$520,'TAR FIN'!$A$1:$O$116,15,0)),0,VLOOKUP($U$520,'TAR FIN'!$A$1:$O$116,15,0))</f>
        <v>0</v>
      </c>
      <c r="Y520" s="6"/>
      <c r="Z520" s="6">
        <f ca="1">('TUSD BE'!$AM$34+'TUSD BF'!$AM$34+'TUSD CVA'!$AM$34)*1</f>
        <v>1969.9199547802996</v>
      </c>
      <c r="AA520" s="6"/>
      <c r="AB520" s="6">
        <f t="shared" si="34"/>
        <v>0</v>
      </c>
      <c r="AC520" s="6">
        <f t="shared" si="35"/>
        <v>684222.14429585193</v>
      </c>
      <c r="AD520" s="6">
        <f t="shared" si="36"/>
        <v>0</v>
      </c>
      <c r="AE520" s="6">
        <f t="shared" ca="1" si="37"/>
        <v>801288.16942368215</v>
      </c>
      <c r="AF520" s="4" t="s">
        <v>1113</v>
      </c>
    </row>
    <row r="521" spans="1:32" ht="11.25" customHeight="1" x14ac:dyDescent="0.25">
      <c r="A521" s="4" t="s">
        <v>58</v>
      </c>
      <c r="B521" s="4" t="s">
        <v>41</v>
      </c>
      <c r="C521" s="4" t="s">
        <v>42</v>
      </c>
      <c r="D521" s="4" t="s">
        <v>38</v>
      </c>
      <c r="E521" s="4" t="s">
        <v>25</v>
      </c>
      <c r="F521" s="4" t="s">
        <v>63</v>
      </c>
      <c r="G521" s="4" t="s">
        <v>25</v>
      </c>
      <c r="H521" s="4" t="s">
        <v>34</v>
      </c>
      <c r="I521" s="5">
        <v>44682</v>
      </c>
      <c r="J521" s="6">
        <v>0</v>
      </c>
      <c r="K521" s="6">
        <v>0</v>
      </c>
      <c r="L521" s="6">
        <v>821.54499999999996</v>
      </c>
      <c r="M521" s="6">
        <v>414.78320875095</v>
      </c>
      <c r="N521" s="6">
        <v>0</v>
      </c>
      <c r="O521" s="6">
        <v>0</v>
      </c>
      <c r="P521" s="6">
        <v>0</v>
      </c>
      <c r="Q521" s="4" t="s">
        <v>60</v>
      </c>
      <c r="R521" s="4">
        <v>0</v>
      </c>
      <c r="S521" s="4">
        <v>0</v>
      </c>
      <c r="T521" s="4">
        <v>30</v>
      </c>
      <c r="U521" s="4">
        <v>0</v>
      </c>
      <c r="V521" s="6">
        <f>IF(ISERROR(VLOOKUP($S$521,'TAR FIN'!$A$1:$O$116,15,0)),0,VLOOKUP($S$521,'TAR FIN'!$A$1:$O$116,15,0))</f>
        <v>0</v>
      </c>
      <c r="W521" s="6">
        <f>IF(ISERROR(VLOOKUP($T$521,'TAR FIN'!$A$1:$O$116,15,0)),0,VLOOKUP($T$521,'TAR FIN'!$A$1:$O$116,15,0))</f>
        <v>1682.12</v>
      </c>
      <c r="X521" s="6">
        <f>IF(ISERROR(VLOOKUP($U$521,'TAR FIN'!$A$1:$O$116,15,0)),0,VLOOKUP($U$521,'TAR FIN'!$A$1:$O$116,15,0))</f>
        <v>0</v>
      </c>
      <c r="Y521" s="6"/>
      <c r="Z521" s="6">
        <f ca="1">('TUSD BE'!$AM$34+'TUSD BF'!$AM$34+'TUSD CVA'!$AM$34)*1</f>
        <v>1969.9199547802996</v>
      </c>
      <c r="AA521" s="6"/>
      <c r="AB521" s="6">
        <f t="shared" si="34"/>
        <v>0</v>
      </c>
      <c r="AC521" s="6">
        <f t="shared" si="35"/>
        <v>684222.14429585193</v>
      </c>
      <c r="AD521" s="6">
        <f t="shared" si="36"/>
        <v>0</v>
      </c>
      <c r="AE521" s="6">
        <f t="shared" ca="1" si="37"/>
        <v>801288.16942368215</v>
      </c>
      <c r="AF521" s="4" t="s">
        <v>1113</v>
      </c>
    </row>
    <row r="522" spans="1:32" ht="11.25" customHeight="1" x14ac:dyDescent="0.25">
      <c r="A522" s="4" t="s">
        <v>21</v>
      </c>
      <c r="B522" s="4" t="s">
        <v>41</v>
      </c>
      <c r="C522" s="4" t="s">
        <v>42</v>
      </c>
      <c r="D522" s="4" t="s">
        <v>45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44348</v>
      </c>
      <c r="J522" s="6">
        <v>0</v>
      </c>
      <c r="K522" s="70">
        <v>0</v>
      </c>
      <c r="L522" s="6">
        <v>212.03899999999999</v>
      </c>
      <c r="M522" s="70">
        <v>212.03899999999999</v>
      </c>
      <c r="N522" s="6">
        <v>212.03899999999999</v>
      </c>
      <c r="O522" s="70">
        <v>212.03899999999999</v>
      </c>
      <c r="P522" s="6">
        <v>0</v>
      </c>
      <c r="Q522" s="4" t="s">
        <v>26</v>
      </c>
      <c r="R522" s="4">
        <v>0</v>
      </c>
      <c r="S522" s="4">
        <v>0</v>
      </c>
      <c r="T522" s="4">
        <v>31</v>
      </c>
      <c r="U522" s="4">
        <v>79</v>
      </c>
      <c r="V522" s="70">
        <f>IF(ISERROR(VLOOKUP($S$522,'TAR FIN'!$A$1:$O$116,15,0)),0,VLOOKUP($S$522,'TAR FIN'!$A$1:$O$116,15,0))</f>
        <v>0</v>
      </c>
      <c r="W522" s="70">
        <f>IF(ISERROR(VLOOKUP($T$522,'TAR FIN'!$A$1:$O$116,15,0)),0,VLOOKUP($T$522,'TAR FIN'!$A$1:$O$116,15,0))*(1-0.04)</f>
        <v>85.113599999999991</v>
      </c>
      <c r="X522" s="70">
        <f>IF(ISERROR(VLOOKUP($U$522,'TAR FIN'!$A$1:$O$116,15,0)),0,VLOOKUP($U$522,'TAR FIN'!$A$1:$O$116,15,0))*(1-0.04)</f>
        <v>298.59840000000003</v>
      </c>
      <c r="Y522" s="70"/>
      <c r="Z522" s="70">
        <f ca="1">('TUSD BE'!$AM$35+'TUSD BF'!$AM$35+'TUSD CVA'!$AM$35)*1*(1-0.02)</f>
        <v>134.68713722640669</v>
      </c>
      <c r="AA522" s="70">
        <f>('TE BE'!$AB$10+'TE BF'!$AB$10+'TE CVA'!$AB$10)*1*(1-0.02)</f>
        <v>306.96449101990191</v>
      </c>
      <c r="AB522" s="70">
        <f>(SUBSIDIO!$J$522*SUBSIDIO!$V$522)*(0.04)/(1-0.04)</f>
        <v>0</v>
      </c>
      <c r="AC522" s="70">
        <f>((SUBSIDIO!$L$522*SUBSIDIO!$W$522)+(SUBSIDIO!$N$522*SUBSIDIO!$X$522))*(0.04)/(1-0.04)</f>
        <v>3390.0795320000002</v>
      </c>
      <c r="AD522" s="70">
        <f>(SUBSIDIO!$J$522*SUBSIDIO!$Y$522)*(0.02)/(1-0.02)</f>
        <v>0</v>
      </c>
      <c r="AE522" s="70">
        <f ca="1">((SUBSIDIO!$L$522*SUBSIDIO!$Z$522)+(SUBSIDIO!$N$522*SUBSIDIO!$AA$522))*(0.02)/(1-0.02)</f>
        <v>1911.1708081983475</v>
      </c>
      <c r="AF522" s="4" t="s">
        <v>1114</v>
      </c>
    </row>
    <row r="523" spans="1:32" ht="11.25" customHeight="1" x14ac:dyDescent="0.25">
      <c r="A523" s="4" t="s">
        <v>27</v>
      </c>
      <c r="B523" s="4" t="s">
        <v>41</v>
      </c>
      <c r="C523" s="4" t="s">
        <v>42</v>
      </c>
      <c r="D523" s="4" t="s">
        <v>45</v>
      </c>
      <c r="E523" s="4" t="s">
        <v>25</v>
      </c>
      <c r="F523" s="4" t="s">
        <v>25</v>
      </c>
      <c r="G523" s="4" t="s">
        <v>25</v>
      </c>
      <c r="H523" s="4" t="s">
        <v>35</v>
      </c>
      <c r="I523" s="5">
        <v>44348</v>
      </c>
      <c r="J523" s="6">
        <v>0</v>
      </c>
      <c r="K523" s="70">
        <v>0</v>
      </c>
      <c r="L523" s="6">
        <v>6.12</v>
      </c>
      <c r="M523" s="70">
        <v>6.12</v>
      </c>
      <c r="N523" s="6">
        <v>6.12</v>
      </c>
      <c r="O523" s="70">
        <v>6.12</v>
      </c>
      <c r="P523" s="6">
        <v>0</v>
      </c>
      <c r="Q523" s="4" t="s">
        <v>26</v>
      </c>
      <c r="R523" s="4">
        <v>0</v>
      </c>
      <c r="S523" s="4">
        <v>0</v>
      </c>
      <c r="T523" s="4">
        <v>31</v>
      </c>
      <c r="U523" s="4">
        <v>79</v>
      </c>
      <c r="V523" s="70">
        <f>IF(ISERROR(VLOOKUP($S$523,'TAR FIN'!$A$1:$O$116,15,0)),0,VLOOKUP($S$523,'TAR FIN'!$A$1:$O$116,15,0))</f>
        <v>0</v>
      </c>
      <c r="W523" s="70">
        <f>IF(ISERROR(VLOOKUP($T$523,'TAR FIN'!$A$1:$O$116,15,0)),0,VLOOKUP($T$523,'TAR FIN'!$A$1:$O$116,15,0))*(1-0.04)</f>
        <v>85.113599999999991</v>
      </c>
      <c r="X523" s="70">
        <f>IF(ISERROR(VLOOKUP($U$523,'TAR FIN'!$A$1:$O$116,15,0)),0,VLOOKUP($U$523,'TAR FIN'!$A$1:$O$116,15,0))*(1-0.04)</f>
        <v>298.59840000000003</v>
      </c>
      <c r="Y523" s="70"/>
      <c r="Z523" s="70">
        <f ca="1">('TUSD BE'!$AM$35+'TUSD BF'!$AM$35+'TUSD CVA'!$AM$35)*1*(1-0.02)</f>
        <v>134.68713722640669</v>
      </c>
      <c r="AA523" s="70">
        <f>('TE BE'!$AB$10+'TE BF'!$AB$10+'TE CVA'!$AB$10)*1*(1-0.02)</f>
        <v>306.96449101990191</v>
      </c>
      <c r="AB523" s="70">
        <f>(SUBSIDIO!$J$523*SUBSIDIO!$V$523)*(0.04)/(1-0.04)</f>
        <v>0</v>
      </c>
      <c r="AC523" s="70">
        <f>((SUBSIDIO!$L$523*SUBSIDIO!$W$523)+(SUBSIDIO!$N$523*SUBSIDIO!$X$523))*(0.04)/(1-0.04)</f>
        <v>97.846560000000011</v>
      </c>
      <c r="AD523" s="70">
        <f>(SUBSIDIO!$J$523*SUBSIDIO!$Y$523)*(0.02)/(1-0.02)</f>
        <v>0</v>
      </c>
      <c r="AE523" s="70">
        <f ca="1">((SUBSIDIO!$L$523*SUBSIDIO!$Z$523)+(SUBSIDIO!$N$523*SUBSIDIO!$AA$523))*(0.02)/(1-0.02)</f>
        <v>55.161387038110384</v>
      </c>
      <c r="AF523" s="4" t="s">
        <v>1114</v>
      </c>
    </row>
    <row r="524" spans="1:32" ht="11.25" customHeight="1" x14ac:dyDescent="0.25">
      <c r="A524" s="4" t="s">
        <v>21</v>
      </c>
      <c r="B524" s="4" t="s">
        <v>41</v>
      </c>
      <c r="C524" s="4" t="s">
        <v>42</v>
      </c>
      <c r="D524" s="4" t="s">
        <v>45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44378</v>
      </c>
      <c r="J524" s="6">
        <v>0</v>
      </c>
      <c r="K524" s="70">
        <v>0</v>
      </c>
      <c r="L524" s="6">
        <v>233.19399999999999</v>
      </c>
      <c r="M524" s="70">
        <v>233.19399999999999</v>
      </c>
      <c r="N524" s="6">
        <v>233.19399999999999</v>
      </c>
      <c r="O524" s="70">
        <v>233.19399999999999</v>
      </c>
      <c r="P524" s="6">
        <v>0</v>
      </c>
      <c r="Q524" s="4" t="s">
        <v>26</v>
      </c>
      <c r="R524" s="4">
        <v>0</v>
      </c>
      <c r="S524" s="4">
        <v>0</v>
      </c>
      <c r="T524" s="4">
        <v>31</v>
      </c>
      <c r="U524" s="4">
        <v>79</v>
      </c>
      <c r="V524" s="70">
        <f>IF(ISERROR(VLOOKUP($S$524,'TAR FIN'!$A$1:$O$116,15,0)),0,VLOOKUP($S$524,'TAR FIN'!$A$1:$O$116,15,0))</f>
        <v>0</v>
      </c>
      <c r="W524" s="70">
        <f>IF(ISERROR(VLOOKUP($T$524,'TAR FIN'!$A$1:$O$116,15,0)),0,VLOOKUP($T$524,'TAR FIN'!$A$1:$O$116,15,0))*(1-0.04)</f>
        <v>85.113599999999991</v>
      </c>
      <c r="X524" s="70">
        <f>IF(ISERROR(VLOOKUP($U$524,'TAR FIN'!$A$1:$O$116,15,0)),0,VLOOKUP($U$524,'TAR FIN'!$A$1:$O$116,15,0))*(1-0.04)</f>
        <v>298.59840000000003</v>
      </c>
      <c r="Y524" s="70"/>
      <c r="Z524" s="70">
        <f ca="1">('TUSD BE'!$AM$35+'TUSD BF'!$AM$35+'TUSD CVA'!$AM$35)*1*(1-0.02)</f>
        <v>134.68713722640669</v>
      </c>
      <c r="AA524" s="70">
        <f>('TE BE'!$AB$10+'TE BF'!$AB$10+'TE CVA'!$AB$10)*1*(1-0.02)</f>
        <v>306.96449101990191</v>
      </c>
      <c r="AB524" s="70">
        <f>(SUBSIDIO!$J$524*SUBSIDIO!$V$524)*(0.04)/(1-0.04)</f>
        <v>0</v>
      </c>
      <c r="AC524" s="70">
        <f>((SUBSIDIO!$L$524*SUBSIDIO!$W$524)+(SUBSIDIO!$N$524*SUBSIDIO!$X$524))*(0.04)/(1-0.04)</f>
        <v>3728.305672</v>
      </c>
      <c r="AD524" s="70">
        <f>(SUBSIDIO!$J$524*SUBSIDIO!$Y$524)*(0.02)/(1-0.02)</f>
        <v>0</v>
      </c>
      <c r="AE524" s="70">
        <f ca="1">((SUBSIDIO!$L$524*SUBSIDIO!$Z$524)+(SUBSIDIO!$N$524*SUBSIDIO!$AA$524))*(0.02)/(1-0.02)</f>
        <v>2101.8471387197897</v>
      </c>
      <c r="AF524" s="4" t="s">
        <v>1114</v>
      </c>
    </row>
    <row r="525" spans="1:32" ht="11.25" customHeight="1" x14ac:dyDescent="0.25">
      <c r="A525" s="4" t="s">
        <v>21</v>
      </c>
      <c r="B525" s="4" t="s">
        <v>41</v>
      </c>
      <c r="C525" s="4" t="s">
        <v>42</v>
      </c>
      <c r="D525" s="4" t="s">
        <v>45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44409</v>
      </c>
      <c r="J525" s="6">
        <v>0</v>
      </c>
      <c r="K525" s="70">
        <v>0</v>
      </c>
      <c r="L525" s="6">
        <v>216.571</v>
      </c>
      <c r="M525" s="70">
        <v>216.571</v>
      </c>
      <c r="N525" s="6">
        <v>216.571</v>
      </c>
      <c r="O525" s="70">
        <v>216.571</v>
      </c>
      <c r="P525" s="6">
        <v>0</v>
      </c>
      <c r="Q525" s="4" t="s">
        <v>26</v>
      </c>
      <c r="R525" s="4">
        <v>0</v>
      </c>
      <c r="S525" s="4">
        <v>0</v>
      </c>
      <c r="T525" s="4">
        <v>31</v>
      </c>
      <c r="U525" s="4">
        <v>79</v>
      </c>
      <c r="V525" s="70">
        <f>IF(ISERROR(VLOOKUP($S$525,'TAR FIN'!$A$1:$O$116,15,0)),0,VLOOKUP($S$525,'TAR FIN'!$A$1:$O$116,15,0))</f>
        <v>0</v>
      </c>
      <c r="W525" s="70">
        <f>IF(ISERROR(VLOOKUP($T$525,'TAR FIN'!$A$1:$O$116,15,0)),0,VLOOKUP($T$525,'TAR FIN'!$A$1:$O$116,15,0))*(1-0.04)</f>
        <v>85.113599999999991</v>
      </c>
      <c r="X525" s="70">
        <f>IF(ISERROR(VLOOKUP($U$525,'TAR FIN'!$A$1:$O$116,15,0)),0,VLOOKUP($U$525,'TAR FIN'!$A$1:$O$116,15,0))*(1-0.04)</f>
        <v>298.59840000000003</v>
      </c>
      <c r="Y525" s="70"/>
      <c r="Z525" s="70">
        <f ca="1">('TUSD BE'!$AM$35+'TUSD BF'!$AM$35+'TUSD CVA'!$AM$35)*1*(1-0.02)</f>
        <v>134.68713722640669</v>
      </c>
      <c r="AA525" s="70">
        <f>('TE BE'!$AB$10+'TE BF'!$AB$10+'TE CVA'!$AB$10)*1*(1-0.02)</f>
        <v>306.96449101990191</v>
      </c>
      <c r="AB525" s="70">
        <f>(SUBSIDIO!$J$525*SUBSIDIO!$V$525)*(0.04)/(1-0.04)</f>
        <v>0</v>
      </c>
      <c r="AC525" s="70">
        <f>((SUBSIDIO!$L$525*SUBSIDIO!$W$525)+(SUBSIDIO!$N$525*SUBSIDIO!$X$525))*(0.04)/(1-0.04)</f>
        <v>3462.5371480000003</v>
      </c>
      <c r="AD525" s="70">
        <f>(SUBSIDIO!$J$525*SUBSIDIO!$Y$525)*(0.02)/(1-0.02)</f>
        <v>0</v>
      </c>
      <c r="AE525" s="70">
        <f ca="1">((SUBSIDIO!$L$525*SUBSIDIO!$Z$525)+(SUBSIDIO!$N$525*SUBSIDIO!$AA$525))*(0.02)/(1-0.02)</f>
        <v>1952.0190771618634</v>
      </c>
      <c r="AF525" s="4" t="s">
        <v>1114</v>
      </c>
    </row>
    <row r="526" spans="1:32" ht="11.25" customHeight="1" x14ac:dyDescent="0.25">
      <c r="A526" s="4" t="s">
        <v>21</v>
      </c>
      <c r="B526" s="4" t="s">
        <v>41</v>
      </c>
      <c r="C526" s="4" t="s">
        <v>42</v>
      </c>
      <c r="D526" s="4" t="s">
        <v>45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44440</v>
      </c>
      <c r="J526" s="6">
        <v>0</v>
      </c>
      <c r="K526" s="70">
        <v>0</v>
      </c>
      <c r="L526" s="6">
        <v>222.245</v>
      </c>
      <c r="M526" s="70">
        <v>222.245</v>
      </c>
      <c r="N526" s="6">
        <v>222.245</v>
      </c>
      <c r="O526" s="70">
        <v>222.245</v>
      </c>
      <c r="P526" s="6">
        <v>0</v>
      </c>
      <c r="Q526" s="4" t="s">
        <v>26</v>
      </c>
      <c r="R526" s="4">
        <v>0</v>
      </c>
      <c r="S526" s="4">
        <v>0</v>
      </c>
      <c r="T526" s="4">
        <v>31</v>
      </c>
      <c r="U526" s="4">
        <v>79</v>
      </c>
      <c r="V526" s="70">
        <f>IF(ISERROR(VLOOKUP($S$526,'TAR FIN'!$A$1:$O$116,15,0)),0,VLOOKUP($S$526,'TAR FIN'!$A$1:$O$116,15,0))</f>
        <v>0</v>
      </c>
      <c r="W526" s="70">
        <f>IF(ISERROR(VLOOKUP($T$526,'TAR FIN'!$A$1:$O$116,15,0)),0,VLOOKUP($T$526,'TAR FIN'!$A$1:$O$116,15,0))*(1-0.04)</f>
        <v>85.113599999999991</v>
      </c>
      <c r="X526" s="70">
        <f>IF(ISERROR(VLOOKUP($U$526,'TAR FIN'!$A$1:$O$116,15,0)),0,VLOOKUP($U$526,'TAR FIN'!$A$1:$O$116,15,0))*(1-0.04)</f>
        <v>298.59840000000003</v>
      </c>
      <c r="Y526" s="70"/>
      <c r="Z526" s="70">
        <f ca="1">('TUSD BE'!$AM$35+'TUSD BF'!$AM$35+'TUSD CVA'!$AM$35)*1*(1-0.02)</f>
        <v>134.68713722640669</v>
      </c>
      <c r="AA526" s="70">
        <f>('TE BE'!$AB$10+'TE BF'!$AB$10+'TE CVA'!$AB$10)*1*(1-0.02)</f>
        <v>306.96449101990191</v>
      </c>
      <c r="AB526" s="70">
        <f>(SUBSIDIO!$J$526*SUBSIDIO!$V$526)*(0.04)/(1-0.04)</f>
        <v>0</v>
      </c>
      <c r="AC526" s="70">
        <f>((SUBSIDIO!$L$526*SUBSIDIO!$W$526)+(SUBSIDIO!$N$526*SUBSIDIO!$X$526))*(0.04)/(1-0.04)</f>
        <v>3553.2530600000009</v>
      </c>
      <c r="AD526" s="70">
        <f>(SUBSIDIO!$J$526*SUBSIDIO!$Y$526)*(0.02)/(1-0.02)</f>
        <v>0</v>
      </c>
      <c r="AE526" s="70">
        <f ca="1">((SUBSIDIO!$L$526*SUBSIDIO!$Z$526)+(SUBSIDIO!$N$526*SUBSIDIO!$AA$526))*(0.02)/(1-0.02)</f>
        <v>2003.160533053079</v>
      </c>
      <c r="AF526" s="4" t="s">
        <v>1114</v>
      </c>
    </row>
    <row r="527" spans="1:32" ht="11.25" customHeight="1" x14ac:dyDescent="0.25">
      <c r="A527" s="4" t="s">
        <v>21</v>
      </c>
      <c r="B527" s="4" t="s">
        <v>41</v>
      </c>
      <c r="C527" s="4" t="s">
        <v>42</v>
      </c>
      <c r="D527" s="4" t="s">
        <v>45</v>
      </c>
      <c r="E527" s="4" t="s">
        <v>25</v>
      </c>
      <c r="F527" s="4" t="s">
        <v>25</v>
      </c>
      <c r="G527" s="4" t="s">
        <v>25</v>
      </c>
      <c r="H527" s="4" t="s">
        <v>35</v>
      </c>
      <c r="I527" s="5">
        <v>44470</v>
      </c>
      <c r="J527" s="6">
        <v>0</v>
      </c>
      <c r="K527" s="70">
        <v>0</v>
      </c>
      <c r="L527" s="6">
        <v>233.876</v>
      </c>
      <c r="M527" s="70">
        <v>233.876</v>
      </c>
      <c r="N527" s="6">
        <v>233.876</v>
      </c>
      <c r="O527" s="70">
        <v>233.876</v>
      </c>
      <c r="P527" s="6">
        <v>0</v>
      </c>
      <c r="Q527" s="4" t="s">
        <v>26</v>
      </c>
      <c r="R527" s="4">
        <v>0</v>
      </c>
      <c r="S527" s="4">
        <v>0</v>
      </c>
      <c r="T527" s="4">
        <v>31</v>
      </c>
      <c r="U527" s="4">
        <v>79</v>
      </c>
      <c r="V527" s="70">
        <f>IF(ISERROR(VLOOKUP($S$527,'TAR FIN'!$A$1:$O$116,15,0)),0,VLOOKUP($S$527,'TAR FIN'!$A$1:$O$116,15,0))</f>
        <v>0</v>
      </c>
      <c r="W527" s="70">
        <f>IF(ISERROR(VLOOKUP($T$527,'TAR FIN'!$A$1:$O$116,15,0)),0,VLOOKUP($T$527,'TAR FIN'!$A$1:$O$116,15,0))*(1-0.04)</f>
        <v>85.113599999999991</v>
      </c>
      <c r="X527" s="70">
        <f>IF(ISERROR(VLOOKUP($U$527,'TAR FIN'!$A$1:$O$116,15,0)),0,VLOOKUP($U$527,'TAR FIN'!$A$1:$O$116,15,0))*(1-0.04)</f>
        <v>298.59840000000003</v>
      </c>
      <c r="Y527" s="70"/>
      <c r="Z527" s="70">
        <f ca="1">('TUSD BE'!$AM$35+'TUSD BF'!$AM$35+'TUSD CVA'!$AM$35)*1*(1-0.02)</f>
        <v>134.68713722640669</v>
      </c>
      <c r="AA527" s="70">
        <f>('TE BE'!$AB$10+'TE BF'!$AB$10+'TE CVA'!$AB$10)*1*(1-0.02)</f>
        <v>306.96449101990191</v>
      </c>
      <c r="AB527" s="70">
        <f>(SUBSIDIO!$J$527*SUBSIDIO!$V$527)*(0.04)/(1-0.04)</f>
        <v>0</v>
      </c>
      <c r="AC527" s="70">
        <f>((SUBSIDIO!$L$527*SUBSIDIO!$W$527)+(SUBSIDIO!$N$527*SUBSIDIO!$X$527))*(0.04)/(1-0.04)</f>
        <v>3739.2094880000009</v>
      </c>
      <c r="AD527" s="70">
        <f>(SUBSIDIO!$J$527*SUBSIDIO!$Y$527)*(0.02)/(1-0.02)</f>
        <v>0</v>
      </c>
      <c r="AE527" s="70">
        <f ca="1">((SUBSIDIO!$L$527*SUBSIDIO!$Z$527)+(SUBSIDIO!$N$527*SUBSIDIO!$AA$527))*(0.02)/(1-0.02)</f>
        <v>2107.9942083210954</v>
      </c>
      <c r="AF527" s="4" t="s">
        <v>1114</v>
      </c>
    </row>
    <row r="528" spans="1:32" ht="11.25" customHeight="1" x14ac:dyDescent="0.25">
      <c r="A528" s="4" t="s">
        <v>21</v>
      </c>
      <c r="B528" s="4" t="s">
        <v>41</v>
      </c>
      <c r="C528" s="4" t="s">
        <v>42</v>
      </c>
      <c r="D528" s="4" t="s">
        <v>45</v>
      </c>
      <c r="E528" s="4" t="s">
        <v>25</v>
      </c>
      <c r="F528" s="4" t="s">
        <v>25</v>
      </c>
      <c r="G528" s="4" t="s">
        <v>25</v>
      </c>
      <c r="H528" s="4" t="s">
        <v>35</v>
      </c>
      <c r="I528" s="5">
        <v>44501</v>
      </c>
      <c r="J528" s="6">
        <v>0</v>
      </c>
      <c r="K528" s="70">
        <v>0</v>
      </c>
      <c r="L528" s="6">
        <v>222.655</v>
      </c>
      <c r="M528" s="70">
        <v>222.655</v>
      </c>
      <c r="N528" s="6">
        <v>222.655</v>
      </c>
      <c r="O528" s="70">
        <v>222.655</v>
      </c>
      <c r="P528" s="6">
        <v>0</v>
      </c>
      <c r="Q528" s="4" t="s">
        <v>26</v>
      </c>
      <c r="R528" s="4">
        <v>0</v>
      </c>
      <c r="S528" s="4">
        <v>0</v>
      </c>
      <c r="T528" s="4">
        <v>31</v>
      </c>
      <c r="U528" s="4">
        <v>79</v>
      </c>
      <c r="V528" s="70">
        <f>IF(ISERROR(VLOOKUP($S$528,'TAR FIN'!$A$1:$O$116,15,0)),0,VLOOKUP($S$528,'TAR FIN'!$A$1:$O$116,15,0))</f>
        <v>0</v>
      </c>
      <c r="W528" s="70">
        <f>IF(ISERROR(VLOOKUP($T$528,'TAR FIN'!$A$1:$O$116,15,0)),0,VLOOKUP($T$528,'TAR FIN'!$A$1:$O$116,15,0))*(1-0.04)</f>
        <v>85.113599999999991</v>
      </c>
      <c r="X528" s="70">
        <f>IF(ISERROR(VLOOKUP($U$528,'TAR FIN'!$A$1:$O$116,15,0)),0,VLOOKUP($U$528,'TAR FIN'!$A$1:$O$116,15,0))*(1-0.04)</f>
        <v>298.59840000000003</v>
      </c>
      <c r="Y528" s="70"/>
      <c r="Z528" s="70">
        <f ca="1">('TUSD BE'!$AM$35+'TUSD BF'!$AM$35+'TUSD CVA'!$AM$35)*1*(1-0.02)</f>
        <v>134.68713722640669</v>
      </c>
      <c r="AA528" s="70">
        <f>('TE BE'!$AB$10+'TE BF'!$AB$10+'TE CVA'!$AB$10)*1*(1-0.02)</f>
        <v>306.96449101990191</v>
      </c>
      <c r="AB528" s="70">
        <f>(SUBSIDIO!$J$528*SUBSIDIO!$V$528)*(0.04)/(1-0.04)</f>
        <v>0</v>
      </c>
      <c r="AC528" s="70">
        <f>((SUBSIDIO!$L$528*SUBSIDIO!$W$528)+(SUBSIDIO!$N$528*SUBSIDIO!$X$528))*(0.04)/(1-0.04)</f>
        <v>3559.8081400000001</v>
      </c>
      <c r="AD528" s="70">
        <f>(SUBSIDIO!$J$528*SUBSIDIO!$Y$528)*(0.02)/(1-0.02)</f>
        <v>0</v>
      </c>
      <c r="AE528" s="70">
        <f ca="1">((SUBSIDIO!$L$528*SUBSIDIO!$Z$528)+(SUBSIDIO!$N$528*SUBSIDIO!$AA$528))*(0.02)/(1-0.02)</f>
        <v>2006.8559854526907</v>
      </c>
      <c r="AF528" s="4" t="s">
        <v>1114</v>
      </c>
    </row>
    <row r="529" spans="1:32" ht="11.25" customHeight="1" x14ac:dyDescent="0.25">
      <c r="A529" s="4" t="s">
        <v>21</v>
      </c>
      <c r="B529" s="4" t="s">
        <v>41</v>
      </c>
      <c r="C529" s="4" t="s">
        <v>42</v>
      </c>
      <c r="D529" s="4" t="s">
        <v>45</v>
      </c>
      <c r="E529" s="4" t="s">
        <v>25</v>
      </c>
      <c r="F529" s="4" t="s">
        <v>25</v>
      </c>
      <c r="G529" s="4" t="s">
        <v>25</v>
      </c>
      <c r="H529" s="4" t="s">
        <v>35</v>
      </c>
      <c r="I529" s="5">
        <v>44531</v>
      </c>
      <c r="J529" s="6">
        <v>0</v>
      </c>
      <c r="K529" s="70">
        <v>0</v>
      </c>
      <c r="L529" s="6">
        <v>244.85599999999999</v>
      </c>
      <c r="M529" s="70">
        <v>244.85599999999999</v>
      </c>
      <c r="N529" s="6">
        <v>244.85599999999999</v>
      </c>
      <c r="O529" s="70">
        <v>244.85599999999999</v>
      </c>
      <c r="P529" s="6">
        <v>0</v>
      </c>
      <c r="Q529" s="4" t="s">
        <v>26</v>
      </c>
      <c r="R529" s="4">
        <v>0</v>
      </c>
      <c r="S529" s="4">
        <v>0</v>
      </c>
      <c r="T529" s="4">
        <v>31</v>
      </c>
      <c r="U529" s="4">
        <v>79</v>
      </c>
      <c r="V529" s="70">
        <f>IF(ISERROR(VLOOKUP($S$529,'TAR FIN'!$A$1:$O$116,15,0)),0,VLOOKUP($S$529,'TAR FIN'!$A$1:$O$116,15,0))</f>
        <v>0</v>
      </c>
      <c r="W529" s="70">
        <f>IF(ISERROR(VLOOKUP($T$529,'TAR FIN'!$A$1:$O$116,15,0)),0,VLOOKUP($T$529,'TAR FIN'!$A$1:$O$116,15,0))*(1-0.04)</f>
        <v>85.113599999999991</v>
      </c>
      <c r="X529" s="70">
        <f>IF(ISERROR(VLOOKUP($U$529,'TAR FIN'!$A$1:$O$116,15,0)),0,VLOOKUP($U$529,'TAR FIN'!$A$1:$O$116,15,0))*(1-0.04)</f>
        <v>298.59840000000003</v>
      </c>
      <c r="Y529" s="70"/>
      <c r="Z529" s="70">
        <f ca="1">('TUSD BE'!$AM$35+'TUSD BF'!$AM$35+'TUSD CVA'!$AM$35)*1*(1-0.02)</f>
        <v>134.68713722640669</v>
      </c>
      <c r="AA529" s="70">
        <f>('TE BE'!$AB$10+'TE BF'!$AB$10+'TE CVA'!$AB$10)*1*(1-0.02)</f>
        <v>306.96449101990191</v>
      </c>
      <c r="AB529" s="70">
        <f>(SUBSIDIO!$J$529*SUBSIDIO!$V$529)*(0.04)/(1-0.04)</f>
        <v>0</v>
      </c>
      <c r="AC529" s="70">
        <f>((SUBSIDIO!$L$529*SUBSIDIO!$W$529)+(SUBSIDIO!$N$529*SUBSIDIO!$X$529))*(0.04)/(1-0.04)</f>
        <v>3914.757728</v>
      </c>
      <c r="AD529" s="70">
        <f>(SUBSIDIO!$J$529*SUBSIDIO!$Y$529)*(0.02)/(1-0.02)</f>
        <v>0</v>
      </c>
      <c r="AE529" s="70">
        <f ca="1">((SUBSIDIO!$L$529*SUBSIDIO!$Z$529)+(SUBSIDIO!$N$529*SUBSIDIO!$AA$529))*(0.02)/(1-0.02)</f>
        <v>2206.960226242411</v>
      </c>
      <c r="AF529" s="4" t="s">
        <v>1114</v>
      </c>
    </row>
    <row r="530" spans="1:32" ht="11.25" customHeight="1" x14ac:dyDescent="0.25">
      <c r="A530" s="4" t="s">
        <v>21</v>
      </c>
      <c r="B530" s="4" t="s">
        <v>41</v>
      </c>
      <c r="C530" s="4" t="s">
        <v>42</v>
      </c>
      <c r="D530" s="4" t="s">
        <v>45</v>
      </c>
      <c r="E530" s="4" t="s">
        <v>25</v>
      </c>
      <c r="F530" s="4" t="s">
        <v>25</v>
      </c>
      <c r="G530" s="4" t="s">
        <v>25</v>
      </c>
      <c r="H530" s="4" t="s">
        <v>35</v>
      </c>
      <c r="I530" s="5">
        <v>44562</v>
      </c>
      <c r="J530" s="6">
        <v>0</v>
      </c>
      <c r="K530" s="70">
        <v>0</v>
      </c>
      <c r="L530" s="6">
        <v>210.94300000000001</v>
      </c>
      <c r="M530" s="70">
        <v>210.94300000000001</v>
      </c>
      <c r="N530" s="6">
        <v>210.94300000000001</v>
      </c>
      <c r="O530" s="70">
        <v>210.94300000000001</v>
      </c>
      <c r="P530" s="6">
        <v>0</v>
      </c>
      <c r="Q530" s="4" t="s">
        <v>26</v>
      </c>
      <c r="R530" s="4">
        <v>0</v>
      </c>
      <c r="S530" s="4">
        <v>0</v>
      </c>
      <c r="T530" s="4">
        <v>31</v>
      </c>
      <c r="U530" s="4">
        <v>79</v>
      </c>
      <c r="V530" s="70">
        <f>IF(ISERROR(VLOOKUP($S$530,'TAR FIN'!$A$1:$O$116,15,0)),0,VLOOKUP($S$530,'TAR FIN'!$A$1:$O$116,15,0))</f>
        <v>0</v>
      </c>
      <c r="W530" s="70">
        <f>IF(ISERROR(VLOOKUP($T$530,'TAR FIN'!$A$1:$O$116,15,0)),0,VLOOKUP($T$530,'TAR FIN'!$A$1:$O$116,15,0))*(1-0.04)</f>
        <v>85.113599999999991</v>
      </c>
      <c r="X530" s="70">
        <f>IF(ISERROR(VLOOKUP($U$530,'TAR FIN'!$A$1:$O$116,15,0)),0,VLOOKUP($U$530,'TAR FIN'!$A$1:$O$116,15,0))*(1-0.04)</f>
        <v>298.59840000000003</v>
      </c>
      <c r="Y530" s="70"/>
      <c r="Z530" s="70">
        <f ca="1">('TUSD BE'!$AM$35+'TUSD BF'!$AM$35+'TUSD CVA'!$AM$35)*1*(1-0.02)</f>
        <v>134.68713722640669</v>
      </c>
      <c r="AA530" s="70">
        <f>('TE BE'!$AB$10+'TE BF'!$AB$10+'TE CVA'!$AB$10)*1*(1-0.02)</f>
        <v>306.96449101990191</v>
      </c>
      <c r="AB530" s="70">
        <f>(SUBSIDIO!$J$530*SUBSIDIO!$V$530)*(0.04)/(1-0.04)</f>
        <v>0</v>
      </c>
      <c r="AC530" s="70">
        <f>((SUBSIDIO!$L$530*SUBSIDIO!$W$530)+(SUBSIDIO!$N$530*SUBSIDIO!$X$530))*(0.04)/(1-0.04)</f>
        <v>3372.5566840000006</v>
      </c>
      <c r="AD530" s="70">
        <f>(SUBSIDIO!$J$530*SUBSIDIO!$Y$530)*(0.02)/(1-0.02)</f>
        <v>0</v>
      </c>
      <c r="AE530" s="70">
        <f ca="1">((SUBSIDIO!$L$530*SUBSIDIO!$Z$530)+(SUBSIDIO!$N$530*SUBSIDIO!$AA$530))*(0.02)/(1-0.02)</f>
        <v>1901.2922330032875</v>
      </c>
      <c r="AF530" s="4" t="s">
        <v>1114</v>
      </c>
    </row>
    <row r="531" spans="1:32" ht="11.25" customHeight="1" x14ac:dyDescent="0.25">
      <c r="A531" s="4" t="s">
        <v>21</v>
      </c>
      <c r="B531" s="4" t="s">
        <v>41</v>
      </c>
      <c r="C531" s="4" t="s">
        <v>42</v>
      </c>
      <c r="D531" s="4" t="s">
        <v>45</v>
      </c>
      <c r="E531" s="4" t="s">
        <v>25</v>
      </c>
      <c r="F531" s="4" t="s">
        <v>25</v>
      </c>
      <c r="G531" s="4" t="s">
        <v>25</v>
      </c>
      <c r="H531" s="4" t="s">
        <v>35</v>
      </c>
      <c r="I531" s="5">
        <v>44593</v>
      </c>
      <c r="J531" s="6">
        <v>0</v>
      </c>
      <c r="K531" s="70">
        <v>0</v>
      </c>
      <c r="L531" s="6">
        <v>190.81700000000001</v>
      </c>
      <c r="M531" s="70">
        <v>190.81700000000001</v>
      </c>
      <c r="N531" s="6">
        <v>190.81700000000001</v>
      </c>
      <c r="O531" s="70">
        <v>190.81700000000001</v>
      </c>
      <c r="P531" s="6">
        <v>0</v>
      </c>
      <c r="Q531" s="4" t="s">
        <v>26</v>
      </c>
      <c r="R531" s="4">
        <v>0</v>
      </c>
      <c r="S531" s="4">
        <v>0</v>
      </c>
      <c r="T531" s="4">
        <v>31</v>
      </c>
      <c r="U531" s="4">
        <v>79</v>
      </c>
      <c r="V531" s="70">
        <f>IF(ISERROR(VLOOKUP($S$531,'TAR FIN'!$A$1:$O$116,15,0)),0,VLOOKUP($S$531,'TAR FIN'!$A$1:$O$116,15,0))</f>
        <v>0</v>
      </c>
      <c r="W531" s="70">
        <f>IF(ISERROR(VLOOKUP($T$531,'TAR FIN'!$A$1:$O$116,15,0)),0,VLOOKUP($T$531,'TAR FIN'!$A$1:$O$116,15,0))*(1-0.04)</f>
        <v>85.113599999999991</v>
      </c>
      <c r="X531" s="70">
        <f>IF(ISERROR(VLOOKUP($U$531,'TAR FIN'!$A$1:$O$116,15,0)),0,VLOOKUP($U$531,'TAR FIN'!$A$1:$O$116,15,0))*(1-0.04)</f>
        <v>298.59840000000003</v>
      </c>
      <c r="Y531" s="70"/>
      <c r="Z531" s="70">
        <f ca="1">('TUSD BE'!$AM$35+'TUSD BF'!$AM$35+'TUSD CVA'!$AM$35)*1*(1-0.02)</f>
        <v>134.68713722640669</v>
      </c>
      <c r="AA531" s="70">
        <f>('TE BE'!$AB$10+'TE BF'!$AB$10+'TE CVA'!$AB$10)*1*(1-0.02)</f>
        <v>306.96449101990191</v>
      </c>
      <c r="AB531" s="70">
        <f>(SUBSIDIO!$J$531*SUBSIDIO!$V$531)*(0.04)/(1-0.04)</f>
        <v>0</v>
      </c>
      <c r="AC531" s="70">
        <f>((SUBSIDIO!$L$531*SUBSIDIO!$W$531)+(SUBSIDIO!$N$531*SUBSIDIO!$X$531))*(0.04)/(1-0.04)</f>
        <v>3050.7821960000001</v>
      </c>
      <c r="AD531" s="70">
        <f>(SUBSIDIO!$J$531*SUBSIDIO!$Y$531)*(0.02)/(1-0.02)</f>
        <v>0</v>
      </c>
      <c r="AE531" s="70">
        <f ca="1">((SUBSIDIO!$L$531*SUBSIDIO!$Z$531)+(SUBSIDIO!$N$531*SUBSIDIO!$AA$531))*(0.02)/(1-0.02)</f>
        <v>1719.8905866750181</v>
      </c>
      <c r="AF531" s="4" t="s">
        <v>1114</v>
      </c>
    </row>
    <row r="532" spans="1:32" ht="11.25" customHeight="1" x14ac:dyDescent="0.25">
      <c r="A532" s="4" t="s">
        <v>21</v>
      </c>
      <c r="B532" s="4" t="s">
        <v>41</v>
      </c>
      <c r="C532" s="4" t="s">
        <v>42</v>
      </c>
      <c r="D532" s="4" t="s">
        <v>45</v>
      </c>
      <c r="E532" s="4" t="s">
        <v>25</v>
      </c>
      <c r="F532" s="4" t="s">
        <v>25</v>
      </c>
      <c r="G532" s="4" t="s">
        <v>25</v>
      </c>
      <c r="H532" s="4" t="s">
        <v>35</v>
      </c>
      <c r="I532" s="5">
        <v>44621</v>
      </c>
      <c r="J532" s="6">
        <v>0</v>
      </c>
      <c r="K532" s="70">
        <v>0</v>
      </c>
      <c r="L532" s="6">
        <v>200.46600000000001</v>
      </c>
      <c r="M532" s="70">
        <v>200.46600000000001</v>
      </c>
      <c r="N532" s="6">
        <v>200.46600000000001</v>
      </c>
      <c r="O532" s="70">
        <v>200.46600000000001</v>
      </c>
      <c r="P532" s="6">
        <v>0</v>
      </c>
      <c r="Q532" s="4" t="s">
        <v>26</v>
      </c>
      <c r="R532" s="4">
        <v>0</v>
      </c>
      <c r="S532" s="4">
        <v>0</v>
      </c>
      <c r="T532" s="4">
        <v>31</v>
      </c>
      <c r="U532" s="4">
        <v>79</v>
      </c>
      <c r="V532" s="70">
        <f>IF(ISERROR(VLOOKUP($S$532,'TAR FIN'!$A$1:$O$116,15,0)),0,VLOOKUP($S$532,'TAR FIN'!$A$1:$O$116,15,0))</f>
        <v>0</v>
      </c>
      <c r="W532" s="70">
        <f>IF(ISERROR(VLOOKUP($T$532,'TAR FIN'!$A$1:$O$116,15,0)),0,VLOOKUP($T$532,'TAR FIN'!$A$1:$O$116,15,0))*(1-0.04)</f>
        <v>85.113599999999991</v>
      </c>
      <c r="X532" s="70">
        <f>IF(ISERROR(VLOOKUP($U$532,'TAR FIN'!$A$1:$O$116,15,0)),0,VLOOKUP($U$532,'TAR FIN'!$A$1:$O$116,15,0))*(1-0.04)</f>
        <v>298.59840000000003</v>
      </c>
      <c r="Y532" s="70"/>
      <c r="Z532" s="70">
        <f ca="1">('TUSD BE'!$AM$35+'TUSD BF'!$AM$35+'TUSD CVA'!$AM$35)*1*(1-0.02)</f>
        <v>134.68713722640669</v>
      </c>
      <c r="AA532" s="70">
        <f>('TE BE'!$AB$10+'TE BF'!$AB$10+'TE CVA'!$AB$10)*1*(1-0.02)</f>
        <v>306.96449101990191</v>
      </c>
      <c r="AB532" s="70">
        <f>(SUBSIDIO!$J$532*SUBSIDIO!$V$532)*(0.04)/(1-0.04)</f>
        <v>0</v>
      </c>
      <c r="AC532" s="70">
        <f>((SUBSIDIO!$L$532*SUBSIDIO!$W$532)+(SUBSIDIO!$N$532*SUBSIDIO!$X$532))*(0.04)/(1-0.04)</f>
        <v>3205.0504080000005</v>
      </c>
      <c r="AD532" s="70">
        <f>(SUBSIDIO!$J$532*SUBSIDIO!$Y$532)*(0.02)/(1-0.02)</f>
        <v>0</v>
      </c>
      <c r="AE532" s="70">
        <f ca="1">((SUBSIDIO!$L$532*SUBSIDIO!$Z$532)+(SUBSIDIO!$N$532*SUBSIDIO!$AA$532))*(0.02)/(1-0.02)</f>
        <v>1806.8599042453982</v>
      </c>
      <c r="AF532" s="4" t="s">
        <v>1114</v>
      </c>
    </row>
    <row r="533" spans="1:32" ht="11.25" customHeight="1" x14ac:dyDescent="0.25">
      <c r="A533" s="4" t="s">
        <v>21</v>
      </c>
      <c r="B533" s="4" t="s">
        <v>41</v>
      </c>
      <c r="C533" s="4" t="s">
        <v>42</v>
      </c>
      <c r="D533" s="4" t="s">
        <v>45</v>
      </c>
      <c r="E533" s="4" t="s">
        <v>25</v>
      </c>
      <c r="F533" s="4" t="s">
        <v>25</v>
      </c>
      <c r="G533" s="4" t="s">
        <v>25</v>
      </c>
      <c r="H533" s="4" t="s">
        <v>35</v>
      </c>
      <c r="I533" s="5">
        <v>44652</v>
      </c>
      <c r="J533" s="6">
        <v>0</v>
      </c>
      <c r="K533" s="70">
        <v>0</v>
      </c>
      <c r="L533" s="6">
        <v>192.44200000000001</v>
      </c>
      <c r="M533" s="70">
        <v>192.44200000000001</v>
      </c>
      <c r="N533" s="6">
        <v>192.44200000000001</v>
      </c>
      <c r="O533" s="70">
        <v>192.44200000000001</v>
      </c>
      <c r="P533" s="6">
        <v>0</v>
      </c>
      <c r="Q533" s="4" t="s">
        <v>26</v>
      </c>
      <c r="R533" s="4">
        <v>0</v>
      </c>
      <c r="S533" s="4">
        <v>0</v>
      </c>
      <c r="T533" s="4">
        <v>31</v>
      </c>
      <c r="U533" s="4">
        <v>79</v>
      </c>
      <c r="V533" s="70">
        <f>IF(ISERROR(VLOOKUP($S$533,'TAR FIN'!$A$1:$O$116,15,0)),0,VLOOKUP($S$533,'TAR FIN'!$A$1:$O$116,15,0))</f>
        <v>0</v>
      </c>
      <c r="W533" s="70">
        <f>IF(ISERROR(VLOOKUP($T$533,'TAR FIN'!$A$1:$O$116,15,0)),0,VLOOKUP($T$533,'TAR FIN'!$A$1:$O$116,15,0))*(1-0.04)</f>
        <v>85.113599999999991</v>
      </c>
      <c r="X533" s="70">
        <f>IF(ISERROR(VLOOKUP($U$533,'TAR FIN'!$A$1:$O$116,15,0)),0,VLOOKUP($U$533,'TAR FIN'!$A$1:$O$116,15,0))*(1-0.04)</f>
        <v>298.59840000000003</v>
      </c>
      <c r="Y533" s="70"/>
      <c r="Z533" s="70">
        <f ca="1">('TUSD BE'!$AM$35+'TUSD BF'!$AM$35+'TUSD CVA'!$AM$35)*1*(1-0.02)</f>
        <v>134.68713722640669</v>
      </c>
      <c r="AA533" s="70">
        <f>('TE BE'!$AB$10+'TE BF'!$AB$10+'TE CVA'!$AB$10)*1*(1-0.02)</f>
        <v>306.96449101990191</v>
      </c>
      <c r="AB533" s="70">
        <f>(SUBSIDIO!$J$533*SUBSIDIO!$V$533)*(0.04)/(1-0.04)</f>
        <v>0</v>
      </c>
      <c r="AC533" s="70">
        <f>((SUBSIDIO!$L$533*SUBSIDIO!$W$533)+(SUBSIDIO!$N$533*SUBSIDIO!$X$533))*(0.04)/(1-0.04)</f>
        <v>3076.7626960000007</v>
      </c>
      <c r="AD533" s="70">
        <f>(SUBSIDIO!$J$533*SUBSIDIO!$Y$533)*(0.02)/(1-0.02)</f>
        <v>0</v>
      </c>
      <c r="AE533" s="70">
        <f ca="1">((SUBSIDIO!$L$533*SUBSIDIO!$Z$533)+(SUBSIDIO!$N$533*SUBSIDIO!$AA$533))*(0.02)/(1-0.02)</f>
        <v>1734.5371967954311</v>
      </c>
      <c r="AF533" s="4" t="s">
        <v>1114</v>
      </c>
    </row>
    <row r="534" spans="1:32" ht="11.25" customHeight="1" x14ac:dyDescent="0.25">
      <c r="A534" s="4" t="s">
        <v>58</v>
      </c>
      <c r="B534" s="4" t="s">
        <v>41</v>
      </c>
      <c r="C534" s="4" t="s">
        <v>42</v>
      </c>
      <c r="D534" s="4" t="s">
        <v>45</v>
      </c>
      <c r="E534" s="4" t="s">
        <v>25</v>
      </c>
      <c r="F534" s="4" t="s">
        <v>25</v>
      </c>
      <c r="G534" s="4" t="s">
        <v>25</v>
      </c>
      <c r="H534" s="4" t="s">
        <v>35</v>
      </c>
      <c r="I534" s="5">
        <v>44682</v>
      </c>
      <c r="J534" s="6">
        <v>0</v>
      </c>
      <c r="K534" s="70">
        <v>0</v>
      </c>
      <c r="L534" s="6">
        <v>192.44200000000001</v>
      </c>
      <c r="M534" s="70">
        <v>192.44200000000001</v>
      </c>
      <c r="N534" s="6">
        <v>192.44200000000001</v>
      </c>
      <c r="O534" s="70">
        <v>192.44200000000001</v>
      </c>
      <c r="P534" s="6">
        <v>0</v>
      </c>
      <c r="Q534" s="4" t="s">
        <v>26</v>
      </c>
      <c r="R534" s="4">
        <v>0</v>
      </c>
      <c r="S534" s="4">
        <v>0</v>
      </c>
      <c r="T534" s="4">
        <v>31</v>
      </c>
      <c r="U534" s="4">
        <v>79</v>
      </c>
      <c r="V534" s="70">
        <f>IF(ISERROR(VLOOKUP($S$534,'TAR FIN'!$A$1:$O$116,15,0)),0,VLOOKUP($S$534,'TAR FIN'!$A$1:$O$116,15,0))</f>
        <v>0</v>
      </c>
      <c r="W534" s="70">
        <f>IF(ISERROR(VLOOKUP($T$534,'TAR FIN'!$A$1:$O$116,15,0)),0,VLOOKUP($T$534,'TAR FIN'!$A$1:$O$116,15,0))*(1-0.04)</f>
        <v>85.113599999999991</v>
      </c>
      <c r="X534" s="70">
        <f>IF(ISERROR(VLOOKUP($U$534,'TAR FIN'!$A$1:$O$116,15,0)),0,VLOOKUP($U$534,'TAR FIN'!$A$1:$O$116,15,0))*(1-0.04)</f>
        <v>298.59840000000003</v>
      </c>
      <c r="Y534" s="70"/>
      <c r="Z534" s="70">
        <f ca="1">('TUSD BE'!$AM$35+'TUSD BF'!$AM$35+'TUSD CVA'!$AM$35)*1*(1-0.02)</f>
        <v>134.68713722640669</v>
      </c>
      <c r="AA534" s="70">
        <f>('TE BE'!$AB$10+'TE BF'!$AB$10+'TE CVA'!$AB$10)*1*(1-0.02)</f>
        <v>306.96449101990191</v>
      </c>
      <c r="AB534" s="70">
        <f>(SUBSIDIO!$J$534*SUBSIDIO!$V$534)*(0.04)/(1-0.04)</f>
        <v>0</v>
      </c>
      <c r="AC534" s="70">
        <f>((SUBSIDIO!$L$534*SUBSIDIO!$W$534)+(SUBSIDIO!$N$534*SUBSIDIO!$X$534))*(0.04)/(1-0.04)</f>
        <v>3076.7626960000007</v>
      </c>
      <c r="AD534" s="70">
        <f>(SUBSIDIO!$J$534*SUBSIDIO!$Y$534)*(0.02)/(1-0.02)</f>
        <v>0</v>
      </c>
      <c r="AE534" s="70">
        <f ca="1">((SUBSIDIO!$L$534*SUBSIDIO!$Z$534)+(SUBSIDIO!$N$534*SUBSIDIO!$AA$534))*(0.02)/(1-0.02)</f>
        <v>1734.5371967954311</v>
      </c>
      <c r="AF534" s="4" t="s">
        <v>1114</v>
      </c>
    </row>
    <row r="535" spans="1:32" ht="11.25" customHeight="1" x14ac:dyDescent="0.25">
      <c r="A535" s="4" t="s">
        <v>21</v>
      </c>
      <c r="B535" s="4" t="s">
        <v>41</v>
      </c>
      <c r="C535" s="4" t="s">
        <v>42</v>
      </c>
      <c r="D535" s="4" t="s">
        <v>45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44348</v>
      </c>
      <c r="J535" s="6">
        <v>1062</v>
      </c>
      <c r="K535" s="70">
        <v>1062</v>
      </c>
      <c r="L535" s="6">
        <v>0</v>
      </c>
      <c r="M535" s="70">
        <v>0</v>
      </c>
      <c r="N535" s="6">
        <v>0</v>
      </c>
      <c r="O535" s="70">
        <v>0</v>
      </c>
      <c r="P535" s="6">
        <v>11</v>
      </c>
      <c r="Q535" s="4" t="s">
        <v>26</v>
      </c>
      <c r="R535" s="4">
        <v>0</v>
      </c>
      <c r="S535" s="4">
        <v>29</v>
      </c>
      <c r="T535" s="4">
        <v>0</v>
      </c>
      <c r="U535" s="4">
        <v>0</v>
      </c>
      <c r="V535" s="70">
        <f>IF(ISERROR(VLOOKUP($S$535,'TAR FIN'!$A$1:$O$116,15,0)),0,VLOOKUP($S$535,'TAR FIN'!$A$1:$O$116,15,0))*(1-0.04)</f>
        <v>24.489599999999999</v>
      </c>
      <c r="W535" s="70">
        <f>IF(ISERROR(VLOOKUP($T$535,'TAR FIN'!$A$1:$O$116,15,0)),0,VLOOKUP($T$535,'TAR FIN'!$A$1:$O$116,15,0))</f>
        <v>0</v>
      </c>
      <c r="X535" s="70">
        <f>IF(ISERROR(VLOOKUP($U$535,'TAR FIN'!$A$1:$O$116,15,0)),0,VLOOKUP($U$535,'TAR FIN'!$A$1:$O$116,15,0))</f>
        <v>0</v>
      </c>
      <c r="Y535" s="70">
        <f ca="1">('TUSD BE'!$AM$33+'TUSD BF'!$AM$33+'TUSD CVA'!$AM$33)*1*(1-0.02)</f>
        <v>29.207201461919809</v>
      </c>
      <c r="Z535" s="70"/>
      <c r="AA535" s="70"/>
      <c r="AB535" s="70">
        <f>(SUBSIDIO!$J$535*SUBSIDIO!$V$535)*(0.04)/(1-0.04)</f>
        <v>1083.6648000000002</v>
      </c>
      <c r="AC535" s="70">
        <f>((SUBSIDIO!$L$535*SUBSIDIO!$W$535)+(SUBSIDIO!$N$535*SUBSIDIO!$X$535))*(0.04)/(1-0.04)</f>
        <v>0</v>
      </c>
      <c r="AD535" s="70">
        <f ca="1">(SUBSIDIO!$J$535*SUBSIDIO!$Y$535)*(0.02)/(1-0.02)</f>
        <v>633.02138678691506</v>
      </c>
      <c r="AE535" s="70">
        <f>((SUBSIDIO!$L$535*SUBSIDIO!$Z$535)+(SUBSIDIO!$N$535*SUBSIDIO!$AA$535))*(0.02)/(1-0.02)</f>
        <v>0</v>
      </c>
      <c r="AF535" s="4" t="s">
        <v>1114</v>
      </c>
    </row>
    <row r="536" spans="1:32" ht="11.25" customHeight="1" x14ac:dyDescent="0.25">
      <c r="A536" s="4" t="s">
        <v>27</v>
      </c>
      <c r="B536" s="4" t="s">
        <v>41</v>
      </c>
      <c r="C536" s="4" t="s">
        <v>42</v>
      </c>
      <c r="D536" s="4" t="s">
        <v>45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44348</v>
      </c>
      <c r="J536" s="6">
        <v>349</v>
      </c>
      <c r="K536" s="70">
        <v>349</v>
      </c>
      <c r="L536" s="6">
        <v>0</v>
      </c>
      <c r="M536" s="70">
        <v>0</v>
      </c>
      <c r="N536" s="6">
        <v>0</v>
      </c>
      <c r="O536" s="70">
        <v>0</v>
      </c>
      <c r="P536" s="6">
        <v>0</v>
      </c>
      <c r="Q536" s="4" t="s">
        <v>26</v>
      </c>
      <c r="R536" s="4">
        <v>0</v>
      </c>
      <c r="S536" s="4">
        <v>29</v>
      </c>
      <c r="T536" s="4">
        <v>0</v>
      </c>
      <c r="U536" s="4">
        <v>0</v>
      </c>
      <c r="V536" s="70">
        <f>IF(ISERROR(VLOOKUP($S$536,'TAR FIN'!$A$1:$O$116,15,0)),0,VLOOKUP($S$536,'TAR FIN'!$A$1:$O$116,15,0))*(1-0.04)</f>
        <v>24.489599999999999</v>
      </c>
      <c r="W536" s="70">
        <f>IF(ISERROR(VLOOKUP($T$536,'TAR FIN'!$A$1:$O$116,15,0)),0,VLOOKUP($T$536,'TAR FIN'!$A$1:$O$116,15,0))</f>
        <v>0</v>
      </c>
      <c r="X536" s="70">
        <f>IF(ISERROR(VLOOKUP($U$536,'TAR FIN'!$A$1:$O$116,15,0)),0,VLOOKUP($U$536,'TAR FIN'!$A$1:$O$116,15,0))</f>
        <v>0</v>
      </c>
      <c r="Y536" s="70">
        <f ca="1">('TUSD BE'!$AM$33+'TUSD BF'!$AM$33+'TUSD CVA'!$AM$33)*1*(1-0.02)</f>
        <v>29.207201461919809</v>
      </c>
      <c r="Z536" s="70"/>
      <c r="AA536" s="70"/>
      <c r="AB536" s="70">
        <f>(SUBSIDIO!$J$536*SUBSIDIO!$V$536)*(0.04)/(1-0.04)</f>
        <v>356.11960000000005</v>
      </c>
      <c r="AC536" s="70">
        <f>((SUBSIDIO!$L$536*SUBSIDIO!$W$536)+(SUBSIDIO!$N$536*SUBSIDIO!$X$536))*(0.04)/(1-0.04)</f>
        <v>0</v>
      </c>
      <c r="AD536" s="70">
        <f ca="1">(SUBSIDIO!$J$536*SUBSIDIO!$Y$536)*(0.02)/(1-0.02)</f>
        <v>208.02680224918393</v>
      </c>
      <c r="AE536" s="70">
        <f>((SUBSIDIO!$L$536*SUBSIDIO!$Z$536)+(SUBSIDIO!$N$536*SUBSIDIO!$AA$536))*(0.02)/(1-0.02)</f>
        <v>0</v>
      </c>
      <c r="AF536" s="4" t="s">
        <v>1114</v>
      </c>
    </row>
    <row r="537" spans="1:32" ht="11.25" customHeight="1" x14ac:dyDescent="0.25">
      <c r="A537" s="4" t="s">
        <v>21</v>
      </c>
      <c r="B537" s="4" t="s">
        <v>41</v>
      </c>
      <c r="C537" s="4" t="s">
        <v>42</v>
      </c>
      <c r="D537" s="4" t="s">
        <v>45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44378</v>
      </c>
      <c r="J537" s="6">
        <v>1072</v>
      </c>
      <c r="K537" s="70">
        <v>1072</v>
      </c>
      <c r="L537" s="6">
        <v>0</v>
      </c>
      <c r="M537" s="70">
        <v>0</v>
      </c>
      <c r="N537" s="6">
        <v>0</v>
      </c>
      <c r="O537" s="70">
        <v>0</v>
      </c>
      <c r="P537" s="6">
        <v>11</v>
      </c>
      <c r="Q537" s="4" t="s">
        <v>26</v>
      </c>
      <c r="R537" s="4">
        <v>0</v>
      </c>
      <c r="S537" s="4">
        <v>29</v>
      </c>
      <c r="T537" s="4">
        <v>0</v>
      </c>
      <c r="U537" s="4">
        <v>0</v>
      </c>
      <c r="V537" s="70">
        <f>IF(ISERROR(VLOOKUP($S$537,'TAR FIN'!$A$1:$O$116,15,0)),0,VLOOKUP($S$537,'TAR FIN'!$A$1:$O$116,15,0))*(1-0.04)</f>
        <v>24.489599999999999</v>
      </c>
      <c r="W537" s="70">
        <f>IF(ISERROR(VLOOKUP($T$537,'TAR FIN'!$A$1:$O$116,15,0)),0,VLOOKUP($T$537,'TAR FIN'!$A$1:$O$116,15,0))</f>
        <v>0</v>
      </c>
      <c r="X537" s="70">
        <f>IF(ISERROR(VLOOKUP($U$537,'TAR FIN'!$A$1:$O$116,15,0)),0,VLOOKUP($U$537,'TAR FIN'!$A$1:$O$116,15,0))</f>
        <v>0</v>
      </c>
      <c r="Y537" s="70">
        <f ca="1">('TUSD BE'!$AM$33+'TUSD BF'!$AM$33+'TUSD CVA'!$AM$33)*1*(1-0.02)</f>
        <v>29.207201461919809</v>
      </c>
      <c r="Z537" s="70"/>
      <c r="AA537" s="70"/>
      <c r="AB537" s="70">
        <f>(SUBSIDIO!$J$537*SUBSIDIO!$V$537)*(0.04)/(1-0.04)</f>
        <v>1093.8688000000002</v>
      </c>
      <c r="AC537" s="70">
        <f>((SUBSIDIO!$L$537*SUBSIDIO!$W$537)+(SUBSIDIO!$N$537*SUBSIDIO!$X$537))*(0.04)/(1-0.04)</f>
        <v>0</v>
      </c>
      <c r="AD537" s="70">
        <f ca="1">(SUBSIDIO!$J$537*SUBSIDIO!$Y$537)*(0.02)/(1-0.02)</f>
        <v>638.98204014649059</v>
      </c>
      <c r="AE537" s="70">
        <f>((SUBSIDIO!$L$537*SUBSIDIO!$Z$537)+(SUBSIDIO!$N$537*SUBSIDIO!$AA$537))*(0.02)/(1-0.02)</f>
        <v>0</v>
      </c>
      <c r="AF537" s="4" t="s">
        <v>1114</v>
      </c>
    </row>
    <row r="538" spans="1:32" ht="11.25" customHeight="1" x14ac:dyDescent="0.25">
      <c r="A538" s="4" t="s">
        <v>21</v>
      </c>
      <c r="B538" s="4" t="s">
        <v>41</v>
      </c>
      <c r="C538" s="4" t="s">
        <v>42</v>
      </c>
      <c r="D538" s="4" t="s">
        <v>45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44409</v>
      </c>
      <c r="J538" s="6">
        <v>959</v>
      </c>
      <c r="K538" s="70">
        <v>959</v>
      </c>
      <c r="L538" s="6">
        <v>0</v>
      </c>
      <c r="M538" s="70">
        <v>0</v>
      </c>
      <c r="N538" s="6">
        <v>0</v>
      </c>
      <c r="O538" s="70">
        <v>0</v>
      </c>
      <c r="P538" s="6">
        <v>11</v>
      </c>
      <c r="Q538" s="4" t="s">
        <v>26</v>
      </c>
      <c r="R538" s="4">
        <v>0</v>
      </c>
      <c r="S538" s="4">
        <v>29</v>
      </c>
      <c r="T538" s="4">
        <v>0</v>
      </c>
      <c r="U538" s="4">
        <v>0</v>
      </c>
      <c r="V538" s="70">
        <f>IF(ISERROR(VLOOKUP($S$538,'TAR FIN'!$A$1:$O$116,15,0)),0,VLOOKUP($S$538,'TAR FIN'!$A$1:$O$116,15,0))*(1-0.04)</f>
        <v>24.489599999999999</v>
      </c>
      <c r="W538" s="70">
        <f>IF(ISERROR(VLOOKUP($T$538,'TAR FIN'!$A$1:$O$116,15,0)),0,VLOOKUP($T$538,'TAR FIN'!$A$1:$O$116,15,0))</f>
        <v>0</v>
      </c>
      <c r="X538" s="70">
        <f>IF(ISERROR(VLOOKUP($U$538,'TAR FIN'!$A$1:$O$116,15,0)),0,VLOOKUP($U$538,'TAR FIN'!$A$1:$O$116,15,0))</f>
        <v>0</v>
      </c>
      <c r="Y538" s="70">
        <f ca="1">('TUSD BE'!$AM$33+'TUSD BF'!$AM$33+'TUSD CVA'!$AM$33)*1*(1-0.02)</f>
        <v>29.207201461919809</v>
      </c>
      <c r="Z538" s="70"/>
      <c r="AA538" s="70"/>
      <c r="AB538" s="70">
        <f>(SUBSIDIO!$J$538*SUBSIDIO!$V$538)*(0.04)/(1-0.04)</f>
        <v>978.56360000000006</v>
      </c>
      <c r="AC538" s="70">
        <f>((SUBSIDIO!$L$538*SUBSIDIO!$W$538)+(SUBSIDIO!$N$538*SUBSIDIO!$X$538))*(0.04)/(1-0.04)</f>
        <v>0</v>
      </c>
      <c r="AD538" s="70">
        <f ca="1">(SUBSIDIO!$J$538*SUBSIDIO!$Y$538)*(0.02)/(1-0.02)</f>
        <v>571.62665718328765</v>
      </c>
      <c r="AE538" s="70">
        <f>((SUBSIDIO!$L$538*SUBSIDIO!$Z$538)+(SUBSIDIO!$N$538*SUBSIDIO!$AA$538))*(0.02)/(1-0.02)</f>
        <v>0</v>
      </c>
      <c r="AF538" s="4" t="s">
        <v>1114</v>
      </c>
    </row>
    <row r="539" spans="1:32" ht="11.25" customHeight="1" x14ac:dyDescent="0.25">
      <c r="A539" s="4" t="s">
        <v>21</v>
      </c>
      <c r="B539" s="4" t="s">
        <v>41</v>
      </c>
      <c r="C539" s="4" t="s">
        <v>42</v>
      </c>
      <c r="D539" s="4" t="s">
        <v>45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44440</v>
      </c>
      <c r="J539" s="6">
        <v>925</v>
      </c>
      <c r="K539" s="70">
        <v>925</v>
      </c>
      <c r="L539" s="6">
        <v>0</v>
      </c>
      <c r="M539" s="70">
        <v>0</v>
      </c>
      <c r="N539" s="6">
        <v>0</v>
      </c>
      <c r="O539" s="70">
        <v>0</v>
      </c>
      <c r="P539" s="6">
        <v>11</v>
      </c>
      <c r="Q539" s="4" t="s">
        <v>26</v>
      </c>
      <c r="R539" s="4">
        <v>0</v>
      </c>
      <c r="S539" s="4">
        <v>29</v>
      </c>
      <c r="T539" s="4">
        <v>0</v>
      </c>
      <c r="U539" s="4">
        <v>0</v>
      </c>
      <c r="V539" s="70">
        <f>IF(ISERROR(VLOOKUP($S$539,'TAR FIN'!$A$1:$O$116,15,0)),0,VLOOKUP($S$539,'TAR FIN'!$A$1:$O$116,15,0))*(1-0.04)</f>
        <v>24.489599999999999</v>
      </c>
      <c r="W539" s="70">
        <f>IF(ISERROR(VLOOKUP($T$539,'TAR FIN'!$A$1:$O$116,15,0)),0,VLOOKUP($T$539,'TAR FIN'!$A$1:$O$116,15,0))</f>
        <v>0</v>
      </c>
      <c r="X539" s="70">
        <f>IF(ISERROR(VLOOKUP($U$539,'TAR FIN'!$A$1:$O$116,15,0)),0,VLOOKUP($U$539,'TAR FIN'!$A$1:$O$116,15,0))</f>
        <v>0</v>
      </c>
      <c r="Y539" s="70">
        <f ca="1">('TUSD BE'!$AM$33+'TUSD BF'!$AM$33+'TUSD CVA'!$AM$33)*1*(1-0.02)</f>
        <v>29.207201461919809</v>
      </c>
      <c r="Z539" s="70"/>
      <c r="AA539" s="70"/>
      <c r="AB539" s="70">
        <f>(SUBSIDIO!$J$539*SUBSIDIO!$V$539)*(0.04)/(1-0.04)</f>
        <v>943.87000000000012</v>
      </c>
      <c r="AC539" s="70">
        <f>((SUBSIDIO!$L$539*SUBSIDIO!$W$539)+(SUBSIDIO!$N$539*SUBSIDIO!$X$539))*(0.04)/(1-0.04)</f>
        <v>0</v>
      </c>
      <c r="AD539" s="70">
        <f ca="1">(SUBSIDIO!$J$539*SUBSIDIO!$Y$539)*(0.02)/(1-0.02)</f>
        <v>551.36043576073109</v>
      </c>
      <c r="AE539" s="70">
        <f>((SUBSIDIO!$L$539*SUBSIDIO!$Z$539)+(SUBSIDIO!$N$539*SUBSIDIO!$AA$539))*(0.02)/(1-0.02)</f>
        <v>0</v>
      </c>
      <c r="AF539" s="4" t="s">
        <v>1114</v>
      </c>
    </row>
    <row r="540" spans="1:32" ht="11.25" customHeight="1" x14ac:dyDescent="0.25">
      <c r="A540" s="4" t="s">
        <v>21</v>
      </c>
      <c r="B540" s="4" t="s">
        <v>41</v>
      </c>
      <c r="C540" s="4" t="s">
        <v>42</v>
      </c>
      <c r="D540" s="4" t="s">
        <v>45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44470</v>
      </c>
      <c r="J540" s="6">
        <v>907</v>
      </c>
      <c r="K540" s="70">
        <v>907</v>
      </c>
      <c r="L540" s="6">
        <v>0</v>
      </c>
      <c r="M540" s="70">
        <v>0</v>
      </c>
      <c r="N540" s="6">
        <v>0</v>
      </c>
      <c r="O540" s="70">
        <v>0</v>
      </c>
      <c r="P540" s="6">
        <v>11</v>
      </c>
      <c r="Q540" s="4" t="s">
        <v>26</v>
      </c>
      <c r="R540" s="4">
        <v>0</v>
      </c>
      <c r="S540" s="4">
        <v>29</v>
      </c>
      <c r="T540" s="4">
        <v>0</v>
      </c>
      <c r="U540" s="4">
        <v>0</v>
      </c>
      <c r="V540" s="70">
        <f>IF(ISERROR(VLOOKUP($S$540,'TAR FIN'!$A$1:$O$116,15,0)),0,VLOOKUP($S$540,'TAR FIN'!$A$1:$O$116,15,0))*(1-0.04)</f>
        <v>24.489599999999999</v>
      </c>
      <c r="W540" s="70">
        <f>IF(ISERROR(VLOOKUP($T$540,'TAR FIN'!$A$1:$O$116,15,0)),0,VLOOKUP($T$540,'TAR FIN'!$A$1:$O$116,15,0))</f>
        <v>0</v>
      </c>
      <c r="X540" s="70">
        <f>IF(ISERROR(VLOOKUP($U$540,'TAR FIN'!$A$1:$O$116,15,0)),0,VLOOKUP($U$540,'TAR FIN'!$A$1:$O$116,15,0))</f>
        <v>0</v>
      </c>
      <c r="Y540" s="70">
        <f ca="1">('TUSD BE'!$AM$33+'TUSD BF'!$AM$33+'TUSD CVA'!$AM$33)*1*(1-0.02)</f>
        <v>29.207201461919809</v>
      </c>
      <c r="Z540" s="70"/>
      <c r="AA540" s="70"/>
      <c r="AB540" s="70">
        <f>(SUBSIDIO!$J$540*SUBSIDIO!$V$540)*(0.04)/(1-0.04)</f>
        <v>925.50279999999998</v>
      </c>
      <c r="AC540" s="70">
        <f>((SUBSIDIO!$L$540*SUBSIDIO!$W$540)+(SUBSIDIO!$N$540*SUBSIDIO!$X$540))*(0.04)/(1-0.04)</f>
        <v>0</v>
      </c>
      <c r="AD540" s="70">
        <f ca="1">(SUBSIDIO!$J$540*SUBSIDIO!$Y$540)*(0.02)/(1-0.02)</f>
        <v>540.63125971349518</v>
      </c>
      <c r="AE540" s="70">
        <f>((SUBSIDIO!$L$540*SUBSIDIO!$Z$540)+(SUBSIDIO!$N$540*SUBSIDIO!$AA$540))*(0.02)/(1-0.02)</f>
        <v>0</v>
      </c>
      <c r="AF540" s="4" t="s">
        <v>1114</v>
      </c>
    </row>
    <row r="541" spans="1:32" ht="11.25" customHeight="1" x14ac:dyDescent="0.25">
      <c r="A541" s="4" t="s">
        <v>21</v>
      </c>
      <c r="B541" s="4" t="s">
        <v>41</v>
      </c>
      <c r="C541" s="4" t="s">
        <v>42</v>
      </c>
      <c r="D541" s="4" t="s">
        <v>45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881</v>
      </c>
      <c r="K541" s="70">
        <v>881</v>
      </c>
      <c r="L541" s="6">
        <v>0</v>
      </c>
      <c r="M541" s="70">
        <v>0</v>
      </c>
      <c r="N541" s="6">
        <v>0</v>
      </c>
      <c r="O541" s="70">
        <v>0</v>
      </c>
      <c r="P541" s="6">
        <v>11</v>
      </c>
      <c r="Q541" s="4" t="s">
        <v>26</v>
      </c>
      <c r="R541" s="4">
        <v>0</v>
      </c>
      <c r="S541" s="4">
        <v>29</v>
      </c>
      <c r="T541" s="4">
        <v>0</v>
      </c>
      <c r="U541" s="4">
        <v>0</v>
      </c>
      <c r="V541" s="70">
        <f>IF(ISERROR(VLOOKUP($S$541,'TAR FIN'!$A$1:$O$116,15,0)),0,VLOOKUP($S$541,'TAR FIN'!$A$1:$O$116,15,0))*(1-0.04)</f>
        <v>24.489599999999999</v>
      </c>
      <c r="W541" s="70">
        <f>IF(ISERROR(VLOOKUP($T$541,'TAR FIN'!$A$1:$O$116,15,0)),0,VLOOKUP($T$541,'TAR FIN'!$A$1:$O$116,15,0))</f>
        <v>0</v>
      </c>
      <c r="X541" s="70">
        <f>IF(ISERROR(VLOOKUP($U$541,'TAR FIN'!$A$1:$O$116,15,0)),0,VLOOKUP($U$541,'TAR FIN'!$A$1:$O$116,15,0))</f>
        <v>0</v>
      </c>
      <c r="Y541" s="70">
        <f ca="1">('TUSD BE'!$AM$33+'TUSD BF'!$AM$33+'TUSD CVA'!$AM$33)*1*(1-0.02)</f>
        <v>29.207201461919809</v>
      </c>
      <c r="Z541" s="70"/>
      <c r="AA541" s="70"/>
      <c r="AB541" s="70">
        <f>(SUBSIDIO!$J$541*SUBSIDIO!$V$541)*(0.04)/(1-0.04)</f>
        <v>898.97239999999999</v>
      </c>
      <c r="AC541" s="70">
        <f>((SUBSIDIO!$L$541*SUBSIDIO!$W$541)+(SUBSIDIO!$N$541*SUBSIDIO!$X$541))*(0.04)/(1-0.04)</f>
        <v>0</v>
      </c>
      <c r="AD541" s="70">
        <f ca="1">(SUBSIDIO!$J$541*SUBSIDIO!$Y$541)*(0.02)/(1-0.02)</f>
        <v>525.13356097859901</v>
      </c>
      <c r="AE541" s="70">
        <f>((SUBSIDIO!$L$541*SUBSIDIO!$Z$541)+(SUBSIDIO!$N$541*SUBSIDIO!$AA$541))*(0.02)/(1-0.02)</f>
        <v>0</v>
      </c>
      <c r="AF541" s="4" t="s">
        <v>1114</v>
      </c>
    </row>
    <row r="542" spans="1:32" ht="11.25" customHeight="1" x14ac:dyDescent="0.25">
      <c r="A542" s="4" t="s">
        <v>21</v>
      </c>
      <c r="B542" s="4" t="s">
        <v>41</v>
      </c>
      <c r="C542" s="4" t="s">
        <v>42</v>
      </c>
      <c r="D542" s="4" t="s">
        <v>45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900</v>
      </c>
      <c r="K542" s="70">
        <v>900</v>
      </c>
      <c r="L542" s="6">
        <v>0</v>
      </c>
      <c r="M542" s="70">
        <v>0</v>
      </c>
      <c r="N542" s="6">
        <v>0</v>
      </c>
      <c r="O542" s="70">
        <v>0</v>
      </c>
      <c r="P542" s="6">
        <v>11</v>
      </c>
      <c r="Q542" s="4" t="s">
        <v>26</v>
      </c>
      <c r="R542" s="4">
        <v>0</v>
      </c>
      <c r="S542" s="4">
        <v>29</v>
      </c>
      <c r="T542" s="4">
        <v>0</v>
      </c>
      <c r="U542" s="4">
        <v>0</v>
      </c>
      <c r="V542" s="70">
        <f>IF(ISERROR(VLOOKUP($S$542,'TAR FIN'!$A$1:$O$116,15,0)),0,VLOOKUP($S$542,'TAR FIN'!$A$1:$O$116,15,0))*(1-0.04)</f>
        <v>24.489599999999999</v>
      </c>
      <c r="W542" s="70">
        <f>IF(ISERROR(VLOOKUP($T$542,'TAR FIN'!$A$1:$O$116,15,0)),0,VLOOKUP($T$542,'TAR FIN'!$A$1:$O$116,15,0))</f>
        <v>0</v>
      </c>
      <c r="X542" s="70">
        <f>IF(ISERROR(VLOOKUP($U$542,'TAR FIN'!$A$1:$O$116,15,0)),0,VLOOKUP($U$542,'TAR FIN'!$A$1:$O$116,15,0))</f>
        <v>0</v>
      </c>
      <c r="Y542" s="70">
        <f ca="1">('TUSD BE'!$AM$33+'TUSD BF'!$AM$33+'TUSD CVA'!$AM$33)*1*(1-0.02)</f>
        <v>29.207201461919809</v>
      </c>
      <c r="Z542" s="70"/>
      <c r="AA542" s="70"/>
      <c r="AB542" s="70">
        <f>(SUBSIDIO!$J$542*SUBSIDIO!$V$542)*(0.04)/(1-0.04)</f>
        <v>918.36</v>
      </c>
      <c r="AC542" s="70">
        <f>((SUBSIDIO!$L$542*SUBSIDIO!$W$542)+(SUBSIDIO!$N$542*SUBSIDIO!$X$542))*(0.04)/(1-0.04)</f>
        <v>0</v>
      </c>
      <c r="AD542" s="70">
        <f ca="1">(SUBSIDIO!$J$542*SUBSIDIO!$Y$542)*(0.02)/(1-0.02)</f>
        <v>536.45880236179255</v>
      </c>
      <c r="AE542" s="70">
        <f>((SUBSIDIO!$L$542*SUBSIDIO!$Z$542)+(SUBSIDIO!$N$542*SUBSIDIO!$AA$542))*(0.02)/(1-0.02)</f>
        <v>0</v>
      </c>
      <c r="AF542" s="4" t="s">
        <v>1114</v>
      </c>
    </row>
    <row r="543" spans="1:32" ht="11.25" customHeight="1" x14ac:dyDescent="0.25">
      <c r="A543" s="4" t="s">
        <v>21</v>
      </c>
      <c r="B543" s="4" t="s">
        <v>41</v>
      </c>
      <c r="C543" s="4" t="s">
        <v>42</v>
      </c>
      <c r="D543" s="4" t="s">
        <v>45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44562</v>
      </c>
      <c r="J543" s="6">
        <v>774</v>
      </c>
      <c r="K543" s="70">
        <v>774</v>
      </c>
      <c r="L543" s="6">
        <v>0</v>
      </c>
      <c r="M543" s="70">
        <v>0</v>
      </c>
      <c r="N543" s="6">
        <v>0</v>
      </c>
      <c r="O543" s="70">
        <v>0</v>
      </c>
      <c r="P543" s="6">
        <v>10</v>
      </c>
      <c r="Q543" s="4" t="s">
        <v>26</v>
      </c>
      <c r="R543" s="4">
        <v>0</v>
      </c>
      <c r="S543" s="4">
        <v>29</v>
      </c>
      <c r="T543" s="4">
        <v>0</v>
      </c>
      <c r="U543" s="4">
        <v>0</v>
      </c>
      <c r="V543" s="70">
        <f>IF(ISERROR(VLOOKUP($S$543,'TAR FIN'!$A$1:$O$116,15,0)),0,VLOOKUP($S$543,'TAR FIN'!$A$1:$O$116,15,0))*(1-0.04)</f>
        <v>24.489599999999999</v>
      </c>
      <c r="W543" s="70">
        <f>IF(ISERROR(VLOOKUP($T$543,'TAR FIN'!$A$1:$O$116,15,0)),0,VLOOKUP($T$543,'TAR FIN'!$A$1:$O$116,15,0))</f>
        <v>0</v>
      </c>
      <c r="X543" s="70">
        <f>IF(ISERROR(VLOOKUP($U$543,'TAR FIN'!$A$1:$O$116,15,0)),0,VLOOKUP($U$543,'TAR FIN'!$A$1:$O$116,15,0))</f>
        <v>0</v>
      </c>
      <c r="Y543" s="70">
        <f ca="1">('TUSD BE'!$AM$33+'TUSD BF'!$AM$33+'TUSD CVA'!$AM$33)*1*(1-0.02)</f>
        <v>29.207201461919809</v>
      </c>
      <c r="Z543" s="70"/>
      <c r="AA543" s="70"/>
      <c r="AB543" s="70">
        <f>(SUBSIDIO!$J$543*SUBSIDIO!$V$543)*(0.04)/(1-0.04)</f>
        <v>789.78959999999995</v>
      </c>
      <c r="AC543" s="70">
        <f>((SUBSIDIO!$L$543*SUBSIDIO!$W$543)+(SUBSIDIO!$N$543*SUBSIDIO!$X$543))*(0.04)/(1-0.04)</f>
        <v>0</v>
      </c>
      <c r="AD543" s="70">
        <f ca="1">(SUBSIDIO!$J$543*SUBSIDIO!$Y$543)*(0.02)/(1-0.02)</f>
        <v>461.35457003114152</v>
      </c>
      <c r="AE543" s="70">
        <f>((SUBSIDIO!$L$543*SUBSIDIO!$Z$543)+(SUBSIDIO!$N$543*SUBSIDIO!$AA$543))*(0.02)/(1-0.02)</f>
        <v>0</v>
      </c>
      <c r="AF543" s="4" t="s">
        <v>1114</v>
      </c>
    </row>
    <row r="544" spans="1:32" ht="11.25" customHeight="1" x14ac:dyDescent="0.25">
      <c r="A544" s="4" t="s">
        <v>21</v>
      </c>
      <c r="B544" s="4" t="s">
        <v>41</v>
      </c>
      <c r="C544" s="4" t="s">
        <v>42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44593</v>
      </c>
      <c r="J544" s="6">
        <v>836</v>
      </c>
      <c r="K544" s="70">
        <v>836</v>
      </c>
      <c r="L544" s="6">
        <v>0</v>
      </c>
      <c r="M544" s="70">
        <v>0</v>
      </c>
      <c r="N544" s="6">
        <v>0</v>
      </c>
      <c r="O544" s="70">
        <v>0</v>
      </c>
      <c r="P544" s="6">
        <v>10</v>
      </c>
      <c r="Q544" s="4" t="s">
        <v>26</v>
      </c>
      <c r="R544" s="4">
        <v>0</v>
      </c>
      <c r="S544" s="4">
        <v>29</v>
      </c>
      <c r="T544" s="4">
        <v>0</v>
      </c>
      <c r="U544" s="4">
        <v>0</v>
      </c>
      <c r="V544" s="70">
        <f>IF(ISERROR(VLOOKUP($S$544,'TAR FIN'!$A$1:$O$116,15,0)),0,VLOOKUP($S$544,'TAR FIN'!$A$1:$O$116,15,0))*(1-0.04)</f>
        <v>24.489599999999999</v>
      </c>
      <c r="W544" s="70">
        <f>IF(ISERROR(VLOOKUP($T$544,'TAR FIN'!$A$1:$O$116,15,0)),0,VLOOKUP($T$544,'TAR FIN'!$A$1:$O$116,15,0))</f>
        <v>0</v>
      </c>
      <c r="X544" s="70">
        <f>IF(ISERROR(VLOOKUP($U$544,'TAR FIN'!$A$1:$O$116,15,0)),0,VLOOKUP($U$544,'TAR FIN'!$A$1:$O$116,15,0))</f>
        <v>0</v>
      </c>
      <c r="Y544" s="70">
        <f ca="1">('TUSD BE'!$AM$33+'TUSD BF'!$AM$33+'TUSD CVA'!$AM$33)*1*(1-0.02)</f>
        <v>29.207201461919809</v>
      </c>
      <c r="Z544" s="70"/>
      <c r="AA544" s="70"/>
      <c r="AB544" s="70">
        <f>(SUBSIDIO!$J$544*SUBSIDIO!$V$544)*(0.04)/(1-0.04)</f>
        <v>853.0544000000001</v>
      </c>
      <c r="AC544" s="70">
        <f>((SUBSIDIO!$L$544*SUBSIDIO!$W$544)+(SUBSIDIO!$N$544*SUBSIDIO!$X$544))*(0.04)/(1-0.04)</f>
        <v>0</v>
      </c>
      <c r="AD544" s="70">
        <f ca="1">(SUBSIDIO!$J$544*SUBSIDIO!$Y$544)*(0.02)/(1-0.02)</f>
        <v>498.3106208605094</v>
      </c>
      <c r="AE544" s="70">
        <f>((SUBSIDIO!$L$544*SUBSIDIO!$Z$544)+(SUBSIDIO!$N$544*SUBSIDIO!$AA$544))*(0.02)/(1-0.02)</f>
        <v>0</v>
      </c>
      <c r="AF544" s="4" t="s">
        <v>1114</v>
      </c>
    </row>
    <row r="545" spans="1:32" ht="11.25" customHeight="1" x14ac:dyDescent="0.25">
      <c r="A545" s="4" t="s">
        <v>21</v>
      </c>
      <c r="B545" s="4" t="s">
        <v>41</v>
      </c>
      <c r="C545" s="4" t="s">
        <v>42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44621</v>
      </c>
      <c r="J545" s="6">
        <v>789</v>
      </c>
      <c r="K545" s="70">
        <v>789</v>
      </c>
      <c r="L545" s="6">
        <v>0</v>
      </c>
      <c r="M545" s="70">
        <v>0</v>
      </c>
      <c r="N545" s="6">
        <v>0</v>
      </c>
      <c r="O545" s="70">
        <v>0</v>
      </c>
      <c r="P545" s="6">
        <v>10</v>
      </c>
      <c r="Q545" s="4" t="s">
        <v>26</v>
      </c>
      <c r="R545" s="4">
        <v>0</v>
      </c>
      <c r="S545" s="4">
        <v>29</v>
      </c>
      <c r="T545" s="4">
        <v>0</v>
      </c>
      <c r="U545" s="4">
        <v>0</v>
      </c>
      <c r="V545" s="70">
        <f>IF(ISERROR(VLOOKUP($S$545,'TAR FIN'!$A$1:$O$116,15,0)),0,VLOOKUP($S$545,'TAR FIN'!$A$1:$O$116,15,0))*(1-0.04)</f>
        <v>24.489599999999999</v>
      </c>
      <c r="W545" s="70">
        <f>IF(ISERROR(VLOOKUP($T$545,'TAR FIN'!$A$1:$O$116,15,0)),0,VLOOKUP($T$545,'TAR FIN'!$A$1:$O$116,15,0))</f>
        <v>0</v>
      </c>
      <c r="X545" s="70">
        <f>IF(ISERROR(VLOOKUP($U$545,'TAR FIN'!$A$1:$O$116,15,0)),0,VLOOKUP($U$545,'TAR FIN'!$A$1:$O$116,15,0))</f>
        <v>0</v>
      </c>
      <c r="Y545" s="70">
        <f ca="1">('TUSD BE'!$AM$33+'TUSD BF'!$AM$33+'TUSD CVA'!$AM$33)*1*(1-0.02)</f>
        <v>29.207201461919809</v>
      </c>
      <c r="Z545" s="70"/>
      <c r="AA545" s="70"/>
      <c r="AB545" s="70">
        <f>(SUBSIDIO!$J$545*SUBSIDIO!$V$545)*(0.04)/(1-0.04)</f>
        <v>805.09559999999999</v>
      </c>
      <c r="AC545" s="70">
        <f>((SUBSIDIO!$L$545*SUBSIDIO!$W$545)+(SUBSIDIO!$N$545*SUBSIDIO!$X$545))*(0.04)/(1-0.04)</f>
        <v>0</v>
      </c>
      <c r="AD545" s="70">
        <f ca="1">(SUBSIDIO!$J$545*SUBSIDIO!$Y$545)*(0.02)/(1-0.02)</f>
        <v>470.2955500705047</v>
      </c>
      <c r="AE545" s="70">
        <f>((SUBSIDIO!$L$545*SUBSIDIO!$Z$545)+(SUBSIDIO!$N$545*SUBSIDIO!$AA$545))*(0.02)/(1-0.02)</f>
        <v>0</v>
      </c>
      <c r="AF545" s="4" t="s">
        <v>1114</v>
      </c>
    </row>
    <row r="546" spans="1:32" ht="11.25" customHeight="1" x14ac:dyDescent="0.25">
      <c r="A546" s="4" t="s">
        <v>21</v>
      </c>
      <c r="B546" s="4" t="s">
        <v>41</v>
      </c>
      <c r="C546" s="4" t="s">
        <v>42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44652</v>
      </c>
      <c r="J546" s="6">
        <v>790</v>
      </c>
      <c r="K546" s="70">
        <v>790</v>
      </c>
      <c r="L546" s="6">
        <v>0</v>
      </c>
      <c r="M546" s="70">
        <v>0</v>
      </c>
      <c r="N546" s="6">
        <v>0</v>
      </c>
      <c r="O546" s="70">
        <v>0</v>
      </c>
      <c r="P546" s="6">
        <v>10</v>
      </c>
      <c r="Q546" s="4" t="s">
        <v>26</v>
      </c>
      <c r="R546" s="4">
        <v>0</v>
      </c>
      <c r="S546" s="4">
        <v>29</v>
      </c>
      <c r="T546" s="4">
        <v>0</v>
      </c>
      <c r="U546" s="4">
        <v>0</v>
      </c>
      <c r="V546" s="70">
        <f>IF(ISERROR(VLOOKUP($S$546,'TAR FIN'!$A$1:$O$116,15,0)),0,VLOOKUP($S$546,'TAR FIN'!$A$1:$O$116,15,0))*(1-0.04)</f>
        <v>24.489599999999999</v>
      </c>
      <c r="W546" s="70">
        <f>IF(ISERROR(VLOOKUP($T$546,'TAR FIN'!$A$1:$O$116,15,0)),0,VLOOKUP($T$546,'TAR FIN'!$A$1:$O$116,15,0))</f>
        <v>0</v>
      </c>
      <c r="X546" s="70">
        <f>IF(ISERROR(VLOOKUP($U$546,'TAR FIN'!$A$1:$O$116,15,0)),0,VLOOKUP($U$546,'TAR FIN'!$A$1:$O$116,15,0))</f>
        <v>0</v>
      </c>
      <c r="Y546" s="70">
        <f ca="1">('TUSD BE'!$AM$33+'TUSD BF'!$AM$33+'TUSD CVA'!$AM$33)*1*(1-0.02)</f>
        <v>29.207201461919809</v>
      </c>
      <c r="Z546" s="70"/>
      <c r="AA546" s="70"/>
      <c r="AB546" s="70">
        <f>(SUBSIDIO!$J$546*SUBSIDIO!$V$546)*(0.04)/(1-0.04)</f>
        <v>806.11599999999999</v>
      </c>
      <c r="AC546" s="70">
        <f>((SUBSIDIO!$L$546*SUBSIDIO!$W$546)+(SUBSIDIO!$N$546*SUBSIDIO!$X$546))*(0.04)/(1-0.04)</f>
        <v>0</v>
      </c>
      <c r="AD546" s="70">
        <f ca="1">(SUBSIDIO!$J$546*SUBSIDIO!$Y$546)*(0.02)/(1-0.02)</f>
        <v>470.89161540646228</v>
      </c>
      <c r="AE546" s="70">
        <f>((SUBSIDIO!$L$546*SUBSIDIO!$Z$546)+(SUBSIDIO!$N$546*SUBSIDIO!$AA$546))*(0.02)/(1-0.02)</f>
        <v>0</v>
      </c>
      <c r="AF546" s="4" t="s">
        <v>1114</v>
      </c>
    </row>
    <row r="547" spans="1:32" ht="11.25" customHeight="1" x14ac:dyDescent="0.25">
      <c r="A547" s="4" t="s">
        <v>58</v>
      </c>
      <c r="B547" s="4" t="s">
        <v>41</v>
      </c>
      <c r="C547" s="4" t="s">
        <v>42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44682</v>
      </c>
      <c r="J547" s="6">
        <v>790</v>
      </c>
      <c r="K547" s="70">
        <v>790</v>
      </c>
      <c r="L547" s="6">
        <v>0</v>
      </c>
      <c r="M547" s="70">
        <v>0</v>
      </c>
      <c r="N547" s="6">
        <v>0</v>
      </c>
      <c r="O547" s="70">
        <v>0</v>
      </c>
      <c r="P547" s="6">
        <v>10</v>
      </c>
      <c r="Q547" s="4" t="s">
        <v>26</v>
      </c>
      <c r="R547" s="4">
        <v>0</v>
      </c>
      <c r="S547" s="4">
        <v>29</v>
      </c>
      <c r="T547" s="4">
        <v>0</v>
      </c>
      <c r="U547" s="4">
        <v>0</v>
      </c>
      <c r="V547" s="70">
        <f>IF(ISERROR(VLOOKUP($S$547,'TAR FIN'!$A$1:$O$116,15,0)),0,VLOOKUP($S$547,'TAR FIN'!$A$1:$O$116,15,0))*(1-0.04)</f>
        <v>24.489599999999999</v>
      </c>
      <c r="W547" s="70">
        <f>IF(ISERROR(VLOOKUP($T$547,'TAR FIN'!$A$1:$O$116,15,0)),0,VLOOKUP($T$547,'TAR FIN'!$A$1:$O$116,15,0))</f>
        <v>0</v>
      </c>
      <c r="X547" s="70">
        <f>IF(ISERROR(VLOOKUP($U$547,'TAR FIN'!$A$1:$O$116,15,0)),0,VLOOKUP($U$547,'TAR FIN'!$A$1:$O$116,15,0))</f>
        <v>0</v>
      </c>
      <c r="Y547" s="70">
        <f ca="1">('TUSD BE'!$AM$33+'TUSD BF'!$AM$33+'TUSD CVA'!$AM$33)*1*(1-0.02)</f>
        <v>29.207201461919809</v>
      </c>
      <c r="Z547" s="70"/>
      <c r="AA547" s="70"/>
      <c r="AB547" s="70">
        <f>(SUBSIDIO!$J$547*SUBSIDIO!$V$547)*(0.04)/(1-0.04)</f>
        <v>806.11599999999999</v>
      </c>
      <c r="AC547" s="70">
        <f>((SUBSIDIO!$L$547*SUBSIDIO!$W$547)+(SUBSIDIO!$N$547*SUBSIDIO!$X$547))*(0.04)/(1-0.04)</f>
        <v>0</v>
      </c>
      <c r="AD547" s="70">
        <f ca="1">(SUBSIDIO!$J$547*SUBSIDIO!$Y$547)*(0.02)/(1-0.02)</f>
        <v>470.89161540646228</v>
      </c>
      <c r="AE547" s="70">
        <f>((SUBSIDIO!$L$547*SUBSIDIO!$Z$547)+(SUBSIDIO!$N$547*SUBSIDIO!$AA$547))*(0.02)/(1-0.02)</f>
        <v>0</v>
      </c>
      <c r="AF547" s="4" t="s">
        <v>1114</v>
      </c>
    </row>
    <row r="548" spans="1:32" ht="11.25" customHeight="1" x14ac:dyDescent="0.25">
      <c r="A548" s="4" t="s">
        <v>21</v>
      </c>
      <c r="B548" s="4" t="s">
        <v>41</v>
      </c>
      <c r="C548" s="4" t="s">
        <v>42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34</v>
      </c>
      <c r="I548" s="5">
        <v>44348</v>
      </c>
      <c r="J548" s="6">
        <v>0</v>
      </c>
      <c r="K548" s="70">
        <v>0</v>
      </c>
      <c r="L548" s="6">
        <v>16.259</v>
      </c>
      <c r="M548" s="70">
        <v>16.259</v>
      </c>
      <c r="N548" s="6">
        <v>16.259</v>
      </c>
      <c r="O548" s="70">
        <v>16.259</v>
      </c>
      <c r="P548" s="6">
        <v>0</v>
      </c>
      <c r="Q548" s="4" t="s">
        <v>26</v>
      </c>
      <c r="R548" s="4">
        <v>0</v>
      </c>
      <c r="S548" s="4">
        <v>0</v>
      </c>
      <c r="T548" s="4">
        <v>30</v>
      </c>
      <c r="U548" s="4">
        <v>78</v>
      </c>
      <c r="V548" s="70">
        <f>IF(ISERROR(VLOOKUP($S$548,'TAR FIN'!$A$1:$O$116,15,0)),0,VLOOKUP($S$548,'TAR FIN'!$A$1:$O$116,15,0))</f>
        <v>0</v>
      </c>
      <c r="W548" s="70">
        <f>IF(ISERROR(VLOOKUP($T$548,'TAR FIN'!$A$1:$O$116,15,0)),0,VLOOKUP($T$548,'TAR FIN'!$A$1:$O$116,15,0))*(1-0.04)</f>
        <v>1614.8351999999998</v>
      </c>
      <c r="X548" s="70">
        <f>IF(ISERROR(VLOOKUP($U$548,'TAR FIN'!$A$1:$O$116,15,0)),0,VLOOKUP($U$548,'TAR FIN'!$A$1:$O$116,15,0))*(1-0.04)</f>
        <v>476.30399999999997</v>
      </c>
      <c r="Y548" s="70"/>
      <c r="Z548" s="70">
        <f ca="1">('TUSD BE'!$AM$34+'TUSD BF'!$AM$34+'TUSD CVA'!$AM$34)*1*(1-0.02)</f>
        <v>1930.5215556846936</v>
      </c>
      <c r="AA548" s="70">
        <f>('TE BE'!$AB$9+'TE BF'!$AB$9+'TE CVA'!$AB$9)*1*(1-0.02)</f>
        <v>499.84893464590823</v>
      </c>
      <c r="AB548" s="70">
        <f>(SUBSIDIO!$J$548*SUBSIDIO!$V$548)*(0.04)/(1-0.04)</f>
        <v>0</v>
      </c>
      <c r="AC548" s="70">
        <f>((SUBSIDIO!$L$548*SUBSIDIO!$W$548)+(SUBSIDIO!$N$548*SUBSIDIO!$X$548))*(0.04)/(1-0.04)</f>
        <v>1416.6596772</v>
      </c>
      <c r="AD548" s="70">
        <f>(SUBSIDIO!$J$548*SUBSIDIO!$Y$548)*(0.02)/(1-0.02)</f>
        <v>0</v>
      </c>
      <c r="AE548" s="70">
        <f ca="1">((SUBSIDIO!$L$548*SUBSIDIO!$Z$548)+(SUBSIDIO!$N$548*SUBSIDIO!$AA$548))*(0.02)/(1-0.02)</f>
        <v>806.43660820990306</v>
      </c>
      <c r="AF548" s="4" t="s">
        <v>1114</v>
      </c>
    </row>
    <row r="549" spans="1:32" ht="11.25" customHeight="1" x14ac:dyDescent="0.25">
      <c r="A549" s="4" t="s">
        <v>27</v>
      </c>
      <c r="B549" s="4" t="s">
        <v>41</v>
      </c>
      <c r="C549" s="4" t="s">
        <v>42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34</v>
      </c>
      <c r="I549" s="5">
        <v>44348</v>
      </c>
      <c r="J549" s="6">
        <v>0</v>
      </c>
      <c r="K549" s="70">
        <v>0</v>
      </c>
      <c r="L549" s="6">
        <v>1.08</v>
      </c>
      <c r="M549" s="70">
        <v>1.08</v>
      </c>
      <c r="N549" s="6">
        <v>1.08</v>
      </c>
      <c r="O549" s="70">
        <v>1.08</v>
      </c>
      <c r="P549" s="6">
        <v>0</v>
      </c>
      <c r="Q549" s="4" t="s">
        <v>26</v>
      </c>
      <c r="R549" s="4">
        <v>0</v>
      </c>
      <c r="S549" s="4">
        <v>0</v>
      </c>
      <c r="T549" s="4">
        <v>30</v>
      </c>
      <c r="U549" s="4">
        <v>78</v>
      </c>
      <c r="V549" s="70">
        <f>IF(ISERROR(VLOOKUP($S$549,'TAR FIN'!$A$1:$O$116,15,0)),0,VLOOKUP($S$549,'TAR FIN'!$A$1:$O$116,15,0))</f>
        <v>0</v>
      </c>
      <c r="W549" s="70">
        <f>IF(ISERROR(VLOOKUP($T$549,'TAR FIN'!$A$1:$O$116,15,0)),0,VLOOKUP($T$549,'TAR FIN'!$A$1:$O$116,15,0))*(1-0.04)</f>
        <v>1614.8351999999998</v>
      </c>
      <c r="X549" s="70">
        <f>IF(ISERROR(VLOOKUP($U$549,'TAR FIN'!$A$1:$O$116,15,0)),0,VLOOKUP($U$549,'TAR FIN'!$A$1:$O$116,15,0))*(1-0.04)</f>
        <v>476.30399999999997</v>
      </c>
      <c r="Y549" s="70"/>
      <c r="Z549" s="70">
        <f ca="1">('TUSD BE'!$AM$34+'TUSD BF'!$AM$34+'TUSD CVA'!$AM$34)*1*(1-0.02)</f>
        <v>1930.5215556846936</v>
      </c>
      <c r="AA549" s="70">
        <f>('TE BE'!$AB$9+'TE BF'!$AB$9+'TE CVA'!$AB$9)*1*(1-0.02)</f>
        <v>499.84893464590823</v>
      </c>
      <c r="AB549" s="70">
        <f>(SUBSIDIO!$J$549*SUBSIDIO!$V$549)*(0.04)/(1-0.04)</f>
        <v>0</v>
      </c>
      <c r="AC549" s="70">
        <f>((SUBSIDIO!$L$549*SUBSIDIO!$W$549)+(SUBSIDIO!$N$549*SUBSIDIO!$X$549))*(0.04)/(1-0.04)</f>
        <v>94.101264</v>
      </c>
      <c r="AD549" s="70">
        <f>(SUBSIDIO!$J$549*SUBSIDIO!$Y$549)*(0.02)/(1-0.02)</f>
        <v>0</v>
      </c>
      <c r="AE549" s="70">
        <f ca="1">((SUBSIDIO!$L$549*SUBSIDIO!$Z$549)+(SUBSIDIO!$N$549*SUBSIDIO!$AA$549))*(0.02)/(1-0.02)</f>
        <v>53.56734958279695</v>
      </c>
      <c r="AF549" s="4" t="s">
        <v>1114</v>
      </c>
    </row>
    <row r="550" spans="1:32" ht="11.25" customHeight="1" x14ac:dyDescent="0.25">
      <c r="A550" s="4" t="s">
        <v>21</v>
      </c>
      <c r="B550" s="4" t="s">
        <v>41</v>
      </c>
      <c r="C550" s="4" t="s">
        <v>42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34</v>
      </c>
      <c r="I550" s="5">
        <v>44378</v>
      </c>
      <c r="J550" s="6">
        <v>0</v>
      </c>
      <c r="K550" s="70">
        <v>0</v>
      </c>
      <c r="L550" s="6">
        <v>18.390999999999998</v>
      </c>
      <c r="M550" s="70">
        <v>18.390999999999998</v>
      </c>
      <c r="N550" s="6">
        <v>18.390999999999998</v>
      </c>
      <c r="O550" s="70">
        <v>18.390999999999998</v>
      </c>
      <c r="P550" s="6">
        <v>0</v>
      </c>
      <c r="Q550" s="4" t="s">
        <v>26</v>
      </c>
      <c r="R550" s="4">
        <v>0</v>
      </c>
      <c r="S550" s="4">
        <v>0</v>
      </c>
      <c r="T550" s="4">
        <v>30</v>
      </c>
      <c r="U550" s="4">
        <v>78</v>
      </c>
      <c r="V550" s="70">
        <f>IF(ISERROR(VLOOKUP($S$550,'TAR FIN'!$A$1:$O$116,15,0)),0,VLOOKUP($S$550,'TAR FIN'!$A$1:$O$116,15,0))</f>
        <v>0</v>
      </c>
      <c r="W550" s="70">
        <f>IF(ISERROR(VLOOKUP($T$550,'TAR FIN'!$A$1:$O$116,15,0)),0,VLOOKUP($T$550,'TAR FIN'!$A$1:$O$116,15,0))*(1-0.04)</f>
        <v>1614.8351999999998</v>
      </c>
      <c r="X550" s="70">
        <f>IF(ISERROR(VLOOKUP($U$550,'TAR FIN'!$A$1:$O$116,15,0)),0,VLOOKUP($U$550,'TAR FIN'!$A$1:$O$116,15,0))*(1-0.04)</f>
        <v>476.30399999999997</v>
      </c>
      <c r="Y550" s="70"/>
      <c r="Z550" s="70">
        <f ca="1">('TUSD BE'!$AM$34+'TUSD BF'!$AM$34+'TUSD CVA'!$AM$34)*1*(1-0.02)</f>
        <v>1930.5215556846936</v>
      </c>
      <c r="AA550" s="70">
        <f>('TE BE'!$AB$9+'TE BF'!$AB$9+'TE CVA'!$AB$9)*1*(1-0.02)</f>
        <v>499.84893464590823</v>
      </c>
      <c r="AB550" s="70">
        <f>(SUBSIDIO!$J$550*SUBSIDIO!$V$550)*(0.04)/(1-0.04)</f>
        <v>0</v>
      </c>
      <c r="AC550" s="70">
        <f>((SUBSIDIO!$L$550*SUBSIDIO!$W$550)+(SUBSIDIO!$N$550*SUBSIDIO!$X$550))*(0.04)/(1-0.04)</f>
        <v>1602.4225427999997</v>
      </c>
      <c r="AD550" s="70">
        <f>(SUBSIDIO!$J$550*SUBSIDIO!$Y$550)*(0.02)/(1-0.02)</f>
        <v>0</v>
      </c>
      <c r="AE550" s="70">
        <f ca="1">((SUBSIDIO!$L$550*SUBSIDIO!$Z$550)+(SUBSIDIO!$N$550*SUBSIDIO!$AA$550))*(0.02)/(1-0.02)</f>
        <v>912.18252423816512</v>
      </c>
      <c r="AF550" s="4" t="s">
        <v>1114</v>
      </c>
    </row>
    <row r="551" spans="1:32" ht="11.25" customHeight="1" x14ac:dyDescent="0.25">
      <c r="A551" s="4" t="s">
        <v>21</v>
      </c>
      <c r="B551" s="4" t="s">
        <v>41</v>
      </c>
      <c r="C551" s="4" t="s">
        <v>42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34</v>
      </c>
      <c r="I551" s="5">
        <v>44409</v>
      </c>
      <c r="J551" s="6">
        <v>0</v>
      </c>
      <c r="K551" s="70">
        <v>0</v>
      </c>
      <c r="L551" s="6">
        <v>14.849</v>
      </c>
      <c r="M551" s="70">
        <v>14.849</v>
      </c>
      <c r="N551" s="6">
        <v>14.849</v>
      </c>
      <c r="O551" s="70">
        <v>14.849</v>
      </c>
      <c r="P551" s="6">
        <v>0</v>
      </c>
      <c r="Q551" s="4" t="s">
        <v>26</v>
      </c>
      <c r="R551" s="4">
        <v>0</v>
      </c>
      <c r="S551" s="4">
        <v>0</v>
      </c>
      <c r="T551" s="4">
        <v>30</v>
      </c>
      <c r="U551" s="4">
        <v>78</v>
      </c>
      <c r="V551" s="70">
        <f>IF(ISERROR(VLOOKUP($S$551,'TAR FIN'!$A$1:$O$116,15,0)),0,VLOOKUP($S$551,'TAR FIN'!$A$1:$O$116,15,0))</f>
        <v>0</v>
      </c>
      <c r="W551" s="70">
        <f>IF(ISERROR(VLOOKUP($T$551,'TAR FIN'!$A$1:$O$116,15,0)),0,VLOOKUP($T$551,'TAR FIN'!$A$1:$O$116,15,0))*(1-0.04)</f>
        <v>1614.8351999999998</v>
      </c>
      <c r="X551" s="70">
        <f>IF(ISERROR(VLOOKUP($U$551,'TAR FIN'!$A$1:$O$116,15,0)),0,VLOOKUP($U$551,'TAR FIN'!$A$1:$O$116,15,0))*(1-0.04)</f>
        <v>476.30399999999997</v>
      </c>
      <c r="Y551" s="70"/>
      <c r="Z551" s="70">
        <f ca="1">('TUSD BE'!$AM$34+'TUSD BF'!$AM$34+'TUSD CVA'!$AM$34)*1*(1-0.02)</f>
        <v>1930.5215556846936</v>
      </c>
      <c r="AA551" s="70">
        <f>('TE BE'!$AB$9+'TE BF'!$AB$9+'TE CVA'!$AB$9)*1*(1-0.02)</f>
        <v>499.84893464590823</v>
      </c>
      <c r="AB551" s="70">
        <f>(SUBSIDIO!$J$551*SUBSIDIO!$V$551)*(0.04)/(1-0.04)</f>
        <v>0</v>
      </c>
      <c r="AC551" s="70">
        <f>((SUBSIDIO!$L$551*SUBSIDIO!$W$551)+(SUBSIDIO!$N$551*SUBSIDIO!$X$551))*(0.04)/(1-0.04)</f>
        <v>1293.8052491999999</v>
      </c>
      <c r="AD551" s="70">
        <f>(SUBSIDIO!$J$551*SUBSIDIO!$Y$551)*(0.02)/(1-0.02)</f>
        <v>0</v>
      </c>
      <c r="AE551" s="70">
        <f ca="1">((SUBSIDIO!$L$551*SUBSIDIO!$Z$551)+(SUBSIDIO!$N$551*SUBSIDIO!$AA$551))*(0.02)/(1-0.02)</f>
        <v>736.50145736569607</v>
      </c>
      <c r="AF551" s="4" t="s">
        <v>1114</v>
      </c>
    </row>
    <row r="552" spans="1:32" ht="11.25" customHeight="1" x14ac:dyDescent="0.25">
      <c r="A552" s="4" t="s">
        <v>21</v>
      </c>
      <c r="B552" s="4" t="s">
        <v>41</v>
      </c>
      <c r="C552" s="4" t="s">
        <v>42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34</v>
      </c>
      <c r="I552" s="5">
        <v>44440</v>
      </c>
      <c r="J552" s="6">
        <v>0</v>
      </c>
      <c r="K552" s="70">
        <v>0</v>
      </c>
      <c r="L552" s="6">
        <v>14.545999999999999</v>
      </c>
      <c r="M552" s="70">
        <v>14.545999999999999</v>
      </c>
      <c r="N552" s="6">
        <v>14.545999999999999</v>
      </c>
      <c r="O552" s="70">
        <v>14.545999999999999</v>
      </c>
      <c r="P552" s="6">
        <v>0</v>
      </c>
      <c r="Q552" s="4" t="s">
        <v>26</v>
      </c>
      <c r="R552" s="4">
        <v>0</v>
      </c>
      <c r="S552" s="4">
        <v>0</v>
      </c>
      <c r="T552" s="4">
        <v>30</v>
      </c>
      <c r="U552" s="4">
        <v>78</v>
      </c>
      <c r="V552" s="70">
        <f>IF(ISERROR(VLOOKUP($S$552,'TAR FIN'!$A$1:$O$116,15,0)),0,VLOOKUP($S$552,'TAR FIN'!$A$1:$O$116,15,0))</f>
        <v>0</v>
      </c>
      <c r="W552" s="70">
        <f>IF(ISERROR(VLOOKUP($T$552,'TAR FIN'!$A$1:$O$116,15,0)),0,VLOOKUP($T$552,'TAR FIN'!$A$1:$O$116,15,0))*(1-0.04)</f>
        <v>1614.8351999999998</v>
      </c>
      <c r="X552" s="70">
        <f>IF(ISERROR(VLOOKUP($U$552,'TAR FIN'!$A$1:$O$116,15,0)),0,VLOOKUP($U$552,'TAR FIN'!$A$1:$O$116,15,0))*(1-0.04)</f>
        <v>476.30399999999997</v>
      </c>
      <c r="Y552" s="70"/>
      <c r="Z552" s="70">
        <f ca="1">('TUSD BE'!$AM$34+'TUSD BF'!$AM$34+'TUSD CVA'!$AM$34)*1*(1-0.02)</f>
        <v>1930.5215556846936</v>
      </c>
      <c r="AA552" s="70">
        <f>('TE BE'!$AB$9+'TE BF'!$AB$9+'TE CVA'!$AB$9)*1*(1-0.02)</f>
        <v>499.84893464590823</v>
      </c>
      <c r="AB552" s="70">
        <f>(SUBSIDIO!$J$552*SUBSIDIO!$V$552)*(0.04)/(1-0.04)</f>
        <v>0</v>
      </c>
      <c r="AC552" s="70">
        <f>((SUBSIDIO!$L$552*SUBSIDIO!$W$552)+(SUBSIDIO!$N$552*SUBSIDIO!$X$552))*(0.04)/(1-0.04)</f>
        <v>1267.4046168</v>
      </c>
      <c r="AD552" s="70">
        <f>(SUBSIDIO!$J$552*SUBSIDIO!$Y$552)*(0.02)/(1-0.02)</f>
        <v>0</v>
      </c>
      <c r="AE552" s="70">
        <f ca="1">((SUBSIDIO!$L$552*SUBSIDIO!$Z$552)+(SUBSIDIO!$N$552*SUBSIDIO!$AA$552))*(0.02)/(1-0.02)</f>
        <v>721.4728398438557</v>
      </c>
      <c r="AF552" s="4" t="s">
        <v>1114</v>
      </c>
    </row>
    <row r="553" spans="1:32" ht="11.25" customHeight="1" x14ac:dyDescent="0.25">
      <c r="A553" s="4" t="s">
        <v>21</v>
      </c>
      <c r="B553" s="4" t="s">
        <v>41</v>
      </c>
      <c r="C553" s="4" t="s">
        <v>42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34</v>
      </c>
      <c r="I553" s="5">
        <v>44470</v>
      </c>
      <c r="J553" s="6">
        <v>0</v>
      </c>
      <c r="K553" s="70">
        <v>0</v>
      </c>
      <c r="L553" s="6">
        <v>15.673999999999999</v>
      </c>
      <c r="M553" s="70">
        <v>15.673999999999999</v>
      </c>
      <c r="N553" s="6">
        <v>15.673999999999999</v>
      </c>
      <c r="O553" s="70">
        <v>15.673999999999999</v>
      </c>
      <c r="P553" s="6">
        <v>0</v>
      </c>
      <c r="Q553" s="4" t="s">
        <v>26</v>
      </c>
      <c r="R553" s="4">
        <v>0</v>
      </c>
      <c r="S553" s="4">
        <v>0</v>
      </c>
      <c r="T553" s="4">
        <v>30</v>
      </c>
      <c r="U553" s="4">
        <v>78</v>
      </c>
      <c r="V553" s="70">
        <f>IF(ISERROR(VLOOKUP($S$553,'TAR FIN'!$A$1:$O$116,15,0)),0,VLOOKUP($S$553,'TAR FIN'!$A$1:$O$116,15,0))</f>
        <v>0</v>
      </c>
      <c r="W553" s="70">
        <f>IF(ISERROR(VLOOKUP($T$553,'TAR FIN'!$A$1:$O$116,15,0)),0,VLOOKUP($T$553,'TAR FIN'!$A$1:$O$116,15,0))*(1-0.04)</f>
        <v>1614.8351999999998</v>
      </c>
      <c r="X553" s="70">
        <f>IF(ISERROR(VLOOKUP($U$553,'TAR FIN'!$A$1:$O$116,15,0)),0,VLOOKUP($U$553,'TAR FIN'!$A$1:$O$116,15,0))*(1-0.04)</f>
        <v>476.30399999999997</v>
      </c>
      <c r="Y553" s="70"/>
      <c r="Z553" s="70">
        <f ca="1">('TUSD BE'!$AM$34+'TUSD BF'!$AM$34+'TUSD CVA'!$AM$34)*1*(1-0.02)</f>
        <v>1930.5215556846936</v>
      </c>
      <c r="AA553" s="70">
        <f>('TE BE'!$AB$9+'TE BF'!$AB$9+'TE CVA'!$AB$9)*1*(1-0.02)</f>
        <v>499.84893464590823</v>
      </c>
      <c r="AB553" s="70">
        <f>(SUBSIDIO!$J$553*SUBSIDIO!$V$553)*(0.04)/(1-0.04)</f>
        <v>0</v>
      </c>
      <c r="AC553" s="70">
        <f>((SUBSIDIO!$L$553*SUBSIDIO!$W$553)+(SUBSIDIO!$N$553*SUBSIDIO!$X$553))*(0.04)/(1-0.04)</f>
        <v>1365.6881591999997</v>
      </c>
      <c r="AD553" s="70">
        <f>(SUBSIDIO!$J$553*SUBSIDIO!$Y$553)*(0.02)/(1-0.02)</f>
        <v>0</v>
      </c>
      <c r="AE553" s="70">
        <f ca="1">((SUBSIDIO!$L$553*SUBSIDIO!$Z$553)+(SUBSIDIO!$N$553*SUBSIDIO!$AA$553))*(0.02)/(1-0.02)</f>
        <v>777.42096051922147</v>
      </c>
      <c r="AF553" s="4" t="s">
        <v>1114</v>
      </c>
    </row>
    <row r="554" spans="1:32" ht="11.25" customHeight="1" x14ac:dyDescent="0.25">
      <c r="A554" s="4" t="s">
        <v>21</v>
      </c>
      <c r="B554" s="4" t="s">
        <v>41</v>
      </c>
      <c r="C554" s="4" t="s">
        <v>42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34</v>
      </c>
      <c r="I554" s="5">
        <v>44501</v>
      </c>
      <c r="J554" s="6">
        <v>0</v>
      </c>
      <c r="K554" s="70">
        <v>0</v>
      </c>
      <c r="L554" s="6">
        <v>14.475</v>
      </c>
      <c r="M554" s="70">
        <v>14.475</v>
      </c>
      <c r="N554" s="6">
        <v>14.475</v>
      </c>
      <c r="O554" s="70">
        <v>14.475</v>
      </c>
      <c r="P554" s="6">
        <v>0</v>
      </c>
      <c r="Q554" s="4" t="s">
        <v>26</v>
      </c>
      <c r="R554" s="4">
        <v>0</v>
      </c>
      <c r="S554" s="4">
        <v>0</v>
      </c>
      <c r="T554" s="4">
        <v>30</v>
      </c>
      <c r="U554" s="4">
        <v>78</v>
      </c>
      <c r="V554" s="70">
        <f>IF(ISERROR(VLOOKUP($S$554,'TAR FIN'!$A$1:$O$116,15,0)),0,VLOOKUP($S$554,'TAR FIN'!$A$1:$O$116,15,0))</f>
        <v>0</v>
      </c>
      <c r="W554" s="70">
        <f>IF(ISERROR(VLOOKUP($T$554,'TAR FIN'!$A$1:$O$116,15,0)),0,VLOOKUP($T$554,'TAR FIN'!$A$1:$O$116,15,0))*(1-0.04)</f>
        <v>1614.8351999999998</v>
      </c>
      <c r="X554" s="70">
        <f>IF(ISERROR(VLOOKUP($U$554,'TAR FIN'!$A$1:$O$116,15,0)),0,VLOOKUP($U$554,'TAR FIN'!$A$1:$O$116,15,0))*(1-0.04)</f>
        <v>476.30399999999997</v>
      </c>
      <c r="Y554" s="70"/>
      <c r="Z554" s="70">
        <f ca="1">('TUSD BE'!$AM$34+'TUSD BF'!$AM$34+'TUSD CVA'!$AM$34)*1*(1-0.02)</f>
        <v>1930.5215556846936</v>
      </c>
      <c r="AA554" s="70">
        <f>('TE BE'!$AB$9+'TE BF'!$AB$9+'TE CVA'!$AB$9)*1*(1-0.02)</f>
        <v>499.84893464590823</v>
      </c>
      <c r="AB554" s="70">
        <f>(SUBSIDIO!$J$554*SUBSIDIO!$V$554)*(0.04)/(1-0.04)</f>
        <v>0</v>
      </c>
      <c r="AC554" s="70">
        <f>((SUBSIDIO!$L$554*SUBSIDIO!$W$554)+(SUBSIDIO!$N$554*SUBSIDIO!$X$554))*(0.04)/(1-0.04)</f>
        <v>1261.2183299999999</v>
      </c>
      <c r="AD554" s="70">
        <f>(SUBSIDIO!$J$554*SUBSIDIO!$Y$554)*(0.02)/(1-0.02)</f>
        <v>0</v>
      </c>
      <c r="AE554" s="70">
        <f ca="1">((SUBSIDIO!$L$554*SUBSIDIO!$Z$554)+(SUBSIDIO!$N$554*SUBSIDIO!$AA$554))*(0.02)/(1-0.02)</f>
        <v>717.95128260276454</v>
      </c>
      <c r="AF554" s="4" t="s">
        <v>1114</v>
      </c>
    </row>
    <row r="555" spans="1:32" ht="11.25" customHeight="1" x14ac:dyDescent="0.25">
      <c r="A555" s="4" t="s">
        <v>21</v>
      </c>
      <c r="B555" s="4" t="s">
        <v>41</v>
      </c>
      <c r="C555" s="4" t="s">
        <v>42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34</v>
      </c>
      <c r="I555" s="5">
        <v>44531</v>
      </c>
      <c r="J555" s="6">
        <v>0</v>
      </c>
      <c r="K555" s="70">
        <v>0</v>
      </c>
      <c r="L555" s="6">
        <v>16.393999999999998</v>
      </c>
      <c r="M555" s="70">
        <v>16.393999999999998</v>
      </c>
      <c r="N555" s="6">
        <v>16.393999999999998</v>
      </c>
      <c r="O555" s="70">
        <v>16.393999999999998</v>
      </c>
      <c r="P555" s="6">
        <v>0</v>
      </c>
      <c r="Q555" s="4" t="s">
        <v>26</v>
      </c>
      <c r="R555" s="4">
        <v>0</v>
      </c>
      <c r="S555" s="4">
        <v>0</v>
      </c>
      <c r="T555" s="4">
        <v>30</v>
      </c>
      <c r="U555" s="4">
        <v>78</v>
      </c>
      <c r="V555" s="70">
        <f>IF(ISERROR(VLOOKUP($S$555,'TAR FIN'!$A$1:$O$116,15,0)),0,VLOOKUP($S$555,'TAR FIN'!$A$1:$O$116,15,0))</f>
        <v>0</v>
      </c>
      <c r="W555" s="70">
        <f>IF(ISERROR(VLOOKUP($T$555,'TAR FIN'!$A$1:$O$116,15,0)),0,VLOOKUP($T$555,'TAR FIN'!$A$1:$O$116,15,0))*(1-0.04)</f>
        <v>1614.8351999999998</v>
      </c>
      <c r="X555" s="70">
        <f>IF(ISERROR(VLOOKUP($U$555,'TAR FIN'!$A$1:$O$116,15,0)),0,VLOOKUP($U$555,'TAR FIN'!$A$1:$O$116,15,0))*(1-0.04)</f>
        <v>476.30399999999997</v>
      </c>
      <c r="Y555" s="70"/>
      <c r="Z555" s="70">
        <f ca="1">('TUSD BE'!$AM$34+'TUSD BF'!$AM$34+'TUSD CVA'!$AM$34)*1*(1-0.02)</f>
        <v>1930.5215556846936</v>
      </c>
      <c r="AA555" s="70">
        <f>('TE BE'!$AB$9+'TE BF'!$AB$9+'TE CVA'!$AB$9)*1*(1-0.02)</f>
        <v>499.84893464590823</v>
      </c>
      <c r="AB555" s="70">
        <f>(SUBSIDIO!$J$555*SUBSIDIO!$V$555)*(0.04)/(1-0.04)</f>
        <v>0</v>
      </c>
      <c r="AC555" s="70">
        <f>((SUBSIDIO!$L$555*SUBSIDIO!$W$555)+(SUBSIDIO!$N$555*SUBSIDIO!$X$555))*(0.04)/(1-0.04)</f>
        <v>1428.4223351999997</v>
      </c>
      <c r="AD555" s="70">
        <f>(SUBSIDIO!$J$555*SUBSIDIO!$Y$555)*(0.02)/(1-0.02)</f>
        <v>0</v>
      </c>
      <c r="AE555" s="70">
        <f ca="1">((SUBSIDIO!$L$555*SUBSIDIO!$Z$555)+(SUBSIDIO!$N$555*SUBSIDIO!$AA$555))*(0.02)/(1-0.02)</f>
        <v>813.13252690775266</v>
      </c>
      <c r="AF555" s="4" t="s">
        <v>1114</v>
      </c>
    </row>
    <row r="556" spans="1:32" ht="11.25" customHeight="1" x14ac:dyDescent="0.25">
      <c r="A556" s="4" t="s">
        <v>21</v>
      </c>
      <c r="B556" s="4" t="s">
        <v>41</v>
      </c>
      <c r="C556" s="4" t="s">
        <v>42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34</v>
      </c>
      <c r="I556" s="5">
        <v>44562</v>
      </c>
      <c r="J556" s="6">
        <v>0</v>
      </c>
      <c r="K556" s="70">
        <v>0</v>
      </c>
      <c r="L556" s="6">
        <v>11.942</v>
      </c>
      <c r="M556" s="70">
        <v>11.942</v>
      </c>
      <c r="N556" s="6">
        <v>11.942</v>
      </c>
      <c r="O556" s="70">
        <v>11.942</v>
      </c>
      <c r="P556" s="6">
        <v>0</v>
      </c>
      <c r="Q556" s="4" t="s">
        <v>26</v>
      </c>
      <c r="R556" s="4">
        <v>0</v>
      </c>
      <c r="S556" s="4">
        <v>0</v>
      </c>
      <c r="T556" s="4">
        <v>30</v>
      </c>
      <c r="U556" s="4">
        <v>78</v>
      </c>
      <c r="V556" s="70">
        <f>IF(ISERROR(VLOOKUP($S$556,'TAR FIN'!$A$1:$O$116,15,0)),0,VLOOKUP($S$556,'TAR FIN'!$A$1:$O$116,15,0))</f>
        <v>0</v>
      </c>
      <c r="W556" s="70">
        <f>IF(ISERROR(VLOOKUP($T$556,'TAR FIN'!$A$1:$O$116,15,0)),0,VLOOKUP($T$556,'TAR FIN'!$A$1:$O$116,15,0))*(1-0.04)</f>
        <v>1614.8351999999998</v>
      </c>
      <c r="X556" s="70">
        <f>IF(ISERROR(VLOOKUP($U$556,'TAR FIN'!$A$1:$O$116,15,0)),0,VLOOKUP($U$556,'TAR FIN'!$A$1:$O$116,15,0))*(1-0.04)</f>
        <v>476.30399999999997</v>
      </c>
      <c r="Y556" s="70"/>
      <c r="Z556" s="70">
        <f ca="1">('TUSD BE'!$AM$34+'TUSD BF'!$AM$34+'TUSD CVA'!$AM$34)*1*(1-0.02)</f>
        <v>1930.5215556846936</v>
      </c>
      <c r="AA556" s="70">
        <f>('TE BE'!$AB$9+'TE BF'!$AB$9+'TE CVA'!$AB$9)*1*(1-0.02)</f>
        <v>499.84893464590823</v>
      </c>
      <c r="AB556" s="70">
        <f>(SUBSIDIO!$J$556*SUBSIDIO!$V$556)*(0.04)/(1-0.04)</f>
        <v>0</v>
      </c>
      <c r="AC556" s="70">
        <f>((SUBSIDIO!$L$556*SUBSIDIO!$W$556)+(SUBSIDIO!$N$556*SUBSIDIO!$X$556))*(0.04)/(1-0.04)</f>
        <v>1040.5160136</v>
      </c>
      <c r="AD556" s="70">
        <f>(SUBSIDIO!$J$556*SUBSIDIO!$Y$556)*(0.02)/(1-0.02)</f>
        <v>0</v>
      </c>
      <c r="AE556" s="70">
        <f ca="1">((SUBSIDIO!$L$556*SUBSIDIO!$Z$556)+(SUBSIDIO!$N$556*SUBSIDIO!$AA$556))*(0.02)/(1-0.02)</f>
        <v>592.31600807200107</v>
      </c>
      <c r="AF556" s="4" t="s">
        <v>1114</v>
      </c>
    </row>
    <row r="557" spans="1:32" ht="11.25" customHeight="1" x14ac:dyDescent="0.25">
      <c r="A557" s="4" t="s">
        <v>21</v>
      </c>
      <c r="B557" s="4" t="s">
        <v>41</v>
      </c>
      <c r="C557" s="4" t="s">
        <v>42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34</v>
      </c>
      <c r="I557" s="5">
        <v>44593</v>
      </c>
      <c r="J557" s="6">
        <v>0</v>
      </c>
      <c r="K557" s="70">
        <v>0</v>
      </c>
      <c r="L557" s="6">
        <v>11.489000000000001</v>
      </c>
      <c r="M557" s="70">
        <v>11.489000000000001</v>
      </c>
      <c r="N557" s="6">
        <v>11.489000000000001</v>
      </c>
      <c r="O557" s="70">
        <v>11.489000000000001</v>
      </c>
      <c r="P557" s="6">
        <v>0</v>
      </c>
      <c r="Q557" s="4" t="s">
        <v>26</v>
      </c>
      <c r="R557" s="4">
        <v>0</v>
      </c>
      <c r="S557" s="4">
        <v>0</v>
      </c>
      <c r="T557" s="4">
        <v>30</v>
      </c>
      <c r="U557" s="4">
        <v>78</v>
      </c>
      <c r="V557" s="70">
        <f>IF(ISERROR(VLOOKUP($S$557,'TAR FIN'!$A$1:$O$116,15,0)),0,VLOOKUP($S$557,'TAR FIN'!$A$1:$O$116,15,0))</f>
        <v>0</v>
      </c>
      <c r="W557" s="70">
        <f>IF(ISERROR(VLOOKUP($T$557,'TAR FIN'!$A$1:$O$116,15,0)),0,VLOOKUP($T$557,'TAR FIN'!$A$1:$O$116,15,0))*(1-0.04)</f>
        <v>1614.8351999999998</v>
      </c>
      <c r="X557" s="70">
        <f>IF(ISERROR(VLOOKUP($U$557,'TAR FIN'!$A$1:$O$116,15,0)),0,VLOOKUP($U$557,'TAR FIN'!$A$1:$O$116,15,0))*(1-0.04)</f>
        <v>476.30399999999997</v>
      </c>
      <c r="Y557" s="70"/>
      <c r="Z557" s="70">
        <f ca="1">('TUSD BE'!$AM$34+'TUSD BF'!$AM$34+'TUSD CVA'!$AM$34)*1*(1-0.02)</f>
        <v>1930.5215556846936</v>
      </c>
      <c r="AA557" s="70">
        <f>('TE BE'!$AB$9+'TE BF'!$AB$9+'TE CVA'!$AB$9)*1*(1-0.02)</f>
        <v>499.84893464590823</v>
      </c>
      <c r="AB557" s="70">
        <f>(SUBSIDIO!$J$557*SUBSIDIO!$V$557)*(0.04)/(1-0.04)</f>
        <v>0</v>
      </c>
      <c r="AC557" s="70">
        <f>((SUBSIDIO!$L$557*SUBSIDIO!$W$557)+(SUBSIDIO!$N$557*SUBSIDIO!$X$557))*(0.04)/(1-0.04)</f>
        <v>1001.0457612000001</v>
      </c>
      <c r="AD557" s="70">
        <f>(SUBSIDIO!$J$557*SUBSIDIO!$Y$557)*(0.02)/(1-0.02)</f>
        <v>0</v>
      </c>
      <c r="AE557" s="70">
        <f ca="1">((SUBSIDIO!$L$557*SUBSIDIO!$Z$557)+(SUBSIDIO!$N$557*SUBSIDIO!$AA$557))*(0.02)/(1-0.02)</f>
        <v>569.84748088588344</v>
      </c>
      <c r="AF557" s="4" t="s">
        <v>1114</v>
      </c>
    </row>
    <row r="558" spans="1:32" ht="11.25" customHeight="1" x14ac:dyDescent="0.25">
      <c r="A558" s="4" t="s">
        <v>21</v>
      </c>
      <c r="B558" s="4" t="s">
        <v>41</v>
      </c>
      <c r="C558" s="4" t="s">
        <v>42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34</v>
      </c>
      <c r="I558" s="5">
        <v>44621</v>
      </c>
      <c r="J558" s="6">
        <v>0</v>
      </c>
      <c r="K558" s="70">
        <v>0</v>
      </c>
      <c r="L558" s="6">
        <v>11.153</v>
      </c>
      <c r="M558" s="70">
        <v>11.153</v>
      </c>
      <c r="N558" s="6">
        <v>11.153</v>
      </c>
      <c r="O558" s="70">
        <v>11.153</v>
      </c>
      <c r="P558" s="6">
        <v>0</v>
      </c>
      <c r="Q558" s="4" t="s">
        <v>26</v>
      </c>
      <c r="R558" s="4">
        <v>0</v>
      </c>
      <c r="S558" s="4">
        <v>0</v>
      </c>
      <c r="T558" s="4">
        <v>30</v>
      </c>
      <c r="U558" s="4">
        <v>78</v>
      </c>
      <c r="V558" s="70">
        <f>IF(ISERROR(VLOOKUP($S$558,'TAR FIN'!$A$1:$O$116,15,0)),0,VLOOKUP($S$558,'TAR FIN'!$A$1:$O$116,15,0))</f>
        <v>0</v>
      </c>
      <c r="W558" s="70">
        <f>IF(ISERROR(VLOOKUP($T$558,'TAR FIN'!$A$1:$O$116,15,0)),0,VLOOKUP($T$558,'TAR FIN'!$A$1:$O$116,15,0))*(1-0.04)</f>
        <v>1614.8351999999998</v>
      </c>
      <c r="X558" s="70">
        <f>IF(ISERROR(VLOOKUP($U$558,'TAR FIN'!$A$1:$O$116,15,0)),0,VLOOKUP($U$558,'TAR FIN'!$A$1:$O$116,15,0))*(1-0.04)</f>
        <v>476.30399999999997</v>
      </c>
      <c r="Y558" s="70"/>
      <c r="Z558" s="70">
        <f ca="1">('TUSD BE'!$AM$34+'TUSD BF'!$AM$34+'TUSD CVA'!$AM$34)*1*(1-0.02)</f>
        <v>1930.5215556846936</v>
      </c>
      <c r="AA558" s="70">
        <f>('TE BE'!$AB$9+'TE BF'!$AB$9+'TE CVA'!$AB$9)*1*(1-0.02)</f>
        <v>499.84893464590823</v>
      </c>
      <c r="AB558" s="70">
        <f>(SUBSIDIO!$J$558*SUBSIDIO!$V$558)*(0.04)/(1-0.04)</f>
        <v>0</v>
      </c>
      <c r="AC558" s="70">
        <f>((SUBSIDIO!$L$558*SUBSIDIO!$W$558)+(SUBSIDIO!$N$558*SUBSIDIO!$X$558))*(0.04)/(1-0.04)</f>
        <v>971.76981239999998</v>
      </c>
      <c r="AD558" s="70">
        <f>(SUBSIDIO!$J$558*SUBSIDIO!$Y$558)*(0.02)/(1-0.02)</f>
        <v>0</v>
      </c>
      <c r="AE558" s="70">
        <f ca="1">((SUBSIDIO!$L$558*SUBSIDIO!$Z$558)+(SUBSIDIO!$N$558*SUBSIDIO!$AA$558))*(0.02)/(1-0.02)</f>
        <v>553.18208323790213</v>
      </c>
      <c r="AF558" s="4" t="s">
        <v>1114</v>
      </c>
    </row>
    <row r="559" spans="1:32" ht="11.25" customHeight="1" x14ac:dyDescent="0.25">
      <c r="A559" s="4" t="s">
        <v>21</v>
      </c>
      <c r="B559" s="4" t="s">
        <v>41</v>
      </c>
      <c r="C559" s="4" t="s">
        <v>42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34</v>
      </c>
      <c r="I559" s="5">
        <v>44652</v>
      </c>
      <c r="J559" s="6">
        <v>0</v>
      </c>
      <c r="K559" s="70">
        <v>0</v>
      </c>
      <c r="L559" s="6">
        <v>10.262</v>
      </c>
      <c r="M559" s="70">
        <v>10.262</v>
      </c>
      <c r="N559" s="6">
        <v>10.262</v>
      </c>
      <c r="O559" s="70">
        <v>10.262</v>
      </c>
      <c r="P559" s="6">
        <v>0</v>
      </c>
      <c r="Q559" s="4" t="s">
        <v>26</v>
      </c>
      <c r="R559" s="4">
        <v>0</v>
      </c>
      <c r="S559" s="4">
        <v>0</v>
      </c>
      <c r="T559" s="4">
        <v>30</v>
      </c>
      <c r="U559" s="4">
        <v>78</v>
      </c>
      <c r="V559" s="70">
        <f>IF(ISERROR(VLOOKUP($S$559,'TAR FIN'!$A$1:$O$116,15,0)),0,VLOOKUP($S$559,'TAR FIN'!$A$1:$O$116,15,0))</f>
        <v>0</v>
      </c>
      <c r="W559" s="70">
        <f>IF(ISERROR(VLOOKUP($T$559,'TAR FIN'!$A$1:$O$116,15,0)),0,VLOOKUP($T$559,'TAR FIN'!$A$1:$O$116,15,0))*(1-0.04)</f>
        <v>1614.8351999999998</v>
      </c>
      <c r="X559" s="70">
        <f>IF(ISERROR(VLOOKUP($U$559,'TAR FIN'!$A$1:$O$116,15,0)),0,VLOOKUP($U$559,'TAR FIN'!$A$1:$O$116,15,0))*(1-0.04)</f>
        <v>476.30399999999997</v>
      </c>
      <c r="Y559" s="70"/>
      <c r="Z559" s="70">
        <f ca="1">('TUSD BE'!$AM$34+'TUSD BF'!$AM$34+'TUSD CVA'!$AM$34)*1*(1-0.02)</f>
        <v>1930.5215556846936</v>
      </c>
      <c r="AA559" s="70">
        <f>('TE BE'!$AB$9+'TE BF'!$AB$9+'TE CVA'!$AB$9)*1*(1-0.02)</f>
        <v>499.84893464590823</v>
      </c>
      <c r="AB559" s="70">
        <f>(SUBSIDIO!$J$559*SUBSIDIO!$V$559)*(0.04)/(1-0.04)</f>
        <v>0</v>
      </c>
      <c r="AC559" s="70">
        <f>((SUBSIDIO!$L$559*SUBSIDIO!$W$559)+(SUBSIDIO!$N$559*SUBSIDIO!$X$559))*(0.04)/(1-0.04)</f>
        <v>894.13626959999999</v>
      </c>
      <c r="AD559" s="70">
        <f>(SUBSIDIO!$J$559*SUBSIDIO!$Y$559)*(0.02)/(1-0.02)</f>
        <v>0</v>
      </c>
      <c r="AE559" s="70">
        <f ca="1">((SUBSIDIO!$L$559*SUBSIDIO!$Z$559)+(SUBSIDIO!$N$559*SUBSIDIO!$AA$559))*(0.02)/(1-0.02)</f>
        <v>508.98901983209464</v>
      </c>
      <c r="AF559" s="4" t="s">
        <v>1114</v>
      </c>
    </row>
    <row r="560" spans="1:32" ht="11.25" customHeight="1" x14ac:dyDescent="0.25">
      <c r="A560" s="4" t="s">
        <v>58</v>
      </c>
      <c r="B560" s="4" t="s">
        <v>41</v>
      </c>
      <c r="C560" s="4" t="s">
        <v>42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34</v>
      </c>
      <c r="I560" s="5">
        <v>44682</v>
      </c>
      <c r="J560" s="6">
        <v>0</v>
      </c>
      <c r="K560" s="70">
        <v>0</v>
      </c>
      <c r="L560" s="6">
        <v>10.262</v>
      </c>
      <c r="M560" s="70">
        <v>10.262</v>
      </c>
      <c r="N560" s="6">
        <v>10.262</v>
      </c>
      <c r="O560" s="70">
        <v>10.262</v>
      </c>
      <c r="P560" s="6">
        <v>0</v>
      </c>
      <c r="Q560" s="4" t="s">
        <v>26</v>
      </c>
      <c r="R560" s="4">
        <v>0</v>
      </c>
      <c r="S560" s="4">
        <v>0</v>
      </c>
      <c r="T560" s="4">
        <v>30</v>
      </c>
      <c r="U560" s="4">
        <v>78</v>
      </c>
      <c r="V560" s="70">
        <f>IF(ISERROR(VLOOKUP($S$560,'TAR FIN'!$A$1:$O$116,15,0)),0,VLOOKUP($S$560,'TAR FIN'!$A$1:$O$116,15,0))</f>
        <v>0</v>
      </c>
      <c r="W560" s="70">
        <f>IF(ISERROR(VLOOKUP($T$560,'TAR FIN'!$A$1:$O$116,15,0)),0,VLOOKUP($T$560,'TAR FIN'!$A$1:$O$116,15,0))*(1-0.04)</f>
        <v>1614.8351999999998</v>
      </c>
      <c r="X560" s="70">
        <f>IF(ISERROR(VLOOKUP($U$560,'TAR FIN'!$A$1:$O$116,15,0)),0,VLOOKUP($U$560,'TAR FIN'!$A$1:$O$116,15,0))*(1-0.04)</f>
        <v>476.30399999999997</v>
      </c>
      <c r="Y560" s="70"/>
      <c r="Z560" s="70">
        <f ca="1">('TUSD BE'!$AM$34+'TUSD BF'!$AM$34+'TUSD CVA'!$AM$34)*1*(1-0.02)</f>
        <v>1930.5215556846936</v>
      </c>
      <c r="AA560" s="70">
        <f>('TE BE'!$AB$9+'TE BF'!$AB$9+'TE CVA'!$AB$9)*1*(1-0.02)</f>
        <v>499.84893464590823</v>
      </c>
      <c r="AB560" s="70">
        <f>(SUBSIDIO!$J$560*SUBSIDIO!$V$560)*(0.04)/(1-0.04)</f>
        <v>0</v>
      </c>
      <c r="AC560" s="70">
        <f>((SUBSIDIO!$L$560*SUBSIDIO!$W$560)+(SUBSIDIO!$N$560*SUBSIDIO!$X$560))*(0.04)/(1-0.04)</f>
        <v>894.13626959999999</v>
      </c>
      <c r="AD560" s="70">
        <f>(SUBSIDIO!$J$560*SUBSIDIO!$Y$560)*(0.02)/(1-0.02)</f>
        <v>0</v>
      </c>
      <c r="AE560" s="70">
        <f ca="1">((SUBSIDIO!$L$560*SUBSIDIO!$Z$560)+(SUBSIDIO!$N$560*SUBSIDIO!$AA$560))*(0.02)/(1-0.02)</f>
        <v>508.98901983209464</v>
      </c>
      <c r="AF560" s="4" t="s">
        <v>1114</v>
      </c>
    </row>
    <row r="561" spans="1:32" ht="11.25" customHeight="1" x14ac:dyDescent="0.25">
      <c r="A561" s="4" t="s">
        <v>21</v>
      </c>
      <c r="B561" s="4" t="s">
        <v>41</v>
      </c>
      <c r="C561" s="4" t="s">
        <v>42</v>
      </c>
      <c r="D561" s="4" t="s">
        <v>51</v>
      </c>
      <c r="E561" s="4" t="s">
        <v>52</v>
      </c>
      <c r="F561" s="4" t="s">
        <v>25</v>
      </c>
      <c r="G561" s="4" t="s">
        <v>25</v>
      </c>
      <c r="H561" s="4" t="s">
        <v>35</v>
      </c>
      <c r="I561" s="5">
        <v>44348</v>
      </c>
      <c r="J561" s="6">
        <v>0</v>
      </c>
      <c r="K561" s="70">
        <v>0</v>
      </c>
      <c r="L561" s="6">
        <v>1663.22</v>
      </c>
      <c r="M561" s="70">
        <v>1663.22</v>
      </c>
      <c r="N561" s="6">
        <v>1663.22</v>
      </c>
      <c r="O561" s="70">
        <v>1663.22</v>
      </c>
      <c r="P561" s="6">
        <v>0</v>
      </c>
      <c r="Q561" s="4" t="s">
        <v>26</v>
      </c>
      <c r="R561" s="4">
        <v>0</v>
      </c>
      <c r="S561" s="4">
        <v>0</v>
      </c>
      <c r="T561" s="4">
        <v>31</v>
      </c>
      <c r="U561" s="4">
        <v>79</v>
      </c>
      <c r="V561" s="70">
        <f>IF(ISERROR(VLOOKUP($S$561,'TAR FIN'!$A$1:$O$116,15,0)),0,VLOOKUP($S$561,'TAR FIN'!$A$1:$O$116,15,0))</f>
        <v>0</v>
      </c>
      <c r="W561" s="70">
        <f>IF(ISERROR(VLOOKUP($T$561,'TAR FIN'!$A$1:$O$116,15,0)),0,VLOOKUP($T$561,'TAR FIN'!$A$1:$O$116,15,0))*(1-0.06)</f>
        <v>83.340399999999988</v>
      </c>
      <c r="X561" s="70">
        <f>IF(ISERROR(VLOOKUP($U$561,'TAR FIN'!$A$1:$O$116,15,0)),0,VLOOKUP($U$561,'TAR FIN'!$A$1:$O$116,15,0))*(1-0.06)</f>
        <v>292.37760000000003</v>
      </c>
      <c r="Y561" s="70"/>
      <c r="Z561" s="70">
        <f ca="1">('TUSD BE'!$AM$35+'TUSD BF'!$AM$35+'TUSD CVA'!$AM$35)*1*(1-0.03)</f>
        <v>133.3127786832801</v>
      </c>
      <c r="AA561" s="70">
        <f>('TE BE'!$AB$10+'TE BF'!$AB$10+'TE CVA'!$AB$10)*1*(1-0.03)</f>
        <v>303.83220029520902</v>
      </c>
      <c r="AB561" s="70">
        <f>(SUBSIDIO!$J$561*SUBSIDIO!$V$561)*(0.06)/(1-0.06)</f>
        <v>0</v>
      </c>
      <c r="AC561" s="70">
        <f>((SUBSIDIO!$L$561*SUBSIDIO!$W$561)+(SUBSIDIO!$N$561*SUBSIDIO!$X$561))*(0.06)/(1-0.06)</f>
        <v>39887.342040000003</v>
      </c>
      <c r="AD561" s="70">
        <f>(SUBSIDIO!$J$561*SUBSIDIO!$Y$561)*(0.03)/(1-0.03)</f>
        <v>0</v>
      </c>
      <c r="AE561" s="70">
        <f ca="1">((SUBSIDIO!$L$561*SUBSIDIO!$Z$561)+(SUBSIDIO!$N$561*SUBSIDIO!$AA$561))*(0.03)/(1-0.03)</f>
        <v>22486.647585668121</v>
      </c>
      <c r="AF561" s="4" t="s">
        <v>1115</v>
      </c>
    </row>
    <row r="562" spans="1:32" ht="11.25" customHeight="1" x14ac:dyDescent="0.25">
      <c r="A562" s="4" t="s">
        <v>21</v>
      </c>
      <c r="B562" s="4" t="s">
        <v>41</v>
      </c>
      <c r="C562" s="4" t="s">
        <v>42</v>
      </c>
      <c r="D562" s="4" t="s">
        <v>51</v>
      </c>
      <c r="E562" s="4" t="s">
        <v>52</v>
      </c>
      <c r="F562" s="4" t="s">
        <v>25</v>
      </c>
      <c r="G562" s="4" t="s">
        <v>25</v>
      </c>
      <c r="H562" s="4" t="s">
        <v>35</v>
      </c>
      <c r="I562" s="5">
        <v>44378</v>
      </c>
      <c r="J562" s="6">
        <v>0</v>
      </c>
      <c r="K562" s="70">
        <v>0</v>
      </c>
      <c r="L562" s="6">
        <v>1732.1310000000001</v>
      </c>
      <c r="M562" s="70">
        <v>1732.1310000000001</v>
      </c>
      <c r="N562" s="6">
        <v>1732.1310000000001</v>
      </c>
      <c r="O562" s="70">
        <v>1732.1310000000001</v>
      </c>
      <c r="P562" s="6">
        <v>0</v>
      </c>
      <c r="Q562" s="4" t="s">
        <v>26</v>
      </c>
      <c r="R562" s="4">
        <v>0</v>
      </c>
      <c r="S562" s="4">
        <v>0</v>
      </c>
      <c r="T562" s="4">
        <v>31</v>
      </c>
      <c r="U562" s="4">
        <v>79</v>
      </c>
      <c r="V562" s="70">
        <f>IF(ISERROR(VLOOKUP($S$562,'TAR FIN'!$A$1:$O$116,15,0)),0,VLOOKUP($S$562,'TAR FIN'!$A$1:$O$116,15,0))</f>
        <v>0</v>
      </c>
      <c r="W562" s="70">
        <f>IF(ISERROR(VLOOKUP($T$562,'TAR FIN'!$A$1:$O$116,15,0)),0,VLOOKUP($T$562,'TAR FIN'!$A$1:$O$116,15,0))*(1-0.06)</f>
        <v>83.340399999999988</v>
      </c>
      <c r="X562" s="70">
        <f>IF(ISERROR(VLOOKUP($U$562,'TAR FIN'!$A$1:$O$116,15,0)),0,VLOOKUP($U$562,'TAR FIN'!$A$1:$O$116,15,0))*(1-0.06)</f>
        <v>292.37760000000003</v>
      </c>
      <c r="Y562" s="70"/>
      <c r="Z562" s="70">
        <f ca="1">('TUSD BE'!$AM$35+'TUSD BF'!$AM$35+'TUSD CVA'!$AM$35)*1*(1-0.03)</f>
        <v>133.3127786832801</v>
      </c>
      <c r="AA562" s="70">
        <f>('TE BE'!$AB$10+'TE BF'!$AB$10+'TE CVA'!$AB$10)*1*(1-0.03)</f>
        <v>303.83220029520902</v>
      </c>
      <c r="AB562" s="70">
        <f>(SUBSIDIO!$J$562*SUBSIDIO!$V$562)*(0.06)/(1-0.06)</f>
        <v>0</v>
      </c>
      <c r="AC562" s="70">
        <f>((SUBSIDIO!$L$562*SUBSIDIO!$W$562)+(SUBSIDIO!$N$562*SUBSIDIO!$X$562))*(0.06)/(1-0.06)</f>
        <v>41539.965642000003</v>
      </c>
      <c r="AD562" s="70">
        <f>(SUBSIDIO!$J$562*SUBSIDIO!$Y$562)*(0.03)/(1-0.03)</f>
        <v>0</v>
      </c>
      <c r="AE562" s="70">
        <f ca="1">((SUBSIDIO!$L$562*SUBSIDIO!$Z$562)+(SUBSIDIO!$N$562*SUBSIDIO!$AA$562))*(0.03)/(1-0.03)</f>
        <v>23418.32070875225</v>
      </c>
      <c r="AF562" s="4" t="s">
        <v>1115</v>
      </c>
    </row>
    <row r="563" spans="1:32" ht="11.25" customHeight="1" x14ac:dyDescent="0.25">
      <c r="A563" s="4" t="s">
        <v>21</v>
      </c>
      <c r="B563" s="4" t="s">
        <v>41</v>
      </c>
      <c r="C563" s="4" t="s">
        <v>42</v>
      </c>
      <c r="D563" s="4" t="s">
        <v>51</v>
      </c>
      <c r="E563" s="4" t="s">
        <v>52</v>
      </c>
      <c r="F563" s="4" t="s">
        <v>25</v>
      </c>
      <c r="G563" s="4" t="s">
        <v>25</v>
      </c>
      <c r="H563" s="4" t="s">
        <v>35</v>
      </c>
      <c r="I563" s="5">
        <v>44409</v>
      </c>
      <c r="J563" s="6">
        <v>0</v>
      </c>
      <c r="K563" s="70">
        <v>0</v>
      </c>
      <c r="L563" s="6">
        <v>1735.712</v>
      </c>
      <c r="M563" s="70">
        <v>1735.712</v>
      </c>
      <c r="N563" s="6">
        <v>1735.712</v>
      </c>
      <c r="O563" s="70">
        <v>1735.712</v>
      </c>
      <c r="P563" s="6">
        <v>0</v>
      </c>
      <c r="Q563" s="4" t="s">
        <v>26</v>
      </c>
      <c r="R563" s="4">
        <v>0</v>
      </c>
      <c r="S563" s="4">
        <v>0</v>
      </c>
      <c r="T563" s="4">
        <v>31</v>
      </c>
      <c r="U563" s="4">
        <v>79</v>
      </c>
      <c r="V563" s="70">
        <f>IF(ISERROR(VLOOKUP($S$563,'TAR FIN'!$A$1:$O$116,15,0)),0,VLOOKUP($S$563,'TAR FIN'!$A$1:$O$116,15,0))</f>
        <v>0</v>
      </c>
      <c r="W563" s="70">
        <f>IF(ISERROR(VLOOKUP($T$563,'TAR FIN'!$A$1:$O$116,15,0)),0,VLOOKUP($T$563,'TAR FIN'!$A$1:$O$116,15,0))*(1-0.06)</f>
        <v>83.340399999999988</v>
      </c>
      <c r="X563" s="70">
        <f>IF(ISERROR(VLOOKUP($U$563,'TAR FIN'!$A$1:$O$116,15,0)),0,VLOOKUP($U$563,'TAR FIN'!$A$1:$O$116,15,0))*(1-0.06)</f>
        <v>292.37760000000003</v>
      </c>
      <c r="Y563" s="70"/>
      <c r="Z563" s="70">
        <f ca="1">('TUSD BE'!$AM$35+'TUSD BF'!$AM$35+'TUSD CVA'!$AM$35)*1*(1-0.03)</f>
        <v>133.3127786832801</v>
      </c>
      <c r="AA563" s="70">
        <f>('TE BE'!$AB$10+'TE BF'!$AB$10+'TE CVA'!$AB$10)*1*(1-0.03)</f>
        <v>303.83220029520902</v>
      </c>
      <c r="AB563" s="70">
        <f>(SUBSIDIO!$J$563*SUBSIDIO!$V$563)*(0.06)/(1-0.06)</f>
        <v>0</v>
      </c>
      <c r="AC563" s="70">
        <f>((SUBSIDIO!$L$563*SUBSIDIO!$W$563)+(SUBSIDIO!$N$563*SUBSIDIO!$X$563))*(0.06)/(1-0.06)</f>
        <v>41625.845183999998</v>
      </c>
      <c r="AD563" s="70">
        <f>(SUBSIDIO!$J$563*SUBSIDIO!$Y$563)*(0.03)/(1-0.03)</f>
        <v>0</v>
      </c>
      <c r="AE563" s="70">
        <f ca="1">((SUBSIDIO!$L$563*SUBSIDIO!$Z$563)+(SUBSIDIO!$N$563*SUBSIDIO!$AA$563))*(0.03)/(1-0.03)</f>
        <v>23466.735641836432</v>
      </c>
      <c r="AF563" s="4" t="s">
        <v>1115</v>
      </c>
    </row>
    <row r="564" spans="1:32" ht="11.25" customHeight="1" x14ac:dyDescent="0.25">
      <c r="A564" s="4" t="s">
        <v>21</v>
      </c>
      <c r="B564" s="4" t="s">
        <v>41</v>
      </c>
      <c r="C564" s="4" t="s">
        <v>42</v>
      </c>
      <c r="D564" s="4" t="s">
        <v>51</v>
      </c>
      <c r="E564" s="4" t="s">
        <v>52</v>
      </c>
      <c r="F564" s="4" t="s">
        <v>25</v>
      </c>
      <c r="G564" s="4" t="s">
        <v>25</v>
      </c>
      <c r="H564" s="4" t="s">
        <v>35</v>
      </c>
      <c r="I564" s="5">
        <v>44440</v>
      </c>
      <c r="J564" s="6">
        <v>0</v>
      </c>
      <c r="K564" s="70">
        <v>0</v>
      </c>
      <c r="L564" s="6">
        <v>1740.075</v>
      </c>
      <c r="M564" s="70">
        <v>1740.075</v>
      </c>
      <c r="N564" s="6">
        <v>1740.075</v>
      </c>
      <c r="O564" s="70">
        <v>1740.075</v>
      </c>
      <c r="P564" s="6">
        <v>0</v>
      </c>
      <c r="Q564" s="4" t="s">
        <v>26</v>
      </c>
      <c r="R564" s="4">
        <v>0</v>
      </c>
      <c r="S564" s="4">
        <v>0</v>
      </c>
      <c r="T564" s="4">
        <v>31</v>
      </c>
      <c r="U564" s="4">
        <v>79</v>
      </c>
      <c r="V564" s="70">
        <f>IF(ISERROR(VLOOKUP($S$564,'TAR FIN'!$A$1:$O$116,15,0)),0,VLOOKUP($S$564,'TAR FIN'!$A$1:$O$116,15,0))</f>
        <v>0</v>
      </c>
      <c r="W564" s="70">
        <f>IF(ISERROR(VLOOKUP($T$564,'TAR FIN'!$A$1:$O$116,15,0)),0,VLOOKUP($T$564,'TAR FIN'!$A$1:$O$116,15,0))*(1-0.06)</f>
        <v>83.340399999999988</v>
      </c>
      <c r="X564" s="70">
        <f>IF(ISERROR(VLOOKUP($U$564,'TAR FIN'!$A$1:$O$116,15,0)),0,VLOOKUP($U$564,'TAR FIN'!$A$1:$O$116,15,0))*(1-0.06)</f>
        <v>292.37760000000003</v>
      </c>
      <c r="Y564" s="70"/>
      <c r="Z564" s="70">
        <f ca="1">('TUSD BE'!$AM$35+'TUSD BF'!$AM$35+'TUSD CVA'!$AM$35)*1*(1-0.03)</f>
        <v>133.3127786832801</v>
      </c>
      <c r="AA564" s="70">
        <f>('TE BE'!$AB$10+'TE BF'!$AB$10+'TE CVA'!$AB$10)*1*(1-0.03)</f>
        <v>303.83220029520902</v>
      </c>
      <c r="AB564" s="70">
        <f>(SUBSIDIO!$J$564*SUBSIDIO!$V$564)*(0.06)/(1-0.06)</f>
        <v>0</v>
      </c>
      <c r="AC564" s="70">
        <f>((SUBSIDIO!$L$564*SUBSIDIO!$W$564)+(SUBSIDIO!$N$564*SUBSIDIO!$X$564))*(0.06)/(1-0.06)</f>
        <v>41730.478650000012</v>
      </c>
      <c r="AD564" s="70">
        <f>(SUBSIDIO!$J$564*SUBSIDIO!$Y$564)*(0.03)/(1-0.03)</f>
        <v>0</v>
      </c>
      <c r="AE564" s="70">
        <f ca="1">((SUBSIDIO!$L$564*SUBSIDIO!$Z$564)+(SUBSIDIO!$N$564*SUBSIDIO!$AA$564))*(0.03)/(1-0.03)</f>
        <v>23525.723174102921</v>
      </c>
      <c r="AF564" s="4" t="s">
        <v>1115</v>
      </c>
    </row>
    <row r="565" spans="1:32" ht="11.25" customHeight="1" x14ac:dyDescent="0.25">
      <c r="A565" s="4" t="s">
        <v>21</v>
      </c>
      <c r="B565" s="4" t="s">
        <v>41</v>
      </c>
      <c r="C565" s="4" t="s">
        <v>42</v>
      </c>
      <c r="D565" s="4" t="s">
        <v>51</v>
      </c>
      <c r="E565" s="4" t="s">
        <v>52</v>
      </c>
      <c r="F565" s="4" t="s">
        <v>25</v>
      </c>
      <c r="G565" s="4" t="s">
        <v>25</v>
      </c>
      <c r="H565" s="4" t="s">
        <v>35</v>
      </c>
      <c r="I565" s="5">
        <v>44470</v>
      </c>
      <c r="J565" s="6">
        <v>0</v>
      </c>
      <c r="K565" s="70">
        <v>0</v>
      </c>
      <c r="L565" s="6">
        <v>1820.239</v>
      </c>
      <c r="M565" s="70">
        <v>1820.239</v>
      </c>
      <c r="N565" s="6">
        <v>1820.239</v>
      </c>
      <c r="O565" s="70">
        <v>1820.239</v>
      </c>
      <c r="P565" s="6">
        <v>0</v>
      </c>
      <c r="Q565" s="4" t="s">
        <v>26</v>
      </c>
      <c r="R565" s="4">
        <v>0</v>
      </c>
      <c r="S565" s="4">
        <v>0</v>
      </c>
      <c r="T565" s="4">
        <v>31</v>
      </c>
      <c r="U565" s="4">
        <v>79</v>
      </c>
      <c r="V565" s="70">
        <f>IF(ISERROR(VLOOKUP($S$565,'TAR FIN'!$A$1:$O$116,15,0)),0,VLOOKUP($S$565,'TAR FIN'!$A$1:$O$116,15,0))</f>
        <v>0</v>
      </c>
      <c r="W565" s="70">
        <f>IF(ISERROR(VLOOKUP($T$565,'TAR FIN'!$A$1:$O$116,15,0)),0,VLOOKUP($T$565,'TAR FIN'!$A$1:$O$116,15,0))*(1-0.06)</f>
        <v>83.340399999999988</v>
      </c>
      <c r="X565" s="70">
        <f>IF(ISERROR(VLOOKUP($U$565,'TAR FIN'!$A$1:$O$116,15,0)),0,VLOOKUP($U$565,'TAR FIN'!$A$1:$O$116,15,0))*(1-0.06)</f>
        <v>292.37760000000003</v>
      </c>
      <c r="Y565" s="70"/>
      <c r="Z565" s="70">
        <f ca="1">('TUSD BE'!$AM$35+'TUSD BF'!$AM$35+'TUSD CVA'!$AM$35)*1*(1-0.03)</f>
        <v>133.3127786832801</v>
      </c>
      <c r="AA565" s="70">
        <f>('TE BE'!$AB$10+'TE BF'!$AB$10+'TE CVA'!$AB$10)*1*(1-0.03)</f>
        <v>303.83220029520902</v>
      </c>
      <c r="AB565" s="70">
        <f>(SUBSIDIO!$J$565*SUBSIDIO!$V$565)*(0.06)/(1-0.06)</f>
        <v>0</v>
      </c>
      <c r="AC565" s="70">
        <f>((SUBSIDIO!$L$565*SUBSIDIO!$W$565)+(SUBSIDIO!$N$565*SUBSIDIO!$X$565))*(0.06)/(1-0.06)</f>
        <v>43652.971698000008</v>
      </c>
      <c r="AD565" s="70">
        <f>(SUBSIDIO!$J$565*SUBSIDIO!$Y$565)*(0.03)/(1-0.03)</f>
        <v>0</v>
      </c>
      <c r="AE565" s="70">
        <f ca="1">((SUBSIDIO!$L$565*SUBSIDIO!$Z$565)+(SUBSIDIO!$N$565*SUBSIDIO!$AA$565))*(0.03)/(1-0.03)</f>
        <v>24609.53626981936</v>
      </c>
      <c r="AF565" s="4" t="s">
        <v>1115</v>
      </c>
    </row>
    <row r="566" spans="1:32" ht="11.25" customHeight="1" x14ac:dyDescent="0.25">
      <c r="A566" s="4" t="s">
        <v>21</v>
      </c>
      <c r="B566" s="4" t="s">
        <v>41</v>
      </c>
      <c r="C566" s="4" t="s">
        <v>42</v>
      </c>
      <c r="D566" s="4" t="s">
        <v>51</v>
      </c>
      <c r="E566" s="4" t="s">
        <v>52</v>
      </c>
      <c r="F566" s="4" t="s">
        <v>25</v>
      </c>
      <c r="G566" s="4" t="s">
        <v>25</v>
      </c>
      <c r="H566" s="4" t="s">
        <v>35</v>
      </c>
      <c r="I566" s="5">
        <v>44501</v>
      </c>
      <c r="J566" s="6">
        <v>0</v>
      </c>
      <c r="K566" s="70">
        <v>0</v>
      </c>
      <c r="L566" s="6">
        <v>1795.0060000000001</v>
      </c>
      <c r="M566" s="70">
        <v>1795.0060000000001</v>
      </c>
      <c r="N566" s="6">
        <v>1795.0060000000001</v>
      </c>
      <c r="O566" s="70">
        <v>1795.0060000000001</v>
      </c>
      <c r="P566" s="6">
        <v>0</v>
      </c>
      <c r="Q566" s="4" t="s">
        <v>26</v>
      </c>
      <c r="R566" s="4">
        <v>0</v>
      </c>
      <c r="S566" s="4">
        <v>0</v>
      </c>
      <c r="T566" s="4">
        <v>31</v>
      </c>
      <c r="U566" s="4">
        <v>79</v>
      </c>
      <c r="V566" s="70">
        <f>IF(ISERROR(VLOOKUP($S$566,'TAR FIN'!$A$1:$O$116,15,0)),0,VLOOKUP($S$566,'TAR FIN'!$A$1:$O$116,15,0))</f>
        <v>0</v>
      </c>
      <c r="W566" s="70">
        <f>IF(ISERROR(VLOOKUP($T$566,'TAR FIN'!$A$1:$O$116,15,0)),0,VLOOKUP($T$566,'TAR FIN'!$A$1:$O$116,15,0))*(1-0.06)</f>
        <v>83.340399999999988</v>
      </c>
      <c r="X566" s="70">
        <f>IF(ISERROR(VLOOKUP($U$566,'TAR FIN'!$A$1:$O$116,15,0)),0,VLOOKUP($U$566,'TAR FIN'!$A$1:$O$116,15,0))*(1-0.06)</f>
        <v>292.37760000000003</v>
      </c>
      <c r="Y566" s="70"/>
      <c r="Z566" s="70">
        <f ca="1">('TUSD BE'!$AM$35+'TUSD BF'!$AM$35+'TUSD CVA'!$AM$35)*1*(1-0.03)</f>
        <v>133.3127786832801</v>
      </c>
      <c r="AA566" s="70">
        <f>('TE BE'!$AB$10+'TE BF'!$AB$10+'TE CVA'!$AB$10)*1*(1-0.03)</f>
        <v>303.83220029520902</v>
      </c>
      <c r="AB566" s="70">
        <f>(SUBSIDIO!$J$566*SUBSIDIO!$V$566)*(0.06)/(1-0.06)</f>
        <v>0</v>
      </c>
      <c r="AC566" s="70">
        <f>((SUBSIDIO!$L$566*SUBSIDIO!$W$566)+(SUBSIDIO!$N$566*SUBSIDIO!$X$566))*(0.06)/(1-0.06)</f>
        <v>43047.83389200001</v>
      </c>
      <c r="AD566" s="70">
        <f>(SUBSIDIO!$J$566*SUBSIDIO!$Y$566)*(0.03)/(1-0.03)</f>
        <v>0</v>
      </c>
      <c r="AE566" s="70">
        <f ca="1">((SUBSIDIO!$L$566*SUBSIDIO!$Z$566)+(SUBSIDIO!$N$566*SUBSIDIO!$AA$566))*(0.03)/(1-0.03)</f>
        <v>24268.387426894697</v>
      </c>
      <c r="AF566" s="4" t="s">
        <v>1115</v>
      </c>
    </row>
    <row r="567" spans="1:32" ht="11.25" customHeight="1" x14ac:dyDescent="0.25">
      <c r="A567" s="4" t="s">
        <v>21</v>
      </c>
      <c r="B567" s="4" t="s">
        <v>41</v>
      </c>
      <c r="C567" s="4" t="s">
        <v>42</v>
      </c>
      <c r="D567" s="4" t="s">
        <v>51</v>
      </c>
      <c r="E567" s="4" t="s">
        <v>52</v>
      </c>
      <c r="F567" s="4" t="s">
        <v>25</v>
      </c>
      <c r="G567" s="4" t="s">
        <v>25</v>
      </c>
      <c r="H567" s="4" t="s">
        <v>35</v>
      </c>
      <c r="I567" s="5">
        <v>44531</v>
      </c>
      <c r="J567" s="6">
        <v>0</v>
      </c>
      <c r="K567" s="70">
        <v>0</v>
      </c>
      <c r="L567" s="6">
        <v>1827.7429999999999</v>
      </c>
      <c r="M567" s="70">
        <v>1827.7429999999999</v>
      </c>
      <c r="N567" s="6">
        <v>1827.7429999999999</v>
      </c>
      <c r="O567" s="70">
        <v>1827.7429999999999</v>
      </c>
      <c r="P567" s="6">
        <v>0</v>
      </c>
      <c r="Q567" s="4" t="s">
        <v>26</v>
      </c>
      <c r="R567" s="4">
        <v>0</v>
      </c>
      <c r="S567" s="4">
        <v>0</v>
      </c>
      <c r="T567" s="4">
        <v>31</v>
      </c>
      <c r="U567" s="4">
        <v>79</v>
      </c>
      <c r="V567" s="70">
        <f>IF(ISERROR(VLOOKUP($S$567,'TAR FIN'!$A$1:$O$116,15,0)),0,VLOOKUP($S$567,'TAR FIN'!$A$1:$O$116,15,0))</f>
        <v>0</v>
      </c>
      <c r="W567" s="70">
        <f>IF(ISERROR(VLOOKUP($T$567,'TAR FIN'!$A$1:$O$116,15,0)),0,VLOOKUP($T$567,'TAR FIN'!$A$1:$O$116,15,0))*(1-0.06)</f>
        <v>83.340399999999988</v>
      </c>
      <c r="X567" s="70">
        <f>IF(ISERROR(VLOOKUP($U$567,'TAR FIN'!$A$1:$O$116,15,0)),0,VLOOKUP($U$567,'TAR FIN'!$A$1:$O$116,15,0))*(1-0.06)</f>
        <v>292.37760000000003</v>
      </c>
      <c r="Y567" s="70"/>
      <c r="Z567" s="70">
        <f ca="1">('TUSD BE'!$AM$35+'TUSD BF'!$AM$35+'TUSD CVA'!$AM$35)*1*(1-0.03)</f>
        <v>133.3127786832801</v>
      </c>
      <c r="AA567" s="70">
        <f>('TE BE'!$AB$10+'TE BF'!$AB$10+'TE CVA'!$AB$10)*1*(1-0.03)</f>
        <v>303.83220029520902</v>
      </c>
      <c r="AB567" s="70">
        <f>(SUBSIDIO!$J$567*SUBSIDIO!$V$567)*(0.06)/(1-0.06)</f>
        <v>0</v>
      </c>
      <c r="AC567" s="70">
        <f>((SUBSIDIO!$L$567*SUBSIDIO!$W$567)+(SUBSIDIO!$N$567*SUBSIDIO!$X$567))*(0.06)/(1-0.06)</f>
        <v>43832.932626000002</v>
      </c>
      <c r="AD567" s="70">
        <f>(SUBSIDIO!$J$567*SUBSIDIO!$Y$567)*(0.03)/(1-0.03)</f>
        <v>0</v>
      </c>
      <c r="AE567" s="70">
        <f ca="1">((SUBSIDIO!$L$567*SUBSIDIO!$Z$567)+(SUBSIDIO!$N$567*SUBSIDIO!$AA$567))*(0.03)/(1-0.03)</f>
        <v>24710.989958136513</v>
      </c>
      <c r="AF567" s="4" t="s">
        <v>1115</v>
      </c>
    </row>
    <row r="568" spans="1:32" ht="11.25" customHeight="1" x14ac:dyDescent="0.25">
      <c r="A568" s="4" t="s">
        <v>21</v>
      </c>
      <c r="B568" s="4" t="s">
        <v>41</v>
      </c>
      <c r="C568" s="4" t="s">
        <v>42</v>
      </c>
      <c r="D568" s="4" t="s">
        <v>51</v>
      </c>
      <c r="E568" s="4" t="s">
        <v>52</v>
      </c>
      <c r="F568" s="4" t="s">
        <v>25</v>
      </c>
      <c r="G568" s="4" t="s">
        <v>25</v>
      </c>
      <c r="H568" s="4" t="s">
        <v>35</v>
      </c>
      <c r="I568" s="5">
        <v>44562</v>
      </c>
      <c r="J568" s="6">
        <v>0</v>
      </c>
      <c r="K568" s="70">
        <v>0</v>
      </c>
      <c r="L568" s="6">
        <v>1866.038</v>
      </c>
      <c r="M568" s="70">
        <v>1866.038</v>
      </c>
      <c r="N568" s="6">
        <v>1866.038</v>
      </c>
      <c r="O568" s="70">
        <v>1866.038</v>
      </c>
      <c r="P568" s="6">
        <v>0</v>
      </c>
      <c r="Q568" s="4" t="s">
        <v>26</v>
      </c>
      <c r="R568" s="4">
        <v>0</v>
      </c>
      <c r="S568" s="4">
        <v>0</v>
      </c>
      <c r="T568" s="4">
        <v>31</v>
      </c>
      <c r="U568" s="4">
        <v>79</v>
      </c>
      <c r="V568" s="70">
        <f>IF(ISERROR(VLOOKUP($S$568,'TAR FIN'!$A$1:$O$116,15,0)),0,VLOOKUP($S$568,'TAR FIN'!$A$1:$O$116,15,0))</f>
        <v>0</v>
      </c>
      <c r="W568" s="70">
        <f>IF(ISERROR(VLOOKUP($T$568,'TAR FIN'!$A$1:$O$116,15,0)),0,VLOOKUP($T$568,'TAR FIN'!$A$1:$O$116,15,0))*(1-0.06)</f>
        <v>83.340399999999988</v>
      </c>
      <c r="X568" s="70">
        <f>IF(ISERROR(VLOOKUP($U$568,'TAR FIN'!$A$1:$O$116,15,0)),0,VLOOKUP($U$568,'TAR FIN'!$A$1:$O$116,15,0))*(1-0.06)</f>
        <v>292.37760000000003</v>
      </c>
      <c r="Y568" s="70"/>
      <c r="Z568" s="70">
        <f ca="1">('TUSD BE'!$AM$35+'TUSD BF'!$AM$35+'TUSD CVA'!$AM$35)*1*(1-0.03)</f>
        <v>133.3127786832801</v>
      </c>
      <c r="AA568" s="70">
        <f>('TE BE'!$AB$10+'TE BF'!$AB$10+'TE CVA'!$AB$10)*1*(1-0.03)</f>
        <v>303.83220029520902</v>
      </c>
      <c r="AB568" s="70">
        <f>(SUBSIDIO!$J$568*SUBSIDIO!$V$568)*(0.06)/(1-0.06)</f>
        <v>0</v>
      </c>
      <c r="AC568" s="70">
        <f>((SUBSIDIO!$L$568*SUBSIDIO!$W$568)+(SUBSIDIO!$N$568*SUBSIDIO!$X$568))*(0.06)/(1-0.06)</f>
        <v>44751.323315999995</v>
      </c>
      <c r="AD568" s="70">
        <f>(SUBSIDIO!$J$568*SUBSIDIO!$Y$568)*(0.03)/(1-0.03)</f>
        <v>0</v>
      </c>
      <c r="AE568" s="70">
        <f ca="1">((SUBSIDIO!$L$568*SUBSIDIO!$Z$568)+(SUBSIDIO!$N$568*SUBSIDIO!$AA$568))*(0.03)/(1-0.03)</f>
        <v>25228.736359269958</v>
      </c>
      <c r="AF568" s="4" t="s">
        <v>1115</v>
      </c>
    </row>
    <row r="569" spans="1:32" ht="11.25" customHeight="1" x14ac:dyDescent="0.25">
      <c r="A569" s="4" t="s">
        <v>21</v>
      </c>
      <c r="B569" s="4" t="s">
        <v>41</v>
      </c>
      <c r="C569" s="4" t="s">
        <v>42</v>
      </c>
      <c r="D569" s="4" t="s">
        <v>51</v>
      </c>
      <c r="E569" s="4" t="s">
        <v>52</v>
      </c>
      <c r="F569" s="4" t="s">
        <v>25</v>
      </c>
      <c r="G569" s="4" t="s">
        <v>25</v>
      </c>
      <c r="H569" s="4" t="s">
        <v>35</v>
      </c>
      <c r="I569" s="5">
        <v>44593</v>
      </c>
      <c r="J569" s="6">
        <v>0</v>
      </c>
      <c r="K569" s="70">
        <v>0</v>
      </c>
      <c r="L569" s="6">
        <v>1782.2</v>
      </c>
      <c r="M569" s="70">
        <v>1782.2</v>
      </c>
      <c r="N569" s="6">
        <v>1782.2</v>
      </c>
      <c r="O569" s="70">
        <v>1782.2</v>
      </c>
      <c r="P569" s="6">
        <v>0</v>
      </c>
      <c r="Q569" s="4" t="s">
        <v>26</v>
      </c>
      <c r="R569" s="4">
        <v>0</v>
      </c>
      <c r="S569" s="4">
        <v>0</v>
      </c>
      <c r="T569" s="4">
        <v>31</v>
      </c>
      <c r="U569" s="4">
        <v>79</v>
      </c>
      <c r="V569" s="70">
        <f>IF(ISERROR(VLOOKUP($S$569,'TAR FIN'!$A$1:$O$116,15,0)),0,VLOOKUP($S$569,'TAR FIN'!$A$1:$O$116,15,0))</f>
        <v>0</v>
      </c>
      <c r="W569" s="70">
        <f>IF(ISERROR(VLOOKUP($T$569,'TAR FIN'!$A$1:$O$116,15,0)),0,VLOOKUP($T$569,'TAR FIN'!$A$1:$O$116,15,0))*(1-0.06)</f>
        <v>83.340399999999988</v>
      </c>
      <c r="X569" s="70">
        <f>IF(ISERROR(VLOOKUP($U$569,'TAR FIN'!$A$1:$O$116,15,0)),0,VLOOKUP($U$569,'TAR FIN'!$A$1:$O$116,15,0))*(1-0.06)</f>
        <v>292.37760000000003</v>
      </c>
      <c r="Y569" s="70"/>
      <c r="Z569" s="70">
        <f ca="1">('TUSD BE'!$AM$35+'TUSD BF'!$AM$35+'TUSD CVA'!$AM$35)*1*(1-0.03)</f>
        <v>133.3127786832801</v>
      </c>
      <c r="AA569" s="70">
        <f>('TE BE'!$AB$10+'TE BF'!$AB$10+'TE CVA'!$AB$10)*1*(1-0.03)</f>
        <v>303.83220029520902</v>
      </c>
      <c r="AB569" s="70">
        <f>(SUBSIDIO!$J$569*SUBSIDIO!$V$569)*(0.06)/(1-0.06)</f>
        <v>0</v>
      </c>
      <c r="AC569" s="70">
        <f>((SUBSIDIO!$L$569*SUBSIDIO!$W$569)+(SUBSIDIO!$N$569*SUBSIDIO!$X$569))*(0.06)/(1-0.06)</f>
        <v>42740.720400000006</v>
      </c>
      <c r="AD569" s="70">
        <f>(SUBSIDIO!$J$569*SUBSIDIO!$Y$569)*(0.03)/(1-0.03)</f>
        <v>0</v>
      </c>
      <c r="AE569" s="70">
        <f ca="1">((SUBSIDIO!$L$569*SUBSIDIO!$Z$569)+(SUBSIDIO!$N$569*SUBSIDIO!$AA$569))*(0.03)/(1-0.03)</f>
        <v>24095.250975323608</v>
      </c>
      <c r="AF569" s="4" t="s">
        <v>1115</v>
      </c>
    </row>
    <row r="570" spans="1:32" ht="11.25" customHeight="1" x14ac:dyDescent="0.25">
      <c r="A570" s="4" t="s">
        <v>21</v>
      </c>
      <c r="B570" s="4" t="s">
        <v>41</v>
      </c>
      <c r="C570" s="4" t="s">
        <v>42</v>
      </c>
      <c r="D570" s="4" t="s">
        <v>51</v>
      </c>
      <c r="E570" s="4" t="s">
        <v>52</v>
      </c>
      <c r="F570" s="4" t="s">
        <v>25</v>
      </c>
      <c r="G570" s="4" t="s">
        <v>25</v>
      </c>
      <c r="H570" s="4" t="s">
        <v>35</v>
      </c>
      <c r="I570" s="5">
        <v>44621</v>
      </c>
      <c r="J570" s="6">
        <v>0</v>
      </c>
      <c r="K570" s="70">
        <v>0</v>
      </c>
      <c r="L570" s="6">
        <v>1955.2739999999999</v>
      </c>
      <c r="M570" s="70">
        <v>1955.2739999999999</v>
      </c>
      <c r="N570" s="6">
        <v>1955.2739999999999</v>
      </c>
      <c r="O570" s="70">
        <v>1955.2739999999999</v>
      </c>
      <c r="P570" s="6">
        <v>0</v>
      </c>
      <c r="Q570" s="4" t="s">
        <v>26</v>
      </c>
      <c r="R570" s="4">
        <v>0</v>
      </c>
      <c r="S570" s="4">
        <v>0</v>
      </c>
      <c r="T570" s="4">
        <v>31</v>
      </c>
      <c r="U570" s="4">
        <v>79</v>
      </c>
      <c r="V570" s="70">
        <f>IF(ISERROR(VLOOKUP($S$570,'TAR FIN'!$A$1:$O$116,15,0)),0,VLOOKUP($S$570,'TAR FIN'!$A$1:$O$116,15,0))</f>
        <v>0</v>
      </c>
      <c r="W570" s="70">
        <f>IF(ISERROR(VLOOKUP($T$570,'TAR FIN'!$A$1:$O$116,15,0)),0,VLOOKUP($T$570,'TAR FIN'!$A$1:$O$116,15,0))*(1-0.06)</f>
        <v>83.340399999999988</v>
      </c>
      <c r="X570" s="70">
        <f>IF(ISERROR(VLOOKUP($U$570,'TAR FIN'!$A$1:$O$116,15,0)),0,VLOOKUP($U$570,'TAR FIN'!$A$1:$O$116,15,0))*(1-0.06)</f>
        <v>292.37760000000003</v>
      </c>
      <c r="Y570" s="70"/>
      <c r="Z570" s="70">
        <f ca="1">('TUSD BE'!$AM$35+'TUSD BF'!$AM$35+'TUSD CVA'!$AM$35)*1*(1-0.03)</f>
        <v>133.3127786832801</v>
      </c>
      <c r="AA570" s="70">
        <f>('TE BE'!$AB$10+'TE BF'!$AB$10+'TE CVA'!$AB$10)*1*(1-0.03)</f>
        <v>303.83220029520902</v>
      </c>
      <c r="AB570" s="70">
        <f>(SUBSIDIO!$J$570*SUBSIDIO!$V$570)*(0.06)/(1-0.06)</f>
        <v>0</v>
      </c>
      <c r="AC570" s="70">
        <f>((SUBSIDIO!$L$570*SUBSIDIO!$W$570)+(SUBSIDIO!$N$570*SUBSIDIO!$X$570))*(0.06)/(1-0.06)</f>
        <v>46891.381068000002</v>
      </c>
      <c r="AD570" s="70">
        <f>(SUBSIDIO!$J$570*SUBSIDIO!$Y$570)*(0.03)/(1-0.03)</f>
        <v>0</v>
      </c>
      <c r="AE570" s="70">
        <f ca="1">((SUBSIDIO!$L$570*SUBSIDIO!$Z$570)+(SUBSIDIO!$N$570*SUBSIDIO!$AA$570))*(0.03)/(1-0.03)</f>
        <v>26435.202421459369</v>
      </c>
      <c r="AF570" s="4" t="s">
        <v>1115</v>
      </c>
    </row>
    <row r="571" spans="1:32" ht="11.25" customHeight="1" x14ac:dyDescent="0.25">
      <c r="A571" s="4" t="s">
        <v>21</v>
      </c>
      <c r="B571" s="4" t="s">
        <v>41</v>
      </c>
      <c r="C571" s="4" t="s">
        <v>42</v>
      </c>
      <c r="D571" s="4" t="s">
        <v>51</v>
      </c>
      <c r="E571" s="4" t="s">
        <v>52</v>
      </c>
      <c r="F571" s="4" t="s">
        <v>25</v>
      </c>
      <c r="G571" s="4" t="s">
        <v>25</v>
      </c>
      <c r="H571" s="4" t="s">
        <v>35</v>
      </c>
      <c r="I571" s="5">
        <v>44652</v>
      </c>
      <c r="J571" s="6">
        <v>0</v>
      </c>
      <c r="K571" s="70">
        <v>0</v>
      </c>
      <c r="L571" s="6">
        <v>1900.193</v>
      </c>
      <c r="M571" s="70">
        <v>1900.193</v>
      </c>
      <c r="N571" s="6">
        <v>1900.193</v>
      </c>
      <c r="O571" s="70">
        <v>1900.193</v>
      </c>
      <c r="P571" s="6">
        <v>0</v>
      </c>
      <c r="Q571" s="4" t="s">
        <v>26</v>
      </c>
      <c r="R571" s="4">
        <v>0</v>
      </c>
      <c r="S571" s="4">
        <v>0</v>
      </c>
      <c r="T571" s="4">
        <v>31</v>
      </c>
      <c r="U571" s="4">
        <v>79</v>
      </c>
      <c r="V571" s="70">
        <f>IF(ISERROR(VLOOKUP($S$571,'TAR FIN'!$A$1:$O$116,15,0)),0,VLOOKUP($S$571,'TAR FIN'!$A$1:$O$116,15,0))</f>
        <v>0</v>
      </c>
      <c r="W571" s="70">
        <f>IF(ISERROR(VLOOKUP($T$571,'TAR FIN'!$A$1:$O$116,15,0)),0,VLOOKUP($T$571,'TAR FIN'!$A$1:$O$116,15,0))*(1-0.06)</f>
        <v>83.340399999999988</v>
      </c>
      <c r="X571" s="70">
        <f>IF(ISERROR(VLOOKUP($U$571,'TAR FIN'!$A$1:$O$116,15,0)),0,VLOOKUP($U$571,'TAR FIN'!$A$1:$O$116,15,0))*(1-0.06)</f>
        <v>292.37760000000003</v>
      </c>
      <c r="Y571" s="70"/>
      <c r="Z571" s="70">
        <f ca="1">('TUSD BE'!$AM$35+'TUSD BF'!$AM$35+'TUSD CVA'!$AM$35)*1*(1-0.03)</f>
        <v>133.3127786832801</v>
      </c>
      <c r="AA571" s="70">
        <f>('TE BE'!$AB$10+'TE BF'!$AB$10+'TE CVA'!$AB$10)*1*(1-0.03)</f>
        <v>303.83220029520902</v>
      </c>
      <c r="AB571" s="70">
        <f>(SUBSIDIO!$J$571*SUBSIDIO!$V$571)*(0.06)/(1-0.06)</f>
        <v>0</v>
      </c>
      <c r="AC571" s="70">
        <f>((SUBSIDIO!$L$571*SUBSIDIO!$W$571)+(SUBSIDIO!$N$571*SUBSIDIO!$X$571))*(0.06)/(1-0.06)</f>
        <v>45570.428526000003</v>
      </c>
      <c r="AD571" s="70">
        <f>(SUBSIDIO!$J$571*SUBSIDIO!$Y$571)*(0.03)/(1-0.03)</f>
        <v>0</v>
      </c>
      <c r="AE571" s="70">
        <f ca="1">((SUBSIDIO!$L$571*SUBSIDIO!$Z$571)+(SUBSIDIO!$N$571*SUBSIDIO!$AA$571))*(0.03)/(1-0.03)</f>
        <v>25690.510176497079</v>
      </c>
      <c r="AF571" s="4" t="s">
        <v>1115</v>
      </c>
    </row>
    <row r="572" spans="1:32" ht="11.25" customHeight="1" x14ac:dyDescent="0.25">
      <c r="A572" s="4" t="s">
        <v>58</v>
      </c>
      <c r="B572" s="4" t="s">
        <v>41</v>
      </c>
      <c r="C572" s="4" t="s">
        <v>42</v>
      </c>
      <c r="D572" s="4" t="s">
        <v>51</v>
      </c>
      <c r="E572" s="4" t="s">
        <v>52</v>
      </c>
      <c r="F572" s="4" t="s">
        <v>25</v>
      </c>
      <c r="G572" s="4" t="s">
        <v>25</v>
      </c>
      <c r="H572" s="4" t="s">
        <v>35</v>
      </c>
      <c r="I572" s="5">
        <v>44682</v>
      </c>
      <c r="J572" s="6">
        <v>0</v>
      </c>
      <c r="K572" s="70">
        <v>0</v>
      </c>
      <c r="L572" s="6">
        <v>1900.193</v>
      </c>
      <c r="M572" s="70">
        <v>1900.193</v>
      </c>
      <c r="N572" s="6">
        <v>1900.193</v>
      </c>
      <c r="O572" s="70">
        <v>1900.193</v>
      </c>
      <c r="P572" s="6">
        <v>0</v>
      </c>
      <c r="Q572" s="4" t="s">
        <v>26</v>
      </c>
      <c r="R572" s="4">
        <v>0</v>
      </c>
      <c r="S572" s="4">
        <v>0</v>
      </c>
      <c r="T572" s="4">
        <v>31</v>
      </c>
      <c r="U572" s="4">
        <v>79</v>
      </c>
      <c r="V572" s="70">
        <f>IF(ISERROR(VLOOKUP($S$572,'TAR FIN'!$A$1:$O$116,15,0)),0,VLOOKUP($S$572,'TAR FIN'!$A$1:$O$116,15,0))</f>
        <v>0</v>
      </c>
      <c r="W572" s="70">
        <f>IF(ISERROR(VLOOKUP($T$572,'TAR FIN'!$A$1:$O$116,15,0)),0,VLOOKUP($T$572,'TAR FIN'!$A$1:$O$116,15,0))*(1-0.06)</f>
        <v>83.340399999999988</v>
      </c>
      <c r="X572" s="70">
        <f>IF(ISERROR(VLOOKUP($U$572,'TAR FIN'!$A$1:$O$116,15,0)),0,VLOOKUP($U$572,'TAR FIN'!$A$1:$O$116,15,0))*(1-0.06)</f>
        <v>292.37760000000003</v>
      </c>
      <c r="Y572" s="70"/>
      <c r="Z572" s="70">
        <f ca="1">('TUSD BE'!$AM$35+'TUSD BF'!$AM$35+'TUSD CVA'!$AM$35)*1*(1-0.03)</f>
        <v>133.3127786832801</v>
      </c>
      <c r="AA572" s="70">
        <f>('TE BE'!$AB$10+'TE BF'!$AB$10+'TE CVA'!$AB$10)*1*(1-0.03)</f>
        <v>303.83220029520902</v>
      </c>
      <c r="AB572" s="70">
        <f>(SUBSIDIO!$J$572*SUBSIDIO!$V$572)*(0.06)/(1-0.06)</f>
        <v>0</v>
      </c>
      <c r="AC572" s="70">
        <f>((SUBSIDIO!$L$572*SUBSIDIO!$W$572)+(SUBSIDIO!$N$572*SUBSIDIO!$X$572))*(0.06)/(1-0.06)</f>
        <v>45570.428526000003</v>
      </c>
      <c r="AD572" s="70">
        <f>(SUBSIDIO!$J$572*SUBSIDIO!$Y$572)*(0.03)/(1-0.03)</f>
        <v>0</v>
      </c>
      <c r="AE572" s="70">
        <f ca="1">((SUBSIDIO!$L$572*SUBSIDIO!$Z$572)+(SUBSIDIO!$N$572*SUBSIDIO!$AA$572))*(0.03)/(1-0.03)</f>
        <v>25690.510176497079</v>
      </c>
      <c r="AF572" s="4" t="s">
        <v>1115</v>
      </c>
    </row>
    <row r="573" spans="1:32" ht="11.25" customHeight="1" x14ac:dyDescent="0.25">
      <c r="A573" s="4" t="s">
        <v>21</v>
      </c>
      <c r="B573" s="4" t="s">
        <v>41</v>
      </c>
      <c r="C573" s="4" t="s">
        <v>42</v>
      </c>
      <c r="D573" s="4" t="s">
        <v>51</v>
      </c>
      <c r="E573" s="4" t="s">
        <v>52</v>
      </c>
      <c r="F573" s="4" t="s">
        <v>25</v>
      </c>
      <c r="G573" s="4" t="s">
        <v>25</v>
      </c>
      <c r="H573" s="4" t="s">
        <v>25</v>
      </c>
      <c r="I573" s="5">
        <v>44348</v>
      </c>
      <c r="J573" s="6">
        <v>4021</v>
      </c>
      <c r="K573" s="71">
        <v>4021</v>
      </c>
      <c r="L573" s="6">
        <v>0</v>
      </c>
      <c r="M573" s="70">
        <v>0</v>
      </c>
      <c r="N573" s="6">
        <v>0</v>
      </c>
      <c r="O573" s="70">
        <v>0</v>
      </c>
      <c r="P573" s="6">
        <v>50</v>
      </c>
      <c r="Q573" s="4" t="s">
        <v>26</v>
      </c>
      <c r="R573" s="4">
        <v>0</v>
      </c>
      <c r="S573" s="4">
        <v>29</v>
      </c>
      <c r="T573" s="4">
        <v>0</v>
      </c>
      <c r="U573" s="4">
        <v>0</v>
      </c>
      <c r="V573" s="70">
        <f>IF(ISERROR(VLOOKUP($S$573,'TAR FIN'!$A$1:$O$116,15,0)),0,VLOOKUP($S$573,'TAR FIN'!$A$1:$O$116,15,0))*(1-0.06)</f>
        <v>23.979400000000002</v>
      </c>
      <c r="W573" s="70">
        <f>IF(ISERROR(VLOOKUP($T$573,'TAR FIN'!$A$1:$O$116,15,0)),0,VLOOKUP($T$573,'TAR FIN'!$A$1:$O$116,15,0))</f>
        <v>0</v>
      </c>
      <c r="X573" s="70">
        <f>IF(ISERROR(VLOOKUP($U$573,'TAR FIN'!$A$1:$O$116,15,0)),0,VLOOKUP($U$573,'TAR FIN'!$A$1:$O$116,15,0))</f>
        <v>0</v>
      </c>
      <c r="Y573" s="70">
        <f ca="1">('TUSD BE'!$AM$33+'TUSD BF'!$AM$33+'TUSD CVA'!$AM$33)*1*(1-0.03)</f>
        <v>28.909168793941035</v>
      </c>
      <c r="Z573" s="70"/>
      <c r="AA573" s="70"/>
      <c r="AB573" s="70">
        <f>(SUBSIDIO!$J$573*SUBSIDIO!$V$573)*(0.06)/(1-0.06)</f>
        <v>6154.5425999999998</v>
      </c>
      <c r="AC573" s="70">
        <f>((SUBSIDIO!$L$573*SUBSIDIO!$W$573)+(SUBSIDIO!$N$573*SUBSIDIO!$X$573))*(0.06)/(1-0.06)</f>
        <v>0</v>
      </c>
      <c r="AD573" s="70">
        <f ca="1">(SUBSIDIO!$J$573*SUBSIDIO!$Y$573)*(0.03)/(1-0.03)</f>
        <v>3595.1680738279451</v>
      </c>
      <c r="AE573" s="70">
        <f>((SUBSIDIO!$L$573*SUBSIDIO!$Z$573)+(SUBSIDIO!$N$573*SUBSIDIO!$AA$573))*(0.03)/(1-0.03)</f>
        <v>0</v>
      </c>
      <c r="AF573" s="4" t="s">
        <v>1115</v>
      </c>
    </row>
    <row r="574" spans="1:32" ht="11.25" customHeight="1" x14ac:dyDescent="0.25">
      <c r="A574" s="4" t="s">
        <v>21</v>
      </c>
      <c r="B574" s="4" t="s">
        <v>41</v>
      </c>
      <c r="C574" s="4" t="s">
        <v>42</v>
      </c>
      <c r="D574" s="4" t="s">
        <v>51</v>
      </c>
      <c r="E574" s="4" t="s">
        <v>52</v>
      </c>
      <c r="F574" s="4" t="s">
        <v>25</v>
      </c>
      <c r="G574" s="4" t="s">
        <v>25</v>
      </c>
      <c r="H574" s="4" t="s">
        <v>25</v>
      </c>
      <c r="I574" s="5">
        <v>44378</v>
      </c>
      <c r="J574" s="6">
        <v>4034</v>
      </c>
      <c r="K574" s="71">
        <v>4034</v>
      </c>
      <c r="L574" s="6">
        <v>0</v>
      </c>
      <c r="M574" s="70">
        <v>0</v>
      </c>
      <c r="N574" s="6">
        <v>0</v>
      </c>
      <c r="O574" s="70">
        <v>0</v>
      </c>
      <c r="P574" s="6">
        <v>51</v>
      </c>
      <c r="Q574" s="4" t="s">
        <v>26</v>
      </c>
      <c r="R574" s="4">
        <v>0</v>
      </c>
      <c r="S574" s="4">
        <v>29</v>
      </c>
      <c r="T574" s="4">
        <v>0</v>
      </c>
      <c r="U574" s="4">
        <v>0</v>
      </c>
      <c r="V574" s="70">
        <f>IF(ISERROR(VLOOKUP($S$574,'TAR FIN'!$A$1:$O$116,15,0)),0,VLOOKUP($S$574,'TAR FIN'!$A$1:$O$116,15,0))*(1-0.06)</f>
        <v>23.979400000000002</v>
      </c>
      <c r="W574" s="70">
        <f>IF(ISERROR(VLOOKUP($T$574,'TAR FIN'!$A$1:$O$116,15,0)),0,VLOOKUP($T$574,'TAR FIN'!$A$1:$O$116,15,0))</f>
        <v>0</v>
      </c>
      <c r="X574" s="70">
        <f>IF(ISERROR(VLOOKUP($U$574,'TAR FIN'!$A$1:$O$116,15,0)),0,VLOOKUP($U$574,'TAR FIN'!$A$1:$O$116,15,0))</f>
        <v>0</v>
      </c>
      <c r="Y574" s="70">
        <f ca="1">('TUSD BE'!$AM$33+'TUSD BF'!$AM$33+'TUSD CVA'!$AM$33)*1*(1-0.03)</f>
        <v>28.909168793941035</v>
      </c>
      <c r="Z574" s="70"/>
      <c r="AA574" s="70"/>
      <c r="AB574" s="70">
        <f>(SUBSIDIO!$J$574*SUBSIDIO!$V$574)*(0.06)/(1-0.06)</f>
        <v>6174.4404000000004</v>
      </c>
      <c r="AC574" s="70">
        <f>((SUBSIDIO!$L$574*SUBSIDIO!$W$574)+(SUBSIDIO!$N$574*SUBSIDIO!$X$574))*(0.06)/(1-0.06)</f>
        <v>0</v>
      </c>
      <c r="AD574" s="70">
        <f ca="1">(SUBSIDIO!$J$574*SUBSIDIO!$Y$574)*(0.03)/(1-0.03)</f>
        <v>3606.7913478791179</v>
      </c>
      <c r="AE574" s="70">
        <f>((SUBSIDIO!$L$574*SUBSIDIO!$Z$574)+(SUBSIDIO!$N$574*SUBSIDIO!$AA$574))*(0.03)/(1-0.03)</f>
        <v>0</v>
      </c>
      <c r="AF574" s="4" t="s">
        <v>1115</v>
      </c>
    </row>
    <row r="575" spans="1:32" ht="11.25" customHeight="1" x14ac:dyDescent="0.25">
      <c r="A575" s="4" t="s">
        <v>21</v>
      </c>
      <c r="B575" s="4" t="s">
        <v>41</v>
      </c>
      <c r="C575" s="4" t="s">
        <v>42</v>
      </c>
      <c r="D575" s="4" t="s">
        <v>51</v>
      </c>
      <c r="E575" s="4" t="s">
        <v>52</v>
      </c>
      <c r="F575" s="4" t="s">
        <v>25</v>
      </c>
      <c r="G575" s="4" t="s">
        <v>25</v>
      </c>
      <c r="H575" s="4" t="s">
        <v>25</v>
      </c>
      <c r="I575" s="5">
        <v>44409</v>
      </c>
      <c r="J575" s="6">
        <v>4039</v>
      </c>
      <c r="K575" s="71">
        <v>4039</v>
      </c>
      <c r="L575" s="6">
        <v>0</v>
      </c>
      <c r="M575" s="70">
        <v>0</v>
      </c>
      <c r="N575" s="6">
        <v>0</v>
      </c>
      <c r="O575" s="70">
        <v>0</v>
      </c>
      <c r="P575" s="6">
        <v>50</v>
      </c>
      <c r="Q575" s="4" t="s">
        <v>26</v>
      </c>
      <c r="R575" s="4">
        <v>0</v>
      </c>
      <c r="S575" s="4">
        <v>29</v>
      </c>
      <c r="T575" s="4">
        <v>0</v>
      </c>
      <c r="U575" s="4">
        <v>0</v>
      </c>
      <c r="V575" s="70">
        <f>IF(ISERROR(VLOOKUP($S$575,'TAR FIN'!$A$1:$O$116,15,0)),0,VLOOKUP($S$575,'TAR FIN'!$A$1:$O$116,15,0))*(1-0.06)</f>
        <v>23.979400000000002</v>
      </c>
      <c r="W575" s="70">
        <f>IF(ISERROR(VLOOKUP($T$575,'TAR FIN'!$A$1:$O$116,15,0)),0,VLOOKUP($T$575,'TAR FIN'!$A$1:$O$116,15,0))</f>
        <v>0</v>
      </c>
      <c r="X575" s="70">
        <f>IF(ISERROR(VLOOKUP($U$575,'TAR FIN'!$A$1:$O$116,15,0)),0,VLOOKUP($U$575,'TAR FIN'!$A$1:$O$116,15,0))</f>
        <v>0</v>
      </c>
      <c r="Y575" s="70">
        <f ca="1">('TUSD BE'!$AM$33+'TUSD BF'!$AM$33+'TUSD CVA'!$AM$33)*1*(1-0.03)</f>
        <v>28.909168793941035</v>
      </c>
      <c r="Z575" s="70"/>
      <c r="AA575" s="70"/>
      <c r="AB575" s="70">
        <f>(SUBSIDIO!$J$575*SUBSIDIO!$V$575)*(0.06)/(1-0.06)</f>
        <v>6182.0933999999997</v>
      </c>
      <c r="AC575" s="70">
        <f>((SUBSIDIO!$L$575*SUBSIDIO!$W$575)+(SUBSIDIO!$N$575*SUBSIDIO!$X$575))*(0.06)/(1-0.06)</f>
        <v>0</v>
      </c>
      <c r="AD575" s="70">
        <f ca="1">(SUBSIDIO!$J$575*SUBSIDIO!$Y$575)*(0.03)/(1-0.03)</f>
        <v>3611.2618378987991</v>
      </c>
      <c r="AE575" s="70">
        <f>((SUBSIDIO!$L$575*SUBSIDIO!$Z$575)+(SUBSIDIO!$N$575*SUBSIDIO!$AA$575))*(0.03)/(1-0.03)</f>
        <v>0</v>
      </c>
      <c r="AF575" s="4" t="s">
        <v>1115</v>
      </c>
    </row>
    <row r="576" spans="1:32" ht="11.25" customHeight="1" x14ac:dyDescent="0.25">
      <c r="A576" s="4" t="s">
        <v>21</v>
      </c>
      <c r="B576" s="4" t="s">
        <v>41</v>
      </c>
      <c r="C576" s="4" t="s">
        <v>42</v>
      </c>
      <c r="D576" s="4" t="s">
        <v>51</v>
      </c>
      <c r="E576" s="4" t="s">
        <v>52</v>
      </c>
      <c r="F576" s="4" t="s">
        <v>25</v>
      </c>
      <c r="G576" s="4" t="s">
        <v>25</v>
      </c>
      <c r="H576" s="4" t="s">
        <v>25</v>
      </c>
      <c r="I576" s="5">
        <v>44440</v>
      </c>
      <c r="J576" s="6">
        <v>4051</v>
      </c>
      <c r="K576" s="71">
        <v>4051</v>
      </c>
      <c r="L576" s="6">
        <v>0</v>
      </c>
      <c r="M576" s="70">
        <v>0</v>
      </c>
      <c r="N576" s="6">
        <v>0</v>
      </c>
      <c r="O576" s="70">
        <v>0</v>
      </c>
      <c r="P576" s="6">
        <v>50</v>
      </c>
      <c r="Q576" s="4" t="s">
        <v>26</v>
      </c>
      <c r="R576" s="4">
        <v>0</v>
      </c>
      <c r="S576" s="4">
        <v>29</v>
      </c>
      <c r="T576" s="4">
        <v>0</v>
      </c>
      <c r="U576" s="4">
        <v>0</v>
      </c>
      <c r="V576" s="70">
        <f>IF(ISERROR(VLOOKUP($S$576,'TAR FIN'!$A$1:$O$116,15,0)),0,VLOOKUP($S$576,'TAR FIN'!$A$1:$O$116,15,0))*(1-0.06)</f>
        <v>23.979400000000002</v>
      </c>
      <c r="W576" s="70">
        <f>IF(ISERROR(VLOOKUP($T$576,'TAR FIN'!$A$1:$O$116,15,0)),0,VLOOKUP($T$576,'TAR FIN'!$A$1:$O$116,15,0))</f>
        <v>0</v>
      </c>
      <c r="X576" s="70">
        <f>IF(ISERROR(VLOOKUP($U$576,'TAR FIN'!$A$1:$O$116,15,0)),0,VLOOKUP($U$576,'TAR FIN'!$A$1:$O$116,15,0))</f>
        <v>0</v>
      </c>
      <c r="Y576" s="70">
        <f ca="1">('TUSD BE'!$AM$33+'TUSD BF'!$AM$33+'TUSD CVA'!$AM$33)*1*(1-0.03)</f>
        <v>28.909168793941035</v>
      </c>
      <c r="Z576" s="70"/>
      <c r="AA576" s="70"/>
      <c r="AB576" s="70">
        <f>(SUBSIDIO!$J$576*SUBSIDIO!$V$576)*(0.06)/(1-0.06)</f>
        <v>6200.4606000000003</v>
      </c>
      <c r="AC576" s="70">
        <f>((SUBSIDIO!$L$576*SUBSIDIO!$W$576)+(SUBSIDIO!$N$576*SUBSIDIO!$X$576))*(0.06)/(1-0.06)</f>
        <v>0</v>
      </c>
      <c r="AD576" s="70">
        <f ca="1">(SUBSIDIO!$J$576*SUBSIDIO!$Y$576)*(0.03)/(1-0.03)</f>
        <v>3621.9910139460349</v>
      </c>
      <c r="AE576" s="70">
        <f>((SUBSIDIO!$L$576*SUBSIDIO!$Z$576)+(SUBSIDIO!$N$576*SUBSIDIO!$AA$576))*(0.03)/(1-0.03)</f>
        <v>0</v>
      </c>
      <c r="AF576" s="4" t="s">
        <v>1115</v>
      </c>
    </row>
    <row r="577" spans="1:32" ht="11.25" customHeight="1" x14ac:dyDescent="0.25">
      <c r="A577" s="4" t="s">
        <v>21</v>
      </c>
      <c r="B577" s="4" t="s">
        <v>41</v>
      </c>
      <c r="C577" s="4" t="s">
        <v>42</v>
      </c>
      <c r="D577" s="4" t="s">
        <v>51</v>
      </c>
      <c r="E577" s="4" t="s">
        <v>52</v>
      </c>
      <c r="F577" s="4" t="s">
        <v>25</v>
      </c>
      <c r="G577" s="4" t="s">
        <v>25</v>
      </c>
      <c r="H577" s="4" t="s">
        <v>25</v>
      </c>
      <c r="I577" s="5">
        <v>44470</v>
      </c>
      <c r="J577" s="6">
        <v>4378</v>
      </c>
      <c r="K577" s="71">
        <v>4378</v>
      </c>
      <c r="L577" s="6">
        <v>0</v>
      </c>
      <c r="M577" s="70">
        <v>0</v>
      </c>
      <c r="N577" s="6">
        <v>0</v>
      </c>
      <c r="O577" s="70">
        <v>0</v>
      </c>
      <c r="P577" s="6">
        <v>53</v>
      </c>
      <c r="Q577" s="4" t="s">
        <v>26</v>
      </c>
      <c r="R577" s="4">
        <v>0</v>
      </c>
      <c r="S577" s="4">
        <v>29</v>
      </c>
      <c r="T577" s="4">
        <v>0</v>
      </c>
      <c r="U577" s="4">
        <v>0</v>
      </c>
      <c r="V577" s="70">
        <f>IF(ISERROR(VLOOKUP($S$577,'TAR FIN'!$A$1:$O$116,15,0)),0,VLOOKUP($S$577,'TAR FIN'!$A$1:$O$116,15,0))*(1-0.06)</f>
        <v>23.979400000000002</v>
      </c>
      <c r="W577" s="70">
        <f>IF(ISERROR(VLOOKUP($T$577,'TAR FIN'!$A$1:$O$116,15,0)),0,VLOOKUP($T$577,'TAR FIN'!$A$1:$O$116,15,0))</f>
        <v>0</v>
      </c>
      <c r="X577" s="70">
        <f>IF(ISERROR(VLOOKUP($U$577,'TAR FIN'!$A$1:$O$116,15,0)),0,VLOOKUP($U$577,'TAR FIN'!$A$1:$O$116,15,0))</f>
        <v>0</v>
      </c>
      <c r="Y577" s="70">
        <f ca="1">('TUSD BE'!$AM$33+'TUSD BF'!$AM$33+'TUSD CVA'!$AM$33)*1*(1-0.03)</f>
        <v>28.909168793941035</v>
      </c>
      <c r="Z577" s="70"/>
      <c r="AA577" s="70"/>
      <c r="AB577" s="70">
        <f>(SUBSIDIO!$J$577*SUBSIDIO!$V$577)*(0.06)/(1-0.06)</f>
        <v>6700.9668000000001</v>
      </c>
      <c r="AC577" s="70">
        <f>((SUBSIDIO!$L$577*SUBSIDIO!$W$577)+(SUBSIDIO!$N$577*SUBSIDIO!$X$577))*(0.06)/(1-0.06)</f>
        <v>0</v>
      </c>
      <c r="AD577" s="70">
        <f ca="1">(SUBSIDIO!$J$577*SUBSIDIO!$Y$577)*(0.03)/(1-0.03)</f>
        <v>3914.3610612332118</v>
      </c>
      <c r="AE577" s="70">
        <f>((SUBSIDIO!$L$577*SUBSIDIO!$Z$577)+(SUBSIDIO!$N$577*SUBSIDIO!$AA$577))*(0.03)/(1-0.03)</f>
        <v>0</v>
      </c>
      <c r="AF577" s="4" t="s">
        <v>1115</v>
      </c>
    </row>
    <row r="578" spans="1:32" ht="11.25" customHeight="1" x14ac:dyDescent="0.25">
      <c r="A578" s="4" t="s">
        <v>21</v>
      </c>
      <c r="B578" s="4" t="s">
        <v>41</v>
      </c>
      <c r="C578" s="4" t="s">
        <v>42</v>
      </c>
      <c r="D578" s="4" t="s">
        <v>51</v>
      </c>
      <c r="E578" s="4" t="s">
        <v>52</v>
      </c>
      <c r="F578" s="4" t="s">
        <v>25</v>
      </c>
      <c r="G578" s="4" t="s">
        <v>25</v>
      </c>
      <c r="H578" s="4" t="s">
        <v>25</v>
      </c>
      <c r="I578" s="5">
        <v>44501</v>
      </c>
      <c r="J578" s="6">
        <v>4376</v>
      </c>
      <c r="K578" s="71">
        <v>4376</v>
      </c>
      <c r="L578" s="6">
        <v>0</v>
      </c>
      <c r="M578" s="70">
        <v>0</v>
      </c>
      <c r="N578" s="6">
        <v>0</v>
      </c>
      <c r="O578" s="70">
        <v>0</v>
      </c>
      <c r="P578" s="6">
        <v>54</v>
      </c>
      <c r="Q578" s="4" t="s">
        <v>26</v>
      </c>
      <c r="R578" s="4">
        <v>0</v>
      </c>
      <c r="S578" s="4">
        <v>29</v>
      </c>
      <c r="T578" s="4">
        <v>0</v>
      </c>
      <c r="U578" s="4">
        <v>0</v>
      </c>
      <c r="V578" s="70">
        <f>IF(ISERROR(VLOOKUP($S$578,'TAR FIN'!$A$1:$O$116,15,0)),0,VLOOKUP($S$578,'TAR FIN'!$A$1:$O$116,15,0))*(1-0.06)</f>
        <v>23.979400000000002</v>
      </c>
      <c r="W578" s="70">
        <f>IF(ISERROR(VLOOKUP($T$578,'TAR FIN'!$A$1:$O$116,15,0)),0,VLOOKUP($T$578,'TAR FIN'!$A$1:$O$116,15,0))</f>
        <v>0</v>
      </c>
      <c r="X578" s="70">
        <f>IF(ISERROR(VLOOKUP($U$578,'TAR FIN'!$A$1:$O$116,15,0)),0,VLOOKUP($U$578,'TAR FIN'!$A$1:$O$116,15,0))</f>
        <v>0</v>
      </c>
      <c r="Y578" s="70">
        <f ca="1">('TUSD BE'!$AM$33+'TUSD BF'!$AM$33+'TUSD CVA'!$AM$33)*1*(1-0.03)</f>
        <v>28.909168793941035</v>
      </c>
      <c r="Z578" s="70"/>
      <c r="AA578" s="70"/>
      <c r="AB578" s="70">
        <f>(SUBSIDIO!$J$578*SUBSIDIO!$V$578)*(0.06)/(1-0.06)</f>
        <v>6697.905600000001</v>
      </c>
      <c r="AC578" s="70">
        <f>((SUBSIDIO!$L$578*SUBSIDIO!$W$578)+(SUBSIDIO!$N$578*SUBSIDIO!$X$578))*(0.06)/(1-0.06)</f>
        <v>0</v>
      </c>
      <c r="AD578" s="70">
        <f ca="1">(SUBSIDIO!$J$578*SUBSIDIO!$Y$578)*(0.03)/(1-0.03)</f>
        <v>3912.5728652253397</v>
      </c>
      <c r="AE578" s="70">
        <f>((SUBSIDIO!$L$578*SUBSIDIO!$Z$578)+(SUBSIDIO!$N$578*SUBSIDIO!$AA$578))*(0.03)/(1-0.03)</f>
        <v>0</v>
      </c>
      <c r="AF578" s="4" t="s">
        <v>1115</v>
      </c>
    </row>
    <row r="579" spans="1:32" ht="11.25" customHeight="1" x14ac:dyDescent="0.25">
      <c r="A579" s="4" t="s">
        <v>21</v>
      </c>
      <c r="B579" s="4" t="s">
        <v>41</v>
      </c>
      <c r="C579" s="4" t="s">
        <v>42</v>
      </c>
      <c r="D579" s="4" t="s">
        <v>51</v>
      </c>
      <c r="E579" s="4" t="s">
        <v>52</v>
      </c>
      <c r="F579" s="4" t="s">
        <v>25</v>
      </c>
      <c r="G579" s="4" t="s">
        <v>25</v>
      </c>
      <c r="H579" s="4" t="s">
        <v>25</v>
      </c>
      <c r="I579" s="5">
        <v>44531</v>
      </c>
      <c r="J579" s="6">
        <v>4415</v>
      </c>
      <c r="K579" s="71">
        <v>4415</v>
      </c>
      <c r="L579" s="6">
        <v>0</v>
      </c>
      <c r="M579" s="70">
        <v>0</v>
      </c>
      <c r="N579" s="6">
        <v>0</v>
      </c>
      <c r="O579" s="70">
        <v>0</v>
      </c>
      <c r="P579" s="6">
        <v>54</v>
      </c>
      <c r="Q579" s="4" t="s">
        <v>26</v>
      </c>
      <c r="R579" s="4">
        <v>0</v>
      </c>
      <c r="S579" s="4">
        <v>29</v>
      </c>
      <c r="T579" s="4">
        <v>0</v>
      </c>
      <c r="U579" s="4">
        <v>0</v>
      </c>
      <c r="V579" s="70">
        <f>IF(ISERROR(VLOOKUP($S$579,'TAR FIN'!$A$1:$O$116,15,0)),0,VLOOKUP($S$579,'TAR FIN'!$A$1:$O$116,15,0))*(1-0.06)</f>
        <v>23.979400000000002</v>
      </c>
      <c r="W579" s="70">
        <f>IF(ISERROR(VLOOKUP($T$579,'TAR FIN'!$A$1:$O$116,15,0)),0,VLOOKUP($T$579,'TAR FIN'!$A$1:$O$116,15,0))</f>
        <v>0</v>
      </c>
      <c r="X579" s="70">
        <f>IF(ISERROR(VLOOKUP($U$579,'TAR FIN'!$A$1:$O$116,15,0)),0,VLOOKUP($U$579,'TAR FIN'!$A$1:$O$116,15,0))</f>
        <v>0</v>
      </c>
      <c r="Y579" s="70">
        <f ca="1">('TUSD BE'!$AM$33+'TUSD BF'!$AM$33+'TUSD CVA'!$AM$33)*1*(1-0.03)</f>
        <v>28.909168793941035</v>
      </c>
      <c r="Z579" s="70"/>
      <c r="AA579" s="70"/>
      <c r="AB579" s="70">
        <f>(SUBSIDIO!$J$579*SUBSIDIO!$V$579)*(0.06)/(1-0.06)</f>
        <v>6757.5990000000011</v>
      </c>
      <c r="AC579" s="70">
        <f>((SUBSIDIO!$L$579*SUBSIDIO!$W$579)+(SUBSIDIO!$N$579*SUBSIDIO!$X$579))*(0.06)/(1-0.06)</f>
        <v>0</v>
      </c>
      <c r="AD579" s="70">
        <f ca="1">(SUBSIDIO!$J$579*SUBSIDIO!$Y$579)*(0.03)/(1-0.03)</f>
        <v>3947.4426873788561</v>
      </c>
      <c r="AE579" s="70">
        <f>((SUBSIDIO!$L$579*SUBSIDIO!$Z$579)+(SUBSIDIO!$N$579*SUBSIDIO!$AA$579))*(0.03)/(1-0.03)</f>
        <v>0</v>
      </c>
      <c r="AF579" s="4" t="s">
        <v>1115</v>
      </c>
    </row>
    <row r="580" spans="1:32" ht="11.25" customHeight="1" x14ac:dyDescent="0.25">
      <c r="A580" s="4" t="s">
        <v>21</v>
      </c>
      <c r="B580" s="4" t="s">
        <v>41</v>
      </c>
      <c r="C580" s="4" t="s">
        <v>42</v>
      </c>
      <c r="D580" s="4" t="s">
        <v>51</v>
      </c>
      <c r="E580" s="4" t="s">
        <v>52</v>
      </c>
      <c r="F580" s="4" t="s">
        <v>25</v>
      </c>
      <c r="G580" s="4" t="s">
        <v>25</v>
      </c>
      <c r="H580" s="4" t="s">
        <v>25</v>
      </c>
      <c r="I580" s="5">
        <v>44562</v>
      </c>
      <c r="J580" s="6">
        <v>4426</v>
      </c>
      <c r="K580" s="71">
        <v>4426</v>
      </c>
      <c r="L580" s="6">
        <v>0</v>
      </c>
      <c r="M580" s="70">
        <v>0</v>
      </c>
      <c r="N580" s="6">
        <v>0</v>
      </c>
      <c r="O580" s="70">
        <v>0</v>
      </c>
      <c r="P580" s="6">
        <v>54</v>
      </c>
      <c r="Q580" s="4" t="s">
        <v>26</v>
      </c>
      <c r="R580" s="4">
        <v>0</v>
      </c>
      <c r="S580" s="4">
        <v>29</v>
      </c>
      <c r="T580" s="4">
        <v>0</v>
      </c>
      <c r="U580" s="4">
        <v>0</v>
      </c>
      <c r="V580" s="70">
        <f>IF(ISERROR(VLOOKUP($S$580,'TAR FIN'!$A$1:$O$116,15,0)),0,VLOOKUP($S$580,'TAR FIN'!$A$1:$O$116,15,0))*(1-0.06)</f>
        <v>23.979400000000002</v>
      </c>
      <c r="W580" s="70">
        <f>IF(ISERROR(VLOOKUP($T$580,'TAR FIN'!$A$1:$O$116,15,0)),0,VLOOKUP($T$580,'TAR FIN'!$A$1:$O$116,15,0))</f>
        <v>0</v>
      </c>
      <c r="X580" s="70">
        <f>IF(ISERROR(VLOOKUP($U$580,'TAR FIN'!$A$1:$O$116,15,0)),0,VLOOKUP($U$580,'TAR FIN'!$A$1:$O$116,15,0))</f>
        <v>0</v>
      </c>
      <c r="Y580" s="70">
        <f ca="1">('TUSD BE'!$AM$33+'TUSD BF'!$AM$33+'TUSD CVA'!$AM$33)*1*(1-0.03)</f>
        <v>28.909168793941035</v>
      </c>
      <c r="Z580" s="70"/>
      <c r="AA580" s="70"/>
      <c r="AB580" s="70">
        <f>(SUBSIDIO!$J$580*SUBSIDIO!$V$580)*(0.06)/(1-0.06)</f>
        <v>6774.4356000000007</v>
      </c>
      <c r="AC580" s="70">
        <f>((SUBSIDIO!$L$580*SUBSIDIO!$W$580)+(SUBSIDIO!$N$580*SUBSIDIO!$X$580))*(0.06)/(1-0.06)</f>
        <v>0</v>
      </c>
      <c r="AD580" s="70">
        <f ca="1">(SUBSIDIO!$J$580*SUBSIDIO!$Y$580)*(0.03)/(1-0.03)</f>
        <v>3957.277765422155</v>
      </c>
      <c r="AE580" s="70">
        <f>((SUBSIDIO!$L$580*SUBSIDIO!$Z$580)+(SUBSIDIO!$N$580*SUBSIDIO!$AA$580))*(0.03)/(1-0.03)</f>
        <v>0</v>
      </c>
      <c r="AF580" s="4" t="s">
        <v>1115</v>
      </c>
    </row>
    <row r="581" spans="1:32" ht="11.25" customHeight="1" x14ac:dyDescent="0.25">
      <c r="A581" s="4" t="s">
        <v>21</v>
      </c>
      <c r="B581" s="4" t="s">
        <v>41</v>
      </c>
      <c r="C581" s="4" t="s">
        <v>42</v>
      </c>
      <c r="D581" s="4" t="s">
        <v>51</v>
      </c>
      <c r="E581" s="4" t="s">
        <v>52</v>
      </c>
      <c r="F581" s="4" t="s">
        <v>25</v>
      </c>
      <c r="G581" s="4" t="s">
        <v>25</v>
      </c>
      <c r="H581" s="4" t="s">
        <v>25</v>
      </c>
      <c r="I581" s="5">
        <v>44593</v>
      </c>
      <c r="J581" s="6">
        <v>4417</v>
      </c>
      <c r="K581" s="71">
        <v>4417</v>
      </c>
      <c r="L581" s="6">
        <v>0</v>
      </c>
      <c r="M581" s="70">
        <v>0</v>
      </c>
      <c r="N581" s="6">
        <v>0</v>
      </c>
      <c r="O581" s="70">
        <v>0</v>
      </c>
      <c r="P581" s="6">
        <v>54</v>
      </c>
      <c r="Q581" s="4" t="s">
        <v>26</v>
      </c>
      <c r="R581" s="4">
        <v>0</v>
      </c>
      <c r="S581" s="4">
        <v>29</v>
      </c>
      <c r="T581" s="4">
        <v>0</v>
      </c>
      <c r="U581" s="4">
        <v>0</v>
      </c>
      <c r="V581" s="70">
        <f>IF(ISERROR(VLOOKUP($S$581,'TAR FIN'!$A$1:$O$116,15,0)),0,VLOOKUP($S$581,'TAR FIN'!$A$1:$O$116,15,0))*(1-0.06)</f>
        <v>23.979400000000002</v>
      </c>
      <c r="W581" s="70">
        <f>IF(ISERROR(VLOOKUP($T$581,'TAR FIN'!$A$1:$O$116,15,0)),0,VLOOKUP($T$581,'TAR FIN'!$A$1:$O$116,15,0))</f>
        <v>0</v>
      </c>
      <c r="X581" s="70">
        <f>IF(ISERROR(VLOOKUP($U$581,'TAR FIN'!$A$1:$O$116,15,0)),0,VLOOKUP($U$581,'TAR FIN'!$A$1:$O$116,15,0))</f>
        <v>0</v>
      </c>
      <c r="Y581" s="70">
        <f ca="1">('TUSD BE'!$AM$33+'TUSD BF'!$AM$33+'TUSD CVA'!$AM$33)*1*(1-0.03)</f>
        <v>28.909168793941035</v>
      </c>
      <c r="Z581" s="70"/>
      <c r="AA581" s="70"/>
      <c r="AB581" s="70">
        <f>(SUBSIDIO!$J$581*SUBSIDIO!$V$581)*(0.06)/(1-0.06)</f>
        <v>6760.6602000000012</v>
      </c>
      <c r="AC581" s="70">
        <f>((SUBSIDIO!$L$581*SUBSIDIO!$W$581)+(SUBSIDIO!$N$581*SUBSIDIO!$X$581))*(0.06)/(1-0.06)</f>
        <v>0</v>
      </c>
      <c r="AD581" s="70">
        <f ca="1">(SUBSIDIO!$J$581*SUBSIDIO!$Y$581)*(0.03)/(1-0.03)</f>
        <v>3949.2308833867282</v>
      </c>
      <c r="AE581" s="70">
        <f>((SUBSIDIO!$L$581*SUBSIDIO!$Z$581)+(SUBSIDIO!$N$581*SUBSIDIO!$AA$581))*(0.03)/(1-0.03)</f>
        <v>0</v>
      </c>
      <c r="AF581" s="4" t="s">
        <v>1115</v>
      </c>
    </row>
    <row r="582" spans="1:32" ht="11.25" customHeight="1" x14ac:dyDescent="0.25">
      <c r="A582" s="4" t="s">
        <v>21</v>
      </c>
      <c r="B582" s="4" t="s">
        <v>41</v>
      </c>
      <c r="C582" s="4" t="s">
        <v>42</v>
      </c>
      <c r="D582" s="4" t="s">
        <v>51</v>
      </c>
      <c r="E582" s="4" t="s">
        <v>52</v>
      </c>
      <c r="F582" s="4" t="s">
        <v>25</v>
      </c>
      <c r="G582" s="4" t="s">
        <v>25</v>
      </c>
      <c r="H582" s="4" t="s">
        <v>25</v>
      </c>
      <c r="I582" s="5">
        <v>44621</v>
      </c>
      <c r="J582" s="6">
        <v>4545</v>
      </c>
      <c r="K582" s="71">
        <v>4545</v>
      </c>
      <c r="L582" s="6">
        <v>0</v>
      </c>
      <c r="M582" s="70">
        <v>0</v>
      </c>
      <c r="N582" s="6">
        <v>0</v>
      </c>
      <c r="O582" s="70">
        <v>0</v>
      </c>
      <c r="P582" s="6">
        <v>54</v>
      </c>
      <c r="Q582" s="4" t="s">
        <v>26</v>
      </c>
      <c r="R582" s="4">
        <v>0</v>
      </c>
      <c r="S582" s="4">
        <v>29</v>
      </c>
      <c r="T582" s="4">
        <v>0</v>
      </c>
      <c r="U582" s="4">
        <v>0</v>
      </c>
      <c r="V582" s="70">
        <f>IF(ISERROR(VLOOKUP($S$582,'TAR FIN'!$A$1:$O$116,15,0)),0,VLOOKUP($S$582,'TAR FIN'!$A$1:$O$116,15,0))*(1-0.06)</f>
        <v>23.979400000000002</v>
      </c>
      <c r="W582" s="70">
        <f>IF(ISERROR(VLOOKUP($T$582,'TAR FIN'!$A$1:$O$116,15,0)),0,VLOOKUP($T$582,'TAR FIN'!$A$1:$O$116,15,0))</f>
        <v>0</v>
      </c>
      <c r="X582" s="70">
        <f>IF(ISERROR(VLOOKUP($U$582,'TAR FIN'!$A$1:$O$116,15,0)),0,VLOOKUP($U$582,'TAR FIN'!$A$1:$O$116,15,0))</f>
        <v>0</v>
      </c>
      <c r="Y582" s="70">
        <f ca="1">('TUSD BE'!$AM$33+'TUSD BF'!$AM$33+'TUSD CVA'!$AM$33)*1*(1-0.03)</f>
        <v>28.909168793941035</v>
      </c>
      <c r="Z582" s="70"/>
      <c r="AA582" s="70"/>
      <c r="AB582" s="70">
        <f>(SUBSIDIO!$J$582*SUBSIDIO!$V$582)*(0.06)/(1-0.06)</f>
        <v>6956.5770000000002</v>
      </c>
      <c r="AC582" s="70">
        <f>((SUBSIDIO!$L$582*SUBSIDIO!$W$582)+(SUBSIDIO!$N$582*SUBSIDIO!$X$582))*(0.06)/(1-0.06)</f>
        <v>0</v>
      </c>
      <c r="AD582" s="70">
        <f ca="1">(SUBSIDIO!$J$582*SUBSIDIO!$Y$582)*(0.03)/(1-0.03)</f>
        <v>4063.6754278905773</v>
      </c>
      <c r="AE582" s="70">
        <f>((SUBSIDIO!$L$582*SUBSIDIO!$Z$582)+(SUBSIDIO!$N$582*SUBSIDIO!$AA$582))*(0.03)/(1-0.03)</f>
        <v>0</v>
      </c>
      <c r="AF582" s="4" t="s">
        <v>1115</v>
      </c>
    </row>
    <row r="583" spans="1:32" ht="11.25" customHeight="1" x14ac:dyDescent="0.25">
      <c r="A583" s="4" t="s">
        <v>21</v>
      </c>
      <c r="B583" s="4" t="s">
        <v>41</v>
      </c>
      <c r="C583" s="4" t="s">
        <v>42</v>
      </c>
      <c r="D583" s="4" t="s">
        <v>51</v>
      </c>
      <c r="E583" s="4" t="s">
        <v>52</v>
      </c>
      <c r="F583" s="4" t="s">
        <v>25</v>
      </c>
      <c r="G583" s="4" t="s">
        <v>25</v>
      </c>
      <c r="H583" s="4" t="s">
        <v>25</v>
      </c>
      <c r="I583" s="5">
        <v>44652</v>
      </c>
      <c r="J583" s="6">
        <v>4566</v>
      </c>
      <c r="K583" s="71">
        <v>4566</v>
      </c>
      <c r="L583" s="6">
        <v>0</v>
      </c>
      <c r="M583" s="70">
        <v>0</v>
      </c>
      <c r="N583" s="6">
        <v>0</v>
      </c>
      <c r="O583" s="70">
        <v>0</v>
      </c>
      <c r="P583" s="6">
        <v>54</v>
      </c>
      <c r="Q583" s="4" t="s">
        <v>26</v>
      </c>
      <c r="R583" s="4">
        <v>0</v>
      </c>
      <c r="S583" s="4">
        <v>29</v>
      </c>
      <c r="T583" s="4">
        <v>0</v>
      </c>
      <c r="U583" s="4">
        <v>0</v>
      </c>
      <c r="V583" s="70">
        <f>IF(ISERROR(VLOOKUP($S$583,'TAR FIN'!$A$1:$O$116,15,0)),0,VLOOKUP($S$583,'TAR FIN'!$A$1:$O$116,15,0))*(1-0.06)</f>
        <v>23.979400000000002</v>
      </c>
      <c r="W583" s="70">
        <f>IF(ISERROR(VLOOKUP($T$583,'TAR FIN'!$A$1:$O$116,15,0)),0,VLOOKUP($T$583,'TAR FIN'!$A$1:$O$116,15,0))</f>
        <v>0</v>
      </c>
      <c r="X583" s="70">
        <f>IF(ISERROR(VLOOKUP($U$583,'TAR FIN'!$A$1:$O$116,15,0)),0,VLOOKUP($U$583,'TAR FIN'!$A$1:$O$116,15,0))</f>
        <v>0</v>
      </c>
      <c r="Y583" s="70">
        <f ca="1">('TUSD BE'!$AM$33+'TUSD BF'!$AM$33+'TUSD CVA'!$AM$33)*1*(1-0.03)</f>
        <v>28.909168793941035</v>
      </c>
      <c r="Z583" s="70"/>
      <c r="AA583" s="70"/>
      <c r="AB583" s="70">
        <f>(SUBSIDIO!$J$583*SUBSIDIO!$V$583)*(0.06)/(1-0.06)</f>
        <v>6988.7196000000013</v>
      </c>
      <c r="AC583" s="70">
        <f>((SUBSIDIO!$L$583*SUBSIDIO!$W$583)+(SUBSIDIO!$N$583*SUBSIDIO!$X$583))*(0.06)/(1-0.06)</f>
        <v>0</v>
      </c>
      <c r="AD583" s="70">
        <f ca="1">(SUBSIDIO!$J$583*SUBSIDIO!$Y$583)*(0.03)/(1-0.03)</f>
        <v>4082.4514859732399</v>
      </c>
      <c r="AE583" s="70">
        <f>((SUBSIDIO!$L$583*SUBSIDIO!$Z$583)+(SUBSIDIO!$N$583*SUBSIDIO!$AA$583))*(0.03)/(1-0.03)</f>
        <v>0</v>
      </c>
      <c r="AF583" s="4" t="s">
        <v>1115</v>
      </c>
    </row>
    <row r="584" spans="1:32" ht="11.25" customHeight="1" x14ac:dyDescent="0.25">
      <c r="A584" s="4" t="s">
        <v>58</v>
      </c>
      <c r="B584" s="4" t="s">
        <v>41</v>
      </c>
      <c r="C584" s="4" t="s">
        <v>42</v>
      </c>
      <c r="D584" s="4" t="s">
        <v>51</v>
      </c>
      <c r="E584" s="4" t="s">
        <v>52</v>
      </c>
      <c r="F584" s="4" t="s">
        <v>25</v>
      </c>
      <c r="G584" s="4" t="s">
        <v>25</v>
      </c>
      <c r="H584" s="4" t="s">
        <v>25</v>
      </c>
      <c r="I584" s="5">
        <v>44682</v>
      </c>
      <c r="J584" s="6">
        <v>4566</v>
      </c>
      <c r="K584" s="71">
        <v>4566</v>
      </c>
      <c r="L584" s="6">
        <v>0</v>
      </c>
      <c r="M584" s="70">
        <v>0</v>
      </c>
      <c r="N584" s="6">
        <v>0</v>
      </c>
      <c r="O584" s="70">
        <v>0</v>
      </c>
      <c r="P584" s="6">
        <v>54</v>
      </c>
      <c r="Q584" s="4" t="s">
        <v>26</v>
      </c>
      <c r="R584" s="4">
        <v>0</v>
      </c>
      <c r="S584" s="4">
        <v>29</v>
      </c>
      <c r="T584" s="4">
        <v>0</v>
      </c>
      <c r="U584" s="4">
        <v>0</v>
      </c>
      <c r="V584" s="70">
        <f>IF(ISERROR(VLOOKUP($S$584,'TAR FIN'!$A$1:$O$116,15,0)),0,VLOOKUP($S$584,'TAR FIN'!$A$1:$O$116,15,0))*(1-0.06)</f>
        <v>23.979400000000002</v>
      </c>
      <c r="W584" s="70">
        <f>IF(ISERROR(VLOOKUP($T$584,'TAR FIN'!$A$1:$O$116,15,0)),0,VLOOKUP($T$584,'TAR FIN'!$A$1:$O$116,15,0))</f>
        <v>0</v>
      </c>
      <c r="X584" s="70">
        <f>IF(ISERROR(VLOOKUP($U$584,'TAR FIN'!$A$1:$O$116,15,0)),0,VLOOKUP($U$584,'TAR FIN'!$A$1:$O$116,15,0))</f>
        <v>0</v>
      </c>
      <c r="Y584" s="70">
        <f ca="1">('TUSD BE'!$AM$33+'TUSD BF'!$AM$33+'TUSD CVA'!$AM$33)*1*(1-0.03)</f>
        <v>28.909168793941035</v>
      </c>
      <c r="Z584" s="70"/>
      <c r="AA584" s="70"/>
      <c r="AB584" s="70">
        <f>(SUBSIDIO!$J$584*SUBSIDIO!$V$584)*(0.06)/(1-0.06)</f>
        <v>6988.7196000000013</v>
      </c>
      <c r="AC584" s="70">
        <f>((SUBSIDIO!$L$584*SUBSIDIO!$W$584)+(SUBSIDIO!$N$584*SUBSIDIO!$X$584))*(0.06)/(1-0.06)</f>
        <v>0</v>
      </c>
      <c r="AD584" s="70">
        <f ca="1">(SUBSIDIO!$J$584*SUBSIDIO!$Y$584)*(0.03)/(1-0.03)</f>
        <v>4082.4514859732399</v>
      </c>
      <c r="AE584" s="70">
        <f>((SUBSIDIO!$L$584*SUBSIDIO!$Z$584)+(SUBSIDIO!$N$584*SUBSIDIO!$AA$584))*(0.03)/(1-0.03)</f>
        <v>0</v>
      </c>
      <c r="AF584" s="4" t="s">
        <v>1115</v>
      </c>
    </row>
    <row r="585" spans="1:32" ht="11.25" customHeight="1" x14ac:dyDescent="0.25">
      <c r="A585" s="4" t="s">
        <v>21</v>
      </c>
      <c r="B585" s="4" t="s">
        <v>41</v>
      </c>
      <c r="C585" s="4" t="s">
        <v>42</v>
      </c>
      <c r="D585" s="4" t="s">
        <v>51</v>
      </c>
      <c r="E585" s="4" t="s">
        <v>52</v>
      </c>
      <c r="F585" s="4" t="s">
        <v>25</v>
      </c>
      <c r="G585" s="4" t="s">
        <v>25</v>
      </c>
      <c r="H585" s="4" t="s">
        <v>34</v>
      </c>
      <c r="I585" s="5">
        <v>44348</v>
      </c>
      <c r="J585" s="6">
        <v>0</v>
      </c>
      <c r="K585" s="70">
        <v>0</v>
      </c>
      <c r="L585" s="6">
        <v>105.333</v>
      </c>
      <c r="M585" s="70">
        <v>105.333</v>
      </c>
      <c r="N585" s="6">
        <v>105.333</v>
      </c>
      <c r="O585" s="70">
        <v>105.333</v>
      </c>
      <c r="P585" s="6">
        <v>0</v>
      </c>
      <c r="Q585" s="4" t="s">
        <v>26</v>
      </c>
      <c r="R585" s="4">
        <v>0</v>
      </c>
      <c r="S585" s="4">
        <v>0</v>
      </c>
      <c r="T585" s="4">
        <v>30</v>
      </c>
      <c r="U585" s="4">
        <v>78</v>
      </c>
      <c r="V585" s="70">
        <f>IF(ISERROR(VLOOKUP($S$585,'TAR FIN'!$A$1:$O$116,15,0)),0,VLOOKUP($S$585,'TAR FIN'!$A$1:$O$116,15,0))</f>
        <v>0</v>
      </c>
      <c r="W585" s="70">
        <f>IF(ISERROR(VLOOKUP($T$585,'TAR FIN'!$A$1:$O$116,15,0)),0,VLOOKUP($T$585,'TAR FIN'!$A$1:$O$116,15,0))*(1-0.06)</f>
        <v>1581.1927999999998</v>
      </c>
      <c r="X585" s="70">
        <f>IF(ISERROR(VLOOKUP($U$585,'TAR FIN'!$A$1:$O$116,15,0)),0,VLOOKUP($U$585,'TAR FIN'!$A$1:$O$116,15,0))*(1-0.06)</f>
        <v>466.38099999999997</v>
      </c>
      <c r="Y585" s="70"/>
      <c r="Z585" s="70">
        <f ca="1">('TUSD BE'!$AM$34+'TUSD BF'!$AM$34+'TUSD CVA'!$AM$34)*1*(1-0.03)</f>
        <v>1910.8223561368904</v>
      </c>
      <c r="AA585" s="70">
        <f>('TE BE'!$AB$9+'TE BF'!$AB$9+'TE CVA'!$AB$9)*1*(1-0.03)</f>
        <v>494.74843531278674</v>
      </c>
      <c r="AB585" s="70">
        <f>(SUBSIDIO!$J$585*SUBSIDIO!$V$585)*(0.06)/(1-0.06)</f>
        <v>0</v>
      </c>
      <c r="AC585" s="70">
        <f>((SUBSIDIO!$L$585*SUBSIDIO!$W$585)+(SUBSIDIO!$N$585*SUBSIDIO!$X$585))*(0.06)/(1-0.06)</f>
        <v>13766.622834599999</v>
      </c>
      <c r="AD585" s="70">
        <f>(SUBSIDIO!$J$585*SUBSIDIO!$Y$585)*(0.03)/(1-0.03)</f>
        <v>0</v>
      </c>
      <c r="AE585" s="70">
        <f ca="1">((SUBSIDIO!$L$585*SUBSIDIO!$Z$585)+(SUBSIDIO!$N$585*SUBSIDIO!$AA$585))*(0.03)/(1-0.03)</f>
        <v>7836.680046673263</v>
      </c>
      <c r="AF585" s="4" t="s">
        <v>1115</v>
      </c>
    </row>
    <row r="586" spans="1:32" ht="11.25" customHeight="1" x14ac:dyDescent="0.25">
      <c r="A586" s="4" t="s">
        <v>21</v>
      </c>
      <c r="B586" s="4" t="s">
        <v>41</v>
      </c>
      <c r="C586" s="4" t="s">
        <v>42</v>
      </c>
      <c r="D586" s="4" t="s">
        <v>51</v>
      </c>
      <c r="E586" s="4" t="s">
        <v>52</v>
      </c>
      <c r="F586" s="4" t="s">
        <v>25</v>
      </c>
      <c r="G586" s="4" t="s">
        <v>25</v>
      </c>
      <c r="H586" s="4" t="s">
        <v>34</v>
      </c>
      <c r="I586" s="5">
        <v>44378</v>
      </c>
      <c r="J586" s="6">
        <v>0</v>
      </c>
      <c r="K586" s="70">
        <v>0</v>
      </c>
      <c r="L586" s="6">
        <v>117.941</v>
      </c>
      <c r="M586" s="70">
        <v>117.941</v>
      </c>
      <c r="N586" s="6">
        <v>117.941</v>
      </c>
      <c r="O586" s="70">
        <v>117.941</v>
      </c>
      <c r="P586" s="6">
        <v>0</v>
      </c>
      <c r="Q586" s="4" t="s">
        <v>26</v>
      </c>
      <c r="R586" s="4">
        <v>0</v>
      </c>
      <c r="S586" s="4">
        <v>0</v>
      </c>
      <c r="T586" s="4">
        <v>30</v>
      </c>
      <c r="U586" s="4">
        <v>78</v>
      </c>
      <c r="V586" s="70">
        <f>IF(ISERROR(VLOOKUP($S$586,'TAR FIN'!$A$1:$O$116,15,0)),0,VLOOKUP($S$586,'TAR FIN'!$A$1:$O$116,15,0))</f>
        <v>0</v>
      </c>
      <c r="W586" s="70">
        <f>IF(ISERROR(VLOOKUP($T$586,'TAR FIN'!$A$1:$O$116,15,0)),0,VLOOKUP($T$586,'TAR FIN'!$A$1:$O$116,15,0))*(1-0.06)</f>
        <v>1581.1927999999998</v>
      </c>
      <c r="X586" s="70">
        <f>IF(ISERROR(VLOOKUP($U$586,'TAR FIN'!$A$1:$O$116,15,0)),0,VLOOKUP($U$586,'TAR FIN'!$A$1:$O$116,15,0))*(1-0.06)</f>
        <v>466.38099999999997</v>
      </c>
      <c r="Y586" s="70"/>
      <c r="Z586" s="70">
        <f ca="1">('TUSD BE'!$AM$34+'TUSD BF'!$AM$34+'TUSD CVA'!$AM$34)*1*(1-0.03)</f>
        <v>1910.8223561368904</v>
      </c>
      <c r="AA586" s="70">
        <f>('TE BE'!$AB$9+'TE BF'!$AB$9+'TE CVA'!$AB$9)*1*(1-0.03)</f>
        <v>494.74843531278674</v>
      </c>
      <c r="AB586" s="70">
        <f>(SUBSIDIO!$J$586*SUBSIDIO!$V$586)*(0.06)/(1-0.06)</f>
        <v>0</v>
      </c>
      <c r="AC586" s="70">
        <f>((SUBSIDIO!$L$586*SUBSIDIO!$W$586)+(SUBSIDIO!$N$586*SUBSIDIO!$X$586))*(0.06)/(1-0.06)</f>
        <v>15414.440524199999</v>
      </c>
      <c r="AD586" s="70">
        <f>(SUBSIDIO!$J$586*SUBSIDIO!$Y$586)*(0.03)/(1-0.03)</f>
        <v>0</v>
      </c>
      <c r="AE586" s="70">
        <f ca="1">((SUBSIDIO!$L$586*SUBSIDIO!$Z$586)+(SUBSIDIO!$N$586*SUBSIDIO!$AA$586))*(0.03)/(1-0.03)</f>
        <v>8774.7038571453522</v>
      </c>
      <c r="AF586" s="4" t="s">
        <v>1115</v>
      </c>
    </row>
    <row r="587" spans="1:32" ht="11.25" customHeight="1" x14ac:dyDescent="0.25">
      <c r="A587" s="4" t="s">
        <v>21</v>
      </c>
      <c r="B587" s="4" t="s">
        <v>41</v>
      </c>
      <c r="C587" s="4" t="s">
        <v>42</v>
      </c>
      <c r="D587" s="4" t="s">
        <v>51</v>
      </c>
      <c r="E587" s="4" t="s">
        <v>52</v>
      </c>
      <c r="F587" s="4" t="s">
        <v>25</v>
      </c>
      <c r="G587" s="4" t="s">
        <v>25</v>
      </c>
      <c r="H587" s="4" t="s">
        <v>34</v>
      </c>
      <c r="I587" s="5">
        <v>44409</v>
      </c>
      <c r="J587" s="6">
        <v>0</v>
      </c>
      <c r="K587" s="70">
        <v>0</v>
      </c>
      <c r="L587" s="6">
        <v>125.121</v>
      </c>
      <c r="M587" s="70">
        <v>125.121</v>
      </c>
      <c r="N587" s="6">
        <v>125.121</v>
      </c>
      <c r="O587" s="70">
        <v>125.121</v>
      </c>
      <c r="P587" s="6">
        <v>0</v>
      </c>
      <c r="Q587" s="4" t="s">
        <v>26</v>
      </c>
      <c r="R587" s="4">
        <v>0</v>
      </c>
      <c r="S587" s="4">
        <v>0</v>
      </c>
      <c r="T587" s="4">
        <v>30</v>
      </c>
      <c r="U587" s="4">
        <v>78</v>
      </c>
      <c r="V587" s="70">
        <f>IF(ISERROR(VLOOKUP($S$587,'TAR FIN'!$A$1:$O$116,15,0)),0,VLOOKUP($S$587,'TAR FIN'!$A$1:$O$116,15,0))</f>
        <v>0</v>
      </c>
      <c r="W587" s="70">
        <f>IF(ISERROR(VLOOKUP($T$587,'TAR FIN'!$A$1:$O$116,15,0)),0,VLOOKUP($T$587,'TAR FIN'!$A$1:$O$116,15,0))*(1-0.06)</f>
        <v>1581.1927999999998</v>
      </c>
      <c r="X587" s="70">
        <f>IF(ISERROR(VLOOKUP($U$587,'TAR FIN'!$A$1:$O$116,15,0)),0,VLOOKUP($U$587,'TAR FIN'!$A$1:$O$116,15,0))*(1-0.06)</f>
        <v>466.38099999999997</v>
      </c>
      <c r="Y587" s="70"/>
      <c r="Z587" s="70">
        <f ca="1">('TUSD BE'!$AM$34+'TUSD BF'!$AM$34+'TUSD CVA'!$AM$34)*1*(1-0.03)</f>
        <v>1910.8223561368904</v>
      </c>
      <c r="AA587" s="70">
        <f>('TE BE'!$AB$9+'TE BF'!$AB$9+'TE CVA'!$AB$9)*1*(1-0.03)</f>
        <v>494.74843531278674</v>
      </c>
      <c r="AB587" s="70">
        <f>(SUBSIDIO!$J$587*SUBSIDIO!$V$587)*(0.06)/(1-0.06)</f>
        <v>0</v>
      </c>
      <c r="AC587" s="70">
        <f>((SUBSIDIO!$L$587*SUBSIDIO!$W$587)+(SUBSIDIO!$N$587*SUBSIDIO!$X$587))*(0.06)/(1-0.06)</f>
        <v>16352.839240199997</v>
      </c>
      <c r="AD587" s="70">
        <f>(SUBSIDIO!$J$587*SUBSIDIO!$Y$587)*(0.03)/(1-0.03)</f>
        <v>0</v>
      </c>
      <c r="AE587" s="70">
        <f ca="1">((SUBSIDIO!$L$587*SUBSIDIO!$Z$587)+(SUBSIDIO!$N$587*SUBSIDIO!$AA$587))*(0.03)/(1-0.03)</f>
        <v>9308.8893710404645</v>
      </c>
      <c r="AF587" s="4" t="s">
        <v>1115</v>
      </c>
    </row>
    <row r="588" spans="1:32" ht="11.25" customHeight="1" x14ac:dyDescent="0.25">
      <c r="A588" s="4" t="s">
        <v>21</v>
      </c>
      <c r="B588" s="4" t="s">
        <v>41</v>
      </c>
      <c r="C588" s="4" t="s">
        <v>42</v>
      </c>
      <c r="D588" s="4" t="s">
        <v>51</v>
      </c>
      <c r="E588" s="4" t="s">
        <v>52</v>
      </c>
      <c r="F588" s="4" t="s">
        <v>25</v>
      </c>
      <c r="G588" s="4" t="s">
        <v>25</v>
      </c>
      <c r="H588" s="4" t="s">
        <v>34</v>
      </c>
      <c r="I588" s="5">
        <v>44440</v>
      </c>
      <c r="J588" s="6">
        <v>0</v>
      </c>
      <c r="K588" s="70">
        <v>0</v>
      </c>
      <c r="L588" s="6">
        <v>141.72900000000001</v>
      </c>
      <c r="M588" s="70">
        <v>141.72900000000001</v>
      </c>
      <c r="N588" s="6">
        <v>141.72900000000001</v>
      </c>
      <c r="O588" s="70">
        <v>141.72900000000001</v>
      </c>
      <c r="P588" s="6">
        <v>0</v>
      </c>
      <c r="Q588" s="4" t="s">
        <v>26</v>
      </c>
      <c r="R588" s="4">
        <v>0</v>
      </c>
      <c r="S588" s="4">
        <v>0</v>
      </c>
      <c r="T588" s="4">
        <v>30</v>
      </c>
      <c r="U588" s="4">
        <v>78</v>
      </c>
      <c r="V588" s="70">
        <f>IF(ISERROR(VLOOKUP($S$588,'TAR FIN'!$A$1:$O$116,15,0)),0,VLOOKUP($S$588,'TAR FIN'!$A$1:$O$116,15,0))</f>
        <v>0</v>
      </c>
      <c r="W588" s="70">
        <f>IF(ISERROR(VLOOKUP($T$588,'TAR FIN'!$A$1:$O$116,15,0)),0,VLOOKUP($T$588,'TAR FIN'!$A$1:$O$116,15,0))*(1-0.06)</f>
        <v>1581.1927999999998</v>
      </c>
      <c r="X588" s="70">
        <f>IF(ISERROR(VLOOKUP($U$588,'TAR FIN'!$A$1:$O$116,15,0)),0,VLOOKUP($U$588,'TAR FIN'!$A$1:$O$116,15,0))*(1-0.06)</f>
        <v>466.38099999999997</v>
      </c>
      <c r="Y588" s="70"/>
      <c r="Z588" s="70">
        <f ca="1">('TUSD BE'!$AM$34+'TUSD BF'!$AM$34+'TUSD CVA'!$AM$34)*1*(1-0.03)</f>
        <v>1910.8223561368904</v>
      </c>
      <c r="AA588" s="70">
        <f>('TE BE'!$AB$9+'TE BF'!$AB$9+'TE CVA'!$AB$9)*1*(1-0.03)</f>
        <v>494.74843531278674</v>
      </c>
      <c r="AB588" s="70">
        <f>(SUBSIDIO!$J$588*SUBSIDIO!$V$588)*(0.06)/(1-0.06)</f>
        <v>0</v>
      </c>
      <c r="AC588" s="70">
        <f>((SUBSIDIO!$L$588*SUBSIDIO!$W$588)+(SUBSIDIO!$N$588*SUBSIDIO!$X$588))*(0.06)/(1-0.06)</f>
        <v>18523.441729800001</v>
      </c>
      <c r="AD588" s="70">
        <f>(SUBSIDIO!$J$588*SUBSIDIO!$Y$588)*(0.03)/(1-0.03)</f>
        <v>0</v>
      </c>
      <c r="AE588" s="70">
        <f ca="1">((SUBSIDIO!$L$588*SUBSIDIO!$Z$588)+(SUBSIDIO!$N$588*SUBSIDIO!$AA$588))*(0.03)/(1-0.03)</f>
        <v>10544.509568083649</v>
      </c>
      <c r="AF588" s="4" t="s">
        <v>1115</v>
      </c>
    </row>
    <row r="589" spans="1:32" ht="11.25" customHeight="1" x14ac:dyDescent="0.25">
      <c r="A589" s="4" t="s">
        <v>21</v>
      </c>
      <c r="B589" s="4" t="s">
        <v>41</v>
      </c>
      <c r="C589" s="4" t="s">
        <v>42</v>
      </c>
      <c r="D589" s="4" t="s">
        <v>51</v>
      </c>
      <c r="E589" s="4" t="s">
        <v>52</v>
      </c>
      <c r="F589" s="4" t="s">
        <v>25</v>
      </c>
      <c r="G589" s="4" t="s">
        <v>25</v>
      </c>
      <c r="H589" s="4" t="s">
        <v>34</v>
      </c>
      <c r="I589" s="5">
        <v>44470</v>
      </c>
      <c r="J589" s="6">
        <v>0</v>
      </c>
      <c r="K589" s="70">
        <v>0</v>
      </c>
      <c r="L589" s="6">
        <v>136.21299999999999</v>
      </c>
      <c r="M589" s="70">
        <v>136.21299999999999</v>
      </c>
      <c r="N589" s="6">
        <v>136.21299999999999</v>
      </c>
      <c r="O589" s="70">
        <v>136.21299999999999</v>
      </c>
      <c r="P589" s="6">
        <v>0</v>
      </c>
      <c r="Q589" s="4" t="s">
        <v>26</v>
      </c>
      <c r="R589" s="4">
        <v>0</v>
      </c>
      <c r="S589" s="4">
        <v>0</v>
      </c>
      <c r="T589" s="4">
        <v>30</v>
      </c>
      <c r="U589" s="4">
        <v>78</v>
      </c>
      <c r="V589" s="70">
        <f>IF(ISERROR(VLOOKUP($S$589,'TAR FIN'!$A$1:$O$116,15,0)),0,VLOOKUP($S$589,'TAR FIN'!$A$1:$O$116,15,0))</f>
        <v>0</v>
      </c>
      <c r="W589" s="70">
        <f>IF(ISERROR(VLOOKUP($T$589,'TAR FIN'!$A$1:$O$116,15,0)),0,VLOOKUP($T$589,'TAR FIN'!$A$1:$O$116,15,0))*(1-0.06)</f>
        <v>1581.1927999999998</v>
      </c>
      <c r="X589" s="70">
        <f>IF(ISERROR(VLOOKUP($U$589,'TAR FIN'!$A$1:$O$116,15,0)),0,VLOOKUP($U$589,'TAR FIN'!$A$1:$O$116,15,0))*(1-0.06)</f>
        <v>466.38099999999997</v>
      </c>
      <c r="Y589" s="70"/>
      <c r="Z589" s="70">
        <f ca="1">('TUSD BE'!$AM$34+'TUSD BF'!$AM$34+'TUSD CVA'!$AM$34)*1*(1-0.03)</f>
        <v>1910.8223561368904</v>
      </c>
      <c r="AA589" s="70">
        <f>('TE BE'!$AB$9+'TE BF'!$AB$9+'TE CVA'!$AB$9)*1*(1-0.03)</f>
        <v>494.74843531278674</v>
      </c>
      <c r="AB589" s="70">
        <f>(SUBSIDIO!$J$589*SUBSIDIO!$V$589)*(0.06)/(1-0.06)</f>
        <v>0</v>
      </c>
      <c r="AC589" s="70">
        <f>((SUBSIDIO!$L$589*SUBSIDIO!$W$589)+(SUBSIDIO!$N$589*SUBSIDIO!$X$589))*(0.06)/(1-0.06)</f>
        <v>17802.5214906</v>
      </c>
      <c r="AD589" s="70">
        <f>(SUBSIDIO!$J$589*SUBSIDIO!$Y$589)*(0.03)/(1-0.03)</f>
        <v>0</v>
      </c>
      <c r="AE589" s="70">
        <f ca="1">((SUBSIDIO!$L$589*SUBSIDIO!$Z$589)+(SUBSIDIO!$N$589*SUBSIDIO!$AA$589))*(0.03)/(1-0.03)</f>
        <v>10134.124151002108</v>
      </c>
      <c r="AF589" s="4" t="s">
        <v>1115</v>
      </c>
    </row>
    <row r="590" spans="1:32" ht="11.25" customHeight="1" x14ac:dyDescent="0.25">
      <c r="A590" s="4" t="s">
        <v>21</v>
      </c>
      <c r="B590" s="4" t="s">
        <v>41</v>
      </c>
      <c r="C590" s="4" t="s">
        <v>42</v>
      </c>
      <c r="D590" s="4" t="s">
        <v>51</v>
      </c>
      <c r="E590" s="4" t="s">
        <v>52</v>
      </c>
      <c r="F590" s="4" t="s">
        <v>25</v>
      </c>
      <c r="G590" s="4" t="s">
        <v>25</v>
      </c>
      <c r="H590" s="4" t="s">
        <v>34</v>
      </c>
      <c r="I590" s="5">
        <v>44501</v>
      </c>
      <c r="J590" s="6">
        <v>0</v>
      </c>
      <c r="K590" s="70">
        <v>0</v>
      </c>
      <c r="L590" s="6">
        <v>136.42500000000001</v>
      </c>
      <c r="M590" s="70">
        <v>136.42500000000001</v>
      </c>
      <c r="N590" s="6">
        <v>136.42500000000001</v>
      </c>
      <c r="O590" s="70">
        <v>136.42500000000001</v>
      </c>
      <c r="P590" s="6">
        <v>0</v>
      </c>
      <c r="Q590" s="4" t="s">
        <v>26</v>
      </c>
      <c r="R590" s="4">
        <v>0</v>
      </c>
      <c r="S590" s="4">
        <v>0</v>
      </c>
      <c r="T590" s="4">
        <v>30</v>
      </c>
      <c r="U590" s="4">
        <v>78</v>
      </c>
      <c r="V590" s="70">
        <f>IF(ISERROR(VLOOKUP($S$590,'TAR FIN'!$A$1:$O$116,15,0)),0,VLOOKUP($S$590,'TAR FIN'!$A$1:$O$116,15,0))</f>
        <v>0</v>
      </c>
      <c r="W590" s="70">
        <f>IF(ISERROR(VLOOKUP($T$590,'TAR FIN'!$A$1:$O$116,15,0)),0,VLOOKUP($T$590,'TAR FIN'!$A$1:$O$116,15,0))*(1-0.06)</f>
        <v>1581.1927999999998</v>
      </c>
      <c r="X590" s="70">
        <f>IF(ISERROR(VLOOKUP($U$590,'TAR FIN'!$A$1:$O$116,15,0)),0,VLOOKUP($U$590,'TAR FIN'!$A$1:$O$116,15,0))*(1-0.06)</f>
        <v>466.38099999999997</v>
      </c>
      <c r="Y590" s="70"/>
      <c r="Z590" s="70">
        <f ca="1">('TUSD BE'!$AM$34+'TUSD BF'!$AM$34+'TUSD CVA'!$AM$34)*1*(1-0.03)</f>
        <v>1910.8223561368904</v>
      </c>
      <c r="AA590" s="70">
        <f>('TE BE'!$AB$9+'TE BF'!$AB$9+'TE CVA'!$AB$9)*1*(1-0.03)</f>
        <v>494.74843531278674</v>
      </c>
      <c r="AB590" s="70">
        <f>(SUBSIDIO!$J$590*SUBSIDIO!$V$590)*(0.06)/(1-0.06)</f>
        <v>0</v>
      </c>
      <c r="AC590" s="70">
        <f>((SUBSIDIO!$L$590*SUBSIDIO!$W$590)+(SUBSIDIO!$N$590*SUBSIDIO!$X$590))*(0.06)/(1-0.06)</f>
        <v>17830.229084999999</v>
      </c>
      <c r="AD590" s="70">
        <f>(SUBSIDIO!$J$590*SUBSIDIO!$Y$590)*(0.03)/(1-0.03)</f>
        <v>0</v>
      </c>
      <c r="AE590" s="70">
        <f ca="1">((SUBSIDIO!$L$590*SUBSIDIO!$Z$590)+(SUBSIDIO!$N$590*SUBSIDIO!$AA$590))*(0.03)/(1-0.03)</f>
        <v>10149.896759490379</v>
      </c>
      <c r="AF590" s="4" t="s">
        <v>1115</v>
      </c>
    </row>
    <row r="591" spans="1:32" ht="11.25" customHeight="1" x14ac:dyDescent="0.25">
      <c r="A591" s="4" t="s">
        <v>21</v>
      </c>
      <c r="B591" s="4" t="s">
        <v>41</v>
      </c>
      <c r="C591" s="4" t="s">
        <v>42</v>
      </c>
      <c r="D591" s="4" t="s">
        <v>51</v>
      </c>
      <c r="E591" s="4" t="s">
        <v>52</v>
      </c>
      <c r="F591" s="4" t="s">
        <v>25</v>
      </c>
      <c r="G591" s="4" t="s">
        <v>25</v>
      </c>
      <c r="H591" s="4" t="s">
        <v>34</v>
      </c>
      <c r="I591" s="5">
        <v>44531</v>
      </c>
      <c r="J591" s="6">
        <v>0</v>
      </c>
      <c r="K591" s="70">
        <v>0</v>
      </c>
      <c r="L591" s="6">
        <v>155.38999999999999</v>
      </c>
      <c r="M591" s="70">
        <v>155.38999999999999</v>
      </c>
      <c r="N591" s="6">
        <v>155.38999999999999</v>
      </c>
      <c r="O591" s="70">
        <v>155.38999999999999</v>
      </c>
      <c r="P591" s="6">
        <v>0</v>
      </c>
      <c r="Q591" s="4" t="s">
        <v>26</v>
      </c>
      <c r="R591" s="4">
        <v>0</v>
      </c>
      <c r="S591" s="4">
        <v>0</v>
      </c>
      <c r="T591" s="4">
        <v>30</v>
      </c>
      <c r="U591" s="4">
        <v>78</v>
      </c>
      <c r="V591" s="70">
        <f>IF(ISERROR(VLOOKUP($S$591,'TAR FIN'!$A$1:$O$116,15,0)),0,VLOOKUP($S$591,'TAR FIN'!$A$1:$O$116,15,0))</f>
        <v>0</v>
      </c>
      <c r="W591" s="70">
        <f>IF(ISERROR(VLOOKUP($T$591,'TAR FIN'!$A$1:$O$116,15,0)),0,VLOOKUP($T$591,'TAR FIN'!$A$1:$O$116,15,0))*(1-0.06)</f>
        <v>1581.1927999999998</v>
      </c>
      <c r="X591" s="70">
        <f>IF(ISERROR(VLOOKUP($U$591,'TAR FIN'!$A$1:$O$116,15,0)),0,VLOOKUP($U$591,'TAR FIN'!$A$1:$O$116,15,0))*(1-0.06)</f>
        <v>466.38099999999997</v>
      </c>
      <c r="Y591" s="70"/>
      <c r="Z591" s="70">
        <f ca="1">('TUSD BE'!$AM$34+'TUSD BF'!$AM$34+'TUSD CVA'!$AM$34)*1*(1-0.03)</f>
        <v>1910.8223561368904</v>
      </c>
      <c r="AA591" s="70">
        <f>('TE BE'!$AB$9+'TE BF'!$AB$9+'TE CVA'!$AB$9)*1*(1-0.03)</f>
        <v>494.74843531278674</v>
      </c>
      <c r="AB591" s="70">
        <f>(SUBSIDIO!$J$591*SUBSIDIO!$V$591)*(0.06)/(1-0.06)</f>
        <v>0</v>
      </c>
      <c r="AC591" s="70">
        <f>((SUBSIDIO!$L$591*SUBSIDIO!$W$591)+(SUBSIDIO!$N$591*SUBSIDIO!$X$591))*(0.06)/(1-0.06)</f>
        <v>20308.882517999995</v>
      </c>
      <c r="AD591" s="70">
        <f>(SUBSIDIO!$J$591*SUBSIDIO!$Y$591)*(0.03)/(1-0.03)</f>
        <v>0</v>
      </c>
      <c r="AE591" s="70">
        <f ca="1">((SUBSIDIO!$L$591*SUBSIDIO!$Z$591)+(SUBSIDIO!$N$591*SUBSIDIO!$AA$591))*(0.03)/(1-0.03)</f>
        <v>11560.875627320574</v>
      </c>
      <c r="AF591" s="4" t="s">
        <v>1115</v>
      </c>
    </row>
    <row r="592" spans="1:32" ht="11.25" customHeight="1" x14ac:dyDescent="0.25">
      <c r="A592" s="4" t="s">
        <v>21</v>
      </c>
      <c r="B592" s="4" t="s">
        <v>41</v>
      </c>
      <c r="C592" s="4" t="s">
        <v>42</v>
      </c>
      <c r="D592" s="4" t="s">
        <v>51</v>
      </c>
      <c r="E592" s="4" t="s">
        <v>52</v>
      </c>
      <c r="F592" s="4" t="s">
        <v>25</v>
      </c>
      <c r="G592" s="4" t="s">
        <v>25</v>
      </c>
      <c r="H592" s="4" t="s">
        <v>34</v>
      </c>
      <c r="I592" s="5">
        <v>44562</v>
      </c>
      <c r="J592" s="6">
        <v>0</v>
      </c>
      <c r="K592" s="70">
        <v>0</v>
      </c>
      <c r="L592" s="6">
        <v>157.398</v>
      </c>
      <c r="M592" s="70">
        <v>157.398</v>
      </c>
      <c r="N592" s="6">
        <v>157.398</v>
      </c>
      <c r="O592" s="70">
        <v>157.398</v>
      </c>
      <c r="P592" s="6">
        <v>0</v>
      </c>
      <c r="Q592" s="4" t="s">
        <v>26</v>
      </c>
      <c r="R592" s="4">
        <v>0</v>
      </c>
      <c r="S592" s="4">
        <v>0</v>
      </c>
      <c r="T592" s="4">
        <v>30</v>
      </c>
      <c r="U592" s="4">
        <v>78</v>
      </c>
      <c r="V592" s="70">
        <f>IF(ISERROR(VLOOKUP($S$592,'TAR FIN'!$A$1:$O$116,15,0)),0,VLOOKUP($S$592,'TAR FIN'!$A$1:$O$116,15,0))</f>
        <v>0</v>
      </c>
      <c r="W592" s="70">
        <f>IF(ISERROR(VLOOKUP($T$592,'TAR FIN'!$A$1:$O$116,15,0)),0,VLOOKUP($T$592,'TAR FIN'!$A$1:$O$116,15,0))*(1-0.06)</f>
        <v>1581.1927999999998</v>
      </c>
      <c r="X592" s="70">
        <f>IF(ISERROR(VLOOKUP($U$592,'TAR FIN'!$A$1:$O$116,15,0)),0,VLOOKUP($U$592,'TAR FIN'!$A$1:$O$116,15,0))*(1-0.06)</f>
        <v>466.38099999999997</v>
      </c>
      <c r="Y592" s="70"/>
      <c r="Z592" s="70">
        <f ca="1">('TUSD BE'!$AM$34+'TUSD BF'!$AM$34+'TUSD CVA'!$AM$34)*1*(1-0.03)</f>
        <v>1910.8223561368904</v>
      </c>
      <c r="AA592" s="70">
        <f>('TE BE'!$AB$9+'TE BF'!$AB$9+'TE CVA'!$AB$9)*1*(1-0.03)</f>
        <v>494.74843531278674</v>
      </c>
      <c r="AB592" s="70">
        <f>(SUBSIDIO!$J$592*SUBSIDIO!$V$592)*(0.06)/(1-0.06)</f>
        <v>0</v>
      </c>
      <c r="AC592" s="70">
        <f>((SUBSIDIO!$L$592*SUBSIDIO!$W$592)+(SUBSIDIO!$N$592*SUBSIDIO!$X$592))*(0.06)/(1-0.06)</f>
        <v>20571.320487599998</v>
      </c>
      <c r="AD592" s="70">
        <f>(SUBSIDIO!$J$592*SUBSIDIO!$Y$592)*(0.03)/(1-0.03)</f>
        <v>0</v>
      </c>
      <c r="AE592" s="70">
        <f ca="1">((SUBSIDIO!$L$592*SUBSIDIO!$Z$592)+(SUBSIDIO!$N$592*SUBSIDIO!$AA$592))*(0.03)/(1-0.03)</f>
        <v>11710.269013379268</v>
      </c>
      <c r="AF592" s="4" t="s">
        <v>1115</v>
      </c>
    </row>
    <row r="593" spans="1:32" ht="11.25" customHeight="1" x14ac:dyDescent="0.25">
      <c r="A593" s="4" t="s">
        <v>21</v>
      </c>
      <c r="B593" s="4" t="s">
        <v>41</v>
      </c>
      <c r="C593" s="4" t="s">
        <v>42</v>
      </c>
      <c r="D593" s="4" t="s">
        <v>51</v>
      </c>
      <c r="E593" s="4" t="s">
        <v>52</v>
      </c>
      <c r="F593" s="4" t="s">
        <v>25</v>
      </c>
      <c r="G593" s="4" t="s">
        <v>25</v>
      </c>
      <c r="H593" s="4" t="s">
        <v>34</v>
      </c>
      <c r="I593" s="5">
        <v>44593</v>
      </c>
      <c r="J593" s="6">
        <v>0</v>
      </c>
      <c r="K593" s="70">
        <v>0</v>
      </c>
      <c r="L593" s="6">
        <v>144.5</v>
      </c>
      <c r="M593" s="70">
        <v>144.5</v>
      </c>
      <c r="N593" s="6">
        <v>144.5</v>
      </c>
      <c r="O593" s="70">
        <v>144.5</v>
      </c>
      <c r="P593" s="6">
        <v>0</v>
      </c>
      <c r="Q593" s="4" t="s">
        <v>26</v>
      </c>
      <c r="R593" s="4">
        <v>0</v>
      </c>
      <c r="S593" s="4">
        <v>0</v>
      </c>
      <c r="T593" s="4">
        <v>30</v>
      </c>
      <c r="U593" s="4">
        <v>78</v>
      </c>
      <c r="V593" s="70">
        <f>IF(ISERROR(VLOOKUP($S$593,'TAR FIN'!$A$1:$O$116,15,0)),0,VLOOKUP($S$593,'TAR FIN'!$A$1:$O$116,15,0))</f>
        <v>0</v>
      </c>
      <c r="W593" s="70">
        <f>IF(ISERROR(VLOOKUP($T$593,'TAR FIN'!$A$1:$O$116,15,0)),0,VLOOKUP($T$593,'TAR FIN'!$A$1:$O$116,15,0))*(1-0.06)</f>
        <v>1581.1927999999998</v>
      </c>
      <c r="X593" s="70">
        <f>IF(ISERROR(VLOOKUP($U$593,'TAR FIN'!$A$1:$O$116,15,0)),0,VLOOKUP($U$593,'TAR FIN'!$A$1:$O$116,15,0))*(1-0.06)</f>
        <v>466.38099999999997</v>
      </c>
      <c r="Y593" s="70"/>
      <c r="Z593" s="70">
        <f ca="1">('TUSD BE'!$AM$34+'TUSD BF'!$AM$34+'TUSD CVA'!$AM$34)*1*(1-0.03)</f>
        <v>1910.8223561368904</v>
      </c>
      <c r="AA593" s="70">
        <f>('TE BE'!$AB$9+'TE BF'!$AB$9+'TE CVA'!$AB$9)*1*(1-0.03)</f>
        <v>494.74843531278674</v>
      </c>
      <c r="AB593" s="70">
        <f>(SUBSIDIO!$J$593*SUBSIDIO!$V$593)*(0.06)/(1-0.06)</f>
        <v>0</v>
      </c>
      <c r="AC593" s="70">
        <f>((SUBSIDIO!$L$593*SUBSIDIO!$W$593)+(SUBSIDIO!$N$593*SUBSIDIO!$X$593))*(0.06)/(1-0.06)</f>
        <v>18885.600899999998</v>
      </c>
      <c r="AD593" s="70">
        <f>(SUBSIDIO!$J$593*SUBSIDIO!$Y$593)*(0.03)/(1-0.03)</f>
        <v>0</v>
      </c>
      <c r="AE593" s="70">
        <f ca="1">((SUBSIDIO!$L$593*SUBSIDIO!$Z$593)+(SUBSIDIO!$N$593*SUBSIDIO!$AA$593))*(0.03)/(1-0.03)</f>
        <v>10750.669464880773</v>
      </c>
      <c r="AF593" s="4" t="s">
        <v>1115</v>
      </c>
    </row>
    <row r="594" spans="1:32" ht="11.25" customHeight="1" x14ac:dyDescent="0.25">
      <c r="A594" s="4" t="s">
        <v>21</v>
      </c>
      <c r="B594" s="4" t="s">
        <v>41</v>
      </c>
      <c r="C594" s="4" t="s">
        <v>42</v>
      </c>
      <c r="D594" s="4" t="s">
        <v>51</v>
      </c>
      <c r="E594" s="4" t="s">
        <v>52</v>
      </c>
      <c r="F594" s="4" t="s">
        <v>25</v>
      </c>
      <c r="G594" s="4" t="s">
        <v>25</v>
      </c>
      <c r="H594" s="4" t="s">
        <v>34</v>
      </c>
      <c r="I594" s="5">
        <v>44621</v>
      </c>
      <c r="J594" s="6">
        <v>0</v>
      </c>
      <c r="K594" s="70">
        <v>0</v>
      </c>
      <c r="L594" s="6">
        <v>148.15700000000001</v>
      </c>
      <c r="M594" s="70">
        <v>148.15700000000001</v>
      </c>
      <c r="N594" s="6">
        <v>148.15700000000001</v>
      </c>
      <c r="O594" s="70">
        <v>148.15700000000001</v>
      </c>
      <c r="P594" s="6">
        <v>0</v>
      </c>
      <c r="Q594" s="4" t="s">
        <v>26</v>
      </c>
      <c r="R594" s="4">
        <v>0</v>
      </c>
      <c r="S594" s="4">
        <v>0</v>
      </c>
      <c r="T594" s="4">
        <v>30</v>
      </c>
      <c r="U594" s="4">
        <v>78</v>
      </c>
      <c r="V594" s="70">
        <f>IF(ISERROR(VLOOKUP($S$594,'TAR FIN'!$A$1:$O$116,15,0)),0,VLOOKUP($S$594,'TAR FIN'!$A$1:$O$116,15,0))</f>
        <v>0</v>
      </c>
      <c r="W594" s="70">
        <f>IF(ISERROR(VLOOKUP($T$594,'TAR FIN'!$A$1:$O$116,15,0)),0,VLOOKUP($T$594,'TAR FIN'!$A$1:$O$116,15,0))*(1-0.06)</f>
        <v>1581.1927999999998</v>
      </c>
      <c r="X594" s="70">
        <f>IF(ISERROR(VLOOKUP($U$594,'TAR FIN'!$A$1:$O$116,15,0)),0,VLOOKUP($U$594,'TAR FIN'!$A$1:$O$116,15,0))*(1-0.06)</f>
        <v>466.38099999999997</v>
      </c>
      <c r="Y594" s="70"/>
      <c r="Z594" s="70">
        <f ca="1">('TUSD BE'!$AM$34+'TUSD BF'!$AM$34+'TUSD CVA'!$AM$34)*1*(1-0.03)</f>
        <v>1910.8223561368904</v>
      </c>
      <c r="AA594" s="70">
        <f>('TE BE'!$AB$9+'TE BF'!$AB$9+'TE CVA'!$AB$9)*1*(1-0.03)</f>
        <v>494.74843531278674</v>
      </c>
      <c r="AB594" s="70">
        <f>(SUBSIDIO!$J$594*SUBSIDIO!$V$594)*(0.06)/(1-0.06)</f>
        <v>0</v>
      </c>
      <c r="AC594" s="70">
        <f>((SUBSIDIO!$L$594*SUBSIDIO!$W$594)+(SUBSIDIO!$N$594*SUBSIDIO!$X$594))*(0.06)/(1-0.06)</f>
        <v>19363.556903399996</v>
      </c>
      <c r="AD594" s="70">
        <f>(SUBSIDIO!$J$594*SUBSIDIO!$Y$594)*(0.03)/(1-0.03)</f>
        <v>0</v>
      </c>
      <c r="AE594" s="70">
        <f ca="1">((SUBSIDIO!$L$594*SUBSIDIO!$Z$594)+(SUBSIDIO!$N$594*SUBSIDIO!$AA$594))*(0.03)/(1-0.03)</f>
        <v>11022.746961303397</v>
      </c>
      <c r="AF594" s="4" t="s">
        <v>1115</v>
      </c>
    </row>
    <row r="595" spans="1:32" ht="11.25" customHeight="1" x14ac:dyDescent="0.25">
      <c r="A595" s="4" t="s">
        <v>21</v>
      </c>
      <c r="B595" s="4" t="s">
        <v>41</v>
      </c>
      <c r="C595" s="4" t="s">
        <v>42</v>
      </c>
      <c r="D595" s="4" t="s">
        <v>51</v>
      </c>
      <c r="E595" s="4" t="s">
        <v>52</v>
      </c>
      <c r="F595" s="4" t="s">
        <v>25</v>
      </c>
      <c r="G595" s="4" t="s">
        <v>25</v>
      </c>
      <c r="H595" s="4" t="s">
        <v>34</v>
      </c>
      <c r="I595" s="5">
        <v>44652</v>
      </c>
      <c r="J595" s="6">
        <v>0</v>
      </c>
      <c r="K595" s="70">
        <v>0</v>
      </c>
      <c r="L595" s="6">
        <v>144.87200000000001</v>
      </c>
      <c r="M595" s="70">
        <v>144.87200000000001</v>
      </c>
      <c r="N595" s="6">
        <v>144.87200000000001</v>
      </c>
      <c r="O595" s="70">
        <v>144.87200000000001</v>
      </c>
      <c r="P595" s="6">
        <v>0</v>
      </c>
      <c r="Q595" s="4" t="s">
        <v>26</v>
      </c>
      <c r="R595" s="4">
        <v>0</v>
      </c>
      <c r="S595" s="4">
        <v>0</v>
      </c>
      <c r="T595" s="4">
        <v>30</v>
      </c>
      <c r="U595" s="4">
        <v>78</v>
      </c>
      <c r="V595" s="70">
        <f>IF(ISERROR(VLOOKUP($S$595,'TAR FIN'!$A$1:$O$116,15,0)),0,VLOOKUP($S$595,'TAR FIN'!$A$1:$O$116,15,0))</f>
        <v>0</v>
      </c>
      <c r="W595" s="70">
        <f>IF(ISERROR(VLOOKUP($T$595,'TAR FIN'!$A$1:$O$116,15,0)),0,VLOOKUP($T$595,'TAR FIN'!$A$1:$O$116,15,0))*(1-0.06)</f>
        <v>1581.1927999999998</v>
      </c>
      <c r="X595" s="70">
        <f>IF(ISERROR(VLOOKUP($U$595,'TAR FIN'!$A$1:$O$116,15,0)),0,VLOOKUP($U$595,'TAR FIN'!$A$1:$O$116,15,0))*(1-0.06)</f>
        <v>466.38099999999997</v>
      </c>
      <c r="Y595" s="70"/>
      <c r="Z595" s="70">
        <f ca="1">('TUSD BE'!$AM$34+'TUSD BF'!$AM$34+'TUSD CVA'!$AM$34)*1*(1-0.03)</f>
        <v>1910.8223561368904</v>
      </c>
      <c r="AA595" s="70">
        <f>('TE BE'!$AB$9+'TE BF'!$AB$9+'TE CVA'!$AB$9)*1*(1-0.03)</f>
        <v>494.74843531278674</v>
      </c>
      <c r="AB595" s="70">
        <f>(SUBSIDIO!$J$595*SUBSIDIO!$V$595)*(0.06)/(1-0.06)</f>
        <v>0</v>
      </c>
      <c r="AC595" s="70">
        <f>((SUBSIDIO!$L$595*SUBSIDIO!$W$595)+(SUBSIDIO!$N$595*SUBSIDIO!$X$595))*(0.06)/(1-0.06)</f>
        <v>18934.219886400002</v>
      </c>
      <c r="AD595" s="70">
        <f>(SUBSIDIO!$J$595*SUBSIDIO!$Y$595)*(0.03)/(1-0.03)</f>
        <v>0</v>
      </c>
      <c r="AE595" s="70">
        <f ca="1">((SUBSIDIO!$L$595*SUBSIDIO!$Z$595)+(SUBSIDIO!$N$595*SUBSIDIO!$AA$595))*(0.03)/(1-0.03)</f>
        <v>10778.345928831886</v>
      </c>
      <c r="AF595" s="4" t="s">
        <v>1115</v>
      </c>
    </row>
    <row r="596" spans="1:32" ht="11.25" customHeight="1" x14ac:dyDescent="0.25">
      <c r="A596" s="4" t="s">
        <v>58</v>
      </c>
      <c r="B596" s="4" t="s">
        <v>41</v>
      </c>
      <c r="C596" s="4" t="s">
        <v>42</v>
      </c>
      <c r="D596" s="4" t="s">
        <v>51</v>
      </c>
      <c r="E596" s="4" t="s">
        <v>52</v>
      </c>
      <c r="F596" s="4" t="s">
        <v>25</v>
      </c>
      <c r="G596" s="4" t="s">
        <v>25</v>
      </c>
      <c r="H596" s="4" t="s">
        <v>34</v>
      </c>
      <c r="I596" s="5">
        <v>44682</v>
      </c>
      <c r="J596" s="6">
        <v>0</v>
      </c>
      <c r="K596" s="70">
        <v>0</v>
      </c>
      <c r="L596" s="6">
        <v>144.87200000000001</v>
      </c>
      <c r="M596" s="70">
        <v>144.87200000000001</v>
      </c>
      <c r="N596" s="6">
        <v>144.87200000000001</v>
      </c>
      <c r="O596" s="70">
        <v>144.87200000000001</v>
      </c>
      <c r="P596" s="6">
        <v>0</v>
      </c>
      <c r="Q596" s="4" t="s">
        <v>26</v>
      </c>
      <c r="R596" s="4">
        <v>0</v>
      </c>
      <c r="S596" s="4">
        <v>0</v>
      </c>
      <c r="T596" s="4">
        <v>30</v>
      </c>
      <c r="U596" s="4">
        <v>78</v>
      </c>
      <c r="V596" s="70">
        <f>IF(ISERROR(VLOOKUP($S$596,'TAR FIN'!$A$1:$O$116,15,0)),0,VLOOKUP($S$596,'TAR FIN'!$A$1:$O$116,15,0))</f>
        <v>0</v>
      </c>
      <c r="W596" s="70">
        <f>IF(ISERROR(VLOOKUP($T$596,'TAR FIN'!$A$1:$O$116,15,0)),0,VLOOKUP($T$596,'TAR FIN'!$A$1:$O$116,15,0))*(1-0.06)</f>
        <v>1581.1927999999998</v>
      </c>
      <c r="X596" s="70">
        <f>IF(ISERROR(VLOOKUP($U$596,'TAR FIN'!$A$1:$O$116,15,0)),0,VLOOKUP($U$596,'TAR FIN'!$A$1:$O$116,15,0))*(1-0.06)</f>
        <v>466.38099999999997</v>
      </c>
      <c r="Y596" s="70"/>
      <c r="Z596" s="70">
        <f ca="1">('TUSD BE'!$AM$34+'TUSD BF'!$AM$34+'TUSD CVA'!$AM$34)*1*(1-0.03)</f>
        <v>1910.8223561368904</v>
      </c>
      <c r="AA596" s="70">
        <f>('TE BE'!$AB$9+'TE BF'!$AB$9+'TE CVA'!$AB$9)*1*(1-0.03)</f>
        <v>494.74843531278674</v>
      </c>
      <c r="AB596" s="70">
        <f>(SUBSIDIO!$J$596*SUBSIDIO!$V$596)*(0.06)/(1-0.06)</f>
        <v>0</v>
      </c>
      <c r="AC596" s="70">
        <f>((SUBSIDIO!$L$596*SUBSIDIO!$W$596)+(SUBSIDIO!$N$596*SUBSIDIO!$X$596))*(0.06)/(1-0.06)</f>
        <v>18934.219886400002</v>
      </c>
      <c r="AD596" s="70">
        <f>(SUBSIDIO!$J$596*SUBSIDIO!$Y$596)*(0.03)/(1-0.03)</f>
        <v>0</v>
      </c>
      <c r="AE596" s="70">
        <f ca="1">((SUBSIDIO!$L$596*SUBSIDIO!$Z$596)+(SUBSIDIO!$N$596*SUBSIDIO!$AA$596))*(0.03)/(1-0.03)</f>
        <v>10778.345928831886</v>
      </c>
      <c r="AF596" s="4" t="s">
        <v>1115</v>
      </c>
    </row>
    <row r="597" spans="1:32" ht="11.25" customHeight="1" x14ac:dyDescent="0.25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24</v>
      </c>
      <c r="F597" s="4" t="s">
        <v>25</v>
      </c>
      <c r="G597" s="4" t="s">
        <v>25</v>
      </c>
      <c r="H597" s="4" t="s">
        <v>25</v>
      </c>
      <c r="I597" s="5">
        <v>44348</v>
      </c>
      <c r="J597" s="6">
        <v>0</v>
      </c>
      <c r="K597" s="6">
        <v>0</v>
      </c>
      <c r="L597" s="6">
        <v>32508.238000000001</v>
      </c>
      <c r="M597" s="6">
        <v>32508.238000000001</v>
      </c>
      <c r="N597" s="6">
        <v>32508.238000000001</v>
      </c>
      <c r="O597" s="6">
        <v>32508.238000000001</v>
      </c>
      <c r="P597" s="6">
        <v>269381</v>
      </c>
      <c r="Q597" s="4" t="s">
        <v>26</v>
      </c>
      <c r="R597" s="4">
        <v>0</v>
      </c>
      <c r="S597" s="4">
        <v>0</v>
      </c>
      <c r="T597" s="4">
        <v>41</v>
      </c>
      <c r="U597" s="4">
        <v>84</v>
      </c>
      <c r="V597" s="6">
        <f>IF(ISERROR(VLOOKUP($S$597,'TAR FIN'!$A$1:$O$116,15,0)),0,VLOOKUP($S$597,'TAR FIN'!$A$1:$O$116,15,0))</f>
        <v>0</v>
      </c>
      <c r="W597" s="6">
        <f>IF(ISERROR(VLOOKUP($T$597,'TAR FIN'!$A$1:$O$116,15,0)),0,VLOOKUP($T$597,'TAR FIN'!$A$1:$O$116,15,0))</f>
        <v>342.48</v>
      </c>
      <c r="X597" s="6">
        <f>IF(ISERROR(VLOOKUP($U$597,'TAR FIN'!$A$1:$O$116,15,0)),0,VLOOKUP($U$597,'TAR FIN'!$A$1:$O$116,15,0))</f>
        <v>326.47000000000003</v>
      </c>
      <c r="Y597" s="6"/>
      <c r="Z597" s="6">
        <f ca="1">('TUSD BE'!$AM$43+'TUSD BF'!$AM$43+'TUSD CVA'!$AM$43)*1</f>
        <v>436.78490561809065</v>
      </c>
      <c r="AA597" s="6">
        <f>('TE BE'!$AB$14+'TE BF'!$AB$14+'TE CVA'!$AB$14)*1</f>
        <v>329.63081087285968</v>
      </c>
      <c r="AB597" s="6">
        <f t="shared" ref="AB597:AB641" si="38">(J597-K597)*V597</f>
        <v>0</v>
      </c>
      <c r="AC597" s="6">
        <f t="shared" ref="AC597" si="39">(L597-M597)*W597+(N597-O597)*X597</f>
        <v>0</v>
      </c>
      <c r="AD597" s="6">
        <f t="shared" ref="AD597:AD641" si="40">(J597-K597)*Y597</f>
        <v>0</v>
      </c>
      <c r="AE597" s="6">
        <f t="shared" ref="AE597" ca="1" si="41">(L597-M597)*Z597+(N597-O597)*AA597</f>
        <v>0</v>
      </c>
    </row>
    <row r="598" spans="1:32" ht="11.25" customHeight="1" x14ac:dyDescent="0.25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29</v>
      </c>
      <c r="F598" s="4" t="s">
        <v>25</v>
      </c>
      <c r="G598" s="4" t="s">
        <v>25</v>
      </c>
      <c r="H598" s="4" t="s">
        <v>25</v>
      </c>
      <c r="I598" s="5">
        <v>44348</v>
      </c>
      <c r="J598" s="6">
        <v>0</v>
      </c>
      <c r="K598" s="6">
        <v>0</v>
      </c>
      <c r="L598" s="6">
        <v>2446.7080000000001</v>
      </c>
      <c r="M598" s="6">
        <v>2446.7080000000001</v>
      </c>
      <c r="N598" s="6">
        <v>2446.7080000000001</v>
      </c>
      <c r="O598" s="6">
        <v>2446.7080000000001</v>
      </c>
      <c r="P598" s="6">
        <v>4473</v>
      </c>
      <c r="Q598" s="4" t="s">
        <v>26</v>
      </c>
      <c r="R598" s="4">
        <v>0</v>
      </c>
      <c r="S598" s="4">
        <v>0</v>
      </c>
      <c r="T598" s="4">
        <v>42</v>
      </c>
      <c r="U598" s="4">
        <v>85</v>
      </c>
      <c r="V598" s="6">
        <f>IF(ISERROR(VLOOKUP($S$598,'TAR FIN'!$A$1:$O$116,15,0)),0,VLOOKUP($S$598,'TAR FIN'!$A$1:$O$116,15,0))</f>
        <v>0</v>
      </c>
      <c r="W598" s="6">
        <f>IF(ISERROR(VLOOKUP($T$598,'TAR FIN'!$A$1:$O$116,15,0)),0,VLOOKUP($T$598,'TAR FIN'!$A$1:$O$116,15,0))</f>
        <v>94.28</v>
      </c>
      <c r="X598" s="6">
        <f>IF(ISERROR(VLOOKUP($U$598,'TAR FIN'!$A$1:$O$116,15,0)),0,VLOOKUP($U$598,'TAR FIN'!$A$1:$O$116,15,0))</f>
        <v>114.26</v>
      </c>
      <c r="Y598" s="6"/>
      <c r="Z59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598" s="6">
        <f>('TE BE'!$AB$15+'TE BF'!$AB$15+'TE CVA'!$AB$15)*(1-CUSTOS!$M$34)</f>
        <v>115.37078380550088</v>
      </c>
      <c r="AB598" s="6">
        <f t="shared" si="38"/>
        <v>0</v>
      </c>
      <c r="AC598" s="6">
        <f>(L598-M598)*(W598+X598)+($W$711+$X$711-$W$598-$X$598)*(L598)</f>
        <v>947610.00840000017</v>
      </c>
      <c r="AD598" s="6">
        <f t="shared" si="40"/>
        <v>0</v>
      </c>
      <c r="AE598" s="6">
        <f ca="1">(L598-M598)*(Z598+AA598)+($Z$711+$AA$711-$Z$598-$AA$598)*(L598)</f>
        <v>1016292.8521744001</v>
      </c>
      <c r="AF598" s="4" t="s">
        <v>1116</v>
      </c>
    </row>
    <row r="599" spans="1:32" ht="11.25" customHeight="1" x14ac:dyDescent="0.25">
      <c r="A599" s="4" t="s">
        <v>27</v>
      </c>
      <c r="B599" s="4" t="s">
        <v>22</v>
      </c>
      <c r="C599" s="4" t="s">
        <v>23</v>
      </c>
      <c r="D599" s="4" t="s">
        <v>24</v>
      </c>
      <c r="E599" s="4" t="s">
        <v>29</v>
      </c>
      <c r="F599" s="4" t="s">
        <v>25</v>
      </c>
      <c r="G599" s="4" t="s">
        <v>25</v>
      </c>
      <c r="H599" s="4" t="s">
        <v>25</v>
      </c>
      <c r="I599" s="5">
        <v>44348</v>
      </c>
      <c r="J599" s="6">
        <v>0</v>
      </c>
      <c r="K599" s="6">
        <v>0</v>
      </c>
      <c r="L599" s="6">
        <v>0.76600000000000001</v>
      </c>
      <c r="M599" s="6">
        <v>0.76600000000000001</v>
      </c>
      <c r="N599" s="6">
        <v>0.76600000000000001</v>
      </c>
      <c r="O599" s="6">
        <v>0.76600000000000001</v>
      </c>
      <c r="P599" s="6">
        <v>12</v>
      </c>
      <c r="Q599" s="4" t="s">
        <v>26</v>
      </c>
      <c r="R599" s="4">
        <v>0</v>
      </c>
      <c r="S599" s="4">
        <v>0</v>
      </c>
      <c r="T599" s="4">
        <v>42</v>
      </c>
      <c r="U599" s="4">
        <v>85</v>
      </c>
      <c r="V599" s="6">
        <f>IF(ISERROR(VLOOKUP($S$599,'TAR FIN'!$A$1:$O$116,15,0)),0,VLOOKUP($S$599,'TAR FIN'!$A$1:$O$116,15,0))</f>
        <v>0</v>
      </c>
      <c r="W599" s="6">
        <f>IF(ISERROR(VLOOKUP($T$599,'TAR FIN'!$A$1:$O$116,15,0)),0,VLOOKUP($T$599,'TAR FIN'!$A$1:$O$116,15,0))</f>
        <v>94.28</v>
      </c>
      <c r="X599" s="6">
        <f>IF(ISERROR(VLOOKUP($U$599,'TAR FIN'!$A$1:$O$116,15,0)),0,VLOOKUP($U$599,'TAR FIN'!$A$1:$O$116,15,0))</f>
        <v>114.26</v>
      </c>
      <c r="Y599" s="6"/>
      <c r="Z59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599" s="6">
        <f>('TE BE'!$AB$15+'TE BF'!$AB$15+'TE CVA'!$AB$15)*(1-CUSTOS!$M$34)</f>
        <v>115.37078380550088</v>
      </c>
      <c r="AB599" s="6">
        <f t="shared" si="38"/>
        <v>0</v>
      </c>
      <c r="AC599" s="6">
        <f>(L599-M599)*(W599+X599)+($W$711+$X$711-$W$599-$X$599)*(L599)</f>
        <v>296.67180000000008</v>
      </c>
      <c r="AD599" s="6">
        <f t="shared" si="40"/>
        <v>0</v>
      </c>
      <c r="AE599" s="6">
        <f ca="1">(L599-M599)*(Z599+AA599)+($Z$711+$AA$711-$Z$599-$AA$599)*(L599)</f>
        <v>318.17459409361089</v>
      </c>
      <c r="AF599" s="4" t="s">
        <v>1116</v>
      </c>
    </row>
    <row r="600" spans="1:32" ht="11.25" customHeight="1" x14ac:dyDescent="0.25">
      <c r="A600" s="4" t="s">
        <v>28</v>
      </c>
      <c r="B600" s="4" t="s">
        <v>22</v>
      </c>
      <c r="C600" s="4" t="s">
        <v>23</v>
      </c>
      <c r="D600" s="4" t="s">
        <v>24</v>
      </c>
      <c r="E600" s="4" t="s">
        <v>29</v>
      </c>
      <c r="F600" s="4" t="s">
        <v>25</v>
      </c>
      <c r="G600" s="4" t="s">
        <v>25</v>
      </c>
      <c r="H600" s="4" t="s">
        <v>25</v>
      </c>
      <c r="I600" s="5">
        <v>44348</v>
      </c>
      <c r="J600" s="6">
        <v>0</v>
      </c>
      <c r="K600" s="6">
        <v>0</v>
      </c>
      <c r="L600" s="6">
        <v>2.31</v>
      </c>
      <c r="M600" s="6">
        <v>2.31</v>
      </c>
      <c r="N600" s="6">
        <v>2.31</v>
      </c>
      <c r="O600" s="6">
        <v>2.31</v>
      </c>
      <c r="P600" s="6">
        <v>4</v>
      </c>
      <c r="Q600" s="4" t="s">
        <v>26</v>
      </c>
      <c r="R600" s="4">
        <v>0</v>
      </c>
      <c r="S600" s="4">
        <v>0</v>
      </c>
      <c r="T600" s="4">
        <v>42</v>
      </c>
      <c r="U600" s="4">
        <v>85</v>
      </c>
      <c r="V600" s="6">
        <f>IF(ISERROR(VLOOKUP($S$600,'TAR FIN'!$A$1:$O$116,15,0)),0,VLOOKUP($S$600,'TAR FIN'!$A$1:$O$116,15,0))</f>
        <v>0</v>
      </c>
      <c r="W600" s="6">
        <f>IF(ISERROR(VLOOKUP($T$600,'TAR FIN'!$A$1:$O$116,15,0)),0,VLOOKUP($T$600,'TAR FIN'!$A$1:$O$116,15,0))</f>
        <v>94.28</v>
      </c>
      <c r="X600" s="6">
        <f>IF(ISERROR(VLOOKUP($U$600,'TAR FIN'!$A$1:$O$116,15,0)),0,VLOOKUP($U$600,'TAR FIN'!$A$1:$O$116,15,0))</f>
        <v>114.26</v>
      </c>
      <c r="Y600" s="6"/>
      <c r="Z60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0" s="6">
        <f>('TE BE'!$AB$15+'TE BF'!$AB$15+'TE CVA'!$AB$15)*(1-CUSTOS!$M$34)</f>
        <v>115.37078380550088</v>
      </c>
      <c r="AB600" s="6">
        <f t="shared" si="38"/>
        <v>0</v>
      </c>
      <c r="AC600" s="6">
        <f>(L600-M600)*(W600+X600)+($W$711+$X$711-$W$600-$X$600)*(L600)</f>
        <v>894.66300000000012</v>
      </c>
      <c r="AD600" s="6">
        <f t="shared" si="40"/>
        <v>0</v>
      </c>
      <c r="AE600" s="6">
        <f ca="1">(L600-M600)*(Z600+AA600)+($Z$711+$AA$711-$Z$600-$AA$600)*(L600)</f>
        <v>959.5082406739441</v>
      </c>
      <c r="AF600" s="4" t="s">
        <v>1116</v>
      </c>
    </row>
    <row r="601" spans="1:32" ht="11.25" customHeight="1" x14ac:dyDescent="0.25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29</v>
      </c>
      <c r="F601" s="4" t="s">
        <v>25</v>
      </c>
      <c r="G601" s="4" t="s">
        <v>25</v>
      </c>
      <c r="H601" s="4" t="s">
        <v>25</v>
      </c>
      <c r="I601" s="5">
        <v>44378</v>
      </c>
      <c r="J601" s="6">
        <v>0</v>
      </c>
      <c r="K601" s="6">
        <v>0</v>
      </c>
      <c r="L601" s="6">
        <v>2485.9389999999999</v>
      </c>
      <c r="M601" s="6">
        <v>2485.9389999999999</v>
      </c>
      <c r="N601" s="6">
        <v>2485.9389999999999</v>
      </c>
      <c r="O601" s="6">
        <v>2485.9389999999999</v>
      </c>
      <c r="P601" s="6">
        <v>4892</v>
      </c>
      <c r="Q601" s="4" t="s">
        <v>26</v>
      </c>
      <c r="R601" s="4">
        <v>0</v>
      </c>
      <c r="S601" s="4">
        <v>0</v>
      </c>
      <c r="T601" s="4">
        <v>42</v>
      </c>
      <c r="U601" s="4">
        <v>85</v>
      </c>
      <c r="V601" s="6">
        <f>IF(ISERROR(VLOOKUP($S$601,'TAR FIN'!$A$1:$O$116,15,0)),0,VLOOKUP($S$601,'TAR FIN'!$A$1:$O$116,15,0))</f>
        <v>0</v>
      </c>
      <c r="W601" s="6">
        <f>IF(ISERROR(VLOOKUP($T$601,'TAR FIN'!$A$1:$O$116,15,0)),0,VLOOKUP($T$601,'TAR FIN'!$A$1:$O$116,15,0))</f>
        <v>94.28</v>
      </c>
      <c r="X601" s="6">
        <f>IF(ISERROR(VLOOKUP($U$601,'TAR FIN'!$A$1:$O$116,15,0)),0,VLOOKUP($U$601,'TAR FIN'!$A$1:$O$116,15,0))</f>
        <v>114.26</v>
      </c>
      <c r="Y601" s="6"/>
      <c r="Z60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1" s="6">
        <f>('TE BE'!$AB$15+'TE BF'!$AB$15+'TE CVA'!$AB$15)*(1-CUSTOS!$M$34)</f>
        <v>115.37078380550088</v>
      </c>
      <c r="AB601" s="6">
        <f t="shared" si="38"/>
        <v>0</v>
      </c>
      <c r="AC601" s="6">
        <f>(L601-M601)*(W601+X601)+($W$711+$X$711-$W$601-$X$601)*(L601)</f>
        <v>962804.17470000009</v>
      </c>
      <c r="AD601" s="6">
        <f t="shared" si="40"/>
        <v>0</v>
      </c>
      <c r="AE601" s="6">
        <f ca="1">(L601-M601)*(Z601+AA601)+($Z$711+$AA$711-$Z$601-$AA$601)*(L601)</f>
        <v>1032588.2927760795</v>
      </c>
      <c r="AF601" s="4" t="s">
        <v>1116</v>
      </c>
    </row>
    <row r="602" spans="1:32" ht="11.25" customHeight="1" x14ac:dyDescent="0.25">
      <c r="A602" s="4" t="s">
        <v>27</v>
      </c>
      <c r="B602" s="4" t="s">
        <v>22</v>
      </c>
      <c r="C602" s="4" t="s">
        <v>23</v>
      </c>
      <c r="D602" s="4" t="s">
        <v>24</v>
      </c>
      <c r="E602" s="4" t="s">
        <v>29</v>
      </c>
      <c r="F602" s="4" t="s">
        <v>25</v>
      </c>
      <c r="G602" s="4" t="s">
        <v>25</v>
      </c>
      <c r="H602" s="4" t="s">
        <v>25</v>
      </c>
      <c r="I602" s="5">
        <v>44378</v>
      </c>
      <c r="J602" s="6">
        <v>0</v>
      </c>
      <c r="K602" s="6">
        <v>0</v>
      </c>
      <c r="L602" s="6">
        <v>0.74199999999999999</v>
      </c>
      <c r="M602" s="6">
        <v>0.74199999999999999</v>
      </c>
      <c r="N602" s="6">
        <v>0.74199999999999999</v>
      </c>
      <c r="O602" s="6">
        <v>0.74199999999999999</v>
      </c>
      <c r="P602" s="6">
        <v>8</v>
      </c>
      <c r="Q602" s="4" t="s">
        <v>26</v>
      </c>
      <c r="R602" s="4">
        <v>0</v>
      </c>
      <c r="S602" s="4">
        <v>0</v>
      </c>
      <c r="T602" s="4">
        <v>42</v>
      </c>
      <c r="U602" s="4">
        <v>85</v>
      </c>
      <c r="V602" s="6">
        <f>IF(ISERROR(VLOOKUP($S$602,'TAR FIN'!$A$1:$O$116,15,0)),0,VLOOKUP($S$602,'TAR FIN'!$A$1:$O$116,15,0))</f>
        <v>0</v>
      </c>
      <c r="W602" s="6">
        <f>IF(ISERROR(VLOOKUP($T$602,'TAR FIN'!$A$1:$O$116,15,0)),0,VLOOKUP($T$602,'TAR FIN'!$A$1:$O$116,15,0))</f>
        <v>94.28</v>
      </c>
      <c r="X602" s="6">
        <f>IF(ISERROR(VLOOKUP($U$602,'TAR FIN'!$A$1:$O$116,15,0)),0,VLOOKUP($U$602,'TAR FIN'!$A$1:$O$116,15,0))</f>
        <v>114.26</v>
      </c>
      <c r="Y602" s="6"/>
      <c r="Z60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2" s="6">
        <f>('TE BE'!$AB$15+'TE BF'!$AB$15+'TE CVA'!$AB$15)*(1-CUSTOS!$M$34)</f>
        <v>115.37078380550088</v>
      </c>
      <c r="AB602" s="6">
        <f t="shared" si="38"/>
        <v>0</v>
      </c>
      <c r="AC602" s="6">
        <f>(L602-M602)*(W602+X602)+($W$711+$X$711-$W$602-$X$602)*(L602)</f>
        <v>287.37660000000005</v>
      </c>
      <c r="AD602" s="6">
        <f t="shared" si="40"/>
        <v>0</v>
      </c>
      <c r="AE602" s="6">
        <f ca="1">(L602-M602)*(Z602+AA602)+($Z$711+$AA$711-$Z$602-$AA$602)*(L602)</f>
        <v>308.2056773073881</v>
      </c>
      <c r="AF602" s="4" t="s">
        <v>1116</v>
      </c>
    </row>
    <row r="603" spans="1:32" ht="11.25" customHeight="1" x14ac:dyDescent="0.25">
      <c r="A603" s="4" t="s">
        <v>28</v>
      </c>
      <c r="B603" s="4" t="s">
        <v>22</v>
      </c>
      <c r="C603" s="4" t="s">
        <v>23</v>
      </c>
      <c r="D603" s="4" t="s">
        <v>24</v>
      </c>
      <c r="E603" s="4" t="s">
        <v>29</v>
      </c>
      <c r="F603" s="4" t="s">
        <v>25</v>
      </c>
      <c r="G603" s="4" t="s">
        <v>25</v>
      </c>
      <c r="H603" s="4" t="s">
        <v>25</v>
      </c>
      <c r="I603" s="5">
        <v>44378</v>
      </c>
      <c r="J603" s="6">
        <v>0</v>
      </c>
      <c r="K603" s="6">
        <v>0</v>
      </c>
      <c r="L603" s="6">
        <v>2.58</v>
      </c>
      <c r="M603" s="6">
        <v>2.58</v>
      </c>
      <c r="N603" s="6">
        <v>2.58</v>
      </c>
      <c r="O603" s="6">
        <v>2.58</v>
      </c>
      <c r="P603" s="6">
        <v>5</v>
      </c>
      <c r="Q603" s="4" t="s">
        <v>26</v>
      </c>
      <c r="R603" s="4">
        <v>0</v>
      </c>
      <c r="S603" s="4">
        <v>0</v>
      </c>
      <c r="T603" s="4">
        <v>42</v>
      </c>
      <c r="U603" s="4">
        <v>85</v>
      </c>
      <c r="V603" s="6">
        <f>IF(ISERROR(VLOOKUP($S$603,'TAR FIN'!$A$1:$O$116,15,0)),0,VLOOKUP($S$603,'TAR FIN'!$A$1:$O$116,15,0))</f>
        <v>0</v>
      </c>
      <c r="W603" s="6">
        <f>IF(ISERROR(VLOOKUP($T$603,'TAR FIN'!$A$1:$O$116,15,0)),0,VLOOKUP($T$603,'TAR FIN'!$A$1:$O$116,15,0))</f>
        <v>94.28</v>
      </c>
      <c r="X603" s="6">
        <f>IF(ISERROR(VLOOKUP($U$603,'TAR FIN'!$A$1:$O$116,15,0)),0,VLOOKUP($U$603,'TAR FIN'!$A$1:$O$116,15,0))</f>
        <v>114.26</v>
      </c>
      <c r="Y603" s="6"/>
      <c r="Z60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3" s="6">
        <f>('TE BE'!$AB$15+'TE BF'!$AB$15+'TE CVA'!$AB$15)*(1-CUSTOS!$M$34)</f>
        <v>115.37078380550088</v>
      </c>
      <c r="AB603" s="6">
        <f t="shared" si="38"/>
        <v>0</v>
      </c>
      <c r="AC603" s="6">
        <f>(L603-M603)*(W603+X603)+($W$711+$X$711-$W$603-$X$603)*(L603)</f>
        <v>999.23400000000015</v>
      </c>
      <c r="AD603" s="6">
        <f t="shared" si="40"/>
        <v>0</v>
      </c>
      <c r="AE603" s="6">
        <f ca="1">(L603-M603)*(Z603+AA603)+($Z$711+$AA$711-$Z$603-$AA$603)*(L603)</f>
        <v>1071.6585545189505</v>
      </c>
      <c r="AF603" s="4" t="s">
        <v>1116</v>
      </c>
    </row>
    <row r="604" spans="1:32" ht="11.25" customHeight="1" x14ac:dyDescent="0.25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29</v>
      </c>
      <c r="F604" s="4" t="s">
        <v>25</v>
      </c>
      <c r="G604" s="4" t="s">
        <v>25</v>
      </c>
      <c r="H604" s="4" t="s">
        <v>25</v>
      </c>
      <c r="I604" s="5">
        <v>44409</v>
      </c>
      <c r="J604" s="6">
        <v>0</v>
      </c>
      <c r="K604" s="6">
        <v>0</v>
      </c>
      <c r="L604" s="6">
        <v>2510.7620000000002</v>
      </c>
      <c r="M604" s="6">
        <v>2510.7620000000002</v>
      </c>
      <c r="N604" s="6">
        <v>2510.7620000000002</v>
      </c>
      <c r="O604" s="6">
        <v>2510.7620000000002</v>
      </c>
      <c r="P604" s="6">
        <v>4861</v>
      </c>
      <c r="Q604" s="4" t="s">
        <v>26</v>
      </c>
      <c r="R604" s="4">
        <v>0</v>
      </c>
      <c r="S604" s="4">
        <v>0</v>
      </c>
      <c r="T604" s="4">
        <v>42</v>
      </c>
      <c r="U604" s="4">
        <v>85</v>
      </c>
      <c r="V604" s="6">
        <f>IF(ISERROR(VLOOKUP($S$604,'TAR FIN'!$A$1:$O$116,15,0)),0,VLOOKUP($S$604,'TAR FIN'!$A$1:$O$116,15,0))</f>
        <v>0</v>
      </c>
      <c r="W604" s="6">
        <f>IF(ISERROR(VLOOKUP($T$604,'TAR FIN'!$A$1:$O$116,15,0)),0,VLOOKUP($T$604,'TAR FIN'!$A$1:$O$116,15,0))</f>
        <v>94.28</v>
      </c>
      <c r="X604" s="6">
        <f>IF(ISERROR(VLOOKUP($U$604,'TAR FIN'!$A$1:$O$116,15,0)),0,VLOOKUP($U$604,'TAR FIN'!$A$1:$O$116,15,0))</f>
        <v>114.26</v>
      </c>
      <c r="Y604" s="6"/>
      <c r="Z60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4" s="6">
        <f>('TE BE'!$AB$15+'TE BF'!$AB$15+'TE CVA'!$AB$15)*(1-CUSTOS!$M$34)</f>
        <v>115.37078380550088</v>
      </c>
      <c r="AB604" s="6">
        <f t="shared" si="38"/>
        <v>0</v>
      </c>
      <c r="AC604" s="6">
        <f>(L604-M604)*(W604+X604)+($W$711+$X$711-$W$604-$X$604)*(L604)</f>
        <v>972418.12260000024</v>
      </c>
      <c r="AD604" s="6">
        <f t="shared" si="40"/>
        <v>0</v>
      </c>
      <c r="AE604" s="6">
        <f ca="1">(L604-M604)*(Z604+AA604)+($Z$711+$AA$711-$Z$604-$AA$604)*(L604)</f>
        <v>1042899.0603337632</v>
      </c>
      <c r="AF604" s="4" t="s">
        <v>1116</v>
      </c>
    </row>
    <row r="605" spans="1:32" ht="11.25" customHeight="1" x14ac:dyDescent="0.25">
      <c r="A605" s="4" t="s">
        <v>27</v>
      </c>
      <c r="B605" s="4" t="s">
        <v>22</v>
      </c>
      <c r="C605" s="4" t="s">
        <v>23</v>
      </c>
      <c r="D605" s="4" t="s">
        <v>24</v>
      </c>
      <c r="E605" s="4" t="s">
        <v>29</v>
      </c>
      <c r="F605" s="4" t="s">
        <v>25</v>
      </c>
      <c r="G605" s="4" t="s">
        <v>25</v>
      </c>
      <c r="H605" s="4" t="s">
        <v>25</v>
      </c>
      <c r="I605" s="5">
        <v>44409</v>
      </c>
      <c r="J605" s="6">
        <v>0</v>
      </c>
      <c r="K605" s="6">
        <v>0</v>
      </c>
      <c r="L605" s="6">
        <v>0.93799999999999994</v>
      </c>
      <c r="M605" s="6">
        <v>0.93799999999999994</v>
      </c>
      <c r="N605" s="6">
        <v>0.93799999999999994</v>
      </c>
      <c r="O605" s="6">
        <v>0.93799999999999994</v>
      </c>
      <c r="P605" s="6">
        <v>10</v>
      </c>
      <c r="Q605" s="4" t="s">
        <v>26</v>
      </c>
      <c r="R605" s="4">
        <v>0</v>
      </c>
      <c r="S605" s="4">
        <v>0</v>
      </c>
      <c r="T605" s="4">
        <v>42</v>
      </c>
      <c r="U605" s="4">
        <v>85</v>
      </c>
      <c r="V605" s="6">
        <f>IF(ISERROR(VLOOKUP($S$605,'TAR FIN'!$A$1:$O$116,15,0)),0,VLOOKUP($S$605,'TAR FIN'!$A$1:$O$116,15,0))</f>
        <v>0</v>
      </c>
      <c r="W605" s="6">
        <f>IF(ISERROR(VLOOKUP($T$605,'TAR FIN'!$A$1:$O$116,15,0)),0,VLOOKUP($T$605,'TAR FIN'!$A$1:$O$116,15,0))</f>
        <v>94.28</v>
      </c>
      <c r="X605" s="6">
        <f>IF(ISERROR(VLOOKUP($U$605,'TAR FIN'!$A$1:$O$116,15,0)),0,VLOOKUP($U$605,'TAR FIN'!$A$1:$O$116,15,0))</f>
        <v>114.26</v>
      </c>
      <c r="Y605" s="6"/>
      <c r="Z60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5" s="6">
        <f>('TE BE'!$AB$15+'TE BF'!$AB$15+'TE CVA'!$AB$15)*(1-CUSTOS!$M$34)</f>
        <v>115.37078380550088</v>
      </c>
      <c r="AB605" s="6">
        <f t="shared" si="38"/>
        <v>0</v>
      </c>
      <c r="AC605" s="6">
        <f>(L605-M605)*(W605+X605)+($W$711+$X$711-$W$605-$X$605)*(L605)</f>
        <v>363.28740000000005</v>
      </c>
      <c r="AD605" s="6">
        <f t="shared" si="40"/>
        <v>0</v>
      </c>
      <c r="AE605" s="6">
        <f ca="1">(L605-M605)*(Z605+AA605)+($Z$711+$AA$711-$Z$605-$AA$605)*(L605)</f>
        <v>389.61849772820756</v>
      </c>
      <c r="AF605" s="4" t="s">
        <v>1116</v>
      </c>
    </row>
    <row r="606" spans="1:32" ht="11.25" customHeight="1" x14ac:dyDescent="0.25">
      <c r="A606" s="4" t="s">
        <v>28</v>
      </c>
      <c r="B606" s="4" t="s">
        <v>22</v>
      </c>
      <c r="C606" s="4" t="s">
        <v>23</v>
      </c>
      <c r="D606" s="4" t="s">
        <v>24</v>
      </c>
      <c r="E606" s="4" t="s">
        <v>29</v>
      </c>
      <c r="F606" s="4" t="s">
        <v>25</v>
      </c>
      <c r="G606" s="4" t="s">
        <v>25</v>
      </c>
      <c r="H606" s="4" t="s">
        <v>25</v>
      </c>
      <c r="I606" s="5">
        <v>44409</v>
      </c>
      <c r="J606" s="6">
        <v>0</v>
      </c>
      <c r="K606" s="6">
        <v>0</v>
      </c>
      <c r="L606" s="6">
        <v>2.91</v>
      </c>
      <c r="M606" s="6">
        <v>2.91</v>
      </c>
      <c r="N606" s="6">
        <v>2.91</v>
      </c>
      <c r="O606" s="6">
        <v>2.91</v>
      </c>
      <c r="P606" s="6">
        <v>4</v>
      </c>
      <c r="Q606" s="4" t="s">
        <v>26</v>
      </c>
      <c r="R606" s="4">
        <v>0</v>
      </c>
      <c r="S606" s="4">
        <v>0</v>
      </c>
      <c r="T606" s="4">
        <v>42</v>
      </c>
      <c r="U606" s="4">
        <v>85</v>
      </c>
      <c r="V606" s="6">
        <f>IF(ISERROR(VLOOKUP($S$606,'TAR FIN'!$A$1:$O$116,15,0)),0,VLOOKUP($S$606,'TAR FIN'!$A$1:$O$116,15,0))</f>
        <v>0</v>
      </c>
      <c r="W606" s="6">
        <f>IF(ISERROR(VLOOKUP($T$606,'TAR FIN'!$A$1:$O$116,15,0)),0,VLOOKUP($T$606,'TAR FIN'!$A$1:$O$116,15,0))</f>
        <v>94.28</v>
      </c>
      <c r="X606" s="6">
        <f>IF(ISERROR(VLOOKUP($U$606,'TAR FIN'!$A$1:$O$116,15,0)),0,VLOOKUP($U$606,'TAR FIN'!$A$1:$O$116,15,0))</f>
        <v>114.26</v>
      </c>
      <c r="Y606" s="6"/>
      <c r="Z60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6" s="6">
        <f>('TE BE'!$AB$15+'TE BF'!$AB$15+'TE CVA'!$AB$15)*(1-CUSTOS!$M$34)</f>
        <v>115.37078380550088</v>
      </c>
      <c r="AB606" s="6">
        <f t="shared" si="38"/>
        <v>0</v>
      </c>
      <c r="AC606" s="6">
        <f>(L606-M606)*(W606+X606)+($W$711+$X$711-$W$606-$X$606)*(L606)</f>
        <v>1127.0430000000003</v>
      </c>
      <c r="AD606" s="6">
        <f t="shared" si="40"/>
        <v>0</v>
      </c>
      <c r="AE606" s="6">
        <f ca="1">(L606-M606)*(Z606+AA606)+($Z$711+$AA$711-$Z$606-$AA$606)*(L606)</f>
        <v>1208.7311603295141</v>
      </c>
      <c r="AF606" s="4" t="s">
        <v>1116</v>
      </c>
    </row>
    <row r="607" spans="1:32" ht="11.25" customHeight="1" x14ac:dyDescent="0.25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29</v>
      </c>
      <c r="F607" s="4" t="s">
        <v>25</v>
      </c>
      <c r="G607" s="4" t="s">
        <v>25</v>
      </c>
      <c r="H607" s="4" t="s">
        <v>25</v>
      </c>
      <c r="I607" s="5">
        <v>44440</v>
      </c>
      <c r="J607" s="6">
        <v>0</v>
      </c>
      <c r="K607" s="6">
        <v>0</v>
      </c>
      <c r="L607" s="6">
        <v>2452.0520000000001</v>
      </c>
      <c r="M607" s="6">
        <v>2452.0520000000001</v>
      </c>
      <c r="N607" s="6">
        <v>2452.0520000000001</v>
      </c>
      <c r="O607" s="6">
        <v>2452.0520000000001</v>
      </c>
      <c r="P607" s="6">
        <v>4131</v>
      </c>
      <c r="Q607" s="4" t="s">
        <v>26</v>
      </c>
      <c r="R607" s="4">
        <v>0</v>
      </c>
      <c r="S607" s="4">
        <v>0</v>
      </c>
      <c r="T607" s="4">
        <v>42</v>
      </c>
      <c r="U607" s="4">
        <v>85</v>
      </c>
      <c r="V607" s="6">
        <f>IF(ISERROR(VLOOKUP($S$607,'TAR FIN'!$A$1:$O$116,15,0)),0,VLOOKUP($S$607,'TAR FIN'!$A$1:$O$116,15,0))</f>
        <v>0</v>
      </c>
      <c r="W607" s="6">
        <f>IF(ISERROR(VLOOKUP($T$607,'TAR FIN'!$A$1:$O$116,15,0)),0,VLOOKUP($T$607,'TAR FIN'!$A$1:$O$116,15,0))</f>
        <v>94.28</v>
      </c>
      <c r="X607" s="6">
        <f>IF(ISERROR(VLOOKUP($U$607,'TAR FIN'!$A$1:$O$116,15,0)),0,VLOOKUP($U$607,'TAR FIN'!$A$1:$O$116,15,0))</f>
        <v>114.26</v>
      </c>
      <c r="Y607" s="6"/>
      <c r="Z60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7" s="6">
        <f>('TE BE'!$AB$15+'TE BF'!$AB$15+'TE CVA'!$AB$15)*(1-CUSTOS!$M$34)</f>
        <v>115.37078380550088</v>
      </c>
      <c r="AB607" s="6">
        <f t="shared" si="38"/>
        <v>0</v>
      </c>
      <c r="AC607" s="6">
        <f>(L607-M607)*(W607+X607)+($W$711+$X$711-$W$607-$X$607)*(L607)</f>
        <v>949679.7396000002</v>
      </c>
      <c r="AD607" s="6">
        <f t="shared" si="40"/>
        <v>0</v>
      </c>
      <c r="AE607" s="6">
        <f ca="1">(L607-M607)*(Z607+AA607)+($Z$711+$AA$711-$Z$607-$AA$607)*(L607)</f>
        <v>1018512.5976454658</v>
      </c>
      <c r="AF607" s="4" t="s">
        <v>1116</v>
      </c>
    </row>
    <row r="608" spans="1:32" ht="11.25" customHeight="1" x14ac:dyDescent="0.25">
      <c r="A608" s="4" t="s">
        <v>27</v>
      </c>
      <c r="B608" s="4" t="s">
        <v>22</v>
      </c>
      <c r="C608" s="4" t="s">
        <v>23</v>
      </c>
      <c r="D608" s="4" t="s">
        <v>24</v>
      </c>
      <c r="E608" s="4" t="s">
        <v>29</v>
      </c>
      <c r="F608" s="4" t="s">
        <v>25</v>
      </c>
      <c r="G608" s="4" t="s">
        <v>25</v>
      </c>
      <c r="H608" s="4" t="s">
        <v>25</v>
      </c>
      <c r="I608" s="5">
        <v>44440</v>
      </c>
      <c r="J608" s="6">
        <v>0</v>
      </c>
      <c r="K608" s="6">
        <v>0</v>
      </c>
      <c r="L608" s="6">
        <v>2.2200000000000002</v>
      </c>
      <c r="M608" s="6">
        <v>2.2200000000000002</v>
      </c>
      <c r="N608" s="6">
        <v>2.2200000000000002</v>
      </c>
      <c r="O608" s="6">
        <v>2.2200000000000002</v>
      </c>
      <c r="P608" s="6">
        <v>16</v>
      </c>
      <c r="Q608" s="4" t="s">
        <v>26</v>
      </c>
      <c r="R608" s="4">
        <v>0</v>
      </c>
      <c r="S608" s="4">
        <v>0</v>
      </c>
      <c r="T608" s="4">
        <v>42</v>
      </c>
      <c r="U608" s="4">
        <v>85</v>
      </c>
      <c r="V608" s="6">
        <f>IF(ISERROR(VLOOKUP($S$608,'TAR FIN'!$A$1:$O$116,15,0)),0,VLOOKUP($S$608,'TAR FIN'!$A$1:$O$116,15,0))</f>
        <v>0</v>
      </c>
      <c r="W608" s="6">
        <f>IF(ISERROR(VLOOKUP($T$608,'TAR FIN'!$A$1:$O$116,15,0)),0,VLOOKUP($T$608,'TAR FIN'!$A$1:$O$116,15,0))</f>
        <v>94.28</v>
      </c>
      <c r="X608" s="6">
        <f>IF(ISERROR(VLOOKUP($U$608,'TAR FIN'!$A$1:$O$116,15,0)),0,VLOOKUP($U$608,'TAR FIN'!$A$1:$O$116,15,0))</f>
        <v>114.26</v>
      </c>
      <c r="Y608" s="6"/>
      <c r="Z60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8" s="6">
        <f>('TE BE'!$AB$15+'TE BF'!$AB$15+'TE CVA'!$AB$15)*(1-CUSTOS!$M$34)</f>
        <v>115.37078380550088</v>
      </c>
      <c r="AB608" s="6">
        <f t="shared" si="38"/>
        <v>0</v>
      </c>
      <c r="AC608" s="6">
        <f>(L608-M608)*(W608+X608)+($W$711+$X$711-$W$608-$X$608)*(L608)</f>
        <v>859.80600000000027</v>
      </c>
      <c r="AD608" s="6">
        <f t="shared" si="40"/>
        <v>0</v>
      </c>
      <c r="AE608" s="6">
        <f ca="1">(L608-M608)*(Z608+AA608)+($Z$711+$AA$711-$Z$608-$AA$608)*(L608)</f>
        <v>922.12480272560867</v>
      </c>
      <c r="AF608" s="4" t="s">
        <v>1116</v>
      </c>
    </row>
    <row r="609" spans="1:32" ht="11.25" customHeight="1" x14ac:dyDescent="0.25">
      <c r="A609" s="4" t="s">
        <v>28</v>
      </c>
      <c r="B609" s="4" t="s">
        <v>22</v>
      </c>
      <c r="C609" s="4" t="s">
        <v>23</v>
      </c>
      <c r="D609" s="4" t="s">
        <v>24</v>
      </c>
      <c r="E609" s="4" t="s">
        <v>29</v>
      </c>
      <c r="F609" s="4" t="s">
        <v>25</v>
      </c>
      <c r="G609" s="4" t="s">
        <v>25</v>
      </c>
      <c r="H609" s="4" t="s">
        <v>25</v>
      </c>
      <c r="I609" s="5">
        <v>44440</v>
      </c>
      <c r="J609" s="6">
        <v>0</v>
      </c>
      <c r="K609" s="6">
        <v>0</v>
      </c>
      <c r="L609" s="6">
        <v>3.03</v>
      </c>
      <c r="M609" s="6">
        <v>3.03</v>
      </c>
      <c r="N609" s="6">
        <v>3.03</v>
      </c>
      <c r="O609" s="6">
        <v>3.03</v>
      </c>
      <c r="P609" s="6">
        <v>7</v>
      </c>
      <c r="Q609" s="4" t="s">
        <v>26</v>
      </c>
      <c r="R609" s="4">
        <v>0</v>
      </c>
      <c r="S609" s="4">
        <v>0</v>
      </c>
      <c r="T609" s="4">
        <v>42</v>
      </c>
      <c r="U609" s="4">
        <v>85</v>
      </c>
      <c r="V609" s="6">
        <f>IF(ISERROR(VLOOKUP($S$609,'TAR FIN'!$A$1:$O$116,15,0)),0,VLOOKUP($S$609,'TAR FIN'!$A$1:$O$116,15,0))</f>
        <v>0</v>
      </c>
      <c r="W609" s="6">
        <f>IF(ISERROR(VLOOKUP($T$609,'TAR FIN'!$A$1:$O$116,15,0)),0,VLOOKUP($T$609,'TAR FIN'!$A$1:$O$116,15,0))</f>
        <v>94.28</v>
      </c>
      <c r="X609" s="6">
        <f>IF(ISERROR(VLOOKUP($U$609,'TAR FIN'!$A$1:$O$116,15,0)),0,VLOOKUP($U$609,'TAR FIN'!$A$1:$O$116,15,0))</f>
        <v>114.26</v>
      </c>
      <c r="Y609" s="6"/>
      <c r="Z60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09" s="6">
        <f>('TE BE'!$AB$15+'TE BF'!$AB$15+'TE CVA'!$AB$15)*(1-CUSTOS!$M$34)</f>
        <v>115.37078380550088</v>
      </c>
      <c r="AB609" s="6">
        <f t="shared" si="38"/>
        <v>0</v>
      </c>
      <c r="AC609" s="6">
        <f>(L609-M609)*(W609+X609)+($W$711+$X$711-$W$609-$X$609)*(L609)</f>
        <v>1173.5190000000002</v>
      </c>
      <c r="AD609" s="6">
        <f t="shared" si="40"/>
        <v>0</v>
      </c>
      <c r="AE609" s="6">
        <f ca="1">(L609-M609)*(Z609+AA609)+($Z$711+$AA$711-$Z$609-$AA$609)*(L609)</f>
        <v>1258.5757442606277</v>
      </c>
      <c r="AF609" s="4" t="s">
        <v>1116</v>
      </c>
    </row>
    <row r="610" spans="1:32" ht="11.25" customHeight="1" x14ac:dyDescent="0.25">
      <c r="A610" s="4" t="s">
        <v>21</v>
      </c>
      <c r="B610" s="4" t="s">
        <v>22</v>
      </c>
      <c r="C610" s="4" t="s">
        <v>23</v>
      </c>
      <c r="D610" s="4" t="s">
        <v>24</v>
      </c>
      <c r="E610" s="4" t="s">
        <v>29</v>
      </c>
      <c r="F610" s="4" t="s">
        <v>25</v>
      </c>
      <c r="G610" s="4" t="s">
        <v>25</v>
      </c>
      <c r="H610" s="4" t="s">
        <v>25</v>
      </c>
      <c r="I610" s="5">
        <v>44470</v>
      </c>
      <c r="J610" s="6">
        <v>0</v>
      </c>
      <c r="K610" s="6">
        <v>0</v>
      </c>
      <c r="L610" s="6">
        <v>2498.9279999999999</v>
      </c>
      <c r="M610" s="6">
        <v>2498.9279999999999</v>
      </c>
      <c r="N610" s="6">
        <v>2498.9279999999999</v>
      </c>
      <c r="O610" s="6">
        <v>2498.9279999999999</v>
      </c>
      <c r="P610" s="6">
        <v>4308</v>
      </c>
      <c r="Q610" s="4" t="s">
        <v>26</v>
      </c>
      <c r="R610" s="4">
        <v>0</v>
      </c>
      <c r="S610" s="4">
        <v>0</v>
      </c>
      <c r="T610" s="4">
        <v>42</v>
      </c>
      <c r="U610" s="4">
        <v>85</v>
      </c>
      <c r="V610" s="6">
        <f>IF(ISERROR(VLOOKUP($S$610,'TAR FIN'!$A$1:$O$116,15,0)),0,VLOOKUP($S$610,'TAR FIN'!$A$1:$O$116,15,0))</f>
        <v>0</v>
      </c>
      <c r="W610" s="6">
        <f>IF(ISERROR(VLOOKUP($T$610,'TAR FIN'!$A$1:$O$116,15,0)),0,VLOOKUP($T$610,'TAR FIN'!$A$1:$O$116,15,0))</f>
        <v>94.28</v>
      </c>
      <c r="X610" s="6">
        <f>IF(ISERROR(VLOOKUP($U$610,'TAR FIN'!$A$1:$O$116,15,0)),0,VLOOKUP($U$610,'TAR FIN'!$A$1:$O$116,15,0))</f>
        <v>114.26</v>
      </c>
      <c r="Y610" s="6"/>
      <c r="Z61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0" s="6">
        <f>('TE BE'!$AB$15+'TE BF'!$AB$15+'TE CVA'!$AB$15)*(1-CUSTOS!$M$34)</f>
        <v>115.37078380550088</v>
      </c>
      <c r="AB610" s="6">
        <f t="shared" si="38"/>
        <v>0</v>
      </c>
      <c r="AC610" s="6">
        <f>(L610-M610)*(W610+X610)+($W$711+$X$711-$W$610-$X$610)*(L610)</f>
        <v>967834.81440000015</v>
      </c>
      <c r="AD610" s="6">
        <f t="shared" si="40"/>
        <v>0</v>
      </c>
      <c r="AE610" s="6">
        <f ca="1">(L610-M610)*(Z610+AA610)+($Z$711+$AA$711-$Z$610-$AA$610)*(L610)</f>
        <v>1037983.5536150899</v>
      </c>
      <c r="AF610" s="4" t="s">
        <v>1116</v>
      </c>
    </row>
    <row r="611" spans="1:32" ht="11.25" customHeight="1" x14ac:dyDescent="0.25">
      <c r="A611" s="4" t="s">
        <v>27</v>
      </c>
      <c r="B611" s="4" t="s">
        <v>22</v>
      </c>
      <c r="C611" s="4" t="s">
        <v>23</v>
      </c>
      <c r="D611" s="4" t="s">
        <v>24</v>
      </c>
      <c r="E611" s="4" t="s">
        <v>29</v>
      </c>
      <c r="F611" s="4" t="s">
        <v>25</v>
      </c>
      <c r="G611" s="4" t="s">
        <v>25</v>
      </c>
      <c r="H611" s="4" t="s">
        <v>25</v>
      </c>
      <c r="I611" s="5">
        <v>44470</v>
      </c>
      <c r="J611" s="6">
        <v>0</v>
      </c>
      <c r="K611" s="6">
        <v>0</v>
      </c>
      <c r="L611" s="6">
        <v>1.587</v>
      </c>
      <c r="M611" s="6">
        <v>1.587</v>
      </c>
      <c r="N611" s="6">
        <v>1.587</v>
      </c>
      <c r="O611" s="6">
        <v>1.587</v>
      </c>
      <c r="P611" s="6">
        <v>19</v>
      </c>
      <c r="Q611" s="4" t="s">
        <v>26</v>
      </c>
      <c r="R611" s="4">
        <v>0</v>
      </c>
      <c r="S611" s="4">
        <v>0</v>
      </c>
      <c r="T611" s="4">
        <v>42</v>
      </c>
      <c r="U611" s="4">
        <v>85</v>
      </c>
      <c r="V611" s="6">
        <f>IF(ISERROR(VLOOKUP($S$611,'TAR FIN'!$A$1:$O$116,15,0)),0,VLOOKUP($S$611,'TAR FIN'!$A$1:$O$116,15,0))</f>
        <v>0</v>
      </c>
      <c r="W611" s="6">
        <f>IF(ISERROR(VLOOKUP($T$611,'TAR FIN'!$A$1:$O$116,15,0)),0,VLOOKUP($T$611,'TAR FIN'!$A$1:$O$116,15,0))</f>
        <v>94.28</v>
      </c>
      <c r="X611" s="6">
        <f>IF(ISERROR(VLOOKUP($U$611,'TAR FIN'!$A$1:$O$116,15,0)),0,VLOOKUP($U$611,'TAR FIN'!$A$1:$O$116,15,0))</f>
        <v>114.26</v>
      </c>
      <c r="Y611" s="6"/>
      <c r="Z61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1" s="6">
        <f>('TE BE'!$AB$15+'TE BF'!$AB$15+'TE CVA'!$AB$15)*(1-CUSTOS!$M$34)</f>
        <v>115.37078380550088</v>
      </c>
      <c r="AB611" s="6">
        <f t="shared" si="38"/>
        <v>0</v>
      </c>
      <c r="AC611" s="6">
        <f>(L611-M611)*(W611+X611)+($W$711+$X$711-$W$611-$X$611)*(L611)</f>
        <v>614.64510000000007</v>
      </c>
      <c r="AD611" s="6">
        <f t="shared" si="40"/>
        <v>0</v>
      </c>
      <c r="AE611" s="6">
        <f ca="1">(L611-M611)*(Z611+AA611)+($Z$711+$AA$711-$Z$611-$AA$611)*(L611)</f>
        <v>659.1946224889823</v>
      </c>
      <c r="AF611" s="4" t="s">
        <v>1116</v>
      </c>
    </row>
    <row r="612" spans="1:32" ht="11.25" customHeight="1" x14ac:dyDescent="0.25">
      <c r="A612" s="4" t="s">
        <v>28</v>
      </c>
      <c r="B612" s="4" t="s">
        <v>22</v>
      </c>
      <c r="C612" s="4" t="s">
        <v>23</v>
      </c>
      <c r="D612" s="4" t="s">
        <v>24</v>
      </c>
      <c r="E612" s="4" t="s">
        <v>29</v>
      </c>
      <c r="F612" s="4" t="s">
        <v>25</v>
      </c>
      <c r="G612" s="4" t="s">
        <v>25</v>
      </c>
      <c r="H612" s="4" t="s">
        <v>25</v>
      </c>
      <c r="I612" s="5">
        <v>44470</v>
      </c>
      <c r="J612" s="6">
        <v>0</v>
      </c>
      <c r="K612" s="6">
        <v>0</v>
      </c>
      <c r="L612" s="6">
        <v>3.36</v>
      </c>
      <c r="M612" s="6">
        <v>3.36</v>
      </c>
      <c r="N612" s="6">
        <v>3.36</v>
      </c>
      <c r="O612" s="6">
        <v>3.36</v>
      </c>
      <c r="P612" s="6">
        <v>7</v>
      </c>
      <c r="Q612" s="4" t="s">
        <v>26</v>
      </c>
      <c r="R612" s="4">
        <v>0</v>
      </c>
      <c r="S612" s="4">
        <v>0</v>
      </c>
      <c r="T612" s="4">
        <v>42</v>
      </c>
      <c r="U612" s="4">
        <v>85</v>
      </c>
      <c r="V612" s="6">
        <f>IF(ISERROR(VLOOKUP($S$612,'TAR FIN'!$A$1:$O$116,15,0)),0,VLOOKUP($S$612,'TAR FIN'!$A$1:$O$116,15,0))</f>
        <v>0</v>
      </c>
      <c r="W612" s="6">
        <f>IF(ISERROR(VLOOKUP($T$612,'TAR FIN'!$A$1:$O$116,15,0)),0,VLOOKUP($T$612,'TAR FIN'!$A$1:$O$116,15,0))</f>
        <v>94.28</v>
      </c>
      <c r="X612" s="6">
        <f>IF(ISERROR(VLOOKUP($U$612,'TAR FIN'!$A$1:$O$116,15,0)),0,VLOOKUP($U$612,'TAR FIN'!$A$1:$O$116,15,0))</f>
        <v>114.26</v>
      </c>
      <c r="Y612" s="6"/>
      <c r="Z61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2" s="6">
        <f>('TE BE'!$AB$15+'TE BF'!$AB$15+'TE CVA'!$AB$15)*(1-CUSTOS!$M$34)</f>
        <v>115.37078380550088</v>
      </c>
      <c r="AB612" s="6">
        <f t="shared" si="38"/>
        <v>0</v>
      </c>
      <c r="AC612" s="6">
        <f>(L612-M612)*(W612+X612)+($W$711+$X$711-$W$612-$X$612)*(L612)</f>
        <v>1301.3280000000002</v>
      </c>
      <c r="AD612" s="6">
        <f t="shared" si="40"/>
        <v>0</v>
      </c>
      <c r="AE612" s="6">
        <f ca="1">(L612-M612)*(Z612+AA612)+($Z$711+$AA$711-$Z$612-$AA$612)*(L612)</f>
        <v>1395.6483500711913</v>
      </c>
      <c r="AF612" s="4" t="s">
        <v>1116</v>
      </c>
    </row>
    <row r="613" spans="1:32" ht="11.25" customHeight="1" x14ac:dyDescent="0.25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29</v>
      </c>
      <c r="F613" s="4" t="s">
        <v>25</v>
      </c>
      <c r="G613" s="4" t="s">
        <v>25</v>
      </c>
      <c r="H613" s="4" t="s">
        <v>25</v>
      </c>
      <c r="I613" s="5">
        <v>44501</v>
      </c>
      <c r="J613" s="6">
        <v>0</v>
      </c>
      <c r="K613" s="6">
        <v>0</v>
      </c>
      <c r="L613" s="6">
        <v>2525.6060000000002</v>
      </c>
      <c r="M613" s="6">
        <v>2525.6060000000002</v>
      </c>
      <c r="N613" s="6">
        <v>2525.6060000000002</v>
      </c>
      <c r="O613" s="6">
        <v>2525.6060000000002</v>
      </c>
      <c r="P613" s="6">
        <v>4518</v>
      </c>
      <c r="Q613" s="4" t="s">
        <v>26</v>
      </c>
      <c r="R613" s="4">
        <v>0</v>
      </c>
      <c r="S613" s="4">
        <v>0</v>
      </c>
      <c r="T613" s="4">
        <v>42</v>
      </c>
      <c r="U613" s="4">
        <v>85</v>
      </c>
      <c r="V613" s="6">
        <f>IF(ISERROR(VLOOKUP($S$613,'TAR FIN'!$A$1:$O$116,15,0)),0,VLOOKUP($S$613,'TAR FIN'!$A$1:$O$116,15,0))</f>
        <v>0</v>
      </c>
      <c r="W613" s="6">
        <f>IF(ISERROR(VLOOKUP($T$613,'TAR FIN'!$A$1:$O$116,15,0)),0,VLOOKUP($T$613,'TAR FIN'!$A$1:$O$116,15,0))</f>
        <v>94.28</v>
      </c>
      <c r="X613" s="6">
        <f>IF(ISERROR(VLOOKUP($U$613,'TAR FIN'!$A$1:$O$116,15,0)),0,VLOOKUP($U$613,'TAR FIN'!$A$1:$O$116,15,0))</f>
        <v>114.26</v>
      </c>
      <c r="Y613" s="6"/>
      <c r="Z61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3" s="6">
        <f>('TE BE'!$AB$15+'TE BF'!$AB$15+'TE CVA'!$AB$15)*(1-CUSTOS!$M$34)</f>
        <v>115.37078380550088</v>
      </c>
      <c r="AB613" s="6">
        <f t="shared" si="38"/>
        <v>0</v>
      </c>
      <c r="AC613" s="6">
        <f>(L613-M613)*(W613+X613)+($W$711+$X$711-$W$613-$X$613)*(L613)</f>
        <v>978167.20380000025</v>
      </c>
      <c r="AD613" s="6">
        <f t="shared" si="40"/>
        <v>0</v>
      </c>
      <c r="AE613" s="6">
        <f ca="1">(L613-M613)*(Z613+AA613)+($Z$711+$AA$711-$Z$613-$AA$613)*(L613)</f>
        <v>1049064.8353660421</v>
      </c>
      <c r="AF613" s="4" t="s">
        <v>1116</v>
      </c>
    </row>
    <row r="614" spans="1:32" ht="11.25" customHeight="1" x14ac:dyDescent="0.25">
      <c r="A614" s="4" t="s">
        <v>27</v>
      </c>
      <c r="B614" s="4" t="s">
        <v>22</v>
      </c>
      <c r="C614" s="4" t="s">
        <v>23</v>
      </c>
      <c r="D614" s="4" t="s">
        <v>24</v>
      </c>
      <c r="E614" s="4" t="s">
        <v>29</v>
      </c>
      <c r="F614" s="4" t="s">
        <v>25</v>
      </c>
      <c r="G614" s="4" t="s">
        <v>25</v>
      </c>
      <c r="H614" s="4" t="s">
        <v>25</v>
      </c>
      <c r="I614" s="5">
        <v>44501</v>
      </c>
      <c r="J614" s="6">
        <v>0</v>
      </c>
      <c r="K614" s="6">
        <v>0</v>
      </c>
      <c r="L614" s="6">
        <v>3.2290000000000001</v>
      </c>
      <c r="M614" s="6">
        <v>3.2290000000000001</v>
      </c>
      <c r="N614" s="6">
        <v>3.2290000000000001</v>
      </c>
      <c r="O614" s="6">
        <v>3.2290000000000001</v>
      </c>
      <c r="P614" s="6">
        <v>39</v>
      </c>
      <c r="Q614" s="4" t="s">
        <v>26</v>
      </c>
      <c r="R614" s="4">
        <v>0</v>
      </c>
      <c r="S614" s="4">
        <v>0</v>
      </c>
      <c r="T614" s="4">
        <v>42</v>
      </c>
      <c r="U614" s="4">
        <v>85</v>
      </c>
      <c r="V614" s="6">
        <f>IF(ISERROR(VLOOKUP($S$614,'TAR FIN'!$A$1:$O$116,15,0)),0,VLOOKUP($S$614,'TAR FIN'!$A$1:$O$116,15,0))</f>
        <v>0</v>
      </c>
      <c r="W614" s="6">
        <f>IF(ISERROR(VLOOKUP($T$614,'TAR FIN'!$A$1:$O$116,15,0)),0,VLOOKUP($T$614,'TAR FIN'!$A$1:$O$116,15,0))</f>
        <v>94.28</v>
      </c>
      <c r="X614" s="6">
        <f>IF(ISERROR(VLOOKUP($U$614,'TAR FIN'!$A$1:$O$116,15,0)),0,VLOOKUP($U$614,'TAR FIN'!$A$1:$O$116,15,0))</f>
        <v>114.26</v>
      </c>
      <c r="Y614" s="6"/>
      <c r="Z61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4" s="6">
        <f>('TE BE'!$AB$15+'TE BF'!$AB$15+'TE CVA'!$AB$15)*(1-CUSTOS!$M$34)</f>
        <v>115.37078380550088</v>
      </c>
      <c r="AB614" s="6">
        <f t="shared" si="38"/>
        <v>0</v>
      </c>
      <c r="AC614" s="6">
        <f>(L614-M614)*(W614+X614)+($W$711+$X$711-$W$614-$X$614)*(L614)</f>
        <v>1250.5917000000002</v>
      </c>
      <c r="AD614" s="6">
        <f t="shared" si="40"/>
        <v>0</v>
      </c>
      <c r="AE614" s="6">
        <f ca="1">(L614-M614)*(Z614+AA614)+($Z$711+$AA$711-$Z$614-$AA$614)*(L614)</f>
        <v>1341.2346792797252</v>
      </c>
      <c r="AF614" s="4" t="s">
        <v>1116</v>
      </c>
    </row>
    <row r="615" spans="1:32" ht="11.25" customHeight="1" x14ac:dyDescent="0.25">
      <c r="A615" s="4" t="s">
        <v>28</v>
      </c>
      <c r="B615" s="4" t="s">
        <v>22</v>
      </c>
      <c r="C615" s="4" t="s">
        <v>23</v>
      </c>
      <c r="D615" s="4" t="s">
        <v>24</v>
      </c>
      <c r="E615" s="4" t="s">
        <v>29</v>
      </c>
      <c r="F615" s="4" t="s">
        <v>25</v>
      </c>
      <c r="G615" s="4" t="s">
        <v>25</v>
      </c>
      <c r="H615" s="4" t="s">
        <v>25</v>
      </c>
      <c r="I615" s="5">
        <v>44501</v>
      </c>
      <c r="J615" s="6">
        <v>0</v>
      </c>
      <c r="K615" s="6">
        <v>0</v>
      </c>
      <c r="L615" s="6">
        <v>3.93</v>
      </c>
      <c r="M615" s="6">
        <v>3.93</v>
      </c>
      <c r="N615" s="6">
        <v>3.93</v>
      </c>
      <c r="O615" s="6">
        <v>3.93</v>
      </c>
      <c r="P615" s="6">
        <v>11</v>
      </c>
      <c r="Q615" s="4" t="s">
        <v>26</v>
      </c>
      <c r="R615" s="4">
        <v>0</v>
      </c>
      <c r="S615" s="4">
        <v>0</v>
      </c>
      <c r="T615" s="4">
        <v>42</v>
      </c>
      <c r="U615" s="4">
        <v>85</v>
      </c>
      <c r="V615" s="6">
        <f>IF(ISERROR(VLOOKUP($S$615,'TAR FIN'!$A$1:$O$116,15,0)),0,VLOOKUP($S$615,'TAR FIN'!$A$1:$O$116,15,0))</f>
        <v>0</v>
      </c>
      <c r="W615" s="6">
        <f>IF(ISERROR(VLOOKUP($T$615,'TAR FIN'!$A$1:$O$116,15,0)),0,VLOOKUP($T$615,'TAR FIN'!$A$1:$O$116,15,0))</f>
        <v>94.28</v>
      </c>
      <c r="X615" s="6">
        <f>IF(ISERROR(VLOOKUP($U$615,'TAR FIN'!$A$1:$O$116,15,0)),0,VLOOKUP($U$615,'TAR FIN'!$A$1:$O$116,15,0))</f>
        <v>114.26</v>
      </c>
      <c r="Y615" s="6"/>
      <c r="Z61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5" s="6">
        <f>('TE BE'!$AB$15+'TE BF'!$AB$15+'TE CVA'!$AB$15)*(1-CUSTOS!$M$34)</f>
        <v>115.37078380550088</v>
      </c>
      <c r="AB615" s="6">
        <f t="shared" si="38"/>
        <v>0</v>
      </c>
      <c r="AC615" s="6">
        <f>(L615-M615)*(W615+X615)+($W$711+$X$711-$W$615-$X$615)*(L615)</f>
        <v>1522.0890000000004</v>
      </c>
      <c r="AD615" s="6">
        <f t="shared" si="40"/>
        <v>0</v>
      </c>
      <c r="AE615" s="6">
        <f ca="1">(L615-M615)*(Z615+AA615)+($Z$711+$AA$711-$Z$615-$AA$615)*(L615)</f>
        <v>1632.4101237439827</v>
      </c>
      <c r="AF615" s="4" t="s">
        <v>1116</v>
      </c>
    </row>
    <row r="616" spans="1:32" ht="11.25" customHeight="1" x14ac:dyDescent="0.25">
      <c r="A616" s="4" t="s">
        <v>21</v>
      </c>
      <c r="B616" s="4" t="s">
        <v>22</v>
      </c>
      <c r="C616" s="4" t="s">
        <v>23</v>
      </c>
      <c r="D616" s="4" t="s">
        <v>24</v>
      </c>
      <c r="E616" s="4" t="s">
        <v>29</v>
      </c>
      <c r="F616" s="4" t="s">
        <v>25</v>
      </c>
      <c r="G616" s="4" t="s">
        <v>25</v>
      </c>
      <c r="H616" s="4" t="s">
        <v>25</v>
      </c>
      <c r="I616" s="5">
        <v>44531</v>
      </c>
      <c r="J616" s="6">
        <v>0</v>
      </c>
      <c r="K616" s="6">
        <v>0</v>
      </c>
      <c r="L616" s="6">
        <v>2547.518</v>
      </c>
      <c r="M616" s="6">
        <v>2547.518</v>
      </c>
      <c r="N616" s="6">
        <v>2547.518</v>
      </c>
      <c r="O616" s="6">
        <v>2547.518</v>
      </c>
      <c r="P616" s="6">
        <v>4089</v>
      </c>
      <c r="Q616" s="4" t="s">
        <v>26</v>
      </c>
      <c r="R616" s="4">
        <v>0</v>
      </c>
      <c r="S616" s="4">
        <v>0</v>
      </c>
      <c r="T616" s="4">
        <v>42</v>
      </c>
      <c r="U616" s="4">
        <v>85</v>
      </c>
      <c r="V616" s="6">
        <f>IF(ISERROR(VLOOKUP($S$616,'TAR FIN'!$A$1:$O$116,15,0)),0,VLOOKUP($S$616,'TAR FIN'!$A$1:$O$116,15,0))</f>
        <v>0</v>
      </c>
      <c r="W616" s="6">
        <f>IF(ISERROR(VLOOKUP($T$616,'TAR FIN'!$A$1:$O$116,15,0)),0,VLOOKUP($T$616,'TAR FIN'!$A$1:$O$116,15,0))</f>
        <v>94.28</v>
      </c>
      <c r="X616" s="6">
        <f>IF(ISERROR(VLOOKUP($U$616,'TAR FIN'!$A$1:$O$116,15,0)),0,VLOOKUP($U$616,'TAR FIN'!$A$1:$O$116,15,0))</f>
        <v>114.26</v>
      </c>
      <c r="Y616" s="6"/>
      <c r="Z61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6" s="6">
        <f>('TE BE'!$AB$15+'TE BF'!$AB$15+'TE CVA'!$AB$15)*(1-CUSTOS!$M$34)</f>
        <v>115.37078380550088</v>
      </c>
      <c r="AB616" s="6">
        <f t="shared" si="38"/>
        <v>0</v>
      </c>
      <c r="AC616" s="6">
        <f>(L616-M616)*(W616+X616)+($W$711+$X$711-$W$616-$X$616)*(L616)</f>
        <v>986653.72140000015</v>
      </c>
      <c r="AD616" s="6">
        <f t="shared" si="40"/>
        <v>0</v>
      </c>
      <c r="AE616" s="6">
        <f ca="1">(L616-M616)*(Z616+AA616)+($Z$711+$AA$711-$Z$616-$AA$616)*(L616)</f>
        <v>1058166.4563918635</v>
      </c>
      <c r="AF616" s="4" t="s">
        <v>1116</v>
      </c>
    </row>
    <row r="617" spans="1:32" ht="11.25" customHeight="1" x14ac:dyDescent="0.25">
      <c r="A617" s="4" t="s">
        <v>27</v>
      </c>
      <c r="B617" s="4" t="s">
        <v>22</v>
      </c>
      <c r="C617" s="4" t="s">
        <v>23</v>
      </c>
      <c r="D617" s="4" t="s">
        <v>24</v>
      </c>
      <c r="E617" s="4" t="s">
        <v>29</v>
      </c>
      <c r="F617" s="4" t="s">
        <v>25</v>
      </c>
      <c r="G617" s="4" t="s">
        <v>25</v>
      </c>
      <c r="H617" s="4" t="s">
        <v>25</v>
      </c>
      <c r="I617" s="5">
        <v>44531</v>
      </c>
      <c r="J617" s="6">
        <v>0</v>
      </c>
      <c r="K617" s="6">
        <v>0</v>
      </c>
      <c r="L617" s="6">
        <v>1.921</v>
      </c>
      <c r="M617" s="6">
        <v>1.921</v>
      </c>
      <c r="N617" s="6">
        <v>1.921</v>
      </c>
      <c r="O617" s="6">
        <v>1.921</v>
      </c>
      <c r="P617" s="6">
        <v>20</v>
      </c>
      <c r="Q617" s="4" t="s">
        <v>26</v>
      </c>
      <c r="R617" s="4">
        <v>0</v>
      </c>
      <c r="S617" s="4">
        <v>0</v>
      </c>
      <c r="T617" s="4">
        <v>42</v>
      </c>
      <c r="U617" s="4">
        <v>85</v>
      </c>
      <c r="V617" s="6">
        <f>IF(ISERROR(VLOOKUP($S$617,'TAR FIN'!$A$1:$O$116,15,0)),0,VLOOKUP($S$617,'TAR FIN'!$A$1:$O$116,15,0))</f>
        <v>0</v>
      </c>
      <c r="W617" s="6">
        <f>IF(ISERROR(VLOOKUP($T$617,'TAR FIN'!$A$1:$O$116,15,0)),0,VLOOKUP($T$617,'TAR FIN'!$A$1:$O$116,15,0))</f>
        <v>94.28</v>
      </c>
      <c r="X617" s="6">
        <f>IF(ISERROR(VLOOKUP($U$617,'TAR FIN'!$A$1:$O$116,15,0)),0,VLOOKUP($U$617,'TAR FIN'!$A$1:$O$116,15,0))</f>
        <v>114.26</v>
      </c>
      <c r="Y617" s="6"/>
      <c r="Z61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7" s="6">
        <f>('TE BE'!$AB$15+'TE BF'!$AB$15+'TE CVA'!$AB$15)*(1-CUSTOS!$M$34)</f>
        <v>115.37078380550088</v>
      </c>
      <c r="AB617" s="6">
        <f t="shared" si="38"/>
        <v>0</v>
      </c>
      <c r="AC617" s="6">
        <f>(L617-M617)*(W617+X617)+($W$711+$X$711-$W$617-$X$617)*(L617)</f>
        <v>744.00330000000019</v>
      </c>
      <c r="AD617" s="6">
        <f t="shared" si="40"/>
        <v>0</v>
      </c>
      <c r="AE617" s="6">
        <f ca="1">(L617-M617)*(Z617+AA617)+($Z$711+$AA$711-$Z$617-$AA$617)*(L617)</f>
        <v>797.92871443058289</v>
      </c>
      <c r="AF617" s="4" t="s">
        <v>1116</v>
      </c>
    </row>
    <row r="618" spans="1:32" ht="11.25" customHeight="1" x14ac:dyDescent="0.25">
      <c r="A618" s="4" t="s">
        <v>28</v>
      </c>
      <c r="B618" s="4" t="s">
        <v>22</v>
      </c>
      <c r="C618" s="4" t="s">
        <v>23</v>
      </c>
      <c r="D618" s="4" t="s">
        <v>24</v>
      </c>
      <c r="E618" s="4" t="s">
        <v>29</v>
      </c>
      <c r="F618" s="4" t="s">
        <v>25</v>
      </c>
      <c r="G618" s="4" t="s">
        <v>25</v>
      </c>
      <c r="H618" s="4" t="s">
        <v>25</v>
      </c>
      <c r="I618" s="5">
        <v>44531</v>
      </c>
      <c r="J618" s="6">
        <v>0</v>
      </c>
      <c r="K618" s="6">
        <v>0</v>
      </c>
      <c r="L618" s="6">
        <v>4.2300000000000004</v>
      </c>
      <c r="M618" s="6">
        <v>4.2300000000000004</v>
      </c>
      <c r="N618" s="6">
        <v>4.2300000000000004</v>
      </c>
      <c r="O618" s="6">
        <v>4.2300000000000004</v>
      </c>
      <c r="P618" s="6">
        <v>4</v>
      </c>
      <c r="Q618" s="4" t="s">
        <v>26</v>
      </c>
      <c r="R618" s="4">
        <v>0</v>
      </c>
      <c r="S618" s="4">
        <v>0</v>
      </c>
      <c r="T618" s="4">
        <v>42</v>
      </c>
      <c r="U618" s="4">
        <v>85</v>
      </c>
      <c r="V618" s="6">
        <f>IF(ISERROR(VLOOKUP($S$618,'TAR FIN'!$A$1:$O$116,15,0)),0,VLOOKUP($S$618,'TAR FIN'!$A$1:$O$116,15,0))</f>
        <v>0</v>
      </c>
      <c r="W618" s="6">
        <f>IF(ISERROR(VLOOKUP($T$618,'TAR FIN'!$A$1:$O$116,15,0)),0,VLOOKUP($T$618,'TAR FIN'!$A$1:$O$116,15,0))</f>
        <v>94.28</v>
      </c>
      <c r="X618" s="6">
        <f>IF(ISERROR(VLOOKUP($U$618,'TAR FIN'!$A$1:$O$116,15,0)),0,VLOOKUP($U$618,'TAR FIN'!$A$1:$O$116,15,0))</f>
        <v>114.26</v>
      </c>
      <c r="Y618" s="6"/>
      <c r="Z61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8" s="6">
        <f>('TE BE'!$AB$15+'TE BF'!$AB$15+'TE CVA'!$AB$15)*(1-CUSTOS!$M$34)</f>
        <v>115.37078380550088</v>
      </c>
      <c r="AB618" s="6">
        <f t="shared" si="38"/>
        <v>0</v>
      </c>
      <c r="AC618" s="6">
        <f>(L618-M618)*(W618+X618)+($W$711+$X$711-$W$618-$X$618)*(L618)</f>
        <v>1638.2790000000005</v>
      </c>
      <c r="AD618" s="6">
        <f t="shared" si="40"/>
        <v>0</v>
      </c>
      <c r="AE618" s="6">
        <f ca="1">(L618-M618)*(Z618+AA618)+($Z$711+$AA$711-$Z$618-$AA$618)*(L618)</f>
        <v>1757.0215835717679</v>
      </c>
      <c r="AF618" s="4" t="s">
        <v>1116</v>
      </c>
    </row>
    <row r="619" spans="1:32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29</v>
      </c>
      <c r="F619" s="4" t="s">
        <v>25</v>
      </c>
      <c r="G619" s="4" t="s">
        <v>25</v>
      </c>
      <c r="H619" s="4" t="s">
        <v>25</v>
      </c>
      <c r="I619" s="5">
        <v>44562</v>
      </c>
      <c r="J619" s="6">
        <v>0</v>
      </c>
      <c r="K619" s="6">
        <v>0</v>
      </c>
      <c r="L619" s="6">
        <v>2632.6669999999999</v>
      </c>
      <c r="M619" s="6">
        <v>2632.6669999999999</v>
      </c>
      <c r="N619" s="6">
        <v>2632.6669999999999</v>
      </c>
      <c r="O619" s="6">
        <v>2632.6669999999999</v>
      </c>
      <c r="P619" s="6">
        <v>4075</v>
      </c>
      <c r="Q619" s="4" t="s">
        <v>26</v>
      </c>
      <c r="R619" s="4">
        <v>0</v>
      </c>
      <c r="S619" s="4">
        <v>0</v>
      </c>
      <c r="T619" s="4">
        <v>42</v>
      </c>
      <c r="U619" s="4">
        <v>85</v>
      </c>
      <c r="V619" s="6">
        <f>IF(ISERROR(VLOOKUP($S$619,'TAR FIN'!$A$1:$O$116,15,0)),0,VLOOKUP($S$619,'TAR FIN'!$A$1:$O$116,15,0))</f>
        <v>0</v>
      </c>
      <c r="W619" s="6">
        <f>IF(ISERROR(VLOOKUP($T$619,'TAR FIN'!$A$1:$O$116,15,0)),0,VLOOKUP($T$619,'TAR FIN'!$A$1:$O$116,15,0))</f>
        <v>94.28</v>
      </c>
      <c r="X619" s="6">
        <f>IF(ISERROR(VLOOKUP($U$619,'TAR FIN'!$A$1:$O$116,15,0)),0,VLOOKUP($U$619,'TAR FIN'!$A$1:$O$116,15,0))</f>
        <v>114.26</v>
      </c>
      <c r="Y619" s="6"/>
      <c r="Z61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19" s="6">
        <f>('TE BE'!$AB$15+'TE BF'!$AB$15+'TE CVA'!$AB$15)*(1-CUSTOS!$M$34)</f>
        <v>115.37078380550088</v>
      </c>
      <c r="AB619" s="6">
        <f t="shared" si="38"/>
        <v>0</v>
      </c>
      <c r="AC619" s="6">
        <f>(L619-M619)*(W619+X619)+($W$711+$X$711-$W$619-$X$619)*(L619)</f>
        <v>1019631.9291000002</v>
      </c>
      <c r="AD619" s="6">
        <f t="shared" si="40"/>
        <v>0</v>
      </c>
      <c r="AE619" s="6">
        <f ca="1">(L619-M619)*(Z619+AA619)+($Z$711+$AA$711-$Z$619-$AA$619)*(L619)</f>
        <v>1093534.9270347836</v>
      </c>
      <c r="AF619" s="4" t="s">
        <v>1116</v>
      </c>
    </row>
    <row r="620" spans="1:32" ht="11.25" customHeight="1" x14ac:dyDescent="0.25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29</v>
      </c>
      <c r="F620" s="4" t="s">
        <v>25</v>
      </c>
      <c r="G620" s="4" t="s">
        <v>25</v>
      </c>
      <c r="H620" s="4" t="s">
        <v>25</v>
      </c>
      <c r="I620" s="5">
        <v>44562</v>
      </c>
      <c r="J620" s="6">
        <v>0</v>
      </c>
      <c r="K620" s="6">
        <v>0</v>
      </c>
      <c r="L620" s="6">
        <v>0.79100000000000004</v>
      </c>
      <c r="M620" s="6">
        <v>0.79100000000000004</v>
      </c>
      <c r="N620" s="6">
        <v>0.79100000000000004</v>
      </c>
      <c r="O620" s="6">
        <v>0.79100000000000004</v>
      </c>
      <c r="P620" s="6">
        <v>9</v>
      </c>
      <c r="Q620" s="4" t="s">
        <v>26</v>
      </c>
      <c r="R620" s="4">
        <v>0</v>
      </c>
      <c r="S620" s="4">
        <v>0</v>
      </c>
      <c r="T620" s="4">
        <v>42</v>
      </c>
      <c r="U620" s="4">
        <v>85</v>
      </c>
      <c r="V620" s="6">
        <f>IF(ISERROR(VLOOKUP($S$620,'TAR FIN'!$A$1:$O$116,15,0)),0,VLOOKUP($S$620,'TAR FIN'!$A$1:$O$116,15,0))</f>
        <v>0</v>
      </c>
      <c r="W620" s="6">
        <f>IF(ISERROR(VLOOKUP($T$620,'TAR FIN'!$A$1:$O$116,15,0)),0,VLOOKUP($T$620,'TAR FIN'!$A$1:$O$116,15,0))</f>
        <v>94.28</v>
      </c>
      <c r="X620" s="6">
        <f>IF(ISERROR(VLOOKUP($U$620,'TAR FIN'!$A$1:$O$116,15,0)),0,VLOOKUP($U$620,'TAR FIN'!$A$1:$O$116,15,0))</f>
        <v>114.26</v>
      </c>
      <c r="Y620" s="6"/>
      <c r="Z62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0" s="6">
        <f>('TE BE'!$AB$15+'TE BF'!$AB$15+'TE CVA'!$AB$15)*(1-CUSTOS!$M$34)</f>
        <v>115.37078380550088</v>
      </c>
      <c r="AB620" s="6">
        <f t="shared" si="38"/>
        <v>0</v>
      </c>
      <c r="AC620" s="6">
        <f>(L620-M620)*(W620+X620)+($W$711+$X$711-$W$620-$X$620)*(L620)</f>
        <v>306.35430000000008</v>
      </c>
      <c r="AD620" s="6">
        <f t="shared" si="40"/>
        <v>0</v>
      </c>
      <c r="AE620" s="6">
        <f ca="1">(L620-M620)*(Z620+AA620)+($Z$711+$AA$711-$Z$620-$AA$620)*(L620)</f>
        <v>328.55888241259299</v>
      </c>
      <c r="AF620" s="4" t="s">
        <v>1116</v>
      </c>
    </row>
    <row r="621" spans="1:32" ht="11.25" customHeight="1" x14ac:dyDescent="0.25">
      <c r="A621" s="4" t="s">
        <v>28</v>
      </c>
      <c r="B621" s="4" t="s">
        <v>22</v>
      </c>
      <c r="C621" s="4" t="s">
        <v>23</v>
      </c>
      <c r="D621" s="4" t="s">
        <v>24</v>
      </c>
      <c r="E621" s="4" t="s">
        <v>29</v>
      </c>
      <c r="F621" s="4" t="s">
        <v>25</v>
      </c>
      <c r="G621" s="4" t="s">
        <v>25</v>
      </c>
      <c r="H621" s="4" t="s">
        <v>25</v>
      </c>
      <c r="I621" s="5">
        <v>44562</v>
      </c>
      <c r="J621" s="6">
        <v>0</v>
      </c>
      <c r="K621" s="6">
        <v>0</v>
      </c>
      <c r="L621" s="6">
        <v>5.07</v>
      </c>
      <c r="M621" s="6">
        <v>5.07</v>
      </c>
      <c r="N621" s="6">
        <v>5.07</v>
      </c>
      <c r="O621" s="6">
        <v>5.07</v>
      </c>
      <c r="P621" s="6">
        <v>11</v>
      </c>
      <c r="Q621" s="4" t="s">
        <v>26</v>
      </c>
      <c r="R621" s="4">
        <v>0</v>
      </c>
      <c r="S621" s="4">
        <v>0</v>
      </c>
      <c r="T621" s="4">
        <v>42</v>
      </c>
      <c r="U621" s="4">
        <v>85</v>
      </c>
      <c r="V621" s="6">
        <f>IF(ISERROR(VLOOKUP($S$621,'TAR FIN'!$A$1:$O$116,15,0)),0,VLOOKUP($S$621,'TAR FIN'!$A$1:$O$116,15,0))</f>
        <v>0</v>
      </c>
      <c r="W621" s="6">
        <f>IF(ISERROR(VLOOKUP($T$621,'TAR FIN'!$A$1:$O$116,15,0)),0,VLOOKUP($T$621,'TAR FIN'!$A$1:$O$116,15,0))</f>
        <v>94.28</v>
      </c>
      <c r="X621" s="6">
        <f>IF(ISERROR(VLOOKUP($U$621,'TAR FIN'!$A$1:$O$116,15,0)),0,VLOOKUP($U$621,'TAR FIN'!$A$1:$O$116,15,0))</f>
        <v>114.26</v>
      </c>
      <c r="Y621" s="6"/>
      <c r="Z62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1" s="6">
        <f>('TE BE'!$AB$15+'TE BF'!$AB$15+'TE CVA'!$AB$15)*(1-CUSTOS!$M$34)</f>
        <v>115.37078380550088</v>
      </c>
      <c r="AB621" s="6">
        <f t="shared" si="38"/>
        <v>0</v>
      </c>
      <c r="AC621" s="6">
        <f>(L621-M621)*(W621+X621)+($W$711+$X$711-$W$621-$X$621)*(L621)</f>
        <v>1963.6110000000006</v>
      </c>
      <c r="AD621" s="6">
        <f t="shared" si="40"/>
        <v>0</v>
      </c>
      <c r="AE621" s="6">
        <f ca="1">(L621-M621)*(Z621+AA621)+($Z$711+$AA$711-$Z$621-$AA$621)*(L621)</f>
        <v>2105.9336710895655</v>
      </c>
      <c r="AF621" s="4" t="s">
        <v>1116</v>
      </c>
    </row>
    <row r="622" spans="1:32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29</v>
      </c>
      <c r="F622" s="4" t="s">
        <v>25</v>
      </c>
      <c r="G622" s="4" t="s">
        <v>25</v>
      </c>
      <c r="H622" s="4" t="s">
        <v>25</v>
      </c>
      <c r="I622" s="5">
        <v>44593</v>
      </c>
      <c r="J622" s="6">
        <v>0</v>
      </c>
      <c r="K622" s="6">
        <v>0</v>
      </c>
      <c r="L622" s="6">
        <v>2839.06</v>
      </c>
      <c r="M622" s="6">
        <v>2839.06</v>
      </c>
      <c r="N622" s="6">
        <v>2839.06</v>
      </c>
      <c r="O622" s="6">
        <v>2839.06</v>
      </c>
      <c r="P622" s="6">
        <v>4631</v>
      </c>
      <c r="Q622" s="4" t="s">
        <v>26</v>
      </c>
      <c r="R622" s="4">
        <v>0</v>
      </c>
      <c r="S622" s="4">
        <v>0</v>
      </c>
      <c r="T622" s="4">
        <v>42</v>
      </c>
      <c r="U622" s="4">
        <v>85</v>
      </c>
      <c r="V622" s="6">
        <f>IF(ISERROR(VLOOKUP($S$622,'TAR FIN'!$A$1:$O$116,15,0)),0,VLOOKUP($S$622,'TAR FIN'!$A$1:$O$116,15,0))</f>
        <v>0</v>
      </c>
      <c r="W622" s="6">
        <f>IF(ISERROR(VLOOKUP($T$622,'TAR FIN'!$A$1:$O$116,15,0)),0,VLOOKUP($T$622,'TAR FIN'!$A$1:$O$116,15,0))</f>
        <v>94.28</v>
      </c>
      <c r="X622" s="6">
        <f>IF(ISERROR(VLOOKUP($U$622,'TAR FIN'!$A$1:$O$116,15,0)),0,VLOOKUP($U$622,'TAR FIN'!$A$1:$O$116,15,0))</f>
        <v>114.26</v>
      </c>
      <c r="Y622" s="6"/>
      <c r="Z62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2" s="6">
        <f>('TE BE'!$AB$15+'TE BF'!$AB$15+'TE CVA'!$AB$15)*(1-CUSTOS!$M$34)</f>
        <v>115.37078380550088</v>
      </c>
      <c r="AB622" s="6">
        <f t="shared" si="38"/>
        <v>0</v>
      </c>
      <c r="AC622" s="6">
        <f>(L622-M622)*(W622+X622)+($W$711+$X$711-$W$622-$X$622)*(L622)</f>
        <v>1099567.9380000001</v>
      </c>
      <c r="AD622" s="6">
        <f t="shared" si="40"/>
        <v>0</v>
      </c>
      <c r="AE622" s="6">
        <f ca="1">(L622-M622)*(Z622+AA622)+($Z$711+$AA$711-$Z$622-$AA$622)*(L622)</f>
        <v>1179264.7037955704</v>
      </c>
      <c r="AF622" s="4" t="s">
        <v>1116</v>
      </c>
    </row>
    <row r="623" spans="1:32" ht="11.25" customHeight="1" x14ac:dyDescent="0.25">
      <c r="A623" s="4" t="s">
        <v>27</v>
      </c>
      <c r="B623" s="4" t="s">
        <v>22</v>
      </c>
      <c r="C623" s="4" t="s">
        <v>23</v>
      </c>
      <c r="D623" s="4" t="s">
        <v>24</v>
      </c>
      <c r="E623" s="4" t="s">
        <v>29</v>
      </c>
      <c r="F623" s="4" t="s">
        <v>25</v>
      </c>
      <c r="G623" s="4" t="s">
        <v>25</v>
      </c>
      <c r="H623" s="4" t="s">
        <v>25</v>
      </c>
      <c r="I623" s="5">
        <v>44593</v>
      </c>
      <c r="J623" s="6">
        <v>0</v>
      </c>
      <c r="K623" s="6">
        <v>0</v>
      </c>
      <c r="L623" s="6">
        <v>8.6690000000000005</v>
      </c>
      <c r="M623" s="6">
        <v>8.6690000000000005</v>
      </c>
      <c r="N623" s="6">
        <v>8.6690000000000005</v>
      </c>
      <c r="O623" s="6">
        <v>8.6690000000000005</v>
      </c>
      <c r="P623" s="6">
        <v>61</v>
      </c>
      <c r="Q623" s="4" t="s">
        <v>26</v>
      </c>
      <c r="R623" s="4">
        <v>0</v>
      </c>
      <c r="S623" s="4">
        <v>0</v>
      </c>
      <c r="T623" s="4">
        <v>42</v>
      </c>
      <c r="U623" s="4">
        <v>85</v>
      </c>
      <c r="V623" s="6">
        <f>IF(ISERROR(VLOOKUP($S$623,'TAR FIN'!$A$1:$O$116,15,0)),0,VLOOKUP($S$623,'TAR FIN'!$A$1:$O$116,15,0))</f>
        <v>0</v>
      </c>
      <c r="W623" s="6">
        <f>IF(ISERROR(VLOOKUP($T$623,'TAR FIN'!$A$1:$O$116,15,0)),0,VLOOKUP($T$623,'TAR FIN'!$A$1:$O$116,15,0))</f>
        <v>94.28</v>
      </c>
      <c r="X623" s="6">
        <f>IF(ISERROR(VLOOKUP($U$623,'TAR FIN'!$A$1:$O$116,15,0)),0,VLOOKUP($U$623,'TAR FIN'!$A$1:$O$116,15,0))</f>
        <v>114.26</v>
      </c>
      <c r="Y623" s="6"/>
      <c r="Z62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3" s="6">
        <f>('TE BE'!$AB$15+'TE BF'!$AB$15+'TE CVA'!$AB$15)*(1-CUSTOS!$M$34)</f>
        <v>115.37078380550088</v>
      </c>
      <c r="AB623" s="6">
        <f t="shared" si="38"/>
        <v>0</v>
      </c>
      <c r="AC623" s="6">
        <f>(L623-M623)*(W623+X623)+($W$711+$X$711-$W$623-$X$623)*(L623)</f>
        <v>3357.5037000000007</v>
      </c>
      <c r="AD623" s="6">
        <f t="shared" si="40"/>
        <v>0</v>
      </c>
      <c r="AE623" s="6">
        <f ca="1">(L623-M623)*(Z623+AA623)+($Z$711+$AA$711-$Z$623-$AA$623)*(L623)</f>
        <v>3600.8558174902255</v>
      </c>
      <c r="AF623" s="4" t="s">
        <v>1116</v>
      </c>
    </row>
    <row r="624" spans="1:32" ht="11.25" customHeight="1" x14ac:dyDescent="0.25">
      <c r="A624" s="4" t="s">
        <v>28</v>
      </c>
      <c r="B624" s="4" t="s">
        <v>22</v>
      </c>
      <c r="C624" s="4" t="s">
        <v>23</v>
      </c>
      <c r="D624" s="4" t="s">
        <v>24</v>
      </c>
      <c r="E624" s="4" t="s">
        <v>29</v>
      </c>
      <c r="F624" s="4" t="s">
        <v>25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6.03</v>
      </c>
      <c r="M624" s="6">
        <v>6.03</v>
      </c>
      <c r="N624" s="6">
        <v>6.03</v>
      </c>
      <c r="O624" s="6">
        <v>6.03</v>
      </c>
      <c r="P624" s="6">
        <v>12</v>
      </c>
      <c r="Q624" s="4" t="s">
        <v>26</v>
      </c>
      <c r="R624" s="4">
        <v>0</v>
      </c>
      <c r="S624" s="4">
        <v>0</v>
      </c>
      <c r="T624" s="4">
        <v>42</v>
      </c>
      <c r="U624" s="4">
        <v>85</v>
      </c>
      <c r="V624" s="6">
        <f>IF(ISERROR(VLOOKUP($S$624,'TAR FIN'!$A$1:$O$116,15,0)),0,VLOOKUP($S$624,'TAR FIN'!$A$1:$O$116,15,0))</f>
        <v>0</v>
      </c>
      <c r="W624" s="6">
        <f>IF(ISERROR(VLOOKUP($T$624,'TAR FIN'!$A$1:$O$116,15,0)),0,VLOOKUP($T$624,'TAR FIN'!$A$1:$O$116,15,0))</f>
        <v>94.28</v>
      </c>
      <c r="X624" s="6">
        <f>IF(ISERROR(VLOOKUP($U$624,'TAR FIN'!$A$1:$O$116,15,0)),0,VLOOKUP($U$624,'TAR FIN'!$A$1:$O$116,15,0))</f>
        <v>114.26</v>
      </c>
      <c r="Y624" s="6"/>
      <c r="Z62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4" s="6">
        <f>('TE BE'!$AB$15+'TE BF'!$AB$15+'TE CVA'!$AB$15)*(1-CUSTOS!$M$34)</f>
        <v>115.37078380550088</v>
      </c>
      <c r="AB624" s="6">
        <f t="shared" si="38"/>
        <v>0</v>
      </c>
      <c r="AC624" s="6">
        <f>(L624-M624)*(W624+X624)+($W$711+$X$711-$W$624-$X$624)*(L624)</f>
        <v>2335.4190000000003</v>
      </c>
      <c r="AD624" s="6">
        <f t="shared" si="40"/>
        <v>0</v>
      </c>
      <c r="AE624" s="6">
        <f ca="1">(L624-M624)*(Z624+AA624)+($Z$711+$AA$711-$Z$624-$AA$624)*(L624)</f>
        <v>2504.6903425384776</v>
      </c>
      <c r="AF624" s="4" t="s">
        <v>1116</v>
      </c>
    </row>
    <row r="625" spans="1:32" ht="11.25" customHeight="1" x14ac:dyDescent="0.25">
      <c r="A625" s="4" t="s">
        <v>28</v>
      </c>
      <c r="B625" s="4" t="s">
        <v>22</v>
      </c>
      <c r="C625" s="4" t="s">
        <v>23</v>
      </c>
      <c r="D625" s="4" t="s">
        <v>24</v>
      </c>
      <c r="E625" s="4" t="s">
        <v>29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0.41699999999999998</v>
      </c>
      <c r="M625" s="6">
        <v>0.41699999999999998</v>
      </c>
      <c r="N625" s="6">
        <v>0.41699999999999998</v>
      </c>
      <c r="O625" s="6">
        <v>0.41699999999999998</v>
      </c>
      <c r="P625" s="6">
        <v>1</v>
      </c>
      <c r="Q625" s="4" t="s">
        <v>26</v>
      </c>
      <c r="R625" s="4">
        <v>0</v>
      </c>
      <c r="S625" s="4">
        <v>0</v>
      </c>
      <c r="T625" s="4">
        <v>42</v>
      </c>
      <c r="U625" s="4">
        <v>85</v>
      </c>
      <c r="V625" s="6">
        <f>IF(ISERROR(VLOOKUP($S$625,'TAR FIN'!$A$1:$O$116,15,0)),0,VLOOKUP($S$625,'TAR FIN'!$A$1:$O$116,15,0))</f>
        <v>0</v>
      </c>
      <c r="W625" s="6">
        <f>IF(ISERROR(VLOOKUP($T$625,'TAR FIN'!$A$1:$O$116,15,0)),0,VLOOKUP($T$625,'TAR FIN'!$A$1:$O$116,15,0))</f>
        <v>94.28</v>
      </c>
      <c r="X625" s="6">
        <f>IF(ISERROR(VLOOKUP($U$625,'TAR FIN'!$A$1:$O$116,15,0)),0,VLOOKUP($U$625,'TAR FIN'!$A$1:$O$116,15,0))</f>
        <v>114.26</v>
      </c>
      <c r="Y625" s="6"/>
      <c r="Z62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5" s="6">
        <f>('TE BE'!$AB$15+'TE BF'!$AB$15+'TE CVA'!$AB$15)*(1-CUSTOS!$M$34)</f>
        <v>115.37078380550088</v>
      </c>
      <c r="AB625" s="6">
        <f t="shared" si="38"/>
        <v>0</v>
      </c>
      <c r="AC625" s="6">
        <f>(L625-M625)*(W625+X625)+($W$711+$X$711-$W$625-$X$625)*(L625)</f>
        <v>161.50410000000002</v>
      </c>
      <c r="AD625" s="6">
        <f t="shared" si="40"/>
        <v>0</v>
      </c>
      <c r="AE625" s="6">
        <f ca="1">(L625-M625)*(Z625+AA625)+($Z$711+$AA$711-$Z$625-$AA$625)*(L625)</f>
        <v>173.20992916062104</v>
      </c>
      <c r="AF625" s="4" t="s">
        <v>1116</v>
      </c>
    </row>
    <row r="626" spans="1:32" ht="11.25" customHeight="1" x14ac:dyDescent="0.25">
      <c r="A626" s="4" t="s">
        <v>21</v>
      </c>
      <c r="B626" s="4" t="s">
        <v>22</v>
      </c>
      <c r="C626" s="4" t="s">
        <v>23</v>
      </c>
      <c r="D626" s="4" t="s">
        <v>24</v>
      </c>
      <c r="E626" s="4" t="s">
        <v>29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2906.2240000000002</v>
      </c>
      <c r="M626" s="6">
        <v>2906.2240000000002</v>
      </c>
      <c r="N626" s="6">
        <v>2906.2240000000002</v>
      </c>
      <c r="O626" s="6">
        <v>2906.2240000000002</v>
      </c>
      <c r="P626" s="6">
        <v>4400</v>
      </c>
      <c r="Q626" s="4" t="s">
        <v>26</v>
      </c>
      <c r="R626" s="4">
        <v>0</v>
      </c>
      <c r="S626" s="4">
        <v>0</v>
      </c>
      <c r="T626" s="4">
        <v>42</v>
      </c>
      <c r="U626" s="4">
        <v>85</v>
      </c>
      <c r="V626" s="6">
        <f>IF(ISERROR(VLOOKUP($S$626,'TAR FIN'!$A$1:$O$116,15,0)),0,VLOOKUP($S$626,'TAR FIN'!$A$1:$O$116,15,0))</f>
        <v>0</v>
      </c>
      <c r="W626" s="6">
        <f>IF(ISERROR(VLOOKUP($T$626,'TAR FIN'!$A$1:$O$116,15,0)),0,VLOOKUP($T$626,'TAR FIN'!$A$1:$O$116,15,0))</f>
        <v>94.28</v>
      </c>
      <c r="X626" s="6">
        <f>IF(ISERROR(VLOOKUP($U$626,'TAR FIN'!$A$1:$O$116,15,0)),0,VLOOKUP($U$626,'TAR FIN'!$A$1:$O$116,15,0))</f>
        <v>114.26</v>
      </c>
      <c r="Y626" s="6"/>
      <c r="Z626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6" s="6">
        <f>('TE BE'!$AB$15+'TE BF'!$AB$15+'TE CVA'!$AB$15)*(1-CUSTOS!$M$34)</f>
        <v>115.37078380550088</v>
      </c>
      <c r="AB626" s="6">
        <f t="shared" si="38"/>
        <v>0</v>
      </c>
      <c r="AC626" s="6">
        <f>(L626-M626)*(W626+X626)+($W$711+$X$711-$W$626-$X$626)*(L626)</f>
        <v>1125580.5552000003</v>
      </c>
      <c r="AD626" s="6">
        <f t="shared" si="40"/>
        <v>0</v>
      </c>
      <c r="AE626" s="6">
        <f ca="1">(L626-M626)*(Z626+AA626)+($Z$711+$AA$711-$Z$626-$AA$626)*(L626)</f>
        <v>1207162.7174218148</v>
      </c>
      <c r="AF626" s="4" t="s">
        <v>1116</v>
      </c>
    </row>
    <row r="627" spans="1:32" ht="11.25" customHeight="1" x14ac:dyDescent="0.25">
      <c r="A627" s="4" t="s">
        <v>27</v>
      </c>
      <c r="B627" s="4" t="s">
        <v>22</v>
      </c>
      <c r="C627" s="4" t="s">
        <v>23</v>
      </c>
      <c r="D627" s="4" t="s">
        <v>24</v>
      </c>
      <c r="E627" s="4" t="s">
        <v>29</v>
      </c>
      <c r="F627" s="4" t="s">
        <v>25</v>
      </c>
      <c r="G627" s="4" t="s">
        <v>25</v>
      </c>
      <c r="H627" s="4" t="s">
        <v>25</v>
      </c>
      <c r="I627" s="5">
        <v>44621</v>
      </c>
      <c r="J627" s="6">
        <v>0</v>
      </c>
      <c r="K627" s="6">
        <v>0</v>
      </c>
      <c r="L627" s="6">
        <v>1.173</v>
      </c>
      <c r="M627" s="6">
        <v>1.173</v>
      </c>
      <c r="N627" s="6">
        <v>1.173</v>
      </c>
      <c r="O627" s="6">
        <v>1.173</v>
      </c>
      <c r="P627" s="6">
        <v>15</v>
      </c>
      <c r="Q627" s="4" t="s">
        <v>26</v>
      </c>
      <c r="R627" s="4">
        <v>0</v>
      </c>
      <c r="S627" s="4">
        <v>0</v>
      </c>
      <c r="T627" s="4">
        <v>42</v>
      </c>
      <c r="U627" s="4">
        <v>85</v>
      </c>
      <c r="V627" s="6">
        <f>IF(ISERROR(VLOOKUP($S$627,'TAR FIN'!$A$1:$O$116,15,0)),0,VLOOKUP($S$627,'TAR FIN'!$A$1:$O$116,15,0))</f>
        <v>0</v>
      </c>
      <c r="W627" s="6">
        <f>IF(ISERROR(VLOOKUP($T$627,'TAR FIN'!$A$1:$O$116,15,0)),0,VLOOKUP($T$627,'TAR FIN'!$A$1:$O$116,15,0))</f>
        <v>94.28</v>
      </c>
      <c r="X627" s="6">
        <f>IF(ISERROR(VLOOKUP($U$627,'TAR FIN'!$A$1:$O$116,15,0)),0,VLOOKUP($U$627,'TAR FIN'!$A$1:$O$116,15,0))</f>
        <v>114.26</v>
      </c>
      <c r="Y627" s="6"/>
      <c r="Z627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7" s="6">
        <f>('TE BE'!$AB$15+'TE BF'!$AB$15+'TE CVA'!$AB$15)*(1-CUSTOS!$M$34)</f>
        <v>115.37078380550088</v>
      </c>
      <c r="AB627" s="6">
        <f t="shared" si="38"/>
        <v>0</v>
      </c>
      <c r="AC627" s="6">
        <f>(L627-M627)*(W627+X627)+($W$711+$X$711-$W$627-$X$627)*(L627)</f>
        <v>454.30290000000008</v>
      </c>
      <c r="AD627" s="6">
        <f t="shared" si="40"/>
        <v>0</v>
      </c>
      <c r="AE627" s="6">
        <f ca="1">(L627-M627)*(Z627+AA627)+($Z$711+$AA$711-$Z$627-$AA$627)*(L627)</f>
        <v>487.2308079266391</v>
      </c>
      <c r="AF627" s="4" t="s">
        <v>1116</v>
      </c>
    </row>
    <row r="628" spans="1:32" ht="11.25" customHeight="1" x14ac:dyDescent="0.25">
      <c r="A628" s="4" t="s">
        <v>28</v>
      </c>
      <c r="B628" s="4" t="s">
        <v>22</v>
      </c>
      <c r="C628" s="4" t="s">
        <v>23</v>
      </c>
      <c r="D628" s="4" t="s">
        <v>24</v>
      </c>
      <c r="E628" s="4" t="s">
        <v>29</v>
      </c>
      <c r="F628" s="4" t="s">
        <v>25</v>
      </c>
      <c r="G628" s="4" t="s">
        <v>25</v>
      </c>
      <c r="H628" s="4" t="s">
        <v>25</v>
      </c>
      <c r="I628" s="5">
        <v>44621</v>
      </c>
      <c r="J628" s="6">
        <v>0</v>
      </c>
      <c r="K628" s="6">
        <v>0</v>
      </c>
      <c r="L628" s="6">
        <v>6.75</v>
      </c>
      <c r="M628" s="6">
        <v>6.75</v>
      </c>
      <c r="N628" s="6">
        <v>6.75</v>
      </c>
      <c r="O628" s="6">
        <v>6.75</v>
      </c>
      <c r="P628" s="6">
        <v>17</v>
      </c>
      <c r="Q628" s="4" t="s">
        <v>26</v>
      </c>
      <c r="R628" s="4">
        <v>0</v>
      </c>
      <c r="S628" s="4">
        <v>0</v>
      </c>
      <c r="T628" s="4">
        <v>42</v>
      </c>
      <c r="U628" s="4">
        <v>85</v>
      </c>
      <c r="V628" s="6">
        <f>IF(ISERROR(VLOOKUP($S$628,'TAR FIN'!$A$1:$O$116,15,0)),0,VLOOKUP($S$628,'TAR FIN'!$A$1:$O$116,15,0))</f>
        <v>0</v>
      </c>
      <c r="W628" s="6">
        <f>IF(ISERROR(VLOOKUP($T$628,'TAR FIN'!$A$1:$O$116,15,0)),0,VLOOKUP($T$628,'TAR FIN'!$A$1:$O$116,15,0))</f>
        <v>94.28</v>
      </c>
      <c r="X628" s="6">
        <f>IF(ISERROR(VLOOKUP($U$628,'TAR FIN'!$A$1:$O$116,15,0)),0,VLOOKUP($U$628,'TAR FIN'!$A$1:$O$116,15,0))</f>
        <v>114.26</v>
      </c>
      <c r="Y628" s="6"/>
      <c r="Z628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8" s="6">
        <f>('TE BE'!$AB$15+'TE BF'!$AB$15+'TE CVA'!$AB$15)*(1-CUSTOS!$M$34)</f>
        <v>115.37078380550088</v>
      </c>
      <c r="AB628" s="6">
        <f t="shared" si="38"/>
        <v>0</v>
      </c>
      <c r="AC628" s="6">
        <f>(L628-M628)*(W628+X628)+($W$711+$X$711-$W$628-$X$628)*(L628)</f>
        <v>2614.2750000000005</v>
      </c>
      <c r="AD628" s="6">
        <f t="shared" si="40"/>
        <v>0</v>
      </c>
      <c r="AE628" s="6">
        <f ca="1">(L628-M628)*(Z628+AA628)+($Z$711+$AA$711-$Z$628-$AA$628)*(L628)</f>
        <v>2803.757846125161</v>
      </c>
      <c r="AF628" s="4" t="s">
        <v>1116</v>
      </c>
    </row>
    <row r="629" spans="1:32" ht="11.25" customHeight="1" x14ac:dyDescent="0.25">
      <c r="A629" s="4" t="s">
        <v>28</v>
      </c>
      <c r="B629" s="4" t="s">
        <v>22</v>
      </c>
      <c r="C629" s="4" t="s">
        <v>23</v>
      </c>
      <c r="D629" s="4" t="s">
        <v>24</v>
      </c>
      <c r="E629" s="4" t="s">
        <v>29</v>
      </c>
      <c r="F629" s="4" t="s">
        <v>25</v>
      </c>
      <c r="G629" s="4" t="s">
        <v>25</v>
      </c>
      <c r="H629" s="4" t="s">
        <v>25</v>
      </c>
      <c r="I629" s="5">
        <v>44621</v>
      </c>
      <c r="J629" s="6">
        <v>0</v>
      </c>
      <c r="K629" s="6">
        <v>0</v>
      </c>
      <c r="L629" s="6">
        <v>-0.03</v>
      </c>
      <c r="M629" s="6">
        <v>-0.03</v>
      </c>
      <c r="N629" s="6">
        <v>-0.03</v>
      </c>
      <c r="O629" s="6">
        <v>-0.03</v>
      </c>
      <c r="P629" s="6">
        <v>0</v>
      </c>
      <c r="Q629" s="4" t="s">
        <v>26</v>
      </c>
      <c r="R629" s="4">
        <v>0</v>
      </c>
      <c r="S629" s="4">
        <v>0</v>
      </c>
      <c r="T629" s="4">
        <v>42</v>
      </c>
      <c r="U629" s="4">
        <v>85</v>
      </c>
      <c r="V629" s="6">
        <f>IF(ISERROR(VLOOKUP($S$629,'TAR FIN'!$A$1:$O$116,15,0)),0,VLOOKUP($S$629,'TAR FIN'!$A$1:$O$116,15,0))</f>
        <v>0</v>
      </c>
      <c r="W629" s="6">
        <f>IF(ISERROR(VLOOKUP($T$629,'TAR FIN'!$A$1:$O$116,15,0)),0,VLOOKUP($T$629,'TAR FIN'!$A$1:$O$116,15,0))</f>
        <v>94.28</v>
      </c>
      <c r="X629" s="6">
        <f>IF(ISERROR(VLOOKUP($U$629,'TAR FIN'!$A$1:$O$116,15,0)),0,VLOOKUP($U$629,'TAR FIN'!$A$1:$O$116,15,0))</f>
        <v>114.26</v>
      </c>
      <c r="Y629" s="6"/>
      <c r="Z629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29" s="6">
        <f>('TE BE'!$AB$15+'TE BF'!$AB$15+'TE CVA'!$AB$15)*(1-CUSTOS!$M$34)</f>
        <v>115.37078380550088</v>
      </c>
      <c r="AB629" s="6">
        <f t="shared" si="38"/>
        <v>0</v>
      </c>
      <c r="AC629" s="6">
        <f>(L629-M629)*(W629+X629)+($W$711+$X$711-$W$629-$X$629)*(L629)</f>
        <v>-11.619000000000002</v>
      </c>
      <c r="AD629" s="6">
        <f t="shared" si="40"/>
        <v>0</v>
      </c>
      <c r="AE629" s="6">
        <f ca="1">(L629-M629)*(Z629+AA629)+($Z$711+$AA$711-$Z$629-$AA$629)*(L629)</f>
        <v>-12.461145982778493</v>
      </c>
      <c r="AF629" s="4" t="s">
        <v>1116</v>
      </c>
    </row>
    <row r="630" spans="1:32" ht="11.25" customHeight="1" x14ac:dyDescent="0.25">
      <c r="A630" s="4" t="s">
        <v>21</v>
      </c>
      <c r="B630" s="4" t="s">
        <v>22</v>
      </c>
      <c r="C630" s="4" t="s">
        <v>23</v>
      </c>
      <c r="D630" s="4" t="s">
        <v>24</v>
      </c>
      <c r="E630" s="4" t="s">
        <v>29</v>
      </c>
      <c r="F630" s="4" t="s">
        <v>25</v>
      </c>
      <c r="G630" s="4" t="s">
        <v>25</v>
      </c>
      <c r="H630" s="4" t="s">
        <v>25</v>
      </c>
      <c r="I630" s="5">
        <v>44652</v>
      </c>
      <c r="J630" s="6">
        <v>0</v>
      </c>
      <c r="K630" s="6">
        <v>0</v>
      </c>
      <c r="L630" s="6">
        <v>2949.163</v>
      </c>
      <c r="M630" s="6">
        <v>2949.163</v>
      </c>
      <c r="N630" s="6">
        <v>2949.163</v>
      </c>
      <c r="O630" s="6">
        <v>2949.163</v>
      </c>
      <c r="P630" s="6">
        <v>4589</v>
      </c>
      <c r="Q630" s="4" t="s">
        <v>26</v>
      </c>
      <c r="R630" s="4">
        <v>0</v>
      </c>
      <c r="S630" s="4">
        <v>0</v>
      </c>
      <c r="T630" s="4">
        <v>42</v>
      </c>
      <c r="U630" s="4">
        <v>85</v>
      </c>
      <c r="V630" s="6">
        <f>IF(ISERROR(VLOOKUP($S$630,'TAR FIN'!$A$1:$O$116,15,0)),0,VLOOKUP($S$630,'TAR FIN'!$A$1:$O$116,15,0))</f>
        <v>0</v>
      </c>
      <c r="W630" s="6">
        <f>IF(ISERROR(VLOOKUP($T$630,'TAR FIN'!$A$1:$O$116,15,0)),0,VLOOKUP($T$630,'TAR FIN'!$A$1:$O$116,15,0))</f>
        <v>94.28</v>
      </c>
      <c r="X630" s="6">
        <f>IF(ISERROR(VLOOKUP($U$630,'TAR FIN'!$A$1:$O$116,15,0)),0,VLOOKUP($U$630,'TAR FIN'!$A$1:$O$116,15,0))</f>
        <v>114.26</v>
      </c>
      <c r="Y630" s="6"/>
      <c r="Z630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30" s="6">
        <f>('TE BE'!$AB$15+'TE BF'!$AB$15+'TE CVA'!$AB$15)*(1-CUSTOS!$M$34)</f>
        <v>115.37078380550088</v>
      </c>
      <c r="AB630" s="6">
        <f t="shared" si="38"/>
        <v>0</v>
      </c>
      <c r="AC630" s="6">
        <f>(L630-M630)*(W630+X630)+($W$711+$X$711-$W$630-$X$630)*(L630)</f>
        <v>1142210.8299000002</v>
      </c>
      <c r="AD630" s="6">
        <f t="shared" si="40"/>
        <v>0</v>
      </c>
      <c r="AE630" s="6">
        <f ca="1">(L630-M630)*(Z630+AA630)+($Z$711+$AA$711-$Z$630-$AA$630)*(L630)</f>
        <v>1224998.3556669657</v>
      </c>
      <c r="AF630" s="4" t="s">
        <v>1116</v>
      </c>
    </row>
    <row r="631" spans="1:32" ht="11.25" customHeight="1" x14ac:dyDescent="0.25">
      <c r="A631" s="4" t="s">
        <v>27</v>
      </c>
      <c r="B631" s="4" t="s">
        <v>22</v>
      </c>
      <c r="C631" s="4" t="s">
        <v>23</v>
      </c>
      <c r="D631" s="4" t="s">
        <v>24</v>
      </c>
      <c r="E631" s="4" t="s">
        <v>29</v>
      </c>
      <c r="F631" s="4" t="s">
        <v>25</v>
      </c>
      <c r="G631" s="4" t="s">
        <v>25</v>
      </c>
      <c r="H631" s="4" t="s">
        <v>25</v>
      </c>
      <c r="I631" s="5">
        <v>44652</v>
      </c>
      <c r="J631" s="6">
        <v>0</v>
      </c>
      <c r="K631" s="6">
        <v>0</v>
      </c>
      <c r="L631" s="6">
        <v>0.88900000000000001</v>
      </c>
      <c r="M631" s="6">
        <v>0.88900000000000001</v>
      </c>
      <c r="N631" s="6">
        <v>0.88900000000000001</v>
      </c>
      <c r="O631" s="6">
        <v>0.88900000000000001</v>
      </c>
      <c r="P631" s="6">
        <v>11</v>
      </c>
      <c r="Q631" s="4" t="s">
        <v>26</v>
      </c>
      <c r="R631" s="4">
        <v>0</v>
      </c>
      <c r="S631" s="4">
        <v>0</v>
      </c>
      <c r="T631" s="4">
        <v>42</v>
      </c>
      <c r="U631" s="4">
        <v>85</v>
      </c>
      <c r="V631" s="6">
        <f>IF(ISERROR(VLOOKUP($S$631,'TAR FIN'!$A$1:$O$116,15,0)),0,VLOOKUP($S$631,'TAR FIN'!$A$1:$O$116,15,0))</f>
        <v>0</v>
      </c>
      <c r="W631" s="6">
        <f>IF(ISERROR(VLOOKUP($T$631,'TAR FIN'!$A$1:$O$116,15,0)),0,VLOOKUP($T$631,'TAR FIN'!$A$1:$O$116,15,0))</f>
        <v>94.28</v>
      </c>
      <c r="X631" s="6">
        <f>IF(ISERROR(VLOOKUP($U$631,'TAR FIN'!$A$1:$O$116,15,0)),0,VLOOKUP($U$631,'TAR FIN'!$A$1:$O$116,15,0))</f>
        <v>114.26</v>
      </c>
      <c r="Y631" s="6"/>
      <c r="Z631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31" s="6">
        <f>('TE BE'!$AB$15+'TE BF'!$AB$15+'TE CVA'!$AB$15)*(1-CUSTOS!$M$34)</f>
        <v>115.37078380550088</v>
      </c>
      <c r="AB631" s="6">
        <f t="shared" si="38"/>
        <v>0</v>
      </c>
      <c r="AC631" s="6">
        <f>(L631-M631)*(W631+X631)+($W$711+$X$711-$W$631-$X$631)*(L631)</f>
        <v>344.30970000000008</v>
      </c>
      <c r="AD631" s="6">
        <f t="shared" si="40"/>
        <v>0</v>
      </c>
      <c r="AE631" s="6">
        <f ca="1">(L631-M631)*(Z631+AA631)+($Z$711+$AA$711-$Z$631-$AA$631)*(L631)</f>
        <v>369.26529262300272</v>
      </c>
      <c r="AF631" s="4" t="s">
        <v>1116</v>
      </c>
    </row>
    <row r="632" spans="1:32" ht="11.25" customHeight="1" x14ac:dyDescent="0.25">
      <c r="A632" s="4" t="s">
        <v>28</v>
      </c>
      <c r="B632" s="4" t="s">
        <v>22</v>
      </c>
      <c r="C632" s="4" t="s">
        <v>23</v>
      </c>
      <c r="D632" s="4" t="s">
        <v>24</v>
      </c>
      <c r="E632" s="4" t="s">
        <v>29</v>
      </c>
      <c r="F632" s="4" t="s">
        <v>25</v>
      </c>
      <c r="G632" s="4" t="s">
        <v>25</v>
      </c>
      <c r="H632" s="4" t="s">
        <v>25</v>
      </c>
      <c r="I632" s="5">
        <v>44652</v>
      </c>
      <c r="J632" s="6">
        <v>0</v>
      </c>
      <c r="K632" s="6">
        <v>0</v>
      </c>
      <c r="L632" s="6">
        <v>7.23</v>
      </c>
      <c r="M632" s="6">
        <v>7.23</v>
      </c>
      <c r="N632" s="6">
        <v>7.23</v>
      </c>
      <c r="O632" s="6">
        <v>7.23</v>
      </c>
      <c r="P632" s="6">
        <v>10</v>
      </c>
      <c r="Q632" s="4" t="s">
        <v>26</v>
      </c>
      <c r="R632" s="4">
        <v>0</v>
      </c>
      <c r="S632" s="4">
        <v>0</v>
      </c>
      <c r="T632" s="4">
        <v>42</v>
      </c>
      <c r="U632" s="4">
        <v>85</v>
      </c>
      <c r="V632" s="6">
        <f>IF(ISERROR(VLOOKUP($S$632,'TAR FIN'!$A$1:$O$116,15,0)),0,VLOOKUP($S$632,'TAR FIN'!$A$1:$O$116,15,0))</f>
        <v>0</v>
      </c>
      <c r="W632" s="6">
        <f>IF(ISERROR(VLOOKUP($T$632,'TAR FIN'!$A$1:$O$116,15,0)),0,VLOOKUP($T$632,'TAR FIN'!$A$1:$O$116,15,0))</f>
        <v>94.28</v>
      </c>
      <c r="X632" s="6">
        <f>IF(ISERROR(VLOOKUP($U$632,'TAR FIN'!$A$1:$O$116,15,0)),0,VLOOKUP($U$632,'TAR FIN'!$A$1:$O$116,15,0))</f>
        <v>114.26</v>
      </c>
      <c r="Y632" s="6"/>
      <c r="Z632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32" s="6">
        <f>('TE BE'!$AB$15+'TE BF'!$AB$15+'TE CVA'!$AB$15)*(1-CUSTOS!$M$34)</f>
        <v>115.37078380550088</v>
      </c>
      <c r="AB632" s="6">
        <f t="shared" si="38"/>
        <v>0</v>
      </c>
      <c r="AC632" s="6">
        <f>(L632-M632)*(W632+X632)+($W$711+$X$711-$W$632-$X$632)*(L632)</f>
        <v>2800.1790000000005</v>
      </c>
      <c r="AD632" s="6">
        <f t="shared" si="40"/>
        <v>0</v>
      </c>
      <c r="AE632" s="6">
        <f ca="1">(L632-M632)*(Z632+AA632)+($Z$711+$AA$711-$Z$632-$AA$632)*(L632)</f>
        <v>3003.1361818496171</v>
      </c>
      <c r="AF632" s="4" t="s">
        <v>1116</v>
      </c>
    </row>
    <row r="633" spans="1:32" ht="11.25" customHeight="1" x14ac:dyDescent="0.25">
      <c r="A633" s="4" t="s">
        <v>58</v>
      </c>
      <c r="B633" s="4" t="s">
        <v>22</v>
      </c>
      <c r="C633" s="4" t="s">
        <v>23</v>
      </c>
      <c r="D633" s="4" t="s">
        <v>24</v>
      </c>
      <c r="E633" s="4" t="s">
        <v>29</v>
      </c>
      <c r="F633" s="4" t="s">
        <v>25</v>
      </c>
      <c r="G633" s="4" t="s">
        <v>25</v>
      </c>
      <c r="H633" s="4" t="s">
        <v>25</v>
      </c>
      <c r="I633" s="5">
        <v>44682</v>
      </c>
      <c r="J633" s="6">
        <v>0</v>
      </c>
      <c r="K633" s="6">
        <v>0</v>
      </c>
      <c r="L633" s="6">
        <v>2949.163</v>
      </c>
      <c r="M633" s="6">
        <v>2949.163</v>
      </c>
      <c r="N633" s="6">
        <v>2949.163</v>
      </c>
      <c r="O633" s="6">
        <v>2949.163</v>
      </c>
      <c r="P633" s="6">
        <v>4589</v>
      </c>
      <c r="Q633" s="4" t="s">
        <v>26</v>
      </c>
      <c r="R633" s="4">
        <v>0</v>
      </c>
      <c r="S633" s="4">
        <v>0</v>
      </c>
      <c r="T633" s="4">
        <v>42</v>
      </c>
      <c r="U633" s="4">
        <v>85</v>
      </c>
      <c r="V633" s="6">
        <f>IF(ISERROR(VLOOKUP($S$633,'TAR FIN'!$A$1:$O$116,15,0)),0,VLOOKUP($S$633,'TAR FIN'!$A$1:$O$116,15,0))</f>
        <v>0</v>
      </c>
      <c r="W633" s="6">
        <f>IF(ISERROR(VLOOKUP($T$633,'TAR FIN'!$A$1:$O$116,15,0)),0,VLOOKUP($T$633,'TAR FIN'!$A$1:$O$116,15,0))</f>
        <v>94.28</v>
      </c>
      <c r="X633" s="6">
        <f>IF(ISERROR(VLOOKUP($U$633,'TAR FIN'!$A$1:$O$116,15,0)),0,VLOOKUP($U$633,'TAR FIN'!$A$1:$O$116,15,0))</f>
        <v>114.26</v>
      </c>
      <c r="Y633" s="6"/>
      <c r="Z633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33" s="6">
        <f>('TE BE'!$AB$15+'TE BF'!$AB$15+'TE CVA'!$AB$15)*(1-CUSTOS!$M$34)</f>
        <v>115.37078380550088</v>
      </c>
      <c r="AB633" s="6">
        <f t="shared" si="38"/>
        <v>0</v>
      </c>
      <c r="AC633" s="6">
        <f>(L633-M633)*(W633+X633)+($W$711+$X$711-$W$633-$X$633)*(L633)</f>
        <v>1142210.8299000002</v>
      </c>
      <c r="AD633" s="6">
        <f t="shared" si="40"/>
        <v>0</v>
      </c>
      <c r="AE633" s="6">
        <f ca="1">(L633-M633)*(Z633+AA633)+($Z$711+$AA$711-$Z$633-$AA$633)*(L633)</f>
        <v>1224998.3556669657</v>
      </c>
      <c r="AF633" s="4" t="s">
        <v>1116</v>
      </c>
    </row>
    <row r="634" spans="1:32" ht="11.25" customHeight="1" x14ac:dyDescent="0.25">
      <c r="A634" s="4" t="s">
        <v>58</v>
      </c>
      <c r="B634" s="4" t="s">
        <v>22</v>
      </c>
      <c r="C634" s="4" t="s">
        <v>23</v>
      </c>
      <c r="D634" s="4" t="s">
        <v>24</v>
      </c>
      <c r="E634" s="4" t="s">
        <v>29</v>
      </c>
      <c r="F634" s="4" t="s">
        <v>25</v>
      </c>
      <c r="G634" s="4" t="s">
        <v>25</v>
      </c>
      <c r="H634" s="4" t="s">
        <v>25</v>
      </c>
      <c r="I634" s="5">
        <v>44682</v>
      </c>
      <c r="J634" s="6">
        <v>0</v>
      </c>
      <c r="K634" s="6">
        <v>0</v>
      </c>
      <c r="L634" s="6">
        <v>0.88900000000000001</v>
      </c>
      <c r="M634" s="6">
        <v>0.88900000000000001</v>
      </c>
      <c r="N634" s="6">
        <v>0.88900000000000001</v>
      </c>
      <c r="O634" s="6">
        <v>0.88900000000000001</v>
      </c>
      <c r="P634" s="6">
        <v>11</v>
      </c>
      <c r="Q634" s="4" t="s">
        <v>26</v>
      </c>
      <c r="R634" s="4">
        <v>0</v>
      </c>
      <c r="S634" s="4">
        <v>0</v>
      </c>
      <c r="T634" s="4">
        <v>42</v>
      </c>
      <c r="U634" s="4">
        <v>85</v>
      </c>
      <c r="V634" s="6">
        <f>IF(ISERROR(VLOOKUP($S$634,'TAR FIN'!$A$1:$O$116,15,0)),0,VLOOKUP($S$634,'TAR FIN'!$A$1:$O$116,15,0))</f>
        <v>0</v>
      </c>
      <c r="W634" s="6">
        <f>IF(ISERROR(VLOOKUP($T$634,'TAR FIN'!$A$1:$O$116,15,0)),0,VLOOKUP($T$634,'TAR FIN'!$A$1:$O$116,15,0))</f>
        <v>94.28</v>
      </c>
      <c r="X634" s="6">
        <f>IF(ISERROR(VLOOKUP($U$634,'TAR FIN'!$A$1:$O$116,15,0)),0,VLOOKUP($U$634,'TAR FIN'!$A$1:$O$116,15,0))</f>
        <v>114.26</v>
      </c>
      <c r="Y634" s="6"/>
      <c r="Z634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34" s="6">
        <f>('TE BE'!$AB$15+'TE BF'!$AB$15+'TE CVA'!$AB$15)*(1-CUSTOS!$M$34)</f>
        <v>115.37078380550088</v>
      </c>
      <c r="AB634" s="6">
        <f t="shared" si="38"/>
        <v>0</v>
      </c>
      <c r="AC634" s="6">
        <f>(L634-M634)*(W634+X634)+($W$711+$X$711-$W$634-$X$634)*(L634)</f>
        <v>344.30970000000008</v>
      </c>
      <c r="AD634" s="6">
        <f t="shared" si="40"/>
        <v>0</v>
      </c>
      <c r="AE634" s="6">
        <f ca="1">(L634-M634)*(Z634+AA634)+($Z$711+$AA$711-$Z$634-$AA$634)*(L634)</f>
        <v>369.26529262300272</v>
      </c>
      <c r="AF634" s="4" t="s">
        <v>1116</v>
      </c>
    </row>
    <row r="635" spans="1:32" ht="11.25" customHeight="1" x14ac:dyDescent="0.25">
      <c r="A635" s="4" t="s">
        <v>58</v>
      </c>
      <c r="B635" s="4" t="s">
        <v>22</v>
      </c>
      <c r="C635" s="4" t="s">
        <v>23</v>
      </c>
      <c r="D635" s="4" t="s">
        <v>24</v>
      </c>
      <c r="E635" s="4" t="s">
        <v>29</v>
      </c>
      <c r="F635" s="4" t="s">
        <v>25</v>
      </c>
      <c r="G635" s="4" t="s">
        <v>25</v>
      </c>
      <c r="H635" s="4" t="s">
        <v>25</v>
      </c>
      <c r="I635" s="5">
        <v>44682</v>
      </c>
      <c r="J635" s="6">
        <v>0</v>
      </c>
      <c r="K635" s="6">
        <v>0</v>
      </c>
      <c r="L635" s="6">
        <v>7.23</v>
      </c>
      <c r="M635" s="6">
        <v>7.23</v>
      </c>
      <c r="N635" s="6">
        <v>7.23</v>
      </c>
      <c r="O635" s="6">
        <v>7.23</v>
      </c>
      <c r="P635" s="6">
        <v>10</v>
      </c>
      <c r="Q635" s="4" t="s">
        <v>26</v>
      </c>
      <c r="R635" s="4">
        <v>0</v>
      </c>
      <c r="S635" s="4">
        <v>0</v>
      </c>
      <c r="T635" s="4">
        <v>42</v>
      </c>
      <c r="U635" s="4">
        <v>85</v>
      </c>
      <c r="V635" s="6">
        <f>IF(ISERROR(VLOOKUP($S$635,'TAR FIN'!$A$1:$O$116,15,0)),0,VLOOKUP($S$635,'TAR FIN'!$A$1:$O$116,15,0))</f>
        <v>0</v>
      </c>
      <c r="W635" s="6">
        <f>IF(ISERROR(VLOOKUP($T$635,'TAR FIN'!$A$1:$O$116,15,0)),0,VLOOKUP($T$635,'TAR FIN'!$A$1:$O$116,15,0))</f>
        <v>94.28</v>
      </c>
      <c r="X635" s="6">
        <f>IF(ISERROR(VLOOKUP($U$635,'TAR FIN'!$A$1:$O$116,15,0)),0,VLOOKUP($U$635,'TAR FIN'!$A$1:$O$116,15,0))</f>
        <v>114.26</v>
      </c>
      <c r="Y635" s="6"/>
      <c r="Z635" s="6">
        <f ca="1">('TUSD BE'!$AM$44+'TUSD BF'!$AM$44+'TUSD CVA'!$AM$44-('TUSD BE'!$P$44+'TUSD BF'!$P$44+'TUSD CVA'!$P$44)-('TUSD BE'!$Q$44+'TUSD BF'!$Q$44+'TUSD CVA'!$Q$44)-('TUSD BE'!$R$44+'TUSD BF'!$R$44+'TUSD CVA'!$R$44))*(1-CUSTOS!$M$34)</f>
        <v>108.29081075718999</v>
      </c>
      <c r="AA635" s="6">
        <f>('TE BE'!$AB$15+'TE BF'!$AB$15+'TE CVA'!$AB$15)*(1-CUSTOS!$M$34)</f>
        <v>115.37078380550088</v>
      </c>
      <c r="AB635" s="6">
        <f t="shared" si="38"/>
        <v>0</v>
      </c>
      <c r="AC635" s="6">
        <f>(L635-M635)*(W635+X635)+($W$711+$X$711-$W$635-$X$635)*(L635)</f>
        <v>2800.1790000000005</v>
      </c>
      <c r="AD635" s="6">
        <f t="shared" si="40"/>
        <v>0</v>
      </c>
      <c r="AE635" s="6">
        <f ca="1">(L635-M635)*(Z635+AA635)+($Z$711+$AA$711-$Z$635-$AA$635)*(L635)</f>
        <v>3003.1361818496171</v>
      </c>
      <c r="AF635" s="4" t="s">
        <v>1116</v>
      </c>
    </row>
    <row r="636" spans="1:32" ht="11.25" customHeight="1" x14ac:dyDescent="0.25">
      <c r="A636" s="4" t="s">
        <v>21</v>
      </c>
      <c r="B636" s="4" t="s">
        <v>22</v>
      </c>
      <c r="C636" s="4" t="s">
        <v>23</v>
      </c>
      <c r="D636" s="4" t="s">
        <v>24</v>
      </c>
      <c r="E636" s="4" t="s">
        <v>30</v>
      </c>
      <c r="F636" s="4" t="s">
        <v>25</v>
      </c>
      <c r="G636" s="4" t="s">
        <v>25</v>
      </c>
      <c r="H636" s="4" t="s">
        <v>25</v>
      </c>
      <c r="I636" s="5">
        <v>44348</v>
      </c>
      <c r="J636" s="6">
        <v>0</v>
      </c>
      <c r="K636" s="6">
        <v>0</v>
      </c>
      <c r="L636" s="6">
        <v>4617.2920000000004</v>
      </c>
      <c r="M636" s="6">
        <v>4617.2920000000004</v>
      </c>
      <c r="N636" s="6">
        <v>4617.2920000000004</v>
      </c>
      <c r="O636" s="6">
        <v>4617.2920000000004</v>
      </c>
      <c r="P636" s="6">
        <v>28380</v>
      </c>
      <c r="Q636" s="4" t="s">
        <v>26</v>
      </c>
      <c r="R636" s="4">
        <v>0</v>
      </c>
      <c r="S636" s="4">
        <v>0</v>
      </c>
      <c r="T636" s="4">
        <v>43</v>
      </c>
      <c r="U636" s="4">
        <v>86</v>
      </c>
      <c r="V636" s="6">
        <f>IF(ISERROR(VLOOKUP($S$636,'TAR FIN'!$A$1:$O$116,15,0)),0,VLOOKUP($S$636,'TAR FIN'!$A$1:$O$116,15,0))</f>
        <v>0</v>
      </c>
      <c r="W636" s="6">
        <f>IF(ISERROR(VLOOKUP($T$636,'TAR FIN'!$A$1:$O$116,15,0)),0,VLOOKUP($T$636,'TAR FIN'!$A$1:$O$116,15,0))</f>
        <v>161.62</v>
      </c>
      <c r="X636" s="6">
        <f>IF(ISERROR(VLOOKUP($U$636,'TAR FIN'!$A$1:$O$116,15,0)),0,VLOOKUP($U$636,'TAR FIN'!$A$1:$O$116,15,0))</f>
        <v>195.88</v>
      </c>
      <c r="Y636" s="6"/>
      <c r="Z63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36" s="6">
        <f>('TE BE'!$AB$16+'TE BF'!$AB$16+'TE CVA'!$AB$16)*(1-CUSTOS!$M$35)</f>
        <v>197.7784865237158</v>
      </c>
      <c r="AB636" s="6">
        <f t="shared" si="38"/>
        <v>0</v>
      </c>
      <c r="AC636" s="6">
        <f>(L636-M636)*(W636+X636)+($W$711+$X$711-$W$636-$X$636)*(L636)</f>
        <v>1100485.3752800003</v>
      </c>
      <c r="AD636" s="6">
        <f t="shared" si="40"/>
        <v>0</v>
      </c>
      <c r="AE636" s="6">
        <f ca="1">(L636-M636)*(Z636+AA636)+($Z$711+$AA$711-$Z$636-$AA$636)*(L636)</f>
        <v>1180241.0186074933</v>
      </c>
      <c r="AF636" s="4" t="s">
        <v>1116</v>
      </c>
    </row>
    <row r="637" spans="1:32" ht="11.25" customHeight="1" x14ac:dyDescent="0.25">
      <c r="A637" s="4" t="s">
        <v>27</v>
      </c>
      <c r="B637" s="4" t="s">
        <v>22</v>
      </c>
      <c r="C637" s="4" t="s">
        <v>23</v>
      </c>
      <c r="D637" s="4" t="s">
        <v>24</v>
      </c>
      <c r="E637" s="4" t="s">
        <v>30</v>
      </c>
      <c r="F637" s="4" t="s">
        <v>25</v>
      </c>
      <c r="G637" s="4" t="s">
        <v>25</v>
      </c>
      <c r="H637" s="4" t="s">
        <v>25</v>
      </c>
      <c r="I637" s="5">
        <v>44348</v>
      </c>
      <c r="J637" s="6">
        <v>0</v>
      </c>
      <c r="K637" s="6">
        <v>0</v>
      </c>
      <c r="L637" s="6">
        <v>-0.80700000000000005</v>
      </c>
      <c r="M637" s="6">
        <v>-0.80700000000000005</v>
      </c>
      <c r="N637" s="6">
        <v>-0.80700000000000005</v>
      </c>
      <c r="O637" s="6">
        <v>-0.80700000000000005</v>
      </c>
      <c r="P637" s="6">
        <v>-1</v>
      </c>
      <c r="Q637" s="4" t="s">
        <v>26</v>
      </c>
      <c r="R637" s="4">
        <v>0</v>
      </c>
      <c r="S637" s="4">
        <v>0</v>
      </c>
      <c r="T637" s="4">
        <v>43</v>
      </c>
      <c r="U637" s="4">
        <v>86</v>
      </c>
      <c r="V637" s="6">
        <f>IF(ISERROR(VLOOKUP($S$637,'TAR FIN'!$A$1:$O$116,15,0)),0,VLOOKUP($S$637,'TAR FIN'!$A$1:$O$116,15,0))</f>
        <v>0</v>
      </c>
      <c r="W637" s="6">
        <f>IF(ISERROR(VLOOKUP($T$637,'TAR FIN'!$A$1:$O$116,15,0)),0,VLOOKUP($T$637,'TAR FIN'!$A$1:$O$116,15,0))</f>
        <v>161.62</v>
      </c>
      <c r="X637" s="6">
        <f>IF(ISERROR(VLOOKUP($U$637,'TAR FIN'!$A$1:$O$116,15,0)),0,VLOOKUP($U$637,'TAR FIN'!$A$1:$O$116,15,0))</f>
        <v>195.88</v>
      </c>
      <c r="Y637" s="6"/>
      <c r="Z63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37" s="6">
        <f>('TE BE'!$AB$16+'TE BF'!$AB$16+'TE CVA'!$AB$16)*(1-CUSTOS!$M$35)</f>
        <v>197.7784865237158</v>
      </c>
      <c r="AB637" s="6">
        <f t="shared" si="38"/>
        <v>0</v>
      </c>
      <c r="AC637" s="6">
        <f>(L637-M637)*(W637+X637)+($W$711+$X$711-$W$637-$X$637)*(L637)</f>
        <v>-192.34038000000004</v>
      </c>
      <c r="AD637" s="6">
        <f t="shared" si="40"/>
        <v>0</v>
      </c>
      <c r="AE637" s="6">
        <f ca="1">(L637-M637)*(Z637+AA637)+($Z$711+$AA$711-$Z$637-$AA$637)*(L637)</f>
        <v>-206.27989349953327</v>
      </c>
      <c r="AF637" s="4" t="s">
        <v>1116</v>
      </c>
    </row>
    <row r="638" spans="1:32" ht="11.25" customHeight="1" x14ac:dyDescent="0.25">
      <c r="A638" s="4" t="s">
        <v>28</v>
      </c>
      <c r="B638" s="4" t="s">
        <v>22</v>
      </c>
      <c r="C638" s="4" t="s">
        <v>23</v>
      </c>
      <c r="D638" s="4" t="s">
        <v>24</v>
      </c>
      <c r="E638" s="4" t="s">
        <v>30</v>
      </c>
      <c r="F638" s="4" t="s">
        <v>25</v>
      </c>
      <c r="G638" s="4" t="s">
        <v>25</v>
      </c>
      <c r="H638" s="4" t="s">
        <v>25</v>
      </c>
      <c r="I638" s="5">
        <v>44348</v>
      </c>
      <c r="J638" s="6">
        <v>0</v>
      </c>
      <c r="K638" s="6">
        <v>0</v>
      </c>
      <c r="L638" s="6">
        <v>2.9750000000000001</v>
      </c>
      <c r="M638" s="6">
        <v>2.9750000000000001</v>
      </c>
      <c r="N638" s="6">
        <v>2.9750000000000001</v>
      </c>
      <c r="O638" s="6">
        <v>2.9750000000000001</v>
      </c>
      <c r="P638" s="6">
        <v>6</v>
      </c>
      <c r="Q638" s="4" t="s">
        <v>26</v>
      </c>
      <c r="R638" s="4">
        <v>0</v>
      </c>
      <c r="S638" s="4">
        <v>0</v>
      </c>
      <c r="T638" s="4">
        <v>43</v>
      </c>
      <c r="U638" s="4">
        <v>86</v>
      </c>
      <c r="V638" s="6">
        <f>IF(ISERROR(VLOOKUP($S$638,'TAR FIN'!$A$1:$O$116,15,0)),0,VLOOKUP($S$638,'TAR FIN'!$A$1:$O$116,15,0))</f>
        <v>0</v>
      </c>
      <c r="W638" s="6">
        <f>IF(ISERROR(VLOOKUP($T$638,'TAR FIN'!$A$1:$O$116,15,0)),0,VLOOKUP($T$638,'TAR FIN'!$A$1:$O$116,15,0))</f>
        <v>161.62</v>
      </c>
      <c r="X638" s="6">
        <f>IF(ISERROR(VLOOKUP($U$638,'TAR FIN'!$A$1:$O$116,15,0)),0,VLOOKUP($U$638,'TAR FIN'!$A$1:$O$116,15,0))</f>
        <v>195.88</v>
      </c>
      <c r="Y638" s="6"/>
      <c r="Z63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38" s="6">
        <f>('TE BE'!$AB$16+'TE BF'!$AB$16+'TE CVA'!$AB$16)*(1-CUSTOS!$M$35)</f>
        <v>197.7784865237158</v>
      </c>
      <c r="AB638" s="6">
        <f t="shared" si="38"/>
        <v>0</v>
      </c>
      <c r="AC638" s="6">
        <f>(L638-M638)*(W638+X638)+($W$711+$X$711-$W$638-$X$638)*(L638)</f>
        <v>709.06150000000014</v>
      </c>
      <c r="AD638" s="6">
        <f t="shared" si="40"/>
        <v>0</v>
      </c>
      <c r="AE638" s="6">
        <f ca="1">(L638-M638)*(Z638+AA638)+($Z$711+$AA$711-$Z$638-$AA$638)*(L638)</f>
        <v>760.44942151314933</v>
      </c>
      <c r="AF638" s="4" t="s">
        <v>1116</v>
      </c>
    </row>
    <row r="639" spans="1:32" ht="11.25" customHeight="1" x14ac:dyDescent="0.25">
      <c r="A639" s="4" t="s">
        <v>21</v>
      </c>
      <c r="B639" s="4" t="s">
        <v>22</v>
      </c>
      <c r="C639" s="4" t="s">
        <v>23</v>
      </c>
      <c r="D639" s="4" t="s">
        <v>24</v>
      </c>
      <c r="E639" s="4" t="s">
        <v>30</v>
      </c>
      <c r="F639" s="4" t="s">
        <v>25</v>
      </c>
      <c r="G639" s="4" t="s">
        <v>25</v>
      </c>
      <c r="H639" s="4" t="s">
        <v>25</v>
      </c>
      <c r="I639" s="5">
        <v>44378</v>
      </c>
      <c r="J639" s="6">
        <v>0</v>
      </c>
      <c r="K639" s="6">
        <v>0</v>
      </c>
      <c r="L639" s="6">
        <v>4621.8729999999996</v>
      </c>
      <c r="M639" s="6">
        <v>4621.8729999999996</v>
      </c>
      <c r="N639" s="6">
        <v>4621.8729999999996</v>
      </c>
      <c r="O639" s="6">
        <v>4621.8729999999996</v>
      </c>
      <c r="P639" s="6">
        <v>29844</v>
      </c>
      <c r="Q639" s="4" t="s">
        <v>26</v>
      </c>
      <c r="R639" s="4">
        <v>0</v>
      </c>
      <c r="S639" s="4">
        <v>0</v>
      </c>
      <c r="T639" s="4">
        <v>43</v>
      </c>
      <c r="U639" s="4">
        <v>86</v>
      </c>
      <c r="V639" s="6">
        <f>IF(ISERROR(VLOOKUP($S$639,'TAR FIN'!$A$1:$O$116,15,0)),0,VLOOKUP($S$639,'TAR FIN'!$A$1:$O$116,15,0))</f>
        <v>0</v>
      </c>
      <c r="W639" s="6">
        <f>IF(ISERROR(VLOOKUP($T$639,'TAR FIN'!$A$1:$O$116,15,0)),0,VLOOKUP($T$639,'TAR FIN'!$A$1:$O$116,15,0))</f>
        <v>161.62</v>
      </c>
      <c r="X639" s="6">
        <f>IF(ISERROR(VLOOKUP($U$639,'TAR FIN'!$A$1:$O$116,15,0)),0,VLOOKUP($U$639,'TAR FIN'!$A$1:$O$116,15,0))</f>
        <v>195.88</v>
      </c>
      <c r="Y639" s="6"/>
      <c r="Z63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39" s="6">
        <f>('TE BE'!$AB$16+'TE BF'!$AB$16+'TE CVA'!$AB$16)*(1-CUSTOS!$M$35)</f>
        <v>197.7784865237158</v>
      </c>
      <c r="AB639" s="6">
        <f t="shared" si="38"/>
        <v>0</v>
      </c>
      <c r="AC639" s="6">
        <f>(L639-M639)*(W639+X639)+($W$711+$X$711-$W$639-$X$639)*(L639)</f>
        <v>1101577.2108200002</v>
      </c>
      <c r="AD639" s="6">
        <f t="shared" si="40"/>
        <v>0</v>
      </c>
      <c r="AE639" s="6">
        <f ca="1">(L639-M639)*(Z639+AA639)+($Z$711+$AA$711-$Z$639-$AA$639)*(L639)</f>
        <v>1181411.9829099979</v>
      </c>
      <c r="AF639" s="4" t="s">
        <v>1116</v>
      </c>
    </row>
    <row r="640" spans="1:32" ht="11.25" customHeight="1" x14ac:dyDescent="0.25">
      <c r="A640" s="4" t="s">
        <v>27</v>
      </c>
      <c r="B640" s="4" t="s">
        <v>22</v>
      </c>
      <c r="C640" s="4" t="s">
        <v>23</v>
      </c>
      <c r="D640" s="4" t="s">
        <v>24</v>
      </c>
      <c r="E640" s="4" t="s">
        <v>30</v>
      </c>
      <c r="F640" s="4" t="s">
        <v>25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-0.42</v>
      </c>
      <c r="M640" s="6">
        <v>-0.42</v>
      </c>
      <c r="N640" s="6">
        <v>-0.42</v>
      </c>
      <c r="O640" s="6">
        <v>-0.42</v>
      </c>
      <c r="P640" s="6">
        <v>0</v>
      </c>
      <c r="Q640" s="4" t="s">
        <v>26</v>
      </c>
      <c r="R640" s="4">
        <v>0</v>
      </c>
      <c r="S640" s="4">
        <v>0</v>
      </c>
      <c r="T640" s="4">
        <v>43</v>
      </c>
      <c r="U640" s="4">
        <v>86</v>
      </c>
      <c r="V640" s="6">
        <f>IF(ISERROR(VLOOKUP($S$640,'TAR FIN'!$A$1:$O$116,15,0)),0,VLOOKUP($S$640,'TAR FIN'!$A$1:$O$116,15,0))</f>
        <v>0</v>
      </c>
      <c r="W640" s="6">
        <f>IF(ISERROR(VLOOKUP($T$640,'TAR FIN'!$A$1:$O$116,15,0)),0,VLOOKUP($T$640,'TAR FIN'!$A$1:$O$116,15,0))</f>
        <v>161.62</v>
      </c>
      <c r="X640" s="6">
        <f>IF(ISERROR(VLOOKUP($U$640,'TAR FIN'!$A$1:$O$116,15,0)),0,VLOOKUP($U$640,'TAR FIN'!$A$1:$O$116,15,0))</f>
        <v>195.88</v>
      </c>
      <c r="Y640" s="6"/>
      <c r="Z64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0" s="6">
        <f>('TE BE'!$AB$16+'TE BF'!$AB$16+'TE CVA'!$AB$16)*(1-CUSTOS!$M$35)</f>
        <v>197.7784865237158</v>
      </c>
      <c r="AB640" s="6">
        <f t="shared" si="38"/>
        <v>0</v>
      </c>
      <c r="AC640" s="6">
        <f>(L640-M640)*(W640+X640)+($W$711+$X$711-$W$640-$X$640)*(L640)</f>
        <v>-100.10280000000002</v>
      </c>
      <c r="AD640" s="6">
        <f t="shared" si="40"/>
        <v>0</v>
      </c>
      <c r="AE640" s="6">
        <f ca="1">(L640-M640)*(Z640+AA640)+($Z$711+$AA$711-$Z$640-$AA$640)*(L640)</f>
        <v>-107.35756539009166</v>
      </c>
      <c r="AF640" s="4" t="s">
        <v>1116</v>
      </c>
    </row>
    <row r="641" spans="1:32" ht="11.25" customHeight="1" x14ac:dyDescent="0.25">
      <c r="A641" s="4" t="s">
        <v>28</v>
      </c>
      <c r="B641" s="4" t="s">
        <v>22</v>
      </c>
      <c r="C641" s="4" t="s">
        <v>23</v>
      </c>
      <c r="D641" s="4" t="s">
        <v>24</v>
      </c>
      <c r="E641" s="4" t="s">
        <v>30</v>
      </c>
      <c r="F641" s="4" t="s">
        <v>25</v>
      </c>
      <c r="G641" s="4" t="s">
        <v>25</v>
      </c>
      <c r="H641" s="4" t="s">
        <v>25</v>
      </c>
      <c r="I641" s="5">
        <v>44378</v>
      </c>
      <c r="J641" s="6">
        <v>0</v>
      </c>
      <c r="K641" s="6">
        <v>0</v>
      </c>
      <c r="L641" s="6">
        <v>3.081</v>
      </c>
      <c r="M641" s="6">
        <v>3.081</v>
      </c>
      <c r="N641" s="6">
        <v>3.081</v>
      </c>
      <c r="O641" s="6">
        <v>3.081</v>
      </c>
      <c r="P641" s="6">
        <v>9</v>
      </c>
      <c r="Q641" s="4" t="s">
        <v>26</v>
      </c>
      <c r="R641" s="4">
        <v>0</v>
      </c>
      <c r="S641" s="4">
        <v>0</v>
      </c>
      <c r="T641" s="4">
        <v>43</v>
      </c>
      <c r="U641" s="4">
        <v>86</v>
      </c>
      <c r="V641" s="6">
        <f>IF(ISERROR(VLOOKUP($S$641,'TAR FIN'!$A$1:$O$116,15,0)),0,VLOOKUP($S$641,'TAR FIN'!$A$1:$O$116,15,0))</f>
        <v>0</v>
      </c>
      <c r="W641" s="6">
        <f>IF(ISERROR(VLOOKUP($T$641,'TAR FIN'!$A$1:$O$116,15,0)),0,VLOOKUP($T$641,'TAR FIN'!$A$1:$O$116,15,0))</f>
        <v>161.62</v>
      </c>
      <c r="X641" s="6">
        <f>IF(ISERROR(VLOOKUP($U$641,'TAR FIN'!$A$1:$O$116,15,0)),0,VLOOKUP($U$641,'TAR FIN'!$A$1:$O$116,15,0))</f>
        <v>195.88</v>
      </c>
      <c r="Y641" s="6"/>
      <c r="Z64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1" s="6">
        <f>('TE BE'!$AB$16+'TE BF'!$AB$16+'TE CVA'!$AB$16)*(1-CUSTOS!$M$35)</f>
        <v>197.7784865237158</v>
      </c>
      <c r="AB641" s="6">
        <f t="shared" si="38"/>
        <v>0</v>
      </c>
      <c r="AC641" s="6">
        <f>(L641-M641)*(W641+X641)+($W$711+$X$711-$W$641-$X$641)*(L641)</f>
        <v>734.32554000000005</v>
      </c>
      <c r="AD641" s="6">
        <f t="shared" si="40"/>
        <v>0</v>
      </c>
      <c r="AE641" s="6">
        <f ca="1">(L641-M641)*(Z641+AA641)+($Z$711+$AA$711-$Z$641-$AA$641)*(L641)</f>
        <v>787.54442611160096</v>
      </c>
      <c r="AF641" s="4" t="s">
        <v>1116</v>
      </c>
    </row>
    <row r="642" spans="1:32" ht="11.25" customHeight="1" x14ac:dyDescent="0.25">
      <c r="A642" s="4" t="s">
        <v>21</v>
      </c>
      <c r="B642" s="4" t="s">
        <v>22</v>
      </c>
      <c r="C642" s="4" t="s">
        <v>23</v>
      </c>
      <c r="D642" s="4" t="s">
        <v>24</v>
      </c>
      <c r="E642" s="4" t="s">
        <v>30</v>
      </c>
      <c r="F642" s="4" t="s">
        <v>25</v>
      </c>
      <c r="G642" s="4" t="s">
        <v>25</v>
      </c>
      <c r="H642" s="4" t="s">
        <v>25</v>
      </c>
      <c r="I642" s="5">
        <v>44409</v>
      </c>
      <c r="J642" s="6">
        <v>0</v>
      </c>
      <c r="K642" s="6">
        <v>0</v>
      </c>
      <c r="L642" s="6">
        <v>4693.6400000000003</v>
      </c>
      <c r="M642" s="6">
        <v>4693.6400000000003</v>
      </c>
      <c r="N642" s="6">
        <v>4693.6400000000003</v>
      </c>
      <c r="O642" s="6">
        <v>4693.6400000000003</v>
      </c>
      <c r="P642" s="6">
        <v>29496</v>
      </c>
      <c r="Q642" s="4" t="s">
        <v>26</v>
      </c>
      <c r="R642" s="4">
        <v>0</v>
      </c>
      <c r="S642" s="4">
        <v>0</v>
      </c>
      <c r="T642" s="4">
        <v>43</v>
      </c>
      <c r="U642" s="4">
        <v>86</v>
      </c>
      <c r="V642" s="6">
        <f>IF(ISERROR(VLOOKUP($S$642,'TAR FIN'!$A$1:$O$116,15,0)),0,VLOOKUP($S$642,'TAR FIN'!$A$1:$O$116,15,0))</f>
        <v>0</v>
      </c>
      <c r="W642" s="6">
        <f>IF(ISERROR(VLOOKUP($T$642,'TAR FIN'!$A$1:$O$116,15,0)),0,VLOOKUP($T$642,'TAR FIN'!$A$1:$O$116,15,0))</f>
        <v>161.62</v>
      </c>
      <c r="X642" s="6">
        <f>IF(ISERROR(VLOOKUP($U$642,'TAR FIN'!$A$1:$O$116,15,0)),0,VLOOKUP($U$642,'TAR FIN'!$A$1:$O$116,15,0))</f>
        <v>195.88</v>
      </c>
      <c r="Y642" s="6"/>
      <c r="Z64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2" s="6">
        <f>('TE BE'!$AB$16+'TE BF'!$AB$16+'TE CVA'!$AB$16)*(1-CUSTOS!$M$35)</f>
        <v>197.7784865237158</v>
      </c>
      <c r="AB642" s="6">
        <f t="shared" ref="AB642:AB705" si="42">(J642-K642)*V642</f>
        <v>0</v>
      </c>
      <c r="AC642" s="6">
        <f>(L642-M642)*(W642+X642)+($W$711+$X$711-$W$642-$X$642)*(L642)</f>
        <v>1118682.1576000003</v>
      </c>
      <c r="AD642" s="6">
        <f t="shared" ref="AD642:AD705" si="43">(J642-K642)*Y642</f>
        <v>0</v>
      </c>
      <c r="AE642" s="6">
        <f ca="1">(L642-M642)*(Z642+AA642)+($Z$711+$AA$711-$Z$642-$AA$642)*(L642)</f>
        <v>1199756.5790894045</v>
      </c>
      <c r="AF642" s="4" t="s">
        <v>1116</v>
      </c>
    </row>
    <row r="643" spans="1:32" ht="11.25" customHeight="1" x14ac:dyDescent="0.25">
      <c r="A643" s="4" t="s">
        <v>27</v>
      </c>
      <c r="B643" s="4" t="s">
        <v>22</v>
      </c>
      <c r="C643" s="4" t="s">
        <v>23</v>
      </c>
      <c r="D643" s="4" t="s">
        <v>24</v>
      </c>
      <c r="E643" s="4" t="s">
        <v>30</v>
      </c>
      <c r="F643" s="4" t="s">
        <v>25</v>
      </c>
      <c r="G643" s="4" t="s">
        <v>25</v>
      </c>
      <c r="H643" s="4" t="s">
        <v>25</v>
      </c>
      <c r="I643" s="5">
        <v>44409</v>
      </c>
      <c r="J643" s="6">
        <v>0</v>
      </c>
      <c r="K643" s="6">
        <v>0</v>
      </c>
      <c r="L643" s="6">
        <v>-1.2050000000000001</v>
      </c>
      <c r="M643" s="6">
        <v>-1.2050000000000001</v>
      </c>
      <c r="N643" s="6">
        <v>-1.2050000000000001</v>
      </c>
      <c r="O643" s="6">
        <v>-1.2050000000000001</v>
      </c>
      <c r="P643" s="6">
        <v>-3</v>
      </c>
      <c r="Q643" s="4" t="s">
        <v>26</v>
      </c>
      <c r="R643" s="4">
        <v>0</v>
      </c>
      <c r="S643" s="4">
        <v>0</v>
      </c>
      <c r="T643" s="4">
        <v>43</v>
      </c>
      <c r="U643" s="4">
        <v>86</v>
      </c>
      <c r="V643" s="6">
        <f>IF(ISERROR(VLOOKUP($S$643,'TAR FIN'!$A$1:$O$116,15,0)),0,VLOOKUP($S$643,'TAR FIN'!$A$1:$O$116,15,0))</f>
        <v>0</v>
      </c>
      <c r="W643" s="6">
        <f>IF(ISERROR(VLOOKUP($T$643,'TAR FIN'!$A$1:$O$116,15,0)),0,VLOOKUP($T$643,'TAR FIN'!$A$1:$O$116,15,0))</f>
        <v>161.62</v>
      </c>
      <c r="X643" s="6">
        <f>IF(ISERROR(VLOOKUP($U$643,'TAR FIN'!$A$1:$O$116,15,0)),0,VLOOKUP($U$643,'TAR FIN'!$A$1:$O$116,15,0))</f>
        <v>195.88</v>
      </c>
      <c r="Y643" s="6"/>
      <c r="Z64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3" s="6">
        <f>('TE BE'!$AB$16+'TE BF'!$AB$16+'TE CVA'!$AB$16)*(1-CUSTOS!$M$35)</f>
        <v>197.7784865237158</v>
      </c>
      <c r="AB643" s="6">
        <f t="shared" si="42"/>
        <v>0</v>
      </c>
      <c r="AC643" s="6">
        <f>(L643-M643)*(W643+X643)+($W$711+$X$711-$W$643-$X$643)*(L643)</f>
        <v>-287.19970000000006</v>
      </c>
      <c r="AD643" s="6">
        <f t="shared" si="43"/>
        <v>0</v>
      </c>
      <c r="AE643" s="6">
        <f ca="1">(L643-M643)*(Z643+AA643)+($Z$711+$AA$711-$Z$643-$AA$643)*(L643)</f>
        <v>-308.01396736919156</v>
      </c>
      <c r="AF643" s="4" t="s">
        <v>1116</v>
      </c>
    </row>
    <row r="644" spans="1:32" ht="11.25" customHeight="1" x14ac:dyDescent="0.25">
      <c r="A644" s="4" t="s">
        <v>28</v>
      </c>
      <c r="B644" s="4" t="s">
        <v>22</v>
      </c>
      <c r="C644" s="4" t="s">
        <v>23</v>
      </c>
      <c r="D644" s="4" t="s">
        <v>24</v>
      </c>
      <c r="E644" s="4" t="s">
        <v>30</v>
      </c>
      <c r="F644" s="4" t="s">
        <v>25</v>
      </c>
      <c r="G644" s="4" t="s">
        <v>25</v>
      </c>
      <c r="H644" s="4" t="s">
        <v>25</v>
      </c>
      <c r="I644" s="5">
        <v>44409</v>
      </c>
      <c r="J644" s="6">
        <v>0</v>
      </c>
      <c r="K644" s="6">
        <v>0</v>
      </c>
      <c r="L644" s="6">
        <v>3.3479999999999999</v>
      </c>
      <c r="M644" s="6">
        <v>3.3479999999999999</v>
      </c>
      <c r="N644" s="6">
        <v>3.3479999999999999</v>
      </c>
      <c r="O644" s="6">
        <v>3.3479999999999999</v>
      </c>
      <c r="P644" s="6">
        <v>10</v>
      </c>
      <c r="Q644" s="4" t="s">
        <v>26</v>
      </c>
      <c r="R644" s="4">
        <v>0</v>
      </c>
      <c r="S644" s="4">
        <v>0</v>
      </c>
      <c r="T644" s="4">
        <v>43</v>
      </c>
      <c r="U644" s="4">
        <v>86</v>
      </c>
      <c r="V644" s="6">
        <f>IF(ISERROR(VLOOKUP($S$644,'TAR FIN'!$A$1:$O$116,15,0)),0,VLOOKUP($S$644,'TAR FIN'!$A$1:$O$116,15,0))</f>
        <v>0</v>
      </c>
      <c r="W644" s="6">
        <f>IF(ISERROR(VLOOKUP($T$644,'TAR FIN'!$A$1:$O$116,15,0)),0,VLOOKUP($T$644,'TAR FIN'!$A$1:$O$116,15,0))</f>
        <v>161.62</v>
      </c>
      <c r="X644" s="6">
        <f>IF(ISERROR(VLOOKUP($U$644,'TAR FIN'!$A$1:$O$116,15,0)),0,VLOOKUP($U$644,'TAR FIN'!$A$1:$O$116,15,0))</f>
        <v>195.88</v>
      </c>
      <c r="Y644" s="6"/>
      <c r="Z64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4" s="6">
        <f>('TE BE'!$AB$16+'TE BF'!$AB$16+'TE CVA'!$AB$16)*(1-CUSTOS!$M$35)</f>
        <v>197.7784865237158</v>
      </c>
      <c r="AB644" s="6">
        <f t="shared" si="42"/>
        <v>0</v>
      </c>
      <c r="AC644" s="6">
        <f>(L644-M644)*(W644+X644)+($W$711+$X$711-$W$644-$X$644)*(L644)</f>
        <v>797.96232000000009</v>
      </c>
      <c r="AD644" s="6">
        <f t="shared" si="43"/>
        <v>0</v>
      </c>
      <c r="AE644" s="6">
        <f ca="1">(L644-M644)*(Z644+AA644)+($Z$711+$AA$711-$Z$644-$AA$644)*(L644)</f>
        <v>855.79316410958779</v>
      </c>
      <c r="AF644" s="4" t="s">
        <v>1116</v>
      </c>
    </row>
    <row r="645" spans="1:32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30</v>
      </c>
      <c r="F645" s="4" t="s">
        <v>25</v>
      </c>
      <c r="G645" s="4" t="s">
        <v>25</v>
      </c>
      <c r="H645" s="4" t="s">
        <v>25</v>
      </c>
      <c r="I645" s="5">
        <v>44440</v>
      </c>
      <c r="J645" s="6">
        <v>0</v>
      </c>
      <c r="K645" s="6">
        <v>0</v>
      </c>
      <c r="L645" s="6">
        <v>4801.6289999999999</v>
      </c>
      <c r="M645" s="6">
        <v>4801.6289999999999</v>
      </c>
      <c r="N645" s="6">
        <v>4801.6289999999999</v>
      </c>
      <c r="O645" s="6">
        <v>4801.6289999999999</v>
      </c>
      <c r="P645" s="6">
        <v>23540</v>
      </c>
      <c r="Q645" s="4" t="s">
        <v>26</v>
      </c>
      <c r="R645" s="4">
        <v>0</v>
      </c>
      <c r="S645" s="4">
        <v>0</v>
      </c>
      <c r="T645" s="4">
        <v>43</v>
      </c>
      <c r="U645" s="4">
        <v>86</v>
      </c>
      <c r="V645" s="6">
        <f>IF(ISERROR(VLOOKUP($S$645,'TAR FIN'!$A$1:$O$116,15,0)),0,VLOOKUP($S$645,'TAR FIN'!$A$1:$O$116,15,0))</f>
        <v>0</v>
      </c>
      <c r="W645" s="6">
        <f>IF(ISERROR(VLOOKUP($T$645,'TAR FIN'!$A$1:$O$116,15,0)),0,VLOOKUP($T$645,'TAR FIN'!$A$1:$O$116,15,0))</f>
        <v>161.62</v>
      </c>
      <c r="X645" s="6">
        <f>IF(ISERROR(VLOOKUP($U$645,'TAR FIN'!$A$1:$O$116,15,0)),0,VLOOKUP($U$645,'TAR FIN'!$A$1:$O$116,15,0))</f>
        <v>195.88</v>
      </c>
      <c r="Y645" s="6"/>
      <c r="Z64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5" s="6">
        <f>('TE BE'!$AB$16+'TE BF'!$AB$16+'TE CVA'!$AB$16)*(1-CUSTOS!$M$35)</f>
        <v>197.7784865237158</v>
      </c>
      <c r="AB645" s="6">
        <f t="shared" si="42"/>
        <v>0</v>
      </c>
      <c r="AC645" s="6">
        <f>(L645-M645)*(W645+X645)+($W$711+$X$711-$W$645-$X$645)*(L645)</f>
        <v>1144420.2558600002</v>
      </c>
      <c r="AD645" s="6">
        <f t="shared" si="43"/>
        <v>0</v>
      </c>
      <c r="AE645" s="6">
        <f ca="1">(L645-M645)*(Z645+AA645)+($Z$711+$AA$711-$Z$645-$AA$645)*(L645)</f>
        <v>1227359.9984439535</v>
      </c>
      <c r="AF645" s="4" t="s">
        <v>1116</v>
      </c>
    </row>
    <row r="646" spans="1:32" ht="11.25" customHeight="1" x14ac:dyDescent="0.25">
      <c r="A646" s="4" t="s">
        <v>27</v>
      </c>
      <c r="B646" s="4" t="s">
        <v>22</v>
      </c>
      <c r="C646" s="4" t="s">
        <v>23</v>
      </c>
      <c r="D646" s="4" t="s">
        <v>24</v>
      </c>
      <c r="E646" s="4" t="s">
        <v>30</v>
      </c>
      <c r="F646" s="4" t="s">
        <v>25</v>
      </c>
      <c r="G646" s="4" t="s">
        <v>25</v>
      </c>
      <c r="H646" s="4" t="s">
        <v>25</v>
      </c>
      <c r="I646" s="5">
        <v>44440</v>
      </c>
      <c r="J646" s="6">
        <v>0</v>
      </c>
      <c r="K646" s="6">
        <v>0</v>
      </c>
      <c r="L646" s="6">
        <v>-1.07</v>
      </c>
      <c r="M646" s="6">
        <v>-1.07</v>
      </c>
      <c r="N646" s="6">
        <v>-1.07</v>
      </c>
      <c r="O646" s="6">
        <v>-1.07</v>
      </c>
      <c r="P646" s="6">
        <v>-1</v>
      </c>
      <c r="Q646" s="4" t="s">
        <v>26</v>
      </c>
      <c r="R646" s="4">
        <v>0</v>
      </c>
      <c r="S646" s="4">
        <v>0</v>
      </c>
      <c r="T646" s="4">
        <v>43</v>
      </c>
      <c r="U646" s="4">
        <v>86</v>
      </c>
      <c r="V646" s="6">
        <f>IF(ISERROR(VLOOKUP($S$646,'TAR FIN'!$A$1:$O$116,15,0)),0,VLOOKUP($S$646,'TAR FIN'!$A$1:$O$116,15,0))</f>
        <v>0</v>
      </c>
      <c r="W646" s="6">
        <f>IF(ISERROR(VLOOKUP($T$646,'TAR FIN'!$A$1:$O$116,15,0)),0,VLOOKUP($T$646,'TAR FIN'!$A$1:$O$116,15,0))</f>
        <v>161.62</v>
      </c>
      <c r="X646" s="6">
        <f>IF(ISERROR(VLOOKUP($U$646,'TAR FIN'!$A$1:$O$116,15,0)),0,VLOOKUP($U$646,'TAR FIN'!$A$1:$O$116,15,0))</f>
        <v>195.88</v>
      </c>
      <c r="Y646" s="6"/>
      <c r="Z64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6" s="6">
        <f>('TE BE'!$AB$16+'TE BF'!$AB$16+'TE CVA'!$AB$16)*(1-CUSTOS!$M$35)</f>
        <v>197.7784865237158</v>
      </c>
      <c r="AB646" s="6">
        <f t="shared" si="42"/>
        <v>0</v>
      </c>
      <c r="AC646" s="6">
        <f>(L646-M646)*(W646+X646)+($W$711+$X$711-$W$646-$X$646)*(L646)</f>
        <v>-255.02380000000005</v>
      </c>
      <c r="AD646" s="6">
        <f t="shared" si="43"/>
        <v>0</v>
      </c>
      <c r="AE646" s="6">
        <f ca="1">(L646-M646)*(Z646+AA646)+($Z$711+$AA$711-$Z$646-$AA$646)*(L646)</f>
        <v>-273.50617849380495</v>
      </c>
      <c r="AF646" s="4" t="s">
        <v>1116</v>
      </c>
    </row>
    <row r="647" spans="1:32" ht="11.25" customHeight="1" x14ac:dyDescent="0.25">
      <c r="A647" s="4" t="s">
        <v>28</v>
      </c>
      <c r="B647" s="4" t="s">
        <v>22</v>
      </c>
      <c r="C647" s="4" t="s">
        <v>23</v>
      </c>
      <c r="D647" s="4" t="s">
        <v>24</v>
      </c>
      <c r="E647" s="4" t="s">
        <v>30</v>
      </c>
      <c r="F647" s="4" t="s">
        <v>25</v>
      </c>
      <c r="G647" s="4" t="s">
        <v>25</v>
      </c>
      <c r="H647" s="4" t="s">
        <v>25</v>
      </c>
      <c r="I647" s="5">
        <v>44440</v>
      </c>
      <c r="J647" s="6">
        <v>0</v>
      </c>
      <c r="K647" s="6">
        <v>0</v>
      </c>
      <c r="L647" s="6">
        <v>3.45</v>
      </c>
      <c r="M647" s="6">
        <v>3.45</v>
      </c>
      <c r="N647" s="6">
        <v>3.45</v>
      </c>
      <c r="O647" s="6">
        <v>3.45</v>
      </c>
      <c r="P647" s="6">
        <v>6</v>
      </c>
      <c r="Q647" s="4" t="s">
        <v>26</v>
      </c>
      <c r="R647" s="4">
        <v>0</v>
      </c>
      <c r="S647" s="4">
        <v>0</v>
      </c>
      <c r="T647" s="4">
        <v>43</v>
      </c>
      <c r="U647" s="4">
        <v>86</v>
      </c>
      <c r="V647" s="6">
        <f>IF(ISERROR(VLOOKUP($S$647,'TAR FIN'!$A$1:$O$116,15,0)),0,VLOOKUP($S$647,'TAR FIN'!$A$1:$O$116,15,0))</f>
        <v>0</v>
      </c>
      <c r="W647" s="6">
        <f>IF(ISERROR(VLOOKUP($T$647,'TAR FIN'!$A$1:$O$116,15,0)),0,VLOOKUP($T$647,'TAR FIN'!$A$1:$O$116,15,0))</f>
        <v>161.62</v>
      </c>
      <c r="X647" s="6">
        <f>IF(ISERROR(VLOOKUP($U$647,'TAR FIN'!$A$1:$O$116,15,0)),0,VLOOKUP($U$647,'TAR FIN'!$A$1:$O$116,15,0))</f>
        <v>195.88</v>
      </c>
      <c r="Y647" s="6"/>
      <c r="Z64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7" s="6">
        <f>('TE BE'!$AB$16+'TE BF'!$AB$16+'TE CVA'!$AB$16)*(1-CUSTOS!$M$35)</f>
        <v>197.7784865237158</v>
      </c>
      <c r="AB647" s="6">
        <f t="shared" si="42"/>
        <v>0</v>
      </c>
      <c r="AC647" s="6">
        <f>(L647-M647)*(W647+X647)+($W$711+$X$711-$W$647-$X$647)*(L647)</f>
        <v>822.27300000000014</v>
      </c>
      <c r="AD647" s="6">
        <f t="shared" si="43"/>
        <v>0</v>
      </c>
      <c r="AE647" s="6">
        <f ca="1">(L647-M647)*(Z647+AA647)+($Z$711+$AA$711-$Z$647-$AA$647)*(L647)</f>
        <v>881.86571570432443</v>
      </c>
      <c r="AF647" s="4" t="s">
        <v>1116</v>
      </c>
    </row>
    <row r="648" spans="1:32" ht="11.25" customHeight="1" x14ac:dyDescent="0.25">
      <c r="A648" s="4" t="s">
        <v>21</v>
      </c>
      <c r="B648" s="4" t="s">
        <v>22</v>
      </c>
      <c r="C648" s="4" t="s">
        <v>23</v>
      </c>
      <c r="D648" s="4" t="s">
        <v>24</v>
      </c>
      <c r="E648" s="4" t="s">
        <v>30</v>
      </c>
      <c r="F648" s="4" t="s">
        <v>25</v>
      </c>
      <c r="G648" s="4" t="s">
        <v>25</v>
      </c>
      <c r="H648" s="4" t="s">
        <v>25</v>
      </c>
      <c r="I648" s="5">
        <v>44470</v>
      </c>
      <c r="J648" s="6">
        <v>0</v>
      </c>
      <c r="K648" s="6">
        <v>0</v>
      </c>
      <c r="L648" s="6">
        <v>4794.1509999999998</v>
      </c>
      <c r="M648" s="6">
        <v>4794.1509999999998</v>
      </c>
      <c r="N648" s="6">
        <v>4794.1509999999998</v>
      </c>
      <c r="O648" s="6">
        <v>4794.1509999999998</v>
      </c>
      <c r="P648" s="6">
        <v>27366</v>
      </c>
      <c r="Q648" s="4" t="s">
        <v>26</v>
      </c>
      <c r="R648" s="4">
        <v>0</v>
      </c>
      <c r="S648" s="4">
        <v>0</v>
      </c>
      <c r="T648" s="4">
        <v>43</v>
      </c>
      <c r="U648" s="4">
        <v>86</v>
      </c>
      <c r="V648" s="6">
        <f>IF(ISERROR(VLOOKUP($S$648,'TAR FIN'!$A$1:$O$116,15,0)),0,VLOOKUP($S$648,'TAR FIN'!$A$1:$O$116,15,0))</f>
        <v>0</v>
      </c>
      <c r="W648" s="6">
        <f>IF(ISERROR(VLOOKUP($T$648,'TAR FIN'!$A$1:$O$116,15,0)),0,VLOOKUP($T$648,'TAR FIN'!$A$1:$O$116,15,0))</f>
        <v>161.62</v>
      </c>
      <c r="X648" s="6">
        <f>IF(ISERROR(VLOOKUP($U$648,'TAR FIN'!$A$1:$O$116,15,0)),0,VLOOKUP($U$648,'TAR FIN'!$A$1:$O$116,15,0))</f>
        <v>195.88</v>
      </c>
      <c r="Y648" s="6"/>
      <c r="Z64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8" s="6">
        <f>('TE BE'!$AB$16+'TE BF'!$AB$16+'TE CVA'!$AB$16)*(1-CUSTOS!$M$35)</f>
        <v>197.7784865237158</v>
      </c>
      <c r="AB648" s="6">
        <f t="shared" si="42"/>
        <v>0</v>
      </c>
      <c r="AC648" s="6">
        <f>(L648-M648)*(W648+X648)+($W$711+$X$711-$W$648-$X$648)*(L648)</f>
        <v>1142637.9493400001</v>
      </c>
      <c r="AD648" s="6">
        <f t="shared" si="43"/>
        <v>0</v>
      </c>
      <c r="AE648" s="6">
        <f ca="1">(L648-M648)*(Z648+AA648)+($Z$711+$AA$711-$Z$648-$AA$648)*(L648)</f>
        <v>1225448.5225535079</v>
      </c>
      <c r="AF648" s="4" t="s">
        <v>1116</v>
      </c>
    </row>
    <row r="649" spans="1:32" ht="11.25" customHeight="1" x14ac:dyDescent="0.25">
      <c r="A649" s="4" t="s">
        <v>27</v>
      </c>
      <c r="B649" s="4" t="s">
        <v>22</v>
      </c>
      <c r="C649" s="4" t="s">
        <v>23</v>
      </c>
      <c r="D649" s="4" t="s">
        <v>24</v>
      </c>
      <c r="E649" s="4" t="s">
        <v>30</v>
      </c>
      <c r="F649" s="4" t="s">
        <v>25</v>
      </c>
      <c r="G649" s="4" t="s">
        <v>25</v>
      </c>
      <c r="H649" s="4" t="s">
        <v>25</v>
      </c>
      <c r="I649" s="5">
        <v>44470</v>
      </c>
      <c r="J649" s="6">
        <v>0</v>
      </c>
      <c r="K649" s="6">
        <v>0</v>
      </c>
      <c r="L649" s="6">
        <v>-0.88600000000000001</v>
      </c>
      <c r="M649" s="6">
        <v>-0.88600000000000001</v>
      </c>
      <c r="N649" s="6">
        <v>-0.88600000000000001</v>
      </c>
      <c r="O649" s="6">
        <v>-0.88600000000000001</v>
      </c>
      <c r="P649" s="6">
        <v>-4</v>
      </c>
      <c r="Q649" s="4" t="s">
        <v>26</v>
      </c>
      <c r="R649" s="4">
        <v>0</v>
      </c>
      <c r="S649" s="4">
        <v>0</v>
      </c>
      <c r="T649" s="4">
        <v>43</v>
      </c>
      <c r="U649" s="4">
        <v>86</v>
      </c>
      <c r="V649" s="6">
        <f>IF(ISERROR(VLOOKUP($S$649,'TAR FIN'!$A$1:$O$116,15,0)),0,VLOOKUP($S$649,'TAR FIN'!$A$1:$O$116,15,0))</f>
        <v>0</v>
      </c>
      <c r="W649" s="6">
        <f>IF(ISERROR(VLOOKUP($T$649,'TAR FIN'!$A$1:$O$116,15,0)),0,VLOOKUP($T$649,'TAR FIN'!$A$1:$O$116,15,0))</f>
        <v>161.62</v>
      </c>
      <c r="X649" s="6">
        <f>IF(ISERROR(VLOOKUP($U$649,'TAR FIN'!$A$1:$O$116,15,0)),0,VLOOKUP($U$649,'TAR FIN'!$A$1:$O$116,15,0))</f>
        <v>195.88</v>
      </c>
      <c r="Y649" s="6"/>
      <c r="Z64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49" s="6">
        <f>('TE BE'!$AB$16+'TE BF'!$AB$16+'TE CVA'!$AB$16)*(1-CUSTOS!$M$35)</f>
        <v>197.7784865237158</v>
      </c>
      <c r="AB649" s="6">
        <f t="shared" si="42"/>
        <v>0</v>
      </c>
      <c r="AC649" s="6">
        <f>(L649-M649)*(W649+X649)+($W$711+$X$711-$W$649-$X$649)*(L649)</f>
        <v>-211.16924000000003</v>
      </c>
      <c r="AD649" s="6">
        <f t="shared" si="43"/>
        <v>0</v>
      </c>
      <c r="AE649" s="6">
        <f ca="1">(L649-M649)*(Z649+AA649)+($Z$711+$AA$711-$Z$649-$AA$649)*(L649)</f>
        <v>-226.47334032290766</v>
      </c>
      <c r="AF649" s="4" t="s">
        <v>1116</v>
      </c>
    </row>
    <row r="650" spans="1:32" ht="11.25" customHeight="1" x14ac:dyDescent="0.25">
      <c r="A650" s="4" t="s">
        <v>28</v>
      </c>
      <c r="B650" s="4" t="s">
        <v>22</v>
      </c>
      <c r="C650" s="4" t="s">
        <v>23</v>
      </c>
      <c r="D650" s="4" t="s">
        <v>24</v>
      </c>
      <c r="E650" s="4" t="s">
        <v>30</v>
      </c>
      <c r="F650" s="4" t="s">
        <v>25</v>
      </c>
      <c r="G650" s="4" t="s">
        <v>25</v>
      </c>
      <c r="H650" s="4" t="s">
        <v>25</v>
      </c>
      <c r="I650" s="5">
        <v>44470</v>
      </c>
      <c r="J650" s="6">
        <v>0</v>
      </c>
      <c r="K650" s="6">
        <v>0</v>
      </c>
      <c r="L650" s="6">
        <v>3.9369999999999998</v>
      </c>
      <c r="M650" s="6">
        <v>3.9369999999999998</v>
      </c>
      <c r="N650" s="6">
        <v>3.9369999999999998</v>
      </c>
      <c r="O650" s="6">
        <v>3.9369999999999998</v>
      </c>
      <c r="P650" s="6">
        <v>8</v>
      </c>
      <c r="Q650" s="4" t="s">
        <v>26</v>
      </c>
      <c r="R650" s="4">
        <v>0</v>
      </c>
      <c r="S650" s="4">
        <v>0</v>
      </c>
      <c r="T650" s="4">
        <v>43</v>
      </c>
      <c r="U650" s="4">
        <v>86</v>
      </c>
      <c r="V650" s="6">
        <f>IF(ISERROR(VLOOKUP($S$650,'TAR FIN'!$A$1:$O$116,15,0)),0,VLOOKUP($S$650,'TAR FIN'!$A$1:$O$116,15,0))</f>
        <v>0</v>
      </c>
      <c r="W650" s="6">
        <f>IF(ISERROR(VLOOKUP($T$650,'TAR FIN'!$A$1:$O$116,15,0)),0,VLOOKUP($T$650,'TAR FIN'!$A$1:$O$116,15,0))</f>
        <v>161.62</v>
      </c>
      <c r="X650" s="6">
        <f>IF(ISERROR(VLOOKUP($U$650,'TAR FIN'!$A$1:$O$116,15,0)),0,VLOOKUP($U$650,'TAR FIN'!$A$1:$O$116,15,0))</f>
        <v>195.88</v>
      </c>
      <c r="Y650" s="6"/>
      <c r="Z65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0" s="6">
        <f>('TE BE'!$AB$16+'TE BF'!$AB$16+'TE CVA'!$AB$16)*(1-CUSTOS!$M$35)</f>
        <v>197.7784865237158</v>
      </c>
      <c r="AB650" s="6">
        <f t="shared" si="42"/>
        <v>0</v>
      </c>
      <c r="AC650" s="6">
        <f>(L650-M650)*(W650+X650)+($W$711+$X$711-$W$650-$X$650)*(L650)</f>
        <v>938.34458000000006</v>
      </c>
      <c r="AD650" s="6">
        <f t="shared" si="43"/>
        <v>0</v>
      </c>
      <c r="AE650" s="6">
        <f ca="1">(L650-M650)*(Z650+AA650)+($Z$711+$AA$711-$Z$650-$AA$650)*(L650)</f>
        <v>1006.3493689066449</v>
      </c>
      <c r="AF650" s="4" t="s">
        <v>1116</v>
      </c>
    </row>
    <row r="651" spans="1:32" ht="11.25" customHeight="1" x14ac:dyDescent="0.25">
      <c r="A651" s="4" t="s">
        <v>21</v>
      </c>
      <c r="B651" s="4" t="s">
        <v>22</v>
      </c>
      <c r="C651" s="4" t="s">
        <v>23</v>
      </c>
      <c r="D651" s="4" t="s">
        <v>24</v>
      </c>
      <c r="E651" s="4" t="s">
        <v>30</v>
      </c>
      <c r="F651" s="4" t="s">
        <v>25</v>
      </c>
      <c r="G651" s="4" t="s">
        <v>25</v>
      </c>
      <c r="H651" s="4" t="s">
        <v>25</v>
      </c>
      <c r="I651" s="5">
        <v>44501</v>
      </c>
      <c r="J651" s="6">
        <v>0</v>
      </c>
      <c r="K651" s="6">
        <v>0</v>
      </c>
      <c r="L651" s="6">
        <v>4867.0839999999998</v>
      </c>
      <c r="M651" s="6">
        <v>4867.0839999999998</v>
      </c>
      <c r="N651" s="6">
        <v>4867.0839999999998</v>
      </c>
      <c r="O651" s="6">
        <v>4867.0839999999998</v>
      </c>
      <c r="P651" s="6">
        <v>26621</v>
      </c>
      <c r="Q651" s="4" t="s">
        <v>26</v>
      </c>
      <c r="R651" s="4">
        <v>0</v>
      </c>
      <c r="S651" s="4">
        <v>0</v>
      </c>
      <c r="T651" s="4">
        <v>43</v>
      </c>
      <c r="U651" s="4">
        <v>86</v>
      </c>
      <c r="V651" s="6">
        <f>IF(ISERROR(VLOOKUP($S$651,'TAR FIN'!$A$1:$O$116,15,0)),0,VLOOKUP($S$651,'TAR FIN'!$A$1:$O$116,15,0))</f>
        <v>0</v>
      </c>
      <c r="W651" s="6">
        <f>IF(ISERROR(VLOOKUP($T$651,'TAR FIN'!$A$1:$O$116,15,0)),0,VLOOKUP($T$651,'TAR FIN'!$A$1:$O$116,15,0))</f>
        <v>161.62</v>
      </c>
      <c r="X651" s="6">
        <f>IF(ISERROR(VLOOKUP($U$651,'TAR FIN'!$A$1:$O$116,15,0)),0,VLOOKUP($U$651,'TAR FIN'!$A$1:$O$116,15,0))</f>
        <v>195.88</v>
      </c>
      <c r="Y651" s="6"/>
      <c r="Z65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1" s="6">
        <f>('TE BE'!$AB$16+'TE BF'!$AB$16+'TE CVA'!$AB$16)*(1-CUSTOS!$M$35)</f>
        <v>197.7784865237158</v>
      </c>
      <c r="AB651" s="6">
        <f t="shared" si="42"/>
        <v>0</v>
      </c>
      <c r="AC651" s="6">
        <f>(L651-M651)*(W651+X651)+($W$711+$X$711-$W$651-$X$651)*(L651)</f>
        <v>1160020.8005600001</v>
      </c>
      <c r="AD651" s="6">
        <f t="shared" si="43"/>
        <v>0</v>
      </c>
      <c r="AE651" s="6">
        <f ca="1">(L651-M651)*(Z651+AA651)+($Z$711+$AA$711-$Z$651-$AA$651)*(L651)</f>
        <v>1244091.1637834974</v>
      </c>
      <c r="AF651" s="4" t="s">
        <v>1116</v>
      </c>
    </row>
    <row r="652" spans="1:32" ht="11.25" customHeight="1" x14ac:dyDescent="0.25">
      <c r="A652" s="4" t="s">
        <v>27</v>
      </c>
      <c r="B652" s="4" t="s">
        <v>22</v>
      </c>
      <c r="C652" s="4" t="s">
        <v>23</v>
      </c>
      <c r="D652" s="4" t="s">
        <v>24</v>
      </c>
      <c r="E652" s="4" t="s">
        <v>30</v>
      </c>
      <c r="F652" s="4" t="s">
        <v>25</v>
      </c>
      <c r="G652" s="4" t="s">
        <v>25</v>
      </c>
      <c r="H652" s="4" t="s">
        <v>25</v>
      </c>
      <c r="I652" s="5">
        <v>44501</v>
      </c>
      <c r="J652" s="6">
        <v>0</v>
      </c>
      <c r="K652" s="6">
        <v>0</v>
      </c>
      <c r="L652" s="6">
        <v>-2.38</v>
      </c>
      <c r="M652" s="6">
        <v>-2.38</v>
      </c>
      <c r="N652" s="6">
        <v>-2.38</v>
      </c>
      <c r="O652" s="6">
        <v>-2.38</v>
      </c>
      <c r="P652" s="6">
        <v>-15</v>
      </c>
      <c r="Q652" s="4" t="s">
        <v>26</v>
      </c>
      <c r="R652" s="4">
        <v>0</v>
      </c>
      <c r="S652" s="4">
        <v>0</v>
      </c>
      <c r="T652" s="4">
        <v>43</v>
      </c>
      <c r="U652" s="4">
        <v>86</v>
      </c>
      <c r="V652" s="6">
        <f>IF(ISERROR(VLOOKUP($S$652,'TAR FIN'!$A$1:$O$116,15,0)),0,VLOOKUP($S$652,'TAR FIN'!$A$1:$O$116,15,0))</f>
        <v>0</v>
      </c>
      <c r="W652" s="6">
        <f>IF(ISERROR(VLOOKUP($T$652,'TAR FIN'!$A$1:$O$116,15,0)),0,VLOOKUP($T$652,'TAR FIN'!$A$1:$O$116,15,0))</f>
        <v>161.62</v>
      </c>
      <c r="X652" s="6">
        <f>IF(ISERROR(VLOOKUP($U$652,'TAR FIN'!$A$1:$O$116,15,0)),0,VLOOKUP($U$652,'TAR FIN'!$A$1:$O$116,15,0))</f>
        <v>195.88</v>
      </c>
      <c r="Y652" s="6"/>
      <c r="Z65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2" s="6">
        <f>('TE BE'!$AB$16+'TE BF'!$AB$16+'TE CVA'!$AB$16)*(1-CUSTOS!$M$35)</f>
        <v>197.7784865237158</v>
      </c>
      <c r="AB652" s="6">
        <f t="shared" si="42"/>
        <v>0</v>
      </c>
      <c r="AC652" s="6">
        <f>(L652-M652)*(W652+X652)+($W$711+$X$711-$W$652-$X$652)*(L652)</f>
        <v>-567.24920000000009</v>
      </c>
      <c r="AD652" s="6">
        <f t="shared" si="43"/>
        <v>0</v>
      </c>
      <c r="AE652" s="6">
        <f ca="1">(L652-M652)*(Z652+AA652)+($Z$711+$AA$711-$Z$652-$AA$652)*(L652)</f>
        <v>-608.35953721051942</v>
      </c>
      <c r="AF652" s="4" t="s">
        <v>1116</v>
      </c>
    </row>
    <row r="653" spans="1:32" ht="11.25" customHeight="1" x14ac:dyDescent="0.25">
      <c r="A653" s="4" t="s">
        <v>28</v>
      </c>
      <c r="B653" s="4" t="s">
        <v>22</v>
      </c>
      <c r="C653" s="4" t="s">
        <v>23</v>
      </c>
      <c r="D653" s="4" t="s">
        <v>24</v>
      </c>
      <c r="E653" s="4" t="s">
        <v>30</v>
      </c>
      <c r="F653" s="4" t="s">
        <v>25</v>
      </c>
      <c r="G653" s="4" t="s">
        <v>25</v>
      </c>
      <c r="H653" s="4" t="s">
        <v>25</v>
      </c>
      <c r="I653" s="5">
        <v>44501</v>
      </c>
      <c r="J653" s="6">
        <v>0</v>
      </c>
      <c r="K653" s="6">
        <v>0</v>
      </c>
      <c r="L653" s="6">
        <v>4.782</v>
      </c>
      <c r="M653" s="6">
        <v>4.782</v>
      </c>
      <c r="N653" s="6">
        <v>4.782</v>
      </c>
      <c r="O653" s="6">
        <v>4.782</v>
      </c>
      <c r="P653" s="6">
        <v>11</v>
      </c>
      <c r="Q653" s="4" t="s">
        <v>26</v>
      </c>
      <c r="R653" s="4">
        <v>0</v>
      </c>
      <c r="S653" s="4">
        <v>0</v>
      </c>
      <c r="T653" s="4">
        <v>43</v>
      </c>
      <c r="U653" s="4">
        <v>86</v>
      </c>
      <c r="V653" s="6">
        <f>IF(ISERROR(VLOOKUP($S$653,'TAR FIN'!$A$1:$O$116,15,0)),0,VLOOKUP($S$653,'TAR FIN'!$A$1:$O$116,15,0))</f>
        <v>0</v>
      </c>
      <c r="W653" s="6">
        <f>IF(ISERROR(VLOOKUP($T$653,'TAR FIN'!$A$1:$O$116,15,0)),0,VLOOKUP($T$653,'TAR FIN'!$A$1:$O$116,15,0))</f>
        <v>161.62</v>
      </c>
      <c r="X653" s="6">
        <f>IF(ISERROR(VLOOKUP($U$653,'TAR FIN'!$A$1:$O$116,15,0)),0,VLOOKUP($U$653,'TAR FIN'!$A$1:$O$116,15,0))</f>
        <v>195.88</v>
      </c>
      <c r="Y653" s="6"/>
      <c r="Z65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3" s="6">
        <f>('TE BE'!$AB$16+'TE BF'!$AB$16+'TE CVA'!$AB$16)*(1-CUSTOS!$M$35)</f>
        <v>197.7784865237158</v>
      </c>
      <c r="AB653" s="6">
        <f t="shared" si="42"/>
        <v>0</v>
      </c>
      <c r="AC653" s="6">
        <f>(L653-M653)*(W653+X653)+($W$711+$X$711-$W$653-$X$653)*(L653)</f>
        <v>1139.7418800000003</v>
      </c>
      <c r="AD653" s="6">
        <f t="shared" si="43"/>
        <v>0</v>
      </c>
      <c r="AE653" s="6">
        <f ca="1">(L653-M653)*(Z653+AA653)+($Z$711+$AA$711-$Z$653-$AA$653)*(L653)</f>
        <v>1222.3425659414722</v>
      </c>
      <c r="AF653" s="4" t="s">
        <v>1116</v>
      </c>
    </row>
    <row r="654" spans="1:32" ht="11.25" customHeight="1" x14ac:dyDescent="0.25">
      <c r="A654" s="4" t="s">
        <v>21</v>
      </c>
      <c r="B654" s="4" t="s">
        <v>22</v>
      </c>
      <c r="C654" s="4" t="s">
        <v>23</v>
      </c>
      <c r="D654" s="4" t="s">
        <v>24</v>
      </c>
      <c r="E654" s="4" t="s">
        <v>30</v>
      </c>
      <c r="F654" s="4" t="s">
        <v>25</v>
      </c>
      <c r="G654" s="4" t="s">
        <v>25</v>
      </c>
      <c r="H654" s="4" t="s">
        <v>25</v>
      </c>
      <c r="I654" s="5">
        <v>44531</v>
      </c>
      <c r="J654" s="6">
        <v>0</v>
      </c>
      <c r="K654" s="6">
        <v>0</v>
      </c>
      <c r="L654" s="6">
        <v>5031.3389999999999</v>
      </c>
      <c r="M654" s="6">
        <v>5031.3389999999999</v>
      </c>
      <c r="N654" s="6">
        <v>5031.3389999999999</v>
      </c>
      <c r="O654" s="6">
        <v>5031.3389999999999</v>
      </c>
      <c r="P654" s="6">
        <v>23910</v>
      </c>
      <c r="Q654" s="4" t="s">
        <v>26</v>
      </c>
      <c r="R654" s="4">
        <v>0</v>
      </c>
      <c r="S654" s="4">
        <v>0</v>
      </c>
      <c r="T654" s="4">
        <v>43</v>
      </c>
      <c r="U654" s="4">
        <v>86</v>
      </c>
      <c r="V654" s="6">
        <f>IF(ISERROR(VLOOKUP($S$654,'TAR FIN'!$A$1:$O$116,15,0)),0,VLOOKUP($S$654,'TAR FIN'!$A$1:$O$116,15,0))</f>
        <v>0</v>
      </c>
      <c r="W654" s="6">
        <f>IF(ISERROR(VLOOKUP($T$654,'TAR FIN'!$A$1:$O$116,15,0)),0,VLOOKUP($T$654,'TAR FIN'!$A$1:$O$116,15,0))</f>
        <v>161.62</v>
      </c>
      <c r="X654" s="6">
        <f>IF(ISERROR(VLOOKUP($U$654,'TAR FIN'!$A$1:$O$116,15,0)),0,VLOOKUP($U$654,'TAR FIN'!$A$1:$O$116,15,0))</f>
        <v>195.88</v>
      </c>
      <c r="Y654" s="6"/>
      <c r="Z65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4" s="6">
        <f>('TE BE'!$AB$16+'TE BF'!$AB$16+'TE CVA'!$AB$16)*(1-CUSTOS!$M$35)</f>
        <v>197.7784865237158</v>
      </c>
      <c r="AB654" s="6">
        <f t="shared" si="42"/>
        <v>0</v>
      </c>
      <c r="AC654" s="6">
        <f>(L654-M654)*(W654+X654)+($W$711+$X$711-$W$654-$X$654)*(L654)</f>
        <v>1199169.3372600002</v>
      </c>
      <c r="AD654" s="6">
        <f t="shared" si="43"/>
        <v>0</v>
      </c>
      <c r="AE654" s="6">
        <f ca="1">(L654-M654)*(Z654+AA654)+($Z$711+$AA$711-$Z$654-$AA$654)*(L654)</f>
        <v>1286076.9183148057</v>
      </c>
      <c r="AF654" s="4" t="s">
        <v>1116</v>
      </c>
    </row>
    <row r="655" spans="1:32" ht="11.25" customHeight="1" x14ac:dyDescent="0.25">
      <c r="A655" s="4" t="s">
        <v>27</v>
      </c>
      <c r="B655" s="4" t="s">
        <v>22</v>
      </c>
      <c r="C655" s="4" t="s">
        <v>23</v>
      </c>
      <c r="D655" s="4" t="s">
        <v>24</v>
      </c>
      <c r="E655" s="4" t="s">
        <v>30</v>
      </c>
      <c r="F655" s="4" t="s">
        <v>25</v>
      </c>
      <c r="G655" s="4" t="s">
        <v>25</v>
      </c>
      <c r="H655" s="4" t="s">
        <v>25</v>
      </c>
      <c r="I655" s="5">
        <v>44531</v>
      </c>
      <c r="J655" s="6">
        <v>0</v>
      </c>
      <c r="K655" s="6">
        <v>0</v>
      </c>
      <c r="L655" s="6">
        <v>-1.5660000000000001</v>
      </c>
      <c r="M655" s="6">
        <v>-1.5660000000000001</v>
      </c>
      <c r="N655" s="6">
        <v>-1.5660000000000001</v>
      </c>
      <c r="O655" s="6">
        <v>-1.5660000000000001</v>
      </c>
      <c r="P655" s="6">
        <v>-9</v>
      </c>
      <c r="Q655" s="4" t="s">
        <v>26</v>
      </c>
      <c r="R655" s="4">
        <v>0</v>
      </c>
      <c r="S655" s="4">
        <v>0</v>
      </c>
      <c r="T655" s="4">
        <v>43</v>
      </c>
      <c r="U655" s="4">
        <v>86</v>
      </c>
      <c r="V655" s="6">
        <f>IF(ISERROR(VLOOKUP($S$655,'TAR FIN'!$A$1:$O$116,15,0)),0,VLOOKUP($S$655,'TAR FIN'!$A$1:$O$116,15,0))</f>
        <v>0</v>
      </c>
      <c r="W655" s="6">
        <f>IF(ISERROR(VLOOKUP($T$655,'TAR FIN'!$A$1:$O$116,15,0)),0,VLOOKUP($T$655,'TAR FIN'!$A$1:$O$116,15,0))</f>
        <v>161.62</v>
      </c>
      <c r="X655" s="6">
        <f>IF(ISERROR(VLOOKUP($U$655,'TAR FIN'!$A$1:$O$116,15,0)),0,VLOOKUP($U$655,'TAR FIN'!$A$1:$O$116,15,0))</f>
        <v>195.88</v>
      </c>
      <c r="Y655" s="6"/>
      <c r="Z65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5" s="6">
        <f>('TE BE'!$AB$16+'TE BF'!$AB$16+'TE CVA'!$AB$16)*(1-CUSTOS!$M$35)</f>
        <v>197.7784865237158</v>
      </c>
      <c r="AB655" s="6">
        <f t="shared" si="42"/>
        <v>0</v>
      </c>
      <c r="AC655" s="6">
        <f>(L655-M655)*(W655+X655)+($W$711+$X$711-$W$655-$X$655)*(L655)</f>
        <v>-373.24044000000009</v>
      </c>
      <c r="AD655" s="6">
        <f t="shared" si="43"/>
        <v>0</v>
      </c>
      <c r="AE655" s="6">
        <f ca="1">(L655-M655)*(Z655+AA655)+($Z$711+$AA$711-$Z$655-$AA$655)*(L655)</f>
        <v>-400.29035095448467</v>
      </c>
      <c r="AF655" s="4" t="s">
        <v>1116</v>
      </c>
    </row>
    <row r="656" spans="1:32" ht="11.25" customHeight="1" x14ac:dyDescent="0.25">
      <c r="A656" s="4" t="s">
        <v>28</v>
      </c>
      <c r="B656" s="4" t="s">
        <v>22</v>
      </c>
      <c r="C656" s="4" t="s">
        <v>23</v>
      </c>
      <c r="D656" s="4" t="s">
        <v>24</v>
      </c>
      <c r="E656" s="4" t="s">
        <v>30</v>
      </c>
      <c r="F656" s="4" t="s">
        <v>25</v>
      </c>
      <c r="G656" s="4" t="s">
        <v>25</v>
      </c>
      <c r="H656" s="4" t="s">
        <v>25</v>
      </c>
      <c r="I656" s="5">
        <v>44531</v>
      </c>
      <c r="J656" s="6">
        <v>0</v>
      </c>
      <c r="K656" s="6">
        <v>0</v>
      </c>
      <c r="L656" s="6">
        <v>4.2110000000000003</v>
      </c>
      <c r="M656" s="6">
        <v>4.2110000000000003</v>
      </c>
      <c r="N656" s="6">
        <v>4.2110000000000003</v>
      </c>
      <c r="O656" s="6">
        <v>4.2110000000000003</v>
      </c>
      <c r="P656" s="6">
        <v>7</v>
      </c>
      <c r="Q656" s="4" t="s">
        <v>26</v>
      </c>
      <c r="R656" s="4">
        <v>0</v>
      </c>
      <c r="S656" s="4">
        <v>0</v>
      </c>
      <c r="T656" s="4">
        <v>43</v>
      </c>
      <c r="U656" s="4">
        <v>86</v>
      </c>
      <c r="V656" s="6">
        <f>IF(ISERROR(VLOOKUP($S$656,'TAR FIN'!$A$1:$O$116,15,0)),0,VLOOKUP($S$656,'TAR FIN'!$A$1:$O$116,15,0))</f>
        <v>0</v>
      </c>
      <c r="W656" s="6">
        <f>IF(ISERROR(VLOOKUP($T$656,'TAR FIN'!$A$1:$O$116,15,0)),0,VLOOKUP($T$656,'TAR FIN'!$A$1:$O$116,15,0))</f>
        <v>161.62</v>
      </c>
      <c r="X656" s="6">
        <f>IF(ISERROR(VLOOKUP($U$656,'TAR FIN'!$A$1:$O$116,15,0)),0,VLOOKUP($U$656,'TAR FIN'!$A$1:$O$116,15,0))</f>
        <v>195.88</v>
      </c>
      <c r="Y656" s="6"/>
      <c r="Z65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6" s="6">
        <f>('TE BE'!$AB$16+'TE BF'!$AB$16+'TE CVA'!$AB$16)*(1-CUSTOS!$M$35)</f>
        <v>197.7784865237158</v>
      </c>
      <c r="AB656" s="6">
        <f t="shared" si="42"/>
        <v>0</v>
      </c>
      <c r="AC656" s="6">
        <f>(L656-M656)*(W656+X656)+($W$711+$X$711-$W$656-$X$656)*(L656)</f>
        <v>1003.6497400000002</v>
      </c>
      <c r="AD656" s="6">
        <f t="shared" si="43"/>
        <v>0</v>
      </c>
      <c r="AE656" s="6">
        <f ca="1">(L656-M656)*(Z656+AA656)+($Z$711+$AA$711-$Z$656-$AA$656)*(L656)</f>
        <v>1076.3873996611335</v>
      </c>
      <c r="AF656" s="4" t="s">
        <v>1116</v>
      </c>
    </row>
    <row r="657" spans="1:32" ht="11.25" customHeight="1" x14ac:dyDescent="0.25">
      <c r="A657" s="4" t="s">
        <v>21</v>
      </c>
      <c r="B657" s="4" t="s">
        <v>22</v>
      </c>
      <c r="C657" s="4" t="s">
        <v>23</v>
      </c>
      <c r="D657" s="4" t="s">
        <v>24</v>
      </c>
      <c r="E657" s="4" t="s">
        <v>30</v>
      </c>
      <c r="F657" s="4" t="s">
        <v>25</v>
      </c>
      <c r="G657" s="4" t="s">
        <v>25</v>
      </c>
      <c r="H657" s="4" t="s">
        <v>25</v>
      </c>
      <c r="I657" s="5">
        <v>44562</v>
      </c>
      <c r="J657" s="6">
        <v>0</v>
      </c>
      <c r="K657" s="6">
        <v>0</v>
      </c>
      <c r="L657" s="6">
        <v>5165.143</v>
      </c>
      <c r="M657" s="6">
        <v>5165.143</v>
      </c>
      <c r="N657" s="6">
        <v>5165.143</v>
      </c>
      <c r="O657" s="6">
        <v>5165.143</v>
      </c>
      <c r="P657" s="6">
        <v>26001</v>
      </c>
      <c r="Q657" s="4" t="s">
        <v>26</v>
      </c>
      <c r="R657" s="4">
        <v>0</v>
      </c>
      <c r="S657" s="4">
        <v>0</v>
      </c>
      <c r="T657" s="4">
        <v>43</v>
      </c>
      <c r="U657" s="4">
        <v>86</v>
      </c>
      <c r="V657" s="6">
        <f>IF(ISERROR(VLOOKUP($S$657,'TAR FIN'!$A$1:$O$116,15,0)),0,VLOOKUP($S$657,'TAR FIN'!$A$1:$O$116,15,0))</f>
        <v>0</v>
      </c>
      <c r="W657" s="6">
        <f>IF(ISERROR(VLOOKUP($T$657,'TAR FIN'!$A$1:$O$116,15,0)),0,VLOOKUP($T$657,'TAR FIN'!$A$1:$O$116,15,0))</f>
        <v>161.62</v>
      </c>
      <c r="X657" s="6">
        <f>IF(ISERROR(VLOOKUP($U$657,'TAR FIN'!$A$1:$O$116,15,0)),0,VLOOKUP($U$657,'TAR FIN'!$A$1:$O$116,15,0))</f>
        <v>195.88</v>
      </c>
      <c r="Y657" s="6"/>
      <c r="Z65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7" s="6">
        <f>('TE BE'!$AB$16+'TE BF'!$AB$16+'TE CVA'!$AB$16)*(1-CUSTOS!$M$35)</f>
        <v>197.7784865237158</v>
      </c>
      <c r="AB657" s="6">
        <f t="shared" si="42"/>
        <v>0</v>
      </c>
      <c r="AC657" s="6">
        <f>(L657-M657)*(W657+X657)+($W$711+$X$711-$W$657-$X$657)*(L657)</f>
        <v>1231060.1826200001</v>
      </c>
      <c r="AD657" s="6">
        <f t="shared" si="43"/>
        <v>0</v>
      </c>
      <c r="AE657" s="6">
        <f ca="1">(L657-M657)*(Z657+AA657)+($Z$711+$AA$711-$Z$657-$AA$657)*(L657)</f>
        <v>1320278.9937420816</v>
      </c>
      <c r="AF657" s="4" t="s">
        <v>1116</v>
      </c>
    </row>
    <row r="658" spans="1:32" ht="11.25" customHeight="1" x14ac:dyDescent="0.25">
      <c r="A658" s="4" t="s">
        <v>27</v>
      </c>
      <c r="B658" s="4" t="s">
        <v>22</v>
      </c>
      <c r="C658" s="4" t="s">
        <v>23</v>
      </c>
      <c r="D658" s="4" t="s">
        <v>24</v>
      </c>
      <c r="E658" s="4" t="s">
        <v>30</v>
      </c>
      <c r="F658" s="4" t="s">
        <v>25</v>
      </c>
      <c r="G658" s="4" t="s">
        <v>25</v>
      </c>
      <c r="H658" s="4" t="s">
        <v>25</v>
      </c>
      <c r="I658" s="5">
        <v>44562</v>
      </c>
      <c r="J658" s="6">
        <v>0</v>
      </c>
      <c r="K658" s="6">
        <v>0</v>
      </c>
      <c r="L658" s="6">
        <v>-0.629</v>
      </c>
      <c r="M658" s="6">
        <v>-0.629</v>
      </c>
      <c r="N658" s="6">
        <v>-0.629</v>
      </c>
      <c r="O658" s="6">
        <v>-0.629</v>
      </c>
      <c r="P658" s="6">
        <v>-1</v>
      </c>
      <c r="Q658" s="4" t="s">
        <v>26</v>
      </c>
      <c r="R658" s="4">
        <v>0</v>
      </c>
      <c r="S658" s="4">
        <v>0</v>
      </c>
      <c r="T658" s="4">
        <v>43</v>
      </c>
      <c r="U658" s="4">
        <v>86</v>
      </c>
      <c r="V658" s="6">
        <f>IF(ISERROR(VLOOKUP($S$658,'TAR FIN'!$A$1:$O$116,15,0)),0,VLOOKUP($S$658,'TAR FIN'!$A$1:$O$116,15,0))</f>
        <v>0</v>
      </c>
      <c r="W658" s="6">
        <f>IF(ISERROR(VLOOKUP($T$658,'TAR FIN'!$A$1:$O$116,15,0)),0,VLOOKUP($T$658,'TAR FIN'!$A$1:$O$116,15,0))</f>
        <v>161.62</v>
      </c>
      <c r="X658" s="6">
        <f>IF(ISERROR(VLOOKUP($U$658,'TAR FIN'!$A$1:$O$116,15,0)),0,VLOOKUP($U$658,'TAR FIN'!$A$1:$O$116,15,0))</f>
        <v>195.88</v>
      </c>
      <c r="Y658" s="6"/>
      <c r="Z65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8" s="6">
        <f>('TE BE'!$AB$16+'TE BF'!$AB$16+'TE CVA'!$AB$16)*(1-CUSTOS!$M$35)</f>
        <v>197.7784865237158</v>
      </c>
      <c r="AB658" s="6">
        <f t="shared" si="42"/>
        <v>0</v>
      </c>
      <c r="AC658" s="6">
        <f>(L658-M658)*(W658+X658)+($W$711+$X$711-$W$658-$X$658)*(L658)</f>
        <v>-149.91586000000001</v>
      </c>
      <c r="AD658" s="6">
        <f t="shared" si="43"/>
        <v>0</v>
      </c>
      <c r="AE658" s="6">
        <f ca="1">(L658-M658)*(Z658+AA658)+($Z$711+$AA$711-$Z$658-$AA$658)*(L658)</f>
        <v>-160.78073483420872</v>
      </c>
      <c r="AF658" s="4" t="s">
        <v>1116</v>
      </c>
    </row>
    <row r="659" spans="1:32" ht="11.25" customHeight="1" x14ac:dyDescent="0.25">
      <c r="A659" s="4" t="s">
        <v>28</v>
      </c>
      <c r="B659" s="4" t="s">
        <v>22</v>
      </c>
      <c r="C659" s="4" t="s">
        <v>23</v>
      </c>
      <c r="D659" s="4" t="s">
        <v>24</v>
      </c>
      <c r="E659" s="4" t="s">
        <v>30</v>
      </c>
      <c r="F659" s="4" t="s">
        <v>25</v>
      </c>
      <c r="G659" s="4" t="s">
        <v>25</v>
      </c>
      <c r="H659" s="4" t="s">
        <v>25</v>
      </c>
      <c r="I659" s="5">
        <v>44562</v>
      </c>
      <c r="J659" s="6">
        <v>0</v>
      </c>
      <c r="K659" s="6">
        <v>0</v>
      </c>
      <c r="L659" s="6">
        <v>5.484</v>
      </c>
      <c r="M659" s="6">
        <v>5.484</v>
      </c>
      <c r="N659" s="6">
        <v>5.484</v>
      </c>
      <c r="O659" s="6">
        <v>5.484</v>
      </c>
      <c r="P659" s="6">
        <v>12</v>
      </c>
      <c r="Q659" s="4" t="s">
        <v>26</v>
      </c>
      <c r="R659" s="4">
        <v>0</v>
      </c>
      <c r="S659" s="4">
        <v>0</v>
      </c>
      <c r="T659" s="4">
        <v>43</v>
      </c>
      <c r="U659" s="4">
        <v>86</v>
      </c>
      <c r="V659" s="6">
        <f>IF(ISERROR(VLOOKUP($S$659,'TAR FIN'!$A$1:$O$116,15,0)),0,VLOOKUP($S$659,'TAR FIN'!$A$1:$O$116,15,0))</f>
        <v>0</v>
      </c>
      <c r="W659" s="6">
        <f>IF(ISERROR(VLOOKUP($T$659,'TAR FIN'!$A$1:$O$116,15,0)),0,VLOOKUP($T$659,'TAR FIN'!$A$1:$O$116,15,0))</f>
        <v>161.62</v>
      </c>
      <c r="X659" s="6">
        <f>IF(ISERROR(VLOOKUP($U$659,'TAR FIN'!$A$1:$O$116,15,0)),0,VLOOKUP($U$659,'TAR FIN'!$A$1:$O$116,15,0))</f>
        <v>195.88</v>
      </c>
      <c r="Y659" s="6"/>
      <c r="Z65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59" s="6">
        <f>('TE BE'!$AB$16+'TE BF'!$AB$16+'TE CVA'!$AB$16)*(1-CUSTOS!$M$35)</f>
        <v>197.7784865237158</v>
      </c>
      <c r="AB659" s="6">
        <f t="shared" si="42"/>
        <v>0</v>
      </c>
      <c r="AC659" s="6">
        <f>(L659-M659)*(W659+X659)+($W$711+$X$711-$W$659-$X$659)*(L659)</f>
        <v>1307.0565600000002</v>
      </c>
      <c r="AD659" s="6">
        <f t="shared" si="43"/>
        <v>0</v>
      </c>
      <c r="AE659" s="6">
        <f ca="1">(L659-M659)*(Z659+AA659)+($Z$711+$AA$711-$Z$659-$AA$659)*(L659)</f>
        <v>1401.7830680934826</v>
      </c>
      <c r="AF659" s="4" t="s">
        <v>1116</v>
      </c>
    </row>
    <row r="660" spans="1:32" ht="11.25" customHeight="1" x14ac:dyDescent="0.25">
      <c r="A660" s="4" t="s">
        <v>21</v>
      </c>
      <c r="B660" s="4" t="s">
        <v>22</v>
      </c>
      <c r="C660" s="4" t="s">
        <v>23</v>
      </c>
      <c r="D660" s="4" t="s">
        <v>24</v>
      </c>
      <c r="E660" s="4" t="s">
        <v>30</v>
      </c>
      <c r="F660" s="4" t="s">
        <v>25</v>
      </c>
      <c r="G660" s="4" t="s">
        <v>25</v>
      </c>
      <c r="H660" s="4" t="s">
        <v>25</v>
      </c>
      <c r="I660" s="5">
        <v>44593</v>
      </c>
      <c r="J660" s="6">
        <v>0</v>
      </c>
      <c r="K660" s="6">
        <v>0</v>
      </c>
      <c r="L660" s="6">
        <v>5405.2929999999997</v>
      </c>
      <c r="M660" s="6">
        <v>5405.2929999999997</v>
      </c>
      <c r="N660" s="6">
        <v>5405.2929999999997</v>
      </c>
      <c r="O660" s="6">
        <v>5405.2929999999997</v>
      </c>
      <c r="P660" s="6">
        <v>32715</v>
      </c>
      <c r="Q660" s="4" t="s">
        <v>26</v>
      </c>
      <c r="R660" s="4">
        <v>0</v>
      </c>
      <c r="S660" s="4">
        <v>0</v>
      </c>
      <c r="T660" s="4">
        <v>43</v>
      </c>
      <c r="U660" s="4">
        <v>86</v>
      </c>
      <c r="V660" s="6">
        <f>IF(ISERROR(VLOOKUP($S$660,'TAR FIN'!$A$1:$O$116,15,0)),0,VLOOKUP($S$660,'TAR FIN'!$A$1:$O$116,15,0))</f>
        <v>0</v>
      </c>
      <c r="W660" s="6">
        <f>IF(ISERROR(VLOOKUP($T$660,'TAR FIN'!$A$1:$O$116,15,0)),0,VLOOKUP($T$660,'TAR FIN'!$A$1:$O$116,15,0))</f>
        <v>161.62</v>
      </c>
      <c r="X660" s="6">
        <f>IF(ISERROR(VLOOKUP($U$660,'TAR FIN'!$A$1:$O$116,15,0)),0,VLOOKUP($U$660,'TAR FIN'!$A$1:$O$116,15,0))</f>
        <v>195.88</v>
      </c>
      <c r="Y660" s="6"/>
      <c r="Z66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0" s="6">
        <f>('TE BE'!$AB$16+'TE BF'!$AB$16+'TE CVA'!$AB$16)*(1-CUSTOS!$M$35)</f>
        <v>197.7784865237158</v>
      </c>
      <c r="AB660" s="6">
        <f t="shared" si="42"/>
        <v>0</v>
      </c>
      <c r="AC660" s="6">
        <f>(L660-M660)*(W660+X660)+($W$711+$X$711-$W$660-$X$660)*(L660)</f>
        <v>1288297.5336200001</v>
      </c>
      <c r="AD660" s="6">
        <f t="shared" si="43"/>
        <v>0</v>
      </c>
      <c r="AE660" s="6">
        <f ca="1">(L660-M660)*(Z660+AA660)+($Z$711+$AA$711-$Z$660-$AA$660)*(L660)</f>
        <v>1381664.5159526302</v>
      </c>
      <c r="AF660" s="4" t="s">
        <v>1116</v>
      </c>
    </row>
    <row r="661" spans="1:32" ht="11.25" customHeight="1" x14ac:dyDescent="0.25">
      <c r="A661" s="4" t="s">
        <v>27</v>
      </c>
      <c r="B661" s="4" t="s">
        <v>22</v>
      </c>
      <c r="C661" s="4" t="s">
        <v>23</v>
      </c>
      <c r="D661" s="4" t="s">
        <v>24</v>
      </c>
      <c r="E661" s="4" t="s">
        <v>30</v>
      </c>
      <c r="F661" s="4" t="s">
        <v>25</v>
      </c>
      <c r="G661" s="4" t="s">
        <v>25</v>
      </c>
      <c r="H661" s="4" t="s">
        <v>25</v>
      </c>
      <c r="I661" s="5">
        <v>44593</v>
      </c>
      <c r="J661" s="6">
        <v>0</v>
      </c>
      <c r="K661" s="6">
        <v>0</v>
      </c>
      <c r="L661" s="6">
        <v>-3.387</v>
      </c>
      <c r="M661" s="6">
        <v>-3.387</v>
      </c>
      <c r="N661" s="6">
        <v>-3.387</v>
      </c>
      <c r="O661" s="6">
        <v>-3.387</v>
      </c>
      <c r="P661" s="6">
        <v>-17</v>
      </c>
      <c r="Q661" s="4" t="s">
        <v>26</v>
      </c>
      <c r="R661" s="4">
        <v>0</v>
      </c>
      <c r="S661" s="4">
        <v>0</v>
      </c>
      <c r="T661" s="4">
        <v>43</v>
      </c>
      <c r="U661" s="4">
        <v>86</v>
      </c>
      <c r="V661" s="6">
        <f>IF(ISERROR(VLOOKUP($S$661,'TAR FIN'!$A$1:$O$116,15,0)),0,VLOOKUP($S$661,'TAR FIN'!$A$1:$O$116,15,0))</f>
        <v>0</v>
      </c>
      <c r="W661" s="6">
        <f>IF(ISERROR(VLOOKUP($T$661,'TAR FIN'!$A$1:$O$116,15,0)),0,VLOOKUP($T$661,'TAR FIN'!$A$1:$O$116,15,0))</f>
        <v>161.62</v>
      </c>
      <c r="X661" s="6">
        <f>IF(ISERROR(VLOOKUP($U$661,'TAR FIN'!$A$1:$O$116,15,0)),0,VLOOKUP($U$661,'TAR FIN'!$A$1:$O$116,15,0))</f>
        <v>195.88</v>
      </c>
      <c r="Y661" s="6"/>
      <c r="Z66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1" s="6">
        <f>('TE BE'!$AB$16+'TE BF'!$AB$16+'TE CVA'!$AB$16)*(1-CUSTOS!$M$35)</f>
        <v>197.7784865237158</v>
      </c>
      <c r="AB661" s="6">
        <f t="shared" si="42"/>
        <v>0</v>
      </c>
      <c r="AC661" s="6">
        <f>(L661-M661)*(W661+X661)+($W$711+$X$711-$W$661-$X$661)*(L661)</f>
        <v>-807.25758000000008</v>
      </c>
      <c r="AD661" s="6">
        <f t="shared" si="43"/>
        <v>0</v>
      </c>
      <c r="AE661" s="6">
        <f ca="1">(L661-M661)*(Z661+AA661)+($Z$711+$AA$711-$Z$661-$AA$661)*(L661)</f>
        <v>-865.76208089581064</v>
      </c>
      <c r="AF661" s="4" t="s">
        <v>1116</v>
      </c>
    </row>
    <row r="662" spans="1:32" ht="11.25" customHeight="1" x14ac:dyDescent="0.25">
      <c r="A662" s="4" t="s">
        <v>28</v>
      </c>
      <c r="B662" s="4" t="s">
        <v>22</v>
      </c>
      <c r="C662" s="4" t="s">
        <v>23</v>
      </c>
      <c r="D662" s="4" t="s">
        <v>24</v>
      </c>
      <c r="E662" s="4" t="s">
        <v>30</v>
      </c>
      <c r="F662" s="4" t="s">
        <v>25</v>
      </c>
      <c r="G662" s="4" t="s">
        <v>25</v>
      </c>
      <c r="H662" s="4" t="s">
        <v>25</v>
      </c>
      <c r="I662" s="5">
        <v>44593</v>
      </c>
      <c r="J662" s="6">
        <v>0</v>
      </c>
      <c r="K662" s="6">
        <v>0</v>
      </c>
      <c r="L662" s="6">
        <v>5.9039999999999999</v>
      </c>
      <c r="M662" s="6">
        <v>5.9039999999999999</v>
      </c>
      <c r="N662" s="6">
        <v>5.9039999999999999</v>
      </c>
      <c r="O662" s="6">
        <v>5.9039999999999999</v>
      </c>
      <c r="P662" s="6">
        <v>17</v>
      </c>
      <c r="Q662" s="4" t="s">
        <v>26</v>
      </c>
      <c r="R662" s="4">
        <v>0</v>
      </c>
      <c r="S662" s="4">
        <v>0</v>
      </c>
      <c r="T662" s="4">
        <v>43</v>
      </c>
      <c r="U662" s="4">
        <v>86</v>
      </c>
      <c r="V662" s="6">
        <f>IF(ISERROR(VLOOKUP($S$662,'TAR FIN'!$A$1:$O$116,15,0)),0,VLOOKUP($S$662,'TAR FIN'!$A$1:$O$116,15,0))</f>
        <v>0</v>
      </c>
      <c r="W662" s="6">
        <f>IF(ISERROR(VLOOKUP($T$662,'TAR FIN'!$A$1:$O$116,15,0)),0,VLOOKUP($T$662,'TAR FIN'!$A$1:$O$116,15,0))</f>
        <v>161.62</v>
      </c>
      <c r="X662" s="6">
        <f>IF(ISERROR(VLOOKUP($U$662,'TAR FIN'!$A$1:$O$116,15,0)),0,VLOOKUP($U$662,'TAR FIN'!$A$1:$O$116,15,0))</f>
        <v>195.88</v>
      </c>
      <c r="Y662" s="6"/>
      <c r="Z66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2" s="6">
        <f>('TE BE'!$AB$16+'TE BF'!$AB$16+'TE CVA'!$AB$16)*(1-CUSTOS!$M$35)</f>
        <v>197.7784865237158</v>
      </c>
      <c r="AB662" s="6">
        <f t="shared" si="42"/>
        <v>0</v>
      </c>
      <c r="AC662" s="6">
        <f>(L662-M662)*(W662+X662)+($W$711+$X$711-$W$662-$X$662)*(L662)</f>
        <v>1407.1593600000001</v>
      </c>
      <c r="AD662" s="6">
        <f t="shared" si="43"/>
        <v>0</v>
      </c>
      <c r="AE662" s="6">
        <f ca="1">(L662-M662)*(Z662+AA662)+($Z$711+$AA$711-$Z$662-$AA$662)*(L662)</f>
        <v>1509.1406334835742</v>
      </c>
      <c r="AF662" s="4" t="s">
        <v>1116</v>
      </c>
    </row>
    <row r="663" spans="1:32" ht="11.25" customHeight="1" x14ac:dyDescent="0.25">
      <c r="A663" s="4" t="s">
        <v>28</v>
      </c>
      <c r="B663" s="4" t="s">
        <v>22</v>
      </c>
      <c r="C663" s="4" t="s">
        <v>23</v>
      </c>
      <c r="D663" s="4" t="s">
        <v>24</v>
      </c>
      <c r="E663" s="4" t="s">
        <v>30</v>
      </c>
      <c r="F663" s="4" t="s">
        <v>25</v>
      </c>
      <c r="G663" s="4" t="s">
        <v>25</v>
      </c>
      <c r="H663" s="4" t="s">
        <v>25</v>
      </c>
      <c r="I663" s="5">
        <v>44593</v>
      </c>
      <c r="J663" s="6">
        <v>0</v>
      </c>
      <c r="K663" s="6">
        <v>0</v>
      </c>
      <c r="L663" s="6">
        <v>-0.02</v>
      </c>
      <c r="M663" s="6">
        <v>-0.02</v>
      </c>
      <c r="N663" s="6">
        <v>-0.02</v>
      </c>
      <c r="O663" s="6">
        <v>-0.02</v>
      </c>
      <c r="P663" s="6">
        <v>0</v>
      </c>
      <c r="Q663" s="4" t="s">
        <v>26</v>
      </c>
      <c r="R663" s="4">
        <v>0</v>
      </c>
      <c r="S663" s="4">
        <v>0</v>
      </c>
      <c r="T663" s="4">
        <v>43</v>
      </c>
      <c r="U663" s="4">
        <v>86</v>
      </c>
      <c r="V663" s="6">
        <f>IF(ISERROR(VLOOKUP($S$663,'TAR FIN'!$A$1:$O$116,15,0)),0,VLOOKUP($S$663,'TAR FIN'!$A$1:$O$116,15,0))</f>
        <v>0</v>
      </c>
      <c r="W663" s="6">
        <f>IF(ISERROR(VLOOKUP($T$663,'TAR FIN'!$A$1:$O$116,15,0)),0,VLOOKUP($T$663,'TAR FIN'!$A$1:$O$116,15,0))</f>
        <v>161.62</v>
      </c>
      <c r="X663" s="6">
        <f>IF(ISERROR(VLOOKUP($U$663,'TAR FIN'!$A$1:$O$116,15,0)),0,VLOOKUP($U$663,'TAR FIN'!$A$1:$O$116,15,0))</f>
        <v>195.88</v>
      </c>
      <c r="Y663" s="6"/>
      <c r="Z66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3" s="6">
        <f>('TE BE'!$AB$16+'TE BF'!$AB$16+'TE CVA'!$AB$16)*(1-CUSTOS!$M$35)</f>
        <v>197.7784865237158</v>
      </c>
      <c r="AB663" s="6">
        <f t="shared" si="42"/>
        <v>0</v>
      </c>
      <c r="AC663" s="6">
        <f>(L663-M663)*(W663+X663)+($W$711+$X$711-$W$663-$X$663)*(L663)</f>
        <v>-4.7668000000000008</v>
      </c>
      <c r="AD663" s="6">
        <f t="shared" si="43"/>
        <v>0</v>
      </c>
      <c r="AE663" s="6">
        <f ca="1">(L663-M663)*(Z663+AA663)+($Z$711+$AA$711-$Z$663-$AA$663)*(L663)</f>
        <v>-5.1122650185757941</v>
      </c>
      <c r="AF663" s="4" t="s">
        <v>1116</v>
      </c>
    </row>
    <row r="664" spans="1:32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30</v>
      </c>
      <c r="F664" s="4" t="s">
        <v>25</v>
      </c>
      <c r="G664" s="4" t="s">
        <v>25</v>
      </c>
      <c r="H664" s="4" t="s">
        <v>25</v>
      </c>
      <c r="I664" s="5">
        <v>44621</v>
      </c>
      <c r="J664" s="6">
        <v>0</v>
      </c>
      <c r="K664" s="6">
        <v>0</v>
      </c>
      <c r="L664" s="6">
        <v>5734.58</v>
      </c>
      <c r="M664" s="6">
        <v>5734.58</v>
      </c>
      <c r="N664" s="6">
        <v>5734.58</v>
      </c>
      <c r="O664" s="6">
        <v>5734.58</v>
      </c>
      <c r="P664" s="6">
        <v>27892</v>
      </c>
      <c r="Q664" s="4" t="s">
        <v>26</v>
      </c>
      <c r="R664" s="4">
        <v>0</v>
      </c>
      <c r="S664" s="4">
        <v>0</v>
      </c>
      <c r="T664" s="4">
        <v>43</v>
      </c>
      <c r="U664" s="4">
        <v>86</v>
      </c>
      <c r="V664" s="6">
        <f>IF(ISERROR(VLOOKUP($S$664,'TAR FIN'!$A$1:$O$116,15,0)),0,VLOOKUP($S$664,'TAR FIN'!$A$1:$O$116,15,0))</f>
        <v>0</v>
      </c>
      <c r="W664" s="6">
        <f>IF(ISERROR(VLOOKUP($T$664,'TAR FIN'!$A$1:$O$116,15,0)),0,VLOOKUP($T$664,'TAR FIN'!$A$1:$O$116,15,0))</f>
        <v>161.62</v>
      </c>
      <c r="X664" s="6">
        <f>IF(ISERROR(VLOOKUP($U$664,'TAR FIN'!$A$1:$O$116,15,0)),0,VLOOKUP($U$664,'TAR FIN'!$A$1:$O$116,15,0))</f>
        <v>195.88</v>
      </c>
      <c r="Y664" s="6"/>
      <c r="Z664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4" s="6">
        <f>('TE BE'!$AB$16+'TE BF'!$AB$16+'TE CVA'!$AB$16)*(1-CUSTOS!$M$35)</f>
        <v>197.7784865237158</v>
      </c>
      <c r="AB664" s="6">
        <f t="shared" si="42"/>
        <v>0</v>
      </c>
      <c r="AC664" s="6">
        <f>(L664-M664)*(W664+X664)+($W$711+$X$711-$W$664-$X$664)*(L664)</f>
        <v>1366779.7972000001</v>
      </c>
      <c r="AD664" s="6">
        <f t="shared" si="43"/>
        <v>0</v>
      </c>
      <c r="AE664" s="6">
        <f ca="1">(L664-M664)*(Z664+AA664)+($Z$711+$AA$711-$Z$664-$AA$664)*(L664)</f>
        <v>1465834.6365112187</v>
      </c>
      <c r="AF664" s="4" t="s">
        <v>1116</v>
      </c>
    </row>
    <row r="665" spans="1:32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30</v>
      </c>
      <c r="F665" s="4" t="s">
        <v>25</v>
      </c>
      <c r="G665" s="4" t="s">
        <v>25</v>
      </c>
      <c r="H665" s="4" t="s">
        <v>25</v>
      </c>
      <c r="I665" s="5">
        <v>44621</v>
      </c>
      <c r="J665" s="6">
        <v>0</v>
      </c>
      <c r="K665" s="6">
        <v>0</v>
      </c>
      <c r="L665" s="6">
        <v>-0.98899999999999999</v>
      </c>
      <c r="M665" s="6">
        <v>-0.98899999999999999</v>
      </c>
      <c r="N665" s="6">
        <v>-0.98899999999999999</v>
      </c>
      <c r="O665" s="6">
        <v>-0.98899999999999999</v>
      </c>
      <c r="P665" s="6">
        <v>-2</v>
      </c>
      <c r="Q665" s="4" t="s">
        <v>26</v>
      </c>
      <c r="R665" s="4">
        <v>0</v>
      </c>
      <c r="S665" s="4">
        <v>0</v>
      </c>
      <c r="T665" s="4">
        <v>43</v>
      </c>
      <c r="U665" s="4">
        <v>86</v>
      </c>
      <c r="V665" s="6">
        <f>IF(ISERROR(VLOOKUP($S$665,'TAR FIN'!$A$1:$O$116,15,0)),0,VLOOKUP($S$665,'TAR FIN'!$A$1:$O$116,15,0))</f>
        <v>0</v>
      </c>
      <c r="W665" s="6">
        <f>IF(ISERROR(VLOOKUP($T$665,'TAR FIN'!$A$1:$O$116,15,0)),0,VLOOKUP($T$665,'TAR FIN'!$A$1:$O$116,15,0))</f>
        <v>161.62</v>
      </c>
      <c r="X665" s="6">
        <f>IF(ISERROR(VLOOKUP($U$665,'TAR FIN'!$A$1:$O$116,15,0)),0,VLOOKUP($U$665,'TAR FIN'!$A$1:$O$116,15,0))</f>
        <v>195.88</v>
      </c>
      <c r="Y665" s="6"/>
      <c r="Z665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5" s="6">
        <f>('TE BE'!$AB$16+'TE BF'!$AB$16+'TE CVA'!$AB$16)*(1-CUSTOS!$M$35)</f>
        <v>197.7784865237158</v>
      </c>
      <c r="AB665" s="6">
        <f t="shared" si="42"/>
        <v>0</v>
      </c>
      <c r="AC665" s="6">
        <f>(L665-M665)*(W665+X665)+($W$711+$X$711-$W$665-$X$665)*(L665)</f>
        <v>-235.71826000000001</v>
      </c>
      <c r="AD665" s="6">
        <f t="shared" si="43"/>
        <v>0</v>
      </c>
      <c r="AE665" s="6">
        <f ca="1">(L665-M665)*(Z665+AA665)+($Z$711+$AA$711-$Z$665-$AA$665)*(L665)</f>
        <v>-252.80150516857299</v>
      </c>
      <c r="AF665" s="4" t="s">
        <v>1116</v>
      </c>
    </row>
    <row r="666" spans="1:32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30</v>
      </c>
      <c r="F666" s="4" t="s">
        <v>25</v>
      </c>
      <c r="G666" s="4" t="s">
        <v>25</v>
      </c>
      <c r="H666" s="4" t="s">
        <v>25</v>
      </c>
      <c r="I666" s="5">
        <v>44621</v>
      </c>
      <c r="J666" s="6">
        <v>0</v>
      </c>
      <c r="K666" s="6">
        <v>0</v>
      </c>
      <c r="L666" s="6">
        <v>7.0460000000000003</v>
      </c>
      <c r="M666" s="6">
        <v>7.0460000000000003</v>
      </c>
      <c r="N666" s="6">
        <v>7.0460000000000003</v>
      </c>
      <c r="O666" s="6">
        <v>7.0460000000000003</v>
      </c>
      <c r="P666" s="6">
        <v>15</v>
      </c>
      <c r="Q666" s="4" t="s">
        <v>26</v>
      </c>
      <c r="R666" s="4">
        <v>0</v>
      </c>
      <c r="S666" s="4">
        <v>0</v>
      </c>
      <c r="T666" s="4">
        <v>43</v>
      </c>
      <c r="U666" s="4">
        <v>86</v>
      </c>
      <c r="V666" s="6">
        <f>IF(ISERROR(VLOOKUP($S$666,'TAR FIN'!$A$1:$O$116,15,0)),0,VLOOKUP($S$666,'TAR FIN'!$A$1:$O$116,15,0))</f>
        <v>0</v>
      </c>
      <c r="W666" s="6">
        <f>IF(ISERROR(VLOOKUP($T$666,'TAR FIN'!$A$1:$O$116,15,0)),0,VLOOKUP($T$666,'TAR FIN'!$A$1:$O$116,15,0))</f>
        <v>161.62</v>
      </c>
      <c r="X666" s="6">
        <f>IF(ISERROR(VLOOKUP($U$666,'TAR FIN'!$A$1:$O$116,15,0)),0,VLOOKUP($U$666,'TAR FIN'!$A$1:$O$116,15,0))</f>
        <v>195.88</v>
      </c>
      <c r="Y666" s="6"/>
      <c r="Z666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6" s="6">
        <f>('TE BE'!$AB$16+'TE BF'!$AB$16+'TE CVA'!$AB$16)*(1-CUSTOS!$M$35)</f>
        <v>197.7784865237158</v>
      </c>
      <c r="AB666" s="6">
        <f t="shared" si="42"/>
        <v>0</v>
      </c>
      <c r="AC666" s="6">
        <f>(L666-M666)*(W666+X666)+($W$711+$X$711-$W$666-$X$666)*(L666)</f>
        <v>1679.3436400000003</v>
      </c>
      <c r="AD666" s="6">
        <f t="shared" si="43"/>
        <v>0</v>
      </c>
      <c r="AE666" s="6">
        <f ca="1">(L666-M666)*(Z666+AA666)+($Z$711+$AA$711-$Z$666-$AA$666)*(L666)</f>
        <v>1801.0509660442522</v>
      </c>
      <c r="AF666" s="4" t="s">
        <v>1116</v>
      </c>
    </row>
    <row r="667" spans="1:32" ht="11.25" customHeight="1" x14ac:dyDescent="0.25">
      <c r="A667" s="4" t="s">
        <v>28</v>
      </c>
      <c r="B667" s="4" t="s">
        <v>22</v>
      </c>
      <c r="C667" s="4" t="s">
        <v>23</v>
      </c>
      <c r="D667" s="4" t="s">
        <v>24</v>
      </c>
      <c r="E667" s="4" t="s">
        <v>30</v>
      </c>
      <c r="F667" s="4" t="s">
        <v>25</v>
      </c>
      <c r="G667" s="4" t="s">
        <v>25</v>
      </c>
      <c r="H667" s="4" t="s">
        <v>25</v>
      </c>
      <c r="I667" s="5">
        <v>44621</v>
      </c>
      <c r="J667" s="6">
        <v>0</v>
      </c>
      <c r="K667" s="6">
        <v>0</v>
      </c>
      <c r="L667" s="6">
        <v>-7.0000000000000007E-2</v>
      </c>
      <c r="M667" s="6">
        <v>-7.0000000000000007E-2</v>
      </c>
      <c r="N667" s="6">
        <v>-7.0000000000000007E-2</v>
      </c>
      <c r="O667" s="6">
        <v>-7.0000000000000007E-2</v>
      </c>
      <c r="P667" s="6">
        <v>0</v>
      </c>
      <c r="Q667" s="4" t="s">
        <v>26</v>
      </c>
      <c r="R667" s="4">
        <v>0</v>
      </c>
      <c r="S667" s="4">
        <v>0</v>
      </c>
      <c r="T667" s="4">
        <v>43</v>
      </c>
      <c r="U667" s="4">
        <v>86</v>
      </c>
      <c r="V667" s="6">
        <f>IF(ISERROR(VLOOKUP($S$667,'TAR FIN'!$A$1:$O$116,15,0)),0,VLOOKUP($S$667,'TAR FIN'!$A$1:$O$116,15,0))</f>
        <v>0</v>
      </c>
      <c r="W667" s="6">
        <f>IF(ISERROR(VLOOKUP($T$667,'TAR FIN'!$A$1:$O$116,15,0)),0,VLOOKUP($T$667,'TAR FIN'!$A$1:$O$116,15,0))</f>
        <v>161.62</v>
      </c>
      <c r="X667" s="6">
        <f>IF(ISERROR(VLOOKUP($U$667,'TAR FIN'!$A$1:$O$116,15,0)),0,VLOOKUP($U$667,'TAR FIN'!$A$1:$O$116,15,0))</f>
        <v>195.88</v>
      </c>
      <c r="Y667" s="6"/>
      <c r="Z667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7" s="6">
        <f>('TE BE'!$AB$16+'TE BF'!$AB$16+'TE CVA'!$AB$16)*(1-CUSTOS!$M$35)</f>
        <v>197.7784865237158</v>
      </c>
      <c r="AB667" s="6">
        <f t="shared" si="42"/>
        <v>0</v>
      </c>
      <c r="AC667" s="6">
        <f>(L667-M667)*(W667+X667)+($W$711+$X$711-$W$667-$X$667)*(L667)</f>
        <v>-16.683800000000005</v>
      </c>
      <c r="AD667" s="6">
        <f t="shared" si="43"/>
        <v>0</v>
      </c>
      <c r="AE667" s="6">
        <f ca="1">(L667-M667)*(Z667+AA667)+($Z$711+$AA$711-$Z$667-$AA$667)*(L667)</f>
        <v>-17.892927565015281</v>
      </c>
      <c r="AF667" s="4" t="s">
        <v>1116</v>
      </c>
    </row>
    <row r="668" spans="1:32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30</v>
      </c>
      <c r="F668" s="4" t="s">
        <v>25</v>
      </c>
      <c r="G668" s="4" t="s">
        <v>25</v>
      </c>
      <c r="H668" s="4" t="s">
        <v>25</v>
      </c>
      <c r="I668" s="5">
        <v>44652</v>
      </c>
      <c r="J668" s="6">
        <v>0</v>
      </c>
      <c r="K668" s="6">
        <v>0</v>
      </c>
      <c r="L668" s="6">
        <v>5716.9080000000004</v>
      </c>
      <c r="M668" s="6">
        <v>5716.9080000000004</v>
      </c>
      <c r="N668" s="6">
        <v>5716.9080000000004</v>
      </c>
      <c r="O668" s="6">
        <v>5716.9080000000004</v>
      </c>
      <c r="P668" s="6">
        <v>31306</v>
      </c>
      <c r="Q668" s="4" t="s">
        <v>26</v>
      </c>
      <c r="R668" s="4">
        <v>0</v>
      </c>
      <c r="S668" s="4">
        <v>0</v>
      </c>
      <c r="T668" s="4">
        <v>43</v>
      </c>
      <c r="U668" s="4">
        <v>86</v>
      </c>
      <c r="V668" s="6">
        <f>IF(ISERROR(VLOOKUP($S$668,'TAR FIN'!$A$1:$O$116,15,0)),0,VLOOKUP($S$668,'TAR FIN'!$A$1:$O$116,15,0))</f>
        <v>0</v>
      </c>
      <c r="W668" s="6">
        <f>IF(ISERROR(VLOOKUP($T$668,'TAR FIN'!$A$1:$O$116,15,0)),0,VLOOKUP($T$668,'TAR FIN'!$A$1:$O$116,15,0))</f>
        <v>161.62</v>
      </c>
      <c r="X668" s="6">
        <f>IF(ISERROR(VLOOKUP($U$668,'TAR FIN'!$A$1:$O$116,15,0)),0,VLOOKUP($U$668,'TAR FIN'!$A$1:$O$116,15,0))</f>
        <v>195.88</v>
      </c>
      <c r="Y668" s="6"/>
      <c r="Z668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8" s="6">
        <f>('TE BE'!$AB$16+'TE BF'!$AB$16+'TE CVA'!$AB$16)*(1-CUSTOS!$M$35)</f>
        <v>197.7784865237158</v>
      </c>
      <c r="AB668" s="6">
        <f t="shared" si="42"/>
        <v>0</v>
      </c>
      <c r="AC668" s="6">
        <f>(L668-M668)*(W668+X668)+($W$711+$X$711-$W$668-$X$668)*(L668)</f>
        <v>1362567.8527200003</v>
      </c>
      <c r="AD668" s="6">
        <f t="shared" si="43"/>
        <v>0</v>
      </c>
      <c r="AE668" s="6">
        <f ca="1">(L668-M668)*(Z668+AA668)+($Z$711+$AA$711-$Z$668-$AA$668)*(L668)</f>
        <v>1461317.4391408053</v>
      </c>
      <c r="AF668" s="4" t="s">
        <v>1116</v>
      </c>
    </row>
    <row r="669" spans="1:32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30</v>
      </c>
      <c r="F669" s="4" t="s">
        <v>25</v>
      </c>
      <c r="G669" s="4" t="s">
        <v>25</v>
      </c>
      <c r="H669" s="4" t="s">
        <v>25</v>
      </c>
      <c r="I669" s="5">
        <v>44652</v>
      </c>
      <c r="J669" s="6">
        <v>0</v>
      </c>
      <c r="K669" s="6">
        <v>0</v>
      </c>
      <c r="L669" s="6">
        <v>-1.19</v>
      </c>
      <c r="M669" s="6">
        <v>-1.19</v>
      </c>
      <c r="N669" s="6">
        <v>-1.19</v>
      </c>
      <c r="O669" s="6">
        <v>-1.19</v>
      </c>
      <c r="P669" s="6">
        <v>-1</v>
      </c>
      <c r="Q669" s="4" t="s">
        <v>26</v>
      </c>
      <c r="R669" s="4">
        <v>0</v>
      </c>
      <c r="S669" s="4">
        <v>0</v>
      </c>
      <c r="T669" s="4">
        <v>43</v>
      </c>
      <c r="U669" s="4">
        <v>86</v>
      </c>
      <c r="V669" s="6">
        <f>IF(ISERROR(VLOOKUP($S$669,'TAR FIN'!$A$1:$O$116,15,0)),0,VLOOKUP($S$669,'TAR FIN'!$A$1:$O$116,15,0))</f>
        <v>0</v>
      </c>
      <c r="W669" s="6">
        <f>IF(ISERROR(VLOOKUP($T$669,'TAR FIN'!$A$1:$O$116,15,0)),0,VLOOKUP($T$669,'TAR FIN'!$A$1:$O$116,15,0))</f>
        <v>161.62</v>
      </c>
      <c r="X669" s="6">
        <f>IF(ISERROR(VLOOKUP($U$669,'TAR FIN'!$A$1:$O$116,15,0)),0,VLOOKUP($U$669,'TAR FIN'!$A$1:$O$116,15,0))</f>
        <v>195.88</v>
      </c>
      <c r="Y669" s="6"/>
      <c r="Z669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69" s="6">
        <f>('TE BE'!$AB$16+'TE BF'!$AB$16+'TE CVA'!$AB$16)*(1-CUSTOS!$M$35)</f>
        <v>197.7784865237158</v>
      </c>
      <c r="AB669" s="6">
        <f t="shared" si="42"/>
        <v>0</v>
      </c>
      <c r="AC669" s="6">
        <f>(L669-M669)*(W669+X669)+($W$711+$X$711-$W$669-$X$669)*(L669)</f>
        <v>-283.62460000000004</v>
      </c>
      <c r="AD669" s="6">
        <f t="shared" si="43"/>
        <v>0</v>
      </c>
      <c r="AE669" s="6">
        <f ca="1">(L669-M669)*(Z669+AA669)+($Z$711+$AA$711-$Z$669-$AA$669)*(L669)</f>
        <v>-304.17976860525971</v>
      </c>
      <c r="AF669" s="4" t="s">
        <v>1116</v>
      </c>
    </row>
    <row r="670" spans="1:32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30</v>
      </c>
      <c r="F670" s="4" t="s">
        <v>25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7.681</v>
      </c>
      <c r="M670" s="6">
        <v>7.681</v>
      </c>
      <c r="N670" s="6">
        <v>7.681</v>
      </c>
      <c r="O670" s="6">
        <v>7.681</v>
      </c>
      <c r="P670" s="6">
        <v>15</v>
      </c>
      <c r="Q670" s="4" t="s">
        <v>26</v>
      </c>
      <c r="R670" s="4">
        <v>0</v>
      </c>
      <c r="S670" s="4">
        <v>0</v>
      </c>
      <c r="T670" s="4">
        <v>43</v>
      </c>
      <c r="U670" s="4">
        <v>86</v>
      </c>
      <c r="V670" s="6">
        <f>IF(ISERROR(VLOOKUP($S$670,'TAR FIN'!$A$1:$O$116,15,0)),0,VLOOKUP($S$670,'TAR FIN'!$A$1:$O$116,15,0))</f>
        <v>0</v>
      </c>
      <c r="W670" s="6">
        <f>IF(ISERROR(VLOOKUP($T$670,'TAR FIN'!$A$1:$O$116,15,0)),0,VLOOKUP($T$670,'TAR FIN'!$A$1:$O$116,15,0))</f>
        <v>161.62</v>
      </c>
      <c r="X670" s="6">
        <f>IF(ISERROR(VLOOKUP($U$670,'TAR FIN'!$A$1:$O$116,15,0)),0,VLOOKUP($U$670,'TAR FIN'!$A$1:$O$116,15,0))</f>
        <v>195.88</v>
      </c>
      <c r="Y670" s="6"/>
      <c r="Z670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70" s="6">
        <f>('TE BE'!$AB$16+'TE BF'!$AB$16+'TE CVA'!$AB$16)*(1-CUSTOS!$M$35)</f>
        <v>197.7784865237158</v>
      </c>
      <c r="AB670" s="6">
        <f t="shared" si="42"/>
        <v>0</v>
      </c>
      <c r="AC670" s="6">
        <f>(L670-M670)*(W670+X670)+($W$711+$X$711-$W$670-$X$670)*(L670)</f>
        <v>1830.6895400000003</v>
      </c>
      <c r="AD670" s="6">
        <f t="shared" si="43"/>
        <v>0</v>
      </c>
      <c r="AE670" s="6">
        <f ca="1">(L670-M670)*(Z670+AA670)+($Z$711+$AA$711-$Z$670-$AA$670)*(L670)</f>
        <v>1963.3653803840336</v>
      </c>
      <c r="AF670" s="4" t="s">
        <v>1116</v>
      </c>
    </row>
    <row r="671" spans="1:32" ht="11.25" customHeight="1" x14ac:dyDescent="0.25">
      <c r="A671" s="4" t="s">
        <v>58</v>
      </c>
      <c r="B671" s="4" t="s">
        <v>22</v>
      </c>
      <c r="C671" s="4" t="s">
        <v>23</v>
      </c>
      <c r="D671" s="4" t="s">
        <v>24</v>
      </c>
      <c r="E671" s="4" t="s">
        <v>30</v>
      </c>
      <c r="F671" s="4" t="s">
        <v>25</v>
      </c>
      <c r="G671" s="4" t="s">
        <v>25</v>
      </c>
      <c r="H671" s="4" t="s">
        <v>25</v>
      </c>
      <c r="I671" s="5">
        <v>44682</v>
      </c>
      <c r="J671" s="6">
        <v>0</v>
      </c>
      <c r="K671" s="6">
        <v>0</v>
      </c>
      <c r="L671" s="6">
        <v>5716.9080000000004</v>
      </c>
      <c r="M671" s="6">
        <v>5716.9080000000004</v>
      </c>
      <c r="N671" s="6">
        <v>5716.9080000000004</v>
      </c>
      <c r="O671" s="6">
        <v>5716.9080000000004</v>
      </c>
      <c r="P671" s="6">
        <v>31306</v>
      </c>
      <c r="Q671" s="4" t="s">
        <v>26</v>
      </c>
      <c r="R671" s="4">
        <v>0</v>
      </c>
      <c r="S671" s="4">
        <v>0</v>
      </c>
      <c r="T671" s="4">
        <v>43</v>
      </c>
      <c r="U671" s="4">
        <v>86</v>
      </c>
      <c r="V671" s="6">
        <f>IF(ISERROR(VLOOKUP($S$671,'TAR FIN'!$A$1:$O$116,15,0)),0,VLOOKUP($S$671,'TAR FIN'!$A$1:$O$116,15,0))</f>
        <v>0</v>
      </c>
      <c r="W671" s="6">
        <f>IF(ISERROR(VLOOKUP($T$671,'TAR FIN'!$A$1:$O$116,15,0)),0,VLOOKUP($T$671,'TAR FIN'!$A$1:$O$116,15,0))</f>
        <v>161.62</v>
      </c>
      <c r="X671" s="6">
        <f>IF(ISERROR(VLOOKUP($U$671,'TAR FIN'!$A$1:$O$116,15,0)),0,VLOOKUP($U$671,'TAR FIN'!$A$1:$O$116,15,0))</f>
        <v>195.88</v>
      </c>
      <c r="Y671" s="6"/>
      <c r="Z671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71" s="6">
        <f>('TE BE'!$AB$16+'TE BF'!$AB$16+'TE CVA'!$AB$16)*(1-CUSTOS!$M$35)</f>
        <v>197.7784865237158</v>
      </c>
      <c r="AB671" s="6">
        <f t="shared" si="42"/>
        <v>0</v>
      </c>
      <c r="AC671" s="6">
        <f>(L671-M671)*(W671+X671)+($W$711+$X$711-$W$671-$X$671)*(L671)</f>
        <v>1362567.8527200003</v>
      </c>
      <c r="AD671" s="6">
        <f t="shared" si="43"/>
        <v>0</v>
      </c>
      <c r="AE671" s="6">
        <f ca="1">(L671-M671)*(Z671+AA671)+($Z$711+$AA$711-$Z$671-$AA$671)*(L671)</f>
        <v>1461317.4391408053</v>
      </c>
      <c r="AF671" s="4" t="s">
        <v>1116</v>
      </c>
    </row>
    <row r="672" spans="1:32" ht="11.25" customHeight="1" x14ac:dyDescent="0.25">
      <c r="A672" s="4" t="s">
        <v>58</v>
      </c>
      <c r="B672" s="4" t="s">
        <v>22</v>
      </c>
      <c r="C672" s="4" t="s">
        <v>23</v>
      </c>
      <c r="D672" s="4" t="s">
        <v>24</v>
      </c>
      <c r="E672" s="4" t="s">
        <v>30</v>
      </c>
      <c r="F672" s="4" t="s">
        <v>25</v>
      </c>
      <c r="G672" s="4" t="s">
        <v>25</v>
      </c>
      <c r="H672" s="4" t="s">
        <v>25</v>
      </c>
      <c r="I672" s="5">
        <v>44682</v>
      </c>
      <c r="J672" s="6">
        <v>0</v>
      </c>
      <c r="K672" s="6">
        <v>0</v>
      </c>
      <c r="L672" s="6">
        <v>-1.19</v>
      </c>
      <c r="M672" s="6">
        <v>-1.19</v>
      </c>
      <c r="N672" s="6">
        <v>-1.19</v>
      </c>
      <c r="O672" s="6">
        <v>-1.19</v>
      </c>
      <c r="P672" s="6">
        <v>-1</v>
      </c>
      <c r="Q672" s="4" t="s">
        <v>26</v>
      </c>
      <c r="R672" s="4">
        <v>0</v>
      </c>
      <c r="S672" s="4">
        <v>0</v>
      </c>
      <c r="T672" s="4">
        <v>43</v>
      </c>
      <c r="U672" s="4">
        <v>86</v>
      </c>
      <c r="V672" s="6">
        <f>IF(ISERROR(VLOOKUP($S$672,'TAR FIN'!$A$1:$O$116,15,0)),0,VLOOKUP($S$672,'TAR FIN'!$A$1:$O$116,15,0))</f>
        <v>0</v>
      </c>
      <c r="W672" s="6">
        <f>IF(ISERROR(VLOOKUP($T$672,'TAR FIN'!$A$1:$O$116,15,0)),0,VLOOKUP($T$672,'TAR FIN'!$A$1:$O$116,15,0))</f>
        <v>161.62</v>
      </c>
      <c r="X672" s="6">
        <f>IF(ISERROR(VLOOKUP($U$672,'TAR FIN'!$A$1:$O$116,15,0)),0,VLOOKUP($U$672,'TAR FIN'!$A$1:$O$116,15,0))</f>
        <v>195.88</v>
      </c>
      <c r="Y672" s="6"/>
      <c r="Z672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72" s="6">
        <f>('TE BE'!$AB$16+'TE BF'!$AB$16+'TE CVA'!$AB$16)*(1-CUSTOS!$M$35)</f>
        <v>197.7784865237158</v>
      </c>
      <c r="AB672" s="6">
        <f t="shared" si="42"/>
        <v>0</v>
      </c>
      <c r="AC672" s="6">
        <f>(L672-M672)*(W672+X672)+($W$711+$X$711-$W$672-$X$672)*(L672)</f>
        <v>-283.62460000000004</v>
      </c>
      <c r="AD672" s="6">
        <f t="shared" si="43"/>
        <v>0</v>
      </c>
      <c r="AE672" s="6">
        <f ca="1">(L672-M672)*(Z672+AA672)+($Z$711+$AA$711-$Z$672-$AA$672)*(L672)</f>
        <v>-304.17976860525971</v>
      </c>
      <c r="AF672" s="4" t="s">
        <v>1116</v>
      </c>
    </row>
    <row r="673" spans="1:32" ht="11.25" customHeight="1" x14ac:dyDescent="0.25">
      <c r="A673" s="4" t="s">
        <v>58</v>
      </c>
      <c r="B673" s="4" t="s">
        <v>22</v>
      </c>
      <c r="C673" s="4" t="s">
        <v>23</v>
      </c>
      <c r="D673" s="4" t="s">
        <v>24</v>
      </c>
      <c r="E673" s="4" t="s">
        <v>30</v>
      </c>
      <c r="F673" s="4" t="s">
        <v>25</v>
      </c>
      <c r="G673" s="4" t="s">
        <v>25</v>
      </c>
      <c r="H673" s="4" t="s">
        <v>25</v>
      </c>
      <c r="I673" s="5">
        <v>44682</v>
      </c>
      <c r="J673" s="6">
        <v>0</v>
      </c>
      <c r="K673" s="6">
        <v>0</v>
      </c>
      <c r="L673" s="6">
        <v>7.681</v>
      </c>
      <c r="M673" s="6">
        <v>7.681</v>
      </c>
      <c r="N673" s="6">
        <v>7.681</v>
      </c>
      <c r="O673" s="6">
        <v>7.681</v>
      </c>
      <c r="P673" s="6">
        <v>15</v>
      </c>
      <c r="Q673" s="4" t="s">
        <v>26</v>
      </c>
      <c r="R673" s="4">
        <v>0</v>
      </c>
      <c r="S673" s="4">
        <v>0</v>
      </c>
      <c r="T673" s="4">
        <v>43</v>
      </c>
      <c r="U673" s="4">
        <v>86</v>
      </c>
      <c r="V673" s="6">
        <f>IF(ISERROR(VLOOKUP($S$673,'TAR FIN'!$A$1:$O$116,15,0)),0,VLOOKUP($S$673,'TAR FIN'!$A$1:$O$116,15,0))</f>
        <v>0</v>
      </c>
      <c r="W673" s="6">
        <f>IF(ISERROR(VLOOKUP($T$673,'TAR FIN'!$A$1:$O$116,15,0)),0,VLOOKUP($T$673,'TAR FIN'!$A$1:$O$116,15,0))</f>
        <v>161.62</v>
      </c>
      <c r="X673" s="6">
        <f>IF(ISERROR(VLOOKUP($U$673,'TAR FIN'!$A$1:$O$116,15,0)),0,VLOOKUP($U$673,'TAR FIN'!$A$1:$O$116,15,0))</f>
        <v>195.88</v>
      </c>
      <c r="Y673" s="6"/>
      <c r="Z673" s="6">
        <f ca="1">('TUSD BE'!$AM$45+'TUSD BF'!$AM$45+'TUSD CVA'!$AM$45-('TUSD BE'!$P$45+'TUSD BF'!$P$45+'TUSD CVA'!$P$45)-('TUSD BE'!$Q$45+'TUSD BF'!$Q$45+'TUSD CVA'!$Q$45)-('TUSD BE'!$R$45+'TUSD BF'!$R$45+'TUSD CVA'!$R$45))*(1-CUSTOS!$M$35)</f>
        <v>185.64138986946855</v>
      </c>
      <c r="AA673" s="6">
        <f>('TE BE'!$AB$16+'TE BF'!$AB$16+'TE CVA'!$AB$16)*(1-CUSTOS!$M$35)</f>
        <v>197.7784865237158</v>
      </c>
      <c r="AB673" s="6">
        <f t="shared" si="42"/>
        <v>0</v>
      </c>
      <c r="AC673" s="6">
        <f>(L673-M673)*(W673+X673)+($W$711+$X$711-$W$673-$X$673)*(L673)</f>
        <v>1830.6895400000003</v>
      </c>
      <c r="AD673" s="6">
        <f t="shared" si="43"/>
        <v>0</v>
      </c>
      <c r="AE673" s="6">
        <f ca="1">(L673-M673)*(Z673+AA673)+($Z$711+$AA$711-$Z$673-$AA$673)*(L673)</f>
        <v>1963.3653803840336</v>
      </c>
      <c r="AF673" s="4" t="s">
        <v>1116</v>
      </c>
    </row>
    <row r="674" spans="1:32" ht="11.25" customHeight="1" x14ac:dyDescent="0.25">
      <c r="A674" s="4" t="s">
        <v>21</v>
      </c>
      <c r="B674" s="4" t="s">
        <v>22</v>
      </c>
      <c r="C674" s="4" t="s">
        <v>23</v>
      </c>
      <c r="D674" s="4" t="s">
        <v>24</v>
      </c>
      <c r="E674" s="4" t="s">
        <v>31</v>
      </c>
      <c r="F674" s="4" t="s">
        <v>25</v>
      </c>
      <c r="G674" s="4" t="s">
        <v>25</v>
      </c>
      <c r="H674" s="4" t="s">
        <v>25</v>
      </c>
      <c r="I674" s="5">
        <v>44348</v>
      </c>
      <c r="J674" s="6">
        <v>0</v>
      </c>
      <c r="K674" s="6">
        <v>0</v>
      </c>
      <c r="L674" s="6">
        <v>2711.098</v>
      </c>
      <c r="M674" s="6">
        <v>2711.098</v>
      </c>
      <c r="N674" s="6">
        <v>2711.098</v>
      </c>
      <c r="O674" s="6">
        <v>2711.098</v>
      </c>
      <c r="P674" s="6">
        <v>42605</v>
      </c>
      <c r="Q674" s="4" t="s">
        <v>26</v>
      </c>
      <c r="R674" s="4">
        <v>0</v>
      </c>
      <c r="S674" s="4">
        <v>0</v>
      </c>
      <c r="T674" s="4">
        <v>44</v>
      </c>
      <c r="U674" s="4">
        <v>87</v>
      </c>
      <c r="V674" s="6">
        <f>IF(ISERROR(VLOOKUP($S$674,'TAR FIN'!$A$1:$O$116,15,0)),0,VLOOKUP($S$674,'TAR FIN'!$A$1:$O$116,15,0))</f>
        <v>0</v>
      </c>
      <c r="W674" s="6">
        <f>IF(ISERROR(VLOOKUP($T$674,'TAR FIN'!$A$1:$O$116,15,0)),0,VLOOKUP($T$674,'TAR FIN'!$A$1:$O$116,15,0))</f>
        <v>242.43</v>
      </c>
      <c r="X674" s="6">
        <f>IF(ISERROR(VLOOKUP($U$674,'TAR FIN'!$A$1:$O$116,15,0)),0,VLOOKUP($U$674,'TAR FIN'!$A$1:$O$116,15,0))</f>
        <v>293.82</v>
      </c>
      <c r="Y674" s="6"/>
      <c r="Z67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74" s="6">
        <f>('TE BE'!$AB$17+'TE BF'!$AB$17+'TE CVA'!$AB$17)*(1-CUSTOS!$M$36)</f>
        <v>296.66772978557373</v>
      </c>
      <c r="AB674" s="6">
        <f t="shared" si="42"/>
        <v>0</v>
      </c>
      <c r="AC674" s="6">
        <f>(L674-M674)*(W674+X674)+($W$711+$X$711-$W$674-$X$674)*(L674)</f>
        <v>161554.32982000007</v>
      </c>
      <c r="AD674" s="6">
        <f t="shared" si="43"/>
        <v>0</v>
      </c>
      <c r="AE674" s="6">
        <f ca="1">(L674-M674)*(Z674+AA674)+($Z$711+$AA$711-$Z$674-$AA$674)*(L674)</f>
        <v>173248.143341635</v>
      </c>
      <c r="AF674" s="4" t="s">
        <v>1116</v>
      </c>
    </row>
    <row r="675" spans="1:32" ht="11.25" customHeight="1" x14ac:dyDescent="0.25">
      <c r="A675" s="4" t="s">
        <v>27</v>
      </c>
      <c r="B675" s="4" t="s">
        <v>22</v>
      </c>
      <c r="C675" s="4" t="s">
        <v>23</v>
      </c>
      <c r="D675" s="4" t="s">
        <v>24</v>
      </c>
      <c r="E675" s="4" t="s">
        <v>31</v>
      </c>
      <c r="F675" s="4" t="s">
        <v>25</v>
      </c>
      <c r="G675" s="4" t="s">
        <v>25</v>
      </c>
      <c r="H675" s="4" t="s">
        <v>25</v>
      </c>
      <c r="I675" s="5">
        <v>44348</v>
      </c>
      <c r="J675" s="6">
        <v>0</v>
      </c>
      <c r="K675" s="6">
        <v>0</v>
      </c>
      <c r="L675" s="6">
        <v>-0.65300000000000002</v>
      </c>
      <c r="M675" s="6">
        <v>-0.65300000000000002</v>
      </c>
      <c r="N675" s="6">
        <v>-0.65300000000000002</v>
      </c>
      <c r="O675" s="6">
        <v>-0.65300000000000002</v>
      </c>
      <c r="P675" s="6">
        <v>-10</v>
      </c>
      <c r="Q675" s="4" t="s">
        <v>26</v>
      </c>
      <c r="R675" s="4">
        <v>0</v>
      </c>
      <c r="S675" s="4">
        <v>0</v>
      </c>
      <c r="T675" s="4">
        <v>44</v>
      </c>
      <c r="U675" s="4">
        <v>87</v>
      </c>
      <c r="V675" s="6">
        <f>IF(ISERROR(VLOOKUP($S$675,'TAR FIN'!$A$1:$O$116,15,0)),0,VLOOKUP($S$675,'TAR FIN'!$A$1:$O$116,15,0))</f>
        <v>0</v>
      </c>
      <c r="W675" s="6">
        <f>IF(ISERROR(VLOOKUP($T$675,'TAR FIN'!$A$1:$O$116,15,0)),0,VLOOKUP($T$675,'TAR FIN'!$A$1:$O$116,15,0))</f>
        <v>242.43</v>
      </c>
      <c r="X675" s="6">
        <f>IF(ISERROR(VLOOKUP($U$675,'TAR FIN'!$A$1:$O$116,15,0)),0,VLOOKUP($U$675,'TAR FIN'!$A$1:$O$116,15,0))</f>
        <v>293.82</v>
      </c>
      <c r="Y675" s="6"/>
      <c r="Z67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75" s="6">
        <f>('TE BE'!$AB$17+'TE BF'!$AB$17+'TE CVA'!$AB$17)*(1-CUSTOS!$M$36)</f>
        <v>296.66772978557373</v>
      </c>
      <c r="AB675" s="6">
        <f t="shared" si="42"/>
        <v>0</v>
      </c>
      <c r="AC675" s="6">
        <f>(L675-M675)*(W675+X675)+($W$711+$X$711-$W$675-$X$675)*(L675)</f>
        <v>-38.912270000000021</v>
      </c>
      <c r="AD675" s="6">
        <f t="shared" si="43"/>
        <v>0</v>
      </c>
      <c r="AE675" s="6">
        <f ca="1">(L675-M675)*(Z675+AA675)+($Z$711+$AA$711-$Z$675-$AA$675)*(L675)</f>
        <v>-41.728863214124928</v>
      </c>
      <c r="AF675" s="4" t="s">
        <v>1116</v>
      </c>
    </row>
    <row r="676" spans="1:32" ht="11.25" customHeight="1" x14ac:dyDescent="0.25">
      <c r="A676" s="4" t="s">
        <v>28</v>
      </c>
      <c r="B676" s="4" t="s">
        <v>22</v>
      </c>
      <c r="C676" s="4" t="s">
        <v>23</v>
      </c>
      <c r="D676" s="4" t="s">
        <v>24</v>
      </c>
      <c r="E676" s="4" t="s">
        <v>31</v>
      </c>
      <c r="F676" s="4" t="s">
        <v>25</v>
      </c>
      <c r="G676" s="4" t="s">
        <v>25</v>
      </c>
      <c r="H676" s="4" t="s">
        <v>25</v>
      </c>
      <c r="I676" s="5">
        <v>44348</v>
      </c>
      <c r="J676" s="6">
        <v>0</v>
      </c>
      <c r="K676" s="6">
        <v>0</v>
      </c>
      <c r="L676" s="6">
        <v>2.3570000000000002</v>
      </c>
      <c r="M676" s="6">
        <v>2.3570000000000002</v>
      </c>
      <c r="N676" s="6">
        <v>2.3570000000000002</v>
      </c>
      <c r="O676" s="6">
        <v>2.3570000000000002</v>
      </c>
      <c r="P676" s="6">
        <v>36</v>
      </c>
      <c r="Q676" s="4" t="s">
        <v>26</v>
      </c>
      <c r="R676" s="4">
        <v>0</v>
      </c>
      <c r="S676" s="4">
        <v>0</v>
      </c>
      <c r="T676" s="4">
        <v>44</v>
      </c>
      <c r="U676" s="4">
        <v>87</v>
      </c>
      <c r="V676" s="6">
        <f>IF(ISERROR(VLOOKUP($S$676,'TAR FIN'!$A$1:$O$116,15,0)),0,VLOOKUP($S$676,'TAR FIN'!$A$1:$O$116,15,0))</f>
        <v>0</v>
      </c>
      <c r="W676" s="6">
        <f>IF(ISERROR(VLOOKUP($T$676,'TAR FIN'!$A$1:$O$116,15,0)),0,VLOOKUP($T$676,'TAR FIN'!$A$1:$O$116,15,0))</f>
        <v>242.43</v>
      </c>
      <c r="X676" s="6">
        <f>IF(ISERROR(VLOOKUP($U$676,'TAR FIN'!$A$1:$O$116,15,0)),0,VLOOKUP($U$676,'TAR FIN'!$A$1:$O$116,15,0))</f>
        <v>293.82</v>
      </c>
      <c r="Y676" s="6"/>
      <c r="Z67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76" s="6">
        <f>('TE BE'!$AB$17+'TE BF'!$AB$17+'TE CVA'!$AB$17)*(1-CUSTOS!$M$36)</f>
        <v>296.66772978557373</v>
      </c>
      <c r="AB676" s="6">
        <f t="shared" si="42"/>
        <v>0</v>
      </c>
      <c r="AC676" s="6">
        <f>(L676-M676)*(W676+X676)+($W$711+$X$711-$W$676-$X$676)*(L676)</f>
        <v>140.45363000000009</v>
      </c>
      <c r="AD676" s="6">
        <f t="shared" si="43"/>
        <v>0</v>
      </c>
      <c r="AE676" s="6">
        <f ca="1">(L676-M676)*(Z676+AA676)+($Z$711+$AA$711-$Z$676-$AA$676)*(L676)</f>
        <v>150.62010810978936</v>
      </c>
      <c r="AF676" s="4" t="s">
        <v>1116</v>
      </c>
    </row>
    <row r="677" spans="1:32" ht="11.25" customHeight="1" x14ac:dyDescent="0.25">
      <c r="A677" s="4" t="s">
        <v>21</v>
      </c>
      <c r="B677" s="4" t="s">
        <v>22</v>
      </c>
      <c r="C677" s="4" t="s">
        <v>23</v>
      </c>
      <c r="D677" s="4" t="s">
        <v>24</v>
      </c>
      <c r="E677" s="4" t="s">
        <v>31</v>
      </c>
      <c r="F677" s="4" t="s">
        <v>25</v>
      </c>
      <c r="G677" s="4" t="s">
        <v>25</v>
      </c>
      <c r="H677" s="4" t="s">
        <v>25</v>
      </c>
      <c r="I677" s="5">
        <v>44378</v>
      </c>
      <c r="J677" s="6">
        <v>0</v>
      </c>
      <c r="K677" s="6">
        <v>0</v>
      </c>
      <c r="L677" s="6">
        <v>2669.2820000000002</v>
      </c>
      <c r="M677" s="6">
        <v>2669.2820000000002</v>
      </c>
      <c r="N677" s="6">
        <v>2669.2820000000002</v>
      </c>
      <c r="O677" s="6">
        <v>2669.2820000000002</v>
      </c>
      <c r="P677" s="6">
        <v>42079</v>
      </c>
      <c r="Q677" s="4" t="s">
        <v>26</v>
      </c>
      <c r="R677" s="4">
        <v>0</v>
      </c>
      <c r="S677" s="4">
        <v>0</v>
      </c>
      <c r="T677" s="4">
        <v>44</v>
      </c>
      <c r="U677" s="4">
        <v>87</v>
      </c>
      <c r="V677" s="6">
        <f>IF(ISERROR(VLOOKUP($S$677,'TAR FIN'!$A$1:$O$116,15,0)),0,VLOOKUP($S$677,'TAR FIN'!$A$1:$O$116,15,0))</f>
        <v>0</v>
      </c>
      <c r="W677" s="6">
        <f>IF(ISERROR(VLOOKUP($T$677,'TAR FIN'!$A$1:$O$116,15,0)),0,VLOOKUP($T$677,'TAR FIN'!$A$1:$O$116,15,0))</f>
        <v>242.43</v>
      </c>
      <c r="X677" s="6">
        <f>IF(ISERROR(VLOOKUP($U$677,'TAR FIN'!$A$1:$O$116,15,0)),0,VLOOKUP($U$677,'TAR FIN'!$A$1:$O$116,15,0))</f>
        <v>293.82</v>
      </c>
      <c r="Y677" s="6"/>
      <c r="Z67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77" s="6">
        <f>('TE BE'!$AB$17+'TE BF'!$AB$17+'TE CVA'!$AB$17)*(1-CUSTOS!$M$36)</f>
        <v>296.66772978557373</v>
      </c>
      <c r="AB677" s="6">
        <f t="shared" si="42"/>
        <v>0</v>
      </c>
      <c r="AC677" s="6">
        <f>(L677-M677)*(W677+X677)+($W$711+$X$711-$W$677-$X$677)*(L677)</f>
        <v>159062.5143800001</v>
      </c>
      <c r="AD677" s="6">
        <f t="shared" si="43"/>
        <v>0</v>
      </c>
      <c r="AE677" s="6">
        <f ca="1">(L677-M677)*(Z677+AA677)+($Z$711+$AA$711-$Z$677-$AA$677)*(L677)</f>
        <v>170575.96241642543</v>
      </c>
      <c r="AF677" s="4" t="s">
        <v>1116</v>
      </c>
    </row>
    <row r="678" spans="1:32" ht="11.25" customHeight="1" x14ac:dyDescent="0.25">
      <c r="A678" s="4" t="s">
        <v>27</v>
      </c>
      <c r="B678" s="4" t="s">
        <v>22</v>
      </c>
      <c r="C678" s="4" t="s">
        <v>23</v>
      </c>
      <c r="D678" s="4" t="s">
        <v>24</v>
      </c>
      <c r="E678" s="4" t="s">
        <v>31</v>
      </c>
      <c r="F678" s="4" t="s">
        <v>25</v>
      </c>
      <c r="G678" s="4" t="s">
        <v>25</v>
      </c>
      <c r="H678" s="4" t="s">
        <v>25</v>
      </c>
      <c r="I678" s="5">
        <v>44378</v>
      </c>
      <c r="J678" s="6">
        <v>0</v>
      </c>
      <c r="K678" s="6">
        <v>0</v>
      </c>
      <c r="L678" s="6">
        <v>-0.42399999999999999</v>
      </c>
      <c r="M678" s="6">
        <v>-0.42399999999999999</v>
      </c>
      <c r="N678" s="6">
        <v>-0.42399999999999999</v>
      </c>
      <c r="O678" s="6">
        <v>-0.42399999999999999</v>
      </c>
      <c r="P678" s="6">
        <v>-5</v>
      </c>
      <c r="Q678" s="4" t="s">
        <v>26</v>
      </c>
      <c r="R678" s="4">
        <v>0</v>
      </c>
      <c r="S678" s="4">
        <v>0</v>
      </c>
      <c r="T678" s="4">
        <v>44</v>
      </c>
      <c r="U678" s="4">
        <v>87</v>
      </c>
      <c r="V678" s="6">
        <f>IF(ISERROR(VLOOKUP($S$678,'TAR FIN'!$A$1:$O$116,15,0)),0,VLOOKUP($S$678,'TAR FIN'!$A$1:$O$116,15,0))</f>
        <v>0</v>
      </c>
      <c r="W678" s="6">
        <f>IF(ISERROR(VLOOKUP($T$678,'TAR FIN'!$A$1:$O$116,15,0)),0,VLOOKUP($T$678,'TAR FIN'!$A$1:$O$116,15,0))</f>
        <v>242.43</v>
      </c>
      <c r="X678" s="6">
        <f>IF(ISERROR(VLOOKUP($U$678,'TAR FIN'!$A$1:$O$116,15,0)),0,VLOOKUP($U$678,'TAR FIN'!$A$1:$O$116,15,0))</f>
        <v>293.82</v>
      </c>
      <c r="Y678" s="6"/>
      <c r="Z67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78" s="6">
        <f>('TE BE'!$AB$17+'TE BF'!$AB$17+'TE CVA'!$AB$17)*(1-CUSTOS!$M$36)</f>
        <v>296.66772978557373</v>
      </c>
      <c r="AB678" s="6">
        <f t="shared" si="42"/>
        <v>0</v>
      </c>
      <c r="AC678" s="6">
        <f>(L678-M678)*(W678+X678)+($W$711+$X$711-$W$678-$X$678)*(L678)</f>
        <v>-25.266160000000013</v>
      </c>
      <c r="AD678" s="6">
        <f t="shared" si="43"/>
        <v>0</v>
      </c>
      <c r="AE678" s="6">
        <f ca="1">(L678-M678)*(Z678+AA678)+($Z$711+$AA$711-$Z$678-$AA$678)*(L678)</f>
        <v>-27.095004598451712</v>
      </c>
      <c r="AF678" s="4" t="s">
        <v>1116</v>
      </c>
    </row>
    <row r="679" spans="1:32" ht="11.25" customHeight="1" x14ac:dyDescent="0.25">
      <c r="A679" s="4" t="s">
        <v>28</v>
      </c>
      <c r="B679" s="4" t="s">
        <v>22</v>
      </c>
      <c r="C679" s="4" t="s">
        <v>23</v>
      </c>
      <c r="D679" s="4" t="s">
        <v>24</v>
      </c>
      <c r="E679" s="4" t="s">
        <v>31</v>
      </c>
      <c r="F679" s="4" t="s">
        <v>25</v>
      </c>
      <c r="G679" s="4" t="s">
        <v>25</v>
      </c>
      <c r="H679" s="4" t="s">
        <v>25</v>
      </c>
      <c r="I679" s="5">
        <v>44378</v>
      </c>
      <c r="J679" s="6">
        <v>0</v>
      </c>
      <c r="K679" s="6">
        <v>0</v>
      </c>
      <c r="L679" s="6">
        <v>2.7730000000000001</v>
      </c>
      <c r="M679" s="6">
        <v>2.7730000000000001</v>
      </c>
      <c r="N679" s="6">
        <v>2.7730000000000001</v>
      </c>
      <c r="O679" s="6">
        <v>2.7730000000000001</v>
      </c>
      <c r="P679" s="6">
        <v>41</v>
      </c>
      <c r="Q679" s="4" t="s">
        <v>26</v>
      </c>
      <c r="R679" s="4">
        <v>0</v>
      </c>
      <c r="S679" s="4">
        <v>0</v>
      </c>
      <c r="T679" s="4">
        <v>44</v>
      </c>
      <c r="U679" s="4">
        <v>87</v>
      </c>
      <c r="V679" s="6">
        <f>IF(ISERROR(VLOOKUP($S$679,'TAR FIN'!$A$1:$O$116,15,0)),0,VLOOKUP($S$679,'TAR FIN'!$A$1:$O$116,15,0))</f>
        <v>0</v>
      </c>
      <c r="W679" s="6">
        <f>IF(ISERROR(VLOOKUP($T$679,'TAR FIN'!$A$1:$O$116,15,0)),0,VLOOKUP($T$679,'TAR FIN'!$A$1:$O$116,15,0))</f>
        <v>242.43</v>
      </c>
      <c r="X679" s="6">
        <f>IF(ISERROR(VLOOKUP($U$679,'TAR FIN'!$A$1:$O$116,15,0)),0,VLOOKUP($U$679,'TAR FIN'!$A$1:$O$116,15,0))</f>
        <v>293.82</v>
      </c>
      <c r="Y679" s="6"/>
      <c r="Z67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79" s="6">
        <f>('TE BE'!$AB$17+'TE BF'!$AB$17+'TE CVA'!$AB$17)*(1-CUSTOS!$M$36)</f>
        <v>296.66772978557373</v>
      </c>
      <c r="AB679" s="6">
        <f t="shared" si="42"/>
        <v>0</v>
      </c>
      <c r="AC679" s="6">
        <f>(L679-M679)*(W679+X679)+($W$711+$X$711-$W$679-$X$679)*(L679)</f>
        <v>165.2430700000001</v>
      </c>
      <c r="AD679" s="6">
        <f t="shared" si="43"/>
        <v>0</v>
      </c>
      <c r="AE679" s="6">
        <f ca="1">(L679-M679)*(Z679+AA679)+($Z$711+$AA$711-$Z$679-$AA$679)*(L679)</f>
        <v>177.20388620638349</v>
      </c>
      <c r="AF679" s="4" t="s">
        <v>1116</v>
      </c>
    </row>
    <row r="680" spans="1:32" ht="11.25" customHeight="1" x14ac:dyDescent="0.25">
      <c r="A680" s="4" t="s">
        <v>21</v>
      </c>
      <c r="B680" s="4" t="s">
        <v>22</v>
      </c>
      <c r="C680" s="4" t="s">
        <v>23</v>
      </c>
      <c r="D680" s="4" t="s">
        <v>24</v>
      </c>
      <c r="E680" s="4" t="s">
        <v>31</v>
      </c>
      <c r="F680" s="4" t="s">
        <v>25</v>
      </c>
      <c r="G680" s="4" t="s">
        <v>25</v>
      </c>
      <c r="H680" s="4" t="s">
        <v>25</v>
      </c>
      <c r="I680" s="5">
        <v>44409</v>
      </c>
      <c r="J680" s="6">
        <v>0</v>
      </c>
      <c r="K680" s="6">
        <v>0</v>
      </c>
      <c r="L680" s="6">
        <v>2759.5949999999998</v>
      </c>
      <c r="M680" s="6">
        <v>2759.5949999999998</v>
      </c>
      <c r="N680" s="6">
        <v>2759.5949999999998</v>
      </c>
      <c r="O680" s="6">
        <v>2759.5949999999998</v>
      </c>
      <c r="P680" s="6">
        <v>42968</v>
      </c>
      <c r="Q680" s="4" t="s">
        <v>26</v>
      </c>
      <c r="R680" s="4">
        <v>0</v>
      </c>
      <c r="S680" s="4">
        <v>0</v>
      </c>
      <c r="T680" s="4">
        <v>44</v>
      </c>
      <c r="U680" s="4">
        <v>87</v>
      </c>
      <c r="V680" s="6">
        <f>IF(ISERROR(VLOOKUP($S$680,'TAR FIN'!$A$1:$O$116,15,0)),0,VLOOKUP($S$680,'TAR FIN'!$A$1:$O$116,15,0))</f>
        <v>0</v>
      </c>
      <c r="W680" s="6">
        <f>IF(ISERROR(VLOOKUP($T$680,'TAR FIN'!$A$1:$O$116,15,0)),0,VLOOKUP($T$680,'TAR FIN'!$A$1:$O$116,15,0))</f>
        <v>242.43</v>
      </c>
      <c r="X680" s="6">
        <f>IF(ISERROR(VLOOKUP($U$680,'TAR FIN'!$A$1:$O$116,15,0)),0,VLOOKUP($U$680,'TAR FIN'!$A$1:$O$116,15,0))</f>
        <v>293.82</v>
      </c>
      <c r="Y680" s="6"/>
      <c r="Z68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0" s="6">
        <f>('TE BE'!$AB$17+'TE BF'!$AB$17+'TE CVA'!$AB$17)*(1-CUSTOS!$M$36)</f>
        <v>296.66772978557373</v>
      </c>
      <c r="AB680" s="6">
        <f t="shared" si="42"/>
        <v>0</v>
      </c>
      <c r="AC680" s="6">
        <f>(L680-M680)*(W680+X680)+($W$711+$X$711-$W$680-$X$680)*(L680)</f>
        <v>164444.26605000006</v>
      </c>
      <c r="AD680" s="6">
        <f t="shared" si="43"/>
        <v>0</v>
      </c>
      <c r="AE680" s="6">
        <f ca="1">(L680-M680)*(Z680+AA680)+($Z$711+$AA$711-$Z$680-$AA$680)*(L680)</f>
        <v>176347.26229920838</v>
      </c>
      <c r="AF680" s="4" t="s">
        <v>1116</v>
      </c>
    </row>
    <row r="681" spans="1:32" ht="11.25" customHeight="1" x14ac:dyDescent="0.25">
      <c r="A681" s="4" t="s">
        <v>27</v>
      </c>
      <c r="B681" s="4" t="s">
        <v>22</v>
      </c>
      <c r="C681" s="4" t="s">
        <v>23</v>
      </c>
      <c r="D681" s="4" t="s">
        <v>24</v>
      </c>
      <c r="E681" s="4" t="s">
        <v>31</v>
      </c>
      <c r="F681" s="4" t="s">
        <v>25</v>
      </c>
      <c r="G681" s="4" t="s">
        <v>25</v>
      </c>
      <c r="H681" s="4" t="s">
        <v>25</v>
      </c>
      <c r="I681" s="5">
        <v>44409</v>
      </c>
      <c r="J681" s="6">
        <v>0</v>
      </c>
      <c r="K681" s="6">
        <v>0</v>
      </c>
      <c r="L681" s="6">
        <v>-1.3959999999999999</v>
      </c>
      <c r="M681" s="6">
        <v>-1.3959999999999999</v>
      </c>
      <c r="N681" s="6">
        <v>-1.3959999999999999</v>
      </c>
      <c r="O681" s="6">
        <v>-1.3959999999999999</v>
      </c>
      <c r="P681" s="6">
        <v>-7</v>
      </c>
      <c r="Q681" s="4" t="s">
        <v>26</v>
      </c>
      <c r="R681" s="4">
        <v>0</v>
      </c>
      <c r="S681" s="4">
        <v>0</v>
      </c>
      <c r="T681" s="4">
        <v>44</v>
      </c>
      <c r="U681" s="4">
        <v>87</v>
      </c>
      <c r="V681" s="6">
        <f>IF(ISERROR(VLOOKUP($S$681,'TAR FIN'!$A$1:$O$116,15,0)),0,VLOOKUP($S$681,'TAR FIN'!$A$1:$O$116,15,0))</f>
        <v>0</v>
      </c>
      <c r="W681" s="6">
        <f>IF(ISERROR(VLOOKUP($T$681,'TAR FIN'!$A$1:$O$116,15,0)),0,VLOOKUP($T$681,'TAR FIN'!$A$1:$O$116,15,0))</f>
        <v>242.43</v>
      </c>
      <c r="X681" s="6">
        <f>IF(ISERROR(VLOOKUP($U$681,'TAR FIN'!$A$1:$O$116,15,0)),0,VLOOKUP($U$681,'TAR FIN'!$A$1:$O$116,15,0))</f>
        <v>293.82</v>
      </c>
      <c r="Y681" s="6"/>
      <c r="Z68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1" s="6">
        <f>('TE BE'!$AB$17+'TE BF'!$AB$17+'TE CVA'!$AB$17)*(1-CUSTOS!$M$36)</f>
        <v>296.66772978557373</v>
      </c>
      <c r="AB681" s="6">
        <f t="shared" si="42"/>
        <v>0</v>
      </c>
      <c r="AC681" s="6">
        <f>(L681-M681)*(W681+X681)+($W$711+$X$711-$W$681-$X$681)*(L681)</f>
        <v>-83.187640000000044</v>
      </c>
      <c r="AD681" s="6">
        <f t="shared" si="43"/>
        <v>0</v>
      </c>
      <c r="AE681" s="6">
        <f ca="1">(L681-M681)*(Z681+AA681)+($Z$711+$AA$711-$Z$681-$AA$681)*(L681)</f>
        <v>-89.20902457414762</v>
      </c>
      <c r="AF681" s="4" t="s">
        <v>1116</v>
      </c>
    </row>
    <row r="682" spans="1:32" ht="11.25" customHeight="1" x14ac:dyDescent="0.25">
      <c r="A682" s="4" t="s">
        <v>28</v>
      </c>
      <c r="B682" s="4" t="s">
        <v>22</v>
      </c>
      <c r="C682" s="4" t="s">
        <v>23</v>
      </c>
      <c r="D682" s="4" t="s">
        <v>24</v>
      </c>
      <c r="E682" s="4" t="s">
        <v>31</v>
      </c>
      <c r="F682" s="4" t="s">
        <v>25</v>
      </c>
      <c r="G682" s="4" t="s">
        <v>25</v>
      </c>
      <c r="H682" s="4" t="s">
        <v>25</v>
      </c>
      <c r="I682" s="5">
        <v>44409</v>
      </c>
      <c r="J682" s="6">
        <v>0</v>
      </c>
      <c r="K682" s="6">
        <v>0</v>
      </c>
      <c r="L682" s="6">
        <v>3.17</v>
      </c>
      <c r="M682" s="6">
        <v>3.17</v>
      </c>
      <c r="N682" s="6">
        <v>3.17</v>
      </c>
      <c r="O682" s="6">
        <v>3.17</v>
      </c>
      <c r="P682" s="6">
        <v>43</v>
      </c>
      <c r="Q682" s="4" t="s">
        <v>26</v>
      </c>
      <c r="R682" s="4">
        <v>0</v>
      </c>
      <c r="S682" s="4">
        <v>0</v>
      </c>
      <c r="T682" s="4">
        <v>44</v>
      </c>
      <c r="U682" s="4">
        <v>87</v>
      </c>
      <c r="V682" s="6">
        <f>IF(ISERROR(VLOOKUP($S$682,'TAR FIN'!$A$1:$O$116,15,0)),0,VLOOKUP($S$682,'TAR FIN'!$A$1:$O$116,15,0))</f>
        <v>0</v>
      </c>
      <c r="W682" s="6">
        <f>IF(ISERROR(VLOOKUP($T$682,'TAR FIN'!$A$1:$O$116,15,0)),0,VLOOKUP($T$682,'TAR FIN'!$A$1:$O$116,15,0))</f>
        <v>242.43</v>
      </c>
      <c r="X682" s="6">
        <f>IF(ISERROR(VLOOKUP($U$682,'TAR FIN'!$A$1:$O$116,15,0)),0,VLOOKUP($U$682,'TAR FIN'!$A$1:$O$116,15,0))</f>
        <v>293.82</v>
      </c>
      <c r="Y682" s="6"/>
      <c r="Z68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2" s="6">
        <f>('TE BE'!$AB$17+'TE BF'!$AB$17+'TE CVA'!$AB$17)*(1-CUSTOS!$M$36)</f>
        <v>296.66772978557373</v>
      </c>
      <c r="AB682" s="6">
        <f t="shared" si="42"/>
        <v>0</v>
      </c>
      <c r="AC682" s="6">
        <f>(L682-M682)*(W682+X682)+($W$711+$X$711-$W$682-$X$682)*(L682)</f>
        <v>188.9003000000001</v>
      </c>
      <c r="AD682" s="6">
        <f t="shared" si="43"/>
        <v>0</v>
      </c>
      <c r="AE682" s="6">
        <f ca="1">(L682-M682)*(Z682+AA682)+($Z$711+$AA$711-$Z$682-$AA$682)*(L682)</f>
        <v>202.57350136106587</v>
      </c>
      <c r="AF682" s="4" t="s">
        <v>1116</v>
      </c>
    </row>
    <row r="683" spans="1:32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31</v>
      </c>
      <c r="F683" s="4" t="s">
        <v>25</v>
      </c>
      <c r="G683" s="4" t="s">
        <v>25</v>
      </c>
      <c r="H683" s="4" t="s">
        <v>25</v>
      </c>
      <c r="I683" s="5">
        <v>44440</v>
      </c>
      <c r="J683" s="6">
        <v>0</v>
      </c>
      <c r="K683" s="6">
        <v>0</v>
      </c>
      <c r="L683" s="6">
        <v>3327.1289999999999</v>
      </c>
      <c r="M683" s="6">
        <v>3327.1289999999999</v>
      </c>
      <c r="N683" s="6">
        <v>3327.1289999999999</v>
      </c>
      <c r="O683" s="6">
        <v>3327.1289999999999</v>
      </c>
      <c r="P683" s="6">
        <v>44946</v>
      </c>
      <c r="Q683" s="4" t="s">
        <v>26</v>
      </c>
      <c r="R683" s="4">
        <v>0</v>
      </c>
      <c r="S683" s="4">
        <v>0</v>
      </c>
      <c r="T683" s="4">
        <v>44</v>
      </c>
      <c r="U683" s="4">
        <v>87</v>
      </c>
      <c r="V683" s="6">
        <f>IF(ISERROR(VLOOKUP($S$683,'TAR FIN'!$A$1:$O$116,15,0)),0,VLOOKUP($S$683,'TAR FIN'!$A$1:$O$116,15,0))</f>
        <v>0</v>
      </c>
      <c r="W683" s="6">
        <f>IF(ISERROR(VLOOKUP($T$683,'TAR FIN'!$A$1:$O$116,15,0)),0,VLOOKUP($T$683,'TAR FIN'!$A$1:$O$116,15,0))</f>
        <v>242.43</v>
      </c>
      <c r="X683" s="6">
        <f>IF(ISERROR(VLOOKUP($U$683,'TAR FIN'!$A$1:$O$116,15,0)),0,VLOOKUP($U$683,'TAR FIN'!$A$1:$O$116,15,0))</f>
        <v>293.82</v>
      </c>
      <c r="Y683" s="6"/>
      <c r="Z68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3" s="6">
        <f>('TE BE'!$AB$17+'TE BF'!$AB$17+'TE CVA'!$AB$17)*(1-CUSTOS!$M$36)</f>
        <v>296.66772978557373</v>
      </c>
      <c r="AB683" s="6">
        <f t="shared" si="42"/>
        <v>0</v>
      </c>
      <c r="AC683" s="6">
        <f>(L683-M683)*(W683+X683)+($W$711+$X$711-$W$683-$X$683)*(L683)</f>
        <v>198263.61711000011</v>
      </c>
      <c r="AD683" s="6">
        <f t="shared" si="43"/>
        <v>0</v>
      </c>
      <c r="AE683" s="6">
        <f ca="1">(L683-M683)*(Z683+AA683)+($Z$711+$AA$711-$Z$683-$AA$683)*(L683)</f>
        <v>212614.56498736332</v>
      </c>
      <c r="AF683" s="4" t="s">
        <v>1116</v>
      </c>
    </row>
    <row r="684" spans="1:32" ht="11.25" customHeight="1" x14ac:dyDescent="0.25">
      <c r="A684" s="4" t="s">
        <v>27</v>
      </c>
      <c r="B684" s="4" t="s">
        <v>22</v>
      </c>
      <c r="C684" s="4" t="s">
        <v>23</v>
      </c>
      <c r="D684" s="4" t="s">
        <v>24</v>
      </c>
      <c r="E684" s="4" t="s">
        <v>31</v>
      </c>
      <c r="F684" s="4" t="s">
        <v>25</v>
      </c>
      <c r="G684" s="4" t="s">
        <v>25</v>
      </c>
      <c r="H684" s="4" t="s">
        <v>25</v>
      </c>
      <c r="I684" s="5">
        <v>44440</v>
      </c>
      <c r="J684" s="6">
        <v>0</v>
      </c>
      <c r="K684" s="6">
        <v>0</v>
      </c>
      <c r="L684" s="6">
        <v>-1.381</v>
      </c>
      <c r="M684" s="6">
        <v>-1.381</v>
      </c>
      <c r="N684" s="6">
        <v>-1.381</v>
      </c>
      <c r="O684" s="6">
        <v>-1.381</v>
      </c>
      <c r="P684" s="6">
        <v>-8</v>
      </c>
      <c r="Q684" s="4" t="s">
        <v>26</v>
      </c>
      <c r="R684" s="4">
        <v>0</v>
      </c>
      <c r="S684" s="4">
        <v>0</v>
      </c>
      <c r="T684" s="4">
        <v>44</v>
      </c>
      <c r="U684" s="4">
        <v>87</v>
      </c>
      <c r="V684" s="6">
        <f>IF(ISERROR(VLOOKUP($S$684,'TAR FIN'!$A$1:$O$116,15,0)),0,VLOOKUP($S$684,'TAR FIN'!$A$1:$O$116,15,0))</f>
        <v>0</v>
      </c>
      <c r="W684" s="6">
        <f>IF(ISERROR(VLOOKUP($T$684,'TAR FIN'!$A$1:$O$116,15,0)),0,VLOOKUP($T$684,'TAR FIN'!$A$1:$O$116,15,0))</f>
        <v>242.43</v>
      </c>
      <c r="X684" s="6">
        <f>IF(ISERROR(VLOOKUP($U$684,'TAR FIN'!$A$1:$O$116,15,0)),0,VLOOKUP($U$684,'TAR FIN'!$A$1:$O$116,15,0))</f>
        <v>293.82</v>
      </c>
      <c r="Y684" s="6"/>
      <c r="Z68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4" s="6">
        <f>('TE BE'!$AB$17+'TE BF'!$AB$17+'TE CVA'!$AB$17)*(1-CUSTOS!$M$36)</f>
        <v>296.66772978557373</v>
      </c>
      <c r="AB684" s="6">
        <f t="shared" si="42"/>
        <v>0</v>
      </c>
      <c r="AC684" s="6">
        <f>(L684-M684)*(W684+X684)+($W$711+$X$711-$W$684-$X$684)*(L684)</f>
        <v>-82.293790000000044</v>
      </c>
      <c r="AD684" s="6">
        <f t="shared" si="43"/>
        <v>0</v>
      </c>
      <c r="AE684" s="6">
        <f ca="1">(L684-M684)*(Z684+AA684)+($Z$711+$AA$711-$Z$684-$AA$684)*(L684)</f>
        <v>-88.250474883164657</v>
      </c>
      <c r="AF684" s="4" t="s">
        <v>1116</v>
      </c>
    </row>
    <row r="685" spans="1:32" ht="11.25" customHeight="1" x14ac:dyDescent="0.25">
      <c r="A685" s="4" t="s">
        <v>28</v>
      </c>
      <c r="B685" s="4" t="s">
        <v>22</v>
      </c>
      <c r="C685" s="4" t="s">
        <v>23</v>
      </c>
      <c r="D685" s="4" t="s">
        <v>24</v>
      </c>
      <c r="E685" s="4" t="s">
        <v>31</v>
      </c>
      <c r="F685" s="4" t="s">
        <v>25</v>
      </c>
      <c r="G685" s="4" t="s">
        <v>25</v>
      </c>
      <c r="H685" s="4" t="s">
        <v>25</v>
      </c>
      <c r="I685" s="5">
        <v>44440</v>
      </c>
      <c r="J685" s="6">
        <v>0</v>
      </c>
      <c r="K685" s="6">
        <v>0</v>
      </c>
      <c r="L685" s="6">
        <v>2.5190000000000001</v>
      </c>
      <c r="M685" s="6">
        <v>2.5190000000000001</v>
      </c>
      <c r="N685" s="6">
        <v>2.5190000000000001</v>
      </c>
      <c r="O685" s="6">
        <v>2.5190000000000001</v>
      </c>
      <c r="P685" s="6">
        <v>41</v>
      </c>
      <c r="Q685" s="4" t="s">
        <v>26</v>
      </c>
      <c r="R685" s="4">
        <v>0</v>
      </c>
      <c r="S685" s="4">
        <v>0</v>
      </c>
      <c r="T685" s="4">
        <v>44</v>
      </c>
      <c r="U685" s="4">
        <v>87</v>
      </c>
      <c r="V685" s="6">
        <f>IF(ISERROR(VLOOKUP($S$685,'TAR FIN'!$A$1:$O$116,15,0)),0,VLOOKUP($S$685,'TAR FIN'!$A$1:$O$116,15,0))</f>
        <v>0</v>
      </c>
      <c r="W685" s="6">
        <f>IF(ISERROR(VLOOKUP($T$685,'TAR FIN'!$A$1:$O$116,15,0)),0,VLOOKUP($T$685,'TAR FIN'!$A$1:$O$116,15,0))</f>
        <v>242.43</v>
      </c>
      <c r="X685" s="6">
        <f>IF(ISERROR(VLOOKUP($U$685,'TAR FIN'!$A$1:$O$116,15,0)),0,VLOOKUP($U$685,'TAR FIN'!$A$1:$O$116,15,0))</f>
        <v>293.82</v>
      </c>
      <c r="Y685" s="6"/>
      <c r="Z68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5" s="6">
        <f>('TE BE'!$AB$17+'TE BF'!$AB$17+'TE CVA'!$AB$17)*(1-CUSTOS!$M$36)</f>
        <v>296.66772978557373</v>
      </c>
      <c r="AB685" s="6">
        <f t="shared" si="42"/>
        <v>0</v>
      </c>
      <c r="AC685" s="6">
        <f>(L685-M685)*(W685+X685)+($W$711+$X$711-$W$685-$X$685)*(L685)</f>
        <v>150.10721000000009</v>
      </c>
      <c r="AD685" s="6">
        <f t="shared" si="43"/>
        <v>0</v>
      </c>
      <c r="AE685" s="6">
        <f ca="1">(L685-M685)*(Z685+AA685)+($Z$711+$AA$711-$Z$685-$AA$685)*(L685)</f>
        <v>160.97244477240534</v>
      </c>
      <c r="AF685" s="4" t="s">
        <v>1116</v>
      </c>
    </row>
    <row r="686" spans="1:32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31</v>
      </c>
      <c r="F686" s="4" t="s">
        <v>25</v>
      </c>
      <c r="G686" s="4" t="s">
        <v>25</v>
      </c>
      <c r="H686" s="4" t="s">
        <v>25</v>
      </c>
      <c r="I686" s="5">
        <v>44470</v>
      </c>
      <c r="J686" s="6">
        <v>0</v>
      </c>
      <c r="K686" s="6">
        <v>0</v>
      </c>
      <c r="L686" s="6">
        <v>2989.3139999999999</v>
      </c>
      <c r="M686" s="6">
        <v>2989.3139999999999</v>
      </c>
      <c r="N686" s="6">
        <v>2989.3139999999999</v>
      </c>
      <c r="O686" s="6">
        <v>2989.3139999999999</v>
      </c>
      <c r="P686" s="6">
        <v>44214</v>
      </c>
      <c r="Q686" s="4" t="s">
        <v>26</v>
      </c>
      <c r="R686" s="4">
        <v>0</v>
      </c>
      <c r="S686" s="4">
        <v>0</v>
      </c>
      <c r="T686" s="4">
        <v>44</v>
      </c>
      <c r="U686" s="4">
        <v>87</v>
      </c>
      <c r="V686" s="6">
        <f>IF(ISERROR(VLOOKUP($S$686,'TAR FIN'!$A$1:$O$116,15,0)),0,VLOOKUP($S$686,'TAR FIN'!$A$1:$O$116,15,0))</f>
        <v>0</v>
      </c>
      <c r="W686" s="6">
        <f>IF(ISERROR(VLOOKUP($T$686,'TAR FIN'!$A$1:$O$116,15,0)),0,VLOOKUP($T$686,'TAR FIN'!$A$1:$O$116,15,0))</f>
        <v>242.43</v>
      </c>
      <c r="X686" s="6">
        <f>IF(ISERROR(VLOOKUP($U$686,'TAR FIN'!$A$1:$O$116,15,0)),0,VLOOKUP($U$686,'TAR FIN'!$A$1:$O$116,15,0))</f>
        <v>293.82</v>
      </c>
      <c r="Y686" s="6"/>
      <c r="Z68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6" s="6">
        <f>('TE BE'!$AB$17+'TE BF'!$AB$17+'TE CVA'!$AB$17)*(1-CUSTOS!$M$36)</f>
        <v>296.66772978557373</v>
      </c>
      <c r="AB686" s="6">
        <f t="shared" si="42"/>
        <v>0</v>
      </c>
      <c r="AC686" s="6">
        <f>(L686-M686)*(W686+X686)+($W$711+$X$711-$W$686-$X$686)*(L686)</f>
        <v>178133.22126000008</v>
      </c>
      <c r="AD686" s="6">
        <f t="shared" si="43"/>
        <v>0</v>
      </c>
      <c r="AE686" s="6">
        <f ca="1">(L686-M686)*(Z686+AA686)+($Z$711+$AA$711-$Z$686-$AA$686)*(L686)</f>
        <v>191027.06739673603</v>
      </c>
      <c r="AF686" s="4" t="s">
        <v>1116</v>
      </c>
    </row>
    <row r="687" spans="1:32" ht="11.25" customHeight="1" x14ac:dyDescent="0.25">
      <c r="A687" s="4" t="s">
        <v>27</v>
      </c>
      <c r="B687" s="4" t="s">
        <v>22</v>
      </c>
      <c r="C687" s="4" t="s">
        <v>23</v>
      </c>
      <c r="D687" s="4" t="s">
        <v>24</v>
      </c>
      <c r="E687" s="4" t="s">
        <v>31</v>
      </c>
      <c r="F687" s="4" t="s">
        <v>25</v>
      </c>
      <c r="G687" s="4" t="s">
        <v>25</v>
      </c>
      <c r="H687" s="4" t="s">
        <v>25</v>
      </c>
      <c r="I687" s="5">
        <v>44470</v>
      </c>
      <c r="J687" s="6">
        <v>0</v>
      </c>
      <c r="K687" s="6">
        <v>0</v>
      </c>
      <c r="L687" s="6">
        <v>-0.65900000000000003</v>
      </c>
      <c r="M687" s="6">
        <v>-0.65900000000000003</v>
      </c>
      <c r="N687" s="6">
        <v>-0.65900000000000003</v>
      </c>
      <c r="O687" s="6">
        <v>-0.65900000000000003</v>
      </c>
      <c r="P687" s="6">
        <v>-7</v>
      </c>
      <c r="Q687" s="4" t="s">
        <v>26</v>
      </c>
      <c r="R687" s="4">
        <v>0</v>
      </c>
      <c r="S687" s="4">
        <v>0</v>
      </c>
      <c r="T687" s="4">
        <v>44</v>
      </c>
      <c r="U687" s="4">
        <v>87</v>
      </c>
      <c r="V687" s="6">
        <f>IF(ISERROR(VLOOKUP($S$687,'TAR FIN'!$A$1:$O$116,15,0)),0,VLOOKUP($S$687,'TAR FIN'!$A$1:$O$116,15,0))</f>
        <v>0</v>
      </c>
      <c r="W687" s="6">
        <f>IF(ISERROR(VLOOKUP($T$687,'TAR FIN'!$A$1:$O$116,15,0)),0,VLOOKUP($T$687,'TAR FIN'!$A$1:$O$116,15,0))</f>
        <v>242.43</v>
      </c>
      <c r="X687" s="6">
        <f>IF(ISERROR(VLOOKUP($U$687,'TAR FIN'!$A$1:$O$116,15,0)),0,VLOOKUP($U$687,'TAR FIN'!$A$1:$O$116,15,0))</f>
        <v>293.82</v>
      </c>
      <c r="Y687" s="6"/>
      <c r="Z68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7" s="6">
        <f>('TE BE'!$AB$17+'TE BF'!$AB$17+'TE CVA'!$AB$17)*(1-CUSTOS!$M$36)</f>
        <v>296.66772978557373</v>
      </c>
      <c r="AB687" s="6">
        <f t="shared" si="42"/>
        <v>0</v>
      </c>
      <c r="AC687" s="6">
        <f>(L687-M687)*(W687+X687)+($W$711+$X$711-$W$687-$X$687)*(L687)</f>
        <v>-39.269810000000021</v>
      </c>
      <c r="AD687" s="6">
        <f t="shared" si="43"/>
        <v>0</v>
      </c>
      <c r="AE687" s="6">
        <f ca="1">(L687-M687)*(Z687+AA687)+($Z$711+$AA$711-$Z$687-$AA$687)*(L687)</f>
        <v>-42.112283090518112</v>
      </c>
      <c r="AF687" s="4" t="s">
        <v>1116</v>
      </c>
    </row>
    <row r="688" spans="1:32" ht="11.25" customHeight="1" x14ac:dyDescent="0.25">
      <c r="A688" s="4" t="s">
        <v>28</v>
      </c>
      <c r="B688" s="4" t="s">
        <v>22</v>
      </c>
      <c r="C688" s="4" t="s">
        <v>23</v>
      </c>
      <c r="D688" s="4" t="s">
        <v>24</v>
      </c>
      <c r="E688" s="4" t="s">
        <v>31</v>
      </c>
      <c r="F688" s="4" t="s">
        <v>25</v>
      </c>
      <c r="G688" s="4" t="s">
        <v>25</v>
      </c>
      <c r="H688" s="4" t="s">
        <v>25</v>
      </c>
      <c r="I688" s="5">
        <v>44470</v>
      </c>
      <c r="J688" s="6">
        <v>0</v>
      </c>
      <c r="K688" s="6">
        <v>0</v>
      </c>
      <c r="L688" s="6">
        <v>2.9409999999999998</v>
      </c>
      <c r="M688" s="6">
        <v>2.9409999999999998</v>
      </c>
      <c r="N688" s="6">
        <v>2.9409999999999998</v>
      </c>
      <c r="O688" s="6">
        <v>2.9409999999999998</v>
      </c>
      <c r="P688" s="6">
        <v>42</v>
      </c>
      <c r="Q688" s="4" t="s">
        <v>26</v>
      </c>
      <c r="R688" s="4">
        <v>0</v>
      </c>
      <c r="S688" s="4">
        <v>0</v>
      </c>
      <c r="T688" s="4">
        <v>44</v>
      </c>
      <c r="U688" s="4">
        <v>87</v>
      </c>
      <c r="V688" s="6">
        <f>IF(ISERROR(VLOOKUP($S$688,'TAR FIN'!$A$1:$O$116,15,0)),0,VLOOKUP($S$688,'TAR FIN'!$A$1:$O$116,15,0))</f>
        <v>0</v>
      </c>
      <c r="W688" s="6">
        <f>IF(ISERROR(VLOOKUP($T$688,'TAR FIN'!$A$1:$O$116,15,0)),0,VLOOKUP($T$688,'TAR FIN'!$A$1:$O$116,15,0))</f>
        <v>242.43</v>
      </c>
      <c r="X688" s="6">
        <f>IF(ISERROR(VLOOKUP($U$688,'TAR FIN'!$A$1:$O$116,15,0)),0,VLOOKUP($U$688,'TAR FIN'!$A$1:$O$116,15,0))</f>
        <v>293.82</v>
      </c>
      <c r="Y688" s="6"/>
      <c r="Z68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8" s="6">
        <f>('TE BE'!$AB$17+'TE BF'!$AB$17+'TE CVA'!$AB$17)*(1-CUSTOS!$M$36)</f>
        <v>296.66772978557373</v>
      </c>
      <c r="AB688" s="6">
        <f t="shared" si="42"/>
        <v>0</v>
      </c>
      <c r="AC688" s="6">
        <f>(L688-M688)*(W688+X688)+($W$711+$X$711-$W$688-$X$688)*(L688)</f>
        <v>175.25419000000008</v>
      </c>
      <c r="AD688" s="6">
        <f t="shared" si="43"/>
        <v>0</v>
      </c>
      <c r="AE688" s="6">
        <f ca="1">(L688-M688)*(Z688+AA688)+($Z$711+$AA$711-$Z$688-$AA$688)*(L688)</f>
        <v>187.93964274539263</v>
      </c>
      <c r="AF688" s="4" t="s">
        <v>1116</v>
      </c>
    </row>
    <row r="689" spans="1:32" ht="11.25" customHeight="1" x14ac:dyDescent="0.25">
      <c r="A689" s="4" t="s">
        <v>21</v>
      </c>
      <c r="B689" s="4" t="s">
        <v>22</v>
      </c>
      <c r="C689" s="4" t="s">
        <v>23</v>
      </c>
      <c r="D689" s="4" t="s">
        <v>24</v>
      </c>
      <c r="E689" s="4" t="s">
        <v>31</v>
      </c>
      <c r="F689" s="4" t="s">
        <v>25</v>
      </c>
      <c r="G689" s="4" t="s">
        <v>25</v>
      </c>
      <c r="H689" s="4" t="s">
        <v>25</v>
      </c>
      <c r="I689" s="5">
        <v>44501</v>
      </c>
      <c r="J689" s="6">
        <v>0</v>
      </c>
      <c r="K689" s="6">
        <v>0</v>
      </c>
      <c r="L689" s="6">
        <v>3090.9580000000001</v>
      </c>
      <c r="M689" s="6">
        <v>3090.9580000000001</v>
      </c>
      <c r="N689" s="6">
        <v>3090.9580000000001</v>
      </c>
      <c r="O689" s="6">
        <v>3090.9580000000001</v>
      </c>
      <c r="P689" s="6">
        <v>45323</v>
      </c>
      <c r="Q689" s="4" t="s">
        <v>26</v>
      </c>
      <c r="R689" s="4">
        <v>0</v>
      </c>
      <c r="S689" s="4">
        <v>0</v>
      </c>
      <c r="T689" s="4">
        <v>44</v>
      </c>
      <c r="U689" s="4">
        <v>87</v>
      </c>
      <c r="V689" s="6">
        <f>IF(ISERROR(VLOOKUP($S$689,'TAR FIN'!$A$1:$O$116,15,0)),0,VLOOKUP($S$689,'TAR FIN'!$A$1:$O$116,15,0))</f>
        <v>0</v>
      </c>
      <c r="W689" s="6">
        <f>IF(ISERROR(VLOOKUP($T$689,'TAR FIN'!$A$1:$O$116,15,0)),0,VLOOKUP($T$689,'TAR FIN'!$A$1:$O$116,15,0))</f>
        <v>242.43</v>
      </c>
      <c r="X689" s="6">
        <f>IF(ISERROR(VLOOKUP($U$689,'TAR FIN'!$A$1:$O$116,15,0)),0,VLOOKUP($U$689,'TAR FIN'!$A$1:$O$116,15,0))</f>
        <v>293.82</v>
      </c>
      <c r="Y689" s="6"/>
      <c r="Z68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89" s="6">
        <f>('TE BE'!$AB$17+'TE BF'!$AB$17+'TE CVA'!$AB$17)*(1-CUSTOS!$M$36)</f>
        <v>296.66772978557373</v>
      </c>
      <c r="AB689" s="6">
        <f t="shared" si="42"/>
        <v>0</v>
      </c>
      <c r="AC689" s="6">
        <f>(L689-M689)*(W689+X689)+($W$711+$X$711-$W$689-$X$689)*(L689)</f>
        <v>184190.18722000011</v>
      </c>
      <c r="AD689" s="6">
        <f t="shared" si="43"/>
        <v>0</v>
      </c>
      <c r="AE689" s="6">
        <f ca="1">(L689-M689)*(Z689+AA689)+($Z$711+$AA$711-$Z$689-$AA$689)*(L689)</f>
        <v>197522.45571608751</v>
      </c>
      <c r="AF689" s="4" t="s">
        <v>1116</v>
      </c>
    </row>
    <row r="690" spans="1:32" ht="11.25" customHeight="1" x14ac:dyDescent="0.25">
      <c r="A690" s="4" t="s">
        <v>27</v>
      </c>
      <c r="B690" s="4" t="s">
        <v>22</v>
      </c>
      <c r="C690" s="4" t="s">
        <v>23</v>
      </c>
      <c r="D690" s="4" t="s">
        <v>24</v>
      </c>
      <c r="E690" s="4" t="s">
        <v>31</v>
      </c>
      <c r="F690" s="4" t="s">
        <v>25</v>
      </c>
      <c r="G690" s="4" t="s">
        <v>25</v>
      </c>
      <c r="H690" s="4" t="s">
        <v>25</v>
      </c>
      <c r="I690" s="5">
        <v>44501</v>
      </c>
      <c r="J690" s="6">
        <v>0</v>
      </c>
      <c r="K690" s="6">
        <v>0</v>
      </c>
      <c r="L690" s="6">
        <v>-1.4450000000000001</v>
      </c>
      <c r="M690" s="6">
        <v>-1.4450000000000001</v>
      </c>
      <c r="N690" s="6">
        <v>-1.4450000000000001</v>
      </c>
      <c r="O690" s="6">
        <v>-1.4450000000000001</v>
      </c>
      <c r="P690" s="6">
        <v>-22</v>
      </c>
      <c r="Q690" s="4" t="s">
        <v>26</v>
      </c>
      <c r="R690" s="4">
        <v>0</v>
      </c>
      <c r="S690" s="4">
        <v>0</v>
      </c>
      <c r="T690" s="4">
        <v>44</v>
      </c>
      <c r="U690" s="4">
        <v>87</v>
      </c>
      <c r="V690" s="6">
        <f>IF(ISERROR(VLOOKUP($S$690,'TAR FIN'!$A$1:$O$116,15,0)),0,VLOOKUP($S$690,'TAR FIN'!$A$1:$O$116,15,0))</f>
        <v>0</v>
      </c>
      <c r="W690" s="6">
        <f>IF(ISERROR(VLOOKUP($T$690,'TAR FIN'!$A$1:$O$116,15,0)),0,VLOOKUP($T$690,'TAR FIN'!$A$1:$O$116,15,0))</f>
        <v>242.43</v>
      </c>
      <c r="X690" s="6">
        <f>IF(ISERROR(VLOOKUP($U$690,'TAR FIN'!$A$1:$O$116,15,0)),0,VLOOKUP($U$690,'TAR FIN'!$A$1:$O$116,15,0))</f>
        <v>293.82</v>
      </c>
      <c r="Y690" s="6"/>
      <c r="Z69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0" s="6">
        <f>('TE BE'!$AB$17+'TE BF'!$AB$17+'TE CVA'!$AB$17)*(1-CUSTOS!$M$36)</f>
        <v>296.66772978557373</v>
      </c>
      <c r="AB690" s="6">
        <f t="shared" si="42"/>
        <v>0</v>
      </c>
      <c r="AC690" s="6">
        <f>(L690-M690)*(W690+X690)+($W$711+$X$711-$W$690-$X$690)*(L690)</f>
        <v>-86.107550000000046</v>
      </c>
      <c r="AD690" s="6">
        <f t="shared" si="43"/>
        <v>0</v>
      </c>
      <c r="AE690" s="6">
        <f ca="1">(L690-M690)*(Z690+AA690)+($Z$711+$AA$711-$Z$690-$AA$690)*(L690)</f>
        <v>-92.340286898025298</v>
      </c>
      <c r="AF690" s="4" t="s">
        <v>1116</v>
      </c>
    </row>
    <row r="691" spans="1:32" ht="11.25" customHeight="1" x14ac:dyDescent="0.25">
      <c r="A691" s="4" t="s">
        <v>28</v>
      </c>
      <c r="B691" s="4" t="s">
        <v>22</v>
      </c>
      <c r="C691" s="4" t="s">
        <v>23</v>
      </c>
      <c r="D691" s="4" t="s">
        <v>24</v>
      </c>
      <c r="E691" s="4" t="s">
        <v>31</v>
      </c>
      <c r="F691" s="4" t="s">
        <v>25</v>
      </c>
      <c r="G691" s="4" t="s">
        <v>25</v>
      </c>
      <c r="H691" s="4" t="s">
        <v>25</v>
      </c>
      <c r="I691" s="5">
        <v>44501</v>
      </c>
      <c r="J691" s="6">
        <v>0</v>
      </c>
      <c r="K691" s="6">
        <v>0</v>
      </c>
      <c r="L691" s="6">
        <v>3.6320000000000001</v>
      </c>
      <c r="M691" s="6">
        <v>3.6320000000000001</v>
      </c>
      <c r="N691" s="6">
        <v>3.6320000000000001</v>
      </c>
      <c r="O691" s="6">
        <v>3.6320000000000001</v>
      </c>
      <c r="P691" s="6">
        <v>53</v>
      </c>
      <c r="Q691" s="4" t="s">
        <v>26</v>
      </c>
      <c r="R691" s="4">
        <v>0</v>
      </c>
      <c r="S691" s="4">
        <v>0</v>
      </c>
      <c r="T691" s="4">
        <v>44</v>
      </c>
      <c r="U691" s="4">
        <v>87</v>
      </c>
      <c r="V691" s="6">
        <f>IF(ISERROR(VLOOKUP($S$691,'TAR FIN'!$A$1:$O$116,15,0)),0,VLOOKUP($S$691,'TAR FIN'!$A$1:$O$116,15,0))</f>
        <v>0</v>
      </c>
      <c r="W691" s="6">
        <f>IF(ISERROR(VLOOKUP($T$691,'TAR FIN'!$A$1:$O$116,15,0)),0,VLOOKUP($T$691,'TAR FIN'!$A$1:$O$116,15,0))</f>
        <v>242.43</v>
      </c>
      <c r="X691" s="6">
        <f>IF(ISERROR(VLOOKUP($U$691,'TAR FIN'!$A$1:$O$116,15,0)),0,VLOOKUP($U$691,'TAR FIN'!$A$1:$O$116,15,0))</f>
        <v>293.82</v>
      </c>
      <c r="Y691" s="6"/>
      <c r="Z69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1" s="6">
        <f>('TE BE'!$AB$17+'TE BF'!$AB$17+'TE CVA'!$AB$17)*(1-CUSTOS!$M$36)</f>
        <v>296.66772978557373</v>
      </c>
      <c r="AB691" s="6">
        <f t="shared" si="42"/>
        <v>0</v>
      </c>
      <c r="AC691" s="6">
        <f>(L691-M691)*(W691+X691)+($W$711+$X$711-$W$691-$X$691)*(L691)</f>
        <v>216.43088000000012</v>
      </c>
      <c r="AD691" s="6">
        <f t="shared" si="43"/>
        <v>0</v>
      </c>
      <c r="AE691" s="6">
        <f ca="1">(L691-M691)*(Z691+AA691)+($Z$711+$AA$711-$Z$691-$AA$691)*(L691)</f>
        <v>232.09683184334108</v>
      </c>
      <c r="AF691" s="4" t="s">
        <v>1116</v>
      </c>
    </row>
    <row r="692" spans="1:32" ht="11.25" customHeight="1" x14ac:dyDescent="0.25">
      <c r="A692" s="4" t="s">
        <v>21</v>
      </c>
      <c r="B692" s="4" t="s">
        <v>22</v>
      </c>
      <c r="C692" s="4" t="s">
        <v>23</v>
      </c>
      <c r="D692" s="4" t="s">
        <v>24</v>
      </c>
      <c r="E692" s="4" t="s">
        <v>31</v>
      </c>
      <c r="F692" s="4" t="s">
        <v>25</v>
      </c>
      <c r="G692" s="4" t="s">
        <v>25</v>
      </c>
      <c r="H692" s="4" t="s">
        <v>25</v>
      </c>
      <c r="I692" s="5">
        <v>44531</v>
      </c>
      <c r="J692" s="6">
        <v>0</v>
      </c>
      <c r="K692" s="6">
        <v>0</v>
      </c>
      <c r="L692" s="6">
        <v>3567.2890000000002</v>
      </c>
      <c r="M692" s="6">
        <v>3567.2890000000002</v>
      </c>
      <c r="N692" s="6">
        <v>3567.2890000000002</v>
      </c>
      <c r="O692" s="6">
        <v>3567.2890000000002</v>
      </c>
      <c r="P692" s="6">
        <v>46719</v>
      </c>
      <c r="Q692" s="4" t="s">
        <v>26</v>
      </c>
      <c r="R692" s="4">
        <v>0</v>
      </c>
      <c r="S692" s="4">
        <v>0</v>
      </c>
      <c r="T692" s="4">
        <v>44</v>
      </c>
      <c r="U692" s="4">
        <v>87</v>
      </c>
      <c r="V692" s="6">
        <f>IF(ISERROR(VLOOKUP($S$692,'TAR FIN'!$A$1:$O$116,15,0)),0,VLOOKUP($S$692,'TAR FIN'!$A$1:$O$116,15,0))</f>
        <v>0</v>
      </c>
      <c r="W692" s="6">
        <f>IF(ISERROR(VLOOKUP($T$692,'TAR FIN'!$A$1:$O$116,15,0)),0,VLOOKUP($T$692,'TAR FIN'!$A$1:$O$116,15,0))</f>
        <v>242.43</v>
      </c>
      <c r="X692" s="6">
        <f>IF(ISERROR(VLOOKUP($U$692,'TAR FIN'!$A$1:$O$116,15,0)),0,VLOOKUP($U$692,'TAR FIN'!$A$1:$O$116,15,0))</f>
        <v>293.82</v>
      </c>
      <c r="Y692" s="6"/>
      <c r="Z69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2" s="6">
        <f>('TE BE'!$AB$17+'TE BF'!$AB$17+'TE CVA'!$AB$17)*(1-CUSTOS!$M$36)</f>
        <v>296.66772978557373</v>
      </c>
      <c r="AB692" s="6">
        <f t="shared" si="42"/>
        <v>0</v>
      </c>
      <c r="AC692" s="6">
        <f>(L692-M692)*(W692+X692)+($W$711+$X$711-$W$692-$X$692)*(L692)</f>
        <v>212574.75151000012</v>
      </c>
      <c r="AD692" s="6">
        <f t="shared" si="43"/>
        <v>0</v>
      </c>
      <c r="AE692" s="6">
        <f ca="1">(L692-M692)*(Z692+AA692)+($Z$711+$AA$711-$Z$692-$AA$692)*(L692)</f>
        <v>227961.58457312788</v>
      </c>
      <c r="AF692" s="4" t="s">
        <v>1116</v>
      </c>
    </row>
    <row r="693" spans="1:32" ht="11.25" customHeight="1" x14ac:dyDescent="0.25">
      <c r="A693" s="4" t="s">
        <v>27</v>
      </c>
      <c r="B693" s="4" t="s">
        <v>22</v>
      </c>
      <c r="C693" s="4" t="s">
        <v>23</v>
      </c>
      <c r="D693" s="4" t="s">
        <v>24</v>
      </c>
      <c r="E693" s="4" t="s">
        <v>31</v>
      </c>
      <c r="F693" s="4" t="s">
        <v>25</v>
      </c>
      <c r="G693" s="4" t="s">
        <v>25</v>
      </c>
      <c r="H693" s="4" t="s">
        <v>25</v>
      </c>
      <c r="I693" s="5">
        <v>44531</v>
      </c>
      <c r="J693" s="6">
        <v>0</v>
      </c>
      <c r="K693" s="6">
        <v>0</v>
      </c>
      <c r="L693" s="6">
        <v>-1.488</v>
      </c>
      <c r="M693" s="6">
        <v>-1.488</v>
      </c>
      <c r="N693" s="6">
        <v>-1.488</v>
      </c>
      <c r="O693" s="6">
        <v>-1.488</v>
      </c>
      <c r="P693" s="6">
        <v>-10</v>
      </c>
      <c r="Q693" s="4" t="s">
        <v>26</v>
      </c>
      <c r="R693" s="4">
        <v>0</v>
      </c>
      <c r="S693" s="4">
        <v>0</v>
      </c>
      <c r="T693" s="4">
        <v>44</v>
      </c>
      <c r="U693" s="4">
        <v>87</v>
      </c>
      <c r="V693" s="6">
        <f>IF(ISERROR(VLOOKUP($S$693,'TAR FIN'!$A$1:$O$116,15,0)),0,VLOOKUP($S$693,'TAR FIN'!$A$1:$O$116,15,0))</f>
        <v>0</v>
      </c>
      <c r="W693" s="6">
        <f>IF(ISERROR(VLOOKUP($T$693,'TAR FIN'!$A$1:$O$116,15,0)),0,VLOOKUP($T$693,'TAR FIN'!$A$1:$O$116,15,0))</f>
        <v>242.43</v>
      </c>
      <c r="X693" s="6">
        <f>IF(ISERROR(VLOOKUP($U$693,'TAR FIN'!$A$1:$O$116,15,0)),0,VLOOKUP($U$693,'TAR FIN'!$A$1:$O$116,15,0))</f>
        <v>293.82</v>
      </c>
      <c r="Y693" s="6"/>
      <c r="Z69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3" s="6">
        <f>('TE BE'!$AB$17+'TE BF'!$AB$17+'TE CVA'!$AB$17)*(1-CUSTOS!$M$36)</f>
        <v>296.66772978557373</v>
      </c>
      <c r="AB693" s="6">
        <f t="shared" si="42"/>
        <v>0</v>
      </c>
      <c r="AC693" s="6">
        <f>(L693-M693)*(W693+X693)+($W$711+$X$711-$W$693-$X$693)*(L693)</f>
        <v>-88.669920000000047</v>
      </c>
      <c r="AD693" s="6">
        <f t="shared" si="43"/>
        <v>0</v>
      </c>
      <c r="AE693" s="6">
        <f ca="1">(L693-M693)*(Z693+AA693)+($Z$711+$AA$711-$Z$693-$AA$693)*(L693)</f>
        <v>-95.088129345509785</v>
      </c>
      <c r="AF693" s="4" t="s">
        <v>1116</v>
      </c>
    </row>
    <row r="694" spans="1:32" ht="11.25" customHeight="1" x14ac:dyDescent="0.25">
      <c r="A694" s="4" t="s">
        <v>28</v>
      </c>
      <c r="B694" s="4" t="s">
        <v>22</v>
      </c>
      <c r="C694" s="4" t="s">
        <v>23</v>
      </c>
      <c r="D694" s="4" t="s">
        <v>24</v>
      </c>
      <c r="E694" s="4" t="s">
        <v>31</v>
      </c>
      <c r="F694" s="4" t="s">
        <v>25</v>
      </c>
      <c r="G694" s="4" t="s">
        <v>25</v>
      </c>
      <c r="H694" s="4" t="s">
        <v>25</v>
      </c>
      <c r="I694" s="5">
        <v>44531</v>
      </c>
      <c r="J694" s="6">
        <v>0</v>
      </c>
      <c r="K694" s="6">
        <v>0</v>
      </c>
      <c r="L694" s="6">
        <v>3.3340000000000001</v>
      </c>
      <c r="M694" s="6">
        <v>3.3340000000000001</v>
      </c>
      <c r="N694" s="6">
        <v>3.3340000000000001</v>
      </c>
      <c r="O694" s="6">
        <v>3.3340000000000001</v>
      </c>
      <c r="P694" s="6">
        <v>54</v>
      </c>
      <c r="Q694" s="4" t="s">
        <v>26</v>
      </c>
      <c r="R694" s="4">
        <v>0</v>
      </c>
      <c r="S694" s="4">
        <v>0</v>
      </c>
      <c r="T694" s="4">
        <v>44</v>
      </c>
      <c r="U694" s="4">
        <v>87</v>
      </c>
      <c r="V694" s="6">
        <f>IF(ISERROR(VLOOKUP($S$694,'TAR FIN'!$A$1:$O$116,15,0)),0,VLOOKUP($S$694,'TAR FIN'!$A$1:$O$116,15,0))</f>
        <v>0</v>
      </c>
      <c r="W694" s="6">
        <f>IF(ISERROR(VLOOKUP($T$694,'TAR FIN'!$A$1:$O$116,15,0)),0,VLOOKUP($T$694,'TAR FIN'!$A$1:$O$116,15,0))</f>
        <v>242.43</v>
      </c>
      <c r="X694" s="6">
        <f>IF(ISERROR(VLOOKUP($U$694,'TAR FIN'!$A$1:$O$116,15,0)),0,VLOOKUP($U$694,'TAR FIN'!$A$1:$O$116,15,0))</f>
        <v>293.82</v>
      </c>
      <c r="Y694" s="6"/>
      <c r="Z69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4" s="6">
        <f>('TE BE'!$AB$17+'TE BF'!$AB$17+'TE CVA'!$AB$17)*(1-CUSTOS!$M$36)</f>
        <v>296.66772978557373</v>
      </c>
      <c r="AB694" s="6">
        <f t="shared" si="42"/>
        <v>0</v>
      </c>
      <c r="AC694" s="6">
        <f>(L694-M694)*(W694+X694)+($W$711+$X$711-$W$694-$X$694)*(L694)</f>
        <v>198.67306000000011</v>
      </c>
      <c r="AD694" s="6">
        <f t="shared" si="43"/>
        <v>0</v>
      </c>
      <c r="AE694" s="6">
        <f ca="1">(L694-M694)*(Z694+AA694)+($Z$711+$AA$711-$Z$694-$AA$694)*(L694)</f>
        <v>213.05364464914626</v>
      </c>
      <c r="AF694" s="4" t="s">
        <v>1116</v>
      </c>
    </row>
    <row r="695" spans="1:32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31</v>
      </c>
      <c r="F695" s="4" t="s">
        <v>25</v>
      </c>
      <c r="G695" s="4" t="s">
        <v>25</v>
      </c>
      <c r="H695" s="4" t="s">
        <v>25</v>
      </c>
      <c r="I695" s="5">
        <v>44562</v>
      </c>
      <c r="J695" s="6">
        <v>0</v>
      </c>
      <c r="K695" s="6">
        <v>0</v>
      </c>
      <c r="L695" s="6">
        <v>3565.6320000000001</v>
      </c>
      <c r="M695" s="6">
        <v>3565.6320000000001</v>
      </c>
      <c r="N695" s="6">
        <v>3565.6320000000001</v>
      </c>
      <c r="O695" s="6">
        <v>3565.6320000000001</v>
      </c>
      <c r="P695" s="6">
        <v>47479</v>
      </c>
      <c r="Q695" s="4" t="s">
        <v>26</v>
      </c>
      <c r="R695" s="4">
        <v>0</v>
      </c>
      <c r="S695" s="4">
        <v>0</v>
      </c>
      <c r="T695" s="4">
        <v>44</v>
      </c>
      <c r="U695" s="4">
        <v>87</v>
      </c>
      <c r="V695" s="6">
        <f>IF(ISERROR(VLOOKUP($S$695,'TAR FIN'!$A$1:$O$116,15,0)),0,VLOOKUP($S$695,'TAR FIN'!$A$1:$O$116,15,0))</f>
        <v>0</v>
      </c>
      <c r="W695" s="6">
        <f>IF(ISERROR(VLOOKUP($T$695,'TAR FIN'!$A$1:$O$116,15,0)),0,VLOOKUP($T$695,'TAR FIN'!$A$1:$O$116,15,0))</f>
        <v>242.43</v>
      </c>
      <c r="X695" s="6">
        <f>IF(ISERROR(VLOOKUP($U$695,'TAR FIN'!$A$1:$O$116,15,0)),0,VLOOKUP($U$695,'TAR FIN'!$A$1:$O$116,15,0))</f>
        <v>293.82</v>
      </c>
      <c r="Y695" s="6"/>
      <c r="Z69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5" s="6">
        <f>('TE BE'!$AB$17+'TE BF'!$AB$17+'TE CVA'!$AB$17)*(1-CUSTOS!$M$36)</f>
        <v>296.66772978557373</v>
      </c>
      <c r="AB695" s="6">
        <f t="shared" si="42"/>
        <v>0</v>
      </c>
      <c r="AC695" s="6">
        <f>(L695-M695)*(W695+X695)+($W$711+$X$711-$W$695-$X$695)*(L695)</f>
        <v>212476.0108800001</v>
      </c>
      <c r="AD695" s="6">
        <f t="shared" si="43"/>
        <v>0</v>
      </c>
      <c r="AE695" s="6">
        <f ca="1">(L695-M695)*(Z695+AA695)+($Z$711+$AA$711-$Z$695-$AA$695)*(L695)</f>
        <v>227855.69678393062</v>
      </c>
      <c r="AF695" s="4" t="s">
        <v>1116</v>
      </c>
    </row>
    <row r="696" spans="1:32" ht="11.25" customHeight="1" x14ac:dyDescent="0.25">
      <c r="A696" s="4" t="s">
        <v>27</v>
      </c>
      <c r="B696" s="4" t="s">
        <v>22</v>
      </c>
      <c r="C696" s="4" t="s">
        <v>23</v>
      </c>
      <c r="D696" s="4" t="s">
        <v>24</v>
      </c>
      <c r="E696" s="4" t="s">
        <v>31</v>
      </c>
      <c r="F696" s="4" t="s">
        <v>25</v>
      </c>
      <c r="G696" s="4" t="s">
        <v>25</v>
      </c>
      <c r="H696" s="4" t="s">
        <v>25</v>
      </c>
      <c r="I696" s="5">
        <v>44562</v>
      </c>
      <c r="J696" s="6">
        <v>0</v>
      </c>
      <c r="K696" s="6">
        <v>0</v>
      </c>
      <c r="L696" s="6">
        <v>-0.56299999999999994</v>
      </c>
      <c r="M696" s="6">
        <v>-0.56299999999999994</v>
      </c>
      <c r="N696" s="6">
        <v>-0.56299999999999994</v>
      </c>
      <c r="O696" s="6">
        <v>-0.56299999999999994</v>
      </c>
      <c r="P696" s="6">
        <v>-5</v>
      </c>
      <c r="Q696" s="4" t="s">
        <v>26</v>
      </c>
      <c r="R696" s="4">
        <v>0</v>
      </c>
      <c r="S696" s="4">
        <v>0</v>
      </c>
      <c r="T696" s="4">
        <v>44</v>
      </c>
      <c r="U696" s="4">
        <v>87</v>
      </c>
      <c r="V696" s="6">
        <f>IF(ISERROR(VLOOKUP($S$696,'TAR FIN'!$A$1:$O$116,15,0)),0,VLOOKUP($S$696,'TAR FIN'!$A$1:$O$116,15,0))</f>
        <v>0</v>
      </c>
      <c r="W696" s="6">
        <f>IF(ISERROR(VLOOKUP($T$696,'TAR FIN'!$A$1:$O$116,15,0)),0,VLOOKUP($T$696,'TAR FIN'!$A$1:$O$116,15,0))</f>
        <v>242.43</v>
      </c>
      <c r="X696" s="6">
        <f>IF(ISERROR(VLOOKUP($U$696,'TAR FIN'!$A$1:$O$116,15,0)),0,VLOOKUP($U$696,'TAR FIN'!$A$1:$O$116,15,0))</f>
        <v>293.82</v>
      </c>
      <c r="Y696" s="6"/>
      <c r="Z69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6" s="6">
        <f>('TE BE'!$AB$17+'TE BF'!$AB$17+'TE CVA'!$AB$17)*(1-CUSTOS!$M$36)</f>
        <v>296.66772978557373</v>
      </c>
      <c r="AB696" s="6">
        <f t="shared" si="42"/>
        <v>0</v>
      </c>
      <c r="AC696" s="6">
        <f>(L696-M696)*(W696+X696)+($W$711+$X$711-$W$696-$X$696)*(L696)</f>
        <v>-33.549170000000018</v>
      </c>
      <c r="AD696" s="6">
        <f t="shared" si="43"/>
        <v>0</v>
      </c>
      <c r="AE696" s="6">
        <f ca="1">(L696-M696)*(Z696+AA696)+($Z$711+$AA$711-$Z$696-$AA$696)*(L696)</f>
        <v>-35.97756506822715</v>
      </c>
      <c r="AF696" s="4" t="s">
        <v>1116</v>
      </c>
    </row>
    <row r="697" spans="1:32" ht="11.25" customHeight="1" x14ac:dyDescent="0.25">
      <c r="A697" s="4" t="s">
        <v>28</v>
      </c>
      <c r="B697" s="4" t="s">
        <v>22</v>
      </c>
      <c r="C697" s="4" t="s">
        <v>23</v>
      </c>
      <c r="D697" s="4" t="s">
        <v>24</v>
      </c>
      <c r="E697" s="4" t="s">
        <v>31</v>
      </c>
      <c r="F697" s="4" t="s">
        <v>25</v>
      </c>
      <c r="G697" s="4" t="s">
        <v>25</v>
      </c>
      <c r="H697" s="4" t="s">
        <v>25</v>
      </c>
      <c r="I697" s="5">
        <v>44562</v>
      </c>
      <c r="J697" s="6">
        <v>0</v>
      </c>
      <c r="K697" s="6">
        <v>0</v>
      </c>
      <c r="L697" s="6">
        <v>3.9670000000000001</v>
      </c>
      <c r="M697" s="6">
        <v>3.9670000000000001</v>
      </c>
      <c r="N697" s="6">
        <v>3.9670000000000001</v>
      </c>
      <c r="O697" s="6">
        <v>3.9670000000000001</v>
      </c>
      <c r="P697" s="6">
        <v>64</v>
      </c>
      <c r="Q697" s="4" t="s">
        <v>26</v>
      </c>
      <c r="R697" s="4">
        <v>0</v>
      </c>
      <c r="S697" s="4">
        <v>0</v>
      </c>
      <c r="T697" s="4">
        <v>44</v>
      </c>
      <c r="U697" s="4">
        <v>87</v>
      </c>
      <c r="V697" s="6">
        <f>IF(ISERROR(VLOOKUP($S$697,'TAR FIN'!$A$1:$O$116,15,0)),0,VLOOKUP($S$697,'TAR FIN'!$A$1:$O$116,15,0))</f>
        <v>0</v>
      </c>
      <c r="W697" s="6">
        <f>IF(ISERROR(VLOOKUP($T$697,'TAR FIN'!$A$1:$O$116,15,0)),0,VLOOKUP($T$697,'TAR FIN'!$A$1:$O$116,15,0))</f>
        <v>242.43</v>
      </c>
      <c r="X697" s="6">
        <f>IF(ISERROR(VLOOKUP($U$697,'TAR FIN'!$A$1:$O$116,15,0)),0,VLOOKUP($U$697,'TAR FIN'!$A$1:$O$116,15,0))</f>
        <v>293.82</v>
      </c>
      <c r="Y697" s="6"/>
      <c r="Z69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7" s="6">
        <f>('TE BE'!$AB$17+'TE BF'!$AB$17+'TE CVA'!$AB$17)*(1-CUSTOS!$M$36)</f>
        <v>296.66772978557373</v>
      </c>
      <c r="AB697" s="6">
        <f t="shared" si="42"/>
        <v>0</v>
      </c>
      <c r="AC697" s="6">
        <f>(L697-M697)*(W697+X697)+($W$711+$X$711-$W$697-$X$697)*(L697)</f>
        <v>236.39353000000014</v>
      </c>
      <c r="AD697" s="6">
        <f t="shared" si="43"/>
        <v>0</v>
      </c>
      <c r="AE697" s="6">
        <f ca="1">(L697-M697)*(Z697+AA697)+($Z$711+$AA$711-$Z$697-$AA$697)*(L697)</f>
        <v>253.50444160862722</v>
      </c>
      <c r="AF697" s="4" t="s">
        <v>1116</v>
      </c>
    </row>
    <row r="698" spans="1:32" ht="11.25" customHeight="1" x14ac:dyDescent="0.25">
      <c r="A698" s="4" t="s">
        <v>21</v>
      </c>
      <c r="B698" s="4" t="s">
        <v>22</v>
      </c>
      <c r="C698" s="4" t="s">
        <v>23</v>
      </c>
      <c r="D698" s="4" t="s">
        <v>24</v>
      </c>
      <c r="E698" s="4" t="s">
        <v>31</v>
      </c>
      <c r="F698" s="4" t="s">
        <v>25</v>
      </c>
      <c r="G698" s="4" t="s">
        <v>25</v>
      </c>
      <c r="H698" s="4" t="s">
        <v>25</v>
      </c>
      <c r="I698" s="5">
        <v>44593</v>
      </c>
      <c r="J698" s="6">
        <v>0</v>
      </c>
      <c r="K698" s="6">
        <v>0</v>
      </c>
      <c r="L698" s="6">
        <v>3335.3310000000001</v>
      </c>
      <c r="M698" s="6">
        <v>3335.3310000000001</v>
      </c>
      <c r="N698" s="6">
        <v>3335.3310000000001</v>
      </c>
      <c r="O698" s="6">
        <v>3335.3310000000001</v>
      </c>
      <c r="P698" s="6">
        <v>48530</v>
      </c>
      <c r="Q698" s="4" t="s">
        <v>26</v>
      </c>
      <c r="R698" s="4">
        <v>0</v>
      </c>
      <c r="S698" s="4">
        <v>0</v>
      </c>
      <c r="T698" s="4">
        <v>44</v>
      </c>
      <c r="U698" s="4">
        <v>87</v>
      </c>
      <c r="V698" s="6">
        <f>IF(ISERROR(VLOOKUP($S$698,'TAR FIN'!$A$1:$O$116,15,0)),0,VLOOKUP($S$698,'TAR FIN'!$A$1:$O$116,15,0))</f>
        <v>0</v>
      </c>
      <c r="W698" s="6">
        <f>IF(ISERROR(VLOOKUP($T$698,'TAR FIN'!$A$1:$O$116,15,0)),0,VLOOKUP($T$698,'TAR FIN'!$A$1:$O$116,15,0))</f>
        <v>242.43</v>
      </c>
      <c r="X698" s="6">
        <f>IF(ISERROR(VLOOKUP($U$698,'TAR FIN'!$A$1:$O$116,15,0)),0,VLOOKUP($U$698,'TAR FIN'!$A$1:$O$116,15,0))</f>
        <v>293.82</v>
      </c>
      <c r="Y698" s="6"/>
      <c r="Z69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8" s="6">
        <f>('TE BE'!$AB$17+'TE BF'!$AB$17+'TE CVA'!$AB$17)*(1-CUSTOS!$M$36)</f>
        <v>296.66772978557373</v>
      </c>
      <c r="AB698" s="6">
        <f t="shared" si="42"/>
        <v>0</v>
      </c>
      <c r="AC698" s="6">
        <f>(L698-M698)*(W698+X698)+($W$711+$X$711-$W$698-$X$698)*(L698)</f>
        <v>198752.37429000012</v>
      </c>
      <c r="AD698" s="6">
        <f t="shared" si="43"/>
        <v>0</v>
      </c>
      <c r="AE698" s="6">
        <f ca="1">(L698-M698)*(Z698+AA698)+($Z$711+$AA$711-$Z$698-$AA$698)*(L698)</f>
        <v>213138.6999583928</v>
      </c>
      <c r="AF698" s="4" t="s">
        <v>1116</v>
      </c>
    </row>
    <row r="699" spans="1:32" ht="11.25" customHeight="1" x14ac:dyDescent="0.25">
      <c r="A699" s="4" t="s">
        <v>27</v>
      </c>
      <c r="B699" s="4" t="s">
        <v>22</v>
      </c>
      <c r="C699" s="4" t="s">
        <v>23</v>
      </c>
      <c r="D699" s="4" t="s">
        <v>24</v>
      </c>
      <c r="E699" s="4" t="s">
        <v>31</v>
      </c>
      <c r="F699" s="4" t="s">
        <v>25</v>
      </c>
      <c r="G699" s="4" t="s">
        <v>25</v>
      </c>
      <c r="H699" s="4" t="s">
        <v>25</v>
      </c>
      <c r="I699" s="5">
        <v>44593</v>
      </c>
      <c r="J699" s="6">
        <v>0</v>
      </c>
      <c r="K699" s="6">
        <v>0</v>
      </c>
      <c r="L699" s="6">
        <v>-3.4079999999999999</v>
      </c>
      <c r="M699" s="6">
        <v>-3.4079999999999999</v>
      </c>
      <c r="N699" s="6">
        <v>-3.4079999999999999</v>
      </c>
      <c r="O699" s="6">
        <v>-3.4079999999999999</v>
      </c>
      <c r="P699" s="6">
        <v>-30</v>
      </c>
      <c r="Q699" s="4" t="s">
        <v>26</v>
      </c>
      <c r="R699" s="4">
        <v>0</v>
      </c>
      <c r="S699" s="4">
        <v>0</v>
      </c>
      <c r="T699" s="4">
        <v>44</v>
      </c>
      <c r="U699" s="4">
        <v>87</v>
      </c>
      <c r="V699" s="6">
        <f>IF(ISERROR(VLOOKUP($S$699,'TAR FIN'!$A$1:$O$116,15,0)),0,VLOOKUP($S$699,'TAR FIN'!$A$1:$O$116,15,0))</f>
        <v>0</v>
      </c>
      <c r="W699" s="6">
        <f>IF(ISERROR(VLOOKUP($T$699,'TAR FIN'!$A$1:$O$116,15,0)),0,VLOOKUP($T$699,'TAR FIN'!$A$1:$O$116,15,0))</f>
        <v>242.43</v>
      </c>
      <c r="X699" s="6">
        <f>IF(ISERROR(VLOOKUP($U$699,'TAR FIN'!$A$1:$O$116,15,0)),0,VLOOKUP($U$699,'TAR FIN'!$A$1:$O$116,15,0))</f>
        <v>293.82</v>
      </c>
      <c r="Y699" s="6"/>
      <c r="Z69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699" s="6">
        <f>('TE BE'!$AB$17+'TE BF'!$AB$17+'TE CVA'!$AB$17)*(1-CUSTOS!$M$36)</f>
        <v>296.66772978557373</v>
      </c>
      <c r="AB699" s="6">
        <f t="shared" si="42"/>
        <v>0</v>
      </c>
      <c r="AC699" s="6">
        <f>(L699-M699)*(W699+X699)+($W$711+$X$711-$W$699-$X$699)*(L699)</f>
        <v>-203.08272000000011</v>
      </c>
      <c r="AD699" s="6">
        <f t="shared" si="43"/>
        <v>0</v>
      </c>
      <c r="AE699" s="6">
        <f ca="1">(L699-M699)*(Z699+AA699)+($Z$711+$AA$711-$Z$699-$AA$699)*(L699)</f>
        <v>-217.78248979132886</v>
      </c>
      <c r="AF699" s="4" t="s">
        <v>1116</v>
      </c>
    </row>
    <row r="700" spans="1:32" ht="11.25" customHeight="1" x14ac:dyDescent="0.25">
      <c r="A700" s="4" t="s">
        <v>28</v>
      </c>
      <c r="B700" s="4" t="s">
        <v>22</v>
      </c>
      <c r="C700" s="4" t="s">
        <v>23</v>
      </c>
      <c r="D700" s="4" t="s">
        <v>24</v>
      </c>
      <c r="E700" s="4" t="s">
        <v>31</v>
      </c>
      <c r="F700" s="4" t="s">
        <v>25</v>
      </c>
      <c r="G700" s="4" t="s">
        <v>25</v>
      </c>
      <c r="H700" s="4" t="s">
        <v>25</v>
      </c>
      <c r="I700" s="5">
        <v>44593</v>
      </c>
      <c r="J700" s="6">
        <v>0</v>
      </c>
      <c r="K700" s="6">
        <v>0</v>
      </c>
      <c r="L700" s="6">
        <v>4.6959999999999997</v>
      </c>
      <c r="M700" s="6">
        <v>4.6959999999999997</v>
      </c>
      <c r="N700" s="6">
        <v>4.6959999999999997</v>
      </c>
      <c r="O700" s="6">
        <v>4.6959999999999997</v>
      </c>
      <c r="P700" s="6">
        <v>78</v>
      </c>
      <c r="Q700" s="4" t="s">
        <v>26</v>
      </c>
      <c r="R700" s="4">
        <v>0</v>
      </c>
      <c r="S700" s="4">
        <v>0</v>
      </c>
      <c r="T700" s="4">
        <v>44</v>
      </c>
      <c r="U700" s="4">
        <v>87</v>
      </c>
      <c r="V700" s="6">
        <f>IF(ISERROR(VLOOKUP($S$700,'TAR FIN'!$A$1:$O$116,15,0)),0,VLOOKUP($S$700,'TAR FIN'!$A$1:$O$116,15,0))</f>
        <v>0</v>
      </c>
      <c r="W700" s="6">
        <f>IF(ISERROR(VLOOKUP($T$700,'TAR FIN'!$A$1:$O$116,15,0)),0,VLOOKUP($T$700,'TAR FIN'!$A$1:$O$116,15,0))</f>
        <v>242.43</v>
      </c>
      <c r="X700" s="6">
        <f>IF(ISERROR(VLOOKUP($U$700,'TAR FIN'!$A$1:$O$116,15,0)),0,VLOOKUP($U$700,'TAR FIN'!$A$1:$O$116,15,0))</f>
        <v>293.82</v>
      </c>
      <c r="Y700" s="6"/>
      <c r="Z70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0" s="6">
        <f>('TE BE'!$AB$17+'TE BF'!$AB$17+'TE CVA'!$AB$17)*(1-CUSTOS!$M$36)</f>
        <v>296.66772978557373</v>
      </c>
      <c r="AB700" s="6">
        <f t="shared" si="42"/>
        <v>0</v>
      </c>
      <c r="AC700" s="6">
        <f>(L700-M700)*(W700+X700)+($W$711+$X$711-$W$700-$X$700)*(L700)</f>
        <v>279.83464000000015</v>
      </c>
      <c r="AD700" s="6">
        <f t="shared" si="43"/>
        <v>0</v>
      </c>
      <c r="AE700" s="6">
        <f ca="1">(L700-M700)*(Z700+AA700)+($Z$711+$AA$711-$Z$700-$AA$700)*(L700)</f>
        <v>300.08995659039914</v>
      </c>
      <c r="AF700" s="4" t="s">
        <v>1116</v>
      </c>
    </row>
    <row r="701" spans="1:32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31</v>
      </c>
      <c r="F701" s="4" t="s">
        <v>25</v>
      </c>
      <c r="G701" s="4" t="s">
        <v>25</v>
      </c>
      <c r="H701" s="4" t="s">
        <v>25</v>
      </c>
      <c r="I701" s="5">
        <v>44621</v>
      </c>
      <c r="J701" s="6">
        <v>0</v>
      </c>
      <c r="K701" s="6">
        <v>0</v>
      </c>
      <c r="L701" s="6">
        <v>4144.8900000000003</v>
      </c>
      <c r="M701" s="6">
        <v>4144.8900000000003</v>
      </c>
      <c r="N701" s="6">
        <v>4144.8900000000003</v>
      </c>
      <c r="O701" s="6">
        <v>4144.8900000000003</v>
      </c>
      <c r="P701" s="6">
        <v>51712</v>
      </c>
      <c r="Q701" s="4" t="s">
        <v>26</v>
      </c>
      <c r="R701" s="4">
        <v>0</v>
      </c>
      <c r="S701" s="4">
        <v>0</v>
      </c>
      <c r="T701" s="4">
        <v>44</v>
      </c>
      <c r="U701" s="4">
        <v>87</v>
      </c>
      <c r="V701" s="6">
        <f>IF(ISERROR(VLOOKUP($S$701,'TAR FIN'!$A$1:$O$116,15,0)),0,VLOOKUP($S$701,'TAR FIN'!$A$1:$O$116,15,0))</f>
        <v>0</v>
      </c>
      <c r="W701" s="6">
        <f>IF(ISERROR(VLOOKUP($T$701,'TAR FIN'!$A$1:$O$116,15,0)),0,VLOOKUP($T$701,'TAR FIN'!$A$1:$O$116,15,0))</f>
        <v>242.43</v>
      </c>
      <c r="X701" s="6">
        <f>IF(ISERROR(VLOOKUP($U$701,'TAR FIN'!$A$1:$O$116,15,0)),0,VLOOKUP($U$701,'TAR FIN'!$A$1:$O$116,15,0))</f>
        <v>293.82</v>
      </c>
      <c r="Y701" s="6"/>
      <c r="Z701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1" s="6">
        <f>('TE BE'!$AB$17+'TE BF'!$AB$17+'TE CVA'!$AB$17)*(1-CUSTOS!$M$36)</f>
        <v>296.66772978557373</v>
      </c>
      <c r="AB701" s="6">
        <f t="shared" si="42"/>
        <v>0</v>
      </c>
      <c r="AC701" s="6">
        <f>(L701-M701)*(W701+X701)+($W$711+$X$711-$W$701-$X$701)*(L701)</f>
        <v>246993.99510000015</v>
      </c>
      <c r="AD701" s="6">
        <f t="shared" si="43"/>
        <v>0</v>
      </c>
      <c r="AE701" s="6">
        <f ca="1">(L701-M701)*(Z701+AA701)+($Z$711+$AA$711-$Z$701-$AA$701)*(L701)</f>
        <v>264872.20191055787</v>
      </c>
      <c r="AF701" s="4" t="s">
        <v>1116</v>
      </c>
    </row>
    <row r="702" spans="1:32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31</v>
      </c>
      <c r="F702" s="4" t="s">
        <v>25</v>
      </c>
      <c r="G702" s="4" t="s">
        <v>25</v>
      </c>
      <c r="H702" s="4" t="s">
        <v>25</v>
      </c>
      <c r="I702" s="5">
        <v>44621</v>
      </c>
      <c r="J702" s="6">
        <v>0</v>
      </c>
      <c r="K702" s="6">
        <v>0</v>
      </c>
      <c r="L702" s="6">
        <v>-0.98499999999999999</v>
      </c>
      <c r="M702" s="6">
        <v>-0.98499999999999999</v>
      </c>
      <c r="N702" s="6">
        <v>-0.98499999999999999</v>
      </c>
      <c r="O702" s="6">
        <v>-0.98499999999999999</v>
      </c>
      <c r="P702" s="6">
        <v>-9</v>
      </c>
      <c r="Q702" s="4" t="s">
        <v>26</v>
      </c>
      <c r="R702" s="4">
        <v>0</v>
      </c>
      <c r="S702" s="4">
        <v>0</v>
      </c>
      <c r="T702" s="4">
        <v>44</v>
      </c>
      <c r="U702" s="4">
        <v>87</v>
      </c>
      <c r="V702" s="6">
        <f>IF(ISERROR(VLOOKUP($S$702,'TAR FIN'!$A$1:$O$116,15,0)),0,VLOOKUP($S$702,'TAR FIN'!$A$1:$O$116,15,0))</f>
        <v>0</v>
      </c>
      <c r="W702" s="6">
        <f>IF(ISERROR(VLOOKUP($T$702,'TAR FIN'!$A$1:$O$116,15,0)),0,VLOOKUP($T$702,'TAR FIN'!$A$1:$O$116,15,0))</f>
        <v>242.43</v>
      </c>
      <c r="X702" s="6">
        <f>IF(ISERROR(VLOOKUP($U$702,'TAR FIN'!$A$1:$O$116,15,0)),0,VLOOKUP($U$702,'TAR FIN'!$A$1:$O$116,15,0))</f>
        <v>293.82</v>
      </c>
      <c r="Y702" s="6"/>
      <c r="Z702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2" s="6">
        <f>('TE BE'!$AB$17+'TE BF'!$AB$17+'TE CVA'!$AB$17)*(1-CUSTOS!$M$36)</f>
        <v>296.66772978557373</v>
      </c>
      <c r="AB702" s="6">
        <f t="shared" si="42"/>
        <v>0</v>
      </c>
      <c r="AC702" s="6">
        <f>(L702-M702)*(W702+X702)+($W$711+$X$711-$W$702-$X$702)*(L702)</f>
        <v>-58.696150000000031</v>
      </c>
      <c r="AD702" s="6">
        <f t="shared" si="43"/>
        <v>0</v>
      </c>
      <c r="AE702" s="6">
        <f ca="1">(L702-M702)*(Z702+AA702)+($Z$711+$AA$711-$Z$702-$AA$702)*(L702)</f>
        <v>-62.944763041214472</v>
      </c>
      <c r="AF702" s="4" t="s">
        <v>1116</v>
      </c>
    </row>
    <row r="703" spans="1:32" ht="11.25" customHeight="1" x14ac:dyDescent="0.25">
      <c r="A703" s="4" t="s">
        <v>28</v>
      </c>
      <c r="B703" s="4" t="s">
        <v>22</v>
      </c>
      <c r="C703" s="4" t="s">
        <v>23</v>
      </c>
      <c r="D703" s="4" t="s">
        <v>24</v>
      </c>
      <c r="E703" s="4" t="s">
        <v>31</v>
      </c>
      <c r="F703" s="4" t="s">
        <v>25</v>
      </c>
      <c r="G703" s="4" t="s">
        <v>25</v>
      </c>
      <c r="H703" s="4" t="s">
        <v>25</v>
      </c>
      <c r="I703" s="5">
        <v>44621</v>
      </c>
      <c r="J703" s="6">
        <v>0</v>
      </c>
      <c r="K703" s="6">
        <v>0</v>
      </c>
      <c r="L703" s="6">
        <v>5.1989999999999998</v>
      </c>
      <c r="M703" s="6">
        <v>5.1989999999999998</v>
      </c>
      <c r="N703" s="6">
        <v>5.1989999999999998</v>
      </c>
      <c r="O703" s="6">
        <v>5.1989999999999998</v>
      </c>
      <c r="P703" s="6">
        <v>72</v>
      </c>
      <c r="Q703" s="4" t="s">
        <v>26</v>
      </c>
      <c r="R703" s="4">
        <v>0</v>
      </c>
      <c r="S703" s="4">
        <v>0</v>
      </c>
      <c r="T703" s="4">
        <v>44</v>
      </c>
      <c r="U703" s="4">
        <v>87</v>
      </c>
      <c r="V703" s="6">
        <f>IF(ISERROR(VLOOKUP($S$703,'TAR FIN'!$A$1:$O$116,15,0)),0,VLOOKUP($S$703,'TAR FIN'!$A$1:$O$116,15,0))</f>
        <v>0</v>
      </c>
      <c r="W703" s="6">
        <f>IF(ISERROR(VLOOKUP($T$703,'TAR FIN'!$A$1:$O$116,15,0)),0,VLOOKUP($T$703,'TAR FIN'!$A$1:$O$116,15,0))</f>
        <v>242.43</v>
      </c>
      <c r="X703" s="6">
        <f>IF(ISERROR(VLOOKUP($U$703,'TAR FIN'!$A$1:$O$116,15,0)),0,VLOOKUP($U$703,'TAR FIN'!$A$1:$O$116,15,0))</f>
        <v>293.82</v>
      </c>
      <c r="Y703" s="6"/>
      <c r="Z703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3" s="6">
        <f>('TE BE'!$AB$17+'TE BF'!$AB$17+'TE CVA'!$AB$17)*(1-CUSTOS!$M$36)</f>
        <v>296.66772978557373</v>
      </c>
      <c r="AB703" s="6">
        <f t="shared" si="42"/>
        <v>0</v>
      </c>
      <c r="AC703" s="6">
        <f>(L703-M703)*(W703+X703)+($W$711+$X$711-$W$703-$X$703)*(L703)</f>
        <v>309.80841000000015</v>
      </c>
      <c r="AD703" s="6">
        <f t="shared" si="43"/>
        <v>0</v>
      </c>
      <c r="AE703" s="6">
        <f ca="1">(L703-M703)*(Z703+AA703)+($Z$711+$AA$711-$Z$703-$AA$703)*(L703)</f>
        <v>332.23332289469448</v>
      </c>
      <c r="AF703" s="4" t="s">
        <v>1116</v>
      </c>
    </row>
    <row r="704" spans="1:32" ht="11.25" customHeight="1" x14ac:dyDescent="0.25">
      <c r="A704" s="4" t="s">
        <v>28</v>
      </c>
      <c r="B704" s="4" t="s">
        <v>22</v>
      </c>
      <c r="C704" s="4" t="s">
        <v>23</v>
      </c>
      <c r="D704" s="4" t="s">
        <v>24</v>
      </c>
      <c r="E704" s="4" t="s">
        <v>31</v>
      </c>
      <c r="F704" s="4" t="s">
        <v>25</v>
      </c>
      <c r="G704" s="4" t="s">
        <v>25</v>
      </c>
      <c r="H704" s="4" t="s">
        <v>25</v>
      </c>
      <c r="I704" s="5">
        <v>44621</v>
      </c>
      <c r="J704" s="6">
        <v>0</v>
      </c>
      <c r="K704" s="6">
        <v>0</v>
      </c>
      <c r="L704" s="6">
        <v>-0.12</v>
      </c>
      <c r="M704" s="6">
        <v>-0.12</v>
      </c>
      <c r="N704" s="6">
        <v>-0.12</v>
      </c>
      <c r="O704" s="6">
        <v>-0.12</v>
      </c>
      <c r="P704" s="6">
        <v>0</v>
      </c>
      <c r="Q704" s="4" t="s">
        <v>26</v>
      </c>
      <c r="R704" s="4">
        <v>0</v>
      </c>
      <c r="S704" s="4">
        <v>0</v>
      </c>
      <c r="T704" s="4">
        <v>44</v>
      </c>
      <c r="U704" s="4">
        <v>87</v>
      </c>
      <c r="V704" s="6">
        <f>IF(ISERROR(VLOOKUP($S$704,'TAR FIN'!$A$1:$O$116,15,0)),0,VLOOKUP($S$704,'TAR FIN'!$A$1:$O$116,15,0))</f>
        <v>0</v>
      </c>
      <c r="W704" s="6">
        <f>IF(ISERROR(VLOOKUP($T$704,'TAR FIN'!$A$1:$O$116,15,0)),0,VLOOKUP($T$704,'TAR FIN'!$A$1:$O$116,15,0))</f>
        <v>242.43</v>
      </c>
      <c r="X704" s="6">
        <f>IF(ISERROR(VLOOKUP($U$704,'TAR FIN'!$A$1:$O$116,15,0)),0,VLOOKUP($U$704,'TAR FIN'!$A$1:$O$116,15,0))</f>
        <v>293.82</v>
      </c>
      <c r="Y704" s="6"/>
      <c r="Z704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4" s="6">
        <f>('TE BE'!$AB$17+'TE BF'!$AB$17+'TE CVA'!$AB$17)*(1-CUSTOS!$M$36)</f>
        <v>296.66772978557373</v>
      </c>
      <c r="AB704" s="6">
        <f t="shared" si="42"/>
        <v>0</v>
      </c>
      <c r="AC704" s="6">
        <f>(L704-M704)*(W704+X704)+($W$711+$X$711-$W$704-$X$704)*(L704)</f>
        <v>-7.1508000000000038</v>
      </c>
      <c r="AD704" s="6">
        <f t="shared" si="43"/>
        <v>0</v>
      </c>
      <c r="AE704" s="6">
        <f ca="1">(L704-M704)*(Z704+AA704)+($Z$711+$AA$711-$Z$704-$AA$704)*(L704)</f>
        <v>-7.668397527863692</v>
      </c>
      <c r="AF704" s="4" t="s">
        <v>1116</v>
      </c>
    </row>
    <row r="705" spans="1:32" ht="11.25" customHeight="1" x14ac:dyDescent="0.25">
      <c r="A705" s="4" t="s">
        <v>21</v>
      </c>
      <c r="B705" s="4" t="s">
        <v>22</v>
      </c>
      <c r="C705" s="4" t="s">
        <v>23</v>
      </c>
      <c r="D705" s="4" t="s">
        <v>24</v>
      </c>
      <c r="E705" s="4" t="s">
        <v>31</v>
      </c>
      <c r="F705" s="4" t="s">
        <v>25</v>
      </c>
      <c r="G705" s="4" t="s">
        <v>25</v>
      </c>
      <c r="H705" s="4" t="s">
        <v>25</v>
      </c>
      <c r="I705" s="5">
        <v>44652</v>
      </c>
      <c r="J705" s="6">
        <v>0</v>
      </c>
      <c r="K705" s="6">
        <v>0</v>
      </c>
      <c r="L705" s="6">
        <v>3805.0160000000001</v>
      </c>
      <c r="M705" s="6">
        <v>3805.0160000000001</v>
      </c>
      <c r="N705" s="6">
        <v>3805.0160000000001</v>
      </c>
      <c r="O705" s="6">
        <v>3805.0160000000001</v>
      </c>
      <c r="P705" s="6">
        <v>51648</v>
      </c>
      <c r="Q705" s="4" t="s">
        <v>26</v>
      </c>
      <c r="R705" s="4">
        <v>0</v>
      </c>
      <c r="S705" s="4">
        <v>0</v>
      </c>
      <c r="T705" s="4">
        <v>44</v>
      </c>
      <c r="U705" s="4">
        <v>87</v>
      </c>
      <c r="V705" s="6">
        <f>IF(ISERROR(VLOOKUP($S$705,'TAR FIN'!$A$1:$O$116,15,0)),0,VLOOKUP($S$705,'TAR FIN'!$A$1:$O$116,15,0))</f>
        <v>0</v>
      </c>
      <c r="W705" s="6">
        <f>IF(ISERROR(VLOOKUP($T$705,'TAR FIN'!$A$1:$O$116,15,0)),0,VLOOKUP($T$705,'TAR FIN'!$A$1:$O$116,15,0))</f>
        <v>242.43</v>
      </c>
      <c r="X705" s="6">
        <f>IF(ISERROR(VLOOKUP($U$705,'TAR FIN'!$A$1:$O$116,15,0)),0,VLOOKUP($U$705,'TAR FIN'!$A$1:$O$116,15,0))</f>
        <v>293.82</v>
      </c>
      <c r="Y705" s="6"/>
      <c r="Z705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5" s="6">
        <f>('TE BE'!$AB$17+'TE BF'!$AB$17+'TE CVA'!$AB$17)*(1-CUSTOS!$M$36)</f>
        <v>296.66772978557373</v>
      </c>
      <c r="AB705" s="6">
        <f t="shared" si="42"/>
        <v>0</v>
      </c>
      <c r="AC705" s="6">
        <f>(L705-M705)*(W705+X705)+($W$711+$X$711-$W$705-$X$705)*(L705)</f>
        <v>226740.90344000014</v>
      </c>
      <c r="AD705" s="6">
        <f t="shared" si="43"/>
        <v>0</v>
      </c>
      <c r="AE705" s="6">
        <f ca="1">(L705-M705)*(Z705+AA705)+($Z$711+$AA$711-$Z$705-$AA$705)*(L705)</f>
        <v>243153.12739901495</v>
      </c>
      <c r="AF705" s="4" t="s">
        <v>1116</v>
      </c>
    </row>
    <row r="706" spans="1:32" ht="11.25" customHeight="1" x14ac:dyDescent="0.25">
      <c r="A706" s="4" t="s">
        <v>27</v>
      </c>
      <c r="B706" s="4" t="s">
        <v>22</v>
      </c>
      <c r="C706" s="4" t="s">
        <v>23</v>
      </c>
      <c r="D706" s="4" t="s">
        <v>24</v>
      </c>
      <c r="E706" s="4" t="s">
        <v>31</v>
      </c>
      <c r="F706" s="4" t="s">
        <v>25</v>
      </c>
      <c r="G706" s="4" t="s">
        <v>25</v>
      </c>
      <c r="H706" s="4" t="s">
        <v>25</v>
      </c>
      <c r="I706" s="5">
        <v>44652</v>
      </c>
      <c r="J706" s="6">
        <v>0</v>
      </c>
      <c r="K706" s="6">
        <v>0</v>
      </c>
      <c r="L706" s="6">
        <v>-1.4490000000000001</v>
      </c>
      <c r="M706" s="6">
        <v>-1.4490000000000001</v>
      </c>
      <c r="N706" s="6">
        <v>-1.4490000000000001</v>
      </c>
      <c r="O706" s="6">
        <v>-1.4490000000000001</v>
      </c>
      <c r="P706" s="6">
        <v>-8</v>
      </c>
      <c r="Q706" s="4" t="s">
        <v>26</v>
      </c>
      <c r="R706" s="4">
        <v>0</v>
      </c>
      <c r="S706" s="4">
        <v>0</v>
      </c>
      <c r="T706" s="4">
        <v>44</v>
      </c>
      <c r="U706" s="4">
        <v>87</v>
      </c>
      <c r="V706" s="6">
        <f>IF(ISERROR(VLOOKUP($S$706,'TAR FIN'!$A$1:$O$116,15,0)),0,VLOOKUP($S$706,'TAR FIN'!$A$1:$O$116,15,0))</f>
        <v>0</v>
      </c>
      <c r="W706" s="6">
        <f>IF(ISERROR(VLOOKUP($T$706,'TAR FIN'!$A$1:$O$116,15,0)),0,VLOOKUP($T$706,'TAR FIN'!$A$1:$O$116,15,0))</f>
        <v>242.43</v>
      </c>
      <c r="X706" s="6">
        <f>IF(ISERROR(VLOOKUP($U$706,'TAR FIN'!$A$1:$O$116,15,0)),0,VLOOKUP($U$706,'TAR FIN'!$A$1:$O$116,15,0))</f>
        <v>293.82</v>
      </c>
      <c r="Y706" s="6"/>
      <c r="Z706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6" s="6">
        <f>('TE BE'!$AB$17+'TE BF'!$AB$17+'TE CVA'!$AB$17)*(1-CUSTOS!$M$36)</f>
        <v>296.66772978557373</v>
      </c>
      <c r="AB706" s="6">
        <f t="shared" ref="AB706:AB769" si="44">(J706-K706)*V706</f>
        <v>0</v>
      </c>
      <c r="AC706" s="6">
        <f>(L706-M706)*(W706+X706)+($W$711+$X$711-$W$706-$X$706)*(L706)</f>
        <v>-86.345910000000046</v>
      </c>
      <c r="AD706" s="6">
        <f t="shared" ref="AD706:AD769" si="45">(J706-K706)*Y706</f>
        <v>0</v>
      </c>
      <c r="AE706" s="6">
        <f ca="1">(L706-M706)*(Z706+AA706)+($Z$711+$AA$711-$Z$706-$AA$706)*(L706)</f>
        <v>-92.595900148954087</v>
      </c>
      <c r="AF706" s="4" t="s">
        <v>1116</v>
      </c>
    </row>
    <row r="707" spans="1:32" ht="11.25" customHeight="1" x14ac:dyDescent="0.25">
      <c r="A707" s="4" t="s">
        <v>28</v>
      </c>
      <c r="B707" s="4" t="s">
        <v>22</v>
      </c>
      <c r="C707" s="4" t="s">
        <v>23</v>
      </c>
      <c r="D707" s="4" t="s">
        <v>24</v>
      </c>
      <c r="E707" s="4" t="s">
        <v>31</v>
      </c>
      <c r="F707" s="4" t="s">
        <v>25</v>
      </c>
      <c r="G707" s="4" t="s">
        <v>25</v>
      </c>
      <c r="H707" s="4" t="s">
        <v>25</v>
      </c>
      <c r="I707" s="5">
        <v>44652</v>
      </c>
      <c r="J707" s="6">
        <v>0</v>
      </c>
      <c r="K707" s="6">
        <v>0</v>
      </c>
      <c r="L707" s="6">
        <v>5.6509999999999998</v>
      </c>
      <c r="M707" s="6">
        <v>5.6509999999999998</v>
      </c>
      <c r="N707" s="6">
        <v>5.6509999999999998</v>
      </c>
      <c r="O707" s="6">
        <v>5.6509999999999998</v>
      </c>
      <c r="P707" s="6">
        <v>82</v>
      </c>
      <c r="Q707" s="4" t="s">
        <v>26</v>
      </c>
      <c r="R707" s="4">
        <v>0</v>
      </c>
      <c r="S707" s="4">
        <v>0</v>
      </c>
      <c r="T707" s="4">
        <v>44</v>
      </c>
      <c r="U707" s="4">
        <v>87</v>
      </c>
      <c r="V707" s="6">
        <f>IF(ISERROR(VLOOKUP($S$707,'TAR FIN'!$A$1:$O$116,15,0)),0,VLOOKUP($S$707,'TAR FIN'!$A$1:$O$116,15,0))</f>
        <v>0</v>
      </c>
      <c r="W707" s="6">
        <f>IF(ISERROR(VLOOKUP($T$707,'TAR FIN'!$A$1:$O$116,15,0)),0,VLOOKUP($T$707,'TAR FIN'!$A$1:$O$116,15,0))</f>
        <v>242.43</v>
      </c>
      <c r="X707" s="6">
        <f>IF(ISERROR(VLOOKUP($U$707,'TAR FIN'!$A$1:$O$116,15,0)),0,VLOOKUP($U$707,'TAR FIN'!$A$1:$O$116,15,0))</f>
        <v>293.82</v>
      </c>
      <c r="Y707" s="6"/>
      <c r="Z707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7" s="6">
        <f>('TE BE'!$AB$17+'TE BF'!$AB$17+'TE CVA'!$AB$17)*(1-CUSTOS!$M$36)</f>
        <v>296.66772978557373</v>
      </c>
      <c r="AB707" s="6">
        <f t="shared" si="44"/>
        <v>0</v>
      </c>
      <c r="AC707" s="6">
        <f>(L707-M707)*(W707+X707)+($W$711+$X$711-$W$707-$X$707)*(L707)</f>
        <v>336.74309000000017</v>
      </c>
      <c r="AD707" s="6">
        <f t="shared" si="45"/>
        <v>0</v>
      </c>
      <c r="AE707" s="6">
        <f ca="1">(L707-M707)*(Z707+AA707)+($Z$711+$AA$711-$Z$707-$AA$707)*(L707)</f>
        <v>361.1176202496477</v>
      </c>
      <c r="AF707" s="4" t="s">
        <v>1116</v>
      </c>
    </row>
    <row r="708" spans="1:32" ht="11.25" customHeight="1" x14ac:dyDescent="0.25">
      <c r="A708" s="4" t="s">
        <v>58</v>
      </c>
      <c r="B708" s="4" t="s">
        <v>22</v>
      </c>
      <c r="C708" s="4" t="s">
        <v>23</v>
      </c>
      <c r="D708" s="4" t="s">
        <v>24</v>
      </c>
      <c r="E708" s="4" t="s">
        <v>31</v>
      </c>
      <c r="F708" s="4" t="s">
        <v>25</v>
      </c>
      <c r="G708" s="4" t="s">
        <v>25</v>
      </c>
      <c r="H708" s="4" t="s">
        <v>25</v>
      </c>
      <c r="I708" s="5">
        <v>44682</v>
      </c>
      <c r="J708" s="6">
        <v>0</v>
      </c>
      <c r="K708" s="6">
        <v>0</v>
      </c>
      <c r="L708" s="6">
        <v>3805.0160000000001</v>
      </c>
      <c r="M708" s="6">
        <v>3805.0160000000001</v>
      </c>
      <c r="N708" s="6">
        <v>3805.0160000000001</v>
      </c>
      <c r="O708" s="6">
        <v>3805.0160000000001</v>
      </c>
      <c r="P708" s="6">
        <v>51648</v>
      </c>
      <c r="Q708" s="4" t="s">
        <v>26</v>
      </c>
      <c r="R708" s="4">
        <v>0</v>
      </c>
      <c r="S708" s="4">
        <v>0</v>
      </c>
      <c r="T708" s="4">
        <v>44</v>
      </c>
      <c r="U708" s="4">
        <v>87</v>
      </c>
      <c r="V708" s="6">
        <f>IF(ISERROR(VLOOKUP($S$708,'TAR FIN'!$A$1:$O$116,15,0)),0,VLOOKUP($S$708,'TAR FIN'!$A$1:$O$116,15,0))</f>
        <v>0</v>
      </c>
      <c r="W708" s="6">
        <f>IF(ISERROR(VLOOKUP($T$708,'TAR FIN'!$A$1:$O$116,15,0)),0,VLOOKUP($T$708,'TAR FIN'!$A$1:$O$116,15,0))</f>
        <v>242.43</v>
      </c>
      <c r="X708" s="6">
        <f>IF(ISERROR(VLOOKUP($U$708,'TAR FIN'!$A$1:$O$116,15,0)),0,VLOOKUP($U$708,'TAR FIN'!$A$1:$O$116,15,0))</f>
        <v>293.82</v>
      </c>
      <c r="Y708" s="6"/>
      <c r="Z708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8" s="6">
        <f>('TE BE'!$AB$17+'TE BF'!$AB$17+'TE CVA'!$AB$17)*(1-CUSTOS!$M$36)</f>
        <v>296.66772978557373</v>
      </c>
      <c r="AB708" s="6">
        <f t="shared" si="44"/>
        <v>0</v>
      </c>
      <c r="AC708" s="6">
        <f>(L708-M708)*(W708+X708)+($W$711+$X$711-$W$708-$X$708)*(L708)</f>
        <v>226740.90344000014</v>
      </c>
      <c r="AD708" s="6">
        <f t="shared" si="45"/>
        <v>0</v>
      </c>
      <c r="AE708" s="6">
        <f ca="1">(L708-M708)*(Z708+AA708)+($Z$711+$AA$711-$Z$708-$AA$708)*(L708)</f>
        <v>243153.12739901495</v>
      </c>
      <c r="AF708" s="4" t="s">
        <v>1116</v>
      </c>
    </row>
    <row r="709" spans="1:32" ht="11.25" customHeight="1" x14ac:dyDescent="0.25">
      <c r="A709" s="4" t="s">
        <v>58</v>
      </c>
      <c r="B709" s="4" t="s">
        <v>22</v>
      </c>
      <c r="C709" s="4" t="s">
        <v>23</v>
      </c>
      <c r="D709" s="4" t="s">
        <v>24</v>
      </c>
      <c r="E709" s="4" t="s">
        <v>31</v>
      </c>
      <c r="F709" s="4" t="s">
        <v>25</v>
      </c>
      <c r="G709" s="4" t="s">
        <v>25</v>
      </c>
      <c r="H709" s="4" t="s">
        <v>25</v>
      </c>
      <c r="I709" s="5">
        <v>44682</v>
      </c>
      <c r="J709" s="6">
        <v>0</v>
      </c>
      <c r="K709" s="6">
        <v>0</v>
      </c>
      <c r="L709" s="6">
        <v>-1.4490000000000001</v>
      </c>
      <c r="M709" s="6">
        <v>-1.4490000000000001</v>
      </c>
      <c r="N709" s="6">
        <v>-1.4490000000000001</v>
      </c>
      <c r="O709" s="6">
        <v>-1.4490000000000001</v>
      </c>
      <c r="P709" s="6">
        <v>-8</v>
      </c>
      <c r="Q709" s="4" t="s">
        <v>26</v>
      </c>
      <c r="R709" s="4">
        <v>0</v>
      </c>
      <c r="S709" s="4">
        <v>0</v>
      </c>
      <c r="T709" s="4">
        <v>44</v>
      </c>
      <c r="U709" s="4">
        <v>87</v>
      </c>
      <c r="V709" s="6">
        <f>IF(ISERROR(VLOOKUP($S$709,'TAR FIN'!$A$1:$O$116,15,0)),0,VLOOKUP($S$709,'TAR FIN'!$A$1:$O$116,15,0))</f>
        <v>0</v>
      </c>
      <c r="W709" s="6">
        <f>IF(ISERROR(VLOOKUP($T$709,'TAR FIN'!$A$1:$O$116,15,0)),0,VLOOKUP($T$709,'TAR FIN'!$A$1:$O$116,15,0))</f>
        <v>242.43</v>
      </c>
      <c r="X709" s="6">
        <f>IF(ISERROR(VLOOKUP($U$709,'TAR FIN'!$A$1:$O$116,15,0)),0,VLOOKUP($U$709,'TAR FIN'!$A$1:$O$116,15,0))</f>
        <v>293.82</v>
      </c>
      <c r="Y709" s="6"/>
      <c r="Z709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09" s="6">
        <f>('TE BE'!$AB$17+'TE BF'!$AB$17+'TE CVA'!$AB$17)*(1-CUSTOS!$M$36)</f>
        <v>296.66772978557373</v>
      </c>
      <c r="AB709" s="6">
        <f t="shared" si="44"/>
        <v>0</v>
      </c>
      <c r="AC709" s="6">
        <f>(L709-M709)*(W709+X709)+($W$711+$X$711-$W$709-$X$709)*(L709)</f>
        <v>-86.345910000000046</v>
      </c>
      <c r="AD709" s="6">
        <f t="shared" si="45"/>
        <v>0</v>
      </c>
      <c r="AE709" s="6">
        <f ca="1">(L709-M709)*(Z709+AA709)+($Z$711+$AA$711-$Z$709-$AA$709)*(L709)</f>
        <v>-92.595900148954087</v>
      </c>
      <c r="AF709" s="4" t="s">
        <v>1116</v>
      </c>
    </row>
    <row r="710" spans="1:32" ht="11.25" customHeight="1" x14ac:dyDescent="0.25">
      <c r="A710" s="4" t="s">
        <v>58</v>
      </c>
      <c r="B710" s="4" t="s">
        <v>22</v>
      </c>
      <c r="C710" s="4" t="s">
        <v>23</v>
      </c>
      <c r="D710" s="4" t="s">
        <v>24</v>
      </c>
      <c r="E710" s="4" t="s">
        <v>31</v>
      </c>
      <c r="F710" s="4" t="s">
        <v>25</v>
      </c>
      <c r="G710" s="4" t="s">
        <v>25</v>
      </c>
      <c r="H710" s="4" t="s">
        <v>25</v>
      </c>
      <c r="I710" s="5">
        <v>44682</v>
      </c>
      <c r="J710" s="6">
        <v>0</v>
      </c>
      <c r="K710" s="6">
        <v>0</v>
      </c>
      <c r="L710" s="6">
        <v>5.6509999999999998</v>
      </c>
      <c r="M710" s="6">
        <v>5.6509999999999998</v>
      </c>
      <c r="N710" s="6">
        <v>5.6509999999999998</v>
      </c>
      <c r="O710" s="6">
        <v>5.6509999999999998</v>
      </c>
      <c r="P710" s="6">
        <v>82</v>
      </c>
      <c r="Q710" s="4" t="s">
        <v>26</v>
      </c>
      <c r="R710" s="4">
        <v>0</v>
      </c>
      <c r="S710" s="4">
        <v>0</v>
      </c>
      <c r="T710" s="4">
        <v>44</v>
      </c>
      <c r="U710" s="4">
        <v>87</v>
      </c>
      <c r="V710" s="6">
        <f>IF(ISERROR(VLOOKUP($S$710,'TAR FIN'!$A$1:$O$116,15,0)),0,VLOOKUP($S$710,'TAR FIN'!$A$1:$O$116,15,0))</f>
        <v>0</v>
      </c>
      <c r="W710" s="6">
        <f>IF(ISERROR(VLOOKUP($T$710,'TAR FIN'!$A$1:$O$116,15,0)),0,VLOOKUP($T$710,'TAR FIN'!$A$1:$O$116,15,0))</f>
        <v>242.43</v>
      </c>
      <c r="X710" s="6">
        <f>IF(ISERROR(VLOOKUP($U$710,'TAR FIN'!$A$1:$O$116,15,0)),0,VLOOKUP($U$710,'TAR FIN'!$A$1:$O$116,15,0))</f>
        <v>293.82</v>
      </c>
      <c r="Y710" s="6"/>
      <c r="Z710" s="6">
        <f ca="1">('TUSD BE'!$AM$46+'TUSD BF'!$AM$46+'TUSD CVA'!$AM$46-('TUSD BE'!$P$46+'TUSD BF'!$P$46+'TUSD CVA'!$P$46)-('TUSD BE'!$Q$46+'TUSD BF'!$Q$46+'TUSD CVA'!$Q$46)-('TUSD BE'!$R$46+'TUSD BF'!$R$46+'TUSD CVA'!$R$46))*(1-CUSTOS!$M$36)</f>
        <v>278.46208480420285</v>
      </c>
      <c r="AA710" s="6">
        <f>('TE BE'!$AB$17+'TE BF'!$AB$17+'TE CVA'!$AB$17)*(1-CUSTOS!$M$36)</f>
        <v>296.66772978557373</v>
      </c>
      <c r="AB710" s="6">
        <f t="shared" si="44"/>
        <v>0</v>
      </c>
      <c r="AC710" s="6">
        <f>(L710-M710)*(W710+X710)+($W$711+$X$711-$W$710-$X$710)*(L710)</f>
        <v>336.74309000000017</v>
      </c>
      <c r="AD710" s="6">
        <f t="shared" si="45"/>
        <v>0</v>
      </c>
      <c r="AE710" s="6">
        <f ca="1">(L710-M710)*(Z710+AA710)+($Z$711+$AA$711-$Z$710-$AA$710)*(L710)</f>
        <v>361.1176202496477</v>
      </c>
      <c r="AF710" s="4" t="s">
        <v>1116</v>
      </c>
    </row>
    <row r="711" spans="1:32" ht="11.25" customHeight="1" x14ac:dyDescent="0.25">
      <c r="A711" s="4" t="s">
        <v>21</v>
      </c>
      <c r="B711" s="4" t="s">
        <v>22</v>
      </c>
      <c r="C711" s="4" t="s">
        <v>23</v>
      </c>
      <c r="D711" s="4" t="s">
        <v>24</v>
      </c>
      <c r="E711" s="4" t="s">
        <v>32</v>
      </c>
      <c r="F711" s="4" t="s">
        <v>25</v>
      </c>
      <c r="G711" s="4" t="s">
        <v>25</v>
      </c>
      <c r="H711" s="4" t="s">
        <v>25</v>
      </c>
      <c r="I711" s="5">
        <v>44348</v>
      </c>
      <c r="J711" s="6">
        <v>0</v>
      </c>
      <c r="K711" s="6">
        <v>0</v>
      </c>
      <c r="L711" s="6">
        <v>416.46699999999998</v>
      </c>
      <c r="M711" s="6">
        <v>416.46699999999998</v>
      </c>
      <c r="N711" s="6">
        <v>416.46699999999998</v>
      </c>
      <c r="O711" s="6">
        <v>416.46699999999998</v>
      </c>
      <c r="P711" s="6">
        <v>6318</v>
      </c>
      <c r="Q711" s="4" t="s">
        <v>26</v>
      </c>
      <c r="R711" s="4">
        <v>0</v>
      </c>
      <c r="S711" s="4">
        <v>0</v>
      </c>
      <c r="T711" s="4">
        <v>45</v>
      </c>
      <c r="U711" s="4">
        <v>88</v>
      </c>
      <c r="V711" s="6">
        <f>IF(ISERROR(VLOOKUP($S$711,'TAR FIN'!$A$1:$O$116,15,0)),0,VLOOKUP($S$711,'TAR FIN'!$A$1:$O$116,15,0))</f>
        <v>0</v>
      </c>
      <c r="W711" s="6">
        <f>IF(ISERROR(VLOOKUP($T$711,'TAR FIN'!$A$1:$O$116,15,0)),0,VLOOKUP($T$711,'TAR FIN'!$A$1:$O$116,15,0))</f>
        <v>269.37</v>
      </c>
      <c r="X711" s="6">
        <f>IF(ISERROR(VLOOKUP($U$711,'TAR FIN'!$A$1:$O$116,15,0)),0,VLOOKUP($U$711,'TAR FIN'!$A$1:$O$116,15,0))</f>
        <v>326.47000000000003</v>
      </c>
      <c r="Y711" s="6"/>
      <c r="Z71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1" s="6">
        <f>('TE BE'!$AB$18+'TE BF'!$AB$18+'TE CVA'!$AB$18)*(1-CUSTOS!$M$37)</f>
        <v>329.63081087285968</v>
      </c>
      <c r="AB711" s="6">
        <f t="shared" si="44"/>
        <v>0</v>
      </c>
      <c r="AC711" s="6">
        <f>(L711-M711)*(W711+X711)+($W$711+$X$711-$W$711-$X$711)*(L711)</f>
        <v>0</v>
      </c>
      <c r="AD711" s="6">
        <f t="shared" si="45"/>
        <v>0</v>
      </c>
      <c r="AE711" s="6">
        <f ca="1">(L711-M711)*(Z711+AA711)+($Z$711+$AA$711-$Z$711-$AA$711)*(L711)</f>
        <v>2.3673408122704131E-11</v>
      </c>
      <c r="AF711" s="4" t="s">
        <v>1116</v>
      </c>
    </row>
    <row r="712" spans="1:32" ht="11.25" customHeight="1" x14ac:dyDescent="0.25">
      <c r="A712" s="4" t="s">
        <v>27</v>
      </c>
      <c r="B712" s="4" t="s">
        <v>22</v>
      </c>
      <c r="C712" s="4" t="s">
        <v>23</v>
      </c>
      <c r="D712" s="4" t="s">
        <v>24</v>
      </c>
      <c r="E712" s="4" t="s">
        <v>32</v>
      </c>
      <c r="F712" s="4" t="s">
        <v>25</v>
      </c>
      <c r="G712" s="4" t="s">
        <v>25</v>
      </c>
      <c r="H712" s="4" t="s">
        <v>25</v>
      </c>
      <c r="I712" s="5">
        <v>44348</v>
      </c>
      <c r="J712" s="6">
        <v>0</v>
      </c>
      <c r="K712" s="6">
        <v>0</v>
      </c>
      <c r="L712" s="6">
        <v>-4.2999999999999997E-2</v>
      </c>
      <c r="M712" s="6">
        <v>-4.2999999999999997E-2</v>
      </c>
      <c r="N712" s="6">
        <v>-4.2999999999999997E-2</v>
      </c>
      <c r="O712" s="6">
        <v>-4.2999999999999997E-2</v>
      </c>
      <c r="P712" s="6">
        <v>-1</v>
      </c>
      <c r="Q712" s="4" t="s">
        <v>26</v>
      </c>
      <c r="R712" s="4">
        <v>0</v>
      </c>
      <c r="S712" s="4">
        <v>0</v>
      </c>
      <c r="T712" s="4">
        <v>45</v>
      </c>
      <c r="U712" s="4">
        <v>88</v>
      </c>
      <c r="V712" s="6">
        <f>IF(ISERROR(VLOOKUP($S$712,'TAR FIN'!$A$1:$O$116,15,0)),0,VLOOKUP($S$712,'TAR FIN'!$A$1:$O$116,15,0))</f>
        <v>0</v>
      </c>
      <c r="W712" s="6">
        <f>IF(ISERROR(VLOOKUP($T$712,'TAR FIN'!$A$1:$O$116,15,0)),0,VLOOKUP($T$712,'TAR FIN'!$A$1:$O$116,15,0))</f>
        <v>269.37</v>
      </c>
      <c r="X712" s="6">
        <f>IF(ISERROR(VLOOKUP($U$712,'TAR FIN'!$A$1:$O$116,15,0)),0,VLOOKUP($U$712,'TAR FIN'!$A$1:$O$116,15,0))</f>
        <v>326.47000000000003</v>
      </c>
      <c r="Y712" s="6"/>
      <c r="Z71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2" s="6">
        <f>('TE BE'!$AB$18+'TE BF'!$AB$18+'TE CVA'!$AB$18)*(1-CUSTOS!$M$37)</f>
        <v>329.63081087285968</v>
      </c>
      <c r="AB712" s="6">
        <f t="shared" si="44"/>
        <v>0</v>
      </c>
      <c r="AC712" s="6">
        <f>(L712-M712)*(W712+X712)+($W$711+$X$711-$W$712-$X$712)*(L712)</f>
        <v>0</v>
      </c>
      <c r="AD712" s="6">
        <f t="shared" si="45"/>
        <v>0</v>
      </c>
      <c r="AE712" s="6">
        <f ca="1">(L712-M712)*(Z712+AA712)+($Z$711+$AA$711-$Z$712-$AA$712)*(L712)</f>
        <v>-2.4442670110147444E-15</v>
      </c>
      <c r="AF712" s="4" t="s">
        <v>1116</v>
      </c>
    </row>
    <row r="713" spans="1:32" ht="11.25" customHeight="1" x14ac:dyDescent="0.25">
      <c r="A713" s="4" t="s">
        <v>28</v>
      </c>
      <c r="B713" s="4" t="s">
        <v>22</v>
      </c>
      <c r="C713" s="4" t="s">
        <v>23</v>
      </c>
      <c r="D713" s="4" t="s">
        <v>24</v>
      </c>
      <c r="E713" s="4" t="s">
        <v>32</v>
      </c>
      <c r="F713" s="4" t="s">
        <v>25</v>
      </c>
      <c r="G713" s="4" t="s">
        <v>25</v>
      </c>
      <c r="H713" s="4" t="s">
        <v>25</v>
      </c>
      <c r="I713" s="5">
        <v>44348</v>
      </c>
      <c r="J713" s="6">
        <v>0</v>
      </c>
      <c r="K713" s="6">
        <v>0</v>
      </c>
      <c r="L713" s="6">
        <v>3.3460000000000001</v>
      </c>
      <c r="M713" s="6">
        <v>3.3460000000000001</v>
      </c>
      <c r="N713" s="6">
        <v>3.3460000000000001</v>
      </c>
      <c r="O713" s="6">
        <v>3.3460000000000001</v>
      </c>
      <c r="P713" s="6">
        <v>31</v>
      </c>
      <c r="Q713" s="4" t="s">
        <v>26</v>
      </c>
      <c r="R713" s="4">
        <v>0</v>
      </c>
      <c r="S713" s="4">
        <v>0</v>
      </c>
      <c r="T713" s="4">
        <v>45</v>
      </c>
      <c r="U713" s="4">
        <v>88</v>
      </c>
      <c r="V713" s="6">
        <f>IF(ISERROR(VLOOKUP($S$713,'TAR FIN'!$A$1:$O$116,15,0)),0,VLOOKUP($S$713,'TAR FIN'!$A$1:$O$116,15,0))</f>
        <v>0</v>
      </c>
      <c r="W713" s="6">
        <f>IF(ISERROR(VLOOKUP($T$713,'TAR FIN'!$A$1:$O$116,15,0)),0,VLOOKUP($T$713,'TAR FIN'!$A$1:$O$116,15,0))</f>
        <v>269.37</v>
      </c>
      <c r="X713" s="6">
        <f>IF(ISERROR(VLOOKUP($U$713,'TAR FIN'!$A$1:$O$116,15,0)),0,VLOOKUP($U$713,'TAR FIN'!$A$1:$O$116,15,0))</f>
        <v>326.47000000000003</v>
      </c>
      <c r="Y713" s="6"/>
      <c r="Z71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3" s="6">
        <f>('TE BE'!$AB$18+'TE BF'!$AB$18+'TE CVA'!$AB$18)*(1-CUSTOS!$M$37)</f>
        <v>329.63081087285968</v>
      </c>
      <c r="AB713" s="6">
        <f t="shared" si="44"/>
        <v>0</v>
      </c>
      <c r="AC713" s="6">
        <f>(L713-M713)*(W713+X713)+($W$711+$X$711-$W$713-$X$713)*(L713)</f>
        <v>0</v>
      </c>
      <c r="AD713" s="6">
        <f t="shared" si="45"/>
        <v>0</v>
      </c>
      <c r="AE713" s="6">
        <f ca="1">(L713-M713)*(Z713+AA713)+($Z$711+$AA$711-$Z$713-$AA$713)*(L713)</f>
        <v>1.9019807950826362E-13</v>
      </c>
      <c r="AF713" s="4" t="s">
        <v>1116</v>
      </c>
    </row>
    <row r="714" spans="1:32" ht="11.25" customHeight="1" x14ac:dyDescent="0.25">
      <c r="A714" s="4" t="s">
        <v>21</v>
      </c>
      <c r="B714" s="4" t="s">
        <v>22</v>
      </c>
      <c r="C714" s="4" t="s">
        <v>23</v>
      </c>
      <c r="D714" s="4" t="s">
        <v>24</v>
      </c>
      <c r="E714" s="4" t="s">
        <v>32</v>
      </c>
      <c r="F714" s="4" t="s">
        <v>25</v>
      </c>
      <c r="G714" s="4" t="s">
        <v>25</v>
      </c>
      <c r="H714" s="4" t="s">
        <v>25</v>
      </c>
      <c r="I714" s="5">
        <v>44378</v>
      </c>
      <c r="J714" s="6">
        <v>0</v>
      </c>
      <c r="K714" s="6">
        <v>0</v>
      </c>
      <c r="L714" s="6">
        <v>395.661</v>
      </c>
      <c r="M714" s="6">
        <v>395.661</v>
      </c>
      <c r="N714" s="6">
        <v>395.661</v>
      </c>
      <c r="O714" s="6">
        <v>395.661</v>
      </c>
      <c r="P714" s="6">
        <v>6291</v>
      </c>
      <c r="Q714" s="4" t="s">
        <v>26</v>
      </c>
      <c r="R714" s="4">
        <v>0</v>
      </c>
      <c r="S714" s="4">
        <v>0</v>
      </c>
      <c r="T714" s="4">
        <v>45</v>
      </c>
      <c r="U714" s="4">
        <v>88</v>
      </c>
      <c r="V714" s="6">
        <f>IF(ISERROR(VLOOKUP($S$714,'TAR FIN'!$A$1:$O$116,15,0)),0,VLOOKUP($S$714,'TAR FIN'!$A$1:$O$116,15,0))</f>
        <v>0</v>
      </c>
      <c r="W714" s="6">
        <f>IF(ISERROR(VLOOKUP($T$714,'TAR FIN'!$A$1:$O$116,15,0)),0,VLOOKUP($T$714,'TAR FIN'!$A$1:$O$116,15,0))</f>
        <v>269.37</v>
      </c>
      <c r="X714" s="6">
        <f>IF(ISERROR(VLOOKUP($U$714,'TAR FIN'!$A$1:$O$116,15,0)),0,VLOOKUP($U$714,'TAR FIN'!$A$1:$O$116,15,0))</f>
        <v>326.47000000000003</v>
      </c>
      <c r="Y714" s="6"/>
      <c r="Z71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4" s="6">
        <f>('TE BE'!$AB$18+'TE BF'!$AB$18+'TE CVA'!$AB$18)*(1-CUSTOS!$M$37)</f>
        <v>329.63081087285968</v>
      </c>
      <c r="AB714" s="6">
        <f t="shared" si="44"/>
        <v>0</v>
      </c>
      <c r="AC714" s="6">
        <f>(L714-M714)*(W714+X714)+($W$711+$X$711-$W$714-$X$714)*(L714)</f>
        <v>0</v>
      </c>
      <c r="AD714" s="6">
        <f t="shared" si="45"/>
        <v>0</v>
      </c>
      <c r="AE714" s="6">
        <f ca="1">(L714-M714)*(Z714+AA714)+($Z$711+$AA$711-$Z$714-$AA$714)*(L714)</f>
        <v>2.249072394988616E-11</v>
      </c>
      <c r="AF714" s="4" t="s">
        <v>1116</v>
      </c>
    </row>
    <row r="715" spans="1:32" ht="11.25" customHeight="1" x14ac:dyDescent="0.25">
      <c r="A715" s="4" t="s">
        <v>27</v>
      </c>
      <c r="B715" s="4" t="s">
        <v>22</v>
      </c>
      <c r="C715" s="4" t="s">
        <v>23</v>
      </c>
      <c r="D715" s="4" t="s">
        <v>24</v>
      </c>
      <c r="E715" s="4" t="s">
        <v>32</v>
      </c>
      <c r="F715" s="4" t="s">
        <v>25</v>
      </c>
      <c r="G715" s="4" t="s">
        <v>25</v>
      </c>
      <c r="H715" s="4" t="s">
        <v>25</v>
      </c>
      <c r="I715" s="5">
        <v>44378</v>
      </c>
      <c r="J715" s="6">
        <v>0</v>
      </c>
      <c r="K715" s="6">
        <v>0</v>
      </c>
      <c r="L715" s="6">
        <v>-3.0000000000000001E-3</v>
      </c>
      <c r="M715" s="6">
        <v>-3.0000000000000001E-3</v>
      </c>
      <c r="N715" s="6">
        <v>-3.0000000000000001E-3</v>
      </c>
      <c r="O715" s="6">
        <v>-3.0000000000000001E-3</v>
      </c>
      <c r="P715" s="6">
        <v>-1</v>
      </c>
      <c r="Q715" s="4" t="s">
        <v>26</v>
      </c>
      <c r="R715" s="4">
        <v>0</v>
      </c>
      <c r="S715" s="4">
        <v>0</v>
      </c>
      <c r="T715" s="4">
        <v>45</v>
      </c>
      <c r="U715" s="4">
        <v>88</v>
      </c>
      <c r="V715" s="6">
        <f>IF(ISERROR(VLOOKUP($S$715,'TAR FIN'!$A$1:$O$116,15,0)),0,VLOOKUP($S$715,'TAR FIN'!$A$1:$O$116,15,0))</f>
        <v>0</v>
      </c>
      <c r="W715" s="6">
        <f>IF(ISERROR(VLOOKUP($T$715,'TAR FIN'!$A$1:$O$116,15,0)),0,VLOOKUP($T$715,'TAR FIN'!$A$1:$O$116,15,0))</f>
        <v>269.37</v>
      </c>
      <c r="X715" s="6">
        <f>IF(ISERROR(VLOOKUP($U$715,'TAR FIN'!$A$1:$O$116,15,0)),0,VLOOKUP($U$715,'TAR FIN'!$A$1:$O$116,15,0))</f>
        <v>326.47000000000003</v>
      </c>
      <c r="Y715" s="6"/>
      <c r="Z71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5" s="6">
        <f>('TE BE'!$AB$18+'TE BF'!$AB$18+'TE CVA'!$AB$18)*(1-CUSTOS!$M$37)</f>
        <v>329.63081087285968</v>
      </c>
      <c r="AB715" s="6">
        <f t="shared" si="44"/>
        <v>0</v>
      </c>
      <c r="AC715" s="6">
        <f>(L715-M715)*(W715+X715)+($W$711+$X$711-$W$715-$X$715)*(L715)</f>
        <v>0</v>
      </c>
      <c r="AD715" s="6">
        <f t="shared" si="45"/>
        <v>0</v>
      </c>
      <c r="AE715" s="6">
        <f ca="1">(L715-M715)*(Z715+AA715)+($Z$711+$AA$711-$Z$715-$AA$715)*(L715)</f>
        <v>-1.7053025658242405E-16</v>
      </c>
      <c r="AF715" s="4" t="s">
        <v>1116</v>
      </c>
    </row>
    <row r="716" spans="1:32" ht="11.25" customHeight="1" x14ac:dyDescent="0.25">
      <c r="A716" s="4" t="s">
        <v>28</v>
      </c>
      <c r="B716" s="4" t="s">
        <v>22</v>
      </c>
      <c r="C716" s="4" t="s">
        <v>23</v>
      </c>
      <c r="D716" s="4" t="s">
        <v>24</v>
      </c>
      <c r="E716" s="4" t="s">
        <v>32</v>
      </c>
      <c r="F716" s="4" t="s">
        <v>25</v>
      </c>
      <c r="G716" s="4" t="s">
        <v>25</v>
      </c>
      <c r="H716" s="4" t="s">
        <v>25</v>
      </c>
      <c r="I716" s="5">
        <v>44378</v>
      </c>
      <c r="J716" s="6">
        <v>0</v>
      </c>
      <c r="K716" s="6">
        <v>0</v>
      </c>
      <c r="L716" s="6">
        <v>3.145</v>
      </c>
      <c r="M716" s="6">
        <v>3.145</v>
      </c>
      <c r="N716" s="6">
        <v>3.145</v>
      </c>
      <c r="O716" s="6">
        <v>3.145</v>
      </c>
      <c r="P716" s="6">
        <v>31</v>
      </c>
      <c r="Q716" s="4" t="s">
        <v>26</v>
      </c>
      <c r="R716" s="4">
        <v>0</v>
      </c>
      <c r="S716" s="4">
        <v>0</v>
      </c>
      <c r="T716" s="4">
        <v>45</v>
      </c>
      <c r="U716" s="4">
        <v>88</v>
      </c>
      <c r="V716" s="6">
        <f>IF(ISERROR(VLOOKUP($S$716,'TAR FIN'!$A$1:$O$116,15,0)),0,VLOOKUP($S$716,'TAR FIN'!$A$1:$O$116,15,0))</f>
        <v>0</v>
      </c>
      <c r="W716" s="6">
        <f>IF(ISERROR(VLOOKUP($T$716,'TAR FIN'!$A$1:$O$116,15,0)),0,VLOOKUP($T$716,'TAR FIN'!$A$1:$O$116,15,0))</f>
        <v>269.37</v>
      </c>
      <c r="X716" s="6">
        <f>IF(ISERROR(VLOOKUP($U$716,'TAR FIN'!$A$1:$O$116,15,0)),0,VLOOKUP($U$716,'TAR FIN'!$A$1:$O$116,15,0))</f>
        <v>326.47000000000003</v>
      </c>
      <c r="Y716" s="6"/>
      <c r="Z71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6" s="6">
        <f>('TE BE'!$AB$18+'TE BF'!$AB$18+'TE CVA'!$AB$18)*(1-CUSTOS!$M$37)</f>
        <v>329.63081087285968</v>
      </c>
      <c r="AB716" s="6">
        <f t="shared" si="44"/>
        <v>0</v>
      </c>
      <c r="AC716" s="6">
        <f>(L716-M716)*(W716+X716)+($W$711+$X$711-$W$716-$X$716)*(L716)</f>
        <v>0</v>
      </c>
      <c r="AD716" s="6">
        <f t="shared" si="45"/>
        <v>0</v>
      </c>
      <c r="AE716" s="6">
        <f ca="1">(L716-M716)*(Z716+AA716)+($Z$711+$AA$711-$Z$716-$AA$716)*(L716)</f>
        <v>1.7877255231724121E-13</v>
      </c>
      <c r="AF716" s="4" t="s">
        <v>1116</v>
      </c>
    </row>
    <row r="717" spans="1:32" ht="11.25" customHeight="1" x14ac:dyDescent="0.25">
      <c r="A717" s="4" t="s">
        <v>21</v>
      </c>
      <c r="B717" s="4" t="s">
        <v>22</v>
      </c>
      <c r="C717" s="4" t="s">
        <v>23</v>
      </c>
      <c r="D717" s="4" t="s">
        <v>24</v>
      </c>
      <c r="E717" s="4" t="s">
        <v>32</v>
      </c>
      <c r="F717" s="4" t="s">
        <v>25</v>
      </c>
      <c r="G717" s="4" t="s">
        <v>25</v>
      </c>
      <c r="H717" s="4" t="s">
        <v>25</v>
      </c>
      <c r="I717" s="5">
        <v>44409</v>
      </c>
      <c r="J717" s="6">
        <v>0</v>
      </c>
      <c r="K717" s="6">
        <v>0</v>
      </c>
      <c r="L717" s="6">
        <v>415.32299999999998</v>
      </c>
      <c r="M717" s="6">
        <v>415.32299999999998</v>
      </c>
      <c r="N717" s="6">
        <v>415.32299999999998</v>
      </c>
      <c r="O717" s="6">
        <v>415.32299999999998</v>
      </c>
      <c r="P717" s="6">
        <v>6611</v>
      </c>
      <c r="Q717" s="4" t="s">
        <v>26</v>
      </c>
      <c r="R717" s="4">
        <v>0</v>
      </c>
      <c r="S717" s="4">
        <v>0</v>
      </c>
      <c r="T717" s="4">
        <v>45</v>
      </c>
      <c r="U717" s="4">
        <v>88</v>
      </c>
      <c r="V717" s="6">
        <f>IF(ISERROR(VLOOKUP($S$717,'TAR FIN'!$A$1:$O$116,15,0)),0,VLOOKUP($S$717,'TAR FIN'!$A$1:$O$116,15,0))</f>
        <v>0</v>
      </c>
      <c r="W717" s="6">
        <f>IF(ISERROR(VLOOKUP($T$717,'TAR FIN'!$A$1:$O$116,15,0)),0,VLOOKUP($T$717,'TAR FIN'!$A$1:$O$116,15,0))</f>
        <v>269.37</v>
      </c>
      <c r="X717" s="6">
        <f>IF(ISERROR(VLOOKUP($U$717,'TAR FIN'!$A$1:$O$116,15,0)),0,VLOOKUP($U$717,'TAR FIN'!$A$1:$O$116,15,0))</f>
        <v>326.47000000000003</v>
      </c>
      <c r="Y717" s="6"/>
      <c r="Z71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7" s="6">
        <f>('TE BE'!$AB$18+'TE BF'!$AB$18+'TE CVA'!$AB$18)*(1-CUSTOS!$M$37)</f>
        <v>329.63081087285968</v>
      </c>
      <c r="AB717" s="6">
        <f t="shared" si="44"/>
        <v>0</v>
      </c>
      <c r="AC717" s="6">
        <f>(L717-M717)*(W717+X717)+($W$711+$X$711-$W$717-$X$717)*(L717)</f>
        <v>0</v>
      </c>
      <c r="AD717" s="6">
        <f t="shared" si="45"/>
        <v>0</v>
      </c>
      <c r="AE717" s="6">
        <f ca="1">(L717-M717)*(Z717+AA717)+($Z$711+$AA$711-$Z$717-$AA$717)*(L717)</f>
        <v>2.3608379251527366E-11</v>
      </c>
      <c r="AF717" s="4" t="s">
        <v>1116</v>
      </c>
    </row>
    <row r="718" spans="1:32" ht="11.25" customHeight="1" x14ac:dyDescent="0.25">
      <c r="A718" s="4" t="s">
        <v>27</v>
      </c>
      <c r="B718" s="4" t="s">
        <v>22</v>
      </c>
      <c r="C718" s="4" t="s">
        <v>23</v>
      </c>
      <c r="D718" s="4" t="s">
        <v>24</v>
      </c>
      <c r="E718" s="4" t="s">
        <v>32</v>
      </c>
      <c r="F718" s="4" t="s">
        <v>25</v>
      </c>
      <c r="G718" s="4" t="s">
        <v>25</v>
      </c>
      <c r="H718" s="4" t="s">
        <v>25</v>
      </c>
      <c r="I718" s="5">
        <v>44409</v>
      </c>
      <c r="J718" s="6">
        <v>0</v>
      </c>
      <c r="K718" s="6">
        <v>0</v>
      </c>
      <c r="L718" s="6">
        <v>-3.7890000000000001</v>
      </c>
      <c r="M718" s="6">
        <v>-3.7890000000000001</v>
      </c>
      <c r="N718" s="6">
        <v>-3.7890000000000001</v>
      </c>
      <c r="O718" s="6">
        <v>-3.7890000000000001</v>
      </c>
      <c r="P718" s="6">
        <v>-8</v>
      </c>
      <c r="Q718" s="4" t="s">
        <v>26</v>
      </c>
      <c r="R718" s="4">
        <v>0</v>
      </c>
      <c r="S718" s="4">
        <v>0</v>
      </c>
      <c r="T718" s="4">
        <v>45</v>
      </c>
      <c r="U718" s="4">
        <v>88</v>
      </c>
      <c r="V718" s="6">
        <f>IF(ISERROR(VLOOKUP($S$718,'TAR FIN'!$A$1:$O$116,15,0)),0,VLOOKUP($S$718,'TAR FIN'!$A$1:$O$116,15,0))</f>
        <v>0</v>
      </c>
      <c r="W718" s="6">
        <f>IF(ISERROR(VLOOKUP($T$718,'TAR FIN'!$A$1:$O$116,15,0)),0,VLOOKUP($T$718,'TAR FIN'!$A$1:$O$116,15,0))</f>
        <v>269.37</v>
      </c>
      <c r="X718" s="6">
        <f>IF(ISERROR(VLOOKUP($U$718,'TAR FIN'!$A$1:$O$116,15,0)),0,VLOOKUP($U$718,'TAR FIN'!$A$1:$O$116,15,0))</f>
        <v>326.47000000000003</v>
      </c>
      <c r="Y718" s="6"/>
      <c r="Z71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8" s="6">
        <f>('TE BE'!$AB$18+'TE BF'!$AB$18+'TE CVA'!$AB$18)*(1-CUSTOS!$M$37)</f>
        <v>329.63081087285968</v>
      </c>
      <c r="AB718" s="6">
        <f t="shared" si="44"/>
        <v>0</v>
      </c>
      <c r="AC718" s="6">
        <f>(L718-M718)*(W718+X718)+($W$711+$X$711-$W$718-$X$718)*(L718)</f>
        <v>0</v>
      </c>
      <c r="AD718" s="6">
        <f t="shared" si="45"/>
        <v>0</v>
      </c>
      <c r="AE718" s="6">
        <f ca="1">(L718-M718)*(Z718+AA718)+($Z$711+$AA$711-$Z$718-$AA$718)*(L718)</f>
        <v>-2.1537971406360158E-13</v>
      </c>
      <c r="AF718" s="4" t="s">
        <v>1116</v>
      </c>
    </row>
    <row r="719" spans="1:32" ht="11.25" customHeight="1" x14ac:dyDescent="0.25">
      <c r="A719" s="4" t="s">
        <v>28</v>
      </c>
      <c r="B719" s="4" t="s">
        <v>22</v>
      </c>
      <c r="C719" s="4" t="s">
        <v>23</v>
      </c>
      <c r="D719" s="4" t="s">
        <v>24</v>
      </c>
      <c r="E719" s="4" t="s">
        <v>32</v>
      </c>
      <c r="F719" s="4" t="s">
        <v>25</v>
      </c>
      <c r="G719" s="4" t="s">
        <v>25</v>
      </c>
      <c r="H719" s="4" t="s">
        <v>25</v>
      </c>
      <c r="I719" s="5">
        <v>44409</v>
      </c>
      <c r="J719" s="6">
        <v>0</v>
      </c>
      <c r="K719" s="6">
        <v>0</v>
      </c>
      <c r="L719" s="6">
        <v>3.2330000000000001</v>
      </c>
      <c r="M719" s="6">
        <v>3.2330000000000001</v>
      </c>
      <c r="N719" s="6">
        <v>3.2330000000000001</v>
      </c>
      <c r="O719" s="6">
        <v>3.2330000000000001</v>
      </c>
      <c r="P719" s="6">
        <v>40</v>
      </c>
      <c r="Q719" s="4" t="s">
        <v>26</v>
      </c>
      <c r="R719" s="4">
        <v>0</v>
      </c>
      <c r="S719" s="4">
        <v>0</v>
      </c>
      <c r="T719" s="4">
        <v>45</v>
      </c>
      <c r="U719" s="4">
        <v>88</v>
      </c>
      <c r="V719" s="6">
        <f>IF(ISERROR(VLOOKUP($S$719,'TAR FIN'!$A$1:$O$116,15,0)),0,VLOOKUP($S$719,'TAR FIN'!$A$1:$O$116,15,0))</f>
        <v>0</v>
      </c>
      <c r="W719" s="6">
        <f>IF(ISERROR(VLOOKUP($T$719,'TAR FIN'!$A$1:$O$116,15,0)),0,VLOOKUP($T$719,'TAR FIN'!$A$1:$O$116,15,0))</f>
        <v>269.37</v>
      </c>
      <c r="X719" s="6">
        <f>IF(ISERROR(VLOOKUP($U$719,'TAR FIN'!$A$1:$O$116,15,0)),0,VLOOKUP($U$719,'TAR FIN'!$A$1:$O$116,15,0))</f>
        <v>326.47000000000003</v>
      </c>
      <c r="Y719" s="6"/>
      <c r="Z71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19" s="6">
        <f>('TE BE'!$AB$18+'TE BF'!$AB$18+'TE CVA'!$AB$18)*(1-CUSTOS!$M$37)</f>
        <v>329.63081087285968</v>
      </c>
      <c r="AB719" s="6">
        <f t="shared" si="44"/>
        <v>0</v>
      </c>
      <c r="AC719" s="6">
        <f>(L719-M719)*(W719+X719)+($W$711+$X$711-$W$719-$X$719)*(L719)</f>
        <v>0</v>
      </c>
      <c r="AD719" s="6">
        <f t="shared" si="45"/>
        <v>0</v>
      </c>
      <c r="AE719" s="6">
        <f ca="1">(L719-M719)*(Z719+AA719)+($Z$711+$AA$711-$Z$719-$AA$719)*(L719)</f>
        <v>1.8377477317699232E-13</v>
      </c>
      <c r="AF719" s="4" t="s">
        <v>1116</v>
      </c>
    </row>
    <row r="720" spans="1:32" ht="11.25" customHeight="1" x14ac:dyDescent="0.25">
      <c r="A720" s="4" t="s">
        <v>21</v>
      </c>
      <c r="B720" s="4" t="s">
        <v>22</v>
      </c>
      <c r="C720" s="4" t="s">
        <v>23</v>
      </c>
      <c r="D720" s="4" t="s">
        <v>24</v>
      </c>
      <c r="E720" s="4" t="s">
        <v>32</v>
      </c>
      <c r="F720" s="4" t="s">
        <v>25</v>
      </c>
      <c r="G720" s="4" t="s">
        <v>25</v>
      </c>
      <c r="H720" s="4" t="s">
        <v>25</v>
      </c>
      <c r="I720" s="5">
        <v>44440</v>
      </c>
      <c r="J720" s="6">
        <v>0</v>
      </c>
      <c r="K720" s="6">
        <v>0</v>
      </c>
      <c r="L720" s="6">
        <v>642.28399999999999</v>
      </c>
      <c r="M720" s="6">
        <v>642.28399999999999</v>
      </c>
      <c r="N720" s="6">
        <v>642.28399999999999</v>
      </c>
      <c r="O720" s="6">
        <v>642.28399999999999</v>
      </c>
      <c r="P720" s="6">
        <v>9346</v>
      </c>
      <c r="Q720" s="4" t="s">
        <v>26</v>
      </c>
      <c r="R720" s="4">
        <v>0</v>
      </c>
      <c r="S720" s="4">
        <v>0</v>
      </c>
      <c r="T720" s="4">
        <v>45</v>
      </c>
      <c r="U720" s="4">
        <v>88</v>
      </c>
      <c r="V720" s="6">
        <f>IF(ISERROR(VLOOKUP($S$720,'TAR FIN'!$A$1:$O$116,15,0)),0,VLOOKUP($S$720,'TAR FIN'!$A$1:$O$116,15,0))</f>
        <v>0</v>
      </c>
      <c r="W720" s="6">
        <f>IF(ISERROR(VLOOKUP($T$720,'TAR FIN'!$A$1:$O$116,15,0)),0,VLOOKUP($T$720,'TAR FIN'!$A$1:$O$116,15,0))</f>
        <v>269.37</v>
      </c>
      <c r="X720" s="6">
        <f>IF(ISERROR(VLOOKUP($U$720,'TAR FIN'!$A$1:$O$116,15,0)),0,VLOOKUP($U$720,'TAR FIN'!$A$1:$O$116,15,0))</f>
        <v>326.47000000000003</v>
      </c>
      <c r="Y720" s="6"/>
      <c r="Z72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0" s="6">
        <f>('TE BE'!$AB$18+'TE BF'!$AB$18+'TE CVA'!$AB$18)*(1-CUSTOS!$M$37)</f>
        <v>329.63081087285968</v>
      </c>
      <c r="AB720" s="6">
        <f t="shared" si="44"/>
        <v>0</v>
      </c>
      <c r="AC720" s="6">
        <f>(L720-M720)*(W720+X720)+($W$711+$X$711-$W$720-$X$720)*(L720)</f>
        <v>0</v>
      </c>
      <c r="AD720" s="6">
        <f t="shared" si="45"/>
        <v>0</v>
      </c>
      <c r="AE720" s="6">
        <f ca="1">(L720-M720)*(Z720+AA720)+($Z$711+$AA$711-$Z$720-$AA$720)*(L720)</f>
        <v>3.6509618439595215E-11</v>
      </c>
      <c r="AF720" s="4" t="s">
        <v>1116</v>
      </c>
    </row>
    <row r="721" spans="1:32" ht="11.25" customHeight="1" x14ac:dyDescent="0.25">
      <c r="A721" s="4" t="s">
        <v>27</v>
      </c>
      <c r="B721" s="4" t="s">
        <v>22</v>
      </c>
      <c r="C721" s="4" t="s">
        <v>23</v>
      </c>
      <c r="D721" s="4" t="s">
        <v>24</v>
      </c>
      <c r="E721" s="4" t="s">
        <v>32</v>
      </c>
      <c r="F721" s="4" t="s">
        <v>25</v>
      </c>
      <c r="G721" s="4" t="s">
        <v>25</v>
      </c>
      <c r="H721" s="4" t="s">
        <v>25</v>
      </c>
      <c r="I721" s="5">
        <v>44440</v>
      </c>
      <c r="J721" s="6">
        <v>0</v>
      </c>
      <c r="K721" s="6">
        <v>0</v>
      </c>
      <c r="L721" s="6">
        <v>-3.7919999999999998</v>
      </c>
      <c r="M721" s="6">
        <v>-3.7919999999999998</v>
      </c>
      <c r="N721" s="6">
        <v>-3.7919999999999998</v>
      </c>
      <c r="O721" s="6">
        <v>-3.7919999999999998</v>
      </c>
      <c r="P721" s="6">
        <v>-7</v>
      </c>
      <c r="Q721" s="4" t="s">
        <v>26</v>
      </c>
      <c r="R721" s="4">
        <v>0</v>
      </c>
      <c r="S721" s="4">
        <v>0</v>
      </c>
      <c r="T721" s="4">
        <v>45</v>
      </c>
      <c r="U721" s="4">
        <v>88</v>
      </c>
      <c r="V721" s="6">
        <f>IF(ISERROR(VLOOKUP($S$721,'TAR FIN'!$A$1:$O$116,15,0)),0,VLOOKUP($S$721,'TAR FIN'!$A$1:$O$116,15,0))</f>
        <v>0</v>
      </c>
      <c r="W721" s="6">
        <f>IF(ISERROR(VLOOKUP($T$721,'TAR FIN'!$A$1:$O$116,15,0)),0,VLOOKUP($T$721,'TAR FIN'!$A$1:$O$116,15,0))</f>
        <v>269.37</v>
      </c>
      <c r="X721" s="6">
        <f>IF(ISERROR(VLOOKUP($U$721,'TAR FIN'!$A$1:$O$116,15,0)),0,VLOOKUP($U$721,'TAR FIN'!$A$1:$O$116,15,0))</f>
        <v>326.47000000000003</v>
      </c>
      <c r="Y721" s="6"/>
      <c r="Z72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1" s="6">
        <f>('TE BE'!$AB$18+'TE BF'!$AB$18+'TE CVA'!$AB$18)*(1-CUSTOS!$M$37)</f>
        <v>329.63081087285968</v>
      </c>
      <c r="AB721" s="6">
        <f t="shared" si="44"/>
        <v>0</v>
      </c>
      <c r="AC721" s="6">
        <f>(L721-M721)*(W721+X721)+($W$711+$X$711-$W$721-$X$721)*(L721)</f>
        <v>0</v>
      </c>
      <c r="AD721" s="6">
        <f t="shared" si="45"/>
        <v>0</v>
      </c>
      <c r="AE721" s="6">
        <f ca="1">(L721-M721)*(Z721+AA721)+($Z$711+$AA$711-$Z$721-$AA$721)*(L721)</f>
        <v>-2.1555024432018398E-13</v>
      </c>
      <c r="AF721" s="4" t="s">
        <v>1116</v>
      </c>
    </row>
    <row r="722" spans="1:32" ht="11.25" customHeight="1" x14ac:dyDescent="0.25">
      <c r="A722" s="4" t="s">
        <v>28</v>
      </c>
      <c r="B722" s="4" t="s">
        <v>22</v>
      </c>
      <c r="C722" s="4" t="s">
        <v>23</v>
      </c>
      <c r="D722" s="4" t="s">
        <v>24</v>
      </c>
      <c r="E722" s="4" t="s">
        <v>32</v>
      </c>
      <c r="F722" s="4" t="s">
        <v>25</v>
      </c>
      <c r="G722" s="4" t="s">
        <v>25</v>
      </c>
      <c r="H722" s="4" t="s">
        <v>25</v>
      </c>
      <c r="I722" s="5">
        <v>44440</v>
      </c>
      <c r="J722" s="6">
        <v>0</v>
      </c>
      <c r="K722" s="6">
        <v>0</v>
      </c>
      <c r="L722" s="6">
        <v>4.22</v>
      </c>
      <c r="M722" s="6">
        <v>4.22</v>
      </c>
      <c r="N722" s="6">
        <v>4.22</v>
      </c>
      <c r="O722" s="6">
        <v>4.22</v>
      </c>
      <c r="P722" s="6">
        <v>47</v>
      </c>
      <c r="Q722" s="4" t="s">
        <v>26</v>
      </c>
      <c r="R722" s="4">
        <v>0</v>
      </c>
      <c r="S722" s="4">
        <v>0</v>
      </c>
      <c r="T722" s="4">
        <v>45</v>
      </c>
      <c r="U722" s="4">
        <v>88</v>
      </c>
      <c r="V722" s="6">
        <f>IF(ISERROR(VLOOKUP($S$722,'TAR FIN'!$A$1:$O$116,15,0)),0,VLOOKUP($S$722,'TAR FIN'!$A$1:$O$116,15,0))</f>
        <v>0</v>
      </c>
      <c r="W722" s="6">
        <f>IF(ISERROR(VLOOKUP($T$722,'TAR FIN'!$A$1:$O$116,15,0)),0,VLOOKUP($T$722,'TAR FIN'!$A$1:$O$116,15,0))</f>
        <v>269.37</v>
      </c>
      <c r="X722" s="6">
        <f>IF(ISERROR(VLOOKUP($U$722,'TAR FIN'!$A$1:$O$116,15,0)),0,VLOOKUP($U$722,'TAR FIN'!$A$1:$O$116,15,0))</f>
        <v>326.47000000000003</v>
      </c>
      <c r="Y722" s="6"/>
      <c r="Z72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2" s="6">
        <f>('TE BE'!$AB$18+'TE BF'!$AB$18+'TE CVA'!$AB$18)*(1-CUSTOS!$M$37)</f>
        <v>329.63081087285968</v>
      </c>
      <c r="AB722" s="6">
        <f t="shared" si="44"/>
        <v>0</v>
      </c>
      <c r="AC722" s="6">
        <f>(L722-M722)*(W722+X722)+($W$711+$X$711-$W$722-$X$722)*(L722)</f>
        <v>0</v>
      </c>
      <c r="AD722" s="6">
        <f t="shared" si="45"/>
        <v>0</v>
      </c>
      <c r="AE722" s="6">
        <f ca="1">(L722-M722)*(Z722+AA722)+($Z$711+$AA$711-$Z$722-$AA$722)*(L722)</f>
        <v>2.3987922759260981E-13</v>
      </c>
      <c r="AF722" s="4" t="s">
        <v>1116</v>
      </c>
    </row>
    <row r="723" spans="1:32" ht="11.25" customHeight="1" x14ac:dyDescent="0.25">
      <c r="A723" s="4" t="s">
        <v>21</v>
      </c>
      <c r="B723" s="4" t="s">
        <v>22</v>
      </c>
      <c r="C723" s="4" t="s">
        <v>23</v>
      </c>
      <c r="D723" s="4" t="s">
        <v>24</v>
      </c>
      <c r="E723" s="4" t="s">
        <v>32</v>
      </c>
      <c r="F723" s="4" t="s">
        <v>25</v>
      </c>
      <c r="G723" s="4" t="s">
        <v>25</v>
      </c>
      <c r="H723" s="4" t="s">
        <v>25</v>
      </c>
      <c r="I723" s="5">
        <v>44470</v>
      </c>
      <c r="J723" s="6">
        <v>0</v>
      </c>
      <c r="K723" s="6">
        <v>0</v>
      </c>
      <c r="L723" s="6">
        <v>515.21600000000001</v>
      </c>
      <c r="M723" s="6">
        <v>515.21600000000001</v>
      </c>
      <c r="N723" s="6">
        <v>515.21600000000001</v>
      </c>
      <c r="O723" s="6">
        <v>515.21600000000001</v>
      </c>
      <c r="P723" s="6">
        <v>7642</v>
      </c>
      <c r="Q723" s="4" t="s">
        <v>26</v>
      </c>
      <c r="R723" s="4">
        <v>0</v>
      </c>
      <c r="S723" s="4">
        <v>0</v>
      </c>
      <c r="T723" s="4">
        <v>45</v>
      </c>
      <c r="U723" s="4">
        <v>88</v>
      </c>
      <c r="V723" s="6">
        <f>IF(ISERROR(VLOOKUP($S$723,'TAR FIN'!$A$1:$O$116,15,0)),0,VLOOKUP($S$723,'TAR FIN'!$A$1:$O$116,15,0))</f>
        <v>0</v>
      </c>
      <c r="W723" s="6">
        <f>IF(ISERROR(VLOOKUP($T$723,'TAR FIN'!$A$1:$O$116,15,0)),0,VLOOKUP($T$723,'TAR FIN'!$A$1:$O$116,15,0))</f>
        <v>269.37</v>
      </c>
      <c r="X723" s="6">
        <f>IF(ISERROR(VLOOKUP($U$723,'TAR FIN'!$A$1:$O$116,15,0)),0,VLOOKUP($U$723,'TAR FIN'!$A$1:$O$116,15,0))</f>
        <v>326.47000000000003</v>
      </c>
      <c r="Y723" s="6"/>
      <c r="Z72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3" s="6">
        <f>('TE BE'!$AB$18+'TE BF'!$AB$18+'TE CVA'!$AB$18)*(1-CUSTOS!$M$37)</f>
        <v>329.63081087285968</v>
      </c>
      <c r="AB723" s="6">
        <f t="shared" si="44"/>
        <v>0</v>
      </c>
      <c r="AC723" s="6">
        <f>(L723-M723)*(W723+X723)+($W$711+$X$711-$W$723-$X$723)*(L723)</f>
        <v>0</v>
      </c>
      <c r="AD723" s="6">
        <f t="shared" si="45"/>
        <v>0</v>
      </c>
      <c r="AE723" s="6">
        <f ca="1">(L723-M723)*(Z723+AA723)+($Z$711+$AA$711-$Z$723-$AA$723)*(L723)</f>
        <v>2.9286638891790063E-11</v>
      </c>
      <c r="AF723" s="4" t="s">
        <v>1116</v>
      </c>
    </row>
    <row r="724" spans="1:32" ht="11.25" customHeight="1" x14ac:dyDescent="0.25">
      <c r="A724" s="4" t="s">
        <v>27</v>
      </c>
      <c r="B724" s="4" t="s">
        <v>22</v>
      </c>
      <c r="C724" s="4" t="s">
        <v>23</v>
      </c>
      <c r="D724" s="4" t="s">
        <v>24</v>
      </c>
      <c r="E724" s="4" t="s">
        <v>32</v>
      </c>
      <c r="F724" s="4" t="s">
        <v>25</v>
      </c>
      <c r="G724" s="4" t="s">
        <v>25</v>
      </c>
      <c r="H724" s="4" t="s">
        <v>25</v>
      </c>
      <c r="I724" s="5">
        <v>44470</v>
      </c>
      <c r="J724" s="6">
        <v>0</v>
      </c>
      <c r="K724" s="6">
        <v>0</v>
      </c>
      <c r="L724" s="6">
        <v>-0.76200000000000001</v>
      </c>
      <c r="M724" s="6">
        <v>-0.76200000000000001</v>
      </c>
      <c r="N724" s="6">
        <v>-0.76200000000000001</v>
      </c>
      <c r="O724" s="6">
        <v>-0.76200000000000001</v>
      </c>
      <c r="P724" s="6">
        <v>-3</v>
      </c>
      <c r="Q724" s="4" t="s">
        <v>26</v>
      </c>
      <c r="R724" s="4">
        <v>0</v>
      </c>
      <c r="S724" s="4">
        <v>0</v>
      </c>
      <c r="T724" s="4">
        <v>45</v>
      </c>
      <c r="U724" s="4">
        <v>88</v>
      </c>
      <c r="V724" s="6">
        <f>IF(ISERROR(VLOOKUP($S$724,'TAR FIN'!$A$1:$O$116,15,0)),0,VLOOKUP($S$724,'TAR FIN'!$A$1:$O$116,15,0))</f>
        <v>0</v>
      </c>
      <c r="W724" s="6">
        <f>IF(ISERROR(VLOOKUP($T$724,'TAR FIN'!$A$1:$O$116,15,0)),0,VLOOKUP($T$724,'TAR FIN'!$A$1:$O$116,15,0))</f>
        <v>269.37</v>
      </c>
      <c r="X724" s="6">
        <f>IF(ISERROR(VLOOKUP($U$724,'TAR FIN'!$A$1:$O$116,15,0)),0,VLOOKUP($U$724,'TAR FIN'!$A$1:$O$116,15,0))</f>
        <v>326.47000000000003</v>
      </c>
      <c r="Y724" s="6"/>
      <c r="Z72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4" s="6">
        <f>('TE BE'!$AB$18+'TE BF'!$AB$18+'TE CVA'!$AB$18)*(1-CUSTOS!$M$37)</f>
        <v>329.63081087285968</v>
      </c>
      <c r="AB724" s="6">
        <f t="shared" si="44"/>
        <v>0</v>
      </c>
      <c r="AC724" s="6">
        <f>(L724-M724)*(W724+X724)+($W$711+$X$711-$W$724-$X$724)*(L724)</f>
        <v>0</v>
      </c>
      <c r="AD724" s="6">
        <f t="shared" si="45"/>
        <v>0</v>
      </c>
      <c r="AE724" s="6">
        <f ca="1">(L724-M724)*(Z724+AA724)+($Z$711+$AA$711-$Z$724-$AA$724)*(L724)</f>
        <v>-4.3314685171935708E-14</v>
      </c>
      <c r="AF724" s="4" t="s">
        <v>1116</v>
      </c>
    </row>
    <row r="725" spans="1:32" ht="11.25" customHeight="1" x14ac:dyDescent="0.25">
      <c r="A725" s="4" t="s">
        <v>28</v>
      </c>
      <c r="B725" s="4" t="s">
        <v>22</v>
      </c>
      <c r="C725" s="4" t="s">
        <v>23</v>
      </c>
      <c r="D725" s="4" t="s">
        <v>24</v>
      </c>
      <c r="E725" s="4" t="s">
        <v>32</v>
      </c>
      <c r="F725" s="4" t="s">
        <v>25</v>
      </c>
      <c r="G725" s="4" t="s">
        <v>25</v>
      </c>
      <c r="H725" s="4" t="s">
        <v>25</v>
      </c>
      <c r="I725" s="5">
        <v>44470</v>
      </c>
      <c r="J725" s="6">
        <v>0</v>
      </c>
      <c r="K725" s="6">
        <v>0</v>
      </c>
      <c r="L725" s="6">
        <v>6.4749999999999996</v>
      </c>
      <c r="M725" s="6">
        <v>6.4749999999999996</v>
      </c>
      <c r="N725" s="6">
        <v>6.4749999999999996</v>
      </c>
      <c r="O725" s="6">
        <v>6.4749999999999996</v>
      </c>
      <c r="P725" s="6">
        <v>55</v>
      </c>
      <c r="Q725" s="4" t="s">
        <v>26</v>
      </c>
      <c r="R725" s="4">
        <v>0</v>
      </c>
      <c r="S725" s="4">
        <v>0</v>
      </c>
      <c r="T725" s="4">
        <v>45</v>
      </c>
      <c r="U725" s="4">
        <v>88</v>
      </c>
      <c r="V725" s="6">
        <f>IF(ISERROR(VLOOKUP($S$725,'TAR FIN'!$A$1:$O$116,15,0)),0,VLOOKUP($S$725,'TAR FIN'!$A$1:$O$116,15,0))</f>
        <v>0</v>
      </c>
      <c r="W725" s="6">
        <f>IF(ISERROR(VLOOKUP($T$725,'TAR FIN'!$A$1:$O$116,15,0)),0,VLOOKUP($T$725,'TAR FIN'!$A$1:$O$116,15,0))</f>
        <v>269.37</v>
      </c>
      <c r="X725" s="6">
        <f>IF(ISERROR(VLOOKUP($U$725,'TAR FIN'!$A$1:$O$116,15,0)),0,VLOOKUP($U$725,'TAR FIN'!$A$1:$O$116,15,0))</f>
        <v>326.47000000000003</v>
      </c>
      <c r="Y725" s="6"/>
      <c r="Z72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5" s="6">
        <f>('TE BE'!$AB$18+'TE BF'!$AB$18+'TE CVA'!$AB$18)*(1-CUSTOS!$M$37)</f>
        <v>329.63081087285968</v>
      </c>
      <c r="AB725" s="6">
        <f t="shared" si="44"/>
        <v>0</v>
      </c>
      <c r="AC725" s="6">
        <f>(L725-M725)*(W725+X725)+($W$711+$X$711-$W$725-$X$725)*(L725)</f>
        <v>0</v>
      </c>
      <c r="AD725" s="6">
        <f t="shared" si="45"/>
        <v>0</v>
      </c>
      <c r="AE725" s="6">
        <f ca="1">(L725-M725)*(Z725+AA725)+($Z$711+$AA$711-$Z$725-$AA$725)*(L725)</f>
        <v>3.6806113712373188E-13</v>
      </c>
      <c r="AF725" s="4" t="s">
        <v>1116</v>
      </c>
    </row>
    <row r="726" spans="1:32" ht="11.25" customHeight="1" x14ac:dyDescent="0.25">
      <c r="A726" s="4" t="s">
        <v>21</v>
      </c>
      <c r="B726" s="4" t="s">
        <v>22</v>
      </c>
      <c r="C726" s="4" t="s">
        <v>23</v>
      </c>
      <c r="D726" s="4" t="s">
        <v>24</v>
      </c>
      <c r="E726" s="4" t="s">
        <v>32</v>
      </c>
      <c r="F726" s="4" t="s">
        <v>25</v>
      </c>
      <c r="G726" s="4" t="s">
        <v>25</v>
      </c>
      <c r="H726" s="4" t="s">
        <v>25</v>
      </c>
      <c r="I726" s="5">
        <v>44501</v>
      </c>
      <c r="J726" s="6">
        <v>0</v>
      </c>
      <c r="K726" s="6">
        <v>0</v>
      </c>
      <c r="L726" s="6">
        <v>528.21600000000001</v>
      </c>
      <c r="M726" s="6">
        <v>528.21600000000001</v>
      </c>
      <c r="N726" s="6">
        <v>528.21600000000001</v>
      </c>
      <c r="O726" s="6">
        <v>528.21600000000001</v>
      </c>
      <c r="P726" s="6">
        <v>7959</v>
      </c>
      <c r="Q726" s="4" t="s">
        <v>26</v>
      </c>
      <c r="R726" s="4">
        <v>0</v>
      </c>
      <c r="S726" s="4">
        <v>0</v>
      </c>
      <c r="T726" s="4">
        <v>45</v>
      </c>
      <c r="U726" s="4">
        <v>88</v>
      </c>
      <c r="V726" s="6">
        <f>IF(ISERROR(VLOOKUP($S$726,'TAR FIN'!$A$1:$O$116,15,0)),0,VLOOKUP($S$726,'TAR FIN'!$A$1:$O$116,15,0))</f>
        <v>0</v>
      </c>
      <c r="W726" s="6">
        <f>IF(ISERROR(VLOOKUP($T$726,'TAR FIN'!$A$1:$O$116,15,0)),0,VLOOKUP($T$726,'TAR FIN'!$A$1:$O$116,15,0))</f>
        <v>269.37</v>
      </c>
      <c r="X726" s="6">
        <f>IF(ISERROR(VLOOKUP($U$726,'TAR FIN'!$A$1:$O$116,15,0)),0,VLOOKUP($U$726,'TAR FIN'!$A$1:$O$116,15,0))</f>
        <v>326.47000000000003</v>
      </c>
      <c r="Y726" s="6"/>
      <c r="Z72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6" s="6">
        <f>('TE BE'!$AB$18+'TE BF'!$AB$18+'TE CVA'!$AB$18)*(1-CUSTOS!$M$37)</f>
        <v>329.63081087285968</v>
      </c>
      <c r="AB726" s="6">
        <f t="shared" si="44"/>
        <v>0</v>
      </c>
      <c r="AC726" s="6">
        <f>(L726-M726)*(W726+X726)+($W$711+$X$711-$W$726-$X$726)*(L726)</f>
        <v>0</v>
      </c>
      <c r="AD726" s="6">
        <f t="shared" si="45"/>
        <v>0</v>
      </c>
      <c r="AE726" s="6">
        <f ca="1">(L726-M726)*(Z726+AA726)+($Z$711+$AA$711-$Z$726-$AA$726)*(L726)</f>
        <v>3.0025603336980567E-11</v>
      </c>
      <c r="AF726" s="4" t="s">
        <v>1116</v>
      </c>
    </row>
    <row r="727" spans="1:32" ht="11.25" customHeight="1" x14ac:dyDescent="0.25">
      <c r="A727" s="4" t="s">
        <v>27</v>
      </c>
      <c r="B727" s="4" t="s">
        <v>22</v>
      </c>
      <c r="C727" s="4" t="s">
        <v>23</v>
      </c>
      <c r="D727" s="4" t="s">
        <v>24</v>
      </c>
      <c r="E727" s="4" t="s">
        <v>32</v>
      </c>
      <c r="F727" s="4" t="s">
        <v>25</v>
      </c>
      <c r="G727" s="4" t="s">
        <v>25</v>
      </c>
      <c r="H727" s="4" t="s">
        <v>25</v>
      </c>
      <c r="I727" s="5">
        <v>44501</v>
      </c>
      <c r="J727" s="6">
        <v>0</v>
      </c>
      <c r="K727" s="6">
        <v>0</v>
      </c>
      <c r="L727" s="6">
        <v>-0.152</v>
      </c>
      <c r="M727" s="6">
        <v>-0.152</v>
      </c>
      <c r="N727" s="6">
        <v>-0.152</v>
      </c>
      <c r="O727" s="6">
        <v>-0.152</v>
      </c>
      <c r="P727" s="6">
        <v>-2</v>
      </c>
      <c r="Q727" s="4" t="s">
        <v>26</v>
      </c>
      <c r="R727" s="4">
        <v>0</v>
      </c>
      <c r="S727" s="4">
        <v>0</v>
      </c>
      <c r="T727" s="4">
        <v>45</v>
      </c>
      <c r="U727" s="4">
        <v>88</v>
      </c>
      <c r="V727" s="6">
        <f>IF(ISERROR(VLOOKUP($S$727,'TAR FIN'!$A$1:$O$116,15,0)),0,VLOOKUP($S$727,'TAR FIN'!$A$1:$O$116,15,0))</f>
        <v>0</v>
      </c>
      <c r="W727" s="6">
        <f>IF(ISERROR(VLOOKUP($T$727,'TAR FIN'!$A$1:$O$116,15,0)),0,VLOOKUP($T$727,'TAR FIN'!$A$1:$O$116,15,0))</f>
        <v>269.37</v>
      </c>
      <c r="X727" s="6">
        <f>IF(ISERROR(VLOOKUP($U$727,'TAR FIN'!$A$1:$O$116,15,0)),0,VLOOKUP($U$727,'TAR FIN'!$A$1:$O$116,15,0))</f>
        <v>326.47000000000003</v>
      </c>
      <c r="Y727" s="6"/>
      <c r="Z72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7" s="6">
        <f>('TE BE'!$AB$18+'TE BF'!$AB$18+'TE CVA'!$AB$18)*(1-CUSTOS!$M$37)</f>
        <v>329.63081087285968</v>
      </c>
      <c r="AB727" s="6">
        <f t="shared" si="44"/>
        <v>0</v>
      </c>
      <c r="AC727" s="6">
        <f>(L727-M727)*(W727+X727)+($W$711+$X$711-$W$727-$X$727)*(L727)</f>
        <v>0</v>
      </c>
      <c r="AD727" s="6">
        <f t="shared" si="45"/>
        <v>0</v>
      </c>
      <c r="AE727" s="6">
        <f ca="1">(L727-M727)*(Z727+AA727)+($Z$711+$AA$711-$Z$727-$AA$727)*(L727)</f>
        <v>-8.640199666842818E-15</v>
      </c>
      <c r="AF727" s="4" t="s">
        <v>1116</v>
      </c>
    </row>
    <row r="728" spans="1:32" ht="11.25" customHeight="1" x14ac:dyDescent="0.25">
      <c r="A728" s="4" t="s">
        <v>28</v>
      </c>
      <c r="B728" s="4" t="s">
        <v>22</v>
      </c>
      <c r="C728" s="4" t="s">
        <v>23</v>
      </c>
      <c r="D728" s="4" t="s">
        <v>24</v>
      </c>
      <c r="E728" s="4" t="s">
        <v>32</v>
      </c>
      <c r="F728" s="4" t="s">
        <v>25</v>
      </c>
      <c r="G728" s="4" t="s">
        <v>25</v>
      </c>
      <c r="H728" s="4" t="s">
        <v>25</v>
      </c>
      <c r="I728" s="5">
        <v>44501</v>
      </c>
      <c r="J728" s="6">
        <v>0</v>
      </c>
      <c r="K728" s="6">
        <v>0</v>
      </c>
      <c r="L728" s="6">
        <v>7.4710000000000001</v>
      </c>
      <c r="M728" s="6">
        <v>7.4710000000000001</v>
      </c>
      <c r="N728" s="6">
        <v>7.4710000000000001</v>
      </c>
      <c r="O728" s="6">
        <v>7.4710000000000001</v>
      </c>
      <c r="P728" s="6">
        <v>56</v>
      </c>
      <c r="Q728" s="4" t="s">
        <v>26</v>
      </c>
      <c r="R728" s="4">
        <v>0</v>
      </c>
      <c r="S728" s="4">
        <v>0</v>
      </c>
      <c r="T728" s="4">
        <v>45</v>
      </c>
      <c r="U728" s="4">
        <v>88</v>
      </c>
      <c r="V728" s="6">
        <f>IF(ISERROR(VLOOKUP($S$728,'TAR FIN'!$A$1:$O$116,15,0)),0,VLOOKUP($S$728,'TAR FIN'!$A$1:$O$116,15,0))</f>
        <v>0</v>
      </c>
      <c r="W728" s="6">
        <f>IF(ISERROR(VLOOKUP($T$728,'TAR FIN'!$A$1:$O$116,15,0)),0,VLOOKUP($T$728,'TAR FIN'!$A$1:$O$116,15,0))</f>
        <v>269.37</v>
      </c>
      <c r="X728" s="6">
        <f>IF(ISERROR(VLOOKUP($U$728,'TAR FIN'!$A$1:$O$116,15,0)),0,VLOOKUP($U$728,'TAR FIN'!$A$1:$O$116,15,0))</f>
        <v>326.47000000000003</v>
      </c>
      <c r="Y728" s="6"/>
      <c r="Z72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8" s="6">
        <f>('TE BE'!$AB$18+'TE BF'!$AB$18+'TE CVA'!$AB$18)*(1-CUSTOS!$M$37)</f>
        <v>329.63081087285968</v>
      </c>
      <c r="AB728" s="6">
        <f t="shared" si="44"/>
        <v>0</v>
      </c>
      <c r="AC728" s="6">
        <f>(L728-M728)*(W728+X728)+($W$711+$X$711-$W$728-$X$728)*(L728)</f>
        <v>0</v>
      </c>
      <c r="AD728" s="6">
        <f t="shared" si="45"/>
        <v>0</v>
      </c>
      <c r="AE728" s="6">
        <f ca="1">(L728-M728)*(Z728+AA728)+($Z$711+$AA$711-$Z$728-$AA$728)*(L728)</f>
        <v>4.2467718230909668E-13</v>
      </c>
      <c r="AF728" s="4" t="s">
        <v>1116</v>
      </c>
    </row>
    <row r="729" spans="1:32" ht="11.25" customHeight="1" x14ac:dyDescent="0.25">
      <c r="A729" s="4" t="s">
        <v>21</v>
      </c>
      <c r="B729" s="4" t="s">
        <v>22</v>
      </c>
      <c r="C729" s="4" t="s">
        <v>23</v>
      </c>
      <c r="D729" s="4" t="s">
        <v>24</v>
      </c>
      <c r="E729" s="4" t="s">
        <v>32</v>
      </c>
      <c r="F729" s="4" t="s">
        <v>25</v>
      </c>
      <c r="G729" s="4" t="s">
        <v>25</v>
      </c>
      <c r="H729" s="4" t="s">
        <v>25</v>
      </c>
      <c r="I729" s="5">
        <v>44531</v>
      </c>
      <c r="J729" s="6">
        <v>0</v>
      </c>
      <c r="K729" s="6">
        <v>0</v>
      </c>
      <c r="L729" s="6">
        <v>725.89</v>
      </c>
      <c r="M729" s="6">
        <v>725.89</v>
      </c>
      <c r="N729" s="6">
        <v>725.89</v>
      </c>
      <c r="O729" s="6">
        <v>725.89</v>
      </c>
      <c r="P729" s="6">
        <v>10407</v>
      </c>
      <c r="Q729" s="4" t="s">
        <v>26</v>
      </c>
      <c r="R729" s="4">
        <v>0</v>
      </c>
      <c r="S729" s="4">
        <v>0</v>
      </c>
      <c r="T729" s="4">
        <v>45</v>
      </c>
      <c r="U729" s="4">
        <v>88</v>
      </c>
      <c r="V729" s="6">
        <f>IF(ISERROR(VLOOKUP($S$729,'TAR FIN'!$A$1:$O$116,15,0)),0,VLOOKUP($S$729,'TAR FIN'!$A$1:$O$116,15,0))</f>
        <v>0</v>
      </c>
      <c r="W729" s="6">
        <f>IF(ISERROR(VLOOKUP($T$729,'TAR FIN'!$A$1:$O$116,15,0)),0,VLOOKUP($T$729,'TAR FIN'!$A$1:$O$116,15,0))</f>
        <v>269.37</v>
      </c>
      <c r="X729" s="6">
        <f>IF(ISERROR(VLOOKUP($U$729,'TAR FIN'!$A$1:$O$116,15,0)),0,VLOOKUP($U$729,'TAR FIN'!$A$1:$O$116,15,0))</f>
        <v>326.47000000000003</v>
      </c>
      <c r="Y729" s="6"/>
      <c r="Z72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29" s="6">
        <f>('TE BE'!$AB$18+'TE BF'!$AB$18+'TE CVA'!$AB$18)*(1-CUSTOS!$M$37)</f>
        <v>329.63081087285968</v>
      </c>
      <c r="AB729" s="6">
        <f t="shared" si="44"/>
        <v>0</v>
      </c>
      <c r="AC729" s="6">
        <f>(L729-M729)*(W729+X729)+($W$711+$X$711-$W$729-$X$729)*(L729)</f>
        <v>0</v>
      </c>
      <c r="AD729" s="6">
        <f t="shared" si="45"/>
        <v>0</v>
      </c>
      <c r="AE729" s="6">
        <f ca="1">(L729-M729)*(Z729+AA729)+($Z$711+$AA$711-$Z$729-$AA$729)*(L729)</f>
        <v>4.1262069316871929E-11</v>
      </c>
      <c r="AF729" s="4" t="s">
        <v>1116</v>
      </c>
    </row>
    <row r="730" spans="1:32" ht="11.25" customHeight="1" x14ac:dyDescent="0.25">
      <c r="A730" s="4" t="s">
        <v>27</v>
      </c>
      <c r="B730" s="4" t="s">
        <v>22</v>
      </c>
      <c r="C730" s="4" t="s">
        <v>23</v>
      </c>
      <c r="D730" s="4" t="s">
        <v>24</v>
      </c>
      <c r="E730" s="4" t="s">
        <v>32</v>
      </c>
      <c r="F730" s="4" t="s">
        <v>25</v>
      </c>
      <c r="G730" s="4" t="s">
        <v>25</v>
      </c>
      <c r="H730" s="4" t="s">
        <v>25</v>
      </c>
      <c r="I730" s="5">
        <v>44531</v>
      </c>
      <c r="J730" s="6">
        <v>0</v>
      </c>
      <c r="K730" s="6">
        <v>0</v>
      </c>
      <c r="L730" s="6">
        <v>-3.0390000000000001</v>
      </c>
      <c r="M730" s="6">
        <v>-3.0390000000000001</v>
      </c>
      <c r="N730" s="6">
        <v>-3.0390000000000001</v>
      </c>
      <c r="O730" s="6">
        <v>-3.0390000000000001</v>
      </c>
      <c r="P730" s="6">
        <v>-8</v>
      </c>
      <c r="Q730" s="4" t="s">
        <v>26</v>
      </c>
      <c r="R730" s="4">
        <v>0</v>
      </c>
      <c r="S730" s="4">
        <v>0</v>
      </c>
      <c r="T730" s="4">
        <v>45</v>
      </c>
      <c r="U730" s="4">
        <v>88</v>
      </c>
      <c r="V730" s="6">
        <f>IF(ISERROR(VLOOKUP($S$730,'TAR FIN'!$A$1:$O$116,15,0)),0,VLOOKUP($S$730,'TAR FIN'!$A$1:$O$116,15,0))</f>
        <v>0</v>
      </c>
      <c r="W730" s="6">
        <f>IF(ISERROR(VLOOKUP($T$730,'TAR FIN'!$A$1:$O$116,15,0)),0,VLOOKUP($T$730,'TAR FIN'!$A$1:$O$116,15,0))</f>
        <v>269.37</v>
      </c>
      <c r="X730" s="6">
        <f>IF(ISERROR(VLOOKUP($U$730,'TAR FIN'!$A$1:$O$116,15,0)),0,VLOOKUP($U$730,'TAR FIN'!$A$1:$O$116,15,0))</f>
        <v>326.47000000000003</v>
      </c>
      <c r="Y730" s="6"/>
      <c r="Z73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0" s="6">
        <f>('TE BE'!$AB$18+'TE BF'!$AB$18+'TE CVA'!$AB$18)*(1-CUSTOS!$M$37)</f>
        <v>329.63081087285968</v>
      </c>
      <c r="AB730" s="6">
        <f t="shared" si="44"/>
        <v>0</v>
      </c>
      <c r="AC730" s="6">
        <f>(L730-M730)*(W730+X730)+($W$711+$X$711-$W$730-$X$730)*(L730)</f>
        <v>0</v>
      </c>
      <c r="AD730" s="6">
        <f t="shared" si="45"/>
        <v>0</v>
      </c>
      <c r="AE730" s="6">
        <f ca="1">(L730-M730)*(Z730+AA730)+($Z$711+$AA$711-$Z$730-$AA$730)*(L730)</f>
        <v>-1.7274714991799557E-13</v>
      </c>
      <c r="AF730" s="4" t="s">
        <v>1116</v>
      </c>
    </row>
    <row r="731" spans="1:32" ht="11.25" customHeight="1" x14ac:dyDescent="0.25">
      <c r="A731" s="4" t="s">
        <v>28</v>
      </c>
      <c r="B731" s="4" t="s">
        <v>22</v>
      </c>
      <c r="C731" s="4" t="s">
        <v>23</v>
      </c>
      <c r="D731" s="4" t="s">
        <v>24</v>
      </c>
      <c r="E731" s="4" t="s">
        <v>32</v>
      </c>
      <c r="F731" s="4" t="s">
        <v>25</v>
      </c>
      <c r="G731" s="4" t="s">
        <v>25</v>
      </c>
      <c r="H731" s="4" t="s">
        <v>25</v>
      </c>
      <c r="I731" s="5">
        <v>44531</v>
      </c>
      <c r="J731" s="6">
        <v>0</v>
      </c>
      <c r="K731" s="6">
        <v>0</v>
      </c>
      <c r="L731" s="6">
        <v>6.5940000000000003</v>
      </c>
      <c r="M731" s="6">
        <v>6.5940000000000003</v>
      </c>
      <c r="N731" s="6">
        <v>6.5940000000000003</v>
      </c>
      <c r="O731" s="6">
        <v>6.5940000000000003</v>
      </c>
      <c r="P731" s="6">
        <v>76</v>
      </c>
      <c r="Q731" s="4" t="s">
        <v>26</v>
      </c>
      <c r="R731" s="4">
        <v>0</v>
      </c>
      <c r="S731" s="4">
        <v>0</v>
      </c>
      <c r="T731" s="4">
        <v>45</v>
      </c>
      <c r="U731" s="4">
        <v>88</v>
      </c>
      <c r="V731" s="6">
        <f>IF(ISERROR(VLOOKUP($S$731,'TAR FIN'!$A$1:$O$116,15,0)),0,VLOOKUP($S$731,'TAR FIN'!$A$1:$O$116,15,0))</f>
        <v>0</v>
      </c>
      <c r="W731" s="6">
        <f>IF(ISERROR(VLOOKUP($T$731,'TAR FIN'!$A$1:$O$116,15,0)),0,VLOOKUP($T$731,'TAR FIN'!$A$1:$O$116,15,0))</f>
        <v>269.37</v>
      </c>
      <c r="X731" s="6">
        <f>IF(ISERROR(VLOOKUP($U$731,'TAR FIN'!$A$1:$O$116,15,0)),0,VLOOKUP($U$731,'TAR FIN'!$A$1:$O$116,15,0))</f>
        <v>326.47000000000003</v>
      </c>
      <c r="Y731" s="6"/>
      <c r="Z73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1" s="6">
        <f>('TE BE'!$AB$18+'TE BF'!$AB$18+'TE CVA'!$AB$18)*(1-CUSTOS!$M$37)</f>
        <v>329.63081087285968</v>
      </c>
      <c r="AB731" s="6">
        <f t="shared" si="44"/>
        <v>0</v>
      </c>
      <c r="AC731" s="6">
        <f>(L731-M731)*(W731+X731)+($W$711+$X$711-$W$731-$X$731)*(L731)</f>
        <v>0</v>
      </c>
      <c r="AD731" s="6">
        <f t="shared" si="45"/>
        <v>0</v>
      </c>
      <c r="AE731" s="6">
        <f ca="1">(L731-M731)*(Z731+AA731)+($Z$711+$AA$711-$Z$731-$AA$731)*(L731)</f>
        <v>3.7482550396816807E-13</v>
      </c>
      <c r="AF731" s="4" t="s">
        <v>1116</v>
      </c>
    </row>
    <row r="732" spans="1:32" ht="11.25" customHeight="1" x14ac:dyDescent="0.25">
      <c r="A732" s="4" t="s">
        <v>21</v>
      </c>
      <c r="B732" s="4" t="s">
        <v>22</v>
      </c>
      <c r="C732" s="4" t="s">
        <v>23</v>
      </c>
      <c r="D732" s="4" t="s">
        <v>24</v>
      </c>
      <c r="E732" s="4" t="s">
        <v>32</v>
      </c>
      <c r="F732" s="4" t="s">
        <v>25</v>
      </c>
      <c r="G732" s="4" t="s">
        <v>25</v>
      </c>
      <c r="H732" s="4" t="s">
        <v>25</v>
      </c>
      <c r="I732" s="5">
        <v>44562</v>
      </c>
      <c r="J732" s="6">
        <v>0</v>
      </c>
      <c r="K732" s="6">
        <v>0</v>
      </c>
      <c r="L732" s="6">
        <v>737.99099999999999</v>
      </c>
      <c r="M732" s="6">
        <v>737.99099999999999</v>
      </c>
      <c r="N732" s="6">
        <v>737.99099999999999</v>
      </c>
      <c r="O732" s="6">
        <v>737.99099999999999</v>
      </c>
      <c r="P732" s="6">
        <v>10440</v>
      </c>
      <c r="Q732" s="4" t="s">
        <v>26</v>
      </c>
      <c r="R732" s="4">
        <v>0</v>
      </c>
      <c r="S732" s="4">
        <v>0</v>
      </c>
      <c r="T732" s="4">
        <v>45</v>
      </c>
      <c r="U732" s="4">
        <v>88</v>
      </c>
      <c r="V732" s="6">
        <f>IF(ISERROR(VLOOKUP($S$732,'TAR FIN'!$A$1:$O$116,15,0)),0,VLOOKUP($S$732,'TAR FIN'!$A$1:$O$116,15,0))</f>
        <v>0</v>
      </c>
      <c r="W732" s="6">
        <f>IF(ISERROR(VLOOKUP($T$732,'TAR FIN'!$A$1:$O$116,15,0)),0,VLOOKUP($T$732,'TAR FIN'!$A$1:$O$116,15,0))</f>
        <v>269.37</v>
      </c>
      <c r="X732" s="6">
        <f>IF(ISERROR(VLOOKUP($U$732,'TAR FIN'!$A$1:$O$116,15,0)),0,VLOOKUP($U$732,'TAR FIN'!$A$1:$O$116,15,0))</f>
        <v>326.47000000000003</v>
      </c>
      <c r="Y732" s="6"/>
      <c r="Z73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2" s="6">
        <f>('TE BE'!$AB$18+'TE BF'!$AB$18+'TE CVA'!$AB$18)*(1-CUSTOS!$M$37)</f>
        <v>329.63081087285968</v>
      </c>
      <c r="AB732" s="6">
        <f t="shared" si="44"/>
        <v>0</v>
      </c>
      <c r="AC732" s="6">
        <f>(L732-M732)*(W732+X732)+($W$711+$X$711-$W$732-$X$732)*(L732)</f>
        <v>0</v>
      </c>
      <c r="AD732" s="6">
        <f t="shared" si="45"/>
        <v>0</v>
      </c>
      <c r="AE732" s="6">
        <f ca="1">(L732-M732)*(Z732+AA732)+($Z$711+$AA$711-$Z$732-$AA$732)*(L732)</f>
        <v>4.1949931528506567E-11</v>
      </c>
      <c r="AF732" s="4" t="s">
        <v>1116</v>
      </c>
    </row>
    <row r="733" spans="1:32" ht="11.25" customHeight="1" x14ac:dyDescent="0.25">
      <c r="A733" s="4" t="s">
        <v>27</v>
      </c>
      <c r="B733" s="4" t="s">
        <v>22</v>
      </c>
      <c r="C733" s="4" t="s">
        <v>23</v>
      </c>
      <c r="D733" s="4" t="s">
        <v>24</v>
      </c>
      <c r="E733" s="4" t="s">
        <v>32</v>
      </c>
      <c r="F733" s="4" t="s">
        <v>25</v>
      </c>
      <c r="G733" s="4" t="s">
        <v>25</v>
      </c>
      <c r="H733" s="4" t="s">
        <v>25</v>
      </c>
      <c r="I733" s="5">
        <v>44562</v>
      </c>
      <c r="J733" s="6">
        <v>0</v>
      </c>
      <c r="K733" s="6">
        <v>0</v>
      </c>
      <c r="L733" s="6">
        <v>-0.34699999999999998</v>
      </c>
      <c r="M733" s="6">
        <v>-0.34699999999999998</v>
      </c>
      <c r="N733" s="6">
        <v>-0.34699999999999998</v>
      </c>
      <c r="O733" s="6">
        <v>-0.34699999999999998</v>
      </c>
      <c r="P733" s="6">
        <v>-3</v>
      </c>
      <c r="Q733" s="4" t="s">
        <v>26</v>
      </c>
      <c r="R733" s="4">
        <v>0</v>
      </c>
      <c r="S733" s="4">
        <v>0</v>
      </c>
      <c r="T733" s="4">
        <v>45</v>
      </c>
      <c r="U733" s="4">
        <v>88</v>
      </c>
      <c r="V733" s="6">
        <f>IF(ISERROR(VLOOKUP($S$733,'TAR FIN'!$A$1:$O$116,15,0)),0,VLOOKUP($S$733,'TAR FIN'!$A$1:$O$116,15,0))</f>
        <v>0</v>
      </c>
      <c r="W733" s="6">
        <f>IF(ISERROR(VLOOKUP($T$733,'TAR FIN'!$A$1:$O$116,15,0)),0,VLOOKUP($T$733,'TAR FIN'!$A$1:$O$116,15,0))</f>
        <v>269.37</v>
      </c>
      <c r="X733" s="6">
        <f>IF(ISERROR(VLOOKUP($U$733,'TAR FIN'!$A$1:$O$116,15,0)),0,VLOOKUP($U$733,'TAR FIN'!$A$1:$O$116,15,0))</f>
        <v>326.47000000000003</v>
      </c>
      <c r="Y733" s="6"/>
      <c r="Z73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3" s="6">
        <f>('TE BE'!$AB$18+'TE BF'!$AB$18+'TE CVA'!$AB$18)*(1-CUSTOS!$M$37)</f>
        <v>329.63081087285968</v>
      </c>
      <c r="AB733" s="6">
        <f t="shared" si="44"/>
        <v>0</v>
      </c>
      <c r="AC733" s="6">
        <f>(L733-M733)*(W733+X733)+($W$711+$X$711-$W$733-$X$733)*(L733)</f>
        <v>0</v>
      </c>
      <c r="AD733" s="6">
        <f t="shared" si="45"/>
        <v>0</v>
      </c>
      <c r="AE733" s="6">
        <f ca="1">(L733-M733)*(Z733+AA733)+($Z$711+$AA$711-$Z$733-$AA$733)*(L733)</f>
        <v>-1.972466634470038E-14</v>
      </c>
      <c r="AF733" s="4" t="s">
        <v>1116</v>
      </c>
    </row>
    <row r="734" spans="1:32" ht="11.25" customHeight="1" x14ac:dyDescent="0.25">
      <c r="A734" s="4" t="s">
        <v>28</v>
      </c>
      <c r="B734" s="4" t="s">
        <v>22</v>
      </c>
      <c r="C734" s="4" t="s">
        <v>23</v>
      </c>
      <c r="D734" s="4" t="s">
        <v>24</v>
      </c>
      <c r="E734" s="4" t="s">
        <v>32</v>
      </c>
      <c r="F734" s="4" t="s">
        <v>25</v>
      </c>
      <c r="G734" s="4" t="s">
        <v>25</v>
      </c>
      <c r="H734" s="4" t="s">
        <v>25</v>
      </c>
      <c r="I734" s="5">
        <v>44562</v>
      </c>
      <c r="J734" s="6">
        <v>0</v>
      </c>
      <c r="K734" s="6">
        <v>0</v>
      </c>
      <c r="L734" s="6">
        <v>6.468</v>
      </c>
      <c r="M734" s="6">
        <v>6.468</v>
      </c>
      <c r="N734" s="6">
        <v>6.468</v>
      </c>
      <c r="O734" s="6">
        <v>6.468</v>
      </c>
      <c r="P734" s="6">
        <v>82</v>
      </c>
      <c r="Q734" s="4" t="s">
        <v>26</v>
      </c>
      <c r="R734" s="4">
        <v>0</v>
      </c>
      <c r="S734" s="4">
        <v>0</v>
      </c>
      <c r="T734" s="4">
        <v>45</v>
      </c>
      <c r="U734" s="4">
        <v>88</v>
      </c>
      <c r="V734" s="6">
        <f>IF(ISERROR(VLOOKUP($S$734,'TAR FIN'!$A$1:$O$116,15,0)),0,VLOOKUP($S$734,'TAR FIN'!$A$1:$O$116,15,0))</f>
        <v>0</v>
      </c>
      <c r="W734" s="6">
        <f>IF(ISERROR(VLOOKUP($T$734,'TAR FIN'!$A$1:$O$116,15,0)),0,VLOOKUP($T$734,'TAR FIN'!$A$1:$O$116,15,0))</f>
        <v>269.37</v>
      </c>
      <c r="X734" s="6">
        <f>IF(ISERROR(VLOOKUP($U$734,'TAR FIN'!$A$1:$O$116,15,0)),0,VLOOKUP($U$734,'TAR FIN'!$A$1:$O$116,15,0))</f>
        <v>326.47000000000003</v>
      </c>
      <c r="Y734" s="6"/>
      <c r="Z73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4" s="6">
        <f>('TE BE'!$AB$18+'TE BF'!$AB$18+'TE CVA'!$AB$18)*(1-CUSTOS!$M$37)</f>
        <v>329.63081087285968</v>
      </c>
      <c r="AB734" s="6">
        <f t="shared" si="44"/>
        <v>0</v>
      </c>
      <c r="AC734" s="6">
        <f>(L734-M734)*(W734+X734)+($W$711+$X$711-$W$734-$X$734)*(L734)</f>
        <v>0</v>
      </c>
      <c r="AD734" s="6">
        <f t="shared" si="45"/>
        <v>0</v>
      </c>
      <c r="AE734" s="6">
        <f ca="1">(L734-M734)*(Z734+AA734)+($Z$711+$AA$711-$Z$734-$AA$734)*(L734)</f>
        <v>3.6766323319170624E-13</v>
      </c>
      <c r="AF734" s="4" t="s">
        <v>1116</v>
      </c>
    </row>
    <row r="735" spans="1:32" ht="11.25" customHeight="1" x14ac:dyDescent="0.25">
      <c r="A735" s="4" t="s">
        <v>21</v>
      </c>
      <c r="B735" s="4" t="s">
        <v>22</v>
      </c>
      <c r="C735" s="4" t="s">
        <v>23</v>
      </c>
      <c r="D735" s="4" t="s">
        <v>24</v>
      </c>
      <c r="E735" s="4" t="s">
        <v>32</v>
      </c>
      <c r="F735" s="4" t="s">
        <v>25</v>
      </c>
      <c r="G735" s="4" t="s">
        <v>25</v>
      </c>
      <c r="H735" s="4" t="s">
        <v>25</v>
      </c>
      <c r="I735" s="5">
        <v>44593</v>
      </c>
      <c r="J735" s="6">
        <v>0</v>
      </c>
      <c r="K735" s="6">
        <v>0</v>
      </c>
      <c r="L735" s="6">
        <v>661.35900000000004</v>
      </c>
      <c r="M735" s="6">
        <v>661.35900000000004</v>
      </c>
      <c r="N735" s="6">
        <v>661.35900000000004</v>
      </c>
      <c r="O735" s="6">
        <v>661.35900000000004</v>
      </c>
      <c r="P735" s="6">
        <v>8982</v>
      </c>
      <c r="Q735" s="4" t="s">
        <v>26</v>
      </c>
      <c r="R735" s="4">
        <v>0</v>
      </c>
      <c r="S735" s="4">
        <v>0</v>
      </c>
      <c r="T735" s="4">
        <v>45</v>
      </c>
      <c r="U735" s="4">
        <v>88</v>
      </c>
      <c r="V735" s="6">
        <f>IF(ISERROR(VLOOKUP($S$735,'TAR FIN'!$A$1:$O$116,15,0)),0,VLOOKUP($S$735,'TAR FIN'!$A$1:$O$116,15,0))</f>
        <v>0</v>
      </c>
      <c r="W735" s="6">
        <f>IF(ISERROR(VLOOKUP($T$735,'TAR FIN'!$A$1:$O$116,15,0)),0,VLOOKUP($T$735,'TAR FIN'!$A$1:$O$116,15,0))</f>
        <v>269.37</v>
      </c>
      <c r="X735" s="6">
        <f>IF(ISERROR(VLOOKUP($U$735,'TAR FIN'!$A$1:$O$116,15,0)),0,VLOOKUP($U$735,'TAR FIN'!$A$1:$O$116,15,0))</f>
        <v>326.47000000000003</v>
      </c>
      <c r="Y735" s="6"/>
      <c r="Z73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5" s="6">
        <f>('TE BE'!$AB$18+'TE BF'!$AB$18+'TE CVA'!$AB$18)*(1-CUSTOS!$M$37)</f>
        <v>329.63081087285968</v>
      </c>
      <c r="AB735" s="6">
        <f t="shared" si="44"/>
        <v>0</v>
      </c>
      <c r="AC735" s="6">
        <f>(L735-M735)*(W735+X735)+($W$711+$X$711-$W$735-$X$735)*(L735)</f>
        <v>0</v>
      </c>
      <c r="AD735" s="6">
        <f t="shared" si="45"/>
        <v>0</v>
      </c>
      <c r="AE735" s="6">
        <f ca="1">(L735-M735)*(Z735+AA735)+($Z$711+$AA$711-$Z$735-$AA$735)*(L735)</f>
        <v>3.759390665436513E-11</v>
      </c>
      <c r="AF735" s="4" t="s">
        <v>1116</v>
      </c>
    </row>
    <row r="736" spans="1:32" ht="11.25" customHeight="1" x14ac:dyDescent="0.25">
      <c r="A736" s="4" t="s">
        <v>27</v>
      </c>
      <c r="B736" s="4" t="s">
        <v>22</v>
      </c>
      <c r="C736" s="4" t="s">
        <v>23</v>
      </c>
      <c r="D736" s="4" t="s">
        <v>24</v>
      </c>
      <c r="E736" s="4" t="s">
        <v>32</v>
      </c>
      <c r="F736" s="4" t="s">
        <v>25</v>
      </c>
      <c r="G736" s="4" t="s">
        <v>25</v>
      </c>
      <c r="H736" s="4" t="s">
        <v>25</v>
      </c>
      <c r="I736" s="5">
        <v>44593</v>
      </c>
      <c r="J736" s="6">
        <v>0</v>
      </c>
      <c r="K736" s="6">
        <v>0</v>
      </c>
      <c r="L736" s="6">
        <v>-3.1120000000000001</v>
      </c>
      <c r="M736" s="6">
        <v>-3.1120000000000001</v>
      </c>
      <c r="N736" s="6">
        <v>-3.1120000000000001</v>
      </c>
      <c r="O736" s="6">
        <v>-3.1120000000000001</v>
      </c>
      <c r="P736" s="6">
        <v>-11</v>
      </c>
      <c r="Q736" s="4" t="s">
        <v>26</v>
      </c>
      <c r="R736" s="4">
        <v>0</v>
      </c>
      <c r="S736" s="4">
        <v>0</v>
      </c>
      <c r="T736" s="4">
        <v>45</v>
      </c>
      <c r="U736" s="4">
        <v>88</v>
      </c>
      <c r="V736" s="6">
        <f>IF(ISERROR(VLOOKUP($S$736,'TAR FIN'!$A$1:$O$116,15,0)),0,VLOOKUP($S$736,'TAR FIN'!$A$1:$O$116,15,0))</f>
        <v>0</v>
      </c>
      <c r="W736" s="6">
        <f>IF(ISERROR(VLOOKUP($T$736,'TAR FIN'!$A$1:$O$116,15,0)),0,VLOOKUP($T$736,'TAR FIN'!$A$1:$O$116,15,0))</f>
        <v>269.37</v>
      </c>
      <c r="X736" s="6">
        <f>IF(ISERROR(VLOOKUP($U$736,'TAR FIN'!$A$1:$O$116,15,0)),0,VLOOKUP($U$736,'TAR FIN'!$A$1:$O$116,15,0))</f>
        <v>326.47000000000003</v>
      </c>
      <c r="Y736" s="6"/>
      <c r="Z73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6" s="6">
        <f>('TE BE'!$AB$18+'TE BF'!$AB$18+'TE CVA'!$AB$18)*(1-CUSTOS!$M$37)</f>
        <v>329.63081087285968</v>
      </c>
      <c r="AB736" s="6">
        <f t="shared" si="44"/>
        <v>0</v>
      </c>
      <c r="AC736" s="6">
        <f>(L736-M736)*(W736+X736)+($W$711+$X$711-$W$736-$X$736)*(L736)</f>
        <v>0</v>
      </c>
      <c r="AD736" s="6">
        <f t="shared" si="45"/>
        <v>0</v>
      </c>
      <c r="AE736" s="6">
        <f ca="1">(L736-M736)*(Z736+AA736)+($Z$711+$AA$711-$Z$736-$AA$736)*(L736)</f>
        <v>-1.7689671949483455E-13</v>
      </c>
      <c r="AF736" s="4" t="s">
        <v>1116</v>
      </c>
    </row>
    <row r="737" spans="1:32" ht="11.25" customHeight="1" x14ac:dyDescent="0.25">
      <c r="A737" s="4" t="s">
        <v>28</v>
      </c>
      <c r="B737" s="4" t="s">
        <v>22</v>
      </c>
      <c r="C737" s="4" t="s">
        <v>23</v>
      </c>
      <c r="D737" s="4" t="s">
        <v>24</v>
      </c>
      <c r="E737" s="4" t="s">
        <v>32</v>
      </c>
      <c r="F737" s="4" t="s">
        <v>25</v>
      </c>
      <c r="G737" s="4" t="s">
        <v>25</v>
      </c>
      <c r="H737" s="4" t="s">
        <v>25</v>
      </c>
      <c r="I737" s="5">
        <v>44593</v>
      </c>
      <c r="J737" s="6">
        <v>0</v>
      </c>
      <c r="K737" s="6">
        <v>0</v>
      </c>
      <c r="L737" s="6">
        <v>7.89</v>
      </c>
      <c r="M737" s="6">
        <v>7.89</v>
      </c>
      <c r="N737" s="6">
        <v>7.89</v>
      </c>
      <c r="O737" s="6">
        <v>7.89</v>
      </c>
      <c r="P737" s="6">
        <v>94</v>
      </c>
      <c r="Q737" s="4" t="s">
        <v>26</v>
      </c>
      <c r="R737" s="4">
        <v>0</v>
      </c>
      <c r="S737" s="4">
        <v>0</v>
      </c>
      <c r="T737" s="4">
        <v>45</v>
      </c>
      <c r="U737" s="4">
        <v>88</v>
      </c>
      <c r="V737" s="6">
        <f>IF(ISERROR(VLOOKUP($S$737,'TAR FIN'!$A$1:$O$116,15,0)),0,VLOOKUP($S$737,'TAR FIN'!$A$1:$O$116,15,0))</f>
        <v>0</v>
      </c>
      <c r="W737" s="6">
        <f>IF(ISERROR(VLOOKUP($T$737,'TAR FIN'!$A$1:$O$116,15,0)),0,VLOOKUP($T$737,'TAR FIN'!$A$1:$O$116,15,0))</f>
        <v>269.37</v>
      </c>
      <c r="X737" s="6">
        <f>IF(ISERROR(VLOOKUP($U$737,'TAR FIN'!$A$1:$O$116,15,0)),0,VLOOKUP($U$737,'TAR FIN'!$A$1:$O$116,15,0))</f>
        <v>326.47000000000003</v>
      </c>
      <c r="Y737" s="6"/>
      <c r="Z73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7" s="6">
        <f>('TE BE'!$AB$18+'TE BF'!$AB$18+'TE CVA'!$AB$18)*(1-CUSTOS!$M$37)</f>
        <v>329.63081087285968</v>
      </c>
      <c r="AB737" s="6">
        <f t="shared" si="44"/>
        <v>0</v>
      </c>
      <c r="AC737" s="6">
        <f>(L737-M737)*(W737+X737)+($W$711+$X$711-$W$737-$X$737)*(L737)</f>
        <v>0</v>
      </c>
      <c r="AD737" s="6">
        <f t="shared" si="45"/>
        <v>0</v>
      </c>
      <c r="AE737" s="6">
        <f ca="1">(L737-M737)*(Z737+AA737)+($Z$711+$AA$711-$Z$737-$AA$737)*(L737)</f>
        <v>4.4849457481177522E-13</v>
      </c>
      <c r="AF737" s="4" t="s">
        <v>1116</v>
      </c>
    </row>
    <row r="738" spans="1:32" ht="11.25" customHeight="1" x14ac:dyDescent="0.25">
      <c r="A738" s="4" t="s">
        <v>21</v>
      </c>
      <c r="B738" s="4" t="s">
        <v>22</v>
      </c>
      <c r="C738" s="4" t="s">
        <v>23</v>
      </c>
      <c r="D738" s="4" t="s">
        <v>24</v>
      </c>
      <c r="E738" s="4" t="s">
        <v>32</v>
      </c>
      <c r="F738" s="4" t="s">
        <v>25</v>
      </c>
      <c r="G738" s="4" t="s">
        <v>25</v>
      </c>
      <c r="H738" s="4" t="s">
        <v>25</v>
      </c>
      <c r="I738" s="5">
        <v>44621</v>
      </c>
      <c r="J738" s="6">
        <v>0</v>
      </c>
      <c r="K738" s="6">
        <v>0</v>
      </c>
      <c r="L738" s="6">
        <v>1014.8150000000001</v>
      </c>
      <c r="M738" s="6">
        <v>1014.8150000000001</v>
      </c>
      <c r="N738" s="6">
        <v>1014.8150000000001</v>
      </c>
      <c r="O738" s="6">
        <v>1014.8150000000001</v>
      </c>
      <c r="P738" s="6">
        <v>13119</v>
      </c>
      <c r="Q738" s="4" t="s">
        <v>26</v>
      </c>
      <c r="R738" s="4">
        <v>0</v>
      </c>
      <c r="S738" s="4">
        <v>0</v>
      </c>
      <c r="T738" s="4">
        <v>45</v>
      </c>
      <c r="U738" s="4">
        <v>88</v>
      </c>
      <c r="V738" s="6">
        <f>IF(ISERROR(VLOOKUP($S$738,'TAR FIN'!$A$1:$O$116,15,0)),0,VLOOKUP($S$738,'TAR FIN'!$A$1:$O$116,15,0))</f>
        <v>0</v>
      </c>
      <c r="W738" s="6">
        <f>IF(ISERROR(VLOOKUP($T$738,'TAR FIN'!$A$1:$O$116,15,0)),0,VLOOKUP($T$738,'TAR FIN'!$A$1:$O$116,15,0))</f>
        <v>269.37</v>
      </c>
      <c r="X738" s="6">
        <f>IF(ISERROR(VLOOKUP($U$738,'TAR FIN'!$A$1:$O$116,15,0)),0,VLOOKUP($U$738,'TAR FIN'!$A$1:$O$116,15,0))</f>
        <v>326.47000000000003</v>
      </c>
      <c r="Y738" s="6"/>
      <c r="Z738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8" s="6">
        <f>('TE BE'!$AB$18+'TE BF'!$AB$18+'TE CVA'!$AB$18)*(1-CUSTOS!$M$37)</f>
        <v>329.63081087285968</v>
      </c>
      <c r="AB738" s="6">
        <f t="shared" si="44"/>
        <v>0</v>
      </c>
      <c r="AC738" s="6">
        <f>(L738-M738)*(W738+X738)+($W$711+$X$711-$W$738-$X$738)*(L738)</f>
        <v>0</v>
      </c>
      <c r="AD738" s="6">
        <f t="shared" si="45"/>
        <v>0</v>
      </c>
      <c r="AE738" s="6">
        <f ca="1">(L738-M738)*(Z738+AA738)+($Z$711+$AA$711-$Z$738-$AA$738)*(L738)</f>
        <v>5.7685554111230889E-11</v>
      </c>
      <c r="AF738" s="4" t="s">
        <v>1116</v>
      </c>
    </row>
    <row r="739" spans="1:32" ht="11.25" customHeight="1" x14ac:dyDescent="0.25">
      <c r="A739" s="4" t="s">
        <v>27</v>
      </c>
      <c r="B739" s="4" t="s">
        <v>22</v>
      </c>
      <c r="C739" s="4" t="s">
        <v>23</v>
      </c>
      <c r="D739" s="4" t="s">
        <v>24</v>
      </c>
      <c r="E739" s="4" t="s">
        <v>32</v>
      </c>
      <c r="F739" s="4" t="s">
        <v>25</v>
      </c>
      <c r="G739" s="4" t="s">
        <v>25</v>
      </c>
      <c r="H739" s="4" t="s">
        <v>25</v>
      </c>
      <c r="I739" s="5">
        <v>44621</v>
      </c>
      <c r="J739" s="6">
        <v>0</v>
      </c>
      <c r="K739" s="6">
        <v>0</v>
      </c>
      <c r="L739" s="6">
        <v>-1.018</v>
      </c>
      <c r="M739" s="6">
        <v>-1.018</v>
      </c>
      <c r="N739" s="6">
        <v>-1.018</v>
      </c>
      <c r="O739" s="6">
        <v>-1.018</v>
      </c>
      <c r="P739" s="6">
        <v>-4</v>
      </c>
      <c r="Q739" s="4" t="s">
        <v>26</v>
      </c>
      <c r="R739" s="4">
        <v>0</v>
      </c>
      <c r="S739" s="4">
        <v>0</v>
      </c>
      <c r="T739" s="4">
        <v>45</v>
      </c>
      <c r="U739" s="4">
        <v>88</v>
      </c>
      <c r="V739" s="6">
        <f>IF(ISERROR(VLOOKUP($S$739,'TAR FIN'!$A$1:$O$116,15,0)),0,VLOOKUP($S$739,'TAR FIN'!$A$1:$O$116,15,0))</f>
        <v>0</v>
      </c>
      <c r="W739" s="6">
        <f>IF(ISERROR(VLOOKUP($T$739,'TAR FIN'!$A$1:$O$116,15,0)),0,VLOOKUP($T$739,'TAR FIN'!$A$1:$O$116,15,0))</f>
        <v>269.37</v>
      </c>
      <c r="X739" s="6">
        <f>IF(ISERROR(VLOOKUP($U$739,'TAR FIN'!$A$1:$O$116,15,0)),0,VLOOKUP($U$739,'TAR FIN'!$A$1:$O$116,15,0))</f>
        <v>326.47000000000003</v>
      </c>
      <c r="Y739" s="6"/>
      <c r="Z739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39" s="6">
        <f>('TE BE'!$AB$18+'TE BF'!$AB$18+'TE CVA'!$AB$18)*(1-CUSTOS!$M$37)</f>
        <v>329.63081087285968</v>
      </c>
      <c r="AB739" s="6">
        <f t="shared" si="44"/>
        <v>0</v>
      </c>
      <c r="AC739" s="6">
        <f>(L739-M739)*(W739+X739)+($W$711+$X$711-$W$739-$X$739)*(L739)</f>
        <v>0</v>
      </c>
      <c r="AD739" s="6">
        <f t="shared" si="45"/>
        <v>0</v>
      </c>
      <c r="AE739" s="6">
        <f ca="1">(L739-M739)*(Z739+AA739)+($Z$711+$AA$711-$Z$739-$AA$739)*(L739)</f>
        <v>-5.786660040030256E-14</v>
      </c>
      <c r="AF739" s="4" t="s">
        <v>1116</v>
      </c>
    </row>
    <row r="740" spans="1:32" ht="11.25" customHeight="1" x14ac:dyDescent="0.25">
      <c r="A740" s="4" t="s">
        <v>28</v>
      </c>
      <c r="B740" s="4" t="s">
        <v>22</v>
      </c>
      <c r="C740" s="4" t="s">
        <v>23</v>
      </c>
      <c r="D740" s="4" t="s">
        <v>24</v>
      </c>
      <c r="E740" s="4" t="s">
        <v>32</v>
      </c>
      <c r="F740" s="4" t="s">
        <v>25</v>
      </c>
      <c r="G740" s="4" t="s">
        <v>25</v>
      </c>
      <c r="H740" s="4" t="s">
        <v>25</v>
      </c>
      <c r="I740" s="5">
        <v>44621</v>
      </c>
      <c r="J740" s="6">
        <v>0</v>
      </c>
      <c r="K740" s="6">
        <v>0</v>
      </c>
      <c r="L740" s="6">
        <v>8.6530000000000005</v>
      </c>
      <c r="M740" s="6">
        <v>8.6530000000000005</v>
      </c>
      <c r="N740" s="6">
        <v>8.6530000000000005</v>
      </c>
      <c r="O740" s="6">
        <v>8.6530000000000005</v>
      </c>
      <c r="P740" s="6">
        <v>121</v>
      </c>
      <c r="Q740" s="4" t="s">
        <v>26</v>
      </c>
      <c r="R740" s="4">
        <v>0</v>
      </c>
      <c r="S740" s="4">
        <v>0</v>
      </c>
      <c r="T740" s="4">
        <v>45</v>
      </c>
      <c r="U740" s="4">
        <v>88</v>
      </c>
      <c r="V740" s="6">
        <f>IF(ISERROR(VLOOKUP($S$740,'TAR FIN'!$A$1:$O$116,15,0)),0,VLOOKUP($S$740,'TAR FIN'!$A$1:$O$116,15,0))</f>
        <v>0</v>
      </c>
      <c r="W740" s="6">
        <f>IF(ISERROR(VLOOKUP($T$740,'TAR FIN'!$A$1:$O$116,15,0)),0,VLOOKUP($T$740,'TAR FIN'!$A$1:$O$116,15,0))</f>
        <v>269.37</v>
      </c>
      <c r="X740" s="6">
        <f>IF(ISERROR(VLOOKUP($U$740,'TAR FIN'!$A$1:$O$116,15,0)),0,VLOOKUP($U$740,'TAR FIN'!$A$1:$O$116,15,0))</f>
        <v>326.47000000000003</v>
      </c>
      <c r="Y740" s="6"/>
      <c r="Z740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0" s="6">
        <f>('TE BE'!$AB$18+'TE BF'!$AB$18+'TE CVA'!$AB$18)*(1-CUSTOS!$M$37)</f>
        <v>329.63081087285968</v>
      </c>
      <c r="AB740" s="6">
        <f t="shared" si="44"/>
        <v>0</v>
      </c>
      <c r="AC740" s="6">
        <f>(L740-M740)*(W740+X740)+($W$711+$X$711-$W$740-$X$740)*(L740)</f>
        <v>0</v>
      </c>
      <c r="AD740" s="6">
        <f t="shared" si="45"/>
        <v>0</v>
      </c>
      <c r="AE740" s="6">
        <f ca="1">(L740-M740)*(Z740+AA740)+($Z$711+$AA$711-$Z$740-$AA$740)*(L740)</f>
        <v>4.9186610340257178E-13</v>
      </c>
      <c r="AF740" s="4" t="s">
        <v>1116</v>
      </c>
    </row>
    <row r="741" spans="1:32" ht="11.25" customHeight="1" x14ac:dyDescent="0.25">
      <c r="A741" s="4" t="s">
        <v>28</v>
      </c>
      <c r="B741" s="4" t="s">
        <v>22</v>
      </c>
      <c r="C741" s="4" t="s">
        <v>23</v>
      </c>
      <c r="D741" s="4" t="s">
        <v>24</v>
      </c>
      <c r="E741" s="4" t="s">
        <v>32</v>
      </c>
      <c r="F741" s="4" t="s">
        <v>25</v>
      </c>
      <c r="G741" s="4" t="s">
        <v>25</v>
      </c>
      <c r="H741" s="4" t="s">
        <v>25</v>
      </c>
      <c r="I741" s="5">
        <v>44621</v>
      </c>
      <c r="J741" s="6">
        <v>0</v>
      </c>
      <c r="K741" s="6">
        <v>0</v>
      </c>
      <c r="L741" s="6">
        <v>-0.42399999999999999</v>
      </c>
      <c r="M741" s="6">
        <v>-0.42399999999999999</v>
      </c>
      <c r="N741" s="6">
        <v>-0.42399999999999999</v>
      </c>
      <c r="O741" s="6">
        <v>-0.42399999999999999</v>
      </c>
      <c r="P741" s="6">
        <v>-1</v>
      </c>
      <c r="Q741" s="4" t="s">
        <v>26</v>
      </c>
      <c r="R741" s="4">
        <v>0</v>
      </c>
      <c r="S741" s="4">
        <v>0</v>
      </c>
      <c r="T741" s="4">
        <v>45</v>
      </c>
      <c r="U741" s="4">
        <v>88</v>
      </c>
      <c r="V741" s="6">
        <f>IF(ISERROR(VLOOKUP($S$741,'TAR FIN'!$A$1:$O$116,15,0)),0,VLOOKUP($S$741,'TAR FIN'!$A$1:$O$116,15,0))</f>
        <v>0</v>
      </c>
      <c r="W741" s="6">
        <f>IF(ISERROR(VLOOKUP($T$741,'TAR FIN'!$A$1:$O$116,15,0)),0,VLOOKUP($T$741,'TAR FIN'!$A$1:$O$116,15,0))</f>
        <v>269.37</v>
      </c>
      <c r="X741" s="6">
        <f>IF(ISERROR(VLOOKUP($U$741,'TAR FIN'!$A$1:$O$116,15,0)),0,VLOOKUP($U$741,'TAR FIN'!$A$1:$O$116,15,0))</f>
        <v>326.47000000000003</v>
      </c>
      <c r="Y741" s="6"/>
      <c r="Z741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1" s="6">
        <f>('TE BE'!$AB$18+'TE BF'!$AB$18+'TE CVA'!$AB$18)*(1-CUSTOS!$M$37)</f>
        <v>329.63081087285968</v>
      </c>
      <c r="AB741" s="6">
        <f t="shared" si="44"/>
        <v>0</v>
      </c>
      <c r="AC741" s="6">
        <f>(L741-M741)*(W741+X741)+($W$711+$X$711-$W$741-$X$741)*(L741)</f>
        <v>0</v>
      </c>
      <c r="AD741" s="6">
        <f t="shared" si="45"/>
        <v>0</v>
      </c>
      <c r="AE741" s="6">
        <f ca="1">(L741-M741)*(Z741+AA741)+($Z$711+$AA$711-$Z$741-$AA$741)*(L741)</f>
        <v>-2.4101609596982598E-14</v>
      </c>
      <c r="AF741" s="4" t="s">
        <v>1116</v>
      </c>
    </row>
    <row r="742" spans="1:32" ht="11.25" customHeight="1" x14ac:dyDescent="0.25">
      <c r="A742" s="4" t="s">
        <v>21</v>
      </c>
      <c r="B742" s="4" t="s">
        <v>22</v>
      </c>
      <c r="C742" s="4" t="s">
        <v>23</v>
      </c>
      <c r="D742" s="4" t="s">
        <v>24</v>
      </c>
      <c r="E742" s="4" t="s">
        <v>32</v>
      </c>
      <c r="F742" s="4" t="s">
        <v>25</v>
      </c>
      <c r="G742" s="4" t="s">
        <v>25</v>
      </c>
      <c r="H742" s="4" t="s">
        <v>25</v>
      </c>
      <c r="I742" s="5">
        <v>44652</v>
      </c>
      <c r="J742" s="6">
        <v>0</v>
      </c>
      <c r="K742" s="6">
        <v>0</v>
      </c>
      <c r="L742" s="6">
        <v>830.82799999999997</v>
      </c>
      <c r="M742" s="6">
        <v>830.82799999999997</v>
      </c>
      <c r="N742" s="6">
        <v>830.82799999999997</v>
      </c>
      <c r="O742" s="6">
        <v>830.82799999999997</v>
      </c>
      <c r="P742" s="6">
        <v>11004</v>
      </c>
      <c r="Q742" s="4" t="s">
        <v>26</v>
      </c>
      <c r="R742" s="4">
        <v>0</v>
      </c>
      <c r="S742" s="4">
        <v>0</v>
      </c>
      <c r="T742" s="4">
        <v>45</v>
      </c>
      <c r="U742" s="4">
        <v>88</v>
      </c>
      <c r="V742" s="6">
        <f>IF(ISERROR(VLOOKUP($S$742,'TAR FIN'!$A$1:$O$116,15,0)),0,VLOOKUP($S$742,'TAR FIN'!$A$1:$O$116,15,0))</f>
        <v>0</v>
      </c>
      <c r="W742" s="6">
        <f>IF(ISERROR(VLOOKUP($T$742,'TAR FIN'!$A$1:$O$116,15,0)),0,VLOOKUP($T$742,'TAR FIN'!$A$1:$O$116,15,0))</f>
        <v>269.37</v>
      </c>
      <c r="X742" s="6">
        <f>IF(ISERROR(VLOOKUP($U$742,'TAR FIN'!$A$1:$O$116,15,0)),0,VLOOKUP($U$742,'TAR FIN'!$A$1:$O$116,15,0))</f>
        <v>326.47000000000003</v>
      </c>
      <c r="Y742" s="6"/>
      <c r="Z742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2" s="6">
        <f>('TE BE'!$AB$18+'TE BF'!$AB$18+'TE CVA'!$AB$18)*(1-CUSTOS!$M$37)</f>
        <v>329.63081087285968</v>
      </c>
      <c r="AB742" s="6">
        <f t="shared" si="44"/>
        <v>0</v>
      </c>
      <c r="AC742" s="6">
        <f>(L742-M742)*(W742+X742)+($W$711+$X$711-$W$742-$X$742)*(L742)</f>
        <v>0</v>
      </c>
      <c r="AD742" s="6">
        <f t="shared" si="45"/>
        <v>0</v>
      </c>
      <c r="AE742" s="6">
        <f ca="1">(L742-M742)*(Z742+AA742)+($Z$711+$AA$711-$Z$742-$AA$742)*(L742)</f>
        <v>4.72271040052874E-11</v>
      </c>
      <c r="AF742" s="4" t="s">
        <v>1116</v>
      </c>
    </row>
    <row r="743" spans="1:32" ht="11.25" customHeight="1" x14ac:dyDescent="0.25">
      <c r="A743" s="4" t="s">
        <v>27</v>
      </c>
      <c r="B743" s="4" t="s">
        <v>22</v>
      </c>
      <c r="C743" s="4" t="s">
        <v>23</v>
      </c>
      <c r="D743" s="4" t="s">
        <v>24</v>
      </c>
      <c r="E743" s="4" t="s">
        <v>32</v>
      </c>
      <c r="F743" s="4" t="s">
        <v>25</v>
      </c>
      <c r="G743" s="4" t="s">
        <v>25</v>
      </c>
      <c r="H743" s="4" t="s">
        <v>25</v>
      </c>
      <c r="I743" s="5">
        <v>44652</v>
      </c>
      <c r="J743" s="6">
        <v>0</v>
      </c>
      <c r="K743" s="6">
        <v>0</v>
      </c>
      <c r="L743" s="6">
        <v>-1.01</v>
      </c>
      <c r="M743" s="6">
        <v>-1.01</v>
      </c>
      <c r="N743" s="6">
        <v>-1.01</v>
      </c>
      <c r="O743" s="6">
        <v>-1.01</v>
      </c>
      <c r="P743" s="6">
        <v>-8</v>
      </c>
      <c r="Q743" s="4" t="s">
        <v>26</v>
      </c>
      <c r="R743" s="4">
        <v>0</v>
      </c>
      <c r="S743" s="4">
        <v>0</v>
      </c>
      <c r="T743" s="4">
        <v>45</v>
      </c>
      <c r="U743" s="4">
        <v>88</v>
      </c>
      <c r="V743" s="6">
        <f>IF(ISERROR(VLOOKUP($S$743,'TAR FIN'!$A$1:$O$116,15,0)),0,VLOOKUP($S$743,'TAR FIN'!$A$1:$O$116,15,0))</f>
        <v>0</v>
      </c>
      <c r="W743" s="6">
        <f>IF(ISERROR(VLOOKUP($T$743,'TAR FIN'!$A$1:$O$116,15,0)),0,VLOOKUP($T$743,'TAR FIN'!$A$1:$O$116,15,0))</f>
        <v>269.37</v>
      </c>
      <c r="X743" s="6">
        <f>IF(ISERROR(VLOOKUP($U$743,'TAR FIN'!$A$1:$O$116,15,0)),0,VLOOKUP($U$743,'TAR FIN'!$A$1:$O$116,15,0))</f>
        <v>326.47000000000003</v>
      </c>
      <c r="Y743" s="6"/>
      <c r="Z743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3" s="6">
        <f>('TE BE'!$AB$18+'TE BF'!$AB$18+'TE CVA'!$AB$18)*(1-CUSTOS!$M$37)</f>
        <v>329.63081087285968</v>
      </c>
      <c r="AB743" s="6">
        <f t="shared" si="44"/>
        <v>0</v>
      </c>
      <c r="AC743" s="6">
        <f>(L743-M743)*(W743+X743)+($W$711+$X$711-$W$743-$X$743)*(L743)</f>
        <v>0</v>
      </c>
      <c r="AD743" s="6">
        <f t="shared" si="45"/>
        <v>0</v>
      </c>
      <c r="AE743" s="6">
        <f ca="1">(L743-M743)*(Z743+AA743)+($Z$711+$AA$711-$Z$743-$AA$743)*(L743)</f>
        <v>-5.7411853049416096E-14</v>
      </c>
      <c r="AF743" s="4" t="s">
        <v>1116</v>
      </c>
    </row>
    <row r="744" spans="1:32" ht="11.25" customHeight="1" x14ac:dyDescent="0.25">
      <c r="A744" s="4" t="s">
        <v>28</v>
      </c>
      <c r="B744" s="4" t="s">
        <v>22</v>
      </c>
      <c r="C744" s="4" t="s">
        <v>23</v>
      </c>
      <c r="D744" s="4" t="s">
        <v>24</v>
      </c>
      <c r="E744" s="4" t="s">
        <v>32</v>
      </c>
      <c r="F744" s="4" t="s">
        <v>25</v>
      </c>
      <c r="G744" s="4" t="s">
        <v>25</v>
      </c>
      <c r="H744" s="4" t="s">
        <v>25</v>
      </c>
      <c r="I744" s="5">
        <v>44652</v>
      </c>
      <c r="J744" s="6">
        <v>0</v>
      </c>
      <c r="K744" s="6">
        <v>0</v>
      </c>
      <c r="L744" s="6">
        <v>13.771000000000001</v>
      </c>
      <c r="M744" s="6">
        <v>13.771000000000001</v>
      </c>
      <c r="N744" s="6">
        <v>13.771000000000001</v>
      </c>
      <c r="O744" s="6">
        <v>13.771000000000001</v>
      </c>
      <c r="P744" s="6">
        <v>134</v>
      </c>
      <c r="Q744" s="4" t="s">
        <v>26</v>
      </c>
      <c r="R744" s="4">
        <v>0</v>
      </c>
      <c r="S744" s="4">
        <v>0</v>
      </c>
      <c r="T744" s="4">
        <v>45</v>
      </c>
      <c r="U744" s="4">
        <v>88</v>
      </c>
      <c r="V744" s="6">
        <f>IF(ISERROR(VLOOKUP($S$744,'TAR FIN'!$A$1:$O$116,15,0)),0,VLOOKUP($S$744,'TAR FIN'!$A$1:$O$116,15,0))</f>
        <v>0</v>
      </c>
      <c r="W744" s="6">
        <f>IF(ISERROR(VLOOKUP($T$744,'TAR FIN'!$A$1:$O$116,15,0)),0,VLOOKUP($T$744,'TAR FIN'!$A$1:$O$116,15,0))</f>
        <v>269.37</v>
      </c>
      <c r="X744" s="6">
        <f>IF(ISERROR(VLOOKUP($U$744,'TAR FIN'!$A$1:$O$116,15,0)),0,VLOOKUP($U$744,'TAR FIN'!$A$1:$O$116,15,0))</f>
        <v>326.47000000000003</v>
      </c>
      <c r="Y744" s="6"/>
      <c r="Z744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4" s="6">
        <f>('TE BE'!$AB$18+'TE BF'!$AB$18+'TE CVA'!$AB$18)*(1-CUSTOS!$M$37)</f>
        <v>329.63081087285968</v>
      </c>
      <c r="AB744" s="6">
        <f t="shared" si="44"/>
        <v>0</v>
      </c>
      <c r="AC744" s="6">
        <f>(L744-M744)*(W744+X744)+($W$711+$X$711-$W$744-$X$744)*(L744)</f>
        <v>0</v>
      </c>
      <c r="AD744" s="6">
        <f t="shared" si="45"/>
        <v>0</v>
      </c>
      <c r="AE744" s="6">
        <f ca="1">(L744-M744)*(Z744+AA744)+($Z$711+$AA$711-$Z$744-$AA$744)*(L744)</f>
        <v>7.8279072113218722E-13</v>
      </c>
      <c r="AF744" s="4" t="s">
        <v>1116</v>
      </c>
    </row>
    <row r="745" spans="1:32" ht="11.25" customHeight="1" x14ac:dyDescent="0.25">
      <c r="A745" s="4" t="s">
        <v>58</v>
      </c>
      <c r="B745" s="4" t="s">
        <v>22</v>
      </c>
      <c r="C745" s="4" t="s">
        <v>23</v>
      </c>
      <c r="D745" s="4" t="s">
        <v>24</v>
      </c>
      <c r="E745" s="4" t="s">
        <v>32</v>
      </c>
      <c r="F745" s="4" t="s">
        <v>25</v>
      </c>
      <c r="G745" s="4" t="s">
        <v>25</v>
      </c>
      <c r="H745" s="4" t="s">
        <v>25</v>
      </c>
      <c r="I745" s="5">
        <v>44682</v>
      </c>
      <c r="J745" s="6">
        <v>0</v>
      </c>
      <c r="K745" s="6">
        <v>0</v>
      </c>
      <c r="L745" s="6">
        <v>830.82799999999997</v>
      </c>
      <c r="M745" s="6">
        <v>830.82799999999997</v>
      </c>
      <c r="N745" s="6">
        <v>830.82799999999997</v>
      </c>
      <c r="O745" s="6">
        <v>830.82799999999997</v>
      </c>
      <c r="P745" s="6">
        <v>11004</v>
      </c>
      <c r="Q745" s="4" t="s">
        <v>26</v>
      </c>
      <c r="R745" s="4">
        <v>0</v>
      </c>
      <c r="S745" s="4">
        <v>0</v>
      </c>
      <c r="T745" s="4">
        <v>45</v>
      </c>
      <c r="U745" s="4">
        <v>88</v>
      </c>
      <c r="V745" s="6">
        <f>IF(ISERROR(VLOOKUP($S$745,'TAR FIN'!$A$1:$O$116,15,0)),0,VLOOKUP($S$745,'TAR FIN'!$A$1:$O$116,15,0))</f>
        <v>0</v>
      </c>
      <c r="W745" s="6">
        <f>IF(ISERROR(VLOOKUP($T$745,'TAR FIN'!$A$1:$O$116,15,0)),0,VLOOKUP($T$745,'TAR FIN'!$A$1:$O$116,15,0))</f>
        <v>269.37</v>
      </c>
      <c r="X745" s="6">
        <f>IF(ISERROR(VLOOKUP($U$745,'TAR FIN'!$A$1:$O$116,15,0)),0,VLOOKUP($U$745,'TAR FIN'!$A$1:$O$116,15,0))</f>
        <v>326.47000000000003</v>
      </c>
      <c r="Y745" s="6"/>
      <c r="Z745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5" s="6">
        <f>('TE BE'!$AB$18+'TE BF'!$AB$18+'TE CVA'!$AB$18)*(1-CUSTOS!$M$37)</f>
        <v>329.63081087285968</v>
      </c>
      <c r="AB745" s="6">
        <f t="shared" si="44"/>
        <v>0</v>
      </c>
      <c r="AC745" s="6">
        <f>(L745-M745)*(W745+X745)+($W$711+$X$711-$W$745-$X$745)*(L745)</f>
        <v>0</v>
      </c>
      <c r="AD745" s="6">
        <f t="shared" si="45"/>
        <v>0</v>
      </c>
      <c r="AE745" s="6">
        <f ca="1">(L745-M745)*(Z745+AA745)+($Z$711+$AA$711-$Z$745-$AA$745)*(L745)</f>
        <v>4.72271040052874E-11</v>
      </c>
      <c r="AF745" s="4" t="s">
        <v>1116</v>
      </c>
    </row>
    <row r="746" spans="1:32" ht="11.25" customHeight="1" x14ac:dyDescent="0.25">
      <c r="A746" s="4" t="s">
        <v>58</v>
      </c>
      <c r="B746" s="4" t="s">
        <v>22</v>
      </c>
      <c r="C746" s="4" t="s">
        <v>23</v>
      </c>
      <c r="D746" s="4" t="s">
        <v>24</v>
      </c>
      <c r="E746" s="4" t="s">
        <v>32</v>
      </c>
      <c r="F746" s="4" t="s">
        <v>25</v>
      </c>
      <c r="G746" s="4" t="s">
        <v>25</v>
      </c>
      <c r="H746" s="4" t="s">
        <v>25</v>
      </c>
      <c r="I746" s="5">
        <v>44682</v>
      </c>
      <c r="J746" s="6">
        <v>0</v>
      </c>
      <c r="K746" s="6">
        <v>0</v>
      </c>
      <c r="L746" s="6">
        <v>-1.01</v>
      </c>
      <c r="M746" s="6">
        <v>-1.01</v>
      </c>
      <c r="N746" s="6">
        <v>-1.01</v>
      </c>
      <c r="O746" s="6">
        <v>-1.01</v>
      </c>
      <c r="P746" s="6">
        <v>-8</v>
      </c>
      <c r="Q746" s="4" t="s">
        <v>26</v>
      </c>
      <c r="R746" s="4">
        <v>0</v>
      </c>
      <c r="S746" s="4">
        <v>0</v>
      </c>
      <c r="T746" s="4">
        <v>45</v>
      </c>
      <c r="U746" s="4">
        <v>88</v>
      </c>
      <c r="V746" s="6">
        <f>IF(ISERROR(VLOOKUP($S$746,'TAR FIN'!$A$1:$O$116,15,0)),0,VLOOKUP($S$746,'TAR FIN'!$A$1:$O$116,15,0))</f>
        <v>0</v>
      </c>
      <c r="W746" s="6">
        <f>IF(ISERROR(VLOOKUP($T$746,'TAR FIN'!$A$1:$O$116,15,0)),0,VLOOKUP($T$746,'TAR FIN'!$A$1:$O$116,15,0))</f>
        <v>269.37</v>
      </c>
      <c r="X746" s="6">
        <f>IF(ISERROR(VLOOKUP($U$746,'TAR FIN'!$A$1:$O$116,15,0)),0,VLOOKUP($U$746,'TAR FIN'!$A$1:$O$116,15,0))</f>
        <v>326.47000000000003</v>
      </c>
      <c r="Y746" s="6"/>
      <c r="Z746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6" s="6">
        <f>('TE BE'!$AB$18+'TE BF'!$AB$18+'TE CVA'!$AB$18)*(1-CUSTOS!$M$37)</f>
        <v>329.63081087285968</v>
      </c>
      <c r="AB746" s="6">
        <f t="shared" si="44"/>
        <v>0</v>
      </c>
      <c r="AC746" s="6">
        <f>(L746-M746)*(W746+X746)+($W$711+$X$711-$W$746-$X$746)*(L746)</f>
        <v>0</v>
      </c>
      <c r="AD746" s="6">
        <f t="shared" si="45"/>
        <v>0</v>
      </c>
      <c r="AE746" s="6">
        <f ca="1">(L746-M746)*(Z746+AA746)+($Z$711+$AA$711-$Z$746-$AA$746)*(L746)</f>
        <v>-5.7411853049416096E-14</v>
      </c>
      <c r="AF746" s="4" t="s">
        <v>1116</v>
      </c>
    </row>
    <row r="747" spans="1:32" ht="11.25" customHeight="1" x14ac:dyDescent="0.25">
      <c r="A747" s="4" t="s">
        <v>58</v>
      </c>
      <c r="B747" s="4" t="s">
        <v>22</v>
      </c>
      <c r="C747" s="4" t="s">
        <v>23</v>
      </c>
      <c r="D747" s="4" t="s">
        <v>24</v>
      </c>
      <c r="E747" s="4" t="s">
        <v>32</v>
      </c>
      <c r="F747" s="4" t="s">
        <v>25</v>
      </c>
      <c r="G747" s="4" t="s">
        <v>25</v>
      </c>
      <c r="H747" s="4" t="s">
        <v>25</v>
      </c>
      <c r="I747" s="5">
        <v>44682</v>
      </c>
      <c r="J747" s="6">
        <v>0</v>
      </c>
      <c r="K747" s="6">
        <v>0</v>
      </c>
      <c r="L747" s="6">
        <v>13.771000000000001</v>
      </c>
      <c r="M747" s="6">
        <v>13.771000000000001</v>
      </c>
      <c r="N747" s="6">
        <v>13.771000000000001</v>
      </c>
      <c r="O747" s="6">
        <v>13.771000000000001</v>
      </c>
      <c r="P747" s="6">
        <v>134</v>
      </c>
      <c r="Q747" s="4" t="s">
        <v>26</v>
      </c>
      <c r="R747" s="4">
        <v>0</v>
      </c>
      <c r="S747" s="4">
        <v>0</v>
      </c>
      <c r="T747" s="4">
        <v>45</v>
      </c>
      <c r="U747" s="4">
        <v>88</v>
      </c>
      <c r="V747" s="6">
        <f>IF(ISERROR(VLOOKUP($S$747,'TAR FIN'!$A$1:$O$116,15,0)),0,VLOOKUP($S$747,'TAR FIN'!$A$1:$O$116,15,0))</f>
        <v>0</v>
      </c>
      <c r="W747" s="6">
        <f>IF(ISERROR(VLOOKUP($T$747,'TAR FIN'!$A$1:$O$116,15,0)),0,VLOOKUP($T$747,'TAR FIN'!$A$1:$O$116,15,0))</f>
        <v>269.37</v>
      </c>
      <c r="X747" s="6">
        <f>IF(ISERROR(VLOOKUP($U$747,'TAR FIN'!$A$1:$O$116,15,0)),0,VLOOKUP($U$747,'TAR FIN'!$A$1:$O$116,15,0))</f>
        <v>326.47000000000003</v>
      </c>
      <c r="Y747" s="6"/>
      <c r="Z747" s="6">
        <f ca="1">('TUSD BE'!$AM$47+'TUSD BF'!$AM$47+'TUSD CVA'!$AM$47-('TUSD BE'!$P$47+'TUSD BF'!$P$47+'TUSD CVA'!$P$47)-('TUSD BE'!$Q$47+'TUSD BF'!$Q$47+'TUSD CVA'!$Q$47)-('TUSD BE'!$R$47+'TUSD BF'!$R$47+'TUSD CVA'!$R$47))*(1-CUSTOS!$M$37)</f>
        <v>309.40231644911427</v>
      </c>
      <c r="AA747" s="6">
        <f>('TE BE'!$AB$18+'TE BF'!$AB$18+'TE CVA'!$AB$18)*(1-CUSTOS!$M$37)</f>
        <v>329.63081087285968</v>
      </c>
      <c r="AB747" s="6">
        <f t="shared" si="44"/>
        <v>0</v>
      </c>
      <c r="AC747" s="6">
        <f>(L747-M747)*(W747+X747)+($W$711+$X$711-$W$747-$X$747)*(L747)</f>
        <v>0</v>
      </c>
      <c r="AD747" s="6">
        <f t="shared" si="45"/>
        <v>0</v>
      </c>
      <c r="AE747" s="6">
        <f ca="1">(L747-M747)*(Z747+AA747)+($Z$711+$AA$711-$Z$747-$AA$747)*(L747)</f>
        <v>7.8279072113218722E-13</v>
      </c>
      <c r="AF747" s="4" t="s">
        <v>1116</v>
      </c>
    </row>
    <row r="748" spans="1:32" ht="11.25" customHeight="1" x14ac:dyDescent="0.25">
      <c r="A748" s="4" t="s">
        <v>21</v>
      </c>
      <c r="B748" s="4" t="s">
        <v>44</v>
      </c>
      <c r="C748" s="4" t="s">
        <v>33</v>
      </c>
      <c r="D748" s="4" t="s">
        <v>45</v>
      </c>
      <c r="E748" s="4" t="s">
        <v>25</v>
      </c>
      <c r="F748" s="4" t="s">
        <v>25</v>
      </c>
      <c r="G748" s="4" t="s">
        <v>25</v>
      </c>
      <c r="H748" s="4" t="s">
        <v>35</v>
      </c>
      <c r="I748" s="5">
        <v>44348</v>
      </c>
      <c r="J748" s="6">
        <v>0</v>
      </c>
      <c r="K748" s="6">
        <v>0</v>
      </c>
      <c r="L748" s="6">
        <v>0.19800000000000001</v>
      </c>
      <c r="M748" s="6">
        <v>0.19800000000000001</v>
      </c>
      <c r="N748" s="6">
        <v>0.19800000000000001</v>
      </c>
      <c r="O748" s="6">
        <v>0.19800000000000001</v>
      </c>
      <c r="P748" s="6">
        <v>0</v>
      </c>
      <c r="Q748" s="4" t="s">
        <v>26</v>
      </c>
      <c r="R748" s="4">
        <v>0</v>
      </c>
      <c r="S748" s="4">
        <v>0</v>
      </c>
      <c r="T748" s="4">
        <v>53</v>
      </c>
      <c r="U748" s="4">
        <v>96</v>
      </c>
      <c r="V748" s="6">
        <f>IF(ISERROR(VLOOKUP($S$748,'TAR FIN'!$A$1:$O$116,15,0)),0,VLOOKUP($S$748,'TAR FIN'!$A$1:$O$116,15,0))</f>
        <v>0</v>
      </c>
      <c r="W748" s="6">
        <f>IF(ISERROR(VLOOKUP($T$748,'TAR FIN'!$A$1:$O$116,15,0)),0,VLOOKUP($T$748,'TAR FIN'!$A$1:$O$116,15,0))</f>
        <v>216.45</v>
      </c>
      <c r="X748" s="6">
        <f>IF(ISERROR(VLOOKUP($U$748,'TAR FIN'!$A$1:$O$116,15,0)),0,VLOOKUP($U$748,'TAR FIN'!$A$1:$O$116,15,0))</f>
        <v>273.72000000000003</v>
      </c>
      <c r="Y748" s="6"/>
      <c r="Z748" s="6">
        <f ca="1">('TUSD BE'!$AM$55+'TUSD BF'!$AM$55+'TUSD CVA'!$AM$55)*(1-CUSTOS!$M$38)</f>
        <v>305.85761784551431</v>
      </c>
      <c r="AA748" s="6">
        <f>('TE BE'!$AB$26+'TE BF'!$AB$26+'TE CVA'!$AB$26)*(1-CUSTOS!$M$38)</f>
        <v>294.4353281211304</v>
      </c>
      <c r="AB748" s="6">
        <f t="shared" si="44"/>
        <v>0</v>
      </c>
      <c r="AC748" s="6">
        <f>(L748*W748+M748*X748)/(1-CUSTOS!$M$38)*CUSTOS!$M$38</f>
        <v>6.1949144680851074</v>
      </c>
      <c r="AD748" s="6">
        <f t="shared" si="45"/>
        <v>0</v>
      </c>
      <c r="AE748" s="6">
        <f ca="1">(L748*Z748+N748*AA748)/(1-CUSTOS!$M$38)*CUSTOS!$M$38</f>
        <v>7.5866810617912126</v>
      </c>
      <c r="AF748" s="4" t="s">
        <v>1114</v>
      </c>
    </row>
    <row r="749" spans="1:32" ht="11.25" customHeight="1" x14ac:dyDescent="0.25">
      <c r="A749" s="4" t="s">
        <v>21</v>
      </c>
      <c r="B749" s="4" t="s">
        <v>44</v>
      </c>
      <c r="C749" s="4" t="s">
        <v>33</v>
      </c>
      <c r="D749" s="4" t="s">
        <v>45</v>
      </c>
      <c r="E749" s="4" t="s">
        <v>25</v>
      </c>
      <c r="F749" s="4" t="s">
        <v>25</v>
      </c>
      <c r="G749" s="4" t="s">
        <v>25</v>
      </c>
      <c r="H749" s="4" t="s">
        <v>35</v>
      </c>
      <c r="I749" s="5">
        <v>44378</v>
      </c>
      <c r="J749" s="6">
        <v>0</v>
      </c>
      <c r="K749" s="6">
        <v>0</v>
      </c>
      <c r="L749" s="6">
        <v>0.501</v>
      </c>
      <c r="M749" s="6">
        <v>0.501</v>
      </c>
      <c r="N749" s="6">
        <v>0.501</v>
      </c>
      <c r="O749" s="6">
        <v>0.501</v>
      </c>
      <c r="P749" s="6">
        <v>0</v>
      </c>
      <c r="Q749" s="4" t="s">
        <v>26</v>
      </c>
      <c r="R749" s="4">
        <v>0</v>
      </c>
      <c r="S749" s="4">
        <v>0</v>
      </c>
      <c r="T749" s="4">
        <v>53</v>
      </c>
      <c r="U749" s="4">
        <v>96</v>
      </c>
      <c r="V749" s="6">
        <f>IF(ISERROR(VLOOKUP($S$749,'TAR FIN'!$A$1:$O$116,15,0)),0,VLOOKUP($S$749,'TAR FIN'!$A$1:$O$116,15,0))</f>
        <v>0</v>
      </c>
      <c r="W749" s="6">
        <f>IF(ISERROR(VLOOKUP($T$749,'TAR FIN'!$A$1:$O$116,15,0)),0,VLOOKUP($T$749,'TAR FIN'!$A$1:$O$116,15,0))</f>
        <v>216.45</v>
      </c>
      <c r="X749" s="6">
        <f>IF(ISERROR(VLOOKUP($U$749,'TAR FIN'!$A$1:$O$116,15,0)),0,VLOOKUP($U$749,'TAR FIN'!$A$1:$O$116,15,0))</f>
        <v>273.72000000000003</v>
      </c>
      <c r="Y749" s="6"/>
      <c r="Z749" s="6">
        <f ca="1">('TUSD BE'!$AM$55+'TUSD BF'!$AM$55+'TUSD CVA'!$AM$55)*(1-CUSTOS!$M$38)</f>
        <v>305.85761784551431</v>
      </c>
      <c r="AA749" s="6">
        <f>('TE BE'!$AB$26+'TE BF'!$AB$26+'TE CVA'!$AB$26)*(1-CUSTOS!$M$38)</f>
        <v>294.4353281211304</v>
      </c>
      <c r="AB749" s="6">
        <f t="shared" si="44"/>
        <v>0</v>
      </c>
      <c r="AC749" s="6">
        <f>(L749*W749+M749*X749)/(1-CUSTOS!$M$38)*CUSTOS!$M$38</f>
        <v>15.675010851063831</v>
      </c>
      <c r="AD749" s="6">
        <f t="shared" si="45"/>
        <v>0</v>
      </c>
      <c r="AE749" s="6">
        <f ca="1">(L749*Z749+N749*AA749)/(1-CUSTOS!$M$38)*CUSTOS!$M$38</f>
        <v>19.196602080592914</v>
      </c>
      <c r="AF749" s="4" t="s">
        <v>1114</v>
      </c>
    </row>
    <row r="750" spans="1:32" ht="11.25" customHeight="1" x14ac:dyDescent="0.25">
      <c r="A750" s="4" t="s">
        <v>21</v>
      </c>
      <c r="B750" s="4" t="s">
        <v>44</v>
      </c>
      <c r="C750" s="4" t="s">
        <v>33</v>
      </c>
      <c r="D750" s="4" t="s">
        <v>45</v>
      </c>
      <c r="E750" s="4" t="s">
        <v>25</v>
      </c>
      <c r="F750" s="4" t="s">
        <v>25</v>
      </c>
      <c r="G750" s="4" t="s">
        <v>25</v>
      </c>
      <c r="H750" s="4" t="s">
        <v>35</v>
      </c>
      <c r="I750" s="5">
        <v>44409</v>
      </c>
      <c r="J750" s="6">
        <v>0</v>
      </c>
      <c r="K750" s="6">
        <v>0</v>
      </c>
      <c r="L750" s="6">
        <v>0.252</v>
      </c>
      <c r="M750" s="6">
        <v>0.252</v>
      </c>
      <c r="N750" s="6">
        <v>0.252</v>
      </c>
      <c r="O750" s="6">
        <v>0.252</v>
      </c>
      <c r="P750" s="6">
        <v>0</v>
      </c>
      <c r="Q750" s="4" t="s">
        <v>26</v>
      </c>
      <c r="R750" s="4">
        <v>0</v>
      </c>
      <c r="S750" s="4">
        <v>0</v>
      </c>
      <c r="T750" s="4">
        <v>53</v>
      </c>
      <c r="U750" s="4">
        <v>96</v>
      </c>
      <c r="V750" s="6">
        <f>IF(ISERROR(VLOOKUP($S$750,'TAR FIN'!$A$1:$O$116,15,0)),0,VLOOKUP($S$750,'TAR FIN'!$A$1:$O$116,15,0))</f>
        <v>0</v>
      </c>
      <c r="W750" s="6">
        <f>IF(ISERROR(VLOOKUP($T$750,'TAR FIN'!$A$1:$O$116,15,0)),0,VLOOKUP($T$750,'TAR FIN'!$A$1:$O$116,15,0))</f>
        <v>216.45</v>
      </c>
      <c r="X750" s="6">
        <f>IF(ISERROR(VLOOKUP($U$750,'TAR FIN'!$A$1:$O$116,15,0)),0,VLOOKUP($U$750,'TAR FIN'!$A$1:$O$116,15,0))</f>
        <v>273.72000000000003</v>
      </c>
      <c r="Y750" s="6"/>
      <c r="Z750" s="6">
        <f ca="1">('TUSD BE'!$AM$55+'TUSD BF'!$AM$55+'TUSD CVA'!$AM$55)*(1-CUSTOS!$M$38)</f>
        <v>305.85761784551431</v>
      </c>
      <c r="AA750" s="6">
        <f>('TE BE'!$AB$26+'TE BF'!$AB$26+'TE CVA'!$AB$26)*(1-CUSTOS!$M$38)</f>
        <v>294.4353281211304</v>
      </c>
      <c r="AB750" s="6">
        <f t="shared" si="44"/>
        <v>0</v>
      </c>
      <c r="AC750" s="6">
        <f>(L750*W750+M750*X750)/(1-CUSTOS!$M$38)*CUSTOS!$M$38</f>
        <v>7.8844365957446811</v>
      </c>
      <c r="AD750" s="6">
        <f t="shared" si="45"/>
        <v>0</v>
      </c>
      <c r="AE750" s="6">
        <f ca="1">(L750*Z750+N750*AA750)/(1-CUSTOS!$M$38)*CUSTOS!$M$38</f>
        <v>9.6557758968251779</v>
      </c>
      <c r="AF750" s="4" t="s">
        <v>1114</v>
      </c>
    </row>
    <row r="751" spans="1:32" ht="11.25" customHeight="1" x14ac:dyDescent="0.25">
      <c r="A751" s="4" t="s">
        <v>21</v>
      </c>
      <c r="B751" s="4" t="s">
        <v>44</v>
      </c>
      <c r="C751" s="4" t="s">
        <v>33</v>
      </c>
      <c r="D751" s="4" t="s">
        <v>45</v>
      </c>
      <c r="E751" s="4" t="s">
        <v>25</v>
      </c>
      <c r="F751" s="4" t="s">
        <v>25</v>
      </c>
      <c r="G751" s="4" t="s">
        <v>25</v>
      </c>
      <c r="H751" s="4" t="s">
        <v>35</v>
      </c>
      <c r="I751" s="5">
        <v>44440</v>
      </c>
      <c r="J751" s="6">
        <v>0</v>
      </c>
      <c r="K751" s="6">
        <v>0</v>
      </c>
      <c r="L751" s="6">
        <v>0.47499999999999998</v>
      </c>
      <c r="M751" s="6">
        <v>0.47499999999999998</v>
      </c>
      <c r="N751" s="6">
        <v>0.47499999999999998</v>
      </c>
      <c r="O751" s="6">
        <v>0.47499999999999998</v>
      </c>
      <c r="P751" s="6">
        <v>0</v>
      </c>
      <c r="Q751" s="4" t="s">
        <v>26</v>
      </c>
      <c r="R751" s="4">
        <v>0</v>
      </c>
      <c r="S751" s="4">
        <v>0</v>
      </c>
      <c r="T751" s="4">
        <v>53</v>
      </c>
      <c r="U751" s="4">
        <v>96</v>
      </c>
      <c r="V751" s="6">
        <f>IF(ISERROR(VLOOKUP($S$751,'TAR FIN'!$A$1:$O$116,15,0)),0,VLOOKUP($S$751,'TAR FIN'!$A$1:$O$116,15,0))</f>
        <v>0</v>
      </c>
      <c r="W751" s="6">
        <f>IF(ISERROR(VLOOKUP($T$751,'TAR FIN'!$A$1:$O$116,15,0)),0,VLOOKUP($T$751,'TAR FIN'!$A$1:$O$116,15,0))</f>
        <v>216.45</v>
      </c>
      <c r="X751" s="6">
        <f>IF(ISERROR(VLOOKUP($U$751,'TAR FIN'!$A$1:$O$116,15,0)),0,VLOOKUP($U$751,'TAR FIN'!$A$1:$O$116,15,0))</f>
        <v>273.72000000000003</v>
      </c>
      <c r="Y751" s="6"/>
      <c r="Z751" s="6">
        <f ca="1">('TUSD BE'!$AM$55+'TUSD BF'!$AM$55+'TUSD CVA'!$AM$55)*(1-CUSTOS!$M$38)</f>
        <v>305.85761784551431</v>
      </c>
      <c r="AA751" s="6">
        <f>('TE BE'!$AB$26+'TE BF'!$AB$26+'TE CVA'!$AB$26)*(1-CUSTOS!$M$38)</f>
        <v>294.4353281211304</v>
      </c>
      <c r="AB751" s="6">
        <f t="shared" si="44"/>
        <v>0</v>
      </c>
      <c r="AC751" s="6">
        <f>(L751*W751+M751*X751)/(1-CUSTOS!$M$38)*CUSTOS!$M$38</f>
        <v>14.861537234042551</v>
      </c>
      <c r="AD751" s="6">
        <f t="shared" si="45"/>
        <v>0</v>
      </c>
      <c r="AE751" s="6">
        <f ca="1">(L751*Z751+N751*AA751)/(1-CUSTOS!$M$38)*CUSTOS!$M$38</f>
        <v>18.20037123409508</v>
      </c>
      <c r="AF751" s="4" t="s">
        <v>1114</v>
      </c>
    </row>
    <row r="752" spans="1:32" ht="11.25" customHeight="1" x14ac:dyDescent="0.25">
      <c r="A752" s="4" t="s">
        <v>21</v>
      </c>
      <c r="B752" s="4" t="s">
        <v>44</v>
      </c>
      <c r="C752" s="4" t="s">
        <v>33</v>
      </c>
      <c r="D752" s="4" t="s">
        <v>45</v>
      </c>
      <c r="E752" s="4" t="s">
        <v>25</v>
      </c>
      <c r="F752" s="4" t="s">
        <v>25</v>
      </c>
      <c r="G752" s="4" t="s">
        <v>25</v>
      </c>
      <c r="H752" s="4" t="s">
        <v>35</v>
      </c>
      <c r="I752" s="5">
        <v>44470</v>
      </c>
      <c r="J752" s="6">
        <v>0</v>
      </c>
      <c r="K752" s="6">
        <v>0</v>
      </c>
      <c r="L752" s="6">
        <v>0.63600000000000001</v>
      </c>
      <c r="M752" s="6">
        <v>0.63600000000000001</v>
      </c>
      <c r="N752" s="6">
        <v>0.63600000000000001</v>
      </c>
      <c r="O752" s="6">
        <v>0.63600000000000001</v>
      </c>
      <c r="P752" s="6">
        <v>0</v>
      </c>
      <c r="Q752" s="4" t="s">
        <v>26</v>
      </c>
      <c r="R752" s="4">
        <v>0</v>
      </c>
      <c r="S752" s="4">
        <v>0</v>
      </c>
      <c r="T752" s="4">
        <v>53</v>
      </c>
      <c r="U752" s="4">
        <v>96</v>
      </c>
      <c r="V752" s="6">
        <f>IF(ISERROR(VLOOKUP($S$752,'TAR FIN'!$A$1:$O$116,15,0)),0,VLOOKUP($S$752,'TAR FIN'!$A$1:$O$116,15,0))</f>
        <v>0</v>
      </c>
      <c r="W752" s="6">
        <f>IF(ISERROR(VLOOKUP($T$752,'TAR FIN'!$A$1:$O$116,15,0)),0,VLOOKUP($T$752,'TAR FIN'!$A$1:$O$116,15,0))</f>
        <v>216.45</v>
      </c>
      <c r="X752" s="6">
        <f>IF(ISERROR(VLOOKUP($U$752,'TAR FIN'!$A$1:$O$116,15,0)),0,VLOOKUP($U$752,'TAR FIN'!$A$1:$O$116,15,0))</f>
        <v>273.72000000000003</v>
      </c>
      <c r="Y752" s="6"/>
      <c r="Z752" s="6">
        <f ca="1">('TUSD BE'!$AM$55+'TUSD BF'!$AM$55+'TUSD CVA'!$AM$55)*(1-CUSTOS!$M$38)</f>
        <v>305.85761784551431</v>
      </c>
      <c r="AA752" s="6">
        <f>('TE BE'!$AB$26+'TE BF'!$AB$26+'TE CVA'!$AB$26)*(1-CUSTOS!$M$38)</f>
        <v>294.4353281211304</v>
      </c>
      <c r="AB752" s="6">
        <f t="shared" si="44"/>
        <v>0</v>
      </c>
      <c r="AC752" s="6">
        <f>(L752*W752+M752*X752)/(1-CUSTOS!$M$38)*CUSTOS!$M$38</f>
        <v>19.898816170212765</v>
      </c>
      <c r="AD752" s="6">
        <f t="shared" si="45"/>
        <v>0</v>
      </c>
      <c r="AE752" s="6">
        <f ca="1">(L752*Z752+N752*AA752)/(1-CUSTOS!$M$38)*CUSTOS!$M$38</f>
        <v>24.369339168177834</v>
      </c>
      <c r="AF752" s="4" t="s">
        <v>1114</v>
      </c>
    </row>
    <row r="753" spans="1:32" ht="11.25" customHeight="1" x14ac:dyDescent="0.25">
      <c r="A753" s="4" t="s">
        <v>21</v>
      </c>
      <c r="B753" s="4" t="s">
        <v>44</v>
      </c>
      <c r="C753" s="4" t="s">
        <v>33</v>
      </c>
      <c r="D753" s="4" t="s">
        <v>45</v>
      </c>
      <c r="E753" s="4" t="s">
        <v>25</v>
      </c>
      <c r="F753" s="4" t="s">
        <v>25</v>
      </c>
      <c r="G753" s="4" t="s">
        <v>25</v>
      </c>
      <c r="H753" s="4" t="s">
        <v>35</v>
      </c>
      <c r="I753" s="5">
        <v>44501</v>
      </c>
      <c r="J753" s="6">
        <v>0</v>
      </c>
      <c r="K753" s="6">
        <v>0</v>
      </c>
      <c r="L753" s="6">
        <v>4.8179999999999996</v>
      </c>
      <c r="M753" s="6">
        <v>4.8179999999999996</v>
      </c>
      <c r="N753" s="6">
        <v>4.8179999999999996</v>
      </c>
      <c r="O753" s="6">
        <v>4.8179999999999996</v>
      </c>
      <c r="P753" s="6">
        <v>0</v>
      </c>
      <c r="Q753" s="4" t="s">
        <v>26</v>
      </c>
      <c r="R753" s="4">
        <v>0</v>
      </c>
      <c r="S753" s="4">
        <v>0</v>
      </c>
      <c r="T753" s="4">
        <v>53</v>
      </c>
      <c r="U753" s="4">
        <v>96</v>
      </c>
      <c r="V753" s="6">
        <f>IF(ISERROR(VLOOKUP($S$753,'TAR FIN'!$A$1:$O$116,15,0)),0,VLOOKUP($S$753,'TAR FIN'!$A$1:$O$116,15,0))</f>
        <v>0</v>
      </c>
      <c r="W753" s="6">
        <f>IF(ISERROR(VLOOKUP($T$753,'TAR FIN'!$A$1:$O$116,15,0)),0,VLOOKUP($T$753,'TAR FIN'!$A$1:$O$116,15,0))</f>
        <v>216.45</v>
      </c>
      <c r="X753" s="6">
        <f>IF(ISERROR(VLOOKUP($U$753,'TAR FIN'!$A$1:$O$116,15,0)),0,VLOOKUP($U$753,'TAR FIN'!$A$1:$O$116,15,0))</f>
        <v>273.72000000000003</v>
      </c>
      <c r="Y753" s="6"/>
      <c r="Z753" s="6">
        <f ca="1">('TUSD BE'!$AM$55+'TUSD BF'!$AM$55+'TUSD CVA'!$AM$55)*(1-CUSTOS!$M$38)</f>
        <v>305.85761784551431</v>
      </c>
      <c r="AA753" s="6">
        <f>('TE BE'!$AB$26+'TE BF'!$AB$26+'TE CVA'!$AB$26)*(1-CUSTOS!$M$38)</f>
        <v>294.4353281211304</v>
      </c>
      <c r="AB753" s="6">
        <f t="shared" si="44"/>
        <v>0</v>
      </c>
      <c r="AC753" s="6">
        <f>(L753*W753+M753*X753)/(1-CUSTOS!$M$38)*CUSTOS!$M$38</f>
        <v>150.74291872340424</v>
      </c>
      <c r="AD753" s="6">
        <f t="shared" si="45"/>
        <v>0</v>
      </c>
      <c r="AE753" s="6">
        <f ca="1">(L753*Z753+N753*AA753)/(1-CUSTOS!$M$38)*CUSTOS!$M$38</f>
        <v>184.60923917025283</v>
      </c>
      <c r="AF753" s="4" t="s">
        <v>1114</v>
      </c>
    </row>
    <row r="754" spans="1:32" ht="11.25" customHeight="1" x14ac:dyDescent="0.25">
      <c r="A754" s="4" t="s">
        <v>21</v>
      </c>
      <c r="B754" s="4" t="s">
        <v>44</v>
      </c>
      <c r="C754" s="4" t="s">
        <v>33</v>
      </c>
      <c r="D754" s="4" t="s">
        <v>45</v>
      </c>
      <c r="E754" s="4" t="s">
        <v>25</v>
      </c>
      <c r="F754" s="4" t="s">
        <v>25</v>
      </c>
      <c r="G754" s="4" t="s">
        <v>25</v>
      </c>
      <c r="H754" s="4" t="s">
        <v>35</v>
      </c>
      <c r="I754" s="5">
        <v>44531</v>
      </c>
      <c r="J754" s="6">
        <v>0</v>
      </c>
      <c r="K754" s="6">
        <v>0</v>
      </c>
      <c r="L754" s="6">
        <v>2.1040000000000001</v>
      </c>
      <c r="M754" s="6">
        <v>2.1040000000000001</v>
      </c>
      <c r="N754" s="6">
        <v>2.1040000000000001</v>
      </c>
      <c r="O754" s="6">
        <v>2.1040000000000001</v>
      </c>
      <c r="P754" s="6">
        <v>0</v>
      </c>
      <c r="Q754" s="4" t="s">
        <v>26</v>
      </c>
      <c r="R754" s="4">
        <v>0</v>
      </c>
      <c r="S754" s="4">
        <v>0</v>
      </c>
      <c r="T754" s="4">
        <v>53</v>
      </c>
      <c r="U754" s="4">
        <v>96</v>
      </c>
      <c r="V754" s="6">
        <f>IF(ISERROR(VLOOKUP($S$754,'TAR FIN'!$A$1:$O$116,15,0)),0,VLOOKUP($S$754,'TAR FIN'!$A$1:$O$116,15,0))</f>
        <v>0</v>
      </c>
      <c r="W754" s="6">
        <f>IF(ISERROR(VLOOKUP($T$754,'TAR FIN'!$A$1:$O$116,15,0)),0,VLOOKUP($T$754,'TAR FIN'!$A$1:$O$116,15,0))</f>
        <v>216.45</v>
      </c>
      <c r="X754" s="6">
        <f>IF(ISERROR(VLOOKUP($U$754,'TAR FIN'!$A$1:$O$116,15,0)),0,VLOOKUP($U$754,'TAR FIN'!$A$1:$O$116,15,0))</f>
        <v>273.72000000000003</v>
      </c>
      <c r="Y754" s="6"/>
      <c r="Z754" s="6">
        <f ca="1">('TUSD BE'!$AM$55+'TUSD BF'!$AM$55+'TUSD CVA'!$AM$55)*(1-CUSTOS!$M$38)</f>
        <v>305.85761784551431</v>
      </c>
      <c r="AA754" s="6">
        <f>('TE BE'!$AB$26+'TE BF'!$AB$26+'TE CVA'!$AB$26)*(1-CUSTOS!$M$38)</f>
        <v>294.4353281211304</v>
      </c>
      <c r="AB754" s="6">
        <f t="shared" si="44"/>
        <v>0</v>
      </c>
      <c r="AC754" s="6">
        <f>(L754*W754+M754*X754)/(1-CUSTOS!$M$38)*CUSTOS!$M$38</f>
        <v>65.828788085106396</v>
      </c>
      <c r="AD754" s="6">
        <f t="shared" si="45"/>
        <v>0</v>
      </c>
      <c r="AE754" s="6">
        <f ca="1">(L754*Z754+N754*AA754)/(1-CUSTOS!$M$38)*CUSTOS!$M$38</f>
        <v>80.618065424286414</v>
      </c>
      <c r="AF754" s="4" t="s">
        <v>1114</v>
      </c>
    </row>
    <row r="755" spans="1:32" ht="11.25" customHeight="1" x14ac:dyDescent="0.25">
      <c r="A755" s="4" t="s">
        <v>21</v>
      </c>
      <c r="B755" s="4" t="s">
        <v>44</v>
      </c>
      <c r="C755" s="4" t="s">
        <v>33</v>
      </c>
      <c r="D755" s="4" t="s">
        <v>45</v>
      </c>
      <c r="E755" s="4" t="s">
        <v>25</v>
      </c>
      <c r="F755" s="4" t="s">
        <v>25</v>
      </c>
      <c r="G755" s="4" t="s">
        <v>25</v>
      </c>
      <c r="H755" s="4" t="s">
        <v>35</v>
      </c>
      <c r="I755" s="5">
        <v>44562</v>
      </c>
      <c r="J755" s="6">
        <v>0</v>
      </c>
      <c r="K755" s="6">
        <v>0</v>
      </c>
      <c r="L755" s="6">
        <v>0.48199999999999998</v>
      </c>
      <c r="M755" s="6">
        <v>0.48199999999999998</v>
      </c>
      <c r="N755" s="6">
        <v>0.48199999999999998</v>
      </c>
      <c r="O755" s="6">
        <v>0.48199999999999998</v>
      </c>
      <c r="P755" s="6">
        <v>0</v>
      </c>
      <c r="Q755" s="4" t="s">
        <v>26</v>
      </c>
      <c r="R755" s="4">
        <v>0</v>
      </c>
      <c r="S755" s="4">
        <v>0</v>
      </c>
      <c r="T755" s="4">
        <v>53</v>
      </c>
      <c r="U755" s="4">
        <v>96</v>
      </c>
      <c r="V755" s="6">
        <f>IF(ISERROR(VLOOKUP($S$755,'TAR FIN'!$A$1:$O$116,15,0)),0,VLOOKUP($S$755,'TAR FIN'!$A$1:$O$116,15,0))</f>
        <v>0</v>
      </c>
      <c r="W755" s="6">
        <f>IF(ISERROR(VLOOKUP($T$755,'TAR FIN'!$A$1:$O$116,15,0)),0,VLOOKUP($T$755,'TAR FIN'!$A$1:$O$116,15,0))</f>
        <v>216.45</v>
      </c>
      <c r="X755" s="6">
        <f>IF(ISERROR(VLOOKUP($U$755,'TAR FIN'!$A$1:$O$116,15,0)),0,VLOOKUP($U$755,'TAR FIN'!$A$1:$O$116,15,0))</f>
        <v>273.72000000000003</v>
      </c>
      <c r="Y755" s="6"/>
      <c r="Z755" s="6">
        <f ca="1">('TUSD BE'!$AM$55+'TUSD BF'!$AM$55+'TUSD CVA'!$AM$55)*(1-CUSTOS!$M$38)</f>
        <v>305.85761784551431</v>
      </c>
      <c r="AA755" s="6">
        <f>('TE BE'!$AB$26+'TE BF'!$AB$26+'TE CVA'!$AB$26)*(1-CUSTOS!$M$38)</f>
        <v>294.4353281211304</v>
      </c>
      <c r="AB755" s="6">
        <f t="shared" si="44"/>
        <v>0</v>
      </c>
      <c r="AC755" s="6">
        <f>(L755*W755+M755*X755)/(1-CUSTOS!$M$38)*CUSTOS!$M$38</f>
        <v>15.080549361702127</v>
      </c>
      <c r="AD755" s="6">
        <f t="shared" si="45"/>
        <v>0</v>
      </c>
      <c r="AE755" s="6">
        <f ca="1">(L755*Z755+N755*AA755)/(1-CUSTOS!$M$38)*CUSTOS!$M$38</f>
        <v>18.468587231229112</v>
      </c>
      <c r="AF755" s="4" t="s">
        <v>1114</v>
      </c>
    </row>
    <row r="756" spans="1:32" ht="11.25" customHeight="1" x14ac:dyDescent="0.25">
      <c r="A756" s="4" t="s">
        <v>27</v>
      </c>
      <c r="B756" s="4" t="s">
        <v>44</v>
      </c>
      <c r="C756" s="4" t="s">
        <v>33</v>
      </c>
      <c r="D756" s="4" t="s">
        <v>45</v>
      </c>
      <c r="E756" s="4" t="s">
        <v>25</v>
      </c>
      <c r="F756" s="4" t="s">
        <v>25</v>
      </c>
      <c r="G756" s="4" t="s">
        <v>25</v>
      </c>
      <c r="H756" s="4" t="s">
        <v>35</v>
      </c>
      <c r="I756" s="5">
        <v>44562</v>
      </c>
      <c r="J756" s="6">
        <v>0</v>
      </c>
      <c r="K756" s="6">
        <v>0</v>
      </c>
      <c r="L756" s="6">
        <v>-5.9160000000000004</v>
      </c>
      <c r="M756" s="6">
        <v>-5.9160000000000004</v>
      </c>
      <c r="N756" s="6">
        <v>-5.9160000000000004</v>
      </c>
      <c r="O756" s="6">
        <v>-5.9160000000000004</v>
      </c>
      <c r="P756" s="6">
        <v>0</v>
      </c>
      <c r="Q756" s="4" t="s">
        <v>26</v>
      </c>
      <c r="R756" s="4">
        <v>0</v>
      </c>
      <c r="S756" s="4">
        <v>0</v>
      </c>
      <c r="T756" s="4">
        <v>53</v>
      </c>
      <c r="U756" s="4">
        <v>96</v>
      </c>
      <c r="V756" s="6">
        <f>IF(ISERROR(VLOOKUP($S$756,'TAR FIN'!$A$1:$O$116,15,0)),0,VLOOKUP($S$756,'TAR FIN'!$A$1:$O$116,15,0))</f>
        <v>0</v>
      </c>
      <c r="W756" s="6">
        <f>IF(ISERROR(VLOOKUP($T$756,'TAR FIN'!$A$1:$O$116,15,0)),0,VLOOKUP($T$756,'TAR FIN'!$A$1:$O$116,15,0))</f>
        <v>216.45</v>
      </c>
      <c r="X756" s="6">
        <f>IF(ISERROR(VLOOKUP($U$756,'TAR FIN'!$A$1:$O$116,15,0)),0,VLOOKUP($U$756,'TAR FIN'!$A$1:$O$116,15,0))</f>
        <v>273.72000000000003</v>
      </c>
      <c r="Y756" s="6"/>
      <c r="Z756" s="6">
        <f ca="1">('TUSD BE'!$AM$55+'TUSD BF'!$AM$55+'TUSD CVA'!$AM$55)*(1-CUSTOS!$M$38)</f>
        <v>305.85761784551431</v>
      </c>
      <c r="AA756" s="6">
        <f>('TE BE'!$AB$26+'TE BF'!$AB$26+'TE CVA'!$AB$26)*(1-CUSTOS!$M$38)</f>
        <v>294.4353281211304</v>
      </c>
      <c r="AB756" s="6">
        <f t="shared" si="44"/>
        <v>0</v>
      </c>
      <c r="AC756" s="6">
        <f>(L756*W756+M756*X756)/(1-CUSTOS!$M$38)*CUSTOS!$M$38</f>
        <v>-185.09653531914896</v>
      </c>
      <c r="AD756" s="6">
        <f t="shared" si="45"/>
        <v>0</v>
      </c>
      <c r="AE756" s="6">
        <f ca="1">(L756*Z756+N756*AA756)/(1-CUSTOS!$M$38)*CUSTOS!$M$38</f>
        <v>-226.68083414927682</v>
      </c>
      <c r="AF756" s="4" t="s">
        <v>1114</v>
      </c>
    </row>
    <row r="757" spans="1:32" ht="11.25" customHeight="1" x14ac:dyDescent="0.25">
      <c r="A757" s="4" t="s">
        <v>21</v>
      </c>
      <c r="B757" s="4" t="s">
        <v>44</v>
      </c>
      <c r="C757" s="4" t="s">
        <v>33</v>
      </c>
      <c r="D757" s="4" t="s">
        <v>45</v>
      </c>
      <c r="E757" s="4" t="s">
        <v>25</v>
      </c>
      <c r="F757" s="4" t="s">
        <v>25</v>
      </c>
      <c r="G757" s="4" t="s">
        <v>25</v>
      </c>
      <c r="H757" s="4" t="s">
        <v>35</v>
      </c>
      <c r="I757" s="5">
        <v>44593</v>
      </c>
      <c r="J757" s="6">
        <v>0</v>
      </c>
      <c r="K757" s="6">
        <v>0</v>
      </c>
      <c r="L757" s="6">
        <v>0.26800000000000002</v>
      </c>
      <c r="M757" s="6">
        <v>0.26800000000000002</v>
      </c>
      <c r="N757" s="6">
        <v>0.26800000000000002</v>
      </c>
      <c r="O757" s="6">
        <v>0.26800000000000002</v>
      </c>
      <c r="P757" s="6">
        <v>0</v>
      </c>
      <c r="Q757" s="4" t="s">
        <v>26</v>
      </c>
      <c r="R757" s="4">
        <v>0</v>
      </c>
      <c r="S757" s="4">
        <v>0</v>
      </c>
      <c r="T757" s="4">
        <v>53</v>
      </c>
      <c r="U757" s="4">
        <v>96</v>
      </c>
      <c r="V757" s="6">
        <f>IF(ISERROR(VLOOKUP($S$757,'TAR FIN'!$A$1:$O$116,15,0)),0,VLOOKUP($S$757,'TAR FIN'!$A$1:$O$116,15,0))</f>
        <v>0</v>
      </c>
      <c r="W757" s="6">
        <f>IF(ISERROR(VLOOKUP($T$757,'TAR FIN'!$A$1:$O$116,15,0)),0,VLOOKUP($T$757,'TAR FIN'!$A$1:$O$116,15,0))</f>
        <v>216.45</v>
      </c>
      <c r="X757" s="6">
        <f>IF(ISERROR(VLOOKUP($U$757,'TAR FIN'!$A$1:$O$116,15,0)),0,VLOOKUP($U$757,'TAR FIN'!$A$1:$O$116,15,0))</f>
        <v>273.72000000000003</v>
      </c>
      <c r="Y757" s="6"/>
      <c r="Z757" s="6">
        <f ca="1">('TUSD BE'!$AM$55+'TUSD BF'!$AM$55+'TUSD CVA'!$AM$55)*(1-CUSTOS!$M$38)</f>
        <v>305.85761784551431</v>
      </c>
      <c r="AA757" s="6">
        <f>('TE BE'!$AB$26+'TE BF'!$AB$26+'TE CVA'!$AB$26)*(1-CUSTOS!$M$38)</f>
        <v>294.4353281211304</v>
      </c>
      <c r="AB757" s="6">
        <f t="shared" si="44"/>
        <v>0</v>
      </c>
      <c r="AC757" s="6">
        <f>(L757*W757+M757*X757)/(1-CUSTOS!$M$38)*CUSTOS!$M$38</f>
        <v>8.3850357446808523</v>
      </c>
      <c r="AD757" s="6">
        <f t="shared" si="45"/>
        <v>0</v>
      </c>
      <c r="AE757" s="6">
        <f ca="1">(L757*Z757+N757*AA757)/(1-CUSTOS!$M$38)*CUSTOS!$M$38</f>
        <v>10.26884103313154</v>
      </c>
      <c r="AF757" s="4" t="s">
        <v>1114</v>
      </c>
    </row>
    <row r="758" spans="1:32" ht="11.25" customHeight="1" x14ac:dyDescent="0.25">
      <c r="A758" s="4" t="s">
        <v>21</v>
      </c>
      <c r="B758" s="4" t="s">
        <v>44</v>
      </c>
      <c r="C758" s="4" t="s">
        <v>33</v>
      </c>
      <c r="D758" s="4" t="s">
        <v>45</v>
      </c>
      <c r="E758" s="4" t="s">
        <v>25</v>
      </c>
      <c r="F758" s="4" t="s">
        <v>25</v>
      </c>
      <c r="G758" s="4" t="s">
        <v>25</v>
      </c>
      <c r="H758" s="4" t="s">
        <v>35</v>
      </c>
      <c r="I758" s="5">
        <v>44621</v>
      </c>
      <c r="J758" s="6">
        <v>0</v>
      </c>
      <c r="K758" s="6">
        <v>0</v>
      </c>
      <c r="L758" s="6">
        <v>0.42599999999999999</v>
      </c>
      <c r="M758" s="6">
        <v>0.42599999999999999</v>
      </c>
      <c r="N758" s="6">
        <v>0.42599999999999999</v>
      </c>
      <c r="O758" s="6">
        <v>0.42599999999999999</v>
      </c>
      <c r="P758" s="6">
        <v>0</v>
      </c>
      <c r="Q758" s="4" t="s">
        <v>26</v>
      </c>
      <c r="R758" s="4">
        <v>0</v>
      </c>
      <c r="S758" s="4">
        <v>0</v>
      </c>
      <c r="T758" s="4">
        <v>53</v>
      </c>
      <c r="U758" s="4">
        <v>96</v>
      </c>
      <c r="V758" s="6">
        <f>IF(ISERROR(VLOOKUP($S$758,'TAR FIN'!$A$1:$O$116,15,0)),0,VLOOKUP($S$758,'TAR FIN'!$A$1:$O$116,15,0))</f>
        <v>0</v>
      </c>
      <c r="W758" s="6">
        <f>IF(ISERROR(VLOOKUP($T$758,'TAR FIN'!$A$1:$O$116,15,0)),0,VLOOKUP($T$758,'TAR FIN'!$A$1:$O$116,15,0))</f>
        <v>216.45</v>
      </c>
      <c r="X758" s="6">
        <f>IF(ISERROR(VLOOKUP($U$758,'TAR FIN'!$A$1:$O$116,15,0)),0,VLOOKUP($U$758,'TAR FIN'!$A$1:$O$116,15,0))</f>
        <v>273.72000000000003</v>
      </c>
      <c r="Y758" s="6"/>
      <c r="Z758" s="6">
        <f ca="1">('TUSD BE'!$AM$55+'TUSD BF'!$AM$55+'TUSD CVA'!$AM$55)*(1-CUSTOS!$M$38)</f>
        <v>305.85761784551431</v>
      </c>
      <c r="AA758" s="6">
        <f>('TE BE'!$AB$26+'TE BF'!$AB$26+'TE CVA'!$AB$26)*(1-CUSTOS!$M$38)</f>
        <v>294.4353281211304</v>
      </c>
      <c r="AB758" s="6">
        <f t="shared" si="44"/>
        <v>0</v>
      </c>
      <c r="AC758" s="6">
        <f>(L758*W758+M758*X758)/(1-CUSTOS!$M$38)*CUSTOS!$M$38</f>
        <v>13.328452340425532</v>
      </c>
      <c r="AD758" s="6">
        <f t="shared" si="45"/>
        <v>0</v>
      </c>
      <c r="AE758" s="6">
        <f ca="1">(L758*Z758+N758*AA758)/(1-CUSTOS!$M$38)*CUSTOS!$M$38</f>
        <v>16.32285925415685</v>
      </c>
      <c r="AF758" s="4" t="s">
        <v>1114</v>
      </c>
    </row>
    <row r="759" spans="1:32" ht="11.25" customHeight="1" x14ac:dyDescent="0.25">
      <c r="A759" s="4" t="s">
        <v>21</v>
      </c>
      <c r="B759" s="4" t="s">
        <v>44</v>
      </c>
      <c r="C759" s="4" t="s">
        <v>33</v>
      </c>
      <c r="D759" s="4" t="s">
        <v>45</v>
      </c>
      <c r="E759" s="4" t="s">
        <v>25</v>
      </c>
      <c r="F759" s="4" t="s">
        <v>25</v>
      </c>
      <c r="G759" s="4" t="s">
        <v>25</v>
      </c>
      <c r="H759" s="4" t="s">
        <v>35</v>
      </c>
      <c r="I759" s="5">
        <v>44652</v>
      </c>
      <c r="J759" s="6">
        <v>0</v>
      </c>
      <c r="K759" s="6">
        <v>0</v>
      </c>
      <c r="L759" s="6">
        <v>0.44500000000000001</v>
      </c>
      <c r="M759" s="6">
        <v>0.44500000000000001</v>
      </c>
      <c r="N759" s="6">
        <v>0.44500000000000001</v>
      </c>
      <c r="O759" s="6">
        <v>0.44500000000000001</v>
      </c>
      <c r="P759" s="6">
        <v>0</v>
      </c>
      <c r="Q759" s="4" t="s">
        <v>26</v>
      </c>
      <c r="R759" s="4">
        <v>0</v>
      </c>
      <c r="S759" s="4">
        <v>0</v>
      </c>
      <c r="T759" s="4">
        <v>53</v>
      </c>
      <c r="U759" s="4">
        <v>96</v>
      </c>
      <c r="V759" s="6">
        <f>IF(ISERROR(VLOOKUP($S$759,'TAR FIN'!$A$1:$O$116,15,0)),0,VLOOKUP($S$759,'TAR FIN'!$A$1:$O$116,15,0))</f>
        <v>0</v>
      </c>
      <c r="W759" s="6">
        <f>IF(ISERROR(VLOOKUP($T$759,'TAR FIN'!$A$1:$O$116,15,0)),0,VLOOKUP($T$759,'TAR FIN'!$A$1:$O$116,15,0))</f>
        <v>216.45</v>
      </c>
      <c r="X759" s="6">
        <f>IF(ISERROR(VLOOKUP($U$759,'TAR FIN'!$A$1:$O$116,15,0)),0,VLOOKUP($U$759,'TAR FIN'!$A$1:$O$116,15,0))</f>
        <v>273.72000000000003</v>
      </c>
      <c r="Y759" s="6"/>
      <c r="Z759" s="6">
        <f ca="1">('TUSD BE'!$AM$55+'TUSD BF'!$AM$55+'TUSD CVA'!$AM$55)*(1-CUSTOS!$M$38)</f>
        <v>305.85761784551431</v>
      </c>
      <c r="AA759" s="6">
        <f>('TE BE'!$AB$26+'TE BF'!$AB$26+'TE CVA'!$AB$26)*(1-CUSTOS!$M$38)</f>
        <v>294.4353281211304</v>
      </c>
      <c r="AB759" s="6">
        <f t="shared" si="44"/>
        <v>0</v>
      </c>
      <c r="AC759" s="6">
        <f>(L759*W759+M759*X759)/(1-CUSTOS!$M$38)*CUSTOS!$M$38</f>
        <v>13.922913829787234</v>
      </c>
      <c r="AD759" s="6">
        <f t="shared" si="45"/>
        <v>0</v>
      </c>
      <c r="AE759" s="6">
        <f ca="1">(L759*Z759+N759*AA759)/(1-CUSTOS!$M$38)*CUSTOS!$M$38</f>
        <v>17.050874103520652</v>
      </c>
      <c r="AF759" s="4" t="s">
        <v>1114</v>
      </c>
    </row>
    <row r="760" spans="1:32" ht="11.25" customHeight="1" x14ac:dyDescent="0.25">
      <c r="A760" s="4" t="s">
        <v>58</v>
      </c>
      <c r="B760" s="4" t="s">
        <v>44</v>
      </c>
      <c r="C760" s="4" t="s">
        <v>33</v>
      </c>
      <c r="D760" s="4" t="s">
        <v>45</v>
      </c>
      <c r="E760" s="4" t="s">
        <v>25</v>
      </c>
      <c r="F760" s="4" t="s">
        <v>25</v>
      </c>
      <c r="G760" s="4" t="s">
        <v>25</v>
      </c>
      <c r="H760" s="4" t="s">
        <v>35</v>
      </c>
      <c r="I760" s="5">
        <v>44682</v>
      </c>
      <c r="J760" s="6">
        <v>0</v>
      </c>
      <c r="K760" s="6">
        <v>0</v>
      </c>
      <c r="L760" s="6">
        <v>0.44500000000000001</v>
      </c>
      <c r="M760" s="6">
        <v>0.44500000000000001</v>
      </c>
      <c r="N760" s="6">
        <v>0.44500000000000001</v>
      </c>
      <c r="O760" s="6">
        <v>0.44500000000000001</v>
      </c>
      <c r="P760" s="6">
        <v>0</v>
      </c>
      <c r="Q760" s="4" t="s">
        <v>26</v>
      </c>
      <c r="R760" s="4">
        <v>0</v>
      </c>
      <c r="S760" s="4">
        <v>0</v>
      </c>
      <c r="T760" s="4">
        <v>53</v>
      </c>
      <c r="U760" s="4">
        <v>96</v>
      </c>
      <c r="V760" s="6">
        <f>IF(ISERROR(VLOOKUP($S$760,'TAR FIN'!$A$1:$O$116,15,0)),0,VLOOKUP($S$760,'TAR FIN'!$A$1:$O$116,15,0))</f>
        <v>0</v>
      </c>
      <c r="W760" s="6">
        <f>IF(ISERROR(VLOOKUP($T$760,'TAR FIN'!$A$1:$O$116,15,0)),0,VLOOKUP($T$760,'TAR FIN'!$A$1:$O$116,15,0))</f>
        <v>216.45</v>
      </c>
      <c r="X760" s="6">
        <f>IF(ISERROR(VLOOKUP($U$760,'TAR FIN'!$A$1:$O$116,15,0)),0,VLOOKUP($U$760,'TAR FIN'!$A$1:$O$116,15,0))</f>
        <v>273.72000000000003</v>
      </c>
      <c r="Y760" s="6"/>
      <c r="Z760" s="6">
        <f ca="1">('TUSD BE'!$AM$55+'TUSD BF'!$AM$55+'TUSD CVA'!$AM$55)*(1-CUSTOS!$M$38)</f>
        <v>305.85761784551431</v>
      </c>
      <c r="AA760" s="6">
        <f>('TE BE'!$AB$26+'TE BF'!$AB$26+'TE CVA'!$AB$26)*(1-CUSTOS!$M$38)</f>
        <v>294.4353281211304</v>
      </c>
      <c r="AB760" s="6">
        <f t="shared" si="44"/>
        <v>0</v>
      </c>
      <c r="AC760" s="6">
        <f>(L760*W760+M760*X760)/(1-CUSTOS!$M$38)*CUSTOS!$M$38</f>
        <v>13.922913829787234</v>
      </c>
      <c r="AD760" s="6">
        <f t="shared" si="45"/>
        <v>0</v>
      </c>
      <c r="AE760" s="6">
        <f ca="1">(L760*Z760+N760*AA760)/(1-CUSTOS!$M$38)*CUSTOS!$M$38</f>
        <v>17.050874103520652</v>
      </c>
      <c r="AF760" s="4" t="s">
        <v>1114</v>
      </c>
    </row>
    <row r="761" spans="1:32" ht="11.25" customHeight="1" x14ac:dyDescent="0.25">
      <c r="A761" s="4" t="s">
        <v>21</v>
      </c>
      <c r="B761" s="4" t="s">
        <v>44</v>
      </c>
      <c r="C761" s="4" t="s">
        <v>33</v>
      </c>
      <c r="D761" s="4" t="s">
        <v>45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44348</v>
      </c>
      <c r="J761" s="6">
        <v>0</v>
      </c>
      <c r="K761" s="6">
        <v>0</v>
      </c>
      <c r="L761" s="6">
        <v>3.0000000000000001E-3</v>
      </c>
      <c r="M761" s="6">
        <v>3.0000000000000001E-3</v>
      </c>
      <c r="N761" s="6">
        <v>3.0000000000000001E-3</v>
      </c>
      <c r="O761" s="6">
        <v>3.0000000000000001E-3</v>
      </c>
      <c r="P761" s="6">
        <v>0</v>
      </c>
      <c r="Q761" s="4" t="s">
        <v>26</v>
      </c>
      <c r="R761" s="4">
        <v>0</v>
      </c>
      <c r="S761" s="4">
        <v>0</v>
      </c>
      <c r="T761" s="4">
        <v>52</v>
      </c>
      <c r="U761" s="4">
        <v>95</v>
      </c>
      <c r="V761" s="6">
        <f>IF(ISERROR(VLOOKUP($S$761,'TAR FIN'!$A$1:$O$116,15,0)),0,VLOOKUP($S$761,'TAR FIN'!$A$1:$O$116,15,0))</f>
        <v>0</v>
      </c>
      <c r="W761" s="6">
        <f>IF(ISERROR(VLOOKUP($T$761,'TAR FIN'!$A$1:$O$116,15,0)),0,VLOOKUP($T$761,'TAR FIN'!$A$1:$O$116,15,0))</f>
        <v>441.63</v>
      </c>
      <c r="X761" s="6">
        <f>IF(ISERROR(VLOOKUP($U$761,'TAR FIN'!$A$1:$O$116,15,0)),0,VLOOKUP($U$761,'TAR FIN'!$A$1:$O$116,15,0))</f>
        <v>273.72000000000003</v>
      </c>
      <c r="Y761" s="6"/>
      <c r="Z761" s="6">
        <f ca="1">('TUSD BE'!$AM$54+'TUSD BF'!$AM$54+'TUSD CVA'!$AM$54)*(1-CUSTOS!$M$38)</f>
        <v>583.48771702027136</v>
      </c>
      <c r="AA761" s="6">
        <f>('TE BE'!$AB$25+'TE BF'!$AB$25+'TE CVA'!$AB$25)*(1-CUSTOS!$M$38)</f>
        <v>294.4353281211304</v>
      </c>
      <c r="AB761" s="6">
        <f t="shared" si="44"/>
        <v>0</v>
      </c>
      <c r="AC761" s="6">
        <f>(L761*W761+M761*X761)/(1-CUSTOS!$M$38)*CUSTOS!$M$38</f>
        <v>0.13698191489361705</v>
      </c>
      <c r="AD761" s="6">
        <f t="shared" si="45"/>
        <v>0</v>
      </c>
      <c r="AE761" s="6">
        <f ca="1">(L761*Z761+N761*AA761)/(1-CUSTOS!$M$38)*CUSTOS!$M$38</f>
        <v>0.16811292353771523</v>
      </c>
      <c r="AF761" s="4" t="s">
        <v>1114</v>
      </c>
    </row>
    <row r="762" spans="1:32" ht="11.25" customHeight="1" x14ac:dyDescent="0.25">
      <c r="A762" s="4" t="s">
        <v>21</v>
      </c>
      <c r="B762" s="4" t="s">
        <v>44</v>
      </c>
      <c r="C762" s="4" t="s">
        <v>33</v>
      </c>
      <c r="D762" s="4" t="s">
        <v>45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44378</v>
      </c>
      <c r="J762" s="6">
        <v>0</v>
      </c>
      <c r="K762" s="6">
        <v>0</v>
      </c>
      <c r="L762" s="6">
        <v>3.2000000000000001E-2</v>
      </c>
      <c r="M762" s="6">
        <v>3.2000000000000001E-2</v>
      </c>
      <c r="N762" s="6">
        <v>3.2000000000000001E-2</v>
      </c>
      <c r="O762" s="6">
        <v>3.2000000000000001E-2</v>
      </c>
      <c r="P762" s="6">
        <v>0</v>
      </c>
      <c r="Q762" s="4" t="s">
        <v>26</v>
      </c>
      <c r="R762" s="4">
        <v>0</v>
      </c>
      <c r="S762" s="4">
        <v>0</v>
      </c>
      <c r="T762" s="4">
        <v>52</v>
      </c>
      <c r="U762" s="4">
        <v>95</v>
      </c>
      <c r="V762" s="6">
        <f>IF(ISERROR(VLOOKUP($S$762,'TAR FIN'!$A$1:$O$116,15,0)),0,VLOOKUP($S$762,'TAR FIN'!$A$1:$O$116,15,0))</f>
        <v>0</v>
      </c>
      <c r="W762" s="6">
        <f>IF(ISERROR(VLOOKUP($T$762,'TAR FIN'!$A$1:$O$116,15,0)),0,VLOOKUP($T$762,'TAR FIN'!$A$1:$O$116,15,0))</f>
        <v>441.63</v>
      </c>
      <c r="X762" s="6">
        <f>IF(ISERROR(VLOOKUP($U$762,'TAR FIN'!$A$1:$O$116,15,0)),0,VLOOKUP($U$762,'TAR FIN'!$A$1:$O$116,15,0))</f>
        <v>273.72000000000003</v>
      </c>
      <c r="Y762" s="6"/>
      <c r="Z762" s="6">
        <f ca="1">('TUSD BE'!$AM$54+'TUSD BF'!$AM$54+'TUSD CVA'!$AM$54)*(1-CUSTOS!$M$38)</f>
        <v>583.48771702027136</v>
      </c>
      <c r="AA762" s="6">
        <f>('TE BE'!$AB$25+'TE BF'!$AB$25+'TE CVA'!$AB$25)*(1-CUSTOS!$M$38)</f>
        <v>294.4353281211304</v>
      </c>
      <c r="AB762" s="6">
        <f t="shared" si="44"/>
        <v>0</v>
      </c>
      <c r="AC762" s="6">
        <f>(L762*W762+M762*X762)/(1-CUSTOS!$M$38)*CUSTOS!$M$38</f>
        <v>1.4611404255319149</v>
      </c>
      <c r="AD762" s="6">
        <f t="shared" si="45"/>
        <v>0</v>
      </c>
      <c r="AE762" s="6">
        <f ca="1">(L762*Z762+N762*AA762)/(1-CUSTOS!$M$38)*CUSTOS!$M$38</f>
        <v>1.7932045177356291</v>
      </c>
      <c r="AF762" s="4" t="s">
        <v>1114</v>
      </c>
    </row>
    <row r="763" spans="1:32" ht="11.25" customHeight="1" x14ac:dyDescent="0.25">
      <c r="A763" s="4" t="s">
        <v>21</v>
      </c>
      <c r="B763" s="4" t="s">
        <v>44</v>
      </c>
      <c r="C763" s="4" t="s">
        <v>33</v>
      </c>
      <c r="D763" s="4" t="s">
        <v>45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44409</v>
      </c>
      <c r="J763" s="6">
        <v>0</v>
      </c>
      <c r="K763" s="6">
        <v>0</v>
      </c>
      <c r="L763" s="6">
        <v>7.0000000000000001E-3</v>
      </c>
      <c r="M763" s="6">
        <v>7.0000000000000001E-3</v>
      </c>
      <c r="N763" s="6">
        <v>7.0000000000000001E-3</v>
      </c>
      <c r="O763" s="6">
        <v>7.0000000000000001E-3</v>
      </c>
      <c r="P763" s="6">
        <v>0</v>
      </c>
      <c r="Q763" s="4" t="s">
        <v>26</v>
      </c>
      <c r="R763" s="4">
        <v>0</v>
      </c>
      <c r="S763" s="4">
        <v>0</v>
      </c>
      <c r="T763" s="4">
        <v>52</v>
      </c>
      <c r="U763" s="4">
        <v>95</v>
      </c>
      <c r="V763" s="6">
        <f>IF(ISERROR(VLOOKUP($S$763,'TAR FIN'!$A$1:$O$116,15,0)),0,VLOOKUP($S$763,'TAR FIN'!$A$1:$O$116,15,0))</f>
        <v>0</v>
      </c>
      <c r="W763" s="6">
        <f>IF(ISERROR(VLOOKUP($T$763,'TAR FIN'!$A$1:$O$116,15,0)),0,VLOOKUP($T$763,'TAR FIN'!$A$1:$O$116,15,0))</f>
        <v>441.63</v>
      </c>
      <c r="X763" s="6">
        <f>IF(ISERROR(VLOOKUP($U$763,'TAR FIN'!$A$1:$O$116,15,0)),0,VLOOKUP($U$763,'TAR FIN'!$A$1:$O$116,15,0))</f>
        <v>273.72000000000003</v>
      </c>
      <c r="Y763" s="6"/>
      <c r="Z763" s="6">
        <f ca="1">('TUSD BE'!$AM$54+'TUSD BF'!$AM$54+'TUSD CVA'!$AM$54)*(1-CUSTOS!$M$38)</f>
        <v>583.48771702027136</v>
      </c>
      <c r="AA763" s="6">
        <f>('TE BE'!$AB$25+'TE BF'!$AB$25+'TE CVA'!$AB$25)*(1-CUSTOS!$M$38)</f>
        <v>294.4353281211304</v>
      </c>
      <c r="AB763" s="6">
        <f t="shared" si="44"/>
        <v>0</v>
      </c>
      <c r="AC763" s="6">
        <f>(L763*W763+M763*X763)/(1-CUSTOS!$M$38)*CUSTOS!$M$38</f>
        <v>0.31962446808510642</v>
      </c>
      <c r="AD763" s="6">
        <f t="shared" si="45"/>
        <v>0</v>
      </c>
      <c r="AE763" s="6">
        <f ca="1">(L763*Z763+N763*AA763)/(1-CUSTOS!$M$38)*CUSTOS!$M$38</f>
        <v>0.39226348825466889</v>
      </c>
      <c r="AF763" s="4" t="s">
        <v>1114</v>
      </c>
    </row>
    <row r="764" spans="1:32" ht="11.25" customHeight="1" x14ac:dyDescent="0.25">
      <c r="A764" s="4" t="s">
        <v>21</v>
      </c>
      <c r="B764" s="4" t="s">
        <v>44</v>
      </c>
      <c r="C764" s="4" t="s">
        <v>33</v>
      </c>
      <c r="D764" s="4" t="s">
        <v>45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44440</v>
      </c>
      <c r="J764" s="6">
        <v>0</v>
      </c>
      <c r="K764" s="6">
        <v>0</v>
      </c>
      <c r="L764" s="6">
        <v>2.9000000000000001E-2</v>
      </c>
      <c r="M764" s="6">
        <v>2.9000000000000001E-2</v>
      </c>
      <c r="N764" s="6">
        <v>2.9000000000000001E-2</v>
      </c>
      <c r="O764" s="6">
        <v>2.9000000000000001E-2</v>
      </c>
      <c r="P764" s="6">
        <v>0</v>
      </c>
      <c r="Q764" s="4" t="s">
        <v>26</v>
      </c>
      <c r="R764" s="4">
        <v>0</v>
      </c>
      <c r="S764" s="4">
        <v>0</v>
      </c>
      <c r="T764" s="4">
        <v>52</v>
      </c>
      <c r="U764" s="4">
        <v>95</v>
      </c>
      <c r="V764" s="6">
        <f>IF(ISERROR(VLOOKUP($S$764,'TAR FIN'!$A$1:$O$116,15,0)),0,VLOOKUP($S$764,'TAR FIN'!$A$1:$O$116,15,0))</f>
        <v>0</v>
      </c>
      <c r="W764" s="6">
        <f>IF(ISERROR(VLOOKUP($T$764,'TAR FIN'!$A$1:$O$116,15,0)),0,VLOOKUP($T$764,'TAR FIN'!$A$1:$O$116,15,0))</f>
        <v>441.63</v>
      </c>
      <c r="X764" s="6">
        <f>IF(ISERROR(VLOOKUP($U$764,'TAR FIN'!$A$1:$O$116,15,0)),0,VLOOKUP($U$764,'TAR FIN'!$A$1:$O$116,15,0))</f>
        <v>273.72000000000003</v>
      </c>
      <c r="Y764" s="6"/>
      <c r="Z764" s="6">
        <f ca="1">('TUSD BE'!$AM$54+'TUSD BF'!$AM$54+'TUSD CVA'!$AM$54)*(1-CUSTOS!$M$38)</f>
        <v>583.48771702027136</v>
      </c>
      <c r="AA764" s="6">
        <f>('TE BE'!$AB$25+'TE BF'!$AB$25+'TE CVA'!$AB$25)*(1-CUSTOS!$M$38)</f>
        <v>294.4353281211304</v>
      </c>
      <c r="AB764" s="6">
        <f t="shared" si="44"/>
        <v>0</v>
      </c>
      <c r="AC764" s="6">
        <f>(L764*W764+M764*X764)/(1-CUSTOS!$M$38)*CUSTOS!$M$38</f>
        <v>1.324158510638298</v>
      </c>
      <c r="AD764" s="6">
        <f t="shared" si="45"/>
        <v>0</v>
      </c>
      <c r="AE764" s="6">
        <f ca="1">(L764*Z764+N764*AA764)/(1-CUSTOS!$M$38)*CUSTOS!$M$38</f>
        <v>1.625091594197914</v>
      </c>
      <c r="AF764" s="4" t="s">
        <v>1114</v>
      </c>
    </row>
    <row r="765" spans="1:32" ht="11.25" customHeight="1" x14ac:dyDescent="0.25">
      <c r="A765" s="4" t="s">
        <v>21</v>
      </c>
      <c r="B765" s="4" t="s">
        <v>44</v>
      </c>
      <c r="C765" s="4" t="s">
        <v>33</v>
      </c>
      <c r="D765" s="4" t="s">
        <v>45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44470</v>
      </c>
      <c r="J765" s="6">
        <v>0</v>
      </c>
      <c r="K765" s="6">
        <v>0</v>
      </c>
      <c r="L765" s="6">
        <v>3.5000000000000003E-2</v>
      </c>
      <c r="M765" s="6">
        <v>3.5000000000000003E-2</v>
      </c>
      <c r="N765" s="6">
        <v>3.5000000000000003E-2</v>
      </c>
      <c r="O765" s="6">
        <v>3.5000000000000003E-2</v>
      </c>
      <c r="P765" s="6">
        <v>0</v>
      </c>
      <c r="Q765" s="4" t="s">
        <v>26</v>
      </c>
      <c r="R765" s="4">
        <v>0</v>
      </c>
      <c r="S765" s="4">
        <v>0</v>
      </c>
      <c r="T765" s="4">
        <v>52</v>
      </c>
      <c r="U765" s="4">
        <v>95</v>
      </c>
      <c r="V765" s="6">
        <f>IF(ISERROR(VLOOKUP($S$765,'TAR FIN'!$A$1:$O$116,15,0)),0,VLOOKUP($S$765,'TAR FIN'!$A$1:$O$116,15,0))</f>
        <v>0</v>
      </c>
      <c r="W765" s="6">
        <f>IF(ISERROR(VLOOKUP($T$765,'TAR FIN'!$A$1:$O$116,15,0)),0,VLOOKUP($T$765,'TAR FIN'!$A$1:$O$116,15,0))</f>
        <v>441.63</v>
      </c>
      <c r="X765" s="6">
        <f>IF(ISERROR(VLOOKUP($U$765,'TAR FIN'!$A$1:$O$116,15,0)),0,VLOOKUP($U$765,'TAR FIN'!$A$1:$O$116,15,0))</f>
        <v>273.72000000000003</v>
      </c>
      <c r="Y765" s="6"/>
      <c r="Z765" s="6">
        <f ca="1">('TUSD BE'!$AM$54+'TUSD BF'!$AM$54+'TUSD CVA'!$AM$54)*(1-CUSTOS!$M$38)</f>
        <v>583.48771702027136</v>
      </c>
      <c r="AA765" s="6">
        <f>('TE BE'!$AB$25+'TE BF'!$AB$25+'TE CVA'!$AB$25)*(1-CUSTOS!$M$38)</f>
        <v>294.4353281211304</v>
      </c>
      <c r="AB765" s="6">
        <f t="shared" si="44"/>
        <v>0</v>
      </c>
      <c r="AC765" s="6">
        <f>(L765*W765+M765*X765)/(1-CUSTOS!$M$38)*CUSTOS!$M$38</f>
        <v>1.598122340425532</v>
      </c>
      <c r="AD765" s="6">
        <f t="shared" si="45"/>
        <v>0</v>
      </c>
      <c r="AE765" s="6">
        <f ca="1">(L765*Z765+N765*AA765)/(1-CUSTOS!$M$38)*CUSTOS!$M$38</f>
        <v>1.9613174412733445</v>
      </c>
      <c r="AF765" s="4" t="s">
        <v>1114</v>
      </c>
    </row>
    <row r="766" spans="1:32" ht="11.25" customHeight="1" x14ac:dyDescent="0.25">
      <c r="A766" s="4" t="s">
        <v>21</v>
      </c>
      <c r="B766" s="4" t="s">
        <v>44</v>
      </c>
      <c r="C766" s="4" t="s">
        <v>33</v>
      </c>
      <c r="D766" s="4" t="s">
        <v>45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44501</v>
      </c>
      <c r="J766" s="6">
        <v>0</v>
      </c>
      <c r="K766" s="6">
        <v>0</v>
      </c>
      <c r="L766" s="6">
        <v>7.0000000000000001E-3</v>
      </c>
      <c r="M766" s="6">
        <v>7.0000000000000001E-3</v>
      </c>
      <c r="N766" s="6">
        <v>7.0000000000000001E-3</v>
      </c>
      <c r="O766" s="6">
        <v>7.0000000000000001E-3</v>
      </c>
      <c r="P766" s="6">
        <v>0</v>
      </c>
      <c r="Q766" s="4" t="s">
        <v>26</v>
      </c>
      <c r="R766" s="4">
        <v>0</v>
      </c>
      <c r="S766" s="4">
        <v>0</v>
      </c>
      <c r="T766" s="4">
        <v>52</v>
      </c>
      <c r="U766" s="4">
        <v>95</v>
      </c>
      <c r="V766" s="6">
        <f>IF(ISERROR(VLOOKUP($S$766,'TAR FIN'!$A$1:$O$116,15,0)),0,VLOOKUP($S$766,'TAR FIN'!$A$1:$O$116,15,0))</f>
        <v>0</v>
      </c>
      <c r="W766" s="6">
        <f>IF(ISERROR(VLOOKUP($T$766,'TAR FIN'!$A$1:$O$116,15,0)),0,VLOOKUP($T$766,'TAR FIN'!$A$1:$O$116,15,0))</f>
        <v>441.63</v>
      </c>
      <c r="X766" s="6">
        <f>IF(ISERROR(VLOOKUP($U$766,'TAR FIN'!$A$1:$O$116,15,0)),0,VLOOKUP($U$766,'TAR FIN'!$A$1:$O$116,15,0))</f>
        <v>273.72000000000003</v>
      </c>
      <c r="Y766" s="6"/>
      <c r="Z766" s="6">
        <f ca="1">('TUSD BE'!$AM$54+'TUSD BF'!$AM$54+'TUSD CVA'!$AM$54)*(1-CUSTOS!$M$38)</f>
        <v>583.48771702027136</v>
      </c>
      <c r="AA766" s="6">
        <f>('TE BE'!$AB$25+'TE BF'!$AB$25+'TE CVA'!$AB$25)*(1-CUSTOS!$M$38)</f>
        <v>294.4353281211304</v>
      </c>
      <c r="AB766" s="6">
        <f t="shared" si="44"/>
        <v>0</v>
      </c>
      <c r="AC766" s="6">
        <f>(L766*W766+M766*X766)/(1-CUSTOS!$M$38)*CUSTOS!$M$38</f>
        <v>0.31962446808510642</v>
      </c>
      <c r="AD766" s="6">
        <f t="shared" si="45"/>
        <v>0</v>
      </c>
      <c r="AE766" s="6">
        <f ca="1">(L766*Z766+N766*AA766)/(1-CUSTOS!$M$38)*CUSTOS!$M$38</f>
        <v>0.39226348825466889</v>
      </c>
      <c r="AF766" s="4" t="s">
        <v>1114</v>
      </c>
    </row>
    <row r="767" spans="1:32" ht="11.25" customHeight="1" x14ac:dyDescent="0.25">
      <c r="A767" s="4" t="s">
        <v>21</v>
      </c>
      <c r="B767" s="4" t="s">
        <v>44</v>
      </c>
      <c r="C767" s="4" t="s">
        <v>33</v>
      </c>
      <c r="D767" s="4" t="s">
        <v>45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44531</v>
      </c>
      <c r="J767" s="6">
        <v>0</v>
      </c>
      <c r="K767" s="6">
        <v>0</v>
      </c>
      <c r="L767" s="6">
        <v>0.01</v>
      </c>
      <c r="M767" s="6">
        <v>0.01</v>
      </c>
      <c r="N767" s="6">
        <v>0.01</v>
      </c>
      <c r="O767" s="6">
        <v>0.01</v>
      </c>
      <c r="P767" s="6">
        <v>0</v>
      </c>
      <c r="Q767" s="4" t="s">
        <v>26</v>
      </c>
      <c r="R767" s="4">
        <v>0</v>
      </c>
      <c r="S767" s="4">
        <v>0</v>
      </c>
      <c r="T767" s="4">
        <v>52</v>
      </c>
      <c r="U767" s="4">
        <v>95</v>
      </c>
      <c r="V767" s="6">
        <f>IF(ISERROR(VLOOKUP($S$767,'TAR FIN'!$A$1:$O$116,15,0)),0,VLOOKUP($S$767,'TAR FIN'!$A$1:$O$116,15,0))</f>
        <v>0</v>
      </c>
      <c r="W767" s="6">
        <f>IF(ISERROR(VLOOKUP($T$767,'TAR FIN'!$A$1:$O$116,15,0)),0,VLOOKUP($T$767,'TAR FIN'!$A$1:$O$116,15,0))</f>
        <v>441.63</v>
      </c>
      <c r="X767" s="6">
        <f>IF(ISERROR(VLOOKUP($U$767,'TAR FIN'!$A$1:$O$116,15,0)),0,VLOOKUP($U$767,'TAR FIN'!$A$1:$O$116,15,0))</f>
        <v>273.72000000000003</v>
      </c>
      <c r="Y767" s="6"/>
      <c r="Z767" s="6">
        <f ca="1">('TUSD BE'!$AM$54+'TUSD BF'!$AM$54+'TUSD CVA'!$AM$54)*(1-CUSTOS!$M$38)</f>
        <v>583.48771702027136</v>
      </c>
      <c r="AA767" s="6">
        <f>('TE BE'!$AB$25+'TE BF'!$AB$25+'TE CVA'!$AB$25)*(1-CUSTOS!$M$38)</f>
        <v>294.4353281211304</v>
      </c>
      <c r="AB767" s="6">
        <f t="shared" si="44"/>
        <v>0</v>
      </c>
      <c r="AC767" s="6">
        <f>(L767*W767+M767*X767)/(1-CUSTOS!$M$38)*CUSTOS!$M$38</f>
        <v>0.45660638297872347</v>
      </c>
      <c r="AD767" s="6">
        <f t="shared" si="45"/>
        <v>0</v>
      </c>
      <c r="AE767" s="6">
        <f ca="1">(L767*Z767+N767*AA767)/(1-CUSTOS!$M$38)*CUSTOS!$M$38</f>
        <v>0.56037641179238407</v>
      </c>
      <c r="AF767" s="4" t="s">
        <v>1114</v>
      </c>
    </row>
    <row r="768" spans="1:32" ht="11.25" customHeight="1" x14ac:dyDescent="0.25">
      <c r="A768" s="4" t="s">
        <v>21</v>
      </c>
      <c r="B768" s="4" t="s">
        <v>44</v>
      </c>
      <c r="C768" s="4" t="s">
        <v>33</v>
      </c>
      <c r="D768" s="4" t="s">
        <v>45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44562</v>
      </c>
      <c r="J768" s="6">
        <v>0</v>
      </c>
      <c r="K768" s="6">
        <v>0</v>
      </c>
      <c r="L768" s="6">
        <v>2.5999999999999999E-2</v>
      </c>
      <c r="M768" s="6">
        <v>2.5999999999999999E-2</v>
      </c>
      <c r="N768" s="6">
        <v>2.5999999999999999E-2</v>
      </c>
      <c r="O768" s="6">
        <v>2.5999999999999999E-2</v>
      </c>
      <c r="P768" s="6">
        <v>0</v>
      </c>
      <c r="Q768" s="4" t="s">
        <v>26</v>
      </c>
      <c r="R768" s="4">
        <v>0</v>
      </c>
      <c r="S768" s="4">
        <v>0</v>
      </c>
      <c r="T768" s="4">
        <v>52</v>
      </c>
      <c r="U768" s="4">
        <v>95</v>
      </c>
      <c r="V768" s="6">
        <f>IF(ISERROR(VLOOKUP($S$768,'TAR FIN'!$A$1:$O$116,15,0)),0,VLOOKUP($S$768,'TAR FIN'!$A$1:$O$116,15,0))</f>
        <v>0</v>
      </c>
      <c r="W768" s="6">
        <f>IF(ISERROR(VLOOKUP($T$768,'TAR FIN'!$A$1:$O$116,15,0)),0,VLOOKUP($T$768,'TAR FIN'!$A$1:$O$116,15,0))</f>
        <v>441.63</v>
      </c>
      <c r="X768" s="6">
        <f>IF(ISERROR(VLOOKUP($U$768,'TAR FIN'!$A$1:$O$116,15,0)),0,VLOOKUP($U$768,'TAR FIN'!$A$1:$O$116,15,0))</f>
        <v>273.72000000000003</v>
      </c>
      <c r="Y768" s="6"/>
      <c r="Z768" s="6">
        <f ca="1">('TUSD BE'!$AM$54+'TUSD BF'!$AM$54+'TUSD CVA'!$AM$54)*(1-CUSTOS!$M$38)</f>
        <v>583.48771702027136</v>
      </c>
      <c r="AA768" s="6">
        <f>('TE BE'!$AB$25+'TE BF'!$AB$25+'TE CVA'!$AB$25)*(1-CUSTOS!$M$38)</f>
        <v>294.4353281211304</v>
      </c>
      <c r="AB768" s="6">
        <f t="shared" si="44"/>
        <v>0</v>
      </c>
      <c r="AC768" s="6">
        <f>(L768*W768+M768*X768)/(1-CUSTOS!$M$38)*CUSTOS!$M$38</f>
        <v>1.1871765957446809</v>
      </c>
      <c r="AD768" s="6">
        <f t="shared" si="45"/>
        <v>0</v>
      </c>
      <c r="AE768" s="6">
        <f ca="1">(L768*Z768+N768*AA768)/(1-CUSTOS!$M$38)*CUSTOS!$M$38</f>
        <v>1.4569786706601984</v>
      </c>
      <c r="AF768" s="4" t="s">
        <v>1114</v>
      </c>
    </row>
    <row r="769" spans="1:32" ht="11.25" customHeight="1" x14ac:dyDescent="0.25">
      <c r="A769" s="4" t="s">
        <v>27</v>
      </c>
      <c r="B769" s="4" t="s">
        <v>44</v>
      </c>
      <c r="C769" s="4" t="s">
        <v>33</v>
      </c>
      <c r="D769" s="4" t="s">
        <v>45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44562</v>
      </c>
      <c r="J769" s="6">
        <v>0</v>
      </c>
      <c r="K769" s="6">
        <v>0</v>
      </c>
      <c r="L769" s="6">
        <v>0.04</v>
      </c>
      <c r="M769" s="6">
        <v>0.04</v>
      </c>
      <c r="N769" s="6">
        <v>0.04</v>
      </c>
      <c r="O769" s="6">
        <v>0.04</v>
      </c>
      <c r="P769" s="6">
        <v>0</v>
      </c>
      <c r="Q769" s="4" t="s">
        <v>26</v>
      </c>
      <c r="R769" s="4">
        <v>0</v>
      </c>
      <c r="S769" s="4">
        <v>0</v>
      </c>
      <c r="T769" s="4">
        <v>52</v>
      </c>
      <c r="U769" s="4">
        <v>95</v>
      </c>
      <c r="V769" s="6">
        <f>IF(ISERROR(VLOOKUP($S$769,'TAR FIN'!$A$1:$O$116,15,0)),0,VLOOKUP($S$769,'TAR FIN'!$A$1:$O$116,15,0))</f>
        <v>0</v>
      </c>
      <c r="W769" s="6">
        <f>IF(ISERROR(VLOOKUP($T$769,'TAR FIN'!$A$1:$O$116,15,0)),0,VLOOKUP($T$769,'TAR FIN'!$A$1:$O$116,15,0))</f>
        <v>441.63</v>
      </c>
      <c r="X769" s="6">
        <f>IF(ISERROR(VLOOKUP($U$769,'TAR FIN'!$A$1:$O$116,15,0)),0,VLOOKUP($U$769,'TAR FIN'!$A$1:$O$116,15,0))</f>
        <v>273.72000000000003</v>
      </c>
      <c r="Y769" s="6"/>
      <c r="Z769" s="6">
        <f ca="1">('TUSD BE'!$AM$54+'TUSD BF'!$AM$54+'TUSD CVA'!$AM$54)*(1-CUSTOS!$M$38)</f>
        <v>583.48771702027136</v>
      </c>
      <c r="AA769" s="6">
        <f>('TE BE'!$AB$25+'TE BF'!$AB$25+'TE CVA'!$AB$25)*(1-CUSTOS!$M$38)</f>
        <v>294.4353281211304</v>
      </c>
      <c r="AB769" s="6">
        <f t="shared" si="44"/>
        <v>0</v>
      </c>
      <c r="AC769" s="6">
        <f>(L769*W769+M769*X769)/(1-CUSTOS!$M$38)*CUSTOS!$M$38</f>
        <v>1.8264255319148939</v>
      </c>
      <c r="AD769" s="6">
        <f t="shared" si="45"/>
        <v>0</v>
      </c>
      <c r="AE769" s="6">
        <f ca="1">(L769*Z769+N769*AA769)/(1-CUSTOS!$M$38)*CUSTOS!$M$38</f>
        <v>2.2415056471695363</v>
      </c>
      <c r="AF769" s="4" t="s">
        <v>1114</v>
      </c>
    </row>
    <row r="770" spans="1:32" ht="11.25" customHeight="1" x14ac:dyDescent="0.25">
      <c r="A770" s="4" t="s">
        <v>21</v>
      </c>
      <c r="B770" s="4" t="s">
        <v>44</v>
      </c>
      <c r="C770" s="4" t="s">
        <v>33</v>
      </c>
      <c r="D770" s="4" t="s">
        <v>45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44593</v>
      </c>
      <c r="J770" s="6">
        <v>0</v>
      </c>
      <c r="K770" s="6">
        <v>0</v>
      </c>
      <c r="L770" s="6">
        <v>1.4E-2</v>
      </c>
      <c r="M770" s="6">
        <v>1.4E-2</v>
      </c>
      <c r="N770" s="6">
        <v>1.4E-2</v>
      </c>
      <c r="O770" s="6">
        <v>1.4E-2</v>
      </c>
      <c r="P770" s="6">
        <v>0</v>
      </c>
      <c r="Q770" s="4" t="s">
        <v>26</v>
      </c>
      <c r="R770" s="4">
        <v>0</v>
      </c>
      <c r="S770" s="4">
        <v>0</v>
      </c>
      <c r="T770" s="4">
        <v>52</v>
      </c>
      <c r="U770" s="4">
        <v>95</v>
      </c>
      <c r="V770" s="6">
        <f>IF(ISERROR(VLOOKUP($S$770,'TAR FIN'!$A$1:$O$116,15,0)),0,VLOOKUP($S$770,'TAR FIN'!$A$1:$O$116,15,0))</f>
        <v>0</v>
      </c>
      <c r="W770" s="6">
        <f>IF(ISERROR(VLOOKUP($T$770,'TAR FIN'!$A$1:$O$116,15,0)),0,VLOOKUP($T$770,'TAR FIN'!$A$1:$O$116,15,0))</f>
        <v>441.63</v>
      </c>
      <c r="X770" s="6">
        <f>IF(ISERROR(VLOOKUP($U$770,'TAR FIN'!$A$1:$O$116,15,0)),0,VLOOKUP($U$770,'TAR FIN'!$A$1:$O$116,15,0))</f>
        <v>273.72000000000003</v>
      </c>
      <c r="Y770" s="6"/>
      <c r="Z770" s="6">
        <f ca="1">('TUSD BE'!$AM$54+'TUSD BF'!$AM$54+'TUSD CVA'!$AM$54)*(1-CUSTOS!$M$38)</f>
        <v>583.48771702027136</v>
      </c>
      <c r="AA770" s="6">
        <f>('TE BE'!$AB$25+'TE BF'!$AB$25+'TE CVA'!$AB$25)*(1-CUSTOS!$M$38)</f>
        <v>294.4353281211304</v>
      </c>
      <c r="AB770" s="6">
        <f t="shared" ref="AB770:AB833" si="46">(J770-K770)*V770</f>
        <v>0</v>
      </c>
      <c r="AC770" s="6">
        <f>(L770*W770+M770*X770)/(1-CUSTOS!$M$38)*CUSTOS!$M$38</f>
        <v>0.63924893617021283</v>
      </c>
      <c r="AD770" s="6">
        <f t="shared" ref="AD770:AD833" si="47">(J770-K770)*Y770</f>
        <v>0</v>
      </c>
      <c r="AE770" s="6">
        <f ca="1">(L770*Z770+N770*AA770)/(1-CUSTOS!$M$38)*CUSTOS!$M$38</f>
        <v>0.78452697650933778</v>
      </c>
      <c r="AF770" s="4" t="s">
        <v>1114</v>
      </c>
    </row>
    <row r="771" spans="1:32" ht="11.25" customHeight="1" x14ac:dyDescent="0.25">
      <c r="A771" s="4" t="s">
        <v>21</v>
      </c>
      <c r="B771" s="4" t="s">
        <v>44</v>
      </c>
      <c r="C771" s="4" t="s">
        <v>33</v>
      </c>
      <c r="D771" s="4" t="s">
        <v>45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44621</v>
      </c>
      <c r="J771" s="6">
        <v>0</v>
      </c>
      <c r="K771" s="6">
        <v>0</v>
      </c>
      <c r="L771" s="6">
        <v>2.3E-2</v>
      </c>
      <c r="M771" s="6">
        <v>2.3E-2</v>
      </c>
      <c r="N771" s="6">
        <v>2.3E-2</v>
      </c>
      <c r="O771" s="6">
        <v>2.3E-2</v>
      </c>
      <c r="P771" s="6">
        <v>0</v>
      </c>
      <c r="Q771" s="4" t="s">
        <v>26</v>
      </c>
      <c r="R771" s="4">
        <v>0</v>
      </c>
      <c r="S771" s="4">
        <v>0</v>
      </c>
      <c r="T771" s="4">
        <v>52</v>
      </c>
      <c r="U771" s="4">
        <v>95</v>
      </c>
      <c r="V771" s="6">
        <f>IF(ISERROR(VLOOKUP($S$771,'TAR FIN'!$A$1:$O$116,15,0)),0,VLOOKUP($S$771,'TAR FIN'!$A$1:$O$116,15,0))</f>
        <v>0</v>
      </c>
      <c r="W771" s="6">
        <f>IF(ISERROR(VLOOKUP($T$771,'TAR FIN'!$A$1:$O$116,15,0)),0,VLOOKUP($T$771,'TAR FIN'!$A$1:$O$116,15,0))</f>
        <v>441.63</v>
      </c>
      <c r="X771" s="6">
        <f>IF(ISERROR(VLOOKUP($U$771,'TAR FIN'!$A$1:$O$116,15,0)),0,VLOOKUP($U$771,'TAR FIN'!$A$1:$O$116,15,0))</f>
        <v>273.72000000000003</v>
      </c>
      <c r="Y771" s="6"/>
      <c r="Z771" s="6">
        <f ca="1">('TUSD BE'!$AM$54+'TUSD BF'!$AM$54+'TUSD CVA'!$AM$54)*(1-CUSTOS!$M$38)</f>
        <v>583.48771702027136</v>
      </c>
      <c r="AA771" s="6">
        <f>('TE BE'!$AB$25+'TE BF'!$AB$25+'TE CVA'!$AB$25)*(1-CUSTOS!$M$38)</f>
        <v>294.4353281211304</v>
      </c>
      <c r="AB771" s="6">
        <f t="shared" si="46"/>
        <v>0</v>
      </c>
      <c r="AC771" s="6">
        <f>(L771*W771+M771*X771)/(1-CUSTOS!$M$38)*CUSTOS!$M$38</f>
        <v>1.0501946808510638</v>
      </c>
      <c r="AD771" s="6">
        <f t="shared" si="47"/>
        <v>0</v>
      </c>
      <c r="AE771" s="6">
        <f ca="1">(L771*Z771+N771*AA771)/(1-CUSTOS!$M$38)*CUSTOS!$M$38</f>
        <v>1.2888657471224836</v>
      </c>
      <c r="AF771" s="4" t="s">
        <v>1114</v>
      </c>
    </row>
    <row r="772" spans="1:32" ht="11.25" customHeight="1" x14ac:dyDescent="0.25">
      <c r="A772" s="4" t="s">
        <v>21</v>
      </c>
      <c r="B772" s="4" t="s">
        <v>44</v>
      </c>
      <c r="C772" s="4" t="s">
        <v>33</v>
      </c>
      <c r="D772" s="4" t="s">
        <v>45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44652</v>
      </c>
      <c r="J772" s="6">
        <v>0</v>
      </c>
      <c r="K772" s="6">
        <v>0</v>
      </c>
      <c r="L772" s="6">
        <v>2.5000000000000001E-2</v>
      </c>
      <c r="M772" s="6">
        <v>2.5000000000000001E-2</v>
      </c>
      <c r="N772" s="6">
        <v>2.5000000000000001E-2</v>
      </c>
      <c r="O772" s="6">
        <v>2.5000000000000001E-2</v>
      </c>
      <c r="P772" s="6">
        <v>0</v>
      </c>
      <c r="Q772" s="4" t="s">
        <v>26</v>
      </c>
      <c r="R772" s="4">
        <v>0</v>
      </c>
      <c r="S772" s="4">
        <v>0</v>
      </c>
      <c r="T772" s="4">
        <v>52</v>
      </c>
      <c r="U772" s="4">
        <v>95</v>
      </c>
      <c r="V772" s="6">
        <f>IF(ISERROR(VLOOKUP($S$772,'TAR FIN'!$A$1:$O$116,15,0)),0,VLOOKUP($S$772,'TAR FIN'!$A$1:$O$116,15,0))</f>
        <v>0</v>
      </c>
      <c r="W772" s="6">
        <f>IF(ISERROR(VLOOKUP($T$772,'TAR FIN'!$A$1:$O$116,15,0)),0,VLOOKUP($T$772,'TAR FIN'!$A$1:$O$116,15,0))</f>
        <v>441.63</v>
      </c>
      <c r="X772" s="6">
        <f>IF(ISERROR(VLOOKUP($U$772,'TAR FIN'!$A$1:$O$116,15,0)),0,VLOOKUP($U$772,'TAR FIN'!$A$1:$O$116,15,0))</f>
        <v>273.72000000000003</v>
      </c>
      <c r="Y772" s="6"/>
      <c r="Z772" s="6">
        <f ca="1">('TUSD BE'!$AM$54+'TUSD BF'!$AM$54+'TUSD CVA'!$AM$54)*(1-CUSTOS!$M$38)</f>
        <v>583.48771702027136</v>
      </c>
      <c r="AA772" s="6">
        <f>('TE BE'!$AB$25+'TE BF'!$AB$25+'TE CVA'!$AB$25)*(1-CUSTOS!$M$38)</f>
        <v>294.4353281211304</v>
      </c>
      <c r="AB772" s="6">
        <f t="shared" si="46"/>
        <v>0</v>
      </c>
      <c r="AC772" s="6">
        <f>(L772*W772+M772*X772)/(1-CUSTOS!$M$38)*CUSTOS!$M$38</f>
        <v>1.1415159574468088</v>
      </c>
      <c r="AD772" s="6">
        <f t="shared" si="47"/>
        <v>0</v>
      </c>
      <c r="AE772" s="6">
        <f ca="1">(L772*Z772+N772*AA772)/(1-CUSTOS!$M$38)*CUSTOS!$M$38</f>
        <v>1.4009410294809601</v>
      </c>
      <c r="AF772" s="4" t="s">
        <v>1114</v>
      </c>
    </row>
    <row r="773" spans="1:32" ht="11.25" customHeight="1" x14ac:dyDescent="0.25">
      <c r="A773" s="4" t="s">
        <v>58</v>
      </c>
      <c r="B773" s="4" t="s">
        <v>44</v>
      </c>
      <c r="C773" s="4" t="s">
        <v>33</v>
      </c>
      <c r="D773" s="4" t="s">
        <v>45</v>
      </c>
      <c r="E773" s="4" t="s">
        <v>25</v>
      </c>
      <c r="F773" s="4" t="s">
        <v>25</v>
      </c>
      <c r="G773" s="4" t="s">
        <v>25</v>
      </c>
      <c r="H773" s="4" t="s">
        <v>36</v>
      </c>
      <c r="I773" s="5">
        <v>44682</v>
      </c>
      <c r="J773" s="6">
        <v>0</v>
      </c>
      <c r="K773" s="6">
        <v>0</v>
      </c>
      <c r="L773" s="6">
        <v>2.5000000000000001E-2</v>
      </c>
      <c r="M773" s="6">
        <v>2.5000000000000001E-2</v>
      </c>
      <c r="N773" s="6">
        <v>2.5000000000000001E-2</v>
      </c>
      <c r="O773" s="6">
        <v>2.5000000000000001E-2</v>
      </c>
      <c r="P773" s="6">
        <v>0</v>
      </c>
      <c r="Q773" s="4" t="s">
        <v>26</v>
      </c>
      <c r="R773" s="4">
        <v>0</v>
      </c>
      <c r="S773" s="4">
        <v>0</v>
      </c>
      <c r="T773" s="4">
        <v>52</v>
      </c>
      <c r="U773" s="4">
        <v>95</v>
      </c>
      <c r="V773" s="6">
        <f>IF(ISERROR(VLOOKUP($S$773,'TAR FIN'!$A$1:$O$116,15,0)),0,VLOOKUP($S$773,'TAR FIN'!$A$1:$O$116,15,0))</f>
        <v>0</v>
      </c>
      <c r="W773" s="6">
        <f>IF(ISERROR(VLOOKUP($T$773,'TAR FIN'!$A$1:$O$116,15,0)),0,VLOOKUP($T$773,'TAR FIN'!$A$1:$O$116,15,0))</f>
        <v>441.63</v>
      </c>
      <c r="X773" s="6">
        <f>IF(ISERROR(VLOOKUP($U$773,'TAR FIN'!$A$1:$O$116,15,0)),0,VLOOKUP($U$773,'TAR FIN'!$A$1:$O$116,15,0))</f>
        <v>273.72000000000003</v>
      </c>
      <c r="Y773" s="6"/>
      <c r="Z773" s="6">
        <f ca="1">('TUSD BE'!$AM$54+'TUSD BF'!$AM$54+'TUSD CVA'!$AM$54)*(1-CUSTOS!$M$38)</f>
        <v>583.48771702027136</v>
      </c>
      <c r="AA773" s="6">
        <f>('TE BE'!$AB$25+'TE BF'!$AB$25+'TE CVA'!$AB$25)*(1-CUSTOS!$M$38)</f>
        <v>294.4353281211304</v>
      </c>
      <c r="AB773" s="6">
        <f t="shared" si="46"/>
        <v>0</v>
      </c>
      <c r="AC773" s="6">
        <f>(L773*W773+M773*X773)/(1-CUSTOS!$M$38)*CUSTOS!$M$38</f>
        <v>1.1415159574468088</v>
      </c>
      <c r="AD773" s="6">
        <f t="shared" si="47"/>
        <v>0</v>
      </c>
      <c r="AE773" s="6">
        <f ca="1">(L773*Z773+N773*AA773)/(1-CUSTOS!$M$38)*CUSTOS!$M$38</f>
        <v>1.4009410294809601</v>
      </c>
      <c r="AF773" s="4" t="s">
        <v>1114</v>
      </c>
    </row>
    <row r="774" spans="1:32" ht="11.25" customHeight="1" x14ac:dyDescent="0.25">
      <c r="A774" s="4" t="s">
        <v>21</v>
      </c>
      <c r="B774" s="4" t="s">
        <v>44</v>
      </c>
      <c r="C774" s="4" t="s">
        <v>33</v>
      </c>
      <c r="D774" s="4" t="s">
        <v>45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44378</v>
      </c>
      <c r="J774" s="6">
        <v>0</v>
      </c>
      <c r="K774" s="6">
        <v>0</v>
      </c>
      <c r="L774" s="6">
        <v>0.06</v>
      </c>
      <c r="M774" s="6">
        <v>0.06</v>
      </c>
      <c r="N774" s="6">
        <v>0.06</v>
      </c>
      <c r="O774" s="6">
        <v>0.06</v>
      </c>
      <c r="P774" s="6">
        <v>0</v>
      </c>
      <c r="Q774" s="4" t="s">
        <v>26</v>
      </c>
      <c r="R774" s="4">
        <v>0</v>
      </c>
      <c r="S774" s="4">
        <v>0</v>
      </c>
      <c r="T774" s="4">
        <v>51</v>
      </c>
      <c r="U774" s="4">
        <v>94</v>
      </c>
      <c r="V774" s="6">
        <f>IF(ISERROR(VLOOKUP($S$774,'TAR FIN'!$A$1:$O$116,15,0)),0,VLOOKUP($S$774,'TAR FIN'!$A$1:$O$116,15,0))</f>
        <v>0</v>
      </c>
      <c r="W774" s="6">
        <f>IF(ISERROR(VLOOKUP($T$774,'TAR FIN'!$A$1:$O$116,15,0)),0,VLOOKUP($T$774,'TAR FIN'!$A$1:$O$116,15,0))</f>
        <v>666.8</v>
      </c>
      <c r="X774" s="6">
        <f>IF(ISERROR(VLOOKUP($U$774,'TAR FIN'!$A$1:$O$116,15,0)),0,VLOOKUP($U$774,'TAR FIN'!$A$1:$O$116,15,0))</f>
        <v>436.61</v>
      </c>
      <c r="Y774" s="6"/>
      <c r="Z774" s="6">
        <f ca="1">('TUSD BE'!$AM$53+'TUSD BF'!$AM$53+'TUSD CVA'!$AM$53)*(1-CUSTOS!$M$38)</f>
        <v>861.11782756949015</v>
      </c>
      <c r="AA774" s="6">
        <f>('TE BE'!$AB$24+'TE BF'!$AB$24+'TE CVA'!$AB$24)*(1-CUSTOS!$M$38)</f>
        <v>479.44693731342215</v>
      </c>
      <c r="AB774" s="6">
        <f t="shared" si="46"/>
        <v>0</v>
      </c>
      <c r="AC774" s="6">
        <f>(L774*W774+M774*X774)/(1-CUSTOS!$M$38)*CUSTOS!$M$38</f>
        <v>4.225825531914893</v>
      </c>
      <c r="AD774" s="6">
        <f t="shared" si="47"/>
        <v>0</v>
      </c>
      <c r="AE774" s="6">
        <f ca="1">(L774*Z774+N774*AA774)/(1-CUSTOS!$M$38)*CUSTOS!$M$38</f>
        <v>5.1340778229558355</v>
      </c>
      <c r="AF774" s="4" t="s">
        <v>1114</v>
      </c>
    </row>
    <row r="775" spans="1:32" ht="11.25" customHeight="1" x14ac:dyDescent="0.25">
      <c r="A775" s="4" t="s">
        <v>21</v>
      </c>
      <c r="B775" s="4" t="s">
        <v>44</v>
      </c>
      <c r="C775" s="4" t="s">
        <v>33</v>
      </c>
      <c r="D775" s="4" t="s">
        <v>45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44409</v>
      </c>
      <c r="J775" s="6">
        <v>0</v>
      </c>
      <c r="K775" s="6">
        <v>0</v>
      </c>
      <c r="L775" s="6">
        <v>1.4999999999999999E-2</v>
      </c>
      <c r="M775" s="6">
        <v>1.4999999999999999E-2</v>
      </c>
      <c r="N775" s="6">
        <v>1.4999999999999999E-2</v>
      </c>
      <c r="O775" s="6">
        <v>1.4999999999999999E-2</v>
      </c>
      <c r="P775" s="6">
        <v>0</v>
      </c>
      <c r="Q775" s="4" t="s">
        <v>26</v>
      </c>
      <c r="R775" s="4">
        <v>0</v>
      </c>
      <c r="S775" s="4">
        <v>0</v>
      </c>
      <c r="T775" s="4">
        <v>51</v>
      </c>
      <c r="U775" s="4">
        <v>94</v>
      </c>
      <c r="V775" s="6">
        <f>IF(ISERROR(VLOOKUP($S$775,'TAR FIN'!$A$1:$O$116,15,0)),0,VLOOKUP($S$775,'TAR FIN'!$A$1:$O$116,15,0))</f>
        <v>0</v>
      </c>
      <c r="W775" s="6">
        <f>IF(ISERROR(VLOOKUP($T$775,'TAR FIN'!$A$1:$O$116,15,0)),0,VLOOKUP($T$775,'TAR FIN'!$A$1:$O$116,15,0))</f>
        <v>666.8</v>
      </c>
      <c r="X775" s="6">
        <f>IF(ISERROR(VLOOKUP($U$775,'TAR FIN'!$A$1:$O$116,15,0)),0,VLOOKUP($U$775,'TAR FIN'!$A$1:$O$116,15,0))</f>
        <v>436.61</v>
      </c>
      <c r="Y775" s="6"/>
      <c r="Z775" s="6">
        <f ca="1">('TUSD BE'!$AM$53+'TUSD BF'!$AM$53+'TUSD CVA'!$AM$53)*(1-CUSTOS!$M$38)</f>
        <v>861.11782756949015</v>
      </c>
      <c r="AA775" s="6">
        <f>('TE BE'!$AB$24+'TE BF'!$AB$24+'TE CVA'!$AB$24)*(1-CUSTOS!$M$38)</f>
        <v>479.44693731342215</v>
      </c>
      <c r="AB775" s="6">
        <f t="shared" si="46"/>
        <v>0</v>
      </c>
      <c r="AC775" s="6">
        <f>(L775*W775+M775*X775)/(1-CUSTOS!$M$38)*CUSTOS!$M$38</f>
        <v>1.0564563829787232</v>
      </c>
      <c r="AD775" s="6">
        <f t="shared" si="47"/>
        <v>0</v>
      </c>
      <c r="AE775" s="6">
        <f ca="1">(L775*Z775+N775*AA775)/(1-CUSTOS!$M$38)*CUSTOS!$M$38</f>
        <v>1.2835194557389589</v>
      </c>
      <c r="AF775" s="4" t="s">
        <v>1114</v>
      </c>
    </row>
    <row r="776" spans="1:32" ht="11.25" customHeight="1" x14ac:dyDescent="0.25">
      <c r="A776" s="4" t="s">
        <v>21</v>
      </c>
      <c r="B776" s="4" t="s">
        <v>44</v>
      </c>
      <c r="C776" s="4" t="s">
        <v>33</v>
      </c>
      <c r="D776" s="4" t="s">
        <v>45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44440</v>
      </c>
      <c r="J776" s="6">
        <v>0</v>
      </c>
      <c r="K776" s="6">
        <v>0</v>
      </c>
      <c r="L776" s="6">
        <v>5.3999999999999999E-2</v>
      </c>
      <c r="M776" s="6">
        <v>5.3999999999999999E-2</v>
      </c>
      <c r="N776" s="6">
        <v>5.3999999999999999E-2</v>
      </c>
      <c r="O776" s="6">
        <v>5.3999999999999999E-2</v>
      </c>
      <c r="P776" s="6">
        <v>0</v>
      </c>
      <c r="Q776" s="4" t="s">
        <v>26</v>
      </c>
      <c r="R776" s="4">
        <v>0</v>
      </c>
      <c r="S776" s="4">
        <v>0</v>
      </c>
      <c r="T776" s="4">
        <v>51</v>
      </c>
      <c r="U776" s="4">
        <v>94</v>
      </c>
      <c r="V776" s="6">
        <f>IF(ISERROR(VLOOKUP($S$776,'TAR FIN'!$A$1:$O$116,15,0)),0,VLOOKUP($S$776,'TAR FIN'!$A$1:$O$116,15,0))</f>
        <v>0</v>
      </c>
      <c r="W776" s="6">
        <f>IF(ISERROR(VLOOKUP($T$776,'TAR FIN'!$A$1:$O$116,15,0)),0,VLOOKUP($T$776,'TAR FIN'!$A$1:$O$116,15,0))</f>
        <v>666.8</v>
      </c>
      <c r="X776" s="6">
        <f>IF(ISERROR(VLOOKUP($U$776,'TAR FIN'!$A$1:$O$116,15,0)),0,VLOOKUP($U$776,'TAR FIN'!$A$1:$O$116,15,0))</f>
        <v>436.61</v>
      </c>
      <c r="Y776" s="6"/>
      <c r="Z776" s="6">
        <f ca="1">('TUSD BE'!$AM$53+'TUSD BF'!$AM$53+'TUSD CVA'!$AM$53)*(1-CUSTOS!$M$38)</f>
        <v>861.11782756949015</v>
      </c>
      <c r="AA776" s="6">
        <f>('TE BE'!$AB$24+'TE BF'!$AB$24+'TE CVA'!$AB$24)*(1-CUSTOS!$M$38)</f>
        <v>479.44693731342215</v>
      </c>
      <c r="AB776" s="6">
        <f t="shared" si="46"/>
        <v>0</v>
      </c>
      <c r="AC776" s="6">
        <f>(L776*W776+M776*X776)/(1-CUSTOS!$M$38)*CUSTOS!$M$38</f>
        <v>3.8032429787234046</v>
      </c>
      <c r="AD776" s="6">
        <f t="shared" si="47"/>
        <v>0</v>
      </c>
      <c r="AE776" s="6">
        <f ca="1">(L776*Z776+N776*AA776)/(1-CUSTOS!$M$38)*CUSTOS!$M$38</f>
        <v>4.6206700406602508</v>
      </c>
      <c r="AF776" s="4" t="s">
        <v>1114</v>
      </c>
    </row>
    <row r="777" spans="1:32" ht="11.25" customHeight="1" x14ac:dyDescent="0.25">
      <c r="A777" s="4" t="s">
        <v>21</v>
      </c>
      <c r="B777" s="4" t="s">
        <v>44</v>
      </c>
      <c r="C777" s="4" t="s">
        <v>33</v>
      </c>
      <c r="D777" s="4" t="s">
        <v>45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44470</v>
      </c>
      <c r="J777" s="6">
        <v>0</v>
      </c>
      <c r="K777" s="6">
        <v>0</v>
      </c>
      <c r="L777" s="6">
        <v>5.8000000000000003E-2</v>
      </c>
      <c r="M777" s="6">
        <v>5.8000000000000003E-2</v>
      </c>
      <c r="N777" s="6">
        <v>5.8000000000000003E-2</v>
      </c>
      <c r="O777" s="6">
        <v>5.8000000000000003E-2</v>
      </c>
      <c r="P777" s="6">
        <v>0</v>
      </c>
      <c r="Q777" s="4" t="s">
        <v>26</v>
      </c>
      <c r="R777" s="4">
        <v>0</v>
      </c>
      <c r="S777" s="4">
        <v>0</v>
      </c>
      <c r="T777" s="4">
        <v>51</v>
      </c>
      <c r="U777" s="4">
        <v>94</v>
      </c>
      <c r="V777" s="6">
        <f>IF(ISERROR(VLOOKUP($S$777,'TAR FIN'!$A$1:$O$116,15,0)),0,VLOOKUP($S$777,'TAR FIN'!$A$1:$O$116,15,0))</f>
        <v>0</v>
      </c>
      <c r="W777" s="6">
        <f>IF(ISERROR(VLOOKUP($T$777,'TAR FIN'!$A$1:$O$116,15,0)),0,VLOOKUP($T$777,'TAR FIN'!$A$1:$O$116,15,0))</f>
        <v>666.8</v>
      </c>
      <c r="X777" s="6">
        <f>IF(ISERROR(VLOOKUP($U$777,'TAR FIN'!$A$1:$O$116,15,0)),0,VLOOKUP($U$777,'TAR FIN'!$A$1:$O$116,15,0))</f>
        <v>436.61</v>
      </c>
      <c r="Y777" s="6"/>
      <c r="Z777" s="6">
        <f ca="1">('TUSD BE'!$AM$53+'TUSD BF'!$AM$53+'TUSD CVA'!$AM$53)*(1-CUSTOS!$M$38)</f>
        <v>861.11782756949015</v>
      </c>
      <c r="AA777" s="6">
        <f>('TE BE'!$AB$24+'TE BF'!$AB$24+'TE CVA'!$AB$24)*(1-CUSTOS!$M$38)</f>
        <v>479.44693731342215</v>
      </c>
      <c r="AB777" s="6">
        <f t="shared" si="46"/>
        <v>0</v>
      </c>
      <c r="AC777" s="6">
        <f>(L777*W777+M777*X777)/(1-CUSTOS!$M$38)*CUSTOS!$M$38</f>
        <v>4.0849646808510647</v>
      </c>
      <c r="AD777" s="6">
        <f t="shared" si="47"/>
        <v>0</v>
      </c>
      <c r="AE777" s="6">
        <f ca="1">(L777*Z777+N777*AA777)/(1-CUSTOS!$M$38)*CUSTOS!$M$38</f>
        <v>4.9629418955239739</v>
      </c>
      <c r="AF777" s="4" t="s">
        <v>1114</v>
      </c>
    </row>
    <row r="778" spans="1:32" ht="11.25" customHeight="1" x14ac:dyDescent="0.25">
      <c r="A778" s="4" t="s">
        <v>21</v>
      </c>
      <c r="B778" s="4" t="s">
        <v>44</v>
      </c>
      <c r="C778" s="4" t="s">
        <v>33</v>
      </c>
      <c r="D778" s="4" t="s">
        <v>45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44501</v>
      </c>
      <c r="J778" s="6">
        <v>0</v>
      </c>
      <c r="K778" s="6">
        <v>0</v>
      </c>
      <c r="L778" s="6">
        <v>0.64300000000000002</v>
      </c>
      <c r="M778" s="6">
        <v>0.64300000000000002</v>
      </c>
      <c r="N778" s="6">
        <v>0.64300000000000002</v>
      </c>
      <c r="O778" s="6">
        <v>0.64300000000000002</v>
      </c>
      <c r="P778" s="6">
        <v>0</v>
      </c>
      <c r="Q778" s="4" t="s">
        <v>26</v>
      </c>
      <c r="R778" s="4">
        <v>0</v>
      </c>
      <c r="S778" s="4">
        <v>0</v>
      </c>
      <c r="T778" s="4">
        <v>51</v>
      </c>
      <c r="U778" s="4">
        <v>94</v>
      </c>
      <c r="V778" s="6">
        <f>IF(ISERROR(VLOOKUP($S$778,'TAR FIN'!$A$1:$O$116,15,0)),0,VLOOKUP($S$778,'TAR FIN'!$A$1:$O$116,15,0))</f>
        <v>0</v>
      </c>
      <c r="W778" s="6">
        <f>IF(ISERROR(VLOOKUP($T$778,'TAR FIN'!$A$1:$O$116,15,0)),0,VLOOKUP($T$778,'TAR FIN'!$A$1:$O$116,15,0))</f>
        <v>666.8</v>
      </c>
      <c r="X778" s="6">
        <f>IF(ISERROR(VLOOKUP($U$778,'TAR FIN'!$A$1:$O$116,15,0)),0,VLOOKUP($U$778,'TAR FIN'!$A$1:$O$116,15,0))</f>
        <v>436.61</v>
      </c>
      <c r="Y778" s="6"/>
      <c r="Z778" s="6">
        <f ca="1">('TUSD BE'!$AM$53+'TUSD BF'!$AM$53+'TUSD CVA'!$AM$53)*(1-CUSTOS!$M$38)</f>
        <v>861.11782756949015</v>
      </c>
      <c r="AA778" s="6">
        <f>('TE BE'!$AB$24+'TE BF'!$AB$24+'TE CVA'!$AB$24)*(1-CUSTOS!$M$38)</f>
        <v>479.44693731342215</v>
      </c>
      <c r="AB778" s="6">
        <f t="shared" si="46"/>
        <v>0</v>
      </c>
      <c r="AC778" s="6">
        <f>(L778*W778+M778*X778)/(1-CUSTOS!$M$38)*CUSTOS!$M$38</f>
        <v>45.286763617021272</v>
      </c>
      <c r="AD778" s="6">
        <f t="shared" si="47"/>
        <v>0</v>
      </c>
      <c r="AE778" s="6">
        <f ca="1">(L778*Z778+N778*AA778)/(1-CUSTOS!$M$38)*CUSTOS!$M$38</f>
        <v>55.020200669343353</v>
      </c>
      <c r="AF778" s="4" t="s">
        <v>1114</v>
      </c>
    </row>
    <row r="779" spans="1:32" ht="11.25" customHeight="1" x14ac:dyDescent="0.25">
      <c r="A779" s="4" t="s">
        <v>21</v>
      </c>
      <c r="B779" s="4" t="s">
        <v>44</v>
      </c>
      <c r="C779" s="4" t="s">
        <v>33</v>
      </c>
      <c r="D779" s="4" t="s">
        <v>45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44531</v>
      </c>
      <c r="J779" s="6">
        <v>0</v>
      </c>
      <c r="K779" s="6">
        <v>0</v>
      </c>
      <c r="L779" s="6">
        <v>7.4999999999999997E-2</v>
      </c>
      <c r="M779" s="6">
        <v>7.4999999999999997E-2</v>
      </c>
      <c r="N779" s="6">
        <v>7.4999999999999997E-2</v>
      </c>
      <c r="O779" s="6">
        <v>7.4999999999999997E-2</v>
      </c>
      <c r="P779" s="6">
        <v>0</v>
      </c>
      <c r="Q779" s="4" t="s">
        <v>26</v>
      </c>
      <c r="R779" s="4">
        <v>0</v>
      </c>
      <c r="S779" s="4">
        <v>0</v>
      </c>
      <c r="T779" s="4">
        <v>51</v>
      </c>
      <c r="U779" s="4">
        <v>94</v>
      </c>
      <c r="V779" s="6">
        <f>IF(ISERROR(VLOOKUP($S$779,'TAR FIN'!$A$1:$O$116,15,0)),0,VLOOKUP($S$779,'TAR FIN'!$A$1:$O$116,15,0))</f>
        <v>0</v>
      </c>
      <c r="W779" s="6">
        <f>IF(ISERROR(VLOOKUP($T$779,'TAR FIN'!$A$1:$O$116,15,0)),0,VLOOKUP($T$779,'TAR FIN'!$A$1:$O$116,15,0))</f>
        <v>666.8</v>
      </c>
      <c r="X779" s="6">
        <f>IF(ISERROR(VLOOKUP($U$779,'TAR FIN'!$A$1:$O$116,15,0)),0,VLOOKUP($U$779,'TAR FIN'!$A$1:$O$116,15,0))</f>
        <v>436.61</v>
      </c>
      <c r="Y779" s="6"/>
      <c r="Z779" s="6">
        <f ca="1">('TUSD BE'!$AM$53+'TUSD BF'!$AM$53+'TUSD CVA'!$AM$53)*(1-CUSTOS!$M$38)</f>
        <v>861.11782756949015</v>
      </c>
      <c r="AA779" s="6">
        <f>('TE BE'!$AB$24+'TE BF'!$AB$24+'TE CVA'!$AB$24)*(1-CUSTOS!$M$38)</f>
        <v>479.44693731342215</v>
      </c>
      <c r="AB779" s="6">
        <f t="shared" si="46"/>
        <v>0</v>
      </c>
      <c r="AC779" s="6">
        <f>(L779*W779+M779*X779)/(1-CUSTOS!$M$38)*CUSTOS!$M$38</f>
        <v>5.2822819148936171</v>
      </c>
      <c r="AD779" s="6">
        <f t="shared" si="47"/>
        <v>0</v>
      </c>
      <c r="AE779" s="6">
        <f ca="1">(L779*Z779+N779*AA779)/(1-CUSTOS!$M$38)*CUSTOS!$M$38</f>
        <v>6.4175972786947932</v>
      </c>
      <c r="AF779" s="4" t="s">
        <v>1114</v>
      </c>
    </row>
    <row r="780" spans="1:32" ht="11.25" customHeight="1" x14ac:dyDescent="0.25">
      <c r="A780" s="4" t="s">
        <v>21</v>
      </c>
      <c r="B780" s="4" t="s">
        <v>44</v>
      </c>
      <c r="C780" s="4" t="s">
        <v>33</v>
      </c>
      <c r="D780" s="4" t="s">
        <v>45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44562</v>
      </c>
      <c r="J780" s="6">
        <v>0</v>
      </c>
      <c r="K780" s="6">
        <v>0</v>
      </c>
      <c r="L780" s="6">
        <v>4.8000000000000001E-2</v>
      </c>
      <c r="M780" s="6">
        <v>4.8000000000000001E-2</v>
      </c>
      <c r="N780" s="6">
        <v>4.8000000000000001E-2</v>
      </c>
      <c r="O780" s="6">
        <v>4.8000000000000001E-2</v>
      </c>
      <c r="P780" s="6">
        <v>0</v>
      </c>
      <c r="Q780" s="4" t="s">
        <v>26</v>
      </c>
      <c r="R780" s="4">
        <v>0</v>
      </c>
      <c r="S780" s="4">
        <v>0</v>
      </c>
      <c r="T780" s="4">
        <v>51</v>
      </c>
      <c r="U780" s="4">
        <v>94</v>
      </c>
      <c r="V780" s="6">
        <f>IF(ISERROR(VLOOKUP($S$780,'TAR FIN'!$A$1:$O$116,15,0)),0,VLOOKUP($S$780,'TAR FIN'!$A$1:$O$116,15,0))</f>
        <v>0</v>
      </c>
      <c r="W780" s="6">
        <f>IF(ISERROR(VLOOKUP($T$780,'TAR FIN'!$A$1:$O$116,15,0)),0,VLOOKUP($T$780,'TAR FIN'!$A$1:$O$116,15,0))</f>
        <v>666.8</v>
      </c>
      <c r="X780" s="6">
        <f>IF(ISERROR(VLOOKUP($U$780,'TAR FIN'!$A$1:$O$116,15,0)),0,VLOOKUP($U$780,'TAR FIN'!$A$1:$O$116,15,0))</f>
        <v>436.61</v>
      </c>
      <c r="Y780" s="6"/>
      <c r="Z780" s="6">
        <f ca="1">('TUSD BE'!$AM$53+'TUSD BF'!$AM$53+'TUSD CVA'!$AM$53)*(1-CUSTOS!$M$38)</f>
        <v>861.11782756949015</v>
      </c>
      <c r="AA780" s="6">
        <f>('TE BE'!$AB$24+'TE BF'!$AB$24+'TE CVA'!$AB$24)*(1-CUSTOS!$M$38)</f>
        <v>479.44693731342215</v>
      </c>
      <c r="AB780" s="6">
        <f t="shared" si="46"/>
        <v>0</v>
      </c>
      <c r="AC780" s="6">
        <f>(L780*W780+M780*X780)/(1-CUSTOS!$M$38)*CUSTOS!$M$38</f>
        <v>3.3806604255319144</v>
      </c>
      <c r="AD780" s="6">
        <f t="shared" si="47"/>
        <v>0</v>
      </c>
      <c r="AE780" s="6">
        <f ca="1">(L780*Z780+N780*AA780)/(1-CUSTOS!$M$38)*CUSTOS!$M$38</f>
        <v>4.107262258364667</v>
      </c>
      <c r="AF780" s="4" t="s">
        <v>1114</v>
      </c>
    </row>
    <row r="781" spans="1:32" ht="11.25" customHeight="1" x14ac:dyDescent="0.25">
      <c r="A781" s="4" t="s">
        <v>27</v>
      </c>
      <c r="B781" s="4" t="s">
        <v>44</v>
      </c>
      <c r="C781" s="4" t="s">
        <v>33</v>
      </c>
      <c r="D781" s="4" t="s">
        <v>45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44562</v>
      </c>
      <c r="J781" s="6">
        <v>0</v>
      </c>
      <c r="K781" s="6">
        <v>0</v>
      </c>
      <c r="L781" s="6">
        <v>-0.61699999999999999</v>
      </c>
      <c r="M781" s="6">
        <v>-0.61699999999999999</v>
      </c>
      <c r="N781" s="6">
        <v>-0.61699999999999999</v>
      </c>
      <c r="O781" s="6">
        <v>-0.61699999999999999</v>
      </c>
      <c r="P781" s="6">
        <v>0</v>
      </c>
      <c r="Q781" s="4" t="s">
        <v>26</v>
      </c>
      <c r="R781" s="4">
        <v>0</v>
      </c>
      <c r="S781" s="4">
        <v>0</v>
      </c>
      <c r="T781" s="4">
        <v>51</v>
      </c>
      <c r="U781" s="4">
        <v>94</v>
      </c>
      <c r="V781" s="6">
        <f>IF(ISERROR(VLOOKUP($S$781,'TAR FIN'!$A$1:$O$116,15,0)),0,VLOOKUP($S$781,'TAR FIN'!$A$1:$O$116,15,0))</f>
        <v>0</v>
      </c>
      <c r="W781" s="6">
        <f>IF(ISERROR(VLOOKUP($T$781,'TAR FIN'!$A$1:$O$116,15,0)),0,VLOOKUP($T$781,'TAR FIN'!$A$1:$O$116,15,0))</f>
        <v>666.8</v>
      </c>
      <c r="X781" s="6">
        <f>IF(ISERROR(VLOOKUP($U$781,'TAR FIN'!$A$1:$O$116,15,0)),0,VLOOKUP($U$781,'TAR FIN'!$A$1:$O$116,15,0))</f>
        <v>436.61</v>
      </c>
      <c r="Y781" s="6"/>
      <c r="Z781" s="6">
        <f ca="1">('TUSD BE'!$AM$53+'TUSD BF'!$AM$53+'TUSD CVA'!$AM$53)*(1-CUSTOS!$M$38)</f>
        <v>861.11782756949015</v>
      </c>
      <c r="AA781" s="6">
        <f>('TE BE'!$AB$24+'TE BF'!$AB$24+'TE CVA'!$AB$24)*(1-CUSTOS!$M$38)</f>
        <v>479.44693731342215</v>
      </c>
      <c r="AB781" s="6">
        <f t="shared" si="46"/>
        <v>0</v>
      </c>
      <c r="AC781" s="6">
        <f>(L781*W781+M781*X781)/(1-CUSTOS!$M$38)*CUSTOS!$M$38</f>
        <v>-43.45557255319148</v>
      </c>
      <c r="AD781" s="6">
        <f t="shared" si="47"/>
        <v>0</v>
      </c>
      <c r="AE781" s="6">
        <f ca="1">(L781*Z781+N781*AA781)/(1-CUSTOS!$M$38)*CUSTOS!$M$38</f>
        <v>-52.795433612729163</v>
      </c>
      <c r="AF781" s="4" t="s">
        <v>1114</v>
      </c>
    </row>
    <row r="782" spans="1:32" ht="11.25" customHeight="1" x14ac:dyDescent="0.25">
      <c r="A782" s="4" t="s">
        <v>21</v>
      </c>
      <c r="B782" s="4" t="s">
        <v>44</v>
      </c>
      <c r="C782" s="4" t="s">
        <v>33</v>
      </c>
      <c r="D782" s="4" t="s">
        <v>45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44593</v>
      </c>
      <c r="J782" s="6">
        <v>0</v>
      </c>
      <c r="K782" s="6">
        <v>0</v>
      </c>
      <c r="L782" s="6">
        <v>3.1E-2</v>
      </c>
      <c r="M782" s="6">
        <v>3.1E-2</v>
      </c>
      <c r="N782" s="6">
        <v>3.1E-2</v>
      </c>
      <c r="O782" s="6">
        <v>3.1E-2</v>
      </c>
      <c r="P782" s="6">
        <v>0</v>
      </c>
      <c r="Q782" s="4" t="s">
        <v>26</v>
      </c>
      <c r="R782" s="4">
        <v>0</v>
      </c>
      <c r="S782" s="4">
        <v>0</v>
      </c>
      <c r="T782" s="4">
        <v>51</v>
      </c>
      <c r="U782" s="4">
        <v>94</v>
      </c>
      <c r="V782" s="6">
        <f>IF(ISERROR(VLOOKUP($S$782,'TAR FIN'!$A$1:$O$116,15,0)),0,VLOOKUP($S$782,'TAR FIN'!$A$1:$O$116,15,0))</f>
        <v>0</v>
      </c>
      <c r="W782" s="6">
        <f>IF(ISERROR(VLOOKUP($T$782,'TAR FIN'!$A$1:$O$116,15,0)),0,VLOOKUP($T$782,'TAR FIN'!$A$1:$O$116,15,0))</f>
        <v>666.8</v>
      </c>
      <c r="X782" s="6">
        <f>IF(ISERROR(VLOOKUP($U$782,'TAR FIN'!$A$1:$O$116,15,0)),0,VLOOKUP($U$782,'TAR FIN'!$A$1:$O$116,15,0))</f>
        <v>436.61</v>
      </c>
      <c r="Y782" s="6"/>
      <c r="Z782" s="6">
        <f ca="1">('TUSD BE'!$AM$53+'TUSD BF'!$AM$53+'TUSD CVA'!$AM$53)*(1-CUSTOS!$M$38)</f>
        <v>861.11782756949015</v>
      </c>
      <c r="AA782" s="6">
        <f>('TE BE'!$AB$24+'TE BF'!$AB$24+'TE CVA'!$AB$24)*(1-CUSTOS!$M$38)</f>
        <v>479.44693731342215</v>
      </c>
      <c r="AB782" s="6">
        <f t="shared" si="46"/>
        <v>0</v>
      </c>
      <c r="AC782" s="6">
        <f>(L782*W782+M782*X782)/(1-CUSTOS!$M$38)*CUSTOS!$M$38</f>
        <v>2.1833431914893615</v>
      </c>
      <c r="AD782" s="6">
        <f t="shared" si="47"/>
        <v>0</v>
      </c>
      <c r="AE782" s="6">
        <f ca="1">(L782*Z782+N782*AA782)/(1-CUSTOS!$M$38)*CUSTOS!$M$38</f>
        <v>2.6526068751938481</v>
      </c>
      <c r="AF782" s="4" t="s">
        <v>1114</v>
      </c>
    </row>
    <row r="783" spans="1:32" ht="11.25" customHeight="1" x14ac:dyDescent="0.25">
      <c r="A783" s="4" t="s">
        <v>21</v>
      </c>
      <c r="B783" s="4" t="s">
        <v>44</v>
      </c>
      <c r="C783" s="4" t="s">
        <v>33</v>
      </c>
      <c r="D783" s="4" t="s">
        <v>45</v>
      </c>
      <c r="E783" s="4" t="s">
        <v>25</v>
      </c>
      <c r="F783" s="4" t="s">
        <v>25</v>
      </c>
      <c r="G783" s="4" t="s">
        <v>25</v>
      </c>
      <c r="H783" s="4" t="s">
        <v>34</v>
      </c>
      <c r="I783" s="5">
        <v>44621</v>
      </c>
      <c r="J783" s="6">
        <v>0</v>
      </c>
      <c r="K783" s="6">
        <v>0</v>
      </c>
      <c r="L783" s="6">
        <v>4.1000000000000002E-2</v>
      </c>
      <c r="M783" s="6">
        <v>4.1000000000000002E-2</v>
      </c>
      <c r="N783" s="6">
        <v>4.1000000000000002E-2</v>
      </c>
      <c r="O783" s="6">
        <v>4.1000000000000002E-2</v>
      </c>
      <c r="P783" s="6">
        <v>0</v>
      </c>
      <c r="Q783" s="4" t="s">
        <v>26</v>
      </c>
      <c r="R783" s="4">
        <v>0</v>
      </c>
      <c r="S783" s="4">
        <v>0</v>
      </c>
      <c r="T783" s="4">
        <v>51</v>
      </c>
      <c r="U783" s="4">
        <v>94</v>
      </c>
      <c r="V783" s="6">
        <f>IF(ISERROR(VLOOKUP($S$783,'TAR FIN'!$A$1:$O$116,15,0)),0,VLOOKUP($S$783,'TAR FIN'!$A$1:$O$116,15,0))</f>
        <v>0</v>
      </c>
      <c r="W783" s="6">
        <f>IF(ISERROR(VLOOKUP($T$783,'TAR FIN'!$A$1:$O$116,15,0)),0,VLOOKUP($T$783,'TAR FIN'!$A$1:$O$116,15,0))</f>
        <v>666.8</v>
      </c>
      <c r="X783" s="6">
        <f>IF(ISERROR(VLOOKUP($U$783,'TAR FIN'!$A$1:$O$116,15,0)),0,VLOOKUP($U$783,'TAR FIN'!$A$1:$O$116,15,0))</f>
        <v>436.61</v>
      </c>
      <c r="Y783" s="6"/>
      <c r="Z783" s="6">
        <f ca="1">('TUSD BE'!$AM$53+'TUSD BF'!$AM$53+'TUSD CVA'!$AM$53)*(1-CUSTOS!$M$38)</f>
        <v>861.11782756949015</v>
      </c>
      <c r="AA783" s="6">
        <f>('TE BE'!$AB$24+'TE BF'!$AB$24+'TE CVA'!$AB$24)*(1-CUSTOS!$M$38)</f>
        <v>479.44693731342215</v>
      </c>
      <c r="AB783" s="6">
        <f t="shared" si="46"/>
        <v>0</v>
      </c>
      <c r="AC783" s="6">
        <f>(L783*W783+M783*X783)/(1-CUSTOS!$M$38)*CUSTOS!$M$38</f>
        <v>2.8876474468085109</v>
      </c>
      <c r="AD783" s="6">
        <f t="shared" si="47"/>
        <v>0</v>
      </c>
      <c r="AE783" s="6">
        <f ca="1">(L783*Z783+N783*AA783)/(1-CUSTOS!$M$38)*CUSTOS!$M$38</f>
        <v>3.5082865123531541</v>
      </c>
      <c r="AF783" s="4" t="s">
        <v>1114</v>
      </c>
    </row>
    <row r="784" spans="1:32" ht="11.25" customHeight="1" x14ac:dyDescent="0.25">
      <c r="A784" s="4" t="s">
        <v>21</v>
      </c>
      <c r="B784" s="4" t="s">
        <v>44</v>
      </c>
      <c r="C784" s="4" t="s">
        <v>33</v>
      </c>
      <c r="D784" s="4" t="s">
        <v>45</v>
      </c>
      <c r="E784" s="4" t="s">
        <v>25</v>
      </c>
      <c r="F784" s="4" t="s">
        <v>25</v>
      </c>
      <c r="G784" s="4" t="s">
        <v>25</v>
      </c>
      <c r="H784" s="4" t="s">
        <v>34</v>
      </c>
      <c r="I784" s="5">
        <v>44652</v>
      </c>
      <c r="J784" s="6">
        <v>0</v>
      </c>
      <c r="K784" s="6">
        <v>0</v>
      </c>
      <c r="L784" s="6">
        <v>4.3999999999999997E-2</v>
      </c>
      <c r="M784" s="6">
        <v>4.3999999999999997E-2</v>
      </c>
      <c r="N784" s="6">
        <v>4.3999999999999997E-2</v>
      </c>
      <c r="O784" s="6">
        <v>4.3999999999999997E-2</v>
      </c>
      <c r="P784" s="6">
        <v>0</v>
      </c>
      <c r="Q784" s="4" t="s">
        <v>26</v>
      </c>
      <c r="R784" s="4">
        <v>0</v>
      </c>
      <c r="S784" s="4">
        <v>0</v>
      </c>
      <c r="T784" s="4">
        <v>51</v>
      </c>
      <c r="U784" s="4">
        <v>94</v>
      </c>
      <c r="V784" s="6">
        <f>IF(ISERROR(VLOOKUP($S$784,'TAR FIN'!$A$1:$O$116,15,0)),0,VLOOKUP($S$784,'TAR FIN'!$A$1:$O$116,15,0))</f>
        <v>0</v>
      </c>
      <c r="W784" s="6">
        <f>IF(ISERROR(VLOOKUP($T$784,'TAR FIN'!$A$1:$O$116,15,0)),0,VLOOKUP($T$784,'TAR FIN'!$A$1:$O$116,15,0))</f>
        <v>666.8</v>
      </c>
      <c r="X784" s="6">
        <f>IF(ISERROR(VLOOKUP($U$784,'TAR FIN'!$A$1:$O$116,15,0)),0,VLOOKUP($U$784,'TAR FIN'!$A$1:$O$116,15,0))</f>
        <v>436.61</v>
      </c>
      <c r="Y784" s="6"/>
      <c r="Z784" s="6">
        <f ca="1">('TUSD BE'!$AM$53+'TUSD BF'!$AM$53+'TUSD CVA'!$AM$53)*(1-CUSTOS!$M$38)</f>
        <v>861.11782756949015</v>
      </c>
      <c r="AA784" s="6">
        <f>('TE BE'!$AB$24+'TE BF'!$AB$24+'TE CVA'!$AB$24)*(1-CUSTOS!$M$38)</f>
        <v>479.44693731342215</v>
      </c>
      <c r="AB784" s="6">
        <f t="shared" si="46"/>
        <v>0</v>
      </c>
      <c r="AC784" s="6">
        <f>(L784*W784+M784*X784)/(1-CUSTOS!$M$38)*CUSTOS!$M$38</f>
        <v>3.0989387234042551</v>
      </c>
      <c r="AD784" s="6">
        <f t="shared" si="47"/>
        <v>0</v>
      </c>
      <c r="AE784" s="6">
        <f ca="1">(L784*Z784+N784*AA784)/(1-CUSTOS!$M$38)*CUSTOS!$M$38</f>
        <v>3.7649904035009447</v>
      </c>
      <c r="AF784" s="4" t="s">
        <v>1114</v>
      </c>
    </row>
    <row r="785" spans="1:32" ht="11.25" customHeight="1" x14ac:dyDescent="0.25">
      <c r="A785" s="4" t="s">
        <v>58</v>
      </c>
      <c r="B785" s="4" t="s">
        <v>44</v>
      </c>
      <c r="C785" s="4" t="s">
        <v>33</v>
      </c>
      <c r="D785" s="4" t="s">
        <v>45</v>
      </c>
      <c r="E785" s="4" t="s">
        <v>25</v>
      </c>
      <c r="F785" s="4" t="s">
        <v>25</v>
      </c>
      <c r="G785" s="4" t="s">
        <v>25</v>
      </c>
      <c r="H785" s="4" t="s">
        <v>34</v>
      </c>
      <c r="I785" s="5">
        <v>44682</v>
      </c>
      <c r="J785" s="6">
        <v>0</v>
      </c>
      <c r="K785" s="6">
        <v>0</v>
      </c>
      <c r="L785" s="6">
        <v>4.3999999999999997E-2</v>
      </c>
      <c r="M785" s="6">
        <v>4.3999999999999997E-2</v>
      </c>
      <c r="N785" s="6">
        <v>4.3999999999999997E-2</v>
      </c>
      <c r="O785" s="6">
        <v>4.3999999999999997E-2</v>
      </c>
      <c r="P785" s="6">
        <v>0</v>
      </c>
      <c r="Q785" s="4" t="s">
        <v>26</v>
      </c>
      <c r="R785" s="4">
        <v>0</v>
      </c>
      <c r="S785" s="4">
        <v>0</v>
      </c>
      <c r="T785" s="4">
        <v>51</v>
      </c>
      <c r="U785" s="4">
        <v>94</v>
      </c>
      <c r="V785" s="6">
        <f>IF(ISERROR(VLOOKUP($S$785,'TAR FIN'!$A$1:$O$116,15,0)),0,VLOOKUP($S$785,'TAR FIN'!$A$1:$O$116,15,0))</f>
        <v>0</v>
      </c>
      <c r="W785" s="6">
        <f>IF(ISERROR(VLOOKUP($T$785,'TAR FIN'!$A$1:$O$116,15,0)),0,VLOOKUP($T$785,'TAR FIN'!$A$1:$O$116,15,0))</f>
        <v>666.8</v>
      </c>
      <c r="X785" s="6">
        <f>IF(ISERROR(VLOOKUP($U$785,'TAR FIN'!$A$1:$O$116,15,0)),0,VLOOKUP($U$785,'TAR FIN'!$A$1:$O$116,15,0))</f>
        <v>436.61</v>
      </c>
      <c r="Y785" s="6"/>
      <c r="Z785" s="6">
        <f ca="1">('TUSD BE'!$AM$53+'TUSD BF'!$AM$53+'TUSD CVA'!$AM$53)*(1-CUSTOS!$M$38)</f>
        <v>861.11782756949015</v>
      </c>
      <c r="AA785" s="6">
        <f>('TE BE'!$AB$24+'TE BF'!$AB$24+'TE CVA'!$AB$24)*(1-CUSTOS!$M$38)</f>
        <v>479.44693731342215</v>
      </c>
      <c r="AB785" s="6">
        <f t="shared" si="46"/>
        <v>0</v>
      </c>
      <c r="AC785" s="6">
        <f>(L785*W785+M785*X785)/(1-CUSTOS!$M$38)*CUSTOS!$M$38</f>
        <v>3.0989387234042551</v>
      </c>
      <c r="AD785" s="6">
        <f t="shared" si="47"/>
        <v>0</v>
      </c>
      <c r="AE785" s="6">
        <f ca="1">(L785*Z785+N785*AA785)/(1-CUSTOS!$M$38)*CUSTOS!$M$38</f>
        <v>3.7649904035009447</v>
      </c>
      <c r="AF785" s="4" t="s">
        <v>1114</v>
      </c>
    </row>
    <row r="786" spans="1:32" ht="11.25" customHeight="1" x14ac:dyDescent="0.25">
      <c r="A786" s="4" t="s">
        <v>21</v>
      </c>
      <c r="B786" s="4" t="s">
        <v>44</v>
      </c>
      <c r="C786" s="4" t="s">
        <v>23</v>
      </c>
      <c r="D786" s="4" t="s">
        <v>45</v>
      </c>
      <c r="E786" s="4" t="s">
        <v>54</v>
      </c>
      <c r="F786" s="4" t="s">
        <v>55</v>
      </c>
      <c r="G786" s="4" t="s">
        <v>25</v>
      </c>
      <c r="H786" s="4" t="s">
        <v>25</v>
      </c>
      <c r="I786" s="5">
        <v>44348</v>
      </c>
      <c r="J786" s="6">
        <v>0</v>
      </c>
      <c r="K786" s="6">
        <v>0</v>
      </c>
      <c r="L786" s="6">
        <v>55.131</v>
      </c>
      <c r="M786" s="6">
        <v>55.131</v>
      </c>
      <c r="N786" s="6">
        <v>55.131</v>
      </c>
      <c r="O786" s="6">
        <v>55.131</v>
      </c>
      <c r="P786" s="6">
        <v>0</v>
      </c>
      <c r="Q786" s="4" t="s">
        <v>26</v>
      </c>
      <c r="R786" s="4">
        <v>0</v>
      </c>
      <c r="S786" s="4">
        <v>0</v>
      </c>
      <c r="T786" s="4">
        <v>54</v>
      </c>
      <c r="U786" s="4">
        <v>97</v>
      </c>
      <c r="V786" s="6">
        <f>IF(ISERROR(VLOOKUP($S$786,'TAR FIN'!$A$1:$O$116,15,0)),0,VLOOKUP($S$786,'TAR FIN'!$A$1:$O$116,15,0))</f>
        <v>0</v>
      </c>
      <c r="W786" s="6">
        <f>IF(ISERROR(VLOOKUP($T$786,'TAR FIN'!$A$1:$O$116,15,0)),0,VLOOKUP($T$786,'TAR FIN'!$A$1:$O$116,15,0))</f>
        <v>301.38</v>
      </c>
      <c r="X786" s="6">
        <f>IF(ISERROR(VLOOKUP($U$786,'TAR FIN'!$A$1:$O$116,15,0)),0,VLOOKUP($U$786,'TAR FIN'!$A$1:$O$116,15,0))</f>
        <v>287.29000000000002</v>
      </c>
      <c r="Y786" s="6"/>
      <c r="Z786" s="6">
        <f ca="1">('TUSD BE'!$AM$56+'TUSD BF'!$AM$56+'TUSD CVA'!$AM$56)*(1-CUSTOS!$M$38)</f>
        <v>410.57781128100521</v>
      </c>
      <c r="AA786" s="6">
        <f>('TE BE'!$AB$27+'TE BF'!$AB$27+'TE CVA'!$AB$27)*(1-CUSTOS!$M$38)</f>
        <v>309.85296222048811</v>
      </c>
      <c r="AB786" s="6">
        <f t="shared" si="46"/>
        <v>0</v>
      </c>
      <c r="AC786" s="6">
        <f>(L786-M786)*(W786+X786)+($W$597+$X$597-$W$786-$X$786)*(L786)</f>
        <v>4425.9166800000021</v>
      </c>
      <c r="AD786" s="6">
        <f t="shared" si="47"/>
        <v>0</v>
      </c>
      <c r="AE786" s="6">
        <f ca="1">(L786-M786)*(Z786+AA786)+($Z$597+$AA$597-$Z$786-$AA$786)*(L786)</f>
        <v>2535.1958919517547</v>
      </c>
      <c r="AF786" s="4" t="s">
        <v>1114</v>
      </c>
    </row>
    <row r="787" spans="1:32" ht="11.25" customHeight="1" x14ac:dyDescent="0.25">
      <c r="A787" s="4" t="s">
        <v>28</v>
      </c>
      <c r="B787" s="4" t="s">
        <v>44</v>
      </c>
      <c r="C787" s="4" t="s">
        <v>23</v>
      </c>
      <c r="D787" s="4" t="s">
        <v>45</v>
      </c>
      <c r="E787" s="4" t="s">
        <v>54</v>
      </c>
      <c r="F787" s="4" t="s">
        <v>55</v>
      </c>
      <c r="G787" s="4" t="s">
        <v>25</v>
      </c>
      <c r="H787" s="4" t="s">
        <v>25</v>
      </c>
      <c r="I787" s="5">
        <v>44348</v>
      </c>
      <c r="J787" s="6">
        <v>0</v>
      </c>
      <c r="K787" s="6">
        <v>0</v>
      </c>
      <c r="L787" s="6">
        <v>5.1470000000000002</v>
      </c>
      <c r="M787" s="6">
        <v>5.1470000000000002</v>
      </c>
      <c r="N787" s="6">
        <v>5.1470000000000002</v>
      </c>
      <c r="O787" s="6">
        <v>5.1470000000000002</v>
      </c>
      <c r="P787" s="6">
        <v>0</v>
      </c>
      <c r="Q787" s="4" t="s">
        <v>26</v>
      </c>
      <c r="R787" s="4">
        <v>0</v>
      </c>
      <c r="S787" s="4">
        <v>0</v>
      </c>
      <c r="T787" s="4">
        <v>54</v>
      </c>
      <c r="U787" s="4">
        <v>97</v>
      </c>
      <c r="V787" s="6">
        <f>IF(ISERROR(VLOOKUP($S$787,'TAR FIN'!$A$1:$O$116,15,0)),0,VLOOKUP($S$787,'TAR FIN'!$A$1:$O$116,15,0))</f>
        <v>0</v>
      </c>
      <c r="W787" s="6">
        <f>IF(ISERROR(VLOOKUP($T$787,'TAR FIN'!$A$1:$O$116,15,0)),0,VLOOKUP($T$787,'TAR FIN'!$A$1:$O$116,15,0))</f>
        <v>301.38</v>
      </c>
      <c r="X787" s="6">
        <f>IF(ISERROR(VLOOKUP($U$787,'TAR FIN'!$A$1:$O$116,15,0)),0,VLOOKUP($U$787,'TAR FIN'!$A$1:$O$116,15,0))</f>
        <v>287.29000000000002</v>
      </c>
      <c r="Y787" s="6"/>
      <c r="Z787" s="6">
        <f ca="1">('TUSD BE'!$AM$56+'TUSD BF'!$AM$56+'TUSD CVA'!$AM$56)*(1-CUSTOS!$M$38)</f>
        <v>410.57781128100521</v>
      </c>
      <c r="AA787" s="6">
        <f>('TE BE'!$AB$27+'TE BF'!$AB$27+'TE CVA'!$AB$27)*(1-CUSTOS!$M$38)</f>
        <v>309.85296222048811</v>
      </c>
      <c r="AB787" s="6">
        <f t="shared" si="46"/>
        <v>0</v>
      </c>
      <c r="AC787" s="6">
        <f>(L787-M787)*(W787+X787)+($W$597+$X$597-$W$787-$X$787)*(L787)</f>
        <v>413.20116000000019</v>
      </c>
      <c r="AD787" s="6">
        <f t="shared" si="47"/>
        <v>0</v>
      </c>
      <c r="AE787" s="6">
        <f ca="1">(L787-M787)*(Z787+AA787)+($Z$597+$AA$597-$Z$787-$AA$787)*(L787)</f>
        <v>236.68450156673524</v>
      </c>
      <c r="AF787" s="4" t="s">
        <v>1114</v>
      </c>
    </row>
    <row r="788" spans="1:32" ht="11.25" customHeight="1" x14ac:dyDescent="0.25">
      <c r="A788" s="4" t="s">
        <v>21</v>
      </c>
      <c r="B788" s="4" t="s">
        <v>44</v>
      </c>
      <c r="C788" s="4" t="s">
        <v>23</v>
      </c>
      <c r="D788" s="4" t="s">
        <v>45</v>
      </c>
      <c r="E788" s="4" t="s">
        <v>54</v>
      </c>
      <c r="F788" s="4" t="s">
        <v>55</v>
      </c>
      <c r="G788" s="4" t="s">
        <v>25</v>
      </c>
      <c r="H788" s="4" t="s">
        <v>25</v>
      </c>
      <c r="I788" s="5">
        <v>44378</v>
      </c>
      <c r="J788" s="6">
        <v>0</v>
      </c>
      <c r="K788" s="6">
        <v>0</v>
      </c>
      <c r="L788" s="6">
        <v>57.106999999999999</v>
      </c>
      <c r="M788" s="6">
        <v>57.106999999999999</v>
      </c>
      <c r="N788" s="6">
        <v>57.106999999999999</v>
      </c>
      <c r="O788" s="6">
        <v>57.106999999999999</v>
      </c>
      <c r="P788" s="6">
        <v>0</v>
      </c>
      <c r="Q788" s="4" t="s">
        <v>26</v>
      </c>
      <c r="R788" s="4">
        <v>0</v>
      </c>
      <c r="S788" s="4">
        <v>0</v>
      </c>
      <c r="T788" s="4">
        <v>54</v>
      </c>
      <c r="U788" s="4">
        <v>97</v>
      </c>
      <c r="V788" s="6">
        <f>IF(ISERROR(VLOOKUP($S$788,'TAR FIN'!$A$1:$O$116,15,0)),0,VLOOKUP($S$788,'TAR FIN'!$A$1:$O$116,15,0))</f>
        <v>0</v>
      </c>
      <c r="W788" s="6">
        <f>IF(ISERROR(VLOOKUP($T$788,'TAR FIN'!$A$1:$O$116,15,0)),0,VLOOKUP($T$788,'TAR FIN'!$A$1:$O$116,15,0))</f>
        <v>301.38</v>
      </c>
      <c r="X788" s="6">
        <f>IF(ISERROR(VLOOKUP($U$788,'TAR FIN'!$A$1:$O$116,15,0)),0,VLOOKUP($U$788,'TAR FIN'!$A$1:$O$116,15,0))</f>
        <v>287.29000000000002</v>
      </c>
      <c r="Y788" s="6"/>
      <c r="Z788" s="6">
        <f ca="1">('TUSD BE'!$AM$56+'TUSD BF'!$AM$56+'TUSD CVA'!$AM$56)*(1-CUSTOS!$M$38)</f>
        <v>410.57781128100521</v>
      </c>
      <c r="AA788" s="6">
        <f>('TE BE'!$AB$27+'TE BF'!$AB$27+'TE CVA'!$AB$27)*(1-CUSTOS!$M$38)</f>
        <v>309.85296222048811</v>
      </c>
      <c r="AB788" s="6">
        <f t="shared" si="46"/>
        <v>0</v>
      </c>
      <c r="AC788" s="6">
        <f>(L788-M788)*(W788+X788)+($W$597+$X$597-$W$788-$X$788)*(L788)</f>
        <v>4584.5499600000012</v>
      </c>
      <c r="AD788" s="6">
        <f t="shared" si="47"/>
        <v>0</v>
      </c>
      <c r="AE788" s="6">
        <f ca="1">(L788-M788)*(Z788+AA788)+($Z$597+$AA$597-$Z$788-$AA$788)*(L788)</f>
        <v>2626.0621392989215</v>
      </c>
      <c r="AF788" s="4" t="s">
        <v>1114</v>
      </c>
    </row>
    <row r="789" spans="1:32" ht="11.25" customHeight="1" x14ac:dyDescent="0.25">
      <c r="A789" s="4" t="s">
        <v>27</v>
      </c>
      <c r="B789" s="4" t="s">
        <v>44</v>
      </c>
      <c r="C789" s="4" t="s">
        <v>23</v>
      </c>
      <c r="D789" s="4" t="s">
        <v>45</v>
      </c>
      <c r="E789" s="4" t="s">
        <v>54</v>
      </c>
      <c r="F789" s="4" t="s">
        <v>55</v>
      </c>
      <c r="G789" s="4" t="s">
        <v>25</v>
      </c>
      <c r="H789" s="4" t="s">
        <v>25</v>
      </c>
      <c r="I789" s="5">
        <v>44378</v>
      </c>
      <c r="J789" s="6">
        <v>0</v>
      </c>
      <c r="K789" s="6">
        <v>0</v>
      </c>
      <c r="L789" s="6">
        <v>-3.52</v>
      </c>
      <c r="M789" s="6">
        <v>-3.52</v>
      </c>
      <c r="N789" s="6">
        <v>-3.52</v>
      </c>
      <c r="O789" s="6">
        <v>-3.52</v>
      </c>
      <c r="P789" s="6">
        <v>0</v>
      </c>
      <c r="Q789" s="4" t="s">
        <v>26</v>
      </c>
      <c r="R789" s="4">
        <v>0</v>
      </c>
      <c r="S789" s="4">
        <v>0</v>
      </c>
      <c r="T789" s="4">
        <v>54</v>
      </c>
      <c r="U789" s="4">
        <v>97</v>
      </c>
      <c r="V789" s="6">
        <f>IF(ISERROR(VLOOKUP($S$789,'TAR FIN'!$A$1:$O$116,15,0)),0,VLOOKUP($S$789,'TAR FIN'!$A$1:$O$116,15,0))</f>
        <v>0</v>
      </c>
      <c r="W789" s="6">
        <f>IF(ISERROR(VLOOKUP($T$789,'TAR FIN'!$A$1:$O$116,15,0)),0,VLOOKUP($T$789,'TAR FIN'!$A$1:$O$116,15,0))</f>
        <v>301.38</v>
      </c>
      <c r="X789" s="6">
        <f>IF(ISERROR(VLOOKUP($U$789,'TAR FIN'!$A$1:$O$116,15,0)),0,VLOOKUP($U$789,'TAR FIN'!$A$1:$O$116,15,0))</f>
        <v>287.29000000000002</v>
      </c>
      <c r="Y789" s="6"/>
      <c r="Z789" s="6">
        <f ca="1">('TUSD BE'!$AM$56+'TUSD BF'!$AM$56+'TUSD CVA'!$AM$56)*(1-CUSTOS!$M$38)</f>
        <v>410.57781128100521</v>
      </c>
      <c r="AA789" s="6">
        <f>('TE BE'!$AB$27+'TE BF'!$AB$27+'TE CVA'!$AB$27)*(1-CUSTOS!$M$38)</f>
        <v>309.85296222048811</v>
      </c>
      <c r="AB789" s="6">
        <f t="shared" si="46"/>
        <v>0</v>
      </c>
      <c r="AC789" s="6">
        <f>(L789-M789)*(W789+X789)+($W$597+$X$597-$W$789-$X$789)*(L789)</f>
        <v>-282.58560000000011</v>
      </c>
      <c r="AD789" s="6">
        <f t="shared" si="47"/>
        <v>0</v>
      </c>
      <c r="AE789" s="6">
        <f ca="1">(L789-M789)*(Z789+AA789)+($Z$597+$AA$597-$Z$789-$AA$789)*(L789)</f>
        <v>-161.86699932288869</v>
      </c>
      <c r="AF789" s="4" t="s">
        <v>1114</v>
      </c>
    </row>
    <row r="790" spans="1:32" ht="11.25" customHeight="1" x14ac:dyDescent="0.25">
      <c r="A790" s="4" t="s">
        <v>28</v>
      </c>
      <c r="B790" s="4" t="s">
        <v>44</v>
      </c>
      <c r="C790" s="4" t="s">
        <v>23</v>
      </c>
      <c r="D790" s="4" t="s">
        <v>45</v>
      </c>
      <c r="E790" s="4" t="s">
        <v>54</v>
      </c>
      <c r="F790" s="4" t="s">
        <v>55</v>
      </c>
      <c r="G790" s="4" t="s">
        <v>25</v>
      </c>
      <c r="H790" s="4" t="s">
        <v>25</v>
      </c>
      <c r="I790" s="5">
        <v>44378</v>
      </c>
      <c r="J790" s="6">
        <v>0</v>
      </c>
      <c r="K790" s="6">
        <v>0</v>
      </c>
      <c r="L790" s="6">
        <v>6.2130000000000001</v>
      </c>
      <c r="M790" s="6">
        <v>6.2130000000000001</v>
      </c>
      <c r="N790" s="6">
        <v>6.2130000000000001</v>
      </c>
      <c r="O790" s="6">
        <v>6.2130000000000001</v>
      </c>
      <c r="P790" s="6">
        <v>0</v>
      </c>
      <c r="Q790" s="4" t="s">
        <v>26</v>
      </c>
      <c r="R790" s="4">
        <v>0</v>
      </c>
      <c r="S790" s="4">
        <v>0</v>
      </c>
      <c r="T790" s="4">
        <v>54</v>
      </c>
      <c r="U790" s="4">
        <v>97</v>
      </c>
      <c r="V790" s="6">
        <f>IF(ISERROR(VLOOKUP($S$790,'TAR FIN'!$A$1:$O$116,15,0)),0,VLOOKUP($S$790,'TAR FIN'!$A$1:$O$116,15,0))</f>
        <v>0</v>
      </c>
      <c r="W790" s="6">
        <f>IF(ISERROR(VLOOKUP($T$790,'TAR FIN'!$A$1:$O$116,15,0)),0,VLOOKUP($T$790,'TAR FIN'!$A$1:$O$116,15,0))</f>
        <v>301.38</v>
      </c>
      <c r="X790" s="6">
        <f>IF(ISERROR(VLOOKUP($U$790,'TAR FIN'!$A$1:$O$116,15,0)),0,VLOOKUP($U$790,'TAR FIN'!$A$1:$O$116,15,0))</f>
        <v>287.29000000000002</v>
      </c>
      <c r="Y790" s="6"/>
      <c r="Z790" s="6">
        <f ca="1">('TUSD BE'!$AM$56+'TUSD BF'!$AM$56+'TUSD CVA'!$AM$56)*(1-CUSTOS!$M$38)</f>
        <v>410.57781128100521</v>
      </c>
      <c r="AA790" s="6">
        <f>('TE BE'!$AB$27+'TE BF'!$AB$27+'TE CVA'!$AB$27)*(1-CUSTOS!$M$38)</f>
        <v>309.85296222048811</v>
      </c>
      <c r="AB790" s="6">
        <f t="shared" si="46"/>
        <v>0</v>
      </c>
      <c r="AC790" s="6">
        <f>(L790-M790)*(W790+X790)+($W$597+$X$597-$W$790-$X$790)*(L790)</f>
        <v>498.7796400000002</v>
      </c>
      <c r="AD790" s="6">
        <f t="shared" si="47"/>
        <v>0</v>
      </c>
      <c r="AE790" s="6">
        <f ca="1">(L790-M790)*(Z790+AA790)+($Z$597+$AA$597-$Z$790-$AA$790)*(L790)</f>
        <v>285.70445079349639</v>
      </c>
      <c r="AF790" s="4" t="s">
        <v>1114</v>
      </c>
    </row>
    <row r="791" spans="1:32" ht="11.25" customHeight="1" x14ac:dyDescent="0.25">
      <c r="A791" s="4" t="s">
        <v>28</v>
      </c>
      <c r="B791" s="4" t="s">
        <v>44</v>
      </c>
      <c r="C791" s="4" t="s">
        <v>23</v>
      </c>
      <c r="D791" s="4" t="s">
        <v>45</v>
      </c>
      <c r="E791" s="4" t="s">
        <v>54</v>
      </c>
      <c r="F791" s="4" t="s">
        <v>55</v>
      </c>
      <c r="G791" s="4" t="s">
        <v>25</v>
      </c>
      <c r="H791" s="4" t="s">
        <v>25</v>
      </c>
      <c r="I791" s="5">
        <v>44378</v>
      </c>
      <c r="J791" s="6">
        <v>0</v>
      </c>
      <c r="K791" s="6">
        <v>0</v>
      </c>
      <c r="L791" s="6">
        <v>-113.19199999999999</v>
      </c>
      <c r="M791" s="6">
        <v>-113.19199999999999</v>
      </c>
      <c r="N791" s="6">
        <v>-113.19199999999999</v>
      </c>
      <c r="O791" s="6">
        <v>-113.19199999999999</v>
      </c>
      <c r="P791" s="6">
        <v>0</v>
      </c>
      <c r="Q791" s="4" t="s">
        <v>26</v>
      </c>
      <c r="R791" s="4">
        <v>0</v>
      </c>
      <c r="S791" s="4">
        <v>0</v>
      </c>
      <c r="T791" s="4">
        <v>54</v>
      </c>
      <c r="U791" s="4">
        <v>97</v>
      </c>
      <c r="V791" s="6">
        <f>IF(ISERROR(VLOOKUP($S$791,'TAR FIN'!$A$1:$O$116,15,0)),0,VLOOKUP($S$791,'TAR FIN'!$A$1:$O$116,15,0))</f>
        <v>0</v>
      </c>
      <c r="W791" s="6">
        <f>IF(ISERROR(VLOOKUP($T$791,'TAR FIN'!$A$1:$O$116,15,0)),0,VLOOKUP($T$791,'TAR FIN'!$A$1:$O$116,15,0))</f>
        <v>301.38</v>
      </c>
      <c r="X791" s="6">
        <f>IF(ISERROR(VLOOKUP($U$791,'TAR FIN'!$A$1:$O$116,15,0)),0,VLOOKUP($U$791,'TAR FIN'!$A$1:$O$116,15,0))</f>
        <v>287.29000000000002</v>
      </c>
      <c r="Y791" s="6"/>
      <c r="Z791" s="6">
        <f ca="1">('TUSD BE'!$AM$56+'TUSD BF'!$AM$56+'TUSD CVA'!$AM$56)*(1-CUSTOS!$M$38)</f>
        <v>410.57781128100521</v>
      </c>
      <c r="AA791" s="6">
        <f>('TE BE'!$AB$27+'TE BF'!$AB$27+'TE CVA'!$AB$27)*(1-CUSTOS!$M$38)</f>
        <v>309.85296222048811</v>
      </c>
      <c r="AB791" s="6">
        <f t="shared" si="46"/>
        <v>0</v>
      </c>
      <c r="AC791" s="6">
        <f>(L791-M791)*(W791+X791)+($W$597+$X$597-$W$791-$X$791)*(L791)</f>
        <v>-9087.0537600000025</v>
      </c>
      <c r="AD791" s="6">
        <f t="shared" si="47"/>
        <v>0</v>
      </c>
      <c r="AE791" s="6">
        <f ca="1">(L791-M791)*(Z791+AA791)+($Z$597+$AA$597-$Z$791-$AA$791)*(L791)</f>
        <v>-5205.1276668626178</v>
      </c>
      <c r="AF791" s="4" t="s">
        <v>1114</v>
      </c>
    </row>
    <row r="792" spans="1:32" ht="11.25" customHeight="1" x14ac:dyDescent="0.25">
      <c r="A792" s="4" t="s">
        <v>21</v>
      </c>
      <c r="B792" s="4" t="s">
        <v>44</v>
      </c>
      <c r="C792" s="4" t="s">
        <v>23</v>
      </c>
      <c r="D792" s="4" t="s">
        <v>45</v>
      </c>
      <c r="E792" s="4" t="s">
        <v>54</v>
      </c>
      <c r="F792" s="4" t="s">
        <v>55</v>
      </c>
      <c r="G792" s="4" t="s">
        <v>25</v>
      </c>
      <c r="H792" s="4" t="s">
        <v>25</v>
      </c>
      <c r="I792" s="5">
        <v>44409</v>
      </c>
      <c r="J792" s="6">
        <v>0</v>
      </c>
      <c r="K792" s="6">
        <v>0</v>
      </c>
      <c r="L792" s="6">
        <v>55.843000000000004</v>
      </c>
      <c r="M792" s="6">
        <v>55.843000000000004</v>
      </c>
      <c r="N792" s="6">
        <v>55.843000000000004</v>
      </c>
      <c r="O792" s="6">
        <v>55.843000000000004</v>
      </c>
      <c r="P792" s="6">
        <v>0</v>
      </c>
      <c r="Q792" s="4" t="s">
        <v>26</v>
      </c>
      <c r="R792" s="4">
        <v>0</v>
      </c>
      <c r="S792" s="4">
        <v>0</v>
      </c>
      <c r="T792" s="4">
        <v>54</v>
      </c>
      <c r="U792" s="4">
        <v>97</v>
      </c>
      <c r="V792" s="6">
        <f>IF(ISERROR(VLOOKUP($S$792,'TAR FIN'!$A$1:$O$116,15,0)),0,VLOOKUP($S$792,'TAR FIN'!$A$1:$O$116,15,0))</f>
        <v>0</v>
      </c>
      <c r="W792" s="6">
        <f>IF(ISERROR(VLOOKUP($T$792,'TAR FIN'!$A$1:$O$116,15,0)),0,VLOOKUP($T$792,'TAR FIN'!$A$1:$O$116,15,0))</f>
        <v>301.38</v>
      </c>
      <c r="X792" s="6">
        <f>IF(ISERROR(VLOOKUP($U$792,'TAR FIN'!$A$1:$O$116,15,0)),0,VLOOKUP($U$792,'TAR FIN'!$A$1:$O$116,15,0))</f>
        <v>287.29000000000002</v>
      </c>
      <c r="Y792" s="6"/>
      <c r="Z792" s="6">
        <f ca="1">('TUSD BE'!$AM$56+'TUSD BF'!$AM$56+'TUSD CVA'!$AM$56)*(1-CUSTOS!$M$38)</f>
        <v>410.57781128100521</v>
      </c>
      <c r="AA792" s="6">
        <f>('TE BE'!$AB$27+'TE BF'!$AB$27+'TE CVA'!$AB$27)*(1-CUSTOS!$M$38)</f>
        <v>309.85296222048811</v>
      </c>
      <c r="AB792" s="6">
        <f t="shared" si="46"/>
        <v>0</v>
      </c>
      <c r="AC792" s="6">
        <f>(L792-M792)*(W792+X792)+($W$597+$X$597-$W$792-$X$792)*(L792)</f>
        <v>4483.0760400000017</v>
      </c>
      <c r="AD792" s="6">
        <f t="shared" si="47"/>
        <v>0</v>
      </c>
      <c r="AE792" s="6">
        <f ca="1">(L792-M792)*(Z792+AA792)+($Z$597+$AA$597-$Z$792-$AA$792)*(L792)</f>
        <v>2567.9371713602482</v>
      </c>
      <c r="AF792" s="4" t="s">
        <v>1114</v>
      </c>
    </row>
    <row r="793" spans="1:32" ht="11.25" customHeight="1" x14ac:dyDescent="0.25">
      <c r="A793" s="4" t="s">
        <v>27</v>
      </c>
      <c r="B793" s="4" t="s">
        <v>44</v>
      </c>
      <c r="C793" s="4" t="s">
        <v>23</v>
      </c>
      <c r="D793" s="4" t="s">
        <v>45</v>
      </c>
      <c r="E793" s="4" t="s">
        <v>54</v>
      </c>
      <c r="F793" s="4" t="s">
        <v>55</v>
      </c>
      <c r="G793" s="4" t="s">
        <v>25</v>
      </c>
      <c r="H793" s="4" t="s">
        <v>25</v>
      </c>
      <c r="I793" s="5">
        <v>44409</v>
      </c>
      <c r="J793" s="6">
        <v>0</v>
      </c>
      <c r="K793" s="6">
        <v>0</v>
      </c>
      <c r="L793" s="6">
        <v>-11.164999999999999</v>
      </c>
      <c r="M793" s="6">
        <v>-11.164999999999999</v>
      </c>
      <c r="N793" s="6">
        <v>-11.164999999999999</v>
      </c>
      <c r="O793" s="6">
        <v>-11.164999999999999</v>
      </c>
      <c r="P793" s="6">
        <v>0</v>
      </c>
      <c r="Q793" s="4" t="s">
        <v>26</v>
      </c>
      <c r="R793" s="4">
        <v>0</v>
      </c>
      <c r="S793" s="4">
        <v>0</v>
      </c>
      <c r="T793" s="4">
        <v>54</v>
      </c>
      <c r="U793" s="4">
        <v>97</v>
      </c>
      <c r="V793" s="6">
        <f>IF(ISERROR(VLOOKUP($S$793,'TAR FIN'!$A$1:$O$116,15,0)),0,VLOOKUP($S$793,'TAR FIN'!$A$1:$O$116,15,0))</f>
        <v>0</v>
      </c>
      <c r="W793" s="6">
        <f>IF(ISERROR(VLOOKUP($T$793,'TAR FIN'!$A$1:$O$116,15,0)),0,VLOOKUP($T$793,'TAR FIN'!$A$1:$O$116,15,0))</f>
        <v>301.38</v>
      </c>
      <c r="X793" s="6">
        <f>IF(ISERROR(VLOOKUP($U$793,'TAR FIN'!$A$1:$O$116,15,0)),0,VLOOKUP($U$793,'TAR FIN'!$A$1:$O$116,15,0))</f>
        <v>287.29000000000002</v>
      </c>
      <c r="Y793" s="6"/>
      <c r="Z793" s="6">
        <f ca="1">('TUSD BE'!$AM$56+'TUSD BF'!$AM$56+'TUSD CVA'!$AM$56)*(1-CUSTOS!$M$38)</f>
        <v>410.57781128100521</v>
      </c>
      <c r="AA793" s="6">
        <f>('TE BE'!$AB$27+'TE BF'!$AB$27+'TE CVA'!$AB$27)*(1-CUSTOS!$M$38)</f>
        <v>309.85296222048811</v>
      </c>
      <c r="AB793" s="6">
        <f t="shared" si="46"/>
        <v>0</v>
      </c>
      <c r="AC793" s="6">
        <f>(L793-M793)*(W793+X793)+($W$597+$X$597-$W$793-$X$793)*(L793)</f>
        <v>-896.32620000000031</v>
      </c>
      <c r="AD793" s="6">
        <f t="shared" si="47"/>
        <v>0</v>
      </c>
      <c r="AE793" s="6">
        <f ca="1">(L793-M793)*(Z793+AA793)+($Z$597+$AA$597-$Z$793-$AA$793)*(L793)</f>
        <v>-513.42188847728744</v>
      </c>
      <c r="AF793" s="4" t="s">
        <v>1114</v>
      </c>
    </row>
    <row r="794" spans="1:32" ht="11.25" customHeight="1" x14ac:dyDescent="0.25">
      <c r="A794" s="4" t="s">
        <v>28</v>
      </c>
      <c r="B794" s="4" t="s">
        <v>44</v>
      </c>
      <c r="C794" s="4" t="s">
        <v>23</v>
      </c>
      <c r="D794" s="4" t="s">
        <v>45</v>
      </c>
      <c r="E794" s="4" t="s">
        <v>54</v>
      </c>
      <c r="F794" s="4" t="s">
        <v>55</v>
      </c>
      <c r="G794" s="4" t="s">
        <v>25</v>
      </c>
      <c r="H794" s="4" t="s">
        <v>25</v>
      </c>
      <c r="I794" s="5">
        <v>44409</v>
      </c>
      <c r="J794" s="6">
        <v>0</v>
      </c>
      <c r="K794" s="6">
        <v>0</v>
      </c>
      <c r="L794" s="6">
        <v>4.6390000000000002</v>
      </c>
      <c r="M794" s="6">
        <v>4.6390000000000002</v>
      </c>
      <c r="N794" s="6">
        <v>4.6390000000000002</v>
      </c>
      <c r="O794" s="6">
        <v>4.6390000000000002</v>
      </c>
      <c r="P794" s="6">
        <v>0</v>
      </c>
      <c r="Q794" s="4" t="s">
        <v>26</v>
      </c>
      <c r="R794" s="4">
        <v>0</v>
      </c>
      <c r="S794" s="4">
        <v>0</v>
      </c>
      <c r="T794" s="4">
        <v>54</v>
      </c>
      <c r="U794" s="4">
        <v>97</v>
      </c>
      <c r="V794" s="6">
        <f>IF(ISERROR(VLOOKUP($S$794,'TAR FIN'!$A$1:$O$116,15,0)),0,VLOOKUP($S$794,'TAR FIN'!$A$1:$O$116,15,0))</f>
        <v>0</v>
      </c>
      <c r="W794" s="6">
        <f>IF(ISERROR(VLOOKUP($T$794,'TAR FIN'!$A$1:$O$116,15,0)),0,VLOOKUP($T$794,'TAR FIN'!$A$1:$O$116,15,0))</f>
        <v>301.38</v>
      </c>
      <c r="X794" s="6">
        <f>IF(ISERROR(VLOOKUP($U$794,'TAR FIN'!$A$1:$O$116,15,0)),0,VLOOKUP($U$794,'TAR FIN'!$A$1:$O$116,15,0))</f>
        <v>287.29000000000002</v>
      </c>
      <c r="Y794" s="6"/>
      <c r="Z794" s="6">
        <f ca="1">('TUSD BE'!$AM$56+'TUSD BF'!$AM$56+'TUSD CVA'!$AM$56)*(1-CUSTOS!$M$38)</f>
        <v>410.57781128100521</v>
      </c>
      <c r="AA794" s="6">
        <f>('TE BE'!$AB$27+'TE BF'!$AB$27+'TE CVA'!$AB$27)*(1-CUSTOS!$M$38)</f>
        <v>309.85296222048811</v>
      </c>
      <c r="AB794" s="6">
        <f t="shared" si="46"/>
        <v>0</v>
      </c>
      <c r="AC794" s="6">
        <f>(L794-M794)*(W794+X794)+($W$597+$X$597-$W$794-$X$794)*(L794)</f>
        <v>372.41892000000013</v>
      </c>
      <c r="AD794" s="6">
        <f t="shared" si="47"/>
        <v>0</v>
      </c>
      <c r="AE794" s="6">
        <f ca="1">(L794-M794)*(Z794+AA794)+($Z$597+$AA$597-$Z$794-$AA$794)*(L794)</f>
        <v>213.32415052809108</v>
      </c>
      <c r="AF794" s="4" t="s">
        <v>1114</v>
      </c>
    </row>
    <row r="795" spans="1:32" ht="11.25" customHeight="1" x14ac:dyDescent="0.25">
      <c r="A795" s="4" t="s">
        <v>21</v>
      </c>
      <c r="B795" s="4" t="s">
        <v>44</v>
      </c>
      <c r="C795" s="4" t="s">
        <v>23</v>
      </c>
      <c r="D795" s="4" t="s">
        <v>45</v>
      </c>
      <c r="E795" s="4" t="s">
        <v>54</v>
      </c>
      <c r="F795" s="4" t="s">
        <v>55</v>
      </c>
      <c r="G795" s="4" t="s">
        <v>25</v>
      </c>
      <c r="H795" s="4" t="s">
        <v>25</v>
      </c>
      <c r="I795" s="5">
        <v>44440</v>
      </c>
      <c r="J795" s="6">
        <v>0</v>
      </c>
      <c r="K795" s="6">
        <v>0</v>
      </c>
      <c r="L795" s="6">
        <v>73.084000000000003</v>
      </c>
      <c r="M795" s="6">
        <v>73.084000000000003</v>
      </c>
      <c r="N795" s="6">
        <v>73.084000000000003</v>
      </c>
      <c r="O795" s="6">
        <v>73.084000000000003</v>
      </c>
      <c r="P795" s="6">
        <v>0</v>
      </c>
      <c r="Q795" s="4" t="s">
        <v>26</v>
      </c>
      <c r="R795" s="4">
        <v>0</v>
      </c>
      <c r="S795" s="4">
        <v>0</v>
      </c>
      <c r="T795" s="4">
        <v>54</v>
      </c>
      <c r="U795" s="4">
        <v>97</v>
      </c>
      <c r="V795" s="6">
        <f>IF(ISERROR(VLOOKUP($S$795,'TAR FIN'!$A$1:$O$116,15,0)),0,VLOOKUP($S$795,'TAR FIN'!$A$1:$O$116,15,0))</f>
        <v>0</v>
      </c>
      <c r="W795" s="6">
        <f>IF(ISERROR(VLOOKUP($T$795,'TAR FIN'!$A$1:$O$116,15,0)),0,VLOOKUP($T$795,'TAR FIN'!$A$1:$O$116,15,0))</f>
        <v>301.38</v>
      </c>
      <c r="X795" s="6">
        <f>IF(ISERROR(VLOOKUP($U$795,'TAR FIN'!$A$1:$O$116,15,0)),0,VLOOKUP($U$795,'TAR FIN'!$A$1:$O$116,15,0))</f>
        <v>287.29000000000002</v>
      </c>
      <c r="Y795" s="6"/>
      <c r="Z795" s="6">
        <f ca="1">('TUSD BE'!$AM$56+'TUSD BF'!$AM$56+'TUSD CVA'!$AM$56)*(1-CUSTOS!$M$38)</f>
        <v>410.57781128100521</v>
      </c>
      <c r="AA795" s="6">
        <f>('TE BE'!$AB$27+'TE BF'!$AB$27+'TE CVA'!$AB$27)*(1-CUSTOS!$M$38)</f>
        <v>309.85296222048811</v>
      </c>
      <c r="AB795" s="6">
        <f t="shared" si="46"/>
        <v>0</v>
      </c>
      <c r="AC795" s="6">
        <f>(L795-M795)*(W795+X795)+($W$597+$X$597-$W$795-$X$795)*(L795)</f>
        <v>5867.1835200000023</v>
      </c>
      <c r="AD795" s="6">
        <f t="shared" si="47"/>
        <v>0</v>
      </c>
      <c r="AE795" s="6">
        <f ca="1">(L795-M795)*(Z795+AA795)+($Z$597+$AA$597-$Z$795-$AA$795)*(L795)</f>
        <v>3360.7635734414762</v>
      </c>
      <c r="AF795" s="4" t="s">
        <v>1114</v>
      </c>
    </row>
    <row r="796" spans="1:32" ht="11.25" customHeight="1" x14ac:dyDescent="0.25">
      <c r="A796" s="4" t="s">
        <v>27</v>
      </c>
      <c r="B796" s="4" t="s">
        <v>44</v>
      </c>
      <c r="C796" s="4" t="s">
        <v>23</v>
      </c>
      <c r="D796" s="4" t="s">
        <v>45</v>
      </c>
      <c r="E796" s="4" t="s">
        <v>54</v>
      </c>
      <c r="F796" s="4" t="s">
        <v>55</v>
      </c>
      <c r="G796" s="4" t="s">
        <v>25</v>
      </c>
      <c r="H796" s="4" t="s">
        <v>25</v>
      </c>
      <c r="I796" s="5">
        <v>44440</v>
      </c>
      <c r="J796" s="6">
        <v>0</v>
      </c>
      <c r="K796" s="6">
        <v>0</v>
      </c>
      <c r="L796" s="6">
        <v>5.0999999999999997E-2</v>
      </c>
      <c r="M796" s="6">
        <v>5.0999999999999997E-2</v>
      </c>
      <c r="N796" s="6">
        <v>5.0999999999999997E-2</v>
      </c>
      <c r="O796" s="6">
        <v>5.0999999999999997E-2</v>
      </c>
      <c r="P796" s="6">
        <v>0</v>
      </c>
      <c r="Q796" s="4" t="s">
        <v>26</v>
      </c>
      <c r="R796" s="4">
        <v>0</v>
      </c>
      <c r="S796" s="4">
        <v>0</v>
      </c>
      <c r="T796" s="4">
        <v>54</v>
      </c>
      <c r="U796" s="4">
        <v>97</v>
      </c>
      <c r="V796" s="6">
        <f>IF(ISERROR(VLOOKUP($S$796,'TAR FIN'!$A$1:$O$116,15,0)),0,VLOOKUP($S$796,'TAR FIN'!$A$1:$O$116,15,0))</f>
        <v>0</v>
      </c>
      <c r="W796" s="6">
        <f>IF(ISERROR(VLOOKUP($T$796,'TAR FIN'!$A$1:$O$116,15,0)),0,VLOOKUP($T$796,'TAR FIN'!$A$1:$O$116,15,0))</f>
        <v>301.38</v>
      </c>
      <c r="X796" s="6">
        <f>IF(ISERROR(VLOOKUP($U$796,'TAR FIN'!$A$1:$O$116,15,0)),0,VLOOKUP($U$796,'TAR FIN'!$A$1:$O$116,15,0))</f>
        <v>287.29000000000002</v>
      </c>
      <c r="Y796" s="6"/>
      <c r="Z796" s="6">
        <f ca="1">('TUSD BE'!$AM$56+'TUSD BF'!$AM$56+'TUSD CVA'!$AM$56)*(1-CUSTOS!$M$38)</f>
        <v>410.57781128100521</v>
      </c>
      <c r="AA796" s="6">
        <f>('TE BE'!$AB$27+'TE BF'!$AB$27+'TE CVA'!$AB$27)*(1-CUSTOS!$M$38)</f>
        <v>309.85296222048811</v>
      </c>
      <c r="AB796" s="6">
        <f t="shared" si="46"/>
        <v>0</v>
      </c>
      <c r="AC796" s="6">
        <f>(L796-M796)*(W796+X796)+($W$597+$X$597-$W$796-$X$796)*(L796)</f>
        <v>4.0942800000000013</v>
      </c>
      <c r="AD796" s="6">
        <f t="shared" si="47"/>
        <v>0</v>
      </c>
      <c r="AE796" s="6">
        <f ca="1">(L796-M796)*(Z796+AA796)+($Z$597+$AA$597-$Z$796-$AA$796)*(L796)</f>
        <v>2.3452320924623073</v>
      </c>
      <c r="AF796" s="4" t="s">
        <v>1114</v>
      </c>
    </row>
    <row r="797" spans="1:32" ht="11.25" customHeight="1" x14ac:dyDescent="0.25">
      <c r="A797" s="4" t="s">
        <v>28</v>
      </c>
      <c r="B797" s="4" t="s">
        <v>44</v>
      </c>
      <c r="C797" s="4" t="s">
        <v>23</v>
      </c>
      <c r="D797" s="4" t="s">
        <v>45</v>
      </c>
      <c r="E797" s="4" t="s">
        <v>54</v>
      </c>
      <c r="F797" s="4" t="s">
        <v>55</v>
      </c>
      <c r="G797" s="4" t="s">
        <v>25</v>
      </c>
      <c r="H797" s="4" t="s">
        <v>25</v>
      </c>
      <c r="I797" s="5">
        <v>44440</v>
      </c>
      <c r="J797" s="6">
        <v>0</v>
      </c>
      <c r="K797" s="6">
        <v>0</v>
      </c>
      <c r="L797" s="6">
        <v>4.1539999999999999</v>
      </c>
      <c r="M797" s="6">
        <v>4.1539999999999999</v>
      </c>
      <c r="N797" s="6">
        <v>4.1539999999999999</v>
      </c>
      <c r="O797" s="6">
        <v>4.1539999999999999</v>
      </c>
      <c r="P797" s="6">
        <v>0</v>
      </c>
      <c r="Q797" s="4" t="s">
        <v>26</v>
      </c>
      <c r="R797" s="4">
        <v>0</v>
      </c>
      <c r="S797" s="4">
        <v>0</v>
      </c>
      <c r="T797" s="4">
        <v>54</v>
      </c>
      <c r="U797" s="4">
        <v>97</v>
      </c>
      <c r="V797" s="6">
        <f>IF(ISERROR(VLOOKUP($S$797,'TAR FIN'!$A$1:$O$116,15,0)),0,VLOOKUP($S$797,'TAR FIN'!$A$1:$O$116,15,0))</f>
        <v>0</v>
      </c>
      <c r="W797" s="6">
        <f>IF(ISERROR(VLOOKUP($T$797,'TAR FIN'!$A$1:$O$116,15,0)),0,VLOOKUP($T$797,'TAR FIN'!$A$1:$O$116,15,0))</f>
        <v>301.38</v>
      </c>
      <c r="X797" s="6">
        <f>IF(ISERROR(VLOOKUP($U$797,'TAR FIN'!$A$1:$O$116,15,0)),0,VLOOKUP($U$797,'TAR FIN'!$A$1:$O$116,15,0))</f>
        <v>287.29000000000002</v>
      </c>
      <c r="Y797" s="6"/>
      <c r="Z797" s="6">
        <f ca="1">('TUSD BE'!$AM$56+'TUSD BF'!$AM$56+'TUSD CVA'!$AM$56)*(1-CUSTOS!$M$38)</f>
        <v>410.57781128100521</v>
      </c>
      <c r="AA797" s="6">
        <f>('TE BE'!$AB$27+'TE BF'!$AB$27+'TE CVA'!$AB$27)*(1-CUSTOS!$M$38)</f>
        <v>309.85296222048811</v>
      </c>
      <c r="AB797" s="6">
        <f t="shared" si="46"/>
        <v>0</v>
      </c>
      <c r="AC797" s="6">
        <f>(L797-M797)*(W797+X797)+($W$597+$X$597-$W$797-$X$797)*(L797)</f>
        <v>333.4831200000001</v>
      </c>
      <c r="AD797" s="6">
        <f t="shared" si="47"/>
        <v>0</v>
      </c>
      <c r="AE797" s="6">
        <f ca="1">(L797-M797)*(Z797+AA797)+($Z$597+$AA$597-$Z$797-$AA$797)*(L797)</f>
        <v>191.02145317820441</v>
      </c>
      <c r="AF797" s="4" t="s">
        <v>1114</v>
      </c>
    </row>
    <row r="798" spans="1:32" ht="11.25" customHeight="1" x14ac:dyDescent="0.25">
      <c r="A798" s="4" t="s">
        <v>28</v>
      </c>
      <c r="B798" s="4" t="s">
        <v>44</v>
      </c>
      <c r="C798" s="4" t="s">
        <v>23</v>
      </c>
      <c r="D798" s="4" t="s">
        <v>45</v>
      </c>
      <c r="E798" s="4" t="s">
        <v>54</v>
      </c>
      <c r="F798" s="4" t="s">
        <v>55</v>
      </c>
      <c r="G798" s="4" t="s">
        <v>25</v>
      </c>
      <c r="H798" s="4" t="s">
        <v>25</v>
      </c>
      <c r="I798" s="5">
        <v>44440</v>
      </c>
      <c r="J798" s="6">
        <v>0</v>
      </c>
      <c r="K798" s="6">
        <v>0</v>
      </c>
      <c r="L798" s="6">
        <v>-0.35799999999999998</v>
      </c>
      <c r="M798" s="6">
        <v>-0.35799999999999998</v>
      </c>
      <c r="N798" s="6">
        <v>-0.35799999999999998</v>
      </c>
      <c r="O798" s="6">
        <v>-0.35799999999999998</v>
      </c>
      <c r="P798" s="6">
        <v>0</v>
      </c>
      <c r="Q798" s="4" t="s">
        <v>26</v>
      </c>
      <c r="R798" s="4">
        <v>0</v>
      </c>
      <c r="S798" s="4">
        <v>0</v>
      </c>
      <c r="T798" s="4">
        <v>54</v>
      </c>
      <c r="U798" s="4">
        <v>97</v>
      </c>
      <c r="V798" s="6">
        <f>IF(ISERROR(VLOOKUP($S$798,'TAR FIN'!$A$1:$O$116,15,0)),0,VLOOKUP($S$798,'TAR FIN'!$A$1:$O$116,15,0))</f>
        <v>0</v>
      </c>
      <c r="W798" s="6">
        <f>IF(ISERROR(VLOOKUP($T$798,'TAR FIN'!$A$1:$O$116,15,0)),0,VLOOKUP($T$798,'TAR FIN'!$A$1:$O$116,15,0))</f>
        <v>301.38</v>
      </c>
      <c r="X798" s="6">
        <f>IF(ISERROR(VLOOKUP($U$798,'TAR FIN'!$A$1:$O$116,15,0)),0,VLOOKUP($U$798,'TAR FIN'!$A$1:$O$116,15,0))</f>
        <v>287.29000000000002</v>
      </c>
      <c r="Y798" s="6"/>
      <c r="Z798" s="6">
        <f ca="1">('TUSD BE'!$AM$56+'TUSD BF'!$AM$56+'TUSD CVA'!$AM$56)*(1-CUSTOS!$M$38)</f>
        <v>410.57781128100521</v>
      </c>
      <c r="AA798" s="6">
        <f>('TE BE'!$AB$27+'TE BF'!$AB$27+'TE CVA'!$AB$27)*(1-CUSTOS!$M$38)</f>
        <v>309.85296222048811</v>
      </c>
      <c r="AB798" s="6">
        <f t="shared" si="46"/>
        <v>0</v>
      </c>
      <c r="AC798" s="6">
        <f>(L798-M798)*(W798+X798)+($W$597+$X$597-$W$798-$X$798)*(L798)</f>
        <v>-28.740240000000011</v>
      </c>
      <c r="AD798" s="6">
        <f t="shared" si="47"/>
        <v>0</v>
      </c>
      <c r="AE798" s="6">
        <f ca="1">(L798-M798)*(Z798+AA798)+($Z$597+$AA$597-$Z$798-$AA$798)*(L798)</f>
        <v>-16.462609590225608</v>
      </c>
      <c r="AF798" s="4" t="s">
        <v>1114</v>
      </c>
    </row>
    <row r="799" spans="1:32" ht="11.25" customHeight="1" x14ac:dyDescent="0.25">
      <c r="A799" s="4" t="s">
        <v>21</v>
      </c>
      <c r="B799" s="4" t="s">
        <v>44</v>
      </c>
      <c r="C799" s="4" t="s">
        <v>23</v>
      </c>
      <c r="D799" s="4" t="s">
        <v>45</v>
      </c>
      <c r="E799" s="4" t="s">
        <v>54</v>
      </c>
      <c r="F799" s="4" t="s">
        <v>55</v>
      </c>
      <c r="G799" s="4" t="s">
        <v>25</v>
      </c>
      <c r="H799" s="4" t="s">
        <v>25</v>
      </c>
      <c r="I799" s="5">
        <v>44470</v>
      </c>
      <c r="J799" s="6">
        <v>0</v>
      </c>
      <c r="K799" s="6">
        <v>0</v>
      </c>
      <c r="L799" s="6">
        <v>44.103000000000002</v>
      </c>
      <c r="M799" s="6">
        <v>44.103000000000002</v>
      </c>
      <c r="N799" s="6">
        <v>44.103000000000002</v>
      </c>
      <c r="O799" s="6">
        <v>44.103000000000002</v>
      </c>
      <c r="P799" s="6">
        <v>0</v>
      </c>
      <c r="Q799" s="4" t="s">
        <v>26</v>
      </c>
      <c r="R799" s="4">
        <v>0</v>
      </c>
      <c r="S799" s="4">
        <v>0</v>
      </c>
      <c r="T799" s="4">
        <v>54</v>
      </c>
      <c r="U799" s="4">
        <v>97</v>
      </c>
      <c r="V799" s="6">
        <f>IF(ISERROR(VLOOKUP($S$799,'TAR FIN'!$A$1:$O$116,15,0)),0,VLOOKUP($S$799,'TAR FIN'!$A$1:$O$116,15,0))</f>
        <v>0</v>
      </c>
      <c r="W799" s="6">
        <f>IF(ISERROR(VLOOKUP($T$799,'TAR FIN'!$A$1:$O$116,15,0)),0,VLOOKUP($T$799,'TAR FIN'!$A$1:$O$116,15,0))</f>
        <v>301.38</v>
      </c>
      <c r="X799" s="6">
        <f>IF(ISERROR(VLOOKUP($U$799,'TAR FIN'!$A$1:$O$116,15,0)),0,VLOOKUP($U$799,'TAR FIN'!$A$1:$O$116,15,0))</f>
        <v>287.29000000000002</v>
      </c>
      <c r="Y799" s="6"/>
      <c r="Z799" s="6">
        <f ca="1">('TUSD BE'!$AM$56+'TUSD BF'!$AM$56+'TUSD CVA'!$AM$56)*(1-CUSTOS!$M$38)</f>
        <v>410.57781128100521</v>
      </c>
      <c r="AA799" s="6">
        <f>('TE BE'!$AB$27+'TE BF'!$AB$27+'TE CVA'!$AB$27)*(1-CUSTOS!$M$38)</f>
        <v>309.85296222048811</v>
      </c>
      <c r="AB799" s="6">
        <f t="shared" si="46"/>
        <v>0</v>
      </c>
      <c r="AC799" s="6">
        <f>(L799-M799)*(W799+X799)+($W$597+$X$597-$W$799-$X$799)*(L799)</f>
        <v>3540.5888400000013</v>
      </c>
      <c r="AD799" s="6">
        <f t="shared" si="47"/>
        <v>0</v>
      </c>
      <c r="AE799" s="6">
        <f ca="1">(L799-M799)*(Z799+AA799)+($Z$597+$AA$597-$Z$799-$AA$799)*(L799)</f>
        <v>2028.0739406640225</v>
      </c>
      <c r="AF799" s="4" t="s">
        <v>1114</v>
      </c>
    </row>
    <row r="800" spans="1:32" ht="11.25" customHeight="1" x14ac:dyDescent="0.25">
      <c r="A800" s="4" t="s">
        <v>27</v>
      </c>
      <c r="B800" s="4" t="s">
        <v>44</v>
      </c>
      <c r="C800" s="4" t="s">
        <v>23</v>
      </c>
      <c r="D800" s="4" t="s">
        <v>45</v>
      </c>
      <c r="E800" s="4" t="s">
        <v>54</v>
      </c>
      <c r="F800" s="4" t="s">
        <v>55</v>
      </c>
      <c r="G800" s="4" t="s">
        <v>25</v>
      </c>
      <c r="H800" s="4" t="s">
        <v>25</v>
      </c>
      <c r="I800" s="5">
        <v>44470</v>
      </c>
      <c r="J800" s="6">
        <v>0</v>
      </c>
      <c r="K800" s="6">
        <v>0</v>
      </c>
      <c r="L800" s="6">
        <v>-1.7809999999999999</v>
      </c>
      <c r="M800" s="6">
        <v>-1.7809999999999999</v>
      </c>
      <c r="N800" s="6">
        <v>-1.7809999999999999</v>
      </c>
      <c r="O800" s="6">
        <v>-1.7809999999999999</v>
      </c>
      <c r="P800" s="6">
        <v>0</v>
      </c>
      <c r="Q800" s="4" t="s">
        <v>26</v>
      </c>
      <c r="R800" s="4">
        <v>0</v>
      </c>
      <c r="S800" s="4">
        <v>0</v>
      </c>
      <c r="T800" s="4">
        <v>54</v>
      </c>
      <c r="U800" s="4">
        <v>97</v>
      </c>
      <c r="V800" s="6">
        <f>IF(ISERROR(VLOOKUP($S$800,'TAR FIN'!$A$1:$O$116,15,0)),0,VLOOKUP($S$800,'TAR FIN'!$A$1:$O$116,15,0))</f>
        <v>0</v>
      </c>
      <c r="W800" s="6">
        <f>IF(ISERROR(VLOOKUP($T$800,'TAR FIN'!$A$1:$O$116,15,0)),0,VLOOKUP($T$800,'TAR FIN'!$A$1:$O$116,15,0))</f>
        <v>301.38</v>
      </c>
      <c r="X800" s="6">
        <f>IF(ISERROR(VLOOKUP($U$800,'TAR FIN'!$A$1:$O$116,15,0)),0,VLOOKUP($U$800,'TAR FIN'!$A$1:$O$116,15,0))</f>
        <v>287.29000000000002</v>
      </c>
      <c r="Y800" s="6"/>
      <c r="Z800" s="6">
        <f ca="1">('TUSD BE'!$AM$56+'TUSD BF'!$AM$56+'TUSD CVA'!$AM$56)*(1-CUSTOS!$M$38)</f>
        <v>410.57781128100521</v>
      </c>
      <c r="AA800" s="6">
        <f>('TE BE'!$AB$27+'TE BF'!$AB$27+'TE CVA'!$AB$27)*(1-CUSTOS!$M$38)</f>
        <v>309.85296222048811</v>
      </c>
      <c r="AB800" s="6">
        <f t="shared" si="46"/>
        <v>0</v>
      </c>
      <c r="AC800" s="6">
        <f>(L800-M800)*(W800+X800)+($W$597+$X$597-$W$800-$X$800)*(L800)</f>
        <v>-142.97868000000005</v>
      </c>
      <c r="AD800" s="6">
        <f t="shared" si="47"/>
        <v>0</v>
      </c>
      <c r="AE800" s="6">
        <f ca="1">(L800-M800)*(Z800+AA800)+($Z$597+$AA$597-$Z$800-$AA$800)*(L800)</f>
        <v>-81.899183464222929</v>
      </c>
      <c r="AF800" s="4" t="s">
        <v>1114</v>
      </c>
    </row>
    <row r="801" spans="1:32" ht="11.25" customHeight="1" x14ac:dyDescent="0.25">
      <c r="A801" s="4" t="s">
        <v>28</v>
      </c>
      <c r="B801" s="4" t="s">
        <v>44</v>
      </c>
      <c r="C801" s="4" t="s">
        <v>23</v>
      </c>
      <c r="D801" s="4" t="s">
        <v>45</v>
      </c>
      <c r="E801" s="4" t="s">
        <v>54</v>
      </c>
      <c r="F801" s="4" t="s">
        <v>55</v>
      </c>
      <c r="G801" s="4" t="s">
        <v>25</v>
      </c>
      <c r="H801" s="4" t="s">
        <v>25</v>
      </c>
      <c r="I801" s="5">
        <v>44470</v>
      </c>
      <c r="J801" s="6">
        <v>0</v>
      </c>
      <c r="K801" s="6">
        <v>0</v>
      </c>
      <c r="L801" s="6">
        <v>9.7949999999999999</v>
      </c>
      <c r="M801" s="6">
        <v>9.7949999999999999</v>
      </c>
      <c r="N801" s="6">
        <v>9.7949999999999999</v>
      </c>
      <c r="O801" s="6">
        <v>9.7949999999999999</v>
      </c>
      <c r="P801" s="6">
        <v>0</v>
      </c>
      <c r="Q801" s="4" t="s">
        <v>26</v>
      </c>
      <c r="R801" s="4">
        <v>0</v>
      </c>
      <c r="S801" s="4">
        <v>0</v>
      </c>
      <c r="T801" s="4">
        <v>54</v>
      </c>
      <c r="U801" s="4">
        <v>97</v>
      </c>
      <c r="V801" s="6">
        <f>IF(ISERROR(VLOOKUP($S$801,'TAR FIN'!$A$1:$O$116,15,0)),0,VLOOKUP($S$801,'TAR FIN'!$A$1:$O$116,15,0))</f>
        <v>0</v>
      </c>
      <c r="W801" s="6">
        <f>IF(ISERROR(VLOOKUP($T$801,'TAR FIN'!$A$1:$O$116,15,0)),0,VLOOKUP($T$801,'TAR FIN'!$A$1:$O$116,15,0))</f>
        <v>301.38</v>
      </c>
      <c r="X801" s="6">
        <f>IF(ISERROR(VLOOKUP($U$801,'TAR FIN'!$A$1:$O$116,15,0)),0,VLOOKUP($U$801,'TAR FIN'!$A$1:$O$116,15,0))</f>
        <v>287.29000000000002</v>
      </c>
      <c r="Y801" s="6"/>
      <c r="Z801" s="6">
        <f ca="1">('TUSD BE'!$AM$56+'TUSD BF'!$AM$56+'TUSD CVA'!$AM$56)*(1-CUSTOS!$M$38)</f>
        <v>410.57781128100521</v>
      </c>
      <c r="AA801" s="6">
        <f>('TE BE'!$AB$27+'TE BF'!$AB$27+'TE CVA'!$AB$27)*(1-CUSTOS!$M$38)</f>
        <v>309.85296222048811</v>
      </c>
      <c r="AB801" s="6">
        <f t="shared" si="46"/>
        <v>0</v>
      </c>
      <c r="AC801" s="6">
        <f>(L801-M801)*(W801+X801)+($W$597+$X$597-$W$801-$X$801)*(L801)</f>
        <v>786.34260000000029</v>
      </c>
      <c r="AD801" s="6">
        <f t="shared" si="47"/>
        <v>0</v>
      </c>
      <c r="AE801" s="6">
        <f ca="1">(L801-M801)*(Z801+AA801)+($Z$597+$AA$597-$Z$801-$AA$801)*(L801)</f>
        <v>450.42251658173143</v>
      </c>
      <c r="AF801" s="4" t="s">
        <v>1114</v>
      </c>
    </row>
    <row r="802" spans="1:32" ht="11.25" customHeight="1" x14ac:dyDescent="0.25">
      <c r="A802" s="4" t="s">
        <v>21</v>
      </c>
      <c r="B802" s="4" t="s">
        <v>44</v>
      </c>
      <c r="C802" s="4" t="s">
        <v>23</v>
      </c>
      <c r="D802" s="4" t="s">
        <v>45</v>
      </c>
      <c r="E802" s="4" t="s">
        <v>54</v>
      </c>
      <c r="F802" s="4" t="s">
        <v>55</v>
      </c>
      <c r="G802" s="4" t="s">
        <v>25</v>
      </c>
      <c r="H802" s="4" t="s">
        <v>25</v>
      </c>
      <c r="I802" s="5">
        <v>44501</v>
      </c>
      <c r="J802" s="6">
        <v>0</v>
      </c>
      <c r="K802" s="6">
        <v>0</v>
      </c>
      <c r="L802" s="6">
        <v>39.124000000000002</v>
      </c>
      <c r="M802" s="6">
        <v>39.124000000000002</v>
      </c>
      <c r="N802" s="6">
        <v>39.124000000000002</v>
      </c>
      <c r="O802" s="6">
        <v>39.124000000000002</v>
      </c>
      <c r="P802" s="6">
        <v>0</v>
      </c>
      <c r="Q802" s="4" t="s">
        <v>26</v>
      </c>
      <c r="R802" s="4">
        <v>0</v>
      </c>
      <c r="S802" s="4">
        <v>0</v>
      </c>
      <c r="T802" s="4">
        <v>54</v>
      </c>
      <c r="U802" s="4">
        <v>97</v>
      </c>
      <c r="V802" s="6">
        <f>IF(ISERROR(VLOOKUP($S$802,'TAR FIN'!$A$1:$O$116,15,0)),0,VLOOKUP($S$802,'TAR FIN'!$A$1:$O$116,15,0))</f>
        <v>0</v>
      </c>
      <c r="W802" s="6">
        <f>IF(ISERROR(VLOOKUP($T$802,'TAR FIN'!$A$1:$O$116,15,0)),0,VLOOKUP($T$802,'TAR FIN'!$A$1:$O$116,15,0))</f>
        <v>301.38</v>
      </c>
      <c r="X802" s="6">
        <f>IF(ISERROR(VLOOKUP($U$802,'TAR FIN'!$A$1:$O$116,15,0)),0,VLOOKUP($U$802,'TAR FIN'!$A$1:$O$116,15,0))</f>
        <v>287.29000000000002</v>
      </c>
      <c r="Y802" s="6"/>
      <c r="Z802" s="6">
        <f ca="1">('TUSD BE'!$AM$56+'TUSD BF'!$AM$56+'TUSD CVA'!$AM$56)*(1-CUSTOS!$M$38)</f>
        <v>410.57781128100521</v>
      </c>
      <c r="AA802" s="6">
        <f>('TE BE'!$AB$27+'TE BF'!$AB$27+'TE CVA'!$AB$27)*(1-CUSTOS!$M$38)</f>
        <v>309.85296222048811</v>
      </c>
      <c r="AB802" s="6">
        <f t="shared" si="46"/>
        <v>0</v>
      </c>
      <c r="AC802" s="6">
        <f>(L802-M802)*(W802+X802)+($W$597+$X$597-$W$802-$X$802)*(L802)</f>
        <v>3140.8747200000012</v>
      </c>
      <c r="AD802" s="6">
        <f t="shared" si="47"/>
        <v>0</v>
      </c>
      <c r="AE802" s="6">
        <f ca="1">(L802-M802)*(Z802+AA802)+($Z$597+$AA$597-$Z$802-$AA$802)*(L802)</f>
        <v>1799.1149095195162</v>
      </c>
      <c r="AF802" s="4" t="s">
        <v>1114</v>
      </c>
    </row>
    <row r="803" spans="1:32" ht="11.25" customHeight="1" x14ac:dyDescent="0.25">
      <c r="A803" s="4" t="s">
        <v>28</v>
      </c>
      <c r="B803" s="4" t="s">
        <v>44</v>
      </c>
      <c r="C803" s="4" t="s">
        <v>23</v>
      </c>
      <c r="D803" s="4" t="s">
        <v>45</v>
      </c>
      <c r="E803" s="4" t="s">
        <v>54</v>
      </c>
      <c r="F803" s="4" t="s">
        <v>55</v>
      </c>
      <c r="G803" s="4" t="s">
        <v>25</v>
      </c>
      <c r="H803" s="4" t="s">
        <v>25</v>
      </c>
      <c r="I803" s="5">
        <v>44501</v>
      </c>
      <c r="J803" s="6">
        <v>0</v>
      </c>
      <c r="K803" s="6">
        <v>0</v>
      </c>
      <c r="L803" s="6">
        <v>1.9970000000000001</v>
      </c>
      <c r="M803" s="6">
        <v>1.9970000000000001</v>
      </c>
      <c r="N803" s="6">
        <v>1.9970000000000001</v>
      </c>
      <c r="O803" s="6">
        <v>1.9970000000000001</v>
      </c>
      <c r="P803" s="6">
        <v>0</v>
      </c>
      <c r="Q803" s="4" t="s">
        <v>26</v>
      </c>
      <c r="R803" s="4">
        <v>0</v>
      </c>
      <c r="S803" s="4">
        <v>0</v>
      </c>
      <c r="T803" s="4">
        <v>54</v>
      </c>
      <c r="U803" s="4">
        <v>97</v>
      </c>
      <c r="V803" s="6">
        <f>IF(ISERROR(VLOOKUP($S$803,'TAR FIN'!$A$1:$O$116,15,0)),0,VLOOKUP($S$803,'TAR FIN'!$A$1:$O$116,15,0))</f>
        <v>0</v>
      </c>
      <c r="W803" s="6">
        <f>IF(ISERROR(VLOOKUP($T$803,'TAR FIN'!$A$1:$O$116,15,0)),0,VLOOKUP($T$803,'TAR FIN'!$A$1:$O$116,15,0))</f>
        <v>301.38</v>
      </c>
      <c r="X803" s="6">
        <f>IF(ISERROR(VLOOKUP($U$803,'TAR FIN'!$A$1:$O$116,15,0)),0,VLOOKUP($U$803,'TAR FIN'!$A$1:$O$116,15,0))</f>
        <v>287.29000000000002</v>
      </c>
      <c r="Y803" s="6"/>
      <c r="Z803" s="6">
        <f ca="1">('TUSD BE'!$AM$56+'TUSD BF'!$AM$56+'TUSD CVA'!$AM$56)*(1-CUSTOS!$M$38)</f>
        <v>410.57781128100521</v>
      </c>
      <c r="AA803" s="6">
        <f>('TE BE'!$AB$27+'TE BF'!$AB$27+'TE CVA'!$AB$27)*(1-CUSTOS!$M$38)</f>
        <v>309.85296222048811</v>
      </c>
      <c r="AB803" s="6">
        <f t="shared" si="46"/>
        <v>0</v>
      </c>
      <c r="AC803" s="6">
        <f>(L803-M803)*(W803+X803)+($W$597+$X$597-$W$803-$X$803)*(L803)</f>
        <v>160.31916000000007</v>
      </c>
      <c r="AD803" s="6">
        <f t="shared" si="47"/>
        <v>0</v>
      </c>
      <c r="AE803" s="6">
        <f ca="1">(L803-M803)*(Z803+AA803)+($Z$597+$AA$597-$Z$803-$AA$803)*(L803)</f>
        <v>91.83193114994566</v>
      </c>
      <c r="AF803" s="4" t="s">
        <v>1114</v>
      </c>
    </row>
    <row r="804" spans="1:32" ht="11.25" customHeight="1" x14ac:dyDescent="0.25">
      <c r="A804" s="4" t="s">
        <v>21</v>
      </c>
      <c r="B804" s="4" t="s">
        <v>44</v>
      </c>
      <c r="C804" s="4" t="s">
        <v>23</v>
      </c>
      <c r="D804" s="4" t="s">
        <v>45</v>
      </c>
      <c r="E804" s="4" t="s">
        <v>54</v>
      </c>
      <c r="F804" s="4" t="s">
        <v>55</v>
      </c>
      <c r="G804" s="4" t="s">
        <v>25</v>
      </c>
      <c r="H804" s="4" t="s">
        <v>25</v>
      </c>
      <c r="I804" s="5">
        <v>44531</v>
      </c>
      <c r="J804" s="6">
        <v>0</v>
      </c>
      <c r="K804" s="6">
        <v>0</v>
      </c>
      <c r="L804" s="6">
        <v>32.83</v>
      </c>
      <c r="M804" s="6">
        <v>32.83</v>
      </c>
      <c r="N804" s="6">
        <v>32.83</v>
      </c>
      <c r="O804" s="6">
        <v>32.83</v>
      </c>
      <c r="P804" s="6">
        <v>0</v>
      </c>
      <c r="Q804" s="4" t="s">
        <v>26</v>
      </c>
      <c r="R804" s="4">
        <v>0</v>
      </c>
      <c r="S804" s="4">
        <v>0</v>
      </c>
      <c r="T804" s="4">
        <v>54</v>
      </c>
      <c r="U804" s="4">
        <v>97</v>
      </c>
      <c r="V804" s="6">
        <f>IF(ISERROR(VLOOKUP($S$804,'TAR FIN'!$A$1:$O$116,15,0)),0,VLOOKUP($S$804,'TAR FIN'!$A$1:$O$116,15,0))</f>
        <v>0</v>
      </c>
      <c r="W804" s="6">
        <f>IF(ISERROR(VLOOKUP($T$804,'TAR FIN'!$A$1:$O$116,15,0)),0,VLOOKUP($T$804,'TAR FIN'!$A$1:$O$116,15,0))</f>
        <v>301.38</v>
      </c>
      <c r="X804" s="6">
        <f>IF(ISERROR(VLOOKUP($U$804,'TAR FIN'!$A$1:$O$116,15,0)),0,VLOOKUP($U$804,'TAR FIN'!$A$1:$O$116,15,0))</f>
        <v>287.29000000000002</v>
      </c>
      <c r="Y804" s="6"/>
      <c r="Z804" s="6">
        <f ca="1">('TUSD BE'!$AM$56+'TUSD BF'!$AM$56+'TUSD CVA'!$AM$56)*(1-CUSTOS!$M$38)</f>
        <v>410.57781128100521</v>
      </c>
      <c r="AA804" s="6">
        <f>('TE BE'!$AB$27+'TE BF'!$AB$27+'TE CVA'!$AB$27)*(1-CUSTOS!$M$38)</f>
        <v>309.85296222048811</v>
      </c>
      <c r="AB804" s="6">
        <f t="shared" si="46"/>
        <v>0</v>
      </c>
      <c r="AC804" s="6">
        <f>(L804-M804)*(W804+X804)+($W$597+$X$597-$W$804-$X$804)*(L804)</f>
        <v>2635.5924000000009</v>
      </c>
      <c r="AD804" s="6">
        <f t="shared" si="47"/>
        <v>0</v>
      </c>
      <c r="AE804" s="6">
        <f ca="1">(L804-M804)*(Z804+AA804)+($Z$597+$AA$597-$Z$804-$AA$804)*(L804)</f>
        <v>1509.6856783438736</v>
      </c>
      <c r="AF804" s="4" t="s">
        <v>1114</v>
      </c>
    </row>
    <row r="805" spans="1:32" ht="11.25" customHeight="1" x14ac:dyDescent="0.25">
      <c r="A805" s="4" t="s">
        <v>28</v>
      </c>
      <c r="B805" s="4" t="s">
        <v>44</v>
      </c>
      <c r="C805" s="4" t="s">
        <v>23</v>
      </c>
      <c r="D805" s="4" t="s">
        <v>45</v>
      </c>
      <c r="E805" s="4" t="s">
        <v>54</v>
      </c>
      <c r="F805" s="4" t="s">
        <v>55</v>
      </c>
      <c r="G805" s="4" t="s">
        <v>25</v>
      </c>
      <c r="H805" s="4" t="s">
        <v>25</v>
      </c>
      <c r="I805" s="5">
        <v>44531</v>
      </c>
      <c r="J805" s="6">
        <v>0</v>
      </c>
      <c r="K805" s="6">
        <v>0</v>
      </c>
      <c r="L805" s="6">
        <v>19.34</v>
      </c>
      <c r="M805" s="6">
        <v>19.34</v>
      </c>
      <c r="N805" s="6">
        <v>19.34</v>
      </c>
      <c r="O805" s="6">
        <v>19.34</v>
      </c>
      <c r="P805" s="6">
        <v>0</v>
      </c>
      <c r="Q805" s="4" t="s">
        <v>26</v>
      </c>
      <c r="R805" s="4">
        <v>0</v>
      </c>
      <c r="S805" s="4">
        <v>0</v>
      </c>
      <c r="T805" s="4">
        <v>54</v>
      </c>
      <c r="U805" s="4">
        <v>97</v>
      </c>
      <c r="V805" s="6">
        <f>IF(ISERROR(VLOOKUP($S$805,'TAR FIN'!$A$1:$O$116,15,0)),0,VLOOKUP($S$805,'TAR FIN'!$A$1:$O$116,15,0))</f>
        <v>0</v>
      </c>
      <c r="W805" s="6">
        <f>IF(ISERROR(VLOOKUP($T$805,'TAR FIN'!$A$1:$O$116,15,0)),0,VLOOKUP($T$805,'TAR FIN'!$A$1:$O$116,15,0))</f>
        <v>301.38</v>
      </c>
      <c r="X805" s="6">
        <f>IF(ISERROR(VLOOKUP($U$805,'TAR FIN'!$A$1:$O$116,15,0)),0,VLOOKUP($U$805,'TAR FIN'!$A$1:$O$116,15,0))</f>
        <v>287.29000000000002</v>
      </c>
      <c r="Y805" s="6"/>
      <c r="Z805" s="6">
        <f ca="1">('TUSD BE'!$AM$56+'TUSD BF'!$AM$56+'TUSD CVA'!$AM$56)*(1-CUSTOS!$M$38)</f>
        <v>410.57781128100521</v>
      </c>
      <c r="AA805" s="6">
        <f>('TE BE'!$AB$27+'TE BF'!$AB$27+'TE CVA'!$AB$27)*(1-CUSTOS!$M$38)</f>
        <v>309.85296222048811</v>
      </c>
      <c r="AB805" s="6">
        <f t="shared" si="46"/>
        <v>0</v>
      </c>
      <c r="AC805" s="6">
        <f>(L805-M805)*(W805+X805)+($W$597+$X$597-$W$805-$X$805)*(L805)</f>
        <v>1552.6152000000006</v>
      </c>
      <c r="AD805" s="6">
        <f t="shared" si="47"/>
        <v>0</v>
      </c>
      <c r="AE805" s="6">
        <f ca="1">(L805-M805)*(Z805+AA805)+($Z$597+$AA$597-$Z$805-$AA$805)*(L805)</f>
        <v>889.34879741609859</v>
      </c>
      <c r="AF805" s="4" t="s">
        <v>1114</v>
      </c>
    </row>
    <row r="806" spans="1:32" ht="11.25" customHeight="1" x14ac:dyDescent="0.25">
      <c r="A806" s="4" t="s">
        <v>21</v>
      </c>
      <c r="B806" s="4" t="s">
        <v>44</v>
      </c>
      <c r="C806" s="4" t="s">
        <v>23</v>
      </c>
      <c r="D806" s="4" t="s">
        <v>45</v>
      </c>
      <c r="E806" s="4" t="s">
        <v>54</v>
      </c>
      <c r="F806" s="4" t="s">
        <v>55</v>
      </c>
      <c r="G806" s="4" t="s">
        <v>25</v>
      </c>
      <c r="H806" s="4" t="s">
        <v>25</v>
      </c>
      <c r="I806" s="5">
        <v>44562</v>
      </c>
      <c r="J806" s="6">
        <v>0</v>
      </c>
      <c r="K806" s="6">
        <v>0</v>
      </c>
      <c r="L806" s="6">
        <v>26.302</v>
      </c>
      <c r="M806" s="6">
        <v>26.302</v>
      </c>
      <c r="N806" s="6">
        <v>26.302</v>
      </c>
      <c r="O806" s="6">
        <v>26.302</v>
      </c>
      <c r="P806" s="6">
        <v>0</v>
      </c>
      <c r="Q806" s="4" t="s">
        <v>26</v>
      </c>
      <c r="R806" s="4">
        <v>0</v>
      </c>
      <c r="S806" s="4">
        <v>0</v>
      </c>
      <c r="T806" s="4">
        <v>54</v>
      </c>
      <c r="U806" s="4">
        <v>97</v>
      </c>
      <c r="V806" s="6">
        <f>IF(ISERROR(VLOOKUP($S$806,'TAR FIN'!$A$1:$O$116,15,0)),0,VLOOKUP($S$806,'TAR FIN'!$A$1:$O$116,15,0))</f>
        <v>0</v>
      </c>
      <c r="W806" s="6">
        <f>IF(ISERROR(VLOOKUP($T$806,'TAR FIN'!$A$1:$O$116,15,0)),0,VLOOKUP($T$806,'TAR FIN'!$A$1:$O$116,15,0))</f>
        <v>301.38</v>
      </c>
      <c r="X806" s="6">
        <f>IF(ISERROR(VLOOKUP($U$806,'TAR FIN'!$A$1:$O$116,15,0)),0,VLOOKUP($U$806,'TAR FIN'!$A$1:$O$116,15,0))</f>
        <v>287.29000000000002</v>
      </c>
      <c r="Y806" s="6"/>
      <c r="Z806" s="6">
        <f ca="1">('TUSD BE'!$AM$56+'TUSD BF'!$AM$56+'TUSD CVA'!$AM$56)*(1-CUSTOS!$M$38)</f>
        <v>410.57781128100521</v>
      </c>
      <c r="AA806" s="6">
        <f>('TE BE'!$AB$27+'TE BF'!$AB$27+'TE CVA'!$AB$27)*(1-CUSTOS!$M$38)</f>
        <v>309.85296222048811</v>
      </c>
      <c r="AB806" s="6">
        <f t="shared" si="46"/>
        <v>0</v>
      </c>
      <c r="AC806" s="6">
        <f>(L806-M806)*(W806+X806)+($W$597+$X$597-$W$806-$X$806)*(L806)</f>
        <v>2111.5245600000007</v>
      </c>
      <c r="AD806" s="6">
        <f t="shared" si="47"/>
        <v>0</v>
      </c>
      <c r="AE806" s="6">
        <f ca="1">(L806-M806)*(Z806+AA806)+($Z$597+$AA$597-$Z$806-$AA$806)*(L806)</f>
        <v>1209.4959705086983</v>
      </c>
      <c r="AF806" s="4" t="s">
        <v>1114</v>
      </c>
    </row>
    <row r="807" spans="1:32" ht="11.25" customHeight="1" x14ac:dyDescent="0.25">
      <c r="A807" s="4" t="s">
        <v>27</v>
      </c>
      <c r="B807" s="4" t="s">
        <v>44</v>
      </c>
      <c r="C807" s="4" t="s">
        <v>23</v>
      </c>
      <c r="D807" s="4" t="s">
        <v>45</v>
      </c>
      <c r="E807" s="4" t="s">
        <v>54</v>
      </c>
      <c r="F807" s="4" t="s">
        <v>55</v>
      </c>
      <c r="G807" s="4" t="s">
        <v>25</v>
      </c>
      <c r="H807" s="4" t="s">
        <v>25</v>
      </c>
      <c r="I807" s="5">
        <v>44562</v>
      </c>
      <c r="J807" s="6">
        <v>0</v>
      </c>
      <c r="K807" s="6">
        <v>0</v>
      </c>
      <c r="L807" s="6">
        <v>0.35</v>
      </c>
      <c r="M807" s="6">
        <v>0.35</v>
      </c>
      <c r="N807" s="6">
        <v>0.35</v>
      </c>
      <c r="O807" s="6">
        <v>0.35</v>
      </c>
      <c r="P807" s="6">
        <v>0</v>
      </c>
      <c r="Q807" s="4" t="s">
        <v>26</v>
      </c>
      <c r="R807" s="4">
        <v>0</v>
      </c>
      <c r="S807" s="4">
        <v>0</v>
      </c>
      <c r="T807" s="4">
        <v>54</v>
      </c>
      <c r="U807" s="4">
        <v>97</v>
      </c>
      <c r="V807" s="6">
        <f>IF(ISERROR(VLOOKUP($S$807,'TAR FIN'!$A$1:$O$116,15,0)),0,VLOOKUP($S$807,'TAR FIN'!$A$1:$O$116,15,0))</f>
        <v>0</v>
      </c>
      <c r="W807" s="6">
        <f>IF(ISERROR(VLOOKUP($T$807,'TAR FIN'!$A$1:$O$116,15,0)),0,VLOOKUP($T$807,'TAR FIN'!$A$1:$O$116,15,0))</f>
        <v>301.38</v>
      </c>
      <c r="X807" s="6">
        <f>IF(ISERROR(VLOOKUP($U$807,'TAR FIN'!$A$1:$O$116,15,0)),0,VLOOKUP($U$807,'TAR FIN'!$A$1:$O$116,15,0))</f>
        <v>287.29000000000002</v>
      </c>
      <c r="Y807" s="6"/>
      <c r="Z807" s="6">
        <f ca="1">('TUSD BE'!$AM$56+'TUSD BF'!$AM$56+'TUSD CVA'!$AM$56)*(1-CUSTOS!$M$38)</f>
        <v>410.57781128100521</v>
      </c>
      <c r="AA807" s="6">
        <f>('TE BE'!$AB$27+'TE BF'!$AB$27+'TE CVA'!$AB$27)*(1-CUSTOS!$M$38)</f>
        <v>309.85296222048811</v>
      </c>
      <c r="AB807" s="6">
        <f t="shared" si="46"/>
        <v>0</v>
      </c>
      <c r="AC807" s="6">
        <f>(L807-M807)*(W807+X807)+($W$597+$X$597-$W$807-$X$807)*(L807)</f>
        <v>28.09800000000001</v>
      </c>
      <c r="AD807" s="6">
        <f t="shared" si="47"/>
        <v>0</v>
      </c>
      <c r="AE807" s="6">
        <f ca="1">(L807-M807)*(Z807+AA807)+($Z$597+$AA$597-$Z$807-$AA$807)*(L807)</f>
        <v>16.094730046309952</v>
      </c>
      <c r="AF807" s="4" t="s">
        <v>1114</v>
      </c>
    </row>
    <row r="808" spans="1:32" ht="11.25" customHeight="1" x14ac:dyDescent="0.25">
      <c r="A808" s="4" t="s">
        <v>28</v>
      </c>
      <c r="B808" s="4" t="s">
        <v>44</v>
      </c>
      <c r="C808" s="4" t="s">
        <v>23</v>
      </c>
      <c r="D808" s="4" t="s">
        <v>45</v>
      </c>
      <c r="E808" s="4" t="s">
        <v>54</v>
      </c>
      <c r="F808" s="4" t="s">
        <v>55</v>
      </c>
      <c r="G808" s="4" t="s">
        <v>25</v>
      </c>
      <c r="H808" s="4" t="s">
        <v>25</v>
      </c>
      <c r="I808" s="5">
        <v>44562</v>
      </c>
      <c r="J808" s="6">
        <v>0</v>
      </c>
      <c r="K808" s="6">
        <v>0</v>
      </c>
      <c r="L808" s="6">
        <v>9.1129999999999995</v>
      </c>
      <c r="M808" s="6">
        <v>9.1129999999999995</v>
      </c>
      <c r="N808" s="6">
        <v>9.1129999999999995</v>
      </c>
      <c r="O808" s="6">
        <v>9.1129999999999995</v>
      </c>
      <c r="P808" s="6">
        <v>0</v>
      </c>
      <c r="Q808" s="4" t="s">
        <v>26</v>
      </c>
      <c r="R808" s="4">
        <v>0</v>
      </c>
      <c r="S808" s="4">
        <v>0</v>
      </c>
      <c r="T808" s="4">
        <v>54</v>
      </c>
      <c r="U808" s="4">
        <v>97</v>
      </c>
      <c r="V808" s="6">
        <f>IF(ISERROR(VLOOKUP($S$808,'TAR FIN'!$A$1:$O$116,15,0)),0,VLOOKUP($S$808,'TAR FIN'!$A$1:$O$116,15,0))</f>
        <v>0</v>
      </c>
      <c r="W808" s="6">
        <f>IF(ISERROR(VLOOKUP($T$808,'TAR FIN'!$A$1:$O$116,15,0)),0,VLOOKUP($T$808,'TAR FIN'!$A$1:$O$116,15,0))</f>
        <v>301.38</v>
      </c>
      <c r="X808" s="6">
        <f>IF(ISERROR(VLOOKUP($U$808,'TAR FIN'!$A$1:$O$116,15,0)),0,VLOOKUP($U$808,'TAR FIN'!$A$1:$O$116,15,0))</f>
        <v>287.29000000000002</v>
      </c>
      <c r="Y808" s="6"/>
      <c r="Z808" s="6">
        <f ca="1">('TUSD BE'!$AM$56+'TUSD BF'!$AM$56+'TUSD CVA'!$AM$56)*(1-CUSTOS!$M$38)</f>
        <v>410.57781128100521</v>
      </c>
      <c r="AA808" s="6">
        <f>('TE BE'!$AB$27+'TE BF'!$AB$27+'TE CVA'!$AB$27)*(1-CUSTOS!$M$38)</f>
        <v>309.85296222048811</v>
      </c>
      <c r="AB808" s="6">
        <f t="shared" si="46"/>
        <v>0</v>
      </c>
      <c r="AC808" s="6">
        <f>(L808-M808)*(W808+X808)+($W$597+$X$597-$W$808-$X$808)*(L808)</f>
        <v>731.59164000000021</v>
      </c>
      <c r="AD808" s="6">
        <f t="shared" si="47"/>
        <v>0</v>
      </c>
      <c r="AE808" s="6">
        <f ca="1">(L808-M808)*(Z808+AA808)+($Z$597+$AA$597-$Z$808-$AA$808)*(L808)</f>
        <v>419.06078546292173</v>
      </c>
      <c r="AF808" s="4" t="s">
        <v>1114</v>
      </c>
    </row>
    <row r="809" spans="1:32" ht="11.25" customHeight="1" x14ac:dyDescent="0.25">
      <c r="A809" s="4" t="s">
        <v>21</v>
      </c>
      <c r="B809" s="4" t="s">
        <v>44</v>
      </c>
      <c r="C809" s="4" t="s">
        <v>23</v>
      </c>
      <c r="D809" s="4" t="s">
        <v>45</v>
      </c>
      <c r="E809" s="4" t="s">
        <v>54</v>
      </c>
      <c r="F809" s="4" t="s">
        <v>55</v>
      </c>
      <c r="G809" s="4" t="s">
        <v>25</v>
      </c>
      <c r="H809" s="4" t="s">
        <v>25</v>
      </c>
      <c r="I809" s="5">
        <v>44593</v>
      </c>
      <c r="J809" s="6">
        <v>0</v>
      </c>
      <c r="K809" s="6">
        <v>0</v>
      </c>
      <c r="L809" s="6">
        <v>26.707000000000001</v>
      </c>
      <c r="M809" s="6">
        <v>26.707000000000001</v>
      </c>
      <c r="N809" s="6">
        <v>26.707000000000001</v>
      </c>
      <c r="O809" s="6">
        <v>26.707000000000001</v>
      </c>
      <c r="P809" s="6">
        <v>0</v>
      </c>
      <c r="Q809" s="4" t="s">
        <v>26</v>
      </c>
      <c r="R809" s="4">
        <v>0</v>
      </c>
      <c r="S809" s="4">
        <v>0</v>
      </c>
      <c r="T809" s="4">
        <v>54</v>
      </c>
      <c r="U809" s="4">
        <v>97</v>
      </c>
      <c r="V809" s="6">
        <f>IF(ISERROR(VLOOKUP($S$809,'TAR FIN'!$A$1:$O$116,15,0)),0,VLOOKUP($S$809,'TAR FIN'!$A$1:$O$116,15,0))</f>
        <v>0</v>
      </c>
      <c r="W809" s="6">
        <f>IF(ISERROR(VLOOKUP($T$809,'TAR FIN'!$A$1:$O$116,15,0)),0,VLOOKUP($T$809,'TAR FIN'!$A$1:$O$116,15,0))</f>
        <v>301.38</v>
      </c>
      <c r="X809" s="6">
        <f>IF(ISERROR(VLOOKUP($U$809,'TAR FIN'!$A$1:$O$116,15,0)),0,VLOOKUP($U$809,'TAR FIN'!$A$1:$O$116,15,0))</f>
        <v>287.29000000000002</v>
      </c>
      <c r="Y809" s="6"/>
      <c r="Z809" s="6">
        <f ca="1">('TUSD BE'!$AM$56+'TUSD BF'!$AM$56+'TUSD CVA'!$AM$56)*(1-CUSTOS!$M$38)</f>
        <v>410.57781128100521</v>
      </c>
      <c r="AA809" s="6">
        <f>('TE BE'!$AB$27+'TE BF'!$AB$27+'TE CVA'!$AB$27)*(1-CUSTOS!$M$38)</f>
        <v>309.85296222048811</v>
      </c>
      <c r="AB809" s="6">
        <f t="shared" si="46"/>
        <v>0</v>
      </c>
      <c r="AC809" s="6">
        <f>(L809-M809)*(W809+X809)+($W$597+$X$597-$W$809-$X$809)*(L809)</f>
        <v>2144.037960000001</v>
      </c>
      <c r="AD809" s="6">
        <f t="shared" si="47"/>
        <v>0</v>
      </c>
      <c r="AE809" s="6">
        <f ca="1">(L809-M809)*(Z809+AA809)+($Z$597+$AA$597-$Z$809-$AA$809)*(L809)</f>
        <v>1228.1198724194285</v>
      </c>
      <c r="AF809" s="4" t="s">
        <v>1114</v>
      </c>
    </row>
    <row r="810" spans="1:32" ht="11.25" customHeight="1" x14ac:dyDescent="0.25">
      <c r="A810" s="4" t="s">
        <v>27</v>
      </c>
      <c r="B810" s="4" t="s">
        <v>44</v>
      </c>
      <c r="C810" s="4" t="s">
        <v>23</v>
      </c>
      <c r="D810" s="4" t="s">
        <v>45</v>
      </c>
      <c r="E810" s="4" t="s">
        <v>54</v>
      </c>
      <c r="F810" s="4" t="s">
        <v>55</v>
      </c>
      <c r="G810" s="4" t="s">
        <v>25</v>
      </c>
      <c r="H810" s="4" t="s">
        <v>25</v>
      </c>
      <c r="I810" s="5">
        <v>44593</v>
      </c>
      <c r="J810" s="6">
        <v>0</v>
      </c>
      <c r="K810" s="6">
        <v>0</v>
      </c>
      <c r="L810" s="6">
        <v>-0.14799999999999999</v>
      </c>
      <c r="M810" s="6">
        <v>-0.14799999999999999</v>
      </c>
      <c r="N810" s="6">
        <v>-0.14799999999999999</v>
      </c>
      <c r="O810" s="6">
        <v>-0.14799999999999999</v>
      </c>
      <c r="P810" s="6">
        <v>0</v>
      </c>
      <c r="Q810" s="4" t="s">
        <v>26</v>
      </c>
      <c r="R810" s="4">
        <v>0</v>
      </c>
      <c r="S810" s="4">
        <v>0</v>
      </c>
      <c r="T810" s="4">
        <v>54</v>
      </c>
      <c r="U810" s="4">
        <v>97</v>
      </c>
      <c r="V810" s="6">
        <f>IF(ISERROR(VLOOKUP($S$810,'TAR FIN'!$A$1:$O$116,15,0)),0,VLOOKUP($S$810,'TAR FIN'!$A$1:$O$116,15,0))</f>
        <v>0</v>
      </c>
      <c r="W810" s="6">
        <f>IF(ISERROR(VLOOKUP($T$810,'TAR FIN'!$A$1:$O$116,15,0)),0,VLOOKUP($T$810,'TAR FIN'!$A$1:$O$116,15,0))</f>
        <v>301.38</v>
      </c>
      <c r="X810" s="6">
        <f>IF(ISERROR(VLOOKUP($U$810,'TAR FIN'!$A$1:$O$116,15,0)),0,VLOOKUP($U$810,'TAR FIN'!$A$1:$O$116,15,0))</f>
        <v>287.29000000000002</v>
      </c>
      <c r="Y810" s="6"/>
      <c r="Z810" s="6">
        <f ca="1">('TUSD BE'!$AM$56+'TUSD BF'!$AM$56+'TUSD CVA'!$AM$56)*(1-CUSTOS!$M$38)</f>
        <v>410.57781128100521</v>
      </c>
      <c r="AA810" s="6">
        <f>('TE BE'!$AB$27+'TE BF'!$AB$27+'TE CVA'!$AB$27)*(1-CUSTOS!$M$38)</f>
        <v>309.85296222048811</v>
      </c>
      <c r="AB810" s="6">
        <f t="shared" si="46"/>
        <v>0</v>
      </c>
      <c r="AC810" s="6">
        <f>(L810-M810)*(W810+X810)+($W$597+$X$597-$W$810-$X$810)*(L810)</f>
        <v>-11.881440000000003</v>
      </c>
      <c r="AD810" s="6">
        <f t="shared" si="47"/>
        <v>0</v>
      </c>
      <c r="AE810" s="6">
        <f ca="1">(L810-M810)*(Z810+AA810)+($Z$597+$AA$597-$Z$810-$AA$810)*(L810)</f>
        <v>-6.8057715624396371</v>
      </c>
      <c r="AF810" s="4" t="s">
        <v>1114</v>
      </c>
    </row>
    <row r="811" spans="1:32" ht="11.25" customHeight="1" x14ac:dyDescent="0.25">
      <c r="A811" s="4" t="s">
        <v>28</v>
      </c>
      <c r="B811" s="4" t="s">
        <v>44</v>
      </c>
      <c r="C811" s="4" t="s">
        <v>23</v>
      </c>
      <c r="D811" s="4" t="s">
        <v>45</v>
      </c>
      <c r="E811" s="4" t="s">
        <v>54</v>
      </c>
      <c r="F811" s="4" t="s">
        <v>55</v>
      </c>
      <c r="G811" s="4" t="s">
        <v>25</v>
      </c>
      <c r="H811" s="4" t="s">
        <v>25</v>
      </c>
      <c r="I811" s="5">
        <v>44593</v>
      </c>
      <c r="J811" s="6">
        <v>0</v>
      </c>
      <c r="K811" s="6">
        <v>0</v>
      </c>
      <c r="L811" s="6">
        <v>9.19</v>
      </c>
      <c r="M811" s="6">
        <v>9.19</v>
      </c>
      <c r="N811" s="6">
        <v>9.19</v>
      </c>
      <c r="O811" s="6">
        <v>9.19</v>
      </c>
      <c r="P811" s="6">
        <v>0</v>
      </c>
      <c r="Q811" s="4" t="s">
        <v>26</v>
      </c>
      <c r="R811" s="4">
        <v>0</v>
      </c>
      <c r="S811" s="4">
        <v>0</v>
      </c>
      <c r="T811" s="4">
        <v>54</v>
      </c>
      <c r="U811" s="4">
        <v>97</v>
      </c>
      <c r="V811" s="6">
        <f>IF(ISERROR(VLOOKUP($S$811,'TAR FIN'!$A$1:$O$116,15,0)),0,VLOOKUP($S$811,'TAR FIN'!$A$1:$O$116,15,0))</f>
        <v>0</v>
      </c>
      <c r="W811" s="6">
        <f>IF(ISERROR(VLOOKUP($T$811,'TAR FIN'!$A$1:$O$116,15,0)),0,VLOOKUP($T$811,'TAR FIN'!$A$1:$O$116,15,0))</f>
        <v>301.38</v>
      </c>
      <c r="X811" s="6">
        <f>IF(ISERROR(VLOOKUP($U$811,'TAR FIN'!$A$1:$O$116,15,0)),0,VLOOKUP($U$811,'TAR FIN'!$A$1:$O$116,15,0))</f>
        <v>287.29000000000002</v>
      </c>
      <c r="Y811" s="6"/>
      <c r="Z811" s="6">
        <f ca="1">('TUSD BE'!$AM$56+'TUSD BF'!$AM$56+'TUSD CVA'!$AM$56)*(1-CUSTOS!$M$38)</f>
        <v>410.57781128100521</v>
      </c>
      <c r="AA811" s="6">
        <f>('TE BE'!$AB$27+'TE BF'!$AB$27+'TE CVA'!$AB$27)*(1-CUSTOS!$M$38)</f>
        <v>309.85296222048811</v>
      </c>
      <c r="AB811" s="6">
        <f t="shared" si="46"/>
        <v>0</v>
      </c>
      <c r="AC811" s="6">
        <f>(L811-M811)*(W811+X811)+($W$597+$X$597-$W$811-$X$811)*(L811)</f>
        <v>737.7732000000002</v>
      </c>
      <c r="AD811" s="6">
        <f t="shared" si="47"/>
        <v>0</v>
      </c>
      <c r="AE811" s="6">
        <f ca="1">(L811-M811)*(Z811+AA811)+($Z$597+$AA$597-$Z$811-$AA$811)*(L811)</f>
        <v>422.60162607310991</v>
      </c>
      <c r="AF811" s="4" t="s">
        <v>1114</v>
      </c>
    </row>
    <row r="812" spans="1:32" ht="11.25" customHeight="1" x14ac:dyDescent="0.25">
      <c r="A812" s="4" t="s">
        <v>21</v>
      </c>
      <c r="B812" s="4" t="s">
        <v>44</v>
      </c>
      <c r="C812" s="4" t="s">
        <v>23</v>
      </c>
      <c r="D812" s="4" t="s">
        <v>45</v>
      </c>
      <c r="E812" s="4" t="s">
        <v>54</v>
      </c>
      <c r="F812" s="4" t="s">
        <v>55</v>
      </c>
      <c r="G812" s="4" t="s">
        <v>25</v>
      </c>
      <c r="H812" s="4" t="s">
        <v>25</v>
      </c>
      <c r="I812" s="5">
        <v>44621</v>
      </c>
      <c r="J812" s="6">
        <v>0</v>
      </c>
      <c r="K812" s="6">
        <v>0</v>
      </c>
      <c r="L812" s="6">
        <v>28.422999999999998</v>
      </c>
      <c r="M812" s="6">
        <v>28.422999999999998</v>
      </c>
      <c r="N812" s="6">
        <v>28.422999999999998</v>
      </c>
      <c r="O812" s="6">
        <v>28.422999999999998</v>
      </c>
      <c r="P812" s="6">
        <v>0</v>
      </c>
      <c r="Q812" s="4" t="s">
        <v>26</v>
      </c>
      <c r="R812" s="4">
        <v>0</v>
      </c>
      <c r="S812" s="4">
        <v>0</v>
      </c>
      <c r="T812" s="4">
        <v>54</v>
      </c>
      <c r="U812" s="4">
        <v>97</v>
      </c>
      <c r="V812" s="6">
        <f>IF(ISERROR(VLOOKUP($S$812,'TAR FIN'!$A$1:$O$116,15,0)),0,VLOOKUP($S$812,'TAR FIN'!$A$1:$O$116,15,0))</f>
        <v>0</v>
      </c>
      <c r="W812" s="6">
        <f>IF(ISERROR(VLOOKUP($T$812,'TAR FIN'!$A$1:$O$116,15,0)),0,VLOOKUP($T$812,'TAR FIN'!$A$1:$O$116,15,0))</f>
        <v>301.38</v>
      </c>
      <c r="X812" s="6">
        <f>IF(ISERROR(VLOOKUP($U$812,'TAR FIN'!$A$1:$O$116,15,0)),0,VLOOKUP($U$812,'TAR FIN'!$A$1:$O$116,15,0))</f>
        <v>287.29000000000002</v>
      </c>
      <c r="Y812" s="6"/>
      <c r="Z812" s="6">
        <f ca="1">('TUSD BE'!$AM$56+'TUSD BF'!$AM$56+'TUSD CVA'!$AM$56)*(1-CUSTOS!$M$38)</f>
        <v>410.57781128100521</v>
      </c>
      <c r="AA812" s="6">
        <f>('TE BE'!$AB$27+'TE BF'!$AB$27+'TE CVA'!$AB$27)*(1-CUSTOS!$M$38)</f>
        <v>309.85296222048811</v>
      </c>
      <c r="AB812" s="6">
        <f t="shared" si="46"/>
        <v>0</v>
      </c>
      <c r="AC812" s="6">
        <f>(L812-M812)*(W812+X812)+($W$597+$X$597-$W$812-$X$812)*(L812)</f>
        <v>2281.7984400000005</v>
      </c>
      <c r="AD812" s="6">
        <f t="shared" si="47"/>
        <v>0</v>
      </c>
      <c r="AE812" s="6">
        <f ca="1">(L812-M812)*(Z812+AA812)+($Z$597+$AA$597-$Z$812-$AA$812)*(L812)</f>
        <v>1307.0300345893365</v>
      </c>
      <c r="AF812" s="4" t="s">
        <v>1114</v>
      </c>
    </row>
    <row r="813" spans="1:32" ht="11.25" customHeight="1" x14ac:dyDescent="0.25">
      <c r="A813" s="4" t="s">
        <v>28</v>
      </c>
      <c r="B813" s="4" t="s">
        <v>44</v>
      </c>
      <c r="C813" s="4" t="s">
        <v>23</v>
      </c>
      <c r="D813" s="4" t="s">
        <v>45</v>
      </c>
      <c r="E813" s="4" t="s">
        <v>54</v>
      </c>
      <c r="F813" s="4" t="s">
        <v>55</v>
      </c>
      <c r="G813" s="4" t="s">
        <v>25</v>
      </c>
      <c r="H813" s="4" t="s">
        <v>25</v>
      </c>
      <c r="I813" s="5">
        <v>44621</v>
      </c>
      <c r="J813" s="6">
        <v>0</v>
      </c>
      <c r="K813" s="6">
        <v>0</v>
      </c>
      <c r="L813" s="6">
        <v>5.3840000000000003</v>
      </c>
      <c r="M813" s="6">
        <v>5.3840000000000003</v>
      </c>
      <c r="N813" s="6">
        <v>5.3840000000000003</v>
      </c>
      <c r="O813" s="6">
        <v>5.3840000000000003</v>
      </c>
      <c r="P813" s="6">
        <v>0</v>
      </c>
      <c r="Q813" s="4" t="s">
        <v>26</v>
      </c>
      <c r="R813" s="4">
        <v>0</v>
      </c>
      <c r="S813" s="4">
        <v>0</v>
      </c>
      <c r="T813" s="4">
        <v>54</v>
      </c>
      <c r="U813" s="4">
        <v>97</v>
      </c>
      <c r="V813" s="6">
        <f>IF(ISERROR(VLOOKUP($S$813,'TAR FIN'!$A$1:$O$116,15,0)),0,VLOOKUP($S$813,'TAR FIN'!$A$1:$O$116,15,0))</f>
        <v>0</v>
      </c>
      <c r="W813" s="6">
        <f>IF(ISERROR(VLOOKUP($T$813,'TAR FIN'!$A$1:$O$116,15,0)),0,VLOOKUP($T$813,'TAR FIN'!$A$1:$O$116,15,0))</f>
        <v>301.38</v>
      </c>
      <c r="X813" s="6">
        <f>IF(ISERROR(VLOOKUP($U$813,'TAR FIN'!$A$1:$O$116,15,0)),0,VLOOKUP($U$813,'TAR FIN'!$A$1:$O$116,15,0))</f>
        <v>287.29000000000002</v>
      </c>
      <c r="Y813" s="6"/>
      <c r="Z813" s="6">
        <f ca="1">('TUSD BE'!$AM$56+'TUSD BF'!$AM$56+'TUSD CVA'!$AM$56)*(1-CUSTOS!$M$38)</f>
        <v>410.57781128100521</v>
      </c>
      <c r="AA813" s="6">
        <f>('TE BE'!$AB$27+'TE BF'!$AB$27+'TE CVA'!$AB$27)*(1-CUSTOS!$M$38)</f>
        <v>309.85296222048811</v>
      </c>
      <c r="AB813" s="6">
        <f t="shared" si="46"/>
        <v>0</v>
      </c>
      <c r="AC813" s="6">
        <f>(L813-M813)*(W813+X813)+($W$597+$X$597-$W$813-$X$813)*(L813)</f>
        <v>432.2275200000002</v>
      </c>
      <c r="AD813" s="6">
        <f t="shared" si="47"/>
        <v>0</v>
      </c>
      <c r="AE813" s="6">
        <f ca="1">(L813-M813)*(Z813+AA813)+($Z$597+$AA$597-$Z$813-$AA$813)*(L813)</f>
        <v>247.58293305523657</v>
      </c>
      <c r="AF813" s="4" t="s">
        <v>1114</v>
      </c>
    </row>
    <row r="814" spans="1:32" ht="11.25" customHeight="1" x14ac:dyDescent="0.25">
      <c r="A814" s="4" t="s">
        <v>21</v>
      </c>
      <c r="B814" s="4" t="s">
        <v>44</v>
      </c>
      <c r="C814" s="4" t="s">
        <v>23</v>
      </c>
      <c r="D814" s="4" t="s">
        <v>45</v>
      </c>
      <c r="E814" s="4" t="s">
        <v>54</v>
      </c>
      <c r="F814" s="4" t="s">
        <v>55</v>
      </c>
      <c r="G814" s="4" t="s">
        <v>25</v>
      </c>
      <c r="H814" s="4" t="s">
        <v>25</v>
      </c>
      <c r="I814" s="5">
        <v>44652</v>
      </c>
      <c r="J814" s="6">
        <v>0</v>
      </c>
      <c r="K814" s="6">
        <v>0</v>
      </c>
      <c r="L814" s="6">
        <v>31.181000000000001</v>
      </c>
      <c r="M814" s="6">
        <v>31.181000000000001</v>
      </c>
      <c r="N814" s="6">
        <v>31.181000000000001</v>
      </c>
      <c r="O814" s="6">
        <v>31.181000000000001</v>
      </c>
      <c r="P814" s="6">
        <v>0</v>
      </c>
      <c r="Q814" s="4" t="s">
        <v>26</v>
      </c>
      <c r="R814" s="4">
        <v>0</v>
      </c>
      <c r="S814" s="4">
        <v>0</v>
      </c>
      <c r="T814" s="4">
        <v>54</v>
      </c>
      <c r="U814" s="4">
        <v>97</v>
      </c>
      <c r="V814" s="6">
        <f>IF(ISERROR(VLOOKUP($S$814,'TAR FIN'!$A$1:$O$116,15,0)),0,VLOOKUP($S$814,'TAR FIN'!$A$1:$O$116,15,0))</f>
        <v>0</v>
      </c>
      <c r="W814" s="6">
        <f>IF(ISERROR(VLOOKUP($T$814,'TAR FIN'!$A$1:$O$116,15,0)),0,VLOOKUP($T$814,'TAR FIN'!$A$1:$O$116,15,0))</f>
        <v>301.38</v>
      </c>
      <c r="X814" s="6">
        <f>IF(ISERROR(VLOOKUP($U$814,'TAR FIN'!$A$1:$O$116,15,0)),0,VLOOKUP($U$814,'TAR FIN'!$A$1:$O$116,15,0))</f>
        <v>287.29000000000002</v>
      </c>
      <c r="Y814" s="6"/>
      <c r="Z814" s="6">
        <f ca="1">('TUSD BE'!$AM$56+'TUSD BF'!$AM$56+'TUSD CVA'!$AM$56)*(1-CUSTOS!$M$38)</f>
        <v>410.57781128100521</v>
      </c>
      <c r="AA814" s="6">
        <f>('TE BE'!$AB$27+'TE BF'!$AB$27+'TE CVA'!$AB$27)*(1-CUSTOS!$M$38)</f>
        <v>309.85296222048811</v>
      </c>
      <c r="AB814" s="6">
        <f t="shared" si="46"/>
        <v>0</v>
      </c>
      <c r="AC814" s="6">
        <f>(L814-M814)*(W814+X814)+($W$597+$X$597-$W$814-$X$814)*(L814)</f>
        <v>2503.210680000001</v>
      </c>
      <c r="AD814" s="6">
        <f t="shared" si="47"/>
        <v>0</v>
      </c>
      <c r="AE814" s="6">
        <f ca="1">(L814-M814)*(Z814+AA814)+($Z$597+$AA$597-$Z$814-$AA$814)*(L814)</f>
        <v>1433.8565073542591</v>
      </c>
      <c r="AF814" s="4" t="s">
        <v>1114</v>
      </c>
    </row>
    <row r="815" spans="1:32" ht="11.25" customHeight="1" x14ac:dyDescent="0.25">
      <c r="A815" s="4" t="s">
        <v>28</v>
      </c>
      <c r="B815" s="4" t="s">
        <v>44</v>
      </c>
      <c r="C815" s="4" t="s">
        <v>23</v>
      </c>
      <c r="D815" s="4" t="s">
        <v>45</v>
      </c>
      <c r="E815" s="4" t="s">
        <v>54</v>
      </c>
      <c r="F815" s="4" t="s">
        <v>55</v>
      </c>
      <c r="G815" s="4" t="s">
        <v>25</v>
      </c>
      <c r="H815" s="4" t="s">
        <v>25</v>
      </c>
      <c r="I815" s="5">
        <v>44652</v>
      </c>
      <c r="J815" s="6">
        <v>0</v>
      </c>
      <c r="K815" s="6">
        <v>0</v>
      </c>
      <c r="L815" s="6">
        <v>10.276</v>
      </c>
      <c r="M815" s="6">
        <v>10.276</v>
      </c>
      <c r="N815" s="6">
        <v>10.276</v>
      </c>
      <c r="O815" s="6">
        <v>10.276</v>
      </c>
      <c r="P815" s="6">
        <v>0</v>
      </c>
      <c r="Q815" s="4" t="s">
        <v>26</v>
      </c>
      <c r="R815" s="4">
        <v>0</v>
      </c>
      <c r="S815" s="4">
        <v>0</v>
      </c>
      <c r="T815" s="4">
        <v>54</v>
      </c>
      <c r="U815" s="4">
        <v>97</v>
      </c>
      <c r="V815" s="6">
        <f>IF(ISERROR(VLOOKUP($S$815,'TAR FIN'!$A$1:$O$116,15,0)),0,VLOOKUP($S$815,'TAR FIN'!$A$1:$O$116,15,0))</f>
        <v>0</v>
      </c>
      <c r="W815" s="6">
        <f>IF(ISERROR(VLOOKUP($T$815,'TAR FIN'!$A$1:$O$116,15,0)),0,VLOOKUP($T$815,'TAR FIN'!$A$1:$O$116,15,0))</f>
        <v>301.38</v>
      </c>
      <c r="X815" s="6">
        <f>IF(ISERROR(VLOOKUP($U$815,'TAR FIN'!$A$1:$O$116,15,0)),0,VLOOKUP($U$815,'TAR FIN'!$A$1:$O$116,15,0))</f>
        <v>287.29000000000002</v>
      </c>
      <c r="Y815" s="6"/>
      <c r="Z815" s="6">
        <f ca="1">('TUSD BE'!$AM$56+'TUSD BF'!$AM$56+'TUSD CVA'!$AM$56)*(1-CUSTOS!$M$38)</f>
        <v>410.57781128100521</v>
      </c>
      <c r="AA815" s="6">
        <f>('TE BE'!$AB$27+'TE BF'!$AB$27+'TE CVA'!$AB$27)*(1-CUSTOS!$M$38)</f>
        <v>309.85296222048811</v>
      </c>
      <c r="AB815" s="6">
        <f t="shared" si="46"/>
        <v>0</v>
      </c>
      <c r="AC815" s="6">
        <f>(L815-M815)*(W815+X815)+($W$597+$X$597-$W$815-$X$815)*(L815)</f>
        <v>824.95728000000031</v>
      </c>
      <c r="AD815" s="6">
        <f t="shared" si="47"/>
        <v>0</v>
      </c>
      <c r="AE815" s="6">
        <f ca="1">(L815-M815)*(Z815+AA815)+($Z$597+$AA$597-$Z$815-$AA$815)*(L815)</f>
        <v>472.54127415966025</v>
      </c>
      <c r="AF815" s="4" t="s">
        <v>1114</v>
      </c>
    </row>
    <row r="816" spans="1:32" ht="11.25" customHeight="1" x14ac:dyDescent="0.25">
      <c r="A816" s="4" t="s">
        <v>58</v>
      </c>
      <c r="B816" s="4" t="s">
        <v>44</v>
      </c>
      <c r="C816" s="4" t="s">
        <v>23</v>
      </c>
      <c r="D816" s="4" t="s">
        <v>45</v>
      </c>
      <c r="E816" s="4" t="s">
        <v>54</v>
      </c>
      <c r="F816" s="4" t="s">
        <v>55</v>
      </c>
      <c r="G816" s="4" t="s">
        <v>25</v>
      </c>
      <c r="H816" s="4" t="s">
        <v>25</v>
      </c>
      <c r="I816" s="5">
        <v>44682</v>
      </c>
      <c r="J816" s="6">
        <v>0</v>
      </c>
      <c r="K816" s="6">
        <v>0</v>
      </c>
      <c r="L816" s="6">
        <v>31.181000000000001</v>
      </c>
      <c r="M816" s="6">
        <v>31.181000000000001</v>
      </c>
      <c r="N816" s="6">
        <v>31.181000000000001</v>
      </c>
      <c r="O816" s="6">
        <v>31.181000000000001</v>
      </c>
      <c r="P816" s="6">
        <v>0</v>
      </c>
      <c r="Q816" s="4" t="s">
        <v>26</v>
      </c>
      <c r="R816" s="4">
        <v>0</v>
      </c>
      <c r="S816" s="4">
        <v>0</v>
      </c>
      <c r="T816" s="4">
        <v>54</v>
      </c>
      <c r="U816" s="4">
        <v>97</v>
      </c>
      <c r="V816" s="6">
        <f>IF(ISERROR(VLOOKUP($S$816,'TAR FIN'!$A$1:$O$116,15,0)),0,VLOOKUP($S$816,'TAR FIN'!$A$1:$O$116,15,0))</f>
        <v>0</v>
      </c>
      <c r="W816" s="6">
        <f>IF(ISERROR(VLOOKUP($T$816,'TAR FIN'!$A$1:$O$116,15,0)),0,VLOOKUP($T$816,'TAR FIN'!$A$1:$O$116,15,0))</f>
        <v>301.38</v>
      </c>
      <c r="X816" s="6">
        <f>IF(ISERROR(VLOOKUP($U$816,'TAR FIN'!$A$1:$O$116,15,0)),0,VLOOKUP($U$816,'TAR FIN'!$A$1:$O$116,15,0))</f>
        <v>287.29000000000002</v>
      </c>
      <c r="Y816" s="6"/>
      <c r="Z816" s="6">
        <f ca="1">('TUSD BE'!$AM$56+'TUSD BF'!$AM$56+'TUSD CVA'!$AM$56)*(1-CUSTOS!$M$38)</f>
        <v>410.57781128100521</v>
      </c>
      <c r="AA816" s="6">
        <f>('TE BE'!$AB$27+'TE BF'!$AB$27+'TE CVA'!$AB$27)*(1-CUSTOS!$M$38)</f>
        <v>309.85296222048811</v>
      </c>
      <c r="AB816" s="6">
        <f t="shared" si="46"/>
        <v>0</v>
      </c>
      <c r="AC816" s="6">
        <f>(L816-M816)*(W816+X816)+($W$597+$X$597-$W$816-$X$816)*(L816)</f>
        <v>2503.210680000001</v>
      </c>
      <c r="AD816" s="6">
        <f t="shared" si="47"/>
        <v>0</v>
      </c>
      <c r="AE816" s="6">
        <f ca="1">(L816-M816)*(Z816+AA816)+($Z$597+$AA$597-$Z$816-$AA$816)*(L816)</f>
        <v>1433.8565073542591</v>
      </c>
      <c r="AF816" s="4" t="s">
        <v>1114</v>
      </c>
    </row>
    <row r="817" spans="1:32" ht="11.25" customHeight="1" x14ac:dyDescent="0.25">
      <c r="A817" s="4" t="s">
        <v>58</v>
      </c>
      <c r="B817" s="4" t="s">
        <v>44</v>
      </c>
      <c r="C817" s="4" t="s">
        <v>23</v>
      </c>
      <c r="D817" s="4" t="s">
        <v>45</v>
      </c>
      <c r="E817" s="4" t="s">
        <v>54</v>
      </c>
      <c r="F817" s="4" t="s">
        <v>55</v>
      </c>
      <c r="G817" s="4" t="s">
        <v>25</v>
      </c>
      <c r="H817" s="4" t="s">
        <v>25</v>
      </c>
      <c r="I817" s="5">
        <v>44682</v>
      </c>
      <c r="J817" s="6">
        <v>0</v>
      </c>
      <c r="K817" s="6">
        <v>0</v>
      </c>
      <c r="L817" s="6">
        <v>10.276</v>
      </c>
      <c r="M817" s="6">
        <v>10.276</v>
      </c>
      <c r="N817" s="6">
        <v>10.276</v>
      </c>
      <c r="O817" s="6">
        <v>10.276</v>
      </c>
      <c r="P817" s="6">
        <v>0</v>
      </c>
      <c r="Q817" s="4" t="s">
        <v>26</v>
      </c>
      <c r="R817" s="4">
        <v>0</v>
      </c>
      <c r="S817" s="4">
        <v>0</v>
      </c>
      <c r="T817" s="4">
        <v>54</v>
      </c>
      <c r="U817" s="4">
        <v>97</v>
      </c>
      <c r="V817" s="6">
        <f>IF(ISERROR(VLOOKUP($S$817,'TAR FIN'!$A$1:$O$116,15,0)),0,VLOOKUP($S$817,'TAR FIN'!$A$1:$O$116,15,0))</f>
        <v>0</v>
      </c>
      <c r="W817" s="6">
        <f>IF(ISERROR(VLOOKUP($T$817,'TAR FIN'!$A$1:$O$116,15,0)),0,VLOOKUP($T$817,'TAR FIN'!$A$1:$O$116,15,0))</f>
        <v>301.38</v>
      </c>
      <c r="X817" s="6">
        <f>IF(ISERROR(VLOOKUP($U$817,'TAR FIN'!$A$1:$O$116,15,0)),0,VLOOKUP($U$817,'TAR FIN'!$A$1:$O$116,15,0))</f>
        <v>287.29000000000002</v>
      </c>
      <c r="Y817" s="6"/>
      <c r="Z817" s="6">
        <f ca="1">('TUSD BE'!$AM$56+'TUSD BF'!$AM$56+'TUSD CVA'!$AM$56)*(1-CUSTOS!$M$38)</f>
        <v>410.57781128100521</v>
      </c>
      <c r="AA817" s="6">
        <f>('TE BE'!$AB$27+'TE BF'!$AB$27+'TE CVA'!$AB$27)*(1-CUSTOS!$M$38)</f>
        <v>309.85296222048811</v>
      </c>
      <c r="AB817" s="6">
        <f t="shared" si="46"/>
        <v>0</v>
      </c>
      <c r="AC817" s="6">
        <f>(L817-M817)*(W817+X817)+($W$597+$X$597-$W$817-$X$817)*(L817)</f>
        <v>824.95728000000031</v>
      </c>
      <c r="AD817" s="6">
        <f t="shared" si="47"/>
        <v>0</v>
      </c>
      <c r="AE817" s="6">
        <f ca="1">(L817-M817)*(Z817+AA817)+($Z$597+$AA$597-$Z$817-$AA$817)*(L817)</f>
        <v>472.54127415966025</v>
      </c>
      <c r="AF817" s="4" t="s">
        <v>1114</v>
      </c>
    </row>
    <row r="818" spans="1:32" ht="11.25" customHeight="1" x14ac:dyDescent="0.25">
      <c r="A818" s="4" t="s">
        <v>21</v>
      </c>
      <c r="B818" s="4" t="s">
        <v>44</v>
      </c>
      <c r="C818" s="4" t="s">
        <v>23</v>
      </c>
      <c r="D818" s="4" t="s">
        <v>45</v>
      </c>
      <c r="E818" s="4" t="s">
        <v>54</v>
      </c>
      <c r="F818" s="4" t="s">
        <v>56</v>
      </c>
      <c r="G818" s="4" t="s">
        <v>25</v>
      </c>
      <c r="H818" s="4" t="s">
        <v>25</v>
      </c>
      <c r="I818" s="5">
        <v>44348</v>
      </c>
      <c r="J818" s="6">
        <v>0</v>
      </c>
      <c r="K818" s="6">
        <v>0</v>
      </c>
      <c r="L818" s="6">
        <v>56.932000000000002</v>
      </c>
      <c r="M818" s="6">
        <v>18.787559999999999</v>
      </c>
      <c r="N818" s="6">
        <v>56.932000000000002</v>
      </c>
      <c r="O818" s="6">
        <v>18.787559999999999</v>
      </c>
      <c r="P818" s="6">
        <v>0</v>
      </c>
      <c r="Q818" s="4" t="s">
        <v>26</v>
      </c>
      <c r="R818" s="4">
        <v>0</v>
      </c>
      <c r="S818" s="4">
        <v>0</v>
      </c>
      <c r="T818" s="4">
        <v>54</v>
      </c>
      <c r="U818" s="4">
        <v>97</v>
      </c>
      <c r="V818" s="6">
        <f>IF(ISERROR(VLOOKUP($S$818,'TAR FIN'!$A$1:$O$116,15,0)),0,VLOOKUP($S$818,'TAR FIN'!$A$1:$O$116,15,0))</f>
        <v>0</v>
      </c>
      <c r="W818" s="6">
        <f>IF(ISERROR(VLOOKUP($T$818,'TAR FIN'!$A$1:$O$116,15,0)),0,VLOOKUP($T$818,'TAR FIN'!$A$1:$O$116,15,0))</f>
        <v>301.38</v>
      </c>
      <c r="X818" s="6">
        <f>IF(ISERROR(VLOOKUP($U$818,'TAR FIN'!$A$1:$O$116,15,0)),0,VLOOKUP($U$818,'TAR FIN'!$A$1:$O$116,15,0))</f>
        <v>287.29000000000002</v>
      </c>
      <c r="Y818" s="6"/>
      <c r="Z818" s="6">
        <f ca="1">('TUSD BE'!$AM$56+'TUSD BF'!$AM$56+'TUSD CVA'!$AM$56)*(1-CUSTOS!$M$38)</f>
        <v>410.57781128100521</v>
      </c>
      <c r="AA818" s="6">
        <f>('TE BE'!$AB$27+'TE BF'!$AB$27+'TE CVA'!$AB$27)*(1-CUSTOS!$M$38)</f>
        <v>309.85296222048811</v>
      </c>
      <c r="AB818" s="6">
        <f t="shared" si="46"/>
        <v>0</v>
      </c>
      <c r="AC818" s="6">
        <f>(L818-M818)*(W818+X818)+($W$597+$X$597-$W$818-$X$818)*(L818)</f>
        <v>27024.988454800005</v>
      </c>
      <c r="AD818" s="6">
        <f t="shared" si="47"/>
        <v>0</v>
      </c>
      <c r="AE818" s="6">
        <f ca="1">(L818-M818)*(Z818+AA818)+($Z$597+$AA$597-$Z$818-$AA$818)*(L818)</f>
        <v>30098.443188257072</v>
      </c>
      <c r="AF818" s="4" t="s">
        <v>1117</v>
      </c>
    </row>
    <row r="819" spans="1:32" ht="11.25" customHeight="1" x14ac:dyDescent="0.25">
      <c r="A819" s="4" t="s">
        <v>28</v>
      </c>
      <c r="B819" s="4" t="s">
        <v>44</v>
      </c>
      <c r="C819" s="4" t="s">
        <v>23</v>
      </c>
      <c r="D819" s="4" t="s">
        <v>45</v>
      </c>
      <c r="E819" s="4" t="s">
        <v>54</v>
      </c>
      <c r="F819" s="4" t="s">
        <v>56</v>
      </c>
      <c r="G819" s="4" t="s">
        <v>25</v>
      </c>
      <c r="H819" s="4" t="s">
        <v>25</v>
      </c>
      <c r="I819" s="5">
        <v>44348</v>
      </c>
      <c r="J819" s="6">
        <v>0</v>
      </c>
      <c r="K819" s="6">
        <v>0</v>
      </c>
      <c r="L819" s="6">
        <v>13.337999999999999</v>
      </c>
      <c r="M819" s="6">
        <v>4.4015399999999998</v>
      </c>
      <c r="N819" s="6">
        <v>13.337999999999999</v>
      </c>
      <c r="O819" s="6">
        <v>4.4015399999999998</v>
      </c>
      <c r="P819" s="6">
        <v>0</v>
      </c>
      <c r="Q819" s="4" t="s">
        <v>26</v>
      </c>
      <c r="R819" s="4">
        <v>0</v>
      </c>
      <c r="S819" s="4">
        <v>0</v>
      </c>
      <c r="T819" s="4">
        <v>54</v>
      </c>
      <c r="U819" s="4">
        <v>97</v>
      </c>
      <c r="V819" s="6">
        <f>IF(ISERROR(VLOOKUP($S$819,'TAR FIN'!$A$1:$O$116,15,0)),0,VLOOKUP($S$819,'TAR FIN'!$A$1:$O$116,15,0))</f>
        <v>0</v>
      </c>
      <c r="W819" s="6">
        <f>IF(ISERROR(VLOOKUP($T$819,'TAR FIN'!$A$1:$O$116,15,0)),0,VLOOKUP($T$819,'TAR FIN'!$A$1:$O$116,15,0))</f>
        <v>301.38</v>
      </c>
      <c r="X819" s="6">
        <f>IF(ISERROR(VLOOKUP($U$819,'TAR FIN'!$A$1:$O$116,15,0)),0,VLOOKUP($U$819,'TAR FIN'!$A$1:$O$116,15,0))</f>
        <v>287.29000000000002</v>
      </c>
      <c r="Y819" s="6"/>
      <c r="Z819" s="6">
        <f ca="1">('TUSD BE'!$AM$56+'TUSD BF'!$AM$56+'TUSD CVA'!$AM$56)*(1-CUSTOS!$M$38)</f>
        <v>410.57781128100521</v>
      </c>
      <c r="AA819" s="6">
        <f>('TE BE'!$AB$27+'TE BF'!$AB$27+'TE CVA'!$AB$27)*(1-CUSTOS!$M$38)</f>
        <v>309.85296222048811</v>
      </c>
      <c r="AB819" s="6">
        <f t="shared" si="46"/>
        <v>0</v>
      </c>
      <c r="AC819" s="6">
        <f>(L819-M819)*(W819+X819)+($W$597+$X$597-$W$819-$X$819)*(L819)</f>
        <v>6331.4005482000011</v>
      </c>
      <c r="AD819" s="6">
        <f t="shared" si="47"/>
        <v>0</v>
      </c>
      <c r="AE819" s="6">
        <f ca="1">(L819-M819)*(Z819+AA819)+($Z$597+$AA$597-$Z$819-$AA$819)*(L819)</f>
        <v>7051.4479597585332</v>
      </c>
      <c r="AF819" s="4" t="s">
        <v>1117</v>
      </c>
    </row>
    <row r="820" spans="1:32" ht="11.25" customHeight="1" x14ac:dyDescent="0.25">
      <c r="A820" s="4" t="s">
        <v>21</v>
      </c>
      <c r="B820" s="4" t="s">
        <v>44</v>
      </c>
      <c r="C820" s="4" t="s">
        <v>23</v>
      </c>
      <c r="D820" s="4" t="s">
        <v>45</v>
      </c>
      <c r="E820" s="4" t="s">
        <v>54</v>
      </c>
      <c r="F820" s="4" t="s">
        <v>56</v>
      </c>
      <c r="G820" s="4" t="s">
        <v>25</v>
      </c>
      <c r="H820" s="4" t="s">
        <v>25</v>
      </c>
      <c r="I820" s="5">
        <v>44378</v>
      </c>
      <c r="J820" s="6">
        <v>0</v>
      </c>
      <c r="K820" s="6">
        <v>0</v>
      </c>
      <c r="L820" s="6">
        <v>65.763999999999996</v>
      </c>
      <c r="M820" s="6">
        <v>21.702120000000001</v>
      </c>
      <c r="N820" s="6">
        <v>65.763999999999996</v>
      </c>
      <c r="O820" s="6">
        <v>21.702120000000001</v>
      </c>
      <c r="P820" s="6">
        <v>0</v>
      </c>
      <c r="Q820" s="4" t="s">
        <v>26</v>
      </c>
      <c r="R820" s="4">
        <v>0</v>
      </c>
      <c r="S820" s="4">
        <v>0</v>
      </c>
      <c r="T820" s="4">
        <v>54</v>
      </c>
      <c r="U820" s="4">
        <v>97</v>
      </c>
      <c r="V820" s="6">
        <f>IF(ISERROR(VLOOKUP($S$820,'TAR FIN'!$A$1:$O$116,15,0)),0,VLOOKUP($S$820,'TAR FIN'!$A$1:$O$116,15,0))</f>
        <v>0</v>
      </c>
      <c r="W820" s="6">
        <f>IF(ISERROR(VLOOKUP($T$820,'TAR FIN'!$A$1:$O$116,15,0)),0,VLOOKUP($T$820,'TAR FIN'!$A$1:$O$116,15,0))</f>
        <v>301.38</v>
      </c>
      <c r="X820" s="6">
        <f>IF(ISERROR(VLOOKUP($U$820,'TAR FIN'!$A$1:$O$116,15,0)),0,VLOOKUP($U$820,'TAR FIN'!$A$1:$O$116,15,0))</f>
        <v>287.29000000000002</v>
      </c>
      <c r="Y820" s="6"/>
      <c r="Z820" s="6">
        <f ca="1">('TUSD BE'!$AM$56+'TUSD BF'!$AM$56+'TUSD CVA'!$AM$56)*(1-CUSTOS!$M$38)</f>
        <v>410.57781128100521</v>
      </c>
      <c r="AA820" s="6">
        <f>('TE BE'!$AB$27+'TE BF'!$AB$27+'TE CVA'!$AB$27)*(1-CUSTOS!$M$38)</f>
        <v>309.85296222048811</v>
      </c>
      <c r="AB820" s="6">
        <f t="shared" si="46"/>
        <v>0</v>
      </c>
      <c r="AC820" s="6">
        <f>(L820-M820)*(W820+X820)+($W$597+$X$597-$W$820-$X$820)*(L820)</f>
        <v>31217.4408196</v>
      </c>
      <c r="AD820" s="6">
        <f t="shared" si="47"/>
        <v>0</v>
      </c>
      <c r="AE820" s="6">
        <f ca="1">(L820-M820)*(Z820+AA820)+($Z$597+$AA$597-$Z$820-$AA$820)*(L820)</f>
        <v>34767.688081088629</v>
      </c>
      <c r="AF820" s="4" t="s">
        <v>1117</v>
      </c>
    </row>
    <row r="821" spans="1:32" ht="11.25" customHeight="1" x14ac:dyDescent="0.25">
      <c r="A821" s="4" t="s">
        <v>27</v>
      </c>
      <c r="B821" s="4" t="s">
        <v>44</v>
      </c>
      <c r="C821" s="4" t="s">
        <v>23</v>
      </c>
      <c r="D821" s="4" t="s">
        <v>45</v>
      </c>
      <c r="E821" s="4" t="s">
        <v>54</v>
      </c>
      <c r="F821" s="4" t="s">
        <v>56</v>
      </c>
      <c r="G821" s="4" t="s">
        <v>25</v>
      </c>
      <c r="H821" s="4" t="s">
        <v>25</v>
      </c>
      <c r="I821" s="5">
        <v>44378</v>
      </c>
      <c r="J821" s="6">
        <v>0</v>
      </c>
      <c r="K821" s="6">
        <v>0</v>
      </c>
      <c r="L821" s="6">
        <v>-0.1</v>
      </c>
      <c r="M821" s="6">
        <v>-3.3000000000000002E-2</v>
      </c>
      <c r="N821" s="6">
        <v>-0.1</v>
      </c>
      <c r="O821" s="6">
        <v>-3.3000000000000002E-2</v>
      </c>
      <c r="P821" s="6">
        <v>0</v>
      </c>
      <c r="Q821" s="4" t="s">
        <v>26</v>
      </c>
      <c r="R821" s="4">
        <v>0</v>
      </c>
      <c r="S821" s="4">
        <v>0</v>
      </c>
      <c r="T821" s="4">
        <v>54</v>
      </c>
      <c r="U821" s="4">
        <v>97</v>
      </c>
      <c r="V821" s="6">
        <f>IF(ISERROR(VLOOKUP($S$821,'TAR FIN'!$A$1:$O$116,15,0)),0,VLOOKUP($S$821,'TAR FIN'!$A$1:$O$116,15,0))</f>
        <v>0</v>
      </c>
      <c r="W821" s="6">
        <f>IF(ISERROR(VLOOKUP($T$821,'TAR FIN'!$A$1:$O$116,15,0)),0,VLOOKUP($T$821,'TAR FIN'!$A$1:$O$116,15,0))</f>
        <v>301.38</v>
      </c>
      <c r="X821" s="6">
        <f>IF(ISERROR(VLOOKUP($U$821,'TAR FIN'!$A$1:$O$116,15,0)),0,VLOOKUP($U$821,'TAR FIN'!$A$1:$O$116,15,0))</f>
        <v>287.29000000000002</v>
      </c>
      <c r="Y821" s="6"/>
      <c r="Z821" s="6">
        <f ca="1">('TUSD BE'!$AM$56+'TUSD BF'!$AM$56+'TUSD CVA'!$AM$56)*(1-CUSTOS!$M$38)</f>
        <v>410.57781128100521</v>
      </c>
      <c r="AA821" s="6">
        <f>('TE BE'!$AB$27+'TE BF'!$AB$27+'TE CVA'!$AB$27)*(1-CUSTOS!$M$38)</f>
        <v>309.85296222048811</v>
      </c>
      <c r="AB821" s="6">
        <f t="shared" si="46"/>
        <v>0</v>
      </c>
      <c r="AC821" s="6">
        <f>(L821-M821)*(W821+X821)+($W$597+$X$597-$W$821-$X$821)*(L821)</f>
        <v>-47.468890000000016</v>
      </c>
      <c r="AD821" s="6">
        <f t="shared" si="47"/>
        <v>0</v>
      </c>
      <c r="AE821" s="6">
        <f ca="1">(L821-M821)*(Z821+AA821)+($Z$597+$AA$597-$Z$821-$AA$821)*(L821)</f>
        <v>-52.867356123545761</v>
      </c>
      <c r="AF821" s="4" t="s">
        <v>1117</v>
      </c>
    </row>
    <row r="822" spans="1:32" ht="11.25" customHeight="1" x14ac:dyDescent="0.25">
      <c r="A822" s="4" t="s">
        <v>28</v>
      </c>
      <c r="B822" s="4" t="s">
        <v>44</v>
      </c>
      <c r="C822" s="4" t="s">
        <v>23</v>
      </c>
      <c r="D822" s="4" t="s">
        <v>45</v>
      </c>
      <c r="E822" s="4" t="s">
        <v>54</v>
      </c>
      <c r="F822" s="4" t="s">
        <v>56</v>
      </c>
      <c r="G822" s="4" t="s">
        <v>25</v>
      </c>
      <c r="H822" s="4" t="s">
        <v>25</v>
      </c>
      <c r="I822" s="5">
        <v>44378</v>
      </c>
      <c r="J822" s="6">
        <v>0</v>
      </c>
      <c r="K822" s="6">
        <v>0</v>
      </c>
      <c r="L822" s="6">
        <v>13.084</v>
      </c>
      <c r="M822" s="6">
        <v>4.3177199999999996</v>
      </c>
      <c r="N822" s="6">
        <v>13.084</v>
      </c>
      <c r="O822" s="6">
        <v>4.3177199999999996</v>
      </c>
      <c r="P822" s="6">
        <v>0</v>
      </c>
      <c r="Q822" s="4" t="s">
        <v>26</v>
      </c>
      <c r="R822" s="4">
        <v>0</v>
      </c>
      <c r="S822" s="4">
        <v>0</v>
      </c>
      <c r="T822" s="4">
        <v>54</v>
      </c>
      <c r="U822" s="4">
        <v>97</v>
      </c>
      <c r="V822" s="6">
        <f>IF(ISERROR(VLOOKUP($S$822,'TAR FIN'!$A$1:$O$116,15,0)),0,VLOOKUP($S$822,'TAR FIN'!$A$1:$O$116,15,0))</f>
        <v>0</v>
      </c>
      <c r="W822" s="6">
        <f>IF(ISERROR(VLOOKUP($T$822,'TAR FIN'!$A$1:$O$116,15,0)),0,VLOOKUP($T$822,'TAR FIN'!$A$1:$O$116,15,0))</f>
        <v>301.38</v>
      </c>
      <c r="X822" s="6">
        <f>IF(ISERROR(VLOOKUP($U$822,'TAR FIN'!$A$1:$O$116,15,0)),0,VLOOKUP($U$822,'TAR FIN'!$A$1:$O$116,15,0))</f>
        <v>287.29000000000002</v>
      </c>
      <c r="Y822" s="6"/>
      <c r="Z822" s="6">
        <f ca="1">('TUSD BE'!$AM$56+'TUSD BF'!$AM$56+'TUSD CVA'!$AM$56)*(1-CUSTOS!$M$38)</f>
        <v>410.57781128100521</v>
      </c>
      <c r="AA822" s="6">
        <f>('TE BE'!$AB$27+'TE BF'!$AB$27+'TE CVA'!$AB$27)*(1-CUSTOS!$M$38)</f>
        <v>309.85296222048811</v>
      </c>
      <c r="AB822" s="6">
        <f t="shared" si="46"/>
        <v>0</v>
      </c>
      <c r="AC822" s="6">
        <f>(L822-M822)*(W822+X822)+($W$597+$X$597-$W$822-$X$822)*(L822)</f>
        <v>6210.8295676000007</v>
      </c>
      <c r="AD822" s="6">
        <f t="shared" si="47"/>
        <v>0</v>
      </c>
      <c r="AE822" s="6">
        <f ca="1">(L822-M822)*(Z822+AA822)+($Z$597+$AA$597-$Z$822-$AA$822)*(L822)</f>
        <v>6917.1648752047267</v>
      </c>
      <c r="AF822" s="4" t="s">
        <v>1117</v>
      </c>
    </row>
    <row r="823" spans="1:32" ht="11.25" customHeight="1" x14ac:dyDescent="0.25">
      <c r="A823" s="4" t="s">
        <v>28</v>
      </c>
      <c r="B823" s="4" t="s">
        <v>44</v>
      </c>
      <c r="C823" s="4" t="s">
        <v>23</v>
      </c>
      <c r="D823" s="4" t="s">
        <v>45</v>
      </c>
      <c r="E823" s="4" t="s">
        <v>54</v>
      </c>
      <c r="F823" s="4" t="s">
        <v>56</v>
      </c>
      <c r="G823" s="4" t="s">
        <v>25</v>
      </c>
      <c r="H823" s="4" t="s">
        <v>25</v>
      </c>
      <c r="I823" s="5">
        <v>44378</v>
      </c>
      <c r="J823" s="6">
        <v>0</v>
      </c>
      <c r="K823" s="6">
        <v>0</v>
      </c>
      <c r="L823" s="6">
        <v>9.7569999999999997</v>
      </c>
      <c r="M823" s="6">
        <v>3.2198099999999998</v>
      </c>
      <c r="N823" s="6">
        <v>9.7569999999999997</v>
      </c>
      <c r="O823" s="6">
        <v>3.2198099999999998</v>
      </c>
      <c r="P823" s="6">
        <v>0</v>
      </c>
      <c r="Q823" s="4" t="s">
        <v>26</v>
      </c>
      <c r="R823" s="4">
        <v>0</v>
      </c>
      <c r="S823" s="4">
        <v>0</v>
      </c>
      <c r="T823" s="4">
        <v>54</v>
      </c>
      <c r="U823" s="4">
        <v>97</v>
      </c>
      <c r="V823" s="6">
        <f>IF(ISERROR(VLOOKUP($S$823,'TAR FIN'!$A$1:$O$116,15,0)),0,VLOOKUP($S$823,'TAR FIN'!$A$1:$O$116,15,0))</f>
        <v>0</v>
      </c>
      <c r="W823" s="6">
        <f>IF(ISERROR(VLOOKUP($T$823,'TAR FIN'!$A$1:$O$116,15,0)),0,VLOOKUP($T$823,'TAR FIN'!$A$1:$O$116,15,0))</f>
        <v>301.38</v>
      </c>
      <c r="X823" s="6">
        <f>IF(ISERROR(VLOOKUP($U$823,'TAR FIN'!$A$1:$O$116,15,0)),0,VLOOKUP($U$823,'TAR FIN'!$A$1:$O$116,15,0))</f>
        <v>287.29000000000002</v>
      </c>
      <c r="Y823" s="6"/>
      <c r="Z823" s="6">
        <f ca="1">('TUSD BE'!$AM$56+'TUSD BF'!$AM$56+'TUSD CVA'!$AM$56)*(1-CUSTOS!$M$38)</f>
        <v>410.57781128100521</v>
      </c>
      <c r="AA823" s="6">
        <f>('TE BE'!$AB$27+'TE BF'!$AB$27+'TE CVA'!$AB$27)*(1-CUSTOS!$M$38)</f>
        <v>309.85296222048811</v>
      </c>
      <c r="AB823" s="6">
        <f t="shared" si="46"/>
        <v>0</v>
      </c>
      <c r="AC823" s="6">
        <f>(L823-M823)*(W823+X823)+($W$597+$X$597-$W$823-$X$823)*(L823)</f>
        <v>4631.5395973000004</v>
      </c>
      <c r="AD823" s="6">
        <f t="shared" si="47"/>
        <v>0</v>
      </c>
      <c r="AE823" s="6">
        <f ca="1">(L823-M823)*(Z823+AA823)+($Z$597+$AA$597-$Z$823-$AA$823)*(L823)</f>
        <v>5158.2679369743591</v>
      </c>
      <c r="AF823" s="4" t="s">
        <v>1117</v>
      </c>
    </row>
    <row r="824" spans="1:32" ht="11.25" customHeight="1" x14ac:dyDescent="0.25">
      <c r="A824" s="4" t="s">
        <v>21</v>
      </c>
      <c r="B824" s="4" t="s">
        <v>44</v>
      </c>
      <c r="C824" s="4" t="s">
        <v>23</v>
      </c>
      <c r="D824" s="4" t="s">
        <v>45</v>
      </c>
      <c r="E824" s="4" t="s">
        <v>54</v>
      </c>
      <c r="F824" s="4" t="s">
        <v>56</v>
      </c>
      <c r="G824" s="4" t="s">
        <v>25</v>
      </c>
      <c r="H824" s="4" t="s">
        <v>25</v>
      </c>
      <c r="I824" s="5">
        <v>44409</v>
      </c>
      <c r="J824" s="6">
        <v>0</v>
      </c>
      <c r="K824" s="6">
        <v>0</v>
      </c>
      <c r="L824" s="6">
        <v>59.670999999999999</v>
      </c>
      <c r="M824" s="6">
        <v>19.69143</v>
      </c>
      <c r="N824" s="6">
        <v>59.670999999999999</v>
      </c>
      <c r="O824" s="6">
        <v>19.69143</v>
      </c>
      <c r="P824" s="6">
        <v>0</v>
      </c>
      <c r="Q824" s="4" t="s">
        <v>26</v>
      </c>
      <c r="R824" s="4">
        <v>0</v>
      </c>
      <c r="S824" s="4">
        <v>0</v>
      </c>
      <c r="T824" s="4">
        <v>54</v>
      </c>
      <c r="U824" s="4">
        <v>97</v>
      </c>
      <c r="V824" s="6">
        <f>IF(ISERROR(VLOOKUP($S$824,'TAR FIN'!$A$1:$O$116,15,0)),0,VLOOKUP($S$824,'TAR FIN'!$A$1:$O$116,15,0))</f>
        <v>0</v>
      </c>
      <c r="W824" s="6">
        <f>IF(ISERROR(VLOOKUP($T$824,'TAR FIN'!$A$1:$O$116,15,0)),0,VLOOKUP($T$824,'TAR FIN'!$A$1:$O$116,15,0))</f>
        <v>301.38</v>
      </c>
      <c r="X824" s="6">
        <f>IF(ISERROR(VLOOKUP($U$824,'TAR FIN'!$A$1:$O$116,15,0)),0,VLOOKUP($U$824,'TAR FIN'!$A$1:$O$116,15,0))</f>
        <v>287.29000000000002</v>
      </c>
      <c r="Y824" s="6"/>
      <c r="Z824" s="6">
        <f ca="1">('TUSD BE'!$AM$56+'TUSD BF'!$AM$56+'TUSD CVA'!$AM$56)*(1-CUSTOS!$M$38)</f>
        <v>410.57781128100521</v>
      </c>
      <c r="AA824" s="6">
        <f>('TE BE'!$AB$27+'TE BF'!$AB$27+'TE CVA'!$AB$27)*(1-CUSTOS!$M$38)</f>
        <v>309.85296222048811</v>
      </c>
      <c r="AB824" s="6">
        <f t="shared" si="46"/>
        <v>0</v>
      </c>
      <c r="AC824" s="6">
        <f>(L824-M824)*(W824+X824)+($W$597+$X$597-$W$824-$X$824)*(L824)</f>
        <v>28325.161351900002</v>
      </c>
      <c r="AD824" s="6">
        <f t="shared" si="47"/>
        <v>0</v>
      </c>
      <c r="AE824" s="6">
        <f ca="1">(L824-M824)*(Z824+AA824)+($Z$597+$AA$597-$Z$824-$AA$824)*(L824)</f>
        <v>31546.480072480987</v>
      </c>
      <c r="AF824" s="4" t="s">
        <v>1117</v>
      </c>
    </row>
    <row r="825" spans="1:32" ht="11.25" customHeight="1" x14ac:dyDescent="0.25">
      <c r="A825" s="4" t="s">
        <v>27</v>
      </c>
      <c r="B825" s="4" t="s">
        <v>44</v>
      </c>
      <c r="C825" s="4" t="s">
        <v>23</v>
      </c>
      <c r="D825" s="4" t="s">
        <v>45</v>
      </c>
      <c r="E825" s="4" t="s">
        <v>54</v>
      </c>
      <c r="F825" s="4" t="s">
        <v>56</v>
      </c>
      <c r="G825" s="4" t="s">
        <v>25</v>
      </c>
      <c r="H825" s="4" t="s">
        <v>25</v>
      </c>
      <c r="I825" s="5">
        <v>44409</v>
      </c>
      <c r="J825" s="6">
        <v>0</v>
      </c>
      <c r="K825" s="6">
        <v>0</v>
      </c>
      <c r="L825" s="6">
        <v>1.6</v>
      </c>
      <c r="M825" s="6">
        <v>0.52800000000000002</v>
      </c>
      <c r="N825" s="6">
        <v>1.6</v>
      </c>
      <c r="O825" s="6">
        <v>0.52800000000000002</v>
      </c>
      <c r="P825" s="6">
        <v>0</v>
      </c>
      <c r="Q825" s="4" t="s">
        <v>26</v>
      </c>
      <c r="R825" s="4">
        <v>0</v>
      </c>
      <c r="S825" s="4">
        <v>0</v>
      </c>
      <c r="T825" s="4">
        <v>54</v>
      </c>
      <c r="U825" s="4">
        <v>97</v>
      </c>
      <c r="V825" s="6">
        <f>IF(ISERROR(VLOOKUP($S$825,'TAR FIN'!$A$1:$O$116,15,0)),0,VLOOKUP($S$825,'TAR FIN'!$A$1:$O$116,15,0))</f>
        <v>0</v>
      </c>
      <c r="W825" s="6">
        <f>IF(ISERROR(VLOOKUP($T$825,'TAR FIN'!$A$1:$O$116,15,0)),0,VLOOKUP($T$825,'TAR FIN'!$A$1:$O$116,15,0))</f>
        <v>301.38</v>
      </c>
      <c r="X825" s="6">
        <f>IF(ISERROR(VLOOKUP($U$825,'TAR FIN'!$A$1:$O$116,15,0)),0,VLOOKUP($U$825,'TAR FIN'!$A$1:$O$116,15,0))</f>
        <v>287.29000000000002</v>
      </c>
      <c r="Y825" s="6"/>
      <c r="Z825" s="6">
        <f ca="1">('TUSD BE'!$AM$56+'TUSD BF'!$AM$56+'TUSD CVA'!$AM$56)*(1-CUSTOS!$M$38)</f>
        <v>410.57781128100521</v>
      </c>
      <c r="AA825" s="6">
        <f>('TE BE'!$AB$27+'TE BF'!$AB$27+'TE CVA'!$AB$27)*(1-CUSTOS!$M$38)</f>
        <v>309.85296222048811</v>
      </c>
      <c r="AB825" s="6">
        <f t="shared" si="46"/>
        <v>0</v>
      </c>
      <c r="AC825" s="6">
        <f>(L825-M825)*(W825+X825)+($W$597+$X$597-$W$825-$X$825)*(L825)</f>
        <v>759.50224000000026</v>
      </c>
      <c r="AD825" s="6">
        <f t="shared" si="47"/>
        <v>0</v>
      </c>
      <c r="AE825" s="6">
        <f ca="1">(L825-M825)*(Z825+AA825)+($Z$597+$AA$597-$Z$825-$AA$825)*(L825)</f>
        <v>845.87769797673218</v>
      </c>
      <c r="AF825" s="4" t="s">
        <v>1117</v>
      </c>
    </row>
    <row r="826" spans="1:32" ht="11.25" customHeight="1" x14ac:dyDescent="0.25">
      <c r="A826" s="4" t="s">
        <v>28</v>
      </c>
      <c r="B826" s="4" t="s">
        <v>44</v>
      </c>
      <c r="C826" s="4" t="s">
        <v>23</v>
      </c>
      <c r="D826" s="4" t="s">
        <v>45</v>
      </c>
      <c r="E826" s="4" t="s">
        <v>54</v>
      </c>
      <c r="F826" s="4" t="s">
        <v>56</v>
      </c>
      <c r="G826" s="4" t="s">
        <v>25</v>
      </c>
      <c r="H826" s="4" t="s">
        <v>25</v>
      </c>
      <c r="I826" s="5">
        <v>44409</v>
      </c>
      <c r="J826" s="6">
        <v>0</v>
      </c>
      <c r="K826" s="6">
        <v>0</v>
      </c>
      <c r="L826" s="6">
        <v>12.503</v>
      </c>
      <c r="M826" s="6">
        <v>4.1259899999999998</v>
      </c>
      <c r="N826" s="6">
        <v>12.503</v>
      </c>
      <c r="O826" s="6">
        <v>4.1259899999999998</v>
      </c>
      <c r="P826" s="6">
        <v>0</v>
      </c>
      <c r="Q826" s="4" t="s">
        <v>26</v>
      </c>
      <c r="R826" s="4">
        <v>0</v>
      </c>
      <c r="S826" s="4">
        <v>0</v>
      </c>
      <c r="T826" s="4">
        <v>54</v>
      </c>
      <c r="U826" s="4">
        <v>97</v>
      </c>
      <c r="V826" s="6">
        <f>IF(ISERROR(VLOOKUP($S$826,'TAR FIN'!$A$1:$O$116,15,0)),0,VLOOKUP($S$826,'TAR FIN'!$A$1:$O$116,15,0))</f>
        <v>0</v>
      </c>
      <c r="W826" s="6">
        <f>IF(ISERROR(VLOOKUP($T$826,'TAR FIN'!$A$1:$O$116,15,0)),0,VLOOKUP($T$826,'TAR FIN'!$A$1:$O$116,15,0))</f>
        <v>301.38</v>
      </c>
      <c r="X826" s="6">
        <f>IF(ISERROR(VLOOKUP($U$826,'TAR FIN'!$A$1:$O$116,15,0)),0,VLOOKUP($U$826,'TAR FIN'!$A$1:$O$116,15,0))</f>
        <v>287.29000000000002</v>
      </c>
      <c r="Y826" s="6"/>
      <c r="Z826" s="6">
        <f ca="1">('TUSD BE'!$AM$56+'TUSD BF'!$AM$56+'TUSD CVA'!$AM$56)*(1-CUSTOS!$M$38)</f>
        <v>410.57781128100521</v>
      </c>
      <c r="AA826" s="6">
        <f>('TE BE'!$AB$27+'TE BF'!$AB$27+'TE CVA'!$AB$27)*(1-CUSTOS!$M$38)</f>
        <v>309.85296222048811</v>
      </c>
      <c r="AB826" s="6">
        <f t="shared" si="46"/>
        <v>0</v>
      </c>
      <c r="AC826" s="6">
        <f>(L826-M826)*(W826+X826)+($W$597+$X$597-$W$826-$X$826)*(L826)</f>
        <v>5935.0353167000012</v>
      </c>
      <c r="AD826" s="6">
        <f t="shared" si="47"/>
        <v>0</v>
      </c>
      <c r="AE826" s="6">
        <f ca="1">(L826-M826)*(Z826+AA826)+($Z$597+$AA$597-$Z$826-$AA$826)*(L826)</f>
        <v>6610.005536126926</v>
      </c>
      <c r="AF826" s="4" t="s">
        <v>1117</v>
      </c>
    </row>
    <row r="827" spans="1:32" ht="11.25" customHeight="1" x14ac:dyDescent="0.25">
      <c r="A827" s="4" t="s">
        <v>21</v>
      </c>
      <c r="B827" s="4" t="s">
        <v>44</v>
      </c>
      <c r="C827" s="4" t="s">
        <v>23</v>
      </c>
      <c r="D827" s="4" t="s">
        <v>45</v>
      </c>
      <c r="E827" s="4" t="s">
        <v>54</v>
      </c>
      <c r="F827" s="4" t="s">
        <v>56</v>
      </c>
      <c r="G827" s="4" t="s">
        <v>25</v>
      </c>
      <c r="H827" s="4" t="s">
        <v>25</v>
      </c>
      <c r="I827" s="5">
        <v>44440</v>
      </c>
      <c r="J827" s="6">
        <v>0</v>
      </c>
      <c r="K827" s="6">
        <v>0</v>
      </c>
      <c r="L827" s="6">
        <v>65.034999999999997</v>
      </c>
      <c r="M827" s="6">
        <v>21.461549999999999</v>
      </c>
      <c r="N827" s="6">
        <v>65.034999999999997</v>
      </c>
      <c r="O827" s="6">
        <v>21.461549999999999</v>
      </c>
      <c r="P827" s="6">
        <v>0</v>
      </c>
      <c r="Q827" s="4" t="s">
        <v>26</v>
      </c>
      <c r="R827" s="4">
        <v>0</v>
      </c>
      <c r="S827" s="4">
        <v>0</v>
      </c>
      <c r="T827" s="4">
        <v>54</v>
      </c>
      <c r="U827" s="4">
        <v>97</v>
      </c>
      <c r="V827" s="6">
        <f>IF(ISERROR(VLOOKUP($S$827,'TAR FIN'!$A$1:$O$116,15,0)),0,VLOOKUP($S$827,'TAR FIN'!$A$1:$O$116,15,0))</f>
        <v>0</v>
      </c>
      <c r="W827" s="6">
        <f>IF(ISERROR(VLOOKUP($T$827,'TAR FIN'!$A$1:$O$116,15,0)),0,VLOOKUP($T$827,'TAR FIN'!$A$1:$O$116,15,0))</f>
        <v>301.38</v>
      </c>
      <c r="X827" s="6">
        <f>IF(ISERROR(VLOOKUP($U$827,'TAR FIN'!$A$1:$O$116,15,0)),0,VLOOKUP($U$827,'TAR FIN'!$A$1:$O$116,15,0))</f>
        <v>287.29000000000002</v>
      </c>
      <c r="Y827" s="6"/>
      <c r="Z827" s="6">
        <f ca="1">('TUSD BE'!$AM$56+'TUSD BF'!$AM$56+'TUSD CVA'!$AM$56)*(1-CUSTOS!$M$38)</f>
        <v>410.57781128100521</v>
      </c>
      <c r="AA827" s="6">
        <f>('TE BE'!$AB$27+'TE BF'!$AB$27+'TE CVA'!$AB$27)*(1-CUSTOS!$M$38)</f>
        <v>309.85296222048811</v>
      </c>
      <c r="AB827" s="6">
        <f t="shared" si="46"/>
        <v>0</v>
      </c>
      <c r="AC827" s="6">
        <f>(L827-M827)*(W827+X827)+($W$597+$X$597-$W$827-$X$827)*(L827)</f>
        <v>30871.392611499999</v>
      </c>
      <c r="AD827" s="6">
        <f t="shared" si="47"/>
        <v>0</v>
      </c>
      <c r="AE827" s="6">
        <f ca="1">(L827-M827)*(Z827+AA827)+($Z$597+$AA$597-$Z$827-$AA$827)*(L827)</f>
        <v>34382.285054947977</v>
      </c>
      <c r="AF827" s="4" t="s">
        <v>1117</v>
      </c>
    </row>
    <row r="828" spans="1:32" ht="11.25" customHeight="1" x14ac:dyDescent="0.25">
      <c r="A828" s="4" t="s">
        <v>27</v>
      </c>
      <c r="B828" s="4" t="s">
        <v>44</v>
      </c>
      <c r="C828" s="4" t="s">
        <v>23</v>
      </c>
      <c r="D828" s="4" t="s">
        <v>45</v>
      </c>
      <c r="E828" s="4" t="s">
        <v>54</v>
      </c>
      <c r="F828" s="4" t="s">
        <v>56</v>
      </c>
      <c r="G828" s="4" t="s">
        <v>25</v>
      </c>
      <c r="H828" s="4" t="s">
        <v>25</v>
      </c>
      <c r="I828" s="5">
        <v>44440</v>
      </c>
      <c r="J828" s="6">
        <v>0</v>
      </c>
      <c r="K828" s="6">
        <v>0</v>
      </c>
      <c r="L828" s="6">
        <v>1.71</v>
      </c>
      <c r="M828" s="6">
        <v>0.56430000000000002</v>
      </c>
      <c r="N828" s="6">
        <v>1.71</v>
      </c>
      <c r="O828" s="6">
        <v>0.56430000000000002</v>
      </c>
      <c r="P828" s="6">
        <v>0</v>
      </c>
      <c r="Q828" s="4" t="s">
        <v>26</v>
      </c>
      <c r="R828" s="4">
        <v>0</v>
      </c>
      <c r="S828" s="4">
        <v>0</v>
      </c>
      <c r="T828" s="4">
        <v>54</v>
      </c>
      <c r="U828" s="4">
        <v>97</v>
      </c>
      <c r="V828" s="6">
        <f>IF(ISERROR(VLOOKUP($S$828,'TAR FIN'!$A$1:$O$116,15,0)),0,VLOOKUP($S$828,'TAR FIN'!$A$1:$O$116,15,0))</f>
        <v>0</v>
      </c>
      <c r="W828" s="6">
        <f>IF(ISERROR(VLOOKUP($T$828,'TAR FIN'!$A$1:$O$116,15,0)),0,VLOOKUP($T$828,'TAR FIN'!$A$1:$O$116,15,0))</f>
        <v>301.38</v>
      </c>
      <c r="X828" s="6">
        <f>IF(ISERROR(VLOOKUP($U$828,'TAR FIN'!$A$1:$O$116,15,0)),0,VLOOKUP($U$828,'TAR FIN'!$A$1:$O$116,15,0))</f>
        <v>287.29000000000002</v>
      </c>
      <c r="Y828" s="6"/>
      <c r="Z828" s="6">
        <f ca="1">('TUSD BE'!$AM$56+'TUSD BF'!$AM$56+'TUSD CVA'!$AM$56)*(1-CUSTOS!$M$38)</f>
        <v>410.57781128100521</v>
      </c>
      <c r="AA828" s="6">
        <f>('TE BE'!$AB$27+'TE BF'!$AB$27+'TE CVA'!$AB$27)*(1-CUSTOS!$M$38)</f>
        <v>309.85296222048811</v>
      </c>
      <c r="AB828" s="6">
        <f t="shared" si="46"/>
        <v>0</v>
      </c>
      <c r="AC828" s="6">
        <f>(L828-M828)*(W828+X828)+($W$597+$X$597-$W$828-$X$828)*(L828)</f>
        <v>811.71801900000014</v>
      </c>
      <c r="AD828" s="6">
        <f t="shared" si="47"/>
        <v>0</v>
      </c>
      <c r="AE828" s="6">
        <f ca="1">(L828-M828)*(Z828+AA828)+($Z$597+$AA$597-$Z$828-$AA$828)*(L828)</f>
        <v>904.03178971263242</v>
      </c>
      <c r="AF828" s="4" t="s">
        <v>1117</v>
      </c>
    </row>
    <row r="829" spans="1:32" ht="11.25" customHeight="1" x14ac:dyDescent="0.25">
      <c r="A829" s="4" t="s">
        <v>28</v>
      </c>
      <c r="B829" s="4" t="s">
        <v>44</v>
      </c>
      <c r="C829" s="4" t="s">
        <v>23</v>
      </c>
      <c r="D829" s="4" t="s">
        <v>45</v>
      </c>
      <c r="E829" s="4" t="s">
        <v>54</v>
      </c>
      <c r="F829" s="4" t="s">
        <v>56</v>
      </c>
      <c r="G829" s="4" t="s">
        <v>25</v>
      </c>
      <c r="H829" s="4" t="s">
        <v>25</v>
      </c>
      <c r="I829" s="5">
        <v>44440</v>
      </c>
      <c r="J829" s="6">
        <v>0</v>
      </c>
      <c r="K829" s="6">
        <v>0</v>
      </c>
      <c r="L829" s="6">
        <v>11.603</v>
      </c>
      <c r="M829" s="6">
        <v>3.8289900000000001</v>
      </c>
      <c r="N829" s="6">
        <v>11.603</v>
      </c>
      <c r="O829" s="6">
        <v>3.8289900000000001</v>
      </c>
      <c r="P829" s="6">
        <v>0</v>
      </c>
      <c r="Q829" s="4" t="s">
        <v>26</v>
      </c>
      <c r="R829" s="4">
        <v>0</v>
      </c>
      <c r="S829" s="4">
        <v>0</v>
      </c>
      <c r="T829" s="4">
        <v>54</v>
      </c>
      <c r="U829" s="4">
        <v>97</v>
      </c>
      <c r="V829" s="6">
        <f>IF(ISERROR(VLOOKUP($S$829,'TAR FIN'!$A$1:$O$116,15,0)),0,VLOOKUP($S$829,'TAR FIN'!$A$1:$O$116,15,0))</f>
        <v>0</v>
      </c>
      <c r="W829" s="6">
        <f>IF(ISERROR(VLOOKUP($T$829,'TAR FIN'!$A$1:$O$116,15,0)),0,VLOOKUP($T$829,'TAR FIN'!$A$1:$O$116,15,0))</f>
        <v>301.38</v>
      </c>
      <c r="X829" s="6">
        <f>IF(ISERROR(VLOOKUP($U$829,'TAR FIN'!$A$1:$O$116,15,0)),0,VLOOKUP($U$829,'TAR FIN'!$A$1:$O$116,15,0))</f>
        <v>287.29000000000002</v>
      </c>
      <c r="Y829" s="6"/>
      <c r="Z829" s="6">
        <f ca="1">('TUSD BE'!$AM$56+'TUSD BF'!$AM$56+'TUSD CVA'!$AM$56)*(1-CUSTOS!$M$38)</f>
        <v>410.57781128100521</v>
      </c>
      <c r="AA829" s="6">
        <f>('TE BE'!$AB$27+'TE BF'!$AB$27+'TE CVA'!$AB$27)*(1-CUSTOS!$M$38)</f>
        <v>309.85296222048811</v>
      </c>
      <c r="AB829" s="6">
        <f t="shared" si="46"/>
        <v>0</v>
      </c>
      <c r="AC829" s="6">
        <f>(L829-M829)*(W829+X829)+($W$597+$X$597-$W$829-$X$829)*(L829)</f>
        <v>5507.8153067000003</v>
      </c>
      <c r="AD829" s="6">
        <f t="shared" si="47"/>
        <v>0</v>
      </c>
      <c r="AE829" s="6">
        <f ca="1">(L829-M829)*(Z829+AA829)+($Z$597+$AA$597-$Z$829-$AA$829)*(L829)</f>
        <v>6134.1993310150137</v>
      </c>
      <c r="AF829" s="4" t="s">
        <v>1117</v>
      </c>
    </row>
    <row r="830" spans="1:32" ht="11.25" customHeight="1" x14ac:dyDescent="0.25">
      <c r="A830" s="4" t="s">
        <v>21</v>
      </c>
      <c r="B830" s="4" t="s">
        <v>44</v>
      </c>
      <c r="C830" s="4" t="s">
        <v>23</v>
      </c>
      <c r="D830" s="4" t="s">
        <v>45</v>
      </c>
      <c r="E830" s="4" t="s">
        <v>54</v>
      </c>
      <c r="F830" s="4" t="s">
        <v>56</v>
      </c>
      <c r="G830" s="4" t="s">
        <v>25</v>
      </c>
      <c r="H830" s="4" t="s">
        <v>25</v>
      </c>
      <c r="I830" s="5">
        <v>44470</v>
      </c>
      <c r="J830" s="6">
        <v>0</v>
      </c>
      <c r="K830" s="6">
        <v>0</v>
      </c>
      <c r="L830" s="6">
        <v>55.828000000000003</v>
      </c>
      <c r="M830" s="6">
        <v>18.42324</v>
      </c>
      <c r="N830" s="6">
        <v>55.828000000000003</v>
      </c>
      <c r="O830" s="6">
        <v>18.42324</v>
      </c>
      <c r="P830" s="6">
        <v>0</v>
      </c>
      <c r="Q830" s="4" t="s">
        <v>26</v>
      </c>
      <c r="R830" s="4">
        <v>0</v>
      </c>
      <c r="S830" s="4">
        <v>0</v>
      </c>
      <c r="T830" s="4">
        <v>54</v>
      </c>
      <c r="U830" s="4">
        <v>97</v>
      </c>
      <c r="V830" s="6">
        <f>IF(ISERROR(VLOOKUP($S$830,'TAR FIN'!$A$1:$O$116,15,0)),0,VLOOKUP($S$830,'TAR FIN'!$A$1:$O$116,15,0))</f>
        <v>0</v>
      </c>
      <c r="W830" s="6">
        <f>IF(ISERROR(VLOOKUP($T$830,'TAR FIN'!$A$1:$O$116,15,0)),0,VLOOKUP($T$830,'TAR FIN'!$A$1:$O$116,15,0))</f>
        <v>301.38</v>
      </c>
      <c r="X830" s="6">
        <f>IF(ISERROR(VLOOKUP($U$830,'TAR FIN'!$A$1:$O$116,15,0)),0,VLOOKUP($U$830,'TAR FIN'!$A$1:$O$116,15,0))</f>
        <v>287.29000000000002</v>
      </c>
      <c r="Y830" s="6"/>
      <c r="Z830" s="6">
        <f ca="1">('TUSD BE'!$AM$56+'TUSD BF'!$AM$56+'TUSD CVA'!$AM$56)*(1-CUSTOS!$M$38)</f>
        <v>410.57781128100521</v>
      </c>
      <c r="AA830" s="6">
        <f>('TE BE'!$AB$27+'TE BF'!$AB$27+'TE CVA'!$AB$27)*(1-CUSTOS!$M$38)</f>
        <v>309.85296222048811</v>
      </c>
      <c r="AB830" s="6">
        <f t="shared" si="46"/>
        <v>0</v>
      </c>
      <c r="AC830" s="6">
        <f>(L830-M830)*(W830+X830)+($W$597+$X$597-$W$830-$X$830)*(L830)</f>
        <v>26500.931909200008</v>
      </c>
      <c r="AD830" s="6">
        <f t="shared" si="47"/>
        <v>0</v>
      </c>
      <c r="AE830" s="6">
        <f ca="1">(L830-M830)*(Z830+AA830)+($Z$597+$AA$597-$Z$830-$AA$830)*(L830)</f>
        <v>29514.787576653129</v>
      </c>
      <c r="AF830" s="4" t="s">
        <v>1117</v>
      </c>
    </row>
    <row r="831" spans="1:32" ht="11.25" customHeight="1" x14ac:dyDescent="0.25">
      <c r="A831" s="4" t="s">
        <v>27</v>
      </c>
      <c r="B831" s="4" t="s">
        <v>44</v>
      </c>
      <c r="C831" s="4" t="s">
        <v>23</v>
      </c>
      <c r="D831" s="4" t="s">
        <v>45</v>
      </c>
      <c r="E831" s="4" t="s">
        <v>54</v>
      </c>
      <c r="F831" s="4" t="s">
        <v>56</v>
      </c>
      <c r="G831" s="4" t="s">
        <v>25</v>
      </c>
      <c r="H831" s="4" t="s">
        <v>25</v>
      </c>
      <c r="I831" s="5">
        <v>44470</v>
      </c>
      <c r="J831" s="6">
        <v>0</v>
      </c>
      <c r="K831" s="6">
        <v>0</v>
      </c>
      <c r="L831" s="6">
        <v>-0.70199999999999996</v>
      </c>
      <c r="M831" s="6">
        <v>-0.23166</v>
      </c>
      <c r="N831" s="6">
        <v>-0.70199999999999996</v>
      </c>
      <c r="O831" s="6">
        <v>-0.23166</v>
      </c>
      <c r="P831" s="6">
        <v>0</v>
      </c>
      <c r="Q831" s="4" t="s">
        <v>26</v>
      </c>
      <c r="R831" s="4">
        <v>0</v>
      </c>
      <c r="S831" s="4">
        <v>0</v>
      </c>
      <c r="T831" s="4">
        <v>54</v>
      </c>
      <c r="U831" s="4">
        <v>97</v>
      </c>
      <c r="V831" s="6">
        <f>IF(ISERROR(VLOOKUP($S$831,'TAR FIN'!$A$1:$O$116,15,0)),0,VLOOKUP($S$831,'TAR FIN'!$A$1:$O$116,15,0))</f>
        <v>0</v>
      </c>
      <c r="W831" s="6">
        <f>IF(ISERROR(VLOOKUP($T$831,'TAR FIN'!$A$1:$O$116,15,0)),0,VLOOKUP($T$831,'TAR FIN'!$A$1:$O$116,15,0))</f>
        <v>301.38</v>
      </c>
      <c r="X831" s="6">
        <f>IF(ISERROR(VLOOKUP($U$831,'TAR FIN'!$A$1:$O$116,15,0)),0,VLOOKUP($U$831,'TAR FIN'!$A$1:$O$116,15,0))</f>
        <v>287.29000000000002</v>
      </c>
      <c r="Y831" s="6"/>
      <c r="Z831" s="6">
        <f ca="1">('TUSD BE'!$AM$56+'TUSD BF'!$AM$56+'TUSD CVA'!$AM$56)*(1-CUSTOS!$M$38)</f>
        <v>410.57781128100521</v>
      </c>
      <c r="AA831" s="6">
        <f>('TE BE'!$AB$27+'TE BF'!$AB$27+'TE CVA'!$AB$27)*(1-CUSTOS!$M$38)</f>
        <v>309.85296222048811</v>
      </c>
      <c r="AB831" s="6">
        <f t="shared" si="46"/>
        <v>0</v>
      </c>
      <c r="AC831" s="6">
        <f>(L831-M831)*(W831+X831)+($W$597+$X$597-$W$831-$X$831)*(L831)</f>
        <v>-333.23160780000001</v>
      </c>
      <c r="AD831" s="6">
        <f t="shared" si="47"/>
        <v>0</v>
      </c>
      <c r="AE831" s="6">
        <f ca="1">(L831-M831)*(Z831+AA831)+($Z$597+$AA$597-$Z$831-$AA$831)*(L831)</f>
        <v>-371.12883998729126</v>
      </c>
      <c r="AF831" s="4" t="s">
        <v>1117</v>
      </c>
    </row>
    <row r="832" spans="1:32" ht="11.25" customHeight="1" x14ac:dyDescent="0.25">
      <c r="A832" s="4" t="s">
        <v>28</v>
      </c>
      <c r="B832" s="4" t="s">
        <v>44</v>
      </c>
      <c r="C832" s="4" t="s">
        <v>23</v>
      </c>
      <c r="D832" s="4" t="s">
        <v>45</v>
      </c>
      <c r="E832" s="4" t="s">
        <v>54</v>
      </c>
      <c r="F832" s="4" t="s">
        <v>56</v>
      </c>
      <c r="G832" s="4" t="s">
        <v>25</v>
      </c>
      <c r="H832" s="4" t="s">
        <v>25</v>
      </c>
      <c r="I832" s="5">
        <v>44470</v>
      </c>
      <c r="J832" s="6">
        <v>0</v>
      </c>
      <c r="K832" s="6">
        <v>0</v>
      </c>
      <c r="L832" s="6">
        <v>20.202999999999999</v>
      </c>
      <c r="M832" s="6">
        <v>6.6669900000000002</v>
      </c>
      <c r="N832" s="6">
        <v>20.202999999999999</v>
      </c>
      <c r="O832" s="6">
        <v>6.6669900000000002</v>
      </c>
      <c r="P832" s="6">
        <v>0</v>
      </c>
      <c r="Q832" s="4" t="s">
        <v>26</v>
      </c>
      <c r="R832" s="4">
        <v>0</v>
      </c>
      <c r="S832" s="4">
        <v>0</v>
      </c>
      <c r="T832" s="4">
        <v>54</v>
      </c>
      <c r="U832" s="4">
        <v>97</v>
      </c>
      <c r="V832" s="6">
        <f>IF(ISERROR(VLOOKUP($S$832,'TAR FIN'!$A$1:$O$116,15,0)),0,VLOOKUP($S$832,'TAR FIN'!$A$1:$O$116,15,0))</f>
        <v>0</v>
      </c>
      <c r="W832" s="6">
        <f>IF(ISERROR(VLOOKUP($T$832,'TAR FIN'!$A$1:$O$116,15,0)),0,VLOOKUP($T$832,'TAR FIN'!$A$1:$O$116,15,0))</f>
        <v>301.38</v>
      </c>
      <c r="X832" s="6">
        <f>IF(ISERROR(VLOOKUP($U$832,'TAR FIN'!$A$1:$O$116,15,0)),0,VLOOKUP($U$832,'TAR FIN'!$A$1:$O$116,15,0))</f>
        <v>287.29000000000002</v>
      </c>
      <c r="Y832" s="6"/>
      <c r="Z832" s="6">
        <f ca="1">('TUSD BE'!$AM$56+'TUSD BF'!$AM$56+'TUSD CVA'!$AM$56)*(1-CUSTOS!$M$38)</f>
        <v>410.57781128100521</v>
      </c>
      <c r="AA832" s="6">
        <f>('TE BE'!$AB$27+'TE BF'!$AB$27+'TE CVA'!$AB$27)*(1-CUSTOS!$M$38)</f>
        <v>309.85296222048811</v>
      </c>
      <c r="AB832" s="6">
        <f t="shared" si="46"/>
        <v>0</v>
      </c>
      <c r="AC832" s="6">
        <f>(L832-M832)*(W832+X832)+($W$597+$X$597-$W$832-$X$832)*(L832)</f>
        <v>9590.1398467000017</v>
      </c>
      <c r="AD832" s="6">
        <f t="shared" si="47"/>
        <v>0</v>
      </c>
      <c r="AE832" s="6">
        <f ca="1">(L832-M832)*(Z832+AA832)+($Z$597+$AA$597-$Z$832-$AA$832)*(L832)</f>
        <v>10680.791957639949</v>
      </c>
      <c r="AF832" s="4" t="s">
        <v>1117</v>
      </c>
    </row>
    <row r="833" spans="1:32" ht="11.25" customHeight="1" x14ac:dyDescent="0.25">
      <c r="A833" s="4" t="s">
        <v>21</v>
      </c>
      <c r="B833" s="4" t="s">
        <v>44</v>
      </c>
      <c r="C833" s="4" t="s">
        <v>23</v>
      </c>
      <c r="D833" s="4" t="s">
        <v>45</v>
      </c>
      <c r="E833" s="4" t="s">
        <v>54</v>
      </c>
      <c r="F833" s="4" t="s">
        <v>56</v>
      </c>
      <c r="G833" s="4" t="s">
        <v>25</v>
      </c>
      <c r="H833" s="4" t="s">
        <v>25</v>
      </c>
      <c r="I833" s="5">
        <v>44501</v>
      </c>
      <c r="J833" s="6">
        <v>0</v>
      </c>
      <c r="K833" s="6">
        <v>0</v>
      </c>
      <c r="L833" s="6">
        <v>47.411000000000001</v>
      </c>
      <c r="M833" s="6">
        <v>15.645630000000001</v>
      </c>
      <c r="N833" s="6">
        <v>47.411000000000001</v>
      </c>
      <c r="O833" s="6">
        <v>15.645630000000001</v>
      </c>
      <c r="P833" s="6">
        <v>0</v>
      </c>
      <c r="Q833" s="4" t="s">
        <v>26</v>
      </c>
      <c r="R833" s="4">
        <v>0</v>
      </c>
      <c r="S833" s="4">
        <v>0</v>
      </c>
      <c r="T833" s="4">
        <v>54</v>
      </c>
      <c r="U833" s="4">
        <v>97</v>
      </c>
      <c r="V833" s="6">
        <f>IF(ISERROR(VLOOKUP($S$833,'TAR FIN'!$A$1:$O$116,15,0)),0,VLOOKUP($S$833,'TAR FIN'!$A$1:$O$116,15,0))</f>
        <v>0</v>
      </c>
      <c r="W833" s="6">
        <f>IF(ISERROR(VLOOKUP($T$833,'TAR FIN'!$A$1:$O$116,15,0)),0,VLOOKUP($T$833,'TAR FIN'!$A$1:$O$116,15,0))</f>
        <v>301.38</v>
      </c>
      <c r="X833" s="6">
        <f>IF(ISERROR(VLOOKUP($U$833,'TAR FIN'!$A$1:$O$116,15,0)),0,VLOOKUP($U$833,'TAR FIN'!$A$1:$O$116,15,0))</f>
        <v>287.29000000000002</v>
      </c>
      <c r="Y833" s="6"/>
      <c r="Z833" s="6">
        <f ca="1">('TUSD BE'!$AM$56+'TUSD BF'!$AM$56+'TUSD CVA'!$AM$56)*(1-CUSTOS!$M$38)</f>
        <v>410.57781128100521</v>
      </c>
      <c r="AA833" s="6">
        <f>('TE BE'!$AB$27+'TE BF'!$AB$27+'TE CVA'!$AB$27)*(1-CUSTOS!$M$38)</f>
        <v>309.85296222048811</v>
      </c>
      <c r="AB833" s="6">
        <f t="shared" si="46"/>
        <v>0</v>
      </c>
      <c r="AC833" s="6">
        <f>(L833-M833)*(W833+X833)+($W$597+$X$597-$W$833-$X$833)*(L833)</f>
        <v>22505.475437900004</v>
      </c>
      <c r="AD833" s="6">
        <f t="shared" si="47"/>
        <v>0</v>
      </c>
      <c r="AE833" s="6">
        <f ca="1">(L833-M833)*(Z833+AA833)+($Z$597+$AA$597-$Z$833-$AA$833)*(L833)</f>
        <v>25064.94221173428</v>
      </c>
      <c r="AF833" s="4" t="s">
        <v>1117</v>
      </c>
    </row>
    <row r="834" spans="1:32" ht="11.25" customHeight="1" x14ac:dyDescent="0.25">
      <c r="A834" s="4" t="s">
        <v>28</v>
      </c>
      <c r="B834" s="4" t="s">
        <v>44</v>
      </c>
      <c r="C834" s="4" t="s">
        <v>23</v>
      </c>
      <c r="D834" s="4" t="s">
        <v>45</v>
      </c>
      <c r="E834" s="4" t="s">
        <v>54</v>
      </c>
      <c r="F834" s="4" t="s">
        <v>56</v>
      </c>
      <c r="G834" s="4" t="s">
        <v>25</v>
      </c>
      <c r="H834" s="4" t="s">
        <v>25</v>
      </c>
      <c r="I834" s="5">
        <v>44501</v>
      </c>
      <c r="J834" s="6">
        <v>0</v>
      </c>
      <c r="K834" s="6">
        <v>0</v>
      </c>
      <c r="L834" s="6">
        <v>10.212999999999999</v>
      </c>
      <c r="M834" s="6">
        <v>3.3702899999999998</v>
      </c>
      <c r="N834" s="6">
        <v>10.212999999999999</v>
      </c>
      <c r="O834" s="6">
        <v>3.3702899999999998</v>
      </c>
      <c r="P834" s="6">
        <v>0</v>
      </c>
      <c r="Q834" s="4" t="s">
        <v>26</v>
      </c>
      <c r="R834" s="4">
        <v>0</v>
      </c>
      <c r="S834" s="4">
        <v>0</v>
      </c>
      <c r="T834" s="4">
        <v>54</v>
      </c>
      <c r="U834" s="4">
        <v>97</v>
      </c>
      <c r="V834" s="6">
        <f>IF(ISERROR(VLOOKUP($S$834,'TAR FIN'!$A$1:$O$116,15,0)),0,VLOOKUP($S$834,'TAR FIN'!$A$1:$O$116,15,0))</f>
        <v>0</v>
      </c>
      <c r="W834" s="6">
        <f>IF(ISERROR(VLOOKUP($T$834,'TAR FIN'!$A$1:$O$116,15,0)),0,VLOOKUP($T$834,'TAR FIN'!$A$1:$O$116,15,0))</f>
        <v>301.38</v>
      </c>
      <c r="X834" s="6">
        <f>IF(ISERROR(VLOOKUP($U$834,'TAR FIN'!$A$1:$O$116,15,0)),0,VLOOKUP($U$834,'TAR FIN'!$A$1:$O$116,15,0))</f>
        <v>287.29000000000002</v>
      </c>
      <c r="Y834" s="6"/>
      <c r="Z834" s="6">
        <f ca="1">('TUSD BE'!$AM$56+'TUSD BF'!$AM$56+'TUSD CVA'!$AM$56)*(1-CUSTOS!$M$38)</f>
        <v>410.57781128100521</v>
      </c>
      <c r="AA834" s="6">
        <f>('TE BE'!$AB$27+'TE BF'!$AB$27+'TE CVA'!$AB$27)*(1-CUSTOS!$M$38)</f>
        <v>309.85296222048811</v>
      </c>
      <c r="AB834" s="6">
        <f t="shared" ref="AB834:AB897" si="48">(J834-K834)*V834</f>
        <v>0</v>
      </c>
      <c r="AC834" s="6">
        <f>(L834-M834)*(W834+X834)+($W$597+$X$597-$W$834-$X$834)*(L834)</f>
        <v>4847.9977357000007</v>
      </c>
      <c r="AD834" s="6">
        <f t="shared" ref="AD834:AD897" si="49">(J834-K834)*Y834</f>
        <v>0</v>
      </c>
      <c r="AE834" s="6">
        <f ca="1">(L834-M834)*(Z834+AA834)+($Z$597+$AA$597-$Z$834-$AA$834)*(L834)</f>
        <v>5399.3430808977273</v>
      </c>
      <c r="AF834" s="4" t="s">
        <v>1117</v>
      </c>
    </row>
    <row r="835" spans="1:32" ht="11.25" customHeight="1" x14ac:dyDescent="0.25">
      <c r="A835" s="4" t="s">
        <v>21</v>
      </c>
      <c r="B835" s="4" t="s">
        <v>44</v>
      </c>
      <c r="C835" s="4" t="s">
        <v>23</v>
      </c>
      <c r="D835" s="4" t="s">
        <v>45</v>
      </c>
      <c r="E835" s="4" t="s">
        <v>54</v>
      </c>
      <c r="F835" s="4" t="s">
        <v>56</v>
      </c>
      <c r="G835" s="4" t="s">
        <v>25</v>
      </c>
      <c r="H835" s="4" t="s">
        <v>25</v>
      </c>
      <c r="I835" s="5">
        <v>44531</v>
      </c>
      <c r="J835" s="6">
        <v>0</v>
      </c>
      <c r="K835" s="6">
        <v>0</v>
      </c>
      <c r="L835" s="6">
        <v>27.486999999999998</v>
      </c>
      <c r="M835" s="6">
        <v>9.0707100000000001</v>
      </c>
      <c r="N835" s="6">
        <v>27.486999999999998</v>
      </c>
      <c r="O835" s="6">
        <v>9.0707100000000001</v>
      </c>
      <c r="P835" s="6">
        <v>0</v>
      </c>
      <c r="Q835" s="4" t="s">
        <v>26</v>
      </c>
      <c r="R835" s="4">
        <v>0</v>
      </c>
      <c r="S835" s="4">
        <v>0</v>
      </c>
      <c r="T835" s="4">
        <v>54</v>
      </c>
      <c r="U835" s="4">
        <v>97</v>
      </c>
      <c r="V835" s="6">
        <f>IF(ISERROR(VLOOKUP($S$835,'TAR FIN'!$A$1:$O$116,15,0)),0,VLOOKUP($S$835,'TAR FIN'!$A$1:$O$116,15,0))</f>
        <v>0</v>
      </c>
      <c r="W835" s="6">
        <f>IF(ISERROR(VLOOKUP($T$835,'TAR FIN'!$A$1:$O$116,15,0)),0,VLOOKUP($T$835,'TAR FIN'!$A$1:$O$116,15,0))</f>
        <v>301.38</v>
      </c>
      <c r="X835" s="6">
        <f>IF(ISERROR(VLOOKUP($U$835,'TAR FIN'!$A$1:$O$116,15,0)),0,VLOOKUP($U$835,'TAR FIN'!$A$1:$O$116,15,0))</f>
        <v>287.29000000000002</v>
      </c>
      <c r="Y835" s="6"/>
      <c r="Z835" s="6">
        <f ca="1">('TUSD BE'!$AM$56+'TUSD BF'!$AM$56+'TUSD CVA'!$AM$56)*(1-CUSTOS!$M$38)</f>
        <v>410.57781128100521</v>
      </c>
      <c r="AA835" s="6">
        <f>('TE BE'!$AB$27+'TE BF'!$AB$27+'TE CVA'!$AB$27)*(1-CUSTOS!$M$38)</f>
        <v>309.85296222048811</v>
      </c>
      <c r="AB835" s="6">
        <f t="shared" si="48"/>
        <v>0</v>
      </c>
      <c r="AC835" s="6">
        <f>(L835-M835)*(W835+X835)+($W$597+$X$597-$W$835-$X$835)*(L835)</f>
        <v>13047.773794299999</v>
      </c>
      <c r="AD835" s="6">
        <f t="shared" si="49"/>
        <v>0</v>
      </c>
      <c r="AE835" s="6">
        <f ca="1">(L835-M835)*(Z835+AA835)+($Z$597+$AA$597-$Z$835-$AA$835)*(L835)</f>
        <v>14531.650177679019</v>
      </c>
      <c r="AF835" s="4" t="s">
        <v>1117</v>
      </c>
    </row>
    <row r="836" spans="1:32" ht="11.25" customHeight="1" x14ac:dyDescent="0.25">
      <c r="A836" s="4" t="s">
        <v>28</v>
      </c>
      <c r="B836" s="4" t="s">
        <v>44</v>
      </c>
      <c r="C836" s="4" t="s">
        <v>23</v>
      </c>
      <c r="D836" s="4" t="s">
        <v>45</v>
      </c>
      <c r="E836" s="4" t="s">
        <v>54</v>
      </c>
      <c r="F836" s="4" t="s">
        <v>56</v>
      </c>
      <c r="G836" s="4" t="s">
        <v>25</v>
      </c>
      <c r="H836" s="4" t="s">
        <v>25</v>
      </c>
      <c r="I836" s="5">
        <v>44531</v>
      </c>
      <c r="J836" s="6">
        <v>0</v>
      </c>
      <c r="K836" s="6">
        <v>0</v>
      </c>
      <c r="L836" s="6">
        <v>24.318999999999999</v>
      </c>
      <c r="M836" s="6">
        <v>8.0252700000000008</v>
      </c>
      <c r="N836" s="6">
        <v>24.318999999999999</v>
      </c>
      <c r="O836" s="6">
        <v>8.0252700000000008</v>
      </c>
      <c r="P836" s="6">
        <v>0</v>
      </c>
      <c r="Q836" s="4" t="s">
        <v>26</v>
      </c>
      <c r="R836" s="4">
        <v>0</v>
      </c>
      <c r="S836" s="4">
        <v>0</v>
      </c>
      <c r="T836" s="4">
        <v>54</v>
      </c>
      <c r="U836" s="4">
        <v>97</v>
      </c>
      <c r="V836" s="6">
        <f>IF(ISERROR(VLOOKUP($S$836,'TAR FIN'!$A$1:$O$116,15,0)),0,VLOOKUP($S$836,'TAR FIN'!$A$1:$O$116,15,0))</f>
        <v>0</v>
      </c>
      <c r="W836" s="6">
        <f>IF(ISERROR(VLOOKUP($T$836,'TAR FIN'!$A$1:$O$116,15,0)),0,VLOOKUP($T$836,'TAR FIN'!$A$1:$O$116,15,0))</f>
        <v>301.38</v>
      </c>
      <c r="X836" s="6">
        <f>IF(ISERROR(VLOOKUP($U$836,'TAR FIN'!$A$1:$O$116,15,0)),0,VLOOKUP($U$836,'TAR FIN'!$A$1:$O$116,15,0))</f>
        <v>287.29000000000002</v>
      </c>
      <c r="Y836" s="6"/>
      <c r="Z836" s="6">
        <f ca="1">('TUSD BE'!$AM$56+'TUSD BF'!$AM$56+'TUSD CVA'!$AM$56)*(1-CUSTOS!$M$38)</f>
        <v>410.57781128100521</v>
      </c>
      <c r="AA836" s="6">
        <f>('TE BE'!$AB$27+'TE BF'!$AB$27+'TE CVA'!$AB$27)*(1-CUSTOS!$M$38)</f>
        <v>309.85296222048811</v>
      </c>
      <c r="AB836" s="6">
        <f t="shared" si="48"/>
        <v>0</v>
      </c>
      <c r="AC836" s="6">
        <f>(L836-M836)*(W836+X836)+($W$597+$X$597-$W$836-$X$836)*(L836)</f>
        <v>11543.959359099999</v>
      </c>
      <c r="AD836" s="6">
        <f t="shared" si="49"/>
        <v>0</v>
      </c>
      <c r="AE836" s="6">
        <f ca="1">(L836-M836)*(Z836+AA836)+($Z$597+$AA$597-$Z$836-$AA$836)*(L836)</f>
        <v>12856.81233568509</v>
      </c>
      <c r="AF836" s="4" t="s">
        <v>1117</v>
      </c>
    </row>
    <row r="837" spans="1:32" ht="11.25" customHeight="1" x14ac:dyDescent="0.25">
      <c r="A837" s="4" t="s">
        <v>21</v>
      </c>
      <c r="B837" s="4" t="s">
        <v>44</v>
      </c>
      <c r="C837" s="4" t="s">
        <v>23</v>
      </c>
      <c r="D837" s="4" t="s">
        <v>45</v>
      </c>
      <c r="E837" s="4" t="s">
        <v>54</v>
      </c>
      <c r="F837" s="4" t="s">
        <v>56</v>
      </c>
      <c r="G837" s="4" t="s">
        <v>25</v>
      </c>
      <c r="H837" s="4" t="s">
        <v>25</v>
      </c>
      <c r="I837" s="5">
        <v>44562</v>
      </c>
      <c r="J837" s="6">
        <v>0</v>
      </c>
      <c r="K837" s="6">
        <v>0</v>
      </c>
      <c r="L837" s="6">
        <v>30.481000000000002</v>
      </c>
      <c r="M837" s="6">
        <v>10.058730000000001</v>
      </c>
      <c r="N837" s="6">
        <v>30.481000000000002</v>
      </c>
      <c r="O837" s="6">
        <v>10.058730000000001</v>
      </c>
      <c r="P837" s="6">
        <v>0</v>
      </c>
      <c r="Q837" s="4" t="s">
        <v>26</v>
      </c>
      <c r="R837" s="4">
        <v>0</v>
      </c>
      <c r="S837" s="4">
        <v>0</v>
      </c>
      <c r="T837" s="4">
        <v>54</v>
      </c>
      <c r="U837" s="4">
        <v>97</v>
      </c>
      <c r="V837" s="6">
        <f>IF(ISERROR(VLOOKUP($S$837,'TAR FIN'!$A$1:$O$116,15,0)),0,VLOOKUP($S$837,'TAR FIN'!$A$1:$O$116,15,0))</f>
        <v>0</v>
      </c>
      <c r="W837" s="6">
        <f>IF(ISERROR(VLOOKUP($T$837,'TAR FIN'!$A$1:$O$116,15,0)),0,VLOOKUP($T$837,'TAR FIN'!$A$1:$O$116,15,0))</f>
        <v>301.38</v>
      </c>
      <c r="X837" s="6">
        <f>IF(ISERROR(VLOOKUP($U$837,'TAR FIN'!$A$1:$O$116,15,0)),0,VLOOKUP($U$837,'TAR FIN'!$A$1:$O$116,15,0))</f>
        <v>287.29000000000002</v>
      </c>
      <c r="Y837" s="6"/>
      <c r="Z837" s="6">
        <f ca="1">('TUSD BE'!$AM$56+'TUSD BF'!$AM$56+'TUSD CVA'!$AM$56)*(1-CUSTOS!$M$38)</f>
        <v>410.57781128100521</v>
      </c>
      <c r="AA837" s="6">
        <f>('TE BE'!$AB$27+'TE BF'!$AB$27+'TE CVA'!$AB$27)*(1-CUSTOS!$M$38)</f>
        <v>309.85296222048811</v>
      </c>
      <c r="AB837" s="6">
        <f t="shared" si="48"/>
        <v>0</v>
      </c>
      <c r="AC837" s="6">
        <f>(L837-M837)*(W837+X837)+($W$597+$X$597-$W$837-$X$837)*(L837)</f>
        <v>14468.992360900003</v>
      </c>
      <c r="AD837" s="6">
        <f t="shared" si="49"/>
        <v>0</v>
      </c>
      <c r="AE837" s="6">
        <f ca="1">(L837-M837)*(Z837+AA837)+($Z$597+$AA$597-$Z$837-$AA$837)*(L837)</f>
        <v>16114.498820017983</v>
      </c>
      <c r="AF837" s="4" t="s">
        <v>1117</v>
      </c>
    </row>
    <row r="838" spans="1:32" ht="11.25" customHeight="1" x14ac:dyDescent="0.25">
      <c r="A838" s="4" t="s">
        <v>27</v>
      </c>
      <c r="B838" s="4" t="s">
        <v>44</v>
      </c>
      <c r="C838" s="4" t="s">
        <v>23</v>
      </c>
      <c r="D838" s="4" t="s">
        <v>45</v>
      </c>
      <c r="E838" s="4" t="s">
        <v>54</v>
      </c>
      <c r="F838" s="4" t="s">
        <v>56</v>
      </c>
      <c r="G838" s="4" t="s">
        <v>25</v>
      </c>
      <c r="H838" s="4" t="s">
        <v>25</v>
      </c>
      <c r="I838" s="5">
        <v>44562</v>
      </c>
      <c r="J838" s="6">
        <v>0</v>
      </c>
      <c r="K838" s="6">
        <v>0</v>
      </c>
      <c r="L838" s="6">
        <v>0.38600000000000001</v>
      </c>
      <c r="M838" s="6">
        <v>0.12737999999999999</v>
      </c>
      <c r="N838" s="6">
        <v>0.38600000000000001</v>
      </c>
      <c r="O838" s="6">
        <v>0.12737999999999999</v>
      </c>
      <c r="P838" s="6">
        <v>0</v>
      </c>
      <c r="Q838" s="4" t="s">
        <v>26</v>
      </c>
      <c r="R838" s="4">
        <v>0</v>
      </c>
      <c r="S838" s="4">
        <v>0</v>
      </c>
      <c r="T838" s="4">
        <v>54</v>
      </c>
      <c r="U838" s="4">
        <v>97</v>
      </c>
      <c r="V838" s="6">
        <f>IF(ISERROR(VLOOKUP($S$838,'TAR FIN'!$A$1:$O$116,15,0)),0,VLOOKUP($S$838,'TAR FIN'!$A$1:$O$116,15,0))</f>
        <v>0</v>
      </c>
      <c r="W838" s="6">
        <f>IF(ISERROR(VLOOKUP($T$838,'TAR FIN'!$A$1:$O$116,15,0)),0,VLOOKUP($T$838,'TAR FIN'!$A$1:$O$116,15,0))</f>
        <v>301.38</v>
      </c>
      <c r="X838" s="6">
        <f>IF(ISERROR(VLOOKUP($U$838,'TAR FIN'!$A$1:$O$116,15,0)),0,VLOOKUP($U$838,'TAR FIN'!$A$1:$O$116,15,0))</f>
        <v>287.29000000000002</v>
      </c>
      <c r="Y838" s="6"/>
      <c r="Z838" s="6">
        <f ca="1">('TUSD BE'!$AM$56+'TUSD BF'!$AM$56+'TUSD CVA'!$AM$56)*(1-CUSTOS!$M$38)</f>
        <v>410.57781128100521</v>
      </c>
      <c r="AA838" s="6">
        <f>('TE BE'!$AB$27+'TE BF'!$AB$27+'TE CVA'!$AB$27)*(1-CUSTOS!$M$38)</f>
        <v>309.85296222048811</v>
      </c>
      <c r="AB838" s="6">
        <f t="shared" si="48"/>
        <v>0</v>
      </c>
      <c r="AC838" s="6">
        <f>(L838-M838)*(W838+X838)+($W$597+$X$597-$W$838-$X$838)*(L838)</f>
        <v>183.22991540000004</v>
      </c>
      <c r="AD838" s="6">
        <f t="shared" si="49"/>
        <v>0</v>
      </c>
      <c r="AE838" s="6">
        <f ca="1">(L838-M838)*(Z838+AA838)+($Z$597+$AA$597-$Z$838-$AA$838)*(L838)</f>
        <v>204.06799463688665</v>
      </c>
      <c r="AF838" s="4" t="s">
        <v>1117</v>
      </c>
    </row>
    <row r="839" spans="1:32" ht="11.25" customHeight="1" x14ac:dyDescent="0.25">
      <c r="A839" s="4" t="s">
        <v>28</v>
      </c>
      <c r="B839" s="4" t="s">
        <v>44</v>
      </c>
      <c r="C839" s="4" t="s">
        <v>23</v>
      </c>
      <c r="D839" s="4" t="s">
        <v>45</v>
      </c>
      <c r="E839" s="4" t="s">
        <v>54</v>
      </c>
      <c r="F839" s="4" t="s">
        <v>56</v>
      </c>
      <c r="G839" s="4" t="s">
        <v>25</v>
      </c>
      <c r="H839" s="4" t="s">
        <v>25</v>
      </c>
      <c r="I839" s="5">
        <v>44562</v>
      </c>
      <c r="J839" s="6">
        <v>0</v>
      </c>
      <c r="K839" s="6">
        <v>0</v>
      </c>
      <c r="L839" s="6">
        <v>17.096</v>
      </c>
      <c r="M839" s="6">
        <v>5.64168</v>
      </c>
      <c r="N839" s="6">
        <v>17.096</v>
      </c>
      <c r="O839" s="6">
        <v>5.64168</v>
      </c>
      <c r="P839" s="6">
        <v>0</v>
      </c>
      <c r="Q839" s="4" t="s">
        <v>26</v>
      </c>
      <c r="R839" s="4">
        <v>0</v>
      </c>
      <c r="S839" s="4">
        <v>0</v>
      </c>
      <c r="T839" s="4">
        <v>54</v>
      </c>
      <c r="U839" s="4">
        <v>97</v>
      </c>
      <c r="V839" s="6">
        <f>IF(ISERROR(VLOOKUP($S$839,'TAR FIN'!$A$1:$O$116,15,0)),0,VLOOKUP($S$839,'TAR FIN'!$A$1:$O$116,15,0))</f>
        <v>0</v>
      </c>
      <c r="W839" s="6">
        <f>IF(ISERROR(VLOOKUP($T$839,'TAR FIN'!$A$1:$O$116,15,0)),0,VLOOKUP($T$839,'TAR FIN'!$A$1:$O$116,15,0))</f>
        <v>301.38</v>
      </c>
      <c r="X839" s="6">
        <f>IF(ISERROR(VLOOKUP($U$839,'TAR FIN'!$A$1:$O$116,15,0)),0,VLOOKUP($U$839,'TAR FIN'!$A$1:$O$116,15,0))</f>
        <v>287.29000000000002</v>
      </c>
      <c r="Y839" s="6"/>
      <c r="Z839" s="6">
        <f ca="1">('TUSD BE'!$AM$56+'TUSD BF'!$AM$56+'TUSD CVA'!$AM$56)*(1-CUSTOS!$M$38)</f>
        <v>410.57781128100521</v>
      </c>
      <c r="AA839" s="6">
        <f>('TE BE'!$AB$27+'TE BF'!$AB$27+'TE CVA'!$AB$27)*(1-CUSTOS!$M$38)</f>
        <v>309.85296222048811</v>
      </c>
      <c r="AB839" s="6">
        <f t="shared" si="48"/>
        <v>0</v>
      </c>
      <c r="AC839" s="6">
        <f>(L839-M839)*(W839+X839)+($W$597+$X$597-$W$839-$X$839)*(L839)</f>
        <v>8115.2814343999999</v>
      </c>
      <c r="AD839" s="6">
        <f t="shared" si="49"/>
        <v>0</v>
      </c>
      <c r="AE839" s="6">
        <f ca="1">(L839-M839)*(Z839+AA839)+($Z$597+$AA$597-$Z$839-$AA$839)*(L839)</f>
        <v>9038.2032028813828</v>
      </c>
      <c r="AF839" s="4" t="s">
        <v>1117</v>
      </c>
    </row>
    <row r="840" spans="1:32" ht="11.25" customHeight="1" x14ac:dyDescent="0.25">
      <c r="A840" s="4" t="s">
        <v>21</v>
      </c>
      <c r="B840" s="4" t="s">
        <v>44</v>
      </c>
      <c r="C840" s="4" t="s">
        <v>23</v>
      </c>
      <c r="D840" s="4" t="s">
        <v>45</v>
      </c>
      <c r="E840" s="4" t="s">
        <v>54</v>
      </c>
      <c r="F840" s="4" t="s">
        <v>56</v>
      </c>
      <c r="G840" s="4" t="s">
        <v>25</v>
      </c>
      <c r="H840" s="4" t="s">
        <v>25</v>
      </c>
      <c r="I840" s="5">
        <v>44593</v>
      </c>
      <c r="J840" s="6">
        <v>0</v>
      </c>
      <c r="K840" s="6">
        <v>0</v>
      </c>
      <c r="L840" s="6">
        <v>25.31</v>
      </c>
      <c r="M840" s="6">
        <v>8.3522999999999996</v>
      </c>
      <c r="N840" s="6">
        <v>25.31</v>
      </c>
      <c r="O840" s="6">
        <v>8.3522999999999996</v>
      </c>
      <c r="P840" s="6">
        <v>0</v>
      </c>
      <c r="Q840" s="4" t="s">
        <v>26</v>
      </c>
      <c r="R840" s="4">
        <v>0</v>
      </c>
      <c r="S840" s="4">
        <v>0</v>
      </c>
      <c r="T840" s="4">
        <v>54</v>
      </c>
      <c r="U840" s="4">
        <v>97</v>
      </c>
      <c r="V840" s="6">
        <f>IF(ISERROR(VLOOKUP($S$840,'TAR FIN'!$A$1:$O$116,15,0)),0,VLOOKUP($S$840,'TAR FIN'!$A$1:$O$116,15,0))</f>
        <v>0</v>
      </c>
      <c r="W840" s="6">
        <f>IF(ISERROR(VLOOKUP($T$840,'TAR FIN'!$A$1:$O$116,15,0)),0,VLOOKUP($T$840,'TAR FIN'!$A$1:$O$116,15,0))</f>
        <v>301.38</v>
      </c>
      <c r="X840" s="6">
        <f>IF(ISERROR(VLOOKUP($U$840,'TAR FIN'!$A$1:$O$116,15,0)),0,VLOOKUP($U$840,'TAR FIN'!$A$1:$O$116,15,0))</f>
        <v>287.29000000000002</v>
      </c>
      <c r="Y840" s="6"/>
      <c r="Z840" s="6">
        <f ca="1">('TUSD BE'!$AM$56+'TUSD BF'!$AM$56+'TUSD CVA'!$AM$56)*(1-CUSTOS!$M$38)</f>
        <v>410.57781128100521</v>
      </c>
      <c r="AA840" s="6">
        <f>('TE BE'!$AB$27+'TE BF'!$AB$27+'TE CVA'!$AB$27)*(1-CUSTOS!$M$38)</f>
        <v>309.85296222048811</v>
      </c>
      <c r="AB840" s="6">
        <f t="shared" si="48"/>
        <v>0</v>
      </c>
      <c r="AC840" s="6">
        <f>(L840-M840)*(W840+X840)+($W$597+$X$597-$W$840-$X$840)*(L840)</f>
        <v>12014.376059</v>
      </c>
      <c r="AD840" s="6">
        <f t="shared" si="49"/>
        <v>0</v>
      </c>
      <c r="AE840" s="6">
        <f ca="1">(L840-M840)*(Z840+AA840)+($Z$597+$AA$597-$Z$840-$AA$840)*(L840)</f>
        <v>13380.727834869431</v>
      </c>
      <c r="AF840" s="4" t="s">
        <v>1117</v>
      </c>
    </row>
    <row r="841" spans="1:32" ht="11.25" customHeight="1" x14ac:dyDescent="0.25">
      <c r="A841" s="4" t="s">
        <v>27</v>
      </c>
      <c r="B841" s="4" t="s">
        <v>44</v>
      </c>
      <c r="C841" s="4" t="s">
        <v>23</v>
      </c>
      <c r="D841" s="4" t="s">
        <v>45</v>
      </c>
      <c r="E841" s="4" t="s">
        <v>54</v>
      </c>
      <c r="F841" s="4" t="s">
        <v>56</v>
      </c>
      <c r="G841" s="4" t="s">
        <v>25</v>
      </c>
      <c r="H841" s="4" t="s">
        <v>25</v>
      </c>
      <c r="I841" s="5">
        <v>44593</v>
      </c>
      <c r="J841" s="6">
        <v>0</v>
      </c>
      <c r="K841" s="6">
        <v>0</v>
      </c>
      <c r="L841" s="6">
        <v>-1.518</v>
      </c>
      <c r="M841" s="6">
        <v>-0.50094000000000005</v>
      </c>
      <c r="N841" s="6">
        <v>-1.518</v>
      </c>
      <c r="O841" s="6">
        <v>-0.50094000000000005</v>
      </c>
      <c r="P841" s="6">
        <v>0</v>
      </c>
      <c r="Q841" s="4" t="s">
        <v>26</v>
      </c>
      <c r="R841" s="4">
        <v>0</v>
      </c>
      <c r="S841" s="4">
        <v>0</v>
      </c>
      <c r="T841" s="4">
        <v>54</v>
      </c>
      <c r="U841" s="4">
        <v>97</v>
      </c>
      <c r="V841" s="6">
        <f>IF(ISERROR(VLOOKUP($S$841,'TAR FIN'!$A$1:$O$116,15,0)),0,VLOOKUP($S$841,'TAR FIN'!$A$1:$O$116,15,0))</f>
        <v>0</v>
      </c>
      <c r="W841" s="6">
        <f>IF(ISERROR(VLOOKUP($T$841,'TAR FIN'!$A$1:$O$116,15,0)),0,VLOOKUP($T$841,'TAR FIN'!$A$1:$O$116,15,0))</f>
        <v>301.38</v>
      </c>
      <c r="X841" s="6">
        <f>IF(ISERROR(VLOOKUP($U$841,'TAR FIN'!$A$1:$O$116,15,0)),0,VLOOKUP($U$841,'TAR FIN'!$A$1:$O$116,15,0))</f>
        <v>287.29000000000002</v>
      </c>
      <c r="Y841" s="6"/>
      <c r="Z841" s="6">
        <f ca="1">('TUSD BE'!$AM$56+'TUSD BF'!$AM$56+'TUSD CVA'!$AM$56)*(1-CUSTOS!$M$38)</f>
        <v>410.57781128100521</v>
      </c>
      <c r="AA841" s="6">
        <f>('TE BE'!$AB$27+'TE BF'!$AB$27+'TE CVA'!$AB$27)*(1-CUSTOS!$M$38)</f>
        <v>309.85296222048811</v>
      </c>
      <c r="AB841" s="6">
        <f t="shared" si="48"/>
        <v>0</v>
      </c>
      <c r="AC841" s="6">
        <f>(L841-M841)*(W841+X841)+($W$597+$X$597-$W$841-$X$841)*(L841)</f>
        <v>-720.57775019999997</v>
      </c>
      <c r="AD841" s="6">
        <f t="shared" si="49"/>
        <v>0</v>
      </c>
      <c r="AE841" s="6">
        <f ca="1">(L841-M841)*(Z841+AA841)+($Z$597+$AA$597-$Z$841-$AA$841)*(L841)</f>
        <v>-802.52646595542456</v>
      </c>
      <c r="AF841" s="4" t="s">
        <v>1117</v>
      </c>
    </row>
    <row r="842" spans="1:32" ht="11.25" customHeight="1" x14ac:dyDescent="0.25">
      <c r="A842" s="4" t="s">
        <v>28</v>
      </c>
      <c r="B842" s="4" t="s">
        <v>44</v>
      </c>
      <c r="C842" s="4" t="s">
        <v>23</v>
      </c>
      <c r="D842" s="4" t="s">
        <v>45</v>
      </c>
      <c r="E842" s="4" t="s">
        <v>54</v>
      </c>
      <c r="F842" s="4" t="s">
        <v>56</v>
      </c>
      <c r="G842" s="4" t="s">
        <v>25</v>
      </c>
      <c r="H842" s="4" t="s">
        <v>25</v>
      </c>
      <c r="I842" s="5">
        <v>44593</v>
      </c>
      <c r="J842" s="6">
        <v>0</v>
      </c>
      <c r="K842" s="6">
        <v>0</v>
      </c>
      <c r="L842" s="6">
        <v>17.771999999999998</v>
      </c>
      <c r="M842" s="6">
        <v>5.8647600000000004</v>
      </c>
      <c r="N842" s="6">
        <v>17.771999999999998</v>
      </c>
      <c r="O842" s="6">
        <v>5.8647600000000004</v>
      </c>
      <c r="P842" s="6">
        <v>0</v>
      </c>
      <c r="Q842" s="4" t="s">
        <v>26</v>
      </c>
      <c r="R842" s="4">
        <v>0</v>
      </c>
      <c r="S842" s="4">
        <v>0</v>
      </c>
      <c r="T842" s="4">
        <v>54</v>
      </c>
      <c r="U842" s="4">
        <v>97</v>
      </c>
      <c r="V842" s="6">
        <f>IF(ISERROR(VLOOKUP($S$842,'TAR FIN'!$A$1:$O$116,15,0)),0,VLOOKUP($S$842,'TAR FIN'!$A$1:$O$116,15,0))</f>
        <v>0</v>
      </c>
      <c r="W842" s="6">
        <f>IF(ISERROR(VLOOKUP($T$842,'TAR FIN'!$A$1:$O$116,15,0)),0,VLOOKUP($T$842,'TAR FIN'!$A$1:$O$116,15,0))</f>
        <v>301.38</v>
      </c>
      <c r="X842" s="6">
        <f>IF(ISERROR(VLOOKUP($U$842,'TAR FIN'!$A$1:$O$116,15,0)),0,VLOOKUP($U$842,'TAR FIN'!$A$1:$O$116,15,0))</f>
        <v>287.29000000000002</v>
      </c>
      <c r="Y842" s="6"/>
      <c r="Z842" s="6">
        <f ca="1">('TUSD BE'!$AM$56+'TUSD BF'!$AM$56+'TUSD CVA'!$AM$56)*(1-CUSTOS!$M$38)</f>
        <v>410.57781128100521</v>
      </c>
      <c r="AA842" s="6">
        <f>('TE BE'!$AB$27+'TE BF'!$AB$27+'TE CVA'!$AB$27)*(1-CUSTOS!$M$38)</f>
        <v>309.85296222048811</v>
      </c>
      <c r="AB842" s="6">
        <f t="shared" si="48"/>
        <v>0</v>
      </c>
      <c r="AC842" s="6">
        <f>(L842-M842)*(W842+X842)+($W$597+$X$597-$W$842-$X$842)*(L842)</f>
        <v>8436.1711308000013</v>
      </c>
      <c r="AD842" s="6">
        <f t="shared" si="49"/>
        <v>0</v>
      </c>
      <c r="AE842" s="6">
        <f ca="1">(L842-M842)*(Z842+AA842)+($Z$597+$AA$597-$Z$842-$AA$842)*(L842)</f>
        <v>9395.5865302765505</v>
      </c>
      <c r="AF842" s="4" t="s">
        <v>1117</v>
      </c>
    </row>
    <row r="843" spans="1:32" ht="11.25" customHeight="1" x14ac:dyDescent="0.25">
      <c r="A843" s="4" t="s">
        <v>21</v>
      </c>
      <c r="B843" s="4" t="s">
        <v>44</v>
      </c>
      <c r="C843" s="4" t="s">
        <v>23</v>
      </c>
      <c r="D843" s="4" t="s">
        <v>45</v>
      </c>
      <c r="E843" s="4" t="s">
        <v>54</v>
      </c>
      <c r="F843" s="4" t="s">
        <v>56</v>
      </c>
      <c r="G843" s="4" t="s">
        <v>25</v>
      </c>
      <c r="H843" s="4" t="s">
        <v>25</v>
      </c>
      <c r="I843" s="5">
        <v>44621</v>
      </c>
      <c r="J843" s="6">
        <v>0</v>
      </c>
      <c r="K843" s="6">
        <v>0</v>
      </c>
      <c r="L843" s="6">
        <v>32.883000000000003</v>
      </c>
      <c r="M843" s="6">
        <v>10.85139</v>
      </c>
      <c r="N843" s="6">
        <v>32.883000000000003</v>
      </c>
      <c r="O843" s="6">
        <v>10.85139</v>
      </c>
      <c r="P843" s="6">
        <v>0</v>
      </c>
      <c r="Q843" s="4" t="s">
        <v>26</v>
      </c>
      <c r="R843" s="4">
        <v>0</v>
      </c>
      <c r="S843" s="4">
        <v>0</v>
      </c>
      <c r="T843" s="4">
        <v>54</v>
      </c>
      <c r="U843" s="4">
        <v>97</v>
      </c>
      <c r="V843" s="6">
        <f>IF(ISERROR(VLOOKUP($S$843,'TAR FIN'!$A$1:$O$116,15,0)),0,VLOOKUP($S$843,'TAR FIN'!$A$1:$O$116,15,0))</f>
        <v>0</v>
      </c>
      <c r="W843" s="6">
        <f>IF(ISERROR(VLOOKUP($T$843,'TAR FIN'!$A$1:$O$116,15,0)),0,VLOOKUP($T$843,'TAR FIN'!$A$1:$O$116,15,0))</f>
        <v>301.38</v>
      </c>
      <c r="X843" s="6">
        <f>IF(ISERROR(VLOOKUP($U$843,'TAR FIN'!$A$1:$O$116,15,0)),0,VLOOKUP($U$843,'TAR FIN'!$A$1:$O$116,15,0))</f>
        <v>287.29000000000002</v>
      </c>
      <c r="Y843" s="6"/>
      <c r="Z843" s="6">
        <f ca="1">('TUSD BE'!$AM$56+'TUSD BF'!$AM$56+'TUSD CVA'!$AM$56)*(1-CUSTOS!$M$38)</f>
        <v>410.57781128100521</v>
      </c>
      <c r="AA843" s="6">
        <f>('TE BE'!$AB$27+'TE BF'!$AB$27+'TE CVA'!$AB$27)*(1-CUSTOS!$M$38)</f>
        <v>309.85296222048811</v>
      </c>
      <c r="AB843" s="6">
        <f t="shared" si="48"/>
        <v>0</v>
      </c>
      <c r="AC843" s="6">
        <f>(L843-M843)*(W843+X843)+($W$597+$X$597-$W$843-$X$843)*(L843)</f>
        <v>15609.195098700004</v>
      </c>
      <c r="AD843" s="6">
        <f t="shared" si="49"/>
        <v>0</v>
      </c>
      <c r="AE843" s="6">
        <f ca="1">(L843-M843)*(Z843+AA843)+($Z$597+$AA$597-$Z$843-$AA$843)*(L843)</f>
        <v>17384.372714105553</v>
      </c>
      <c r="AF843" s="4" t="s">
        <v>1117</v>
      </c>
    </row>
    <row r="844" spans="1:32" ht="11.25" customHeight="1" x14ac:dyDescent="0.25">
      <c r="A844" s="4" t="s">
        <v>27</v>
      </c>
      <c r="B844" s="4" t="s">
        <v>44</v>
      </c>
      <c r="C844" s="4" t="s">
        <v>23</v>
      </c>
      <c r="D844" s="4" t="s">
        <v>45</v>
      </c>
      <c r="E844" s="4" t="s">
        <v>54</v>
      </c>
      <c r="F844" s="4" t="s">
        <v>56</v>
      </c>
      <c r="G844" s="4" t="s">
        <v>25</v>
      </c>
      <c r="H844" s="4" t="s">
        <v>25</v>
      </c>
      <c r="I844" s="5">
        <v>44621</v>
      </c>
      <c r="J844" s="6">
        <v>0</v>
      </c>
      <c r="K844" s="6">
        <v>0</v>
      </c>
      <c r="L844" s="6">
        <v>-0.29599999999999999</v>
      </c>
      <c r="M844" s="6">
        <v>-9.7680000000000003E-2</v>
      </c>
      <c r="N844" s="6">
        <v>-0.29599999999999999</v>
      </c>
      <c r="O844" s="6">
        <v>-9.7680000000000003E-2</v>
      </c>
      <c r="P844" s="6">
        <v>0</v>
      </c>
      <c r="Q844" s="4" t="s">
        <v>26</v>
      </c>
      <c r="R844" s="4">
        <v>0</v>
      </c>
      <c r="S844" s="4">
        <v>0</v>
      </c>
      <c r="T844" s="4">
        <v>54</v>
      </c>
      <c r="U844" s="4">
        <v>97</v>
      </c>
      <c r="V844" s="6">
        <f>IF(ISERROR(VLOOKUP($S$844,'TAR FIN'!$A$1:$O$116,15,0)),0,VLOOKUP($S$844,'TAR FIN'!$A$1:$O$116,15,0))</f>
        <v>0</v>
      </c>
      <c r="W844" s="6">
        <f>IF(ISERROR(VLOOKUP($T$844,'TAR FIN'!$A$1:$O$116,15,0)),0,VLOOKUP($T$844,'TAR FIN'!$A$1:$O$116,15,0))</f>
        <v>301.38</v>
      </c>
      <c r="X844" s="6">
        <f>IF(ISERROR(VLOOKUP($U$844,'TAR FIN'!$A$1:$O$116,15,0)),0,VLOOKUP($U$844,'TAR FIN'!$A$1:$O$116,15,0))</f>
        <v>287.29000000000002</v>
      </c>
      <c r="Y844" s="6"/>
      <c r="Z844" s="6">
        <f ca="1">('TUSD BE'!$AM$56+'TUSD BF'!$AM$56+'TUSD CVA'!$AM$56)*(1-CUSTOS!$M$38)</f>
        <v>410.57781128100521</v>
      </c>
      <c r="AA844" s="6">
        <f>('TE BE'!$AB$27+'TE BF'!$AB$27+'TE CVA'!$AB$27)*(1-CUSTOS!$M$38)</f>
        <v>309.85296222048811</v>
      </c>
      <c r="AB844" s="6">
        <f t="shared" si="48"/>
        <v>0</v>
      </c>
      <c r="AC844" s="6">
        <f>(L844-M844)*(W844+X844)+($W$597+$X$597-$W$844-$X$844)*(L844)</f>
        <v>-140.5079144</v>
      </c>
      <c r="AD844" s="6">
        <f t="shared" si="49"/>
        <v>0</v>
      </c>
      <c r="AE844" s="6">
        <f ca="1">(L844-M844)*(Z844+AA844)+($Z$597+$AA$597-$Z$844-$AA$844)*(L844)</f>
        <v>-156.48737412569542</v>
      </c>
      <c r="AF844" s="4" t="s">
        <v>1117</v>
      </c>
    </row>
    <row r="845" spans="1:32" ht="11.25" customHeight="1" x14ac:dyDescent="0.25">
      <c r="A845" s="4" t="s">
        <v>28</v>
      </c>
      <c r="B845" s="4" t="s">
        <v>44</v>
      </c>
      <c r="C845" s="4" t="s">
        <v>23</v>
      </c>
      <c r="D845" s="4" t="s">
        <v>45</v>
      </c>
      <c r="E845" s="4" t="s">
        <v>54</v>
      </c>
      <c r="F845" s="4" t="s">
        <v>56</v>
      </c>
      <c r="G845" s="4" t="s">
        <v>25</v>
      </c>
      <c r="H845" s="4" t="s">
        <v>25</v>
      </c>
      <c r="I845" s="5">
        <v>44621</v>
      </c>
      <c r="J845" s="6">
        <v>0</v>
      </c>
      <c r="K845" s="6">
        <v>0</v>
      </c>
      <c r="L845" s="6">
        <v>13.196999999999999</v>
      </c>
      <c r="M845" s="6">
        <v>4.35501</v>
      </c>
      <c r="N845" s="6">
        <v>13.196999999999999</v>
      </c>
      <c r="O845" s="6">
        <v>4.35501</v>
      </c>
      <c r="P845" s="6">
        <v>0</v>
      </c>
      <c r="Q845" s="4" t="s">
        <v>26</v>
      </c>
      <c r="R845" s="4">
        <v>0</v>
      </c>
      <c r="S845" s="4">
        <v>0</v>
      </c>
      <c r="T845" s="4">
        <v>54</v>
      </c>
      <c r="U845" s="4">
        <v>97</v>
      </c>
      <c r="V845" s="6">
        <f>IF(ISERROR(VLOOKUP($S$845,'TAR FIN'!$A$1:$O$116,15,0)),0,VLOOKUP($S$845,'TAR FIN'!$A$1:$O$116,15,0))</f>
        <v>0</v>
      </c>
      <c r="W845" s="6">
        <f>IF(ISERROR(VLOOKUP($T$845,'TAR FIN'!$A$1:$O$116,15,0)),0,VLOOKUP($T$845,'TAR FIN'!$A$1:$O$116,15,0))</f>
        <v>301.38</v>
      </c>
      <c r="X845" s="6">
        <f>IF(ISERROR(VLOOKUP($U$845,'TAR FIN'!$A$1:$O$116,15,0)),0,VLOOKUP($U$845,'TAR FIN'!$A$1:$O$116,15,0))</f>
        <v>287.29000000000002</v>
      </c>
      <c r="Y845" s="6"/>
      <c r="Z845" s="6">
        <f ca="1">('TUSD BE'!$AM$56+'TUSD BF'!$AM$56+'TUSD CVA'!$AM$56)*(1-CUSTOS!$M$38)</f>
        <v>410.57781128100521</v>
      </c>
      <c r="AA845" s="6">
        <f>('TE BE'!$AB$27+'TE BF'!$AB$27+'TE CVA'!$AB$27)*(1-CUSTOS!$M$38)</f>
        <v>309.85296222048811</v>
      </c>
      <c r="AB845" s="6">
        <f t="shared" si="48"/>
        <v>0</v>
      </c>
      <c r="AC845" s="6">
        <f>(L845-M845)*(W845+X845)+($W$597+$X$597-$W$845-$X$845)*(L845)</f>
        <v>6264.4694133000003</v>
      </c>
      <c r="AD845" s="6">
        <f t="shared" si="49"/>
        <v>0</v>
      </c>
      <c r="AE845" s="6">
        <f ca="1">(L845-M845)*(Z845+AA845)+($Z$597+$AA$597-$Z$845-$AA$845)*(L845)</f>
        <v>6976.9049876243325</v>
      </c>
      <c r="AF845" s="4" t="s">
        <v>1117</v>
      </c>
    </row>
    <row r="846" spans="1:32" ht="11.25" customHeight="1" x14ac:dyDescent="0.25">
      <c r="A846" s="4" t="s">
        <v>21</v>
      </c>
      <c r="B846" s="4" t="s">
        <v>44</v>
      </c>
      <c r="C846" s="4" t="s">
        <v>23</v>
      </c>
      <c r="D846" s="4" t="s">
        <v>45</v>
      </c>
      <c r="E846" s="4" t="s">
        <v>54</v>
      </c>
      <c r="F846" s="4" t="s">
        <v>56</v>
      </c>
      <c r="G846" s="4" t="s">
        <v>25</v>
      </c>
      <c r="H846" s="4" t="s">
        <v>25</v>
      </c>
      <c r="I846" s="5">
        <v>44652</v>
      </c>
      <c r="J846" s="6">
        <v>0</v>
      </c>
      <c r="K846" s="6">
        <v>0</v>
      </c>
      <c r="L846" s="6">
        <v>29.815000000000001</v>
      </c>
      <c r="M846" s="6">
        <v>9.8389500000000005</v>
      </c>
      <c r="N846" s="6">
        <v>29.815000000000001</v>
      </c>
      <c r="O846" s="6">
        <v>9.8389500000000005</v>
      </c>
      <c r="P846" s="6">
        <v>0</v>
      </c>
      <c r="Q846" s="4" t="s">
        <v>26</v>
      </c>
      <c r="R846" s="4">
        <v>0</v>
      </c>
      <c r="S846" s="4">
        <v>0</v>
      </c>
      <c r="T846" s="4">
        <v>54</v>
      </c>
      <c r="U846" s="4">
        <v>97</v>
      </c>
      <c r="V846" s="6">
        <f>IF(ISERROR(VLOOKUP($S$846,'TAR FIN'!$A$1:$O$116,15,0)),0,VLOOKUP($S$846,'TAR FIN'!$A$1:$O$116,15,0))</f>
        <v>0</v>
      </c>
      <c r="W846" s="6">
        <f>IF(ISERROR(VLOOKUP($T$846,'TAR FIN'!$A$1:$O$116,15,0)),0,VLOOKUP($T$846,'TAR FIN'!$A$1:$O$116,15,0))</f>
        <v>301.38</v>
      </c>
      <c r="X846" s="6">
        <f>IF(ISERROR(VLOOKUP($U$846,'TAR FIN'!$A$1:$O$116,15,0)),0,VLOOKUP($U$846,'TAR FIN'!$A$1:$O$116,15,0))</f>
        <v>287.29000000000002</v>
      </c>
      <c r="Y846" s="6"/>
      <c r="Z846" s="6">
        <f ca="1">('TUSD BE'!$AM$56+'TUSD BF'!$AM$56+'TUSD CVA'!$AM$56)*(1-CUSTOS!$M$38)</f>
        <v>410.57781128100521</v>
      </c>
      <c r="AA846" s="6">
        <f>('TE BE'!$AB$27+'TE BF'!$AB$27+'TE CVA'!$AB$27)*(1-CUSTOS!$M$38)</f>
        <v>309.85296222048811</v>
      </c>
      <c r="AB846" s="6">
        <f t="shared" si="48"/>
        <v>0</v>
      </c>
      <c r="AC846" s="6">
        <f>(L846-M846)*(W846+X846)+($W$597+$X$597-$W$846-$X$846)*(L846)</f>
        <v>14152.849553500004</v>
      </c>
      <c r="AD846" s="6">
        <f t="shared" si="49"/>
        <v>0</v>
      </c>
      <c r="AE846" s="6">
        <f ca="1">(L846-M846)*(Z846+AA846)+($Z$597+$AA$597-$Z$846-$AA$846)*(L846)</f>
        <v>15762.402228235169</v>
      </c>
      <c r="AF846" s="4" t="s">
        <v>1117</v>
      </c>
    </row>
    <row r="847" spans="1:32" ht="11.25" customHeight="1" x14ac:dyDescent="0.25">
      <c r="A847" s="4" t="s">
        <v>28</v>
      </c>
      <c r="B847" s="4" t="s">
        <v>44</v>
      </c>
      <c r="C847" s="4" t="s">
        <v>23</v>
      </c>
      <c r="D847" s="4" t="s">
        <v>45</v>
      </c>
      <c r="E847" s="4" t="s">
        <v>54</v>
      </c>
      <c r="F847" s="4" t="s">
        <v>56</v>
      </c>
      <c r="G847" s="4" t="s">
        <v>25</v>
      </c>
      <c r="H847" s="4" t="s">
        <v>25</v>
      </c>
      <c r="I847" s="5">
        <v>44652</v>
      </c>
      <c r="J847" s="6">
        <v>0</v>
      </c>
      <c r="K847" s="6">
        <v>0</v>
      </c>
      <c r="L847" s="6">
        <v>14.513999999999999</v>
      </c>
      <c r="M847" s="6">
        <v>4.7896200000000002</v>
      </c>
      <c r="N847" s="6">
        <v>14.513999999999999</v>
      </c>
      <c r="O847" s="6">
        <v>4.7896200000000002</v>
      </c>
      <c r="P847" s="6">
        <v>0</v>
      </c>
      <c r="Q847" s="4" t="s">
        <v>26</v>
      </c>
      <c r="R847" s="4">
        <v>0</v>
      </c>
      <c r="S847" s="4">
        <v>0</v>
      </c>
      <c r="T847" s="4">
        <v>54</v>
      </c>
      <c r="U847" s="4">
        <v>97</v>
      </c>
      <c r="V847" s="6">
        <f>IF(ISERROR(VLOOKUP($S$847,'TAR FIN'!$A$1:$O$116,15,0)),0,VLOOKUP($S$847,'TAR FIN'!$A$1:$O$116,15,0))</f>
        <v>0</v>
      </c>
      <c r="W847" s="6">
        <f>IF(ISERROR(VLOOKUP($T$847,'TAR FIN'!$A$1:$O$116,15,0)),0,VLOOKUP($T$847,'TAR FIN'!$A$1:$O$116,15,0))</f>
        <v>301.38</v>
      </c>
      <c r="X847" s="6">
        <f>IF(ISERROR(VLOOKUP($U$847,'TAR FIN'!$A$1:$O$116,15,0)),0,VLOOKUP($U$847,'TAR FIN'!$A$1:$O$116,15,0))</f>
        <v>287.29000000000002</v>
      </c>
      <c r="Y847" s="6"/>
      <c r="Z847" s="6">
        <f ca="1">('TUSD BE'!$AM$56+'TUSD BF'!$AM$56+'TUSD CVA'!$AM$56)*(1-CUSTOS!$M$38)</f>
        <v>410.57781128100521</v>
      </c>
      <c r="AA847" s="6">
        <f>('TE BE'!$AB$27+'TE BF'!$AB$27+'TE CVA'!$AB$27)*(1-CUSTOS!$M$38)</f>
        <v>309.85296222048811</v>
      </c>
      <c r="AB847" s="6">
        <f t="shared" si="48"/>
        <v>0</v>
      </c>
      <c r="AC847" s="6">
        <f>(L847-M847)*(W847+X847)+($W$597+$X$597-$W$847-$X$847)*(L847)</f>
        <v>6889.6346946000012</v>
      </c>
      <c r="AD847" s="6">
        <f t="shared" si="49"/>
        <v>0</v>
      </c>
      <c r="AE847" s="6">
        <f ca="1">(L847-M847)*(Z847+AA847)+($Z$597+$AA$597-$Z$847-$AA$847)*(L847)</f>
        <v>7673.1680677714312</v>
      </c>
      <c r="AF847" s="4" t="s">
        <v>1117</v>
      </c>
    </row>
    <row r="848" spans="1:32" ht="11.25" customHeight="1" x14ac:dyDescent="0.25">
      <c r="A848" s="4" t="s">
        <v>58</v>
      </c>
      <c r="B848" s="4" t="s">
        <v>44</v>
      </c>
      <c r="C848" s="4" t="s">
        <v>23</v>
      </c>
      <c r="D848" s="4" t="s">
        <v>45</v>
      </c>
      <c r="E848" s="4" t="s">
        <v>54</v>
      </c>
      <c r="F848" s="4" t="s">
        <v>56</v>
      </c>
      <c r="G848" s="4" t="s">
        <v>25</v>
      </c>
      <c r="H848" s="4" t="s">
        <v>25</v>
      </c>
      <c r="I848" s="5">
        <v>44682</v>
      </c>
      <c r="J848" s="6">
        <v>0</v>
      </c>
      <c r="K848" s="6">
        <v>0</v>
      </c>
      <c r="L848" s="6">
        <v>29.815000000000001</v>
      </c>
      <c r="M848" s="6">
        <v>9.8389500000000005</v>
      </c>
      <c r="N848" s="6">
        <v>29.815000000000001</v>
      </c>
      <c r="O848" s="6">
        <v>9.8389500000000005</v>
      </c>
      <c r="P848" s="6">
        <v>0</v>
      </c>
      <c r="Q848" s="4" t="s">
        <v>26</v>
      </c>
      <c r="R848" s="4">
        <v>0</v>
      </c>
      <c r="S848" s="4">
        <v>0</v>
      </c>
      <c r="T848" s="4">
        <v>54</v>
      </c>
      <c r="U848" s="4">
        <v>97</v>
      </c>
      <c r="V848" s="6">
        <f>IF(ISERROR(VLOOKUP($S$848,'TAR FIN'!$A$1:$O$116,15,0)),0,VLOOKUP($S$848,'TAR FIN'!$A$1:$O$116,15,0))</f>
        <v>0</v>
      </c>
      <c r="W848" s="6">
        <f>IF(ISERROR(VLOOKUP($T$848,'TAR FIN'!$A$1:$O$116,15,0)),0,VLOOKUP($T$848,'TAR FIN'!$A$1:$O$116,15,0))</f>
        <v>301.38</v>
      </c>
      <c r="X848" s="6">
        <f>IF(ISERROR(VLOOKUP($U$848,'TAR FIN'!$A$1:$O$116,15,0)),0,VLOOKUP($U$848,'TAR FIN'!$A$1:$O$116,15,0))</f>
        <v>287.29000000000002</v>
      </c>
      <c r="Y848" s="6"/>
      <c r="Z848" s="6">
        <f ca="1">('TUSD BE'!$AM$56+'TUSD BF'!$AM$56+'TUSD CVA'!$AM$56)*(1-CUSTOS!$M$38)</f>
        <v>410.57781128100521</v>
      </c>
      <c r="AA848" s="6">
        <f>('TE BE'!$AB$27+'TE BF'!$AB$27+'TE CVA'!$AB$27)*(1-CUSTOS!$M$38)</f>
        <v>309.85296222048811</v>
      </c>
      <c r="AB848" s="6">
        <f t="shared" si="48"/>
        <v>0</v>
      </c>
      <c r="AC848" s="6">
        <f>(L848-M848)*(W848+X848)+($W$597+$X$597-$W$848-$X$848)*(L848)</f>
        <v>14152.849553500004</v>
      </c>
      <c r="AD848" s="6">
        <f t="shared" si="49"/>
        <v>0</v>
      </c>
      <c r="AE848" s="6">
        <f ca="1">(L848-M848)*(Z848+AA848)+($Z$597+$AA$597-$Z$848-$AA$848)*(L848)</f>
        <v>15762.402228235169</v>
      </c>
      <c r="AF848" s="4" t="s">
        <v>1117</v>
      </c>
    </row>
    <row r="849" spans="1:32" ht="11.25" customHeight="1" x14ac:dyDescent="0.25">
      <c r="A849" s="4" t="s">
        <v>58</v>
      </c>
      <c r="B849" s="4" t="s">
        <v>44</v>
      </c>
      <c r="C849" s="4" t="s">
        <v>23</v>
      </c>
      <c r="D849" s="4" t="s">
        <v>45</v>
      </c>
      <c r="E849" s="4" t="s">
        <v>54</v>
      </c>
      <c r="F849" s="4" t="s">
        <v>56</v>
      </c>
      <c r="G849" s="4" t="s">
        <v>25</v>
      </c>
      <c r="H849" s="4" t="s">
        <v>25</v>
      </c>
      <c r="I849" s="5">
        <v>44682</v>
      </c>
      <c r="J849" s="6">
        <v>0</v>
      </c>
      <c r="K849" s="6">
        <v>0</v>
      </c>
      <c r="L849" s="6">
        <v>14.513999999999999</v>
      </c>
      <c r="M849" s="6">
        <v>4.7896200000000002</v>
      </c>
      <c r="N849" s="6">
        <v>14.513999999999999</v>
      </c>
      <c r="O849" s="6">
        <v>4.7896200000000002</v>
      </c>
      <c r="P849" s="6">
        <v>0</v>
      </c>
      <c r="Q849" s="4" t="s">
        <v>26</v>
      </c>
      <c r="R849" s="4">
        <v>0</v>
      </c>
      <c r="S849" s="4">
        <v>0</v>
      </c>
      <c r="T849" s="4">
        <v>54</v>
      </c>
      <c r="U849" s="4">
        <v>97</v>
      </c>
      <c r="V849" s="6">
        <f>IF(ISERROR(VLOOKUP($S$849,'TAR FIN'!$A$1:$O$116,15,0)),0,VLOOKUP($S$849,'TAR FIN'!$A$1:$O$116,15,0))</f>
        <v>0</v>
      </c>
      <c r="W849" s="6">
        <f>IF(ISERROR(VLOOKUP($T$849,'TAR FIN'!$A$1:$O$116,15,0)),0,VLOOKUP($T$849,'TAR FIN'!$A$1:$O$116,15,0))</f>
        <v>301.38</v>
      </c>
      <c r="X849" s="6">
        <f>IF(ISERROR(VLOOKUP($U$849,'TAR FIN'!$A$1:$O$116,15,0)),0,VLOOKUP($U$849,'TAR FIN'!$A$1:$O$116,15,0))</f>
        <v>287.29000000000002</v>
      </c>
      <c r="Y849" s="6"/>
      <c r="Z849" s="6">
        <f ca="1">('TUSD BE'!$AM$56+'TUSD BF'!$AM$56+'TUSD CVA'!$AM$56)*(1-CUSTOS!$M$38)</f>
        <v>410.57781128100521</v>
      </c>
      <c r="AA849" s="6">
        <f>('TE BE'!$AB$27+'TE BF'!$AB$27+'TE CVA'!$AB$27)*(1-CUSTOS!$M$38)</f>
        <v>309.85296222048811</v>
      </c>
      <c r="AB849" s="6">
        <f t="shared" si="48"/>
        <v>0</v>
      </c>
      <c r="AC849" s="6">
        <f>(L849-M849)*(W849+X849)+($W$597+$X$597-$W$849-$X$849)*(L849)</f>
        <v>6889.6346946000012</v>
      </c>
      <c r="AD849" s="6">
        <f t="shared" si="49"/>
        <v>0</v>
      </c>
      <c r="AE849" s="6">
        <f ca="1">(L849-M849)*(Z849+AA849)+($Z$597+$AA$597-$Z$849-$AA$849)*(L849)</f>
        <v>7673.1680677714312</v>
      </c>
      <c r="AF849" s="4" t="s">
        <v>1117</v>
      </c>
    </row>
    <row r="850" spans="1:32" ht="11.25" customHeight="1" x14ac:dyDescent="0.25">
      <c r="A850" s="4" t="s">
        <v>21</v>
      </c>
      <c r="B850" s="4" t="s">
        <v>44</v>
      </c>
      <c r="C850" s="4" t="s">
        <v>23</v>
      </c>
      <c r="D850" s="4" t="s">
        <v>45</v>
      </c>
      <c r="E850" s="4" t="s">
        <v>57</v>
      </c>
      <c r="F850" s="4" t="s">
        <v>55</v>
      </c>
      <c r="G850" s="4" t="s">
        <v>25</v>
      </c>
      <c r="H850" s="4" t="s">
        <v>25</v>
      </c>
      <c r="I850" s="5">
        <v>44348</v>
      </c>
      <c r="J850" s="6">
        <v>0</v>
      </c>
      <c r="K850" s="6">
        <v>0</v>
      </c>
      <c r="L850" s="6">
        <v>0.89400000000000002</v>
      </c>
      <c r="M850" s="6">
        <v>0.89400000000000002</v>
      </c>
      <c r="N850" s="6">
        <v>0.89400000000000002</v>
      </c>
      <c r="O850" s="6">
        <v>0.89400000000000002</v>
      </c>
      <c r="P850" s="6">
        <v>0</v>
      </c>
      <c r="Q850" s="4" t="s">
        <v>26</v>
      </c>
      <c r="R850" s="4">
        <v>0</v>
      </c>
      <c r="S850" s="4">
        <v>0</v>
      </c>
      <c r="T850" s="4">
        <v>54</v>
      </c>
      <c r="U850" s="4">
        <v>97</v>
      </c>
      <c r="V850" s="6">
        <f>IF(ISERROR(VLOOKUP($S$850,'TAR FIN'!$A$1:$O$116,15,0)),0,VLOOKUP($S$850,'TAR FIN'!$A$1:$O$116,15,0))</f>
        <v>0</v>
      </c>
      <c r="W850" s="6">
        <f>IF(ISERROR(VLOOKUP($T$850,'TAR FIN'!$A$1:$O$116,15,0)),0,VLOOKUP($T$850,'TAR FIN'!$A$1:$O$116,15,0))</f>
        <v>301.38</v>
      </c>
      <c r="X850" s="6">
        <f>IF(ISERROR(VLOOKUP($U$850,'TAR FIN'!$A$1:$O$116,15,0)),0,VLOOKUP($U$850,'TAR FIN'!$A$1:$O$116,15,0))</f>
        <v>287.29000000000002</v>
      </c>
      <c r="Y850" s="6"/>
      <c r="Z850" s="6">
        <f ca="1">('TUSD BE'!$AM$56+'TUSD BF'!$AM$56+'TUSD CVA'!$AM$56)*(1-CUSTOS!$M$38)</f>
        <v>410.57781128100521</v>
      </c>
      <c r="AA850" s="6">
        <f>('TE BE'!$AB$27+'TE BF'!$AB$27+'TE CVA'!$AB$27)*(1-CUSTOS!$M$38)</f>
        <v>309.85296222048811</v>
      </c>
      <c r="AB850" s="6">
        <f t="shared" si="48"/>
        <v>0</v>
      </c>
      <c r="AC850" s="6">
        <f>(L850-M850)*(W850+X850)+($W$597+$X$597-$W$850-$X$850)*(L850)</f>
        <v>71.770320000000027</v>
      </c>
      <c r="AD850" s="6">
        <f t="shared" si="49"/>
        <v>0</v>
      </c>
      <c r="AE850" s="6">
        <f ca="1">(L850-M850)*(Z850+AA850)+($Z$597+$AA$597-$Z$850-$AA$850)*(L850)</f>
        <v>41.110539032574572</v>
      </c>
      <c r="AF850" s="4" t="s">
        <v>1114</v>
      </c>
    </row>
    <row r="851" spans="1:32" ht="11.25" customHeight="1" x14ac:dyDescent="0.25">
      <c r="A851" s="4" t="s">
        <v>21</v>
      </c>
      <c r="B851" s="4" t="s">
        <v>44</v>
      </c>
      <c r="C851" s="4" t="s">
        <v>23</v>
      </c>
      <c r="D851" s="4" t="s">
        <v>45</v>
      </c>
      <c r="E851" s="4" t="s">
        <v>57</v>
      </c>
      <c r="F851" s="4" t="s">
        <v>55</v>
      </c>
      <c r="G851" s="4" t="s">
        <v>25</v>
      </c>
      <c r="H851" s="4" t="s">
        <v>25</v>
      </c>
      <c r="I851" s="5">
        <v>44378</v>
      </c>
      <c r="J851" s="6">
        <v>0</v>
      </c>
      <c r="K851" s="6">
        <v>0</v>
      </c>
      <c r="L851" s="6">
        <v>1.3440000000000001</v>
      </c>
      <c r="M851" s="6">
        <v>1.3440000000000001</v>
      </c>
      <c r="N851" s="6">
        <v>1.3440000000000001</v>
      </c>
      <c r="O851" s="6">
        <v>1.3440000000000001</v>
      </c>
      <c r="P851" s="6">
        <v>0</v>
      </c>
      <c r="Q851" s="4" t="s">
        <v>26</v>
      </c>
      <c r="R851" s="4">
        <v>0</v>
      </c>
      <c r="S851" s="4">
        <v>0</v>
      </c>
      <c r="T851" s="4">
        <v>54</v>
      </c>
      <c r="U851" s="4">
        <v>97</v>
      </c>
      <c r="V851" s="6">
        <f>IF(ISERROR(VLOOKUP($S$851,'TAR FIN'!$A$1:$O$116,15,0)),0,VLOOKUP($S$851,'TAR FIN'!$A$1:$O$116,15,0))</f>
        <v>0</v>
      </c>
      <c r="W851" s="6">
        <f>IF(ISERROR(VLOOKUP($T$851,'TAR FIN'!$A$1:$O$116,15,0)),0,VLOOKUP($T$851,'TAR FIN'!$A$1:$O$116,15,0))</f>
        <v>301.38</v>
      </c>
      <c r="X851" s="6">
        <f>IF(ISERROR(VLOOKUP($U$851,'TAR FIN'!$A$1:$O$116,15,0)),0,VLOOKUP($U$851,'TAR FIN'!$A$1:$O$116,15,0))</f>
        <v>287.29000000000002</v>
      </c>
      <c r="Y851" s="6"/>
      <c r="Z851" s="6">
        <f ca="1">('TUSD BE'!$AM$56+'TUSD BF'!$AM$56+'TUSD CVA'!$AM$56)*(1-CUSTOS!$M$38)</f>
        <v>410.57781128100521</v>
      </c>
      <c r="AA851" s="6">
        <f>('TE BE'!$AB$27+'TE BF'!$AB$27+'TE CVA'!$AB$27)*(1-CUSTOS!$M$38)</f>
        <v>309.85296222048811</v>
      </c>
      <c r="AB851" s="6">
        <f t="shared" si="48"/>
        <v>0</v>
      </c>
      <c r="AC851" s="6">
        <f>(L851-M851)*(W851+X851)+($W$597+$X$597-$W$851-$X$851)*(L851)</f>
        <v>107.89632000000005</v>
      </c>
      <c r="AD851" s="6">
        <f t="shared" si="49"/>
        <v>0</v>
      </c>
      <c r="AE851" s="6">
        <f ca="1">(L851-M851)*(Z851+AA851)+($Z$597+$AA$597-$Z$851-$AA$851)*(L851)</f>
        <v>61.803763377830229</v>
      </c>
      <c r="AF851" s="4" t="s">
        <v>1114</v>
      </c>
    </row>
    <row r="852" spans="1:32" ht="11.25" customHeight="1" x14ac:dyDescent="0.25">
      <c r="A852" s="4" t="s">
        <v>28</v>
      </c>
      <c r="B852" s="4" t="s">
        <v>44</v>
      </c>
      <c r="C852" s="4" t="s">
        <v>23</v>
      </c>
      <c r="D852" s="4" t="s">
        <v>45</v>
      </c>
      <c r="E852" s="4" t="s">
        <v>57</v>
      </c>
      <c r="F852" s="4" t="s">
        <v>55</v>
      </c>
      <c r="G852" s="4" t="s">
        <v>25</v>
      </c>
      <c r="H852" s="4" t="s">
        <v>25</v>
      </c>
      <c r="I852" s="5">
        <v>44378</v>
      </c>
      <c r="J852" s="6">
        <v>0</v>
      </c>
      <c r="K852" s="6">
        <v>0</v>
      </c>
      <c r="L852" s="6">
        <v>1.2E-2</v>
      </c>
      <c r="M852" s="6">
        <v>1.2E-2</v>
      </c>
      <c r="N852" s="6">
        <v>1.2E-2</v>
      </c>
      <c r="O852" s="6">
        <v>1.2E-2</v>
      </c>
      <c r="P852" s="6">
        <v>0</v>
      </c>
      <c r="Q852" s="4" t="s">
        <v>26</v>
      </c>
      <c r="R852" s="4">
        <v>0</v>
      </c>
      <c r="S852" s="4">
        <v>0</v>
      </c>
      <c r="T852" s="4">
        <v>54</v>
      </c>
      <c r="U852" s="4">
        <v>97</v>
      </c>
      <c r="V852" s="6">
        <f>IF(ISERROR(VLOOKUP($S$852,'TAR FIN'!$A$1:$O$116,15,0)),0,VLOOKUP($S$852,'TAR FIN'!$A$1:$O$116,15,0))</f>
        <v>0</v>
      </c>
      <c r="W852" s="6">
        <f>IF(ISERROR(VLOOKUP($T$852,'TAR FIN'!$A$1:$O$116,15,0)),0,VLOOKUP($T$852,'TAR FIN'!$A$1:$O$116,15,0))</f>
        <v>301.38</v>
      </c>
      <c r="X852" s="6">
        <f>IF(ISERROR(VLOOKUP($U$852,'TAR FIN'!$A$1:$O$116,15,0)),0,VLOOKUP($U$852,'TAR FIN'!$A$1:$O$116,15,0))</f>
        <v>287.29000000000002</v>
      </c>
      <c r="Y852" s="6"/>
      <c r="Z852" s="6">
        <f ca="1">('TUSD BE'!$AM$56+'TUSD BF'!$AM$56+'TUSD CVA'!$AM$56)*(1-CUSTOS!$M$38)</f>
        <v>410.57781128100521</v>
      </c>
      <c r="AA852" s="6">
        <f>('TE BE'!$AB$27+'TE BF'!$AB$27+'TE CVA'!$AB$27)*(1-CUSTOS!$M$38)</f>
        <v>309.85296222048811</v>
      </c>
      <c r="AB852" s="6">
        <f t="shared" si="48"/>
        <v>0</v>
      </c>
      <c r="AC852" s="6">
        <f>(L852-M852)*(W852+X852)+($W$597+$X$597-$W$852-$X$852)*(L852)</f>
        <v>0.96336000000000033</v>
      </c>
      <c r="AD852" s="6">
        <f t="shared" si="49"/>
        <v>0</v>
      </c>
      <c r="AE852" s="6">
        <f ca="1">(L852-M852)*(Z852+AA852)+($Z$597+$AA$597-$Z$852-$AA$852)*(L852)</f>
        <v>0.5518193158734841</v>
      </c>
      <c r="AF852" s="4" t="s">
        <v>1114</v>
      </c>
    </row>
    <row r="853" spans="1:32" ht="11.25" customHeight="1" x14ac:dyDescent="0.25">
      <c r="A853" s="4" t="s">
        <v>21</v>
      </c>
      <c r="B853" s="4" t="s">
        <v>44</v>
      </c>
      <c r="C853" s="4" t="s">
        <v>23</v>
      </c>
      <c r="D853" s="4" t="s">
        <v>45</v>
      </c>
      <c r="E853" s="4" t="s">
        <v>57</v>
      </c>
      <c r="F853" s="4" t="s">
        <v>55</v>
      </c>
      <c r="G853" s="4" t="s">
        <v>25</v>
      </c>
      <c r="H853" s="4" t="s">
        <v>25</v>
      </c>
      <c r="I853" s="5">
        <v>44409</v>
      </c>
      <c r="J853" s="6">
        <v>0</v>
      </c>
      <c r="K853" s="6">
        <v>0</v>
      </c>
      <c r="L853" s="6">
        <v>0.55000000000000004</v>
      </c>
      <c r="M853" s="6">
        <v>0.55000000000000004</v>
      </c>
      <c r="N853" s="6">
        <v>0.55000000000000004</v>
      </c>
      <c r="O853" s="6">
        <v>0.55000000000000004</v>
      </c>
      <c r="P853" s="6">
        <v>0</v>
      </c>
      <c r="Q853" s="4" t="s">
        <v>26</v>
      </c>
      <c r="R853" s="4">
        <v>0</v>
      </c>
      <c r="S853" s="4">
        <v>0</v>
      </c>
      <c r="T853" s="4">
        <v>54</v>
      </c>
      <c r="U853" s="4">
        <v>97</v>
      </c>
      <c r="V853" s="6">
        <f>IF(ISERROR(VLOOKUP($S$853,'TAR FIN'!$A$1:$O$116,15,0)),0,VLOOKUP($S$853,'TAR FIN'!$A$1:$O$116,15,0))</f>
        <v>0</v>
      </c>
      <c r="W853" s="6">
        <f>IF(ISERROR(VLOOKUP($T$853,'TAR FIN'!$A$1:$O$116,15,0)),0,VLOOKUP($T$853,'TAR FIN'!$A$1:$O$116,15,0))</f>
        <v>301.38</v>
      </c>
      <c r="X853" s="6">
        <f>IF(ISERROR(VLOOKUP($U$853,'TAR FIN'!$A$1:$O$116,15,0)),0,VLOOKUP($U$853,'TAR FIN'!$A$1:$O$116,15,0))</f>
        <v>287.29000000000002</v>
      </c>
      <c r="Y853" s="6"/>
      <c r="Z853" s="6">
        <f ca="1">('TUSD BE'!$AM$56+'TUSD BF'!$AM$56+'TUSD CVA'!$AM$56)*(1-CUSTOS!$M$38)</f>
        <v>410.57781128100521</v>
      </c>
      <c r="AA853" s="6">
        <f>('TE BE'!$AB$27+'TE BF'!$AB$27+'TE CVA'!$AB$27)*(1-CUSTOS!$M$38)</f>
        <v>309.85296222048811</v>
      </c>
      <c r="AB853" s="6">
        <f t="shared" si="48"/>
        <v>0</v>
      </c>
      <c r="AC853" s="6">
        <f>(L853-M853)*(W853+X853)+($W$597+$X$597-$W$853-$X$853)*(L853)</f>
        <v>44.154000000000018</v>
      </c>
      <c r="AD853" s="6">
        <f t="shared" si="49"/>
        <v>0</v>
      </c>
      <c r="AE853" s="6">
        <f ca="1">(L853-M853)*(Z853+AA853)+($Z$597+$AA$597-$Z$853-$AA$853)*(L853)</f>
        <v>25.291718644201357</v>
      </c>
      <c r="AF853" s="4" t="s">
        <v>1114</v>
      </c>
    </row>
    <row r="854" spans="1:32" ht="11.25" customHeight="1" x14ac:dyDescent="0.25">
      <c r="A854" s="4" t="s">
        <v>28</v>
      </c>
      <c r="B854" s="4" t="s">
        <v>44</v>
      </c>
      <c r="C854" s="4" t="s">
        <v>23</v>
      </c>
      <c r="D854" s="4" t="s">
        <v>45</v>
      </c>
      <c r="E854" s="4" t="s">
        <v>57</v>
      </c>
      <c r="F854" s="4" t="s">
        <v>55</v>
      </c>
      <c r="G854" s="4" t="s">
        <v>25</v>
      </c>
      <c r="H854" s="4" t="s">
        <v>25</v>
      </c>
      <c r="I854" s="5">
        <v>44409</v>
      </c>
      <c r="J854" s="6">
        <v>0</v>
      </c>
      <c r="K854" s="6">
        <v>0</v>
      </c>
      <c r="L854" s="6">
        <v>0.16800000000000001</v>
      </c>
      <c r="M854" s="6">
        <v>0.16800000000000001</v>
      </c>
      <c r="N854" s="6">
        <v>0.16800000000000001</v>
      </c>
      <c r="O854" s="6">
        <v>0.16800000000000001</v>
      </c>
      <c r="P854" s="6">
        <v>0</v>
      </c>
      <c r="Q854" s="4" t="s">
        <v>26</v>
      </c>
      <c r="R854" s="4">
        <v>0</v>
      </c>
      <c r="S854" s="4">
        <v>0</v>
      </c>
      <c r="T854" s="4">
        <v>54</v>
      </c>
      <c r="U854" s="4">
        <v>97</v>
      </c>
      <c r="V854" s="6">
        <f>IF(ISERROR(VLOOKUP($S$854,'TAR FIN'!$A$1:$O$116,15,0)),0,VLOOKUP($S$854,'TAR FIN'!$A$1:$O$116,15,0))</f>
        <v>0</v>
      </c>
      <c r="W854" s="6">
        <f>IF(ISERROR(VLOOKUP($T$854,'TAR FIN'!$A$1:$O$116,15,0)),0,VLOOKUP($T$854,'TAR FIN'!$A$1:$O$116,15,0))</f>
        <v>301.38</v>
      </c>
      <c r="X854" s="6">
        <f>IF(ISERROR(VLOOKUP($U$854,'TAR FIN'!$A$1:$O$116,15,0)),0,VLOOKUP($U$854,'TAR FIN'!$A$1:$O$116,15,0))</f>
        <v>287.29000000000002</v>
      </c>
      <c r="Y854" s="6"/>
      <c r="Z854" s="6">
        <f ca="1">('TUSD BE'!$AM$56+'TUSD BF'!$AM$56+'TUSD CVA'!$AM$56)*(1-CUSTOS!$M$38)</f>
        <v>410.57781128100521</v>
      </c>
      <c r="AA854" s="6">
        <f>('TE BE'!$AB$27+'TE BF'!$AB$27+'TE CVA'!$AB$27)*(1-CUSTOS!$M$38)</f>
        <v>309.85296222048811</v>
      </c>
      <c r="AB854" s="6">
        <f t="shared" si="48"/>
        <v>0</v>
      </c>
      <c r="AC854" s="6">
        <f>(L854-M854)*(W854+X854)+($W$597+$X$597-$W$854-$X$854)*(L854)</f>
        <v>13.487040000000006</v>
      </c>
      <c r="AD854" s="6">
        <f t="shared" si="49"/>
        <v>0</v>
      </c>
      <c r="AE854" s="6">
        <f ca="1">(L854-M854)*(Z854+AA854)+($Z$597+$AA$597-$Z$854-$AA$854)*(L854)</f>
        <v>7.7254704222287787</v>
      </c>
      <c r="AF854" s="4" t="s">
        <v>1114</v>
      </c>
    </row>
    <row r="855" spans="1:32" ht="11.25" customHeight="1" x14ac:dyDescent="0.25">
      <c r="A855" s="4" t="s">
        <v>21</v>
      </c>
      <c r="B855" s="4" t="s">
        <v>44</v>
      </c>
      <c r="C855" s="4" t="s">
        <v>23</v>
      </c>
      <c r="D855" s="4" t="s">
        <v>45</v>
      </c>
      <c r="E855" s="4" t="s">
        <v>57</v>
      </c>
      <c r="F855" s="4" t="s">
        <v>55</v>
      </c>
      <c r="G855" s="4" t="s">
        <v>25</v>
      </c>
      <c r="H855" s="4" t="s">
        <v>25</v>
      </c>
      <c r="I855" s="5">
        <v>44440</v>
      </c>
      <c r="J855" s="6">
        <v>0</v>
      </c>
      <c r="K855" s="6">
        <v>0</v>
      </c>
      <c r="L855" s="6">
        <v>0.90100000000000002</v>
      </c>
      <c r="M855" s="6">
        <v>0.90100000000000002</v>
      </c>
      <c r="N855" s="6">
        <v>0.90100000000000002</v>
      </c>
      <c r="O855" s="6">
        <v>0.90100000000000002</v>
      </c>
      <c r="P855" s="6">
        <v>0</v>
      </c>
      <c r="Q855" s="4" t="s">
        <v>26</v>
      </c>
      <c r="R855" s="4">
        <v>0</v>
      </c>
      <c r="S855" s="4">
        <v>0</v>
      </c>
      <c r="T855" s="4">
        <v>54</v>
      </c>
      <c r="U855" s="4">
        <v>97</v>
      </c>
      <c r="V855" s="6">
        <f>IF(ISERROR(VLOOKUP($S$855,'TAR FIN'!$A$1:$O$116,15,0)),0,VLOOKUP($S$855,'TAR FIN'!$A$1:$O$116,15,0))</f>
        <v>0</v>
      </c>
      <c r="W855" s="6">
        <f>IF(ISERROR(VLOOKUP($T$855,'TAR FIN'!$A$1:$O$116,15,0)),0,VLOOKUP($T$855,'TAR FIN'!$A$1:$O$116,15,0))</f>
        <v>301.38</v>
      </c>
      <c r="X855" s="6">
        <f>IF(ISERROR(VLOOKUP($U$855,'TAR FIN'!$A$1:$O$116,15,0)),0,VLOOKUP($U$855,'TAR FIN'!$A$1:$O$116,15,0))</f>
        <v>287.29000000000002</v>
      </c>
      <c r="Y855" s="6"/>
      <c r="Z855" s="6">
        <f ca="1">('TUSD BE'!$AM$56+'TUSD BF'!$AM$56+'TUSD CVA'!$AM$56)*(1-CUSTOS!$M$38)</f>
        <v>410.57781128100521</v>
      </c>
      <c r="AA855" s="6">
        <f>('TE BE'!$AB$27+'TE BF'!$AB$27+'TE CVA'!$AB$27)*(1-CUSTOS!$M$38)</f>
        <v>309.85296222048811</v>
      </c>
      <c r="AB855" s="6">
        <f t="shared" si="48"/>
        <v>0</v>
      </c>
      <c r="AC855" s="6">
        <f>(L855-M855)*(W855+X855)+($W$597+$X$597-$W$855-$X$855)*(L855)</f>
        <v>72.332280000000026</v>
      </c>
      <c r="AD855" s="6">
        <f t="shared" si="49"/>
        <v>0</v>
      </c>
      <c r="AE855" s="6">
        <f ca="1">(L855-M855)*(Z855+AA855)+($Z$597+$AA$597-$Z$855-$AA$855)*(L855)</f>
        <v>41.432433633500764</v>
      </c>
      <c r="AF855" s="4" t="s">
        <v>1114</v>
      </c>
    </row>
    <row r="856" spans="1:32" ht="11.25" customHeight="1" x14ac:dyDescent="0.25">
      <c r="A856" s="4" t="s">
        <v>28</v>
      </c>
      <c r="B856" s="4" t="s">
        <v>44</v>
      </c>
      <c r="C856" s="4" t="s">
        <v>23</v>
      </c>
      <c r="D856" s="4" t="s">
        <v>45</v>
      </c>
      <c r="E856" s="4" t="s">
        <v>57</v>
      </c>
      <c r="F856" s="4" t="s">
        <v>55</v>
      </c>
      <c r="G856" s="4" t="s">
        <v>25</v>
      </c>
      <c r="H856" s="4" t="s">
        <v>25</v>
      </c>
      <c r="I856" s="5">
        <v>44440</v>
      </c>
      <c r="J856" s="6">
        <v>0</v>
      </c>
      <c r="K856" s="6">
        <v>0</v>
      </c>
      <c r="L856" s="6">
        <v>8.4000000000000005E-2</v>
      </c>
      <c r="M856" s="6">
        <v>8.4000000000000005E-2</v>
      </c>
      <c r="N856" s="6">
        <v>8.4000000000000005E-2</v>
      </c>
      <c r="O856" s="6">
        <v>8.4000000000000005E-2</v>
      </c>
      <c r="P856" s="6">
        <v>0</v>
      </c>
      <c r="Q856" s="4" t="s">
        <v>26</v>
      </c>
      <c r="R856" s="4">
        <v>0</v>
      </c>
      <c r="S856" s="4">
        <v>0</v>
      </c>
      <c r="T856" s="4">
        <v>54</v>
      </c>
      <c r="U856" s="4">
        <v>97</v>
      </c>
      <c r="V856" s="6">
        <f>IF(ISERROR(VLOOKUP($S$856,'TAR FIN'!$A$1:$O$116,15,0)),0,VLOOKUP($S$856,'TAR FIN'!$A$1:$O$116,15,0))</f>
        <v>0</v>
      </c>
      <c r="W856" s="6">
        <f>IF(ISERROR(VLOOKUP($T$856,'TAR FIN'!$A$1:$O$116,15,0)),0,VLOOKUP($T$856,'TAR FIN'!$A$1:$O$116,15,0))</f>
        <v>301.38</v>
      </c>
      <c r="X856" s="6">
        <f>IF(ISERROR(VLOOKUP($U$856,'TAR FIN'!$A$1:$O$116,15,0)),0,VLOOKUP($U$856,'TAR FIN'!$A$1:$O$116,15,0))</f>
        <v>287.29000000000002</v>
      </c>
      <c r="Y856" s="6"/>
      <c r="Z856" s="6">
        <f ca="1">('TUSD BE'!$AM$56+'TUSD BF'!$AM$56+'TUSD CVA'!$AM$56)*(1-CUSTOS!$M$38)</f>
        <v>410.57781128100521</v>
      </c>
      <c r="AA856" s="6">
        <f>('TE BE'!$AB$27+'TE BF'!$AB$27+'TE CVA'!$AB$27)*(1-CUSTOS!$M$38)</f>
        <v>309.85296222048811</v>
      </c>
      <c r="AB856" s="6">
        <f t="shared" si="48"/>
        <v>0</v>
      </c>
      <c r="AC856" s="6">
        <f>(L856-M856)*(W856+X856)+($W$597+$X$597-$W$856-$X$856)*(L856)</f>
        <v>6.7435200000000028</v>
      </c>
      <c r="AD856" s="6">
        <f t="shared" si="49"/>
        <v>0</v>
      </c>
      <c r="AE856" s="6">
        <f ca="1">(L856-M856)*(Z856+AA856)+($Z$597+$AA$597-$Z$856-$AA$856)*(L856)</f>
        <v>3.8627352111143893</v>
      </c>
      <c r="AF856" s="4" t="s">
        <v>1114</v>
      </c>
    </row>
    <row r="857" spans="1:32" ht="11.25" customHeight="1" x14ac:dyDescent="0.25">
      <c r="A857" s="4" t="s">
        <v>21</v>
      </c>
      <c r="B857" s="4" t="s">
        <v>44</v>
      </c>
      <c r="C857" s="4" t="s">
        <v>23</v>
      </c>
      <c r="D857" s="4" t="s">
        <v>45</v>
      </c>
      <c r="E857" s="4" t="s">
        <v>57</v>
      </c>
      <c r="F857" s="4" t="s">
        <v>55</v>
      </c>
      <c r="G857" s="4" t="s">
        <v>25</v>
      </c>
      <c r="H857" s="4" t="s">
        <v>25</v>
      </c>
      <c r="I857" s="5">
        <v>44470</v>
      </c>
      <c r="J857" s="6">
        <v>0</v>
      </c>
      <c r="K857" s="6">
        <v>0</v>
      </c>
      <c r="L857" s="6">
        <v>0.54900000000000004</v>
      </c>
      <c r="M857" s="6">
        <v>0.54900000000000004</v>
      </c>
      <c r="N857" s="6">
        <v>0.54900000000000004</v>
      </c>
      <c r="O857" s="6">
        <v>0.54900000000000004</v>
      </c>
      <c r="P857" s="6">
        <v>0</v>
      </c>
      <c r="Q857" s="4" t="s">
        <v>26</v>
      </c>
      <c r="R857" s="4">
        <v>0</v>
      </c>
      <c r="S857" s="4">
        <v>0</v>
      </c>
      <c r="T857" s="4">
        <v>54</v>
      </c>
      <c r="U857" s="4">
        <v>97</v>
      </c>
      <c r="V857" s="6">
        <f>IF(ISERROR(VLOOKUP($S$857,'TAR FIN'!$A$1:$O$116,15,0)),0,VLOOKUP($S$857,'TAR FIN'!$A$1:$O$116,15,0))</f>
        <v>0</v>
      </c>
      <c r="W857" s="6">
        <f>IF(ISERROR(VLOOKUP($T$857,'TAR FIN'!$A$1:$O$116,15,0)),0,VLOOKUP($T$857,'TAR FIN'!$A$1:$O$116,15,0))</f>
        <v>301.38</v>
      </c>
      <c r="X857" s="6">
        <f>IF(ISERROR(VLOOKUP($U$857,'TAR FIN'!$A$1:$O$116,15,0)),0,VLOOKUP($U$857,'TAR FIN'!$A$1:$O$116,15,0))</f>
        <v>287.29000000000002</v>
      </c>
      <c r="Y857" s="6"/>
      <c r="Z857" s="6">
        <f ca="1">('TUSD BE'!$AM$56+'TUSD BF'!$AM$56+'TUSD CVA'!$AM$56)*(1-CUSTOS!$M$38)</f>
        <v>410.57781128100521</v>
      </c>
      <c r="AA857" s="6">
        <f>('TE BE'!$AB$27+'TE BF'!$AB$27+'TE CVA'!$AB$27)*(1-CUSTOS!$M$38)</f>
        <v>309.85296222048811</v>
      </c>
      <c r="AB857" s="6">
        <f t="shared" si="48"/>
        <v>0</v>
      </c>
      <c r="AC857" s="6">
        <f>(L857-M857)*(W857+X857)+($W$597+$X$597-$W$857-$X$857)*(L857)</f>
        <v>44.073720000000023</v>
      </c>
      <c r="AD857" s="6">
        <f t="shared" si="49"/>
        <v>0</v>
      </c>
      <c r="AE857" s="6">
        <f ca="1">(L857-M857)*(Z857+AA857)+($Z$597+$AA$597-$Z$857-$AA$857)*(L857)</f>
        <v>25.245733701211901</v>
      </c>
      <c r="AF857" s="4" t="s">
        <v>1114</v>
      </c>
    </row>
    <row r="858" spans="1:32" ht="11.25" customHeight="1" x14ac:dyDescent="0.25">
      <c r="A858" s="4" t="s">
        <v>28</v>
      </c>
      <c r="B858" s="4" t="s">
        <v>44</v>
      </c>
      <c r="C858" s="4" t="s">
        <v>23</v>
      </c>
      <c r="D858" s="4" t="s">
        <v>45</v>
      </c>
      <c r="E858" s="4" t="s">
        <v>57</v>
      </c>
      <c r="F858" s="4" t="s">
        <v>55</v>
      </c>
      <c r="G858" s="4" t="s">
        <v>25</v>
      </c>
      <c r="H858" s="4" t="s">
        <v>25</v>
      </c>
      <c r="I858" s="5">
        <v>44470</v>
      </c>
      <c r="J858" s="6">
        <v>0</v>
      </c>
      <c r="K858" s="6">
        <v>0</v>
      </c>
      <c r="L858" s="6">
        <v>5.8000000000000003E-2</v>
      </c>
      <c r="M858" s="6">
        <v>5.8000000000000003E-2</v>
      </c>
      <c r="N858" s="6">
        <v>5.8000000000000003E-2</v>
      </c>
      <c r="O858" s="6">
        <v>5.8000000000000003E-2</v>
      </c>
      <c r="P858" s="6">
        <v>0</v>
      </c>
      <c r="Q858" s="4" t="s">
        <v>26</v>
      </c>
      <c r="R858" s="4">
        <v>0</v>
      </c>
      <c r="S858" s="4">
        <v>0</v>
      </c>
      <c r="T858" s="4">
        <v>54</v>
      </c>
      <c r="U858" s="4">
        <v>97</v>
      </c>
      <c r="V858" s="6">
        <f>IF(ISERROR(VLOOKUP($S$858,'TAR FIN'!$A$1:$O$116,15,0)),0,VLOOKUP($S$858,'TAR FIN'!$A$1:$O$116,15,0))</f>
        <v>0</v>
      </c>
      <c r="W858" s="6">
        <f>IF(ISERROR(VLOOKUP($T$858,'TAR FIN'!$A$1:$O$116,15,0)),0,VLOOKUP($T$858,'TAR FIN'!$A$1:$O$116,15,0))</f>
        <v>301.38</v>
      </c>
      <c r="X858" s="6">
        <f>IF(ISERROR(VLOOKUP($U$858,'TAR FIN'!$A$1:$O$116,15,0)),0,VLOOKUP($U$858,'TAR FIN'!$A$1:$O$116,15,0))</f>
        <v>287.29000000000002</v>
      </c>
      <c r="Y858" s="6"/>
      <c r="Z858" s="6">
        <f ca="1">('TUSD BE'!$AM$56+'TUSD BF'!$AM$56+'TUSD CVA'!$AM$56)*(1-CUSTOS!$M$38)</f>
        <v>410.57781128100521</v>
      </c>
      <c r="AA858" s="6">
        <f>('TE BE'!$AB$27+'TE BF'!$AB$27+'TE CVA'!$AB$27)*(1-CUSTOS!$M$38)</f>
        <v>309.85296222048811</v>
      </c>
      <c r="AB858" s="6">
        <f t="shared" si="48"/>
        <v>0</v>
      </c>
      <c r="AC858" s="6">
        <f>(L858-M858)*(W858+X858)+($W$597+$X$597-$W$858-$X$858)*(L858)</f>
        <v>4.6562400000000022</v>
      </c>
      <c r="AD858" s="6">
        <f t="shared" si="49"/>
        <v>0</v>
      </c>
      <c r="AE858" s="6">
        <f ca="1">(L858-M858)*(Z858+AA858)+($Z$597+$AA$597-$Z$858-$AA$858)*(L858)</f>
        <v>2.6671266933885067</v>
      </c>
      <c r="AF858" s="4" t="s">
        <v>1114</v>
      </c>
    </row>
    <row r="859" spans="1:32" ht="11.25" customHeight="1" x14ac:dyDescent="0.25">
      <c r="A859" s="4" t="s">
        <v>21</v>
      </c>
      <c r="B859" s="4" t="s">
        <v>44</v>
      </c>
      <c r="C859" s="4" t="s">
        <v>23</v>
      </c>
      <c r="D859" s="4" t="s">
        <v>45</v>
      </c>
      <c r="E859" s="4" t="s">
        <v>57</v>
      </c>
      <c r="F859" s="4" t="s">
        <v>55</v>
      </c>
      <c r="G859" s="4" t="s">
        <v>25</v>
      </c>
      <c r="H859" s="4" t="s">
        <v>25</v>
      </c>
      <c r="I859" s="5">
        <v>44501</v>
      </c>
      <c r="J859" s="6">
        <v>0</v>
      </c>
      <c r="K859" s="6">
        <v>0</v>
      </c>
      <c r="L859" s="6">
        <v>1.3979999999999999</v>
      </c>
      <c r="M859" s="6">
        <v>1.3979999999999999</v>
      </c>
      <c r="N859" s="6">
        <v>1.3979999999999999</v>
      </c>
      <c r="O859" s="6">
        <v>1.3979999999999999</v>
      </c>
      <c r="P859" s="6">
        <v>0</v>
      </c>
      <c r="Q859" s="4" t="s">
        <v>26</v>
      </c>
      <c r="R859" s="4">
        <v>0</v>
      </c>
      <c r="S859" s="4">
        <v>0</v>
      </c>
      <c r="T859" s="4">
        <v>54</v>
      </c>
      <c r="U859" s="4">
        <v>97</v>
      </c>
      <c r="V859" s="6">
        <f>IF(ISERROR(VLOOKUP($S$859,'TAR FIN'!$A$1:$O$116,15,0)),0,VLOOKUP($S$859,'TAR FIN'!$A$1:$O$116,15,0))</f>
        <v>0</v>
      </c>
      <c r="W859" s="6">
        <f>IF(ISERROR(VLOOKUP($T$859,'TAR FIN'!$A$1:$O$116,15,0)),0,VLOOKUP($T$859,'TAR FIN'!$A$1:$O$116,15,0))</f>
        <v>301.38</v>
      </c>
      <c r="X859" s="6">
        <f>IF(ISERROR(VLOOKUP($U$859,'TAR FIN'!$A$1:$O$116,15,0)),0,VLOOKUP($U$859,'TAR FIN'!$A$1:$O$116,15,0))</f>
        <v>287.29000000000002</v>
      </c>
      <c r="Y859" s="6"/>
      <c r="Z859" s="6">
        <f ca="1">('TUSD BE'!$AM$56+'TUSD BF'!$AM$56+'TUSD CVA'!$AM$56)*(1-CUSTOS!$M$38)</f>
        <v>410.57781128100521</v>
      </c>
      <c r="AA859" s="6">
        <f>('TE BE'!$AB$27+'TE BF'!$AB$27+'TE CVA'!$AB$27)*(1-CUSTOS!$M$38)</f>
        <v>309.85296222048811</v>
      </c>
      <c r="AB859" s="6">
        <f t="shared" si="48"/>
        <v>0</v>
      </c>
      <c r="AC859" s="6">
        <f>(L859-M859)*(W859+X859)+($W$597+$X$597-$W$859-$X$859)*(L859)</f>
        <v>112.23144000000003</v>
      </c>
      <c r="AD859" s="6">
        <f t="shared" si="49"/>
        <v>0</v>
      </c>
      <c r="AE859" s="6">
        <f ca="1">(L859-M859)*(Z859+AA859)+($Z$597+$AA$597-$Z$859-$AA$859)*(L859)</f>
        <v>64.286950299260894</v>
      </c>
      <c r="AF859" s="4" t="s">
        <v>1114</v>
      </c>
    </row>
    <row r="860" spans="1:32" ht="11.25" customHeight="1" x14ac:dyDescent="0.25">
      <c r="A860" s="4" t="s">
        <v>28</v>
      </c>
      <c r="B860" s="4" t="s">
        <v>44</v>
      </c>
      <c r="C860" s="4" t="s">
        <v>23</v>
      </c>
      <c r="D860" s="4" t="s">
        <v>45</v>
      </c>
      <c r="E860" s="4" t="s">
        <v>57</v>
      </c>
      <c r="F860" s="4" t="s">
        <v>55</v>
      </c>
      <c r="G860" s="4" t="s">
        <v>25</v>
      </c>
      <c r="H860" s="4" t="s">
        <v>25</v>
      </c>
      <c r="I860" s="5">
        <v>44501</v>
      </c>
      <c r="J860" s="6">
        <v>0</v>
      </c>
      <c r="K860" s="6">
        <v>0</v>
      </c>
      <c r="L860" s="6">
        <v>0.02</v>
      </c>
      <c r="M860" s="6">
        <v>0.02</v>
      </c>
      <c r="N860" s="6">
        <v>0.02</v>
      </c>
      <c r="O860" s="6">
        <v>0.02</v>
      </c>
      <c r="P860" s="6">
        <v>0</v>
      </c>
      <c r="Q860" s="4" t="s">
        <v>26</v>
      </c>
      <c r="R860" s="4">
        <v>0</v>
      </c>
      <c r="S860" s="4">
        <v>0</v>
      </c>
      <c r="T860" s="4">
        <v>54</v>
      </c>
      <c r="U860" s="4">
        <v>97</v>
      </c>
      <c r="V860" s="6">
        <f>IF(ISERROR(VLOOKUP($S$860,'TAR FIN'!$A$1:$O$116,15,0)),0,VLOOKUP($S$860,'TAR FIN'!$A$1:$O$116,15,0))</f>
        <v>0</v>
      </c>
      <c r="W860" s="6">
        <f>IF(ISERROR(VLOOKUP($T$860,'TAR FIN'!$A$1:$O$116,15,0)),0,VLOOKUP($T$860,'TAR FIN'!$A$1:$O$116,15,0))</f>
        <v>301.38</v>
      </c>
      <c r="X860" s="6">
        <f>IF(ISERROR(VLOOKUP($U$860,'TAR FIN'!$A$1:$O$116,15,0)),0,VLOOKUP($U$860,'TAR FIN'!$A$1:$O$116,15,0))</f>
        <v>287.29000000000002</v>
      </c>
      <c r="Y860" s="6"/>
      <c r="Z860" s="6">
        <f ca="1">('TUSD BE'!$AM$56+'TUSD BF'!$AM$56+'TUSD CVA'!$AM$56)*(1-CUSTOS!$M$38)</f>
        <v>410.57781128100521</v>
      </c>
      <c r="AA860" s="6">
        <f>('TE BE'!$AB$27+'TE BF'!$AB$27+'TE CVA'!$AB$27)*(1-CUSTOS!$M$38)</f>
        <v>309.85296222048811</v>
      </c>
      <c r="AB860" s="6">
        <f t="shared" si="48"/>
        <v>0</v>
      </c>
      <c r="AC860" s="6">
        <f>(L860-M860)*(W860+X860)+($W$597+$X$597-$W$860-$X$860)*(L860)</f>
        <v>1.6056000000000006</v>
      </c>
      <c r="AD860" s="6">
        <f t="shared" si="49"/>
        <v>0</v>
      </c>
      <c r="AE860" s="6">
        <f ca="1">(L860-M860)*(Z860+AA860)+($Z$597+$AA$597-$Z$860-$AA$860)*(L860)</f>
        <v>0.91969885978914023</v>
      </c>
      <c r="AF860" s="4" t="s">
        <v>1114</v>
      </c>
    </row>
    <row r="861" spans="1:32" ht="11.25" customHeight="1" x14ac:dyDescent="0.25">
      <c r="A861" s="4" t="s">
        <v>21</v>
      </c>
      <c r="B861" s="4" t="s">
        <v>44</v>
      </c>
      <c r="C861" s="4" t="s">
        <v>23</v>
      </c>
      <c r="D861" s="4" t="s">
        <v>45</v>
      </c>
      <c r="E861" s="4" t="s">
        <v>57</v>
      </c>
      <c r="F861" s="4" t="s">
        <v>55</v>
      </c>
      <c r="G861" s="4" t="s">
        <v>25</v>
      </c>
      <c r="H861" s="4" t="s">
        <v>25</v>
      </c>
      <c r="I861" s="5">
        <v>44531</v>
      </c>
      <c r="J861" s="6">
        <v>0</v>
      </c>
      <c r="K861" s="6">
        <v>0</v>
      </c>
      <c r="L861" s="6">
        <v>0.75800000000000001</v>
      </c>
      <c r="M861" s="6">
        <v>0.75800000000000001</v>
      </c>
      <c r="N861" s="6">
        <v>0.75800000000000001</v>
      </c>
      <c r="O861" s="6">
        <v>0.75800000000000001</v>
      </c>
      <c r="P861" s="6">
        <v>0</v>
      </c>
      <c r="Q861" s="4" t="s">
        <v>26</v>
      </c>
      <c r="R861" s="4">
        <v>0</v>
      </c>
      <c r="S861" s="4">
        <v>0</v>
      </c>
      <c r="T861" s="4">
        <v>54</v>
      </c>
      <c r="U861" s="4">
        <v>97</v>
      </c>
      <c r="V861" s="6">
        <f>IF(ISERROR(VLOOKUP($S$861,'TAR FIN'!$A$1:$O$116,15,0)),0,VLOOKUP($S$861,'TAR FIN'!$A$1:$O$116,15,0))</f>
        <v>0</v>
      </c>
      <c r="W861" s="6">
        <f>IF(ISERROR(VLOOKUP($T$861,'TAR FIN'!$A$1:$O$116,15,0)),0,VLOOKUP($T$861,'TAR FIN'!$A$1:$O$116,15,0))</f>
        <v>301.38</v>
      </c>
      <c r="X861" s="6">
        <f>IF(ISERROR(VLOOKUP($U$861,'TAR FIN'!$A$1:$O$116,15,0)),0,VLOOKUP($U$861,'TAR FIN'!$A$1:$O$116,15,0))</f>
        <v>287.29000000000002</v>
      </c>
      <c r="Y861" s="6"/>
      <c r="Z861" s="6">
        <f ca="1">('TUSD BE'!$AM$56+'TUSD BF'!$AM$56+'TUSD CVA'!$AM$56)*(1-CUSTOS!$M$38)</f>
        <v>410.57781128100521</v>
      </c>
      <c r="AA861" s="6">
        <f>('TE BE'!$AB$27+'TE BF'!$AB$27+'TE CVA'!$AB$27)*(1-CUSTOS!$M$38)</f>
        <v>309.85296222048811</v>
      </c>
      <c r="AB861" s="6">
        <f t="shared" si="48"/>
        <v>0</v>
      </c>
      <c r="AC861" s="6">
        <f>(L861-M861)*(W861+X861)+($W$597+$X$597-$W$861-$X$861)*(L861)</f>
        <v>60.852240000000023</v>
      </c>
      <c r="AD861" s="6">
        <f t="shared" si="49"/>
        <v>0</v>
      </c>
      <c r="AE861" s="6">
        <f ca="1">(L861-M861)*(Z861+AA861)+($Z$597+$AA$597-$Z$861-$AA$861)*(L861)</f>
        <v>34.856586786008414</v>
      </c>
      <c r="AF861" s="4" t="s">
        <v>1114</v>
      </c>
    </row>
    <row r="862" spans="1:32" ht="11.25" customHeight="1" x14ac:dyDescent="0.25">
      <c r="A862" s="4" t="s">
        <v>28</v>
      </c>
      <c r="B862" s="4" t="s">
        <v>44</v>
      </c>
      <c r="C862" s="4" t="s">
        <v>23</v>
      </c>
      <c r="D862" s="4" t="s">
        <v>45</v>
      </c>
      <c r="E862" s="4" t="s">
        <v>57</v>
      </c>
      <c r="F862" s="4" t="s">
        <v>55</v>
      </c>
      <c r="G862" s="4" t="s">
        <v>25</v>
      </c>
      <c r="H862" s="4" t="s">
        <v>25</v>
      </c>
      <c r="I862" s="5">
        <v>44531</v>
      </c>
      <c r="J862" s="6">
        <v>0</v>
      </c>
      <c r="K862" s="6">
        <v>0</v>
      </c>
      <c r="L862" s="6">
        <v>1.0209999999999999</v>
      </c>
      <c r="M862" s="6">
        <v>1.0209999999999999</v>
      </c>
      <c r="N862" s="6">
        <v>1.0209999999999999</v>
      </c>
      <c r="O862" s="6">
        <v>1.0209999999999999</v>
      </c>
      <c r="P862" s="6">
        <v>0</v>
      </c>
      <c r="Q862" s="4" t="s">
        <v>26</v>
      </c>
      <c r="R862" s="4">
        <v>0</v>
      </c>
      <c r="S862" s="4">
        <v>0</v>
      </c>
      <c r="T862" s="4">
        <v>54</v>
      </c>
      <c r="U862" s="4">
        <v>97</v>
      </c>
      <c r="V862" s="6">
        <f>IF(ISERROR(VLOOKUP($S$862,'TAR FIN'!$A$1:$O$116,15,0)),0,VLOOKUP($S$862,'TAR FIN'!$A$1:$O$116,15,0))</f>
        <v>0</v>
      </c>
      <c r="W862" s="6">
        <f>IF(ISERROR(VLOOKUP($T$862,'TAR FIN'!$A$1:$O$116,15,0)),0,VLOOKUP($T$862,'TAR FIN'!$A$1:$O$116,15,0))</f>
        <v>301.38</v>
      </c>
      <c r="X862" s="6">
        <f>IF(ISERROR(VLOOKUP($U$862,'TAR FIN'!$A$1:$O$116,15,0)),0,VLOOKUP($U$862,'TAR FIN'!$A$1:$O$116,15,0))</f>
        <v>287.29000000000002</v>
      </c>
      <c r="Y862" s="6"/>
      <c r="Z862" s="6">
        <f ca="1">('TUSD BE'!$AM$56+'TUSD BF'!$AM$56+'TUSD CVA'!$AM$56)*(1-CUSTOS!$M$38)</f>
        <v>410.57781128100521</v>
      </c>
      <c r="AA862" s="6">
        <f>('TE BE'!$AB$27+'TE BF'!$AB$27+'TE CVA'!$AB$27)*(1-CUSTOS!$M$38)</f>
        <v>309.85296222048811</v>
      </c>
      <c r="AB862" s="6">
        <f t="shared" si="48"/>
        <v>0</v>
      </c>
      <c r="AC862" s="6">
        <f>(L862-M862)*(W862+X862)+($W$597+$X$597-$W$862-$X$862)*(L862)</f>
        <v>81.965880000000027</v>
      </c>
      <c r="AD862" s="6">
        <f t="shared" si="49"/>
        <v>0</v>
      </c>
      <c r="AE862" s="6">
        <f ca="1">(L862-M862)*(Z862+AA862)+($Z$597+$AA$597-$Z$862-$AA$862)*(L862)</f>
        <v>46.950626792235603</v>
      </c>
      <c r="AF862" s="4" t="s">
        <v>1114</v>
      </c>
    </row>
    <row r="863" spans="1:32" ht="11.25" customHeight="1" x14ac:dyDescent="0.25">
      <c r="A863" s="4" t="s">
        <v>21</v>
      </c>
      <c r="B863" s="4" t="s">
        <v>44</v>
      </c>
      <c r="C863" s="4" t="s">
        <v>23</v>
      </c>
      <c r="D863" s="4" t="s">
        <v>45</v>
      </c>
      <c r="E863" s="4" t="s">
        <v>57</v>
      </c>
      <c r="F863" s="4" t="s">
        <v>55</v>
      </c>
      <c r="G863" s="4" t="s">
        <v>25</v>
      </c>
      <c r="H863" s="4" t="s">
        <v>25</v>
      </c>
      <c r="I863" s="5">
        <v>44562</v>
      </c>
      <c r="J863" s="6">
        <v>0</v>
      </c>
      <c r="K863" s="6">
        <v>0</v>
      </c>
      <c r="L863" s="6">
        <v>1.95</v>
      </c>
      <c r="M863" s="6">
        <v>1.95</v>
      </c>
      <c r="N863" s="6">
        <v>1.95</v>
      </c>
      <c r="O863" s="6">
        <v>1.95</v>
      </c>
      <c r="P863" s="6">
        <v>0</v>
      </c>
      <c r="Q863" s="4" t="s">
        <v>26</v>
      </c>
      <c r="R863" s="4">
        <v>0</v>
      </c>
      <c r="S863" s="4">
        <v>0</v>
      </c>
      <c r="T863" s="4">
        <v>54</v>
      </c>
      <c r="U863" s="4">
        <v>97</v>
      </c>
      <c r="V863" s="6">
        <f>IF(ISERROR(VLOOKUP($S$863,'TAR FIN'!$A$1:$O$116,15,0)),0,VLOOKUP($S$863,'TAR FIN'!$A$1:$O$116,15,0))</f>
        <v>0</v>
      </c>
      <c r="W863" s="6">
        <f>IF(ISERROR(VLOOKUP($T$863,'TAR FIN'!$A$1:$O$116,15,0)),0,VLOOKUP($T$863,'TAR FIN'!$A$1:$O$116,15,0))</f>
        <v>301.38</v>
      </c>
      <c r="X863" s="6">
        <f>IF(ISERROR(VLOOKUP($U$863,'TAR FIN'!$A$1:$O$116,15,0)),0,VLOOKUP($U$863,'TAR FIN'!$A$1:$O$116,15,0))</f>
        <v>287.29000000000002</v>
      </c>
      <c r="Y863" s="6"/>
      <c r="Z863" s="6">
        <f ca="1">('TUSD BE'!$AM$56+'TUSD BF'!$AM$56+'TUSD CVA'!$AM$56)*(1-CUSTOS!$M$38)</f>
        <v>410.57781128100521</v>
      </c>
      <c r="AA863" s="6">
        <f>('TE BE'!$AB$27+'TE BF'!$AB$27+'TE CVA'!$AB$27)*(1-CUSTOS!$M$38)</f>
        <v>309.85296222048811</v>
      </c>
      <c r="AB863" s="6">
        <f t="shared" si="48"/>
        <v>0</v>
      </c>
      <c r="AC863" s="6">
        <f>(L863-M863)*(W863+X863)+($W$597+$X$597-$W$863-$X$863)*(L863)</f>
        <v>156.54600000000005</v>
      </c>
      <c r="AD863" s="6">
        <f t="shared" si="49"/>
        <v>0</v>
      </c>
      <c r="AE863" s="6">
        <f ca="1">(L863-M863)*(Z863+AA863)+($Z$597+$AA$597-$Z$863-$AA$863)*(L863)</f>
        <v>89.670638829441174</v>
      </c>
      <c r="AF863" s="4" t="s">
        <v>1114</v>
      </c>
    </row>
    <row r="864" spans="1:32" ht="11.25" customHeight="1" x14ac:dyDescent="0.25">
      <c r="A864" s="4" t="s">
        <v>28</v>
      </c>
      <c r="B864" s="4" t="s">
        <v>44</v>
      </c>
      <c r="C864" s="4" t="s">
        <v>23</v>
      </c>
      <c r="D864" s="4" t="s">
        <v>45</v>
      </c>
      <c r="E864" s="4" t="s">
        <v>57</v>
      </c>
      <c r="F864" s="4" t="s">
        <v>55</v>
      </c>
      <c r="G864" s="4" t="s">
        <v>25</v>
      </c>
      <c r="H864" s="4" t="s">
        <v>25</v>
      </c>
      <c r="I864" s="5">
        <v>44562</v>
      </c>
      <c r="J864" s="6">
        <v>0</v>
      </c>
      <c r="K864" s="6">
        <v>0</v>
      </c>
      <c r="L864" s="6">
        <v>2.1999999999999999E-2</v>
      </c>
      <c r="M864" s="6">
        <v>2.1999999999999999E-2</v>
      </c>
      <c r="N864" s="6">
        <v>2.1999999999999999E-2</v>
      </c>
      <c r="O864" s="6">
        <v>2.1999999999999999E-2</v>
      </c>
      <c r="P864" s="6">
        <v>0</v>
      </c>
      <c r="Q864" s="4" t="s">
        <v>26</v>
      </c>
      <c r="R864" s="4">
        <v>0</v>
      </c>
      <c r="S864" s="4">
        <v>0</v>
      </c>
      <c r="T864" s="4">
        <v>54</v>
      </c>
      <c r="U864" s="4">
        <v>97</v>
      </c>
      <c r="V864" s="6">
        <f>IF(ISERROR(VLOOKUP($S$864,'TAR FIN'!$A$1:$O$116,15,0)),0,VLOOKUP($S$864,'TAR FIN'!$A$1:$O$116,15,0))</f>
        <v>0</v>
      </c>
      <c r="W864" s="6">
        <f>IF(ISERROR(VLOOKUP($T$864,'TAR FIN'!$A$1:$O$116,15,0)),0,VLOOKUP($T$864,'TAR FIN'!$A$1:$O$116,15,0))</f>
        <v>301.38</v>
      </c>
      <c r="X864" s="6">
        <f>IF(ISERROR(VLOOKUP($U$864,'TAR FIN'!$A$1:$O$116,15,0)),0,VLOOKUP($U$864,'TAR FIN'!$A$1:$O$116,15,0))</f>
        <v>287.29000000000002</v>
      </c>
      <c r="Y864" s="6"/>
      <c r="Z864" s="6">
        <f ca="1">('TUSD BE'!$AM$56+'TUSD BF'!$AM$56+'TUSD CVA'!$AM$56)*(1-CUSTOS!$M$38)</f>
        <v>410.57781128100521</v>
      </c>
      <c r="AA864" s="6">
        <f>('TE BE'!$AB$27+'TE BF'!$AB$27+'TE CVA'!$AB$27)*(1-CUSTOS!$M$38)</f>
        <v>309.85296222048811</v>
      </c>
      <c r="AB864" s="6">
        <f t="shared" si="48"/>
        <v>0</v>
      </c>
      <c r="AC864" s="6">
        <f>(L864-M864)*(W864+X864)+($W$597+$X$597-$W$864-$X$864)*(L864)</f>
        <v>1.7661600000000006</v>
      </c>
      <c r="AD864" s="6">
        <f t="shared" si="49"/>
        <v>0</v>
      </c>
      <c r="AE864" s="6">
        <f ca="1">(L864-M864)*(Z864+AA864)+($Z$597+$AA$597-$Z$864-$AA$864)*(L864)</f>
        <v>1.0116687457680542</v>
      </c>
      <c r="AF864" s="4" t="s">
        <v>1114</v>
      </c>
    </row>
    <row r="865" spans="1:32" ht="11.25" customHeight="1" x14ac:dyDescent="0.25">
      <c r="A865" s="4" t="s">
        <v>21</v>
      </c>
      <c r="B865" s="4" t="s">
        <v>44</v>
      </c>
      <c r="C865" s="4" t="s">
        <v>23</v>
      </c>
      <c r="D865" s="4" t="s">
        <v>45</v>
      </c>
      <c r="E865" s="4" t="s">
        <v>57</v>
      </c>
      <c r="F865" s="4" t="s">
        <v>55</v>
      </c>
      <c r="G865" s="4" t="s">
        <v>25</v>
      </c>
      <c r="H865" s="4" t="s">
        <v>25</v>
      </c>
      <c r="I865" s="5">
        <v>44593</v>
      </c>
      <c r="J865" s="6">
        <v>0</v>
      </c>
      <c r="K865" s="6">
        <v>0</v>
      </c>
      <c r="L865" s="6">
        <v>0.81399999999999995</v>
      </c>
      <c r="M865" s="6">
        <v>0.81399999999999995</v>
      </c>
      <c r="N865" s="6">
        <v>0.81399999999999995</v>
      </c>
      <c r="O865" s="6">
        <v>0.81399999999999995</v>
      </c>
      <c r="P865" s="6">
        <v>0</v>
      </c>
      <c r="Q865" s="4" t="s">
        <v>26</v>
      </c>
      <c r="R865" s="4">
        <v>0</v>
      </c>
      <c r="S865" s="4">
        <v>0</v>
      </c>
      <c r="T865" s="4">
        <v>54</v>
      </c>
      <c r="U865" s="4">
        <v>97</v>
      </c>
      <c r="V865" s="6">
        <f>IF(ISERROR(VLOOKUP($S$865,'TAR FIN'!$A$1:$O$116,15,0)),0,VLOOKUP($S$865,'TAR FIN'!$A$1:$O$116,15,0))</f>
        <v>0</v>
      </c>
      <c r="W865" s="6">
        <f>IF(ISERROR(VLOOKUP($T$865,'TAR FIN'!$A$1:$O$116,15,0)),0,VLOOKUP($T$865,'TAR FIN'!$A$1:$O$116,15,0))</f>
        <v>301.38</v>
      </c>
      <c r="X865" s="6">
        <f>IF(ISERROR(VLOOKUP($U$865,'TAR FIN'!$A$1:$O$116,15,0)),0,VLOOKUP($U$865,'TAR FIN'!$A$1:$O$116,15,0))</f>
        <v>287.29000000000002</v>
      </c>
      <c r="Y865" s="6"/>
      <c r="Z865" s="6">
        <f ca="1">('TUSD BE'!$AM$56+'TUSD BF'!$AM$56+'TUSD CVA'!$AM$56)*(1-CUSTOS!$M$38)</f>
        <v>410.57781128100521</v>
      </c>
      <c r="AA865" s="6">
        <f>('TE BE'!$AB$27+'TE BF'!$AB$27+'TE CVA'!$AB$27)*(1-CUSTOS!$M$38)</f>
        <v>309.85296222048811</v>
      </c>
      <c r="AB865" s="6">
        <f t="shared" si="48"/>
        <v>0</v>
      </c>
      <c r="AC865" s="6">
        <f>(L865-M865)*(W865+X865)+($W$597+$X$597-$W$865-$X$865)*(L865)</f>
        <v>65.347920000000016</v>
      </c>
      <c r="AD865" s="6">
        <f t="shared" si="49"/>
        <v>0</v>
      </c>
      <c r="AE865" s="6">
        <f ca="1">(L865-M865)*(Z865+AA865)+($Z$597+$AA$597-$Z$865-$AA$865)*(L865)</f>
        <v>37.431743593418005</v>
      </c>
      <c r="AF865" s="4" t="s">
        <v>1114</v>
      </c>
    </row>
    <row r="866" spans="1:32" ht="11.25" customHeight="1" x14ac:dyDescent="0.25">
      <c r="A866" s="4" t="s">
        <v>28</v>
      </c>
      <c r="B866" s="4" t="s">
        <v>44</v>
      </c>
      <c r="C866" s="4" t="s">
        <v>23</v>
      </c>
      <c r="D866" s="4" t="s">
        <v>45</v>
      </c>
      <c r="E866" s="4" t="s">
        <v>57</v>
      </c>
      <c r="F866" s="4" t="s">
        <v>55</v>
      </c>
      <c r="G866" s="4" t="s">
        <v>25</v>
      </c>
      <c r="H866" s="4" t="s">
        <v>25</v>
      </c>
      <c r="I866" s="5">
        <v>44593</v>
      </c>
      <c r="J866" s="6">
        <v>0</v>
      </c>
      <c r="K866" s="6">
        <v>0</v>
      </c>
      <c r="L866" s="6">
        <v>0.12</v>
      </c>
      <c r="M866" s="6">
        <v>0.12</v>
      </c>
      <c r="N866" s="6">
        <v>0.12</v>
      </c>
      <c r="O866" s="6">
        <v>0.12</v>
      </c>
      <c r="P866" s="6">
        <v>0</v>
      </c>
      <c r="Q866" s="4" t="s">
        <v>26</v>
      </c>
      <c r="R866" s="4">
        <v>0</v>
      </c>
      <c r="S866" s="4">
        <v>0</v>
      </c>
      <c r="T866" s="4">
        <v>54</v>
      </c>
      <c r="U866" s="4">
        <v>97</v>
      </c>
      <c r="V866" s="6">
        <f>IF(ISERROR(VLOOKUP($S$866,'TAR FIN'!$A$1:$O$116,15,0)),0,VLOOKUP($S$866,'TAR FIN'!$A$1:$O$116,15,0))</f>
        <v>0</v>
      </c>
      <c r="W866" s="6">
        <f>IF(ISERROR(VLOOKUP($T$866,'TAR FIN'!$A$1:$O$116,15,0)),0,VLOOKUP($T$866,'TAR FIN'!$A$1:$O$116,15,0))</f>
        <v>301.38</v>
      </c>
      <c r="X866" s="6">
        <f>IF(ISERROR(VLOOKUP($U$866,'TAR FIN'!$A$1:$O$116,15,0)),0,VLOOKUP($U$866,'TAR FIN'!$A$1:$O$116,15,0))</f>
        <v>287.29000000000002</v>
      </c>
      <c r="Y866" s="6"/>
      <c r="Z866" s="6">
        <f ca="1">('TUSD BE'!$AM$56+'TUSD BF'!$AM$56+'TUSD CVA'!$AM$56)*(1-CUSTOS!$M$38)</f>
        <v>410.57781128100521</v>
      </c>
      <c r="AA866" s="6">
        <f>('TE BE'!$AB$27+'TE BF'!$AB$27+'TE CVA'!$AB$27)*(1-CUSTOS!$M$38)</f>
        <v>309.85296222048811</v>
      </c>
      <c r="AB866" s="6">
        <f t="shared" si="48"/>
        <v>0</v>
      </c>
      <c r="AC866" s="6">
        <f>(L866-M866)*(W866+X866)+($W$597+$X$597-$W$866-$X$866)*(L866)</f>
        <v>9.633600000000003</v>
      </c>
      <c r="AD866" s="6">
        <f t="shared" si="49"/>
        <v>0</v>
      </c>
      <c r="AE866" s="6">
        <f ca="1">(L866-M866)*(Z866+AA866)+($Z$597+$AA$597-$Z$866-$AA$866)*(L866)</f>
        <v>5.5181931587348414</v>
      </c>
      <c r="AF866" s="4" t="s">
        <v>1114</v>
      </c>
    </row>
    <row r="867" spans="1:32" ht="11.25" customHeight="1" x14ac:dyDescent="0.25">
      <c r="A867" s="4" t="s">
        <v>21</v>
      </c>
      <c r="B867" s="4" t="s">
        <v>44</v>
      </c>
      <c r="C867" s="4" t="s">
        <v>23</v>
      </c>
      <c r="D867" s="4" t="s">
        <v>45</v>
      </c>
      <c r="E867" s="4" t="s">
        <v>57</v>
      </c>
      <c r="F867" s="4" t="s">
        <v>55</v>
      </c>
      <c r="G867" s="4" t="s">
        <v>25</v>
      </c>
      <c r="H867" s="4" t="s">
        <v>25</v>
      </c>
      <c r="I867" s="5">
        <v>44621</v>
      </c>
      <c r="J867" s="6">
        <v>0</v>
      </c>
      <c r="K867" s="6">
        <v>0</v>
      </c>
      <c r="L867" s="6">
        <v>1.58</v>
      </c>
      <c r="M867" s="6">
        <v>1.58</v>
      </c>
      <c r="N867" s="6">
        <v>1.58</v>
      </c>
      <c r="O867" s="6">
        <v>1.58</v>
      </c>
      <c r="P867" s="6">
        <v>0</v>
      </c>
      <c r="Q867" s="4" t="s">
        <v>26</v>
      </c>
      <c r="R867" s="4">
        <v>0</v>
      </c>
      <c r="S867" s="4">
        <v>0</v>
      </c>
      <c r="T867" s="4">
        <v>54</v>
      </c>
      <c r="U867" s="4">
        <v>97</v>
      </c>
      <c r="V867" s="6">
        <f>IF(ISERROR(VLOOKUP($S$867,'TAR FIN'!$A$1:$O$116,15,0)),0,VLOOKUP($S$867,'TAR FIN'!$A$1:$O$116,15,0))</f>
        <v>0</v>
      </c>
      <c r="W867" s="6">
        <f>IF(ISERROR(VLOOKUP($T$867,'TAR FIN'!$A$1:$O$116,15,0)),0,VLOOKUP($T$867,'TAR FIN'!$A$1:$O$116,15,0))</f>
        <v>301.38</v>
      </c>
      <c r="X867" s="6">
        <f>IF(ISERROR(VLOOKUP($U$867,'TAR FIN'!$A$1:$O$116,15,0)),0,VLOOKUP($U$867,'TAR FIN'!$A$1:$O$116,15,0))</f>
        <v>287.29000000000002</v>
      </c>
      <c r="Y867" s="6"/>
      <c r="Z867" s="6">
        <f ca="1">('TUSD BE'!$AM$56+'TUSD BF'!$AM$56+'TUSD CVA'!$AM$56)*(1-CUSTOS!$M$38)</f>
        <v>410.57781128100521</v>
      </c>
      <c r="AA867" s="6">
        <f>('TE BE'!$AB$27+'TE BF'!$AB$27+'TE CVA'!$AB$27)*(1-CUSTOS!$M$38)</f>
        <v>309.85296222048811</v>
      </c>
      <c r="AB867" s="6">
        <f t="shared" si="48"/>
        <v>0</v>
      </c>
      <c r="AC867" s="6">
        <f>(L867-M867)*(W867+X867)+($W$597+$X$597-$W$867-$X$867)*(L867)</f>
        <v>126.84240000000005</v>
      </c>
      <c r="AD867" s="6">
        <f t="shared" si="49"/>
        <v>0</v>
      </c>
      <c r="AE867" s="6">
        <f ca="1">(L867-M867)*(Z867+AA867)+($Z$597+$AA$597-$Z$867-$AA$867)*(L867)</f>
        <v>72.656209923342075</v>
      </c>
      <c r="AF867" s="4" t="s">
        <v>1114</v>
      </c>
    </row>
    <row r="868" spans="1:32" ht="11.25" customHeight="1" x14ac:dyDescent="0.25">
      <c r="A868" s="4" t="s">
        <v>28</v>
      </c>
      <c r="B868" s="4" t="s">
        <v>44</v>
      </c>
      <c r="C868" s="4" t="s">
        <v>23</v>
      </c>
      <c r="D868" s="4" t="s">
        <v>45</v>
      </c>
      <c r="E868" s="4" t="s">
        <v>57</v>
      </c>
      <c r="F868" s="4" t="s">
        <v>55</v>
      </c>
      <c r="G868" s="4" t="s">
        <v>25</v>
      </c>
      <c r="H868" s="4" t="s">
        <v>25</v>
      </c>
      <c r="I868" s="5">
        <v>44621</v>
      </c>
      <c r="J868" s="6">
        <v>0</v>
      </c>
      <c r="K868" s="6">
        <v>0</v>
      </c>
      <c r="L868" s="6">
        <v>1.7999999999999999E-2</v>
      </c>
      <c r="M868" s="6">
        <v>1.7999999999999999E-2</v>
      </c>
      <c r="N868" s="6">
        <v>1.7999999999999999E-2</v>
      </c>
      <c r="O868" s="6">
        <v>1.7999999999999999E-2</v>
      </c>
      <c r="P868" s="6">
        <v>0</v>
      </c>
      <c r="Q868" s="4" t="s">
        <v>26</v>
      </c>
      <c r="R868" s="4">
        <v>0</v>
      </c>
      <c r="S868" s="4">
        <v>0</v>
      </c>
      <c r="T868" s="4">
        <v>54</v>
      </c>
      <c r="U868" s="4">
        <v>97</v>
      </c>
      <c r="V868" s="6">
        <f>IF(ISERROR(VLOOKUP($S$868,'TAR FIN'!$A$1:$O$116,15,0)),0,VLOOKUP($S$868,'TAR FIN'!$A$1:$O$116,15,0))</f>
        <v>0</v>
      </c>
      <c r="W868" s="6">
        <f>IF(ISERROR(VLOOKUP($T$868,'TAR FIN'!$A$1:$O$116,15,0)),0,VLOOKUP($T$868,'TAR FIN'!$A$1:$O$116,15,0))</f>
        <v>301.38</v>
      </c>
      <c r="X868" s="6">
        <f>IF(ISERROR(VLOOKUP($U$868,'TAR FIN'!$A$1:$O$116,15,0)),0,VLOOKUP($U$868,'TAR FIN'!$A$1:$O$116,15,0))</f>
        <v>287.29000000000002</v>
      </c>
      <c r="Y868" s="6"/>
      <c r="Z868" s="6">
        <f ca="1">('TUSD BE'!$AM$56+'TUSD BF'!$AM$56+'TUSD CVA'!$AM$56)*(1-CUSTOS!$M$38)</f>
        <v>410.57781128100521</v>
      </c>
      <c r="AA868" s="6">
        <f>('TE BE'!$AB$27+'TE BF'!$AB$27+'TE CVA'!$AB$27)*(1-CUSTOS!$M$38)</f>
        <v>309.85296222048811</v>
      </c>
      <c r="AB868" s="6">
        <f t="shared" si="48"/>
        <v>0</v>
      </c>
      <c r="AC868" s="6">
        <f>(L868-M868)*(W868+X868)+($W$597+$X$597-$W$868-$X$868)*(L868)</f>
        <v>1.4450400000000003</v>
      </c>
      <c r="AD868" s="6">
        <f t="shared" si="49"/>
        <v>0</v>
      </c>
      <c r="AE868" s="6">
        <f ca="1">(L868-M868)*(Z868+AA868)+($Z$597+$AA$597-$Z$868-$AA$868)*(L868)</f>
        <v>0.82772897381022614</v>
      </c>
      <c r="AF868" s="4" t="s">
        <v>1114</v>
      </c>
    </row>
    <row r="869" spans="1:32" ht="11.25" customHeight="1" x14ac:dyDescent="0.25">
      <c r="A869" s="4" t="s">
        <v>21</v>
      </c>
      <c r="B869" s="4" t="s">
        <v>44</v>
      </c>
      <c r="C869" s="4" t="s">
        <v>23</v>
      </c>
      <c r="D869" s="4" t="s">
        <v>45</v>
      </c>
      <c r="E869" s="4" t="s">
        <v>57</v>
      </c>
      <c r="F869" s="4" t="s">
        <v>55</v>
      </c>
      <c r="G869" s="4" t="s">
        <v>25</v>
      </c>
      <c r="H869" s="4" t="s">
        <v>25</v>
      </c>
      <c r="I869" s="5">
        <v>44652</v>
      </c>
      <c r="J869" s="6">
        <v>0</v>
      </c>
      <c r="K869" s="6">
        <v>0</v>
      </c>
      <c r="L869" s="6">
        <v>0.92100000000000004</v>
      </c>
      <c r="M869" s="6">
        <v>0.92100000000000004</v>
      </c>
      <c r="N869" s="6">
        <v>0.92100000000000004</v>
      </c>
      <c r="O869" s="6">
        <v>0.92100000000000004</v>
      </c>
      <c r="P869" s="6">
        <v>0</v>
      </c>
      <c r="Q869" s="4" t="s">
        <v>26</v>
      </c>
      <c r="R869" s="4">
        <v>0</v>
      </c>
      <c r="S869" s="4">
        <v>0</v>
      </c>
      <c r="T869" s="4">
        <v>54</v>
      </c>
      <c r="U869" s="4">
        <v>97</v>
      </c>
      <c r="V869" s="6">
        <f>IF(ISERROR(VLOOKUP($S$869,'TAR FIN'!$A$1:$O$116,15,0)),0,VLOOKUP($S$869,'TAR FIN'!$A$1:$O$116,15,0))</f>
        <v>0</v>
      </c>
      <c r="W869" s="6">
        <f>IF(ISERROR(VLOOKUP($T$869,'TAR FIN'!$A$1:$O$116,15,0)),0,VLOOKUP($T$869,'TAR FIN'!$A$1:$O$116,15,0))</f>
        <v>301.38</v>
      </c>
      <c r="X869" s="6">
        <f>IF(ISERROR(VLOOKUP($U$869,'TAR FIN'!$A$1:$O$116,15,0)),0,VLOOKUP($U$869,'TAR FIN'!$A$1:$O$116,15,0))</f>
        <v>287.29000000000002</v>
      </c>
      <c r="Y869" s="6"/>
      <c r="Z869" s="6">
        <f ca="1">('TUSD BE'!$AM$56+'TUSD BF'!$AM$56+'TUSD CVA'!$AM$56)*(1-CUSTOS!$M$38)</f>
        <v>410.57781128100521</v>
      </c>
      <c r="AA869" s="6">
        <f>('TE BE'!$AB$27+'TE BF'!$AB$27+'TE CVA'!$AB$27)*(1-CUSTOS!$M$38)</f>
        <v>309.85296222048811</v>
      </c>
      <c r="AB869" s="6">
        <f t="shared" si="48"/>
        <v>0</v>
      </c>
      <c r="AC869" s="6">
        <f>(L869-M869)*(W869+X869)+($W$597+$X$597-$W$869-$X$869)*(L869)</f>
        <v>73.937880000000035</v>
      </c>
      <c r="AD869" s="6">
        <f t="shared" si="49"/>
        <v>0</v>
      </c>
      <c r="AE869" s="6">
        <f ca="1">(L869-M869)*(Z869+AA869)+($Z$597+$AA$597-$Z$869-$AA$869)*(L869)</f>
        <v>42.352132493289908</v>
      </c>
      <c r="AF869" s="4" t="s">
        <v>1114</v>
      </c>
    </row>
    <row r="870" spans="1:32" ht="11.25" customHeight="1" x14ac:dyDescent="0.25">
      <c r="A870" s="4" t="s">
        <v>58</v>
      </c>
      <c r="B870" s="4" t="s">
        <v>44</v>
      </c>
      <c r="C870" s="4" t="s">
        <v>23</v>
      </c>
      <c r="D870" s="4" t="s">
        <v>45</v>
      </c>
      <c r="E870" s="4" t="s">
        <v>57</v>
      </c>
      <c r="F870" s="4" t="s">
        <v>55</v>
      </c>
      <c r="G870" s="4" t="s">
        <v>25</v>
      </c>
      <c r="H870" s="4" t="s">
        <v>25</v>
      </c>
      <c r="I870" s="5">
        <v>44682</v>
      </c>
      <c r="J870" s="6">
        <v>0</v>
      </c>
      <c r="K870" s="6">
        <v>0</v>
      </c>
      <c r="L870" s="6">
        <v>0.92100000000000004</v>
      </c>
      <c r="M870" s="6">
        <v>0.92100000000000004</v>
      </c>
      <c r="N870" s="6">
        <v>0.92100000000000004</v>
      </c>
      <c r="O870" s="6">
        <v>0.92100000000000004</v>
      </c>
      <c r="P870" s="6">
        <v>0</v>
      </c>
      <c r="Q870" s="4" t="s">
        <v>26</v>
      </c>
      <c r="R870" s="4">
        <v>0</v>
      </c>
      <c r="S870" s="4">
        <v>0</v>
      </c>
      <c r="T870" s="4">
        <v>54</v>
      </c>
      <c r="U870" s="4">
        <v>97</v>
      </c>
      <c r="V870" s="6">
        <f>IF(ISERROR(VLOOKUP($S$870,'TAR FIN'!$A$1:$O$116,15,0)),0,VLOOKUP($S$870,'TAR FIN'!$A$1:$O$116,15,0))</f>
        <v>0</v>
      </c>
      <c r="W870" s="6">
        <f>IF(ISERROR(VLOOKUP($T$870,'TAR FIN'!$A$1:$O$116,15,0)),0,VLOOKUP($T$870,'TAR FIN'!$A$1:$O$116,15,0))</f>
        <v>301.38</v>
      </c>
      <c r="X870" s="6">
        <f>IF(ISERROR(VLOOKUP($U$870,'TAR FIN'!$A$1:$O$116,15,0)),0,VLOOKUP($U$870,'TAR FIN'!$A$1:$O$116,15,0))</f>
        <v>287.29000000000002</v>
      </c>
      <c r="Y870" s="6"/>
      <c r="Z870" s="6">
        <f ca="1">('TUSD BE'!$AM$56+'TUSD BF'!$AM$56+'TUSD CVA'!$AM$56)*(1-CUSTOS!$M$38)</f>
        <v>410.57781128100521</v>
      </c>
      <c r="AA870" s="6">
        <f>('TE BE'!$AB$27+'TE BF'!$AB$27+'TE CVA'!$AB$27)*(1-CUSTOS!$M$38)</f>
        <v>309.85296222048811</v>
      </c>
      <c r="AB870" s="6">
        <f t="shared" si="48"/>
        <v>0</v>
      </c>
      <c r="AC870" s="6">
        <f>(L870-M870)*(W870+X870)+($W$597+$X$597-$W$870-$X$870)*(L870)</f>
        <v>73.937880000000035</v>
      </c>
      <c r="AD870" s="6">
        <f t="shared" si="49"/>
        <v>0</v>
      </c>
      <c r="AE870" s="6">
        <f ca="1">(L870-M870)*(Z870+AA870)+($Z$597+$AA$597-$Z$870-$AA$870)*(L870)</f>
        <v>42.352132493289908</v>
      </c>
      <c r="AF870" s="4" t="s">
        <v>1114</v>
      </c>
    </row>
    <row r="871" spans="1:32" ht="11.25" customHeight="1" x14ac:dyDescent="0.25">
      <c r="A871" s="4" t="s">
        <v>21</v>
      </c>
      <c r="B871" s="4" t="s">
        <v>44</v>
      </c>
      <c r="C871" s="4" t="s">
        <v>23</v>
      </c>
      <c r="D871" s="4" t="s">
        <v>45</v>
      </c>
      <c r="E871" s="4" t="s">
        <v>57</v>
      </c>
      <c r="F871" s="4" t="s">
        <v>56</v>
      </c>
      <c r="G871" s="4" t="s">
        <v>25</v>
      </c>
      <c r="H871" s="4" t="s">
        <v>25</v>
      </c>
      <c r="I871" s="5">
        <v>44348</v>
      </c>
      <c r="J871" s="6">
        <v>0</v>
      </c>
      <c r="K871" s="6">
        <v>0</v>
      </c>
      <c r="L871" s="6">
        <v>0.65100000000000002</v>
      </c>
      <c r="M871" s="6">
        <v>0.21482999999999999</v>
      </c>
      <c r="N871" s="6">
        <v>0.65100000000000002</v>
      </c>
      <c r="O871" s="6">
        <v>0.21482999999999999</v>
      </c>
      <c r="P871" s="6">
        <v>0</v>
      </c>
      <c r="Q871" s="4" t="s">
        <v>26</v>
      </c>
      <c r="R871" s="4">
        <v>0</v>
      </c>
      <c r="S871" s="4">
        <v>0</v>
      </c>
      <c r="T871" s="4">
        <v>54</v>
      </c>
      <c r="U871" s="4">
        <v>97</v>
      </c>
      <c r="V871" s="6">
        <f>IF(ISERROR(VLOOKUP($S$871,'TAR FIN'!$A$1:$O$116,15,0)),0,VLOOKUP($S$871,'TAR FIN'!$A$1:$O$116,15,0))</f>
        <v>0</v>
      </c>
      <c r="W871" s="6">
        <f>IF(ISERROR(VLOOKUP($T$871,'TAR FIN'!$A$1:$O$116,15,0)),0,VLOOKUP($T$871,'TAR FIN'!$A$1:$O$116,15,0))</f>
        <v>301.38</v>
      </c>
      <c r="X871" s="6">
        <f>IF(ISERROR(VLOOKUP($U$871,'TAR FIN'!$A$1:$O$116,15,0)),0,VLOOKUP($U$871,'TAR FIN'!$A$1:$O$116,15,0))</f>
        <v>287.29000000000002</v>
      </c>
      <c r="Y871" s="6"/>
      <c r="Z871" s="6">
        <f ca="1">('TUSD BE'!$AM$56+'TUSD BF'!$AM$56+'TUSD CVA'!$AM$56)*(1-CUSTOS!$M$38)</f>
        <v>410.57781128100521</v>
      </c>
      <c r="AA871" s="6">
        <f>('TE BE'!$AB$27+'TE BF'!$AB$27+'TE CVA'!$AB$27)*(1-CUSTOS!$M$38)</f>
        <v>309.85296222048811</v>
      </c>
      <c r="AB871" s="6">
        <f t="shared" si="48"/>
        <v>0</v>
      </c>
      <c r="AC871" s="6">
        <f>(L871-M871)*(W871+X871)+($W$597+$X$597-$W$871-$X$871)*(L871)</f>
        <v>309.02247390000008</v>
      </c>
      <c r="AD871" s="6">
        <f t="shared" si="49"/>
        <v>0</v>
      </c>
      <c r="AE871" s="6">
        <f ca="1">(L871-M871)*(Z871+AA871)+($Z$597+$AA$597-$Z$871-$AA$871)*(L871)</f>
        <v>344.16648836428294</v>
      </c>
      <c r="AF871" s="4" t="s">
        <v>1117</v>
      </c>
    </row>
    <row r="872" spans="1:32" ht="11.25" customHeight="1" x14ac:dyDescent="0.25">
      <c r="A872" s="4" t="s">
        <v>28</v>
      </c>
      <c r="B872" s="4" t="s">
        <v>44</v>
      </c>
      <c r="C872" s="4" t="s">
        <v>23</v>
      </c>
      <c r="D872" s="4" t="s">
        <v>45</v>
      </c>
      <c r="E872" s="4" t="s">
        <v>57</v>
      </c>
      <c r="F872" s="4" t="s">
        <v>56</v>
      </c>
      <c r="G872" s="4" t="s">
        <v>25</v>
      </c>
      <c r="H872" s="4" t="s">
        <v>25</v>
      </c>
      <c r="I872" s="5">
        <v>44348</v>
      </c>
      <c r="J872" s="6">
        <v>0</v>
      </c>
      <c r="K872" s="6">
        <v>0</v>
      </c>
      <c r="L872" s="6">
        <v>0.114</v>
      </c>
      <c r="M872" s="6">
        <v>3.7620000000000001E-2</v>
      </c>
      <c r="N872" s="6">
        <v>0.114</v>
      </c>
      <c r="O872" s="6">
        <v>3.7620000000000001E-2</v>
      </c>
      <c r="P872" s="6">
        <v>0</v>
      </c>
      <c r="Q872" s="4" t="s">
        <v>26</v>
      </c>
      <c r="R872" s="4">
        <v>0</v>
      </c>
      <c r="S872" s="4">
        <v>0</v>
      </c>
      <c r="T872" s="4">
        <v>54</v>
      </c>
      <c r="U872" s="4">
        <v>97</v>
      </c>
      <c r="V872" s="6">
        <f>IF(ISERROR(VLOOKUP($S$872,'TAR FIN'!$A$1:$O$116,15,0)),0,VLOOKUP($S$872,'TAR FIN'!$A$1:$O$116,15,0))</f>
        <v>0</v>
      </c>
      <c r="W872" s="6">
        <f>IF(ISERROR(VLOOKUP($T$872,'TAR FIN'!$A$1:$O$116,15,0)),0,VLOOKUP($T$872,'TAR FIN'!$A$1:$O$116,15,0))</f>
        <v>301.38</v>
      </c>
      <c r="X872" s="6">
        <f>IF(ISERROR(VLOOKUP($U$872,'TAR FIN'!$A$1:$O$116,15,0)),0,VLOOKUP($U$872,'TAR FIN'!$A$1:$O$116,15,0))</f>
        <v>287.29000000000002</v>
      </c>
      <c r="Y872" s="6"/>
      <c r="Z872" s="6">
        <f ca="1">('TUSD BE'!$AM$56+'TUSD BF'!$AM$56+'TUSD CVA'!$AM$56)*(1-CUSTOS!$M$38)</f>
        <v>410.57781128100521</v>
      </c>
      <c r="AA872" s="6">
        <f>('TE BE'!$AB$27+'TE BF'!$AB$27+'TE CVA'!$AB$27)*(1-CUSTOS!$M$38)</f>
        <v>309.85296222048811</v>
      </c>
      <c r="AB872" s="6">
        <f t="shared" si="48"/>
        <v>0</v>
      </c>
      <c r="AC872" s="6">
        <f>(L872-M872)*(W872+X872)+($W$597+$X$597-$W$872-$X$872)*(L872)</f>
        <v>54.114534600000013</v>
      </c>
      <c r="AD872" s="6">
        <f t="shared" si="49"/>
        <v>0</v>
      </c>
      <c r="AE872" s="6">
        <f ca="1">(L872-M872)*(Z872+AA872)+($Z$597+$AA$597-$Z$872-$AA$872)*(L872)</f>
        <v>60.268785980842168</v>
      </c>
      <c r="AF872" s="4" t="s">
        <v>1117</v>
      </c>
    </row>
    <row r="873" spans="1:32" ht="11.25" customHeight="1" x14ac:dyDescent="0.25">
      <c r="A873" s="4" t="s">
        <v>21</v>
      </c>
      <c r="B873" s="4" t="s">
        <v>44</v>
      </c>
      <c r="C873" s="4" t="s">
        <v>23</v>
      </c>
      <c r="D873" s="4" t="s">
        <v>45</v>
      </c>
      <c r="E873" s="4" t="s">
        <v>57</v>
      </c>
      <c r="F873" s="4" t="s">
        <v>56</v>
      </c>
      <c r="G873" s="4" t="s">
        <v>25</v>
      </c>
      <c r="H873" s="4" t="s">
        <v>25</v>
      </c>
      <c r="I873" s="5">
        <v>44378</v>
      </c>
      <c r="J873" s="6">
        <v>0</v>
      </c>
      <c r="K873" s="6">
        <v>0</v>
      </c>
      <c r="L873" s="6">
        <v>0.83199999999999996</v>
      </c>
      <c r="M873" s="6">
        <v>0.27456000000000003</v>
      </c>
      <c r="N873" s="6">
        <v>0.83199999999999996</v>
      </c>
      <c r="O873" s="6">
        <v>0.27456000000000003</v>
      </c>
      <c r="P873" s="6">
        <v>0</v>
      </c>
      <c r="Q873" s="4" t="s">
        <v>26</v>
      </c>
      <c r="R873" s="4">
        <v>0</v>
      </c>
      <c r="S873" s="4">
        <v>0</v>
      </c>
      <c r="T873" s="4">
        <v>54</v>
      </c>
      <c r="U873" s="4">
        <v>97</v>
      </c>
      <c r="V873" s="6">
        <f>IF(ISERROR(VLOOKUP($S$873,'TAR FIN'!$A$1:$O$116,15,0)),0,VLOOKUP($S$873,'TAR FIN'!$A$1:$O$116,15,0))</f>
        <v>0</v>
      </c>
      <c r="W873" s="6">
        <f>IF(ISERROR(VLOOKUP($T$873,'TAR FIN'!$A$1:$O$116,15,0)),0,VLOOKUP($T$873,'TAR FIN'!$A$1:$O$116,15,0))</f>
        <v>301.38</v>
      </c>
      <c r="X873" s="6">
        <f>IF(ISERROR(VLOOKUP($U$873,'TAR FIN'!$A$1:$O$116,15,0)),0,VLOOKUP($U$873,'TAR FIN'!$A$1:$O$116,15,0))</f>
        <v>287.29000000000002</v>
      </c>
      <c r="Y873" s="6"/>
      <c r="Z873" s="6">
        <f ca="1">('TUSD BE'!$AM$56+'TUSD BF'!$AM$56+'TUSD CVA'!$AM$56)*(1-CUSTOS!$M$38)</f>
        <v>410.57781128100521</v>
      </c>
      <c r="AA873" s="6">
        <f>('TE BE'!$AB$27+'TE BF'!$AB$27+'TE CVA'!$AB$27)*(1-CUSTOS!$M$38)</f>
        <v>309.85296222048811</v>
      </c>
      <c r="AB873" s="6">
        <f t="shared" si="48"/>
        <v>0</v>
      </c>
      <c r="AC873" s="6">
        <f>(L873-M873)*(W873+X873)+($W$597+$X$597-$W$873-$X$873)*(L873)</f>
        <v>394.94116480000002</v>
      </c>
      <c r="AD873" s="6">
        <f t="shared" si="49"/>
        <v>0</v>
      </c>
      <c r="AE873" s="6">
        <f ca="1">(L873-M873)*(Z873+AA873)+($Z$597+$AA$597-$Z$873-$AA$873)*(L873)</f>
        <v>439.85640294790062</v>
      </c>
      <c r="AF873" s="4" t="s">
        <v>1117</v>
      </c>
    </row>
    <row r="874" spans="1:32" ht="11.25" customHeight="1" x14ac:dyDescent="0.25">
      <c r="A874" s="4" t="s">
        <v>28</v>
      </c>
      <c r="B874" s="4" t="s">
        <v>44</v>
      </c>
      <c r="C874" s="4" t="s">
        <v>23</v>
      </c>
      <c r="D874" s="4" t="s">
        <v>45</v>
      </c>
      <c r="E874" s="4" t="s">
        <v>57</v>
      </c>
      <c r="F874" s="4" t="s">
        <v>56</v>
      </c>
      <c r="G874" s="4" t="s">
        <v>25</v>
      </c>
      <c r="H874" s="4" t="s">
        <v>25</v>
      </c>
      <c r="I874" s="5">
        <v>44378</v>
      </c>
      <c r="J874" s="6">
        <v>0</v>
      </c>
      <c r="K874" s="6">
        <v>0</v>
      </c>
      <c r="L874" s="6">
        <v>0.11799999999999999</v>
      </c>
      <c r="M874" s="6">
        <v>3.8940000000000002E-2</v>
      </c>
      <c r="N874" s="6">
        <v>0.11799999999999999</v>
      </c>
      <c r="O874" s="6">
        <v>3.8940000000000002E-2</v>
      </c>
      <c r="P874" s="6">
        <v>0</v>
      </c>
      <c r="Q874" s="4" t="s">
        <v>26</v>
      </c>
      <c r="R874" s="4">
        <v>0</v>
      </c>
      <c r="S874" s="4">
        <v>0</v>
      </c>
      <c r="T874" s="4">
        <v>54</v>
      </c>
      <c r="U874" s="4">
        <v>97</v>
      </c>
      <c r="V874" s="6">
        <f>IF(ISERROR(VLOOKUP($S$874,'TAR FIN'!$A$1:$O$116,15,0)),0,VLOOKUP($S$874,'TAR FIN'!$A$1:$O$116,15,0))</f>
        <v>0</v>
      </c>
      <c r="W874" s="6">
        <f>IF(ISERROR(VLOOKUP($T$874,'TAR FIN'!$A$1:$O$116,15,0)),0,VLOOKUP($T$874,'TAR FIN'!$A$1:$O$116,15,0))</f>
        <v>301.38</v>
      </c>
      <c r="X874" s="6">
        <f>IF(ISERROR(VLOOKUP($U$874,'TAR FIN'!$A$1:$O$116,15,0)),0,VLOOKUP($U$874,'TAR FIN'!$A$1:$O$116,15,0))</f>
        <v>287.29000000000002</v>
      </c>
      <c r="Y874" s="6"/>
      <c r="Z874" s="6">
        <f ca="1">('TUSD BE'!$AM$56+'TUSD BF'!$AM$56+'TUSD CVA'!$AM$56)*(1-CUSTOS!$M$38)</f>
        <v>410.57781128100521</v>
      </c>
      <c r="AA874" s="6">
        <f>('TE BE'!$AB$27+'TE BF'!$AB$27+'TE CVA'!$AB$27)*(1-CUSTOS!$M$38)</f>
        <v>309.85296222048811</v>
      </c>
      <c r="AB874" s="6">
        <f t="shared" si="48"/>
        <v>0</v>
      </c>
      <c r="AC874" s="6">
        <f>(L874-M874)*(W874+X874)+($W$597+$X$597-$W$874-$X$874)*(L874)</f>
        <v>56.013290200000007</v>
      </c>
      <c r="AD874" s="6">
        <f t="shared" si="49"/>
        <v>0</v>
      </c>
      <c r="AE874" s="6">
        <f ca="1">(L874-M874)*(Z874+AA874)+($Z$597+$AA$597-$Z$874-$AA$874)*(L874)</f>
        <v>62.383480225783984</v>
      </c>
      <c r="AF874" s="4" t="s">
        <v>1117</v>
      </c>
    </row>
    <row r="875" spans="1:32" ht="11.25" customHeight="1" x14ac:dyDescent="0.25">
      <c r="A875" s="4" t="s">
        <v>21</v>
      </c>
      <c r="B875" s="4" t="s">
        <v>44</v>
      </c>
      <c r="C875" s="4" t="s">
        <v>23</v>
      </c>
      <c r="D875" s="4" t="s">
        <v>45</v>
      </c>
      <c r="E875" s="4" t="s">
        <v>57</v>
      </c>
      <c r="F875" s="4" t="s">
        <v>56</v>
      </c>
      <c r="G875" s="4" t="s">
        <v>25</v>
      </c>
      <c r="H875" s="4" t="s">
        <v>25</v>
      </c>
      <c r="I875" s="5">
        <v>44409</v>
      </c>
      <c r="J875" s="6">
        <v>0</v>
      </c>
      <c r="K875" s="6">
        <v>0</v>
      </c>
      <c r="L875" s="6">
        <v>0.65600000000000003</v>
      </c>
      <c r="M875" s="6">
        <v>0.21648000000000001</v>
      </c>
      <c r="N875" s="6">
        <v>0.65600000000000003</v>
      </c>
      <c r="O875" s="6">
        <v>0.21648000000000001</v>
      </c>
      <c r="P875" s="6">
        <v>0</v>
      </c>
      <c r="Q875" s="4" t="s">
        <v>26</v>
      </c>
      <c r="R875" s="4">
        <v>0</v>
      </c>
      <c r="S875" s="4">
        <v>0</v>
      </c>
      <c r="T875" s="4">
        <v>54</v>
      </c>
      <c r="U875" s="4">
        <v>97</v>
      </c>
      <c r="V875" s="6">
        <f>IF(ISERROR(VLOOKUP($S$875,'TAR FIN'!$A$1:$O$116,15,0)),0,VLOOKUP($S$875,'TAR FIN'!$A$1:$O$116,15,0))</f>
        <v>0</v>
      </c>
      <c r="W875" s="6">
        <f>IF(ISERROR(VLOOKUP($T$875,'TAR FIN'!$A$1:$O$116,15,0)),0,VLOOKUP($T$875,'TAR FIN'!$A$1:$O$116,15,0))</f>
        <v>301.38</v>
      </c>
      <c r="X875" s="6">
        <f>IF(ISERROR(VLOOKUP($U$875,'TAR FIN'!$A$1:$O$116,15,0)),0,VLOOKUP($U$875,'TAR FIN'!$A$1:$O$116,15,0))</f>
        <v>287.29000000000002</v>
      </c>
      <c r="Y875" s="6"/>
      <c r="Z875" s="6">
        <f ca="1">('TUSD BE'!$AM$56+'TUSD BF'!$AM$56+'TUSD CVA'!$AM$56)*(1-CUSTOS!$M$38)</f>
        <v>410.57781128100521</v>
      </c>
      <c r="AA875" s="6">
        <f>('TE BE'!$AB$27+'TE BF'!$AB$27+'TE CVA'!$AB$27)*(1-CUSTOS!$M$38)</f>
        <v>309.85296222048811</v>
      </c>
      <c r="AB875" s="6">
        <f t="shared" si="48"/>
        <v>0</v>
      </c>
      <c r="AC875" s="6">
        <f>(L875-M875)*(W875+X875)+($W$597+$X$597-$W$875-$X$875)*(L875)</f>
        <v>311.39591840000003</v>
      </c>
      <c r="AD875" s="6">
        <f t="shared" si="49"/>
        <v>0</v>
      </c>
      <c r="AE875" s="6">
        <f ca="1">(L875-M875)*(Z875+AA875)+($Z$597+$AA$597-$Z$875-$AA$875)*(L875)</f>
        <v>346.80985617046019</v>
      </c>
      <c r="AF875" s="4" t="s">
        <v>1117</v>
      </c>
    </row>
    <row r="876" spans="1:32" ht="11.25" customHeight="1" x14ac:dyDescent="0.25">
      <c r="A876" s="4" t="s">
        <v>28</v>
      </c>
      <c r="B876" s="4" t="s">
        <v>44</v>
      </c>
      <c r="C876" s="4" t="s">
        <v>23</v>
      </c>
      <c r="D876" s="4" t="s">
        <v>45</v>
      </c>
      <c r="E876" s="4" t="s">
        <v>57</v>
      </c>
      <c r="F876" s="4" t="s">
        <v>56</v>
      </c>
      <c r="G876" s="4" t="s">
        <v>25</v>
      </c>
      <c r="H876" s="4" t="s">
        <v>25</v>
      </c>
      <c r="I876" s="5">
        <v>44409</v>
      </c>
      <c r="J876" s="6">
        <v>0</v>
      </c>
      <c r="K876" s="6">
        <v>0</v>
      </c>
      <c r="L876" s="6">
        <v>0.121</v>
      </c>
      <c r="M876" s="6">
        <v>3.993E-2</v>
      </c>
      <c r="N876" s="6">
        <v>0.121</v>
      </c>
      <c r="O876" s="6">
        <v>3.993E-2</v>
      </c>
      <c r="P876" s="6">
        <v>0</v>
      </c>
      <c r="Q876" s="4" t="s">
        <v>26</v>
      </c>
      <c r="R876" s="4">
        <v>0</v>
      </c>
      <c r="S876" s="4">
        <v>0</v>
      </c>
      <c r="T876" s="4">
        <v>54</v>
      </c>
      <c r="U876" s="4">
        <v>97</v>
      </c>
      <c r="V876" s="6">
        <f>IF(ISERROR(VLOOKUP($S$876,'TAR FIN'!$A$1:$O$116,15,0)),0,VLOOKUP($S$876,'TAR FIN'!$A$1:$O$116,15,0))</f>
        <v>0</v>
      </c>
      <c r="W876" s="6">
        <f>IF(ISERROR(VLOOKUP($T$876,'TAR FIN'!$A$1:$O$116,15,0)),0,VLOOKUP($T$876,'TAR FIN'!$A$1:$O$116,15,0))</f>
        <v>301.38</v>
      </c>
      <c r="X876" s="6">
        <f>IF(ISERROR(VLOOKUP($U$876,'TAR FIN'!$A$1:$O$116,15,0)),0,VLOOKUP($U$876,'TAR FIN'!$A$1:$O$116,15,0))</f>
        <v>287.29000000000002</v>
      </c>
      <c r="Y876" s="6"/>
      <c r="Z876" s="6">
        <f ca="1">('TUSD BE'!$AM$56+'TUSD BF'!$AM$56+'TUSD CVA'!$AM$56)*(1-CUSTOS!$M$38)</f>
        <v>410.57781128100521</v>
      </c>
      <c r="AA876" s="6">
        <f>('TE BE'!$AB$27+'TE BF'!$AB$27+'TE CVA'!$AB$27)*(1-CUSTOS!$M$38)</f>
        <v>309.85296222048811</v>
      </c>
      <c r="AB876" s="6">
        <f t="shared" si="48"/>
        <v>0</v>
      </c>
      <c r="AC876" s="6">
        <f>(L876-M876)*(W876+X876)+($W$597+$X$597-$W$876-$X$876)*(L876)</f>
        <v>57.437356900000012</v>
      </c>
      <c r="AD876" s="6">
        <f t="shared" si="49"/>
        <v>0</v>
      </c>
      <c r="AE876" s="6">
        <f ca="1">(L876-M876)*(Z876+AA876)+($Z$597+$AA$597-$Z$876-$AA$876)*(L876)</f>
        <v>63.969500909490364</v>
      </c>
      <c r="AF876" s="4" t="s">
        <v>1117</v>
      </c>
    </row>
    <row r="877" spans="1:32" ht="11.25" customHeight="1" x14ac:dyDescent="0.25">
      <c r="A877" s="4" t="s">
        <v>21</v>
      </c>
      <c r="B877" s="4" t="s">
        <v>44</v>
      </c>
      <c r="C877" s="4" t="s">
        <v>23</v>
      </c>
      <c r="D877" s="4" t="s">
        <v>45</v>
      </c>
      <c r="E877" s="4" t="s">
        <v>57</v>
      </c>
      <c r="F877" s="4" t="s">
        <v>56</v>
      </c>
      <c r="G877" s="4" t="s">
        <v>25</v>
      </c>
      <c r="H877" s="4" t="s">
        <v>25</v>
      </c>
      <c r="I877" s="5">
        <v>44440</v>
      </c>
      <c r="J877" s="6">
        <v>0</v>
      </c>
      <c r="K877" s="6">
        <v>0</v>
      </c>
      <c r="L877" s="6">
        <v>0.91400000000000003</v>
      </c>
      <c r="M877" s="6">
        <v>0.30162</v>
      </c>
      <c r="N877" s="6">
        <v>0.91400000000000003</v>
      </c>
      <c r="O877" s="6">
        <v>0.30162</v>
      </c>
      <c r="P877" s="6">
        <v>0</v>
      </c>
      <c r="Q877" s="4" t="s">
        <v>26</v>
      </c>
      <c r="R877" s="4">
        <v>0</v>
      </c>
      <c r="S877" s="4">
        <v>0</v>
      </c>
      <c r="T877" s="4">
        <v>54</v>
      </c>
      <c r="U877" s="4">
        <v>97</v>
      </c>
      <c r="V877" s="6">
        <f>IF(ISERROR(VLOOKUP($S$877,'TAR FIN'!$A$1:$O$116,15,0)),0,VLOOKUP($S$877,'TAR FIN'!$A$1:$O$116,15,0))</f>
        <v>0</v>
      </c>
      <c r="W877" s="6">
        <f>IF(ISERROR(VLOOKUP($T$877,'TAR FIN'!$A$1:$O$116,15,0)),0,VLOOKUP($T$877,'TAR FIN'!$A$1:$O$116,15,0))</f>
        <v>301.38</v>
      </c>
      <c r="X877" s="6">
        <f>IF(ISERROR(VLOOKUP($U$877,'TAR FIN'!$A$1:$O$116,15,0)),0,VLOOKUP($U$877,'TAR FIN'!$A$1:$O$116,15,0))</f>
        <v>287.29000000000002</v>
      </c>
      <c r="Y877" s="6"/>
      <c r="Z877" s="6">
        <f ca="1">('TUSD BE'!$AM$56+'TUSD BF'!$AM$56+'TUSD CVA'!$AM$56)*(1-CUSTOS!$M$38)</f>
        <v>410.57781128100521</v>
      </c>
      <c r="AA877" s="6">
        <f>('TE BE'!$AB$27+'TE BF'!$AB$27+'TE CVA'!$AB$27)*(1-CUSTOS!$M$38)</f>
        <v>309.85296222048811</v>
      </c>
      <c r="AB877" s="6">
        <f t="shared" si="48"/>
        <v>0</v>
      </c>
      <c r="AC877" s="6">
        <f>(L877-M877)*(W877+X877)+($W$597+$X$597-$W$877-$X$877)*(L877)</f>
        <v>433.86565460000008</v>
      </c>
      <c r="AD877" s="6">
        <f t="shared" si="49"/>
        <v>0</v>
      </c>
      <c r="AE877" s="6">
        <f ca="1">(L877-M877)*(Z877+AA877)+($Z$597+$AA$597-$Z$877-$AA$877)*(L877)</f>
        <v>483.20763496920824</v>
      </c>
      <c r="AF877" s="4" t="s">
        <v>1117</v>
      </c>
    </row>
    <row r="878" spans="1:32" ht="11.25" customHeight="1" x14ac:dyDescent="0.25">
      <c r="A878" s="4" t="s">
        <v>28</v>
      </c>
      <c r="B878" s="4" t="s">
        <v>44</v>
      </c>
      <c r="C878" s="4" t="s">
        <v>23</v>
      </c>
      <c r="D878" s="4" t="s">
        <v>45</v>
      </c>
      <c r="E878" s="4" t="s">
        <v>57</v>
      </c>
      <c r="F878" s="4" t="s">
        <v>56</v>
      </c>
      <c r="G878" s="4" t="s">
        <v>25</v>
      </c>
      <c r="H878" s="4" t="s">
        <v>25</v>
      </c>
      <c r="I878" s="5">
        <v>44440</v>
      </c>
      <c r="J878" s="6">
        <v>0</v>
      </c>
      <c r="K878" s="6">
        <v>0</v>
      </c>
      <c r="L878" s="6">
        <v>0.27400000000000002</v>
      </c>
      <c r="M878" s="6">
        <v>9.042E-2</v>
      </c>
      <c r="N878" s="6">
        <v>0.27400000000000002</v>
      </c>
      <c r="O878" s="6">
        <v>9.042E-2</v>
      </c>
      <c r="P878" s="6">
        <v>0</v>
      </c>
      <c r="Q878" s="4" t="s">
        <v>26</v>
      </c>
      <c r="R878" s="4">
        <v>0</v>
      </c>
      <c r="S878" s="4">
        <v>0</v>
      </c>
      <c r="T878" s="4">
        <v>54</v>
      </c>
      <c r="U878" s="4">
        <v>97</v>
      </c>
      <c r="V878" s="6">
        <f>IF(ISERROR(VLOOKUP($S$878,'TAR FIN'!$A$1:$O$116,15,0)),0,VLOOKUP($S$878,'TAR FIN'!$A$1:$O$116,15,0))</f>
        <v>0</v>
      </c>
      <c r="W878" s="6">
        <f>IF(ISERROR(VLOOKUP($T$878,'TAR FIN'!$A$1:$O$116,15,0)),0,VLOOKUP($T$878,'TAR FIN'!$A$1:$O$116,15,0))</f>
        <v>301.38</v>
      </c>
      <c r="X878" s="6">
        <f>IF(ISERROR(VLOOKUP($U$878,'TAR FIN'!$A$1:$O$116,15,0)),0,VLOOKUP($U$878,'TAR FIN'!$A$1:$O$116,15,0))</f>
        <v>287.29000000000002</v>
      </c>
      <c r="Y878" s="6"/>
      <c r="Z878" s="6">
        <f ca="1">('TUSD BE'!$AM$56+'TUSD BF'!$AM$56+'TUSD CVA'!$AM$56)*(1-CUSTOS!$M$38)</f>
        <v>410.57781128100521</v>
      </c>
      <c r="AA878" s="6">
        <f>('TE BE'!$AB$27+'TE BF'!$AB$27+'TE CVA'!$AB$27)*(1-CUSTOS!$M$38)</f>
        <v>309.85296222048811</v>
      </c>
      <c r="AB878" s="6">
        <f t="shared" si="48"/>
        <v>0</v>
      </c>
      <c r="AC878" s="6">
        <f>(L878-M878)*(W878+X878)+($W$597+$X$597-$W$878-$X$878)*(L878)</f>
        <v>130.06475860000003</v>
      </c>
      <c r="AD878" s="6">
        <f t="shared" si="49"/>
        <v>0</v>
      </c>
      <c r="AE878" s="6">
        <f ca="1">(L878-M878)*(Z878+AA878)+($Z$597+$AA$597-$Z$878-$AA$878)*(L878)</f>
        <v>144.85655577851537</v>
      </c>
      <c r="AF878" s="4" t="s">
        <v>1117</v>
      </c>
    </row>
    <row r="879" spans="1:32" ht="11.25" customHeight="1" x14ac:dyDescent="0.25">
      <c r="A879" s="4" t="s">
        <v>21</v>
      </c>
      <c r="B879" s="4" t="s">
        <v>44</v>
      </c>
      <c r="C879" s="4" t="s">
        <v>23</v>
      </c>
      <c r="D879" s="4" t="s">
        <v>45</v>
      </c>
      <c r="E879" s="4" t="s">
        <v>57</v>
      </c>
      <c r="F879" s="4" t="s">
        <v>56</v>
      </c>
      <c r="G879" s="4" t="s">
        <v>25</v>
      </c>
      <c r="H879" s="4" t="s">
        <v>25</v>
      </c>
      <c r="I879" s="5">
        <v>44470</v>
      </c>
      <c r="J879" s="6">
        <v>0</v>
      </c>
      <c r="K879" s="6">
        <v>0</v>
      </c>
      <c r="L879" s="6">
        <v>0.63500000000000001</v>
      </c>
      <c r="M879" s="6">
        <v>0.20954999999999999</v>
      </c>
      <c r="N879" s="6">
        <v>0.63500000000000001</v>
      </c>
      <c r="O879" s="6">
        <v>0.20954999999999999</v>
      </c>
      <c r="P879" s="6">
        <v>0</v>
      </c>
      <c r="Q879" s="4" t="s">
        <v>26</v>
      </c>
      <c r="R879" s="4">
        <v>0</v>
      </c>
      <c r="S879" s="4">
        <v>0</v>
      </c>
      <c r="T879" s="4">
        <v>54</v>
      </c>
      <c r="U879" s="4">
        <v>97</v>
      </c>
      <c r="V879" s="6">
        <f>IF(ISERROR(VLOOKUP($S$879,'TAR FIN'!$A$1:$O$116,15,0)),0,VLOOKUP($S$879,'TAR FIN'!$A$1:$O$116,15,0))</f>
        <v>0</v>
      </c>
      <c r="W879" s="6">
        <f>IF(ISERROR(VLOOKUP($T$879,'TAR FIN'!$A$1:$O$116,15,0)),0,VLOOKUP($T$879,'TAR FIN'!$A$1:$O$116,15,0))</f>
        <v>301.38</v>
      </c>
      <c r="X879" s="6">
        <f>IF(ISERROR(VLOOKUP($U$879,'TAR FIN'!$A$1:$O$116,15,0)),0,VLOOKUP($U$879,'TAR FIN'!$A$1:$O$116,15,0))</f>
        <v>287.29000000000002</v>
      </c>
      <c r="Y879" s="6"/>
      <c r="Z879" s="6">
        <f ca="1">('TUSD BE'!$AM$56+'TUSD BF'!$AM$56+'TUSD CVA'!$AM$56)*(1-CUSTOS!$M$38)</f>
        <v>410.57781128100521</v>
      </c>
      <c r="AA879" s="6">
        <f>('TE BE'!$AB$27+'TE BF'!$AB$27+'TE CVA'!$AB$27)*(1-CUSTOS!$M$38)</f>
        <v>309.85296222048811</v>
      </c>
      <c r="AB879" s="6">
        <f t="shared" si="48"/>
        <v>0</v>
      </c>
      <c r="AC879" s="6">
        <f>(L879-M879)*(W879+X879)+($W$597+$X$597-$W$879-$X$879)*(L879)</f>
        <v>301.42745150000002</v>
      </c>
      <c r="AD879" s="6">
        <f t="shared" si="49"/>
        <v>0</v>
      </c>
      <c r="AE879" s="6">
        <f ca="1">(L879-M879)*(Z879+AA879)+($Z$597+$AA$597-$Z$879-$AA$879)*(L879)</f>
        <v>335.70771138451556</v>
      </c>
      <c r="AF879" s="4" t="s">
        <v>1117</v>
      </c>
    </row>
    <row r="880" spans="1:32" ht="11.25" customHeight="1" x14ac:dyDescent="0.25">
      <c r="A880" s="4" t="s">
        <v>28</v>
      </c>
      <c r="B880" s="4" t="s">
        <v>44</v>
      </c>
      <c r="C880" s="4" t="s">
        <v>23</v>
      </c>
      <c r="D880" s="4" t="s">
        <v>45</v>
      </c>
      <c r="E880" s="4" t="s">
        <v>57</v>
      </c>
      <c r="F880" s="4" t="s">
        <v>56</v>
      </c>
      <c r="G880" s="4" t="s">
        <v>25</v>
      </c>
      <c r="H880" s="4" t="s">
        <v>25</v>
      </c>
      <c r="I880" s="5">
        <v>44470</v>
      </c>
      <c r="J880" s="6">
        <v>0</v>
      </c>
      <c r="K880" s="6">
        <v>0</v>
      </c>
      <c r="L880" s="6">
        <v>0.184</v>
      </c>
      <c r="M880" s="6">
        <v>6.0720000000000003E-2</v>
      </c>
      <c r="N880" s="6">
        <v>0.184</v>
      </c>
      <c r="O880" s="6">
        <v>6.0720000000000003E-2</v>
      </c>
      <c r="P880" s="6">
        <v>0</v>
      </c>
      <c r="Q880" s="4" t="s">
        <v>26</v>
      </c>
      <c r="R880" s="4">
        <v>0</v>
      </c>
      <c r="S880" s="4">
        <v>0</v>
      </c>
      <c r="T880" s="4">
        <v>54</v>
      </c>
      <c r="U880" s="4">
        <v>97</v>
      </c>
      <c r="V880" s="6">
        <f>IF(ISERROR(VLOOKUP($S$880,'TAR FIN'!$A$1:$O$116,15,0)),0,VLOOKUP($S$880,'TAR FIN'!$A$1:$O$116,15,0))</f>
        <v>0</v>
      </c>
      <c r="W880" s="6">
        <f>IF(ISERROR(VLOOKUP($T$880,'TAR FIN'!$A$1:$O$116,15,0)),0,VLOOKUP($T$880,'TAR FIN'!$A$1:$O$116,15,0))</f>
        <v>301.38</v>
      </c>
      <c r="X880" s="6">
        <f>IF(ISERROR(VLOOKUP($U$880,'TAR FIN'!$A$1:$O$116,15,0)),0,VLOOKUP($U$880,'TAR FIN'!$A$1:$O$116,15,0))</f>
        <v>287.29000000000002</v>
      </c>
      <c r="Y880" s="6"/>
      <c r="Z880" s="6">
        <f ca="1">('TUSD BE'!$AM$56+'TUSD BF'!$AM$56+'TUSD CVA'!$AM$56)*(1-CUSTOS!$M$38)</f>
        <v>410.57781128100521</v>
      </c>
      <c r="AA880" s="6">
        <f>('TE BE'!$AB$27+'TE BF'!$AB$27+'TE CVA'!$AB$27)*(1-CUSTOS!$M$38)</f>
        <v>309.85296222048811</v>
      </c>
      <c r="AB880" s="6">
        <f t="shared" si="48"/>
        <v>0</v>
      </c>
      <c r="AC880" s="6">
        <f>(L880-M880)*(W880+X880)+($W$597+$X$597-$W$880-$X$880)*(L880)</f>
        <v>87.342757600000013</v>
      </c>
      <c r="AD880" s="6">
        <f t="shared" si="49"/>
        <v>0</v>
      </c>
      <c r="AE880" s="6">
        <f ca="1">(L880-M880)*(Z880+AA880)+($Z$597+$AA$597-$Z$880-$AA$880)*(L880)</f>
        <v>97.275935267324201</v>
      </c>
      <c r="AF880" s="4" t="s">
        <v>1117</v>
      </c>
    </row>
    <row r="881" spans="1:32" ht="11.25" customHeight="1" x14ac:dyDescent="0.25">
      <c r="A881" s="4" t="s">
        <v>21</v>
      </c>
      <c r="B881" s="4" t="s">
        <v>44</v>
      </c>
      <c r="C881" s="4" t="s">
        <v>23</v>
      </c>
      <c r="D881" s="4" t="s">
        <v>45</v>
      </c>
      <c r="E881" s="4" t="s">
        <v>57</v>
      </c>
      <c r="F881" s="4" t="s">
        <v>56</v>
      </c>
      <c r="G881" s="4" t="s">
        <v>25</v>
      </c>
      <c r="H881" s="4" t="s">
        <v>25</v>
      </c>
      <c r="I881" s="5">
        <v>44501</v>
      </c>
      <c r="J881" s="6">
        <v>0</v>
      </c>
      <c r="K881" s="6">
        <v>0</v>
      </c>
      <c r="L881" s="6">
        <v>1.3839999999999999</v>
      </c>
      <c r="M881" s="6">
        <v>0.45672000000000001</v>
      </c>
      <c r="N881" s="6">
        <v>1.3839999999999999</v>
      </c>
      <c r="O881" s="6">
        <v>0.45672000000000001</v>
      </c>
      <c r="P881" s="6">
        <v>0</v>
      </c>
      <c r="Q881" s="4" t="s">
        <v>26</v>
      </c>
      <c r="R881" s="4">
        <v>0</v>
      </c>
      <c r="S881" s="4">
        <v>0</v>
      </c>
      <c r="T881" s="4">
        <v>54</v>
      </c>
      <c r="U881" s="4">
        <v>97</v>
      </c>
      <c r="V881" s="6">
        <f>IF(ISERROR(VLOOKUP($S$881,'TAR FIN'!$A$1:$O$116,15,0)),0,VLOOKUP($S$881,'TAR FIN'!$A$1:$O$116,15,0))</f>
        <v>0</v>
      </c>
      <c r="W881" s="6">
        <f>IF(ISERROR(VLOOKUP($T$881,'TAR FIN'!$A$1:$O$116,15,0)),0,VLOOKUP($T$881,'TAR FIN'!$A$1:$O$116,15,0))</f>
        <v>301.38</v>
      </c>
      <c r="X881" s="6">
        <f>IF(ISERROR(VLOOKUP($U$881,'TAR FIN'!$A$1:$O$116,15,0)),0,VLOOKUP($U$881,'TAR FIN'!$A$1:$O$116,15,0))</f>
        <v>287.29000000000002</v>
      </c>
      <c r="Y881" s="6"/>
      <c r="Z881" s="6">
        <f ca="1">('TUSD BE'!$AM$56+'TUSD BF'!$AM$56+'TUSD CVA'!$AM$56)*(1-CUSTOS!$M$38)</f>
        <v>410.57781128100521</v>
      </c>
      <c r="AA881" s="6">
        <f>('TE BE'!$AB$27+'TE BF'!$AB$27+'TE CVA'!$AB$27)*(1-CUSTOS!$M$38)</f>
        <v>309.85296222048811</v>
      </c>
      <c r="AB881" s="6">
        <f t="shared" si="48"/>
        <v>0</v>
      </c>
      <c r="AC881" s="6">
        <f>(L881-M881)*(W881+X881)+($W$597+$X$597-$W$881-$X$881)*(L881)</f>
        <v>656.96943759999999</v>
      </c>
      <c r="AD881" s="6">
        <f t="shared" si="49"/>
        <v>0</v>
      </c>
      <c r="AE881" s="6">
        <f ca="1">(L881-M881)*(Z881+AA881)+($Z$597+$AA$597-$Z$881-$AA$881)*(L881)</f>
        <v>731.68420874987328</v>
      </c>
      <c r="AF881" s="4" t="s">
        <v>1117</v>
      </c>
    </row>
    <row r="882" spans="1:32" ht="11.25" customHeight="1" x14ac:dyDescent="0.25">
      <c r="A882" s="4" t="s">
        <v>28</v>
      </c>
      <c r="B882" s="4" t="s">
        <v>44</v>
      </c>
      <c r="C882" s="4" t="s">
        <v>23</v>
      </c>
      <c r="D882" s="4" t="s">
        <v>45</v>
      </c>
      <c r="E882" s="4" t="s">
        <v>57</v>
      </c>
      <c r="F882" s="4" t="s">
        <v>56</v>
      </c>
      <c r="G882" s="4" t="s">
        <v>25</v>
      </c>
      <c r="H882" s="4" t="s">
        <v>25</v>
      </c>
      <c r="I882" s="5">
        <v>44501</v>
      </c>
      <c r="J882" s="6">
        <v>0</v>
      </c>
      <c r="K882" s="6">
        <v>0</v>
      </c>
      <c r="L882" s="6">
        <v>0.08</v>
      </c>
      <c r="M882" s="6">
        <v>2.64E-2</v>
      </c>
      <c r="N882" s="6">
        <v>0.08</v>
      </c>
      <c r="O882" s="6">
        <v>2.64E-2</v>
      </c>
      <c r="P882" s="6">
        <v>0</v>
      </c>
      <c r="Q882" s="4" t="s">
        <v>26</v>
      </c>
      <c r="R882" s="4">
        <v>0</v>
      </c>
      <c r="S882" s="4">
        <v>0</v>
      </c>
      <c r="T882" s="4">
        <v>54</v>
      </c>
      <c r="U882" s="4">
        <v>97</v>
      </c>
      <c r="V882" s="6">
        <f>IF(ISERROR(VLOOKUP($S$882,'TAR FIN'!$A$1:$O$116,15,0)),0,VLOOKUP($S$882,'TAR FIN'!$A$1:$O$116,15,0))</f>
        <v>0</v>
      </c>
      <c r="W882" s="6">
        <f>IF(ISERROR(VLOOKUP($T$882,'TAR FIN'!$A$1:$O$116,15,0)),0,VLOOKUP($T$882,'TAR FIN'!$A$1:$O$116,15,0))</f>
        <v>301.38</v>
      </c>
      <c r="X882" s="6">
        <f>IF(ISERROR(VLOOKUP($U$882,'TAR FIN'!$A$1:$O$116,15,0)),0,VLOOKUP($U$882,'TAR FIN'!$A$1:$O$116,15,0))</f>
        <v>287.29000000000002</v>
      </c>
      <c r="Y882" s="6"/>
      <c r="Z882" s="6">
        <f ca="1">('TUSD BE'!$AM$56+'TUSD BF'!$AM$56+'TUSD CVA'!$AM$56)*(1-CUSTOS!$M$38)</f>
        <v>410.57781128100521</v>
      </c>
      <c r="AA882" s="6">
        <f>('TE BE'!$AB$27+'TE BF'!$AB$27+'TE CVA'!$AB$27)*(1-CUSTOS!$M$38)</f>
        <v>309.85296222048811</v>
      </c>
      <c r="AB882" s="6">
        <f t="shared" si="48"/>
        <v>0</v>
      </c>
      <c r="AC882" s="6">
        <f>(L882-M882)*(W882+X882)+($W$597+$X$597-$W$882-$X$882)*(L882)</f>
        <v>37.975112000000003</v>
      </c>
      <c r="AD882" s="6">
        <f t="shared" si="49"/>
        <v>0</v>
      </c>
      <c r="AE882" s="6">
        <f ca="1">(L882-M882)*(Z882+AA882)+($Z$597+$AA$597-$Z$882-$AA$882)*(L882)</f>
        <v>42.293884898836609</v>
      </c>
      <c r="AF882" s="4" t="s">
        <v>1117</v>
      </c>
    </row>
    <row r="883" spans="1:32" ht="11.25" customHeight="1" x14ac:dyDescent="0.25">
      <c r="A883" s="4" t="s">
        <v>21</v>
      </c>
      <c r="B883" s="4" t="s">
        <v>44</v>
      </c>
      <c r="C883" s="4" t="s">
        <v>23</v>
      </c>
      <c r="D883" s="4" t="s">
        <v>45</v>
      </c>
      <c r="E883" s="4" t="s">
        <v>57</v>
      </c>
      <c r="F883" s="4" t="s">
        <v>56</v>
      </c>
      <c r="G883" s="4" t="s">
        <v>25</v>
      </c>
      <c r="H883" s="4" t="s">
        <v>25</v>
      </c>
      <c r="I883" s="5">
        <v>44531</v>
      </c>
      <c r="J883" s="6">
        <v>0</v>
      </c>
      <c r="K883" s="6">
        <v>0</v>
      </c>
      <c r="L883" s="6">
        <v>0.72</v>
      </c>
      <c r="M883" s="6">
        <v>0.23760000000000001</v>
      </c>
      <c r="N883" s="6">
        <v>0.72</v>
      </c>
      <c r="O883" s="6">
        <v>0.23760000000000001</v>
      </c>
      <c r="P883" s="6">
        <v>0</v>
      </c>
      <c r="Q883" s="4" t="s">
        <v>26</v>
      </c>
      <c r="R883" s="4">
        <v>0</v>
      </c>
      <c r="S883" s="4">
        <v>0</v>
      </c>
      <c r="T883" s="4">
        <v>54</v>
      </c>
      <c r="U883" s="4">
        <v>97</v>
      </c>
      <c r="V883" s="6">
        <f>IF(ISERROR(VLOOKUP($S$883,'TAR FIN'!$A$1:$O$116,15,0)),0,VLOOKUP($S$883,'TAR FIN'!$A$1:$O$116,15,0))</f>
        <v>0</v>
      </c>
      <c r="W883" s="6">
        <f>IF(ISERROR(VLOOKUP($T$883,'TAR FIN'!$A$1:$O$116,15,0)),0,VLOOKUP($T$883,'TAR FIN'!$A$1:$O$116,15,0))</f>
        <v>301.38</v>
      </c>
      <c r="X883" s="6">
        <f>IF(ISERROR(VLOOKUP($U$883,'TAR FIN'!$A$1:$O$116,15,0)),0,VLOOKUP($U$883,'TAR FIN'!$A$1:$O$116,15,0))</f>
        <v>287.29000000000002</v>
      </c>
      <c r="Y883" s="6"/>
      <c r="Z883" s="6">
        <f ca="1">('TUSD BE'!$AM$56+'TUSD BF'!$AM$56+'TUSD CVA'!$AM$56)*(1-CUSTOS!$M$38)</f>
        <v>410.57781128100521</v>
      </c>
      <c r="AA883" s="6">
        <f>('TE BE'!$AB$27+'TE BF'!$AB$27+'TE CVA'!$AB$27)*(1-CUSTOS!$M$38)</f>
        <v>309.85296222048811</v>
      </c>
      <c r="AB883" s="6">
        <f t="shared" si="48"/>
        <v>0</v>
      </c>
      <c r="AC883" s="6">
        <f>(L883-M883)*(W883+X883)+($W$597+$X$597-$W$883-$X$883)*(L883)</f>
        <v>341.77600799999999</v>
      </c>
      <c r="AD883" s="6">
        <f t="shared" si="49"/>
        <v>0</v>
      </c>
      <c r="AE883" s="6">
        <f ca="1">(L883-M883)*(Z883+AA883)+($Z$597+$AA$597-$Z$883-$AA$883)*(L883)</f>
        <v>380.64496408952937</v>
      </c>
      <c r="AF883" s="4" t="s">
        <v>1117</v>
      </c>
    </row>
    <row r="884" spans="1:32" ht="11.25" customHeight="1" x14ac:dyDescent="0.25">
      <c r="A884" s="4" t="s">
        <v>21</v>
      </c>
      <c r="B884" s="4" t="s">
        <v>44</v>
      </c>
      <c r="C884" s="4" t="s">
        <v>23</v>
      </c>
      <c r="D884" s="4" t="s">
        <v>45</v>
      </c>
      <c r="E884" s="4" t="s">
        <v>57</v>
      </c>
      <c r="F884" s="4" t="s">
        <v>56</v>
      </c>
      <c r="G884" s="4" t="s">
        <v>25</v>
      </c>
      <c r="H884" s="4" t="s">
        <v>25</v>
      </c>
      <c r="I884" s="5">
        <v>44562</v>
      </c>
      <c r="J884" s="6">
        <v>0</v>
      </c>
      <c r="K884" s="6">
        <v>0</v>
      </c>
      <c r="L884" s="6">
        <v>2.0819999999999999</v>
      </c>
      <c r="M884" s="6">
        <v>0.68706</v>
      </c>
      <c r="N884" s="6">
        <v>2.0819999999999999</v>
      </c>
      <c r="O884" s="6">
        <v>0.68706</v>
      </c>
      <c r="P884" s="6">
        <v>0</v>
      </c>
      <c r="Q884" s="4" t="s">
        <v>26</v>
      </c>
      <c r="R884" s="4">
        <v>0</v>
      </c>
      <c r="S884" s="4">
        <v>0</v>
      </c>
      <c r="T884" s="4">
        <v>54</v>
      </c>
      <c r="U884" s="4">
        <v>97</v>
      </c>
      <c r="V884" s="6">
        <f>IF(ISERROR(VLOOKUP($S$884,'TAR FIN'!$A$1:$O$116,15,0)),0,VLOOKUP($S$884,'TAR FIN'!$A$1:$O$116,15,0))</f>
        <v>0</v>
      </c>
      <c r="W884" s="6">
        <f>IF(ISERROR(VLOOKUP($T$884,'TAR FIN'!$A$1:$O$116,15,0)),0,VLOOKUP($T$884,'TAR FIN'!$A$1:$O$116,15,0))</f>
        <v>301.38</v>
      </c>
      <c r="X884" s="6">
        <f>IF(ISERROR(VLOOKUP($U$884,'TAR FIN'!$A$1:$O$116,15,0)),0,VLOOKUP($U$884,'TAR FIN'!$A$1:$O$116,15,0))</f>
        <v>287.29000000000002</v>
      </c>
      <c r="Y884" s="6"/>
      <c r="Z884" s="6">
        <f ca="1">('TUSD BE'!$AM$56+'TUSD BF'!$AM$56+'TUSD CVA'!$AM$56)*(1-CUSTOS!$M$38)</f>
        <v>410.57781128100521</v>
      </c>
      <c r="AA884" s="6">
        <f>('TE BE'!$AB$27+'TE BF'!$AB$27+'TE CVA'!$AB$27)*(1-CUSTOS!$M$38)</f>
        <v>309.85296222048811</v>
      </c>
      <c r="AB884" s="6">
        <f t="shared" si="48"/>
        <v>0</v>
      </c>
      <c r="AC884" s="6">
        <f>(L884-M884)*(W884+X884)+($W$597+$X$597-$W$884-$X$884)*(L884)</f>
        <v>988.30228980000004</v>
      </c>
      <c r="AD884" s="6">
        <f t="shared" si="49"/>
        <v>0</v>
      </c>
      <c r="AE884" s="6">
        <f ca="1">(L884-M884)*(Z884+AA884)+($Z$597+$AA$597-$Z$884-$AA$884)*(L884)</f>
        <v>1100.6983544922225</v>
      </c>
      <c r="AF884" s="4" t="s">
        <v>1117</v>
      </c>
    </row>
    <row r="885" spans="1:32" ht="11.25" customHeight="1" x14ac:dyDescent="0.25">
      <c r="A885" s="4" t="s">
        <v>28</v>
      </c>
      <c r="B885" s="4" t="s">
        <v>44</v>
      </c>
      <c r="C885" s="4" t="s">
        <v>23</v>
      </c>
      <c r="D885" s="4" t="s">
        <v>45</v>
      </c>
      <c r="E885" s="4" t="s">
        <v>57</v>
      </c>
      <c r="F885" s="4" t="s">
        <v>56</v>
      </c>
      <c r="G885" s="4" t="s">
        <v>25</v>
      </c>
      <c r="H885" s="4" t="s">
        <v>25</v>
      </c>
      <c r="I885" s="5">
        <v>44562</v>
      </c>
      <c r="J885" s="6">
        <v>0</v>
      </c>
      <c r="K885" s="6">
        <v>0</v>
      </c>
      <c r="L885" s="6">
        <v>2.8000000000000001E-2</v>
      </c>
      <c r="M885" s="6">
        <v>9.2399999999999999E-3</v>
      </c>
      <c r="N885" s="6">
        <v>2.8000000000000001E-2</v>
      </c>
      <c r="O885" s="6">
        <v>9.2399999999999999E-3</v>
      </c>
      <c r="P885" s="6">
        <v>0</v>
      </c>
      <c r="Q885" s="4" t="s">
        <v>26</v>
      </c>
      <c r="R885" s="4">
        <v>0</v>
      </c>
      <c r="S885" s="4">
        <v>0</v>
      </c>
      <c r="T885" s="4">
        <v>54</v>
      </c>
      <c r="U885" s="4">
        <v>97</v>
      </c>
      <c r="V885" s="6">
        <f>IF(ISERROR(VLOOKUP($S$885,'TAR FIN'!$A$1:$O$116,15,0)),0,VLOOKUP($S$885,'TAR FIN'!$A$1:$O$116,15,0))</f>
        <v>0</v>
      </c>
      <c r="W885" s="6">
        <f>IF(ISERROR(VLOOKUP($T$885,'TAR FIN'!$A$1:$O$116,15,0)),0,VLOOKUP($T$885,'TAR FIN'!$A$1:$O$116,15,0))</f>
        <v>301.38</v>
      </c>
      <c r="X885" s="6">
        <f>IF(ISERROR(VLOOKUP($U$885,'TAR FIN'!$A$1:$O$116,15,0)),0,VLOOKUP($U$885,'TAR FIN'!$A$1:$O$116,15,0))</f>
        <v>287.29000000000002</v>
      </c>
      <c r="Y885" s="6"/>
      <c r="Z885" s="6">
        <f ca="1">('TUSD BE'!$AM$56+'TUSD BF'!$AM$56+'TUSD CVA'!$AM$56)*(1-CUSTOS!$M$38)</f>
        <v>410.57781128100521</v>
      </c>
      <c r="AA885" s="6">
        <f>('TE BE'!$AB$27+'TE BF'!$AB$27+'TE CVA'!$AB$27)*(1-CUSTOS!$M$38)</f>
        <v>309.85296222048811</v>
      </c>
      <c r="AB885" s="6">
        <f t="shared" si="48"/>
        <v>0</v>
      </c>
      <c r="AC885" s="6">
        <f>(L885-M885)*(W885+X885)+($W$597+$X$597-$W$885-$X$885)*(L885)</f>
        <v>13.291289200000001</v>
      </c>
      <c r="AD885" s="6">
        <f t="shared" si="49"/>
        <v>0</v>
      </c>
      <c r="AE885" s="6">
        <f ca="1">(L885-M885)*(Z885+AA885)+($Z$597+$AA$597-$Z$885-$AA$885)*(L885)</f>
        <v>14.802859714592811</v>
      </c>
      <c r="AF885" s="4" t="s">
        <v>1117</v>
      </c>
    </row>
    <row r="886" spans="1:32" ht="11.25" customHeight="1" x14ac:dyDescent="0.25">
      <c r="A886" s="4" t="s">
        <v>21</v>
      </c>
      <c r="B886" s="4" t="s">
        <v>44</v>
      </c>
      <c r="C886" s="4" t="s">
        <v>23</v>
      </c>
      <c r="D886" s="4" t="s">
        <v>45</v>
      </c>
      <c r="E886" s="4" t="s">
        <v>57</v>
      </c>
      <c r="F886" s="4" t="s">
        <v>56</v>
      </c>
      <c r="G886" s="4" t="s">
        <v>25</v>
      </c>
      <c r="H886" s="4" t="s">
        <v>25</v>
      </c>
      <c r="I886" s="5">
        <v>44593</v>
      </c>
      <c r="J886" s="6">
        <v>0</v>
      </c>
      <c r="K886" s="6">
        <v>0</v>
      </c>
      <c r="L886" s="6">
        <v>0.89300000000000002</v>
      </c>
      <c r="M886" s="6">
        <v>0.29469000000000001</v>
      </c>
      <c r="N886" s="6">
        <v>0.89300000000000002</v>
      </c>
      <c r="O886" s="6">
        <v>0.29469000000000001</v>
      </c>
      <c r="P886" s="6">
        <v>0</v>
      </c>
      <c r="Q886" s="4" t="s">
        <v>26</v>
      </c>
      <c r="R886" s="4">
        <v>0</v>
      </c>
      <c r="S886" s="4">
        <v>0</v>
      </c>
      <c r="T886" s="4">
        <v>54</v>
      </c>
      <c r="U886" s="4">
        <v>97</v>
      </c>
      <c r="V886" s="6">
        <f>IF(ISERROR(VLOOKUP($S$886,'TAR FIN'!$A$1:$O$116,15,0)),0,VLOOKUP($S$886,'TAR FIN'!$A$1:$O$116,15,0))</f>
        <v>0</v>
      </c>
      <c r="W886" s="6">
        <f>IF(ISERROR(VLOOKUP($T$886,'TAR FIN'!$A$1:$O$116,15,0)),0,VLOOKUP($T$886,'TAR FIN'!$A$1:$O$116,15,0))</f>
        <v>301.38</v>
      </c>
      <c r="X886" s="6">
        <f>IF(ISERROR(VLOOKUP($U$886,'TAR FIN'!$A$1:$O$116,15,0)),0,VLOOKUP($U$886,'TAR FIN'!$A$1:$O$116,15,0))</f>
        <v>287.29000000000002</v>
      </c>
      <c r="Y886" s="6"/>
      <c r="Z886" s="6">
        <f ca="1">('TUSD BE'!$AM$56+'TUSD BF'!$AM$56+'TUSD CVA'!$AM$56)*(1-CUSTOS!$M$38)</f>
        <v>410.57781128100521</v>
      </c>
      <c r="AA886" s="6">
        <f>('TE BE'!$AB$27+'TE BF'!$AB$27+'TE CVA'!$AB$27)*(1-CUSTOS!$M$38)</f>
        <v>309.85296222048811</v>
      </c>
      <c r="AB886" s="6">
        <f t="shared" si="48"/>
        <v>0</v>
      </c>
      <c r="AC886" s="6">
        <f>(L886-M886)*(W886+X886)+($W$597+$X$597-$W$886-$X$886)*(L886)</f>
        <v>423.89718770000007</v>
      </c>
      <c r="AD886" s="6">
        <f t="shared" si="49"/>
        <v>0</v>
      </c>
      <c r="AE886" s="6">
        <f ca="1">(L886-M886)*(Z886+AA886)+($Z$597+$AA$597-$Z$886-$AA$886)*(L886)</f>
        <v>472.10549018326361</v>
      </c>
      <c r="AF886" s="4" t="s">
        <v>1117</v>
      </c>
    </row>
    <row r="887" spans="1:32" ht="11.25" customHeight="1" x14ac:dyDescent="0.25">
      <c r="A887" s="4" t="s">
        <v>28</v>
      </c>
      <c r="B887" s="4" t="s">
        <v>44</v>
      </c>
      <c r="C887" s="4" t="s">
        <v>23</v>
      </c>
      <c r="D887" s="4" t="s">
        <v>45</v>
      </c>
      <c r="E887" s="4" t="s">
        <v>57</v>
      </c>
      <c r="F887" s="4" t="s">
        <v>56</v>
      </c>
      <c r="G887" s="4" t="s">
        <v>25</v>
      </c>
      <c r="H887" s="4" t="s">
        <v>25</v>
      </c>
      <c r="I887" s="5">
        <v>44593</v>
      </c>
      <c r="J887" s="6">
        <v>0</v>
      </c>
      <c r="K887" s="6">
        <v>0</v>
      </c>
      <c r="L887" s="6">
        <v>0.10299999999999999</v>
      </c>
      <c r="M887" s="6">
        <v>3.3989999999999999E-2</v>
      </c>
      <c r="N887" s="6">
        <v>0.10299999999999999</v>
      </c>
      <c r="O887" s="6">
        <v>3.3989999999999999E-2</v>
      </c>
      <c r="P887" s="6">
        <v>0</v>
      </c>
      <c r="Q887" s="4" t="s">
        <v>26</v>
      </c>
      <c r="R887" s="4">
        <v>0</v>
      </c>
      <c r="S887" s="4">
        <v>0</v>
      </c>
      <c r="T887" s="4">
        <v>54</v>
      </c>
      <c r="U887" s="4">
        <v>97</v>
      </c>
      <c r="V887" s="6">
        <f>IF(ISERROR(VLOOKUP($S$887,'TAR FIN'!$A$1:$O$116,15,0)),0,VLOOKUP($S$887,'TAR FIN'!$A$1:$O$116,15,0))</f>
        <v>0</v>
      </c>
      <c r="W887" s="6">
        <f>IF(ISERROR(VLOOKUP($T$887,'TAR FIN'!$A$1:$O$116,15,0)),0,VLOOKUP($T$887,'TAR FIN'!$A$1:$O$116,15,0))</f>
        <v>301.38</v>
      </c>
      <c r="X887" s="6">
        <f>IF(ISERROR(VLOOKUP($U$887,'TAR FIN'!$A$1:$O$116,15,0)),0,VLOOKUP($U$887,'TAR FIN'!$A$1:$O$116,15,0))</f>
        <v>287.29000000000002</v>
      </c>
      <c r="Y887" s="6"/>
      <c r="Z887" s="6">
        <f ca="1">('TUSD BE'!$AM$56+'TUSD BF'!$AM$56+'TUSD CVA'!$AM$56)*(1-CUSTOS!$M$38)</f>
        <v>410.57781128100521</v>
      </c>
      <c r="AA887" s="6">
        <f>('TE BE'!$AB$27+'TE BF'!$AB$27+'TE CVA'!$AB$27)*(1-CUSTOS!$M$38)</f>
        <v>309.85296222048811</v>
      </c>
      <c r="AB887" s="6">
        <f t="shared" si="48"/>
        <v>0</v>
      </c>
      <c r="AC887" s="6">
        <f>(L887-M887)*(W887+X887)+($W$597+$X$597-$W$887-$X$887)*(L887)</f>
        <v>48.892956699999999</v>
      </c>
      <c r="AD887" s="6">
        <f t="shared" si="49"/>
        <v>0</v>
      </c>
      <c r="AE887" s="6">
        <f ca="1">(L887-M887)*(Z887+AA887)+($Z$597+$AA$597-$Z$887-$AA$887)*(L887)</f>
        <v>54.45337680725212</v>
      </c>
      <c r="AF887" s="4" t="s">
        <v>1117</v>
      </c>
    </row>
    <row r="888" spans="1:32" ht="11.25" customHeight="1" x14ac:dyDescent="0.25">
      <c r="A888" s="4" t="s">
        <v>21</v>
      </c>
      <c r="B888" s="4" t="s">
        <v>44</v>
      </c>
      <c r="C888" s="4" t="s">
        <v>23</v>
      </c>
      <c r="D888" s="4" t="s">
        <v>45</v>
      </c>
      <c r="E888" s="4" t="s">
        <v>57</v>
      </c>
      <c r="F888" s="4" t="s">
        <v>56</v>
      </c>
      <c r="G888" s="4" t="s">
        <v>25</v>
      </c>
      <c r="H888" s="4" t="s">
        <v>25</v>
      </c>
      <c r="I888" s="5">
        <v>44621</v>
      </c>
      <c r="J888" s="6">
        <v>0</v>
      </c>
      <c r="K888" s="6">
        <v>0</v>
      </c>
      <c r="L888" s="6">
        <v>1.7450000000000001</v>
      </c>
      <c r="M888" s="6">
        <v>0.57584999999999997</v>
      </c>
      <c r="N888" s="6">
        <v>1.7450000000000001</v>
      </c>
      <c r="O888" s="6">
        <v>0.57584999999999997</v>
      </c>
      <c r="P888" s="6">
        <v>0</v>
      </c>
      <c r="Q888" s="4" t="s">
        <v>26</v>
      </c>
      <c r="R888" s="4">
        <v>0</v>
      </c>
      <c r="S888" s="4">
        <v>0</v>
      </c>
      <c r="T888" s="4">
        <v>54</v>
      </c>
      <c r="U888" s="4">
        <v>97</v>
      </c>
      <c r="V888" s="6">
        <f>IF(ISERROR(VLOOKUP($S$888,'TAR FIN'!$A$1:$O$116,15,0)),0,VLOOKUP($S$888,'TAR FIN'!$A$1:$O$116,15,0))</f>
        <v>0</v>
      </c>
      <c r="W888" s="6">
        <f>IF(ISERROR(VLOOKUP($T$888,'TAR FIN'!$A$1:$O$116,15,0)),0,VLOOKUP($T$888,'TAR FIN'!$A$1:$O$116,15,0))</f>
        <v>301.38</v>
      </c>
      <c r="X888" s="6">
        <f>IF(ISERROR(VLOOKUP($U$888,'TAR FIN'!$A$1:$O$116,15,0)),0,VLOOKUP($U$888,'TAR FIN'!$A$1:$O$116,15,0))</f>
        <v>287.29000000000002</v>
      </c>
      <c r="Y888" s="6"/>
      <c r="Z888" s="6">
        <f ca="1">('TUSD BE'!$AM$56+'TUSD BF'!$AM$56+'TUSD CVA'!$AM$56)*(1-CUSTOS!$M$38)</f>
        <v>410.57781128100521</v>
      </c>
      <c r="AA888" s="6">
        <f>('TE BE'!$AB$27+'TE BF'!$AB$27+'TE CVA'!$AB$27)*(1-CUSTOS!$M$38)</f>
        <v>309.85296222048811</v>
      </c>
      <c r="AB888" s="6">
        <f t="shared" si="48"/>
        <v>0</v>
      </c>
      <c r="AC888" s="6">
        <f>(L888-M888)*(W888+X888)+($W$597+$X$597-$W$888-$X$888)*(L888)</f>
        <v>828.33213050000018</v>
      </c>
      <c r="AD888" s="6">
        <f t="shared" si="49"/>
        <v>0</v>
      </c>
      <c r="AE888" s="6">
        <f ca="1">(L888-M888)*(Z888+AA888)+($Z$597+$AA$597-$Z$888-$AA$888)*(L888)</f>
        <v>922.53536435587353</v>
      </c>
      <c r="AF888" s="4" t="s">
        <v>1117</v>
      </c>
    </row>
    <row r="889" spans="1:32" ht="11.25" customHeight="1" x14ac:dyDescent="0.25">
      <c r="A889" s="4" t="s">
        <v>28</v>
      </c>
      <c r="B889" s="4" t="s">
        <v>44</v>
      </c>
      <c r="C889" s="4" t="s">
        <v>23</v>
      </c>
      <c r="D889" s="4" t="s">
        <v>45</v>
      </c>
      <c r="E889" s="4" t="s">
        <v>57</v>
      </c>
      <c r="F889" s="4" t="s">
        <v>56</v>
      </c>
      <c r="G889" s="4" t="s">
        <v>25</v>
      </c>
      <c r="H889" s="4" t="s">
        <v>25</v>
      </c>
      <c r="I889" s="5">
        <v>44621</v>
      </c>
      <c r="J889" s="6">
        <v>0</v>
      </c>
      <c r="K889" s="6">
        <v>0</v>
      </c>
      <c r="L889" s="6">
        <v>3.2000000000000001E-2</v>
      </c>
      <c r="M889" s="6">
        <v>1.056E-2</v>
      </c>
      <c r="N889" s="6">
        <v>3.2000000000000001E-2</v>
      </c>
      <c r="O889" s="6">
        <v>1.056E-2</v>
      </c>
      <c r="P889" s="6">
        <v>0</v>
      </c>
      <c r="Q889" s="4" t="s">
        <v>26</v>
      </c>
      <c r="R889" s="4">
        <v>0</v>
      </c>
      <c r="S889" s="4">
        <v>0</v>
      </c>
      <c r="T889" s="4">
        <v>54</v>
      </c>
      <c r="U889" s="4">
        <v>97</v>
      </c>
      <c r="V889" s="6">
        <f>IF(ISERROR(VLOOKUP($S$889,'TAR FIN'!$A$1:$O$116,15,0)),0,VLOOKUP($S$889,'TAR FIN'!$A$1:$O$116,15,0))</f>
        <v>0</v>
      </c>
      <c r="W889" s="6">
        <f>IF(ISERROR(VLOOKUP($T$889,'TAR FIN'!$A$1:$O$116,15,0)),0,VLOOKUP($T$889,'TAR FIN'!$A$1:$O$116,15,0))</f>
        <v>301.38</v>
      </c>
      <c r="X889" s="6">
        <f>IF(ISERROR(VLOOKUP($U$889,'TAR FIN'!$A$1:$O$116,15,0)),0,VLOOKUP($U$889,'TAR FIN'!$A$1:$O$116,15,0))</f>
        <v>287.29000000000002</v>
      </c>
      <c r="Y889" s="6"/>
      <c r="Z889" s="6">
        <f ca="1">('TUSD BE'!$AM$56+'TUSD BF'!$AM$56+'TUSD CVA'!$AM$56)*(1-CUSTOS!$M$38)</f>
        <v>410.57781128100521</v>
      </c>
      <c r="AA889" s="6">
        <f>('TE BE'!$AB$27+'TE BF'!$AB$27+'TE CVA'!$AB$27)*(1-CUSTOS!$M$38)</f>
        <v>309.85296222048811</v>
      </c>
      <c r="AB889" s="6">
        <f t="shared" si="48"/>
        <v>0</v>
      </c>
      <c r="AC889" s="6">
        <f>(L889-M889)*(W889+X889)+($W$597+$X$597-$W$889-$X$889)*(L889)</f>
        <v>15.190044800000003</v>
      </c>
      <c r="AD889" s="6">
        <f t="shared" si="49"/>
        <v>0</v>
      </c>
      <c r="AE889" s="6">
        <f ca="1">(L889-M889)*(Z889+AA889)+($Z$597+$AA$597-$Z$889-$AA$889)*(L889)</f>
        <v>16.917553959534644</v>
      </c>
      <c r="AF889" s="4" t="s">
        <v>1117</v>
      </c>
    </row>
    <row r="890" spans="1:32" ht="11.25" customHeight="1" x14ac:dyDescent="0.25">
      <c r="A890" s="4" t="s">
        <v>21</v>
      </c>
      <c r="B890" s="4" t="s">
        <v>44</v>
      </c>
      <c r="C890" s="4" t="s">
        <v>23</v>
      </c>
      <c r="D890" s="4" t="s">
        <v>45</v>
      </c>
      <c r="E890" s="4" t="s">
        <v>57</v>
      </c>
      <c r="F890" s="4" t="s">
        <v>56</v>
      </c>
      <c r="G890" s="4" t="s">
        <v>25</v>
      </c>
      <c r="H890" s="4" t="s">
        <v>25</v>
      </c>
      <c r="I890" s="5">
        <v>44652</v>
      </c>
      <c r="J890" s="6">
        <v>0</v>
      </c>
      <c r="K890" s="6">
        <v>0</v>
      </c>
      <c r="L890" s="6">
        <v>1.008</v>
      </c>
      <c r="M890" s="6">
        <v>0.33263999999999999</v>
      </c>
      <c r="N890" s="6">
        <v>1.008</v>
      </c>
      <c r="O890" s="6">
        <v>0.33263999999999999</v>
      </c>
      <c r="P890" s="6">
        <v>0</v>
      </c>
      <c r="Q890" s="4" t="s">
        <v>26</v>
      </c>
      <c r="R890" s="4">
        <v>0</v>
      </c>
      <c r="S890" s="4">
        <v>0</v>
      </c>
      <c r="T890" s="4">
        <v>54</v>
      </c>
      <c r="U890" s="4">
        <v>97</v>
      </c>
      <c r="V890" s="6">
        <f>IF(ISERROR(VLOOKUP($S$890,'TAR FIN'!$A$1:$O$116,15,0)),0,VLOOKUP($S$890,'TAR FIN'!$A$1:$O$116,15,0))</f>
        <v>0</v>
      </c>
      <c r="W890" s="6">
        <f>IF(ISERROR(VLOOKUP($T$890,'TAR FIN'!$A$1:$O$116,15,0)),0,VLOOKUP($T$890,'TAR FIN'!$A$1:$O$116,15,0))</f>
        <v>301.38</v>
      </c>
      <c r="X890" s="6">
        <f>IF(ISERROR(VLOOKUP($U$890,'TAR FIN'!$A$1:$O$116,15,0)),0,VLOOKUP($U$890,'TAR FIN'!$A$1:$O$116,15,0))</f>
        <v>287.29000000000002</v>
      </c>
      <c r="Y890" s="6"/>
      <c r="Z890" s="6">
        <f ca="1">('TUSD BE'!$AM$56+'TUSD BF'!$AM$56+'TUSD CVA'!$AM$56)*(1-CUSTOS!$M$38)</f>
        <v>410.57781128100521</v>
      </c>
      <c r="AA890" s="6">
        <f>('TE BE'!$AB$27+'TE BF'!$AB$27+'TE CVA'!$AB$27)*(1-CUSTOS!$M$38)</f>
        <v>309.85296222048811</v>
      </c>
      <c r="AB890" s="6">
        <f t="shared" si="48"/>
        <v>0</v>
      </c>
      <c r="AC890" s="6">
        <f>(L890-M890)*(W890+X890)+($W$597+$X$597-$W$890-$X$890)*(L890)</f>
        <v>478.48641120000008</v>
      </c>
      <c r="AD890" s="6">
        <f t="shared" si="49"/>
        <v>0</v>
      </c>
      <c r="AE890" s="6">
        <f ca="1">(L890-M890)*(Z890+AA890)+($Z$597+$AA$597-$Z$890-$AA$890)*(L890)</f>
        <v>532.90294972534127</v>
      </c>
      <c r="AF890" s="4" t="s">
        <v>1117</v>
      </c>
    </row>
    <row r="891" spans="1:32" ht="11.25" customHeight="1" x14ac:dyDescent="0.25">
      <c r="A891" s="4" t="s">
        <v>58</v>
      </c>
      <c r="B891" s="4" t="s">
        <v>44</v>
      </c>
      <c r="C891" s="4" t="s">
        <v>23</v>
      </c>
      <c r="D891" s="4" t="s">
        <v>45</v>
      </c>
      <c r="E891" s="4" t="s">
        <v>57</v>
      </c>
      <c r="F891" s="4" t="s">
        <v>56</v>
      </c>
      <c r="G891" s="4" t="s">
        <v>25</v>
      </c>
      <c r="H891" s="4" t="s">
        <v>25</v>
      </c>
      <c r="I891" s="5">
        <v>44682</v>
      </c>
      <c r="J891" s="6">
        <v>0</v>
      </c>
      <c r="K891" s="6">
        <v>0</v>
      </c>
      <c r="L891" s="6">
        <v>1.008</v>
      </c>
      <c r="M891" s="6">
        <v>0.33263999999999999</v>
      </c>
      <c r="N891" s="6">
        <v>1.008</v>
      </c>
      <c r="O891" s="6">
        <v>0.33263999999999999</v>
      </c>
      <c r="P891" s="6">
        <v>0</v>
      </c>
      <c r="Q891" s="4" t="s">
        <v>26</v>
      </c>
      <c r="R891" s="4">
        <v>0</v>
      </c>
      <c r="S891" s="4">
        <v>0</v>
      </c>
      <c r="T891" s="4">
        <v>54</v>
      </c>
      <c r="U891" s="4">
        <v>97</v>
      </c>
      <c r="V891" s="6">
        <f>IF(ISERROR(VLOOKUP($S$891,'TAR FIN'!$A$1:$O$116,15,0)),0,VLOOKUP($S$891,'TAR FIN'!$A$1:$O$116,15,0))</f>
        <v>0</v>
      </c>
      <c r="W891" s="6">
        <f>IF(ISERROR(VLOOKUP($T$891,'TAR FIN'!$A$1:$O$116,15,0)),0,VLOOKUP($T$891,'TAR FIN'!$A$1:$O$116,15,0))</f>
        <v>301.38</v>
      </c>
      <c r="X891" s="6">
        <f>IF(ISERROR(VLOOKUP($U$891,'TAR FIN'!$A$1:$O$116,15,0)),0,VLOOKUP($U$891,'TAR FIN'!$A$1:$O$116,15,0))</f>
        <v>287.29000000000002</v>
      </c>
      <c r="Y891" s="6"/>
      <c r="Z891" s="6">
        <f ca="1">('TUSD BE'!$AM$56+'TUSD BF'!$AM$56+'TUSD CVA'!$AM$56)*(1-CUSTOS!$M$38)</f>
        <v>410.57781128100521</v>
      </c>
      <c r="AA891" s="6">
        <f>('TE BE'!$AB$27+'TE BF'!$AB$27+'TE CVA'!$AB$27)*(1-CUSTOS!$M$38)</f>
        <v>309.85296222048811</v>
      </c>
      <c r="AB891" s="6">
        <f t="shared" si="48"/>
        <v>0</v>
      </c>
      <c r="AC891" s="6">
        <f>(L891-M891)*(W891+X891)+($W$597+$X$597-$W$891-$X$891)*(L891)</f>
        <v>478.48641120000008</v>
      </c>
      <c r="AD891" s="6">
        <f t="shared" si="49"/>
        <v>0</v>
      </c>
      <c r="AE891" s="6">
        <f ca="1">(L891-M891)*(Z891+AA891)+($Z$597+$AA$597-$Z$891-$AA$891)*(L891)</f>
        <v>532.90294972534127</v>
      </c>
      <c r="AF891" s="4" t="s">
        <v>1117</v>
      </c>
    </row>
    <row r="892" spans="1:32" ht="11.25" customHeight="1" x14ac:dyDescent="0.25">
      <c r="A892" s="4" t="s">
        <v>21</v>
      </c>
      <c r="B892" s="4" t="s">
        <v>44</v>
      </c>
      <c r="C892" s="4" t="s">
        <v>23</v>
      </c>
      <c r="D892" s="4" t="s">
        <v>45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44348</v>
      </c>
      <c r="J892" s="6">
        <v>0</v>
      </c>
      <c r="K892" s="6">
        <v>0</v>
      </c>
      <c r="L892" s="6">
        <v>14813.543</v>
      </c>
      <c r="M892" s="6">
        <v>14813.543</v>
      </c>
      <c r="N892" s="6">
        <v>14813.543</v>
      </c>
      <c r="O892" s="6">
        <v>14813.543</v>
      </c>
      <c r="P892" s="6">
        <v>70360</v>
      </c>
      <c r="Q892" s="4" t="s">
        <v>26</v>
      </c>
      <c r="R892" s="4">
        <v>0</v>
      </c>
      <c r="S892" s="4">
        <v>0</v>
      </c>
      <c r="T892" s="4">
        <v>54</v>
      </c>
      <c r="U892" s="4">
        <v>97</v>
      </c>
      <c r="V892" s="6">
        <f>IF(ISERROR(VLOOKUP($S$892,'TAR FIN'!$A$1:$O$116,15,0)),0,VLOOKUP($S$892,'TAR FIN'!$A$1:$O$116,15,0))</f>
        <v>0</v>
      </c>
      <c r="W892" s="6">
        <f>IF(ISERROR(VLOOKUP($T$892,'TAR FIN'!$A$1:$O$116,15,0)),0,VLOOKUP($T$892,'TAR FIN'!$A$1:$O$116,15,0))</f>
        <v>301.38</v>
      </c>
      <c r="X892" s="6">
        <f>IF(ISERROR(VLOOKUP($U$892,'TAR FIN'!$A$1:$O$116,15,0)),0,VLOOKUP($U$892,'TAR FIN'!$A$1:$O$116,15,0))</f>
        <v>287.29000000000002</v>
      </c>
      <c r="Y892" s="6"/>
      <c r="Z892" s="6">
        <f ca="1">('TUSD BE'!$AM$56+'TUSD BF'!$AM$56+'TUSD CVA'!$AM$56)*(1-CUSTOS!$M$38)</f>
        <v>410.57781128100521</v>
      </c>
      <c r="AA892" s="6">
        <f>('TE BE'!$AB$27+'TE BF'!$AB$27+'TE CVA'!$AB$27)*(1-CUSTOS!$M$38)</f>
        <v>309.85296222048811</v>
      </c>
      <c r="AB892" s="6">
        <f t="shared" si="48"/>
        <v>0</v>
      </c>
      <c r="AC892" s="6">
        <f>(L892-M892)*(W892+X892)+($W$597+$X$597-$W$892-$X$892)*(L892)</f>
        <v>1189231.2320400004</v>
      </c>
      <c r="AD892" s="6">
        <f t="shared" si="49"/>
        <v>0</v>
      </c>
      <c r="AE892" s="6">
        <f ca="1">(L892-M892)*(Z892+AA892)+($Z$597+$AA$597-$Z$892-$AA$892)*(L892)</f>
        <v>681199.93032686994</v>
      </c>
      <c r="AF892" s="4" t="s">
        <v>1114</v>
      </c>
    </row>
    <row r="893" spans="1:32" ht="11.25" customHeight="1" x14ac:dyDescent="0.25">
      <c r="A893" s="4" t="s">
        <v>27</v>
      </c>
      <c r="B893" s="4" t="s">
        <v>44</v>
      </c>
      <c r="C893" s="4" t="s">
        <v>23</v>
      </c>
      <c r="D893" s="4" t="s">
        <v>45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44348</v>
      </c>
      <c r="J893" s="6">
        <v>0</v>
      </c>
      <c r="K893" s="6">
        <v>0</v>
      </c>
      <c r="L893" s="6">
        <v>-56.155000000000001</v>
      </c>
      <c r="M893" s="6">
        <v>-56.155000000000001</v>
      </c>
      <c r="N893" s="6">
        <v>-56.155000000000001</v>
      </c>
      <c r="O893" s="6">
        <v>-56.155000000000001</v>
      </c>
      <c r="P893" s="6">
        <v>-1</v>
      </c>
      <c r="Q893" s="4" t="s">
        <v>26</v>
      </c>
      <c r="R893" s="4">
        <v>0</v>
      </c>
      <c r="S893" s="4">
        <v>0</v>
      </c>
      <c r="T893" s="4">
        <v>54</v>
      </c>
      <c r="U893" s="4">
        <v>97</v>
      </c>
      <c r="V893" s="6">
        <f>IF(ISERROR(VLOOKUP($S$893,'TAR FIN'!$A$1:$O$116,15,0)),0,VLOOKUP($S$893,'TAR FIN'!$A$1:$O$116,15,0))</f>
        <v>0</v>
      </c>
      <c r="W893" s="6">
        <f>IF(ISERROR(VLOOKUP($T$893,'TAR FIN'!$A$1:$O$116,15,0)),0,VLOOKUP($T$893,'TAR FIN'!$A$1:$O$116,15,0))</f>
        <v>301.38</v>
      </c>
      <c r="X893" s="6">
        <f>IF(ISERROR(VLOOKUP($U$893,'TAR FIN'!$A$1:$O$116,15,0)),0,VLOOKUP($U$893,'TAR FIN'!$A$1:$O$116,15,0))</f>
        <v>287.29000000000002</v>
      </c>
      <c r="Y893" s="6"/>
      <c r="Z893" s="6">
        <f ca="1">('TUSD BE'!$AM$56+'TUSD BF'!$AM$56+'TUSD CVA'!$AM$56)*(1-CUSTOS!$M$38)</f>
        <v>410.57781128100521</v>
      </c>
      <c r="AA893" s="6">
        <f>('TE BE'!$AB$27+'TE BF'!$AB$27+'TE CVA'!$AB$27)*(1-CUSTOS!$M$38)</f>
        <v>309.85296222048811</v>
      </c>
      <c r="AB893" s="6">
        <f t="shared" si="48"/>
        <v>0</v>
      </c>
      <c r="AC893" s="6">
        <f>(L893-M893)*(W893+X893)+($W$597+$X$597-$W$893-$X$893)*(L893)</f>
        <v>-4508.1234000000013</v>
      </c>
      <c r="AD893" s="6">
        <f t="shared" si="49"/>
        <v>0</v>
      </c>
      <c r="AE893" s="6">
        <f ca="1">(L893-M893)*(Z893+AA893)+($Z$597+$AA$597-$Z$893-$AA$893)*(L893)</f>
        <v>-2582.2844735729586</v>
      </c>
      <c r="AF893" s="4" t="s">
        <v>1114</v>
      </c>
    </row>
    <row r="894" spans="1:32" ht="11.25" customHeight="1" x14ac:dyDescent="0.25">
      <c r="A894" s="4" t="s">
        <v>28</v>
      </c>
      <c r="B894" s="4" t="s">
        <v>44</v>
      </c>
      <c r="C894" s="4" t="s">
        <v>23</v>
      </c>
      <c r="D894" s="4" t="s">
        <v>45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44348</v>
      </c>
      <c r="J894" s="6">
        <v>0</v>
      </c>
      <c r="K894" s="6">
        <v>0</v>
      </c>
      <c r="L894" s="6">
        <v>658.303</v>
      </c>
      <c r="M894" s="6">
        <v>658.303</v>
      </c>
      <c r="N894" s="6">
        <v>658.303</v>
      </c>
      <c r="O894" s="6">
        <v>658.303</v>
      </c>
      <c r="P894" s="6">
        <v>1878</v>
      </c>
      <c r="Q894" s="4" t="s">
        <v>26</v>
      </c>
      <c r="R894" s="4">
        <v>0</v>
      </c>
      <c r="S894" s="4">
        <v>0</v>
      </c>
      <c r="T894" s="4">
        <v>54</v>
      </c>
      <c r="U894" s="4">
        <v>97</v>
      </c>
      <c r="V894" s="6">
        <f>IF(ISERROR(VLOOKUP($S$894,'TAR FIN'!$A$1:$O$116,15,0)),0,VLOOKUP($S$894,'TAR FIN'!$A$1:$O$116,15,0))</f>
        <v>0</v>
      </c>
      <c r="W894" s="6">
        <f>IF(ISERROR(VLOOKUP($T$894,'TAR FIN'!$A$1:$O$116,15,0)),0,VLOOKUP($T$894,'TAR FIN'!$A$1:$O$116,15,0))</f>
        <v>301.38</v>
      </c>
      <c r="X894" s="6">
        <f>IF(ISERROR(VLOOKUP($U$894,'TAR FIN'!$A$1:$O$116,15,0)),0,VLOOKUP($U$894,'TAR FIN'!$A$1:$O$116,15,0))</f>
        <v>287.29000000000002</v>
      </c>
      <c r="Y894" s="6"/>
      <c r="Z894" s="6">
        <f ca="1">('TUSD BE'!$AM$56+'TUSD BF'!$AM$56+'TUSD CVA'!$AM$56)*(1-CUSTOS!$M$38)</f>
        <v>410.57781128100521</v>
      </c>
      <c r="AA894" s="6">
        <f>('TE BE'!$AB$27+'TE BF'!$AB$27+'TE CVA'!$AB$27)*(1-CUSTOS!$M$38)</f>
        <v>309.85296222048811</v>
      </c>
      <c r="AB894" s="6">
        <f t="shared" si="48"/>
        <v>0</v>
      </c>
      <c r="AC894" s="6">
        <f>(L894-M894)*(W894+X894)+($W$597+$X$597-$W$894-$X$894)*(L894)</f>
        <v>52848.564840000021</v>
      </c>
      <c r="AD894" s="6">
        <f t="shared" si="49"/>
        <v>0</v>
      </c>
      <c r="AE894" s="6">
        <f ca="1">(L894-M894)*(Z894+AA894)+($Z$597+$AA$597-$Z$894-$AA$894)*(L894)</f>
        <v>30272.025924788519</v>
      </c>
      <c r="AF894" s="4" t="s">
        <v>1114</v>
      </c>
    </row>
    <row r="895" spans="1:32" ht="11.25" customHeight="1" x14ac:dyDescent="0.25">
      <c r="A895" s="4" t="s">
        <v>28</v>
      </c>
      <c r="B895" s="4" t="s">
        <v>44</v>
      </c>
      <c r="C895" s="4" t="s">
        <v>23</v>
      </c>
      <c r="D895" s="4" t="s">
        <v>45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44348</v>
      </c>
      <c r="J895" s="6">
        <v>0</v>
      </c>
      <c r="K895" s="6">
        <v>0</v>
      </c>
      <c r="L895" s="6">
        <v>-18.38</v>
      </c>
      <c r="M895" s="6">
        <v>-18.38</v>
      </c>
      <c r="N895" s="6">
        <v>-18.38</v>
      </c>
      <c r="O895" s="6">
        <v>-18.38</v>
      </c>
      <c r="P895" s="6">
        <v>0</v>
      </c>
      <c r="Q895" s="4" t="s">
        <v>26</v>
      </c>
      <c r="R895" s="4">
        <v>0</v>
      </c>
      <c r="S895" s="4">
        <v>0</v>
      </c>
      <c r="T895" s="4">
        <v>54</v>
      </c>
      <c r="U895" s="4">
        <v>97</v>
      </c>
      <c r="V895" s="6">
        <f>IF(ISERROR(VLOOKUP($S$895,'TAR FIN'!$A$1:$O$116,15,0)),0,VLOOKUP($S$895,'TAR FIN'!$A$1:$O$116,15,0))</f>
        <v>0</v>
      </c>
      <c r="W895" s="6">
        <f>IF(ISERROR(VLOOKUP($T$895,'TAR FIN'!$A$1:$O$116,15,0)),0,VLOOKUP($T$895,'TAR FIN'!$A$1:$O$116,15,0))</f>
        <v>301.38</v>
      </c>
      <c r="X895" s="6">
        <f>IF(ISERROR(VLOOKUP($U$895,'TAR FIN'!$A$1:$O$116,15,0)),0,VLOOKUP($U$895,'TAR FIN'!$A$1:$O$116,15,0))</f>
        <v>287.29000000000002</v>
      </c>
      <c r="Y895" s="6"/>
      <c r="Z895" s="6">
        <f ca="1">('TUSD BE'!$AM$56+'TUSD BF'!$AM$56+'TUSD CVA'!$AM$56)*(1-CUSTOS!$M$38)</f>
        <v>410.57781128100521</v>
      </c>
      <c r="AA895" s="6">
        <f>('TE BE'!$AB$27+'TE BF'!$AB$27+'TE CVA'!$AB$27)*(1-CUSTOS!$M$38)</f>
        <v>309.85296222048811</v>
      </c>
      <c r="AB895" s="6">
        <f t="shared" si="48"/>
        <v>0</v>
      </c>
      <c r="AC895" s="6">
        <f>(L895-M895)*(W895+X895)+($W$597+$X$597-$W$895-$X$895)*(L895)</f>
        <v>-1475.5464000000004</v>
      </c>
      <c r="AD895" s="6">
        <f t="shared" si="49"/>
        <v>0</v>
      </c>
      <c r="AE895" s="6">
        <f ca="1">(L895-M895)*(Z895+AA895)+($Z$597+$AA$597-$Z$895-$AA$895)*(L895)</f>
        <v>-845.20325214621982</v>
      </c>
      <c r="AF895" s="4" t="s">
        <v>1114</v>
      </c>
    </row>
    <row r="896" spans="1:32" ht="11.25" customHeight="1" x14ac:dyDescent="0.25">
      <c r="A896" s="4" t="s">
        <v>21</v>
      </c>
      <c r="B896" s="4" t="s">
        <v>44</v>
      </c>
      <c r="C896" s="4" t="s">
        <v>23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44378</v>
      </c>
      <c r="J896" s="6">
        <v>0</v>
      </c>
      <c r="K896" s="6">
        <v>0</v>
      </c>
      <c r="L896" s="6">
        <v>14538.329</v>
      </c>
      <c r="M896" s="6">
        <v>14538.329</v>
      </c>
      <c r="N896" s="6">
        <v>14538.329</v>
      </c>
      <c r="O896" s="6">
        <v>14538.329</v>
      </c>
      <c r="P896" s="6">
        <v>70338</v>
      </c>
      <c r="Q896" s="4" t="s">
        <v>26</v>
      </c>
      <c r="R896" s="4">
        <v>0</v>
      </c>
      <c r="S896" s="4">
        <v>0</v>
      </c>
      <c r="T896" s="4">
        <v>54</v>
      </c>
      <c r="U896" s="4">
        <v>97</v>
      </c>
      <c r="V896" s="6">
        <f>IF(ISERROR(VLOOKUP($S$896,'TAR FIN'!$A$1:$O$116,15,0)),0,VLOOKUP($S$896,'TAR FIN'!$A$1:$O$116,15,0))</f>
        <v>0</v>
      </c>
      <c r="W896" s="6">
        <f>IF(ISERROR(VLOOKUP($T$896,'TAR FIN'!$A$1:$O$116,15,0)),0,VLOOKUP($T$896,'TAR FIN'!$A$1:$O$116,15,0))</f>
        <v>301.38</v>
      </c>
      <c r="X896" s="6">
        <f>IF(ISERROR(VLOOKUP($U$896,'TAR FIN'!$A$1:$O$116,15,0)),0,VLOOKUP($U$896,'TAR FIN'!$A$1:$O$116,15,0))</f>
        <v>287.29000000000002</v>
      </c>
      <c r="Y896" s="6"/>
      <c r="Z896" s="6">
        <f ca="1">('TUSD BE'!$AM$56+'TUSD BF'!$AM$56+'TUSD CVA'!$AM$56)*(1-CUSTOS!$M$38)</f>
        <v>410.57781128100521</v>
      </c>
      <c r="AA896" s="6">
        <f>('TE BE'!$AB$27+'TE BF'!$AB$27+'TE CVA'!$AB$27)*(1-CUSTOS!$M$38)</f>
        <v>309.85296222048811</v>
      </c>
      <c r="AB896" s="6">
        <f t="shared" si="48"/>
        <v>0</v>
      </c>
      <c r="AC896" s="6">
        <f>(L896-M896)*(W896+X896)+($W$597+$X$597-$W$896-$X$896)*(L896)</f>
        <v>1167137.0521200004</v>
      </c>
      <c r="AD896" s="6">
        <f t="shared" si="49"/>
        <v>0</v>
      </c>
      <c r="AE896" s="6">
        <f ca="1">(L896-M896)*(Z896+AA896)+($Z$597+$AA$597-$Z$896-$AA$896)*(L896)</f>
        <v>668544.23022696958</v>
      </c>
      <c r="AF896" s="4" t="s">
        <v>1114</v>
      </c>
    </row>
    <row r="897" spans="1:32" ht="11.25" customHeight="1" x14ac:dyDescent="0.25">
      <c r="A897" s="4" t="s">
        <v>27</v>
      </c>
      <c r="B897" s="4" t="s">
        <v>44</v>
      </c>
      <c r="C897" s="4" t="s">
        <v>23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44378</v>
      </c>
      <c r="J897" s="6">
        <v>0</v>
      </c>
      <c r="K897" s="6">
        <v>0</v>
      </c>
      <c r="L897" s="6">
        <v>-37.585999999999999</v>
      </c>
      <c r="M897" s="6">
        <v>-37.585999999999999</v>
      </c>
      <c r="N897" s="6">
        <v>-37.585999999999999</v>
      </c>
      <c r="O897" s="6">
        <v>-37.585999999999999</v>
      </c>
      <c r="P897" s="6">
        <v>-1</v>
      </c>
      <c r="Q897" s="4" t="s">
        <v>26</v>
      </c>
      <c r="R897" s="4">
        <v>0</v>
      </c>
      <c r="S897" s="4">
        <v>0</v>
      </c>
      <c r="T897" s="4">
        <v>54</v>
      </c>
      <c r="U897" s="4">
        <v>97</v>
      </c>
      <c r="V897" s="6">
        <f>IF(ISERROR(VLOOKUP($S$897,'TAR FIN'!$A$1:$O$116,15,0)),0,VLOOKUP($S$897,'TAR FIN'!$A$1:$O$116,15,0))</f>
        <v>0</v>
      </c>
      <c r="W897" s="6">
        <f>IF(ISERROR(VLOOKUP($T$897,'TAR FIN'!$A$1:$O$116,15,0)),0,VLOOKUP($T$897,'TAR FIN'!$A$1:$O$116,15,0))</f>
        <v>301.38</v>
      </c>
      <c r="X897" s="6">
        <f>IF(ISERROR(VLOOKUP($U$897,'TAR FIN'!$A$1:$O$116,15,0)),0,VLOOKUP($U$897,'TAR FIN'!$A$1:$O$116,15,0))</f>
        <v>287.29000000000002</v>
      </c>
      <c r="Y897" s="6"/>
      <c r="Z897" s="6">
        <f ca="1">('TUSD BE'!$AM$56+'TUSD BF'!$AM$56+'TUSD CVA'!$AM$56)*(1-CUSTOS!$M$38)</f>
        <v>410.57781128100521</v>
      </c>
      <c r="AA897" s="6">
        <f>('TE BE'!$AB$27+'TE BF'!$AB$27+'TE CVA'!$AB$27)*(1-CUSTOS!$M$38)</f>
        <v>309.85296222048811</v>
      </c>
      <c r="AB897" s="6">
        <f t="shared" si="48"/>
        <v>0</v>
      </c>
      <c r="AC897" s="6">
        <f>(L897-M897)*(W897+X897)+($W$597+$X$597-$W$897-$X$897)*(L897)</f>
        <v>-3017.4040800000012</v>
      </c>
      <c r="AD897" s="6">
        <f t="shared" si="49"/>
        <v>0</v>
      </c>
      <c r="AE897" s="6">
        <f ca="1">(L897-M897)*(Z897+AA897)+($Z$597+$AA$597-$Z$897-$AA$897)*(L897)</f>
        <v>-1728.3900672017312</v>
      </c>
      <c r="AF897" s="4" t="s">
        <v>1114</v>
      </c>
    </row>
    <row r="898" spans="1:32" ht="11.25" customHeight="1" x14ac:dyDescent="0.25">
      <c r="A898" s="4" t="s">
        <v>28</v>
      </c>
      <c r="B898" s="4" t="s">
        <v>44</v>
      </c>
      <c r="C898" s="4" t="s">
        <v>23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44378</v>
      </c>
      <c r="J898" s="6">
        <v>0</v>
      </c>
      <c r="K898" s="6">
        <v>0</v>
      </c>
      <c r="L898" s="6">
        <v>676.66600000000005</v>
      </c>
      <c r="M898" s="6">
        <v>676.66600000000005</v>
      </c>
      <c r="N898" s="6">
        <v>676.66600000000005</v>
      </c>
      <c r="O898" s="6">
        <v>676.66600000000005</v>
      </c>
      <c r="P898" s="6">
        <v>2040</v>
      </c>
      <c r="Q898" s="4" t="s">
        <v>26</v>
      </c>
      <c r="R898" s="4">
        <v>0</v>
      </c>
      <c r="S898" s="4">
        <v>0</v>
      </c>
      <c r="T898" s="4">
        <v>54</v>
      </c>
      <c r="U898" s="4">
        <v>97</v>
      </c>
      <c r="V898" s="6">
        <f>IF(ISERROR(VLOOKUP($S$898,'TAR FIN'!$A$1:$O$116,15,0)),0,VLOOKUP($S$898,'TAR FIN'!$A$1:$O$116,15,0))</f>
        <v>0</v>
      </c>
      <c r="W898" s="6">
        <f>IF(ISERROR(VLOOKUP($T$898,'TAR FIN'!$A$1:$O$116,15,0)),0,VLOOKUP($T$898,'TAR FIN'!$A$1:$O$116,15,0))</f>
        <v>301.38</v>
      </c>
      <c r="X898" s="6">
        <f>IF(ISERROR(VLOOKUP($U$898,'TAR FIN'!$A$1:$O$116,15,0)),0,VLOOKUP($U$898,'TAR FIN'!$A$1:$O$116,15,0))</f>
        <v>287.29000000000002</v>
      </c>
      <c r="Y898" s="6"/>
      <c r="Z898" s="6">
        <f ca="1">('TUSD BE'!$AM$56+'TUSD BF'!$AM$56+'TUSD CVA'!$AM$56)*(1-CUSTOS!$M$38)</f>
        <v>410.57781128100521</v>
      </c>
      <c r="AA898" s="6">
        <f>('TE BE'!$AB$27+'TE BF'!$AB$27+'TE CVA'!$AB$27)*(1-CUSTOS!$M$38)</f>
        <v>309.85296222048811</v>
      </c>
      <c r="AB898" s="6">
        <f t="shared" ref="AB898:AB939" si="50">(J898-K898)*V898</f>
        <v>0</v>
      </c>
      <c r="AC898" s="6">
        <f>(L898-M898)*(W898+X898)+($W$597+$X$597-$W$898-$X$898)*(L898)</f>
        <v>54322.746480000023</v>
      </c>
      <c r="AD898" s="6">
        <f t="shared" ref="AD898:AD939" si="51">(J898-K898)*Y898</f>
        <v>0</v>
      </c>
      <c r="AE898" s="6">
        <f ca="1">(L898-M898)*(Z898+AA898)+($Z$597+$AA$597-$Z$898-$AA$898)*(L898)</f>
        <v>31116.447432903919</v>
      </c>
      <c r="AF898" s="4" t="s">
        <v>1114</v>
      </c>
    </row>
    <row r="899" spans="1:32" ht="11.25" customHeight="1" x14ac:dyDescent="0.25">
      <c r="A899" s="4" t="s">
        <v>28</v>
      </c>
      <c r="B899" s="4" t="s">
        <v>44</v>
      </c>
      <c r="C899" s="4" t="s">
        <v>23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44378</v>
      </c>
      <c r="J899" s="6">
        <v>0</v>
      </c>
      <c r="K899" s="6">
        <v>0</v>
      </c>
      <c r="L899" s="6">
        <v>-50.750999999999998</v>
      </c>
      <c r="M899" s="6">
        <v>-50.750999999999998</v>
      </c>
      <c r="N899" s="6">
        <v>-50.750999999999998</v>
      </c>
      <c r="O899" s="6">
        <v>-50.750999999999998</v>
      </c>
      <c r="P899" s="6">
        <v>0</v>
      </c>
      <c r="Q899" s="4" t="s">
        <v>26</v>
      </c>
      <c r="R899" s="4">
        <v>0</v>
      </c>
      <c r="S899" s="4">
        <v>0</v>
      </c>
      <c r="T899" s="4">
        <v>54</v>
      </c>
      <c r="U899" s="4">
        <v>97</v>
      </c>
      <c r="V899" s="6">
        <f>IF(ISERROR(VLOOKUP($S$899,'TAR FIN'!$A$1:$O$116,15,0)),0,VLOOKUP($S$899,'TAR FIN'!$A$1:$O$116,15,0))</f>
        <v>0</v>
      </c>
      <c r="W899" s="6">
        <f>IF(ISERROR(VLOOKUP($T$899,'TAR FIN'!$A$1:$O$116,15,0)),0,VLOOKUP($T$899,'TAR FIN'!$A$1:$O$116,15,0))</f>
        <v>301.38</v>
      </c>
      <c r="X899" s="6">
        <f>IF(ISERROR(VLOOKUP($U$899,'TAR FIN'!$A$1:$O$116,15,0)),0,VLOOKUP($U$899,'TAR FIN'!$A$1:$O$116,15,0))</f>
        <v>287.29000000000002</v>
      </c>
      <c r="Y899" s="6"/>
      <c r="Z899" s="6">
        <f ca="1">('TUSD BE'!$AM$56+'TUSD BF'!$AM$56+'TUSD CVA'!$AM$56)*(1-CUSTOS!$M$38)</f>
        <v>410.57781128100521</v>
      </c>
      <c r="AA899" s="6">
        <f>('TE BE'!$AB$27+'TE BF'!$AB$27+'TE CVA'!$AB$27)*(1-CUSTOS!$M$38)</f>
        <v>309.85296222048811</v>
      </c>
      <c r="AB899" s="6">
        <f t="shared" si="50"/>
        <v>0</v>
      </c>
      <c r="AC899" s="6">
        <f>(L899-M899)*(W899+X899)+($W$597+$X$597-$W$899-$X$899)*(L899)</f>
        <v>-4074.2902800000015</v>
      </c>
      <c r="AD899" s="6">
        <f t="shared" si="51"/>
        <v>0</v>
      </c>
      <c r="AE899" s="6">
        <f ca="1">(L899-M899)*(Z899+AA899)+($Z$597+$AA$597-$Z$899-$AA$899)*(L899)</f>
        <v>-2333.7818416579325</v>
      </c>
      <c r="AF899" s="4" t="s">
        <v>1114</v>
      </c>
    </row>
    <row r="900" spans="1:32" ht="11.25" customHeight="1" x14ac:dyDescent="0.25">
      <c r="A900" s="4" t="s">
        <v>21</v>
      </c>
      <c r="B900" s="4" t="s">
        <v>44</v>
      </c>
      <c r="C900" s="4" t="s">
        <v>23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44409</v>
      </c>
      <c r="J900" s="6">
        <v>0</v>
      </c>
      <c r="K900" s="6">
        <v>0</v>
      </c>
      <c r="L900" s="6">
        <v>14118.491</v>
      </c>
      <c r="M900" s="6">
        <v>14118.491</v>
      </c>
      <c r="N900" s="6">
        <v>14118.491</v>
      </c>
      <c r="O900" s="6">
        <v>14118.491</v>
      </c>
      <c r="P900" s="6">
        <v>70098</v>
      </c>
      <c r="Q900" s="4" t="s">
        <v>26</v>
      </c>
      <c r="R900" s="4">
        <v>0</v>
      </c>
      <c r="S900" s="4">
        <v>0</v>
      </c>
      <c r="T900" s="4">
        <v>54</v>
      </c>
      <c r="U900" s="4">
        <v>97</v>
      </c>
      <c r="V900" s="6">
        <f>IF(ISERROR(VLOOKUP($S$900,'TAR FIN'!$A$1:$O$116,15,0)),0,VLOOKUP($S$900,'TAR FIN'!$A$1:$O$116,15,0))</f>
        <v>0</v>
      </c>
      <c r="W900" s="6">
        <f>IF(ISERROR(VLOOKUP($T$900,'TAR FIN'!$A$1:$O$116,15,0)),0,VLOOKUP($T$900,'TAR FIN'!$A$1:$O$116,15,0))</f>
        <v>301.38</v>
      </c>
      <c r="X900" s="6">
        <f>IF(ISERROR(VLOOKUP($U$900,'TAR FIN'!$A$1:$O$116,15,0)),0,VLOOKUP($U$900,'TAR FIN'!$A$1:$O$116,15,0))</f>
        <v>287.29000000000002</v>
      </c>
      <c r="Y900" s="6"/>
      <c r="Z900" s="6">
        <f ca="1">('TUSD BE'!$AM$56+'TUSD BF'!$AM$56+'TUSD CVA'!$AM$56)*(1-CUSTOS!$M$38)</f>
        <v>410.57781128100521</v>
      </c>
      <c r="AA900" s="6">
        <f>('TE BE'!$AB$27+'TE BF'!$AB$27+'TE CVA'!$AB$27)*(1-CUSTOS!$M$38)</f>
        <v>309.85296222048811</v>
      </c>
      <c r="AB900" s="6">
        <f t="shared" si="50"/>
        <v>0</v>
      </c>
      <c r="AC900" s="6">
        <f>(L900-M900)*(W900+X900)+($W$597+$X$597-$W$900-$X$900)*(L900)</f>
        <v>1133432.4574800003</v>
      </c>
      <c r="AD900" s="6">
        <f t="shared" si="51"/>
        <v>0</v>
      </c>
      <c r="AE900" s="6">
        <f ca="1">(L900-M900)*(Z900+AA900)+($Z$597+$AA$597-$Z$900-$AA$900)*(L900)</f>
        <v>649238.00373216195</v>
      </c>
      <c r="AF900" s="4" t="s">
        <v>1114</v>
      </c>
    </row>
    <row r="901" spans="1:32" ht="11.25" customHeight="1" x14ac:dyDescent="0.25">
      <c r="A901" s="4" t="s">
        <v>27</v>
      </c>
      <c r="B901" s="4" t="s">
        <v>44</v>
      </c>
      <c r="C901" s="4" t="s">
        <v>23</v>
      </c>
      <c r="D901" s="4" t="s">
        <v>45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-38.347000000000001</v>
      </c>
      <c r="M901" s="6">
        <v>-38.347000000000001</v>
      </c>
      <c r="N901" s="6">
        <v>-38.347000000000001</v>
      </c>
      <c r="O901" s="6">
        <v>-38.347000000000001</v>
      </c>
      <c r="P901" s="6">
        <v>-4</v>
      </c>
      <c r="Q901" s="4" t="s">
        <v>26</v>
      </c>
      <c r="R901" s="4">
        <v>0</v>
      </c>
      <c r="S901" s="4">
        <v>0</v>
      </c>
      <c r="T901" s="4">
        <v>54</v>
      </c>
      <c r="U901" s="4">
        <v>97</v>
      </c>
      <c r="V901" s="6">
        <f>IF(ISERROR(VLOOKUP($S$901,'TAR FIN'!$A$1:$O$116,15,0)),0,VLOOKUP($S$901,'TAR FIN'!$A$1:$O$116,15,0))</f>
        <v>0</v>
      </c>
      <c r="W901" s="6">
        <f>IF(ISERROR(VLOOKUP($T$901,'TAR FIN'!$A$1:$O$116,15,0)),0,VLOOKUP($T$901,'TAR FIN'!$A$1:$O$116,15,0))</f>
        <v>301.38</v>
      </c>
      <c r="X901" s="6">
        <f>IF(ISERROR(VLOOKUP($U$901,'TAR FIN'!$A$1:$O$116,15,0)),0,VLOOKUP($U$901,'TAR FIN'!$A$1:$O$116,15,0))</f>
        <v>287.29000000000002</v>
      </c>
      <c r="Y901" s="6"/>
      <c r="Z901" s="6">
        <f ca="1">('TUSD BE'!$AM$56+'TUSD BF'!$AM$56+'TUSD CVA'!$AM$56)*(1-CUSTOS!$M$38)</f>
        <v>410.57781128100521</v>
      </c>
      <c r="AA901" s="6">
        <f>('TE BE'!$AB$27+'TE BF'!$AB$27+'TE CVA'!$AB$27)*(1-CUSTOS!$M$38)</f>
        <v>309.85296222048811</v>
      </c>
      <c r="AB901" s="6">
        <f t="shared" si="50"/>
        <v>0</v>
      </c>
      <c r="AC901" s="6">
        <f>(L901-M901)*(W901+X901)+($W$597+$X$597-$W$901-$X$901)*(L901)</f>
        <v>-3078.4971600000013</v>
      </c>
      <c r="AD901" s="6">
        <f t="shared" si="51"/>
        <v>0</v>
      </c>
      <c r="AE901" s="6">
        <f ca="1">(L901-M901)*(Z901+AA901)+($Z$597+$AA$597-$Z$901-$AA$901)*(L901)</f>
        <v>-1763.3846088167081</v>
      </c>
      <c r="AF901" s="4" t="s">
        <v>1114</v>
      </c>
    </row>
    <row r="902" spans="1:32" ht="11.25" customHeight="1" x14ac:dyDescent="0.25">
      <c r="A902" s="4" t="s">
        <v>28</v>
      </c>
      <c r="B902" s="4" t="s">
        <v>44</v>
      </c>
      <c r="C902" s="4" t="s">
        <v>23</v>
      </c>
      <c r="D902" s="4" t="s">
        <v>45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44409</v>
      </c>
      <c r="J902" s="6">
        <v>0</v>
      </c>
      <c r="K902" s="6">
        <v>0</v>
      </c>
      <c r="L902" s="6">
        <v>629.87099999999998</v>
      </c>
      <c r="M902" s="6">
        <v>629.87099999999998</v>
      </c>
      <c r="N902" s="6">
        <v>629.87099999999998</v>
      </c>
      <c r="O902" s="6">
        <v>629.87099999999998</v>
      </c>
      <c r="P902" s="6">
        <v>2216</v>
      </c>
      <c r="Q902" s="4" t="s">
        <v>26</v>
      </c>
      <c r="R902" s="4">
        <v>0</v>
      </c>
      <c r="S902" s="4">
        <v>0</v>
      </c>
      <c r="T902" s="4">
        <v>54</v>
      </c>
      <c r="U902" s="4">
        <v>97</v>
      </c>
      <c r="V902" s="6">
        <f>IF(ISERROR(VLOOKUP($S$902,'TAR FIN'!$A$1:$O$116,15,0)),0,VLOOKUP($S$902,'TAR FIN'!$A$1:$O$116,15,0))</f>
        <v>0</v>
      </c>
      <c r="W902" s="6">
        <f>IF(ISERROR(VLOOKUP($T$902,'TAR FIN'!$A$1:$O$116,15,0)),0,VLOOKUP($T$902,'TAR FIN'!$A$1:$O$116,15,0))</f>
        <v>301.38</v>
      </c>
      <c r="X902" s="6">
        <f>IF(ISERROR(VLOOKUP($U$902,'TAR FIN'!$A$1:$O$116,15,0)),0,VLOOKUP($U$902,'TAR FIN'!$A$1:$O$116,15,0))</f>
        <v>287.29000000000002</v>
      </c>
      <c r="Y902" s="6"/>
      <c r="Z902" s="6">
        <f ca="1">('TUSD BE'!$AM$56+'TUSD BF'!$AM$56+'TUSD CVA'!$AM$56)*(1-CUSTOS!$M$38)</f>
        <v>410.57781128100521</v>
      </c>
      <c r="AA902" s="6">
        <f>('TE BE'!$AB$27+'TE BF'!$AB$27+'TE CVA'!$AB$27)*(1-CUSTOS!$M$38)</f>
        <v>309.85296222048811</v>
      </c>
      <c r="AB902" s="6">
        <f t="shared" si="50"/>
        <v>0</v>
      </c>
      <c r="AC902" s="6">
        <f>(L902-M902)*(W902+X902)+($W$597+$X$597-$W$902-$X$902)*(L902)</f>
        <v>50566.043880000019</v>
      </c>
      <c r="AD902" s="6">
        <f t="shared" si="51"/>
        <v>0</v>
      </c>
      <c r="AE902" s="6">
        <f ca="1">(L902-M902)*(Z902+AA902)+($Z$597+$AA$597-$Z$902-$AA$902)*(L902)</f>
        <v>28964.582025712276</v>
      </c>
      <c r="AF902" s="4" t="s">
        <v>1114</v>
      </c>
    </row>
    <row r="903" spans="1:32" ht="11.25" customHeight="1" x14ac:dyDescent="0.25">
      <c r="A903" s="4" t="s">
        <v>28</v>
      </c>
      <c r="B903" s="4" t="s">
        <v>44</v>
      </c>
      <c r="C903" s="4" t="s">
        <v>23</v>
      </c>
      <c r="D903" s="4" t="s">
        <v>45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44409</v>
      </c>
      <c r="J903" s="6">
        <v>0</v>
      </c>
      <c r="K903" s="6">
        <v>0</v>
      </c>
      <c r="L903" s="6">
        <v>-22.225999999999999</v>
      </c>
      <c r="M903" s="6">
        <v>-22.225999999999999</v>
      </c>
      <c r="N903" s="6">
        <v>-22.225999999999999</v>
      </c>
      <c r="O903" s="6">
        <v>-22.225999999999999</v>
      </c>
      <c r="P903" s="6">
        <v>0</v>
      </c>
      <c r="Q903" s="4" t="s">
        <v>26</v>
      </c>
      <c r="R903" s="4">
        <v>0</v>
      </c>
      <c r="S903" s="4">
        <v>0</v>
      </c>
      <c r="T903" s="4">
        <v>54</v>
      </c>
      <c r="U903" s="4">
        <v>97</v>
      </c>
      <c r="V903" s="6">
        <f>IF(ISERROR(VLOOKUP($S$903,'TAR FIN'!$A$1:$O$116,15,0)),0,VLOOKUP($S$903,'TAR FIN'!$A$1:$O$116,15,0))</f>
        <v>0</v>
      </c>
      <c r="W903" s="6">
        <f>IF(ISERROR(VLOOKUP($T$903,'TAR FIN'!$A$1:$O$116,15,0)),0,VLOOKUP($T$903,'TAR FIN'!$A$1:$O$116,15,0))</f>
        <v>301.38</v>
      </c>
      <c r="X903" s="6">
        <f>IF(ISERROR(VLOOKUP($U$903,'TAR FIN'!$A$1:$O$116,15,0)),0,VLOOKUP($U$903,'TAR FIN'!$A$1:$O$116,15,0))</f>
        <v>287.29000000000002</v>
      </c>
      <c r="Y903" s="6"/>
      <c r="Z903" s="6">
        <f ca="1">('TUSD BE'!$AM$56+'TUSD BF'!$AM$56+'TUSD CVA'!$AM$56)*(1-CUSTOS!$M$38)</f>
        <v>410.57781128100521</v>
      </c>
      <c r="AA903" s="6">
        <f>('TE BE'!$AB$27+'TE BF'!$AB$27+'TE CVA'!$AB$27)*(1-CUSTOS!$M$38)</f>
        <v>309.85296222048811</v>
      </c>
      <c r="AB903" s="6">
        <f t="shared" si="50"/>
        <v>0</v>
      </c>
      <c r="AC903" s="6">
        <f>(L903-M903)*(W903+X903)+($W$597+$X$597-$W$903-$X$903)*(L903)</f>
        <v>-1784.3032800000005</v>
      </c>
      <c r="AD903" s="6">
        <f t="shared" si="51"/>
        <v>0</v>
      </c>
      <c r="AE903" s="6">
        <f ca="1">(L903-M903)*(Z903+AA903)+($Z$597+$AA$597-$Z$903-$AA$903)*(L903)</f>
        <v>-1022.0613428836715</v>
      </c>
      <c r="AF903" s="4" t="s">
        <v>1114</v>
      </c>
    </row>
    <row r="904" spans="1:32" ht="11.25" customHeight="1" x14ac:dyDescent="0.25">
      <c r="A904" s="4" t="s">
        <v>21</v>
      </c>
      <c r="B904" s="4" t="s">
        <v>44</v>
      </c>
      <c r="C904" s="4" t="s">
        <v>23</v>
      </c>
      <c r="D904" s="4" t="s">
        <v>45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44440</v>
      </c>
      <c r="J904" s="6">
        <v>0</v>
      </c>
      <c r="K904" s="6">
        <v>0</v>
      </c>
      <c r="L904" s="6">
        <v>13952.401</v>
      </c>
      <c r="M904" s="6">
        <v>13952.401</v>
      </c>
      <c r="N904" s="6">
        <v>13952.401</v>
      </c>
      <c r="O904" s="6">
        <v>13952.401</v>
      </c>
      <c r="P904" s="6">
        <v>69713</v>
      </c>
      <c r="Q904" s="4" t="s">
        <v>26</v>
      </c>
      <c r="R904" s="4">
        <v>0</v>
      </c>
      <c r="S904" s="4">
        <v>0</v>
      </c>
      <c r="T904" s="4">
        <v>54</v>
      </c>
      <c r="U904" s="4">
        <v>97</v>
      </c>
      <c r="V904" s="6">
        <f>IF(ISERROR(VLOOKUP($S$904,'TAR FIN'!$A$1:$O$116,15,0)),0,VLOOKUP($S$904,'TAR FIN'!$A$1:$O$116,15,0))</f>
        <v>0</v>
      </c>
      <c r="W904" s="6">
        <f>IF(ISERROR(VLOOKUP($T$904,'TAR FIN'!$A$1:$O$116,15,0)),0,VLOOKUP($T$904,'TAR FIN'!$A$1:$O$116,15,0))</f>
        <v>301.38</v>
      </c>
      <c r="X904" s="6">
        <f>IF(ISERROR(VLOOKUP($U$904,'TAR FIN'!$A$1:$O$116,15,0)),0,VLOOKUP($U$904,'TAR FIN'!$A$1:$O$116,15,0))</f>
        <v>287.29000000000002</v>
      </c>
      <c r="Y904" s="6"/>
      <c r="Z904" s="6">
        <f ca="1">('TUSD BE'!$AM$56+'TUSD BF'!$AM$56+'TUSD CVA'!$AM$56)*(1-CUSTOS!$M$38)</f>
        <v>410.57781128100521</v>
      </c>
      <c r="AA904" s="6">
        <f>('TE BE'!$AB$27+'TE BF'!$AB$27+'TE CVA'!$AB$27)*(1-CUSTOS!$M$38)</f>
        <v>309.85296222048811</v>
      </c>
      <c r="AB904" s="6">
        <f t="shared" si="50"/>
        <v>0</v>
      </c>
      <c r="AC904" s="6">
        <f>(L904-M904)*(W904+X904)+($W$597+$X$597-$W$904-$X$904)*(L904)</f>
        <v>1120098.7522800004</v>
      </c>
      <c r="AD904" s="6">
        <f t="shared" si="51"/>
        <v>0</v>
      </c>
      <c r="AE904" s="6">
        <f ca="1">(L904-M904)*(Z904+AA904)+($Z$597+$AA$597-$Z$904-$AA$904)*(L904)</f>
        <v>641600.36455104302</v>
      </c>
      <c r="AF904" s="4" t="s">
        <v>1114</v>
      </c>
    </row>
    <row r="905" spans="1:32" ht="11.25" customHeight="1" x14ac:dyDescent="0.25">
      <c r="A905" s="4" t="s">
        <v>27</v>
      </c>
      <c r="B905" s="4" t="s">
        <v>44</v>
      </c>
      <c r="C905" s="4" t="s">
        <v>23</v>
      </c>
      <c r="D905" s="4" t="s">
        <v>45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44440</v>
      </c>
      <c r="J905" s="6">
        <v>0</v>
      </c>
      <c r="K905" s="6">
        <v>0</v>
      </c>
      <c r="L905" s="6">
        <v>-34.853000000000002</v>
      </c>
      <c r="M905" s="6">
        <v>-34.853000000000002</v>
      </c>
      <c r="N905" s="6">
        <v>-34.853000000000002</v>
      </c>
      <c r="O905" s="6">
        <v>-34.853000000000002</v>
      </c>
      <c r="P905" s="6">
        <v>-8</v>
      </c>
      <c r="Q905" s="4" t="s">
        <v>26</v>
      </c>
      <c r="R905" s="4">
        <v>0</v>
      </c>
      <c r="S905" s="4">
        <v>0</v>
      </c>
      <c r="T905" s="4">
        <v>54</v>
      </c>
      <c r="U905" s="4">
        <v>97</v>
      </c>
      <c r="V905" s="6">
        <f>IF(ISERROR(VLOOKUP($S$905,'TAR FIN'!$A$1:$O$116,15,0)),0,VLOOKUP($S$905,'TAR FIN'!$A$1:$O$116,15,0))</f>
        <v>0</v>
      </c>
      <c r="W905" s="6">
        <f>IF(ISERROR(VLOOKUP($T$905,'TAR FIN'!$A$1:$O$116,15,0)),0,VLOOKUP($T$905,'TAR FIN'!$A$1:$O$116,15,0))</f>
        <v>301.38</v>
      </c>
      <c r="X905" s="6">
        <f>IF(ISERROR(VLOOKUP($U$905,'TAR FIN'!$A$1:$O$116,15,0)),0,VLOOKUP($U$905,'TAR FIN'!$A$1:$O$116,15,0))</f>
        <v>287.29000000000002</v>
      </c>
      <c r="Y905" s="6"/>
      <c r="Z905" s="6">
        <f ca="1">('TUSD BE'!$AM$56+'TUSD BF'!$AM$56+'TUSD CVA'!$AM$56)*(1-CUSTOS!$M$38)</f>
        <v>410.57781128100521</v>
      </c>
      <c r="AA905" s="6">
        <f>('TE BE'!$AB$27+'TE BF'!$AB$27+'TE CVA'!$AB$27)*(1-CUSTOS!$M$38)</f>
        <v>309.85296222048811</v>
      </c>
      <c r="AB905" s="6">
        <f t="shared" si="50"/>
        <v>0</v>
      </c>
      <c r="AC905" s="6">
        <f>(L905-M905)*(W905+X905)+($W$597+$X$597-$W$905-$X$905)*(L905)</f>
        <v>-2797.9988400000011</v>
      </c>
      <c r="AD905" s="6">
        <f t="shared" si="51"/>
        <v>0</v>
      </c>
      <c r="AE905" s="6">
        <f ca="1">(L905-M905)*(Z905+AA905)+($Z$597+$AA$597-$Z$905-$AA$905)*(L905)</f>
        <v>-1602.7132180115452</v>
      </c>
      <c r="AF905" s="4" t="s">
        <v>1114</v>
      </c>
    </row>
    <row r="906" spans="1:32" ht="11.25" customHeight="1" x14ac:dyDescent="0.25">
      <c r="A906" s="4" t="s">
        <v>28</v>
      </c>
      <c r="B906" s="4" t="s">
        <v>44</v>
      </c>
      <c r="C906" s="4" t="s">
        <v>23</v>
      </c>
      <c r="D906" s="4" t="s">
        <v>45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44440</v>
      </c>
      <c r="J906" s="6">
        <v>0</v>
      </c>
      <c r="K906" s="6">
        <v>0</v>
      </c>
      <c r="L906" s="6">
        <v>630.15599999999995</v>
      </c>
      <c r="M906" s="6">
        <v>630.15599999999995</v>
      </c>
      <c r="N906" s="6">
        <v>630.15599999999995</v>
      </c>
      <c r="O906" s="6">
        <v>630.15599999999995</v>
      </c>
      <c r="P906" s="6">
        <v>2358</v>
      </c>
      <c r="Q906" s="4" t="s">
        <v>26</v>
      </c>
      <c r="R906" s="4">
        <v>0</v>
      </c>
      <c r="S906" s="4">
        <v>0</v>
      </c>
      <c r="T906" s="4">
        <v>54</v>
      </c>
      <c r="U906" s="4">
        <v>97</v>
      </c>
      <c r="V906" s="6">
        <f>IF(ISERROR(VLOOKUP($S$906,'TAR FIN'!$A$1:$O$116,15,0)),0,VLOOKUP($S$906,'TAR FIN'!$A$1:$O$116,15,0))</f>
        <v>0</v>
      </c>
      <c r="W906" s="6">
        <f>IF(ISERROR(VLOOKUP($T$906,'TAR FIN'!$A$1:$O$116,15,0)),0,VLOOKUP($T$906,'TAR FIN'!$A$1:$O$116,15,0))</f>
        <v>301.38</v>
      </c>
      <c r="X906" s="6">
        <f>IF(ISERROR(VLOOKUP($U$906,'TAR FIN'!$A$1:$O$116,15,0)),0,VLOOKUP($U$906,'TAR FIN'!$A$1:$O$116,15,0))</f>
        <v>287.29000000000002</v>
      </c>
      <c r="Y906" s="6"/>
      <c r="Z906" s="6">
        <f ca="1">('TUSD BE'!$AM$56+'TUSD BF'!$AM$56+'TUSD CVA'!$AM$56)*(1-CUSTOS!$M$38)</f>
        <v>410.57781128100521</v>
      </c>
      <c r="AA906" s="6">
        <f>('TE BE'!$AB$27+'TE BF'!$AB$27+'TE CVA'!$AB$27)*(1-CUSTOS!$M$38)</f>
        <v>309.85296222048811</v>
      </c>
      <c r="AB906" s="6">
        <f t="shared" si="50"/>
        <v>0</v>
      </c>
      <c r="AC906" s="6">
        <f>(L906-M906)*(W906+X906)+($W$597+$X$597-$W$906-$X$906)*(L906)</f>
        <v>50588.923680000014</v>
      </c>
      <c r="AD906" s="6">
        <f t="shared" si="51"/>
        <v>0</v>
      </c>
      <c r="AE906" s="6">
        <f ca="1">(L906-M906)*(Z906+AA906)+($Z$597+$AA$597-$Z$906-$AA$906)*(L906)</f>
        <v>28977.687734464271</v>
      </c>
      <c r="AF906" s="4" t="s">
        <v>1114</v>
      </c>
    </row>
    <row r="907" spans="1:32" ht="11.25" customHeight="1" x14ac:dyDescent="0.25">
      <c r="A907" s="4" t="s">
        <v>28</v>
      </c>
      <c r="B907" s="4" t="s">
        <v>44</v>
      </c>
      <c r="C907" s="4" t="s">
        <v>23</v>
      </c>
      <c r="D907" s="4" t="s">
        <v>45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44440</v>
      </c>
      <c r="J907" s="6">
        <v>0</v>
      </c>
      <c r="K907" s="6">
        <v>0</v>
      </c>
      <c r="L907" s="6">
        <v>-18.785</v>
      </c>
      <c r="M907" s="6">
        <v>-18.785</v>
      </c>
      <c r="N907" s="6">
        <v>-18.785</v>
      </c>
      <c r="O907" s="6">
        <v>-18.785</v>
      </c>
      <c r="P907" s="6">
        <v>0</v>
      </c>
      <c r="Q907" s="4" t="s">
        <v>26</v>
      </c>
      <c r="R907" s="4">
        <v>0</v>
      </c>
      <c r="S907" s="4">
        <v>0</v>
      </c>
      <c r="T907" s="4">
        <v>54</v>
      </c>
      <c r="U907" s="4">
        <v>97</v>
      </c>
      <c r="V907" s="6">
        <f>IF(ISERROR(VLOOKUP($S$907,'TAR FIN'!$A$1:$O$116,15,0)),0,VLOOKUP($S$907,'TAR FIN'!$A$1:$O$116,15,0))</f>
        <v>0</v>
      </c>
      <c r="W907" s="6">
        <f>IF(ISERROR(VLOOKUP($T$907,'TAR FIN'!$A$1:$O$116,15,0)),0,VLOOKUP($T$907,'TAR FIN'!$A$1:$O$116,15,0))</f>
        <v>301.38</v>
      </c>
      <c r="X907" s="6">
        <f>IF(ISERROR(VLOOKUP($U$907,'TAR FIN'!$A$1:$O$116,15,0)),0,VLOOKUP($U$907,'TAR FIN'!$A$1:$O$116,15,0))</f>
        <v>287.29000000000002</v>
      </c>
      <c r="Y907" s="6"/>
      <c r="Z907" s="6">
        <f ca="1">('TUSD BE'!$AM$56+'TUSD BF'!$AM$56+'TUSD CVA'!$AM$56)*(1-CUSTOS!$M$38)</f>
        <v>410.57781128100521</v>
      </c>
      <c r="AA907" s="6">
        <f>('TE BE'!$AB$27+'TE BF'!$AB$27+'TE CVA'!$AB$27)*(1-CUSTOS!$M$38)</f>
        <v>309.85296222048811</v>
      </c>
      <c r="AB907" s="6">
        <f t="shared" si="50"/>
        <v>0</v>
      </c>
      <c r="AC907" s="6">
        <f>(L907-M907)*(W907+X907)+($W$597+$X$597-$W$907-$X$907)*(L907)</f>
        <v>-1508.0598000000007</v>
      </c>
      <c r="AD907" s="6">
        <f t="shared" si="51"/>
        <v>0</v>
      </c>
      <c r="AE907" s="6">
        <f ca="1">(L907-M907)*(Z907+AA907)+($Z$597+$AA$597-$Z$907-$AA$907)*(L907)</f>
        <v>-863.82715405695001</v>
      </c>
      <c r="AF907" s="4" t="s">
        <v>1114</v>
      </c>
    </row>
    <row r="908" spans="1:32" ht="11.25" customHeight="1" x14ac:dyDescent="0.25">
      <c r="A908" s="4" t="s">
        <v>21</v>
      </c>
      <c r="B908" s="4" t="s">
        <v>44</v>
      </c>
      <c r="C908" s="4" t="s">
        <v>23</v>
      </c>
      <c r="D908" s="4" t="s">
        <v>45</v>
      </c>
      <c r="E908" s="4" t="s">
        <v>25</v>
      </c>
      <c r="F908" s="4" t="s">
        <v>25</v>
      </c>
      <c r="G908" s="4" t="s">
        <v>25</v>
      </c>
      <c r="H908" s="4" t="s">
        <v>25</v>
      </c>
      <c r="I908" s="5">
        <v>44470</v>
      </c>
      <c r="J908" s="6">
        <v>0</v>
      </c>
      <c r="K908" s="6">
        <v>0</v>
      </c>
      <c r="L908" s="6">
        <v>13645.282999999999</v>
      </c>
      <c r="M908" s="6">
        <v>13645.282999999999</v>
      </c>
      <c r="N908" s="6">
        <v>13645.282999999999</v>
      </c>
      <c r="O908" s="6">
        <v>13645.282999999999</v>
      </c>
      <c r="P908" s="6">
        <v>69569</v>
      </c>
      <c r="Q908" s="4" t="s">
        <v>26</v>
      </c>
      <c r="R908" s="4">
        <v>0</v>
      </c>
      <c r="S908" s="4">
        <v>0</v>
      </c>
      <c r="T908" s="4">
        <v>54</v>
      </c>
      <c r="U908" s="4">
        <v>97</v>
      </c>
      <c r="V908" s="6">
        <f>IF(ISERROR(VLOOKUP($S$908,'TAR FIN'!$A$1:$O$116,15,0)),0,VLOOKUP($S$908,'TAR FIN'!$A$1:$O$116,15,0))</f>
        <v>0</v>
      </c>
      <c r="W908" s="6">
        <f>IF(ISERROR(VLOOKUP($T$908,'TAR FIN'!$A$1:$O$116,15,0)),0,VLOOKUP($T$908,'TAR FIN'!$A$1:$O$116,15,0))</f>
        <v>301.38</v>
      </c>
      <c r="X908" s="6">
        <f>IF(ISERROR(VLOOKUP($U$908,'TAR FIN'!$A$1:$O$116,15,0)),0,VLOOKUP($U$908,'TAR FIN'!$A$1:$O$116,15,0))</f>
        <v>287.29000000000002</v>
      </c>
      <c r="Y908" s="6"/>
      <c r="Z908" s="6">
        <f ca="1">('TUSD BE'!$AM$56+'TUSD BF'!$AM$56+'TUSD CVA'!$AM$56)*(1-CUSTOS!$M$38)</f>
        <v>410.57781128100521</v>
      </c>
      <c r="AA908" s="6">
        <f>('TE BE'!$AB$27+'TE BF'!$AB$27+'TE CVA'!$AB$27)*(1-CUSTOS!$M$38)</f>
        <v>309.85296222048811</v>
      </c>
      <c r="AB908" s="6">
        <f t="shared" si="50"/>
        <v>0</v>
      </c>
      <c r="AC908" s="6">
        <f>(L908-M908)*(W908+X908)+($W$597+$X$597-$W$908-$X$908)*(L908)</f>
        <v>1095443.3192400003</v>
      </c>
      <c r="AD908" s="6">
        <f t="shared" si="51"/>
        <v>0</v>
      </c>
      <c r="AE908" s="6">
        <f ca="1">(L908-M908)*(Z908+AA908)+($Z$597+$AA$597-$Z$908-$AA$908)*(L908)</f>
        <v>627477.56083000696</v>
      </c>
      <c r="AF908" s="4" t="s">
        <v>1114</v>
      </c>
    </row>
    <row r="909" spans="1:32" ht="11.25" customHeight="1" x14ac:dyDescent="0.25">
      <c r="A909" s="4" t="s">
        <v>27</v>
      </c>
      <c r="B909" s="4" t="s">
        <v>44</v>
      </c>
      <c r="C909" s="4" t="s">
        <v>23</v>
      </c>
      <c r="D909" s="4" t="s">
        <v>45</v>
      </c>
      <c r="E909" s="4" t="s">
        <v>25</v>
      </c>
      <c r="F909" s="4" t="s">
        <v>25</v>
      </c>
      <c r="G909" s="4" t="s">
        <v>25</v>
      </c>
      <c r="H909" s="4" t="s">
        <v>25</v>
      </c>
      <c r="I909" s="5">
        <v>44470</v>
      </c>
      <c r="J909" s="6">
        <v>0</v>
      </c>
      <c r="K909" s="6">
        <v>0</v>
      </c>
      <c r="L909" s="6">
        <v>-34.405999999999999</v>
      </c>
      <c r="M909" s="6">
        <v>-34.405999999999999</v>
      </c>
      <c r="N909" s="6">
        <v>-34.405999999999999</v>
      </c>
      <c r="O909" s="6">
        <v>-34.405999999999999</v>
      </c>
      <c r="P909" s="6">
        <v>-1</v>
      </c>
      <c r="Q909" s="4" t="s">
        <v>26</v>
      </c>
      <c r="R909" s="4">
        <v>0</v>
      </c>
      <c r="S909" s="4">
        <v>0</v>
      </c>
      <c r="T909" s="4">
        <v>54</v>
      </c>
      <c r="U909" s="4">
        <v>97</v>
      </c>
      <c r="V909" s="6">
        <f>IF(ISERROR(VLOOKUP($S$909,'TAR FIN'!$A$1:$O$116,15,0)),0,VLOOKUP($S$909,'TAR FIN'!$A$1:$O$116,15,0))</f>
        <v>0</v>
      </c>
      <c r="W909" s="6">
        <f>IF(ISERROR(VLOOKUP($T$909,'TAR FIN'!$A$1:$O$116,15,0)),0,VLOOKUP($T$909,'TAR FIN'!$A$1:$O$116,15,0))</f>
        <v>301.38</v>
      </c>
      <c r="X909" s="6">
        <f>IF(ISERROR(VLOOKUP($U$909,'TAR FIN'!$A$1:$O$116,15,0)),0,VLOOKUP($U$909,'TAR FIN'!$A$1:$O$116,15,0))</f>
        <v>287.29000000000002</v>
      </c>
      <c r="Y909" s="6"/>
      <c r="Z909" s="6">
        <f ca="1">('TUSD BE'!$AM$56+'TUSD BF'!$AM$56+'TUSD CVA'!$AM$56)*(1-CUSTOS!$M$38)</f>
        <v>410.57781128100521</v>
      </c>
      <c r="AA909" s="6">
        <f>('TE BE'!$AB$27+'TE BF'!$AB$27+'TE CVA'!$AB$27)*(1-CUSTOS!$M$38)</f>
        <v>309.85296222048811</v>
      </c>
      <c r="AB909" s="6">
        <f t="shared" si="50"/>
        <v>0</v>
      </c>
      <c r="AC909" s="6">
        <f>(L909-M909)*(W909+X909)+($W$597+$X$597-$W$909-$X$909)*(L909)</f>
        <v>-2762.1136800000008</v>
      </c>
      <c r="AD909" s="6">
        <f t="shared" si="51"/>
        <v>0</v>
      </c>
      <c r="AE909" s="6">
        <f ca="1">(L909-M909)*(Z909+AA909)+($Z$597+$AA$597-$Z$909-$AA$909)*(L909)</f>
        <v>-1582.1579484952579</v>
      </c>
      <c r="AF909" s="4" t="s">
        <v>1114</v>
      </c>
    </row>
    <row r="910" spans="1:32" ht="11.25" customHeight="1" x14ac:dyDescent="0.25">
      <c r="A910" s="4" t="s">
        <v>28</v>
      </c>
      <c r="B910" s="4" t="s">
        <v>44</v>
      </c>
      <c r="C910" s="4" t="s">
        <v>23</v>
      </c>
      <c r="D910" s="4" t="s">
        <v>45</v>
      </c>
      <c r="E910" s="4" t="s">
        <v>25</v>
      </c>
      <c r="F910" s="4" t="s">
        <v>25</v>
      </c>
      <c r="G910" s="4" t="s">
        <v>25</v>
      </c>
      <c r="H910" s="4" t="s">
        <v>25</v>
      </c>
      <c r="I910" s="5">
        <v>44470</v>
      </c>
      <c r="J910" s="6">
        <v>0</v>
      </c>
      <c r="K910" s="6">
        <v>0</v>
      </c>
      <c r="L910" s="6">
        <v>731.678</v>
      </c>
      <c r="M910" s="6">
        <v>731.678</v>
      </c>
      <c r="N910" s="6">
        <v>731.678</v>
      </c>
      <c r="O910" s="6">
        <v>731.678</v>
      </c>
      <c r="P910" s="6">
        <v>2487</v>
      </c>
      <c r="Q910" s="4" t="s">
        <v>26</v>
      </c>
      <c r="R910" s="4">
        <v>0</v>
      </c>
      <c r="S910" s="4">
        <v>0</v>
      </c>
      <c r="T910" s="4">
        <v>54</v>
      </c>
      <c r="U910" s="4">
        <v>97</v>
      </c>
      <c r="V910" s="6">
        <f>IF(ISERROR(VLOOKUP($S$910,'TAR FIN'!$A$1:$O$116,15,0)),0,VLOOKUP($S$910,'TAR FIN'!$A$1:$O$116,15,0))</f>
        <v>0</v>
      </c>
      <c r="W910" s="6">
        <f>IF(ISERROR(VLOOKUP($T$910,'TAR FIN'!$A$1:$O$116,15,0)),0,VLOOKUP($T$910,'TAR FIN'!$A$1:$O$116,15,0))</f>
        <v>301.38</v>
      </c>
      <c r="X910" s="6">
        <f>IF(ISERROR(VLOOKUP($U$910,'TAR FIN'!$A$1:$O$116,15,0)),0,VLOOKUP($U$910,'TAR FIN'!$A$1:$O$116,15,0))</f>
        <v>287.29000000000002</v>
      </c>
      <c r="Y910" s="6"/>
      <c r="Z910" s="6">
        <f ca="1">('TUSD BE'!$AM$56+'TUSD BF'!$AM$56+'TUSD CVA'!$AM$56)*(1-CUSTOS!$M$38)</f>
        <v>410.57781128100521</v>
      </c>
      <c r="AA910" s="6">
        <f>('TE BE'!$AB$27+'TE BF'!$AB$27+'TE CVA'!$AB$27)*(1-CUSTOS!$M$38)</f>
        <v>309.85296222048811</v>
      </c>
      <c r="AB910" s="6">
        <f t="shared" si="50"/>
        <v>0</v>
      </c>
      <c r="AC910" s="6">
        <f>(L910-M910)*(W910+X910)+($W$597+$X$597-$W$910-$X$910)*(L910)</f>
        <v>58739.109840000019</v>
      </c>
      <c r="AD910" s="6">
        <f t="shared" si="51"/>
        <v>0</v>
      </c>
      <c r="AE910" s="6">
        <f ca="1">(L910-M910)*(Z910+AA910)+($Z$597+$AA$597-$Z$910-$AA$910)*(L910)</f>
        <v>33646.171116639925</v>
      </c>
      <c r="AF910" s="4" t="s">
        <v>1114</v>
      </c>
    </row>
    <row r="911" spans="1:32" ht="11.25" customHeight="1" x14ac:dyDescent="0.25">
      <c r="A911" s="4" t="s">
        <v>28</v>
      </c>
      <c r="B911" s="4" t="s">
        <v>44</v>
      </c>
      <c r="C911" s="4" t="s">
        <v>23</v>
      </c>
      <c r="D911" s="4" t="s">
        <v>45</v>
      </c>
      <c r="E911" s="4" t="s">
        <v>25</v>
      </c>
      <c r="F911" s="4" t="s">
        <v>25</v>
      </c>
      <c r="G911" s="4" t="s">
        <v>25</v>
      </c>
      <c r="H911" s="4" t="s">
        <v>25</v>
      </c>
      <c r="I911" s="5">
        <v>44470</v>
      </c>
      <c r="J911" s="6">
        <v>0</v>
      </c>
      <c r="K911" s="6">
        <v>0</v>
      </c>
      <c r="L911" s="6">
        <v>-8.0990000000000002</v>
      </c>
      <c r="M911" s="6">
        <v>-8.0990000000000002</v>
      </c>
      <c r="N911" s="6">
        <v>-8.0990000000000002</v>
      </c>
      <c r="O911" s="6">
        <v>-8.0990000000000002</v>
      </c>
      <c r="P911" s="6">
        <v>0</v>
      </c>
      <c r="Q911" s="4" t="s">
        <v>26</v>
      </c>
      <c r="R911" s="4">
        <v>0</v>
      </c>
      <c r="S911" s="4">
        <v>0</v>
      </c>
      <c r="T911" s="4">
        <v>54</v>
      </c>
      <c r="U911" s="4">
        <v>97</v>
      </c>
      <c r="V911" s="6">
        <f>IF(ISERROR(VLOOKUP($S$911,'TAR FIN'!$A$1:$O$116,15,0)),0,VLOOKUP($S$911,'TAR FIN'!$A$1:$O$116,15,0))</f>
        <v>0</v>
      </c>
      <c r="W911" s="6">
        <f>IF(ISERROR(VLOOKUP($T$911,'TAR FIN'!$A$1:$O$116,15,0)),0,VLOOKUP($T$911,'TAR FIN'!$A$1:$O$116,15,0))</f>
        <v>301.38</v>
      </c>
      <c r="X911" s="6">
        <f>IF(ISERROR(VLOOKUP($U$911,'TAR FIN'!$A$1:$O$116,15,0)),0,VLOOKUP($U$911,'TAR FIN'!$A$1:$O$116,15,0))</f>
        <v>287.29000000000002</v>
      </c>
      <c r="Y911" s="6"/>
      <c r="Z911" s="6">
        <f ca="1">('TUSD BE'!$AM$56+'TUSD BF'!$AM$56+'TUSD CVA'!$AM$56)*(1-CUSTOS!$M$38)</f>
        <v>410.57781128100521</v>
      </c>
      <c r="AA911" s="6">
        <f>('TE BE'!$AB$27+'TE BF'!$AB$27+'TE CVA'!$AB$27)*(1-CUSTOS!$M$38)</f>
        <v>309.85296222048811</v>
      </c>
      <c r="AB911" s="6">
        <f t="shared" si="50"/>
        <v>0</v>
      </c>
      <c r="AC911" s="6">
        <f>(L911-M911)*(W911+X911)+($W$597+$X$597-$W$911-$X$911)*(L911)</f>
        <v>-650.18772000000024</v>
      </c>
      <c r="AD911" s="6">
        <f t="shared" si="51"/>
        <v>0</v>
      </c>
      <c r="AE911" s="6">
        <f ca="1">(L911-M911)*(Z911+AA911)+($Z$597+$AA$597-$Z$911-$AA$911)*(L911)</f>
        <v>-372.43205327161235</v>
      </c>
      <c r="AF911" s="4" t="s">
        <v>1114</v>
      </c>
    </row>
    <row r="912" spans="1:32" ht="11.25" customHeight="1" x14ac:dyDescent="0.25">
      <c r="A912" s="4" t="s">
        <v>21</v>
      </c>
      <c r="B912" s="4" t="s">
        <v>44</v>
      </c>
      <c r="C912" s="4" t="s">
        <v>23</v>
      </c>
      <c r="D912" s="4" t="s">
        <v>45</v>
      </c>
      <c r="E912" s="4" t="s">
        <v>25</v>
      </c>
      <c r="F912" s="4" t="s">
        <v>25</v>
      </c>
      <c r="G912" s="4" t="s">
        <v>25</v>
      </c>
      <c r="H912" s="4" t="s">
        <v>25</v>
      </c>
      <c r="I912" s="5">
        <v>44501</v>
      </c>
      <c r="J912" s="6">
        <v>0</v>
      </c>
      <c r="K912" s="6">
        <v>0</v>
      </c>
      <c r="L912" s="6">
        <v>13051.726000000001</v>
      </c>
      <c r="M912" s="6">
        <v>13051.726000000001</v>
      </c>
      <c r="N912" s="6">
        <v>13051.726000000001</v>
      </c>
      <c r="O912" s="6">
        <v>13051.726000000001</v>
      </c>
      <c r="P912" s="6">
        <v>69267</v>
      </c>
      <c r="Q912" s="4" t="s">
        <v>26</v>
      </c>
      <c r="R912" s="4">
        <v>0</v>
      </c>
      <c r="S912" s="4">
        <v>0</v>
      </c>
      <c r="T912" s="4">
        <v>54</v>
      </c>
      <c r="U912" s="4">
        <v>97</v>
      </c>
      <c r="V912" s="6">
        <f>IF(ISERROR(VLOOKUP($S$912,'TAR FIN'!$A$1:$O$116,15,0)),0,VLOOKUP($S$912,'TAR FIN'!$A$1:$O$116,15,0))</f>
        <v>0</v>
      </c>
      <c r="W912" s="6">
        <f>IF(ISERROR(VLOOKUP($T$912,'TAR FIN'!$A$1:$O$116,15,0)),0,VLOOKUP($T$912,'TAR FIN'!$A$1:$O$116,15,0))</f>
        <v>301.38</v>
      </c>
      <c r="X912" s="6">
        <f>IF(ISERROR(VLOOKUP($U$912,'TAR FIN'!$A$1:$O$116,15,0)),0,VLOOKUP($U$912,'TAR FIN'!$A$1:$O$116,15,0))</f>
        <v>287.29000000000002</v>
      </c>
      <c r="Y912" s="6"/>
      <c r="Z912" s="6">
        <f ca="1">('TUSD BE'!$AM$56+'TUSD BF'!$AM$56+'TUSD CVA'!$AM$56)*(1-CUSTOS!$M$38)</f>
        <v>410.57781128100521</v>
      </c>
      <c r="AA912" s="6">
        <f>('TE BE'!$AB$27+'TE BF'!$AB$27+'TE CVA'!$AB$27)*(1-CUSTOS!$M$38)</f>
        <v>309.85296222048811</v>
      </c>
      <c r="AB912" s="6">
        <f t="shared" si="50"/>
        <v>0</v>
      </c>
      <c r="AC912" s="6">
        <f>(L912-M912)*(W912+X912)+($W$597+$X$597-$W$912-$X$912)*(L912)</f>
        <v>1047792.5632800005</v>
      </c>
      <c r="AD912" s="6">
        <f t="shared" si="51"/>
        <v>0</v>
      </c>
      <c r="AE912" s="6">
        <f ca="1">(L912-M912)*(Z912+AA912)+($Z$597+$AA$597-$Z$912-$AA$912)*(L912)</f>
        <v>600182.87602401385</v>
      </c>
      <c r="AF912" s="4" t="s">
        <v>1114</v>
      </c>
    </row>
    <row r="913" spans="1:32" ht="11.25" customHeight="1" x14ac:dyDescent="0.25">
      <c r="A913" s="4" t="s">
        <v>27</v>
      </c>
      <c r="B913" s="4" t="s">
        <v>44</v>
      </c>
      <c r="C913" s="4" t="s">
        <v>23</v>
      </c>
      <c r="D913" s="4" t="s">
        <v>45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44501</v>
      </c>
      <c r="J913" s="6">
        <v>0</v>
      </c>
      <c r="K913" s="6">
        <v>0</v>
      </c>
      <c r="L913" s="6">
        <v>-31.488</v>
      </c>
      <c r="M913" s="6">
        <v>-31.488</v>
      </c>
      <c r="N913" s="6">
        <v>-31.488</v>
      </c>
      <c r="O913" s="6">
        <v>-31.488</v>
      </c>
      <c r="P913" s="6">
        <v>0</v>
      </c>
      <c r="Q913" s="4" t="s">
        <v>26</v>
      </c>
      <c r="R913" s="4">
        <v>0</v>
      </c>
      <c r="S913" s="4">
        <v>0</v>
      </c>
      <c r="T913" s="4">
        <v>54</v>
      </c>
      <c r="U913" s="4">
        <v>97</v>
      </c>
      <c r="V913" s="6">
        <f>IF(ISERROR(VLOOKUP($S$913,'TAR FIN'!$A$1:$O$116,15,0)),0,VLOOKUP($S$913,'TAR FIN'!$A$1:$O$116,15,0))</f>
        <v>0</v>
      </c>
      <c r="W913" s="6">
        <f>IF(ISERROR(VLOOKUP($T$913,'TAR FIN'!$A$1:$O$116,15,0)),0,VLOOKUP($T$913,'TAR FIN'!$A$1:$O$116,15,0))</f>
        <v>301.38</v>
      </c>
      <c r="X913" s="6">
        <f>IF(ISERROR(VLOOKUP($U$913,'TAR FIN'!$A$1:$O$116,15,0)),0,VLOOKUP($U$913,'TAR FIN'!$A$1:$O$116,15,0))</f>
        <v>287.29000000000002</v>
      </c>
      <c r="Y913" s="6"/>
      <c r="Z913" s="6">
        <f ca="1">('TUSD BE'!$AM$56+'TUSD BF'!$AM$56+'TUSD CVA'!$AM$56)*(1-CUSTOS!$M$38)</f>
        <v>410.57781128100521</v>
      </c>
      <c r="AA913" s="6">
        <f>('TE BE'!$AB$27+'TE BF'!$AB$27+'TE CVA'!$AB$27)*(1-CUSTOS!$M$38)</f>
        <v>309.85296222048811</v>
      </c>
      <c r="AB913" s="6">
        <f t="shared" si="50"/>
        <v>0</v>
      </c>
      <c r="AC913" s="6">
        <f>(L913-M913)*(W913+X913)+($W$597+$X$597-$W$913-$X$913)*(L913)</f>
        <v>-2527.8566400000009</v>
      </c>
      <c r="AD913" s="6">
        <f t="shared" si="51"/>
        <v>0</v>
      </c>
      <c r="AE913" s="6">
        <f ca="1">(L913-M913)*(Z913+AA913)+($Z$597+$AA$597-$Z$913-$AA$913)*(L913)</f>
        <v>-1447.9738848520224</v>
      </c>
      <c r="AF913" s="4" t="s">
        <v>1114</v>
      </c>
    </row>
    <row r="914" spans="1:32" ht="11.25" customHeight="1" x14ac:dyDescent="0.25">
      <c r="A914" s="4" t="s">
        <v>28</v>
      </c>
      <c r="B914" s="4" t="s">
        <v>44</v>
      </c>
      <c r="C914" s="4" t="s">
        <v>23</v>
      </c>
      <c r="D914" s="4" t="s">
        <v>45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44501</v>
      </c>
      <c r="J914" s="6">
        <v>0</v>
      </c>
      <c r="K914" s="6">
        <v>0</v>
      </c>
      <c r="L914" s="6">
        <v>762.12599999999998</v>
      </c>
      <c r="M914" s="6">
        <v>762.12599999999998</v>
      </c>
      <c r="N914" s="6">
        <v>762.12599999999998</v>
      </c>
      <c r="O914" s="6">
        <v>762.12599999999998</v>
      </c>
      <c r="P914" s="6">
        <v>2670</v>
      </c>
      <c r="Q914" s="4" t="s">
        <v>26</v>
      </c>
      <c r="R914" s="4">
        <v>0</v>
      </c>
      <c r="S914" s="4">
        <v>0</v>
      </c>
      <c r="T914" s="4">
        <v>54</v>
      </c>
      <c r="U914" s="4">
        <v>97</v>
      </c>
      <c r="V914" s="6">
        <f>IF(ISERROR(VLOOKUP($S$914,'TAR FIN'!$A$1:$O$116,15,0)),0,VLOOKUP($S$914,'TAR FIN'!$A$1:$O$116,15,0))</f>
        <v>0</v>
      </c>
      <c r="W914" s="6">
        <f>IF(ISERROR(VLOOKUP($T$914,'TAR FIN'!$A$1:$O$116,15,0)),0,VLOOKUP($T$914,'TAR FIN'!$A$1:$O$116,15,0))</f>
        <v>301.38</v>
      </c>
      <c r="X914" s="6">
        <f>IF(ISERROR(VLOOKUP($U$914,'TAR FIN'!$A$1:$O$116,15,0)),0,VLOOKUP($U$914,'TAR FIN'!$A$1:$O$116,15,0))</f>
        <v>287.29000000000002</v>
      </c>
      <c r="Y914" s="6"/>
      <c r="Z914" s="6">
        <f ca="1">('TUSD BE'!$AM$56+'TUSD BF'!$AM$56+'TUSD CVA'!$AM$56)*(1-CUSTOS!$M$38)</f>
        <v>410.57781128100521</v>
      </c>
      <c r="AA914" s="6">
        <f>('TE BE'!$AB$27+'TE BF'!$AB$27+'TE CVA'!$AB$27)*(1-CUSTOS!$M$38)</f>
        <v>309.85296222048811</v>
      </c>
      <c r="AB914" s="6">
        <f t="shared" si="50"/>
        <v>0</v>
      </c>
      <c r="AC914" s="6">
        <f>(L914-M914)*(W914+X914)+($W$597+$X$597-$W$914-$X$914)*(L914)</f>
        <v>61183.475280000021</v>
      </c>
      <c r="AD914" s="6">
        <f t="shared" si="51"/>
        <v>0</v>
      </c>
      <c r="AE914" s="6">
        <f ca="1">(L914-M914)*(Z914+AA914)+($Z$597+$AA$597-$Z$914-$AA$914)*(L914)</f>
        <v>35046.320660782912</v>
      </c>
      <c r="AF914" s="4" t="s">
        <v>1114</v>
      </c>
    </row>
    <row r="915" spans="1:32" ht="11.25" customHeight="1" x14ac:dyDescent="0.25">
      <c r="A915" s="4" t="s">
        <v>28</v>
      </c>
      <c r="B915" s="4" t="s">
        <v>44</v>
      </c>
      <c r="C915" s="4" t="s">
        <v>23</v>
      </c>
      <c r="D915" s="4" t="s">
        <v>45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44501</v>
      </c>
      <c r="J915" s="6">
        <v>0</v>
      </c>
      <c r="K915" s="6">
        <v>0</v>
      </c>
      <c r="L915" s="6">
        <v>-17.606999999999999</v>
      </c>
      <c r="M915" s="6">
        <v>-17.606999999999999</v>
      </c>
      <c r="N915" s="6">
        <v>-17.606999999999999</v>
      </c>
      <c r="O915" s="6">
        <v>-17.606999999999999</v>
      </c>
      <c r="P915" s="6">
        <v>0</v>
      </c>
      <c r="Q915" s="4" t="s">
        <v>26</v>
      </c>
      <c r="R915" s="4">
        <v>0</v>
      </c>
      <c r="S915" s="4">
        <v>0</v>
      </c>
      <c r="T915" s="4">
        <v>54</v>
      </c>
      <c r="U915" s="4">
        <v>97</v>
      </c>
      <c r="V915" s="6">
        <f>IF(ISERROR(VLOOKUP($S$915,'TAR FIN'!$A$1:$O$116,15,0)),0,VLOOKUP($S$915,'TAR FIN'!$A$1:$O$116,15,0))</f>
        <v>0</v>
      </c>
      <c r="W915" s="6">
        <f>IF(ISERROR(VLOOKUP($T$915,'TAR FIN'!$A$1:$O$116,15,0)),0,VLOOKUP($T$915,'TAR FIN'!$A$1:$O$116,15,0))</f>
        <v>301.38</v>
      </c>
      <c r="X915" s="6">
        <f>IF(ISERROR(VLOOKUP($U$915,'TAR FIN'!$A$1:$O$116,15,0)),0,VLOOKUP($U$915,'TAR FIN'!$A$1:$O$116,15,0))</f>
        <v>287.29000000000002</v>
      </c>
      <c r="Y915" s="6"/>
      <c r="Z915" s="6">
        <f ca="1">('TUSD BE'!$AM$56+'TUSD BF'!$AM$56+'TUSD CVA'!$AM$56)*(1-CUSTOS!$M$38)</f>
        <v>410.57781128100521</v>
      </c>
      <c r="AA915" s="6">
        <f>('TE BE'!$AB$27+'TE BF'!$AB$27+'TE CVA'!$AB$27)*(1-CUSTOS!$M$38)</f>
        <v>309.85296222048811</v>
      </c>
      <c r="AB915" s="6">
        <f t="shared" si="50"/>
        <v>0</v>
      </c>
      <c r="AC915" s="6">
        <f>(L915-M915)*(W915+X915)+($W$597+$X$597-$W$915-$X$915)*(L915)</f>
        <v>-1413.4899600000006</v>
      </c>
      <c r="AD915" s="6">
        <f t="shared" si="51"/>
        <v>0</v>
      </c>
      <c r="AE915" s="6">
        <f ca="1">(L915-M915)*(Z915+AA915)+($Z$597+$AA$597-$Z$915-$AA$915)*(L915)</f>
        <v>-809.65689121536957</v>
      </c>
      <c r="AF915" s="4" t="s">
        <v>1114</v>
      </c>
    </row>
    <row r="916" spans="1:32" ht="11.25" customHeight="1" x14ac:dyDescent="0.25">
      <c r="A916" s="4" t="s">
        <v>21</v>
      </c>
      <c r="B916" s="4" t="s">
        <v>44</v>
      </c>
      <c r="C916" s="4" t="s">
        <v>23</v>
      </c>
      <c r="D916" s="4" t="s">
        <v>45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44531</v>
      </c>
      <c r="J916" s="6">
        <v>0</v>
      </c>
      <c r="K916" s="6">
        <v>0</v>
      </c>
      <c r="L916" s="6">
        <v>13130.179</v>
      </c>
      <c r="M916" s="6">
        <v>13130.179</v>
      </c>
      <c r="N916" s="6">
        <v>13130.179</v>
      </c>
      <c r="O916" s="6">
        <v>13130.179</v>
      </c>
      <c r="P916" s="6">
        <v>69133</v>
      </c>
      <c r="Q916" s="4" t="s">
        <v>26</v>
      </c>
      <c r="R916" s="4">
        <v>0</v>
      </c>
      <c r="S916" s="4">
        <v>0</v>
      </c>
      <c r="T916" s="4">
        <v>54</v>
      </c>
      <c r="U916" s="4">
        <v>97</v>
      </c>
      <c r="V916" s="6">
        <f>IF(ISERROR(VLOOKUP($S$916,'TAR FIN'!$A$1:$O$116,15,0)),0,VLOOKUP($S$916,'TAR FIN'!$A$1:$O$116,15,0))</f>
        <v>0</v>
      </c>
      <c r="W916" s="6">
        <f>IF(ISERROR(VLOOKUP($T$916,'TAR FIN'!$A$1:$O$116,15,0)),0,VLOOKUP($T$916,'TAR FIN'!$A$1:$O$116,15,0))</f>
        <v>301.38</v>
      </c>
      <c r="X916" s="6">
        <f>IF(ISERROR(VLOOKUP($U$916,'TAR FIN'!$A$1:$O$116,15,0)),0,VLOOKUP($U$916,'TAR FIN'!$A$1:$O$116,15,0))</f>
        <v>287.29000000000002</v>
      </c>
      <c r="Y916" s="6"/>
      <c r="Z916" s="6">
        <f ca="1">('TUSD BE'!$AM$56+'TUSD BF'!$AM$56+'TUSD CVA'!$AM$56)*(1-CUSTOS!$M$38)</f>
        <v>410.57781128100521</v>
      </c>
      <c r="AA916" s="6">
        <f>('TE BE'!$AB$27+'TE BF'!$AB$27+'TE CVA'!$AB$27)*(1-CUSTOS!$M$38)</f>
        <v>309.85296222048811</v>
      </c>
      <c r="AB916" s="6">
        <f t="shared" si="50"/>
        <v>0</v>
      </c>
      <c r="AC916" s="6">
        <f>(L916-M916)*(W916+X916)+($W$597+$X$597-$W$916-$X$916)*(L916)</f>
        <v>1054090.7701200005</v>
      </c>
      <c r="AD916" s="6">
        <f t="shared" si="51"/>
        <v>0</v>
      </c>
      <c r="AE916" s="6">
        <f ca="1">(L916-M916)*(Z916+AA916)+($Z$597+$AA$597-$Z$916-$AA$916)*(L916)</f>
        <v>603790.53275636572</v>
      </c>
      <c r="AF916" s="4" t="s">
        <v>1114</v>
      </c>
    </row>
    <row r="917" spans="1:32" ht="11.25" customHeight="1" x14ac:dyDescent="0.25">
      <c r="A917" s="4" t="s">
        <v>27</v>
      </c>
      <c r="B917" s="4" t="s">
        <v>44</v>
      </c>
      <c r="C917" s="4" t="s">
        <v>23</v>
      </c>
      <c r="D917" s="4" t="s">
        <v>45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44531</v>
      </c>
      <c r="J917" s="6">
        <v>0</v>
      </c>
      <c r="K917" s="6">
        <v>0</v>
      </c>
      <c r="L917" s="6">
        <v>-73.209999999999994</v>
      </c>
      <c r="M917" s="6">
        <v>-73.209999999999994</v>
      </c>
      <c r="N917" s="6">
        <v>-73.209999999999994</v>
      </c>
      <c r="O917" s="6">
        <v>-73.209999999999994</v>
      </c>
      <c r="P917" s="6">
        <v>-11</v>
      </c>
      <c r="Q917" s="4" t="s">
        <v>26</v>
      </c>
      <c r="R917" s="4">
        <v>0</v>
      </c>
      <c r="S917" s="4">
        <v>0</v>
      </c>
      <c r="T917" s="4">
        <v>54</v>
      </c>
      <c r="U917" s="4">
        <v>97</v>
      </c>
      <c r="V917" s="6">
        <f>IF(ISERROR(VLOOKUP($S$917,'TAR FIN'!$A$1:$O$116,15,0)),0,VLOOKUP($S$917,'TAR FIN'!$A$1:$O$116,15,0))</f>
        <v>0</v>
      </c>
      <c r="W917" s="6">
        <f>IF(ISERROR(VLOOKUP($T$917,'TAR FIN'!$A$1:$O$116,15,0)),0,VLOOKUP($T$917,'TAR FIN'!$A$1:$O$116,15,0))</f>
        <v>301.38</v>
      </c>
      <c r="X917" s="6">
        <f>IF(ISERROR(VLOOKUP($U$917,'TAR FIN'!$A$1:$O$116,15,0)),0,VLOOKUP($U$917,'TAR FIN'!$A$1:$O$116,15,0))</f>
        <v>287.29000000000002</v>
      </c>
      <c r="Y917" s="6"/>
      <c r="Z917" s="6">
        <f ca="1">('TUSD BE'!$AM$56+'TUSD BF'!$AM$56+'TUSD CVA'!$AM$56)*(1-CUSTOS!$M$38)</f>
        <v>410.57781128100521</v>
      </c>
      <c r="AA917" s="6">
        <f>('TE BE'!$AB$27+'TE BF'!$AB$27+'TE CVA'!$AB$27)*(1-CUSTOS!$M$38)</f>
        <v>309.85296222048811</v>
      </c>
      <c r="AB917" s="6">
        <f t="shared" si="50"/>
        <v>0</v>
      </c>
      <c r="AC917" s="6">
        <f>(L917-M917)*(W917+X917)+($W$597+$X$597-$W$917-$X$917)*(L917)</f>
        <v>-5877.2988000000014</v>
      </c>
      <c r="AD917" s="6">
        <f t="shared" si="51"/>
        <v>0</v>
      </c>
      <c r="AE917" s="6">
        <f ca="1">(L917-M917)*(Z917+AA917)+($Z$597+$AA$597-$Z$917-$AA$917)*(L917)</f>
        <v>-3366.5576762581477</v>
      </c>
      <c r="AF917" s="4" t="s">
        <v>1114</v>
      </c>
    </row>
    <row r="918" spans="1:32" ht="11.25" customHeight="1" x14ac:dyDescent="0.25">
      <c r="A918" s="4" t="s">
        <v>28</v>
      </c>
      <c r="B918" s="4" t="s">
        <v>44</v>
      </c>
      <c r="C918" s="4" t="s">
        <v>23</v>
      </c>
      <c r="D918" s="4" t="s">
        <v>45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44531</v>
      </c>
      <c r="J918" s="6">
        <v>0</v>
      </c>
      <c r="K918" s="6">
        <v>0</v>
      </c>
      <c r="L918" s="6">
        <v>746.39300000000003</v>
      </c>
      <c r="M918" s="6">
        <v>746.39300000000003</v>
      </c>
      <c r="N918" s="6">
        <v>746.39300000000003</v>
      </c>
      <c r="O918" s="6">
        <v>746.39300000000003</v>
      </c>
      <c r="P918" s="6">
        <v>2870</v>
      </c>
      <c r="Q918" s="4" t="s">
        <v>26</v>
      </c>
      <c r="R918" s="4">
        <v>0</v>
      </c>
      <c r="S918" s="4">
        <v>0</v>
      </c>
      <c r="T918" s="4">
        <v>54</v>
      </c>
      <c r="U918" s="4">
        <v>97</v>
      </c>
      <c r="V918" s="6">
        <f>IF(ISERROR(VLOOKUP($S$918,'TAR FIN'!$A$1:$O$116,15,0)),0,VLOOKUP($S$918,'TAR FIN'!$A$1:$O$116,15,0))</f>
        <v>0</v>
      </c>
      <c r="W918" s="6">
        <f>IF(ISERROR(VLOOKUP($T$918,'TAR FIN'!$A$1:$O$116,15,0)),0,VLOOKUP($T$918,'TAR FIN'!$A$1:$O$116,15,0))</f>
        <v>301.38</v>
      </c>
      <c r="X918" s="6">
        <f>IF(ISERROR(VLOOKUP($U$918,'TAR FIN'!$A$1:$O$116,15,0)),0,VLOOKUP($U$918,'TAR FIN'!$A$1:$O$116,15,0))</f>
        <v>287.29000000000002</v>
      </c>
      <c r="Y918" s="6"/>
      <c r="Z918" s="6">
        <f ca="1">('TUSD BE'!$AM$56+'TUSD BF'!$AM$56+'TUSD CVA'!$AM$56)*(1-CUSTOS!$M$38)</f>
        <v>410.57781128100521</v>
      </c>
      <c r="AA918" s="6">
        <f>('TE BE'!$AB$27+'TE BF'!$AB$27+'TE CVA'!$AB$27)*(1-CUSTOS!$M$38)</f>
        <v>309.85296222048811</v>
      </c>
      <c r="AB918" s="6">
        <f t="shared" si="50"/>
        <v>0</v>
      </c>
      <c r="AC918" s="6">
        <f>(L918-M918)*(W918+X918)+($W$597+$X$597-$W$918-$X$918)*(L918)</f>
        <v>59920.430040000021</v>
      </c>
      <c r="AD918" s="6">
        <f t="shared" si="51"/>
        <v>0</v>
      </c>
      <c r="AE918" s="6">
        <f ca="1">(L918-M918)*(Z918+AA918)+($Z$597+$AA$597-$Z$918-$AA$918)*(L918)</f>
        <v>34322.839552729791</v>
      </c>
      <c r="AF918" s="4" t="s">
        <v>1114</v>
      </c>
    </row>
    <row r="919" spans="1:32" ht="11.25" customHeight="1" x14ac:dyDescent="0.25">
      <c r="A919" s="4" t="s">
        <v>28</v>
      </c>
      <c r="B919" s="4" t="s">
        <v>44</v>
      </c>
      <c r="C919" s="4" t="s">
        <v>23</v>
      </c>
      <c r="D919" s="4" t="s">
        <v>45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44531</v>
      </c>
      <c r="J919" s="6">
        <v>0</v>
      </c>
      <c r="K919" s="6">
        <v>0</v>
      </c>
      <c r="L919" s="6">
        <v>-25.323</v>
      </c>
      <c r="M919" s="6">
        <v>-25.323</v>
      </c>
      <c r="N919" s="6">
        <v>-25.323</v>
      </c>
      <c r="O919" s="6">
        <v>-25.323</v>
      </c>
      <c r="P919" s="6">
        <v>0</v>
      </c>
      <c r="Q919" s="4" t="s">
        <v>26</v>
      </c>
      <c r="R919" s="4">
        <v>0</v>
      </c>
      <c r="S919" s="4">
        <v>0</v>
      </c>
      <c r="T919" s="4">
        <v>54</v>
      </c>
      <c r="U919" s="4">
        <v>97</v>
      </c>
      <c r="V919" s="6">
        <f>IF(ISERROR(VLOOKUP($S$919,'TAR FIN'!$A$1:$O$116,15,0)),0,VLOOKUP($S$919,'TAR FIN'!$A$1:$O$116,15,0))</f>
        <v>0</v>
      </c>
      <c r="W919" s="6">
        <f>IF(ISERROR(VLOOKUP($T$919,'TAR FIN'!$A$1:$O$116,15,0)),0,VLOOKUP($T$919,'TAR FIN'!$A$1:$O$116,15,0))</f>
        <v>301.38</v>
      </c>
      <c r="X919" s="6">
        <f>IF(ISERROR(VLOOKUP($U$919,'TAR FIN'!$A$1:$O$116,15,0)),0,VLOOKUP($U$919,'TAR FIN'!$A$1:$O$116,15,0))</f>
        <v>287.29000000000002</v>
      </c>
      <c r="Y919" s="6"/>
      <c r="Z919" s="6">
        <f ca="1">('TUSD BE'!$AM$56+'TUSD BF'!$AM$56+'TUSD CVA'!$AM$56)*(1-CUSTOS!$M$38)</f>
        <v>410.57781128100521</v>
      </c>
      <c r="AA919" s="6">
        <f>('TE BE'!$AB$27+'TE BF'!$AB$27+'TE CVA'!$AB$27)*(1-CUSTOS!$M$38)</f>
        <v>309.85296222048811</v>
      </c>
      <c r="AB919" s="6">
        <f t="shared" si="50"/>
        <v>0</v>
      </c>
      <c r="AC919" s="6">
        <f>(L919-M919)*(W919+X919)+($W$597+$X$597-$W$919-$X$919)*(L919)</f>
        <v>-2032.9304400000008</v>
      </c>
      <c r="AD919" s="6">
        <f t="shared" si="51"/>
        <v>0</v>
      </c>
      <c r="AE919" s="6">
        <f ca="1">(L919-M919)*(Z919+AA919)+($Z$597+$AA$597-$Z$919-$AA$919)*(L919)</f>
        <v>-1164.4767113220198</v>
      </c>
      <c r="AF919" s="4" t="s">
        <v>1114</v>
      </c>
    </row>
    <row r="920" spans="1:32" ht="11.25" customHeight="1" x14ac:dyDescent="0.25">
      <c r="A920" s="4" t="s">
        <v>21</v>
      </c>
      <c r="B920" s="4" t="s">
        <v>44</v>
      </c>
      <c r="C920" s="4" t="s">
        <v>23</v>
      </c>
      <c r="D920" s="4" t="s">
        <v>45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44562</v>
      </c>
      <c r="J920" s="6">
        <v>0</v>
      </c>
      <c r="K920" s="6">
        <v>0</v>
      </c>
      <c r="L920" s="6">
        <v>12697.468000000001</v>
      </c>
      <c r="M920" s="6">
        <v>12697.468000000001</v>
      </c>
      <c r="N920" s="6">
        <v>12697.468000000001</v>
      </c>
      <c r="O920" s="6">
        <v>12697.468000000001</v>
      </c>
      <c r="P920" s="6">
        <v>66146</v>
      </c>
      <c r="Q920" s="4" t="s">
        <v>26</v>
      </c>
      <c r="R920" s="4">
        <v>0</v>
      </c>
      <c r="S920" s="4">
        <v>0</v>
      </c>
      <c r="T920" s="4">
        <v>54</v>
      </c>
      <c r="U920" s="4">
        <v>97</v>
      </c>
      <c r="V920" s="6">
        <f>IF(ISERROR(VLOOKUP($S$920,'TAR FIN'!$A$1:$O$116,15,0)),0,VLOOKUP($S$920,'TAR FIN'!$A$1:$O$116,15,0))</f>
        <v>0</v>
      </c>
      <c r="W920" s="6">
        <f>IF(ISERROR(VLOOKUP($T$920,'TAR FIN'!$A$1:$O$116,15,0)),0,VLOOKUP($T$920,'TAR FIN'!$A$1:$O$116,15,0))</f>
        <v>301.38</v>
      </c>
      <c r="X920" s="6">
        <f>IF(ISERROR(VLOOKUP($U$920,'TAR FIN'!$A$1:$O$116,15,0)),0,VLOOKUP($U$920,'TAR FIN'!$A$1:$O$116,15,0))</f>
        <v>287.29000000000002</v>
      </c>
      <c r="Y920" s="6"/>
      <c r="Z920" s="6">
        <f ca="1">('TUSD BE'!$AM$56+'TUSD BF'!$AM$56+'TUSD CVA'!$AM$56)*(1-CUSTOS!$M$38)</f>
        <v>410.57781128100521</v>
      </c>
      <c r="AA920" s="6">
        <f>('TE BE'!$AB$27+'TE BF'!$AB$27+'TE CVA'!$AB$27)*(1-CUSTOS!$M$38)</f>
        <v>309.85296222048811</v>
      </c>
      <c r="AB920" s="6">
        <f t="shared" si="50"/>
        <v>0</v>
      </c>
      <c r="AC920" s="6">
        <f>(L920-M920)*(W920+X920)+($W$597+$X$597-$W$920-$X$920)*(L920)</f>
        <v>1019352.7310400004</v>
      </c>
      <c r="AD920" s="6">
        <f t="shared" si="51"/>
        <v>0</v>
      </c>
      <c r="AE920" s="6">
        <f ca="1">(L920-M920)*(Z920+AA920)+($Z$597+$AA$597-$Z$920-$AA$920)*(L920)</f>
        <v>583892.34209045477</v>
      </c>
      <c r="AF920" s="4" t="s">
        <v>1114</v>
      </c>
    </row>
    <row r="921" spans="1:32" ht="11.25" customHeight="1" x14ac:dyDescent="0.25">
      <c r="A921" s="4" t="s">
        <v>27</v>
      </c>
      <c r="B921" s="4" t="s">
        <v>44</v>
      </c>
      <c r="C921" s="4" t="s">
        <v>23</v>
      </c>
      <c r="D921" s="4" t="s">
        <v>45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44562</v>
      </c>
      <c r="J921" s="6">
        <v>0</v>
      </c>
      <c r="K921" s="6">
        <v>0</v>
      </c>
      <c r="L921" s="6">
        <v>126.062</v>
      </c>
      <c r="M921" s="6">
        <v>126.062</v>
      </c>
      <c r="N921" s="6">
        <v>126.062</v>
      </c>
      <c r="O921" s="6">
        <v>126.062</v>
      </c>
      <c r="P921" s="6">
        <v>109</v>
      </c>
      <c r="Q921" s="4" t="s">
        <v>26</v>
      </c>
      <c r="R921" s="4">
        <v>0</v>
      </c>
      <c r="S921" s="4">
        <v>0</v>
      </c>
      <c r="T921" s="4">
        <v>54</v>
      </c>
      <c r="U921" s="4">
        <v>97</v>
      </c>
      <c r="V921" s="6">
        <f>IF(ISERROR(VLOOKUP($S$921,'TAR FIN'!$A$1:$O$116,15,0)),0,VLOOKUP($S$921,'TAR FIN'!$A$1:$O$116,15,0))</f>
        <v>0</v>
      </c>
      <c r="W921" s="6">
        <f>IF(ISERROR(VLOOKUP($T$921,'TAR FIN'!$A$1:$O$116,15,0)),0,VLOOKUP($T$921,'TAR FIN'!$A$1:$O$116,15,0))</f>
        <v>301.38</v>
      </c>
      <c r="X921" s="6">
        <f>IF(ISERROR(VLOOKUP($U$921,'TAR FIN'!$A$1:$O$116,15,0)),0,VLOOKUP($U$921,'TAR FIN'!$A$1:$O$116,15,0))</f>
        <v>287.29000000000002</v>
      </c>
      <c r="Y921" s="6"/>
      <c r="Z921" s="6">
        <f ca="1">('TUSD BE'!$AM$56+'TUSD BF'!$AM$56+'TUSD CVA'!$AM$56)*(1-CUSTOS!$M$38)</f>
        <v>410.57781128100521</v>
      </c>
      <c r="AA921" s="6">
        <f>('TE BE'!$AB$27+'TE BF'!$AB$27+'TE CVA'!$AB$27)*(1-CUSTOS!$M$38)</f>
        <v>309.85296222048811</v>
      </c>
      <c r="AB921" s="6">
        <f t="shared" si="50"/>
        <v>0</v>
      </c>
      <c r="AC921" s="6">
        <f>(L921-M921)*(W921+X921)+($W$597+$X$597-$W$921-$X$921)*(L921)</f>
        <v>10120.257360000003</v>
      </c>
      <c r="AD921" s="6">
        <f t="shared" si="51"/>
        <v>0</v>
      </c>
      <c r="AE921" s="6">
        <f ca="1">(L921-M921)*(Z921+AA921)+($Z$597+$AA$597-$Z$921-$AA$921)*(L921)</f>
        <v>5796.95388313693</v>
      </c>
      <c r="AF921" s="4" t="s">
        <v>1114</v>
      </c>
    </row>
    <row r="922" spans="1:32" ht="11.25" customHeight="1" x14ac:dyDescent="0.25">
      <c r="A922" s="4" t="s">
        <v>28</v>
      </c>
      <c r="B922" s="4" t="s">
        <v>44</v>
      </c>
      <c r="C922" s="4" t="s">
        <v>23</v>
      </c>
      <c r="D922" s="4" t="s">
        <v>45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44562</v>
      </c>
      <c r="J922" s="6">
        <v>0</v>
      </c>
      <c r="K922" s="6">
        <v>0</v>
      </c>
      <c r="L922" s="6">
        <v>717.596</v>
      </c>
      <c r="M922" s="6">
        <v>717.596</v>
      </c>
      <c r="N922" s="6">
        <v>717.596</v>
      </c>
      <c r="O922" s="6">
        <v>717.596</v>
      </c>
      <c r="P922" s="6">
        <v>3038</v>
      </c>
      <c r="Q922" s="4" t="s">
        <v>26</v>
      </c>
      <c r="R922" s="4">
        <v>0</v>
      </c>
      <c r="S922" s="4">
        <v>0</v>
      </c>
      <c r="T922" s="4">
        <v>54</v>
      </c>
      <c r="U922" s="4">
        <v>97</v>
      </c>
      <c r="V922" s="6">
        <f>IF(ISERROR(VLOOKUP($S$922,'TAR FIN'!$A$1:$O$116,15,0)),0,VLOOKUP($S$922,'TAR FIN'!$A$1:$O$116,15,0))</f>
        <v>0</v>
      </c>
      <c r="W922" s="6">
        <f>IF(ISERROR(VLOOKUP($T$922,'TAR FIN'!$A$1:$O$116,15,0)),0,VLOOKUP($T$922,'TAR FIN'!$A$1:$O$116,15,0))</f>
        <v>301.38</v>
      </c>
      <c r="X922" s="6">
        <f>IF(ISERROR(VLOOKUP($U$922,'TAR FIN'!$A$1:$O$116,15,0)),0,VLOOKUP($U$922,'TAR FIN'!$A$1:$O$116,15,0))</f>
        <v>287.29000000000002</v>
      </c>
      <c r="Y922" s="6"/>
      <c r="Z922" s="6">
        <f ca="1">('TUSD BE'!$AM$56+'TUSD BF'!$AM$56+'TUSD CVA'!$AM$56)*(1-CUSTOS!$M$38)</f>
        <v>410.57781128100521</v>
      </c>
      <c r="AA922" s="6">
        <f>('TE BE'!$AB$27+'TE BF'!$AB$27+'TE CVA'!$AB$27)*(1-CUSTOS!$M$38)</f>
        <v>309.85296222048811</v>
      </c>
      <c r="AB922" s="6">
        <f t="shared" si="50"/>
        <v>0</v>
      </c>
      <c r="AC922" s="6">
        <f>(L922-M922)*(W922+X922)+($W$597+$X$597-$W$922-$X$922)*(L922)</f>
        <v>57608.606880000021</v>
      </c>
      <c r="AD922" s="6">
        <f t="shared" si="51"/>
        <v>0</v>
      </c>
      <c r="AE922" s="6">
        <f ca="1">(L922-M922)*(Z922+AA922)+($Z$597+$AA$597-$Z$922-$AA$922)*(L922)</f>
        <v>32998.611149462391</v>
      </c>
      <c r="AF922" s="4" t="s">
        <v>1114</v>
      </c>
    </row>
    <row r="923" spans="1:32" ht="11.25" customHeight="1" x14ac:dyDescent="0.25">
      <c r="A923" s="4" t="s">
        <v>28</v>
      </c>
      <c r="B923" s="4" t="s">
        <v>44</v>
      </c>
      <c r="C923" s="4" t="s">
        <v>23</v>
      </c>
      <c r="D923" s="4" t="s">
        <v>45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44562</v>
      </c>
      <c r="J923" s="6">
        <v>0</v>
      </c>
      <c r="K923" s="6">
        <v>0</v>
      </c>
      <c r="L923" s="6">
        <v>-9.07</v>
      </c>
      <c r="M923" s="6">
        <v>-9.07</v>
      </c>
      <c r="N923" s="6">
        <v>-9.07</v>
      </c>
      <c r="O923" s="6">
        <v>-9.07</v>
      </c>
      <c r="P923" s="6">
        <v>0</v>
      </c>
      <c r="Q923" s="4" t="s">
        <v>26</v>
      </c>
      <c r="R923" s="4">
        <v>0</v>
      </c>
      <c r="S923" s="4">
        <v>0</v>
      </c>
      <c r="T923" s="4">
        <v>54</v>
      </c>
      <c r="U923" s="4">
        <v>97</v>
      </c>
      <c r="V923" s="6">
        <f>IF(ISERROR(VLOOKUP($S$923,'TAR FIN'!$A$1:$O$116,15,0)),0,VLOOKUP($S$923,'TAR FIN'!$A$1:$O$116,15,0))</f>
        <v>0</v>
      </c>
      <c r="W923" s="6">
        <f>IF(ISERROR(VLOOKUP($T$923,'TAR FIN'!$A$1:$O$116,15,0)),0,VLOOKUP($T$923,'TAR FIN'!$A$1:$O$116,15,0))</f>
        <v>301.38</v>
      </c>
      <c r="X923" s="6">
        <f>IF(ISERROR(VLOOKUP($U$923,'TAR FIN'!$A$1:$O$116,15,0)),0,VLOOKUP($U$923,'TAR FIN'!$A$1:$O$116,15,0))</f>
        <v>287.29000000000002</v>
      </c>
      <c r="Y923" s="6"/>
      <c r="Z923" s="6">
        <f ca="1">('TUSD BE'!$AM$56+'TUSD BF'!$AM$56+'TUSD CVA'!$AM$56)*(1-CUSTOS!$M$38)</f>
        <v>410.57781128100521</v>
      </c>
      <c r="AA923" s="6">
        <f>('TE BE'!$AB$27+'TE BF'!$AB$27+'TE CVA'!$AB$27)*(1-CUSTOS!$M$38)</f>
        <v>309.85296222048811</v>
      </c>
      <c r="AB923" s="6">
        <f t="shared" si="50"/>
        <v>0</v>
      </c>
      <c r="AC923" s="6">
        <f>(L923-M923)*(W923+X923)+($W$597+$X$597-$W$923-$X$923)*(L923)</f>
        <v>-728.13960000000031</v>
      </c>
      <c r="AD923" s="6">
        <f t="shared" si="51"/>
        <v>0</v>
      </c>
      <c r="AE923" s="6">
        <f ca="1">(L923-M923)*(Z923+AA923)+($Z$597+$AA$597-$Z$923-$AA$923)*(L923)</f>
        <v>-417.08343291437512</v>
      </c>
      <c r="AF923" s="4" t="s">
        <v>1114</v>
      </c>
    </row>
    <row r="924" spans="1:32" ht="11.25" customHeight="1" x14ac:dyDescent="0.25">
      <c r="A924" s="4" t="s">
        <v>21</v>
      </c>
      <c r="B924" s="4" t="s">
        <v>44</v>
      </c>
      <c r="C924" s="4" t="s">
        <v>23</v>
      </c>
      <c r="D924" s="4" t="s">
        <v>45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44593</v>
      </c>
      <c r="J924" s="6">
        <v>0</v>
      </c>
      <c r="K924" s="6">
        <v>0</v>
      </c>
      <c r="L924" s="6">
        <v>10315.221</v>
      </c>
      <c r="M924" s="6">
        <v>10315.221</v>
      </c>
      <c r="N924" s="6">
        <v>10315.221</v>
      </c>
      <c r="O924" s="6">
        <v>10315.221</v>
      </c>
      <c r="P924" s="6">
        <v>53898</v>
      </c>
      <c r="Q924" s="4" t="s">
        <v>26</v>
      </c>
      <c r="R924" s="4">
        <v>0</v>
      </c>
      <c r="S924" s="4">
        <v>0</v>
      </c>
      <c r="T924" s="4">
        <v>54</v>
      </c>
      <c r="U924" s="4">
        <v>97</v>
      </c>
      <c r="V924" s="6">
        <f>IF(ISERROR(VLOOKUP($S$924,'TAR FIN'!$A$1:$O$116,15,0)),0,VLOOKUP($S$924,'TAR FIN'!$A$1:$O$116,15,0))</f>
        <v>0</v>
      </c>
      <c r="W924" s="6">
        <f>IF(ISERROR(VLOOKUP($T$924,'TAR FIN'!$A$1:$O$116,15,0)),0,VLOOKUP($T$924,'TAR FIN'!$A$1:$O$116,15,0))</f>
        <v>301.38</v>
      </c>
      <c r="X924" s="6">
        <f>IF(ISERROR(VLOOKUP($U$924,'TAR FIN'!$A$1:$O$116,15,0)),0,VLOOKUP($U$924,'TAR FIN'!$A$1:$O$116,15,0))</f>
        <v>287.29000000000002</v>
      </c>
      <c r="Y924" s="6"/>
      <c r="Z924" s="6">
        <f ca="1">('TUSD BE'!$AM$56+'TUSD BF'!$AM$56+'TUSD CVA'!$AM$56)*(1-CUSTOS!$M$38)</f>
        <v>410.57781128100521</v>
      </c>
      <c r="AA924" s="6">
        <f>('TE BE'!$AB$27+'TE BF'!$AB$27+'TE CVA'!$AB$27)*(1-CUSTOS!$M$38)</f>
        <v>309.85296222048811</v>
      </c>
      <c r="AB924" s="6">
        <f t="shared" si="50"/>
        <v>0</v>
      </c>
      <c r="AC924" s="6">
        <f>(L924-M924)*(W924+X924)+($W$597+$X$597-$W$924-$X$924)*(L924)</f>
        <v>828105.94188000029</v>
      </c>
      <c r="AD924" s="6">
        <f t="shared" si="51"/>
        <v>0</v>
      </c>
      <c r="AE924" s="6">
        <f ca="1">(L924-M924)*(Z924+AA924)+($Z$597+$AA$597-$Z$924-$AA$924)*(L924)</f>
        <v>474344.84960864973</v>
      </c>
      <c r="AF924" s="4" t="s">
        <v>1114</v>
      </c>
    </row>
    <row r="925" spans="1:32" ht="11.25" customHeight="1" x14ac:dyDescent="0.25">
      <c r="A925" s="4" t="s">
        <v>27</v>
      </c>
      <c r="B925" s="4" t="s">
        <v>44</v>
      </c>
      <c r="C925" s="4" t="s">
        <v>23</v>
      </c>
      <c r="D925" s="4" t="s">
        <v>45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44593</v>
      </c>
      <c r="J925" s="6">
        <v>0</v>
      </c>
      <c r="K925" s="6">
        <v>0</v>
      </c>
      <c r="L925" s="6">
        <v>-39.162999999999997</v>
      </c>
      <c r="M925" s="6">
        <v>-39.162999999999997</v>
      </c>
      <c r="N925" s="6">
        <v>-39.162999999999997</v>
      </c>
      <c r="O925" s="6">
        <v>-39.162999999999997</v>
      </c>
      <c r="P925" s="6">
        <v>7</v>
      </c>
      <c r="Q925" s="4" t="s">
        <v>26</v>
      </c>
      <c r="R925" s="4">
        <v>0</v>
      </c>
      <c r="S925" s="4">
        <v>0</v>
      </c>
      <c r="T925" s="4">
        <v>54</v>
      </c>
      <c r="U925" s="4">
        <v>97</v>
      </c>
      <c r="V925" s="6">
        <f>IF(ISERROR(VLOOKUP($S$925,'TAR FIN'!$A$1:$O$116,15,0)),0,VLOOKUP($S$925,'TAR FIN'!$A$1:$O$116,15,0))</f>
        <v>0</v>
      </c>
      <c r="W925" s="6">
        <f>IF(ISERROR(VLOOKUP($T$925,'TAR FIN'!$A$1:$O$116,15,0)),0,VLOOKUP($T$925,'TAR FIN'!$A$1:$O$116,15,0))</f>
        <v>301.38</v>
      </c>
      <c r="X925" s="6">
        <f>IF(ISERROR(VLOOKUP($U$925,'TAR FIN'!$A$1:$O$116,15,0)),0,VLOOKUP($U$925,'TAR FIN'!$A$1:$O$116,15,0))</f>
        <v>287.29000000000002</v>
      </c>
      <c r="Y925" s="6"/>
      <c r="Z925" s="6">
        <f ca="1">('TUSD BE'!$AM$56+'TUSD BF'!$AM$56+'TUSD CVA'!$AM$56)*(1-CUSTOS!$M$38)</f>
        <v>410.57781128100521</v>
      </c>
      <c r="AA925" s="6">
        <f>('TE BE'!$AB$27+'TE BF'!$AB$27+'TE CVA'!$AB$27)*(1-CUSTOS!$M$38)</f>
        <v>309.85296222048811</v>
      </c>
      <c r="AB925" s="6">
        <f t="shared" si="50"/>
        <v>0</v>
      </c>
      <c r="AC925" s="6">
        <f>(L925-M925)*(W925+X925)+($W$597+$X$597-$W$925-$X$925)*(L925)</f>
        <v>-3144.0056400000008</v>
      </c>
      <c r="AD925" s="6">
        <f t="shared" si="51"/>
        <v>0</v>
      </c>
      <c r="AE925" s="6">
        <f ca="1">(L925-M925)*(Z925+AA925)+($Z$597+$AA$597-$Z$925-$AA$925)*(L925)</f>
        <v>-1800.9083222961049</v>
      </c>
      <c r="AF925" s="4" t="s">
        <v>1114</v>
      </c>
    </row>
    <row r="926" spans="1:32" ht="11.25" customHeight="1" x14ac:dyDescent="0.25">
      <c r="A926" s="4" t="s">
        <v>28</v>
      </c>
      <c r="B926" s="4" t="s">
        <v>44</v>
      </c>
      <c r="C926" s="4" t="s">
        <v>23</v>
      </c>
      <c r="D926" s="4" t="s">
        <v>45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44593</v>
      </c>
      <c r="J926" s="6">
        <v>0</v>
      </c>
      <c r="K926" s="6">
        <v>0</v>
      </c>
      <c r="L926" s="6">
        <v>776.41700000000003</v>
      </c>
      <c r="M926" s="6">
        <v>776.41700000000003</v>
      </c>
      <c r="N926" s="6">
        <v>776.41700000000003</v>
      </c>
      <c r="O926" s="6">
        <v>776.41700000000003</v>
      </c>
      <c r="P926" s="6">
        <v>3002</v>
      </c>
      <c r="Q926" s="4" t="s">
        <v>26</v>
      </c>
      <c r="R926" s="4">
        <v>0</v>
      </c>
      <c r="S926" s="4">
        <v>0</v>
      </c>
      <c r="T926" s="4">
        <v>54</v>
      </c>
      <c r="U926" s="4">
        <v>97</v>
      </c>
      <c r="V926" s="6">
        <f>IF(ISERROR(VLOOKUP($S$926,'TAR FIN'!$A$1:$O$116,15,0)),0,VLOOKUP($S$926,'TAR FIN'!$A$1:$O$116,15,0))</f>
        <v>0</v>
      </c>
      <c r="W926" s="6">
        <f>IF(ISERROR(VLOOKUP($T$926,'TAR FIN'!$A$1:$O$116,15,0)),0,VLOOKUP($T$926,'TAR FIN'!$A$1:$O$116,15,0))</f>
        <v>301.38</v>
      </c>
      <c r="X926" s="6">
        <f>IF(ISERROR(VLOOKUP($U$926,'TAR FIN'!$A$1:$O$116,15,0)),0,VLOOKUP($U$926,'TAR FIN'!$A$1:$O$116,15,0))</f>
        <v>287.29000000000002</v>
      </c>
      <c r="Y926" s="6"/>
      <c r="Z926" s="6">
        <f ca="1">('TUSD BE'!$AM$56+'TUSD BF'!$AM$56+'TUSD CVA'!$AM$56)*(1-CUSTOS!$M$38)</f>
        <v>410.57781128100521</v>
      </c>
      <c r="AA926" s="6">
        <f>('TE BE'!$AB$27+'TE BF'!$AB$27+'TE CVA'!$AB$27)*(1-CUSTOS!$M$38)</f>
        <v>309.85296222048811</v>
      </c>
      <c r="AB926" s="6">
        <f t="shared" si="50"/>
        <v>0</v>
      </c>
      <c r="AC926" s="6">
        <f>(L926-M926)*(W926+X926)+($W$597+$X$597-$W$926-$X$926)*(L926)</f>
        <v>62330.756760000026</v>
      </c>
      <c r="AD926" s="6">
        <f t="shared" si="51"/>
        <v>0</v>
      </c>
      <c r="AE926" s="6">
        <f ca="1">(L926-M926)*(Z926+AA926)+($Z$597+$AA$597-$Z$926-$AA$926)*(L926)</f>
        <v>35703.491481045246</v>
      </c>
      <c r="AF926" s="4" t="s">
        <v>1114</v>
      </c>
    </row>
    <row r="927" spans="1:32" ht="11.25" customHeight="1" x14ac:dyDescent="0.25">
      <c r="A927" s="4" t="s">
        <v>28</v>
      </c>
      <c r="B927" s="4" t="s">
        <v>44</v>
      </c>
      <c r="C927" s="4" t="s">
        <v>23</v>
      </c>
      <c r="D927" s="4" t="s">
        <v>45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44593</v>
      </c>
      <c r="J927" s="6">
        <v>0</v>
      </c>
      <c r="K927" s="6">
        <v>0</v>
      </c>
      <c r="L927" s="6">
        <v>-1.3919999999999999</v>
      </c>
      <c r="M927" s="6">
        <v>-1.3919999999999999</v>
      </c>
      <c r="N927" s="6">
        <v>-1.3919999999999999</v>
      </c>
      <c r="O927" s="6">
        <v>-1.3919999999999999</v>
      </c>
      <c r="P927" s="6">
        <v>0</v>
      </c>
      <c r="Q927" s="4" t="s">
        <v>26</v>
      </c>
      <c r="R927" s="4">
        <v>0</v>
      </c>
      <c r="S927" s="4">
        <v>0</v>
      </c>
      <c r="T927" s="4">
        <v>54</v>
      </c>
      <c r="U927" s="4">
        <v>97</v>
      </c>
      <c r="V927" s="6">
        <f>IF(ISERROR(VLOOKUP($S$927,'TAR FIN'!$A$1:$O$116,15,0)),0,VLOOKUP($S$927,'TAR FIN'!$A$1:$O$116,15,0))</f>
        <v>0</v>
      </c>
      <c r="W927" s="6">
        <f>IF(ISERROR(VLOOKUP($T$927,'TAR FIN'!$A$1:$O$116,15,0)),0,VLOOKUP($T$927,'TAR FIN'!$A$1:$O$116,15,0))</f>
        <v>301.38</v>
      </c>
      <c r="X927" s="6">
        <f>IF(ISERROR(VLOOKUP($U$927,'TAR FIN'!$A$1:$O$116,15,0)),0,VLOOKUP($U$927,'TAR FIN'!$A$1:$O$116,15,0))</f>
        <v>287.29000000000002</v>
      </c>
      <c r="Y927" s="6"/>
      <c r="Z927" s="6">
        <f ca="1">('TUSD BE'!$AM$56+'TUSD BF'!$AM$56+'TUSD CVA'!$AM$56)*(1-CUSTOS!$M$38)</f>
        <v>410.57781128100521</v>
      </c>
      <c r="AA927" s="6">
        <f>('TE BE'!$AB$27+'TE BF'!$AB$27+'TE CVA'!$AB$27)*(1-CUSTOS!$M$38)</f>
        <v>309.85296222048811</v>
      </c>
      <c r="AB927" s="6">
        <f t="shared" si="50"/>
        <v>0</v>
      </c>
      <c r="AC927" s="6">
        <f>(L927-M927)*(W927+X927)+($W$597+$X$597-$W$927-$X$927)*(L927)</f>
        <v>-111.74976000000004</v>
      </c>
      <c r="AD927" s="6">
        <f t="shared" si="51"/>
        <v>0</v>
      </c>
      <c r="AE927" s="6">
        <f ca="1">(L927-M927)*(Z927+AA927)+($Z$597+$AA$597-$Z$927-$AA$927)*(L927)</f>
        <v>-64.011040641324158</v>
      </c>
      <c r="AF927" s="4" t="s">
        <v>1114</v>
      </c>
    </row>
    <row r="928" spans="1:32" ht="11.25" customHeight="1" x14ac:dyDescent="0.25">
      <c r="A928" s="4" t="s">
        <v>21</v>
      </c>
      <c r="B928" s="4" t="s">
        <v>44</v>
      </c>
      <c r="C928" s="4" t="s">
        <v>23</v>
      </c>
      <c r="D928" s="4" t="s">
        <v>45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44621</v>
      </c>
      <c r="J928" s="6">
        <v>0</v>
      </c>
      <c r="K928" s="6">
        <v>0</v>
      </c>
      <c r="L928" s="6">
        <v>10406.697</v>
      </c>
      <c r="M928" s="6">
        <v>10406.697</v>
      </c>
      <c r="N928" s="6">
        <v>10406.697</v>
      </c>
      <c r="O928" s="6">
        <v>10406.697</v>
      </c>
      <c r="P928" s="6">
        <v>53732</v>
      </c>
      <c r="Q928" s="4" t="s">
        <v>26</v>
      </c>
      <c r="R928" s="4">
        <v>0</v>
      </c>
      <c r="S928" s="4">
        <v>0</v>
      </c>
      <c r="T928" s="4">
        <v>54</v>
      </c>
      <c r="U928" s="4">
        <v>97</v>
      </c>
      <c r="V928" s="6">
        <f>IF(ISERROR(VLOOKUP($S$928,'TAR FIN'!$A$1:$O$116,15,0)),0,VLOOKUP($S$928,'TAR FIN'!$A$1:$O$116,15,0))</f>
        <v>0</v>
      </c>
      <c r="W928" s="6">
        <f>IF(ISERROR(VLOOKUP($T$928,'TAR FIN'!$A$1:$O$116,15,0)),0,VLOOKUP($T$928,'TAR FIN'!$A$1:$O$116,15,0))</f>
        <v>301.38</v>
      </c>
      <c r="X928" s="6">
        <f>IF(ISERROR(VLOOKUP($U$928,'TAR FIN'!$A$1:$O$116,15,0)),0,VLOOKUP($U$928,'TAR FIN'!$A$1:$O$116,15,0))</f>
        <v>287.29000000000002</v>
      </c>
      <c r="Y928" s="6"/>
      <c r="Z928" s="6">
        <f ca="1">('TUSD BE'!$AM$56+'TUSD BF'!$AM$56+'TUSD CVA'!$AM$56)*(1-CUSTOS!$M$38)</f>
        <v>410.57781128100521</v>
      </c>
      <c r="AA928" s="6">
        <f>('TE BE'!$AB$27+'TE BF'!$AB$27+'TE CVA'!$AB$27)*(1-CUSTOS!$M$38)</f>
        <v>309.85296222048811</v>
      </c>
      <c r="AB928" s="6">
        <f t="shared" si="50"/>
        <v>0</v>
      </c>
      <c r="AC928" s="6">
        <f>(L928-M928)*(W928+X928)+($W$597+$X$597-$W$928-$X$928)*(L928)</f>
        <v>835449.6351600003</v>
      </c>
      <c r="AD928" s="6">
        <f t="shared" si="51"/>
        <v>0</v>
      </c>
      <c r="AE928" s="6">
        <f ca="1">(L928-M928)*(Z928+AA928)+($Z$597+$AA$597-$Z$928-$AA$928)*(L928)</f>
        <v>478551.36825355329</v>
      </c>
      <c r="AF928" s="4" t="s">
        <v>1114</v>
      </c>
    </row>
    <row r="929" spans="1:32" ht="11.25" customHeight="1" x14ac:dyDescent="0.25">
      <c r="A929" s="4" t="s">
        <v>27</v>
      </c>
      <c r="B929" s="4" t="s">
        <v>44</v>
      </c>
      <c r="C929" s="4" t="s">
        <v>23</v>
      </c>
      <c r="D929" s="4" t="s">
        <v>45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44621</v>
      </c>
      <c r="J929" s="6">
        <v>0</v>
      </c>
      <c r="K929" s="6">
        <v>0</v>
      </c>
      <c r="L929" s="6">
        <v>-48.32</v>
      </c>
      <c r="M929" s="6">
        <v>-48.32</v>
      </c>
      <c r="N929" s="6">
        <v>-48.32</v>
      </c>
      <c r="O929" s="6">
        <v>-48.32</v>
      </c>
      <c r="P929" s="6">
        <v>0</v>
      </c>
      <c r="Q929" s="4" t="s">
        <v>26</v>
      </c>
      <c r="R929" s="4">
        <v>0</v>
      </c>
      <c r="S929" s="4">
        <v>0</v>
      </c>
      <c r="T929" s="4">
        <v>54</v>
      </c>
      <c r="U929" s="4">
        <v>97</v>
      </c>
      <c r="V929" s="6">
        <f>IF(ISERROR(VLOOKUP($S$929,'TAR FIN'!$A$1:$O$116,15,0)),0,VLOOKUP($S$929,'TAR FIN'!$A$1:$O$116,15,0))</f>
        <v>0</v>
      </c>
      <c r="W929" s="6">
        <f>IF(ISERROR(VLOOKUP($T$929,'TAR FIN'!$A$1:$O$116,15,0)),0,VLOOKUP($T$929,'TAR FIN'!$A$1:$O$116,15,0))</f>
        <v>301.38</v>
      </c>
      <c r="X929" s="6">
        <f>IF(ISERROR(VLOOKUP($U$929,'TAR FIN'!$A$1:$O$116,15,0)),0,VLOOKUP($U$929,'TAR FIN'!$A$1:$O$116,15,0))</f>
        <v>287.29000000000002</v>
      </c>
      <c r="Y929" s="6"/>
      <c r="Z929" s="6">
        <f ca="1">('TUSD BE'!$AM$56+'TUSD BF'!$AM$56+'TUSD CVA'!$AM$56)*(1-CUSTOS!$M$38)</f>
        <v>410.57781128100521</v>
      </c>
      <c r="AA929" s="6">
        <f>('TE BE'!$AB$27+'TE BF'!$AB$27+'TE CVA'!$AB$27)*(1-CUSTOS!$M$38)</f>
        <v>309.85296222048811</v>
      </c>
      <c r="AB929" s="6">
        <f t="shared" si="50"/>
        <v>0</v>
      </c>
      <c r="AC929" s="6">
        <f>(L929-M929)*(W929+X929)+($W$597+$X$597-$W$929-$X$929)*(L929)</f>
        <v>-3879.1296000000016</v>
      </c>
      <c r="AD929" s="6">
        <f t="shared" si="51"/>
        <v>0</v>
      </c>
      <c r="AE929" s="6">
        <f ca="1">(L929-M929)*(Z929+AA929)+($Z$597+$AA$597-$Z$929-$AA$929)*(L929)</f>
        <v>-2221.9924452505629</v>
      </c>
      <c r="AF929" s="4" t="s">
        <v>1114</v>
      </c>
    </row>
    <row r="930" spans="1:32" ht="11.25" customHeight="1" x14ac:dyDescent="0.25">
      <c r="A930" s="4" t="s">
        <v>28</v>
      </c>
      <c r="B930" s="4" t="s">
        <v>44</v>
      </c>
      <c r="C930" s="4" t="s">
        <v>23</v>
      </c>
      <c r="D930" s="4" t="s">
        <v>45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44621</v>
      </c>
      <c r="J930" s="6">
        <v>0</v>
      </c>
      <c r="K930" s="6">
        <v>0</v>
      </c>
      <c r="L930" s="6">
        <v>716.80499999999995</v>
      </c>
      <c r="M930" s="6">
        <v>716.80499999999995</v>
      </c>
      <c r="N930" s="6">
        <v>716.80499999999995</v>
      </c>
      <c r="O930" s="6">
        <v>716.80499999999995</v>
      </c>
      <c r="P930" s="6">
        <v>3229</v>
      </c>
      <c r="Q930" s="4" t="s">
        <v>26</v>
      </c>
      <c r="R930" s="4">
        <v>0</v>
      </c>
      <c r="S930" s="4">
        <v>0</v>
      </c>
      <c r="T930" s="4">
        <v>54</v>
      </c>
      <c r="U930" s="4">
        <v>97</v>
      </c>
      <c r="V930" s="6">
        <f>IF(ISERROR(VLOOKUP($S$930,'TAR FIN'!$A$1:$O$116,15,0)),0,VLOOKUP($S$930,'TAR FIN'!$A$1:$O$116,15,0))</f>
        <v>0</v>
      </c>
      <c r="W930" s="6">
        <f>IF(ISERROR(VLOOKUP($T$930,'TAR FIN'!$A$1:$O$116,15,0)),0,VLOOKUP($T$930,'TAR FIN'!$A$1:$O$116,15,0))</f>
        <v>301.38</v>
      </c>
      <c r="X930" s="6">
        <f>IF(ISERROR(VLOOKUP($U$930,'TAR FIN'!$A$1:$O$116,15,0)),0,VLOOKUP($U$930,'TAR FIN'!$A$1:$O$116,15,0))</f>
        <v>287.29000000000002</v>
      </c>
      <c r="Y930" s="6"/>
      <c r="Z930" s="6">
        <f ca="1">('TUSD BE'!$AM$56+'TUSD BF'!$AM$56+'TUSD CVA'!$AM$56)*(1-CUSTOS!$M$38)</f>
        <v>410.57781128100521</v>
      </c>
      <c r="AA930" s="6">
        <f>('TE BE'!$AB$27+'TE BF'!$AB$27+'TE CVA'!$AB$27)*(1-CUSTOS!$M$38)</f>
        <v>309.85296222048811</v>
      </c>
      <c r="AB930" s="6">
        <f t="shared" si="50"/>
        <v>0</v>
      </c>
      <c r="AC930" s="6">
        <f>(L930-M930)*(W930+X930)+($W$597+$X$597-$W$930-$X$930)*(L930)</f>
        <v>57545.105400000015</v>
      </c>
      <c r="AD930" s="6">
        <f t="shared" si="51"/>
        <v>0</v>
      </c>
      <c r="AE930" s="6">
        <f ca="1">(L930-M930)*(Z930+AA930)+($Z$597+$AA$597-$Z$930-$AA$930)*(L930)</f>
        <v>32962.23705955773</v>
      </c>
      <c r="AF930" s="4" t="s">
        <v>1114</v>
      </c>
    </row>
    <row r="931" spans="1:32" ht="11.25" customHeight="1" x14ac:dyDescent="0.25">
      <c r="A931" s="4" t="s">
        <v>28</v>
      </c>
      <c r="B931" s="4" t="s">
        <v>44</v>
      </c>
      <c r="C931" s="4" t="s">
        <v>23</v>
      </c>
      <c r="D931" s="4" t="s">
        <v>45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44621</v>
      </c>
      <c r="J931" s="6">
        <v>0</v>
      </c>
      <c r="K931" s="6">
        <v>0</v>
      </c>
      <c r="L931" s="6">
        <v>-36.679000000000002</v>
      </c>
      <c r="M931" s="6">
        <v>-36.679000000000002</v>
      </c>
      <c r="N931" s="6">
        <v>-36.679000000000002</v>
      </c>
      <c r="O931" s="6">
        <v>-36.679000000000002</v>
      </c>
      <c r="P931" s="6">
        <v>1</v>
      </c>
      <c r="Q931" s="4" t="s">
        <v>26</v>
      </c>
      <c r="R931" s="4">
        <v>0</v>
      </c>
      <c r="S931" s="4">
        <v>0</v>
      </c>
      <c r="T931" s="4">
        <v>54</v>
      </c>
      <c r="U931" s="4">
        <v>97</v>
      </c>
      <c r="V931" s="6">
        <f>IF(ISERROR(VLOOKUP($S$931,'TAR FIN'!$A$1:$O$116,15,0)),0,VLOOKUP($S$931,'TAR FIN'!$A$1:$O$116,15,0))</f>
        <v>0</v>
      </c>
      <c r="W931" s="6">
        <f>IF(ISERROR(VLOOKUP($T$931,'TAR FIN'!$A$1:$O$116,15,0)),0,VLOOKUP($T$931,'TAR FIN'!$A$1:$O$116,15,0))</f>
        <v>301.38</v>
      </c>
      <c r="X931" s="6">
        <f>IF(ISERROR(VLOOKUP($U$931,'TAR FIN'!$A$1:$O$116,15,0)),0,VLOOKUP($U$931,'TAR FIN'!$A$1:$O$116,15,0))</f>
        <v>287.29000000000002</v>
      </c>
      <c r="Y931" s="6"/>
      <c r="Z931" s="6">
        <f ca="1">('TUSD BE'!$AM$56+'TUSD BF'!$AM$56+'TUSD CVA'!$AM$56)*(1-CUSTOS!$M$38)</f>
        <v>410.57781128100521</v>
      </c>
      <c r="AA931" s="6">
        <f>('TE BE'!$AB$27+'TE BF'!$AB$27+'TE CVA'!$AB$27)*(1-CUSTOS!$M$38)</f>
        <v>309.85296222048811</v>
      </c>
      <c r="AB931" s="6">
        <f t="shared" si="50"/>
        <v>0</v>
      </c>
      <c r="AC931" s="6">
        <f>(L931-M931)*(W931+X931)+($W$597+$X$597-$W$931-$X$931)*(L931)</f>
        <v>-2944.5901200000012</v>
      </c>
      <c r="AD931" s="6">
        <f t="shared" si="51"/>
        <v>0</v>
      </c>
      <c r="AE931" s="6">
        <f ca="1">(L931-M931)*(Z931+AA931)+($Z$597+$AA$597-$Z$931-$AA$931)*(L931)</f>
        <v>-1686.6817239102938</v>
      </c>
      <c r="AF931" s="4" t="s">
        <v>1114</v>
      </c>
    </row>
    <row r="932" spans="1:32" ht="11.25" customHeight="1" x14ac:dyDescent="0.25">
      <c r="A932" s="4" t="s">
        <v>21</v>
      </c>
      <c r="B932" s="4" t="s">
        <v>44</v>
      </c>
      <c r="C932" s="4" t="s">
        <v>23</v>
      </c>
      <c r="D932" s="4" t="s">
        <v>45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44652</v>
      </c>
      <c r="J932" s="6">
        <v>0</v>
      </c>
      <c r="K932" s="6">
        <v>0</v>
      </c>
      <c r="L932" s="6">
        <v>10525.566999999999</v>
      </c>
      <c r="M932" s="6">
        <v>10525.566999999999</v>
      </c>
      <c r="N932" s="6">
        <v>10525.566999999999</v>
      </c>
      <c r="O932" s="6">
        <v>10525.566999999999</v>
      </c>
      <c r="P932" s="6">
        <v>53843</v>
      </c>
      <c r="Q932" s="4" t="s">
        <v>26</v>
      </c>
      <c r="R932" s="4">
        <v>0</v>
      </c>
      <c r="S932" s="4">
        <v>0</v>
      </c>
      <c r="T932" s="4">
        <v>54</v>
      </c>
      <c r="U932" s="4">
        <v>97</v>
      </c>
      <c r="V932" s="6">
        <f>IF(ISERROR(VLOOKUP($S$932,'TAR FIN'!$A$1:$O$116,15,0)),0,VLOOKUP($S$932,'TAR FIN'!$A$1:$O$116,15,0))</f>
        <v>0</v>
      </c>
      <c r="W932" s="6">
        <f>IF(ISERROR(VLOOKUP($T$932,'TAR FIN'!$A$1:$O$116,15,0)),0,VLOOKUP($T$932,'TAR FIN'!$A$1:$O$116,15,0))</f>
        <v>301.38</v>
      </c>
      <c r="X932" s="6">
        <f>IF(ISERROR(VLOOKUP($U$932,'TAR FIN'!$A$1:$O$116,15,0)),0,VLOOKUP($U$932,'TAR FIN'!$A$1:$O$116,15,0))</f>
        <v>287.29000000000002</v>
      </c>
      <c r="Y932" s="6"/>
      <c r="Z932" s="6">
        <f ca="1">('TUSD BE'!$AM$56+'TUSD BF'!$AM$56+'TUSD CVA'!$AM$56)*(1-CUSTOS!$M$38)</f>
        <v>410.57781128100521</v>
      </c>
      <c r="AA932" s="6">
        <f>('TE BE'!$AB$27+'TE BF'!$AB$27+'TE CVA'!$AB$27)*(1-CUSTOS!$M$38)</f>
        <v>309.85296222048811</v>
      </c>
      <c r="AB932" s="6">
        <f t="shared" si="50"/>
        <v>0</v>
      </c>
      <c r="AC932" s="6">
        <f>(L932-M932)*(W932+X932)+($W$597+$X$597-$W$932-$X$932)*(L932)</f>
        <v>844992.51876000024</v>
      </c>
      <c r="AD932" s="6">
        <f t="shared" si="51"/>
        <v>0</v>
      </c>
      <c r="AE932" s="6">
        <f ca="1">(L932-M932)*(Z932+AA932)+($Z$597+$AA$597-$Z$932-$AA$932)*(L932)</f>
        <v>484017.59842671</v>
      </c>
      <c r="AF932" s="4" t="s">
        <v>1114</v>
      </c>
    </row>
    <row r="933" spans="1:32" ht="11.25" customHeight="1" x14ac:dyDescent="0.25">
      <c r="A933" s="4" t="s">
        <v>27</v>
      </c>
      <c r="B933" s="4" t="s">
        <v>44</v>
      </c>
      <c r="C933" s="4" t="s">
        <v>23</v>
      </c>
      <c r="D933" s="4" t="s">
        <v>45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44652</v>
      </c>
      <c r="J933" s="6">
        <v>0</v>
      </c>
      <c r="K933" s="6">
        <v>0</v>
      </c>
      <c r="L933" s="6">
        <v>-49.116</v>
      </c>
      <c r="M933" s="6">
        <v>-49.116</v>
      </c>
      <c r="N933" s="6">
        <v>-49.116</v>
      </c>
      <c r="O933" s="6">
        <v>-49.116</v>
      </c>
      <c r="P933" s="6">
        <v>0</v>
      </c>
      <c r="Q933" s="4" t="s">
        <v>26</v>
      </c>
      <c r="R933" s="4">
        <v>0</v>
      </c>
      <c r="S933" s="4">
        <v>0</v>
      </c>
      <c r="T933" s="4">
        <v>54</v>
      </c>
      <c r="U933" s="4">
        <v>97</v>
      </c>
      <c r="V933" s="6">
        <f>IF(ISERROR(VLOOKUP($S$933,'TAR FIN'!$A$1:$O$116,15,0)),0,VLOOKUP($S$933,'TAR FIN'!$A$1:$O$116,15,0))</f>
        <v>0</v>
      </c>
      <c r="W933" s="6">
        <f>IF(ISERROR(VLOOKUP($T$933,'TAR FIN'!$A$1:$O$116,15,0)),0,VLOOKUP($T$933,'TAR FIN'!$A$1:$O$116,15,0))</f>
        <v>301.38</v>
      </c>
      <c r="X933" s="6">
        <f>IF(ISERROR(VLOOKUP($U$933,'TAR FIN'!$A$1:$O$116,15,0)),0,VLOOKUP($U$933,'TAR FIN'!$A$1:$O$116,15,0))</f>
        <v>287.29000000000002</v>
      </c>
      <c r="Y933" s="6"/>
      <c r="Z933" s="6">
        <f ca="1">('TUSD BE'!$AM$56+'TUSD BF'!$AM$56+'TUSD CVA'!$AM$56)*(1-CUSTOS!$M$38)</f>
        <v>410.57781128100521</v>
      </c>
      <c r="AA933" s="6">
        <f>('TE BE'!$AB$27+'TE BF'!$AB$27+'TE CVA'!$AB$27)*(1-CUSTOS!$M$38)</f>
        <v>309.85296222048811</v>
      </c>
      <c r="AB933" s="6">
        <f t="shared" si="50"/>
        <v>0</v>
      </c>
      <c r="AC933" s="6">
        <f>(L933-M933)*(W933+X933)+($W$597+$X$597-$W$933-$X$933)*(L933)</f>
        <v>-3943.0324800000012</v>
      </c>
      <c r="AD933" s="6">
        <f t="shared" si="51"/>
        <v>0</v>
      </c>
      <c r="AE933" s="6">
        <f ca="1">(L933-M933)*(Z933+AA933)+($Z$597+$AA$597-$Z$933-$AA$933)*(L933)</f>
        <v>-2258.5964598701707</v>
      </c>
      <c r="AF933" s="4" t="s">
        <v>1114</v>
      </c>
    </row>
    <row r="934" spans="1:32" ht="11.25" customHeight="1" x14ac:dyDescent="0.25">
      <c r="A934" s="4" t="s">
        <v>28</v>
      </c>
      <c r="B934" s="4" t="s">
        <v>44</v>
      </c>
      <c r="C934" s="4" t="s">
        <v>23</v>
      </c>
      <c r="D934" s="4" t="s">
        <v>45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44652</v>
      </c>
      <c r="J934" s="6">
        <v>0</v>
      </c>
      <c r="K934" s="6">
        <v>0</v>
      </c>
      <c r="L934" s="6">
        <v>723.64099999999996</v>
      </c>
      <c r="M934" s="6">
        <v>723.64099999999996</v>
      </c>
      <c r="N934" s="6">
        <v>723.64099999999996</v>
      </c>
      <c r="O934" s="6">
        <v>723.64099999999996</v>
      </c>
      <c r="P934" s="6">
        <v>3403</v>
      </c>
      <c r="Q934" s="4" t="s">
        <v>26</v>
      </c>
      <c r="R934" s="4">
        <v>0</v>
      </c>
      <c r="S934" s="4">
        <v>0</v>
      </c>
      <c r="T934" s="4">
        <v>54</v>
      </c>
      <c r="U934" s="4">
        <v>97</v>
      </c>
      <c r="V934" s="6">
        <f>IF(ISERROR(VLOOKUP($S$934,'TAR FIN'!$A$1:$O$116,15,0)),0,VLOOKUP($S$934,'TAR FIN'!$A$1:$O$116,15,0))</f>
        <v>0</v>
      </c>
      <c r="W934" s="6">
        <f>IF(ISERROR(VLOOKUP($T$934,'TAR FIN'!$A$1:$O$116,15,0)),0,VLOOKUP($T$934,'TAR FIN'!$A$1:$O$116,15,0))</f>
        <v>301.38</v>
      </c>
      <c r="X934" s="6">
        <f>IF(ISERROR(VLOOKUP($U$934,'TAR FIN'!$A$1:$O$116,15,0)),0,VLOOKUP($U$934,'TAR FIN'!$A$1:$O$116,15,0))</f>
        <v>287.29000000000002</v>
      </c>
      <c r="Y934" s="6"/>
      <c r="Z934" s="6">
        <f ca="1">('TUSD BE'!$AM$56+'TUSD BF'!$AM$56+'TUSD CVA'!$AM$56)*(1-CUSTOS!$M$38)</f>
        <v>410.57781128100521</v>
      </c>
      <c r="AA934" s="6">
        <f>('TE BE'!$AB$27+'TE BF'!$AB$27+'TE CVA'!$AB$27)*(1-CUSTOS!$M$38)</f>
        <v>309.85296222048811</v>
      </c>
      <c r="AB934" s="6">
        <f t="shared" si="50"/>
        <v>0</v>
      </c>
      <c r="AC934" s="6">
        <f>(L934-M934)*(W934+X934)+($W$597+$X$597-$W$934-$X$934)*(L934)</f>
        <v>58093.899480000022</v>
      </c>
      <c r="AD934" s="6">
        <f t="shared" si="51"/>
        <v>0</v>
      </c>
      <c r="AE934" s="6">
        <f ca="1">(L934-M934)*(Z934+AA934)+($Z$597+$AA$597-$Z$934-$AA$934)*(L934)</f>
        <v>33276.590129833661</v>
      </c>
      <c r="AF934" s="4" t="s">
        <v>1114</v>
      </c>
    </row>
    <row r="935" spans="1:32" ht="11.25" customHeight="1" x14ac:dyDescent="0.25">
      <c r="A935" s="4" t="s">
        <v>28</v>
      </c>
      <c r="B935" s="4" t="s">
        <v>44</v>
      </c>
      <c r="C935" s="4" t="s">
        <v>23</v>
      </c>
      <c r="D935" s="4" t="s">
        <v>45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44652</v>
      </c>
      <c r="J935" s="6">
        <v>0</v>
      </c>
      <c r="K935" s="6">
        <v>0</v>
      </c>
      <c r="L935" s="6">
        <v>-13.597</v>
      </c>
      <c r="M935" s="6">
        <v>-13.597</v>
      </c>
      <c r="N935" s="6">
        <v>-13.597</v>
      </c>
      <c r="O935" s="6">
        <v>-13.597</v>
      </c>
      <c r="P935" s="6">
        <v>0</v>
      </c>
      <c r="Q935" s="4" t="s">
        <v>26</v>
      </c>
      <c r="R935" s="4">
        <v>0</v>
      </c>
      <c r="S935" s="4">
        <v>0</v>
      </c>
      <c r="T935" s="4">
        <v>54</v>
      </c>
      <c r="U935" s="4">
        <v>97</v>
      </c>
      <c r="V935" s="6">
        <f>IF(ISERROR(VLOOKUP($S$935,'TAR FIN'!$A$1:$O$116,15,0)),0,VLOOKUP($S$935,'TAR FIN'!$A$1:$O$116,15,0))</f>
        <v>0</v>
      </c>
      <c r="W935" s="6">
        <f>IF(ISERROR(VLOOKUP($T$935,'TAR FIN'!$A$1:$O$116,15,0)),0,VLOOKUP($T$935,'TAR FIN'!$A$1:$O$116,15,0))</f>
        <v>301.38</v>
      </c>
      <c r="X935" s="6">
        <f>IF(ISERROR(VLOOKUP($U$935,'TAR FIN'!$A$1:$O$116,15,0)),0,VLOOKUP($U$935,'TAR FIN'!$A$1:$O$116,15,0))</f>
        <v>287.29000000000002</v>
      </c>
      <c r="Y935" s="6"/>
      <c r="Z935" s="6">
        <f ca="1">('TUSD BE'!$AM$56+'TUSD BF'!$AM$56+'TUSD CVA'!$AM$56)*(1-CUSTOS!$M$38)</f>
        <v>410.57781128100521</v>
      </c>
      <c r="AA935" s="6">
        <f>('TE BE'!$AB$27+'TE BF'!$AB$27+'TE CVA'!$AB$27)*(1-CUSTOS!$M$38)</f>
        <v>309.85296222048811</v>
      </c>
      <c r="AB935" s="6">
        <f t="shared" si="50"/>
        <v>0</v>
      </c>
      <c r="AC935" s="6">
        <f>(L935-M935)*(W935+X935)+($W$597+$X$597-$W$935-$X$935)*(L935)</f>
        <v>-1091.5671600000003</v>
      </c>
      <c r="AD935" s="6">
        <f t="shared" si="51"/>
        <v>0</v>
      </c>
      <c r="AE935" s="6">
        <f ca="1">(L935-M935)*(Z935+AA935)+($Z$597+$AA$597-$Z$935-$AA$935)*(L935)</f>
        <v>-625.25726982764695</v>
      </c>
      <c r="AF935" s="4" t="s">
        <v>1114</v>
      </c>
    </row>
    <row r="936" spans="1:32" ht="11.25" customHeight="1" x14ac:dyDescent="0.25">
      <c r="A936" s="4" t="s">
        <v>58</v>
      </c>
      <c r="B936" s="4" t="s">
        <v>44</v>
      </c>
      <c r="C936" s="4" t="s">
        <v>23</v>
      </c>
      <c r="D936" s="4" t="s">
        <v>45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44682</v>
      </c>
      <c r="J936" s="6">
        <v>0</v>
      </c>
      <c r="K936" s="6">
        <v>0</v>
      </c>
      <c r="L936" s="6">
        <v>10525.566999999999</v>
      </c>
      <c r="M936" s="6">
        <v>10525.566999999999</v>
      </c>
      <c r="N936" s="6">
        <v>10525.566999999999</v>
      </c>
      <c r="O936" s="6">
        <v>10525.566999999999</v>
      </c>
      <c r="P936" s="6">
        <v>53843</v>
      </c>
      <c r="Q936" s="4" t="s">
        <v>26</v>
      </c>
      <c r="R936" s="4">
        <v>0</v>
      </c>
      <c r="S936" s="4">
        <v>0</v>
      </c>
      <c r="T936" s="4">
        <v>54</v>
      </c>
      <c r="U936" s="4">
        <v>97</v>
      </c>
      <c r="V936" s="6">
        <f>IF(ISERROR(VLOOKUP($S$936,'TAR FIN'!$A$1:$O$116,15,0)),0,VLOOKUP($S$936,'TAR FIN'!$A$1:$O$116,15,0))</f>
        <v>0</v>
      </c>
      <c r="W936" s="6">
        <f>IF(ISERROR(VLOOKUP($T$936,'TAR FIN'!$A$1:$O$116,15,0)),0,VLOOKUP($T$936,'TAR FIN'!$A$1:$O$116,15,0))</f>
        <v>301.38</v>
      </c>
      <c r="X936" s="6">
        <f>IF(ISERROR(VLOOKUP($U$936,'TAR FIN'!$A$1:$O$116,15,0)),0,VLOOKUP($U$936,'TAR FIN'!$A$1:$O$116,15,0))</f>
        <v>287.29000000000002</v>
      </c>
      <c r="Y936" s="6"/>
      <c r="Z936" s="6">
        <f ca="1">('TUSD BE'!$AM$56+'TUSD BF'!$AM$56+'TUSD CVA'!$AM$56)*(1-CUSTOS!$M$38)</f>
        <v>410.57781128100521</v>
      </c>
      <c r="AA936" s="6">
        <f>('TE BE'!$AB$27+'TE BF'!$AB$27+'TE CVA'!$AB$27)*(1-CUSTOS!$M$38)</f>
        <v>309.85296222048811</v>
      </c>
      <c r="AB936" s="6">
        <f t="shared" si="50"/>
        <v>0</v>
      </c>
      <c r="AC936" s="6">
        <f>(L936-M936)*(W936+X936)+($W$597+$X$597-$W$936-$X$936)*(L936)</f>
        <v>844992.51876000024</v>
      </c>
      <c r="AD936" s="6">
        <f t="shared" si="51"/>
        <v>0</v>
      </c>
      <c r="AE936" s="6">
        <f ca="1">(L936-M936)*(Z936+AA936)+($Z$597+$AA$597-$Z$936-$AA$936)*(L936)</f>
        <v>484017.59842671</v>
      </c>
      <c r="AF936" s="4" t="s">
        <v>1114</v>
      </c>
    </row>
    <row r="937" spans="1:32" ht="11.25" customHeight="1" x14ac:dyDescent="0.25">
      <c r="A937" s="4" t="s">
        <v>58</v>
      </c>
      <c r="B937" s="4" t="s">
        <v>44</v>
      </c>
      <c r="C937" s="4" t="s">
        <v>23</v>
      </c>
      <c r="D937" s="4" t="s">
        <v>45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44682</v>
      </c>
      <c r="J937" s="6">
        <v>0</v>
      </c>
      <c r="K937" s="6">
        <v>0</v>
      </c>
      <c r="L937" s="6">
        <v>-49.116</v>
      </c>
      <c r="M937" s="6">
        <v>-49.116</v>
      </c>
      <c r="N937" s="6">
        <v>-49.116</v>
      </c>
      <c r="O937" s="6">
        <v>-49.116</v>
      </c>
      <c r="P937" s="6">
        <v>0</v>
      </c>
      <c r="Q937" s="4" t="s">
        <v>26</v>
      </c>
      <c r="R937" s="4">
        <v>0</v>
      </c>
      <c r="S937" s="4">
        <v>0</v>
      </c>
      <c r="T937" s="4">
        <v>54</v>
      </c>
      <c r="U937" s="4">
        <v>97</v>
      </c>
      <c r="V937" s="6">
        <f>IF(ISERROR(VLOOKUP($S$937,'TAR FIN'!$A$1:$O$116,15,0)),0,VLOOKUP($S$937,'TAR FIN'!$A$1:$O$116,15,0))</f>
        <v>0</v>
      </c>
      <c r="W937" s="6">
        <f>IF(ISERROR(VLOOKUP($T$937,'TAR FIN'!$A$1:$O$116,15,0)),0,VLOOKUP($T$937,'TAR FIN'!$A$1:$O$116,15,0))</f>
        <v>301.38</v>
      </c>
      <c r="X937" s="6">
        <f>IF(ISERROR(VLOOKUP($U$937,'TAR FIN'!$A$1:$O$116,15,0)),0,VLOOKUP($U$937,'TAR FIN'!$A$1:$O$116,15,0))</f>
        <v>287.29000000000002</v>
      </c>
      <c r="Y937" s="6"/>
      <c r="Z937" s="6">
        <f ca="1">('TUSD BE'!$AM$56+'TUSD BF'!$AM$56+'TUSD CVA'!$AM$56)*(1-CUSTOS!$M$38)</f>
        <v>410.57781128100521</v>
      </c>
      <c r="AA937" s="6">
        <f>('TE BE'!$AB$27+'TE BF'!$AB$27+'TE CVA'!$AB$27)*(1-CUSTOS!$M$38)</f>
        <v>309.85296222048811</v>
      </c>
      <c r="AB937" s="6">
        <f t="shared" si="50"/>
        <v>0</v>
      </c>
      <c r="AC937" s="6">
        <f>(L937-M937)*(W937+X937)+($W$597+$X$597-$W$937-$X$937)*(L937)</f>
        <v>-3943.0324800000012</v>
      </c>
      <c r="AD937" s="6">
        <f t="shared" si="51"/>
        <v>0</v>
      </c>
      <c r="AE937" s="6">
        <f ca="1">(L937-M937)*(Z937+AA937)+($Z$597+$AA$597-$Z$937-$AA$937)*(L937)</f>
        <v>-2258.5964598701707</v>
      </c>
      <c r="AF937" s="4" t="s">
        <v>1114</v>
      </c>
    </row>
    <row r="938" spans="1:32" ht="11.25" customHeight="1" x14ac:dyDescent="0.25">
      <c r="A938" s="4" t="s">
        <v>58</v>
      </c>
      <c r="B938" s="4" t="s">
        <v>44</v>
      </c>
      <c r="C938" s="4" t="s">
        <v>23</v>
      </c>
      <c r="D938" s="4" t="s">
        <v>45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44682</v>
      </c>
      <c r="J938" s="6">
        <v>0</v>
      </c>
      <c r="K938" s="6">
        <v>0</v>
      </c>
      <c r="L938" s="6">
        <v>723.64099999999996</v>
      </c>
      <c r="M938" s="6">
        <v>723.64099999999996</v>
      </c>
      <c r="N938" s="6">
        <v>723.64099999999996</v>
      </c>
      <c r="O938" s="6">
        <v>723.64099999999996</v>
      </c>
      <c r="P938" s="6">
        <v>3403</v>
      </c>
      <c r="Q938" s="4" t="s">
        <v>26</v>
      </c>
      <c r="R938" s="4">
        <v>0</v>
      </c>
      <c r="S938" s="4">
        <v>0</v>
      </c>
      <c r="T938" s="4">
        <v>54</v>
      </c>
      <c r="U938" s="4">
        <v>97</v>
      </c>
      <c r="V938" s="6">
        <f>IF(ISERROR(VLOOKUP($S$938,'TAR FIN'!$A$1:$O$116,15,0)),0,VLOOKUP($S$938,'TAR FIN'!$A$1:$O$116,15,0))</f>
        <v>0</v>
      </c>
      <c r="W938" s="6">
        <f>IF(ISERROR(VLOOKUP($T$938,'TAR FIN'!$A$1:$O$116,15,0)),0,VLOOKUP($T$938,'TAR FIN'!$A$1:$O$116,15,0))</f>
        <v>301.38</v>
      </c>
      <c r="X938" s="6">
        <f>IF(ISERROR(VLOOKUP($U$938,'TAR FIN'!$A$1:$O$116,15,0)),0,VLOOKUP($U$938,'TAR FIN'!$A$1:$O$116,15,0))</f>
        <v>287.29000000000002</v>
      </c>
      <c r="Y938" s="6"/>
      <c r="Z938" s="6">
        <f ca="1">('TUSD BE'!$AM$56+'TUSD BF'!$AM$56+'TUSD CVA'!$AM$56)*(1-CUSTOS!$M$38)</f>
        <v>410.57781128100521</v>
      </c>
      <c r="AA938" s="6">
        <f>('TE BE'!$AB$27+'TE BF'!$AB$27+'TE CVA'!$AB$27)*(1-CUSTOS!$M$38)</f>
        <v>309.85296222048811</v>
      </c>
      <c r="AB938" s="6">
        <f t="shared" si="50"/>
        <v>0</v>
      </c>
      <c r="AC938" s="6">
        <f>(L938-M938)*(W938+X938)+($W$597+$X$597-$W$938-$X$938)*(L938)</f>
        <v>58093.899480000022</v>
      </c>
      <c r="AD938" s="6">
        <f t="shared" si="51"/>
        <v>0</v>
      </c>
      <c r="AE938" s="6">
        <f ca="1">(L938-M938)*(Z938+AA938)+($Z$597+$AA$597-$Z$938-$AA$938)*(L938)</f>
        <v>33276.590129833661</v>
      </c>
      <c r="AF938" s="4" t="s">
        <v>1114</v>
      </c>
    </row>
    <row r="939" spans="1:32" ht="11.25" customHeight="1" x14ac:dyDescent="0.25">
      <c r="A939" s="4" t="s">
        <v>58</v>
      </c>
      <c r="B939" s="4" t="s">
        <v>44</v>
      </c>
      <c r="C939" s="4" t="s">
        <v>23</v>
      </c>
      <c r="D939" s="4" t="s">
        <v>45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44682</v>
      </c>
      <c r="J939" s="6">
        <v>0</v>
      </c>
      <c r="K939" s="6">
        <v>0</v>
      </c>
      <c r="L939" s="6">
        <v>-13.597</v>
      </c>
      <c r="M939" s="6">
        <v>-13.597</v>
      </c>
      <c r="N939" s="6">
        <v>-13.597</v>
      </c>
      <c r="O939" s="6">
        <v>-13.597</v>
      </c>
      <c r="P939" s="6">
        <v>0</v>
      </c>
      <c r="Q939" s="4" t="s">
        <v>26</v>
      </c>
      <c r="R939" s="4">
        <v>0</v>
      </c>
      <c r="S939" s="4">
        <v>0</v>
      </c>
      <c r="T939" s="4">
        <v>54</v>
      </c>
      <c r="U939" s="4">
        <v>97</v>
      </c>
      <c r="V939" s="6">
        <f>IF(ISERROR(VLOOKUP($S$939,'TAR FIN'!$A$1:$O$116,15,0)),0,VLOOKUP($S$939,'TAR FIN'!$A$1:$O$116,15,0))</f>
        <v>0</v>
      </c>
      <c r="W939" s="6">
        <f>IF(ISERROR(VLOOKUP($T$939,'TAR FIN'!$A$1:$O$116,15,0)),0,VLOOKUP($T$939,'TAR FIN'!$A$1:$O$116,15,0))</f>
        <v>301.38</v>
      </c>
      <c r="X939" s="6">
        <f>IF(ISERROR(VLOOKUP($U$939,'TAR FIN'!$A$1:$O$116,15,0)),0,VLOOKUP($U$939,'TAR FIN'!$A$1:$O$116,15,0))</f>
        <v>287.29000000000002</v>
      </c>
      <c r="Y939" s="6"/>
      <c r="Z939" s="6">
        <f ca="1">('TUSD BE'!$AM$56+'TUSD BF'!$AM$56+'TUSD CVA'!$AM$56)*(1-CUSTOS!$M$38)</f>
        <v>410.57781128100521</v>
      </c>
      <c r="AA939" s="6">
        <f>('TE BE'!$AB$27+'TE BF'!$AB$27+'TE CVA'!$AB$27)*(1-CUSTOS!$M$38)</f>
        <v>309.85296222048811</v>
      </c>
      <c r="AB939" s="6">
        <f t="shared" si="50"/>
        <v>0</v>
      </c>
      <c r="AC939" s="6">
        <f>(L939-M939)*(W939+X939)+($W$597+$X$597-$W$939-$X$939)*(L939)</f>
        <v>-1091.5671600000003</v>
      </c>
      <c r="AD939" s="6">
        <f t="shared" si="51"/>
        <v>0</v>
      </c>
      <c r="AE939" s="6">
        <f ca="1">(L939-M939)*(Z939+AA939)+($Z$597+$AA$597-$Z$939-$AA$939)*(L939)</f>
        <v>-625.25726982764695</v>
      </c>
      <c r="AF939" s="4" t="s">
        <v>1114</v>
      </c>
    </row>
    <row r="940" spans="1:32" ht="11.25" customHeight="1" x14ac:dyDescent="0.25">
      <c r="A940" s="4" t="s">
        <v>21</v>
      </c>
      <c r="B940" s="4" t="s">
        <v>37</v>
      </c>
      <c r="C940" s="4" t="s">
        <v>23</v>
      </c>
      <c r="D940" s="4" t="s">
        <v>51</v>
      </c>
      <c r="E940" s="4" t="s">
        <v>52</v>
      </c>
      <c r="F940" s="4" t="s">
        <v>25</v>
      </c>
      <c r="G940" s="4" t="s">
        <v>25</v>
      </c>
      <c r="H940" s="4" t="s">
        <v>25</v>
      </c>
      <c r="I940" s="5">
        <v>44348</v>
      </c>
      <c r="J940" s="6">
        <v>0</v>
      </c>
      <c r="K940" s="70">
        <v>0</v>
      </c>
      <c r="L940" s="6">
        <v>1378.9159999999999</v>
      </c>
      <c r="M940" s="70">
        <v>1378.9159999999999</v>
      </c>
      <c r="N940" s="6">
        <v>1378.9159999999999</v>
      </c>
      <c r="O940" s="70">
        <v>1378.9159999999999</v>
      </c>
      <c r="P940" s="6">
        <v>681</v>
      </c>
      <c r="Q940" s="4" t="s">
        <v>26</v>
      </c>
      <c r="R940" s="4">
        <v>0</v>
      </c>
      <c r="S940" s="4">
        <v>0</v>
      </c>
      <c r="T940" s="4">
        <v>69</v>
      </c>
      <c r="U940" s="4">
        <v>112</v>
      </c>
      <c r="V940" s="70">
        <f>IF(ISERROR(VLOOKUP($S$940,'TAR FIN'!$A$1:$O$116,15,0)),0,VLOOKUP($S$940,'TAR FIN'!$A$1:$O$116,15,0))</f>
        <v>0</v>
      </c>
      <c r="W940" s="70">
        <f>IF(ISERROR(VLOOKUP($T$940,'TAR FIN'!$A$1:$O$116,15,0)),0,VLOOKUP($T$940,'TAR FIN'!$A$1:$O$116,15,0))*(1-0.06)</f>
        <v>321.93119999999999</v>
      </c>
      <c r="X940" s="70">
        <f>IF(ISERROR(VLOOKUP($U$940,'TAR FIN'!$A$1:$O$116,15,0)),0,VLOOKUP($U$940,'TAR FIN'!$A$1:$O$116,15,0))*(1-0.06)</f>
        <v>306.8818</v>
      </c>
      <c r="Y940" s="70"/>
      <c r="Z940" s="70">
        <f ca="1">('TUSD BE'!$AM$71+'TUSD BF'!$AM$71+'TUSD CVA'!$AM$71)*1*(1-0.03)</f>
        <v>423.68135844954793</v>
      </c>
      <c r="AA940" s="70">
        <f>('TE BE'!$AB$42+'TE BF'!$AB$42+'TE CVA'!$AB$42)*1*(1-0.03)</f>
        <v>319.74188654667387</v>
      </c>
      <c r="AB940" s="70">
        <f>(SUBSIDIO!$J$940*SUBSIDIO!$V$940)*(0.06)/(1-0.06)</f>
        <v>0</v>
      </c>
      <c r="AC940" s="70">
        <f>((SUBSIDIO!$L$940*SUBSIDIO!$W$940)+(SUBSIDIO!$N$940*SUBSIDIO!$X$940))*(0.06)/(1-0.06)</f>
        <v>55345.551491999991</v>
      </c>
      <c r="AD940" s="70">
        <f>(SUBSIDIO!$J$940*SUBSIDIO!$Y$940)*(0.03)/(1-0.03)</f>
        <v>0</v>
      </c>
      <c r="AE940" s="70">
        <f ca="1">((SUBSIDIO!$L$940*SUBSIDIO!$Z$940)+(SUBSIDIO!$N$940*SUBSIDIO!$AA$940))*(0.03)/(1-0.03)</f>
        <v>31704.686823625052</v>
      </c>
      <c r="AF940" s="4" t="s">
        <v>1115</v>
      </c>
    </row>
    <row r="941" spans="1:32" ht="11.25" customHeight="1" x14ac:dyDescent="0.25">
      <c r="A941" s="4" t="s">
        <v>21</v>
      </c>
      <c r="B941" s="4" t="s">
        <v>37</v>
      </c>
      <c r="C941" s="4" t="s">
        <v>23</v>
      </c>
      <c r="D941" s="4" t="s">
        <v>51</v>
      </c>
      <c r="E941" s="4" t="s">
        <v>52</v>
      </c>
      <c r="F941" s="4" t="s">
        <v>25</v>
      </c>
      <c r="G941" s="4" t="s">
        <v>25</v>
      </c>
      <c r="H941" s="4" t="s">
        <v>25</v>
      </c>
      <c r="I941" s="5">
        <v>44378</v>
      </c>
      <c r="J941" s="6">
        <v>0</v>
      </c>
      <c r="K941" s="70">
        <v>0</v>
      </c>
      <c r="L941" s="6">
        <v>1387.308</v>
      </c>
      <c r="M941" s="70">
        <v>1387.308</v>
      </c>
      <c r="N941" s="6">
        <v>1387.308</v>
      </c>
      <c r="O941" s="70">
        <v>1387.308</v>
      </c>
      <c r="P941" s="6">
        <v>683</v>
      </c>
      <c r="Q941" s="4" t="s">
        <v>26</v>
      </c>
      <c r="R941" s="4">
        <v>0</v>
      </c>
      <c r="S941" s="4">
        <v>0</v>
      </c>
      <c r="T941" s="4">
        <v>69</v>
      </c>
      <c r="U941" s="4">
        <v>112</v>
      </c>
      <c r="V941" s="70">
        <f>IF(ISERROR(VLOOKUP($S$941,'TAR FIN'!$A$1:$O$116,15,0)),0,VLOOKUP($S$941,'TAR FIN'!$A$1:$O$116,15,0))</f>
        <v>0</v>
      </c>
      <c r="W941" s="70">
        <f>IF(ISERROR(VLOOKUP($T$941,'TAR FIN'!$A$1:$O$116,15,0)),0,VLOOKUP($T$941,'TAR FIN'!$A$1:$O$116,15,0))*(1-0.06)</f>
        <v>321.93119999999999</v>
      </c>
      <c r="X941" s="70">
        <f>IF(ISERROR(VLOOKUP($U$941,'TAR FIN'!$A$1:$O$116,15,0)),0,VLOOKUP($U$941,'TAR FIN'!$A$1:$O$116,15,0))*(1-0.06)</f>
        <v>306.8818</v>
      </c>
      <c r="Y941" s="70"/>
      <c r="Z941" s="70">
        <f ca="1">('TUSD BE'!$AM$71+'TUSD BF'!$AM$71+'TUSD CVA'!$AM$71)*1*(1-0.03)</f>
        <v>423.68135844954793</v>
      </c>
      <c r="AA941" s="70">
        <f>('TE BE'!$AB$42+'TE BF'!$AB$42+'TE CVA'!$AB$42)*1*(1-0.03)</f>
        <v>319.74188654667387</v>
      </c>
      <c r="AB941" s="70">
        <f>(SUBSIDIO!$J$941*SUBSIDIO!$V$941)*(0.06)/(1-0.06)</f>
        <v>0</v>
      </c>
      <c r="AC941" s="70">
        <f>((SUBSIDIO!$L$941*SUBSIDIO!$W$941)+(SUBSIDIO!$N$941*SUBSIDIO!$X$941))*(0.06)/(1-0.06)</f>
        <v>55682.381196000002</v>
      </c>
      <c r="AD941" s="70">
        <f>(SUBSIDIO!$J$941*SUBSIDIO!$Y$941)*(0.03)/(1-0.03)</f>
        <v>0</v>
      </c>
      <c r="AE941" s="70">
        <f ca="1">((SUBSIDIO!$L$941*SUBSIDIO!$Z$941)+(SUBSIDIO!$N$941*SUBSIDIO!$AA$941))*(0.03)/(1-0.03)</f>
        <v>31897.639644408817</v>
      </c>
      <c r="AF941" s="4" t="s">
        <v>1115</v>
      </c>
    </row>
    <row r="942" spans="1:32" ht="11.25" customHeight="1" x14ac:dyDescent="0.25">
      <c r="A942" s="4" t="s">
        <v>21</v>
      </c>
      <c r="B942" s="4" t="s">
        <v>37</v>
      </c>
      <c r="C942" s="4" t="s">
        <v>23</v>
      </c>
      <c r="D942" s="4" t="s">
        <v>51</v>
      </c>
      <c r="E942" s="4" t="s">
        <v>52</v>
      </c>
      <c r="F942" s="4" t="s">
        <v>25</v>
      </c>
      <c r="G942" s="4" t="s">
        <v>25</v>
      </c>
      <c r="H942" s="4" t="s">
        <v>25</v>
      </c>
      <c r="I942" s="5">
        <v>44409</v>
      </c>
      <c r="J942" s="6">
        <v>0</v>
      </c>
      <c r="K942" s="70">
        <v>0</v>
      </c>
      <c r="L942" s="6">
        <v>1449.0239999999999</v>
      </c>
      <c r="M942" s="70">
        <v>1449.0239999999999</v>
      </c>
      <c r="N942" s="6">
        <v>1449.0239999999999</v>
      </c>
      <c r="O942" s="70">
        <v>1449.0239999999999</v>
      </c>
      <c r="P942" s="6">
        <v>684</v>
      </c>
      <c r="Q942" s="4" t="s">
        <v>26</v>
      </c>
      <c r="R942" s="4">
        <v>0</v>
      </c>
      <c r="S942" s="4">
        <v>0</v>
      </c>
      <c r="T942" s="4">
        <v>69</v>
      </c>
      <c r="U942" s="4">
        <v>112</v>
      </c>
      <c r="V942" s="70">
        <f>IF(ISERROR(VLOOKUP($S$942,'TAR FIN'!$A$1:$O$116,15,0)),0,VLOOKUP($S$942,'TAR FIN'!$A$1:$O$116,15,0))</f>
        <v>0</v>
      </c>
      <c r="W942" s="70">
        <f>IF(ISERROR(VLOOKUP($T$942,'TAR FIN'!$A$1:$O$116,15,0)),0,VLOOKUP($T$942,'TAR FIN'!$A$1:$O$116,15,0))*(1-0.06)</f>
        <v>321.93119999999999</v>
      </c>
      <c r="X942" s="70">
        <f>IF(ISERROR(VLOOKUP($U$942,'TAR FIN'!$A$1:$O$116,15,0)),0,VLOOKUP($U$942,'TAR FIN'!$A$1:$O$116,15,0))*(1-0.06)</f>
        <v>306.8818</v>
      </c>
      <c r="Y942" s="70"/>
      <c r="Z942" s="70">
        <f ca="1">('TUSD BE'!$AM$71+'TUSD BF'!$AM$71+'TUSD CVA'!$AM$71)*1*(1-0.03)</f>
        <v>423.68135844954793</v>
      </c>
      <c r="AA942" s="70">
        <f>('TE BE'!$AB$42+'TE BF'!$AB$42+'TE CVA'!$AB$42)*1*(1-0.03)</f>
        <v>319.74188654667387</v>
      </c>
      <c r="AB942" s="70">
        <f>(SUBSIDIO!$J$942*SUBSIDIO!$V$942)*(0.06)/(1-0.06)</f>
        <v>0</v>
      </c>
      <c r="AC942" s="70">
        <f>((SUBSIDIO!$L$942*SUBSIDIO!$W$942)+(SUBSIDIO!$N$942*SUBSIDIO!$X$942))*(0.06)/(1-0.06)</f>
        <v>58159.476288000005</v>
      </c>
      <c r="AD942" s="70">
        <f>(SUBSIDIO!$J$942*SUBSIDIO!$Y$942)*(0.03)/(1-0.03)</f>
        <v>0</v>
      </c>
      <c r="AE942" s="70">
        <f ca="1">((SUBSIDIO!$L$942*SUBSIDIO!$Z$942)+(SUBSIDIO!$N$942*SUBSIDIO!$AA$942))*(0.03)/(1-0.03)</f>
        <v>33316.643015177477</v>
      </c>
      <c r="AF942" s="4" t="s">
        <v>1115</v>
      </c>
    </row>
    <row r="943" spans="1:32" ht="11.25" customHeight="1" x14ac:dyDescent="0.25">
      <c r="A943" s="4" t="s">
        <v>21</v>
      </c>
      <c r="B943" s="4" t="s">
        <v>37</v>
      </c>
      <c r="C943" s="4" t="s">
        <v>23</v>
      </c>
      <c r="D943" s="4" t="s">
        <v>51</v>
      </c>
      <c r="E943" s="4" t="s">
        <v>52</v>
      </c>
      <c r="F943" s="4" t="s">
        <v>25</v>
      </c>
      <c r="G943" s="4" t="s">
        <v>25</v>
      </c>
      <c r="H943" s="4" t="s">
        <v>25</v>
      </c>
      <c r="I943" s="5">
        <v>44440</v>
      </c>
      <c r="J943" s="6">
        <v>0</v>
      </c>
      <c r="K943" s="70">
        <v>0</v>
      </c>
      <c r="L943" s="6">
        <v>1573.914</v>
      </c>
      <c r="M943" s="70">
        <v>1573.914</v>
      </c>
      <c r="N943" s="6">
        <v>1573.914</v>
      </c>
      <c r="O943" s="70">
        <v>1573.914</v>
      </c>
      <c r="P943" s="6">
        <v>684</v>
      </c>
      <c r="Q943" s="4" t="s">
        <v>26</v>
      </c>
      <c r="R943" s="4">
        <v>0</v>
      </c>
      <c r="S943" s="4">
        <v>0</v>
      </c>
      <c r="T943" s="4">
        <v>69</v>
      </c>
      <c r="U943" s="4">
        <v>112</v>
      </c>
      <c r="V943" s="70">
        <f>IF(ISERROR(VLOOKUP($S$943,'TAR FIN'!$A$1:$O$116,15,0)),0,VLOOKUP($S$943,'TAR FIN'!$A$1:$O$116,15,0))</f>
        <v>0</v>
      </c>
      <c r="W943" s="70">
        <f>IF(ISERROR(VLOOKUP($T$943,'TAR FIN'!$A$1:$O$116,15,0)),0,VLOOKUP($T$943,'TAR FIN'!$A$1:$O$116,15,0))*(1-0.06)</f>
        <v>321.93119999999999</v>
      </c>
      <c r="X943" s="70">
        <f>IF(ISERROR(VLOOKUP($U$943,'TAR FIN'!$A$1:$O$116,15,0)),0,VLOOKUP($U$943,'TAR FIN'!$A$1:$O$116,15,0))*(1-0.06)</f>
        <v>306.8818</v>
      </c>
      <c r="Y943" s="70"/>
      <c r="Z943" s="70">
        <f ca="1">('TUSD BE'!$AM$71+'TUSD BF'!$AM$71+'TUSD CVA'!$AM$71)*1*(1-0.03)</f>
        <v>423.68135844954793</v>
      </c>
      <c r="AA943" s="70">
        <f>('TE BE'!$AB$42+'TE BF'!$AB$42+'TE CVA'!$AB$42)*1*(1-0.03)</f>
        <v>319.74188654667387</v>
      </c>
      <c r="AB943" s="70">
        <f>(SUBSIDIO!$J$943*SUBSIDIO!$V$943)*(0.06)/(1-0.06)</f>
        <v>0</v>
      </c>
      <c r="AC943" s="70">
        <f>((SUBSIDIO!$L$943*SUBSIDIO!$W$943)+(SUBSIDIO!$N$943*SUBSIDIO!$X$943))*(0.06)/(1-0.06)</f>
        <v>63172.186218000003</v>
      </c>
      <c r="AD943" s="70">
        <f>(SUBSIDIO!$J$943*SUBSIDIO!$Y$943)*(0.03)/(1-0.03)</f>
        <v>0</v>
      </c>
      <c r="AE943" s="70">
        <f ca="1">((SUBSIDIO!$L$943*SUBSIDIO!$Z$943)+(SUBSIDIO!$N$943*SUBSIDIO!$AA$943))*(0.03)/(1-0.03)</f>
        <v>36188.17278015412</v>
      </c>
      <c r="AF943" s="4" t="s">
        <v>1115</v>
      </c>
    </row>
    <row r="944" spans="1:32" ht="11.25" customHeight="1" x14ac:dyDescent="0.25">
      <c r="A944" s="4" t="s">
        <v>21</v>
      </c>
      <c r="B944" s="4" t="s">
        <v>37</v>
      </c>
      <c r="C944" s="4" t="s">
        <v>23</v>
      </c>
      <c r="D944" s="4" t="s">
        <v>51</v>
      </c>
      <c r="E944" s="4" t="s">
        <v>52</v>
      </c>
      <c r="F944" s="4" t="s">
        <v>25</v>
      </c>
      <c r="G944" s="4" t="s">
        <v>25</v>
      </c>
      <c r="H944" s="4" t="s">
        <v>25</v>
      </c>
      <c r="I944" s="5">
        <v>44470</v>
      </c>
      <c r="J944" s="6">
        <v>0</v>
      </c>
      <c r="K944" s="70">
        <v>0</v>
      </c>
      <c r="L944" s="6">
        <v>1508.259</v>
      </c>
      <c r="M944" s="70">
        <v>1508.259</v>
      </c>
      <c r="N944" s="6">
        <v>1508.259</v>
      </c>
      <c r="O944" s="70">
        <v>1508.259</v>
      </c>
      <c r="P944" s="6">
        <v>686</v>
      </c>
      <c r="Q944" s="4" t="s">
        <v>26</v>
      </c>
      <c r="R944" s="4">
        <v>0</v>
      </c>
      <c r="S944" s="4">
        <v>0</v>
      </c>
      <c r="T944" s="4">
        <v>69</v>
      </c>
      <c r="U944" s="4">
        <v>112</v>
      </c>
      <c r="V944" s="70">
        <f>IF(ISERROR(VLOOKUP($S$944,'TAR FIN'!$A$1:$O$116,15,0)),0,VLOOKUP($S$944,'TAR FIN'!$A$1:$O$116,15,0))</f>
        <v>0</v>
      </c>
      <c r="W944" s="70">
        <f>IF(ISERROR(VLOOKUP($T$944,'TAR FIN'!$A$1:$O$116,15,0)),0,VLOOKUP($T$944,'TAR FIN'!$A$1:$O$116,15,0))*(1-0.06)</f>
        <v>321.93119999999999</v>
      </c>
      <c r="X944" s="70">
        <f>IF(ISERROR(VLOOKUP($U$944,'TAR FIN'!$A$1:$O$116,15,0)),0,VLOOKUP($U$944,'TAR FIN'!$A$1:$O$116,15,0))*(1-0.06)</f>
        <v>306.8818</v>
      </c>
      <c r="Y944" s="70"/>
      <c r="Z944" s="70">
        <f ca="1">('TUSD BE'!$AM$71+'TUSD BF'!$AM$71+'TUSD CVA'!$AM$71)*1*(1-0.03)</f>
        <v>423.68135844954793</v>
      </c>
      <c r="AA944" s="70">
        <f>('TE BE'!$AB$42+'TE BF'!$AB$42+'TE CVA'!$AB$42)*1*(1-0.03)</f>
        <v>319.74188654667387</v>
      </c>
      <c r="AB944" s="70">
        <f>(SUBSIDIO!$J$944*SUBSIDIO!$V$944)*(0.06)/(1-0.06)</f>
        <v>0</v>
      </c>
      <c r="AC944" s="70">
        <f>((SUBSIDIO!$L$944*SUBSIDIO!$W$944)+(SUBSIDIO!$N$944*SUBSIDIO!$X$944))*(0.06)/(1-0.06)</f>
        <v>60536.991483000005</v>
      </c>
      <c r="AD944" s="70">
        <f>(SUBSIDIO!$J$944*SUBSIDIO!$Y$944)*(0.03)/(1-0.03)</f>
        <v>0</v>
      </c>
      <c r="AE944" s="70">
        <f ca="1">((SUBSIDIO!$L$944*SUBSIDIO!$Z$944)+(SUBSIDIO!$N$944*SUBSIDIO!$AA$944))*(0.03)/(1-0.03)</f>
        <v>34678.602064167731</v>
      </c>
      <c r="AF944" s="4" t="s">
        <v>1115</v>
      </c>
    </row>
    <row r="945" spans="1:32" ht="11.25" customHeight="1" x14ac:dyDescent="0.25">
      <c r="A945" s="4" t="s">
        <v>21</v>
      </c>
      <c r="B945" s="4" t="s">
        <v>37</v>
      </c>
      <c r="C945" s="4" t="s">
        <v>23</v>
      </c>
      <c r="D945" s="4" t="s">
        <v>51</v>
      </c>
      <c r="E945" s="4" t="s">
        <v>52</v>
      </c>
      <c r="F945" s="4" t="s">
        <v>25</v>
      </c>
      <c r="G945" s="4" t="s">
        <v>25</v>
      </c>
      <c r="H945" s="4" t="s">
        <v>25</v>
      </c>
      <c r="I945" s="5">
        <v>44501</v>
      </c>
      <c r="J945" s="6">
        <v>0</v>
      </c>
      <c r="K945" s="70">
        <v>0</v>
      </c>
      <c r="L945" s="6">
        <v>1430.009</v>
      </c>
      <c r="M945" s="70">
        <v>1430.009</v>
      </c>
      <c r="N945" s="6">
        <v>1430.009</v>
      </c>
      <c r="O945" s="70">
        <v>1430.009</v>
      </c>
      <c r="P945" s="6">
        <v>684</v>
      </c>
      <c r="Q945" s="4" t="s">
        <v>26</v>
      </c>
      <c r="R945" s="4">
        <v>0</v>
      </c>
      <c r="S945" s="4">
        <v>0</v>
      </c>
      <c r="T945" s="4">
        <v>69</v>
      </c>
      <c r="U945" s="4">
        <v>112</v>
      </c>
      <c r="V945" s="70">
        <f>IF(ISERROR(VLOOKUP($S$945,'TAR FIN'!$A$1:$O$116,15,0)),0,VLOOKUP($S$945,'TAR FIN'!$A$1:$O$116,15,0))</f>
        <v>0</v>
      </c>
      <c r="W945" s="70">
        <f>IF(ISERROR(VLOOKUP($T$945,'TAR FIN'!$A$1:$O$116,15,0)),0,VLOOKUP($T$945,'TAR FIN'!$A$1:$O$116,15,0))*(1-0.06)</f>
        <v>321.93119999999999</v>
      </c>
      <c r="X945" s="70">
        <f>IF(ISERROR(VLOOKUP($U$945,'TAR FIN'!$A$1:$O$116,15,0)),0,VLOOKUP($U$945,'TAR FIN'!$A$1:$O$116,15,0))*(1-0.06)</f>
        <v>306.8818</v>
      </c>
      <c r="Y945" s="70"/>
      <c r="Z945" s="70">
        <f ca="1">('TUSD BE'!$AM$71+'TUSD BF'!$AM$71+'TUSD CVA'!$AM$71)*1*(1-0.03)</f>
        <v>423.68135844954793</v>
      </c>
      <c r="AA945" s="70">
        <f>('TE BE'!$AB$42+'TE BF'!$AB$42+'TE CVA'!$AB$42)*1*(1-0.03)</f>
        <v>319.74188654667387</v>
      </c>
      <c r="AB945" s="70">
        <f>(SUBSIDIO!$J$945*SUBSIDIO!$V$945)*(0.06)/(1-0.06)</f>
        <v>0</v>
      </c>
      <c r="AC945" s="70">
        <f>((SUBSIDIO!$L$945*SUBSIDIO!$W$945)+(SUBSIDIO!$N$945*SUBSIDIO!$X$945))*(0.06)/(1-0.06)</f>
        <v>57396.271232999992</v>
      </c>
      <c r="AD945" s="70">
        <f>(SUBSIDIO!$J$945*SUBSIDIO!$Y$945)*(0.03)/(1-0.03)</f>
        <v>0</v>
      </c>
      <c r="AE945" s="70">
        <f ca="1">((SUBSIDIO!$L$945*SUBSIDIO!$Z$945)+(SUBSIDIO!$N$945*SUBSIDIO!$AA$945))*(0.03)/(1-0.03)</f>
        <v>32879.44116970522</v>
      </c>
      <c r="AF945" s="4" t="s">
        <v>1115</v>
      </c>
    </row>
    <row r="946" spans="1:32" ht="11.25" customHeight="1" x14ac:dyDescent="0.25">
      <c r="A946" s="4" t="s">
        <v>21</v>
      </c>
      <c r="B946" s="4" t="s">
        <v>37</v>
      </c>
      <c r="C946" s="4" t="s">
        <v>23</v>
      </c>
      <c r="D946" s="4" t="s">
        <v>51</v>
      </c>
      <c r="E946" s="4" t="s">
        <v>52</v>
      </c>
      <c r="F946" s="4" t="s">
        <v>25</v>
      </c>
      <c r="G946" s="4" t="s">
        <v>25</v>
      </c>
      <c r="H946" s="4" t="s">
        <v>25</v>
      </c>
      <c r="I946" s="5">
        <v>44531</v>
      </c>
      <c r="J946" s="6">
        <v>0</v>
      </c>
      <c r="K946" s="70">
        <v>0</v>
      </c>
      <c r="L946" s="6">
        <v>1506.184</v>
      </c>
      <c r="M946" s="70">
        <v>1506.184</v>
      </c>
      <c r="N946" s="6">
        <v>1506.184</v>
      </c>
      <c r="O946" s="70">
        <v>1506.184</v>
      </c>
      <c r="P946" s="6">
        <v>682</v>
      </c>
      <c r="Q946" s="4" t="s">
        <v>26</v>
      </c>
      <c r="R946" s="4">
        <v>0</v>
      </c>
      <c r="S946" s="4">
        <v>0</v>
      </c>
      <c r="T946" s="4">
        <v>69</v>
      </c>
      <c r="U946" s="4">
        <v>112</v>
      </c>
      <c r="V946" s="70">
        <f>IF(ISERROR(VLOOKUP($S$946,'TAR FIN'!$A$1:$O$116,15,0)),0,VLOOKUP($S$946,'TAR FIN'!$A$1:$O$116,15,0))</f>
        <v>0</v>
      </c>
      <c r="W946" s="70">
        <f>IF(ISERROR(VLOOKUP($T$946,'TAR FIN'!$A$1:$O$116,15,0)),0,VLOOKUP($T$946,'TAR FIN'!$A$1:$O$116,15,0))*(1-0.06)</f>
        <v>321.93119999999999</v>
      </c>
      <c r="X946" s="70">
        <f>IF(ISERROR(VLOOKUP($U$946,'TAR FIN'!$A$1:$O$116,15,0)),0,VLOOKUP($U$946,'TAR FIN'!$A$1:$O$116,15,0))*(1-0.06)</f>
        <v>306.8818</v>
      </c>
      <c r="Y946" s="70"/>
      <c r="Z946" s="70">
        <f ca="1">('TUSD BE'!$AM$71+'TUSD BF'!$AM$71+'TUSD CVA'!$AM$71)*1*(1-0.03)</f>
        <v>423.68135844954793</v>
      </c>
      <c r="AA946" s="70">
        <f>('TE BE'!$AB$42+'TE BF'!$AB$42+'TE CVA'!$AB$42)*1*(1-0.03)</f>
        <v>319.74188654667387</v>
      </c>
      <c r="AB946" s="70">
        <f>(SUBSIDIO!$J$946*SUBSIDIO!$V$946)*(0.06)/(1-0.06)</f>
        <v>0</v>
      </c>
      <c r="AC946" s="70">
        <f>((SUBSIDIO!$L$946*SUBSIDIO!$W$946)+(SUBSIDIO!$N$946*SUBSIDIO!$X$946))*(0.06)/(1-0.06)</f>
        <v>60453.707208</v>
      </c>
      <c r="AD946" s="70">
        <f>(SUBSIDIO!$J$946*SUBSIDIO!$Y$946)*(0.03)/(1-0.03)</f>
        <v>0</v>
      </c>
      <c r="AE946" s="70">
        <f ca="1">((SUBSIDIO!$L$946*SUBSIDIO!$Z$946)+(SUBSIDIO!$N$946*SUBSIDIO!$AA$946))*(0.03)/(1-0.03)</f>
        <v>34630.892685816172</v>
      </c>
      <c r="AF946" s="4" t="s">
        <v>1115</v>
      </c>
    </row>
    <row r="947" spans="1:32" ht="11.25" customHeight="1" x14ac:dyDescent="0.25">
      <c r="A947" s="4" t="s">
        <v>21</v>
      </c>
      <c r="B947" s="4" t="s">
        <v>37</v>
      </c>
      <c r="C947" s="4" t="s">
        <v>23</v>
      </c>
      <c r="D947" s="4" t="s">
        <v>51</v>
      </c>
      <c r="E947" s="4" t="s">
        <v>52</v>
      </c>
      <c r="F947" s="4" t="s">
        <v>25</v>
      </c>
      <c r="G947" s="4" t="s">
        <v>25</v>
      </c>
      <c r="H947" s="4" t="s">
        <v>25</v>
      </c>
      <c r="I947" s="5">
        <v>44562</v>
      </c>
      <c r="J947" s="6">
        <v>0</v>
      </c>
      <c r="K947" s="70">
        <v>0</v>
      </c>
      <c r="L947" s="6">
        <v>1441.9280000000001</v>
      </c>
      <c r="M947" s="70">
        <v>1441.9280000000001</v>
      </c>
      <c r="N947" s="6">
        <v>1441.9280000000001</v>
      </c>
      <c r="O947" s="70">
        <v>1441.9280000000001</v>
      </c>
      <c r="P947" s="6">
        <v>681</v>
      </c>
      <c r="Q947" s="4" t="s">
        <v>26</v>
      </c>
      <c r="R947" s="4">
        <v>0</v>
      </c>
      <c r="S947" s="4">
        <v>0</v>
      </c>
      <c r="T947" s="4">
        <v>69</v>
      </c>
      <c r="U947" s="4">
        <v>112</v>
      </c>
      <c r="V947" s="70">
        <f>IF(ISERROR(VLOOKUP($S$947,'TAR FIN'!$A$1:$O$116,15,0)),0,VLOOKUP($S$947,'TAR FIN'!$A$1:$O$116,15,0))</f>
        <v>0</v>
      </c>
      <c r="W947" s="70">
        <f>IF(ISERROR(VLOOKUP($T$947,'TAR FIN'!$A$1:$O$116,15,0)),0,VLOOKUP($T$947,'TAR FIN'!$A$1:$O$116,15,0))*(1-0.06)</f>
        <v>321.93119999999999</v>
      </c>
      <c r="X947" s="70">
        <f>IF(ISERROR(VLOOKUP($U$947,'TAR FIN'!$A$1:$O$116,15,0)),0,VLOOKUP($U$947,'TAR FIN'!$A$1:$O$116,15,0))*(1-0.06)</f>
        <v>306.8818</v>
      </c>
      <c r="Y947" s="70"/>
      <c r="Z947" s="70">
        <f ca="1">('TUSD BE'!$AM$71+'TUSD BF'!$AM$71+'TUSD CVA'!$AM$71)*1*(1-0.03)</f>
        <v>423.68135844954793</v>
      </c>
      <c r="AA947" s="70">
        <f>('TE BE'!$AB$42+'TE BF'!$AB$42+'TE CVA'!$AB$42)*1*(1-0.03)</f>
        <v>319.74188654667387</v>
      </c>
      <c r="AB947" s="70">
        <f>(SUBSIDIO!$J$947*SUBSIDIO!$V$947)*(0.06)/(1-0.06)</f>
        <v>0</v>
      </c>
      <c r="AC947" s="70">
        <f>((SUBSIDIO!$L$947*SUBSIDIO!$W$947)+(SUBSIDIO!$N$947*SUBSIDIO!$X$947))*(0.06)/(1-0.06)</f>
        <v>57874.664135999999</v>
      </c>
      <c r="AD947" s="70">
        <f>(SUBSIDIO!$J$947*SUBSIDIO!$Y$947)*(0.03)/(1-0.03)</f>
        <v>0</v>
      </c>
      <c r="AE947" s="70">
        <f ca="1">((SUBSIDIO!$L$947*SUBSIDIO!$Z$947)+(SUBSIDIO!$N$947*SUBSIDIO!$AA$947))*(0.03)/(1-0.03)</f>
        <v>33153.488437450891</v>
      </c>
      <c r="AF947" s="4" t="s">
        <v>1115</v>
      </c>
    </row>
    <row r="948" spans="1:32" ht="11.25" customHeight="1" x14ac:dyDescent="0.25">
      <c r="A948" s="4" t="s">
        <v>21</v>
      </c>
      <c r="B948" s="4" t="s">
        <v>37</v>
      </c>
      <c r="C948" s="4" t="s">
        <v>23</v>
      </c>
      <c r="D948" s="4" t="s">
        <v>51</v>
      </c>
      <c r="E948" s="4" t="s">
        <v>52</v>
      </c>
      <c r="F948" s="4" t="s">
        <v>25</v>
      </c>
      <c r="G948" s="4" t="s">
        <v>25</v>
      </c>
      <c r="H948" s="4" t="s">
        <v>25</v>
      </c>
      <c r="I948" s="5">
        <v>44593</v>
      </c>
      <c r="J948" s="6">
        <v>0</v>
      </c>
      <c r="K948" s="70">
        <v>0</v>
      </c>
      <c r="L948" s="6">
        <v>1418.2180000000001</v>
      </c>
      <c r="M948" s="70">
        <v>1418.2180000000001</v>
      </c>
      <c r="N948" s="6">
        <v>1418.2180000000001</v>
      </c>
      <c r="O948" s="70">
        <v>1418.2180000000001</v>
      </c>
      <c r="P948" s="6">
        <v>678</v>
      </c>
      <c r="Q948" s="4" t="s">
        <v>26</v>
      </c>
      <c r="R948" s="4">
        <v>0</v>
      </c>
      <c r="S948" s="4">
        <v>0</v>
      </c>
      <c r="T948" s="4">
        <v>69</v>
      </c>
      <c r="U948" s="4">
        <v>112</v>
      </c>
      <c r="V948" s="70">
        <f>IF(ISERROR(VLOOKUP($S$948,'TAR FIN'!$A$1:$O$116,15,0)),0,VLOOKUP($S$948,'TAR FIN'!$A$1:$O$116,15,0))</f>
        <v>0</v>
      </c>
      <c r="W948" s="70">
        <f>IF(ISERROR(VLOOKUP($T$948,'TAR FIN'!$A$1:$O$116,15,0)),0,VLOOKUP($T$948,'TAR FIN'!$A$1:$O$116,15,0))*(1-0.06)</f>
        <v>321.93119999999999</v>
      </c>
      <c r="X948" s="70">
        <f>IF(ISERROR(VLOOKUP($U$948,'TAR FIN'!$A$1:$O$116,15,0)),0,VLOOKUP($U$948,'TAR FIN'!$A$1:$O$116,15,0))*(1-0.06)</f>
        <v>306.8818</v>
      </c>
      <c r="Y948" s="70"/>
      <c r="Z948" s="70">
        <f ca="1">('TUSD BE'!$AM$71+'TUSD BF'!$AM$71+'TUSD CVA'!$AM$71)*1*(1-0.03)</f>
        <v>423.68135844954793</v>
      </c>
      <c r="AA948" s="70">
        <f>('TE BE'!$AB$42+'TE BF'!$AB$42+'TE CVA'!$AB$42)*1*(1-0.03)</f>
        <v>319.74188654667387</v>
      </c>
      <c r="AB948" s="70">
        <f>(SUBSIDIO!$J$948*SUBSIDIO!$V$948)*(0.06)/(1-0.06)</f>
        <v>0</v>
      </c>
      <c r="AC948" s="70">
        <f>((SUBSIDIO!$L$948*SUBSIDIO!$W$948)+(SUBSIDIO!$N$948*SUBSIDIO!$X$948))*(0.06)/(1-0.06)</f>
        <v>56923.015866000002</v>
      </c>
      <c r="AD948" s="70">
        <f>(SUBSIDIO!$J$948*SUBSIDIO!$Y$948)*(0.03)/(1-0.03)</f>
        <v>0</v>
      </c>
      <c r="AE948" s="70">
        <f ca="1">((SUBSIDIO!$L$948*SUBSIDIO!$Z$948)+(SUBSIDIO!$N$948*SUBSIDIO!$AA$948))*(0.03)/(1-0.03)</f>
        <v>32608.336938310877</v>
      </c>
      <c r="AF948" s="4" t="s">
        <v>1115</v>
      </c>
    </row>
    <row r="949" spans="1:32" ht="11.25" customHeight="1" x14ac:dyDescent="0.25">
      <c r="A949" s="4" t="s">
        <v>21</v>
      </c>
      <c r="B949" s="4" t="s">
        <v>37</v>
      </c>
      <c r="C949" s="4" t="s">
        <v>23</v>
      </c>
      <c r="D949" s="4" t="s">
        <v>51</v>
      </c>
      <c r="E949" s="4" t="s">
        <v>52</v>
      </c>
      <c r="F949" s="4" t="s">
        <v>25</v>
      </c>
      <c r="G949" s="4" t="s">
        <v>25</v>
      </c>
      <c r="H949" s="4" t="s">
        <v>25</v>
      </c>
      <c r="I949" s="5">
        <v>44621</v>
      </c>
      <c r="J949" s="6">
        <v>0</v>
      </c>
      <c r="K949" s="70">
        <v>0</v>
      </c>
      <c r="L949" s="6">
        <v>1563.4590000000001</v>
      </c>
      <c r="M949" s="70">
        <v>1563.4590000000001</v>
      </c>
      <c r="N949" s="6">
        <v>1563.4590000000001</v>
      </c>
      <c r="O949" s="70">
        <v>1563.4590000000001</v>
      </c>
      <c r="P949" s="6">
        <v>676</v>
      </c>
      <c r="Q949" s="4" t="s">
        <v>26</v>
      </c>
      <c r="R949" s="4">
        <v>0</v>
      </c>
      <c r="S949" s="4">
        <v>0</v>
      </c>
      <c r="T949" s="4">
        <v>69</v>
      </c>
      <c r="U949" s="4">
        <v>112</v>
      </c>
      <c r="V949" s="70">
        <f>IF(ISERROR(VLOOKUP($S$949,'TAR FIN'!$A$1:$O$116,15,0)),0,VLOOKUP($S$949,'TAR FIN'!$A$1:$O$116,15,0))</f>
        <v>0</v>
      </c>
      <c r="W949" s="70">
        <f>IF(ISERROR(VLOOKUP($T$949,'TAR FIN'!$A$1:$O$116,15,0)),0,VLOOKUP($T$949,'TAR FIN'!$A$1:$O$116,15,0))*(1-0.06)</f>
        <v>321.93119999999999</v>
      </c>
      <c r="X949" s="70">
        <f>IF(ISERROR(VLOOKUP($U$949,'TAR FIN'!$A$1:$O$116,15,0)),0,VLOOKUP($U$949,'TAR FIN'!$A$1:$O$116,15,0))*(1-0.06)</f>
        <v>306.8818</v>
      </c>
      <c r="Y949" s="70"/>
      <c r="Z949" s="70">
        <f ca="1">('TUSD BE'!$AM$71+'TUSD BF'!$AM$71+'TUSD CVA'!$AM$71)*1*(1-0.03)</f>
        <v>423.68135844954793</v>
      </c>
      <c r="AA949" s="70">
        <f>('TE BE'!$AB$42+'TE BF'!$AB$42+'TE CVA'!$AB$42)*1*(1-0.03)</f>
        <v>319.74188654667387</v>
      </c>
      <c r="AB949" s="70">
        <f>(SUBSIDIO!$J$949*SUBSIDIO!$V$949)*(0.06)/(1-0.06)</f>
        <v>0</v>
      </c>
      <c r="AC949" s="70">
        <f>((SUBSIDIO!$L$949*SUBSIDIO!$W$949)+(SUBSIDIO!$N$949*SUBSIDIO!$X$949))*(0.06)/(1-0.06)</f>
        <v>62752.553883</v>
      </c>
      <c r="AD949" s="70">
        <f>(SUBSIDIO!$J$949*SUBSIDIO!$Y$949)*(0.03)/(1-0.03)</f>
        <v>0</v>
      </c>
      <c r="AE949" s="70">
        <f ca="1">((SUBSIDIO!$L$949*SUBSIDIO!$Z$949)+(SUBSIDIO!$N$949*SUBSIDIO!$AA$949))*(0.03)/(1-0.03)</f>
        <v>35947.786490676735</v>
      </c>
      <c r="AF949" s="4" t="s">
        <v>1115</v>
      </c>
    </row>
    <row r="950" spans="1:32" ht="11.25" customHeight="1" x14ac:dyDescent="0.25">
      <c r="A950" s="4" t="s">
        <v>21</v>
      </c>
      <c r="B950" s="4" t="s">
        <v>37</v>
      </c>
      <c r="C950" s="4" t="s">
        <v>23</v>
      </c>
      <c r="D950" s="4" t="s">
        <v>51</v>
      </c>
      <c r="E950" s="4" t="s">
        <v>52</v>
      </c>
      <c r="F950" s="4" t="s">
        <v>25</v>
      </c>
      <c r="G950" s="4" t="s">
        <v>25</v>
      </c>
      <c r="H950" s="4" t="s">
        <v>25</v>
      </c>
      <c r="I950" s="5">
        <v>44652</v>
      </c>
      <c r="J950" s="6">
        <v>0</v>
      </c>
      <c r="K950" s="70">
        <v>0</v>
      </c>
      <c r="L950" s="6">
        <v>1486.8520000000001</v>
      </c>
      <c r="M950" s="70">
        <v>1486.8520000000001</v>
      </c>
      <c r="N950" s="6">
        <v>1486.8520000000001</v>
      </c>
      <c r="O950" s="70">
        <v>1486.8520000000001</v>
      </c>
      <c r="P950" s="6">
        <v>677</v>
      </c>
      <c r="Q950" s="4" t="s">
        <v>26</v>
      </c>
      <c r="R950" s="4">
        <v>0</v>
      </c>
      <c r="S950" s="4">
        <v>0</v>
      </c>
      <c r="T950" s="4">
        <v>69</v>
      </c>
      <c r="U950" s="4">
        <v>112</v>
      </c>
      <c r="V950" s="70">
        <f>IF(ISERROR(VLOOKUP($S$950,'TAR FIN'!$A$1:$O$116,15,0)),0,VLOOKUP($S$950,'TAR FIN'!$A$1:$O$116,15,0))</f>
        <v>0</v>
      </c>
      <c r="W950" s="70">
        <f>IF(ISERROR(VLOOKUP($T$950,'TAR FIN'!$A$1:$O$116,15,0)),0,VLOOKUP($T$950,'TAR FIN'!$A$1:$O$116,15,0))*(1-0.06)</f>
        <v>321.93119999999999</v>
      </c>
      <c r="X950" s="70">
        <f>IF(ISERROR(VLOOKUP($U$950,'TAR FIN'!$A$1:$O$116,15,0)),0,VLOOKUP($U$950,'TAR FIN'!$A$1:$O$116,15,0))*(1-0.06)</f>
        <v>306.8818</v>
      </c>
      <c r="Y950" s="70"/>
      <c r="Z950" s="70">
        <f ca="1">('TUSD BE'!$AM$71+'TUSD BF'!$AM$71+'TUSD CVA'!$AM$71)*1*(1-0.03)</f>
        <v>423.68135844954793</v>
      </c>
      <c r="AA950" s="70">
        <f>('TE BE'!$AB$42+'TE BF'!$AB$42+'TE CVA'!$AB$42)*1*(1-0.03)</f>
        <v>319.74188654667387</v>
      </c>
      <c r="AB950" s="70">
        <f>(SUBSIDIO!$J$950*SUBSIDIO!$V$950)*(0.06)/(1-0.06)</f>
        <v>0</v>
      </c>
      <c r="AC950" s="70">
        <f>((SUBSIDIO!$L$950*SUBSIDIO!$W$950)+(SUBSIDIO!$N$950*SUBSIDIO!$X$950))*(0.06)/(1-0.06)</f>
        <v>59677.778724000003</v>
      </c>
      <c r="AD950" s="70">
        <f>(SUBSIDIO!$J$950*SUBSIDIO!$Y$950)*(0.03)/(1-0.03)</f>
        <v>0</v>
      </c>
      <c r="AE950" s="70">
        <f ca="1">((SUBSIDIO!$L$950*SUBSIDIO!$Z$950)+(SUBSIDIO!$N$950*SUBSIDIO!$AA$950))*(0.03)/(1-0.03)</f>
        <v>34186.402226880076</v>
      </c>
      <c r="AF950" s="4" t="s">
        <v>1115</v>
      </c>
    </row>
    <row r="951" spans="1:32" ht="11.25" customHeight="1" x14ac:dyDescent="0.25">
      <c r="A951" s="4" t="s">
        <v>58</v>
      </c>
      <c r="B951" s="4" t="s">
        <v>37</v>
      </c>
      <c r="C951" s="4" t="s">
        <v>23</v>
      </c>
      <c r="D951" s="4" t="s">
        <v>51</v>
      </c>
      <c r="E951" s="4" t="s">
        <v>52</v>
      </c>
      <c r="F951" s="4" t="s">
        <v>25</v>
      </c>
      <c r="G951" s="4" t="s">
        <v>25</v>
      </c>
      <c r="H951" s="4" t="s">
        <v>25</v>
      </c>
      <c r="I951" s="5">
        <v>44682</v>
      </c>
      <c r="J951" s="6">
        <v>0</v>
      </c>
      <c r="K951" s="70">
        <v>0</v>
      </c>
      <c r="L951" s="6">
        <v>1486.8520000000001</v>
      </c>
      <c r="M951" s="70">
        <v>1486.8520000000001</v>
      </c>
      <c r="N951" s="6">
        <v>1486.8520000000001</v>
      </c>
      <c r="O951" s="70">
        <v>1486.8520000000001</v>
      </c>
      <c r="P951" s="6">
        <v>677</v>
      </c>
      <c r="Q951" s="4" t="s">
        <v>26</v>
      </c>
      <c r="R951" s="4">
        <v>0</v>
      </c>
      <c r="S951" s="4">
        <v>0</v>
      </c>
      <c r="T951" s="4">
        <v>69</v>
      </c>
      <c r="U951" s="4">
        <v>112</v>
      </c>
      <c r="V951" s="70">
        <f>IF(ISERROR(VLOOKUP($S$951,'TAR FIN'!$A$1:$O$116,15,0)),0,VLOOKUP($S$951,'TAR FIN'!$A$1:$O$116,15,0))</f>
        <v>0</v>
      </c>
      <c r="W951" s="70">
        <f>IF(ISERROR(VLOOKUP($T$951,'TAR FIN'!$A$1:$O$116,15,0)),0,VLOOKUP($T$951,'TAR FIN'!$A$1:$O$116,15,0))*(1-0.06)</f>
        <v>321.93119999999999</v>
      </c>
      <c r="X951" s="70">
        <f>IF(ISERROR(VLOOKUP($U$951,'TAR FIN'!$A$1:$O$116,15,0)),0,VLOOKUP($U$951,'TAR FIN'!$A$1:$O$116,15,0))*(1-0.06)</f>
        <v>306.8818</v>
      </c>
      <c r="Y951" s="70"/>
      <c r="Z951" s="70">
        <f ca="1">('TUSD BE'!$AM$71+'TUSD BF'!$AM$71+'TUSD CVA'!$AM$71)*1*(1-0.03)</f>
        <v>423.68135844954793</v>
      </c>
      <c r="AA951" s="70">
        <f>('TE BE'!$AB$42+'TE BF'!$AB$42+'TE CVA'!$AB$42)*1*(1-0.03)</f>
        <v>319.74188654667387</v>
      </c>
      <c r="AB951" s="70">
        <f>(SUBSIDIO!$J$951*SUBSIDIO!$V$951)*(0.06)/(1-0.06)</f>
        <v>0</v>
      </c>
      <c r="AC951" s="70">
        <f>((SUBSIDIO!$L$951*SUBSIDIO!$W$951)+(SUBSIDIO!$N$951*SUBSIDIO!$X$951))*(0.06)/(1-0.06)</f>
        <v>59677.778724000003</v>
      </c>
      <c r="AD951" s="70">
        <f>(SUBSIDIO!$J$951*SUBSIDIO!$Y$951)*(0.03)/(1-0.03)</f>
        <v>0</v>
      </c>
      <c r="AE951" s="70">
        <f ca="1">((SUBSIDIO!$L$951*SUBSIDIO!$Z$951)+(SUBSIDIO!$N$951*SUBSIDIO!$AA$951))*(0.03)/(1-0.03)</f>
        <v>34186.402226880076</v>
      </c>
      <c r="AF951" s="4" t="s">
        <v>1115</v>
      </c>
    </row>
    <row r="952" spans="1:32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1:32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1:32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1:32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1:32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1:32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1:32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1:32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1:32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22:31" ht="11.25" customHeight="1" x14ac:dyDescent="0.25"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22:31" ht="11.25" customHeight="1" x14ac:dyDescent="0.25"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22:31" ht="11.25" customHeight="1" x14ac:dyDescent="0.25"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22:31" ht="11.25" customHeight="1" x14ac:dyDescent="0.25"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22:31" ht="11.25" customHeight="1" x14ac:dyDescent="0.25"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22:31" ht="11.25" customHeight="1" x14ac:dyDescent="0.25"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22:31" ht="11.25" customHeight="1" x14ac:dyDescent="0.25"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22:31" ht="11.25" customHeight="1" x14ac:dyDescent="0.25"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22:31" ht="11.25" customHeight="1" x14ac:dyDescent="0.25"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22:31" ht="11.25" customHeight="1" x14ac:dyDescent="0.25"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22:31" ht="11.25" customHeight="1" x14ac:dyDescent="0.25"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22:31" ht="11.25" customHeight="1" x14ac:dyDescent="0.25"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22:31" ht="11.25" customHeight="1" x14ac:dyDescent="0.25"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22:31" ht="11.25" customHeight="1" x14ac:dyDescent="0.25"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22:31" ht="11.25" customHeight="1" x14ac:dyDescent="0.25"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22:31" ht="11.25" customHeight="1" x14ac:dyDescent="0.25"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22:31" ht="11.25" customHeight="1" x14ac:dyDescent="0.25"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22:31" ht="11.25" customHeight="1" x14ac:dyDescent="0.25"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22:31" ht="11.25" customHeight="1" x14ac:dyDescent="0.25"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22:31" ht="11.25" customHeight="1" x14ac:dyDescent="0.25"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22:31" ht="11.25" customHeight="1" x14ac:dyDescent="0.25"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22:31" ht="11.25" customHeight="1" x14ac:dyDescent="0.25"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22:31" ht="11.25" customHeight="1" x14ac:dyDescent="0.25"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22:31" ht="11.25" customHeight="1" x14ac:dyDescent="0.25"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22:31" ht="11.25" customHeight="1" x14ac:dyDescent="0.25"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22:31" ht="11.25" customHeight="1" x14ac:dyDescent="0.25"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22:31" ht="11.25" customHeight="1" x14ac:dyDescent="0.25"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22:31" ht="11.25" customHeight="1" x14ac:dyDescent="0.25"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22:31" ht="11.25" customHeight="1" x14ac:dyDescent="0.25"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22:31" ht="11.25" customHeight="1" x14ac:dyDescent="0.25"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22:31" ht="11.25" customHeight="1" x14ac:dyDescent="0.25"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22:31" ht="11.25" customHeight="1" x14ac:dyDescent="0.25"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22:31" ht="11.25" customHeight="1" x14ac:dyDescent="0.25"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22:31" ht="11.25" customHeight="1" x14ac:dyDescent="0.25"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22:31" ht="11.25" customHeight="1" x14ac:dyDescent="0.25"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22:31" ht="11.25" customHeight="1" x14ac:dyDescent="0.25"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22:31" ht="11.25" customHeight="1" x14ac:dyDescent="0.25"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22:31" ht="11.25" customHeight="1" x14ac:dyDescent="0.25"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22:31" ht="11.25" customHeight="1" x14ac:dyDescent="0.25"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22:31" ht="11.25" customHeight="1" x14ac:dyDescent="0.25"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22:31" ht="11.25" customHeight="1" x14ac:dyDescent="0.25"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22:31" ht="11.25" customHeight="1" x14ac:dyDescent="0.25"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22:31" ht="11.25" customHeight="1" x14ac:dyDescent="0.25"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22:31" ht="11.25" customHeight="1" x14ac:dyDescent="0.25"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22:31" ht="11.25" customHeight="1" x14ac:dyDescent="0.25"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22:31" ht="11.25" customHeight="1" x14ac:dyDescent="0.25"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22:31" ht="11.25" customHeight="1" x14ac:dyDescent="0.25"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  <row r="1263" spans="22:31" ht="11.25" customHeight="1" x14ac:dyDescent="0.25"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</row>
    <row r="1264" spans="22:31" ht="11.25" customHeight="1" x14ac:dyDescent="0.25"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22:31" ht="11.25" customHeight="1" x14ac:dyDescent="0.25"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</row>
    <row r="1266" spans="22:31" ht="11.25" customHeight="1" x14ac:dyDescent="0.25"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</row>
    <row r="1267" spans="22:31" ht="11.25" customHeight="1" x14ac:dyDescent="0.25"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</row>
    <row r="1268" spans="22:31" ht="11.25" customHeight="1" x14ac:dyDescent="0.25"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</row>
    <row r="1269" spans="22:31" ht="11.25" customHeight="1" x14ac:dyDescent="0.25"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</row>
    <row r="1270" spans="22:31" ht="11.25" customHeight="1" x14ac:dyDescent="0.25"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</row>
    <row r="1271" spans="22:31" ht="11.25" customHeight="1" x14ac:dyDescent="0.25"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</row>
    <row r="1272" spans="22:31" ht="11.25" customHeight="1" x14ac:dyDescent="0.25"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22:31" ht="11.25" customHeight="1" x14ac:dyDescent="0.25"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</row>
    <row r="1274" spans="22:31" ht="11.25" customHeight="1" x14ac:dyDescent="0.25"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</row>
    <row r="1275" spans="22:31" ht="11.25" customHeight="1" x14ac:dyDescent="0.25"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</row>
    <row r="1276" spans="22:31" ht="11.25" customHeight="1" x14ac:dyDescent="0.25"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</row>
    <row r="1277" spans="22:31" ht="11.25" customHeight="1" x14ac:dyDescent="0.25"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</row>
    <row r="1278" spans="22:31" ht="11.25" customHeight="1" x14ac:dyDescent="0.25"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</row>
    <row r="1279" spans="22:31" ht="11.25" customHeight="1" x14ac:dyDescent="0.25"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</row>
    <row r="1280" spans="22:31" ht="11.25" customHeight="1" x14ac:dyDescent="0.25"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</row>
    <row r="1281" spans="22:31" ht="11.25" customHeight="1" x14ac:dyDescent="0.25"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</row>
    <row r="1282" spans="22:31" ht="11.25" customHeight="1" x14ac:dyDescent="0.25"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</row>
    <row r="1283" spans="22:31" ht="11.25" customHeight="1" x14ac:dyDescent="0.25"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</row>
    <row r="1284" spans="22:31" ht="11.25" customHeight="1" x14ac:dyDescent="0.25"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</row>
    <row r="1285" spans="22:31" ht="11.25" customHeight="1" x14ac:dyDescent="0.25"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</row>
    <row r="1286" spans="22:31" ht="11.25" customHeight="1" x14ac:dyDescent="0.25"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</row>
    <row r="1287" spans="22:31" ht="11.25" customHeight="1" x14ac:dyDescent="0.25"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</row>
    <row r="1288" spans="22:31" ht="11.25" customHeight="1" x14ac:dyDescent="0.25"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</row>
    <row r="1289" spans="22:31" ht="11.25" customHeight="1" x14ac:dyDescent="0.25"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</row>
    <row r="1290" spans="22:31" ht="11.25" customHeight="1" x14ac:dyDescent="0.25"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</row>
    <row r="1291" spans="22:31" ht="11.25" customHeight="1" x14ac:dyDescent="0.25"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</row>
    <row r="1292" spans="22:31" ht="11.25" customHeight="1" x14ac:dyDescent="0.25"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</row>
    <row r="1293" spans="22:31" ht="11.25" customHeight="1" x14ac:dyDescent="0.25"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</row>
    <row r="1294" spans="22:31" ht="11.25" customHeight="1" x14ac:dyDescent="0.25"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</row>
    <row r="1295" spans="22:31" ht="11.25" customHeight="1" x14ac:dyDescent="0.25"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</row>
    <row r="1296" spans="22:31" ht="11.25" customHeight="1" x14ac:dyDescent="0.25"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</row>
    <row r="1297" spans="22:31" ht="11.25" customHeight="1" x14ac:dyDescent="0.25"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22:31" ht="11.25" customHeight="1" x14ac:dyDescent="0.25"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22:31" ht="11.25" customHeight="1" x14ac:dyDescent="0.25"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22:31" ht="11.25" customHeight="1" x14ac:dyDescent="0.25"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</row>
    <row r="1301" spans="22:31" ht="11.25" customHeight="1" x14ac:dyDescent="0.25"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</row>
    <row r="1302" spans="22:31" ht="11.25" customHeight="1" x14ac:dyDescent="0.25"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</row>
    <row r="1303" spans="22:31" ht="11.25" customHeight="1" x14ac:dyDescent="0.25"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</row>
    <row r="1304" spans="22:31" ht="11.25" customHeight="1" x14ac:dyDescent="0.25"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</row>
    <row r="1305" spans="22:31" ht="11.25" customHeight="1" x14ac:dyDescent="0.25"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</row>
    <row r="1306" spans="22:31" ht="11.25" customHeight="1" x14ac:dyDescent="0.25"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</row>
    <row r="1307" spans="22:31" ht="11.25" customHeight="1" x14ac:dyDescent="0.25"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</row>
    <row r="1308" spans="22:31" ht="11.25" customHeight="1" x14ac:dyDescent="0.25"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</row>
    <row r="1309" spans="22:31" ht="11.25" customHeight="1" x14ac:dyDescent="0.25"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</row>
    <row r="1310" spans="22:31" ht="11.25" customHeight="1" x14ac:dyDescent="0.25"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</row>
    <row r="1311" spans="22:31" ht="11.25" customHeight="1" x14ac:dyDescent="0.25"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</row>
    <row r="1312" spans="22:31" ht="11.25" customHeight="1" x14ac:dyDescent="0.25"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</row>
    <row r="1313" spans="22:31" ht="11.25" customHeight="1" x14ac:dyDescent="0.25"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</row>
    <row r="1314" spans="22:31" ht="11.25" customHeight="1" x14ac:dyDescent="0.25"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</row>
    <row r="1315" spans="22:31" ht="11.25" customHeight="1" x14ac:dyDescent="0.25"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</row>
    <row r="1316" spans="22:31" ht="11.25" customHeight="1" x14ac:dyDescent="0.25"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</row>
    <row r="1317" spans="22:31" ht="11.25" customHeight="1" x14ac:dyDescent="0.25"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</row>
    <row r="1318" spans="22:31" ht="11.25" customHeight="1" x14ac:dyDescent="0.25"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</row>
    <row r="1319" spans="22:31" ht="11.25" customHeight="1" x14ac:dyDescent="0.25"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</row>
    <row r="1320" spans="22:31" ht="11.25" customHeight="1" x14ac:dyDescent="0.25"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</row>
    <row r="1321" spans="22:31" ht="11.25" customHeight="1" x14ac:dyDescent="0.25"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</row>
    <row r="1322" spans="22:31" ht="11.25" customHeight="1" x14ac:dyDescent="0.25"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</row>
    <row r="1323" spans="22:31" ht="11.25" customHeight="1" x14ac:dyDescent="0.25"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</row>
    <row r="1324" spans="22:31" ht="11.25" customHeight="1" x14ac:dyDescent="0.25"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</row>
    <row r="1325" spans="22:31" ht="11.25" customHeight="1" x14ac:dyDescent="0.25"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</row>
    <row r="1326" spans="22:31" ht="11.25" customHeight="1" x14ac:dyDescent="0.25"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</row>
    <row r="1327" spans="22:31" ht="11.25" customHeight="1" x14ac:dyDescent="0.25"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</row>
    <row r="1328" spans="22:31" ht="11.25" customHeight="1" x14ac:dyDescent="0.25"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</row>
    <row r="1329" spans="22:31" ht="11.25" customHeight="1" x14ac:dyDescent="0.25"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</row>
    <row r="1330" spans="22:31" ht="11.25" customHeight="1" x14ac:dyDescent="0.25"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</row>
    <row r="1331" spans="22:31" ht="11.25" customHeight="1" x14ac:dyDescent="0.25"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</row>
    <row r="1332" spans="22:31" ht="11.25" customHeight="1" x14ac:dyDescent="0.25"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</row>
    <row r="1333" spans="22:31" ht="11.25" customHeight="1" x14ac:dyDescent="0.25"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</row>
    <row r="1334" spans="22:31" ht="11.25" customHeight="1" x14ac:dyDescent="0.25"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</row>
    <row r="1335" spans="22:31" ht="11.25" customHeight="1" x14ac:dyDescent="0.25"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</row>
    <row r="1336" spans="22:31" ht="11.25" customHeight="1" x14ac:dyDescent="0.25"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</row>
    <row r="1337" spans="22:31" ht="11.25" customHeight="1" x14ac:dyDescent="0.25"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</row>
    <row r="1338" spans="22:31" ht="11.25" customHeight="1" x14ac:dyDescent="0.25"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</row>
    <row r="1339" spans="22:31" ht="11.25" customHeight="1" x14ac:dyDescent="0.25"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</row>
    <row r="1340" spans="22:31" ht="11.25" customHeight="1" x14ac:dyDescent="0.25"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</row>
    <row r="1341" spans="22:31" ht="11.25" customHeight="1" x14ac:dyDescent="0.25"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</row>
    <row r="1342" spans="22:31" ht="11.25" customHeight="1" x14ac:dyDescent="0.25"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</row>
    <row r="1343" spans="22:31" ht="11.25" customHeight="1" x14ac:dyDescent="0.25"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</row>
    <row r="1344" spans="22:31" ht="11.25" customHeight="1" x14ac:dyDescent="0.25"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</row>
    <row r="1345" spans="22:31" ht="11.25" customHeight="1" x14ac:dyDescent="0.25"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</row>
    <row r="1346" spans="22:31" ht="11.25" customHeight="1" x14ac:dyDescent="0.25"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</row>
    <row r="1347" spans="22:31" ht="11.25" customHeight="1" x14ac:dyDescent="0.25"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</row>
    <row r="1348" spans="22:31" ht="11.25" customHeight="1" x14ac:dyDescent="0.25"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</row>
    <row r="1349" spans="22:31" ht="11.25" customHeight="1" x14ac:dyDescent="0.25"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</row>
    <row r="1350" spans="22:31" ht="11.25" customHeight="1" x14ac:dyDescent="0.25"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</row>
    <row r="1351" spans="22:31" ht="11.25" customHeight="1" x14ac:dyDescent="0.25"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</row>
    <row r="1352" spans="22:31" ht="11.25" customHeight="1" x14ac:dyDescent="0.25"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</row>
    <row r="1353" spans="22:31" ht="11.25" customHeight="1" x14ac:dyDescent="0.25"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</row>
    <row r="1354" spans="22:31" ht="11.25" customHeight="1" x14ac:dyDescent="0.25"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</row>
    <row r="1355" spans="22:31" ht="11.25" customHeight="1" x14ac:dyDescent="0.25"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</row>
    <row r="1356" spans="22:31" ht="11.25" customHeight="1" x14ac:dyDescent="0.25"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</row>
    <row r="1357" spans="22:31" ht="11.25" customHeight="1" x14ac:dyDescent="0.25"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</row>
    <row r="1358" spans="22:31" ht="11.25" customHeight="1" x14ac:dyDescent="0.25"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</row>
    <row r="1359" spans="22:31" ht="11.25" customHeight="1" x14ac:dyDescent="0.25"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</row>
    <row r="1360" spans="22:31" ht="11.25" customHeight="1" x14ac:dyDescent="0.25"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</row>
    <row r="1361" spans="22:31" ht="11.25" customHeight="1" x14ac:dyDescent="0.25"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</row>
    <row r="1362" spans="22:31" ht="11.25" customHeight="1" x14ac:dyDescent="0.25"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</row>
    <row r="1363" spans="22:31" ht="11.25" customHeight="1" x14ac:dyDescent="0.25"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</row>
    <row r="1364" spans="22:31" ht="11.25" customHeight="1" x14ac:dyDescent="0.25"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</row>
    <row r="1365" spans="22:31" ht="11.25" customHeight="1" x14ac:dyDescent="0.25"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</row>
    <row r="1366" spans="22:31" ht="11.25" customHeight="1" x14ac:dyDescent="0.25"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</row>
    <row r="1367" spans="22:31" ht="11.25" customHeight="1" x14ac:dyDescent="0.25"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</row>
    <row r="1368" spans="22:31" ht="11.25" customHeight="1" x14ac:dyDescent="0.25"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</row>
    <row r="1369" spans="22:31" ht="11.25" customHeight="1" x14ac:dyDescent="0.25"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</row>
    <row r="1370" spans="22:31" ht="11.25" customHeight="1" x14ac:dyDescent="0.25"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</row>
    <row r="1371" spans="22:31" ht="11.25" customHeight="1" x14ac:dyDescent="0.25"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</row>
    <row r="1372" spans="22:31" ht="11.25" customHeight="1" x14ac:dyDescent="0.25"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</row>
    <row r="1373" spans="22:31" ht="11.25" customHeight="1" x14ac:dyDescent="0.25"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</row>
    <row r="1374" spans="22:31" ht="11.25" customHeight="1" x14ac:dyDescent="0.25"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</row>
    <row r="1375" spans="22:31" ht="11.25" customHeight="1" x14ac:dyDescent="0.25"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</row>
    <row r="1376" spans="22:31" ht="11.25" customHeight="1" x14ac:dyDescent="0.25"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</row>
    <row r="1377" spans="22:31" ht="11.25" customHeight="1" x14ac:dyDescent="0.25"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</row>
    <row r="1378" spans="22:31" ht="11.25" customHeight="1" x14ac:dyDescent="0.25"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</row>
    <row r="1379" spans="22:31" ht="11.25" customHeight="1" x14ac:dyDescent="0.25"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</row>
    <row r="1380" spans="22:31" ht="11.25" customHeight="1" x14ac:dyDescent="0.25"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</row>
    <row r="1381" spans="22:31" ht="11.25" customHeight="1" x14ac:dyDescent="0.25"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</row>
    <row r="1382" spans="22:31" ht="11.25" customHeight="1" x14ac:dyDescent="0.25"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</row>
    <row r="1383" spans="22:31" ht="11.25" customHeight="1" x14ac:dyDescent="0.25"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</row>
    <row r="1384" spans="22:31" ht="11.25" customHeight="1" x14ac:dyDescent="0.25"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22:31" ht="11.25" customHeight="1" x14ac:dyDescent="0.25"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</row>
    <row r="1386" spans="22:31" ht="11.25" customHeight="1" x14ac:dyDescent="0.25"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</row>
    <row r="1387" spans="22:31" ht="11.25" customHeight="1" x14ac:dyDescent="0.25"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</row>
    <row r="1388" spans="22:31" ht="11.25" customHeight="1" x14ac:dyDescent="0.25"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</row>
    <row r="1389" spans="22:31" ht="11.25" customHeight="1" x14ac:dyDescent="0.25"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</row>
    <row r="1390" spans="22:31" ht="11.25" customHeight="1" x14ac:dyDescent="0.25"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</row>
    <row r="1391" spans="22:31" ht="11.25" customHeight="1" x14ac:dyDescent="0.25"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</row>
    <row r="1392" spans="22:31" ht="11.25" customHeight="1" x14ac:dyDescent="0.25"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</row>
    <row r="1393" spans="22:31" ht="11.25" customHeight="1" x14ac:dyDescent="0.25"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</row>
    <row r="1394" spans="22:31" ht="11.25" customHeight="1" x14ac:dyDescent="0.25"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</row>
    <row r="1395" spans="22:31" ht="11.25" customHeight="1" x14ac:dyDescent="0.25"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</row>
    <row r="1396" spans="22:31" ht="11.25" customHeight="1" x14ac:dyDescent="0.25"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</row>
    <row r="1397" spans="22:31" ht="11.25" customHeight="1" x14ac:dyDescent="0.25"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</row>
    <row r="1398" spans="22:31" ht="11.25" customHeight="1" x14ac:dyDescent="0.25"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</row>
    <row r="1399" spans="22:31" ht="11.25" customHeight="1" x14ac:dyDescent="0.25"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</row>
    <row r="1400" spans="22:31" ht="11.25" customHeight="1" x14ac:dyDescent="0.25"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</row>
    <row r="1401" spans="22:31" ht="11.25" customHeight="1" x14ac:dyDescent="0.25"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</row>
    <row r="1402" spans="22:31" ht="11.25" customHeight="1" x14ac:dyDescent="0.25"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</row>
    <row r="1403" spans="22:31" ht="11.25" customHeight="1" x14ac:dyDescent="0.25"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</row>
    <row r="1404" spans="22:31" ht="11.25" customHeight="1" x14ac:dyDescent="0.25"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</row>
    <row r="1405" spans="22:31" ht="11.25" customHeight="1" x14ac:dyDescent="0.25"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22:31" ht="11.25" customHeight="1" x14ac:dyDescent="0.25"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</row>
    <row r="1407" spans="22:31" ht="11.25" customHeight="1" x14ac:dyDescent="0.25"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</row>
    <row r="1408" spans="22:31" ht="11.25" customHeight="1" x14ac:dyDescent="0.25"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</row>
    <row r="1409" spans="22:31" ht="11.25" customHeight="1" x14ac:dyDescent="0.25"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</row>
    <row r="1410" spans="22:31" ht="11.25" customHeight="1" x14ac:dyDescent="0.25"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</row>
    <row r="1411" spans="22:31" ht="11.25" customHeight="1" x14ac:dyDescent="0.25"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</row>
    <row r="1412" spans="22:31" ht="11.25" customHeight="1" x14ac:dyDescent="0.25"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22:31" ht="11.25" customHeight="1" x14ac:dyDescent="0.25"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</row>
    <row r="1414" spans="22:31" ht="11.25" customHeight="1" x14ac:dyDescent="0.25"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</row>
    <row r="1415" spans="22:31" ht="11.25" customHeight="1" x14ac:dyDescent="0.25"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</row>
    <row r="1416" spans="22:31" ht="11.25" customHeight="1" x14ac:dyDescent="0.25"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</row>
    <row r="1417" spans="22:31" ht="11.25" customHeight="1" x14ac:dyDescent="0.25"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</row>
    <row r="1418" spans="22:31" ht="11.25" customHeight="1" x14ac:dyDescent="0.25"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</row>
    <row r="1419" spans="22:31" ht="11.25" customHeight="1" x14ac:dyDescent="0.25"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</row>
    <row r="1420" spans="22:31" ht="11.25" customHeight="1" x14ac:dyDescent="0.25"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</row>
    <row r="1421" spans="22:31" ht="11.25" customHeight="1" x14ac:dyDescent="0.25"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</row>
    <row r="1422" spans="22:31" ht="11.25" customHeight="1" x14ac:dyDescent="0.25"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</row>
    <row r="1423" spans="22:31" ht="11.25" customHeight="1" x14ac:dyDescent="0.25"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</row>
    <row r="1424" spans="22:31" ht="11.25" customHeight="1" x14ac:dyDescent="0.25"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</row>
    <row r="1425" spans="22:31" ht="11.25" customHeight="1" x14ac:dyDescent="0.25"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</row>
    <row r="1426" spans="22:31" ht="11.25" customHeight="1" x14ac:dyDescent="0.25"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</row>
    <row r="1427" spans="22:31" ht="11.25" customHeight="1" x14ac:dyDescent="0.25"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22:31" ht="11.25" customHeight="1" x14ac:dyDescent="0.25"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</row>
    <row r="1429" spans="22:31" ht="11.25" customHeight="1" x14ac:dyDescent="0.25"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</row>
    <row r="1430" spans="22:31" ht="11.25" customHeight="1" x14ac:dyDescent="0.25"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</row>
    <row r="1431" spans="22:31" ht="11.25" customHeight="1" x14ac:dyDescent="0.25"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</row>
    <row r="1432" spans="22:31" ht="11.25" customHeight="1" x14ac:dyDescent="0.25"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</row>
    <row r="1433" spans="22:31" ht="11.25" customHeight="1" x14ac:dyDescent="0.25"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</row>
    <row r="1434" spans="22:31" ht="11.25" customHeight="1" x14ac:dyDescent="0.25"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</row>
    <row r="1435" spans="22:31" ht="11.25" customHeight="1" x14ac:dyDescent="0.25"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</row>
    <row r="1436" spans="22:31" ht="11.25" customHeight="1" x14ac:dyDescent="0.25"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</row>
    <row r="1437" spans="22:31" ht="11.25" customHeight="1" x14ac:dyDescent="0.25"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</row>
    <row r="1438" spans="22:31" ht="11.25" customHeight="1" x14ac:dyDescent="0.25"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</row>
    <row r="1439" spans="22:31" ht="11.25" customHeight="1" x14ac:dyDescent="0.25"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</row>
    <row r="1440" spans="22:31" ht="11.25" customHeight="1" x14ac:dyDescent="0.25"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</row>
    <row r="1441" spans="22:31" ht="11.25" customHeight="1" x14ac:dyDescent="0.25"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</row>
    <row r="1442" spans="22:31" ht="11.25" customHeight="1" x14ac:dyDescent="0.25"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</row>
    <row r="1443" spans="22:31" ht="11.25" customHeight="1" x14ac:dyDescent="0.25"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</row>
    <row r="1444" spans="22:31" ht="11.25" customHeight="1" x14ac:dyDescent="0.25"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</row>
    <row r="1445" spans="22:31" ht="11.25" customHeight="1" x14ac:dyDescent="0.25"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</row>
    <row r="1446" spans="22:31" ht="11.25" customHeight="1" x14ac:dyDescent="0.25"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</row>
    <row r="1447" spans="22:31" ht="11.25" customHeight="1" x14ac:dyDescent="0.25"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</row>
    <row r="1448" spans="22:31" ht="11.25" customHeight="1" x14ac:dyDescent="0.25"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</row>
    <row r="1449" spans="22:31" ht="11.25" customHeight="1" x14ac:dyDescent="0.25"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</row>
    <row r="1450" spans="22:31" ht="11.25" customHeight="1" x14ac:dyDescent="0.25"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</row>
    <row r="1451" spans="22:31" ht="11.25" customHeight="1" x14ac:dyDescent="0.25"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</row>
    <row r="1452" spans="22:31" ht="11.25" customHeight="1" x14ac:dyDescent="0.25"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</row>
    <row r="1453" spans="22:31" ht="11.25" customHeight="1" x14ac:dyDescent="0.25"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</row>
    <row r="1454" spans="22:31" ht="11.25" customHeight="1" x14ac:dyDescent="0.25"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</row>
    <row r="1455" spans="22:31" ht="11.25" customHeight="1" x14ac:dyDescent="0.25"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</row>
    <row r="1456" spans="22:31" ht="11.25" customHeight="1" x14ac:dyDescent="0.25"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22:31" ht="11.25" customHeight="1" x14ac:dyDescent="0.25"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</row>
    <row r="1458" spans="22:31" ht="11.25" customHeight="1" x14ac:dyDescent="0.25"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</row>
    <row r="1459" spans="22:31" ht="11.25" customHeight="1" x14ac:dyDescent="0.25"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</row>
    <row r="1460" spans="22:31" ht="11.25" customHeight="1" x14ac:dyDescent="0.25"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</row>
    <row r="1461" spans="22:31" ht="11.25" customHeight="1" x14ac:dyDescent="0.25"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</row>
    <row r="1462" spans="22:31" ht="11.25" customHeight="1" x14ac:dyDescent="0.25"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</row>
    <row r="1463" spans="22:31" ht="11.25" customHeight="1" x14ac:dyDescent="0.25"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</row>
    <row r="1464" spans="22:31" ht="11.25" customHeight="1" x14ac:dyDescent="0.25"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</row>
    <row r="1465" spans="22:31" ht="11.25" customHeight="1" x14ac:dyDescent="0.25"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</row>
    <row r="1466" spans="22:31" ht="11.25" customHeight="1" x14ac:dyDescent="0.25"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</row>
    <row r="1467" spans="22:31" ht="11.25" customHeight="1" x14ac:dyDescent="0.25"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</row>
    <row r="1468" spans="22:31" ht="11.25" customHeight="1" x14ac:dyDescent="0.25"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</row>
    <row r="1469" spans="22:31" ht="11.25" customHeight="1" x14ac:dyDescent="0.25"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</row>
    <row r="1470" spans="22:31" ht="11.25" customHeight="1" x14ac:dyDescent="0.25"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</row>
    <row r="1471" spans="22:31" ht="11.25" customHeight="1" x14ac:dyDescent="0.25"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</row>
    <row r="1472" spans="22:31" ht="11.25" customHeight="1" x14ac:dyDescent="0.25"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</row>
    <row r="1473" spans="22:31" ht="11.25" customHeight="1" x14ac:dyDescent="0.25"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</row>
    <row r="1474" spans="22:31" ht="11.25" customHeight="1" x14ac:dyDescent="0.25"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</row>
    <row r="1475" spans="22:31" ht="11.25" customHeight="1" x14ac:dyDescent="0.25"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</row>
    <row r="1476" spans="22:31" ht="11.25" customHeight="1" x14ac:dyDescent="0.25"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</row>
    <row r="1477" spans="22:31" ht="11.25" customHeight="1" x14ac:dyDescent="0.25"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</row>
    <row r="1478" spans="22:31" ht="11.25" customHeight="1" x14ac:dyDescent="0.25"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</row>
    <row r="1479" spans="22:31" ht="11.25" customHeight="1" x14ac:dyDescent="0.25"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</row>
    <row r="1480" spans="22:31" ht="11.25" customHeight="1" x14ac:dyDescent="0.25"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</row>
    <row r="1481" spans="22:31" ht="11.25" customHeight="1" x14ac:dyDescent="0.25"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</row>
    <row r="1482" spans="22:31" ht="11.25" customHeight="1" x14ac:dyDescent="0.25"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</row>
    <row r="1483" spans="22:31" ht="11.25" customHeight="1" x14ac:dyDescent="0.25"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</row>
    <row r="1484" spans="22:31" ht="11.25" customHeight="1" x14ac:dyDescent="0.25"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</row>
    <row r="1485" spans="22:31" ht="11.25" customHeight="1" x14ac:dyDescent="0.25"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</row>
    <row r="1486" spans="22:31" ht="11.25" customHeight="1" x14ac:dyDescent="0.25"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</row>
    <row r="1487" spans="22:31" ht="11.25" customHeight="1" x14ac:dyDescent="0.25"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</row>
    <row r="1488" spans="22:31" ht="11.25" customHeight="1" x14ac:dyDescent="0.25"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</row>
    <row r="1489" spans="22:31" ht="11.25" customHeight="1" x14ac:dyDescent="0.25"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</row>
    <row r="1490" spans="22:31" ht="11.25" customHeight="1" x14ac:dyDescent="0.25"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</row>
    <row r="1491" spans="22:31" ht="11.25" customHeight="1" x14ac:dyDescent="0.25"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</row>
    <row r="1492" spans="22:31" ht="11.25" customHeight="1" x14ac:dyDescent="0.25"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</row>
    <row r="1493" spans="22:31" ht="11.25" customHeight="1" x14ac:dyDescent="0.25"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</row>
    <row r="1494" spans="22:31" ht="11.25" customHeight="1" x14ac:dyDescent="0.25"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</row>
    <row r="1495" spans="22:31" ht="11.25" customHeight="1" x14ac:dyDescent="0.25"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</row>
    <row r="1496" spans="22:31" ht="11.25" customHeight="1" x14ac:dyDescent="0.25"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</row>
    <row r="1497" spans="22:31" ht="11.25" customHeight="1" x14ac:dyDescent="0.25"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</row>
    <row r="1498" spans="22:31" ht="11.25" customHeight="1" x14ac:dyDescent="0.25"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</row>
    <row r="1499" spans="22:31" ht="11.25" customHeight="1" x14ac:dyDescent="0.25"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</row>
    <row r="1500" spans="22:31" ht="11.25" customHeight="1" x14ac:dyDescent="0.25"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</row>
    <row r="1501" spans="22:31" ht="11.25" customHeight="1" x14ac:dyDescent="0.25"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</row>
    <row r="1502" spans="22:31" ht="11.25" customHeight="1" x14ac:dyDescent="0.25"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</row>
    <row r="1503" spans="22:31" ht="11.25" customHeight="1" x14ac:dyDescent="0.25"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</row>
    <row r="1504" spans="22:31" ht="11.25" customHeight="1" x14ac:dyDescent="0.25"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</row>
    <row r="1505" spans="22:31" ht="11.25" customHeight="1" x14ac:dyDescent="0.25"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</row>
    <row r="1506" spans="22:31" ht="11.25" customHeight="1" x14ac:dyDescent="0.25"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</row>
    <row r="1507" spans="22:31" ht="11.25" customHeight="1" x14ac:dyDescent="0.25"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</row>
    <row r="1508" spans="22:31" ht="11.25" customHeight="1" x14ac:dyDescent="0.25"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</row>
    <row r="1509" spans="22:31" ht="11.25" customHeight="1" x14ac:dyDescent="0.25"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</row>
    <row r="1510" spans="22:31" ht="11.25" customHeight="1" x14ac:dyDescent="0.25"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22:31" ht="11.25" customHeight="1" x14ac:dyDescent="0.25"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</row>
    <row r="1512" spans="22:31" ht="11.25" customHeight="1" x14ac:dyDescent="0.25"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</row>
    <row r="1513" spans="22:31" ht="11.25" customHeight="1" x14ac:dyDescent="0.25"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</row>
    <row r="1514" spans="22:31" ht="11.25" customHeight="1" x14ac:dyDescent="0.25"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</row>
    <row r="1515" spans="22:31" ht="11.25" customHeight="1" x14ac:dyDescent="0.25"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</row>
    <row r="1516" spans="22:31" ht="11.25" customHeight="1" x14ac:dyDescent="0.25"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</row>
    <row r="1517" spans="22:31" ht="11.25" customHeight="1" x14ac:dyDescent="0.25"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</row>
    <row r="1518" spans="22:31" ht="11.25" customHeight="1" x14ac:dyDescent="0.25"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</row>
    <row r="1519" spans="22:31" ht="11.25" customHeight="1" x14ac:dyDescent="0.25"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</row>
    <row r="1520" spans="22:31" ht="11.25" customHeight="1" x14ac:dyDescent="0.25"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</row>
    <row r="1521" spans="22:31" ht="11.25" customHeight="1" x14ac:dyDescent="0.25"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</row>
    <row r="1522" spans="22:31" ht="11.25" customHeight="1" x14ac:dyDescent="0.25"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</row>
    <row r="1523" spans="22:31" ht="11.25" customHeight="1" x14ac:dyDescent="0.25"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</row>
    <row r="1524" spans="22:31" ht="11.25" customHeight="1" x14ac:dyDescent="0.25"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</row>
    <row r="1525" spans="22:31" ht="11.25" customHeight="1" x14ac:dyDescent="0.25"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</row>
    <row r="1526" spans="22:31" ht="11.25" customHeight="1" x14ac:dyDescent="0.25"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</row>
    <row r="1527" spans="22:31" ht="11.25" customHeight="1" x14ac:dyDescent="0.25"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</row>
    <row r="1528" spans="22:31" ht="11.25" customHeight="1" x14ac:dyDescent="0.25"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</row>
    <row r="1529" spans="22:31" ht="11.25" customHeight="1" x14ac:dyDescent="0.25"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</row>
    <row r="1530" spans="22:31" ht="11.25" customHeight="1" x14ac:dyDescent="0.25"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</row>
    <row r="1531" spans="22:31" ht="11.25" customHeight="1" x14ac:dyDescent="0.25"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</row>
    <row r="1532" spans="22:31" ht="11.25" customHeight="1" x14ac:dyDescent="0.25"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</row>
    <row r="1533" spans="22:31" ht="11.25" customHeight="1" x14ac:dyDescent="0.25"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</row>
    <row r="1534" spans="22:31" ht="11.25" customHeight="1" x14ac:dyDescent="0.25"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</row>
    <row r="1535" spans="22:31" ht="11.25" customHeight="1" x14ac:dyDescent="0.25"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</row>
    <row r="1536" spans="22:31" ht="11.25" customHeight="1" x14ac:dyDescent="0.25"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</row>
    <row r="1537" spans="22:31" ht="11.25" customHeight="1" x14ac:dyDescent="0.25"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</row>
    <row r="1538" spans="22:31" ht="11.25" customHeight="1" x14ac:dyDescent="0.25"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</row>
    <row r="1539" spans="22:31" ht="11.25" customHeight="1" x14ac:dyDescent="0.25"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</row>
    <row r="1540" spans="22:31" ht="11.25" customHeight="1" x14ac:dyDescent="0.25"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</row>
    <row r="1541" spans="22:31" ht="11.25" customHeight="1" x14ac:dyDescent="0.25"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</row>
    <row r="1542" spans="22:31" ht="11.25" customHeight="1" x14ac:dyDescent="0.25"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</row>
    <row r="1543" spans="22:31" ht="11.25" customHeight="1" x14ac:dyDescent="0.25"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</row>
    <row r="1544" spans="22:31" ht="11.25" customHeight="1" x14ac:dyDescent="0.25"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</row>
    <row r="1545" spans="22:31" ht="11.25" customHeight="1" x14ac:dyDescent="0.25"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</row>
    <row r="1546" spans="22:31" ht="11.25" customHeight="1" x14ac:dyDescent="0.25"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</row>
    <row r="1547" spans="22:31" ht="11.25" customHeight="1" x14ac:dyDescent="0.25"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</row>
    <row r="1548" spans="22:31" ht="11.25" customHeight="1" x14ac:dyDescent="0.25"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</row>
    <row r="1549" spans="22:31" ht="11.25" customHeight="1" x14ac:dyDescent="0.25"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</row>
    <row r="1550" spans="22:31" ht="11.25" customHeight="1" x14ac:dyDescent="0.25"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</row>
    <row r="1551" spans="22:31" ht="11.25" customHeight="1" x14ac:dyDescent="0.25"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</row>
    <row r="1552" spans="22:31" ht="11.25" customHeight="1" x14ac:dyDescent="0.25"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</row>
    <row r="1553" spans="22:31" ht="11.25" customHeight="1" x14ac:dyDescent="0.25"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</row>
    <row r="1554" spans="22:31" ht="11.25" customHeight="1" x14ac:dyDescent="0.25"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</row>
    <row r="1555" spans="22:31" ht="11.25" customHeight="1" x14ac:dyDescent="0.25"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</row>
    <row r="1556" spans="22:31" ht="11.25" customHeight="1" x14ac:dyDescent="0.25"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</row>
    <row r="1557" spans="22:31" ht="11.25" customHeight="1" x14ac:dyDescent="0.25"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</row>
    <row r="1558" spans="22:31" ht="11.25" customHeight="1" x14ac:dyDescent="0.25"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</row>
    <row r="1559" spans="22:31" ht="11.25" customHeight="1" x14ac:dyDescent="0.25"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</row>
    <row r="1560" spans="22:31" ht="11.25" customHeight="1" x14ac:dyDescent="0.25"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</row>
    <row r="1561" spans="22:31" ht="11.25" customHeight="1" x14ac:dyDescent="0.25"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</row>
    <row r="1562" spans="22:31" ht="11.25" customHeight="1" x14ac:dyDescent="0.25"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</row>
    <row r="1563" spans="22:31" ht="11.25" customHeight="1" x14ac:dyDescent="0.25"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</row>
    <row r="1564" spans="22:31" ht="11.25" customHeight="1" x14ac:dyDescent="0.25"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</row>
    <row r="1565" spans="22:31" ht="11.25" customHeight="1" x14ac:dyDescent="0.25"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</row>
    <row r="1566" spans="22:31" ht="11.25" customHeight="1" x14ac:dyDescent="0.25"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</row>
    <row r="1567" spans="22:31" ht="11.25" customHeight="1" x14ac:dyDescent="0.25"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</row>
    <row r="1568" spans="22:31" ht="11.25" customHeight="1" x14ac:dyDescent="0.25"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</row>
    <row r="1569" spans="22:31" ht="11.25" customHeight="1" x14ac:dyDescent="0.25"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</row>
    <row r="1570" spans="22:31" ht="11.25" customHeight="1" x14ac:dyDescent="0.25"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</row>
    <row r="1571" spans="22:31" ht="11.25" customHeight="1" x14ac:dyDescent="0.25"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</row>
    <row r="1572" spans="22:31" ht="11.25" customHeight="1" x14ac:dyDescent="0.25"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</row>
    <row r="1573" spans="22:31" ht="11.25" customHeight="1" x14ac:dyDescent="0.25"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</row>
    <row r="1574" spans="22:31" ht="11.25" customHeight="1" x14ac:dyDescent="0.25"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</row>
    <row r="1575" spans="22:31" ht="11.25" customHeight="1" x14ac:dyDescent="0.25"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</row>
    <row r="1576" spans="22:31" ht="11.25" customHeight="1" x14ac:dyDescent="0.25"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</row>
    <row r="1577" spans="22:31" ht="11.25" customHeight="1" x14ac:dyDescent="0.25"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</row>
    <row r="1578" spans="22:31" ht="11.25" customHeight="1" x14ac:dyDescent="0.25"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</row>
    <row r="1579" spans="22:31" ht="11.25" customHeight="1" x14ac:dyDescent="0.25"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</row>
    <row r="1580" spans="22:31" ht="11.25" customHeight="1" x14ac:dyDescent="0.25"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</row>
    <row r="1581" spans="22:31" ht="11.25" customHeight="1" x14ac:dyDescent="0.25"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</row>
    <row r="1582" spans="22:31" ht="11.25" customHeight="1" x14ac:dyDescent="0.25"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</row>
    <row r="1583" spans="22:31" ht="11.25" customHeight="1" x14ac:dyDescent="0.25"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</row>
    <row r="1584" spans="22:31" ht="11.25" customHeight="1" x14ac:dyDescent="0.25"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</row>
    <row r="1585" spans="22:31" ht="11.25" customHeight="1" x14ac:dyDescent="0.25"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</row>
    <row r="1586" spans="22:31" ht="11.25" customHeight="1" x14ac:dyDescent="0.25"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</row>
    <row r="1587" spans="22:31" ht="11.25" customHeight="1" x14ac:dyDescent="0.25"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</row>
    <row r="1588" spans="22:31" ht="11.25" customHeight="1" x14ac:dyDescent="0.25"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</row>
    <row r="1589" spans="22:31" ht="11.25" customHeight="1" x14ac:dyDescent="0.25"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</row>
    <row r="1590" spans="22:31" ht="11.25" customHeight="1" x14ac:dyDescent="0.25"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</row>
    <row r="1591" spans="22:31" ht="11.25" customHeight="1" x14ac:dyDescent="0.25"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</row>
    <row r="1592" spans="22:31" ht="11.25" customHeight="1" x14ac:dyDescent="0.25"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</row>
    <row r="1593" spans="22:31" ht="11.25" customHeight="1" x14ac:dyDescent="0.25"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</row>
    <row r="1594" spans="22:31" ht="11.25" customHeight="1" x14ac:dyDescent="0.25"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</row>
    <row r="1595" spans="22:31" ht="11.25" customHeight="1" x14ac:dyDescent="0.25"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</row>
    <row r="1596" spans="22:31" ht="11.25" customHeight="1" x14ac:dyDescent="0.25"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</row>
    <row r="1597" spans="22:31" ht="11.25" customHeight="1" x14ac:dyDescent="0.25"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</row>
    <row r="1598" spans="22:31" ht="11.25" customHeight="1" x14ac:dyDescent="0.25"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</row>
    <row r="1599" spans="22:31" ht="11.25" customHeight="1" x14ac:dyDescent="0.25"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</row>
    <row r="1600" spans="22:31" ht="11.25" customHeight="1" x14ac:dyDescent="0.25"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</row>
    <row r="1601" spans="22:31" ht="11.25" customHeight="1" x14ac:dyDescent="0.25"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</row>
    <row r="1602" spans="22:31" ht="11.25" customHeight="1" x14ac:dyDescent="0.25"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</row>
    <row r="1603" spans="22:31" ht="11.25" customHeight="1" x14ac:dyDescent="0.25"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</row>
    <row r="1604" spans="22:31" ht="11.25" customHeight="1" x14ac:dyDescent="0.25"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</row>
    <row r="1605" spans="22:31" ht="11.25" customHeight="1" x14ac:dyDescent="0.25"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</row>
    <row r="1606" spans="22:31" ht="11.25" customHeight="1" x14ac:dyDescent="0.25"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</row>
    <row r="1607" spans="22:31" ht="11.25" customHeight="1" x14ac:dyDescent="0.25"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</row>
    <row r="1608" spans="22:31" ht="11.25" customHeight="1" x14ac:dyDescent="0.25"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</row>
    <row r="1609" spans="22:31" ht="11.25" customHeight="1" x14ac:dyDescent="0.25"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</row>
    <row r="1610" spans="22:31" ht="11.25" customHeight="1" x14ac:dyDescent="0.25"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</row>
    <row r="1611" spans="22:31" ht="11.25" customHeight="1" x14ac:dyDescent="0.25"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</row>
    <row r="1612" spans="22:31" ht="11.25" customHeight="1" x14ac:dyDescent="0.25"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</row>
    <row r="1613" spans="22:31" ht="11.25" customHeight="1" x14ac:dyDescent="0.25"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</row>
    <row r="1614" spans="22:31" ht="11.25" customHeight="1" x14ac:dyDescent="0.25"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</row>
    <row r="1615" spans="22:31" ht="11.25" customHeight="1" x14ac:dyDescent="0.25"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</row>
    <row r="1616" spans="22:31" ht="11.25" customHeight="1" x14ac:dyDescent="0.25"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</row>
    <row r="1617" spans="22:31" ht="11.25" customHeight="1" x14ac:dyDescent="0.25"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</row>
    <row r="1618" spans="22:31" ht="11.25" customHeight="1" x14ac:dyDescent="0.25"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</row>
    <row r="1619" spans="22:31" ht="11.25" customHeight="1" x14ac:dyDescent="0.25"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</row>
    <row r="1620" spans="22:31" ht="11.25" customHeight="1" x14ac:dyDescent="0.25"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</row>
    <row r="1621" spans="22:31" ht="11.25" customHeight="1" x14ac:dyDescent="0.25"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</row>
    <row r="1622" spans="22:31" ht="11.25" customHeight="1" x14ac:dyDescent="0.25"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</row>
    <row r="1623" spans="22:31" ht="11.25" customHeight="1" x14ac:dyDescent="0.25"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</row>
    <row r="1624" spans="22:31" ht="11.25" customHeight="1" x14ac:dyDescent="0.25"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</row>
    <row r="1625" spans="22:31" ht="11.25" customHeight="1" x14ac:dyDescent="0.25"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</row>
    <row r="1626" spans="22:31" ht="11.25" customHeight="1" x14ac:dyDescent="0.25"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</row>
    <row r="1627" spans="22:31" ht="11.25" customHeight="1" x14ac:dyDescent="0.25"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</row>
    <row r="1628" spans="22:31" ht="11.25" customHeight="1" x14ac:dyDescent="0.25"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</row>
    <row r="1629" spans="22:31" ht="11.25" customHeight="1" x14ac:dyDescent="0.25"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</row>
    <row r="1630" spans="22:31" ht="11.25" customHeight="1" x14ac:dyDescent="0.25"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</row>
    <row r="1631" spans="22:31" ht="11.25" customHeight="1" x14ac:dyDescent="0.25"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</row>
    <row r="1632" spans="22:31" ht="11.25" customHeight="1" x14ac:dyDescent="0.25"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</row>
    <row r="1633" spans="22:31" ht="11.25" customHeight="1" x14ac:dyDescent="0.25"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</row>
    <row r="1634" spans="22:31" ht="11.25" customHeight="1" x14ac:dyDescent="0.25"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</row>
    <row r="1635" spans="22:31" ht="11.25" customHeight="1" x14ac:dyDescent="0.25"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</row>
    <row r="1636" spans="22:31" ht="11.25" customHeight="1" x14ac:dyDescent="0.25"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</row>
    <row r="1637" spans="22:31" ht="11.25" customHeight="1" x14ac:dyDescent="0.25"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</row>
    <row r="1638" spans="22:31" ht="11.25" customHeight="1" x14ac:dyDescent="0.25"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</row>
    <row r="1639" spans="22:31" ht="11.25" customHeight="1" x14ac:dyDescent="0.25"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</row>
    <row r="1640" spans="22:31" ht="11.25" customHeight="1" x14ac:dyDescent="0.25"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</row>
    <row r="1641" spans="22:31" ht="11.25" customHeight="1" x14ac:dyDescent="0.25"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</row>
    <row r="1642" spans="22:31" ht="11.25" customHeight="1" x14ac:dyDescent="0.25"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</row>
    <row r="1643" spans="22:31" ht="11.25" customHeight="1" x14ac:dyDescent="0.25"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</row>
    <row r="1644" spans="22:31" ht="11.25" customHeight="1" x14ac:dyDescent="0.25"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</row>
    <row r="1645" spans="22:31" ht="11.25" customHeight="1" x14ac:dyDescent="0.25"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</row>
    <row r="1646" spans="22:31" ht="11.25" customHeight="1" x14ac:dyDescent="0.25"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</row>
    <row r="1647" spans="22:31" ht="11.25" customHeight="1" x14ac:dyDescent="0.25"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</row>
    <row r="1648" spans="22:31" ht="11.25" customHeight="1" x14ac:dyDescent="0.25"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</row>
    <row r="1649" spans="22:31" ht="11.25" customHeight="1" x14ac:dyDescent="0.25"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</row>
    <row r="1650" spans="22:31" ht="11.25" customHeight="1" x14ac:dyDescent="0.25"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</row>
    <row r="1651" spans="22:31" ht="11.25" customHeight="1" x14ac:dyDescent="0.25"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</row>
    <row r="1652" spans="22:31" ht="11.25" customHeight="1" x14ac:dyDescent="0.25"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</row>
    <row r="1653" spans="22:31" ht="11.25" customHeight="1" x14ac:dyDescent="0.25"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</row>
    <row r="1654" spans="22:31" ht="11.25" customHeight="1" x14ac:dyDescent="0.25"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</row>
    <row r="1655" spans="22:31" ht="11.25" customHeight="1" x14ac:dyDescent="0.25"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</row>
    <row r="1656" spans="22:31" ht="11.25" customHeight="1" x14ac:dyDescent="0.25"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</row>
    <row r="1657" spans="22:31" ht="11.25" customHeight="1" x14ac:dyDescent="0.25"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</row>
    <row r="1658" spans="22:31" ht="11.25" customHeight="1" x14ac:dyDescent="0.25"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</row>
    <row r="1659" spans="22:31" ht="11.25" customHeight="1" x14ac:dyDescent="0.25"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</row>
    <row r="1660" spans="22:31" ht="11.25" customHeight="1" x14ac:dyDescent="0.25"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</row>
    <row r="1661" spans="22:31" ht="11.25" customHeight="1" x14ac:dyDescent="0.25"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</row>
    <row r="1662" spans="22:31" ht="11.25" customHeight="1" x14ac:dyDescent="0.25"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</row>
    <row r="1663" spans="22:31" ht="11.25" customHeight="1" x14ac:dyDescent="0.25"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</row>
    <row r="1664" spans="22:31" ht="11.25" customHeight="1" x14ac:dyDescent="0.25"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</row>
    <row r="1665" spans="22:31" ht="11.25" customHeight="1" x14ac:dyDescent="0.25"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</row>
    <row r="1666" spans="22:31" ht="11.25" customHeight="1" x14ac:dyDescent="0.25"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</row>
    <row r="1667" spans="22:31" ht="11.25" customHeight="1" x14ac:dyDescent="0.25"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</row>
    <row r="1668" spans="22:31" ht="11.25" customHeight="1" x14ac:dyDescent="0.25"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</row>
    <row r="1669" spans="22:31" ht="11.25" customHeight="1" x14ac:dyDescent="0.25"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</row>
    <row r="1670" spans="22:31" ht="11.25" customHeight="1" x14ac:dyDescent="0.25"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</row>
    <row r="1671" spans="22:31" ht="11.25" customHeight="1" x14ac:dyDescent="0.25"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</row>
    <row r="1672" spans="22:31" ht="11.25" customHeight="1" x14ac:dyDescent="0.25"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</row>
    <row r="1673" spans="22:31" ht="11.25" customHeight="1" x14ac:dyDescent="0.25"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</row>
    <row r="1674" spans="22:31" ht="11.25" customHeight="1" x14ac:dyDescent="0.25"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</row>
    <row r="1675" spans="22:31" ht="11.25" customHeight="1" x14ac:dyDescent="0.25"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</row>
    <row r="1676" spans="22:31" ht="11.25" customHeight="1" x14ac:dyDescent="0.25"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</row>
    <row r="1677" spans="22:31" ht="11.25" customHeight="1" x14ac:dyDescent="0.25"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</row>
    <row r="1678" spans="22:31" ht="11.25" customHeight="1" x14ac:dyDescent="0.25"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</row>
    <row r="1679" spans="22:31" ht="11.25" customHeight="1" x14ac:dyDescent="0.25"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</row>
    <row r="1680" spans="22:31" ht="11.25" customHeight="1" x14ac:dyDescent="0.25"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</row>
    <row r="1681" spans="22:31" ht="11.25" customHeight="1" x14ac:dyDescent="0.25"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</row>
    <row r="1682" spans="22:31" ht="11.25" customHeight="1" x14ac:dyDescent="0.25"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</row>
    <row r="1683" spans="22:31" ht="11.25" customHeight="1" x14ac:dyDescent="0.25"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</row>
    <row r="1684" spans="22:31" ht="11.25" customHeight="1" x14ac:dyDescent="0.25"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</row>
    <row r="1685" spans="22:31" ht="11.25" customHeight="1" x14ac:dyDescent="0.25"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</row>
    <row r="1686" spans="22:31" ht="11.25" customHeight="1" x14ac:dyDescent="0.25"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22:31" ht="11.25" customHeight="1" x14ac:dyDescent="0.25"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</row>
    <row r="1688" spans="22:31" ht="11.25" customHeight="1" x14ac:dyDescent="0.25"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</row>
    <row r="1689" spans="22:31" ht="11.25" customHeight="1" x14ac:dyDescent="0.25"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</row>
    <row r="1690" spans="22:31" ht="11.25" customHeight="1" x14ac:dyDescent="0.25"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</row>
    <row r="1691" spans="22:31" ht="11.25" customHeight="1" x14ac:dyDescent="0.25"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</row>
    <row r="1692" spans="22:31" ht="11.25" customHeight="1" x14ac:dyDescent="0.25"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</row>
    <row r="1693" spans="22:31" ht="11.25" customHeight="1" x14ac:dyDescent="0.25"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</row>
    <row r="1694" spans="22:31" ht="11.25" customHeight="1" x14ac:dyDescent="0.25"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</row>
    <row r="1695" spans="22:31" ht="11.25" customHeight="1" x14ac:dyDescent="0.25"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</row>
    <row r="1696" spans="22:31" ht="11.25" customHeight="1" x14ac:dyDescent="0.25"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</row>
    <row r="1697" spans="22:31" ht="11.25" customHeight="1" x14ac:dyDescent="0.25"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</row>
    <row r="1698" spans="22:31" ht="11.25" customHeight="1" x14ac:dyDescent="0.25"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</row>
    <row r="1699" spans="22:31" ht="11.25" customHeight="1" x14ac:dyDescent="0.25"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</row>
    <row r="1700" spans="22:31" ht="11.25" customHeight="1" x14ac:dyDescent="0.25"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</row>
    <row r="1701" spans="22:31" ht="11.25" customHeight="1" x14ac:dyDescent="0.25"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</row>
    <row r="1702" spans="22:31" ht="11.25" customHeight="1" x14ac:dyDescent="0.25"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</row>
    <row r="1703" spans="22:31" ht="11.25" customHeight="1" x14ac:dyDescent="0.25"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</row>
    <row r="1704" spans="22:31" ht="11.25" customHeight="1" x14ac:dyDescent="0.25"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</row>
    <row r="1705" spans="22:31" ht="11.25" customHeight="1" x14ac:dyDescent="0.25"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</row>
    <row r="1706" spans="22:31" ht="11.25" customHeight="1" x14ac:dyDescent="0.25"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</row>
    <row r="1707" spans="22:31" ht="11.25" customHeight="1" x14ac:dyDescent="0.25"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</row>
    <row r="1708" spans="22:31" ht="11.25" customHeight="1" x14ac:dyDescent="0.25"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</row>
    <row r="1709" spans="22:31" ht="11.25" customHeight="1" x14ac:dyDescent="0.25"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</row>
    <row r="1710" spans="22:31" ht="11.25" customHeight="1" x14ac:dyDescent="0.25"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</row>
    <row r="1711" spans="22:31" ht="11.25" customHeight="1" x14ac:dyDescent="0.25"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</row>
    <row r="1712" spans="22:31" ht="11.25" customHeight="1" x14ac:dyDescent="0.25"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22:31" ht="11.25" customHeight="1" x14ac:dyDescent="0.25"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</row>
    <row r="1714" spans="22:31" ht="11.25" customHeight="1" x14ac:dyDescent="0.25"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</row>
    <row r="1715" spans="22:31" ht="11.25" customHeight="1" x14ac:dyDescent="0.25"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22:31" ht="11.25" customHeight="1" x14ac:dyDescent="0.25"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</row>
    <row r="1717" spans="22:31" ht="11.25" customHeight="1" x14ac:dyDescent="0.25"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</row>
    <row r="1718" spans="22:31" ht="11.25" customHeight="1" x14ac:dyDescent="0.25"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</row>
    <row r="1719" spans="22:31" ht="11.25" customHeight="1" x14ac:dyDescent="0.25"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</row>
    <row r="1720" spans="22:31" ht="11.25" customHeight="1" x14ac:dyDescent="0.25"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</row>
    <row r="1721" spans="22:31" ht="11.25" customHeight="1" x14ac:dyDescent="0.25"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</row>
    <row r="1722" spans="22:31" ht="11.25" customHeight="1" x14ac:dyDescent="0.25"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</row>
    <row r="1723" spans="22:31" ht="11.25" customHeight="1" x14ac:dyDescent="0.25"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</row>
    <row r="1724" spans="22:31" ht="11.25" customHeight="1" x14ac:dyDescent="0.25"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</row>
    <row r="1725" spans="22:31" ht="11.25" customHeight="1" x14ac:dyDescent="0.25"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</row>
    <row r="1726" spans="22:31" ht="11.25" customHeight="1" x14ac:dyDescent="0.25"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</row>
    <row r="1727" spans="22:31" ht="11.25" customHeight="1" x14ac:dyDescent="0.25"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</row>
    <row r="1728" spans="22:31" ht="11.25" customHeight="1" x14ac:dyDescent="0.25"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</row>
    <row r="1729" spans="22:31" ht="11.25" customHeight="1" x14ac:dyDescent="0.25"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</row>
    <row r="1730" spans="22:31" ht="11.25" customHeight="1" x14ac:dyDescent="0.25"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</row>
    <row r="1731" spans="22:31" ht="11.25" customHeight="1" x14ac:dyDescent="0.25"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</row>
    <row r="1732" spans="22:31" ht="11.25" customHeight="1" x14ac:dyDescent="0.25"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</row>
    <row r="1733" spans="22:31" ht="11.25" customHeight="1" x14ac:dyDescent="0.25"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</row>
    <row r="1734" spans="22:31" ht="11.25" customHeight="1" x14ac:dyDescent="0.25"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</row>
    <row r="1735" spans="22:31" ht="11.25" customHeight="1" x14ac:dyDescent="0.25"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</row>
    <row r="1736" spans="22:31" ht="11.25" customHeight="1" x14ac:dyDescent="0.25"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</row>
    <row r="1737" spans="22:31" ht="11.25" customHeight="1" x14ac:dyDescent="0.25"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</row>
    <row r="1738" spans="22:31" ht="11.25" customHeight="1" x14ac:dyDescent="0.25"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</row>
    <row r="1739" spans="22:31" ht="11.25" customHeight="1" x14ac:dyDescent="0.25"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</row>
    <row r="1740" spans="22:31" ht="11.25" customHeight="1" x14ac:dyDescent="0.25"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</row>
    <row r="1741" spans="22:31" ht="11.25" customHeight="1" x14ac:dyDescent="0.25"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</row>
    <row r="1742" spans="22:31" ht="11.25" customHeight="1" x14ac:dyDescent="0.25"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</row>
    <row r="1743" spans="22:31" ht="11.25" customHeight="1" x14ac:dyDescent="0.25"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</row>
    <row r="1744" spans="22:31" ht="11.25" customHeight="1" x14ac:dyDescent="0.25"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</row>
    <row r="1745" spans="22:31" ht="11.25" customHeight="1" x14ac:dyDescent="0.25"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</row>
    <row r="1746" spans="22:31" ht="11.25" customHeight="1" x14ac:dyDescent="0.25"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</row>
    <row r="1747" spans="22:31" ht="11.25" customHeight="1" x14ac:dyDescent="0.25"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</row>
    <row r="1748" spans="22:31" ht="11.25" customHeight="1" x14ac:dyDescent="0.25"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</row>
    <row r="1749" spans="22:31" ht="11.25" customHeight="1" x14ac:dyDescent="0.25"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</row>
    <row r="1750" spans="22:31" ht="11.25" customHeight="1" x14ac:dyDescent="0.25"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</row>
    <row r="1751" spans="22:31" ht="11.25" customHeight="1" x14ac:dyDescent="0.25"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</row>
    <row r="1752" spans="22:31" ht="11.25" customHeight="1" x14ac:dyDescent="0.25"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</row>
    <row r="1753" spans="22:31" ht="11.25" customHeight="1" x14ac:dyDescent="0.25"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</row>
    <row r="1754" spans="22:31" ht="11.25" customHeight="1" x14ac:dyDescent="0.25"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</row>
    <row r="1755" spans="22:31" ht="11.25" customHeight="1" x14ac:dyDescent="0.25"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</row>
    <row r="1756" spans="22:31" ht="11.25" customHeight="1" x14ac:dyDescent="0.25"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</row>
    <row r="1757" spans="22:31" ht="11.25" customHeight="1" x14ac:dyDescent="0.25"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</row>
    <row r="1758" spans="22:31" ht="11.25" customHeight="1" x14ac:dyDescent="0.25"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</row>
    <row r="1759" spans="22:31" ht="11.25" customHeight="1" x14ac:dyDescent="0.25"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</row>
    <row r="1760" spans="22:31" ht="11.25" customHeight="1" x14ac:dyDescent="0.25"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</row>
    <row r="1761" spans="22:31" ht="11.25" customHeight="1" x14ac:dyDescent="0.25"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</row>
    <row r="1762" spans="22:31" ht="11.25" customHeight="1" x14ac:dyDescent="0.25"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</row>
    <row r="1763" spans="22:31" ht="11.25" customHeight="1" x14ac:dyDescent="0.25"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</row>
    <row r="1764" spans="22:31" ht="11.25" customHeight="1" x14ac:dyDescent="0.25"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</row>
    <row r="1765" spans="22:31" ht="11.25" customHeight="1" x14ac:dyDescent="0.25"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</row>
    <row r="1766" spans="22:31" ht="11.25" customHeight="1" x14ac:dyDescent="0.25"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</row>
    <row r="1767" spans="22:31" ht="11.25" customHeight="1" x14ac:dyDescent="0.25"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</row>
    <row r="1768" spans="22:31" ht="11.25" customHeight="1" x14ac:dyDescent="0.25"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</row>
    <row r="1769" spans="22:31" ht="11.25" customHeight="1" x14ac:dyDescent="0.25"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</row>
    <row r="1770" spans="22:31" ht="11.25" customHeight="1" x14ac:dyDescent="0.25"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</row>
    <row r="1771" spans="22:31" ht="11.25" customHeight="1" x14ac:dyDescent="0.25"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</row>
    <row r="1772" spans="22:31" ht="11.25" customHeight="1" x14ac:dyDescent="0.25"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</row>
    <row r="1773" spans="22:31" ht="11.25" customHeight="1" x14ac:dyDescent="0.25"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</row>
    <row r="1774" spans="22:31" ht="11.25" customHeight="1" x14ac:dyDescent="0.25"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</row>
    <row r="1775" spans="22:31" ht="11.25" customHeight="1" x14ac:dyDescent="0.25"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</row>
    <row r="1776" spans="22:31" ht="11.25" customHeight="1" x14ac:dyDescent="0.25"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</row>
    <row r="1777" spans="22:31" ht="11.25" customHeight="1" x14ac:dyDescent="0.25"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</row>
    <row r="1778" spans="22:31" ht="11.25" customHeight="1" x14ac:dyDescent="0.25"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</row>
    <row r="1779" spans="22:31" ht="11.25" customHeight="1" x14ac:dyDescent="0.25"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</row>
    <row r="1780" spans="22:31" ht="11.25" customHeight="1" x14ac:dyDescent="0.25"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</row>
    <row r="1781" spans="22:31" ht="11.25" customHeight="1" x14ac:dyDescent="0.25"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</row>
    <row r="1782" spans="22:31" ht="11.25" customHeight="1" x14ac:dyDescent="0.25"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</row>
    <row r="1783" spans="22:31" ht="11.25" customHeight="1" x14ac:dyDescent="0.25"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</row>
    <row r="1784" spans="22:31" ht="11.25" customHeight="1" x14ac:dyDescent="0.25"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</row>
    <row r="1785" spans="22:31" ht="11.25" customHeight="1" x14ac:dyDescent="0.25"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</row>
    <row r="1786" spans="22:31" ht="11.25" customHeight="1" x14ac:dyDescent="0.25"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</row>
    <row r="1787" spans="22:31" ht="11.25" customHeight="1" x14ac:dyDescent="0.25"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</row>
    <row r="1788" spans="22:31" ht="11.25" customHeight="1" x14ac:dyDescent="0.25"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</row>
    <row r="1789" spans="22:31" ht="11.25" customHeight="1" x14ac:dyDescent="0.25"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</row>
    <row r="1790" spans="22:31" ht="11.25" customHeight="1" x14ac:dyDescent="0.25"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</row>
    <row r="1791" spans="22:31" ht="11.25" customHeight="1" x14ac:dyDescent="0.25"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</row>
    <row r="1792" spans="22:31" ht="11.25" customHeight="1" x14ac:dyDescent="0.25"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</row>
    <row r="1793" spans="22:31" ht="11.25" customHeight="1" x14ac:dyDescent="0.25"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</row>
    <row r="1794" spans="22:31" ht="11.25" customHeight="1" x14ac:dyDescent="0.25"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</row>
    <row r="1795" spans="22:31" ht="11.25" customHeight="1" x14ac:dyDescent="0.25"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</row>
    <row r="1796" spans="22:31" ht="11.25" customHeight="1" x14ac:dyDescent="0.25"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</row>
    <row r="1797" spans="22:31" ht="11.25" customHeight="1" x14ac:dyDescent="0.25"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</row>
    <row r="1798" spans="22:31" ht="11.25" customHeight="1" x14ac:dyDescent="0.25"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</row>
    <row r="1799" spans="22:31" ht="11.25" customHeight="1" x14ac:dyDescent="0.25"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</row>
    <row r="1800" spans="22:31" ht="11.25" customHeight="1" x14ac:dyDescent="0.25"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</row>
    <row r="1801" spans="22:31" ht="11.25" customHeight="1" x14ac:dyDescent="0.25"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</row>
    <row r="1802" spans="22:31" ht="11.25" customHeight="1" x14ac:dyDescent="0.25"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</row>
    <row r="1803" spans="22:31" ht="11.25" customHeight="1" x14ac:dyDescent="0.25"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</row>
    <row r="1804" spans="22:31" ht="11.25" customHeight="1" x14ac:dyDescent="0.25"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</row>
    <row r="1805" spans="22:31" ht="11.25" customHeight="1" x14ac:dyDescent="0.25"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</row>
    <row r="1806" spans="22:31" ht="11.25" customHeight="1" x14ac:dyDescent="0.25"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</row>
    <row r="1807" spans="22:31" ht="11.25" customHeight="1" x14ac:dyDescent="0.25"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</row>
    <row r="1808" spans="22:31" ht="11.25" customHeight="1" x14ac:dyDescent="0.25"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</row>
    <row r="1809" spans="22:31" ht="11.25" customHeight="1" x14ac:dyDescent="0.25"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</row>
    <row r="1810" spans="22:31" ht="11.25" customHeight="1" x14ac:dyDescent="0.25"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</row>
    <row r="1811" spans="22:31" ht="11.25" customHeight="1" x14ac:dyDescent="0.25"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</row>
    <row r="1812" spans="22:31" ht="11.25" customHeight="1" x14ac:dyDescent="0.25"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</row>
    <row r="1813" spans="22:31" ht="11.25" customHeight="1" x14ac:dyDescent="0.25"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</row>
    <row r="1814" spans="22:31" ht="11.25" customHeight="1" x14ac:dyDescent="0.25"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</row>
    <row r="1815" spans="22:31" ht="11.25" customHeight="1" x14ac:dyDescent="0.25"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</row>
    <row r="1816" spans="22:31" ht="11.25" customHeight="1" x14ac:dyDescent="0.25"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</row>
    <row r="1817" spans="22:31" ht="11.25" customHeight="1" x14ac:dyDescent="0.25"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</row>
    <row r="1818" spans="22:31" ht="11.25" customHeight="1" x14ac:dyDescent="0.25"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</row>
    <row r="1819" spans="22:31" ht="11.25" customHeight="1" x14ac:dyDescent="0.25"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</row>
    <row r="1820" spans="22:31" ht="11.25" customHeight="1" x14ac:dyDescent="0.25"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</row>
    <row r="1821" spans="22:31" ht="11.25" customHeight="1" x14ac:dyDescent="0.25"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</row>
    <row r="1822" spans="22:31" ht="11.25" customHeight="1" x14ac:dyDescent="0.25"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</row>
    <row r="1823" spans="22:31" ht="11.25" customHeight="1" x14ac:dyDescent="0.25"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</row>
    <row r="1824" spans="22:31" ht="11.25" customHeight="1" x14ac:dyDescent="0.25"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</row>
    <row r="1825" spans="22:31" ht="11.25" customHeight="1" x14ac:dyDescent="0.25"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</row>
    <row r="1826" spans="22:31" ht="11.25" customHeight="1" x14ac:dyDescent="0.25"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</row>
    <row r="1827" spans="22:31" ht="11.25" customHeight="1" x14ac:dyDescent="0.25"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</row>
    <row r="1828" spans="22:31" ht="11.25" customHeight="1" x14ac:dyDescent="0.25"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</row>
    <row r="1829" spans="22:31" ht="11.25" customHeight="1" x14ac:dyDescent="0.25"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</row>
    <row r="1830" spans="22:31" ht="11.25" customHeight="1" x14ac:dyDescent="0.25"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</row>
    <row r="1831" spans="22:31" ht="11.25" customHeight="1" x14ac:dyDescent="0.25"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</row>
    <row r="1832" spans="22:31" ht="11.25" customHeight="1" x14ac:dyDescent="0.25"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</row>
    <row r="1833" spans="22:31" ht="11.25" customHeight="1" x14ac:dyDescent="0.25"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</row>
    <row r="1834" spans="22:31" ht="11.25" customHeight="1" x14ac:dyDescent="0.25"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</row>
    <row r="1835" spans="22:31" ht="11.25" customHeight="1" x14ac:dyDescent="0.25"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</row>
    <row r="1836" spans="22:31" ht="11.25" customHeight="1" x14ac:dyDescent="0.25"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</row>
    <row r="1837" spans="22:31" ht="11.25" customHeight="1" x14ac:dyDescent="0.25"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</row>
    <row r="1838" spans="22:31" ht="11.25" customHeight="1" x14ac:dyDescent="0.25"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</row>
    <row r="1839" spans="22:31" ht="11.25" customHeight="1" x14ac:dyDescent="0.25"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</row>
    <row r="1840" spans="22:31" ht="11.25" customHeight="1" x14ac:dyDescent="0.25"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</row>
    <row r="1841" spans="22:31" ht="11.25" customHeight="1" x14ac:dyDescent="0.25"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</row>
    <row r="1842" spans="22:31" ht="11.25" customHeight="1" x14ac:dyDescent="0.25"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</row>
    <row r="1843" spans="22:31" ht="11.25" customHeight="1" x14ac:dyDescent="0.25"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</row>
    <row r="1844" spans="22:31" ht="11.25" customHeight="1" x14ac:dyDescent="0.25"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</row>
    <row r="1845" spans="22:31" ht="11.25" customHeight="1" x14ac:dyDescent="0.25"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</row>
    <row r="1846" spans="22:31" ht="11.25" customHeight="1" x14ac:dyDescent="0.25"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</row>
    <row r="1847" spans="22:31" ht="11.25" customHeight="1" x14ac:dyDescent="0.25"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</row>
    <row r="1848" spans="22:31" ht="11.25" customHeight="1" x14ac:dyDescent="0.25"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</row>
    <row r="1849" spans="22:31" ht="11.25" customHeight="1" x14ac:dyDescent="0.25"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</row>
    <row r="1850" spans="22:31" ht="11.25" customHeight="1" x14ac:dyDescent="0.25"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</row>
    <row r="1851" spans="22:31" ht="11.25" customHeight="1" x14ac:dyDescent="0.25"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</row>
    <row r="1852" spans="22:31" ht="11.25" customHeight="1" x14ac:dyDescent="0.25"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</row>
    <row r="1853" spans="22:31" ht="11.25" customHeight="1" x14ac:dyDescent="0.25"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</row>
    <row r="1854" spans="22:31" ht="11.25" customHeight="1" x14ac:dyDescent="0.25"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</row>
    <row r="1855" spans="22:31" ht="11.25" customHeight="1" x14ac:dyDescent="0.25"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</row>
    <row r="1856" spans="22:31" ht="11.25" customHeight="1" x14ac:dyDescent="0.25"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</row>
    <row r="1857" spans="22:31" ht="11.25" customHeight="1" x14ac:dyDescent="0.25"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</row>
    <row r="1858" spans="22:31" ht="11.25" customHeight="1" x14ac:dyDescent="0.25"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</row>
    <row r="1859" spans="22:31" ht="11.25" customHeight="1" x14ac:dyDescent="0.25"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</row>
    <row r="1860" spans="22:31" ht="11.25" customHeight="1" x14ac:dyDescent="0.25"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</row>
    <row r="1861" spans="22:31" ht="11.25" customHeight="1" x14ac:dyDescent="0.25"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</row>
    <row r="1862" spans="22:31" ht="11.25" customHeight="1" x14ac:dyDescent="0.25"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</row>
    <row r="1863" spans="22:31" ht="11.25" customHeight="1" x14ac:dyDescent="0.25"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</row>
    <row r="1864" spans="22:31" ht="11.25" customHeight="1" x14ac:dyDescent="0.25"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</row>
    <row r="1865" spans="22:31" ht="11.25" customHeight="1" x14ac:dyDescent="0.25"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</row>
    <row r="1866" spans="22:31" ht="11.25" customHeight="1" x14ac:dyDescent="0.25"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</row>
    <row r="1867" spans="22:31" ht="11.25" customHeight="1" x14ac:dyDescent="0.25"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</row>
    <row r="1868" spans="22:31" ht="11.25" customHeight="1" x14ac:dyDescent="0.25"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</row>
    <row r="1869" spans="22:31" ht="11.25" customHeight="1" x14ac:dyDescent="0.25"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</row>
    <row r="1870" spans="22:31" ht="11.25" customHeight="1" x14ac:dyDescent="0.25"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</row>
    <row r="1871" spans="22:31" ht="11.25" customHeight="1" x14ac:dyDescent="0.25"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</row>
    <row r="1872" spans="22:31" ht="11.25" customHeight="1" x14ac:dyDescent="0.25"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</row>
    <row r="1873" spans="22:31" ht="11.25" customHeight="1" x14ac:dyDescent="0.25"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</row>
    <row r="1874" spans="22:31" ht="11.25" customHeight="1" x14ac:dyDescent="0.25"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</row>
    <row r="1875" spans="22:31" ht="11.25" customHeight="1" x14ac:dyDescent="0.25"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</row>
    <row r="1876" spans="22:31" ht="11.25" customHeight="1" x14ac:dyDescent="0.25"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</row>
    <row r="1877" spans="22:31" ht="11.25" customHeight="1" x14ac:dyDescent="0.25"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</row>
    <row r="1878" spans="22:31" ht="11.25" customHeight="1" x14ac:dyDescent="0.25"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</row>
    <row r="1879" spans="22:31" ht="11.25" customHeight="1" x14ac:dyDescent="0.25"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</row>
    <row r="1880" spans="22:31" ht="11.25" customHeight="1" x14ac:dyDescent="0.25"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</row>
    <row r="1881" spans="22:31" ht="11.25" customHeight="1" x14ac:dyDescent="0.25"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</row>
    <row r="1882" spans="22:31" ht="11.25" customHeight="1" x14ac:dyDescent="0.25"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</row>
    <row r="1883" spans="22:31" ht="11.25" customHeight="1" x14ac:dyDescent="0.25"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</row>
    <row r="1884" spans="22:31" ht="11.25" customHeight="1" x14ac:dyDescent="0.25"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</row>
    <row r="1885" spans="22:31" ht="11.25" customHeight="1" x14ac:dyDescent="0.25"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</row>
    <row r="1886" spans="22:31" ht="11.25" customHeight="1" x14ac:dyDescent="0.25"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</row>
    <row r="1887" spans="22:31" ht="11.25" customHeight="1" x14ac:dyDescent="0.25"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</row>
    <row r="1888" spans="22:31" ht="11.25" customHeight="1" x14ac:dyDescent="0.25"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</row>
    <row r="1889" spans="22:31" ht="11.25" customHeight="1" x14ac:dyDescent="0.25"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</row>
    <row r="1890" spans="22:31" ht="11.25" customHeight="1" x14ac:dyDescent="0.25"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</row>
    <row r="1891" spans="22:31" ht="11.25" customHeight="1" x14ac:dyDescent="0.25"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</row>
    <row r="1892" spans="22:31" ht="11.25" customHeight="1" x14ac:dyDescent="0.25"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</row>
    <row r="1893" spans="22:31" ht="11.25" customHeight="1" x14ac:dyDescent="0.25"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</row>
    <row r="1894" spans="22:31" ht="11.25" customHeight="1" x14ac:dyDescent="0.25"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</row>
    <row r="1895" spans="22:31" ht="11.25" customHeight="1" x14ac:dyDescent="0.25"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</row>
    <row r="1896" spans="22:31" ht="11.25" customHeight="1" x14ac:dyDescent="0.25"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</row>
    <row r="1897" spans="22:31" ht="11.25" customHeight="1" x14ac:dyDescent="0.25"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</row>
    <row r="1898" spans="22:31" ht="11.25" customHeight="1" x14ac:dyDescent="0.25"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</row>
    <row r="1899" spans="22:31" ht="11.25" customHeight="1" x14ac:dyDescent="0.25"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</row>
    <row r="1900" spans="22:31" ht="11.25" customHeight="1" x14ac:dyDescent="0.25"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</row>
    <row r="1901" spans="22:31" ht="11.25" customHeight="1" x14ac:dyDescent="0.25"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</row>
    <row r="1902" spans="22:31" ht="11.25" customHeight="1" x14ac:dyDescent="0.25"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</row>
    <row r="1903" spans="22:31" ht="11.25" customHeight="1" x14ac:dyDescent="0.25"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</row>
    <row r="1904" spans="22:31" ht="11.25" customHeight="1" x14ac:dyDescent="0.25"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</row>
    <row r="1905" spans="22:31" ht="11.25" customHeight="1" x14ac:dyDescent="0.25"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</row>
    <row r="1906" spans="22:31" ht="11.25" customHeight="1" x14ac:dyDescent="0.25"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</row>
    <row r="1907" spans="22:31" ht="11.25" customHeight="1" x14ac:dyDescent="0.25"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</row>
    <row r="1908" spans="22:31" ht="11.25" customHeight="1" x14ac:dyDescent="0.25"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</row>
    <row r="1909" spans="22:31" ht="11.25" customHeight="1" x14ac:dyDescent="0.25"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</row>
    <row r="1910" spans="22:31" ht="11.25" customHeight="1" x14ac:dyDescent="0.25"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</row>
    <row r="1911" spans="22:31" ht="11.25" customHeight="1" x14ac:dyDescent="0.25"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</row>
    <row r="1912" spans="22:31" ht="11.25" customHeight="1" x14ac:dyDescent="0.25"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</row>
    <row r="1913" spans="22:31" ht="11.25" customHeight="1" x14ac:dyDescent="0.25"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</row>
    <row r="1914" spans="22:31" ht="11.25" customHeight="1" x14ac:dyDescent="0.25"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</row>
    <row r="1915" spans="22:31" ht="11.25" customHeight="1" x14ac:dyDescent="0.25"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</row>
    <row r="1916" spans="22:31" ht="11.25" customHeight="1" x14ac:dyDescent="0.25"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</row>
    <row r="1917" spans="22:31" ht="11.25" customHeight="1" x14ac:dyDescent="0.25"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</row>
    <row r="1918" spans="22:31" ht="11.25" customHeight="1" x14ac:dyDescent="0.25"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</row>
    <row r="1919" spans="22:31" ht="11.25" customHeight="1" x14ac:dyDescent="0.25"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</row>
    <row r="1920" spans="22:31" ht="11.25" customHeight="1" x14ac:dyDescent="0.25"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</row>
    <row r="1921" spans="22:31" ht="11.25" customHeight="1" x14ac:dyDescent="0.25"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</row>
    <row r="1922" spans="22:31" ht="11.25" customHeight="1" x14ac:dyDescent="0.25"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</row>
    <row r="1923" spans="22:31" ht="11.25" customHeight="1" x14ac:dyDescent="0.25"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</row>
    <row r="1924" spans="22:31" ht="11.25" customHeight="1" x14ac:dyDescent="0.25"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</row>
    <row r="1925" spans="22:31" ht="11.25" customHeight="1" x14ac:dyDescent="0.25"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</row>
    <row r="1926" spans="22:31" ht="11.25" customHeight="1" x14ac:dyDescent="0.25"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</row>
    <row r="1927" spans="22:31" ht="11.25" customHeight="1" x14ac:dyDescent="0.25"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</row>
    <row r="1928" spans="22:31" ht="11.25" customHeight="1" x14ac:dyDescent="0.25"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</row>
    <row r="1929" spans="22:31" ht="11.25" customHeight="1" x14ac:dyDescent="0.25"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</row>
    <row r="1930" spans="22:31" ht="11.25" customHeight="1" x14ac:dyDescent="0.25"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</row>
    <row r="1931" spans="22:31" ht="11.25" customHeight="1" x14ac:dyDescent="0.25"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</row>
    <row r="1932" spans="22:31" ht="11.25" customHeight="1" x14ac:dyDescent="0.25"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</row>
    <row r="1933" spans="22:31" ht="11.25" customHeight="1" x14ac:dyDescent="0.25"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</row>
    <row r="1934" spans="22:31" ht="11.25" customHeight="1" x14ac:dyDescent="0.25"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</row>
    <row r="1935" spans="22:31" ht="11.25" customHeight="1" x14ac:dyDescent="0.25"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</row>
    <row r="1936" spans="22:31" ht="11.25" customHeight="1" x14ac:dyDescent="0.25"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</row>
    <row r="1937" spans="22:31" ht="11.25" customHeight="1" x14ac:dyDescent="0.25"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</row>
    <row r="1938" spans="22:31" ht="11.25" customHeight="1" x14ac:dyDescent="0.25"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</row>
    <row r="1939" spans="22:31" ht="11.25" customHeight="1" x14ac:dyDescent="0.25"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</row>
    <row r="1940" spans="22:31" ht="11.25" customHeight="1" x14ac:dyDescent="0.25"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</row>
    <row r="1941" spans="22:31" ht="11.25" customHeight="1" x14ac:dyDescent="0.25"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</row>
    <row r="1942" spans="22:31" ht="11.25" customHeight="1" x14ac:dyDescent="0.25"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</row>
    <row r="1943" spans="22:31" ht="11.25" customHeight="1" x14ac:dyDescent="0.25"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</row>
    <row r="1944" spans="22:31" ht="11.25" customHeight="1" x14ac:dyDescent="0.25"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</row>
    <row r="1945" spans="22:31" ht="11.25" customHeight="1" x14ac:dyDescent="0.25"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</row>
    <row r="1946" spans="22:31" ht="11.25" customHeight="1" x14ac:dyDescent="0.25"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</row>
    <row r="1947" spans="22:31" ht="11.25" customHeight="1" x14ac:dyDescent="0.25"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</row>
    <row r="1948" spans="22:31" ht="11.25" customHeight="1" x14ac:dyDescent="0.25"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</row>
    <row r="1949" spans="22:31" ht="11.25" customHeight="1" x14ac:dyDescent="0.25"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</row>
    <row r="1950" spans="22:31" ht="11.25" customHeight="1" x14ac:dyDescent="0.25"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</row>
    <row r="1951" spans="22:31" ht="11.25" customHeight="1" x14ac:dyDescent="0.25"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</row>
    <row r="1952" spans="22:31" ht="11.25" customHeight="1" x14ac:dyDescent="0.25"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</row>
    <row r="1953" spans="22:31" ht="11.25" customHeight="1" x14ac:dyDescent="0.25"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</row>
    <row r="1954" spans="22:31" ht="11.25" customHeight="1" x14ac:dyDescent="0.25"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</row>
    <row r="1955" spans="22:31" ht="11.25" customHeight="1" x14ac:dyDescent="0.25"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</row>
    <row r="1956" spans="22:31" ht="11.25" customHeight="1" x14ac:dyDescent="0.25"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</row>
    <row r="1957" spans="22:31" ht="11.25" customHeight="1" x14ac:dyDescent="0.25"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</row>
    <row r="1958" spans="22:31" ht="11.25" customHeight="1" x14ac:dyDescent="0.25"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</row>
    <row r="1959" spans="22:31" ht="11.25" customHeight="1" x14ac:dyDescent="0.25"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</row>
    <row r="1960" spans="22:31" ht="11.25" customHeight="1" x14ac:dyDescent="0.25"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</row>
    <row r="1961" spans="22:31" ht="11.25" customHeight="1" x14ac:dyDescent="0.25"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</row>
    <row r="1962" spans="22:31" ht="11.25" customHeight="1" x14ac:dyDescent="0.25"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</row>
    <row r="1963" spans="22:31" ht="11.25" customHeight="1" x14ac:dyDescent="0.25"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</row>
    <row r="1964" spans="22:31" ht="11.25" customHeight="1" x14ac:dyDescent="0.25"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</row>
    <row r="1965" spans="22:31" ht="11.25" customHeight="1" x14ac:dyDescent="0.25"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</row>
    <row r="1966" spans="22:31" ht="11.25" customHeight="1" x14ac:dyDescent="0.25"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</row>
    <row r="1967" spans="22:31" ht="11.25" customHeight="1" x14ac:dyDescent="0.25"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</row>
    <row r="1968" spans="22:31" ht="11.25" customHeight="1" x14ac:dyDescent="0.25"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</row>
    <row r="1969" spans="22:31" ht="11.25" customHeight="1" x14ac:dyDescent="0.25"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</row>
    <row r="1970" spans="22:31" ht="11.25" customHeight="1" x14ac:dyDescent="0.25"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</row>
    <row r="1971" spans="22:31" ht="11.25" customHeight="1" x14ac:dyDescent="0.25"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</row>
    <row r="1972" spans="22:31" ht="11.25" customHeight="1" x14ac:dyDescent="0.25"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</row>
    <row r="1973" spans="22:31" ht="11.25" customHeight="1" x14ac:dyDescent="0.25"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</row>
    <row r="1974" spans="22:31" ht="11.25" customHeight="1" x14ac:dyDescent="0.25"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</row>
    <row r="1975" spans="22:31" ht="11.25" customHeight="1" x14ac:dyDescent="0.25"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</row>
    <row r="1976" spans="22:31" ht="11.25" customHeight="1" x14ac:dyDescent="0.25"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</row>
    <row r="1977" spans="22:31" ht="11.25" customHeight="1" x14ac:dyDescent="0.25"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</row>
    <row r="1978" spans="22:31" ht="11.25" customHeight="1" x14ac:dyDescent="0.25"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</row>
    <row r="1979" spans="22:31" ht="11.25" customHeight="1" x14ac:dyDescent="0.25"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</row>
    <row r="1980" spans="22:31" ht="11.25" customHeight="1" x14ac:dyDescent="0.25"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</row>
    <row r="1981" spans="22:31" ht="11.25" customHeight="1" x14ac:dyDescent="0.25"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</row>
    <row r="1982" spans="22:31" ht="11.25" customHeight="1" x14ac:dyDescent="0.25"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</row>
    <row r="1983" spans="22:31" ht="11.25" customHeight="1" x14ac:dyDescent="0.25"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</row>
    <row r="1984" spans="22:31" ht="11.25" customHeight="1" x14ac:dyDescent="0.25"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</row>
    <row r="1985" spans="22:31" ht="11.25" customHeight="1" x14ac:dyDescent="0.25"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</row>
    <row r="1986" spans="22:31" ht="11.25" customHeight="1" x14ac:dyDescent="0.25"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</row>
    <row r="1987" spans="22:31" ht="11.25" customHeight="1" x14ac:dyDescent="0.25"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</row>
    <row r="1988" spans="22:31" ht="11.25" customHeight="1" x14ac:dyDescent="0.25"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</row>
    <row r="1989" spans="22:31" ht="11.25" customHeight="1" x14ac:dyDescent="0.25"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</row>
    <row r="1990" spans="22:31" ht="11.25" customHeight="1" x14ac:dyDescent="0.25"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</row>
    <row r="1991" spans="22:31" ht="11.25" customHeight="1" x14ac:dyDescent="0.25"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</row>
    <row r="1992" spans="22:31" ht="11.25" customHeight="1" x14ac:dyDescent="0.25"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</row>
    <row r="1993" spans="22:31" ht="11.25" customHeight="1" x14ac:dyDescent="0.25"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</row>
    <row r="1994" spans="22:31" ht="11.25" customHeight="1" x14ac:dyDescent="0.25"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</row>
    <row r="1995" spans="22:31" ht="11.25" customHeight="1" x14ac:dyDescent="0.25"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</row>
    <row r="1996" spans="22:31" ht="11.25" customHeight="1" x14ac:dyDescent="0.25"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</row>
    <row r="1997" spans="22:31" ht="11.25" customHeight="1" x14ac:dyDescent="0.25"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</row>
    <row r="1998" spans="22:31" ht="11.25" customHeight="1" x14ac:dyDescent="0.25"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</row>
    <row r="1999" spans="22:31" ht="11.25" customHeight="1" x14ac:dyDescent="0.25"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</row>
    <row r="2000" spans="22:31" ht="11.25" customHeight="1" x14ac:dyDescent="0.25"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</row>
    <row r="2001" spans="22:31" ht="11.25" customHeight="1" x14ac:dyDescent="0.25"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</row>
    <row r="2002" spans="22:31" ht="11.25" customHeight="1" x14ac:dyDescent="0.25"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</row>
    <row r="2003" spans="22:31" ht="11.25" customHeight="1" x14ac:dyDescent="0.25"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</row>
    <row r="2004" spans="22:31" ht="11.25" customHeight="1" x14ac:dyDescent="0.25"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</row>
    <row r="2005" spans="22:31" ht="11.25" customHeight="1" x14ac:dyDescent="0.25"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</row>
    <row r="2006" spans="22:31" ht="11.25" customHeight="1" x14ac:dyDescent="0.25"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</row>
    <row r="2007" spans="22:31" ht="11.25" customHeight="1" x14ac:dyDescent="0.25"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</row>
    <row r="2008" spans="22:31" ht="11.25" customHeight="1" x14ac:dyDescent="0.25"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</row>
    <row r="2009" spans="22:31" ht="11.25" customHeight="1" x14ac:dyDescent="0.25"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</row>
    <row r="2010" spans="22:31" ht="11.25" customHeight="1" x14ac:dyDescent="0.25"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</row>
    <row r="2011" spans="22:31" ht="11.25" customHeight="1" x14ac:dyDescent="0.25"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</row>
    <row r="2012" spans="22:31" ht="11.25" customHeight="1" x14ac:dyDescent="0.25"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</row>
    <row r="2013" spans="22:31" ht="11.25" customHeight="1" x14ac:dyDescent="0.25"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</row>
    <row r="2014" spans="22:31" ht="11.25" customHeight="1" x14ac:dyDescent="0.25"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</row>
    <row r="2015" spans="22:31" ht="11.25" customHeight="1" x14ac:dyDescent="0.25"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</row>
    <row r="2016" spans="22:31" ht="11.25" customHeight="1" x14ac:dyDescent="0.25"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</row>
    <row r="2017" spans="22:31" ht="11.25" customHeight="1" x14ac:dyDescent="0.25"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</row>
    <row r="2018" spans="22:31" ht="11.25" customHeight="1" x14ac:dyDescent="0.25"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</row>
    <row r="2019" spans="22:31" ht="11.25" customHeight="1" x14ac:dyDescent="0.25"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</row>
    <row r="2020" spans="22:31" ht="11.25" customHeight="1" x14ac:dyDescent="0.25"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</row>
    <row r="2021" spans="22:31" ht="11.25" customHeight="1" x14ac:dyDescent="0.25"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</row>
    <row r="2022" spans="22:31" ht="11.25" customHeight="1" x14ac:dyDescent="0.25"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</row>
    <row r="2023" spans="22:31" ht="11.25" customHeight="1" x14ac:dyDescent="0.25"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8B21-2EE0-4572-9E49-5CAAADE8D533}">
  <dimension ref="A1:J1709"/>
  <sheetViews>
    <sheetView showGridLines="0" workbookViewId="0"/>
  </sheetViews>
  <sheetFormatPr defaultRowHeight="11.25" customHeight="1" x14ac:dyDescent="0.2"/>
  <cols>
    <col min="1" max="1" width="39.5703125" style="15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5"/>
  </cols>
  <sheetData>
    <row r="1" spans="1:10" ht="11.25" customHeight="1" x14ac:dyDescent="0.2">
      <c r="A1" s="17" t="s">
        <v>1097</v>
      </c>
      <c r="B1" s="18" t="s">
        <v>1098</v>
      </c>
      <c r="C1" s="18" t="s">
        <v>1099</v>
      </c>
      <c r="D1" s="18" t="s">
        <v>1100</v>
      </c>
      <c r="E1" s="18" t="s">
        <v>1101</v>
      </c>
      <c r="F1" s="18" t="s">
        <v>1102</v>
      </c>
      <c r="G1" s="18" t="s">
        <v>1103</v>
      </c>
      <c r="H1" s="19" t="s">
        <v>1104</v>
      </c>
      <c r="I1" s="19" t="s">
        <v>1105</v>
      </c>
      <c r="J1" s="19" t="s">
        <v>1106</v>
      </c>
    </row>
    <row r="2" spans="1:10" ht="11.25" customHeight="1" x14ac:dyDescent="0.2">
      <c r="A2" s="20" t="s">
        <v>26</v>
      </c>
      <c r="B2" s="18">
        <v>21213462.106300008</v>
      </c>
      <c r="C2" s="18">
        <v>24767653.032048225</v>
      </c>
      <c r="D2" s="18">
        <v>334120063.1924206</v>
      </c>
      <c r="E2" s="18">
        <v>428947906.43573421</v>
      </c>
      <c r="F2" s="18">
        <v>348072701.91582859</v>
      </c>
      <c r="G2" s="18">
        <v>352204106.59357089</v>
      </c>
      <c r="H2" s="19">
        <v>0.27687236684563854</v>
      </c>
      <c r="I2" s="19">
        <v>1.1869372849415027E-2</v>
      </c>
      <c r="J2" s="19">
        <v>0.14573860008710948</v>
      </c>
    </row>
    <row r="3" spans="1:10" ht="11.25" customHeight="1" x14ac:dyDescent="0.2">
      <c r="A3" s="21" t="s">
        <v>39</v>
      </c>
      <c r="B3" s="18">
        <v>320809.92</v>
      </c>
      <c r="C3" s="18">
        <v>388460.63138674287</v>
      </c>
      <c r="D3" s="18">
        <v>127423.75360000004</v>
      </c>
      <c r="E3" s="18">
        <v>195918.04292247596</v>
      </c>
      <c r="F3" s="18">
        <v>634874.21994000033</v>
      </c>
      <c r="G3" s="18">
        <v>636871.79059316532</v>
      </c>
      <c r="H3" s="19">
        <v>0.30373666399439991</v>
      </c>
      <c r="I3" s="19">
        <v>3.1464037921618004E-3</v>
      </c>
      <c r="J3" s="19">
        <v>0.12754276114716734</v>
      </c>
    </row>
    <row r="4" spans="1:10" ht="11.25" customHeight="1" x14ac:dyDescent="0.2">
      <c r="A4" s="22" t="s">
        <v>40</v>
      </c>
      <c r="B4" s="18">
        <v>320809.92</v>
      </c>
      <c r="C4" s="18">
        <v>388460.63138674287</v>
      </c>
      <c r="D4" s="18">
        <v>127423.75360000004</v>
      </c>
      <c r="E4" s="18">
        <v>195918.04292247596</v>
      </c>
      <c r="F4" s="18">
        <v>634874.21994000033</v>
      </c>
      <c r="G4" s="18">
        <v>636871.79059316532</v>
      </c>
      <c r="H4" s="19">
        <v>0.30373666399439991</v>
      </c>
      <c r="I4" s="19">
        <v>3.1464037921618004E-3</v>
      </c>
      <c r="J4" s="19">
        <v>0.12754276114716734</v>
      </c>
    </row>
    <row r="5" spans="1:10" ht="11.25" customHeight="1" x14ac:dyDescent="0.2">
      <c r="A5" s="23" t="s">
        <v>38</v>
      </c>
      <c r="B5" s="18">
        <v>320809.92</v>
      </c>
      <c r="C5" s="18">
        <v>388460.63138674287</v>
      </c>
      <c r="D5" s="18">
        <v>127423.75360000004</v>
      </c>
      <c r="E5" s="18">
        <v>195918.04292247596</v>
      </c>
      <c r="F5" s="18">
        <v>634874.21994000033</v>
      </c>
      <c r="G5" s="18">
        <v>636871.79059316532</v>
      </c>
      <c r="H5" s="19">
        <v>0.30373666399439991</v>
      </c>
      <c r="I5" s="19">
        <v>3.1464037921618004E-3</v>
      </c>
      <c r="J5" s="19">
        <v>0.12754276114716734</v>
      </c>
    </row>
    <row r="6" spans="1:10" ht="11.25" customHeight="1" x14ac:dyDescent="0.2">
      <c r="A6" s="24" t="s">
        <v>25</v>
      </c>
      <c r="B6" s="18">
        <v>320809.92</v>
      </c>
      <c r="C6" s="18">
        <v>388460.63138674287</v>
      </c>
      <c r="D6" s="18">
        <v>127423.75360000004</v>
      </c>
      <c r="E6" s="18">
        <v>195918.04292247596</v>
      </c>
      <c r="F6" s="18">
        <v>634874.21994000033</v>
      </c>
      <c r="G6" s="18">
        <v>636871.79059316532</v>
      </c>
      <c r="H6" s="19">
        <v>0.30373666399439991</v>
      </c>
      <c r="I6" s="19">
        <v>3.1464037921618004E-3</v>
      </c>
      <c r="J6" s="19">
        <v>0.12754276114716734</v>
      </c>
    </row>
    <row r="7" spans="1:10" ht="11.25" customHeight="1" x14ac:dyDescent="0.2">
      <c r="A7" s="25" t="s">
        <v>25</v>
      </c>
      <c r="B7" s="18">
        <v>320809.92</v>
      </c>
      <c r="C7" s="18">
        <v>388460.63138674287</v>
      </c>
      <c r="D7" s="18">
        <v>127423.75360000004</v>
      </c>
      <c r="E7" s="18">
        <v>195918.04292247596</v>
      </c>
      <c r="F7" s="18">
        <v>634874.21994000033</v>
      </c>
      <c r="G7" s="18">
        <v>636871.79059316532</v>
      </c>
      <c r="H7" s="19">
        <v>0.30373666399439991</v>
      </c>
      <c r="I7" s="19">
        <v>3.1464037921618004E-3</v>
      </c>
      <c r="J7" s="19">
        <v>0.12754276114716734</v>
      </c>
    </row>
    <row r="8" spans="1:10" ht="11.25" customHeight="1" x14ac:dyDescent="0.2">
      <c r="A8" s="26" t="s">
        <v>25</v>
      </c>
      <c r="B8" s="18">
        <v>320809.92</v>
      </c>
      <c r="C8" s="18">
        <v>388460.63138674287</v>
      </c>
      <c r="D8" s="18">
        <v>127423.75360000004</v>
      </c>
      <c r="E8" s="18">
        <v>195918.04292247596</v>
      </c>
      <c r="F8" s="18">
        <v>634874.21994000033</v>
      </c>
      <c r="G8" s="18">
        <v>636871.79059316532</v>
      </c>
      <c r="H8" s="19">
        <v>0.30373666399439991</v>
      </c>
      <c r="I8" s="19">
        <v>3.1464037921618004E-3</v>
      </c>
      <c r="J8" s="19">
        <v>0.12754276114716734</v>
      </c>
    </row>
    <row r="9" spans="1:10" ht="11.25" customHeight="1" x14ac:dyDescent="0.2">
      <c r="A9" s="27" t="s">
        <v>35</v>
      </c>
      <c r="B9" s="18">
        <v>95147.34</v>
      </c>
      <c r="C9" s="18">
        <v>119085.24101028875</v>
      </c>
      <c r="D9" s="18">
        <v>115927.11988</v>
      </c>
      <c r="E9" s="18">
        <v>178241.60571996248</v>
      </c>
      <c r="F9" s="18">
        <v>548160.09984000004</v>
      </c>
      <c r="G9" s="18">
        <v>548351.18251472851</v>
      </c>
      <c r="H9" s="19">
        <v>0.40863488126079983</v>
      </c>
      <c r="I9" s="19">
        <v>3.4858917090874186E-4</v>
      </c>
      <c r="J9" s="19">
        <v>0.11385607835984102</v>
      </c>
    </row>
    <row r="10" spans="1:10" ht="11.25" customHeight="1" x14ac:dyDescent="0.2">
      <c r="A10" s="28">
        <v>44348</v>
      </c>
      <c r="B10" s="18">
        <v>3265.5</v>
      </c>
      <c r="C10" s="18">
        <v>4087.0596542068115</v>
      </c>
      <c r="D10" s="18">
        <v>3683.6800000000003</v>
      </c>
      <c r="E10" s="18">
        <v>5663.7742647118666</v>
      </c>
      <c r="F10" s="18">
        <v>17418.240000000002</v>
      </c>
      <c r="G10" s="18">
        <v>17424.311809840292</v>
      </c>
      <c r="H10" s="19">
        <v>0.40316323924818143</v>
      </c>
      <c r="I10" s="19">
        <v>3.4858917090874186E-4</v>
      </c>
      <c r="J10" s="19">
        <v>0.11522457973634337</v>
      </c>
    </row>
    <row r="11" spans="1:10" ht="11.25" customHeight="1" x14ac:dyDescent="0.2">
      <c r="A11" s="28">
        <v>44378</v>
      </c>
      <c r="B11" s="18">
        <v>3265.5</v>
      </c>
      <c r="C11" s="18">
        <v>4087.0596542068115</v>
      </c>
      <c r="D11" s="18">
        <v>3223.2200000000003</v>
      </c>
      <c r="E11" s="18">
        <v>4955.8024816228835</v>
      </c>
      <c r="F11" s="18">
        <v>15240.960000000001</v>
      </c>
      <c r="G11" s="18">
        <v>15246.272833610254</v>
      </c>
      <c r="H11" s="19">
        <v>0.39362804001863161</v>
      </c>
      <c r="I11" s="19">
        <v>3.4858917090874186E-4</v>
      </c>
      <c r="J11" s="19">
        <v>0.11778613258179349</v>
      </c>
    </row>
    <row r="12" spans="1:10" ht="11.25" customHeight="1" x14ac:dyDescent="0.2">
      <c r="A12" s="28">
        <v>44409</v>
      </c>
      <c r="B12" s="18">
        <v>3265.5</v>
      </c>
      <c r="C12" s="18">
        <v>4087.0596542068115</v>
      </c>
      <c r="D12" s="18">
        <v>2762.76</v>
      </c>
      <c r="E12" s="18">
        <v>4247.8306985339004</v>
      </c>
      <c r="F12" s="18">
        <v>13063.68</v>
      </c>
      <c r="G12" s="18">
        <v>13068.233857380217</v>
      </c>
      <c r="H12" s="19">
        <v>0.38263617573573683</v>
      </c>
      <c r="I12" s="19">
        <v>3.4858917090874186E-4</v>
      </c>
      <c r="J12" s="19">
        <v>0.12105549305732821</v>
      </c>
    </row>
    <row r="13" spans="1:10" ht="11.25" customHeight="1" x14ac:dyDescent="0.2">
      <c r="A13" s="28">
        <v>44440</v>
      </c>
      <c r="B13" s="18">
        <v>20246.099999999999</v>
      </c>
      <c r="C13" s="18">
        <v>25339.769856082232</v>
      </c>
      <c r="D13" s="18">
        <v>20260.240000000002</v>
      </c>
      <c r="E13" s="18">
        <v>31150.758455915267</v>
      </c>
      <c r="F13" s="18">
        <v>95800.320000000007</v>
      </c>
      <c r="G13" s="18">
        <v>95833.714954121591</v>
      </c>
      <c r="H13" s="19">
        <v>0.39460954290112382</v>
      </c>
      <c r="I13" s="19">
        <v>3.4858917090874186E-4</v>
      </c>
      <c r="J13" s="19">
        <v>0.11751137667168354</v>
      </c>
    </row>
    <row r="14" spans="1:10" ht="11.25" customHeight="1" x14ac:dyDescent="0.2">
      <c r="A14" s="28">
        <v>44470</v>
      </c>
      <c r="B14" s="18">
        <v>18939.900000000001</v>
      </c>
      <c r="C14" s="18">
        <v>23704.945994399506</v>
      </c>
      <c r="D14" s="18">
        <v>51864.175219999997</v>
      </c>
      <c r="E14" s="18">
        <v>79742.806343532255</v>
      </c>
      <c r="F14" s="18">
        <v>245239.17696000001</v>
      </c>
      <c r="G14" s="18">
        <v>245324.66468137084</v>
      </c>
      <c r="H14" s="19">
        <v>0.46104234843125114</v>
      </c>
      <c r="I14" s="19">
        <v>3.4858917090874186E-4</v>
      </c>
      <c r="J14" s="19">
        <v>0.10355913190218002</v>
      </c>
    </row>
    <row r="15" spans="1:10" ht="11.25" customHeight="1" x14ac:dyDescent="0.2">
      <c r="A15" s="28">
        <v>44501</v>
      </c>
      <c r="B15" s="18">
        <v>3265.5</v>
      </c>
      <c r="C15" s="18">
        <v>4087.0596542068115</v>
      </c>
      <c r="D15" s="18">
        <v>5525.52</v>
      </c>
      <c r="E15" s="18">
        <v>8495.6613970678009</v>
      </c>
      <c r="F15" s="18">
        <v>26127.360000000001</v>
      </c>
      <c r="G15" s="18">
        <v>26136.467714760434</v>
      </c>
      <c r="H15" s="19">
        <v>0.43131525707763285</v>
      </c>
      <c r="I15" s="19">
        <v>3.4858917090874186E-4</v>
      </c>
      <c r="J15" s="19">
        <v>0.1088483705726051</v>
      </c>
    </row>
    <row r="16" spans="1:10" ht="11.25" customHeight="1" x14ac:dyDescent="0.2">
      <c r="A16" s="28">
        <v>44531</v>
      </c>
      <c r="B16" s="18">
        <v>22205.4</v>
      </c>
      <c r="C16" s="18">
        <v>27792.005648606319</v>
      </c>
      <c r="D16" s="18">
        <v>12432.42</v>
      </c>
      <c r="E16" s="18">
        <v>19115.238143402552</v>
      </c>
      <c r="F16" s="18">
        <v>58786.560000000005</v>
      </c>
      <c r="G16" s="18">
        <v>58807.052358210982</v>
      </c>
      <c r="H16" s="19">
        <v>0.35422043858443941</v>
      </c>
      <c r="I16" s="19">
        <v>3.4858917090874186E-4</v>
      </c>
      <c r="J16" s="19">
        <v>0.13154934665041229</v>
      </c>
    </row>
    <row r="17" spans="1:10" ht="11.25" customHeight="1" x14ac:dyDescent="0.2">
      <c r="A17" s="28">
        <v>44562</v>
      </c>
      <c r="B17" s="18">
        <v>27990</v>
      </c>
      <c r="C17" s="18">
        <v>35031.939893201241</v>
      </c>
      <c r="D17" s="18">
        <v>16175.104659999999</v>
      </c>
      <c r="E17" s="18">
        <v>24869.733935175962</v>
      </c>
      <c r="F17" s="18">
        <v>76483.802880000003</v>
      </c>
      <c r="G17" s="18">
        <v>76510.464305433881</v>
      </c>
      <c r="H17" s="19">
        <v>0.3563122806913599</v>
      </c>
      <c r="I17" s="19">
        <v>3.4858917090851982E-4</v>
      </c>
      <c r="J17" s="19">
        <v>0.13065373665803737</v>
      </c>
    </row>
    <row r="18" spans="1:10" ht="11.25" customHeight="1" x14ac:dyDescent="0.2">
      <c r="A18" s="28">
        <v>44652</v>
      </c>
      <c r="B18" s="18">
        <v>-3648.03</v>
      </c>
      <c r="C18" s="18">
        <v>-4565.8294994138951</v>
      </c>
      <c r="D18" s="18">
        <v>0</v>
      </c>
      <c r="E18" s="18">
        <v>0</v>
      </c>
      <c r="F18" s="18">
        <v>0</v>
      </c>
      <c r="G18" s="18">
        <v>0</v>
      </c>
      <c r="H18" s="19">
        <v>0.2515877060807874</v>
      </c>
      <c r="I18" s="19">
        <v>0</v>
      </c>
      <c r="J18" s="19">
        <v>0.2515877060807874</v>
      </c>
    </row>
    <row r="19" spans="1:10" ht="11.25" customHeight="1" x14ac:dyDescent="0.2">
      <c r="A19" s="28">
        <v>44682</v>
      </c>
      <c r="B19" s="18">
        <v>-3648.03</v>
      </c>
      <c r="C19" s="18">
        <v>-4565.8294994138951</v>
      </c>
      <c r="D19" s="18">
        <v>0</v>
      </c>
      <c r="E19" s="18">
        <v>0</v>
      </c>
      <c r="F19" s="18">
        <v>0</v>
      </c>
      <c r="G19" s="18">
        <v>0</v>
      </c>
      <c r="H19" s="19">
        <v>0.2515877060807874</v>
      </c>
      <c r="I19" s="19">
        <v>0</v>
      </c>
      <c r="J19" s="19">
        <v>0.2515877060807874</v>
      </c>
    </row>
    <row r="20" spans="1:10" ht="11.25" customHeight="1" x14ac:dyDescent="0.2">
      <c r="A20" s="27" t="s">
        <v>34</v>
      </c>
      <c r="B20" s="18">
        <v>225662.58000000002</v>
      </c>
      <c r="C20" s="18">
        <v>269375.3903764541</v>
      </c>
      <c r="D20" s="18">
        <v>11496.63372</v>
      </c>
      <c r="E20" s="18">
        <v>17676.437202513425</v>
      </c>
      <c r="F20" s="18">
        <v>86714.1201</v>
      </c>
      <c r="G20" s="18">
        <v>88520.608078436955</v>
      </c>
      <c r="H20" s="19">
        <v>0.21037602999423344</v>
      </c>
      <c r="I20" s="19">
        <v>2.0832685338370238E-2</v>
      </c>
      <c r="J20" s="19">
        <v>0.15962753471435032</v>
      </c>
    </row>
    <row r="21" spans="1:10" ht="11.25" customHeight="1" x14ac:dyDescent="0.2">
      <c r="A21" s="28">
        <v>44348</v>
      </c>
      <c r="B21" s="18">
        <v>8368.5</v>
      </c>
      <c r="C21" s="18">
        <v>9989.5514549437303</v>
      </c>
      <c r="D21" s="18">
        <v>460.46000000000004</v>
      </c>
      <c r="E21" s="18">
        <v>707.97178308898333</v>
      </c>
      <c r="F21" s="18">
        <v>3473.0499999999997</v>
      </c>
      <c r="G21" s="18">
        <v>3545.4029578144268</v>
      </c>
      <c r="H21" s="19">
        <v>0.21164024279560856</v>
      </c>
      <c r="I21" s="19">
        <v>2.0832685338370238E-2</v>
      </c>
      <c r="J21" s="19">
        <v>0.15777228240321239</v>
      </c>
    </row>
    <row r="22" spans="1:10" ht="11.25" customHeight="1" x14ac:dyDescent="0.2">
      <c r="A22" s="28">
        <v>44378</v>
      </c>
      <c r="B22" s="18">
        <v>8368.5</v>
      </c>
      <c r="C22" s="18">
        <v>9989.5514549437303</v>
      </c>
      <c r="D22" s="18">
        <v>460.46000000000004</v>
      </c>
      <c r="E22" s="18">
        <v>707.97178308898333</v>
      </c>
      <c r="F22" s="18">
        <v>3473.0499999999997</v>
      </c>
      <c r="G22" s="18">
        <v>3545.4029578144268</v>
      </c>
      <c r="H22" s="19">
        <v>0.21164024279560856</v>
      </c>
      <c r="I22" s="19">
        <v>2.0832685338370238E-2</v>
      </c>
      <c r="J22" s="19">
        <v>0.15777228240321239</v>
      </c>
    </row>
    <row r="23" spans="1:10" ht="11.25" customHeight="1" x14ac:dyDescent="0.2">
      <c r="A23" s="28">
        <v>44409</v>
      </c>
      <c r="B23" s="18">
        <v>8368.5</v>
      </c>
      <c r="C23" s="18">
        <v>9989.5514549437303</v>
      </c>
      <c r="D23" s="18">
        <v>460.46000000000004</v>
      </c>
      <c r="E23" s="18">
        <v>707.97178308898333</v>
      </c>
      <c r="F23" s="18">
        <v>3473.0499999999997</v>
      </c>
      <c r="G23" s="18">
        <v>3545.4029578144268</v>
      </c>
      <c r="H23" s="19">
        <v>0.21164024279560856</v>
      </c>
      <c r="I23" s="19">
        <v>2.0832685338370238E-2</v>
      </c>
      <c r="J23" s="19">
        <v>0.15777228240321239</v>
      </c>
    </row>
    <row r="24" spans="1:10" ht="11.25" customHeight="1" x14ac:dyDescent="0.2">
      <c r="A24" s="28">
        <v>44440</v>
      </c>
      <c r="B24" s="18">
        <v>50211</v>
      </c>
      <c r="C24" s="18">
        <v>59937.308729662385</v>
      </c>
      <c r="D24" s="18">
        <v>2302.3000000000002</v>
      </c>
      <c r="E24" s="18">
        <v>3539.8589154449169</v>
      </c>
      <c r="F24" s="18">
        <v>17365.25</v>
      </c>
      <c r="G24" s="18">
        <v>17727.014789072135</v>
      </c>
      <c r="H24" s="19">
        <v>0.20878268257959975</v>
      </c>
      <c r="I24" s="19">
        <v>2.0832685338370238E-2</v>
      </c>
      <c r="J24" s="19">
        <v>0.16207595083440385</v>
      </c>
    </row>
    <row r="25" spans="1:10" ht="11.25" customHeight="1" x14ac:dyDescent="0.2">
      <c r="A25" s="28">
        <v>44470</v>
      </c>
      <c r="B25" s="18">
        <v>45189.9</v>
      </c>
      <c r="C25" s="18">
        <v>53943.577856696145</v>
      </c>
      <c r="D25" s="18">
        <v>2585.0882200000001</v>
      </c>
      <c r="E25" s="18">
        <v>3974.6547290877079</v>
      </c>
      <c r="F25" s="18">
        <v>19498.198849999997</v>
      </c>
      <c r="G25" s="18">
        <v>19904.398691307022</v>
      </c>
      <c r="H25" s="19">
        <v>0.21231285958826462</v>
      </c>
      <c r="I25" s="19">
        <v>2.083268533837046E-2</v>
      </c>
      <c r="J25" s="19">
        <v>0.15681499073492411</v>
      </c>
    </row>
    <row r="26" spans="1:10" ht="11.25" customHeight="1" x14ac:dyDescent="0.2">
      <c r="A26" s="28">
        <v>44501</v>
      </c>
      <c r="B26" s="18">
        <v>6694.8</v>
      </c>
      <c r="C26" s="18">
        <v>7991.6411639549842</v>
      </c>
      <c r="D26" s="18">
        <v>460.46000000000004</v>
      </c>
      <c r="E26" s="18">
        <v>707.97178308898333</v>
      </c>
      <c r="F26" s="18">
        <v>3473.0499999999997</v>
      </c>
      <c r="G26" s="18">
        <v>3545.4029578144268</v>
      </c>
      <c r="H26" s="19">
        <v>0.21583463732190977</v>
      </c>
      <c r="I26" s="19">
        <v>2.0832685338370238E-2</v>
      </c>
      <c r="J26" s="19">
        <v>0.1521131680256218</v>
      </c>
    </row>
    <row r="27" spans="1:10" ht="11.25" customHeight="1" x14ac:dyDescent="0.2">
      <c r="A27" s="28">
        <v>44531</v>
      </c>
      <c r="B27" s="18">
        <v>55232.1</v>
      </c>
      <c r="C27" s="18">
        <v>65931.039602628618</v>
      </c>
      <c r="D27" s="18">
        <v>1381.38</v>
      </c>
      <c r="E27" s="18">
        <v>2123.9153492669502</v>
      </c>
      <c r="F27" s="18">
        <v>10419.15</v>
      </c>
      <c r="G27" s="18">
        <v>10636.20887344328</v>
      </c>
      <c r="H27" s="19">
        <v>0.20209806837339062</v>
      </c>
      <c r="I27" s="19">
        <v>2.0832685338370238E-2</v>
      </c>
      <c r="J27" s="19">
        <v>0.17392326431677918</v>
      </c>
    </row>
    <row r="28" spans="1:10" ht="11.25" customHeight="1" x14ac:dyDescent="0.2">
      <c r="A28" s="28">
        <v>44562</v>
      </c>
      <c r="B28" s="18">
        <v>71730</v>
      </c>
      <c r="C28" s="18">
        <v>85624.726756660544</v>
      </c>
      <c r="D28" s="18">
        <v>3386.0255000000002</v>
      </c>
      <c r="E28" s="18">
        <v>5206.1210763579165</v>
      </c>
      <c r="F28" s="18">
        <v>25539.321250000001</v>
      </c>
      <c r="G28" s="18">
        <v>26071.373893356802</v>
      </c>
      <c r="H28" s="19">
        <v>0.20920731932253855</v>
      </c>
      <c r="I28" s="19">
        <v>2.0832685338370238E-2</v>
      </c>
      <c r="J28" s="19">
        <v>0.16141094835953429</v>
      </c>
    </row>
    <row r="29" spans="1:10" ht="11.25" customHeight="1" x14ac:dyDescent="0.2">
      <c r="A29" s="28">
        <v>44652</v>
      </c>
      <c r="B29" s="18">
        <v>-14250.36</v>
      </c>
      <c r="C29" s="18">
        <v>-17010.779048989894</v>
      </c>
      <c r="D29" s="18">
        <v>0</v>
      </c>
      <c r="E29" s="18">
        <v>0</v>
      </c>
      <c r="F29" s="18">
        <v>0</v>
      </c>
      <c r="G29" s="18">
        <v>0</v>
      </c>
      <c r="H29" s="19">
        <v>0.19370872377890058</v>
      </c>
      <c r="I29" s="19">
        <v>0</v>
      </c>
      <c r="J29" s="19">
        <v>0.19370872377890058</v>
      </c>
    </row>
    <row r="30" spans="1:10" ht="11.25" customHeight="1" x14ac:dyDescent="0.2">
      <c r="A30" s="28">
        <v>44682</v>
      </c>
      <c r="B30" s="18">
        <v>-14250.36</v>
      </c>
      <c r="C30" s="18">
        <v>-17010.779048989894</v>
      </c>
      <c r="D30" s="18">
        <v>0</v>
      </c>
      <c r="E30" s="18">
        <v>0</v>
      </c>
      <c r="F30" s="18">
        <v>0</v>
      </c>
      <c r="G30" s="18">
        <v>0</v>
      </c>
      <c r="H30" s="19">
        <v>0.19370872377890058</v>
      </c>
      <c r="I30" s="19">
        <v>0</v>
      </c>
      <c r="J30" s="19">
        <v>0.19370872377890058</v>
      </c>
    </row>
    <row r="31" spans="1:10" ht="11.25" customHeight="1" x14ac:dyDescent="0.2">
      <c r="A31" s="21" t="s">
        <v>41</v>
      </c>
      <c r="B31" s="18">
        <v>20892652.186300006</v>
      </c>
      <c r="C31" s="18">
        <v>24379192.400661483</v>
      </c>
      <c r="D31" s="18">
        <v>21939040.706805203</v>
      </c>
      <c r="E31" s="18">
        <v>30025560.917464837</v>
      </c>
      <c r="F31" s="18">
        <v>43590536.510477379</v>
      </c>
      <c r="G31" s="18">
        <v>43678814.201095194</v>
      </c>
      <c r="H31" s="19">
        <v>0.27019852925038235</v>
      </c>
      <c r="I31" s="19">
        <v>2.0251572401872586E-3</v>
      </c>
      <c r="J31" s="19">
        <v>0.13493447456882568</v>
      </c>
    </row>
    <row r="32" spans="1:10" ht="11.25" customHeight="1" x14ac:dyDescent="0.2">
      <c r="A32" s="22" t="s">
        <v>40</v>
      </c>
      <c r="B32" s="18">
        <v>2309904.4209000003</v>
      </c>
      <c r="C32" s="18">
        <v>2669016.4112504432</v>
      </c>
      <c r="D32" s="18">
        <v>848324.36974999984</v>
      </c>
      <c r="E32" s="18">
        <v>1313338.9597921153</v>
      </c>
      <c r="F32" s="18">
        <v>3157943.1383256</v>
      </c>
      <c r="G32" s="18">
        <v>3169026.6793490686</v>
      </c>
      <c r="H32" s="19">
        <v>0.26094581330915645</v>
      </c>
      <c r="I32" s="19">
        <v>3.5097341965908413E-3</v>
      </c>
      <c r="J32" s="19">
        <v>0.13223359509649835</v>
      </c>
    </row>
    <row r="33" spans="1:10" ht="11.25" customHeight="1" x14ac:dyDescent="0.2">
      <c r="A33" s="23" t="s">
        <v>43</v>
      </c>
      <c r="B33" s="18">
        <v>1127826.8500000001</v>
      </c>
      <c r="C33" s="18">
        <v>1303231.8761118988</v>
      </c>
      <c r="D33" s="18">
        <v>396164.35429999989</v>
      </c>
      <c r="E33" s="18">
        <v>613324.45410758129</v>
      </c>
      <c r="F33" s="18">
        <v>1475658.02251</v>
      </c>
      <c r="G33" s="18">
        <v>1480884.2865912146</v>
      </c>
      <c r="H33" s="19">
        <v>0.25759015197190216</v>
      </c>
      <c r="I33" s="19">
        <v>3.5416498954987663E-3</v>
      </c>
      <c r="J33" s="19">
        <v>0.13261263565264536</v>
      </c>
    </row>
    <row r="34" spans="1:10" ht="11.25" customHeight="1" x14ac:dyDescent="0.2">
      <c r="A34" s="24" t="s">
        <v>25</v>
      </c>
      <c r="B34" s="18">
        <v>1127826.8500000001</v>
      </c>
      <c r="C34" s="18">
        <v>1303231.8761118988</v>
      </c>
      <c r="D34" s="18">
        <v>396164.35429999989</v>
      </c>
      <c r="E34" s="18">
        <v>613324.45410758129</v>
      </c>
      <c r="F34" s="18">
        <v>1475658.02251</v>
      </c>
      <c r="G34" s="18">
        <v>1480884.2865912146</v>
      </c>
      <c r="H34" s="19">
        <v>0.25759015197190216</v>
      </c>
      <c r="I34" s="19">
        <v>3.5416498954987663E-3</v>
      </c>
      <c r="J34" s="19">
        <v>0.13261263565264536</v>
      </c>
    </row>
    <row r="35" spans="1:10" ht="11.25" customHeight="1" x14ac:dyDescent="0.2">
      <c r="A35" s="25" t="s">
        <v>25</v>
      </c>
      <c r="B35" s="18">
        <v>1127826.8500000001</v>
      </c>
      <c r="C35" s="18">
        <v>1303231.8761118988</v>
      </c>
      <c r="D35" s="18">
        <v>396164.35429999989</v>
      </c>
      <c r="E35" s="18">
        <v>613324.45410758129</v>
      </c>
      <c r="F35" s="18">
        <v>1475658.02251</v>
      </c>
      <c r="G35" s="18">
        <v>1480884.2865912146</v>
      </c>
      <c r="H35" s="19">
        <v>0.25759015197190216</v>
      </c>
      <c r="I35" s="19">
        <v>3.5416498954987663E-3</v>
      </c>
      <c r="J35" s="19">
        <v>0.13261263565264536</v>
      </c>
    </row>
    <row r="36" spans="1:10" ht="11.25" customHeight="1" x14ac:dyDescent="0.2">
      <c r="A36" s="26" t="s">
        <v>25</v>
      </c>
      <c r="B36" s="18">
        <v>1127826.8500000001</v>
      </c>
      <c r="C36" s="18">
        <v>1303231.8761118988</v>
      </c>
      <c r="D36" s="18">
        <v>396164.35429999989</v>
      </c>
      <c r="E36" s="18">
        <v>613324.45410758129</v>
      </c>
      <c r="F36" s="18">
        <v>1475658.02251</v>
      </c>
      <c r="G36" s="18">
        <v>1480884.2865912146</v>
      </c>
      <c r="H36" s="19">
        <v>0.25759015197190216</v>
      </c>
      <c r="I36" s="19">
        <v>3.5416498954987663E-3</v>
      </c>
      <c r="J36" s="19">
        <v>0.13261263565264536</v>
      </c>
    </row>
    <row r="37" spans="1:10" ht="11.25" customHeight="1" x14ac:dyDescent="0.2">
      <c r="A37" s="27" t="s">
        <v>35</v>
      </c>
      <c r="B37" s="18">
        <v>361094.05000000005</v>
      </c>
      <c r="C37" s="18">
        <v>421865.24152395397</v>
      </c>
      <c r="D37" s="18">
        <v>355059.71643999999</v>
      </c>
      <c r="E37" s="18">
        <v>549688.03830404475</v>
      </c>
      <c r="F37" s="18">
        <v>1245632.4633600002</v>
      </c>
      <c r="G37" s="18">
        <v>1246066.6773476596</v>
      </c>
      <c r="H37" s="19">
        <v>0.35662664270773803</v>
      </c>
      <c r="I37" s="19">
        <v>3.4858917090874186E-4</v>
      </c>
      <c r="J37" s="19">
        <v>0.13040856515836596</v>
      </c>
    </row>
    <row r="38" spans="1:10" ht="11.25" customHeight="1" x14ac:dyDescent="0.2">
      <c r="A38" s="28">
        <v>44348</v>
      </c>
      <c r="B38" s="18">
        <v>34999.72</v>
      </c>
      <c r="C38" s="18">
        <v>40890.082046687734</v>
      </c>
      <c r="D38" s="18">
        <v>32373.93302</v>
      </c>
      <c r="E38" s="18">
        <v>50119.917608162505</v>
      </c>
      <c r="F38" s="18">
        <v>113575.32288000001</v>
      </c>
      <c r="G38" s="18">
        <v>113614.91400763844</v>
      </c>
      <c r="H38" s="19">
        <v>0.35082477460193151</v>
      </c>
      <c r="I38" s="19">
        <v>3.4858917090874186E-4</v>
      </c>
      <c r="J38" s="19">
        <v>0.13084317081503127</v>
      </c>
    </row>
    <row r="39" spans="1:10" ht="11.25" customHeight="1" x14ac:dyDescent="0.2">
      <c r="A39" s="28">
        <v>44378</v>
      </c>
      <c r="B39" s="18">
        <v>40816</v>
      </c>
      <c r="C39" s="18">
        <v>47685.226876603774</v>
      </c>
      <c r="D39" s="18">
        <v>38137.542300000001</v>
      </c>
      <c r="E39" s="18">
        <v>59042.887272082589</v>
      </c>
      <c r="F39" s="18">
        <v>133795.4112</v>
      </c>
      <c r="G39" s="18">
        <v>133842.05083146159</v>
      </c>
      <c r="H39" s="19">
        <v>0.35178373306103539</v>
      </c>
      <c r="I39" s="19">
        <v>3.4858917090851982E-4</v>
      </c>
      <c r="J39" s="19">
        <v>0.1307701449170604</v>
      </c>
    </row>
    <row r="40" spans="1:10" ht="11.25" customHeight="1" x14ac:dyDescent="0.2">
      <c r="A40" s="28">
        <v>44409</v>
      </c>
      <c r="B40" s="18">
        <v>29948.74</v>
      </c>
      <c r="C40" s="18">
        <v>34989.035220708014</v>
      </c>
      <c r="D40" s="18">
        <v>24846.876339999999</v>
      </c>
      <c r="E40" s="18">
        <v>38466.855238492812</v>
      </c>
      <c r="F40" s="18">
        <v>87168.648960000006</v>
      </c>
      <c r="G40" s="18">
        <v>87199.035007070212</v>
      </c>
      <c r="H40" s="19">
        <v>0.3405431924228417</v>
      </c>
      <c r="I40" s="19">
        <v>3.4858917090874186E-4</v>
      </c>
      <c r="J40" s="19">
        <v>0.13165749934868343</v>
      </c>
    </row>
    <row r="41" spans="1:10" ht="11.25" customHeight="1" x14ac:dyDescent="0.2">
      <c r="A41" s="28">
        <v>44440</v>
      </c>
      <c r="B41" s="18">
        <v>30663.020000000004</v>
      </c>
      <c r="C41" s="18">
        <v>35823.526691048581</v>
      </c>
      <c r="D41" s="18">
        <v>30237.758979999999</v>
      </c>
      <c r="E41" s="18">
        <v>46812.785700051332</v>
      </c>
      <c r="F41" s="18">
        <v>106081.12512000001</v>
      </c>
      <c r="G41" s="18">
        <v>106118.10385145465</v>
      </c>
      <c r="H41" s="19">
        <v>0.35690074536218863</v>
      </c>
      <c r="I41" s="19">
        <v>3.4858917090874186E-4</v>
      </c>
      <c r="J41" s="19">
        <v>0.13038845292790335</v>
      </c>
    </row>
    <row r="42" spans="1:10" ht="11.25" customHeight="1" x14ac:dyDescent="0.2">
      <c r="A42" s="28">
        <v>44470</v>
      </c>
      <c r="B42" s="18">
        <v>24795.72</v>
      </c>
      <c r="C42" s="18">
        <v>28968.77532753679</v>
      </c>
      <c r="D42" s="18">
        <v>23939.441239999996</v>
      </c>
      <c r="E42" s="18">
        <v>37062.003612381828</v>
      </c>
      <c r="F42" s="18">
        <v>83985.154559999995</v>
      </c>
      <c r="G42" s="18">
        <v>84014.43087539672</v>
      </c>
      <c r="H42" s="19">
        <v>0.35488992464280633</v>
      </c>
      <c r="I42" s="19">
        <v>3.4858917090896391E-4</v>
      </c>
      <c r="J42" s="19">
        <v>0.13053686551968968</v>
      </c>
    </row>
    <row r="43" spans="1:10" ht="11.25" customHeight="1" x14ac:dyDescent="0.2">
      <c r="A43" s="28">
        <v>44501</v>
      </c>
      <c r="B43" s="18">
        <v>26224.280000000002</v>
      </c>
      <c r="C43" s="18">
        <v>30637.758268217924</v>
      </c>
      <c r="D43" s="18">
        <v>24593.840700000001</v>
      </c>
      <c r="E43" s="18">
        <v>38075.116446023756</v>
      </c>
      <c r="F43" s="18">
        <v>86280.940800000011</v>
      </c>
      <c r="G43" s="18">
        <v>86311.017401618708</v>
      </c>
      <c r="H43" s="19">
        <v>0.35213332897297955</v>
      </c>
      <c r="I43" s="19">
        <v>3.4858917090874186E-4</v>
      </c>
      <c r="J43" s="19">
        <v>0.1307436420041459</v>
      </c>
    </row>
    <row r="44" spans="1:10" ht="11.25" customHeight="1" x14ac:dyDescent="0.2">
      <c r="A44" s="28">
        <v>44531</v>
      </c>
      <c r="B44" s="18">
        <v>33443.61</v>
      </c>
      <c r="C44" s="18">
        <v>39072.082772017216</v>
      </c>
      <c r="D44" s="18">
        <v>32990.47466</v>
      </c>
      <c r="E44" s="18">
        <v>51074.420608453242</v>
      </c>
      <c r="F44" s="18">
        <v>115738.29504000001</v>
      </c>
      <c r="G44" s="18">
        <v>115778.6401563104</v>
      </c>
      <c r="H44" s="19">
        <v>0.35693151853942418</v>
      </c>
      <c r="I44" s="19">
        <v>3.4858917090874186E-4</v>
      </c>
      <c r="J44" s="19">
        <v>0.13038619727039147</v>
      </c>
    </row>
    <row r="45" spans="1:10" ht="11.25" customHeight="1" x14ac:dyDescent="0.2">
      <c r="A45" s="28">
        <v>44562</v>
      </c>
      <c r="B45" s="18">
        <v>24336.540000000005</v>
      </c>
      <c r="C45" s="18">
        <v>28432.316525175</v>
      </c>
      <c r="D45" s="18">
        <v>26170.30416</v>
      </c>
      <c r="E45" s="18">
        <v>40515.728733652402</v>
      </c>
      <c r="F45" s="18">
        <v>91811.543040000004</v>
      </c>
      <c r="G45" s="18">
        <v>91843.547549668176</v>
      </c>
      <c r="H45" s="19">
        <v>0.36512281465077767</v>
      </c>
      <c r="I45" s="19">
        <v>3.4858917090874186E-4</v>
      </c>
      <c r="J45" s="19">
        <v>0.12980196004143285</v>
      </c>
    </row>
    <row r="46" spans="1:10" ht="11.25" customHeight="1" x14ac:dyDescent="0.2">
      <c r="A46" s="28">
        <v>44593</v>
      </c>
      <c r="B46" s="18">
        <v>23826.340000000004</v>
      </c>
      <c r="C46" s="18">
        <v>27836.251189217452</v>
      </c>
      <c r="D46" s="18">
        <v>23578.683699999998</v>
      </c>
      <c r="E46" s="18">
        <v>36503.49445100953</v>
      </c>
      <c r="F46" s="18">
        <v>82719.532800000001</v>
      </c>
      <c r="G46" s="18">
        <v>82748.367933356698</v>
      </c>
      <c r="H46" s="19">
        <v>0.35723475316450437</v>
      </c>
      <c r="I46" s="19">
        <v>3.4858917090851982E-4</v>
      </c>
      <c r="J46" s="19">
        <v>0.13036399531231968</v>
      </c>
    </row>
    <row r="47" spans="1:10" ht="11.25" customHeight="1" x14ac:dyDescent="0.2">
      <c r="A47" s="28">
        <v>44621</v>
      </c>
      <c r="B47" s="18">
        <v>24438.58</v>
      </c>
      <c r="C47" s="18">
        <v>28551.529592366511</v>
      </c>
      <c r="D47" s="18">
        <v>25608.820379999997</v>
      </c>
      <c r="E47" s="18">
        <v>39646.463921912211</v>
      </c>
      <c r="F47" s="18">
        <v>89841.726720000006</v>
      </c>
      <c r="G47" s="18">
        <v>89873.044573030333</v>
      </c>
      <c r="H47" s="19">
        <v>0.36266805061731211</v>
      </c>
      <c r="I47" s="19">
        <v>3.4858917090874186E-4</v>
      </c>
      <c r="J47" s="19">
        <v>0.12997372536545782</v>
      </c>
    </row>
    <row r="48" spans="1:10" ht="11.25" customHeight="1" x14ac:dyDescent="0.2">
      <c r="A48" s="28">
        <v>44652</v>
      </c>
      <c r="B48" s="18">
        <v>33800.75</v>
      </c>
      <c r="C48" s="18">
        <v>39489.3285071875</v>
      </c>
      <c r="D48" s="18">
        <v>36291.020479999992</v>
      </c>
      <c r="E48" s="18">
        <v>56184.182355911289</v>
      </c>
      <c r="F48" s="18">
        <v>127317.38112000001</v>
      </c>
      <c r="G48" s="18">
        <v>127361.7625803269</v>
      </c>
      <c r="H48" s="19">
        <v>0.36497494938294217</v>
      </c>
      <c r="I48" s="19">
        <v>3.4858917090874186E-4</v>
      </c>
      <c r="J48" s="19">
        <v>0.12981222823626037</v>
      </c>
    </row>
    <row r="49" spans="1:10" ht="11.25" customHeight="1" x14ac:dyDescent="0.2">
      <c r="A49" s="28">
        <v>44682</v>
      </c>
      <c r="B49" s="18">
        <v>33800.75</v>
      </c>
      <c r="C49" s="18">
        <v>39489.3285071875</v>
      </c>
      <c r="D49" s="18">
        <v>36291.020479999992</v>
      </c>
      <c r="E49" s="18">
        <v>56184.182355911289</v>
      </c>
      <c r="F49" s="18">
        <v>127317.38112000001</v>
      </c>
      <c r="G49" s="18">
        <v>127361.7625803269</v>
      </c>
      <c r="H49" s="19">
        <v>0.36497494938294217</v>
      </c>
      <c r="I49" s="19">
        <v>3.4858917090874186E-4</v>
      </c>
      <c r="J49" s="19">
        <v>0.12981222823626037</v>
      </c>
    </row>
    <row r="50" spans="1:10" ht="11.25" customHeight="1" x14ac:dyDescent="0.2">
      <c r="A50" s="27" t="s">
        <v>34</v>
      </c>
      <c r="B50" s="18">
        <v>766732.80000000005</v>
      </c>
      <c r="C50" s="18">
        <v>881366.63458794472</v>
      </c>
      <c r="D50" s="18">
        <v>41104.637859999995</v>
      </c>
      <c r="E50" s="18">
        <v>63636.415803536394</v>
      </c>
      <c r="F50" s="18">
        <v>230025.55914999999</v>
      </c>
      <c r="G50" s="18">
        <v>234817.60924355459</v>
      </c>
      <c r="H50" s="19">
        <v>0.16979358235097308</v>
      </c>
      <c r="I50" s="19">
        <v>2.0832685338370238E-2</v>
      </c>
      <c r="J50" s="19">
        <v>0.1367788070622078</v>
      </c>
    </row>
    <row r="51" spans="1:10" ht="11.25" customHeight="1" x14ac:dyDescent="0.2">
      <c r="A51" s="28">
        <v>44348</v>
      </c>
      <c r="B51" s="18">
        <v>74849.599999999991</v>
      </c>
      <c r="C51" s="18">
        <v>86040.32598090735</v>
      </c>
      <c r="D51" s="18">
        <v>3845.9821399999996</v>
      </c>
      <c r="E51" s="18">
        <v>5954.1825783163522</v>
      </c>
      <c r="F51" s="18">
        <v>21522.490849999998</v>
      </c>
      <c r="G51" s="18">
        <v>21970.862129576002</v>
      </c>
      <c r="H51" s="19">
        <v>0.16899203306692412</v>
      </c>
      <c r="I51" s="19">
        <v>2.0832685338370238E-2</v>
      </c>
      <c r="J51" s="19">
        <v>0.13717383789819482</v>
      </c>
    </row>
    <row r="52" spans="1:10" ht="11.25" customHeight="1" x14ac:dyDescent="0.2">
      <c r="A52" s="28">
        <v>44378</v>
      </c>
      <c r="B52" s="18">
        <v>79900.800000000003</v>
      </c>
      <c r="C52" s="18">
        <v>91846.728347717042</v>
      </c>
      <c r="D52" s="18">
        <v>3857.5966000000003</v>
      </c>
      <c r="E52" s="18">
        <v>5972.1635810540702</v>
      </c>
      <c r="F52" s="18">
        <v>21587.486500000003</v>
      </c>
      <c r="G52" s="18">
        <v>22037.211813500817</v>
      </c>
      <c r="H52" s="19">
        <v>0.16786968112485456</v>
      </c>
      <c r="I52" s="19">
        <v>2.0832685338370238E-2</v>
      </c>
      <c r="J52" s="19">
        <v>0.1377388485936184</v>
      </c>
    </row>
    <row r="53" spans="1:10" ht="11.25" customHeight="1" x14ac:dyDescent="0.2">
      <c r="A53" s="28">
        <v>44409</v>
      </c>
      <c r="B53" s="18">
        <v>62844.799999999988</v>
      </c>
      <c r="C53" s="18">
        <v>72240.694381866109</v>
      </c>
      <c r="D53" s="18">
        <v>3218.0033599999997</v>
      </c>
      <c r="E53" s="18">
        <v>4981.9730944136636</v>
      </c>
      <c r="F53" s="18">
        <v>18008.260399999996</v>
      </c>
      <c r="G53" s="18">
        <v>18383.420822404634</v>
      </c>
      <c r="H53" s="19">
        <v>0.16892810399621805</v>
      </c>
      <c r="I53" s="19">
        <v>2.083268533837046E-2</v>
      </c>
      <c r="J53" s="19">
        <v>0.1372056451148731</v>
      </c>
    </row>
    <row r="54" spans="1:10" ht="11.25" customHeight="1" x14ac:dyDescent="0.2">
      <c r="A54" s="28">
        <v>44440</v>
      </c>
      <c r="B54" s="18">
        <v>67174.399999999994</v>
      </c>
      <c r="C54" s="18">
        <v>77217.610696274423</v>
      </c>
      <c r="D54" s="18">
        <v>3760.8685399999999</v>
      </c>
      <c r="E54" s="18">
        <v>5822.4133979483468</v>
      </c>
      <c r="F54" s="18">
        <v>21046.186849999998</v>
      </c>
      <c r="G54" s="18">
        <v>21484.635438218593</v>
      </c>
      <c r="H54" s="19">
        <v>0.17064509380685533</v>
      </c>
      <c r="I54" s="19">
        <v>2.0832685338370238E-2</v>
      </c>
      <c r="J54" s="19">
        <v>0.13636666314159074</v>
      </c>
    </row>
    <row r="55" spans="1:10" ht="11.25" customHeight="1" x14ac:dyDescent="0.2">
      <c r="A55" s="28">
        <v>44470</v>
      </c>
      <c r="B55" s="18">
        <v>53267.199999999997</v>
      </c>
      <c r="C55" s="18">
        <v>61231.152231811371</v>
      </c>
      <c r="D55" s="18">
        <v>2621.2329</v>
      </c>
      <c r="E55" s="18">
        <v>4058.0789766459106</v>
      </c>
      <c r="F55" s="18">
        <v>14668.674749999998</v>
      </c>
      <c r="G55" s="18">
        <v>14974.262635397647</v>
      </c>
      <c r="H55" s="19">
        <v>0.16820651109108642</v>
      </c>
      <c r="I55" s="19">
        <v>2.0832685338370238E-2</v>
      </c>
      <c r="J55" s="19">
        <v>0.13756780170190175</v>
      </c>
    </row>
    <row r="56" spans="1:10" ht="11.25" customHeight="1" x14ac:dyDescent="0.2">
      <c r="A56" s="28">
        <v>44501</v>
      </c>
      <c r="B56" s="18">
        <v>54579.199999999997</v>
      </c>
      <c r="C56" s="18">
        <v>62739.308690722974</v>
      </c>
      <c r="D56" s="18">
        <v>2808.0395199999998</v>
      </c>
      <c r="E56" s="18">
        <v>4347.2848756411049</v>
      </c>
      <c r="F56" s="18">
        <v>15714.0628</v>
      </c>
      <c r="G56" s="18">
        <v>16041.428925699789</v>
      </c>
      <c r="H56" s="19">
        <v>0.16901586707239624</v>
      </c>
      <c r="I56" s="19">
        <v>2.0832685338370238E-2</v>
      </c>
      <c r="J56" s="19">
        <v>0.13716199101586524</v>
      </c>
    </row>
    <row r="57" spans="1:10" ht="11.25" customHeight="1" x14ac:dyDescent="0.2">
      <c r="A57" s="28">
        <v>44531</v>
      </c>
      <c r="B57" s="18">
        <v>73996.800000000003</v>
      </c>
      <c r="C57" s="18">
        <v>85060.024282614802</v>
      </c>
      <c r="D57" s="18">
        <v>3945.9019599999997</v>
      </c>
      <c r="E57" s="18">
        <v>6108.8741056858744</v>
      </c>
      <c r="F57" s="18">
        <v>22081.651899999997</v>
      </c>
      <c r="G57" s="18">
        <v>22541.672005784127</v>
      </c>
      <c r="H57" s="19">
        <v>0.16969127443244547</v>
      </c>
      <c r="I57" s="19">
        <v>2.083268533837046E-2</v>
      </c>
      <c r="J57" s="19">
        <v>0.13682884223617009</v>
      </c>
    </row>
    <row r="58" spans="1:10" ht="11.25" customHeight="1" x14ac:dyDescent="0.2">
      <c r="A58" s="28">
        <v>44562</v>
      </c>
      <c r="B58" s="18">
        <v>53332.799999999996</v>
      </c>
      <c r="C58" s="18">
        <v>61306.560054756941</v>
      </c>
      <c r="D58" s="18">
        <v>3126.5949000000001</v>
      </c>
      <c r="E58" s="18">
        <v>4840.4584850809406</v>
      </c>
      <c r="F58" s="18">
        <v>17496.729749999999</v>
      </c>
      <c r="G58" s="18">
        <v>17861.233615332254</v>
      </c>
      <c r="H58" s="19">
        <v>0.17158567953121806</v>
      </c>
      <c r="I58" s="19">
        <v>2.083268533837046E-2</v>
      </c>
      <c r="J58" s="19">
        <v>0.13592014931477525</v>
      </c>
    </row>
    <row r="59" spans="1:10" ht="11.25" customHeight="1" x14ac:dyDescent="0.2">
      <c r="A59" s="28">
        <v>44593</v>
      </c>
      <c r="B59" s="18">
        <v>52086.400000000001</v>
      </c>
      <c r="C59" s="18">
        <v>59873.811418790916</v>
      </c>
      <c r="D59" s="18">
        <v>2823.73234</v>
      </c>
      <c r="E59" s="18">
        <v>4371.5798182714561</v>
      </c>
      <c r="F59" s="18">
        <v>15801.88135</v>
      </c>
      <c r="G59" s="18">
        <v>16131.076971918812</v>
      </c>
      <c r="H59" s="19">
        <v>0.17000976867546136</v>
      </c>
      <c r="I59" s="19">
        <v>2.0832685338370238E-2</v>
      </c>
      <c r="J59" s="19">
        <v>0.13667344507186496</v>
      </c>
    </row>
    <row r="60" spans="1:10" ht="11.25" customHeight="1" x14ac:dyDescent="0.2">
      <c r="A60" s="28">
        <v>44621</v>
      </c>
      <c r="B60" s="18">
        <v>53267.199999999997</v>
      </c>
      <c r="C60" s="18">
        <v>61231.152231811364</v>
      </c>
      <c r="D60" s="18">
        <v>3131.1165599999995</v>
      </c>
      <c r="E60" s="18">
        <v>4847.458722787992</v>
      </c>
      <c r="F60" s="18">
        <v>17522.0334</v>
      </c>
      <c r="G60" s="18">
        <v>17887.064408310613</v>
      </c>
      <c r="H60" s="19">
        <v>0.17164154863205638</v>
      </c>
      <c r="I60" s="19">
        <v>2.0832685338370238E-2</v>
      </c>
      <c r="J60" s="19">
        <v>0.13589391024725583</v>
      </c>
    </row>
    <row r="61" spans="1:10" ht="11.25" customHeight="1" x14ac:dyDescent="0.2">
      <c r="A61" s="28">
        <v>44652</v>
      </c>
      <c r="B61" s="18">
        <v>70716.800000000003</v>
      </c>
      <c r="C61" s="18">
        <v>81289.633135335767</v>
      </c>
      <c r="D61" s="18">
        <v>3982.7845200000002</v>
      </c>
      <c r="E61" s="18">
        <v>6165.9740838453445</v>
      </c>
      <c r="F61" s="18">
        <v>22288.050299999999</v>
      </c>
      <c r="G61" s="18">
        <v>22752.370238705669</v>
      </c>
      <c r="H61" s="19">
        <v>0.17076430586793712</v>
      </c>
      <c r="I61" s="19">
        <v>2.0832685338370238E-2</v>
      </c>
      <c r="J61" s="19">
        <v>0.13630956835294006</v>
      </c>
    </row>
    <row r="62" spans="1:10" ht="11.25" customHeight="1" x14ac:dyDescent="0.2">
      <c r="A62" s="28">
        <v>44682</v>
      </c>
      <c r="B62" s="18">
        <v>70716.800000000003</v>
      </c>
      <c r="C62" s="18">
        <v>81289.633135335767</v>
      </c>
      <c r="D62" s="18">
        <v>3982.7845200000002</v>
      </c>
      <c r="E62" s="18">
        <v>6165.9740838453445</v>
      </c>
      <c r="F62" s="18">
        <v>22288.050299999999</v>
      </c>
      <c r="G62" s="18">
        <v>22752.370238705669</v>
      </c>
      <c r="H62" s="19">
        <v>0.17076430586793712</v>
      </c>
      <c r="I62" s="19">
        <v>2.0832685338370238E-2</v>
      </c>
      <c r="J62" s="19">
        <v>0.13630956835294006</v>
      </c>
    </row>
    <row r="63" spans="1:10" ht="11.25" customHeight="1" x14ac:dyDescent="0.2">
      <c r="A63" s="23" t="s">
        <v>38</v>
      </c>
      <c r="B63" s="18">
        <v>266182.65000000002</v>
      </c>
      <c r="C63" s="18">
        <v>307673.73709348892</v>
      </c>
      <c r="D63" s="18">
        <v>96711.657899999977</v>
      </c>
      <c r="E63" s="18">
        <v>149724.79008658917</v>
      </c>
      <c r="F63" s="18">
        <v>359094.79314999992</v>
      </c>
      <c r="G63" s="18">
        <v>360307.4812436864</v>
      </c>
      <c r="H63" s="19">
        <v>0.26041802591767294</v>
      </c>
      <c r="I63" s="19">
        <v>3.3770695560595421E-3</v>
      </c>
      <c r="J63" s="19">
        <v>0.13257389513853046</v>
      </c>
    </row>
    <row r="64" spans="1:10" ht="11.25" customHeight="1" x14ac:dyDescent="0.2">
      <c r="A64" s="24" t="s">
        <v>25</v>
      </c>
      <c r="B64" s="18">
        <v>266182.65000000002</v>
      </c>
      <c r="C64" s="18">
        <v>307673.73709348892</v>
      </c>
      <c r="D64" s="18">
        <v>96711.657899999977</v>
      </c>
      <c r="E64" s="18">
        <v>149724.79008658917</v>
      </c>
      <c r="F64" s="18">
        <v>359094.79314999992</v>
      </c>
      <c r="G64" s="18">
        <v>360307.4812436864</v>
      </c>
      <c r="H64" s="19">
        <v>0.26041802591767294</v>
      </c>
      <c r="I64" s="19">
        <v>3.3770695560595421E-3</v>
      </c>
      <c r="J64" s="19">
        <v>0.13257389513853046</v>
      </c>
    </row>
    <row r="65" spans="1:10" ht="11.25" customHeight="1" x14ac:dyDescent="0.2">
      <c r="A65" s="25" t="s">
        <v>25</v>
      </c>
      <c r="B65" s="18">
        <v>266182.65000000002</v>
      </c>
      <c r="C65" s="18">
        <v>307673.73709348892</v>
      </c>
      <c r="D65" s="18">
        <v>96711.657899999977</v>
      </c>
      <c r="E65" s="18">
        <v>149724.79008658917</v>
      </c>
      <c r="F65" s="18">
        <v>359094.79314999992</v>
      </c>
      <c r="G65" s="18">
        <v>360307.4812436864</v>
      </c>
      <c r="H65" s="19">
        <v>0.26041802591767294</v>
      </c>
      <c r="I65" s="19">
        <v>3.3770695560595421E-3</v>
      </c>
      <c r="J65" s="19">
        <v>0.13257389513853046</v>
      </c>
    </row>
    <row r="66" spans="1:10" ht="11.25" customHeight="1" x14ac:dyDescent="0.2">
      <c r="A66" s="26" t="s">
        <v>25</v>
      </c>
      <c r="B66" s="18">
        <v>266182.65000000002</v>
      </c>
      <c r="C66" s="18">
        <v>307673.73709348892</v>
      </c>
      <c r="D66" s="18">
        <v>96711.657899999977</v>
      </c>
      <c r="E66" s="18">
        <v>149724.79008658917</v>
      </c>
      <c r="F66" s="18">
        <v>359094.79314999992</v>
      </c>
      <c r="G66" s="18">
        <v>360307.4812436864</v>
      </c>
      <c r="H66" s="19">
        <v>0.26041802591767294</v>
      </c>
      <c r="I66" s="19">
        <v>3.3770695560595421E-3</v>
      </c>
      <c r="J66" s="19">
        <v>0.13257389513853046</v>
      </c>
    </row>
    <row r="67" spans="1:10" ht="11.25" customHeight="1" x14ac:dyDescent="0.2">
      <c r="A67" s="27" t="s">
        <v>35</v>
      </c>
      <c r="B67" s="18">
        <v>90177.85</v>
      </c>
      <c r="C67" s="18">
        <v>105354.54813049646</v>
      </c>
      <c r="D67" s="18">
        <v>87224.594599999982</v>
      </c>
      <c r="E67" s="18">
        <v>135037.33056025751</v>
      </c>
      <c r="F67" s="18">
        <v>306004.26240000001</v>
      </c>
      <c r="G67" s="18">
        <v>306110.93217212457</v>
      </c>
      <c r="H67" s="19">
        <v>0.35506519784876733</v>
      </c>
      <c r="I67" s="19">
        <v>3.4858917090874186E-4</v>
      </c>
      <c r="J67" s="19">
        <v>0.13052384865416977</v>
      </c>
    </row>
    <row r="68" spans="1:10" ht="11.25" customHeight="1" x14ac:dyDescent="0.2">
      <c r="A68" s="28">
        <v>44348</v>
      </c>
      <c r="B68" s="18">
        <v>28265.08</v>
      </c>
      <c r="C68" s="18">
        <v>33022.019612048112</v>
      </c>
      <c r="D68" s="18">
        <v>17074.852080000001</v>
      </c>
      <c r="E68" s="18">
        <v>26434.544696576449</v>
      </c>
      <c r="F68" s="18">
        <v>59902.571520000005</v>
      </c>
      <c r="G68" s="18">
        <v>59923.452907741463</v>
      </c>
      <c r="H68" s="19">
        <v>0.31135097872922457</v>
      </c>
      <c r="I68" s="19">
        <v>3.4858917090874186E-4</v>
      </c>
      <c r="J68" s="19">
        <v>0.13433273756104391</v>
      </c>
    </row>
    <row r="69" spans="1:10" ht="11.25" customHeight="1" x14ac:dyDescent="0.2">
      <c r="A69" s="28">
        <v>44378</v>
      </c>
      <c r="B69" s="18">
        <v>5892.81</v>
      </c>
      <c r="C69" s="18">
        <v>6884.5546303096689</v>
      </c>
      <c r="D69" s="18">
        <v>7564.5598600000003</v>
      </c>
      <c r="E69" s="18">
        <v>11711.123164769346</v>
      </c>
      <c r="F69" s="18">
        <v>26538.243840000003</v>
      </c>
      <c r="G69" s="18">
        <v>26547.494784417562</v>
      </c>
      <c r="H69" s="19">
        <v>0.3818211127831046</v>
      </c>
      <c r="I69" s="19">
        <v>3.4858917090874186E-4</v>
      </c>
      <c r="J69" s="19">
        <v>0.12870308524598473</v>
      </c>
    </row>
    <row r="70" spans="1:10" ht="11.25" customHeight="1" x14ac:dyDescent="0.2">
      <c r="A70" s="28">
        <v>44409</v>
      </c>
      <c r="B70" s="18">
        <v>5816.2800000000007</v>
      </c>
      <c r="C70" s="18">
        <v>6795.1448299160375</v>
      </c>
      <c r="D70" s="18">
        <v>7804.4738200000002</v>
      </c>
      <c r="E70" s="18">
        <v>12082.547541931661</v>
      </c>
      <c r="F70" s="18">
        <v>27379.918080000003</v>
      </c>
      <c r="G70" s="18">
        <v>27389.462422943056</v>
      </c>
      <c r="H70" s="19">
        <v>0.38595063249206385</v>
      </c>
      <c r="I70" s="19">
        <v>3.4858917090851982E-4</v>
      </c>
      <c r="J70" s="19">
        <v>0.12844869731978092</v>
      </c>
    </row>
    <row r="71" spans="1:10" ht="11.25" customHeight="1" x14ac:dyDescent="0.2">
      <c r="A71" s="28">
        <v>44440</v>
      </c>
      <c r="B71" s="18">
        <v>5484.6500000000005</v>
      </c>
      <c r="C71" s="18">
        <v>6407.7023615436319</v>
      </c>
      <c r="D71" s="18">
        <v>5975.9499800000003</v>
      </c>
      <c r="E71" s="18">
        <v>9251.7063170256824</v>
      </c>
      <c r="F71" s="18">
        <v>20965.029120000003</v>
      </c>
      <c r="G71" s="18">
        <v>20972.33730211902</v>
      </c>
      <c r="H71" s="19">
        <v>0.36636901260812649</v>
      </c>
      <c r="I71" s="19">
        <v>3.4858917090874186E-4</v>
      </c>
      <c r="J71" s="19">
        <v>0.12971581423190726</v>
      </c>
    </row>
    <row r="72" spans="1:10" ht="11.25" customHeight="1" x14ac:dyDescent="0.2">
      <c r="A72" s="28">
        <v>44470</v>
      </c>
      <c r="B72" s="18">
        <v>5535.67</v>
      </c>
      <c r="C72" s="18">
        <v>6467.3088951393865</v>
      </c>
      <c r="D72" s="18">
        <v>5835.0692399999989</v>
      </c>
      <c r="E72" s="18">
        <v>9033.600871604056</v>
      </c>
      <c r="F72" s="18">
        <v>20470.78656</v>
      </c>
      <c r="G72" s="18">
        <v>20477.922454514799</v>
      </c>
      <c r="H72" s="19">
        <v>0.36322796957776737</v>
      </c>
      <c r="I72" s="19">
        <v>3.4858917090874186E-4</v>
      </c>
      <c r="J72" s="19">
        <v>0.12993430174311071</v>
      </c>
    </row>
    <row r="73" spans="1:10" ht="11.25" customHeight="1" x14ac:dyDescent="0.2">
      <c r="A73" s="28">
        <v>44501</v>
      </c>
      <c r="B73" s="18">
        <v>5484.6500000000005</v>
      </c>
      <c r="C73" s="18">
        <v>6407.7023615436319</v>
      </c>
      <c r="D73" s="18">
        <v>6074.0079399999995</v>
      </c>
      <c r="E73" s="18">
        <v>9403.5153935746548</v>
      </c>
      <c r="F73" s="18">
        <v>21309.039360000002</v>
      </c>
      <c r="G73" s="18">
        <v>21316.467460363365</v>
      </c>
      <c r="H73" s="19">
        <v>0.36791120882657458</v>
      </c>
      <c r="I73" s="19">
        <v>3.4858917090874186E-4</v>
      </c>
      <c r="J73" s="19">
        <v>0.12961017246199513</v>
      </c>
    </row>
    <row r="74" spans="1:10" ht="11.25" customHeight="1" x14ac:dyDescent="0.2">
      <c r="A74" s="28">
        <v>44531</v>
      </c>
      <c r="B74" s="18">
        <v>5484.6500000000005</v>
      </c>
      <c r="C74" s="18">
        <v>6407.7023615436319</v>
      </c>
      <c r="D74" s="18">
        <v>5891.0136999999995</v>
      </c>
      <c r="E74" s="18">
        <v>9120.2116557834433</v>
      </c>
      <c r="F74" s="18">
        <v>20667.052799999998</v>
      </c>
      <c r="G74" s="18">
        <v>20674.257110800678</v>
      </c>
      <c r="H74" s="19">
        <v>0.365011697500083</v>
      </c>
      <c r="I74" s="19">
        <v>3.4858917090874186E-4</v>
      </c>
      <c r="J74" s="19">
        <v>0.1298096754102529</v>
      </c>
    </row>
    <row r="75" spans="1:10" ht="11.25" customHeight="1" x14ac:dyDescent="0.2">
      <c r="A75" s="28">
        <v>44562</v>
      </c>
      <c r="B75" s="18">
        <v>5484.6500000000005</v>
      </c>
      <c r="C75" s="18">
        <v>6407.7023615436319</v>
      </c>
      <c r="D75" s="18">
        <v>6190.8618199999992</v>
      </c>
      <c r="E75" s="18">
        <v>9584.4234974548945</v>
      </c>
      <c r="F75" s="18">
        <v>21718.99008</v>
      </c>
      <c r="G75" s="18">
        <v>21726.561084744964</v>
      </c>
      <c r="H75" s="19">
        <v>0.36971518726949704</v>
      </c>
      <c r="I75" s="19">
        <v>3.4858917090874186E-4</v>
      </c>
      <c r="J75" s="19">
        <v>0.12948793357338539</v>
      </c>
    </row>
    <row r="76" spans="1:10" ht="11.25" customHeight="1" x14ac:dyDescent="0.2">
      <c r="A76" s="28">
        <v>44593</v>
      </c>
      <c r="B76" s="18">
        <v>5586.6900000000005</v>
      </c>
      <c r="C76" s="18">
        <v>6526.9154287351412</v>
      </c>
      <c r="D76" s="18">
        <v>5547.0128999999997</v>
      </c>
      <c r="E76" s="18">
        <v>8587.6445517960892</v>
      </c>
      <c r="F76" s="18">
        <v>19460.2176</v>
      </c>
      <c r="G76" s="18">
        <v>19467.001221118888</v>
      </c>
      <c r="H76" s="19">
        <v>0.3575501444834881</v>
      </c>
      <c r="I76" s="19">
        <v>3.4858917090874186E-4</v>
      </c>
      <c r="J76" s="19">
        <v>0.13034095128965628</v>
      </c>
    </row>
    <row r="77" spans="1:10" ht="11.25" customHeight="1" x14ac:dyDescent="0.2">
      <c r="A77" s="28">
        <v>44621</v>
      </c>
      <c r="B77" s="18">
        <v>5663.22</v>
      </c>
      <c r="C77" s="18">
        <v>6616.3252291287727</v>
      </c>
      <c r="D77" s="18">
        <v>8158.9364999999998</v>
      </c>
      <c r="E77" s="18">
        <v>12631.31127433925</v>
      </c>
      <c r="F77" s="18">
        <v>28623.456000000002</v>
      </c>
      <c r="G77" s="18">
        <v>28633.433826795586</v>
      </c>
      <c r="H77" s="19">
        <v>0.39252051613422423</v>
      </c>
      <c r="I77" s="19">
        <v>3.4858917090874186E-4</v>
      </c>
      <c r="J77" s="19">
        <v>0.12805700071505877</v>
      </c>
    </row>
    <row r="78" spans="1:10" ht="11.25" customHeight="1" x14ac:dyDescent="0.2">
      <c r="A78" s="28">
        <v>44652</v>
      </c>
      <c r="B78" s="18">
        <v>5739.75</v>
      </c>
      <c r="C78" s="18">
        <v>6705.7350295224051</v>
      </c>
      <c r="D78" s="18">
        <v>5553.9283800000003</v>
      </c>
      <c r="E78" s="18">
        <v>8598.3507977009904</v>
      </c>
      <c r="F78" s="18">
        <v>19484.478720000003</v>
      </c>
      <c r="G78" s="18">
        <v>19491.270798282596</v>
      </c>
      <c r="H78" s="19">
        <v>0.35510197052586823</v>
      </c>
      <c r="I78" s="19">
        <v>3.4858917090874186E-4</v>
      </c>
      <c r="J78" s="19">
        <v>0.13052111965163715</v>
      </c>
    </row>
    <row r="79" spans="1:10" ht="11.25" customHeight="1" x14ac:dyDescent="0.2">
      <c r="A79" s="28">
        <v>44682</v>
      </c>
      <c r="B79" s="18">
        <v>5739.75</v>
      </c>
      <c r="C79" s="18">
        <v>6705.7350295224051</v>
      </c>
      <c r="D79" s="18">
        <v>5553.9283800000003</v>
      </c>
      <c r="E79" s="18">
        <v>8598.3507977009904</v>
      </c>
      <c r="F79" s="18">
        <v>19484.478720000003</v>
      </c>
      <c r="G79" s="18">
        <v>19491.270798282596</v>
      </c>
      <c r="H79" s="19">
        <v>0.35510197052586823</v>
      </c>
      <c r="I79" s="19">
        <v>3.4858917090874186E-4</v>
      </c>
      <c r="J79" s="19">
        <v>0.13052111965163715</v>
      </c>
    </row>
    <row r="80" spans="1:10" ht="11.25" customHeight="1" x14ac:dyDescent="0.2">
      <c r="A80" s="27" t="s">
        <v>34</v>
      </c>
      <c r="B80" s="18">
        <v>176004.8</v>
      </c>
      <c r="C80" s="18">
        <v>202319.18896299248</v>
      </c>
      <c r="D80" s="18">
        <v>9487.0632999999998</v>
      </c>
      <c r="E80" s="18">
        <v>14687.459526331662</v>
      </c>
      <c r="F80" s="18">
        <v>53090.530749999991</v>
      </c>
      <c r="G80" s="18">
        <v>54196.549071561822</v>
      </c>
      <c r="H80" s="19">
        <v>0.16989847764025434</v>
      </c>
      <c r="I80" s="19">
        <v>2.083268533837046E-2</v>
      </c>
      <c r="J80" s="19">
        <v>0.13672762250868176</v>
      </c>
    </row>
    <row r="81" spans="1:10" ht="11.25" customHeight="1" x14ac:dyDescent="0.2">
      <c r="A81" s="28">
        <v>44348</v>
      </c>
      <c r="B81" s="18">
        <v>19351.999999999996</v>
      </c>
      <c r="C81" s="18">
        <v>22245.307768946244</v>
      </c>
      <c r="D81" s="18">
        <v>887.48659999999995</v>
      </c>
      <c r="E81" s="18">
        <v>1373.9682244622209</v>
      </c>
      <c r="F81" s="18">
        <v>4966.4614999999994</v>
      </c>
      <c r="G81" s="18">
        <v>5069.926229674631</v>
      </c>
      <c r="H81" s="19">
        <v>0.16698987776737728</v>
      </c>
      <c r="I81" s="19">
        <v>2.083268533837046E-2</v>
      </c>
      <c r="J81" s="19">
        <v>0.13819175177477661</v>
      </c>
    </row>
    <row r="82" spans="1:10" ht="11.25" customHeight="1" x14ac:dyDescent="0.2">
      <c r="A82" s="28">
        <v>44378</v>
      </c>
      <c r="B82" s="18">
        <v>14497.599999999999</v>
      </c>
      <c r="C82" s="18">
        <v>16665.128870973291</v>
      </c>
      <c r="D82" s="18">
        <v>879.68452000000002</v>
      </c>
      <c r="E82" s="18">
        <v>1361.8893829284873</v>
      </c>
      <c r="F82" s="18">
        <v>4922.8002999999999</v>
      </c>
      <c r="G82" s="18">
        <v>5025.3554496335346</v>
      </c>
      <c r="H82" s="19">
        <v>0.17231480177501313</v>
      </c>
      <c r="I82" s="19">
        <v>2.0832685338370238E-2</v>
      </c>
      <c r="J82" s="19">
        <v>0.13558016668106276</v>
      </c>
    </row>
    <row r="83" spans="1:10" ht="11.25" customHeight="1" x14ac:dyDescent="0.2">
      <c r="A83" s="28">
        <v>44409</v>
      </c>
      <c r="B83" s="18">
        <v>14497.599999999999</v>
      </c>
      <c r="C83" s="18">
        <v>16665.128870973291</v>
      </c>
      <c r="D83" s="18">
        <v>872.4144</v>
      </c>
      <c r="E83" s="18">
        <v>1350.6340987720532</v>
      </c>
      <c r="F83" s="18">
        <v>4882.116</v>
      </c>
      <c r="G83" s="18">
        <v>4983.8235864134222</v>
      </c>
      <c r="H83" s="19">
        <v>0.17213702608797465</v>
      </c>
      <c r="I83" s="19">
        <v>2.0832685338370016E-2</v>
      </c>
      <c r="J83" s="19">
        <v>0.13566257484490474</v>
      </c>
    </row>
    <row r="84" spans="1:10" ht="11.25" customHeight="1" x14ac:dyDescent="0.2">
      <c r="A84" s="28">
        <v>44440</v>
      </c>
      <c r="B84" s="18">
        <v>14103.999999999998</v>
      </c>
      <c r="C84" s="18">
        <v>16212.681933299806</v>
      </c>
      <c r="D84" s="18">
        <v>759.72754000000009</v>
      </c>
      <c r="E84" s="18">
        <v>1176.17719434733</v>
      </c>
      <c r="F84" s="18">
        <v>4251.5093500000003</v>
      </c>
      <c r="G84" s="18">
        <v>4340.0797065016895</v>
      </c>
      <c r="H84" s="19">
        <v>0.16988548672274284</v>
      </c>
      <c r="I84" s="19">
        <v>2.0832685338370238E-2</v>
      </c>
      <c r="J84" s="19">
        <v>0.13673395517876963</v>
      </c>
    </row>
    <row r="85" spans="1:10" ht="11.25" customHeight="1" x14ac:dyDescent="0.2">
      <c r="A85" s="28">
        <v>44470</v>
      </c>
      <c r="B85" s="18">
        <v>14103.999999999998</v>
      </c>
      <c r="C85" s="18">
        <v>16212.681933299806</v>
      </c>
      <c r="D85" s="18">
        <v>683.39127999999994</v>
      </c>
      <c r="E85" s="18">
        <v>1057.9967107047751</v>
      </c>
      <c r="F85" s="18">
        <v>3824.3242</v>
      </c>
      <c r="G85" s="18">
        <v>3903.9951426905145</v>
      </c>
      <c r="H85" s="19">
        <v>0.167932755479544</v>
      </c>
      <c r="I85" s="19">
        <v>2.0832685338370238E-2</v>
      </c>
      <c r="J85" s="19">
        <v>0.13770672077215185</v>
      </c>
    </row>
    <row r="86" spans="1:10" ht="11.25" customHeight="1" x14ac:dyDescent="0.2">
      <c r="A86" s="28">
        <v>44501</v>
      </c>
      <c r="B86" s="18">
        <v>14103.999999999998</v>
      </c>
      <c r="C86" s="18">
        <v>16212.681933299806</v>
      </c>
      <c r="D86" s="18">
        <v>737.91718000000003</v>
      </c>
      <c r="E86" s="18">
        <v>1142.4113418780285</v>
      </c>
      <c r="F86" s="18">
        <v>4129.4564499999997</v>
      </c>
      <c r="G86" s="18">
        <v>4215.4841168413541</v>
      </c>
      <c r="H86" s="19">
        <v>0.16932961319609219</v>
      </c>
      <c r="I86" s="19">
        <v>2.083268533837046E-2</v>
      </c>
      <c r="J86" s="19">
        <v>0.13700661916799706</v>
      </c>
    </row>
    <row r="87" spans="1:10" ht="11.25" customHeight="1" x14ac:dyDescent="0.2">
      <c r="A87" s="28">
        <v>44531</v>
      </c>
      <c r="B87" s="18">
        <v>14103.999999999998</v>
      </c>
      <c r="C87" s="18">
        <v>16212.681933299806</v>
      </c>
      <c r="D87" s="18">
        <v>701.56658000000004</v>
      </c>
      <c r="E87" s="18">
        <v>1086.1349210958597</v>
      </c>
      <c r="F87" s="18">
        <v>3926.0349499999998</v>
      </c>
      <c r="G87" s="18">
        <v>4007.8248007407942</v>
      </c>
      <c r="H87" s="19">
        <v>0.16839951790589724</v>
      </c>
      <c r="I87" s="19">
        <v>2.0832685338370238E-2</v>
      </c>
      <c r="J87" s="19">
        <v>0.13747036637589938</v>
      </c>
    </row>
    <row r="88" spans="1:10" ht="11.25" customHeight="1" x14ac:dyDescent="0.2">
      <c r="A88" s="28">
        <v>44562</v>
      </c>
      <c r="B88" s="18">
        <v>14103.999999999998</v>
      </c>
      <c r="C88" s="18">
        <v>16212.681933299806</v>
      </c>
      <c r="D88" s="18">
        <v>827.55243999999993</v>
      </c>
      <c r="E88" s="18">
        <v>1281.1807599530839</v>
      </c>
      <c r="F88" s="18">
        <v>4631.0640999999996</v>
      </c>
      <c r="G88" s="18">
        <v>4727.5416011771231</v>
      </c>
      <c r="H88" s="19">
        <v>0.17160374070607309</v>
      </c>
      <c r="I88" s="19">
        <v>2.083268533837046E-2</v>
      </c>
      <c r="J88" s="19">
        <v>0.13591166340113814</v>
      </c>
    </row>
    <row r="89" spans="1:10" ht="11.25" customHeight="1" x14ac:dyDescent="0.2">
      <c r="A89" s="28">
        <v>44593</v>
      </c>
      <c r="B89" s="18">
        <v>14103.999999999998</v>
      </c>
      <c r="C89" s="18">
        <v>16212.681933299806</v>
      </c>
      <c r="D89" s="18">
        <v>692.61192000000005</v>
      </c>
      <c r="E89" s="18">
        <v>1072.2717052446424</v>
      </c>
      <c r="F89" s="18">
        <v>3875.9238</v>
      </c>
      <c r="G89" s="18">
        <v>3956.6697009209006</v>
      </c>
      <c r="H89" s="19">
        <v>0.16816969533282533</v>
      </c>
      <c r="I89" s="19">
        <v>2.0832685338370238E-2</v>
      </c>
      <c r="J89" s="19">
        <v>0.13758643485756594</v>
      </c>
    </row>
    <row r="90" spans="1:10" ht="11.25" customHeight="1" x14ac:dyDescent="0.2">
      <c r="A90" s="28">
        <v>44621</v>
      </c>
      <c r="B90" s="18">
        <v>14169.599999999999</v>
      </c>
      <c r="C90" s="18">
        <v>16288.089756245387</v>
      </c>
      <c r="D90" s="18">
        <v>916.56707999999992</v>
      </c>
      <c r="E90" s="18">
        <v>1418.989361087956</v>
      </c>
      <c r="F90" s="18">
        <v>5129.198699999999</v>
      </c>
      <c r="G90" s="18">
        <v>5236.0536825550771</v>
      </c>
      <c r="H90" s="19">
        <v>0.17372948499343699</v>
      </c>
      <c r="I90" s="19">
        <v>2.0832685338370238E-2</v>
      </c>
      <c r="J90" s="19">
        <v>0.13493532838209266</v>
      </c>
    </row>
    <row r="91" spans="1:10" ht="11.25" customHeight="1" x14ac:dyDescent="0.2">
      <c r="A91" s="28">
        <v>44652</v>
      </c>
      <c r="B91" s="18">
        <v>14431.999999999998</v>
      </c>
      <c r="C91" s="18">
        <v>16589.72104802771</v>
      </c>
      <c r="D91" s="18">
        <v>764.07187999999996</v>
      </c>
      <c r="E91" s="18">
        <v>1182.9029129286134</v>
      </c>
      <c r="F91" s="18">
        <v>4275.8207000000002</v>
      </c>
      <c r="G91" s="18">
        <v>4364.8975272063899</v>
      </c>
      <c r="H91" s="19">
        <v>0.16955382294205923</v>
      </c>
      <c r="I91" s="19">
        <v>2.0832685338370238E-2</v>
      </c>
      <c r="J91" s="19">
        <v>0.13689624145218637</v>
      </c>
    </row>
    <row r="92" spans="1:10" ht="11.25" customHeight="1" x14ac:dyDescent="0.2">
      <c r="A92" s="28">
        <v>44682</v>
      </c>
      <c r="B92" s="18">
        <v>14431.999999999998</v>
      </c>
      <c r="C92" s="18">
        <v>16589.72104802771</v>
      </c>
      <c r="D92" s="18">
        <v>764.07187999999996</v>
      </c>
      <c r="E92" s="18">
        <v>1182.9029129286134</v>
      </c>
      <c r="F92" s="18">
        <v>4275.8207000000002</v>
      </c>
      <c r="G92" s="18">
        <v>4364.8975272063899</v>
      </c>
      <c r="H92" s="19">
        <v>0.16955382294205923</v>
      </c>
      <c r="I92" s="19">
        <v>2.0832685338370238E-2</v>
      </c>
      <c r="J92" s="19">
        <v>0.13689624145218637</v>
      </c>
    </row>
    <row r="93" spans="1:10" ht="11.25" customHeight="1" x14ac:dyDescent="0.2">
      <c r="A93" s="23" t="s">
        <v>46</v>
      </c>
      <c r="B93" s="18">
        <v>539028.21999999986</v>
      </c>
      <c r="C93" s="18">
        <v>622628.89171204739</v>
      </c>
      <c r="D93" s="18">
        <v>167861.66254000002</v>
      </c>
      <c r="E93" s="18">
        <v>259876.13833872011</v>
      </c>
      <c r="F93" s="18">
        <v>631430.48134999978</v>
      </c>
      <c r="G93" s="18">
        <v>633985.77587450563</v>
      </c>
      <c r="H93" s="19">
        <v>0.24843352811861807</v>
      </c>
      <c r="I93" s="19">
        <v>4.0468342913106969E-3</v>
      </c>
      <c r="J93" s="19">
        <v>0.13312988940659798</v>
      </c>
    </row>
    <row r="94" spans="1:10" ht="11.25" customHeight="1" x14ac:dyDescent="0.2">
      <c r="A94" s="24" t="s">
        <v>25</v>
      </c>
      <c r="B94" s="18">
        <v>539028.21999999986</v>
      </c>
      <c r="C94" s="18">
        <v>622628.89171204739</v>
      </c>
      <c r="D94" s="18">
        <v>167861.66254000002</v>
      </c>
      <c r="E94" s="18">
        <v>259876.13833872011</v>
      </c>
      <c r="F94" s="18">
        <v>631430.48134999978</v>
      </c>
      <c r="G94" s="18">
        <v>633985.77587450563</v>
      </c>
      <c r="H94" s="19">
        <v>0.24843352811861807</v>
      </c>
      <c r="I94" s="19">
        <v>4.0468342913106969E-3</v>
      </c>
      <c r="J94" s="19">
        <v>0.13312988940659798</v>
      </c>
    </row>
    <row r="95" spans="1:10" ht="11.25" customHeight="1" x14ac:dyDescent="0.2">
      <c r="A95" s="25" t="s">
        <v>25</v>
      </c>
      <c r="B95" s="18">
        <v>539028.21999999986</v>
      </c>
      <c r="C95" s="18">
        <v>622628.89171204739</v>
      </c>
      <c r="D95" s="18">
        <v>167861.66254000002</v>
      </c>
      <c r="E95" s="18">
        <v>259876.13833872011</v>
      </c>
      <c r="F95" s="18">
        <v>631430.48134999978</v>
      </c>
      <c r="G95" s="18">
        <v>633985.77587450563</v>
      </c>
      <c r="H95" s="19">
        <v>0.24843352811861807</v>
      </c>
      <c r="I95" s="19">
        <v>4.0468342913106969E-3</v>
      </c>
      <c r="J95" s="19">
        <v>0.13312988940659798</v>
      </c>
    </row>
    <row r="96" spans="1:10" ht="11.25" customHeight="1" x14ac:dyDescent="0.2">
      <c r="A96" s="26" t="s">
        <v>25</v>
      </c>
      <c r="B96" s="18">
        <v>539028.21999999986</v>
      </c>
      <c r="C96" s="18">
        <v>622628.89171204739</v>
      </c>
      <c r="D96" s="18">
        <v>167861.66254000002</v>
      </c>
      <c r="E96" s="18">
        <v>259876.13833872011</v>
      </c>
      <c r="F96" s="18">
        <v>631430.48134999978</v>
      </c>
      <c r="G96" s="18">
        <v>633985.77587450563</v>
      </c>
      <c r="H96" s="19">
        <v>0.24843352811861807</v>
      </c>
      <c r="I96" s="19">
        <v>4.0468342913106969E-3</v>
      </c>
      <c r="J96" s="19">
        <v>0.13312988940659798</v>
      </c>
    </row>
    <row r="97" spans="1:10" ht="11.25" customHeight="1" x14ac:dyDescent="0.2">
      <c r="A97" s="27" t="s">
        <v>35</v>
      </c>
      <c r="B97" s="18">
        <v>160253.81999999998</v>
      </c>
      <c r="C97" s="18">
        <v>187224.12202426555</v>
      </c>
      <c r="D97" s="18">
        <v>147490.34299999999</v>
      </c>
      <c r="E97" s="18">
        <v>228338.14583457823</v>
      </c>
      <c r="F97" s="18">
        <v>517430.592</v>
      </c>
      <c r="G97" s="18">
        <v>517610.96270106803</v>
      </c>
      <c r="H97" s="19">
        <v>0.35034979642763786</v>
      </c>
      <c r="I97" s="19">
        <v>3.4858917090896391E-4</v>
      </c>
      <c r="J97" s="19">
        <v>0.1308795196478254</v>
      </c>
    </row>
    <row r="98" spans="1:10" ht="11.25" customHeight="1" x14ac:dyDescent="0.2">
      <c r="A98" s="28">
        <v>44348</v>
      </c>
      <c r="B98" s="18">
        <v>13239.69</v>
      </c>
      <c r="C98" s="18">
        <v>15467.895468098348</v>
      </c>
      <c r="D98" s="18">
        <v>8672.277900000001</v>
      </c>
      <c r="E98" s="18">
        <v>13426.044143433781</v>
      </c>
      <c r="F98" s="18">
        <v>30424.3776</v>
      </c>
      <c r="G98" s="18">
        <v>30434.983208563004</v>
      </c>
      <c r="H98" s="19">
        <v>0.31863736490468875</v>
      </c>
      <c r="I98" s="19">
        <v>3.4858917090896391E-4</v>
      </c>
      <c r="J98" s="19">
        <v>0.13360843699136637</v>
      </c>
    </row>
    <row r="99" spans="1:10" ht="11.25" customHeight="1" x14ac:dyDescent="0.2">
      <c r="A99" s="28">
        <v>44378</v>
      </c>
      <c r="B99" s="18">
        <v>13239.69</v>
      </c>
      <c r="C99" s="18">
        <v>15467.895468098348</v>
      </c>
      <c r="D99" s="18">
        <v>9852.0765199999987</v>
      </c>
      <c r="E99" s="18">
        <v>15252.557146722369</v>
      </c>
      <c r="F99" s="18">
        <v>34563.386880000005</v>
      </c>
      <c r="G99" s="18">
        <v>34575.435302376296</v>
      </c>
      <c r="H99" s="19">
        <v>0.33036390213860178</v>
      </c>
      <c r="I99" s="19">
        <v>3.4858917090851982E-4</v>
      </c>
      <c r="J99" s="19">
        <v>0.13252474525888625</v>
      </c>
    </row>
    <row r="100" spans="1:10" ht="11.25" customHeight="1" x14ac:dyDescent="0.2">
      <c r="A100" s="28">
        <v>44409</v>
      </c>
      <c r="B100" s="18">
        <v>13239.69</v>
      </c>
      <c r="C100" s="18">
        <v>15467.895468098348</v>
      </c>
      <c r="D100" s="18">
        <v>10529.970879999999</v>
      </c>
      <c r="E100" s="18">
        <v>16302.043764528378</v>
      </c>
      <c r="F100" s="18">
        <v>36941.598720000002</v>
      </c>
      <c r="G100" s="18">
        <v>36954.476161269849</v>
      </c>
      <c r="H100" s="19">
        <v>0.3365751994955144</v>
      </c>
      <c r="I100" s="19">
        <v>3.4858917090874186E-4</v>
      </c>
      <c r="J100" s="19">
        <v>0.13198796807530866</v>
      </c>
    </row>
    <row r="101" spans="1:10" ht="11.25" customHeight="1" x14ac:dyDescent="0.2">
      <c r="A101" s="28">
        <v>44440</v>
      </c>
      <c r="B101" s="18">
        <v>13239.69</v>
      </c>
      <c r="C101" s="18">
        <v>15467.895468098348</v>
      </c>
      <c r="D101" s="18">
        <v>11817.491399999999</v>
      </c>
      <c r="E101" s="18">
        <v>18295.327136720221</v>
      </c>
      <c r="F101" s="18">
        <v>41458.521600000007</v>
      </c>
      <c r="G101" s="18">
        <v>41472.973591671645</v>
      </c>
      <c r="H101" s="19">
        <v>0.34744694807607401</v>
      </c>
      <c r="I101" s="19">
        <v>3.4858917090851982E-4</v>
      </c>
      <c r="J101" s="19">
        <v>0.13110427768447708</v>
      </c>
    </row>
    <row r="102" spans="1:10" ht="11.25" customHeight="1" x14ac:dyDescent="0.2">
      <c r="A102" s="28">
        <v>44470</v>
      </c>
      <c r="B102" s="18">
        <v>13239.69</v>
      </c>
      <c r="C102" s="18">
        <v>15467.895468098348</v>
      </c>
      <c r="D102" s="18">
        <v>12194.296399999999</v>
      </c>
      <c r="E102" s="18">
        <v>18878.680278974414</v>
      </c>
      <c r="F102" s="18">
        <v>42780.441600000006</v>
      </c>
      <c r="G102" s="18">
        <v>42795.354398668453</v>
      </c>
      <c r="H102" s="19">
        <v>0.35042046523516102</v>
      </c>
      <c r="I102" s="19">
        <v>3.4858917090851982E-4</v>
      </c>
      <c r="J102" s="19">
        <v>0.13087410402006427</v>
      </c>
    </row>
    <row r="103" spans="1:10" ht="11.25" customHeight="1" x14ac:dyDescent="0.2">
      <c r="A103" s="28">
        <v>44501</v>
      </c>
      <c r="B103" s="18">
        <v>13239.69</v>
      </c>
      <c r="C103" s="18">
        <v>15467.895468098348</v>
      </c>
      <c r="D103" s="18">
        <v>11945.69376</v>
      </c>
      <c r="E103" s="18">
        <v>18493.804464649533</v>
      </c>
      <c r="F103" s="18">
        <v>41908.285440000007</v>
      </c>
      <c r="G103" s="18">
        <v>41922.894214475738</v>
      </c>
      <c r="H103" s="19">
        <v>0.34846862991568273</v>
      </c>
      <c r="I103" s="19">
        <v>3.4858917090851982E-4</v>
      </c>
      <c r="J103" s="19">
        <v>0.13102465630577886</v>
      </c>
    </row>
    <row r="104" spans="1:10" ht="11.25" customHeight="1" x14ac:dyDescent="0.2">
      <c r="A104" s="28">
        <v>44531</v>
      </c>
      <c r="B104" s="18">
        <v>13239.69</v>
      </c>
      <c r="C104" s="18">
        <v>15467.895468098348</v>
      </c>
      <c r="D104" s="18">
        <v>13427.02504</v>
      </c>
      <c r="E104" s="18">
        <v>20787.137241304357</v>
      </c>
      <c r="F104" s="18">
        <v>47105.141760000006</v>
      </c>
      <c r="G104" s="18">
        <v>47121.562102311662</v>
      </c>
      <c r="H104" s="19">
        <v>0.3595612603584748</v>
      </c>
      <c r="I104" s="19">
        <v>3.4858917090874186E-4</v>
      </c>
      <c r="J104" s="19">
        <v>0.1301951506758654</v>
      </c>
    </row>
    <row r="105" spans="1:10" ht="11.25" customHeight="1" x14ac:dyDescent="0.2">
      <c r="A105" s="28">
        <v>44562</v>
      </c>
      <c r="B105" s="18">
        <v>13239.69</v>
      </c>
      <c r="C105" s="18">
        <v>15467.895468098348</v>
      </c>
      <c r="D105" s="18">
        <v>14116.001899999999</v>
      </c>
      <c r="E105" s="18">
        <v>21853.78130447078</v>
      </c>
      <c r="F105" s="18">
        <v>49522.2336</v>
      </c>
      <c r="G105" s="18">
        <v>49539.496514352177</v>
      </c>
      <c r="H105" s="19">
        <v>0.36431119742831775</v>
      </c>
      <c r="I105" s="19">
        <v>3.4858917090874186E-4</v>
      </c>
      <c r="J105" s="19">
        <v>0.12985844404609126</v>
      </c>
    </row>
    <row r="106" spans="1:10" ht="11.25" customHeight="1" x14ac:dyDescent="0.2">
      <c r="A106" s="28">
        <v>44593</v>
      </c>
      <c r="B106" s="18">
        <v>13239.69</v>
      </c>
      <c r="C106" s="18">
        <v>15467.895468098348</v>
      </c>
      <c r="D106" s="18">
        <v>12530.49512</v>
      </c>
      <c r="E106" s="18">
        <v>19399.168541428036</v>
      </c>
      <c r="F106" s="18">
        <v>43959.905280000006</v>
      </c>
      <c r="G106" s="18">
        <v>43975.229226934782</v>
      </c>
      <c r="H106" s="19">
        <v>0.35300013745211234</v>
      </c>
      <c r="I106" s="19">
        <v>3.4858917090851982E-4</v>
      </c>
      <c r="J106" s="19">
        <v>0.13067820196689639</v>
      </c>
    </row>
    <row r="107" spans="1:10" ht="11.25" customHeight="1" x14ac:dyDescent="0.2">
      <c r="A107" s="28">
        <v>44621</v>
      </c>
      <c r="B107" s="18">
        <v>13239.69</v>
      </c>
      <c r="C107" s="18">
        <v>15467.895468098348</v>
      </c>
      <c r="D107" s="18">
        <v>15032.834959999998</v>
      </c>
      <c r="E107" s="18">
        <v>23273.182444247388</v>
      </c>
      <c r="F107" s="18">
        <v>52738.698240000005</v>
      </c>
      <c r="G107" s="18">
        <v>52757.082379094289</v>
      </c>
      <c r="H107" s="19">
        <v>0.37027301124171452</v>
      </c>
      <c r="I107" s="19">
        <v>3.4858917090874186E-4</v>
      </c>
      <c r="J107" s="19">
        <v>0.12945042275870766</v>
      </c>
    </row>
    <row r="108" spans="1:10" ht="11.25" customHeight="1" x14ac:dyDescent="0.2">
      <c r="A108" s="28">
        <v>44652</v>
      </c>
      <c r="B108" s="18">
        <v>13928.460000000001</v>
      </c>
      <c r="C108" s="18">
        <v>16272.583671641036</v>
      </c>
      <c r="D108" s="18">
        <v>13686.08956</v>
      </c>
      <c r="E108" s="18">
        <v>21188.209684049471</v>
      </c>
      <c r="F108" s="18">
        <v>48014.000640000006</v>
      </c>
      <c r="G108" s="18">
        <v>48030.73780067511</v>
      </c>
      <c r="H108" s="19">
        <v>0.35656000016574252</v>
      </c>
      <c r="I108" s="19">
        <v>3.4858917090851982E-4</v>
      </c>
      <c r="J108" s="19">
        <v>0.13041346066112491</v>
      </c>
    </row>
    <row r="109" spans="1:10" ht="11.25" customHeight="1" x14ac:dyDescent="0.2">
      <c r="A109" s="28">
        <v>44682</v>
      </c>
      <c r="B109" s="18">
        <v>13928.460000000001</v>
      </c>
      <c r="C109" s="18">
        <v>16272.583671641036</v>
      </c>
      <c r="D109" s="18">
        <v>13686.08956</v>
      </c>
      <c r="E109" s="18">
        <v>21188.209684049471</v>
      </c>
      <c r="F109" s="18">
        <v>48014.000640000006</v>
      </c>
      <c r="G109" s="18">
        <v>48030.73780067511</v>
      </c>
      <c r="H109" s="19">
        <v>0.35656000016574252</v>
      </c>
      <c r="I109" s="19">
        <v>3.4858917090851982E-4</v>
      </c>
      <c r="J109" s="19">
        <v>0.13041346066112491</v>
      </c>
    </row>
    <row r="110" spans="1:10" ht="11.25" customHeight="1" x14ac:dyDescent="0.2">
      <c r="A110" s="27" t="s">
        <v>34</v>
      </c>
      <c r="B110" s="18">
        <v>378774.39999999997</v>
      </c>
      <c r="C110" s="18">
        <v>435404.76968778175</v>
      </c>
      <c r="D110" s="18">
        <v>20371.31954</v>
      </c>
      <c r="E110" s="18">
        <v>31537.992504141865</v>
      </c>
      <c r="F110" s="18">
        <v>113999.88935</v>
      </c>
      <c r="G110" s="18">
        <v>116374.81317343758</v>
      </c>
      <c r="H110" s="19">
        <v>0.16985536693230063</v>
      </c>
      <c r="I110" s="19">
        <v>2.0832685338370238E-2</v>
      </c>
      <c r="J110" s="19">
        <v>0.13674864455559188</v>
      </c>
    </row>
    <row r="111" spans="1:10" ht="11.25" customHeight="1" x14ac:dyDescent="0.2">
      <c r="A111" s="28">
        <v>44348</v>
      </c>
      <c r="B111" s="18">
        <v>31094.400000000001</v>
      </c>
      <c r="C111" s="18">
        <v>35743.308076205154</v>
      </c>
      <c r="D111" s="18">
        <v>1551.5499999999997</v>
      </c>
      <c r="E111" s="18">
        <v>2402.0423504584282</v>
      </c>
      <c r="F111" s="18">
        <v>8682.625</v>
      </c>
      <c r="G111" s="18">
        <v>8863.5073945360673</v>
      </c>
      <c r="H111" s="19">
        <v>0.16845582458662034</v>
      </c>
      <c r="I111" s="19">
        <v>2.0832685338370238E-2</v>
      </c>
      <c r="J111" s="19">
        <v>0.13744201974540982</v>
      </c>
    </row>
    <row r="112" spans="1:10" ht="11.25" customHeight="1" x14ac:dyDescent="0.2">
      <c r="A112" s="28">
        <v>44378</v>
      </c>
      <c r="B112" s="18">
        <v>31488</v>
      </c>
      <c r="C112" s="18">
        <v>36195.755013878639</v>
      </c>
      <c r="D112" s="18">
        <v>1706.9709799999998</v>
      </c>
      <c r="E112" s="18">
        <v>2642.658364192921</v>
      </c>
      <c r="F112" s="18">
        <v>9552.3759499999996</v>
      </c>
      <c r="G112" s="18">
        <v>9751.3775924001657</v>
      </c>
      <c r="H112" s="19">
        <v>0.17000895712400976</v>
      </c>
      <c r="I112" s="19">
        <v>2.0832685338370238E-2</v>
      </c>
      <c r="J112" s="19">
        <v>0.13667383966632829</v>
      </c>
    </row>
    <row r="113" spans="1:10" ht="11.25" customHeight="1" x14ac:dyDescent="0.2">
      <c r="A113" s="28">
        <v>44409</v>
      </c>
      <c r="B113" s="18">
        <v>32078.400000000001</v>
      </c>
      <c r="C113" s="18">
        <v>36874.425420388863</v>
      </c>
      <c r="D113" s="18">
        <v>1711.7586199999998</v>
      </c>
      <c r="E113" s="18">
        <v>2650.0703805886214</v>
      </c>
      <c r="F113" s="18">
        <v>9579.1680500000002</v>
      </c>
      <c r="G113" s="18">
        <v>9778.72784378902</v>
      </c>
      <c r="H113" s="19">
        <v>0.16970435816727414</v>
      </c>
      <c r="I113" s="19">
        <v>2.0832685338370238E-2</v>
      </c>
      <c r="J113" s="19">
        <v>0.13682243720124831</v>
      </c>
    </row>
    <row r="114" spans="1:10" ht="11.25" customHeight="1" x14ac:dyDescent="0.2">
      <c r="A114" s="28">
        <v>44440</v>
      </c>
      <c r="B114" s="18">
        <v>31619.199999999997</v>
      </c>
      <c r="C114" s="18">
        <v>36346.570659769801</v>
      </c>
      <c r="D114" s="18">
        <v>1640.4759800000002</v>
      </c>
      <c r="E114" s="18">
        <v>2539.7136920304174</v>
      </c>
      <c r="F114" s="18">
        <v>9180.2634500000004</v>
      </c>
      <c r="G114" s="18">
        <v>9371.5129897771913</v>
      </c>
      <c r="H114" s="19">
        <v>0.16917207417124747</v>
      </c>
      <c r="I114" s="19">
        <v>2.0832685338370238E-2</v>
      </c>
      <c r="J114" s="19">
        <v>0.13708450081964241</v>
      </c>
    </row>
    <row r="115" spans="1:10" ht="11.25" customHeight="1" x14ac:dyDescent="0.2">
      <c r="A115" s="28">
        <v>44470</v>
      </c>
      <c r="B115" s="18">
        <v>31291.199999999997</v>
      </c>
      <c r="C115" s="18">
        <v>35969.531545041893</v>
      </c>
      <c r="D115" s="18">
        <v>1628.5955399999998</v>
      </c>
      <c r="E115" s="18">
        <v>2521.3209106040495</v>
      </c>
      <c r="F115" s="18">
        <v>9113.7793499999989</v>
      </c>
      <c r="G115" s="18">
        <v>9303.6438474418865</v>
      </c>
      <c r="H115" s="19">
        <v>0.16923121253522666</v>
      </c>
      <c r="I115" s="19">
        <v>2.083268533837046E-2</v>
      </c>
      <c r="J115" s="19">
        <v>0.13705523330251856</v>
      </c>
    </row>
    <row r="116" spans="1:10" ht="11.25" customHeight="1" x14ac:dyDescent="0.2">
      <c r="A116" s="28">
        <v>44501</v>
      </c>
      <c r="B116" s="18">
        <v>31684.799999999999</v>
      </c>
      <c r="C116" s="18">
        <v>36421.978482715378</v>
      </c>
      <c r="D116" s="18">
        <v>1618.7542799999999</v>
      </c>
      <c r="E116" s="18">
        <v>2506.085099123999</v>
      </c>
      <c r="F116" s="18">
        <v>9058.7066999999988</v>
      </c>
      <c r="G116" s="18">
        <v>9247.4238862536859</v>
      </c>
      <c r="H116" s="19">
        <v>0.16888615715161381</v>
      </c>
      <c r="I116" s="19">
        <v>2.0832685338370238E-2</v>
      </c>
      <c r="J116" s="19">
        <v>0.13722653969856813</v>
      </c>
    </row>
    <row r="117" spans="1:10" ht="11.25" customHeight="1" x14ac:dyDescent="0.2">
      <c r="A117" s="28">
        <v>44531</v>
      </c>
      <c r="B117" s="18">
        <v>31553.599999999999</v>
      </c>
      <c r="C117" s="18">
        <v>36271.162836824216</v>
      </c>
      <c r="D117" s="18">
        <v>1904.6827800000001</v>
      </c>
      <c r="E117" s="18">
        <v>2948.7471894227665</v>
      </c>
      <c r="F117" s="18">
        <v>10658.79045</v>
      </c>
      <c r="G117" s="18">
        <v>10880.841677532475</v>
      </c>
      <c r="H117" s="19">
        <v>0.17220331611552542</v>
      </c>
      <c r="I117" s="19">
        <v>2.0832685338370016E-2</v>
      </c>
      <c r="J117" s="19">
        <v>0.13563180953967935</v>
      </c>
    </row>
    <row r="118" spans="1:10" ht="11.25" customHeight="1" x14ac:dyDescent="0.2">
      <c r="A118" s="28">
        <v>44562</v>
      </c>
      <c r="B118" s="18">
        <v>31356.799999999999</v>
      </c>
      <c r="C118" s="18">
        <v>36044.939367987477</v>
      </c>
      <c r="D118" s="18">
        <v>1736.49476</v>
      </c>
      <c r="E118" s="18">
        <v>2688.3657986330727</v>
      </c>
      <c r="F118" s="18">
        <v>9717.5938999999998</v>
      </c>
      <c r="G118" s="18">
        <v>9920.0374759647657</v>
      </c>
      <c r="H118" s="19">
        <v>0.17042758805139147</v>
      </c>
      <c r="I118" s="19">
        <v>2.0832685338370238E-2</v>
      </c>
      <c r="J118" s="19">
        <v>0.13647121481138913</v>
      </c>
    </row>
    <row r="119" spans="1:10" ht="11.25" customHeight="1" x14ac:dyDescent="0.2">
      <c r="A119" s="28">
        <v>44593</v>
      </c>
      <c r="B119" s="18">
        <v>31160</v>
      </c>
      <c r="C119" s="18">
        <v>35818.715899150731</v>
      </c>
      <c r="D119" s="18">
        <v>1638.61412</v>
      </c>
      <c r="E119" s="18">
        <v>2536.8312412098671</v>
      </c>
      <c r="F119" s="18">
        <v>9169.8443000000007</v>
      </c>
      <c r="G119" s="18">
        <v>9360.876780903749</v>
      </c>
      <c r="H119" s="19">
        <v>0.1694258483004647</v>
      </c>
      <c r="I119" s="19">
        <v>2.0832685338370238E-2</v>
      </c>
      <c r="J119" s="19">
        <v>0.13695917643058264</v>
      </c>
    </row>
    <row r="120" spans="1:10" ht="11.25" customHeight="1" x14ac:dyDescent="0.2">
      <c r="A120" s="28">
        <v>44621</v>
      </c>
      <c r="B120" s="18">
        <v>31684.799999999999</v>
      </c>
      <c r="C120" s="18">
        <v>36421.978482715378</v>
      </c>
      <c r="D120" s="18">
        <v>1903.8848399999999</v>
      </c>
      <c r="E120" s="18">
        <v>2947.5118533568166</v>
      </c>
      <c r="F120" s="18">
        <v>10654.325099999998</v>
      </c>
      <c r="G120" s="18">
        <v>10876.283302301001</v>
      </c>
      <c r="H120" s="19">
        <v>0.17210574107349275</v>
      </c>
      <c r="I120" s="19">
        <v>2.083268533837046E-2</v>
      </c>
      <c r="J120" s="19">
        <v>0.13567710936741917</v>
      </c>
    </row>
    <row r="121" spans="1:10" ht="11.25" customHeight="1" x14ac:dyDescent="0.2">
      <c r="A121" s="28">
        <v>44652</v>
      </c>
      <c r="B121" s="18">
        <v>31881.599999999999</v>
      </c>
      <c r="C121" s="18">
        <v>36648.201951552124</v>
      </c>
      <c r="D121" s="18">
        <v>1664.7688199999998</v>
      </c>
      <c r="E121" s="18">
        <v>2577.3228122604514</v>
      </c>
      <c r="F121" s="18">
        <v>9316.2085499999994</v>
      </c>
      <c r="G121" s="18">
        <v>9510.2901912687848</v>
      </c>
      <c r="H121" s="19">
        <v>0.16929271761975984</v>
      </c>
      <c r="I121" s="19">
        <v>2.0832685338370238E-2</v>
      </c>
      <c r="J121" s="19">
        <v>0.13702483484327521</v>
      </c>
    </row>
    <row r="122" spans="1:10" ht="11.25" customHeight="1" x14ac:dyDescent="0.2">
      <c r="A122" s="28">
        <v>44682</v>
      </c>
      <c r="B122" s="18">
        <v>31881.599999999999</v>
      </c>
      <c r="C122" s="18">
        <v>36648.201951552124</v>
      </c>
      <c r="D122" s="18">
        <v>1664.7688199999998</v>
      </c>
      <c r="E122" s="18">
        <v>2577.3228122604514</v>
      </c>
      <c r="F122" s="18">
        <v>9316.2085499999994</v>
      </c>
      <c r="G122" s="18">
        <v>9510.2901912687848</v>
      </c>
      <c r="H122" s="19">
        <v>0.16929271761975984</v>
      </c>
      <c r="I122" s="19">
        <v>2.0832685338370238E-2</v>
      </c>
      <c r="J122" s="19">
        <v>0.13702483484327521</v>
      </c>
    </row>
    <row r="123" spans="1:10" ht="11.25" customHeight="1" x14ac:dyDescent="0.2">
      <c r="A123" s="23" t="s">
        <v>45</v>
      </c>
      <c r="B123" s="18">
        <v>52982.726399999992</v>
      </c>
      <c r="C123" s="18">
        <v>61370.697014133235</v>
      </c>
      <c r="D123" s="18">
        <v>35168.854406400002</v>
      </c>
      <c r="E123" s="18">
        <v>54446.893558879368</v>
      </c>
      <c r="F123" s="18">
        <v>128177.0121312</v>
      </c>
      <c r="G123" s="18">
        <v>128485.03517708143</v>
      </c>
      <c r="H123" s="19">
        <v>0.31384587222971283</v>
      </c>
      <c r="I123" s="19">
        <v>2.4031067721108634E-3</v>
      </c>
      <c r="J123" s="19">
        <v>0.12931269247687083</v>
      </c>
    </row>
    <row r="124" spans="1:10" ht="11.25" customHeight="1" x14ac:dyDescent="0.2">
      <c r="A124" s="24" t="s">
        <v>25</v>
      </c>
      <c r="B124" s="18">
        <v>52982.726399999992</v>
      </c>
      <c r="C124" s="18">
        <v>61370.697014133235</v>
      </c>
      <c r="D124" s="18">
        <v>35168.854406400002</v>
      </c>
      <c r="E124" s="18">
        <v>54446.893558879368</v>
      </c>
      <c r="F124" s="18">
        <v>128177.0121312</v>
      </c>
      <c r="G124" s="18">
        <v>128485.03517708143</v>
      </c>
      <c r="H124" s="19">
        <v>0.31384587222971283</v>
      </c>
      <c r="I124" s="19">
        <v>2.4031067721108634E-3</v>
      </c>
      <c r="J124" s="19">
        <v>0.12931269247687083</v>
      </c>
    </row>
    <row r="125" spans="1:10" ht="11.25" customHeight="1" x14ac:dyDescent="0.2">
      <c r="A125" s="25" t="s">
        <v>25</v>
      </c>
      <c r="B125" s="18">
        <v>52982.726399999992</v>
      </c>
      <c r="C125" s="18">
        <v>61370.697014133235</v>
      </c>
      <c r="D125" s="18">
        <v>35168.854406400002</v>
      </c>
      <c r="E125" s="18">
        <v>54446.893558879368</v>
      </c>
      <c r="F125" s="18">
        <v>128177.0121312</v>
      </c>
      <c r="G125" s="18">
        <v>128485.03517708143</v>
      </c>
      <c r="H125" s="19">
        <v>0.31384587222971283</v>
      </c>
      <c r="I125" s="19">
        <v>2.4031067721108634E-3</v>
      </c>
      <c r="J125" s="19">
        <v>0.12931269247687083</v>
      </c>
    </row>
    <row r="126" spans="1:10" ht="11.25" customHeight="1" x14ac:dyDescent="0.2">
      <c r="A126" s="26" t="s">
        <v>25</v>
      </c>
      <c r="B126" s="18">
        <v>52982.726399999992</v>
      </c>
      <c r="C126" s="18">
        <v>61370.697014133235</v>
      </c>
      <c r="D126" s="18">
        <v>35168.854406400002</v>
      </c>
      <c r="E126" s="18">
        <v>54446.893558879368</v>
      </c>
      <c r="F126" s="18">
        <v>128177.0121312</v>
      </c>
      <c r="G126" s="18">
        <v>128485.03517708143</v>
      </c>
      <c r="H126" s="19">
        <v>0.31384587222971283</v>
      </c>
      <c r="I126" s="19">
        <v>2.4031067721108634E-3</v>
      </c>
      <c r="J126" s="19">
        <v>0.12931269247687083</v>
      </c>
    </row>
    <row r="127" spans="1:10" ht="11.25" customHeight="1" x14ac:dyDescent="0.2">
      <c r="A127" s="27" t="s">
        <v>35</v>
      </c>
      <c r="B127" s="18">
        <v>24832.454399999999</v>
      </c>
      <c r="C127" s="18">
        <v>29011.692031725732</v>
      </c>
      <c r="D127" s="18">
        <v>32871.553228800003</v>
      </c>
      <c r="E127" s="18">
        <v>50890.311611566554</v>
      </c>
      <c r="F127" s="18">
        <v>115321.09086720002</v>
      </c>
      <c r="G127" s="18">
        <v>115361.29055065368</v>
      </c>
      <c r="H127" s="19">
        <v>0.3846872501003431</v>
      </c>
      <c r="I127" s="19">
        <v>3.4858917090851982E-4</v>
      </c>
      <c r="J127" s="19">
        <v>0.12852583753021274</v>
      </c>
    </row>
    <row r="128" spans="1:10" ht="11.25" customHeight="1" x14ac:dyDescent="0.2">
      <c r="A128" s="28">
        <v>44348</v>
      </c>
      <c r="B128" s="18">
        <v>2571.4079999999999</v>
      </c>
      <c r="C128" s="18">
        <v>3004.1692932260376</v>
      </c>
      <c r="D128" s="18">
        <v>2415.523968</v>
      </c>
      <c r="E128" s="18">
        <v>3739.6093388439881</v>
      </c>
      <c r="F128" s="18">
        <v>8474.2225920000019</v>
      </c>
      <c r="G128" s="18">
        <v>8477.1766142274428</v>
      </c>
      <c r="H128" s="19">
        <v>0.35229008042285481</v>
      </c>
      <c r="I128" s="19">
        <v>3.4858917090874186E-4</v>
      </c>
      <c r="J128" s="19">
        <v>0.13073177924327051</v>
      </c>
    </row>
    <row r="129" spans="1:10" ht="11.25" customHeight="1" x14ac:dyDescent="0.2">
      <c r="A129" s="28">
        <v>44378</v>
      </c>
      <c r="B129" s="18">
        <v>2816.3040000000005</v>
      </c>
      <c r="C129" s="18">
        <v>3290.2806544856603</v>
      </c>
      <c r="D129" s="18">
        <v>3061.5361919999996</v>
      </c>
      <c r="E129" s="18">
        <v>4739.7374178371474</v>
      </c>
      <c r="F129" s="18">
        <v>10740.584448</v>
      </c>
      <c r="G129" s="18">
        <v>10744.328499427804</v>
      </c>
      <c r="H129" s="19">
        <v>0.36615113885743567</v>
      </c>
      <c r="I129" s="19">
        <v>3.4858917090874186E-4</v>
      </c>
      <c r="J129" s="19">
        <v>0.12973082457896656</v>
      </c>
    </row>
    <row r="130" spans="1:10" ht="11.25" customHeight="1" x14ac:dyDescent="0.2">
      <c r="A130" s="28">
        <v>44409</v>
      </c>
      <c r="B130" s="18">
        <v>2914.2624000000001</v>
      </c>
      <c r="C130" s="18">
        <v>3404.725198989509</v>
      </c>
      <c r="D130" s="18">
        <v>2949.18624</v>
      </c>
      <c r="E130" s="18">
        <v>4565.8020997513813</v>
      </c>
      <c r="F130" s="18">
        <v>10346.434560000002</v>
      </c>
      <c r="G130" s="18">
        <v>10350.041215045134</v>
      </c>
      <c r="H130" s="19">
        <v>0.35935825281500011</v>
      </c>
      <c r="I130" s="19">
        <v>3.4858917090874186E-4</v>
      </c>
      <c r="J130" s="19">
        <v>0.13020977928983601</v>
      </c>
    </row>
    <row r="131" spans="1:10" ht="11.25" customHeight="1" x14ac:dyDescent="0.2">
      <c r="A131" s="28">
        <v>44440</v>
      </c>
      <c r="B131" s="18">
        <v>3036.7104000000004</v>
      </c>
      <c r="C131" s="18">
        <v>3547.7808796193208</v>
      </c>
      <c r="D131" s="18">
        <v>2705.761344</v>
      </c>
      <c r="E131" s="18">
        <v>4188.9422438988859</v>
      </c>
      <c r="F131" s="18">
        <v>9492.4431359999999</v>
      </c>
      <c r="G131" s="18">
        <v>9495.7520988826764</v>
      </c>
      <c r="H131" s="19">
        <v>0.34728100867050693</v>
      </c>
      <c r="I131" s="19">
        <v>3.4858917090874186E-4</v>
      </c>
      <c r="J131" s="19">
        <v>0.13111726308515381</v>
      </c>
    </row>
    <row r="132" spans="1:10" ht="11.25" customHeight="1" x14ac:dyDescent="0.2">
      <c r="A132" s="28">
        <v>44470</v>
      </c>
      <c r="B132" s="18">
        <v>3257.1168000000002</v>
      </c>
      <c r="C132" s="18">
        <v>3805.2811047529808</v>
      </c>
      <c r="D132" s="18">
        <v>2668.3113599999997</v>
      </c>
      <c r="E132" s="18">
        <v>4130.9638045369629</v>
      </c>
      <c r="F132" s="18">
        <v>9361.0598399999999</v>
      </c>
      <c r="G132" s="18">
        <v>9364.3230040884537</v>
      </c>
      <c r="H132" s="19">
        <v>0.33935383148581533</v>
      </c>
      <c r="I132" s="19">
        <v>3.4858917090896391E-4</v>
      </c>
      <c r="J132" s="19">
        <v>0.13175556827561707</v>
      </c>
    </row>
    <row r="133" spans="1:10" ht="11.25" customHeight="1" x14ac:dyDescent="0.2">
      <c r="A133" s="28">
        <v>44501</v>
      </c>
      <c r="B133" s="18">
        <v>318.3648</v>
      </c>
      <c r="C133" s="18">
        <v>371.94476963750941</v>
      </c>
      <c r="D133" s="18">
        <v>2640.223872</v>
      </c>
      <c r="E133" s="18">
        <v>4087.4799750155216</v>
      </c>
      <c r="F133" s="18">
        <v>9262.5223679999999</v>
      </c>
      <c r="G133" s="18">
        <v>9265.7511829927844</v>
      </c>
      <c r="H133" s="19">
        <v>0.50728108535562955</v>
      </c>
      <c r="I133" s="19">
        <v>3.4858917090874186E-4</v>
      </c>
      <c r="J133" s="19">
        <v>0.12307104343647413</v>
      </c>
    </row>
    <row r="134" spans="1:10" ht="11.25" customHeight="1" x14ac:dyDescent="0.2">
      <c r="A134" s="28">
        <v>44531</v>
      </c>
      <c r="B134" s="18">
        <v>318.3648</v>
      </c>
      <c r="C134" s="18">
        <v>371.94476963750941</v>
      </c>
      <c r="D134" s="18">
        <v>2612.1363839999999</v>
      </c>
      <c r="E134" s="18">
        <v>4043.9961454940799</v>
      </c>
      <c r="F134" s="18">
        <v>9163.9848959999999</v>
      </c>
      <c r="G134" s="18">
        <v>9167.1793618971169</v>
      </c>
      <c r="H134" s="19">
        <v>0.50688931273661275</v>
      </c>
      <c r="I134" s="19">
        <v>3.4858917090874186E-4</v>
      </c>
      <c r="J134" s="19">
        <v>0.12308370832642335</v>
      </c>
    </row>
    <row r="135" spans="1:10" ht="11.25" customHeight="1" x14ac:dyDescent="0.2">
      <c r="A135" s="28">
        <v>44562</v>
      </c>
      <c r="B135" s="18">
        <v>318.3648</v>
      </c>
      <c r="C135" s="18">
        <v>371.94476963750941</v>
      </c>
      <c r="D135" s="18">
        <v>2610.6043391999997</v>
      </c>
      <c r="E135" s="18">
        <v>4041.6243002474557</v>
      </c>
      <c r="F135" s="18">
        <v>9158.6101247999995</v>
      </c>
      <c r="G135" s="18">
        <v>9161.8027171100803</v>
      </c>
      <c r="H135" s="19">
        <v>0.50686772722038986</v>
      </c>
      <c r="I135" s="19">
        <v>3.4858917090874186E-4</v>
      </c>
      <c r="J135" s="19">
        <v>0.12308440677002075</v>
      </c>
    </row>
    <row r="136" spans="1:10" ht="11.25" customHeight="1" x14ac:dyDescent="0.2">
      <c r="A136" s="28">
        <v>44593</v>
      </c>
      <c r="B136" s="18">
        <v>318.3648</v>
      </c>
      <c r="C136" s="18">
        <v>371.94476963750941</v>
      </c>
      <c r="D136" s="18">
        <v>2690.015328</v>
      </c>
      <c r="E136" s="18">
        <v>4164.5649455308048</v>
      </c>
      <c r="F136" s="18">
        <v>9437.2024320000019</v>
      </c>
      <c r="G136" s="18">
        <v>9440.4921385714697</v>
      </c>
      <c r="H136" s="19">
        <v>0.50795761245246274</v>
      </c>
      <c r="I136" s="19">
        <v>3.4858917090874186E-4</v>
      </c>
      <c r="J136" s="19">
        <v>0.1230492254064306</v>
      </c>
    </row>
    <row r="137" spans="1:10" ht="11.25" customHeight="1" x14ac:dyDescent="0.2">
      <c r="A137" s="28">
        <v>44621</v>
      </c>
      <c r="B137" s="18">
        <v>2840.7936</v>
      </c>
      <c r="C137" s="18">
        <v>3318.8917906116221</v>
      </c>
      <c r="D137" s="18">
        <v>3111.8383295999997</v>
      </c>
      <c r="E137" s="18">
        <v>4817.6130034346379</v>
      </c>
      <c r="F137" s="18">
        <v>10917.0561024</v>
      </c>
      <c r="G137" s="18">
        <v>10920.861669935501</v>
      </c>
      <c r="H137" s="19">
        <v>0.36687517223881327</v>
      </c>
      <c r="I137" s="19">
        <v>3.4858917090874186E-4</v>
      </c>
      <c r="J137" s="19">
        <v>0.12968102479618904</v>
      </c>
    </row>
    <row r="138" spans="1:10" ht="11.25" customHeight="1" x14ac:dyDescent="0.2">
      <c r="A138" s="28">
        <v>44652</v>
      </c>
      <c r="B138" s="18">
        <v>3061.2000000000003</v>
      </c>
      <c r="C138" s="18">
        <v>3576.3920157452826</v>
      </c>
      <c r="D138" s="18">
        <v>2703.2079359999998</v>
      </c>
      <c r="E138" s="18">
        <v>4184.9891684878457</v>
      </c>
      <c r="F138" s="18">
        <v>9483.485184000001</v>
      </c>
      <c r="G138" s="18">
        <v>9486.7910242376165</v>
      </c>
      <c r="H138" s="19">
        <v>0.34643163190474269</v>
      </c>
      <c r="I138" s="19">
        <v>3.4858917090874186E-4</v>
      </c>
      <c r="J138" s="19">
        <v>0.13118396572750513</v>
      </c>
    </row>
    <row r="139" spans="1:10" ht="11.25" customHeight="1" x14ac:dyDescent="0.2">
      <c r="A139" s="28">
        <v>44682</v>
      </c>
      <c r="B139" s="18">
        <v>3061.2000000000003</v>
      </c>
      <c r="C139" s="18">
        <v>3576.3920157452826</v>
      </c>
      <c r="D139" s="18">
        <v>2703.2079359999998</v>
      </c>
      <c r="E139" s="18">
        <v>4184.9891684878457</v>
      </c>
      <c r="F139" s="18">
        <v>9483.485184000001</v>
      </c>
      <c r="G139" s="18">
        <v>9486.7910242376165</v>
      </c>
      <c r="H139" s="19">
        <v>0.34643163190474269</v>
      </c>
      <c r="I139" s="19">
        <v>3.4858917090874186E-4</v>
      </c>
      <c r="J139" s="19">
        <v>0.13118396572750513</v>
      </c>
    </row>
    <row r="140" spans="1:10" ht="11.25" customHeight="1" x14ac:dyDescent="0.2">
      <c r="A140" s="27" t="s">
        <v>34</v>
      </c>
      <c r="B140" s="18">
        <v>28150.271999999994</v>
      </c>
      <c r="C140" s="18">
        <v>32359.004982407499</v>
      </c>
      <c r="D140" s="18">
        <v>2297.3011776000003</v>
      </c>
      <c r="E140" s="18">
        <v>3556.5819473128281</v>
      </c>
      <c r="F140" s="18">
        <v>12855.921263999999</v>
      </c>
      <c r="G140" s="18">
        <v>13123.744626427777</v>
      </c>
      <c r="H140" s="19">
        <v>0.17958783513633514</v>
      </c>
      <c r="I140" s="19">
        <v>2.083268533837046E-2</v>
      </c>
      <c r="J140" s="19">
        <v>0.13245668019433343</v>
      </c>
    </row>
    <row r="141" spans="1:10" ht="11.25" customHeight="1" x14ac:dyDescent="0.2">
      <c r="A141" s="28">
        <v>44348</v>
      </c>
      <c r="B141" s="18">
        <v>3274.752</v>
      </c>
      <c r="C141" s="18">
        <v>3764.3585214433783</v>
      </c>
      <c r="D141" s="18">
        <v>252.78739199999998</v>
      </c>
      <c r="E141" s="18">
        <v>391.35446569297545</v>
      </c>
      <c r="F141" s="18">
        <v>1414.6228799999999</v>
      </c>
      <c r="G141" s="18">
        <v>1444.0932733314992</v>
      </c>
      <c r="H141" s="19">
        <v>0.1780769894621077</v>
      </c>
      <c r="I141" s="19">
        <v>2.083268533837046E-2</v>
      </c>
      <c r="J141" s="19">
        <v>0.13306806864553189</v>
      </c>
    </row>
    <row r="142" spans="1:10" ht="11.25" customHeight="1" x14ac:dyDescent="0.2">
      <c r="A142" s="28">
        <v>44378</v>
      </c>
      <c r="B142" s="18">
        <v>3463.6799999999994</v>
      </c>
      <c r="C142" s="18">
        <v>3981.5330515266496</v>
      </c>
      <c r="D142" s="18">
        <v>205.97491199999999</v>
      </c>
      <c r="E142" s="18">
        <v>318.88141649057258</v>
      </c>
      <c r="F142" s="18">
        <v>1152.6556799999998</v>
      </c>
      <c r="G142" s="18">
        <v>1176.6685930849251</v>
      </c>
      <c r="H142" s="19">
        <v>0.1718852511048381</v>
      </c>
      <c r="I142" s="19">
        <v>2.0832685338370238E-2</v>
      </c>
      <c r="J142" s="19">
        <v>0.13577982102363673</v>
      </c>
    </row>
    <row r="143" spans="1:10" ht="11.25" customHeight="1" x14ac:dyDescent="0.2">
      <c r="A143" s="28">
        <v>44409</v>
      </c>
      <c r="B143" s="18">
        <v>3463.6799999999994</v>
      </c>
      <c r="C143" s="18">
        <v>3981.5330515266496</v>
      </c>
      <c r="D143" s="18">
        <v>205.97491199999999</v>
      </c>
      <c r="E143" s="18">
        <v>318.88141649057258</v>
      </c>
      <c r="F143" s="18">
        <v>1152.6556799999998</v>
      </c>
      <c r="G143" s="18">
        <v>1176.6685930849251</v>
      </c>
      <c r="H143" s="19">
        <v>0.1718852511048381</v>
      </c>
      <c r="I143" s="19">
        <v>2.0832685338370238E-2</v>
      </c>
      <c r="J143" s="19">
        <v>0.13577982102363673</v>
      </c>
    </row>
    <row r="144" spans="1:10" ht="11.25" customHeight="1" x14ac:dyDescent="0.2">
      <c r="A144" s="28">
        <v>44440</v>
      </c>
      <c r="B144" s="18">
        <v>3463.6799999999994</v>
      </c>
      <c r="C144" s="18">
        <v>3981.5330515266496</v>
      </c>
      <c r="D144" s="18">
        <v>177.88742400000001</v>
      </c>
      <c r="E144" s="18">
        <v>275.39758696913088</v>
      </c>
      <c r="F144" s="18">
        <v>995.47536000000002</v>
      </c>
      <c r="G144" s="18">
        <v>1016.2137849369809</v>
      </c>
      <c r="H144" s="19">
        <v>0.16898306219464398</v>
      </c>
      <c r="I144" s="19">
        <v>2.0832685338370238E-2</v>
      </c>
      <c r="J144" s="19">
        <v>0.13717829855433195</v>
      </c>
    </row>
    <row r="145" spans="1:10" ht="11.25" customHeight="1" x14ac:dyDescent="0.2">
      <c r="A145" s="28">
        <v>44470</v>
      </c>
      <c r="B145" s="18">
        <v>3778.56</v>
      </c>
      <c r="C145" s="18">
        <v>4343.4906016654368</v>
      </c>
      <c r="D145" s="18">
        <v>168.52492799999999</v>
      </c>
      <c r="E145" s="18">
        <v>260.90297712865032</v>
      </c>
      <c r="F145" s="18">
        <v>943.08191999999997</v>
      </c>
      <c r="G145" s="18">
        <v>962.72884888766612</v>
      </c>
      <c r="H145" s="19">
        <v>0.16653015143688532</v>
      </c>
      <c r="I145" s="19">
        <v>2.0832685338370238E-2</v>
      </c>
      <c r="J145" s="19">
        <v>0.1384320005274704</v>
      </c>
    </row>
    <row r="146" spans="1:10" ht="11.25" customHeight="1" x14ac:dyDescent="0.2">
      <c r="A146" s="28">
        <v>44501</v>
      </c>
      <c r="B146" s="18">
        <v>377.85599999999994</v>
      </c>
      <c r="C146" s="18">
        <v>434.34906016654361</v>
      </c>
      <c r="D146" s="18">
        <v>168.52492799999999</v>
      </c>
      <c r="E146" s="18">
        <v>260.90297712865032</v>
      </c>
      <c r="F146" s="18">
        <v>943.08191999999997</v>
      </c>
      <c r="G146" s="18">
        <v>962.72884888766612</v>
      </c>
      <c r="H146" s="19">
        <v>0.27246761675984787</v>
      </c>
      <c r="I146" s="19">
        <v>2.0832685338370238E-2</v>
      </c>
      <c r="J146" s="19">
        <v>0.11314014203787659</v>
      </c>
    </row>
    <row r="147" spans="1:10" ht="11.25" customHeight="1" x14ac:dyDescent="0.2">
      <c r="A147" s="28">
        <v>44531</v>
      </c>
      <c r="B147" s="18">
        <v>377.85599999999994</v>
      </c>
      <c r="C147" s="18">
        <v>434.34906016654361</v>
      </c>
      <c r="D147" s="18">
        <v>168.52492799999999</v>
      </c>
      <c r="E147" s="18">
        <v>260.90297712865032</v>
      </c>
      <c r="F147" s="18">
        <v>943.08191999999997</v>
      </c>
      <c r="G147" s="18">
        <v>962.72884888766612</v>
      </c>
      <c r="H147" s="19">
        <v>0.27246761675984787</v>
      </c>
      <c r="I147" s="19">
        <v>2.0832685338370238E-2</v>
      </c>
      <c r="J147" s="19">
        <v>0.11314014203787659</v>
      </c>
    </row>
    <row r="148" spans="1:10" ht="11.25" customHeight="1" x14ac:dyDescent="0.2">
      <c r="A148" s="28">
        <v>44562</v>
      </c>
      <c r="B148" s="18">
        <v>377.85599999999994</v>
      </c>
      <c r="C148" s="18">
        <v>434.34906016654361</v>
      </c>
      <c r="D148" s="18">
        <v>171.58901759999998</v>
      </c>
      <c r="E148" s="18">
        <v>265.64666762189847</v>
      </c>
      <c r="F148" s="18">
        <v>960.22886399999993</v>
      </c>
      <c r="G148" s="18">
        <v>980.23300977653275</v>
      </c>
      <c r="H148" s="19">
        <v>0.27400505121705221</v>
      </c>
      <c r="I148" s="19">
        <v>2.083268533837046E-2</v>
      </c>
      <c r="J148" s="19">
        <v>0.1129746351471721</v>
      </c>
    </row>
    <row r="149" spans="1:10" ht="11.25" customHeight="1" x14ac:dyDescent="0.2">
      <c r="A149" s="28">
        <v>44593</v>
      </c>
      <c r="B149" s="18">
        <v>377.85599999999994</v>
      </c>
      <c r="C149" s="18">
        <v>434.34906016654361</v>
      </c>
      <c r="D149" s="18">
        <v>178.90878720000001</v>
      </c>
      <c r="E149" s="18">
        <v>276.97881713354695</v>
      </c>
      <c r="F149" s="18">
        <v>1001.191008</v>
      </c>
      <c r="G149" s="18">
        <v>1022.0485052332698</v>
      </c>
      <c r="H149" s="19">
        <v>0.27760931304114367</v>
      </c>
      <c r="I149" s="19">
        <v>2.0832685338370238E-2</v>
      </c>
      <c r="J149" s="19">
        <v>0.11259663969531375</v>
      </c>
    </row>
    <row r="150" spans="1:10" ht="11.25" customHeight="1" x14ac:dyDescent="0.2">
      <c r="A150" s="28">
        <v>44621</v>
      </c>
      <c r="B150" s="18">
        <v>3148.7999999999997</v>
      </c>
      <c r="C150" s="18">
        <v>3619.5755013878634</v>
      </c>
      <c r="D150" s="18">
        <v>233.29637759999997</v>
      </c>
      <c r="E150" s="18">
        <v>361.17932338870224</v>
      </c>
      <c r="F150" s="18">
        <v>1305.549264</v>
      </c>
      <c r="G150" s="18">
        <v>1332.7473610106529</v>
      </c>
      <c r="H150" s="19">
        <v>0.17700809803692974</v>
      </c>
      <c r="I150" s="19">
        <v>2.0832685338370238E-2</v>
      </c>
      <c r="J150" s="19">
        <v>0.13351191451698541</v>
      </c>
    </row>
    <row r="151" spans="1:10" ht="11.25" customHeight="1" x14ac:dyDescent="0.2">
      <c r="A151" s="28">
        <v>44652</v>
      </c>
      <c r="B151" s="18">
        <v>3022.8479999999995</v>
      </c>
      <c r="C151" s="18">
        <v>3474.7924813323489</v>
      </c>
      <c r="D151" s="18">
        <v>182.65378560000002</v>
      </c>
      <c r="E151" s="18">
        <v>282.77666106973919</v>
      </c>
      <c r="F151" s="18">
        <v>1022.1483840000001</v>
      </c>
      <c r="G151" s="18">
        <v>1043.4424796529959</v>
      </c>
      <c r="H151" s="19">
        <v>0.17222494128130816</v>
      </c>
      <c r="I151" s="19">
        <v>2.083268533837046E-2</v>
      </c>
      <c r="J151" s="19">
        <v>0.13562178265789027</v>
      </c>
    </row>
    <row r="152" spans="1:10" ht="11.25" customHeight="1" x14ac:dyDescent="0.2">
      <c r="A152" s="28">
        <v>44682</v>
      </c>
      <c r="B152" s="18">
        <v>3022.8479999999995</v>
      </c>
      <c r="C152" s="18">
        <v>3474.7924813323489</v>
      </c>
      <c r="D152" s="18">
        <v>182.65378560000002</v>
      </c>
      <c r="E152" s="18">
        <v>282.77666106973919</v>
      </c>
      <c r="F152" s="18">
        <v>1022.1483840000001</v>
      </c>
      <c r="G152" s="18">
        <v>1043.4424796529959</v>
      </c>
      <c r="H152" s="19">
        <v>0.17222494128130816</v>
      </c>
      <c r="I152" s="19">
        <v>2.083268533837046E-2</v>
      </c>
      <c r="J152" s="19">
        <v>0.13562178265789027</v>
      </c>
    </row>
    <row r="153" spans="1:10" ht="11.25" customHeight="1" x14ac:dyDescent="0.2">
      <c r="A153" s="23" t="s">
        <v>51</v>
      </c>
      <c r="B153" s="18">
        <v>323883.97449999989</v>
      </c>
      <c r="C153" s="18">
        <v>374111.20931887178</v>
      </c>
      <c r="D153" s="18">
        <v>152417.84060360002</v>
      </c>
      <c r="E153" s="18">
        <v>235966.68370034441</v>
      </c>
      <c r="F153" s="18">
        <v>563582.82918439992</v>
      </c>
      <c r="G153" s="18">
        <v>565364.10046258185</v>
      </c>
      <c r="H153" s="19">
        <v>0.28086409430650328</v>
      </c>
      <c r="I153" s="19">
        <v>3.1606202068996669E-3</v>
      </c>
      <c r="J153" s="19">
        <v>0.13035806417414042</v>
      </c>
    </row>
    <row r="154" spans="1:10" ht="11.25" customHeight="1" x14ac:dyDescent="0.2">
      <c r="A154" s="24" t="s">
        <v>52</v>
      </c>
      <c r="B154" s="18">
        <v>323883.97449999989</v>
      </c>
      <c r="C154" s="18">
        <v>374111.20931887178</v>
      </c>
      <c r="D154" s="18">
        <v>152417.84060360002</v>
      </c>
      <c r="E154" s="18">
        <v>235966.68370034441</v>
      </c>
      <c r="F154" s="18">
        <v>563582.82918439992</v>
      </c>
      <c r="G154" s="18">
        <v>565364.10046258185</v>
      </c>
      <c r="H154" s="19">
        <v>0.28086409430650328</v>
      </c>
      <c r="I154" s="19">
        <v>3.1606202068996669E-3</v>
      </c>
      <c r="J154" s="19">
        <v>0.13035806417414042</v>
      </c>
    </row>
    <row r="155" spans="1:10" ht="11.25" customHeight="1" x14ac:dyDescent="0.2">
      <c r="A155" s="25" t="s">
        <v>25</v>
      </c>
      <c r="B155" s="18">
        <v>323883.97449999989</v>
      </c>
      <c r="C155" s="18">
        <v>374111.20931887178</v>
      </c>
      <c r="D155" s="18">
        <v>152417.84060360002</v>
      </c>
      <c r="E155" s="18">
        <v>235966.68370034441</v>
      </c>
      <c r="F155" s="18">
        <v>563582.82918439992</v>
      </c>
      <c r="G155" s="18">
        <v>565364.10046258185</v>
      </c>
      <c r="H155" s="19">
        <v>0.28086409430650328</v>
      </c>
      <c r="I155" s="19">
        <v>3.1606202068996669E-3</v>
      </c>
      <c r="J155" s="19">
        <v>0.13035806417414042</v>
      </c>
    </row>
    <row r="156" spans="1:10" ht="11.25" customHeight="1" x14ac:dyDescent="0.2">
      <c r="A156" s="26" t="s">
        <v>25</v>
      </c>
      <c r="B156" s="18">
        <v>323883.97449999989</v>
      </c>
      <c r="C156" s="18">
        <v>374111.20931887178</v>
      </c>
      <c r="D156" s="18">
        <v>152417.84060360002</v>
      </c>
      <c r="E156" s="18">
        <v>235966.68370034441</v>
      </c>
      <c r="F156" s="18">
        <v>563582.82918439992</v>
      </c>
      <c r="G156" s="18">
        <v>565364.10046258185</v>
      </c>
      <c r="H156" s="19">
        <v>0.28086409430650328</v>
      </c>
      <c r="I156" s="19">
        <v>3.1606202068996669E-3</v>
      </c>
      <c r="J156" s="19">
        <v>0.13035806417414042</v>
      </c>
    </row>
    <row r="157" spans="1:10" ht="11.25" customHeight="1" x14ac:dyDescent="0.2">
      <c r="A157" s="27" t="s">
        <v>35</v>
      </c>
      <c r="B157" s="18">
        <v>95992.854499999987</v>
      </c>
      <c r="C157" s="18">
        <v>112148.20279707259</v>
      </c>
      <c r="D157" s="18">
        <v>138592.5016476</v>
      </c>
      <c r="E157" s="18">
        <v>214562.8941468304</v>
      </c>
      <c r="F157" s="18">
        <v>486214.88509440003</v>
      </c>
      <c r="G157" s="18">
        <v>486384.37433807855</v>
      </c>
      <c r="H157" s="19">
        <v>0.39271735588788403</v>
      </c>
      <c r="I157" s="19">
        <v>3.4858917090874186E-4</v>
      </c>
      <c r="J157" s="19">
        <v>0.12804550381524438</v>
      </c>
    </row>
    <row r="158" spans="1:10" ht="11.25" customHeight="1" x14ac:dyDescent="0.2">
      <c r="A158" s="28">
        <v>44348</v>
      </c>
      <c r="B158" s="18">
        <v>12923.366</v>
      </c>
      <c r="C158" s="18">
        <v>15098.334959804668</v>
      </c>
      <c r="D158" s="18">
        <v>18046.613556399996</v>
      </c>
      <c r="E158" s="18">
        <v>27938.983625941793</v>
      </c>
      <c r="F158" s="18">
        <v>63311.737881599998</v>
      </c>
      <c r="G158" s="18">
        <v>63333.807667816938</v>
      </c>
      <c r="H158" s="19">
        <v>0.38964633500549839</v>
      </c>
      <c r="I158" s="19">
        <v>3.4858917090874186E-4</v>
      </c>
      <c r="J158" s="19">
        <v>0.12822643821177149</v>
      </c>
    </row>
    <row r="159" spans="1:10" ht="11.25" customHeight="1" x14ac:dyDescent="0.2">
      <c r="A159" s="28">
        <v>44378</v>
      </c>
      <c r="B159" s="18">
        <v>12836.632000000001</v>
      </c>
      <c r="C159" s="18">
        <v>14997.003852691887</v>
      </c>
      <c r="D159" s="18">
        <v>17376.140038400001</v>
      </c>
      <c r="E159" s="18">
        <v>26900.985633549124</v>
      </c>
      <c r="F159" s="18">
        <v>60959.560089600003</v>
      </c>
      <c r="G159" s="18">
        <v>60980.809932110598</v>
      </c>
      <c r="H159" s="19">
        <v>0.38676416162638994</v>
      </c>
      <c r="I159" s="19">
        <v>3.4858917090874186E-4</v>
      </c>
      <c r="J159" s="19">
        <v>0.12839934020681287</v>
      </c>
    </row>
    <row r="160" spans="1:10" ht="11.25" customHeight="1" x14ac:dyDescent="0.2">
      <c r="A160" s="28">
        <v>44409</v>
      </c>
      <c r="B160" s="18">
        <v>12402.962000000001</v>
      </c>
      <c r="C160" s="18">
        <v>14490.348317127969</v>
      </c>
      <c r="D160" s="18">
        <v>18252.464344399999</v>
      </c>
      <c r="E160" s="18">
        <v>28257.67287904433</v>
      </c>
      <c r="F160" s="18">
        <v>64033.910553600006</v>
      </c>
      <c r="G160" s="18">
        <v>64056.232081389928</v>
      </c>
      <c r="H160" s="19">
        <v>0.39446833053037333</v>
      </c>
      <c r="I160" s="19">
        <v>3.4858917090874186E-4</v>
      </c>
      <c r="J160" s="19">
        <v>0.12794382954241712</v>
      </c>
    </row>
    <row r="161" spans="1:10" ht="11.25" customHeight="1" x14ac:dyDescent="0.2">
      <c r="A161" s="28">
        <v>44440</v>
      </c>
      <c r="B161" s="18">
        <v>12533.063000000002</v>
      </c>
      <c r="C161" s="18">
        <v>14642.344977797145</v>
      </c>
      <c r="D161" s="18">
        <v>18388.975919599998</v>
      </c>
      <c r="E161" s="18">
        <v>28469.014173207062</v>
      </c>
      <c r="F161" s="18">
        <v>64512.825062399999</v>
      </c>
      <c r="G161" s="18">
        <v>64535.313534601482</v>
      </c>
      <c r="H161" s="19">
        <v>0.3941952295932849</v>
      </c>
      <c r="I161" s="19">
        <v>3.4858917090874186E-4</v>
      </c>
      <c r="J161" s="19">
        <v>0.12795961762893038</v>
      </c>
    </row>
    <row r="162" spans="1:10" ht="11.25" customHeight="1" x14ac:dyDescent="0.2">
      <c r="A162" s="28">
        <v>44470</v>
      </c>
      <c r="B162" s="18">
        <v>6028.0129999999999</v>
      </c>
      <c r="C162" s="18">
        <v>7042.5119443384183</v>
      </c>
      <c r="D162" s="18">
        <v>9518.0570627999987</v>
      </c>
      <c r="E162" s="18">
        <v>14735.442724324421</v>
      </c>
      <c r="F162" s="18">
        <v>33391.568563200002</v>
      </c>
      <c r="G162" s="18">
        <v>33403.20850240079</v>
      </c>
      <c r="H162" s="19">
        <v>0.40086559372809227</v>
      </c>
      <c r="I162" s="19">
        <v>3.4858917090874186E-4</v>
      </c>
      <c r="J162" s="19">
        <v>0.12758123849781589</v>
      </c>
    </row>
    <row r="163" spans="1:10" ht="11.25" customHeight="1" x14ac:dyDescent="0.2">
      <c r="A163" s="28">
        <v>44501</v>
      </c>
      <c r="B163" s="18">
        <v>5550.9760000000006</v>
      </c>
      <c r="C163" s="18">
        <v>6485.1908552181121</v>
      </c>
      <c r="D163" s="18">
        <v>7641.8979779999991</v>
      </c>
      <c r="E163" s="18">
        <v>11830.854681472481</v>
      </c>
      <c r="F163" s="18">
        <v>26809.564031999998</v>
      </c>
      <c r="G163" s="18">
        <v>26818.909555698337</v>
      </c>
      <c r="H163" s="19">
        <v>0.38832869678235582</v>
      </c>
      <c r="I163" s="19">
        <v>3.4858917090874186E-4</v>
      </c>
      <c r="J163" s="19">
        <v>0.12830510683138563</v>
      </c>
    </row>
    <row r="164" spans="1:10" ht="11.25" customHeight="1" x14ac:dyDescent="0.2">
      <c r="A164" s="28">
        <v>44531</v>
      </c>
      <c r="B164" s="18">
        <v>5572.6594999999998</v>
      </c>
      <c r="C164" s="18">
        <v>6510.5236319963078</v>
      </c>
      <c r="D164" s="18">
        <v>8037.6815375999995</v>
      </c>
      <c r="E164" s="18">
        <v>12443.589605757479</v>
      </c>
      <c r="F164" s="18">
        <v>28198.0652544</v>
      </c>
      <c r="G164" s="18">
        <v>28207.894794588261</v>
      </c>
      <c r="H164" s="19">
        <v>0.39262588537576359</v>
      </c>
      <c r="I164" s="19">
        <v>3.4858917090874186E-4</v>
      </c>
      <c r="J164" s="19">
        <v>0.12805084467824956</v>
      </c>
    </row>
    <row r="165" spans="1:10" ht="11.25" customHeight="1" x14ac:dyDescent="0.2">
      <c r="A165" s="28">
        <v>44562</v>
      </c>
      <c r="B165" s="18">
        <v>5572.6594999999998</v>
      </c>
      <c r="C165" s="18">
        <v>6510.5236319963078</v>
      </c>
      <c r="D165" s="18">
        <v>8325.4559387999998</v>
      </c>
      <c r="E165" s="18">
        <v>12889.10944015548</v>
      </c>
      <c r="F165" s="18">
        <v>29207.645107200005</v>
      </c>
      <c r="G165" s="18">
        <v>29217.82657599212</v>
      </c>
      <c r="H165" s="19">
        <v>0.39584630431209056</v>
      </c>
      <c r="I165" s="19">
        <v>3.4858917090874186E-4</v>
      </c>
      <c r="J165" s="19">
        <v>0.12786455991797507</v>
      </c>
    </row>
    <row r="166" spans="1:10" ht="11.25" customHeight="1" x14ac:dyDescent="0.2">
      <c r="A166" s="28">
        <v>44593</v>
      </c>
      <c r="B166" s="18">
        <v>5746.1275000000005</v>
      </c>
      <c r="C166" s="18">
        <v>6713.1858462218743</v>
      </c>
      <c r="D166" s="18">
        <v>7930.8391448000002</v>
      </c>
      <c r="E166" s="18">
        <v>12278.180851718027</v>
      </c>
      <c r="F166" s="18">
        <v>27823.237171200002</v>
      </c>
      <c r="G166" s="18">
        <v>27832.936050377506</v>
      </c>
      <c r="H166" s="19">
        <v>0.38856569524211304</v>
      </c>
      <c r="I166" s="19">
        <v>3.4858917090874186E-4</v>
      </c>
      <c r="J166" s="19">
        <v>0.12829091047173979</v>
      </c>
    </row>
    <row r="167" spans="1:10" ht="11.25" customHeight="1" x14ac:dyDescent="0.2">
      <c r="A167" s="28">
        <v>44621</v>
      </c>
      <c r="B167" s="18">
        <v>5637.71</v>
      </c>
      <c r="C167" s="18">
        <v>6586.5219623308958</v>
      </c>
      <c r="D167" s="18">
        <v>8092.2694996</v>
      </c>
      <c r="E167" s="18">
        <v>12528.100318624753</v>
      </c>
      <c r="F167" s="18">
        <v>28389.572582400004</v>
      </c>
      <c r="G167" s="18">
        <v>28399.468879968954</v>
      </c>
      <c r="H167" s="19">
        <v>0.39218141451067146</v>
      </c>
      <c r="I167" s="19">
        <v>3.4858917090874186E-4</v>
      </c>
      <c r="J167" s="19">
        <v>0.12807683871904185</v>
      </c>
    </row>
    <row r="168" spans="1:10" ht="11.25" customHeight="1" x14ac:dyDescent="0.2">
      <c r="A168" s="28">
        <v>44652</v>
      </c>
      <c r="B168" s="18">
        <v>5594.3429999999998</v>
      </c>
      <c r="C168" s="18">
        <v>6535.8564087745035</v>
      </c>
      <c r="D168" s="18">
        <v>8491.0533135999995</v>
      </c>
      <c r="E168" s="18">
        <v>13145.480106517722</v>
      </c>
      <c r="F168" s="18">
        <v>29788.599398400002</v>
      </c>
      <c r="G168" s="18">
        <v>29798.983381566824</v>
      </c>
      <c r="H168" s="19">
        <v>0.3972866703288378</v>
      </c>
      <c r="I168" s="19">
        <v>3.4858917090874186E-4</v>
      </c>
      <c r="J168" s="19">
        <v>0.12778239350845499</v>
      </c>
    </row>
    <row r="169" spans="1:10" ht="11.25" customHeight="1" x14ac:dyDescent="0.2">
      <c r="A169" s="28">
        <v>44682</v>
      </c>
      <c r="B169" s="18">
        <v>5594.3429999999998</v>
      </c>
      <c r="C169" s="18">
        <v>6535.8564087745035</v>
      </c>
      <c r="D169" s="18">
        <v>8491.0533135999995</v>
      </c>
      <c r="E169" s="18">
        <v>13145.480106517722</v>
      </c>
      <c r="F169" s="18">
        <v>29788.599398400002</v>
      </c>
      <c r="G169" s="18">
        <v>29798.983381566824</v>
      </c>
      <c r="H169" s="19">
        <v>0.3972866703288378</v>
      </c>
      <c r="I169" s="19">
        <v>3.4858917090874186E-4</v>
      </c>
      <c r="J169" s="19">
        <v>0.12778239350845499</v>
      </c>
    </row>
    <row r="170" spans="1:10" ht="11.25" customHeight="1" x14ac:dyDescent="0.2">
      <c r="A170" s="27" t="s">
        <v>34</v>
      </c>
      <c r="B170" s="18">
        <v>227891.11999999997</v>
      </c>
      <c r="C170" s="18">
        <v>261963.00652179937</v>
      </c>
      <c r="D170" s="18">
        <v>13825.338955999996</v>
      </c>
      <c r="E170" s="18">
        <v>21403.789553514041</v>
      </c>
      <c r="F170" s="18">
        <v>77367.94408999999</v>
      </c>
      <c r="G170" s="18">
        <v>78979.726124503592</v>
      </c>
      <c r="H170" s="19">
        <v>0.17231072016860516</v>
      </c>
      <c r="I170" s="19">
        <v>2.083268533837046E-2</v>
      </c>
      <c r="J170" s="19">
        <v>0.13558205522060662</v>
      </c>
    </row>
    <row r="171" spans="1:10" ht="11.25" customHeight="1" x14ac:dyDescent="0.2">
      <c r="A171" s="28">
        <v>44348</v>
      </c>
      <c r="B171" s="18">
        <v>31727.439999999995</v>
      </c>
      <c r="C171" s="18">
        <v>36470.993567630008</v>
      </c>
      <c r="D171" s="18">
        <v>1966.4167380000001</v>
      </c>
      <c r="E171" s="18">
        <v>3044.3210230584355</v>
      </c>
      <c r="F171" s="18">
        <v>11004.259695000001</v>
      </c>
      <c r="G171" s="18">
        <v>11233.507974607646</v>
      </c>
      <c r="H171" s="19">
        <v>0.17277505208013189</v>
      </c>
      <c r="I171" s="19">
        <v>2.0832685338370238E-2</v>
      </c>
      <c r="J171" s="19">
        <v>0.13536825743800107</v>
      </c>
    </row>
    <row r="172" spans="1:10" ht="11.25" customHeight="1" x14ac:dyDescent="0.2">
      <c r="A172" s="28">
        <v>44378</v>
      </c>
      <c r="B172" s="18">
        <v>31448.639999999996</v>
      </c>
      <c r="C172" s="18">
        <v>36150.510320111287</v>
      </c>
      <c r="D172" s="18">
        <v>1895.3273768000001</v>
      </c>
      <c r="E172" s="18">
        <v>2934.2635603473168</v>
      </c>
      <c r="F172" s="18">
        <v>10606.436701999999</v>
      </c>
      <c r="G172" s="18">
        <v>10827.397260374108</v>
      </c>
      <c r="H172" s="19">
        <v>0.17216926944491107</v>
      </c>
      <c r="I172" s="19">
        <v>2.083268533837046E-2</v>
      </c>
      <c r="J172" s="19">
        <v>0.13564760522664776</v>
      </c>
    </row>
    <row r="173" spans="1:10" ht="11.25" customHeight="1" x14ac:dyDescent="0.2">
      <c r="A173" s="28">
        <v>44409</v>
      </c>
      <c r="B173" s="18">
        <v>30444.959999999995</v>
      </c>
      <c r="C173" s="18">
        <v>34996.770629043902</v>
      </c>
      <c r="D173" s="18">
        <v>1889.8269103999999</v>
      </c>
      <c r="E173" s="18">
        <v>2925.7479770660343</v>
      </c>
      <c r="F173" s="18">
        <v>10575.655556</v>
      </c>
      <c r="G173" s="18">
        <v>10795.974860445134</v>
      </c>
      <c r="H173" s="19">
        <v>0.17280867541182809</v>
      </c>
      <c r="I173" s="19">
        <v>2.0832685338370238E-2</v>
      </c>
      <c r="J173" s="19">
        <v>0.13535285740068814</v>
      </c>
    </row>
    <row r="174" spans="1:10" ht="11.25" customHeight="1" x14ac:dyDescent="0.2">
      <c r="A174" s="28">
        <v>44440</v>
      </c>
      <c r="B174" s="18">
        <v>30389.199999999997</v>
      </c>
      <c r="C174" s="18">
        <v>34932.673979540166</v>
      </c>
      <c r="D174" s="18">
        <v>1849.9901991999998</v>
      </c>
      <c r="E174" s="18">
        <v>2864.0745102712922</v>
      </c>
      <c r="F174" s="18">
        <v>10352.725437999999</v>
      </c>
      <c r="G174" s="18">
        <v>10568.400509444395</v>
      </c>
      <c r="H174" s="19">
        <v>0.17238517023139632</v>
      </c>
      <c r="I174" s="19">
        <v>2.0832685338370238E-2</v>
      </c>
      <c r="J174" s="19">
        <v>0.13554763329342889</v>
      </c>
    </row>
    <row r="175" spans="1:10" ht="11.25" customHeight="1" x14ac:dyDescent="0.2">
      <c r="A175" s="28">
        <v>44470</v>
      </c>
      <c r="B175" s="18">
        <v>14163.039999999999</v>
      </c>
      <c r="C175" s="18">
        <v>16280.548973950828</v>
      </c>
      <c r="D175" s="18">
        <v>721.81120439999995</v>
      </c>
      <c r="E175" s="18">
        <v>1117.4767696846411</v>
      </c>
      <c r="F175" s="18">
        <v>4039.3258409999994</v>
      </c>
      <c r="G175" s="18">
        <v>4123.4758452247006</v>
      </c>
      <c r="H175" s="19">
        <v>0.1688410925124042</v>
      </c>
      <c r="I175" s="19">
        <v>2.083268533837046E-2</v>
      </c>
      <c r="J175" s="19">
        <v>0.13724900888577984</v>
      </c>
    </row>
    <row r="176" spans="1:10" ht="11.25" customHeight="1" x14ac:dyDescent="0.2">
      <c r="A176" s="28">
        <v>44501</v>
      </c>
      <c r="B176" s="18">
        <v>12490.24</v>
      </c>
      <c r="C176" s="18">
        <v>14357.649488838526</v>
      </c>
      <c r="D176" s="18">
        <v>592.13354200000003</v>
      </c>
      <c r="E176" s="18">
        <v>916.71544262895463</v>
      </c>
      <c r="F176" s="18">
        <v>3313.637005</v>
      </c>
      <c r="G176" s="18">
        <v>3382.6689620507445</v>
      </c>
      <c r="H176" s="19">
        <v>0.16755303480903172</v>
      </c>
      <c r="I176" s="19">
        <v>2.0832685338370238E-2</v>
      </c>
      <c r="J176" s="19">
        <v>0.13790082288840266</v>
      </c>
    </row>
    <row r="177" spans="1:10" ht="11.25" customHeight="1" x14ac:dyDescent="0.2">
      <c r="A177" s="28">
        <v>44531</v>
      </c>
      <c r="B177" s="18">
        <v>12545.999999999998</v>
      </c>
      <c r="C177" s="18">
        <v>14421.746138342269</v>
      </c>
      <c r="D177" s="18">
        <v>701.05944479999994</v>
      </c>
      <c r="E177" s="18">
        <v>1085.349796396167</v>
      </c>
      <c r="F177" s="18">
        <v>3923.1969719999997</v>
      </c>
      <c r="G177" s="18">
        <v>4004.927700038123</v>
      </c>
      <c r="H177" s="19">
        <v>0.17060665420548049</v>
      </c>
      <c r="I177" s="19">
        <v>2.0832685338370238E-2</v>
      </c>
      <c r="J177" s="19">
        <v>0.13638510463275866</v>
      </c>
    </row>
    <row r="178" spans="1:10" ht="11.25" customHeight="1" x14ac:dyDescent="0.2">
      <c r="A178" s="28">
        <v>44562</v>
      </c>
      <c r="B178" s="18">
        <v>12880.559999999998</v>
      </c>
      <c r="C178" s="18">
        <v>14806.326035364729</v>
      </c>
      <c r="D178" s="18">
        <v>723.31133160000002</v>
      </c>
      <c r="E178" s="18">
        <v>1119.7992014886272</v>
      </c>
      <c r="F178" s="18">
        <v>4047.720699</v>
      </c>
      <c r="G178" s="18">
        <v>4132.0455906598754</v>
      </c>
      <c r="H178" s="19">
        <v>0.17070537118791096</v>
      </c>
      <c r="I178" s="19">
        <v>2.0832685338370238E-2</v>
      </c>
      <c r="J178" s="19">
        <v>0.13633777580749085</v>
      </c>
    </row>
    <row r="179" spans="1:10" ht="11.25" customHeight="1" x14ac:dyDescent="0.2">
      <c r="A179" s="28">
        <v>44593</v>
      </c>
      <c r="B179" s="18">
        <v>13159.359999999999</v>
      </c>
      <c r="C179" s="18">
        <v>15126.809282883447</v>
      </c>
      <c r="D179" s="18">
        <v>792.23384239999996</v>
      </c>
      <c r="E179" s="18">
        <v>1226.502040482877</v>
      </c>
      <c r="F179" s="18">
        <v>4433.4177859999991</v>
      </c>
      <c r="G179" s="18">
        <v>4525.7777837092717</v>
      </c>
      <c r="H179" s="19">
        <v>0.17214645925738736</v>
      </c>
      <c r="I179" s="19">
        <v>2.083268533837046E-2</v>
      </c>
      <c r="J179" s="19">
        <v>0.1356581942446482</v>
      </c>
    </row>
    <row r="180" spans="1:10" ht="11.25" customHeight="1" x14ac:dyDescent="0.2">
      <c r="A180" s="28">
        <v>44621</v>
      </c>
      <c r="B180" s="18">
        <v>13103.599999999999</v>
      </c>
      <c r="C180" s="18">
        <v>15062.712633379702</v>
      </c>
      <c r="D180" s="18">
        <v>839.57118959999991</v>
      </c>
      <c r="E180" s="18">
        <v>1299.7876662975493</v>
      </c>
      <c r="F180" s="18">
        <v>4698.3221939999994</v>
      </c>
      <c r="G180" s="18">
        <v>4796.2008618858836</v>
      </c>
      <c r="H180" s="19">
        <v>0.17351354847323353</v>
      </c>
      <c r="I180" s="19">
        <v>2.083268533837046E-2</v>
      </c>
      <c r="J180" s="19">
        <v>0.13503251730774268</v>
      </c>
    </row>
    <row r="181" spans="1:10" ht="11.25" customHeight="1" x14ac:dyDescent="0.2">
      <c r="A181" s="28">
        <v>44652</v>
      </c>
      <c r="B181" s="18">
        <v>12769.039999999999</v>
      </c>
      <c r="C181" s="18">
        <v>14678.132736357244</v>
      </c>
      <c r="D181" s="18">
        <v>926.82858839999994</v>
      </c>
      <c r="E181" s="18">
        <v>1434.8757828960736</v>
      </c>
      <c r="F181" s="18">
        <v>5186.6231009999992</v>
      </c>
      <c r="G181" s="18">
        <v>5294.6743880318554</v>
      </c>
      <c r="H181" s="19">
        <v>0.17648679346270635</v>
      </c>
      <c r="I181" s="19">
        <v>2.083268533837046E-2</v>
      </c>
      <c r="J181" s="19">
        <v>0.13373188557009841</v>
      </c>
    </row>
    <row r="182" spans="1:10" ht="11.25" customHeight="1" x14ac:dyDescent="0.2">
      <c r="A182" s="28">
        <v>44682</v>
      </c>
      <c r="B182" s="18">
        <v>12769.039999999999</v>
      </c>
      <c r="C182" s="18">
        <v>14678.132736357244</v>
      </c>
      <c r="D182" s="18">
        <v>926.82858839999994</v>
      </c>
      <c r="E182" s="18">
        <v>1434.8757828960736</v>
      </c>
      <c r="F182" s="18">
        <v>5186.6231009999992</v>
      </c>
      <c r="G182" s="18">
        <v>5294.6743880318554</v>
      </c>
      <c r="H182" s="19">
        <v>0.17648679346270635</v>
      </c>
      <c r="I182" s="19">
        <v>2.083268533837046E-2</v>
      </c>
      <c r="J182" s="19">
        <v>0.13373188557009841</v>
      </c>
    </row>
    <row r="183" spans="1:10" ht="11.25" customHeight="1" x14ac:dyDescent="0.2">
      <c r="A183" s="22" t="s">
        <v>42</v>
      </c>
      <c r="B183" s="18">
        <v>18582747.765400004</v>
      </c>
      <c r="C183" s="18">
        <v>21710175.989411037</v>
      </c>
      <c r="D183" s="18">
        <v>21090716.337055199</v>
      </c>
      <c r="E183" s="18">
        <v>28712221.957672723</v>
      </c>
      <c r="F183" s="18">
        <v>40432593.372151792</v>
      </c>
      <c r="G183" s="18">
        <v>40509787.521746077</v>
      </c>
      <c r="H183" s="19">
        <v>0.27093509699253393</v>
      </c>
      <c r="I183" s="19">
        <v>1.9092059933878414E-3</v>
      </c>
      <c r="J183" s="19">
        <v>0.13514743248542271</v>
      </c>
    </row>
    <row r="184" spans="1:10" ht="11.25" customHeight="1" x14ac:dyDescent="0.2">
      <c r="A184" s="23" t="s">
        <v>43</v>
      </c>
      <c r="B184" s="18">
        <v>4507438.4300000006</v>
      </c>
      <c r="C184" s="18">
        <v>5266028.6203173436</v>
      </c>
      <c r="D184" s="18">
        <v>6806495.0177399982</v>
      </c>
      <c r="E184" s="18">
        <v>9112295.8252069689</v>
      </c>
      <c r="F184" s="18">
        <v>11738053.946800001</v>
      </c>
      <c r="G184" s="18">
        <v>11764973.762065502</v>
      </c>
      <c r="H184" s="19">
        <v>0.27085107155163901</v>
      </c>
      <c r="I184" s="19">
        <v>2.293379753366187E-3</v>
      </c>
      <c r="J184" s="19">
        <v>0.13410170499147589</v>
      </c>
    </row>
    <row r="185" spans="1:10" ht="11.25" customHeight="1" x14ac:dyDescent="0.2">
      <c r="A185" s="24" t="s">
        <v>25</v>
      </c>
      <c r="B185" s="18">
        <v>4507438.4300000006</v>
      </c>
      <c r="C185" s="18">
        <v>5266028.6203173436</v>
      </c>
      <c r="D185" s="18">
        <v>6806495.0177399982</v>
      </c>
      <c r="E185" s="18">
        <v>9112295.8252069689</v>
      </c>
      <c r="F185" s="18">
        <v>11738053.946800001</v>
      </c>
      <c r="G185" s="18">
        <v>11764973.762065502</v>
      </c>
      <c r="H185" s="19">
        <v>0.27085107155163901</v>
      </c>
      <c r="I185" s="19">
        <v>2.293379753366187E-3</v>
      </c>
      <c r="J185" s="19">
        <v>0.13410170499147589</v>
      </c>
    </row>
    <row r="186" spans="1:10" ht="11.25" customHeight="1" x14ac:dyDescent="0.2">
      <c r="A186" s="25" t="s">
        <v>25</v>
      </c>
      <c r="B186" s="18">
        <v>4507438.4300000006</v>
      </c>
      <c r="C186" s="18">
        <v>5266028.6203173436</v>
      </c>
      <c r="D186" s="18">
        <v>6806495.0177399982</v>
      </c>
      <c r="E186" s="18">
        <v>9112295.8252069689</v>
      </c>
      <c r="F186" s="18">
        <v>11738053.946800001</v>
      </c>
      <c r="G186" s="18">
        <v>11764973.762065502</v>
      </c>
      <c r="H186" s="19">
        <v>0.27085107155163901</v>
      </c>
      <c r="I186" s="19">
        <v>2.293379753366187E-3</v>
      </c>
      <c r="J186" s="19">
        <v>0.13410170499147589</v>
      </c>
    </row>
    <row r="187" spans="1:10" ht="11.25" customHeight="1" x14ac:dyDescent="0.2">
      <c r="A187" s="26" t="s">
        <v>25</v>
      </c>
      <c r="B187" s="18">
        <v>4507438.4300000006</v>
      </c>
      <c r="C187" s="18">
        <v>5266028.6203173436</v>
      </c>
      <c r="D187" s="18">
        <v>6806495.0177399982</v>
      </c>
      <c r="E187" s="18">
        <v>9112295.8252069689</v>
      </c>
      <c r="F187" s="18">
        <v>11738053.946800001</v>
      </c>
      <c r="G187" s="18">
        <v>11764973.762065502</v>
      </c>
      <c r="H187" s="19">
        <v>0.27085107155163901</v>
      </c>
      <c r="I187" s="19">
        <v>2.293379753366187E-3</v>
      </c>
      <c r="J187" s="19">
        <v>0.13410170499147589</v>
      </c>
    </row>
    <row r="188" spans="1:10" ht="11.25" customHeight="1" x14ac:dyDescent="0.2">
      <c r="A188" s="27" t="s">
        <v>35</v>
      </c>
      <c r="B188" s="18">
        <v>0</v>
      </c>
      <c r="C188" s="18">
        <v>0</v>
      </c>
      <c r="D188" s="18">
        <v>3028197.8154999991</v>
      </c>
      <c r="E188" s="18">
        <v>4688124.3907039398</v>
      </c>
      <c r="F188" s="18">
        <v>10623625.632000001</v>
      </c>
      <c r="G188" s="18">
        <v>10627328.912851105</v>
      </c>
      <c r="H188" s="19">
        <v>0.54815658564559788</v>
      </c>
      <c r="I188" s="19">
        <v>3.4858917090918595E-4</v>
      </c>
      <c r="J188" s="19">
        <v>0.12186136617227494</v>
      </c>
    </row>
    <row r="189" spans="1:10" ht="11.25" customHeight="1" x14ac:dyDescent="0.2">
      <c r="A189" s="28">
        <v>44348</v>
      </c>
      <c r="B189" s="18">
        <v>0</v>
      </c>
      <c r="C189" s="18">
        <v>0</v>
      </c>
      <c r="D189" s="18">
        <v>237863.52017999996</v>
      </c>
      <c r="E189" s="18">
        <v>368249.97525151161</v>
      </c>
      <c r="F189" s="18">
        <v>834480.81792000006</v>
      </c>
      <c r="G189" s="18">
        <v>834771.70889645803</v>
      </c>
      <c r="H189" s="19">
        <v>0.54815658564559833</v>
      </c>
      <c r="I189" s="19">
        <v>3.4858917090874186E-4</v>
      </c>
      <c r="J189" s="19">
        <v>0.1218613661722745</v>
      </c>
    </row>
    <row r="190" spans="1:10" ht="11.25" customHeight="1" x14ac:dyDescent="0.2">
      <c r="A190" s="28">
        <v>44378</v>
      </c>
      <c r="B190" s="18">
        <v>0</v>
      </c>
      <c r="C190" s="18">
        <v>0</v>
      </c>
      <c r="D190" s="18">
        <v>223620.29117999997</v>
      </c>
      <c r="E190" s="18">
        <v>346199.22647430334</v>
      </c>
      <c r="F190" s="18">
        <v>784512.24192000006</v>
      </c>
      <c r="G190" s="18">
        <v>784785.71439197869</v>
      </c>
      <c r="H190" s="19">
        <v>0.54815658564559877</v>
      </c>
      <c r="I190" s="19">
        <v>3.4858917090874186E-4</v>
      </c>
      <c r="J190" s="19">
        <v>0.12186136617227472</v>
      </c>
    </row>
    <row r="191" spans="1:10" ht="11.25" customHeight="1" x14ac:dyDescent="0.2">
      <c r="A191" s="28">
        <v>44409</v>
      </c>
      <c r="B191" s="18">
        <v>0</v>
      </c>
      <c r="C191" s="18">
        <v>0</v>
      </c>
      <c r="D191" s="18">
        <v>250652.10456000004</v>
      </c>
      <c r="E191" s="18">
        <v>388048.70638049312</v>
      </c>
      <c r="F191" s="18">
        <v>879346.16064000013</v>
      </c>
      <c r="G191" s="18">
        <v>879652.69118907943</v>
      </c>
      <c r="H191" s="19">
        <v>0.5481565856455981</v>
      </c>
      <c r="I191" s="19">
        <v>3.4858917090874186E-4</v>
      </c>
      <c r="J191" s="19">
        <v>0.1218613661722745</v>
      </c>
    </row>
    <row r="192" spans="1:10" ht="11.25" customHeight="1" x14ac:dyDescent="0.2">
      <c r="A192" s="28">
        <v>44440</v>
      </c>
      <c r="B192" s="18">
        <v>0</v>
      </c>
      <c r="C192" s="18">
        <v>0</v>
      </c>
      <c r="D192" s="18">
        <v>267443.68793999997</v>
      </c>
      <c r="E192" s="18">
        <v>414044.70677365729</v>
      </c>
      <c r="F192" s="18">
        <v>938254.95935999998</v>
      </c>
      <c r="G192" s="18">
        <v>938582.02487838431</v>
      </c>
      <c r="H192" s="19">
        <v>0.54815658564559855</v>
      </c>
      <c r="I192" s="19">
        <v>3.4858917090874186E-4</v>
      </c>
      <c r="J192" s="19">
        <v>0.12186136617227494</v>
      </c>
    </row>
    <row r="193" spans="1:10" ht="11.25" customHeight="1" x14ac:dyDescent="0.2">
      <c r="A193" s="28">
        <v>44470</v>
      </c>
      <c r="B193" s="18">
        <v>0</v>
      </c>
      <c r="C193" s="18">
        <v>0</v>
      </c>
      <c r="D193" s="18">
        <v>272895.74598000001</v>
      </c>
      <c r="E193" s="18">
        <v>422485.34633360535</v>
      </c>
      <c r="F193" s="18">
        <v>957382.05312000017</v>
      </c>
      <c r="G193" s="18">
        <v>957715.78613614012</v>
      </c>
      <c r="H193" s="19">
        <v>0.54815658564559833</v>
      </c>
      <c r="I193" s="19">
        <v>3.4858917090874186E-4</v>
      </c>
      <c r="J193" s="19">
        <v>0.1218613661722745</v>
      </c>
    </row>
    <row r="194" spans="1:10" ht="11.25" customHeight="1" x14ac:dyDescent="0.2">
      <c r="A194" s="28">
        <v>44501</v>
      </c>
      <c r="B194" s="18">
        <v>0</v>
      </c>
      <c r="C194" s="18">
        <v>0</v>
      </c>
      <c r="D194" s="18">
        <v>266891.77944000001</v>
      </c>
      <c r="E194" s="18">
        <v>413190.26599470852</v>
      </c>
      <c r="F194" s="18">
        <v>936318.73536000005</v>
      </c>
      <c r="G194" s="18">
        <v>936645.12593166553</v>
      </c>
      <c r="H194" s="19">
        <v>0.54815658564559833</v>
      </c>
      <c r="I194" s="19">
        <v>3.4858917090874186E-4</v>
      </c>
      <c r="J194" s="19">
        <v>0.12186136617227472</v>
      </c>
    </row>
    <row r="195" spans="1:10" ht="11.25" customHeight="1" x14ac:dyDescent="0.2">
      <c r="A195" s="28">
        <v>44531</v>
      </c>
      <c r="B195" s="18">
        <v>0</v>
      </c>
      <c r="C195" s="18">
        <v>0</v>
      </c>
      <c r="D195" s="18">
        <v>271998.86141999997</v>
      </c>
      <c r="E195" s="18">
        <v>421096.82859547751</v>
      </c>
      <c r="F195" s="18">
        <v>954235.57248000009</v>
      </c>
      <c r="G195" s="18">
        <v>954568.20866706257</v>
      </c>
      <c r="H195" s="19">
        <v>0.54815658564559855</v>
      </c>
      <c r="I195" s="19">
        <v>3.4858917090874186E-4</v>
      </c>
      <c r="J195" s="19">
        <v>0.12186136617227472</v>
      </c>
    </row>
    <row r="196" spans="1:10" ht="11.25" customHeight="1" x14ac:dyDescent="0.2">
      <c r="A196" s="28">
        <v>44562</v>
      </c>
      <c r="B196" s="18">
        <v>0</v>
      </c>
      <c r="C196" s="18">
        <v>0</v>
      </c>
      <c r="D196" s="18">
        <v>265211.84975999995</v>
      </c>
      <c r="E196" s="18">
        <v>410589.47179719503</v>
      </c>
      <c r="F196" s="18">
        <v>930425.14944000007</v>
      </c>
      <c r="G196" s="18">
        <v>930749.48557143589</v>
      </c>
      <c r="H196" s="19">
        <v>0.54815658564559877</v>
      </c>
      <c r="I196" s="19">
        <v>3.4858917090851982E-4</v>
      </c>
      <c r="J196" s="19">
        <v>0.12186136617227472</v>
      </c>
    </row>
    <row r="197" spans="1:10" ht="11.25" customHeight="1" x14ac:dyDescent="0.2">
      <c r="A197" s="28">
        <v>44593</v>
      </c>
      <c r="B197" s="18">
        <v>0</v>
      </c>
      <c r="C197" s="18">
        <v>0</v>
      </c>
      <c r="D197" s="18">
        <v>246038.85878000001</v>
      </c>
      <c r="E197" s="18">
        <v>380906.67954498442</v>
      </c>
      <c r="F197" s="18">
        <v>863161.8163200001</v>
      </c>
      <c r="G197" s="18">
        <v>863462.70518191124</v>
      </c>
      <c r="H197" s="19">
        <v>0.54815658564559855</v>
      </c>
      <c r="I197" s="19">
        <v>3.4858917090874186E-4</v>
      </c>
      <c r="J197" s="19">
        <v>0.12186136617227494</v>
      </c>
    </row>
    <row r="198" spans="1:10" ht="11.25" customHeight="1" x14ac:dyDescent="0.2">
      <c r="A198" s="28">
        <v>44621</v>
      </c>
      <c r="B198" s="18">
        <v>0</v>
      </c>
      <c r="C198" s="18">
        <v>0</v>
      </c>
      <c r="D198" s="18">
        <v>248026.79329999999</v>
      </c>
      <c r="E198" s="18">
        <v>383984.31346395455</v>
      </c>
      <c r="F198" s="18">
        <v>870135.95520000008</v>
      </c>
      <c r="G198" s="18">
        <v>870439.27517120109</v>
      </c>
      <c r="H198" s="19">
        <v>0.54815658564559833</v>
      </c>
      <c r="I198" s="19">
        <v>3.4858917090874186E-4</v>
      </c>
      <c r="J198" s="19">
        <v>0.12186136617227472</v>
      </c>
    </row>
    <row r="199" spans="1:10" ht="11.25" customHeight="1" x14ac:dyDescent="0.2">
      <c r="A199" s="28">
        <v>44652</v>
      </c>
      <c r="B199" s="18">
        <v>0</v>
      </c>
      <c r="C199" s="18">
        <v>0</v>
      </c>
      <c r="D199" s="18">
        <v>238777.16147999998</v>
      </c>
      <c r="E199" s="18">
        <v>369664.43504702445</v>
      </c>
      <c r="F199" s="18">
        <v>837686.08512000006</v>
      </c>
      <c r="G199" s="18">
        <v>837978.09341789375</v>
      </c>
      <c r="H199" s="19">
        <v>0.54815658564559833</v>
      </c>
      <c r="I199" s="19">
        <v>3.4858917090874186E-4</v>
      </c>
      <c r="J199" s="19">
        <v>0.12186136617227472</v>
      </c>
    </row>
    <row r="200" spans="1:10" ht="11.25" customHeight="1" x14ac:dyDescent="0.2">
      <c r="A200" s="28">
        <v>44682</v>
      </c>
      <c r="B200" s="18">
        <v>0</v>
      </c>
      <c r="C200" s="18">
        <v>0</v>
      </c>
      <c r="D200" s="18">
        <v>238777.16147999998</v>
      </c>
      <c r="E200" s="18">
        <v>369664.43504702445</v>
      </c>
      <c r="F200" s="18">
        <v>837686.08512000006</v>
      </c>
      <c r="G200" s="18">
        <v>837978.09341789375</v>
      </c>
      <c r="H200" s="19">
        <v>0.54815658564559833</v>
      </c>
      <c r="I200" s="19">
        <v>3.4858917090874186E-4</v>
      </c>
      <c r="J200" s="19">
        <v>0.12186136617227472</v>
      </c>
    </row>
    <row r="201" spans="1:10" ht="11.25" customHeight="1" x14ac:dyDescent="0.2">
      <c r="A201" s="27" t="s">
        <v>25</v>
      </c>
      <c r="B201" s="18">
        <v>4507438.4300000006</v>
      </c>
      <c r="C201" s="18">
        <v>5266028.6203173436</v>
      </c>
      <c r="D201" s="18">
        <v>0</v>
      </c>
      <c r="E201" s="18">
        <v>0</v>
      </c>
      <c r="F201" s="18">
        <v>0</v>
      </c>
      <c r="G201" s="18">
        <v>0</v>
      </c>
      <c r="H201" s="19">
        <v>0.16829740485603129</v>
      </c>
      <c r="I201" s="19">
        <v>0</v>
      </c>
      <c r="J201" s="19">
        <v>0.16829740485603129</v>
      </c>
    </row>
    <row r="202" spans="1:10" ht="11.25" customHeight="1" x14ac:dyDescent="0.2">
      <c r="A202" s="28">
        <v>44348</v>
      </c>
      <c r="B202" s="18">
        <v>376246.99000000005</v>
      </c>
      <c r="C202" s="18">
        <v>439568.38200189313</v>
      </c>
      <c r="D202" s="18">
        <v>0</v>
      </c>
      <c r="E202" s="18">
        <v>0</v>
      </c>
      <c r="F202" s="18">
        <v>0</v>
      </c>
      <c r="G202" s="18">
        <v>0</v>
      </c>
      <c r="H202" s="19">
        <v>0.16829740485603106</v>
      </c>
      <c r="I202" s="19">
        <v>0</v>
      </c>
      <c r="J202" s="19">
        <v>0.16829740485603106</v>
      </c>
    </row>
    <row r="203" spans="1:10" ht="11.25" customHeight="1" x14ac:dyDescent="0.2">
      <c r="A203" s="28">
        <v>44378</v>
      </c>
      <c r="B203" s="18">
        <v>373772.52</v>
      </c>
      <c r="C203" s="18">
        <v>436677.46512249898</v>
      </c>
      <c r="D203" s="18">
        <v>0</v>
      </c>
      <c r="E203" s="18">
        <v>0</v>
      </c>
      <c r="F203" s="18">
        <v>0</v>
      </c>
      <c r="G203" s="18">
        <v>0</v>
      </c>
      <c r="H203" s="19">
        <v>0.16829740485603106</v>
      </c>
      <c r="I203" s="19">
        <v>0</v>
      </c>
      <c r="J203" s="19">
        <v>0.16829740485603106</v>
      </c>
    </row>
    <row r="204" spans="1:10" ht="11.25" customHeight="1" x14ac:dyDescent="0.2">
      <c r="A204" s="28">
        <v>44409</v>
      </c>
      <c r="B204" s="18">
        <v>374639.86000000004</v>
      </c>
      <c r="C204" s="18">
        <v>437690.77619362687</v>
      </c>
      <c r="D204" s="18">
        <v>0</v>
      </c>
      <c r="E204" s="18">
        <v>0</v>
      </c>
      <c r="F204" s="18">
        <v>0</v>
      </c>
      <c r="G204" s="18">
        <v>0</v>
      </c>
      <c r="H204" s="19">
        <v>0.16829740485603106</v>
      </c>
      <c r="I204" s="19">
        <v>0</v>
      </c>
      <c r="J204" s="19">
        <v>0.16829740485603106</v>
      </c>
    </row>
    <row r="205" spans="1:10" ht="11.25" customHeight="1" x14ac:dyDescent="0.2">
      <c r="A205" s="28">
        <v>44440</v>
      </c>
      <c r="B205" s="18">
        <v>386731.60000000003</v>
      </c>
      <c r="C205" s="18">
        <v>451817.52465582074</v>
      </c>
      <c r="D205" s="18">
        <v>0</v>
      </c>
      <c r="E205" s="18">
        <v>0</v>
      </c>
      <c r="F205" s="18">
        <v>0</v>
      </c>
      <c r="G205" s="18">
        <v>0</v>
      </c>
      <c r="H205" s="19">
        <v>0.16829740485603106</v>
      </c>
      <c r="I205" s="19">
        <v>0</v>
      </c>
      <c r="J205" s="19">
        <v>0.16829740485603106</v>
      </c>
    </row>
    <row r="206" spans="1:10" ht="11.25" customHeight="1" x14ac:dyDescent="0.2">
      <c r="A206" s="28">
        <v>44470</v>
      </c>
      <c r="B206" s="18">
        <v>388007.10000000003</v>
      </c>
      <c r="C206" s="18">
        <v>453307.6879957146</v>
      </c>
      <c r="D206" s="18">
        <v>0</v>
      </c>
      <c r="E206" s="18">
        <v>0</v>
      </c>
      <c r="F206" s="18">
        <v>0</v>
      </c>
      <c r="G206" s="18">
        <v>0</v>
      </c>
      <c r="H206" s="19">
        <v>0.16829740485603106</v>
      </c>
      <c r="I206" s="19">
        <v>0</v>
      </c>
      <c r="J206" s="19">
        <v>0.16829740485603106</v>
      </c>
    </row>
    <row r="207" spans="1:10" ht="11.25" customHeight="1" x14ac:dyDescent="0.2">
      <c r="A207" s="28">
        <v>44501</v>
      </c>
      <c r="B207" s="18">
        <v>385915.28</v>
      </c>
      <c r="C207" s="18">
        <v>450863.82011828863</v>
      </c>
      <c r="D207" s="18">
        <v>0</v>
      </c>
      <c r="E207" s="18">
        <v>0</v>
      </c>
      <c r="F207" s="18">
        <v>0</v>
      </c>
      <c r="G207" s="18">
        <v>0</v>
      </c>
      <c r="H207" s="19">
        <v>0.16829740485603106</v>
      </c>
      <c r="I207" s="19">
        <v>0</v>
      </c>
      <c r="J207" s="19">
        <v>0.16829740485603106</v>
      </c>
    </row>
    <row r="208" spans="1:10" ht="11.25" customHeight="1" x14ac:dyDescent="0.2">
      <c r="A208" s="28">
        <v>44531</v>
      </c>
      <c r="B208" s="18">
        <v>391884.62</v>
      </c>
      <c r="C208" s="18">
        <v>457837.78454899194</v>
      </c>
      <c r="D208" s="18">
        <v>0</v>
      </c>
      <c r="E208" s="18">
        <v>0</v>
      </c>
      <c r="F208" s="18">
        <v>0</v>
      </c>
      <c r="G208" s="18">
        <v>0</v>
      </c>
      <c r="H208" s="19">
        <v>0.16829740485603129</v>
      </c>
      <c r="I208" s="19">
        <v>0</v>
      </c>
      <c r="J208" s="19">
        <v>0.16829740485603129</v>
      </c>
    </row>
    <row r="209" spans="1:10" ht="11.25" customHeight="1" x14ac:dyDescent="0.2">
      <c r="A209" s="28">
        <v>44562</v>
      </c>
      <c r="B209" s="18">
        <v>378721.46</v>
      </c>
      <c r="C209" s="18">
        <v>442459.29888128722</v>
      </c>
      <c r="D209" s="18">
        <v>0</v>
      </c>
      <c r="E209" s="18">
        <v>0</v>
      </c>
      <c r="F209" s="18">
        <v>0</v>
      </c>
      <c r="G209" s="18">
        <v>0</v>
      </c>
      <c r="H209" s="19">
        <v>0.16829740485603106</v>
      </c>
      <c r="I209" s="19">
        <v>0</v>
      </c>
      <c r="J209" s="19">
        <v>0.16829740485603106</v>
      </c>
    </row>
    <row r="210" spans="1:10" ht="11.25" customHeight="1" x14ac:dyDescent="0.2">
      <c r="A210" s="28">
        <v>44593</v>
      </c>
      <c r="B210" s="18">
        <v>383083.67</v>
      </c>
      <c r="C210" s="18">
        <v>447555.65750372427</v>
      </c>
      <c r="D210" s="18">
        <v>0</v>
      </c>
      <c r="E210" s="18">
        <v>0</v>
      </c>
      <c r="F210" s="18">
        <v>0</v>
      </c>
      <c r="G210" s="18">
        <v>0</v>
      </c>
      <c r="H210" s="19">
        <v>0.16829740485603129</v>
      </c>
      <c r="I210" s="19">
        <v>0</v>
      </c>
      <c r="J210" s="19">
        <v>0.16829740485603129</v>
      </c>
    </row>
    <row r="211" spans="1:10" ht="11.25" customHeight="1" x14ac:dyDescent="0.2">
      <c r="A211" s="28">
        <v>44621</v>
      </c>
      <c r="B211" s="18">
        <v>358032.85000000003</v>
      </c>
      <c r="C211" s="18">
        <v>418288.84950820869</v>
      </c>
      <c r="D211" s="18">
        <v>0</v>
      </c>
      <c r="E211" s="18">
        <v>0</v>
      </c>
      <c r="F211" s="18">
        <v>0</v>
      </c>
      <c r="G211" s="18">
        <v>0</v>
      </c>
      <c r="H211" s="19">
        <v>0.16829740485603106</v>
      </c>
      <c r="I211" s="19">
        <v>0</v>
      </c>
      <c r="J211" s="19">
        <v>0.16829740485603106</v>
      </c>
    </row>
    <row r="212" spans="1:10" ht="11.25" customHeight="1" x14ac:dyDescent="0.2">
      <c r="A212" s="28">
        <v>44652</v>
      </c>
      <c r="B212" s="18">
        <v>355201.24000000005</v>
      </c>
      <c r="C212" s="18">
        <v>414980.68689364434</v>
      </c>
      <c r="D212" s="18">
        <v>0</v>
      </c>
      <c r="E212" s="18">
        <v>0</v>
      </c>
      <c r="F212" s="18">
        <v>0</v>
      </c>
      <c r="G212" s="18">
        <v>0</v>
      </c>
      <c r="H212" s="19">
        <v>0.16829740485603106</v>
      </c>
      <c r="I212" s="19">
        <v>0</v>
      </c>
      <c r="J212" s="19">
        <v>0.16829740485603106</v>
      </c>
    </row>
    <row r="213" spans="1:10" ht="11.25" customHeight="1" x14ac:dyDescent="0.2">
      <c r="A213" s="28">
        <v>44682</v>
      </c>
      <c r="B213" s="18">
        <v>355201.24000000005</v>
      </c>
      <c r="C213" s="18">
        <v>414980.68689364434</v>
      </c>
      <c r="D213" s="18">
        <v>0</v>
      </c>
      <c r="E213" s="18">
        <v>0</v>
      </c>
      <c r="F213" s="18">
        <v>0</v>
      </c>
      <c r="G213" s="18">
        <v>0</v>
      </c>
      <c r="H213" s="19">
        <v>0.16829740485603106</v>
      </c>
      <c r="I213" s="19">
        <v>0</v>
      </c>
      <c r="J213" s="19">
        <v>0.16829740485603106</v>
      </c>
    </row>
    <row r="214" spans="1:10" ht="11.25" customHeight="1" x14ac:dyDescent="0.2">
      <c r="A214" s="27" t="s">
        <v>34</v>
      </c>
      <c r="B214" s="18">
        <v>0</v>
      </c>
      <c r="C214" s="18">
        <v>0</v>
      </c>
      <c r="D214" s="18">
        <v>3778297.2022400005</v>
      </c>
      <c r="E214" s="18">
        <v>4424171.4345030282</v>
      </c>
      <c r="F214" s="18">
        <v>1114428.3148000001</v>
      </c>
      <c r="G214" s="18">
        <v>1137644.8492143988</v>
      </c>
      <c r="H214" s="19">
        <v>0.17094320475374891</v>
      </c>
      <c r="I214" s="19">
        <v>2.0832685338370238E-2</v>
      </c>
      <c r="J214" s="19">
        <v>0.13675215671657237</v>
      </c>
    </row>
    <row r="215" spans="1:10" ht="11.25" customHeight="1" x14ac:dyDescent="0.2">
      <c r="A215" s="28">
        <v>44348</v>
      </c>
      <c r="B215" s="18">
        <v>0</v>
      </c>
      <c r="C215" s="18">
        <v>0</v>
      </c>
      <c r="D215" s="18">
        <v>282994.82243999996</v>
      </c>
      <c r="E215" s="18">
        <v>331370.86431661167</v>
      </c>
      <c r="F215" s="18">
        <v>83470.787549999994</v>
      </c>
      <c r="G215" s="18">
        <v>85209.708201975096</v>
      </c>
      <c r="H215" s="19">
        <v>0.17094320475374891</v>
      </c>
      <c r="I215" s="19">
        <v>2.0832685338370238E-2</v>
      </c>
      <c r="J215" s="19">
        <v>0.13675215671657237</v>
      </c>
    </row>
    <row r="216" spans="1:10" ht="11.25" customHeight="1" x14ac:dyDescent="0.2">
      <c r="A216" s="28">
        <v>44378</v>
      </c>
      <c r="B216" s="18">
        <v>0</v>
      </c>
      <c r="C216" s="18">
        <v>0</v>
      </c>
      <c r="D216" s="18">
        <v>265070.15171999997</v>
      </c>
      <c r="E216" s="18">
        <v>310382.09293957928</v>
      </c>
      <c r="F216" s="18">
        <v>78183.813150000002</v>
      </c>
      <c r="G216" s="18">
        <v>79812.591927907895</v>
      </c>
      <c r="H216" s="19">
        <v>0.17094320475374913</v>
      </c>
      <c r="I216" s="19">
        <v>2.083268533837046E-2</v>
      </c>
      <c r="J216" s="19">
        <v>0.13675215671657281</v>
      </c>
    </row>
    <row r="217" spans="1:10" ht="11.25" customHeight="1" x14ac:dyDescent="0.2">
      <c r="A217" s="28">
        <v>44409</v>
      </c>
      <c r="B217" s="18">
        <v>0</v>
      </c>
      <c r="C217" s="18">
        <v>0</v>
      </c>
      <c r="D217" s="18">
        <v>320718.04556</v>
      </c>
      <c r="E217" s="18">
        <v>375542.61609038524</v>
      </c>
      <c r="F217" s="18">
        <v>94597.447449999992</v>
      </c>
      <c r="G217" s="18">
        <v>96568.166306538871</v>
      </c>
      <c r="H217" s="19">
        <v>0.17094320475374891</v>
      </c>
      <c r="I217" s="19">
        <v>2.083268533837046E-2</v>
      </c>
      <c r="J217" s="19">
        <v>0.13675215671657259</v>
      </c>
    </row>
    <row r="218" spans="1:10" ht="11.25" customHeight="1" x14ac:dyDescent="0.2">
      <c r="A218" s="28">
        <v>44440</v>
      </c>
      <c r="B218" s="18">
        <v>0</v>
      </c>
      <c r="C218" s="18">
        <v>0</v>
      </c>
      <c r="D218" s="18">
        <v>360316.83247999998</v>
      </c>
      <c r="E218" s="18">
        <v>421910.54655085085</v>
      </c>
      <c r="F218" s="18">
        <v>106277.3146</v>
      </c>
      <c r="G218" s="18">
        <v>108491.35645366879</v>
      </c>
      <c r="H218" s="19">
        <v>0.17094320475374891</v>
      </c>
      <c r="I218" s="19">
        <v>2.083268533837046E-2</v>
      </c>
      <c r="J218" s="19">
        <v>0.13675215671657259</v>
      </c>
    </row>
    <row r="219" spans="1:10" ht="11.25" customHeight="1" x14ac:dyDescent="0.2">
      <c r="A219" s="28">
        <v>44470</v>
      </c>
      <c r="B219" s="18">
        <v>0</v>
      </c>
      <c r="C219" s="18">
        <v>0</v>
      </c>
      <c r="D219" s="18">
        <v>318595.21012</v>
      </c>
      <c r="E219" s="18">
        <v>373056.8963571068</v>
      </c>
      <c r="F219" s="18">
        <v>93971.306150000004</v>
      </c>
      <c r="G219" s="18">
        <v>95928.980801858619</v>
      </c>
      <c r="H219" s="19">
        <v>0.17094320475374891</v>
      </c>
      <c r="I219" s="19">
        <v>2.0832685338370238E-2</v>
      </c>
      <c r="J219" s="19">
        <v>0.13675215671657259</v>
      </c>
    </row>
    <row r="220" spans="1:10" ht="11.25" customHeight="1" x14ac:dyDescent="0.2">
      <c r="A220" s="28">
        <v>44501</v>
      </c>
      <c r="B220" s="18">
        <v>0</v>
      </c>
      <c r="C220" s="18">
        <v>0</v>
      </c>
      <c r="D220" s="18">
        <v>332338.13052000001</v>
      </c>
      <c r="E220" s="18">
        <v>389149.07561295846</v>
      </c>
      <c r="F220" s="18">
        <v>98024.851649999997</v>
      </c>
      <c r="G220" s="18">
        <v>100066.97253976487</v>
      </c>
      <c r="H220" s="19">
        <v>0.17094320475374891</v>
      </c>
      <c r="I220" s="19">
        <v>2.0832685338370238E-2</v>
      </c>
      <c r="J220" s="19">
        <v>0.13675215671657259</v>
      </c>
    </row>
    <row r="221" spans="1:10" ht="11.25" customHeight="1" x14ac:dyDescent="0.2">
      <c r="A221" s="28">
        <v>44531</v>
      </c>
      <c r="B221" s="18">
        <v>0</v>
      </c>
      <c r="C221" s="18">
        <v>0</v>
      </c>
      <c r="D221" s="18">
        <v>355018.15448000003</v>
      </c>
      <c r="E221" s="18">
        <v>415706.09555257269</v>
      </c>
      <c r="F221" s="18">
        <v>104714.4421</v>
      </c>
      <c r="G221" s="18">
        <v>106895.92512265229</v>
      </c>
      <c r="H221" s="19">
        <v>0.17094320475374869</v>
      </c>
      <c r="I221" s="19">
        <v>2.0832685338370238E-2</v>
      </c>
      <c r="J221" s="19">
        <v>0.13675215671657237</v>
      </c>
    </row>
    <row r="222" spans="1:10" ht="11.25" customHeight="1" x14ac:dyDescent="0.2">
      <c r="A222" s="28">
        <v>44562</v>
      </c>
      <c r="B222" s="18">
        <v>0</v>
      </c>
      <c r="C222" s="18">
        <v>0</v>
      </c>
      <c r="D222" s="18">
        <v>335217.91995999997</v>
      </c>
      <c r="E222" s="18">
        <v>392521.14548884809</v>
      </c>
      <c r="F222" s="18">
        <v>98874.260450000002</v>
      </c>
      <c r="G222" s="18">
        <v>100934.07680601891</v>
      </c>
      <c r="H222" s="19">
        <v>0.17094320475374891</v>
      </c>
      <c r="I222" s="19">
        <v>2.0832685338370238E-2</v>
      </c>
      <c r="J222" s="19">
        <v>0.13675215671657259</v>
      </c>
    </row>
    <row r="223" spans="1:10" ht="11.25" customHeight="1" x14ac:dyDescent="0.2">
      <c r="A223" s="28">
        <v>44593</v>
      </c>
      <c r="B223" s="18">
        <v>0</v>
      </c>
      <c r="C223" s="18">
        <v>0</v>
      </c>
      <c r="D223" s="18">
        <v>313629.59187999996</v>
      </c>
      <c r="E223" s="18">
        <v>367242.4394215775</v>
      </c>
      <c r="F223" s="18">
        <v>92506.671350000004</v>
      </c>
      <c r="G223" s="18">
        <v>94433.833725934586</v>
      </c>
      <c r="H223" s="19">
        <v>0.17094320475374891</v>
      </c>
      <c r="I223" s="19">
        <v>2.0832685338370238E-2</v>
      </c>
      <c r="J223" s="19">
        <v>0.13675215671657259</v>
      </c>
    </row>
    <row r="224" spans="1:10" ht="11.25" customHeight="1" x14ac:dyDescent="0.2">
      <c r="A224" s="28">
        <v>44621</v>
      </c>
      <c r="B224" s="18">
        <v>0</v>
      </c>
      <c r="C224" s="18">
        <v>0</v>
      </c>
      <c r="D224" s="18">
        <v>309360.37131999998</v>
      </c>
      <c r="E224" s="18">
        <v>362243.42461725051</v>
      </c>
      <c r="F224" s="18">
        <v>91247.442649999997</v>
      </c>
      <c r="G224" s="18">
        <v>93148.371910658432</v>
      </c>
      <c r="H224" s="19">
        <v>0.17094320475374891</v>
      </c>
      <c r="I224" s="19">
        <v>2.0832685338370238E-2</v>
      </c>
      <c r="J224" s="19">
        <v>0.13675215671657259</v>
      </c>
    </row>
    <row r="225" spans="1:10" ht="11.25" customHeight="1" x14ac:dyDescent="0.2">
      <c r="A225" s="28">
        <v>44652</v>
      </c>
      <c r="B225" s="18">
        <v>0</v>
      </c>
      <c r="C225" s="18">
        <v>0</v>
      </c>
      <c r="D225" s="18">
        <v>292518.98587999999</v>
      </c>
      <c r="E225" s="18">
        <v>342523.11877764377</v>
      </c>
      <c r="F225" s="18">
        <v>86279.988849999994</v>
      </c>
      <c r="G225" s="18">
        <v>88077.432708710141</v>
      </c>
      <c r="H225" s="19">
        <v>0.17094320475374869</v>
      </c>
      <c r="I225" s="19">
        <v>2.0832685338370238E-2</v>
      </c>
      <c r="J225" s="19">
        <v>0.13675215671657237</v>
      </c>
    </row>
    <row r="226" spans="1:10" ht="11.25" customHeight="1" x14ac:dyDescent="0.2">
      <c r="A226" s="28">
        <v>44682</v>
      </c>
      <c r="B226" s="18">
        <v>0</v>
      </c>
      <c r="C226" s="18">
        <v>0</v>
      </c>
      <c r="D226" s="18">
        <v>292518.98587999999</v>
      </c>
      <c r="E226" s="18">
        <v>342523.11877764377</v>
      </c>
      <c r="F226" s="18">
        <v>86279.988849999994</v>
      </c>
      <c r="G226" s="18">
        <v>88077.432708710141</v>
      </c>
      <c r="H226" s="19">
        <v>0.17094320475374869</v>
      </c>
      <c r="I226" s="19">
        <v>2.0832685338370238E-2</v>
      </c>
      <c r="J226" s="19">
        <v>0.13675215671657237</v>
      </c>
    </row>
    <row r="227" spans="1:10" ht="11.25" customHeight="1" x14ac:dyDescent="0.2">
      <c r="A227" s="23" t="s">
        <v>53</v>
      </c>
      <c r="B227" s="18">
        <v>64820.910000000018</v>
      </c>
      <c r="C227" s="18">
        <v>75730.100933406356</v>
      </c>
      <c r="D227" s="18">
        <v>127170.07621999999</v>
      </c>
      <c r="E227" s="18">
        <v>167445.16202197986</v>
      </c>
      <c r="F227" s="18">
        <v>195409.6372400001</v>
      </c>
      <c r="G227" s="18">
        <v>195949.20471736696</v>
      </c>
      <c r="H227" s="19">
        <v>0.26659729054537373</v>
      </c>
      <c r="I227" s="19">
        <v>2.7612122154658802E-3</v>
      </c>
      <c r="J227" s="19">
        <v>0.13351512899176732</v>
      </c>
    </row>
    <row r="228" spans="1:10" ht="11.25" customHeight="1" x14ac:dyDescent="0.2">
      <c r="A228" s="24" t="s">
        <v>25</v>
      </c>
      <c r="B228" s="18">
        <v>64820.910000000018</v>
      </c>
      <c r="C228" s="18">
        <v>75730.100933406356</v>
      </c>
      <c r="D228" s="18">
        <v>127170.07621999999</v>
      </c>
      <c r="E228" s="18">
        <v>167445.16202197986</v>
      </c>
      <c r="F228" s="18">
        <v>195409.6372400001</v>
      </c>
      <c r="G228" s="18">
        <v>195949.20471736696</v>
      </c>
      <c r="H228" s="19">
        <v>0.26659729054537373</v>
      </c>
      <c r="I228" s="19">
        <v>2.7612122154658802E-3</v>
      </c>
      <c r="J228" s="19">
        <v>0.13351512899176732</v>
      </c>
    </row>
    <row r="229" spans="1:10" ht="11.25" customHeight="1" x14ac:dyDescent="0.2">
      <c r="A229" s="25" t="s">
        <v>25</v>
      </c>
      <c r="B229" s="18">
        <v>64820.910000000018</v>
      </c>
      <c r="C229" s="18">
        <v>75730.100933406356</v>
      </c>
      <c r="D229" s="18">
        <v>127170.07621999999</v>
      </c>
      <c r="E229" s="18">
        <v>167445.16202197986</v>
      </c>
      <c r="F229" s="18">
        <v>195409.6372400001</v>
      </c>
      <c r="G229" s="18">
        <v>195949.20471736696</v>
      </c>
      <c r="H229" s="19">
        <v>0.26659729054537373</v>
      </c>
      <c r="I229" s="19">
        <v>2.7612122154658802E-3</v>
      </c>
      <c r="J229" s="19">
        <v>0.13351512899176732</v>
      </c>
    </row>
    <row r="230" spans="1:10" ht="11.25" customHeight="1" x14ac:dyDescent="0.2">
      <c r="A230" s="26" t="s">
        <v>25</v>
      </c>
      <c r="B230" s="18">
        <v>64820.910000000018</v>
      </c>
      <c r="C230" s="18">
        <v>75730.100933406356</v>
      </c>
      <c r="D230" s="18">
        <v>127170.07621999999</v>
      </c>
      <c r="E230" s="18">
        <v>167445.16202197986</v>
      </c>
      <c r="F230" s="18">
        <v>195409.6372400001</v>
      </c>
      <c r="G230" s="18">
        <v>195949.20471736696</v>
      </c>
      <c r="H230" s="19">
        <v>0.26659729054537373</v>
      </c>
      <c r="I230" s="19">
        <v>2.7612122154658802E-3</v>
      </c>
      <c r="J230" s="19">
        <v>0.13351512899176732</v>
      </c>
    </row>
    <row r="231" spans="1:10" ht="11.25" customHeight="1" x14ac:dyDescent="0.2">
      <c r="A231" s="27" t="s">
        <v>35</v>
      </c>
      <c r="B231" s="18">
        <v>0</v>
      </c>
      <c r="C231" s="18">
        <v>0</v>
      </c>
      <c r="D231" s="18">
        <v>49139.893660000009</v>
      </c>
      <c r="E231" s="18">
        <v>76076.249987653398</v>
      </c>
      <c r="F231" s="18">
        <v>172394.23104000001</v>
      </c>
      <c r="G231" s="18">
        <v>172454.32580206767</v>
      </c>
      <c r="H231" s="19">
        <v>0.54815658564559833</v>
      </c>
      <c r="I231" s="19">
        <v>3.4858917090851982E-4</v>
      </c>
      <c r="J231" s="19">
        <v>0.12186136617227472</v>
      </c>
    </row>
    <row r="232" spans="1:10" ht="11.25" customHeight="1" x14ac:dyDescent="0.2">
      <c r="A232" s="28">
        <v>44348</v>
      </c>
      <c r="B232" s="18">
        <v>0</v>
      </c>
      <c r="C232" s="18">
        <v>0</v>
      </c>
      <c r="D232" s="18">
        <v>3085.3679999999995</v>
      </c>
      <c r="E232" s="18">
        <v>4776.6327883401882</v>
      </c>
      <c r="F232" s="18">
        <v>10824.191999999999</v>
      </c>
      <c r="G232" s="18">
        <v>10827.965196115036</v>
      </c>
      <c r="H232" s="19">
        <v>0.54815658564559855</v>
      </c>
      <c r="I232" s="19">
        <v>3.4858917090874186E-4</v>
      </c>
      <c r="J232" s="19">
        <v>0.12186136617227472</v>
      </c>
    </row>
    <row r="233" spans="1:10" ht="11.25" customHeight="1" x14ac:dyDescent="0.2">
      <c r="A233" s="28">
        <v>44378</v>
      </c>
      <c r="B233" s="18">
        <v>0</v>
      </c>
      <c r="C233" s="18">
        <v>0</v>
      </c>
      <c r="D233" s="18">
        <v>2978.9760000000001</v>
      </c>
      <c r="E233" s="18">
        <v>4611.9213128801821</v>
      </c>
      <c r="F233" s="18">
        <v>10450.944000000001</v>
      </c>
      <c r="G233" s="18">
        <v>10454.587085904175</v>
      </c>
      <c r="H233" s="19">
        <v>0.54815658564559833</v>
      </c>
      <c r="I233" s="19">
        <v>3.4858917090874186E-4</v>
      </c>
      <c r="J233" s="19">
        <v>0.12186136617227472</v>
      </c>
    </row>
    <row r="234" spans="1:10" ht="11.25" customHeight="1" x14ac:dyDescent="0.2">
      <c r="A234" s="28">
        <v>44409</v>
      </c>
      <c r="B234" s="18">
        <v>0</v>
      </c>
      <c r="C234" s="18">
        <v>0</v>
      </c>
      <c r="D234" s="18">
        <v>3404.5439999999999</v>
      </c>
      <c r="E234" s="18">
        <v>5270.7672147202084</v>
      </c>
      <c r="F234" s="18">
        <v>11943.936</v>
      </c>
      <c r="G234" s="18">
        <v>11948.099526747626</v>
      </c>
      <c r="H234" s="19">
        <v>0.54815658564559855</v>
      </c>
      <c r="I234" s="19">
        <v>3.4858917090874186E-4</v>
      </c>
      <c r="J234" s="19">
        <v>0.12186136617227472</v>
      </c>
    </row>
    <row r="235" spans="1:10" ht="11.25" customHeight="1" x14ac:dyDescent="0.2">
      <c r="A235" s="28">
        <v>44440</v>
      </c>
      <c r="B235" s="18">
        <v>0</v>
      </c>
      <c r="C235" s="18">
        <v>0</v>
      </c>
      <c r="D235" s="18">
        <v>4574.8559999999998</v>
      </c>
      <c r="E235" s="18">
        <v>7082.5934447802802</v>
      </c>
      <c r="F235" s="18">
        <v>16049.664000000001</v>
      </c>
      <c r="G235" s="18">
        <v>16055.258739067125</v>
      </c>
      <c r="H235" s="19">
        <v>0.54815658564559855</v>
      </c>
      <c r="I235" s="19">
        <v>3.4858917090874186E-4</v>
      </c>
      <c r="J235" s="19">
        <v>0.12186136617227472</v>
      </c>
    </row>
    <row r="236" spans="1:10" ht="11.25" customHeight="1" x14ac:dyDescent="0.2">
      <c r="A236" s="28">
        <v>44470</v>
      </c>
      <c r="B236" s="18">
        <v>0</v>
      </c>
      <c r="C236" s="18">
        <v>0</v>
      </c>
      <c r="D236" s="18">
        <v>3936.5039999999999</v>
      </c>
      <c r="E236" s="18">
        <v>6094.3245920202407</v>
      </c>
      <c r="F236" s="18">
        <v>13810.176000000001</v>
      </c>
      <c r="G236" s="18">
        <v>13814.990077801944</v>
      </c>
      <c r="H236" s="19">
        <v>0.54815658564559855</v>
      </c>
      <c r="I236" s="19">
        <v>3.4858917090874186E-4</v>
      </c>
      <c r="J236" s="19">
        <v>0.1218613661722745</v>
      </c>
    </row>
    <row r="237" spans="1:10" ht="11.25" customHeight="1" x14ac:dyDescent="0.2">
      <c r="A237" s="28">
        <v>44501</v>
      </c>
      <c r="B237" s="18">
        <v>0</v>
      </c>
      <c r="C237" s="18">
        <v>0</v>
      </c>
      <c r="D237" s="18">
        <v>3936.5039999999999</v>
      </c>
      <c r="E237" s="18">
        <v>6094.3245920202407</v>
      </c>
      <c r="F237" s="18">
        <v>13810.176000000001</v>
      </c>
      <c r="G237" s="18">
        <v>13814.990077801944</v>
      </c>
      <c r="H237" s="19">
        <v>0.54815658564559855</v>
      </c>
      <c r="I237" s="19">
        <v>3.4858917090874186E-4</v>
      </c>
      <c r="J237" s="19">
        <v>0.1218613661722745</v>
      </c>
    </row>
    <row r="238" spans="1:10" ht="11.25" customHeight="1" x14ac:dyDescent="0.2">
      <c r="A238" s="28">
        <v>44531</v>
      </c>
      <c r="B238" s="18">
        <v>0</v>
      </c>
      <c r="C238" s="18">
        <v>0</v>
      </c>
      <c r="D238" s="18">
        <v>4468.4639999999999</v>
      </c>
      <c r="E238" s="18">
        <v>6917.8819693202731</v>
      </c>
      <c r="F238" s="18">
        <v>15676.416000000001</v>
      </c>
      <c r="G238" s="18">
        <v>15681.880628856261</v>
      </c>
      <c r="H238" s="19">
        <v>0.54815658564559833</v>
      </c>
      <c r="I238" s="19">
        <v>3.4858917090874186E-4</v>
      </c>
      <c r="J238" s="19">
        <v>0.12186136617227472</v>
      </c>
    </row>
    <row r="239" spans="1:10" ht="11.25" customHeight="1" x14ac:dyDescent="0.2">
      <c r="A239" s="28">
        <v>44562</v>
      </c>
      <c r="B239" s="18">
        <v>0</v>
      </c>
      <c r="C239" s="18">
        <v>0</v>
      </c>
      <c r="D239" s="18">
        <v>4595.5137799999993</v>
      </c>
      <c r="E239" s="18">
        <v>7114.5749229320973</v>
      </c>
      <c r="F239" s="18">
        <v>16122.136320000001</v>
      </c>
      <c r="G239" s="18">
        <v>16127.756322133067</v>
      </c>
      <c r="H239" s="19">
        <v>0.54815658564559855</v>
      </c>
      <c r="I239" s="19">
        <v>3.4858917090874186E-4</v>
      </c>
      <c r="J239" s="19">
        <v>0.12186136617227472</v>
      </c>
    </row>
    <row r="240" spans="1:10" ht="11.25" customHeight="1" x14ac:dyDescent="0.2">
      <c r="A240" s="28">
        <v>44593</v>
      </c>
      <c r="B240" s="18">
        <v>0</v>
      </c>
      <c r="C240" s="18">
        <v>0</v>
      </c>
      <c r="D240" s="18">
        <v>4268.0923999999995</v>
      </c>
      <c r="E240" s="18">
        <v>6607.6753572039279</v>
      </c>
      <c r="F240" s="18">
        <v>14973.465600000001</v>
      </c>
      <c r="G240" s="18">
        <v>14978.685187959136</v>
      </c>
      <c r="H240" s="19">
        <v>0.54815658564559855</v>
      </c>
      <c r="I240" s="19">
        <v>3.4858917090874186E-4</v>
      </c>
      <c r="J240" s="19">
        <v>0.12186136617227472</v>
      </c>
    </row>
    <row r="241" spans="1:10" ht="11.25" customHeight="1" x14ac:dyDescent="0.2">
      <c r="A241" s="28">
        <v>44621</v>
      </c>
      <c r="B241" s="18">
        <v>0</v>
      </c>
      <c r="C241" s="18">
        <v>0</v>
      </c>
      <c r="D241" s="18">
        <v>5349.5670799999998</v>
      </c>
      <c r="E241" s="18">
        <v>8281.9675052548937</v>
      </c>
      <c r="F241" s="18">
        <v>18767.53152</v>
      </c>
      <c r="G241" s="18">
        <v>18774.07367825256</v>
      </c>
      <c r="H241" s="19">
        <v>0.54815658564559855</v>
      </c>
      <c r="I241" s="19">
        <v>3.4858917090874186E-4</v>
      </c>
      <c r="J241" s="19">
        <v>0.12186136617227472</v>
      </c>
    </row>
    <row r="242" spans="1:10" ht="11.25" customHeight="1" x14ac:dyDescent="0.2">
      <c r="A242" s="28">
        <v>44652</v>
      </c>
      <c r="B242" s="18">
        <v>0</v>
      </c>
      <c r="C242" s="18">
        <v>0</v>
      </c>
      <c r="D242" s="18">
        <v>4270.7521999999999</v>
      </c>
      <c r="E242" s="18">
        <v>6611.7931440904285</v>
      </c>
      <c r="F242" s="18">
        <v>14982.796800000002</v>
      </c>
      <c r="G242" s="18">
        <v>14988.019640714407</v>
      </c>
      <c r="H242" s="19">
        <v>0.54815658564559855</v>
      </c>
      <c r="I242" s="19">
        <v>3.4858917090874186E-4</v>
      </c>
      <c r="J242" s="19">
        <v>0.12186136617227472</v>
      </c>
    </row>
    <row r="243" spans="1:10" ht="11.25" customHeight="1" x14ac:dyDescent="0.2">
      <c r="A243" s="28">
        <v>44682</v>
      </c>
      <c r="B243" s="18">
        <v>0</v>
      </c>
      <c r="C243" s="18">
        <v>0</v>
      </c>
      <c r="D243" s="18">
        <v>4270.7521999999999</v>
      </c>
      <c r="E243" s="18">
        <v>6611.7931440904285</v>
      </c>
      <c r="F243" s="18">
        <v>14982.796800000002</v>
      </c>
      <c r="G243" s="18">
        <v>14988.019640714407</v>
      </c>
      <c r="H243" s="19">
        <v>0.54815658564559855</v>
      </c>
      <c r="I243" s="19">
        <v>3.4858917090874186E-4</v>
      </c>
      <c r="J243" s="19">
        <v>0.12186136617227472</v>
      </c>
    </row>
    <row r="244" spans="1:10" ht="11.25" customHeight="1" x14ac:dyDescent="0.2">
      <c r="A244" s="27" t="s">
        <v>25</v>
      </c>
      <c r="B244" s="18">
        <v>64820.910000000018</v>
      </c>
      <c r="C244" s="18">
        <v>75730.100933406356</v>
      </c>
      <c r="D244" s="18">
        <v>0</v>
      </c>
      <c r="E244" s="18">
        <v>0</v>
      </c>
      <c r="F244" s="18">
        <v>0</v>
      </c>
      <c r="G244" s="18">
        <v>0</v>
      </c>
      <c r="H244" s="19">
        <v>0.16829740485603084</v>
      </c>
      <c r="I244" s="19">
        <v>0</v>
      </c>
      <c r="J244" s="19">
        <v>0.16829740485603084</v>
      </c>
    </row>
    <row r="245" spans="1:10" ht="11.25" customHeight="1" x14ac:dyDescent="0.2">
      <c r="A245" s="28">
        <v>44348</v>
      </c>
      <c r="B245" s="18">
        <v>4081.6000000000004</v>
      </c>
      <c r="C245" s="18">
        <v>4768.5226876603774</v>
      </c>
      <c r="D245" s="18">
        <v>0</v>
      </c>
      <c r="E245" s="18">
        <v>0</v>
      </c>
      <c r="F245" s="18">
        <v>0</v>
      </c>
      <c r="G245" s="18">
        <v>0</v>
      </c>
      <c r="H245" s="19">
        <v>0.16829740485603129</v>
      </c>
      <c r="I245" s="19">
        <v>0</v>
      </c>
      <c r="J245" s="19">
        <v>0.16829740485603129</v>
      </c>
    </row>
    <row r="246" spans="1:10" ht="11.25" customHeight="1" x14ac:dyDescent="0.2">
      <c r="A246" s="28">
        <v>44378</v>
      </c>
      <c r="B246" s="18">
        <v>4081.6000000000004</v>
      </c>
      <c r="C246" s="18">
        <v>4768.5226876603774</v>
      </c>
      <c r="D246" s="18">
        <v>0</v>
      </c>
      <c r="E246" s="18">
        <v>0</v>
      </c>
      <c r="F246" s="18">
        <v>0</v>
      </c>
      <c r="G246" s="18">
        <v>0</v>
      </c>
      <c r="H246" s="19">
        <v>0.16829740485603129</v>
      </c>
      <c r="I246" s="19">
        <v>0</v>
      </c>
      <c r="J246" s="19">
        <v>0.16829740485603129</v>
      </c>
    </row>
    <row r="247" spans="1:10" ht="11.25" customHeight="1" x14ac:dyDescent="0.2">
      <c r="A247" s="28">
        <v>44409</v>
      </c>
      <c r="B247" s="18">
        <v>4081.6000000000004</v>
      </c>
      <c r="C247" s="18">
        <v>4768.5226876603774</v>
      </c>
      <c r="D247" s="18">
        <v>0</v>
      </c>
      <c r="E247" s="18">
        <v>0</v>
      </c>
      <c r="F247" s="18">
        <v>0</v>
      </c>
      <c r="G247" s="18">
        <v>0</v>
      </c>
      <c r="H247" s="19">
        <v>0.16829740485603129</v>
      </c>
      <c r="I247" s="19">
        <v>0</v>
      </c>
      <c r="J247" s="19">
        <v>0.16829740485603129</v>
      </c>
    </row>
    <row r="248" spans="1:10" ht="11.25" customHeight="1" x14ac:dyDescent="0.2">
      <c r="A248" s="28">
        <v>44440</v>
      </c>
      <c r="B248" s="18">
        <v>6734.64</v>
      </c>
      <c r="C248" s="18">
        <v>7868.0624346396216</v>
      </c>
      <c r="D248" s="18">
        <v>0</v>
      </c>
      <c r="E248" s="18">
        <v>0</v>
      </c>
      <c r="F248" s="18">
        <v>0</v>
      </c>
      <c r="G248" s="18">
        <v>0</v>
      </c>
      <c r="H248" s="19">
        <v>0.16829740485603106</v>
      </c>
      <c r="I248" s="19">
        <v>0</v>
      </c>
      <c r="J248" s="19">
        <v>0.16829740485603106</v>
      </c>
    </row>
    <row r="249" spans="1:10" ht="11.25" customHeight="1" x14ac:dyDescent="0.2">
      <c r="A249" s="28">
        <v>44470</v>
      </c>
      <c r="B249" s="18">
        <v>5204.04</v>
      </c>
      <c r="C249" s="18">
        <v>6079.866426766981</v>
      </c>
      <c r="D249" s="18">
        <v>0</v>
      </c>
      <c r="E249" s="18">
        <v>0</v>
      </c>
      <c r="F249" s="18">
        <v>0</v>
      </c>
      <c r="G249" s="18">
        <v>0</v>
      </c>
      <c r="H249" s="19">
        <v>0.16829740485603129</v>
      </c>
      <c r="I249" s="19">
        <v>0</v>
      </c>
      <c r="J249" s="19">
        <v>0.16829740485603129</v>
      </c>
    </row>
    <row r="250" spans="1:10" ht="11.25" customHeight="1" x14ac:dyDescent="0.2">
      <c r="A250" s="28">
        <v>44501</v>
      </c>
      <c r="B250" s="18">
        <v>6122.4000000000005</v>
      </c>
      <c r="C250" s="18">
        <v>7152.7840314905652</v>
      </c>
      <c r="D250" s="18">
        <v>0</v>
      </c>
      <c r="E250" s="18">
        <v>0</v>
      </c>
      <c r="F250" s="18">
        <v>0</v>
      </c>
      <c r="G250" s="18">
        <v>0</v>
      </c>
      <c r="H250" s="19">
        <v>0.16829740485603106</v>
      </c>
      <c r="I250" s="19">
        <v>0</v>
      </c>
      <c r="J250" s="19">
        <v>0.16829740485603106</v>
      </c>
    </row>
    <row r="251" spans="1:10" ht="11.25" customHeight="1" x14ac:dyDescent="0.2">
      <c r="A251" s="28">
        <v>44531</v>
      </c>
      <c r="B251" s="18">
        <v>7040.76</v>
      </c>
      <c r="C251" s="18">
        <v>8225.7016362141494</v>
      </c>
      <c r="D251" s="18">
        <v>0</v>
      </c>
      <c r="E251" s="18">
        <v>0</v>
      </c>
      <c r="F251" s="18">
        <v>0</v>
      </c>
      <c r="G251" s="18">
        <v>0</v>
      </c>
      <c r="H251" s="19">
        <v>0.16829740485603106</v>
      </c>
      <c r="I251" s="19">
        <v>0</v>
      </c>
      <c r="J251" s="19">
        <v>0.16829740485603106</v>
      </c>
    </row>
    <row r="252" spans="1:10" ht="11.25" customHeight="1" x14ac:dyDescent="0.2">
      <c r="A252" s="28">
        <v>44562</v>
      </c>
      <c r="B252" s="18">
        <v>5306.08</v>
      </c>
      <c r="C252" s="18">
        <v>6199.0794939584903</v>
      </c>
      <c r="D252" s="18">
        <v>0</v>
      </c>
      <c r="E252" s="18">
        <v>0</v>
      </c>
      <c r="F252" s="18">
        <v>0</v>
      </c>
      <c r="G252" s="18">
        <v>0</v>
      </c>
      <c r="H252" s="19">
        <v>0.16829740485603129</v>
      </c>
      <c r="I252" s="19">
        <v>0</v>
      </c>
      <c r="J252" s="19">
        <v>0.16829740485603129</v>
      </c>
    </row>
    <row r="253" spans="1:10" ht="11.25" customHeight="1" x14ac:dyDescent="0.2">
      <c r="A253" s="28">
        <v>44593</v>
      </c>
      <c r="B253" s="18">
        <v>5561.18</v>
      </c>
      <c r="C253" s="18">
        <v>6497.1121619372634</v>
      </c>
      <c r="D253" s="18">
        <v>0</v>
      </c>
      <c r="E253" s="18">
        <v>0</v>
      </c>
      <c r="F253" s="18">
        <v>0</v>
      </c>
      <c r="G253" s="18">
        <v>0</v>
      </c>
      <c r="H253" s="19">
        <v>0.16829740485603106</v>
      </c>
      <c r="I253" s="19">
        <v>0</v>
      </c>
      <c r="J253" s="19">
        <v>0.16829740485603106</v>
      </c>
    </row>
    <row r="254" spans="1:10" ht="11.25" customHeight="1" x14ac:dyDescent="0.2">
      <c r="A254" s="28">
        <v>44621</v>
      </c>
      <c r="B254" s="18">
        <v>6147.9100000000008</v>
      </c>
      <c r="C254" s="18">
        <v>7182.587298288443</v>
      </c>
      <c r="D254" s="18">
        <v>0</v>
      </c>
      <c r="E254" s="18">
        <v>0</v>
      </c>
      <c r="F254" s="18">
        <v>0</v>
      </c>
      <c r="G254" s="18">
        <v>0</v>
      </c>
      <c r="H254" s="19">
        <v>0.16829740485603106</v>
      </c>
      <c r="I254" s="19">
        <v>0</v>
      </c>
      <c r="J254" s="19">
        <v>0.16829740485603106</v>
      </c>
    </row>
    <row r="255" spans="1:10" ht="11.25" customHeight="1" x14ac:dyDescent="0.2">
      <c r="A255" s="28">
        <v>44652</v>
      </c>
      <c r="B255" s="18">
        <v>5229.55</v>
      </c>
      <c r="C255" s="18">
        <v>6109.6696935648579</v>
      </c>
      <c r="D255" s="18">
        <v>0</v>
      </c>
      <c r="E255" s="18">
        <v>0</v>
      </c>
      <c r="F255" s="18">
        <v>0</v>
      </c>
      <c r="G255" s="18">
        <v>0</v>
      </c>
      <c r="H255" s="19">
        <v>0.16829740485603106</v>
      </c>
      <c r="I255" s="19">
        <v>0</v>
      </c>
      <c r="J255" s="19">
        <v>0.16829740485603106</v>
      </c>
    </row>
    <row r="256" spans="1:10" ht="11.25" customHeight="1" x14ac:dyDescent="0.2">
      <c r="A256" s="28">
        <v>44682</v>
      </c>
      <c r="B256" s="18">
        <v>5229.55</v>
      </c>
      <c r="C256" s="18">
        <v>6109.6696935648579</v>
      </c>
      <c r="D256" s="18">
        <v>0</v>
      </c>
      <c r="E256" s="18">
        <v>0</v>
      </c>
      <c r="F256" s="18">
        <v>0</v>
      </c>
      <c r="G256" s="18">
        <v>0</v>
      </c>
      <c r="H256" s="19">
        <v>0.16829740485603106</v>
      </c>
      <c r="I256" s="19">
        <v>0</v>
      </c>
      <c r="J256" s="19">
        <v>0.16829740485603106</v>
      </c>
    </row>
    <row r="257" spans="1:10" ht="11.25" customHeight="1" x14ac:dyDescent="0.2">
      <c r="A257" s="27" t="s">
        <v>34</v>
      </c>
      <c r="B257" s="18">
        <v>0</v>
      </c>
      <c r="C257" s="18">
        <v>0</v>
      </c>
      <c r="D257" s="18">
        <v>78030.182559999987</v>
      </c>
      <c r="E257" s="18">
        <v>91368.91203432648</v>
      </c>
      <c r="F257" s="18">
        <v>23015.406200000005</v>
      </c>
      <c r="G257" s="18">
        <v>23494.878915299378</v>
      </c>
      <c r="H257" s="19">
        <v>0.17094320475374891</v>
      </c>
      <c r="I257" s="19">
        <v>2.0832685338370016E-2</v>
      </c>
      <c r="J257" s="19">
        <v>0.13675215671657281</v>
      </c>
    </row>
    <row r="258" spans="1:10" ht="11.25" customHeight="1" x14ac:dyDescent="0.2">
      <c r="A258" s="28">
        <v>44348</v>
      </c>
      <c r="B258" s="18">
        <v>0</v>
      </c>
      <c r="C258" s="18">
        <v>0</v>
      </c>
      <c r="D258" s="18">
        <v>6055.6319999999996</v>
      </c>
      <c r="E258" s="18">
        <v>7090.8011408893535</v>
      </c>
      <c r="F258" s="18">
        <v>1786.1399999999999</v>
      </c>
      <c r="G258" s="18">
        <v>1823.3500925902767</v>
      </c>
      <c r="H258" s="19">
        <v>0.17094320475374891</v>
      </c>
      <c r="I258" s="19">
        <v>2.083268533837046E-2</v>
      </c>
      <c r="J258" s="19">
        <v>0.13675215671657259</v>
      </c>
    </row>
    <row r="259" spans="1:10" ht="11.25" customHeight="1" x14ac:dyDescent="0.2">
      <c r="A259" s="28">
        <v>44378</v>
      </c>
      <c r="B259" s="18">
        <v>0</v>
      </c>
      <c r="C259" s="18">
        <v>0</v>
      </c>
      <c r="D259" s="18">
        <v>6055.6319999999996</v>
      </c>
      <c r="E259" s="18">
        <v>7090.8011408893535</v>
      </c>
      <c r="F259" s="18">
        <v>1786.1399999999999</v>
      </c>
      <c r="G259" s="18">
        <v>1823.3500925902767</v>
      </c>
      <c r="H259" s="19">
        <v>0.17094320475374891</v>
      </c>
      <c r="I259" s="19">
        <v>2.083268533837046E-2</v>
      </c>
      <c r="J259" s="19">
        <v>0.13675215671657259</v>
      </c>
    </row>
    <row r="260" spans="1:10" ht="11.25" customHeight="1" x14ac:dyDescent="0.2">
      <c r="A260" s="28">
        <v>44409</v>
      </c>
      <c r="B260" s="18">
        <v>0</v>
      </c>
      <c r="C260" s="18">
        <v>0</v>
      </c>
      <c r="D260" s="18">
        <v>6055.6319999999996</v>
      </c>
      <c r="E260" s="18">
        <v>7090.8011408893535</v>
      </c>
      <c r="F260" s="18">
        <v>1786.1399999999999</v>
      </c>
      <c r="G260" s="18">
        <v>1823.3500925902767</v>
      </c>
      <c r="H260" s="19">
        <v>0.17094320475374891</v>
      </c>
      <c r="I260" s="19">
        <v>2.083268533837046E-2</v>
      </c>
      <c r="J260" s="19">
        <v>0.13675215671657259</v>
      </c>
    </row>
    <row r="261" spans="1:10" ht="11.25" customHeight="1" x14ac:dyDescent="0.2">
      <c r="A261" s="28">
        <v>44440</v>
      </c>
      <c r="B261" s="18">
        <v>0</v>
      </c>
      <c r="C261" s="18">
        <v>0</v>
      </c>
      <c r="D261" s="18">
        <v>8074.1759999999995</v>
      </c>
      <c r="E261" s="18">
        <v>9454.4015211858041</v>
      </c>
      <c r="F261" s="18">
        <v>2381.52</v>
      </c>
      <c r="G261" s="18">
        <v>2431.1334567870354</v>
      </c>
      <c r="H261" s="19">
        <v>0.17094320475374891</v>
      </c>
      <c r="I261" s="19">
        <v>2.0832685338370238E-2</v>
      </c>
      <c r="J261" s="19">
        <v>0.13675215671657237</v>
      </c>
    </row>
    <row r="262" spans="1:10" ht="11.25" customHeight="1" x14ac:dyDescent="0.2">
      <c r="A262" s="28">
        <v>44470</v>
      </c>
      <c r="B262" s="18">
        <v>0</v>
      </c>
      <c r="C262" s="18">
        <v>0</v>
      </c>
      <c r="D262" s="18">
        <v>6055.6319999999996</v>
      </c>
      <c r="E262" s="18">
        <v>7090.8011408893535</v>
      </c>
      <c r="F262" s="18">
        <v>1786.1399999999999</v>
      </c>
      <c r="G262" s="18">
        <v>1823.3500925902767</v>
      </c>
      <c r="H262" s="19">
        <v>0.17094320475374891</v>
      </c>
      <c r="I262" s="19">
        <v>2.083268533837046E-2</v>
      </c>
      <c r="J262" s="19">
        <v>0.13675215671657259</v>
      </c>
    </row>
    <row r="263" spans="1:10" ht="11.25" customHeight="1" x14ac:dyDescent="0.2">
      <c r="A263" s="28">
        <v>44501</v>
      </c>
      <c r="B263" s="18">
        <v>0</v>
      </c>
      <c r="C263" s="18">
        <v>0</v>
      </c>
      <c r="D263" s="18">
        <v>6055.6319999999996</v>
      </c>
      <c r="E263" s="18">
        <v>7090.8011408893535</v>
      </c>
      <c r="F263" s="18">
        <v>1786.1399999999999</v>
      </c>
      <c r="G263" s="18">
        <v>1823.3500925902767</v>
      </c>
      <c r="H263" s="19">
        <v>0.17094320475374891</v>
      </c>
      <c r="I263" s="19">
        <v>2.083268533837046E-2</v>
      </c>
      <c r="J263" s="19">
        <v>0.13675215671657259</v>
      </c>
    </row>
    <row r="264" spans="1:10" ht="11.25" customHeight="1" x14ac:dyDescent="0.2">
      <c r="A264" s="28">
        <v>44531</v>
      </c>
      <c r="B264" s="18">
        <v>0</v>
      </c>
      <c r="C264" s="18">
        <v>0</v>
      </c>
      <c r="D264" s="18">
        <v>6055.6319999999996</v>
      </c>
      <c r="E264" s="18">
        <v>7090.8011408893535</v>
      </c>
      <c r="F264" s="18">
        <v>1786.1399999999999</v>
      </c>
      <c r="G264" s="18">
        <v>1823.3500925902767</v>
      </c>
      <c r="H264" s="19">
        <v>0.17094320475374891</v>
      </c>
      <c r="I264" s="19">
        <v>2.083268533837046E-2</v>
      </c>
      <c r="J264" s="19">
        <v>0.13675215671657259</v>
      </c>
    </row>
    <row r="265" spans="1:10" ht="11.25" customHeight="1" x14ac:dyDescent="0.2">
      <c r="A265" s="28">
        <v>44562</v>
      </c>
      <c r="B265" s="18">
        <v>0</v>
      </c>
      <c r="C265" s="18">
        <v>0</v>
      </c>
      <c r="D265" s="18">
        <v>7503.93732</v>
      </c>
      <c r="E265" s="18">
        <v>8786.6844137520584</v>
      </c>
      <c r="F265" s="18">
        <v>2213.3251500000001</v>
      </c>
      <c r="G265" s="18">
        <v>2259.4346564014513</v>
      </c>
      <c r="H265" s="19">
        <v>0.17094320475374891</v>
      </c>
      <c r="I265" s="19">
        <v>2.0832685338370238E-2</v>
      </c>
      <c r="J265" s="19">
        <v>0.13675215671657259</v>
      </c>
    </row>
    <row r="266" spans="1:10" ht="11.25" customHeight="1" x14ac:dyDescent="0.2">
      <c r="A266" s="28">
        <v>44593</v>
      </c>
      <c r="B266" s="18">
        <v>0</v>
      </c>
      <c r="C266" s="18">
        <v>0</v>
      </c>
      <c r="D266" s="18">
        <v>6435.7911199999999</v>
      </c>
      <c r="E266" s="18">
        <v>7535.9458791785182</v>
      </c>
      <c r="F266" s="18">
        <v>1898.2699</v>
      </c>
      <c r="G266" s="18">
        <v>1937.8159595139996</v>
      </c>
      <c r="H266" s="19">
        <v>0.17094320475374891</v>
      </c>
      <c r="I266" s="19">
        <v>2.0832685338370238E-2</v>
      </c>
      <c r="J266" s="19">
        <v>0.13675215671657237</v>
      </c>
    </row>
    <row r="267" spans="1:10" ht="11.25" customHeight="1" x14ac:dyDescent="0.2">
      <c r="A267" s="28">
        <v>44621</v>
      </c>
      <c r="B267" s="18">
        <v>0</v>
      </c>
      <c r="C267" s="18">
        <v>0</v>
      </c>
      <c r="D267" s="18">
        <v>8136.4144399999986</v>
      </c>
      <c r="E267" s="18">
        <v>9527.2791995782773</v>
      </c>
      <c r="F267" s="18">
        <v>2399.8775499999997</v>
      </c>
      <c r="G267" s="18">
        <v>2449.8734438497686</v>
      </c>
      <c r="H267" s="19">
        <v>0.17094320475374891</v>
      </c>
      <c r="I267" s="19">
        <v>2.0832685338370238E-2</v>
      </c>
      <c r="J267" s="19">
        <v>0.13675215671657259</v>
      </c>
    </row>
    <row r="268" spans="1:10" ht="11.25" customHeight="1" x14ac:dyDescent="0.2">
      <c r="A268" s="28">
        <v>44652</v>
      </c>
      <c r="B268" s="18">
        <v>0</v>
      </c>
      <c r="C268" s="18">
        <v>0</v>
      </c>
      <c r="D268" s="18">
        <v>5773.0358399999996</v>
      </c>
      <c r="E268" s="18">
        <v>6759.8970876478497</v>
      </c>
      <c r="F268" s="18">
        <v>1702.7867999999999</v>
      </c>
      <c r="G268" s="18">
        <v>1738.2604216027303</v>
      </c>
      <c r="H268" s="19">
        <v>0.17094320475374891</v>
      </c>
      <c r="I268" s="19">
        <v>2.0832685338370238E-2</v>
      </c>
      <c r="J268" s="19">
        <v>0.13675215671657259</v>
      </c>
    </row>
    <row r="269" spans="1:10" ht="11.25" customHeight="1" x14ac:dyDescent="0.2">
      <c r="A269" s="28">
        <v>44682</v>
      </c>
      <c r="B269" s="18">
        <v>0</v>
      </c>
      <c r="C269" s="18">
        <v>0</v>
      </c>
      <c r="D269" s="18">
        <v>5773.0358399999996</v>
      </c>
      <c r="E269" s="18">
        <v>6759.8970876478497</v>
      </c>
      <c r="F269" s="18">
        <v>1702.7867999999999</v>
      </c>
      <c r="G269" s="18">
        <v>1738.2604216027303</v>
      </c>
      <c r="H269" s="19">
        <v>0.17094320475374891</v>
      </c>
      <c r="I269" s="19">
        <v>2.0832685338370238E-2</v>
      </c>
      <c r="J269" s="19">
        <v>0.13675215671657259</v>
      </c>
    </row>
    <row r="270" spans="1:10" ht="11.25" customHeight="1" x14ac:dyDescent="0.2">
      <c r="A270" s="23" t="s">
        <v>38</v>
      </c>
      <c r="B270" s="18">
        <v>11842124.650000002</v>
      </c>
      <c r="C270" s="18">
        <v>13835123.496576637</v>
      </c>
      <c r="D270" s="18">
        <v>8506671.3734200001</v>
      </c>
      <c r="E270" s="18">
        <v>11954121.094809709</v>
      </c>
      <c r="F270" s="18">
        <v>19488872.942170002</v>
      </c>
      <c r="G270" s="18">
        <v>19515136.032298803</v>
      </c>
      <c r="H270" s="19">
        <v>0.26735972790256368</v>
      </c>
      <c r="I270" s="19">
        <v>1.3475940967306865E-3</v>
      </c>
      <c r="J270" s="19">
        <v>0.13722468708741609</v>
      </c>
    </row>
    <row r="271" spans="1:10" ht="11.25" customHeight="1" x14ac:dyDescent="0.2">
      <c r="A271" s="24" t="s">
        <v>25</v>
      </c>
      <c r="B271" s="18">
        <v>11842124.650000002</v>
      </c>
      <c r="C271" s="18">
        <v>13835123.496576637</v>
      </c>
      <c r="D271" s="18">
        <v>8506671.3734200001</v>
      </c>
      <c r="E271" s="18">
        <v>11954121.094809709</v>
      </c>
      <c r="F271" s="18">
        <v>19488872.942170002</v>
      </c>
      <c r="G271" s="18">
        <v>19515136.032298803</v>
      </c>
      <c r="H271" s="19">
        <v>0.26735972790256368</v>
      </c>
      <c r="I271" s="19">
        <v>1.3475940967306865E-3</v>
      </c>
      <c r="J271" s="19">
        <v>0.13722468708741609</v>
      </c>
    </row>
    <row r="272" spans="1:10" ht="11.25" customHeight="1" x14ac:dyDescent="0.2">
      <c r="A272" s="25" t="s">
        <v>25</v>
      </c>
      <c r="B272" s="18">
        <v>11842124.650000002</v>
      </c>
      <c r="C272" s="18">
        <v>13835123.496576637</v>
      </c>
      <c r="D272" s="18">
        <v>8506671.3734200001</v>
      </c>
      <c r="E272" s="18">
        <v>11954121.094809709</v>
      </c>
      <c r="F272" s="18">
        <v>19488872.942170002</v>
      </c>
      <c r="G272" s="18">
        <v>19515136.032298803</v>
      </c>
      <c r="H272" s="19">
        <v>0.26735972790256368</v>
      </c>
      <c r="I272" s="19">
        <v>1.3475940967306865E-3</v>
      </c>
      <c r="J272" s="19">
        <v>0.13722468708741609</v>
      </c>
    </row>
    <row r="273" spans="1:10" ht="11.25" customHeight="1" x14ac:dyDescent="0.2">
      <c r="A273" s="26" t="s">
        <v>25</v>
      </c>
      <c r="B273" s="18">
        <v>11842124.650000002</v>
      </c>
      <c r="C273" s="18">
        <v>13835123.496576637</v>
      </c>
      <c r="D273" s="18">
        <v>8506671.3734200001</v>
      </c>
      <c r="E273" s="18">
        <v>11954121.094809709</v>
      </c>
      <c r="F273" s="18">
        <v>19488872.942170002</v>
      </c>
      <c r="G273" s="18">
        <v>19515136.032298803</v>
      </c>
      <c r="H273" s="19">
        <v>0.26735972790256368</v>
      </c>
      <c r="I273" s="19">
        <v>1.3475940967306865E-3</v>
      </c>
      <c r="J273" s="19">
        <v>0.13722468708741609</v>
      </c>
    </row>
    <row r="274" spans="1:10" ht="11.25" customHeight="1" x14ac:dyDescent="0.2">
      <c r="A274" s="27" t="s">
        <v>35</v>
      </c>
      <c r="B274" s="18">
        <v>0</v>
      </c>
      <c r="C274" s="18">
        <v>0</v>
      </c>
      <c r="D274" s="18">
        <v>5284255.9569800003</v>
      </c>
      <c r="E274" s="18">
        <v>8180855.6600355711</v>
      </c>
      <c r="F274" s="18">
        <v>18538404.83712</v>
      </c>
      <c r="G274" s="18">
        <v>18544867.124292143</v>
      </c>
      <c r="H274" s="19">
        <v>0.54815658564559877</v>
      </c>
      <c r="I274" s="19">
        <v>3.4858917090851982E-4</v>
      </c>
      <c r="J274" s="19">
        <v>0.1218613661722745</v>
      </c>
    </row>
    <row r="275" spans="1:10" ht="11.25" customHeight="1" x14ac:dyDescent="0.2">
      <c r="A275" s="28">
        <v>44348</v>
      </c>
      <c r="B275" s="18">
        <v>0</v>
      </c>
      <c r="C275" s="18">
        <v>0</v>
      </c>
      <c r="D275" s="18">
        <v>491974.87195999996</v>
      </c>
      <c r="E275" s="18">
        <v>761654.13799702411</v>
      </c>
      <c r="F275" s="18">
        <v>1725962.8262400001</v>
      </c>
      <c r="G275" s="18">
        <v>1726564.4781906183</v>
      </c>
      <c r="H275" s="19">
        <v>0.54815658564559855</v>
      </c>
      <c r="I275" s="19">
        <v>3.4858917090874186E-4</v>
      </c>
      <c r="J275" s="19">
        <v>0.12186136617227472</v>
      </c>
    </row>
    <row r="276" spans="1:10" ht="11.25" customHeight="1" x14ac:dyDescent="0.2">
      <c r="A276" s="28">
        <v>44378</v>
      </c>
      <c r="B276" s="18">
        <v>0</v>
      </c>
      <c r="C276" s="18">
        <v>0</v>
      </c>
      <c r="D276" s="18">
        <v>504958.77432000003</v>
      </c>
      <c r="E276" s="18">
        <v>781755.25194303761</v>
      </c>
      <c r="F276" s="18">
        <v>1771513.39008</v>
      </c>
      <c r="G276" s="18">
        <v>1772130.9204639017</v>
      </c>
      <c r="H276" s="19">
        <v>0.54815658564559855</v>
      </c>
      <c r="I276" s="19">
        <v>3.4858917090874186E-4</v>
      </c>
      <c r="J276" s="19">
        <v>0.12186136617227472</v>
      </c>
    </row>
    <row r="277" spans="1:10" ht="11.25" customHeight="1" x14ac:dyDescent="0.2">
      <c r="A277" s="28">
        <v>44409</v>
      </c>
      <c r="B277" s="18">
        <v>0</v>
      </c>
      <c r="C277" s="18">
        <v>0</v>
      </c>
      <c r="D277" s="18">
        <v>485638.43041999999</v>
      </c>
      <c r="E277" s="18">
        <v>751844.33429731475</v>
      </c>
      <c r="F277" s="18">
        <v>1703733.1084800002</v>
      </c>
      <c r="G277" s="18">
        <v>1704327.0113917349</v>
      </c>
      <c r="H277" s="19">
        <v>0.54815658564559855</v>
      </c>
      <c r="I277" s="19">
        <v>3.4858917090874186E-4</v>
      </c>
      <c r="J277" s="19">
        <v>0.12186136617227494</v>
      </c>
    </row>
    <row r="278" spans="1:10" ht="11.25" customHeight="1" x14ac:dyDescent="0.2">
      <c r="A278" s="28">
        <v>44440</v>
      </c>
      <c r="B278" s="18">
        <v>0</v>
      </c>
      <c r="C278" s="18">
        <v>0</v>
      </c>
      <c r="D278" s="18">
        <v>489876.73306</v>
      </c>
      <c r="E278" s="18">
        <v>758405.89044138987</v>
      </c>
      <c r="F278" s="18">
        <v>1718602.0646400002</v>
      </c>
      <c r="G278" s="18">
        <v>1719201.1507088351</v>
      </c>
      <c r="H278" s="19">
        <v>0.54815658564559855</v>
      </c>
      <c r="I278" s="19">
        <v>3.4858917090874186E-4</v>
      </c>
      <c r="J278" s="19">
        <v>0.12186136617227472</v>
      </c>
    </row>
    <row r="279" spans="1:10" ht="11.25" customHeight="1" x14ac:dyDescent="0.2">
      <c r="A279" s="28">
        <v>44470</v>
      </c>
      <c r="B279" s="18">
        <v>0</v>
      </c>
      <c r="C279" s="18">
        <v>0</v>
      </c>
      <c r="D279" s="18">
        <v>473110.50643999997</v>
      </c>
      <c r="E279" s="18">
        <v>732449.14628321026</v>
      </c>
      <c r="F279" s="18">
        <v>1659782.2233599999</v>
      </c>
      <c r="G279" s="18">
        <v>1660360.8054691302</v>
      </c>
      <c r="H279" s="19">
        <v>0.54815658564559833</v>
      </c>
      <c r="I279" s="19">
        <v>3.4858917090874186E-4</v>
      </c>
      <c r="J279" s="19">
        <v>0.12186136617227472</v>
      </c>
    </row>
    <row r="280" spans="1:10" ht="11.25" customHeight="1" x14ac:dyDescent="0.2">
      <c r="A280" s="28">
        <v>44501</v>
      </c>
      <c r="B280" s="18">
        <v>0</v>
      </c>
      <c r="C280" s="18">
        <v>0</v>
      </c>
      <c r="D280" s="18">
        <v>463514.56865999999</v>
      </c>
      <c r="E280" s="18">
        <v>717593.13201365795</v>
      </c>
      <c r="F280" s="18">
        <v>1626117.4310400002</v>
      </c>
      <c r="G280" s="18">
        <v>1626684.2779670868</v>
      </c>
      <c r="H280" s="19">
        <v>0.54815658564559855</v>
      </c>
      <c r="I280" s="19">
        <v>3.4858917090874186E-4</v>
      </c>
      <c r="J280" s="19">
        <v>0.12186136617227472</v>
      </c>
    </row>
    <row r="281" spans="1:10" ht="11.25" customHeight="1" x14ac:dyDescent="0.2">
      <c r="A281" s="28">
        <v>44531</v>
      </c>
      <c r="B281" s="18">
        <v>0</v>
      </c>
      <c r="C281" s="18">
        <v>0</v>
      </c>
      <c r="D281" s="18">
        <v>432977.75949999999</v>
      </c>
      <c r="E281" s="18">
        <v>670317.36980800109</v>
      </c>
      <c r="F281" s="18">
        <v>1518987.1680000001</v>
      </c>
      <c r="G281" s="18">
        <v>1519516.6704775142</v>
      </c>
      <c r="H281" s="19">
        <v>0.54815658564559855</v>
      </c>
      <c r="I281" s="19">
        <v>3.4858917090874186E-4</v>
      </c>
      <c r="J281" s="19">
        <v>0.12186136617227472</v>
      </c>
    </row>
    <row r="282" spans="1:10" ht="11.25" customHeight="1" x14ac:dyDescent="0.2">
      <c r="A282" s="28">
        <v>44562</v>
      </c>
      <c r="B282" s="18">
        <v>0</v>
      </c>
      <c r="C282" s="18">
        <v>0</v>
      </c>
      <c r="D282" s="18">
        <v>423495.92713999999</v>
      </c>
      <c r="E282" s="18">
        <v>655638.00859587966</v>
      </c>
      <c r="F282" s="18">
        <v>1485722.6841600002</v>
      </c>
      <c r="G282" s="18">
        <v>1486240.5909986717</v>
      </c>
      <c r="H282" s="19">
        <v>0.54815658564559877</v>
      </c>
      <c r="I282" s="19">
        <v>3.4858917090874186E-4</v>
      </c>
      <c r="J282" s="19">
        <v>0.1218613661722745</v>
      </c>
    </row>
    <row r="283" spans="1:10" ht="11.25" customHeight="1" x14ac:dyDescent="0.2">
      <c r="A283" s="28">
        <v>44593</v>
      </c>
      <c r="B283" s="18">
        <v>0</v>
      </c>
      <c r="C283" s="18">
        <v>0</v>
      </c>
      <c r="D283" s="18">
        <v>386187.08985999995</v>
      </c>
      <c r="E283" s="18">
        <v>597878.08645806753</v>
      </c>
      <c r="F283" s="18">
        <v>1354834.5638400002</v>
      </c>
      <c r="G283" s="18">
        <v>1355306.8444973277</v>
      </c>
      <c r="H283" s="19">
        <v>0.54815658564559877</v>
      </c>
      <c r="I283" s="19">
        <v>3.4858917090874186E-4</v>
      </c>
      <c r="J283" s="19">
        <v>0.12186136617227472</v>
      </c>
    </row>
    <row r="284" spans="1:10" ht="11.25" customHeight="1" x14ac:dyDescent="0.2">
      <c r="A284" s="28">
        <v>44621</v>
      </c>
      <c r="B284" s="18">
        <v>0</v>
      </c>
      <c r="C284" s="18">
        <v>0</v>
      </c>
      <c r="D284" s="18">
        <v>384423.64246</v>
      </c>
      <c r="E284" s="18">
        <v>595147.99375231797</v>
      </c>
      <c r="F284" s="18">
        <v>1348647.9782400003</v>
      </c>
      <c r="G284" s="18">
        <v>1349118.1023205826</v>
      </c>
      <c r="H284" s="19">
        <v>0.54815658564559855</v>
      </c>
      <c r="I284" s="19">
        <v>3.4858917090874186E-4</v>
      </c>
      <c r="J284" s="19">
        <v>0.12186136617227472</v>
      </c>
    </row>
    <row r="285" spans="1:10" ht="11.25" customHeight="1" x14ac:dyDescent="0.2">
      <c r="A285" s="28">
        <v>44652</v>
      </c>
      <c r="B285" s="18">
        <v>0</v>
      </c>
      <c r="C285" s="18">
        <v>0</v>
      </c>
      <c r="D285" s="18">
        <v>374048.82657999999</v>
      </c>
      <c r="E285" s="18">
        <v>579086.15422283532</v>
      </c>
      <c r="F285" s="18">
        <v>1312250.69952</v>
      </c>
      <c r="G285" s="18">
        <v>1312708.1359033701</v>
      </c>
      <c r="H285" s="19">
        <v>0.54815658564559833</v>
      </c>
      <c r="I285" s="19">
        <v>3.4858917090874186E-4</v>
      </c>
      <c r="J285" s="19">
        <v>0.12186136617227472</v>
      </c>
    </row>
    <row r="286" spans="1:10" ht="11.25" customHeight="1" x14ac:dyDescent="0.2">
      <c r="A286" s="28">
        <v>44682</v>
      </c>
      <c r="B286" s="18">
        <v>0</v>
      </c>
      <c r="C286" s="18">
        <v>0</v>
      </c>
      <c r="D286" s="18">
        <v>374048.82657999999</v>
      </c>
      <c r="E286" s="18">
        <v>579086.15422283532</v>
      </c>
      <c r="F286" s="18">
        <v>1312250.69952</v>
      </c>
      <c r="G286" s="18">
        <v>1312708.1359033701</v>
      </c>
      <c r="H286" s="19">
        <v>0.54815658564559833</v>
      </c>
      <c r="I286" s="19">
        <v>3.4858917090874186E-4</v>
      </c>
      <c r="J286" s="19">
        <v>0.12186136617227472</v>
      </c>
    </row>
    <row r="287" spans="1:10" ht="11.25" customHeight="1" x14ac:dyDescent="0.2">
      <c r="A287" s="27" t="s">
        <v>25</v>
      </c>
      <c r="B287" s="18">
        <v>11842124.650000002</v>
      </c>
      <c r="C287" s="18">
        <v>13835123.496576637</v>
      </c>
      <c r="D287" s="18">
        <v>0</v>
      </c>
      <c r="E287" s="18">
        <v>0</v>
      </c>
      <c r="F287" s="18">
        <v>0</v>
      </c>
      <c r="G287" s="18">
        <v>0</v>
      </c>
      <c r="H287" s="19">
        <v>0.16829740485603129</v>
      </c>
      <c r="I287" s="19">
        <v>0</v>
      </c>
      <c r="J287" s="19">
        <v>0.16829740485603129</v>
      </c>
    </row>
    <row r="288" spans="1:10" ht="11.25" customHeight="1" x14ac:dyDescent="0.2">
      <c r="A288" s="28">
        <v>44348</v>
      </c>
      <c r="B288" s="18">
        <v>957874.99</v>
      </c>
      <c r="C288" s="18">
        <v>1119082.8649934968</v>
      </c>
      <c r="D288" s="18">
        <v>0</v>
      </c>
      <c r="E288" s="18">
        <v>0</v>
      </c>
      <c r="F288" s="18">
        <v>0</v>
      </c>
      <c r="G288" s="18">
        <v>0</v>
      </c>
      <c r="H288" s="19">
        <v>0.16829740485603106</v>
      </c>
      <c r="I288" s="19">
        <v>0</v>
      </c>
      <c r="J288" s="19">
        <v>0.16829740485603106</v>
      </c>
    </row>
    <row r="289" spans="1:10" ht="11.25" customHeight="1" x14ac:dyDescent="0.2">
      <c r="A289" s="28">
        <v>44378</v>
      </c>
      <c r="B289" s="18">
        <v>972721.81000000017</v>
      </c>
      <c r="C289" s="18">
        <v>1136428.3662698616</v>
      </c>
      <c r="D289" s="18">
        <v>0</v>
      </c>
      <c r="E289" s="18">
        <v>0</v>
      </c>
      <c r="F289" s="18">
        <v>0</v>
      </c>
      <c r="G289" s="18">
        <v>0</v>
      </c>
      <c r="H289" s="19">
        <v>0.16829740485603106</v>
      </c>
      <c r="I289" s="19">
        <v>0</v>
      </c>
      <c r="J289" s="19">
        <v>0.16829740485603106</v>
      </c>
    </row>
    <row r="290" spans="1:10" ht="11.25" customHeight="1" x14ac:dyDescent="0.2">
      <c r="A290" s="28">
        <v>44409</v>
      </c>
      <c r="B290" s="18">
        <v>991216.55999999994</v>
      </c>
      <c r="C290" s="18">
        <v>1158035.7346983226</v>
      </c>
      <c r="D290" s="18">
        <v>0</v>
      </c>
      <c r="E290" s="18">
        <v>0</v>
      </c>
      <c r="F290" s="18">
        <v>0</v>
      </c>
      <c r="G290" s="18">
        <v>0</v>
      </c>
      <c r="H290" s="19">
        <v>0.16829740485603129</v>
      </c>
      <c r="I290" s="19">
        <v>0</v>
      </c>
      <c r="J290" s="19">
        <v>0.16829740485603129</v>
      </c>
    </row>
    <row r="291" spans="1:10" ht="11.25" customHeight="1" x14ac:dyDescent="0.2">
      <c r="A291" s="28">
        <v>44440</v>
      </c>
      <c r="B291" s="18">
        <v>990425.75000000012</v>
      </c>
      <c r="C291" s="18">
        <v>1157111.8334275882</v>
      </c>
      <c r="D291" s="18">
        <v>0</v>
      </c>
      <c r="E291" s="18">
        <v>0</v>
      </c>
      <c r="F291" s="18">
        <v>0</v>
      </c>
      <c r="G291" s="18">
        <v>0</v>
      </c>
      <c r="H291" s="19">
        <v>0.16829740485603084</v>
      </c>
      <c r="I291" s="19">
        <v>0</v>
      </c>
      <c r="J291" s="19">
        <v>0.16829740485603084</v>
      </c>
    </row>
    <row r="292" spans="1:10" ht="11.25" customHeight="1" x14ac:dyDescent="0.2">
      <c r="A292" s="28">
        <v>44470</v>
      </c>
      <c r="B292" s="18">
        <v>964073.92000000016</v>
      </c>
      <c r="C292" s="18">
        <v>1126325.0588253811</v>
      </c>
      <c r="D292" s="18">
        <v>0</v>
      </c>
      <c r="E292" s="18">
        <v>0</v>
      </c>
      <c r="F292" s="18">
        <v>0</v>
      </c>
      <c r="G292" s="18">
        <v>0</v>
      </c>
      <c r="H292" s="19">
        <v>0.16829740485603106</v>
      </c>
      <c r="I292" s="19">
        <v>0</v>
      </c>
      <c r="J292" s="19">
        <v>0.16829740485603106</v>
      </c>
    </row>
    <row r="293" spans="1:10" ht="11.25" customHeight="1" x14ac:dyDescent="0.2">
      <c r="A293" s="28">
        <v>44501</v>
      </c>
      <c r="B293" s="18">
        <v>954660.7300000001</v>
      </c>
      <c r="C293" s="18">
        <v>1115327.6533769644</v>
      </c>
      <c r="D293" s="18">
        <v>0</v>
      </c>
      <c r="E293" s="18">
        <v>0</v>
      </c>
      <c r="F293" s="18">
        <v>0</v>
      </c>
      <c r="G293" s="18">
        <v>0</v>
      </c>
      <c r="H293" s="19">
        <v>0.16829740485603129</v>
      </c>
      <c r="I293" s="19">
        <v>0</v>
      </c>
      <c r="J293" s="19">
        <v>0.16829740485603129</v>
      </c>
    </row>
    <row r="294" spans="1:10" ht="11.25" customHeight="1" x14ac:dyDescent="0.2">
      <c r="A294" s="28">
        <v>44531</v>
      </c>
      <c r="B294" s="18">
        <v>956905.6100000001</v>
      </c>
      <c r="C294" s="18">
        <v>1117950.3408551775</v>
      </c>
      <c r="D294" s="18">
        <v>0</v>
      </c>
      <c r="E294" s="18">
        <v>0</v>
      </c>
      <c r="F294" s="18">
        <v>0</v>
      </c>
      <c r="G294" s="18">
        <v>0</v>
      </c>
      <c r="H294" s="19">
        <v>0.16829740485603106</v>
      </c>
      <c r="I294" s="19">
        <v>0</v>
      </c>
      <c r="J294" s="19">
        <v>0.16829740485603106</v>
      </c>
    </row>
    <row r="295" spans="1:10" ht="11.25" customHeight="1" x14ac:dyDescent="0.2">
      <c r="A295" s="28">
        <v>44562</v>
      </c>
      <c r="B295" s="18">
        <v>1013920.4600000001</v>
      </c>
      <c r="C295" s="18">
        <v>1184560.6421484333</v>
      </c>
      <c r="D295" s="18">
        <v>0</v>
      </c>
      <c r="E295" s="18">
        <v>0</v>
      </c>
      <c r="F295" s="18">
        <v>0</v>
      </c>
      <c r="G295" s="18">
        <v>0</v>
      </c>
      <c r="H295" s="19">
        <v>0.16829740485603106</v>
      </c>
      <c r="I295" s="19">
        <v>0</v>
      </c>
      <c r="J295" s="19">
        <v>0.16829740485603106</v>
      </c>
    </row>
    <row r="296" spans="1:10" ht="11.25" customHeight="1" x14ac:dyDescent="0.2">
      <c r="A296" s="28">
        <v>44593</v>
      </c>
      <c r="B296" s="18">
        <v>994915.51000000013</v>
      </c>
      <c r="C296" s="18">
        <v>1162357.2083840147</v>
      </c>
      <c r="D296" s="18">
        <v>0</v>
      </c>
      <c r="E296" s="18">
        <v>0</v>
      </c>
      <c r="F296" s="18">
        <v>0</v>
      </c>
      <c r="G296" s="18">
        <v>0</v>
      </c>
      <c r="H296" s="19">
        <v>0.16829740485603106</v>
      </c>
      <c r="I296" s="19">
        <v>0</v>
      </c>
      <c r="J296" s="19">
        <v>0.16829740485603106</v>
      </c>
    </row>
    <row r="297" spans="1:10" ht="11.25" customHeight="1" x14ac:dyDescent="0.2">
      <c r="A297" s="28">
        <v>44621</v>
      </c>
      <c r="B297" s="18">
        <v>979558.49000000011</v>
      </c>
      <c r="C297" s="18">
        <v>1144415.6417716925</v>
      </c>
      <c r="D297" s="18">
        <v>0</v>
      </c>
      <c r="E297" s="18">
        <v>0</v>
      </c>
      <c r="F297" s="18">
        <v>0</v>
      </c>
      <c r="G297" s="18">
        <v>0</v>
      </c>
      <c r="H297" s="19">
        <v>0.16829740485603106</v>
      </c>
      <c r="I297" s="19">
        <v>0</v>
      </c>
      <c r="J297" s="19">
        <v>0.16829740485603106</v>
      </c>
    </row>
    <row r="298" spans="1:10" ht="11.25" customHeight="1" x14ac:dyDescent="0.2">
      <c r="A298" s="28">
        <v>44652</v>
      </c>
      <c r="B298" s="18">
        <v>1032925.4100000001</v>
      </c>
      <c r="C298" s="18">
        <v>1206764.0759128521</v>
      </c>
      <c r="D298" s="18">
        <v>0</v>
      </c>
      <c r="E298" s="18">
        <v>0</v>
      </c>
      <c r="F298" s="18">
        <v>0</v>
      </c>
      <c r="G298" s="18">
        <v>0</v>
      </c>
      <c r="H298" s="19">
        <v>0.16829740485603106</v>
      </c>
      <c r="I298" s="19">
        <v>0</v>
      </c>
      <c r="J298" s="19">
        <v>0.16829740485603106</v>
      </c>
    </row>
    <row r="299" spans="1:10" ht="11.25" customHeight="1" x14ac:dyDescent="0.2">
      <c r="A299" s="28">
        <v>44682</v>
      </c>
      <c r="B299" s="18">
        <v>1032925.4100000001</v>
      </c>
      <c r="C299" s="18">
        <v>1206764.0759128521</v>
      </c>
      <c r="D299" s="18">
        <v>0</v>
      </c>
      <c r="E299" s="18">
        <v>0</v>
      </c>
      <c r="F299" s="18">
        <v>0</v>
      </c>
      <c r="G299" s="18">
        <v>0</v>
      </c>
      <c r="H299" s="19">
        <v>0.16829740485603106</v>
      </c>
      <c r="I299" s="19">
        <v>0</v>
      </c>
      <c r="J299" s="19">
        <v>0.16829740485603106</v>
      </c>
    </row>
    <row r="300" spans="1:10" ht="11.25" customHeight="1" x14ac:dyDescent="0.2">
      <c r="A300" s="27" t="s">
        <v>34</v>
      </c>
      <c r="B300" s="18">
        <v>0</v>
      </c>
      <c r="C300" s="18">
        <v>0</v>
      </c>
      <c r="D300" s="18">
        <v>3222415.4164399998</v>
      </c>
      <c r="E300" s="18">
        <v>3773265.4347741394</v>
      </c>
      <c r="F300" s="18">
        <v>950468.10505000001</v>
      </c>
      <c r="G300" s="18">
        <v>970268.90800666367</v>
      </c>
      <c r="H300" s="19">
        <v>0.17094320475374891</v>
      </c>
      <c r="I300" s="19">
        <v>2.0832685338370238E-2</v>
      </c>
      <c r="J300" s="19">
        <v>0.13675215671657259</v>
      </c>
    </row>
    <row r="301" spans="1:10" ht="11.25" customHeight="1" x14ac:dyDescent="0.2">
      <c r="A301" s="28">
        <v>44348</v>
      </c>
      <c r="B301" s="18">
        <v>0</v>
      </c>
      <c r="C301" s="18">
        <v>0</v>
      </c>
      <c r="D301" s="18">
        <v>266552.09943999996</v>
      </c>
      <c r="E301" s="18">
        <v>312117.36955211352</v>
      </c>
      <c r="F301" s="18">
        <v>78620.921300000002</v>
      </c>
      <c r="G301" s="18">
        <v>80258.806214455675</v>
      </c>
      <c r="H301" s="19">
        <v>0.17094320475374891</v>
      </c>
      <c r="I301" s="19">
        <v>2.0832685338370238E-2</v>
      </c>
      <c r="J301" s="19">
        <v>0.13675215671657259</v>
      </c>
    </row>
    <row r="302" spans="1:10" ht="11.25" customHeight="1" x14ac:dyDescent="0.2">
      <c r="A302" s="28">
        <v>44378</v>
      </c>
      <c r="B302" s="18">
        <v>0</v>
      </c>
      <c r="C302" s="18">
        <v>0</v>
      </c>
      <c r="D302" s="18">
        <v>282446.45131999999</v>
      </c>
      <c r="E302" s="18">
        <v>330728.75287996448</v>
      </c>
      <c r="F302" s="18">
        <v>83309.042650000003</v>
      </c>
      <c r="G302" s="18">
        <v>85044.593721368321</v>
      </c>
      <c r="H302" s="19">
        <v>0.17094320475374869</v>
      </c>
      <c r="I302" s="19">
        <v>2.0832685338370238E-2</v>
      </c>
      <c r="J302" s="19">
        <v>0.13675215671657237</v>
      </c>
    </row>
    <row r="303" spans="1:10" ht="11.25" customHeight="1" x14ac:dyDescent="0.2">
      <c r="A303" s="28">
        <v>44409</v>
      </c>
      <c r="B303" s="18">
        <v>0</v>
      </c>
      <c r="C303" s="18">
        <v>0</v>
      </c>
      <c r="D303" s="18">
        <v>292392.82688000001</v>
      </c>
      <c r="E303" s="18">
        <v>342375.39375387522</v>
      </c>
      <c r="F303" s="18">
        <v>86242.777599999987</v>
      </c>
      <c r="G303" s="18">
        <v>88039.446248447843</v>
      </c>
      <c r="H303" s="19">
        <v>0.17094320475374869</v>
      </c>
      <c r="I303" s="19">
        <v>2.083268533837046E-2</v>
      </c>
      <c r="J303" s="19">
        <v>0.13675215671657237</v>
      </c>
    </row>
    <row r="304" spans="1:10" ht="11.25" customHeight="1" x14ac:dyDescent="0.2">
      <c r="A304" s="28">
        <v>44440</v>
      </c>
      <c r="B304" s="18">
        <v>0</v>
      </c>
      <c r="C304" s="18">
        <v>0</v>
      </c>
      <c r="D304" s="18">
        <v>322311.01319999999</v>
      </c>
      <c r="E304" s="18">
        <v>377407.89072383579</v>
      </c>
      <c r="F304" s="18">
        <v>95067.301500000001</v>
      </c>
      <c r="G304" s="18">
        <v>97047.808678117479</v>
      </c>
      <c r="H304" s="19">
        <v>0.17094320475374869</v>
      </c>
      <c r="I304" s="19">
        <v>2.0832685338370238E-2</v>
      </c>
      <c r="J304" s="19">
        <v>0.13675215671657237</v>
      </c>
    </row>
    <row r="305" spans="1:10" ht="11.25" customHeight="1" x14ac:dyDescent="0.2">
      <c r="A305" s="28">
        <v>44470</v>
      </c>
      <c r="B305" s="18">
        <v>0</v>
      </c>
      <c r="C305" s="18">
        <v>0</v>
      </c>
      <c r="D305" s="18">
        <v>299545.20111999998</v>
      </c>
      <c r="E305" s="18">
        <v>350750.41776805901</v>
      </c>
      <c r="F305" s="18">
        <v>88352.407399999996</v>
      </c>
      <c r="G305" s="18">
        <v>90193.025302251699</v>
      </c>
      <c r="H305" s="19">
        <v>0.17094320475374891</v>
      </c>
      <c r="I305" s="19">
        <v>2.0832685338370238E-2</v>
      </c>
      <c r="J305" s="19">
        <v>0.13675215671657237</v>
      </c>
    </row>
    <row r="306" spans="1:10" ht="11.25" customHeight="1" x14ac:dyDescent="0.2">
      <c r="A306" s="28">
        <v>44501</v>
      </c>
      <c r="B306" s="18">
        <v>0</v>
      </c>
      <c r="C306" s="18">
        <v>0</v>
      </c>
      <c r="D306" s="18">
        <v>294936.19231999997</v>
      </c>
      <c r="E306" s="18">
        <v>345353.53023304883</v>
      </c>
      <c r="F306" s="18">
        <v>86992.956399999995</v>
      </c>
      <c r="G306" s="18">
        <v>88805.253287335756</v>
      </c>
      <c r="H306" s="19">
        <v>0.17094320475374913</v>
      </c>
      <c r="I306" s="19">
        <v>2.0832685338370238E-2</v>
      </c>
      <c r="J306" s="19">
        <v>0.13675215671657281</v>
      </c>
    </row>
    <row r="307" spans="1:10" ht="11.25" customHeight="1" x14ac:dyDescent="0.2">
      <c r="A307" s="28">
        <v>44531</v>
      </c>
      <c r="B307" s="18">
        <v>0</v>
      </c>
      <c r="C307" s="18">
        <v>0</v>
      </c>
      <c r="D307" s="18">
        <v>289253.99096000002</v>
      </c>
      <c r="E307" s="18">
        <v>338699.99516251433</v>
      </c>
      <c r="F307" s="18">
        <v>85316.9617</v>
      </c>
      <c r="G307" s="18">
        <v>87094.343117121898</v>
      </c>
      <c r="H307" s="19">
        <v>0.17094320475374891</v>
      </c>
      <c r="I307" s="19">
        <v>2.083268533837046E-2</v>
      </c>
      <c r="J307" s="19">
        <v>0.13675215671657259</v>
      </c>
    </row>
    <row r="308" spans="1:10" ht="11.25" customHeight="1" x14ac:dyDescent="0.2">
      <c r="A308" s="28">
        <v>44562</v>
      </c>
      <c r="B308" s="18">
        <v>0</v>
      </c>
      <c r="C308" s="18">
        <v>0</v>
      </c>
      <c r="D308" s="18">
        <v>327475.12159999995</v>
      </c>
      <c r="E308" s="18">
        <v>383454.76836342755</v>
      </c>
      <c r="F308" s="18">
        <v>96590.481999999989</v>
      </c>
      <c r="G308" s="18">
        <v>98602.721118187517</v>
      </c>
      <c r="H308" s="19">
        <v>0.17094320475374891</v>
      </c>
      <c r="I308" s="19">
        <v>2.083268533837046E-2</v>
      </c>
      <c r="J308" s="19">
        <v>0.13675215671657259</v>
      </c>
    </row>
    <row r="309" spans="1:10" ht="11.25" customHeight="1" x14ac:dyDescent="0.2">
      <c r="A309" s="28">
        <v>44593</v>
      </c>
      <c r="B309" s="18">
        <v>0</v>
      </c>
      <c r="C309" s="18">
        <v>0</v>
      </c>
      <c r="D309" s="18">
        <v>221816.11804</v>
      </c>
      <c r="E309" s="18">
        <v>259734.07612379343</v>
      </c>
      <c r="F309" s="18">
        <v>65425.812049999993</v>
      </c>
      <c r="G309" s="18">
        <v>66788.807405444997</v>
      </c>
      <c r="H309" s="19">
        <v>0.17094320475374891</v>
      </c>
      <c r="I309" s="19">
        <v>2.0832685338370238E-2</v>
      </c>
      <c r="J309" s="19">
        <v>0.13675215671657237</v>
      </c>
    </row>
    <row r="310" spans="1:10" ht="11.25" customHeight="1" x14ac:dyDescent="0.2">
      <c r="A310" s="28">
        <v>44621</v>
      </c>
      <c r="B310" s="18">
        <v>0</v>
      </c>
      <c r="C310" s="18">
        <v>0</v>
      </c>
      <c r="D310" s="18">
        <v>213842.86923999997</v>
      </c>
      <c r="E310" s="18">
        <v>250397.85462162245</v>
      </c>
      <c r="F310" s="18">
        <v>63074.061049999997</v>
      </c>
      <c r="G310" s="18">
        <v>64388.063116867808</v>
      </c>
      <c r="H310" s="19">
        <v>0.17094320475374891</v>
      </c>
      <c r="I310" s="19">
        <v>2.083268533837046E-2</v>
      </c>
      <c r="J310" s="19">
        <v>0.13675215671657259</v>
      </c>
    </row>
    <row r="311" spans="1:10" ht="11.25" customHeight="1" x14ac:dyDescent="0.2">
      <c r="A311" s="28">
        <v>44652</v>
      </c>
      <c r="B311" s="18">
        <v>0</v>
      </c>
      <c r="C311" s="18">
        <v>0</v>
      </c>
      <c r="D311" s="18">
        <v>205921.76615999997</v>
      </c>
      <c r="E311" s="18">
        <v>241122.69279594248</v>
      </c>
      <c r="F311" s="18">
        <v>60737.690699999992</v>
      </c>
      <c r="G311" s="18">
        <v>62003.019898532359</v>
      </c>
      <c r="H311" s="19">
        <v>0.17094320475374913</v>
      </c>
      <c r="I311" s="19">
        <v>2.083268533837046E-2</v>
      </c>
      <c r="J311" s="19">
        <v>0.13675215671657259</v>
      </c>
    </row>
    <row r="312" spans="1:10" ht="11.25" customHeight="1" x14ac:dyDescent="0.2">
      <c r="A312" s="28">
        <v>44682</v>
      </c>
      <c r="B312" s="18">
        <v>0</v>
      </c>
      <c r="C312" s="18">
        <v>0</v>
      </c>
      <c r="D312" s="18">
        <v>205921.76615999997</v>
      </c>
      <c r="E312" s="18">
        <v>241122.69279594248</v>
      </c>
      <c r="F312" s="18">
        <v>60737.690699999992</v>
      </c>
      <c r="G312" s="18">
        <v>62003.019898532359</v>
      </c>
      <c r="H312" s="19">
        <v>0.17094320475374913</v>
      </c>
      <c r="I312" s="19">
        <v>2.083268533837046E-2</v>
      </c>
      <c r="J312" s="19">
        <v>0.13675215671657259</v>
      </c>
    </row>
    <row r="313" spans="1:10" ht="11.25" customHeight="1" x14ac:dyDescent="0.2">
      <c r="A313" s="23" t="s">
        <v>46</v>
      </c>
      <c r="B313" s="18">
        <v>774202.99000000011</v>
      </c>
      <c r="C313" s="18">
        <v>904499.34404877992</v>
      </c>
      <c r="D313" s="18">
        <v>730055.57657999999</v>
      </c>
      <c r="E313" s="18">
        <v>951396.96028930054</v>
      </c>
      <c r="F313" s="18">
        <v>1037734.6491100001</v>
      </c>
      <c r="G313" s="18">
        <v>1040960.9568120029</v>
      </c>
      <c r="H313" s="19">
        <v>0.23376149923317024</v>
      </c>
      <c r="I313" s="19">
        <v>3.1089910168937696E-3</v>
      </c>
      <c r="J313" s="19">
        <v>0.13960070517487932</v>
      </c>
    </row>
    <row r="314" spans="1:10" ht="11.25" customHeight="1" x14ac:dyDescent="0.2">
      <c r="A314" s="24" t="s">
        <v>25</v>
      </c>
      <c r="B314" s="18">
        <v>774202.99000000011</v>
      </c>
      <c r="C314" s="18">
        <v>904499.34404877992</v>
      </c>
      <c r="D314" s="18">
        <v>730055.57657999999</v>
      </c>
      <c r="E314" s="18">
        <v>951396.96028930054</v>
      </c>
      <c r="F314" s="18">
        <v>1037734.6491100001</v>
      </c>
      <c r="G314" s="18">
        <v>1040960.9568120029</v>
      </c>
      <c r="H314" s="19">
        <v>0.23376149923317024</v>
      </c>
      <c r="I314" s="19">
        <v>3.1089910168937696E-3</v>
      </c>
      <c r="J314" s="19">
        <v>0.13960070517487932</v>
      </c>
    </row>
    <row r="315" spans="1:10" ht="11.25" customHeight="1" x14ac:dyDescent="0.2">
      <c r="A315" s="25" t="s">
        <v>25</v>
      </c>
      <c r="B315" s="18">
        <v>774202.99000000011</v>
      </c>
      <c r="C315" s="18">
        <v>904499.34404877992</v>
      </c>
      <c r="D315" s="18">
        <v>730055.57657999999</v>
      </c>
      <c r="E315" s="18">
        <v>951396.96028930054</v>
      </c>
      <c r="F315" s="18">
        <v>1037734.6491100001</v>
      </c>
      <c r="G315" s="18">
        <v>1040960.9568120029</v>
      </c>
      <c r="H315" s="19">
        <v>0.23376149923317024</v>
      </c>
      <c r="I315" s="19">
        <v>3.1089910168937696E-3</v>
      </c>
      <c r="J315" s="19">
        <v>0.13960070517487932</v>
      </c>
    </row>
    <row r="316" spans="1:10" ht="11.25" customHeight="1" x14ac:dyDescent="0.2">
      <c r="A316" s="26" t="s">
        <v>25</v>
      </c>
      <c r="B316" s="18">
        <v>774202.99000000011</v>
      </c>
      <c r="C316" s="18">
        <v>904499.34404877992</v>
      </c>
      <c r="D316" s="18">
        <v>730055.57657999999</v>
      </c>
      <c r="E316" s="18">
        <v>951396.96028930054</v>
      </c>
      <c r="F316" s="18">
        <v>1037734.6491100001</v>
      </c>
      <c r="G316" s="18">
        <v>1040960.9568120029</v>
      </c>
      <c r="H316" s="19">
        <v>0.23376149923317024</v>
      </c>
      <c r="I316" s="19">
        <v>3.1089910168937696E-3</v>
      </c>
      <c r="J316" s="19">
        <v>0.13960070517487932</v>
      </c>
    </row>
    <row r="317" spans="1:10" ht="11.25" customHeight="1" x14ac:dyDescent="0.2">
      <c r="A317" s="27" t="s">
        <v>35</v>
      </c>
      <c r="B317" s="18">
        <v>0</v>
      </c>
      <c r="C317" s="18">
        <v>0</v>
      </c>
      <c r="D317" s="18">
        <v>255938.27974</v>
      </c>
      <c r="E317" s="18">
        <v>396232.53329828638</v>
      </c>
      <c r="F317" s="18">
        <v>897891.29856000002</v>
      </c>
      <c r="G317" s="18">
        <v>898204.29374333133</v>
      </c>
      <c r="H317" s="19">
        <v>0.5481565856455981</v>
      </c>
      <c r="I317" s="19">
        <v>3.4858917090851982E-4</v>
      </c>
      <c r="J317" s="19">
        <v>0.12186136617227428</v>
      </c>
    </row>
    <row r="318" spans="1:10" ht="11.25" customHeight="1" x14ac:dyDescent="0.2">
      <c r="A318" s="28">
        <v>44348</v>
      </c>
      <c r="B318" s="18">
        <v>0</v>
      </c>
      <c r="C318" s="18">
        <v>0</v>
      </c>
      <c r="D318" s="18">
        <v>17696.181359999999</v>
      </c>
      <c r="E318" s="18">
        <v>27396.459713262881</v>
      </c>
      <c r="F318" s="18">
        <v>62082.339840000001</v>
      </c>
      <c r="G318" s="18">
        <v>62103.981071372902</v>
      </c>
      <c r="H318" s="19">
        <v>0.54815658564559833</v>
      </c>
      <c r="I318" s="19">
        <v>3.4858917090874186E-4</v>
      </c>
      <c r="J318" s="19">
        <v>0.12186136617227472</v>
      </c>
    </row>
    <row r="319" spans="1:10" ht="11.25" customHeight="1" x14ac:dyDescent="0.2">
      <c r="A319" s="28">
        <v>44378</v>
      </c>
      <c r="B319" s="18">
        <v>0</v>
      </c>
      <c r="C319" s="18">
        <v>0</v>
      </c>
      <c r="D319" s="18">
        <v>14863.58302</v>
      </c>
      <c r="E319" s="18">
        <v>23011.153938703093</v>
      </c>
      <c r="F319" s="18">
        <v>52144.922880000006</v>
      </c>
      <c r="G319" s="18">
        <v>52163.100035433839</v>
      </c>
      <c r="H319" s="19">
        <v>0.54815658564559855</v>
      </c>
      <c r="I319" s="19">
        <v>3.4858917090874186E-4</v>
      </c>
      <c r="J319" s="19">
        <v>0.1218613661722745</v>
      </c>
    </row>
    <row r="320" spans="1:10" ht="11.25" customHeight="1" x14ac:dyDescent="0.2">
      <c r="A320" s="28">
        <v>44409</v>
      </c>
      <c r="B320" s="18">
        <v>0</v>
      </c>
      <c r="C320" s="18">
        <v>0</v>
      </c>
      <c r="D320" s="18">
        <v>15253.24372</v>
      </c>
      <c r="E320" s="18">
        <v>23614.409717575367</v>
      </c>
      <c r="F320" s="18">
        <v>53511.943680000011</v>
      </c>
      <c r="G320" s="18">
        <v>53530.597364081128</v>
      </c>
      <c r="H320" s="19">
        <v>0.54815658564559833</v>
      </c>
      <c r="I320" s="19">
        <v>3.4858917090851982E-4</v>
      </c>
      <c r="J320" s="19">
        <v>0.12186136617227472</v>
      </c>
    </row>
    <row r="321" spans="1:10" ht="11.25" customHeight="1" x14ac:dyDescent="0.2">
      <c r="A321" s="28">
        <v>44440</v>
      </c>
      <c r="B321" s="18">
        <v>0</v>
      </c>
      <c r="C321" s="18">
        <v>0</v>
      </c>
      <c r="D321" s="18">
        <v>15907.022559999999</v>
      </c>
      <c r="E321" s="18">
        <v>24626.561734277104</v>
      </c>
      <c r="F321" s="18">
        <v>55805.552640000002</v>
      </c>
      <c r="G321" s="18">
        <v>55825.005851326881</v>
      </c>
      <c r="H321" s="19">
        <v>0.54815658564559833</v>
      </c>
      <c r="I321" s="19">
        <v>3.4858917090874186E-4</v>
      </c>
      <c r="J321" s="19">
        <v>0.12186136617227472</v>
      </c>
    </row>
    <row r="322" spans="1:10" ht="11.25" customHeight="1" x14ac:dyDescent="0.2">
      <c r="A322" s="28">
        <v>44470</v>
      </c>
      <c r="B322" s="18">
        <v>0</v>
      </c>
      <c r="C322" s="18">
        <v>0</v>
      </c>
      <c r="D322" s="18">
        <v>18334.356039999999</v>
      </c>
      <c r="E322" s="18">
        <v>28384.454046897154</v>
      </c>
      <c r="F322" s="18">
        <v>64321.205759999997</v>
      </c>
      <c r="G322" s="18">
        <v>64343.627435787726</v>
      </c>
      <c r="H322" s="19">
        <v>0.54815658564559855</v>
      </c>
      <c r="I322" s="19">
        <v>3.4858917090874186E-4</v>
      </c>
      <c r="J322" s="19">
        <v>0.12186136617227472</v>
      </c>
    </row>
    <row r="323" spans="1:10" ht="11.25" customHeight="1" x14ac:dyDescent="0.2">
      <c r="A323" s="28">
        <v>44501</v>
      </c>
      <c r="B323" s="18">
        <v>0</v>
      </c>
      <c r="C323" s="18">
        <v>0</v>
      </c>
      <c r="D323" s="18">
        <v>17875.806519999998</v>
      </c>
      <c r="E323" s="18">
        <v>27674.547587664529</v>
      </c>
      <c r="F323" s="18">
        <v>62712.506880000008</v>
      </c>
      <c r="G323" s="18">
        <v>62734.367780778914</v>
      </c>
      <c r="H323" s="19">
        <v>0.54815658564559877</v>
      </c>
      <c r="I323" s="19">
        <v>3.4858917090874186E-4</v>
      </c>
      <c r="J323" s="19">
        <v>0.12186136617227472</v>
      </c>
    </row>
    <row r="324" spans="1:10" ht="11.25" customHeight="1" x14ac:dyDescent="0.2">
      <c r="A324" s="28">
        <v>44531</v>
      </c>
      <c r="B324" s="18">
        <v>0</v>
      </c>
      <c r="C324" s="18">
        <v>0</v>
      </c>
      <c r="D324" s="18">
        <v>20091.508579999998</v>
      </c>
      <c r="E324" s="18">
        <v>31104.801323682044</v>
      </c>
      <c r="F324" s="18">
        <v>70485.707519999996</v>
      </c>
      <c r="G324" s="18">
        <v>70510.278074345304</v>
      </c>
      <c r="H324" s="19">
        <v>0.54815658564559855</v>
      </c>
      <c r="I324" s="19">
        <v>3.4858917090874186E-4</v>
      </c>
      <c r="J324" s="19">
        <v>0.12186136617227472</v>
      </c>
    </row>
    <row r="325" spans="1:10" ht="11.25" customHeight="1" x14ac:dyDescent="0.2">
      <c r="A325" s="28">
        <v>44562</v>
      </c>
      <c r="B325" s="18">
        <v>0</v>
      </c>
      <c r="C325" s="18">
        <v>0</v>
      </c>
      <c r="D325" s="18">
        <v>20699.27288</v>
      </c>
      <c r="E325" s="18">
        <v>32045.715627247337</v>
      </c>
      <c r="F325" s="18">
        <v>72617.886719999995</v>
      </c>
      <c r="G325" s="18">
        <v>72643.200528924877</v>
      </c>
      <c r="H325" s="19">
        <v>0.54815658564559855</v>
      </c>
      <c r="I325" s="19">
        <v>3.4858917090896391E-4</v>
      </c>
      <c r="J325" s="19">
        <v>0.12186136617227494</v>
      </c>
    </row>
    <row r="326" spans="1:10" ht="11.25" customHeight="1" x14ac:dyDescent="0.2">
      <c r="A326" s="28">
        <v>44593</v>
      </c>
      <c r="B326" s="18">
        <v>0</v>
      </c>
      <c r="C326" s="18">
        <v>0</v>
      </c>
      <c r="D326" s="18">
        <v>21837.489959999999</v>
      </c>
      <c r="E326" s="18">
        <v>33807.853895543638</v>
      </c>
      <c r="F326" s="18">
        <v>76611.018240000005</v>
      </c>
      <c r="G326" s="18">
        <v>76637.724011330763</v>
      </c>
      <c r="H326" s="19">
        <v>0.54815658564559855</v>
      </c>
      <c r="I326" s="19">
        <v>3.4858917090874186E-4</v>
      </c>
      <c r="J326" s="19">
        <v>0.12186136617227472</v>
      </c>
    </row>
    <row r="327" spans="1:10" ht="11.25" customHeight="1" x14ac:dyDescent="0.2">
      <c r="A327" s="28">
        <v>44621</v>
      </c>
      <c r="B327" s="18">
        <v>0</v>
      </c>
      <c r="C327" s="18">
        <v>0</v>
      </c>
      <c r="D327" s="18">
        <v>30759.257099999999</v>
      </c>
      <c r="E327" s="18">
        <v>47620.146448931126</v>
      </c>
      <c r="F327" s="18">
        <v>107910.6624</v>
      </c>
      <c r="G327" s="18">
        <v>107948.27888833823</v>
      </c>
      <c r="H327" s="19">
        <v>0.54815658564559833</v>
      </c>
      <c r="I327" s="19">
        <v>3.4858917090874186E-4</v>
      </c>
      <c r="J327" s="19">
        <v>0.12186136617227472</v>
      </c>
    </row>
    <row r="328" spans="1:10" ht="11.25" customHeight="1" x14ac:dyDescent="0.2">
      <c r="A328" s="28">
        <v>44652</v>
      </c>
      <c r="B328" s="18">
        <v>0</v>
      </c>
      <c r="C328" s="18">
        <v>0</v>
      </c>
      <c r="D328" s="18">
        <v>31310.278999999999</v>
      </c>
      <c r="E328" s="18">
        <v>48473.214632251074</v>
      </c>
      <c r="F328" s="18">
        <v>109843.776</v>
      </c>
      <c r="G328" s="18">
        <v>109882.06635080533</v>
      </c>
      <c r="H328" s="19">
        <v>0.54815658564559833</v>
      </c>
      <c r="I328" s="19">
        <v>3.4858917090874186E-4</v>
      </c>
      <c r="J328" s="19">
        <v>0.12186136617227472</v>
      </c>
    </row>
    <row r="329" spans="1:10" ht="11.25" customHeight="1" x14ac:dyDescent="0.2">
      <c r="A329" s="28">
        <v>44682</v>
      </c>
      <c r="B329" s="18">
        <v>0</v>
      </c>
      <c r="C329" s="18">
        <v>0</v>
      </c>
      <c r="D329" s="18">
        <v>31310.278999999999</v>
      </c>
      <c r="E329" s="18">
        <v>48473.214632251074</v>
      </c>
      <c r="F329" s="18">
        <v>109843.776</v>
      </c>
      <c r="G329" s="18">
        <v>109882.06635080533</v>
      </c>
      <c r="H329" s="19">
        <v>0.54815658564559833</v>
      </c>
      <c r="I329" s="19">
        <v>3.4858917090874186E-4</v>
      </c>
      <c r="J329" s="19">
        <v>0.12186136617227472</v>
      </c>
    </row>
    <row r="330" spans="1:10" ht="11.25" customHeight="1" x14ac:dyDescent="0.2">
      <c r="A330" s="27" t="s">
        <v>25</v>
      </c>
      <c r="B330" s="18">
        <v>774202.99000000011</v>
      </c>
      <c r="C330" s="18">
        <v>904499.34404877992</v>
      </c>
      <c r="D330" s="18">
        <v>0</v>
      </c>
      <c r="E330" s="18">
        <v>0</v>
      </c>
      <c r="F330" s="18">
        <v>0</v>
      </c>
      <c r="G330" s="18">
        <v>0</v>
      </c>
      <c r="H330" s="19">
        <v>0.16829740485603173</v>
      </c>
      <c r="I330" s="19">
        <v>0</v>
      </c>
      <c r="J330" s="19">
        <v>0.16829740485603173</v>
      </c>
    </row>
    <row r="331" spans="1:10" ht="11.25" customHeight="1" x14ac:dyDescent="0.2">
      <c r="A331" s="28">
        <v>44348</v>
      </c>
      <c r="B331" s="18">
        <v>67371.91</v>
      </c>
      <c r="C331" s="18">
        <v>78710.427613194101</v>
      </c>
      <c r="D331" s="18">
        <v>0</v>
      </c>
      <c r="E331" s="18">
        <v>0</v>
      </c>
      <c r="F331" s="18">
        <v>0</v>
      </c>
      <c r="G331" s="18">
        <v>0</v>
      </c>
      <c r="H331" s="19">
        <v>0.16829740485603129</v>
      </c>
      <c r="I331" s="19">
        <v>0</v>
      </c>
      <c r="J331" s="19">
        <v>0.16829740485603129</v>
      </c>
    </row>
    <row r="332" spans="1:10" ht="11.25" customHeight="1" x14ac:dyDescent="0.2">
      <c r="A332" s="28">
        <v>44378</v>
      </c>
      <c r="B332" s="18">
        <v>61326.040000000008</v>
      </c>
      <c r="C332" s="18">
        <v>71647.053382097161</v>
      </c>
      <c r="D332" s="18">
        <v>0</v>
      </c>
      <c r="E332" s="18">
        <v>0</v>
      </c>
      <c r="F332" s="18">
        <v>0</v>
      </c>
      <c r="G332" s="18">
        <v>0</v>
      </c>
      <c r="H332" s="19">
        <v>0.16829740485603106</v>
      </c>
      <c r="I332" s="19">
        <v>0</v>
      </c>
      <c r="J332" s="19">
        <v>0.16829740485603106</v>
      </c>
    </row>
    <row r="333" spans="1:10" ht="11.25" customHeight="1" x14ac:dyDescent="0.2">
      <c r="A333" s="28">
        <v>44409</v>
      </c>
      <c r="B333" s="18">
        <v>61326.040000000008</v>
      </c>
      <c r="C333" s="18">
        <v>71647.053382097161</v>
      </c>
      <c r="D333" s="18">
        <v>0</v>
      </c>
      <c r="E333" s="18">
        <v>0</v>
      </c>
      <c r="F333" s="18">
        <v>0</v>
      </c>
      <c r="G333" s="18">
        <v>0</v>
      </c>
      <c r="H333" s="19">
        <v>0.16829740485603106</v>
      </c>
      <c r="I333" s="19">
        <v>0</v>
      </c>
      <c r="J333" s="19">
        <v>0.16829740485603106</v>
      </c>
    </row>
    <row r="334" spans="1:10" ht="11.25" customHeight="1" x14ac:dyDescent="0.2">
      <c r="A334" s="28">
        <v>44440</v>
      </c>
      <c r="B334" s="18">
        <v>61275.020000000004</v>
      </c>
      <c r="C334" s="18">
        <v>71587.446848501408</v>
      </c>
      <c r="D334" s="18">
        <v>0</v>
      </c>
      <c r="E334" s="18">
        <v>0</v>
      </c>
      <c r="F334" s="18">
        <v>0</v>
      </c>
      <c r="G334" s="18">
        <v>0</v>
      </c>
      <c r="H334" s="19">
        <v>0.16829740485603106</v>
      </c>
      <c r="I334" s="19">
        <v>0</v>
      </c>
      <c r="J334" s="19">
        <v>0.16829740485603106</v>
      </c>
    </row>
    <row r="335" spans="1:10" ht="11.25" customHeight="1" x14ac:dyDescent="0.2">
      <c r="A335" s="28">
        <v>44470</v>
      </c>
      <c r="B335" s="18">
        <v>61351.55</v>
      </c>
      <c r="C335" s="18">
        <v>71676.856648895046</v>
      </c>
      <c r="D335" s="18">
        <v>0</v>
      </c>
      <c r="E335" s="18">
        <v>0</v>
      </c>
      <c r="F335" s="18">
        <v>0</v>
      </c>
      <c r="G335" s="18">
        <v>0</v>
      </c>
      <c r="H335" s="19">
        <v>0.16829740485603129</v>
      </c>
      <c r="I335" s="19">
        <v>0</v>
      </c>
      <c r="J335" s="19">
        <v>0.16829740485603129</v>
      </c>
    </row>
    <row r="336" spans="1:10" ht="11.25" customHeight="1" x14ac:dyDescent="0.2">
      <c r="A336" s="28">
        <v>44501</v>
      </c>
      <c r="B336" s="18">
        <v>60484.210000000006</v>
      </c>
      <c r="C336" s="18">
        <v>70663.545577767218</v>
      </c>
      <c r="D336" s="18">
        <v>0</v>
      </c>
      <c r="E336" s="18">
        <v>0</v>
      </c>
      <c r="F336" s="18">
        <v>0</v>
      </c>
      <c r="G336" s="18">
        <v>0</v>
      </c>
      <c r="H336" s="19">
        <v>0.16829740485603129</v>
      </c>
      <c r="I336" s="19">
        <v>0</v>
      </c>
      <c r="J336" s="19">
        <v>0.16829740485603129</v>
      </c>
    </row>
    <row r="337" spans="1:10" ht="11.25" customHeight="1" x14ac:dyDescent="0.2">
      <c r="A337" s="28">
        <v>44531</v>
      </c>
      <c r="B337" s="18">
        <v>60203.600000000006</v>
      </c>
      <c r="C337" s="18">
        <v>70335.70964299055</v>
      </c>
      <c r="D337" s="18">
        <v>0</v>
      </c>
      <c r="E337" s="18">
        <v>0</v>
      </c>
      <c r="F337" s="18">
        <v>0</v>
      </c>
      <c r="G337" s="18">
        <v>0</v>
      </c>
      <c r="H337" s="19">
        <v>0.16829740485603084</v>
      </c>
      <c r="I337" s="19">
        <v>0</v>
      </c>
      <c r="J337" s="19">
        <v>0.16829740485603084</v>
      </c>
    </row>
    <row r="338" spans="1:10" ht="11.25" customHeight="1" x14ac:dyDescent="0.2">
      <c r="A338" s="28">
        <v>44562</v>
      </c>
      <c r="B338" s="18">
        <v>59820.95</v>
      </c>
      <c r="C338" s="18">
        <v>69888.660641022405</v>
      </c>
      <c r="D338" s="18">
        <v>0</v>
      </c>
      <c r="E338" s="18">
        <v>0</v>
      </c>
      <c r="F338" s="18">
        <v>0</v>
      </c>
      <c r="G338" s="18">
        <v>0</v>
      </c>
      <c r="H338" s="19">
        <v>0.16829740485603129</v>
      </c>
      <c r="I338" s="19">
        <v>0</v>
      </c>
      <c r="J338" s="19">
        <v>0.16829740485603129</v>
      </c>
    </row>
    <row r="339" spans="1:10" ht="11.25" customHeight="1" x14ac:dyDescent="0.2">
      <c r="A339" s="28">
        <v>44593</v>
      </c>
      <c r="B339" s="18">
        <v>64412.75</v>
      </c>
      <c r="C339" s="18">
        <v>75253.248664640327</v>
      </c>
      <c r="D339" s="18">
        <v>0</v>
      </c>
      <c r="E339" s="18">
        <v>0</v>
      </c>
      <c r="F339" s="18">
        <v>0</v>
      </c>
      <c r="G339" s="18">
        <v>0</v>
      </c>
      <c r="H339" s="19">
        <v>0.16829740485603129</v>
      </c>
      <c r="I339" s="19">
        <v>0</v>
      </c>
      <c r="J339" s="19">
        <v>0.16829740485603129</v>
      </c>
    </row>
    <row r="340" spans="1:10" ht="11.25" customHeight="1" x14ac:dyDescent="0.2">
      <c r="A340" s="28">
        <v>44621</v>
      </c>
      <c r="B340" s="18">
        <v>74897.360000000015</v>
      </c>
      <c r="C340" s="18">
        <v>87502.391318567912</v>
      </c>
      <c r="D340" s="18">
        <v>0</v>
      </c>
      <c r="E340" s="18">
        <v>0</v>
      </c>
      <c r="F340" s="18">
        <v>0</v>
      </c>
      <c r="G340" s="18">
        <v>0</v>
      </c>
      <c r="H340" s="19">
        <v>0.16829740485603084</v>
      </c>
      <c r="I340" s="19">
        <v>0</v>
      </c>
      <c r="J340" s="19">
        <v>0.16829740485603084</v>
      </c>
    </row>
    <row r="341" spans="1:10" ht="11.25" customHeight="1" x14ac:dyDescent="0.2">
      <c r="A341" s="28">
        <v>44652</v>
      </c>
      <c r="B341" s="18">
        <v>70866.780000000013</v>
      </c>
      <c r="C341" s="18">
        <v>82793.475164503296</v>
      </c>
      <c r="D341" s="18">
        <v>0</v>
      </c>
      <c r="E341" s="18">
        <v>0</v>
      </c>
      <c r="F341" s="18">
        <v>0</v>
      </c>
      <c r="G341" s="18">
        <v>0</v>
      </c>
      <c r="H341" s="19">
        <v>0.16829740485603106</v>
      </c>
      <c r="I341" s="19">
        <v>0</v>
      </c>
      <c r="J341" s="19">
        <v>0.16829740485603106</v>
      </c>
    </row>
    <row r="342" spans="1:10" ht="11.25" customHeight="1" x14ac:dyDescent="0.2">
      <c r="A342" s="28">
        <v>44682</v>
      </c>
      <c r="B342" s="18">
        <v>70866.780000000013</v>
      </c>
      <c r="C342" s="18">
        <v>82793.475164503296</v>
      </c>
      <c r="D342" s="18">
        <v>0</v>
      </c>
      <c r="E342" s="18">
        <v>0</v>
      </c>
      <c r="F342" s="18">
        <v>0</v>
      </c>
      <c r="G342" s="18">
        <v>0</v>
      </c>
      <c r="H342" s="19">
        <v>0.16829740485603106</v>
      </c>
      <c r="I342" s="19">
        <v>0</v>
      </c>
      <c r="J342" s="19">
        <v>0.16829740485603106</v>
      </c>
    </row>
    <row r="343" spans="1:10" ht="11.25" customHeight="1" x14ac:dyDescent="0.2">
      <c r="A343" s="27" t="s">
        <v>34</v>
      </c>
      <c r="B343" s="18">
        <v>0</v>
      </c>
      <c r="C343" s="18">
        <v>0</v>
      </c>
      <c r="D343" s="18">
        <v>474117.29683999997</v>
      </c>
      <c r="E343" s="18">
        <v>555164.42699101404</v>
      </c>
      <c r="F343" s="18">
        <v>139843.35054999997</v>
      </c>
      <c r="G343" s="18">
        <v>142756.66306867154</v>
      </c>
      <c r="H343" s="19">
        <v>0.17094320475374913</v>
      </c>
      <c r="I343" s="19">
        <v>2.0832685338370238E-2</v>
      </c>
      <c r="J343" s="19">
        <v>0.13675215671657259</v>
      </c>
    </row>
    <row r="344" spans="1:10" ht="11.25" customHeight="1" x14ac:dyDescent="0.2">
      <c r="A344" s="28">
        <v>44348</v>
      </c>
      <c r="B344" s="18">
        <v>0</v>
      </c>
      <c r="C344" s="18">
        <v>0</v>
      </c>
      <c r="D344" s="18">
        <v>36803.103479999998</v>
      </c>
      <c r="E344" s="18">
        <v>43094.343933755044</v>
      </c>
      <c r="F344" s="18">
        <v>10855.26585</v>
      </c>
      <c r="G344" s="18">
        <v>11081.410187717405</v>
      </c>
      <c r="H344" s="19">
        <v>0.17094320475374891</v>
      </c>
      <c r="I344" s="19">
        <v>2.0832685338370238E-2</v>
      </c>
      <c r="J344" s="19">
        <v>0.13675215671657237</v>
      </c>
    </row>
    <row r="345" spans="1:10" ht="11.25" customHeight="1" x14ac:dyDescent="0.2">
      <c r="A345" s="28">
        <v>44378</v>
      </c>
      <c r="B345" s="18">
        <v>0</v>
      </c>
      <c r="C345" s="18">
        <v>0</v>
      </c>
      <c r="D345" s="18">
        <v>34313.565880000002</v>
      </c>
      <c r="E345" s="18">
        <v>40179.236798056096</v>
      </c>
      <c r="F345" s="18">
        <v>10120.96385</v>
      </c>
      <c r="G345" s="18">
        <v>10331.81070520807</v>
      </c>
      <c r="H345" s="19">
        <v>0.17094320475374891</v>
      </c>
      <c r="I345" s="19">
        <v>2.0832685338370238E-2</v>
      </c>
      <c r="J345" s="19">
        <v>0.13675215671657259</v>
      </c>
    </row>
    <row r="346" spans="1:10" ht="11.25" customHeight="1" x14ac:dyDescent="0.2">
      <c r="A346" s="28">
        <v>44409</v>
      </c>
      <c r="B346" s="18">
        <v>0</v>
      </c>
      <c r="C346" s="18">
        <v>0</v>
      </c>
      <c r="D346" s="18">
        <v>35723.182439999997</v>
      </c>
      <c r="E346" s="18">
        <v>41829.81773029644</v>
      </c>
      <c r="F346" s="18">
        <v>10536.73755</v>
      </c>
      <c r="G346" s="18">
        <v>10756.246087872139</v>
      </c>
      <c r="H346" s="19">
        <v>0.17094320475374869</v>
      </c>
      <c r="I346" s="19">
        <v>2.0832685338370238E-2</v>
      </c>
      <c r="J346" s="19">
        <v>0.13675215671657259</v>
      </c>
    </row>
    <row r="347" spans="1:10" ht="11.25" customHeight="1" x14ac:dyDescent="0.2">
      <c r="A347" s="28">
        <v>44440</v>
      </c>
      <c r="B347" s="18">
        <v>0</v>
      </c>
      <c r="C347" s="18">
        <v>0</v>
      </c>
      <c r="D347" s="18">
        <v>34646.625639999998</v>
      </c>
      <c r="E347" s="18">
        <v>40569.230860805001</v>
      </c>
      <c r="F347" s="18">
        <v>10219.20155</v>
      </c>
      <c r="G347" s="18">
        <v>10432.094960300536</v>
      </c>
      <c r="H347" s="19">
        <v>0.17094320475374869</v>
      </c>
      <c r="I347" s="19">
        <v>2.0832685338370238E-2</v>
      </c>
      <c r="J347" s="19">
        <v>0.13675215671657259</v>
      </c>
    </row>
    <row r="348" spans="1:10" ht="11.25" customHeight="1" x14ac:dyDescent="0.2">
      <c r="A348" s="28">
        <v>44470</v>
      </c>
      <c r="B348" s="18">
        <v>0</v>
      </c>
      <c r="C348" s="18">
        <v>0</v>
      </c>
      <c r="D348" s="18">
        <v>34747.552839999997</v>
      </c>
      <c r="E348" s="18">
        <v>40687.410879819829</v>
      </c>
      <c r="F348" s="18">
        <v>10248.970549999998</v>
      </c>
      <c r="G348" s="18">
        <v>10462.484128510372</v>
      </c>
      <c r="H348" s="19">
        <v>0.17094320475374891</v>
      </c>
      <c r="I348" s="19">
        <v>2.0832685338370238E-2</v>
      </c>
      <c r="J348" s="19">
        <v>0.13675215671657281</v>
      </c>
    </row>
    <row r="349" spans="1:10" ht="11.25" customHeight="1" x14ac:dyDescent="0.2">
      <c r="A349" s="28">
        <v>44501</v>
      </c>
      <c r="B349" s="18">
        <v>0</v>
      </c>
      <c r="C349" s="18">
        <v>0</v>
      </c>
      <c r="D349" s="18">
        <v>30951.007999999998</v>
      </c>
      <c r="E349" s="18">
        <v>36241.872497878918</v>
      </c>
      <c r="F349" s="18">
        <v>9129.16</v>
      </c>
      <c r="G349" s="18">
        <v>9319.3449176836366</v>
      </c>
      <c r="H349" s="19">
        <v>0.17094320475374891</v>
      </c>
      <c r="I349" s="19">
        <v>2.0832685338370238E-2</v>
      </c>
      <c r="J349" s="19">
        <v>0.13675215671657259</v>
      </c>
    </row>
    <row r="350" spans="1:10" ht="11.25" customHeight="1" x14ac:dyDescent="0.2">
      <c r="A350" s="28">
        <v>44531</v>
      </c>
      <c r="B350" s="18">
        <v>0</v>
      </c>
      <c r="C350" s="18">
        <v>0</v>
      </c>
      <c r="D350" s="18">
        <v>34480.095760000004</v>
      </c>
      <c r="E350" s="18">
        <v>40374.233829430545</v>
      </c>
      <c r="F350" s="18">
        <v>10170.082700000001</v>
      </c>
      <c r="G350" s="18">
        <v>10381.952832754305</v>
      </c>
      <c r="H350" s="19">
        <v>0.17094320475374869</v>
      </c>
      <c r="I350" s="19">
        <v>2.083268533837046E-2</v>
      </c>
      <c r="J350" s="19">
        <v>0.13675215671657237</v>
      </c>
    </row>
    <row r="351" spans="1:10" ht="11.25" customHeight="1" x14ac:dyDescent="0.2">
      <c r="A351" s="28">
        <v>44562</v>
      </c>
      <c r="B351" s="18">
        <v>0</v>
      </c>
      <c r="C351" s="18">
        <v>0</v>
      </c>
      <c r="D351" s="18">
        <v>36291.739000000001</v>
      </c>
      <c r="E351" s="18">
        <v>42495.565170746617</v>
      </c>
      <c r="F351" s="18">
        <v>10704.436250000001</v>
      </c>
      <c r="G351" s="18">
        <v>10927.438402120895</v>
      </c>
      <c r="H351" s="19">
        <v>0.17094320475374891</v>
      </c>
      <c r="I351" s="19">
        <v>2.0832685338370238E-2</v>
      </c>
      <c r="J351" s="19">
        <v>0.13675215671657259</v>
      </c>
    </row>
    <row r="352" spans="1:10" ht="11.25" customHeight="1" x14ac:dyDescent="0.2">
      <c r="A352" s="28">
        <v>44593</v>
      </c>
      <c r="B352" s="18">
        <v>0</v>
      </c>
      <c r="C352" s="18">
        <v>0</v>
      </c>
      <c r="D352" s="18">
        <v>37798.918519999999</v>
      </c>
      <c r="E352" s="18">
        <v>44260.38678803463</v>
      </c>
      <c r="F352" s="18">
        <v>11148.986649999999</v>
      </c>
      <c r="G352" s="18">
        <v>11381.249980721141</v>
      </c>
      <c r="H352" s="19">
        <v>0.17094320475374891</v>
      </c>
      <c r="I352" s="19">
        <v>2.083268533837046E-2</v>
      </c>
      <c r="J352" s="19">
        <v>0.13675215671657259</v>
      </c>
    </row>
    <row r="353" spans="1:10" ht="11.25" customHeight="1" x14ac:dyDescent="0.2">
      <c r="A353" s="28">
        <v>44621</v>
      </c>
      <c r="B353" s="18">
        <v>0</v>
      </c>
      <c r="C353" s="18">
        <v>0</v>
      </c>
      <c r="D353" s="18">
        <v>53541.8796</v>
      </c>
      <c r="E353" s="18">
        <v>62694.500087363369</v>
      </c>
      <c r="F353" s="18">
        <v>15792.4545</v>
      </c>
      <c r="G353" s="18">
        <v>16121.453735319028</v>
      </c>
      <c r="H353" s="19">
        <v>0.17094320475374891</v>
      </c>
      <c r="I353" s="19">
        <v>2.0832685338370238E-2</v>
      </c>
      <c r="J353" s="19">
        <v>0.13675215671657237</v>
      </c>
    </row>
    <row r="354" spans="1:10" ht="11.25" customHeight="1" x14ac:dyDescent="0.2">
      <c r="A354" s="28">
        <v>44652</v>
      </c>
      <c r="B354" s="18">
        <v>0</v>
      </c>
      <c r="C354" s="18">
        <v>0</v>
      </c>
      <c r="D354" s="18">
        <v>52409.812839999999</v>
      </c>
      <c r="E354" s="18">
        <v>61368.914207413771</v>
      </c>
      <c r="F354" s="18">
        <v>15458.545549999999</v>
      </c>
      <c r="G354" s="18">
        <v>15780.588565232012</v>
      </c>
      <c r="H354" s="19">
        <v>0.17094320475374869</v>
      </c>
      <c r="I354" s="19">
        <v>2.0832685338370238E-2</v>
      </c>
      <c r="J354" s="19">
        <v>0.13675215671657237</v>
      </c>
    </row>
    <row r="355" spans="1:10" ht="11.25" customHeight="1" x14ac:dyDescent="0.2">
      <c r="A355" s="28">
        <v>44682</v>
      </c>
      <c r="B355" s="18">
        <v>0</v>
      </c>
      <c r="C355" s="18">
        <v>0</v>
      </c>
      <c r="D355" s="18">
        <v>52409.812839999999</v>
      </c>
      <c r="E355" s="18">
        <v>61368.914207413771</v>
      </c>
      <c r="F355" s="18">
        <v>15458.545549999999</v>
      </c>
      <c r="G355" s="18">
        <v>15780.588565232012</v>
      </c>
      <c r="H355" s="19">
        <v>0.17094320475374869</v>
      </c>
      <c r="I355" s="19">
        <v>2.0832685338370238E-2</v>
      </c>
      <c r="J355" s="19">
        <v>0.13675215671657237</v>
      </c>
    </row>
    <row r="356" spans="1:10" ht="11.25" customHeight="1" x14ac:dyDescent="0.2">
      <c r="A356" s="23" t="s">
        <v>45</v>
      </c>
      <c r="B356" s="18">
        <v>270218.2464</v>
      </c>
      <c r="C356" s="18">
        <v>315695.27601386758</v>
      </c>
      <c r="D356" s="18">
        <v>488795.30177280004</v>
      </c>
      <c r="E356" s="18">
        <v>655142.15888229944</v>
      </c>
      <c r="F356" s="18">
        <v>849421.61763840006</v>
      </c>
      <c r="G356" s="18">
        <v>851344.89303382789</v>
      </c>
      <c r="H356" s="19">
        <v>0.27907787315957377</v>
      </c>
      <c r="I356" s="19">
        <v>2.2642176223097721E-3</v>
      </c>
      <c r="J356" s="19">
        <v>0.13289137583049127</v>
      </c>
    </row>
    <row r="357" spans="1:10" ht="11.25" customHeight="1" x14ac:dyDescent="0.2">
      <c r="A357" s="24" t="s">
        <v>25</v>
      </c>
      <c r="B357" s="18">
        <v>270218.2464</v>
      </c>
      <c r="C357" s="18">
        <v>315695.27601386758</v>
      </c>
      <c r="D357" s="18">
        <v>488795.30177280004</v>
      </c>
      <c r="E357" s="18">
        <v>655142.15888229944</v>
      </c>
      <c r="F357" s="18">
        <v>849421.61763840006</v>
      </c>
      <c r="G357" s="18">
        <v>851344.89303382789</v>
      </c>
      <c r="H357" s="19">
        <v>0.27907787315957377</v>
      </c>
      <c r="I357" s="19">
        <v>2.2642176223097721E-3</v>
      </c>
      <c r="J357" s="19">
        <v>0.13289137583049127</v>
      </c>
    </row>
    <row r="358" spans="1:10" ht="11.25" customHeight="1" x14ac:dyDescent="0.2">
      <c r="A358" s="25" t="s">
        <v>25</v>
      </c>
      <c r="B358" s="18">
        <v>270218.2464</v>
      </c>
      <c r="C358" s="18">
        <v>315695.27601386758</v>
      </c>
      <c r="D358" s="18">
        <v>488795.30177280004</v>
      </c>
      <c r="E358" s="18">
        <v>655142.15888229944</v>
      </c>
      <c r="F358" s="18">
        <v>849421.61763840006</v>
      </c>
      <c r="G358" s="18">
        <v>851344.89303382789</v>
      </c>
      <c r="H358" s="19">
        <v>0.27907787315957377</v>
      </c>
      <c r="I358" s="19">
        <v>2.2642176223097721E-3</v>
      </c>
      <c r="J358" s="19">
        <v>0.13289137583049127</v>
      </c>
    </row>
    <row r="359" spans="1:10" ht="11.25" customHeight="1" x14ac:dyDescent="0.2">
      <c r="A359" s="26" t="s">
        <v>25</v>
      </c>
      <c r="B359" s="18">
        <v>270218.2464</v>
      </c>
      <c r="C359" s="18">
        <v>315695.27601386758</v>
      </c>
      <c r="D359" s="18">
        <v>488795.30177280004</v>
      </c>
      <c r="E359" s="18">
        <v>655142.15888229944</v>
      </c>
      <c r="F359" s="18">
        <v>849421.61763840006</v>
      </c>
      <c r="G359" s="18">
        <v>851344.89303382789</v>
      </c>
      <c r="H359" s="19">
        <v>0.27907787315957377</v>
      </c>
      <c r="I359" s="19">
        <v>2.2642176223097721E-3</v>
      </c>
      <c r="J359" s="19">
        <v>0.13289137583049127</v>
      </c>
    </row>
    <row r="360" spans="1:10" ht="11.25" customHeight="1" x14ac:dyDescent="0.2">
      <c r="A360" s="27" t="s">
        <v>35</v>
      </c>
      <c r="B360" s="18">
        <v>0</v>
      </c>
      <c r="C360" s="18">
        <v>0</v>
      </c>
      <c r="D360" s="18">
        <v>219479.54645759999</v>
      </c>
      <c r="E360" s="18">
        <v>339788.70526284259</v>
      </c>
      <c r="F360" s="18">
        <v>769985.54173440009</v>
      </c>
      <c r="G360" s="18">
        <v>770253.95035600499</v>
      </c>
      <c r="H360" s="19">
        <v>0.54815658564559877</v>
      </c>
      <c r="I360" s="19">
        <v>3.4858917090874186E-4</v>
      </c>
      <c r="J360" s="19">
        <v>0.12186136617227472</v>
      </c>
    </row>
    <row r="361" spans="1:10" ht="11.25" customHeight="1" x14ac:dyDescent="0.2">
      <c r="A361" s="28">
        <v>44348</v>
      </c>
      <c r="B361" s="18">
        <v>0</v>
      </c>
      <c r="C361" s="18">
        <v>0</v>
      </c>
      <c r="D361" s="18">
        <v>18568.297862399999</v>
      </c>
      <c r="E361" s="18">
        <v>28746.632619903648</v>
      </c>
      <c r="F361" s="18">
        <v>65141.928345600012</v>
      </c>
      <c r="G361" s="18">
        <v>65164.636116393391</v>
      </c>
      <c r="H361" s="19">
        <v>0.54815658564559855</v>
      </c>
      <c r="I361" s="19">
        <v>3.4858917090851982E-4</v>
      </c>
      <c r="J361" s="19">
        <v>0.1218613661722745</v>
      </c>
    </row>
    <row r="362" spans="1:10" ht="11.25" customHeight="1" x14ac:dyDescent="0.2">
      <c r="A362" s="28">
        <v>44378</v>
      </c>
      <c r="B362" s="18">
        <v>0</v>
      </c>
      <c r="C362" s="18">
        <v>0</v>
      </c>
      <c r="D362" s="18">
        <v>19847.980838399999</v>
      </c>
      <c r="E362" s="18">
        <v>30727.782246736606</v>
      </c>
      <c r="F362" s="18">
        <v>69631.355289600004</v>
      </c>
      <c r="G362" s="18">
        <v>69655.628026009654</v>
      </c>
      <c r="H362" s="19">
        <v>0.54815658564559855</v>
      </c>
      <c r="I362" s="19">
        <v>3.4858917090874186E-4</v>
      </c>
      <c r="J362" s="19">
        <v>0.12186136617227472</v>
      </c>
    </row>
    <row r="363" spans="1:10" ht="11.25" customHeight="1" x14ac:dyDescent="0.2">
      <c r="A363" s="28">
        <v>44409</v>
      </c>
      <c r="B363" s="18">
        <v>0</v>
      </c>
      <c r="C363" s="18">
        <v>0</v>
      </c>
      <c r="D363" s="18">
        <v>18433.137465600001</v>
      </c>
      <c r="E363" s="18">
        <v>28537.383161479258</v>
      </c>
      <c r="F363" s="18">
        <v>64667.754086400004</v>
      </c>
      <c r="G363" s="18">
        <v>64690.296565181518</v>
      </c>
      <c r="H363" s="19">
        <v>0.54815658564559855</v>
      </c>
      <c r="I363" s="19">
        <v>3.4858917090874186E-4</v>
      </c>
      <c r="J363" s="19">
        <v>0.12186136617227494</v>
      </c>
    </row>
    <row r="364" spans="1:10" ht="11.25" customHeight="1" x14ac:dyDescent="0.2">
      <c r="A364" s="28">
        <v>44440</v>
      </c>
      <c r="B364" s="18">
        <v>0</v>
      </c>
      <c r="C364" s="18">
        <v>0</v>
      </c>
      <c r="D364" s="18">
        <v>18916.072032</v>
      </c>
      <c r="E364" s="18">
        <v>29285.041490887317</v>
      </c>
      <c r="F364" s="18">
        <v>66362.001407999996</v>
      </c>
      <c r="G364" s="18">
        <v>66385.134483050657</v>
      </c>
      <c r="H364" s="19">
        <v>0.54815658564559833</v>
      </c>
      <c r="I364" s="19">
        <v>3.4858917090874186E-4</v>
      </c>
      <c r="J364" s="19">
        <v>0.12186136617227494</v>
      </c>
    </row>
    <row r="365" spans="1:10" ht="11.25" customHeight="1" x14ac:dyDescent="0.2">
      <c r="A365" s="28">
        <v>44470</v>
      </c>
      <c r="B365" s="18">
        <v>0</v>
      </c>
      <c r="C365" s="18">
        <v>0</v>
      </c>
      <c r="D365" s="18">
        <v>19906.0283136</v>
      </c>
      <c r="E365" s="18">
        <v>30817.648827747587</v>
      </c>
      <c r="F365" s="18">
        <v>69834.999398400003</v>
      </c>
      <c r="G365" s="18">
        <v>69859.3431229407</v>
      </c>
      <c r="H365" s="19">
        <v>0.54815658564559855</v>
      </c>
      <c r="I365" s="19">
        <v>3.4858917090874186E-4</v>
      </c>
      <c r="J365" s="19">
        <v>0.12186136617227472</v>
      </c>
    </row>
    <row r="366" spans="1:10" ht="11.25" customHeight="1" x14ac:dyDescent="0.2">
      <c r="A366" s="28">
        <v>44501</v>
      </c>
      <c r="B366" s="18">
        <v>0</v>
      </c>
      <c r="C366" s="18">
        <v>0</v>
      </c>
      <c r="D366" s="18">
        <v>18950.968607999999</v>
      </c>
      <c r="E366" s="18">
        <v>29339.066854838198</v>
      </c>
      <c r="F366" s="18">
        <v>66484.426751999999</v>
      </c>
      <c r="G366" s="18">
        <v>66507.602503199829</v>
      </c>
      <c r="H366" s="19">
        <v>0.54815658564559833</v>
      </c>
      <c r="I366" s="19">
        <v>3.4858917090874186E-4</v>
      </c>
      <c r="J366" s="19">
        <v>0.12186136617227472</v>
      </c>
    </row>
    <row r="367" spans="1:10" ht="11.25" customHeight="1" x14ac:dyDescent="0.2">
      <c r="A367" s="28">
        <v>44531</v>
      </c>
      <c r="B367" s="18">
        <v>0</v>
      </c>
      <c r="C367" s="18">
        <v>0</v>
      </c>
      <c r="D367" s="18">
        <v>20840.575641599997</v>
      </c>
      <c r="E367" s="18">
        <v>32264.474428188281</v>
      </c>
      <c r="F367" s="18">
        <v>73113.609830400004</v>
      </c>
      <c r="G367" s="18">
        <v>73139.096443032919</v>
      </c>
      <c r="H367" s="19">
        <v>0.54815658564559855</v>
      </c>
      <c r="I367" s="19">
        <v>3.4858917090851982E-4</v>
      </c>
      <c r="J367" s="19">
        <v>0.12186136617227472</v>
      </c>
    </row>
    <row r="368" spans="1:10" ht="11.25" customHeight="1" x14ac:dyDescent="0.2">
      <c r="A368" s="28">
        <v>44562</v>
      </c>
      <c r="B368" s="18">
        <v>0</v>
      </c>
      <c r="C368" s="18">
        <v>0</v>
      </c>
      <c r="D368" s="18">
        <v>17954.118124799999</v>
      </c>
      <c r="E368" s="18">
        <v>27795.786214368123</v>
      </c>
      <c r="F368" s="18">
        <v>62987.242291200004</v>
      </c>
      <c r="G368" s="18">
        <v>63009.198961768117</v>
      </c>
      <c r="H368" s="19">
        <v>0.54815658564559855</v>
      </c>
      <c r="I368" s="19">
        <v>3.4858917090874186E-4</v>
      </c>
      <c r="J368" s="19">
        <v>0.1218613661722745</v>
      </c>
    </row>
    <row r="369" spans="1:10" ht="11.25" customHeight="1" x14ac:dyDescent="0.2">
      <c r="A369" s="28">
        <v>44593</v>
      </c>
      <c r="B369" s="18">
        <v>0</v>
      </c>
      <c r="C369" s="18">
        <v>0</v>
      </c>
      <c r="D369" s="18">
        <v>16241.121811200001</v>
      </c>
      <c r="E369" s="18">
        <v>25143.799690281652</v>
      </c>
      <c r="F369" s="18">
        <v>56977.650892800011</v>
      </c>
      <c r="G369" s="18">
        <v>56997.512684885056</v>
      </c>
      <c r="H369" s="19">
        <v>0.54815658564559855</v>
      </c>
      <c r="I369" s="19">
        <v>3.4858917090874186E-4</v>
      </c>
      <c r="J369" s="19">
        <v>0.12186136617227472</v>
      </c>
    </row>
    <row r="370" spans="1:10" ht="11.25" customHeight="1" x14ac:dyDescent="0.2">
      <c r="A370" s="28">
        <v>44621</v>
      </c>
      <c r="B370" s="18">
        <v>0</v>
      </c>
      <c r="C370" s="18">
        <v>0</v>
      </c>
      <c r="D370" s="18">
        <v>17062.382937599999</v>
      </c>
      <c r="E370" s="18">
        <v>26415.240511652533</v>
      </c>
      <c r="F370" s="18">
        <v>59858.826854400002</v>
      </c>
      <c r="G370" s="18">
        <v>59879.692993224751</v>
      </c>
      <c r="H370" s="19">
        <v>0.54815658564559855</v>
      </c>
      <c r="I370" s="19">
        <v>3.4858917090874186E-4</v>
      </c>
      <c r="J370" s="19">
        <v>0.12186136617227472</v>
      </c>
    </row>
    <row r="371" spans="1:10" ht="11.25" customHeight="1" x14ac:dyDescent="0.2">
      <c r="A371" s="28">
        <v>44652</v>
      </c>
      <c r="B371" s="18">
        <v>0</v>
      </c>
      <c r="C371" s="18">
        <v>0</v>
      </c>
      <c r="D371" s="18">
        <v>16379.431411199997</v>
      </c>
      <c r="E371" s="18">
        <v>25357.924608379657</v>
      </c>
      <c r="F371" s="18">
        <v>57462.873292800003</v>
      </c>
      <c r="G371" s="18">
        <v>57482.904228159168</v>
      </c>
      <c r="H371" s="19">
        <v>0.54815658564559855</v>
      </c>
      <c r="I371" s="19">
        <v>3.4858917090874186E-4</v>
      </c>
      <c r="J371" s="19">
        <v>0.12186136617227472</v>
      </c>
    </row>
    <row r="372" spans="1:10" ht="11.25" customHeight="1" x14ac:dyDescent="0.2">
      <c r="A372" s="28">
        <v>44682</v>
      </c>
      <c r="B372" s="18">
        <v>0</v>
      </c>
      <c r="C372" s="18">
        <v>0</v>
      </c>
      <c r="D372" s="18">
        <v>16379.431411199997</v>
      </c>
      <c r="E372" s="18">
        <v>25357.924608379657</v>
      </c>
      <c r="F372" s="18">
        <v>57462.873292800003</v>
      </c>
      <c r="G372" s="18">
        <v>57482.904228159168</v>
      </c>
      <c r="H372" s="19">
        <v>0.54815658564559855</v>
      </c>
      <c r="I372" s="19">
        <v>3.4858917090874186E-4</v>
      </c>
      <c r="J372" s="19">
        <v>0.12186136617227472</v>
      </c>
    </row>
    <row r="373" spans="1:10" ht="11.25" customHeight="1" x14ac:dyDescent="0.2">
      <c r="A373" s="27" t="s">
        <v>25</v>
      </c>
      <c r="B373" s="18">
        <v>270218.2464</v>
      </c>
      <c r="C373" s="18">
        <v>315695.27601386758</v>
      </c>
      <c r="D373" s="18">
        <v>0</v>
      </c>
      <c r="E373" s="18">
        <v>0</v>
      </c>
      <c r="F373" s="18">
        <v>0</v>
      </c>
      <c r="G373" s="18">
        <v>0</v>
      </c>
      <c r="H373" s="19">
        <v>0.16829740485603106</v>
      </c>
      <c r="I373" s="19">
        <v>0</v>
      </c>
      <c r="J373" s="19">
        <v>0.16829740485603106</v>
      </c>
    </row>
    <row r="374" spans="1:10" ht="11.25" customHeight="1" x14ac:dyDescent="0.2">
      <c r="A374" s="28">
        <v>44348</v>
      </c>
      <c r="B374" s="18">
        <v>34554.825600000004</v>
      </c>
      <c r="C374" s="18">
        <v>40370.313073732752</v>
      </c>
      <c r="D374" s="18">
        <v>0</v>
      </c>
      <c r="E374" s="18">
        <v>0</v>
      </c>
      <c r="F374" s="18">
        <v>0</v>
      </c>
      <c r="G374" s="18">
        <v>0</v>
      </c>
      <c r="H374" s="19">
        <v>0.16829740485603106</v>
      </c>
      <c r="I374" s="19">
        <v>0</v>
      </c>
      <c r="J374" s="19">
        <v>0.16829740485603106</v>
      </c>
    </row>
    <row r="375" spans="1:10" ht="11.25" customHeight="1" x14ac:dyDescent="0.2">
      <c r="A375" s="28">
        <v>44378</v>
      </c>
      <c r="B375" s="18">
        <v>26252.851199999997</v>
      </c>
      <c r="C375" s="18">
        <v>30671.137927031541</v>
      </c>
      <c r="D375" s="18">
        <v>0</v>
      </c>
      <c r="E375" s="18">
        <v>0</v>
      </c>
      <c r="F375" s="18">
        <v>0</v>
      </c>
      <c r="G375" s="18">
        <v>0</v>
      </c>
      <c r="H375" s="19">
        <v>0.16829740485603129</v>
      </c>
      <c r="I375" s="19">
        <v>0</v>
      </c>
      <c r="J375" s="19">
        <v>0.16829740485603129</v>
      </c>
    </row>
    <row r="376" spans="1:10" ht="11.25" customHeight="1" x14ac:dyDescent="0.2">
      <c r="A376" s="28">
        <v>44409</v>
      </c>
      <c r="B376" s="18">
        <v>23485.526400000002</v>
      </c>
      <c r="C376" s="18">
        <v>27438.079544797809</v>
      </c>
      <c r="D376" s="18">
        <v>0</v>
      </c>
      <c r="E376" s="18">
        <v>0</v>
      </c>
      <c r="F376" s="18">
        <v>0</v>
      </c>
      <c r="G376" s="18">
        <v>0</v>
      </c>
      <c r="H376" s="19">
        <v>0.16829740485603106</v>
      </c>
      <c r="I376" s="19">
        <v>0</v>
      </c>
      <c r="J376" s="19">
        <v>0.16829740485603106</v>
      </c>
    </row>
    <row r="377" spans="1:10" ht="11.25" customHeight="1" x14ac:dyDescent="0.2">
      <c r="A377" s="28">
        <v>44440</v>
      </c>
      <c r="B377" s="18">
        <v>22652.880000000001</v>
      </c>
      <c r="C377" s="18">
        <v>26465.300916515091</v>
      </c>
      <c r="D377" s="18">
        <v>0</v>
      </c>
      <c r="E377" s="18">
        <v>0</v>
      </c>
      <c r="F377" s="18">
        <v>0</v>
      </c>
      <c r="G377" s="18">
        <v>0</v>
      </c>
      <c r="H377" s="19">
        <v>0.16829740485603106</v>
      </c>
      <c r="I377" s="19">
        <v>0</v>
      </c>
      <c r="J377" s="19">
        <v>0.16829740485603106</v>
      </c>
    </row>
    <row r="378" spans="1:10" ht="11.25" customHeight="1" x14ac:dyDescent="0.2">
      <c r="A378" s="28">
        <v>44470</v>
      </c>
      <c r="B378" s="18">
        <v>22212.067200000001</v>
      </c>
      <c r="C378" s="18">
        <v>25950.300466247772</v>
      </c>
      <c r="D378" s="18">
        <v>0</v>
      </c>
      <c r="E378" s="18">
        <v>0</v>
      </c>
      <c r="F378" s="18">
        <v>0</v>
      </c>
      <c r="G378" s="18">
        <v>0</v>
      </c>
      <c r="H378" s="19">
        <v>0.16829740485603129</v>
      </c>
      <c r="I378" s="19">
        <v>0</v>
      </c>
      <c r="J378" s="19">
        <v>0.16829740485603129</v>
      </c>
    </row>
    <row r="379" spans="1:10" ht="11.25" customHeight="1" x14ac:dyDescent="0.2">
      <c r="A379" s="28">
        <v>44501</v>
      </c>
      <c r="B379" s="18">
        <v>21575.337600000003</v>
      </c>
      <c r="C379" s="18">
        <v>25206.410926972752</v>
      </c>
      <c r="D379" s="18">
        <v>0</v>
      </c>
      <c r="E379" s="18">
        <v>0</v>
      </c>
      <c r="F379" s="18">
        <v>0</v>
      </c>
      <c r="G379" s="18">
        <v>0</v>
      </c>
      <c r="H379" s="19">
        <v>0.16829740485603106</v>
      </c>
      <c r="I379" s="19">
        <v>0</v>
      </c>
      <c r="J379" s="19">
        <v>0.16829740485603106</v>
      </c>
    </row>
    <row r="380" spans="1:10" ht="11.25" customHeight="1" x14ac:dyDescent="0.2">
      <c r="A380" s="28">
        <v>44531</v>
      </c>
      <c r="B380" s="18">
        <v>22040.640000000003</v>
      </c>
      <c r="C380" s="18">
        <v>25750.022513366035</v>
      </c>
      <c r="D380" s="18">
        <v>0</v>
      </c>
      <c r="E380" s="18">
        <v>0</v>
      </c>
      <c r="F380" s="18">
        <v>0</v>
      </c>
      <c r="G380" s="18">
        <v>0</v>
      </c>
      <c r="H380" s="19">
        <v>0.16829740485603106</v>
      </c>
      <c r="I380" s="19">
        <v>0</v>
      </c>
      <c r="J380" s="19">
        <v>0.16829740485603106</v>
      </c>
    </row>
    <row r="381" spans="1:10" ht="11.25" customHeight="1" x14ac:dyDescent="0.2">
      <c r="A381" s="28">
        <v>44562</v>
      </c>
      <c r="B381" s="18">
        <v>18954.950400000002</v>
      </c>
      <c r="C381" s="18">
        <v>22145.019361494789</v>
      </c>
      <c r="D381" s="18">
        <v>0</v>
      </c>
      <c r="E381" s="18">
        <v>0</v>
      </c>
      <c r="F381" s="18">
        <v>0</v>
      </c>
      <c r="G381" s="18">
        <v>0</v>
      </c>
      <c r="H381" s="19">
        <v>0.16829740485603106</v>
      </c>
      <c r="I381" s="19">
        <v>0</v>
      </c>
      <c r="J381" s="19">
        <v>0.16829740485603106</v>
      </c>
    </row>
    <row r="382" spans="1:10" ht="11.25" customHeight="1" x14ac:dyDescent="0.2">
      <c r="A382" s="28">
        <v>44593</v>
      </c>
      <c r="B382" s="18">
        <v>20473.3056</v>
      </c>
      <c r="C382" s="18">
        <v>23918.90980130445</v>
      </c>
      <c r="D382" s="18">
        <v>0</v>
      </c>
      <c r="E382" s="18">
        <v>0</v>
      </c>
      <c r="F382" s="18">
        <v>0</v>
      </c>
      <c r="G382" s="18">
        <v>0</v>
      </c>
      <c r="H382" s="19">
        <v>0.16829740485603106</v>
      </c>
      <c r="I382" s="19">
        <v>0</v>
      </c>
      <c r="J382" s="19">
        <v>0.16829740485603106</v>
      </c>
    </row>
    <row r="383" spans="1:10" ht="11.25" customHeight="1" x14ac:dyDescent="0.2">
      <c r="A383" s="28">
        <v>44621</v>
      </c>
      <c r="B383" s="18">
        <v>19322.294400000002</v>
      </c>
      <c r="C383" s="18">
        <v>22574.186403384225</v>
      </c>
      <c r="D383" s="18">
        <v>0</v>
      </c>
      <c r="E383" s="18">
        <v>0</v>
      </c>
      <c r="F383" s="18">
        <v>0</v>
      </c>
      <c r="G383" s="18">
        <v>0</v>
      </c>
      <c r="H383" s="19">
        <v>0.16829740485603106</v>
      </c>
      <c r="I383" s="19">
        <v>0</v>
      </c>
      <c r="J383" s="19">
        <v>0.16829740485603106</v>
      </c>
    </row>
    <row r="384" spans="1:10" ht="11.25" customHeight="1" x14ac:dyDescent="0.2">
      <c r="A384" s="28">
        <v>44652</v>
      </c>
      <c r="B384" s="18">
        <v>19346.784</v>
      </c>
      <c r="C384" s="18">
        <v>22602.797539510186</v>
      </c>
      <c r="D384" s="18">
        <v>0</v>
      </c>
      <c r="E384" s="18">
        <v>0</v>
      </c>
      <c r="F384" s="18">
        <v>0</v>
      </c>
      <c r="G384" s="18">
        <v>0</v>
      </c>
      <c r="H384" s="19">
        <v>0.16829740485603106</v>
      </c>
      <c r="I384" s="19">
        <v>0</v>
      </c>
      <c r="J384" s="19">
        <v>0.16829740485603106</v>
      </c>
    </row>
    <row r="385" spans="1:10" ht="11.25" customHeight="1" x14ac:dyDescent="0.2">
      <c r="A385" s="28">
        <v>44682</v>
      </c>
      <c r="B385" s="18">
        <v>19346.784</v>
      </c>
      <c r="C385" s="18">
        <v>22602.797539510186</v>
      </c>
      <c r="D385" s="18">
        <v>0</v>
      </c>
      <c r="E385" s="18">
        <v>0</v>
      </c>
      <c r="F385" s="18">
        <v>0</v>
      </c>
      <c r="G385" s="18">
        <v>0</v>
      </c>
      <c r="H385" s="19">
        <v>0.16829740485603106</v>
      </c>
      <c r="I385" s="19">
        <v>0</v>
      </c>
      <c r="J385" s="19">
        <v>0.16829740485603106</v>
      </c>
    </row>
    <row r="386" spans="1:10" ht="11.25" customHeight="1" x14ac:dyDescent="0.2">
      <c r="A386" s="27" t="s">
        <v>34</v>
      </c>
      <c r="B386" s="18">
        <v>0</v>
      </c>
      <c r="C386" s="18">
        <v>0</v>
      </c>
      <c r="D386" s="18">
        <v>269315.75531519996</v>
      </c>
      <c r="E386" s="18">
        <v>315353.45361945673</v>
      </c>
      <c r="F386" s="18">
        <v>79436.075903999998</v>
      </c>
      <c r="G386" s="18">
        <v>81090.942677822924</v>
      </c>
      <c r="H386" s="19">
        <v>0.17094320475374891</v>
      </c>
      <c r="I386" s="19">
        <v>2.0832685338370238E-2</v>
      </c>
      <c r="J386" s="19">
        <v>0.13675215671657259</v>
      </c>
    </row>
    <row r="387" spans="1:10" ht="11.25" customHeight="1" x14ac:dyDescent="0.2">
      <c r="A387" s="28">
        <v>44348</v>
      </c>
      <c r="B387" s="18">
        <v>0</v>
      </c>
      <c r="C387" s="18">
        <v>0</v>
      </c>
      <c r="D387" s="18">
        <v>27999.627532799997</v>
      </c>
      <c r="E387" s="18">
        <v>32785.973595168129</v>
      </c>
      <c r="F387" s="18">
        <v>8258.6350559999992</v>
      </c>
      <c r="G387" s="18">
        <v>8430.6846014460825</v>
      </c>
      <c r="H387" s="19">
        <v>0.17094320475374869</v>
      </c>
      <c r="I387" s="19">
        <v>2.083268533837046E-2</v>
      </c>
      <c r="J387" s="19">
        <v>0.13675215671657259</v>
      </c>
    </row>
    <row r="388" spans="1:10" ht="11.25" customHeight="1" x14ac:dyDescent="0.2">
      <c r="A388" s="28">
        <v>44378</v>
      </c>
      <c r="B388" s="18">
        <v>0</v>
      </c>
      <c r="C388" s="18">
        <v>0</v>
      </c>
      <c r="D388" s="18">
        <v>29698.4341632</v>
      </c>
      <c r="E388" s="18">
        <v>34775.179675225627</v>
      </c>
      <c r="F388" s="18">
        <v>8759.7068639999998</v>
      </c>
      <c r="G388" s="18">
        <v>8942.1950807540743</v>
      </c>
      <c r="H388" s="19">
        <v>0.17094320475374891</v>
      </c>
      <c r="I388" s="19">
        <v>2.0832685338370238E-2</v>
      </c>
      <c r="J388" s="19">
        <v>0.13675215671657259</v>
      </c>
    </row>
    <row r="389" spans="1:10" ht="11.25" customHeight="1" x14ac:dyDescent="0.2">
      <c r="A389" s="28">
        <v>44409</v>
      </c>
      <c r="B389" s="18">
        <v>0</v>
      </c>
      <c r="C389" s="18">
        <v>0</v>
      </c>
      <c r="D389" s="18">
        <v>23978.687884799998</v>
      </c>
      <c r="E389" s="18">
        <v>28077.681637617599</v>
      </c>
      <c r="F389" s="18">
        <v>7072.6380959999997</v>
      </c>
      <c r="G389" s="18">
        <v>7219.9801399661374</v>
      </c>
      <c r="H389" s="19">
        <v>0.17094320475374869</v>
      </c>
      <c r="I389" s="19">
        <v>2.0832685338370238E-2</v>
      </c>
      <c r="J389" s="19">
        <v>0.13675215671657259</v>
      </c>
    </row>
    <row r="390" spans="1:10" ht="11.25" customHeight="1" x14ac:dyDescent="0.2">
      <c r="A390" s="28">
        <v>44440</v>
      </c>
      <c r="B390" s="18">
        <v>0</v>
      </c>
      <c r="C390" s="18">
        <v>0</v>
      </c>
      <c r="D390" s="18">
        <v>23489.392819199998</v>
      </c>
      <c r="E390" s="18">
        <v>27504.744905433741</v>
      </c>
      <c r="F390" s="18">
        <v>6928.3179839999993</v>
      </c>
      <c r="G390" s="18">
        <v>7072.6534524848439</v>
      </c>
      <c r="H390" s="19">
        <v>0.17094320475374891</v>
      </c>
      <c r="I390" s="19">
        <v>2.083268533837046E-2</v>
      </c>
      <c r="J390" s="19">
        <v>0.13675215671657259</v>
      </c>
    </row>
    <row r="391" spans="1:10" ht="11.25" customHeight="1" x14ac:dyDescent="0.2">
      <c r="A391" s="28">
        <v>44470</v>
      </c>
      <c r="B391" s="18">
        <v>0</v>
      </c>
      <c r="C391" s="18">
        <v>0</v>
      </c>
      <c r="D391" s="18">
        <v>25310.926924799998</v>
      </c>
      <c r="E391" s="18">
        <v>29637.657888613263</v>
      </c>
      <c r="F391" s="18">
        <v>7465.5888960000002</v>
      </c>
      <c r="G391" s="18">
        <v>7621.1171603359999</v>
      </c>
      <c r="H391" s="19">
        <v>0.17094320475374891</v>
      </c>
      <c r="I391" s="19">
        <v>2.0832685338370238E-2</v>
      </c>
      <c r="J391" s="19">
        <v>0.13675215671657259</v>
      </c>
    </row>
    <row r="392" spans="1:10" ht="11.25" customHeight="1" x14ac:dyDescent="0.2">
      <c r="A392" s="28">
        <v>44501</v>
      </c>
      <c r="B392" s="18">
        <v>0</v>
      </c>
      <c r="C392" s="18">
        <v>0</v>
      </c>
      <c r="D392" s="18">
        <v>23374.739519999999</v>
      </c>
      <c r="E392" s="18">
        <v>27370.492403832905</v>
      </c>
      <c r="F392" s="18">
        <v>6894.5003999999999</v>
      </c>
      <c r="G392" s="18">
        <v>7038.131357398468</v>
      </c>
      <c r="H392" s="19">
        <v>0.17094320475374891</v>
      </c>
      <c r="I392" s="19">
        <v>2.0832685338370238E-2</v>
      </c>
      <c r="J392" s="19">
        <v>0.13675215671657237</v>
      </c>
    </row>
    <row r="393" spans="1:10" ht="11.25" customHeight="1" x14ac:dyDescent="0.2">
      <c r="A393" s="28">
        <v>44531</v>
      </c>
      <c r="B393" s="18">
        <v>0</v>
      </c>
      <c r="C393" s="18">
        <v>0</v>
      </c>
      <c r="D393" s="18">
        <v>26473.608268799999</v>
      </c>
      <c r="E393" s="18">
        <v>30999.091707664014</v>
      </c>
      <c r="F393" s="18">
        <v>7808.527775999999</v>
      </c>
      <c r="G393" s="18">
        <v>7971.2003781133317</v>
      </c>
      <c r="H393" s="19">
        <v>0.17094320475374891</v>
      </c>
      <c r="I393" s="19">
        <v>2.0832685338370238E-2</v>
      </c>
      <c r="J393" s="19">
        <v>0.13675215671657237</v>
      </c>
    </row>
    <row r="394" spans="1:10" ht="11.25" customHeight="1" x14ac:dyDescent="0.2">
      <c r="A394" s="28">
        <v>44562</v>
      </c>
      <c r="B394" s="18">
        <v>0</v>
      </c>
      <c r="C394" s="18">
        <v>0</v>
      </c>
      <c r="D394" s="18">
        <v>19284.361958400001</v>
      </c>
      <c r="E394" s="18">
        <v>22580.892593200177</v>
      </c>
      <c r="F394" s="18">
        <v>5688.0223679999999</v>
      </c>
      <c r="G394" s="18">
        <v>5806.5191481901556</v>
      </c>
      <c r="H394" s="19">
        <v>0.17094320475374891</v>
      </c>
      <c r="I394" s="19">
        <v>2.0832685338370238E-2</v>
      </c>
      <c r="J394" s="19">
        <v>0.13675215671657237</v>
      </c>
    </row>
    <row r="395" spans="1:10" ht="11.25" customHeight="1" x14ac:dyDescent="0.2">
      <c r="A395" s="28">
        <v>44593</v>
      </c>
      <c r="B395" s="18">
        <v>0</v>
      </c>
      <c r="C395" s="18">
        <v>0</v>
      </c>
      <c r="D395" s="18">
        <v>18552.841612799999</v>
      </c>
      <c r="E395" s="18">
        <v>21724.32381538074</v>
      </c>
      <c r="F395" s="18">
        <v>5472.2566559999996</v>
      </c>
      <c r="G395" s="18">
        <v>5586.2584570052495</v>
      </c>
      <c r="H395" s="19">
        <v>0.17094320475374869</v>
      </c>
      <c r="I395" s="19">
        <v>2.0832685338370238E-2</v>
      </c>
      <c r="J395" s="19">
        <v>0.13675215671657237</v>
      </c>
    </row>
    <row r="396" spans="1:10" ht="11.25" customHeight="1" x14ac:dyDescent="0.2">
      <c r="A396" s="28">
        <v>44621</v>
      </c>
      <c r="B396" s="18">
        <v>0</v>
      </c>
      <c r="C396" s="18">
        <v>0</v>
      </c>
      <c r="D396" s="18">
        <v>18010.256985599997</v>
      </c>
      <c r="E396" s="18">
        <v>21088.988033157057</v>
      </c>
      <c r="F396" s="18">
        <v>5312.2185119999995</v>
      </c>
      <c r="G396" s="18">
        <v>5422.8862887091618</v>
      </c>
      <c r="H396" s="19">
        <v>0.17094320475374913</v>
      </c>
      <c r="I396" s="19">
        <v>2.083268533837046E-2</v>
      </c>
      <c r="J396" s="19">
        <v>0.13675215671657281</v>
      </c>
    </row>
    <row r="397" spans="1:10" ht="11.25" customHeight="1" x14ac:dyDescent="0.2">
      <c r="A397" s="28">
        <v>44652</v>
      </c>
      <c r="B397" s="18">
        <v>0</v>
      </c>
      <c r="C397" s="18">
        <v>0</v>
      </c>
      <c r="D397" s="18">
        <v>16571.438822399999</v>
      </c>
      <c r="E397" s="18">
        <v>19404.213682081747</v>
      </c>
      <c r="F397" s="18">
        <v>4887.8316480000003</v>
      </c>
      <c r="G397" s="18">
        <v>4989.6583067097117</v>
      </c>
      <c r="H397" s="19">
        <v>0.17094320475374891</v>
      </c>
      <c r="I397" s="19">
        <v>2.0832685338370238E-2</v>
      </c>
      <c r="J397" s="19">
        <v>0.13675215671657259</v>
      </c>
    </row>
    <row r="398" spans="1:10" ht="11.25" customHeight="1" x14ac:dyDescent="0.2">
      <c r="A398" s="28">
        <v>44682</v>
      </c>
      <c r="B398" s="18">
        <v>0</v>
      </c>
      <c r="C398" s="18">
        <v>0</v>
      </c>
      <c r="D398" s="18">
        <v>16571.438822399999</v>
      </c>
      <c r="E398" s="18">
        <v>19404.213682081747</v>
      </c>
      <c r="F398" s="18">
        <v>4887.8316480000003</v>
      </c>
      <c r="G398" s="18">
        <v>4989.6583067097117</v>
      </c>
      <c r="H398" s="19">
        <v>0.17094320475374891</v>
      </c>
      <c r="I398" s="19">
        <v>2.0832685338370238E-2</v>
      </c>
      <c r="J398" s="19">
        <v>0.13675215671657259</v>
      </c>
    </row>
    <row r="399" spans="1:10" ht="11.25" customHeight="1" x14ac:dyDescent="0.2">
      <c r="A399" s="23" t="s">
        <v>51</v>
      </c>
      <c r="B399" s="18">
        <v>1123942.5390000001</v>
      </c>
      <c r="C399" s="18">
        <v>1313099.1515209987</v>
      </c>
      <c r="D399" s="18">
        <v>4431528.9913224</v>
      </c>
      <c r="E399" s="18">
        <v>5871820.7564624939</v>
      </c>
      <c r="F399" s="18">
        <v>7123100.5791934002</v>
      </c>
      <c r="G399" s="18">
        <v>7141422.6728185862</v>
      </c>
      <c r="H399" s="19">
        <v>0.29330514408495789</v>
      </c>
      <c r="I399" s="19">
        <v>2.5722076252445714E-3</v>
      </c>
      <c r="J399" s="19">
        <v>0.12996498793815725</v>
      </c>
    </row>
    <row r="400" spans="1:10" ht="11.25" customHeight="1" x14ac:dyDescent="0.2">
      <c r="A400" s="24" t="s">
        <v>52</v>
      </c>
      <c r="B400" s="18">
        <v>1123942.5390000001</v>
      </c>
      <c r="C400" s="18">
        <v>1313099.1515209987</v>
      </c>
      <c r="D400" s="18">
        <v>4431528.9913224</v>
      </c>
      <c r="E400" s="18">
        <v>5871820.7564624939</v>
      </c>
      <c r="F400" s="18">
        <v>7123100.5791934002</v>
      </c>
      <c r="G400" s="18">
        <v>7141422.6728185862</v>
      </c>
      <c r="H400" s="19">
        <v>0.29330514408495789</v>
      </c>
      <c r="I400" s="19">
        <v>2.5722076252445714E-3</v>
      </c>
      <c r="J400" s="19">
        <v>0.12996498793815725</v>
      </c>
    </row>
    <row r="401" spans="1:10" ht="11.25" customHeight="1" x14ac:dyDescent="0.2">
      <c r="A401" s="25" t="s">
        <v>25</v>
      </c>
      <c r="B401" s="18">
        <v>1123942.5390000001</v>
      </c>
      <c r="C401" s="18">
        <v>1313099.1515209987</v>
      </c>
      <c r="D401" s="18">
        <v>4431528.9913224</v>
      </c>
      <c r="E401" s="18">
        <v>5871820.7564624939</v>
      </c>
      <c r="F401" s="18">
        <v>7123100.5791934002</v>
      </c>
      <c r="G401" s="18">
        <v>7141422.6728185862</v>
      </c>
      <c r="H401" s="19">
        <v>0.29330514408495789</v>
      </c>
      <c r="I401" s="19">
        <v>2.5722076252445714E-3</v>
      </c>
      <c r="J401" s="19">
        <v>0.12996498793815725</v>
      </c>
    </row>
    <row r="402" spans="1:10" ht="11.25" customHeight="1" x14ac:dyDescent="0.2">
      <c r="A402" s="26" t="s">
        <v>25</v>
      </c>
      <c r="B402" s="18">
        <v>1123942.5390000001</v>
      </c>
      <c r="C402" s="18">
        <v>1313099.1515209987</v>
      </c>
      <c r="D402" s="18">
        <v>4431528.9913224</v>
      </c>
      <c r="E402" s="18">
        <v>5871820.7564624939</v>
      </c>
      <c r="F402" s="18">
        <v>7123100.5791934002</v>
      </c>
      <c r="G402" s="18">
        <v>7141422.6728185862</v>
      </c>
      <c r="H402" s="19">
        <v>0.29330514408495789</v>
      </c>
      <c r="I402" s="19">
        <v>2.5722076252445714E-3</v>
      </c>
      <c r="J402" s="19">
        <v>0.12996498793815725</v>
      </c>
    </row>
    <row r="403" spans="1:10" ht="11.25" customHeight="1" x14ac:dyDescent="0.2">
      <c r="A403" s="27" t="s">
        <v>35</v>
      </c>
      <c r="B403" s="18">
        <v>0</v>
      </c>
      <c r="C403" s="18">
        <v>0</v>
      </c>
      <c r="D403" s="18">
        <v>1809988.8073696001</v>
      </c>
      <c r="E403" s="18">
        <v>2802146.0920740692</v>
      </c>
      <c r="F403" s="18">
        <v>6349863.7338624001</v>
      </c>
      <c r="G403" s="18">
        <v>6352077.2275967719</v>
      </c>
      <c r="H403" s="19">
        <v>0.54815658564559877</v>
      </c>
      <c r="I403" s="19">
        <v>3.4858917090896391E-4</v>
      </c>
      <c r="J403" s="19">
        <v>0.12186136617227494</v>
      </c>
    </row>
    <row r="404" spans="1:10" ht="11.25" customHeight="1" x14ac:dyDescent="0.2">
      <c r="A404" s="28">
        <v>44348</v>
      </c>
      <c r="B404" s="18">
        <v>0</v>
      </c>
      <c r="C404" s="18">
        <v>0</v>
      </c>
      <c r="D404" s="18">
        <v>138613.42008799998</v>
      </c>
      <c r="E404" s="18">
        <v>214595.27916809707</v>
      </c>
      <c r="F404" s="18">
        <v>486288.27187200001</v>
      </c>
      <c r="G404" s="18">
        <v>486457.78669751453</v>
      </c>
      <c r="H404" s="19">
        <v>0.54815658564559855</v>
      </c>
      <c r="I404" s="19">
        <v>3.4858917090874186E-4</v>
      </c>
      <c r="J404" s="19">
        <v>0.12186136617227494</v>
      </c>
    </row>
    <row r="405" spans="1:10" ht="11.25" customHeight="1" x14ac:dyDescent="0.2">
      <c r="A405" s="28">
        <v>44378</v>
      </c>
      <c r="B405" s="18">
        <v>0</v>
      </c>
      <c r="C405" s="18">
        <v>0</v>
      </c>
      <c r="D405" s="18">
        <v>144356.49039240001</v>
      </c>
      <c r="E405" s="18">
        <v>223486.45128167962</v>
      </c>
      <c r="F405" s="18">
        <v>506436.30466560007</v>
      </c>
      <c r="G405" s="18">
        <v>506612.84287716151</v>
      </c>
      <c r="H405" s="19">
        <v>0.54815658564559833</v>
      </c>
      <c r="I405" s="19">
        <v>3.4858917090874186E-4</v>
      </c>
      <c r="J405" s="19">
        <v>0.1218613661722745</v>
      </c>
    </row>
    <row r="406" spans="1:10" ht="11.25" customHeight="1" x14ac:dyDescent="0.2">
      <c r="A406" s="28">
        <v>44409</v>
      </c>
      <c r="B406" s="18">
        <v>0</v>
      </c>
      <c r="C406" s="18">
        <v>0</v>
      </c>
      <c r="D406" s="18">
        <v>144654.93236479998</v>
      </c>
      <c r="E406" s="18">
        <v>223948.48618668373</v>
      </c>
      <c r="F406" s="18">
        <v>507483.30885120004</v>
      </c>
      <c r="G406" s="18">
        <v>507660.21203708247</v>
      </c>
      <c r="H406" s="19">
        <v>0.54815658564559855</v>
      </c>
      <c r="I406" s="19">
        <v>3.4858917090874186E-4</v>
      </c>
      <c r="J406" s="19">
        <v>0.1218613661722745</v>
      </c>
    </row>
    <row r="407" spans="1:10" ht="11.25" customHeight="1" x14ac:dyDescent="0.2">
      <c r="A407" s="28">
        <v>44440</v>
      </c>
      <c r="B407" s="18">
        <v>0</v>
      </c>
      <c r="C407" s="18">
        <v>0</v>
      </c>
      <c r="D407" s="18">
        <v>145018.54652999999</v>
      </c>
      <c r="E407" s="18">
        <v>224511.41785117215</v>
      </c>
      <c r="F407" s="18">
        <v>508758.95232000004</v>
      </c>
      <c r="G407" s="18">
        <v>508936.30018138164</v>
      </c>
      <c r="H407" s="19">
        <v>0.54815658564559855</v>
      </c>
      <c r="I407" s="19">
        <v>3.4858917090874186E-4</v>
      </c>
      <c r="J407" s="19">
        <v>0.1218613661722745</v>
      </c>
    </row>
    <row r="408" spans="1:10" ht="11.25" customHeight="1" x14ac:dyDescent="0.2">
      <c r="A408" s="28">
        <v>44470</v>
      </c>
      <c r="B408" s="18">
        <v>0</v>
      </c>
      <c r="C408" s="18">
        <v>0</v>
      </c>
      <c r="D408" s="18">
        <v>151699.4463556</v>
      </c>
      <c r="E408" s="18">
        <v>234854.49691421332</v>
      </c>
      <c r="F408" s="18">
        <v>532197.1102464</v>
      </c>
      <c r="G408" s="18">
        <v>532382.62839582085</v>
      </c>
      <c r="H408" s="19">
        <v>0.54815658564559855</v>
      </c>
      <c r="I408" s="19">
        <v>3.4858917090874186E-4</v>
      </c>
      <c r="J408" s="19">
        <v>0.12186136617227472</v>
      </c>
    </row>
    <row r="409" spans="1:10" ht="11.25" customHeight="1" x14ac:dyDescent="0.2">
      <c r="A409" s="28">
        <v>44501</v>
      </c>
      <c r="B409" s="18">
        <v>0</v>
      </c>
      <c r="C409" s="18">
        <v>0</v>
      </c>
      <c r="D409" s="18">
        <v>149596.51804239998</v>
      </c>
      <c r="E409" s="18">
        <v>231598.83459699215</v>
      </c>
      <c r="F409" s="18">
        <v>524819.54626560002</v>
      </c>
      <c r="G409" s="18">
        <v>525002.49267610942</v>
      </c>
      <c r="H409" s="19">
        <v>0.54815658564559855</v>
      </c>
      <c r="I409" s="19">
        <v>3.4858917090874186E-4</v>
      </c>
      <c r="J409" s="19">
        <v>0.12186136617227472</v>
      </c>
    </row>
    <row r="410" spans="1:10" ht="11.25" customHeight="1" x14ac:dyDescent="0.2">
      <c r="A410" s="28">
        <v>44531</v>
      </c>
      <c r="B410" s="18">
        <v>0</v>
      </c>
      <c r="C410" s="18">
        <v>0</v>
      </c>
      <c r="D410" s="18">
        <v>152324.83271719998</v>
      </c>
      <c r="E410" s="18">
        <v>235822.6929284973</v>
      </c>
      <c r="F410" s="18">
        <v>534391.11175680009</v>
      </c>
      <c r="G410" s="18">
        <v>534577.39471138839</v>
      </c>
      <c r="H410" s="19">
        <v>0.54815658564559855</v>
      </c>
      <c r="I410" s="19">
        <v>3.4858917090874186E-4</v>
      </c>
      <c r="J410" s="19">
        <v>0.12186136617227494</v>
      </c>
    </row>
    <row r="411" spans="1:10" ht="11.25" customHeight="1" x14ac:dyDescent="0.2">
      <c r="A411" s="28">
        <v>44562</v>
      </c>
      <c r="B411" s="18">
        <v>0</v>
      </c>
      <c r="C411" s="18">
        <v>0</v>
      </c>
      <c r="D411" s="18">
        <v>155516.35333519999</v>
      </c>
      <c r="E411" s="18">
        <v>240763.66659147773</v>
      </c>
      <c r="F411" s="18">
        <v>545587.71194880002</v>
      </c>
      <c r="G411" s="18">
        <v>545777.89791696623</v>
      </c>
      <c r="H411" s="19">
        <v>0.54815658564559855</v>
      </c>
      <c r="I411" s="19">
        <v>3.4858917090874186E-4</v>
      </c>
      <c r="J411" s="19">
        <v>0.12186136617227472</v>
      </c>
    </row>
    <row r="412" spans="1:10" ht="11.25" customHeight="1" x14ac:dyDescent="0.2">
      <c r="A412" s="28">
        <v>44593</v>
      </c>
      <c r="B412" s="18">
        <v>0</v>
      </c>
      <c r="C412" s="18">
        <v>0</v>
      </c>
      <c r="D412" s="18">
        <v>148529.26087999999</v>
      </c>
      <c r="E412" s="18">
        <v>229946.55339244517</v>
      </c>
      <c r="F412" s="18">
        <v>521075.35872000002</v>
      </c>
      <c r="G412" s="18">
        <v>521256.99994727719</v>
      </c>
      <c r="H412" s="19">
        <v>0.54815658564559877</v>
      </c>
      <c r="I412" s="19">
        <v>3.4858917090874186E-4</v>
      </c>
      <c r="J412" s="19">
        <v>0.12186136617227472</v>
      </c>
    </row>
    <row r="413" spans="1:10" ht="11.25" customHeight="1" x14ac:dyDescent="0.2">
      <c r="A413" s="28">
        <v>44621</v>
      </c>
      <c r="B413" s="18">
        <v>0</v>
      </c>
      <c r="C413" s="18">
        <v>0</v>
      </c>
      <c r="D413" s="18">
        <v>162953.3172696</v>
      </c>
      <c r="E413" s="18">
        <v>252277.25128372788</v>
      </c>
      <c r="F413" s="18">
        <v>571678.31946240005</v>
      </c>
      <c r="G413" s="18">
        <v>571877.60033380799</v>
      </c>
      <c r="H413" s="19">
        <v>0.54815658564559855</v>
      </c>
      <c r="I413" s="19">
        <v>3.4858917090874186E-4</v>
      </c>
      <c r="J413" s="19">
        <v>0.12186136617227472</v>
      </c>
    </row>
    <row r="414" spans="1:10" ht="11.25" customHeight="1" x14ac:dyDescent="0.2">
      <c r="A414" s="28">
        <v>44652</v>
      </c>
      <c r="B414" s="18">
        <v>0</v>
      </c>
      <c r="C414" s="18">
        <v>0</v>
      </c>
      <c r="D414" s="18">
        <v>158362.84469719999</v>
      </c>
      <c r="E414" s="18">
        <v>245170.4809395413</v>
      </c>
      <c r="F414" s="18">
        <v>555573.86887680006</v>
      </c>
      <c r="G414" s="18">
        <v>555767.53591113037</v>
      </c>
      <c r="H414" s="19">
        <v>0.54815658564559833</v>
      </c>
      <c r="I414" s="19">
        <v>3.4858917090874186E-4</v>
      </c>
      <c r="J414" s="19">
        <v>0.12186136617227472</v>
      </c>
    </row>
    <row r="415" spans="1:10" ht="11.25" customHeight="1" x14ac:dyDescent="0.2">
      <c r="A415" s="28">
        <v>44682</v>
      </c>
      <c r="B415" s="18">
        <v>0</v>
      </c>
      <c r="C415" s="18">
        <v>0</v>
      </c>
      <c r="D415" s="18">
        <v>158362.84469719999</v>
      </c>
      <c r="E415" s="18">
        <v>245170.4809395413</v>
      </c>
      <c r="F415" s="18">
        <v>555573.86887680006</v>
      </c>
      <c r="G415" s="18">
        <v>555767.53591113037</v>
      </c>
      <c r="H415" s="19">
        <v>0.54815658564559833</v>
      </c>
      <c r="I415" s="19">
        <v>3.4858917090874186E-4</v>
      </c>
      <c r="J415" s="19">
        <v>0.12186136617227472</v>
      </c>
    </row>
    <row r="416" spans="1:10" ht="11.25" customHeight="1" x14ac:dyDescent="0.2">
      <c r="A416" s="27" t="s">
        <v>25</v>
      </c>
      <c r="B416" s="18">
        <v>1123942.5390000001</v>
      </c>
      <c r="C416" s="18">
        <v>1313099.1515209987</v>
      </c>
      <c r="D416" s="18">
        <v>0</v>
      </c>
      <c r="E416" s="18">
        <v>0</v>
      </c>
      <c r="F416" s="18">
        <v>0</v>
      </c>
      <c r="G416" s="18">
        <v>0</v>
      </c>
      <c r="H416" s="19">
        <v>0.16829740485603106</v>
      </c>
      <c r="I416" s="19">
        <v>0</v>
      </c>
      <c r="J416" s="19">
        <v>0.16829740485603106</v>
      </c>
    </row>
    <row r="417" spans="1:10" ht="11.25" customHeight="1" x14ac:dyDescent="0.2">
      <c r="A417" s="28">
        <v>44348</v>
      </c>
      <c r="B417" s="18">
        <v>87189.353499999997</v>
      </c>
      <c r="C417" s="18">
        <v>101863.09542512512</v>
      </c>
      <c r="D417" s="18">
        <v>0</v>
      </c>
      <c r="E417" s="18">
        <v>0</v>
      </c>
      <c r="F417" s="18">
        <v>0</v>
      </c>
      <c r="G417" s="18">
        <v>0</v>
      </c>
      <c r="H417" s="19">
        <v>0.16829740485603129</v>
      </c>
      <c r="I417" s="19">
        <v>0</v>
      </c>
      <c r="J417" s="19">
        <v>0.16829740485603129</v>
      </c>
    </row>
    <row r="418" spans="1:10" ht="11.25" customHeight="1" x14ac:dyDescent="0.2">
      <c r="A418" s="28">
        <v>44378</v>
      </c>
      <c r="B418" s="18">
        <v>87471.239000000001</v>
      </c>
      <c r="C418" s="18">
        <v>102192.42152324168</v>
      </c>
      <c r="D418" s="18">
        <v>0</v>
      </c>
      <c r="E418" s="18">
        <v>0</v>
      </c>
      <c r="F418" s="18">
        <v>0</v>
      </c>
      <c r="G418" s="18">
        <v>0</v>
      </c>
      <c r="H418" s="19">
        <v>0.16829740485603129</v>
      </c>
      <c r="I418" s="19">
        <v>0</v>
      </c>
      <c r="J418" s="19">
        <v>0.16829740485603129</v>
      </c>
    </row>
    <row r="419" spans="1:10" ht="11.25" customHeight="1" x14ac:dyDescent="0.2">
      <c r="A419" s="28">
        <v>44409</v>
      </c>
      <c r="B419" s="18">
        <v>87579.656500000012</v>
      </c>
      <c r="C419" s="18">
        <v>102319.08540713265</v>
      </c>
      <c r="D419" s="18">
        <v>0</v>
      </c>
      <c r="E419" s="18">
        <v>0</v>
      </c>
      <c r="F419" s="18">
        <v>0</v>
      </c>
      <c r="G419" s="18">
        <v>0</v>
      </c>
      <c r="H419" s="19">
        <v>0.16829740485603106</v>
      </c>
      <c r="I419" s="19">
        <v>0</v>
      </c>
      <c r="J419" s="19">
        <v>0.16829740485603106</v>
      </c>
    </row>
    <row r="420" spans="1:10" ht="11.25" customHeight="1" x14ac:dyDescent="0.2">
      <c r="A420" s="28">
        <v>44440</v>
      </c>
      <c r="B420" s="18">
        <v>87839.858500000002</v>
      </c>
      <c r="C420" s="18">
        <v>102623.07872847099</v>
      </c>
      <c r="D420" s="18">
        <v>0</v>
      </c>
      <c r="E420" s="18">
        <v>0</v>
      </c>
      <c r="F420" s="18">
        <v>0</v>
      </c>
      <c r="G420" s="18">
        <v>0</v>
      </c>
      <c r="H420" s="19">
        <v>0.16829740485603129</v>
      </c>
      <c r="I420" s="19">
        <v>0</v>
      </c>
      <c r="J420" s="19">
        <v>0.16829740485603129</v>
      </c>
    </row>
    <row r="421" spans="1:10" ht="11.25" customHeight="1" x14ac:dyDescent="0.2">
      <c r="A421" s="28">
        <v>44470</v>
      </c>
      <c r="B421" s="18">
        <v>94930.362999999998</v>
      </c>
      <c r="C421" s="18">
        <v>110906.89673494099</v>
      </c>
      <c r="D421" s="18">
        <v>0</v>
      </c>
      <c r="E421" s="18">
        <v>0</v>
      </c>
      <c r="F421" s="18">
        <v>0</v>
      </c>
      <c r="G421" s="18">
        <v>0</v>
      </c>
      <c r="H421" s="19">
        <v>0.16829740485603106</v>
      </c>
      <c r="I421" s="19">
        <v>0</v>
      </c>
      <c r="J421" s="19">
        <v>0.16829740485603106</v>
      </c>
    </row>
    <row r="422" spans="1:10" ht="11.25" customHeight="1" x14ac:dyDescent="0.2">
      <c r="A422" s="28">
        <v>44501</v>
      </c>
      <c r="B422" s="18">
        <v>94886.995999999999</v>
      </c>
      <c r="C422" s="18">
        <v>110856.23118138462</v>
      </c>
      <c r="D422" s="18">
        <v>0</v>
      </c>
      <c r="E422" s="18">
        <v>0</v>
      </c>
      <c r="F422" s="18">
        <v>0</v>
      </c>
      <c r="G422" s="18">
        <v>0</v>
      </c>
      <c r="H422" s="19">
        <v>0.16829740485603129</v>
      </c>
      <c r="I422" s="19">
        <v>0</v>
      </c>
      <c r="J422" s="19">
        <v>0.16829740485603129</v>
      </c>
    </row>
    <row r="423" spans="1:10" ht="11.25" customHeight="1" x14ac:dyDescent="0.2">
      <c r="A423" s="28">
        <v>44531</v>
      </c>
      <c r="B423" s="18">
        <v>95732.652500000011</v>
      </c>
      <c r="C423" s="18">
        <v>111844.20947573424</v>
      </c>
      <c r="D423" s="18">
        <v>0</v>
      </c>
      <c r="E423" s="18">
        <v>0</v>
      </c>
      <c r="F423" s="18">
        <v>0</v>
      </c>
      <c r="G423" s="18">
        <v>0</v>
      </c>
      <c r="H423" s="19">
        <v>0.16829740485603106</v>
      </c>
      <c r="I423" s="19">
        <v>0</v>
      </c>
      <c r="J423" s="19">
        <v>0.16829740485603106</v>
      </c>
    </row>
    <row r="424" spans="1:10" ht="11.25" customHeight="1" x14ac:dyDescent="0.2">
      <c r="A424" s="28">
        <v>44562</v>
      </c>
      <c r="B424" s="18">
        <v>95971.171000000002</v>
      </c>
      <c r="C424" s="18">
        <v>112122.8700202944</v>
      </c>
      <c r="D424" s="18">
        <v>0</v>
      </c>
      <c r="E424" s="18">
        <v>0</v>
      </c>
      <c r="F424" s="18">
        <v>0</v>
      </c>
      <c r="G424" s="18">
        <v>0</v>
      </c>
      <c r="H424" s="19">
        <v>0.16829740485603129</v>
      </c>
      <c r="I424" s="19">
        <v>0</v>
      </c>
      <c r="J424" s="19">
        <v>0.16829740485603129</v>
      </c>
    </row>
    <row r="425" spans="1:10" ht="11.25" customHeight="1" x14ac:dyDescent="0.2">
      <c r="A425" s="28">
        <v>44593</v>
      </c>
      <c r="B425" s="18">
        <v>95776.019499999995</v>
      </c>
      <c r="C425" s="18">
        <v>111894.87502929063</v>
      </c>
      <c r="D425" s="18">
        <v>0</v>
      </c>
      <c r="E425" s="18">
        <v>0</v>
      </c>
      <c r="F425" s="18">
        <v>0</v>
      </c>
      <c r="G425" s="18">
        <v>0</v>
      </c>
      <c r="H425" s="19">
        <v>0.16829740485603129</v>
      </c>
      <c r="I425" s="19">
        <v>0</v>
      </c>
      <c r="J425" s="19">
        <v>0.16829740485603129</v>
      </c>
    </row>
    <row r="426" spans="1:10" ht="11.25" customHeight="1" x14ac:dyDescent="0.2">
      <c r="A426" s="28">
        <v>44621</v>
      </c>
      <c r="B426" s="18">
        <v>98551.507500000007</v>
      </c>
      <c r="C426" s="18">
        <v>115137.4704568997</v>
      </c>
      <c r="D426" s="18">
        <v>0</v>
      </c>
      <c r="E426" s="18">
        <v>0</v>
      </c>
      <c r="F426" s="18">
        <v>0</v>
      </c>
      <c r="G426" s="18">
        <v>0</v>
      </c>
      <c r="H426" s="19">
        <v>0.16829740485603106</v>
      </c>
      <c r="I426" s="19">
        <v>0</v>
      </c>
      <c r="J426" s="19">
        <v>0.16829740485603106</v>
      </c>
    </row>
    <row r="427" spans="1:10" ht="11.25" customHeight="1" x14ac:dyDescent="0.2">
      <c r="A427" s="28">
        <v>44652</v>
      </c>
      <c r="B427" s="18">
        <v>99006.861000000004</v>
      </c>
      <c r="C427" s="18">
        <v>115669.4587692418</v>
      </c>
      <c r="D427" s="18">
        <v>0</v>
      </c>
      <c r="E427" s="18">
        <v>0</v>
      </c>
      <c r="F427" s="18">
        <v>0</v>
      </c>
      <c r="G427" s="18">
        <v>0</v>
      </c>
      <c r="H427" s="19">
        <v>0.16829740485603106</v>
      </c>
      <c r="I427" s="19">
        <v>0</v>
      </c>
      <c r="J427" s="19">
        <v>0.16829740485603106</v>
      </c>
    </row>
    <row r="428" spans="1:10" ht="11.25" customHeight="1" x14ac:dyDescent="0.2">
      <c r="A428" s="28">
        <v>44682</v>
      </c>
      <c r="B428" s="18">
        <v>99006.861000000004</v>
      </c>
      <c r="C428" s="18">
        <v>115669.4587692418</v>
      </c>
      <c r="D428" s="18">
        <v>0</v>
      </c>
      <c r="E428" s="18">
        <v>0</v>
      </c>
      <c r="F428" s="18">
        <v>0</v>
      </c>
      <c r="G428" s="18">
        <v>0</v>
      </c>
      <c r="H428" s="19">
        <v>0.16829740485603106</v>
      </c>
      <c r="I428" s="19">
        <v>0</v>
      </c>
      <c r="J428" s="19">
        <v>0.16829740485603106</v>
      </c>
    </row>
    <row r="429" spans="1:10" ht="11.25" customHeight="1" x14ac:dyDescent="0.2">
      <c r="A429" s="27" t="s">
        <v>34</v>
      </c>
      <c r="B429" s="18">
        <v>0</v>
      </c>
      <c r="C429" s="18">
        <v>0</v>
      </c>
      <c r="D429" s="18">
        <v>2621540.1839528</v>
      </c>
      <c r="E429" s="18">
        <v>3069674.6643884238</v>
      </c>
      <c r="F429" s="18">
        <v>773236.84533099981</v>
      </c>
      <c r="G429" s="18">
        <v>789345.44522181491</v>
      </c>
      <c r="H429" s="19">
        <v>0.17094320475374891</v>
      </c>
      <c r="I429" s="19">
        <v>2.0832685338370682E-2</v>
      </c>
      <c r="J429" s="19">
        <v>0.13675215671657259</v>
      </c>
    </row>
    <row r="430" spans="1:10" ht="11.25" customHeight="1" x14ac:dyDescent="0.2">
      <c r="A430" s="28">
        <v>44348</v>
      </c>
      <c r="B430" s="18">
        <v>0</v>
      </c>
      <c r="C430" s="18">
        <v>0</v>
      </c>
      <c r="D430" s="18">
        <v>166551.78120239999</v>
      </c>
      <c r="E430" s="18">
        <v>195022.67643858344</v>
      </c>
      <c r="F430" s="18">
        <v>49125.309872999998</v>
      </c>
      <c r="G430" s="18">
        <v>50148.721995734144</v>
      </c>
      <c r="H430" s="19">
        <v>0.17094320475374891</v>
      </c>
      <c r="I430" s="19">
        <v>2.0832685338370238E-2</v>
      </c>
      <c r="J430" s="19">
        <v>0.13675215671657259</v>
      </c>
    </row>
    <row r="431" spans="1:10" ht="11.25" customHeight="1" x14ac:dyDescent="0.2">
      <c r="A431" s="28">
        <v>44378</v>
      </c>
      <c r="B431" s="18">
        <v>0</v>
      </c>
      <c r="C431" s="18">
        <v>0</v>
      </c>
      <c r="D431" s="18">
        <v>186487.46002480001</v>
      </c>
      <c r="E431" s="18">
        <v>218366.22408782595</v>
      </c>
      <c r="F431" s="18">
        <v>55005.441521000001</v>
      </c>
      <c r="G431" s="18">
        <v>56151.352576105121</v>
      </c>
      <c r="H431" s="19">
        <v>0.17094320475374891</v>
      </c>
      <c r="I431" s="19">
        <v>2.0832685338370238E-2</v>
      </c>
      <c r="J431" s="19">
        <v>0.13675215671657259</v>
      </c>
    </row>
    <row r="432" spans="1:10" ht="11.25" customHeight="1" x14ac:dyDescent="0.2">
      <c r="A432" s="28">
        <v>44409</v>
      </c>
      <c r="B432" s="18">
        <v>0</v>
      </c>
      <c r="C432" s="18">
        <v>0</v>
      </c>
      <c r="D432" s="18">
        <v>197840.4243288</v>
      </c>
      <c r="E432" s="18">
        <v>231659.9004934066</v>
      </c>
      <c r="F432" s="18">
        <v>58354.057100999999</v>
      </c>
      <c r="G432" s="18">
        <v>59569.72881080243</v>
      </c>
      <c r="H432" s="19">
        <v>0.17094320475374869</v>
      </c>
      <c r="I432" s="19">
        <v>2.083268533837046E-2</v>
      </c>
      <c r="J432" s="19">
        <v>0.13675215671657259</v>
      </c>
    </row>
    <row r="433" spans="1:10" ht="11.25" customHeight="1" x14ac:dyDescent="0.2">
      <c r="A433" s="28">
        <v>44440</v>
      </c>
      <c r="B433" s="18">
        <v>0</v>
      </c>
      <c r="C433" s="18">
        <v>0</v>
      </c>
      <c r="D433" s="18">
        <v>224100.87435119998</v>
      </c>
      <c r="E433" s="18">
        <v>262409.39600091131</v>
      </c>
      <c r="F433" s="18">
        <v>66099.712748999998</v>
      </c>
      <c r="G433" s="18">
        <v>67476.747265656581</v>
      </c>
      <c r="H433" s="19">
        <v>0.17094320475374891</v>
      </c>
      <c r="I433" s="19">
        <v>2.0832685338370238E-2</v>
      </c>
      <c r="J433" s="19">
        <v>0.13675215671657259</v>
      </c>
    </row>
    <row r="434" spans="1:10" ht="11.25" customHeight="1" x14ac:dyDescent="0.2">
      <c r="A434" s="28">
        <v>44470</v>
      </c>
      <c r="B434" s="18">
        <v>0</v>
      </c>
      <c r="C434" s="18">
        <v>0</v>
      </c>
      <c r="D434" s="18">
        <v>215379.01486639999</v>
      </c>
      <c r="E434" s="18">
        <v>252196.59390436774</v>
      </c>
      <c r="F434" s="18">
        <v>63527.155153</v>
      </c>
      <c r="G434" s="18">
        <v>64850.596386744277</v>
      </c>
      <c r="H434" s="19">
        <v>0.17094320475374891</v>
      </c>
      <c r="I434" s="19">
        <v>2.0832685338370238E-2</v>
      </c>
      <c r="J434" s="19">
        <v>0.13675215671657259</v>
      </c>
    </row>
    <row r="435" spans="1:10" ht="11.25" customHeight="1" x14ac:dyDescent="0.2">
      <c r="A435" s="28">
        <v>44501</v>
      </c>
      <c r="B435" s="18">
        <v>0</v>
      </c>
      <c r="C435" s="18">
        <v>0</v>
      </c>
      <c r="D435" s="18">
        <v>215714.22773999997</v>
      </c>
      <c r="E435" s="18">
        <v>252589.10914085561</v>
      </c>
      <c r="F435" s="18">
        <v>63626.027924999995</v>
      </c>
      <c r="G435" s="18">
        <v>64951.528944091879</v>
      </c>
      <c r="H435" s="19">
        <v>0.17094320475374891</v>
      </c>
      <c r="I435" s="19">
        <v>2.0832685338370238E-2</v>
      </c>
      <c r="J435" s="19">
        <v>0.13675215671657259</v>
      </c>
    </row>
    <row r="436" spans="1:10" ht="11.25" customHeight="1" x14ac:dyDescent="0.2">
      <c r="A436" s="28">
        <v>44531</v>
      </c>
      <c r="B436" s="18">
        <v>0</v>
      </c>
      <c r="C436" s="18">
        <v>0</v>
      </c>
      <c r="D436" s="18">
        <v>245701.54919199998</v>
      </c>
      <c r="E436" s="18">
        <v>287702.5594238413</v>
      </c>
      <c r="F436" s="18">
        <v>72470.943589999995</v>
      </c>
      <c r="G436" s="18">
        <v>73980.707953985242</v>
      </c>
      <c r="H436" s="19">
        <v>0.17094320475374869</v>
      </c>
      <c r="I436" s="19">
        <v>2.0832685338370238E-2</v>
      </c>
      <c r="J436" s="19">
        <v>0.13675215671657237</v>
      </c>
    </row>
    <row r="437" spans="1:10" ht="11.25" customHeight="1" x14ac:dyDescent="0.2">
      <c r="A437" s="28">
        <v>44562</v>
      </c>
      <c r="B437" s="18">
        <v>0</v>
      </c>
      <c r="C437" s="18">
        <v>0</v>
      </c>
      <c r="D437" s="18">
        <v>248876.58433439996</v>
      </c>
      <c r="E437" s="18">
        <v>291420.34524868894</v>
      </c>
      <c r="F437" s="18">
        <v>73407.436637999985</v>
      </c>
      <c r="G437" s="18">
        <v>74936.710666975807</v>
      </c>
      <c r="H437" s="19">
        <v>0.17094320475374891</v>
      </c>
      <c r="I437" s="19">
        <v>2.083268533837046E-2</v>
      </c>
      <c r="J437" s="19">
        <v>0.13675215671657259</v>
      </c>
    </row>
    <row r="438" spans="1:10" ht="11.25" customHeight="1" x14ac:dyDescent="0.2">
      <c r="A438" s="28">
        <v>44593</v>
      </c>
      <c r="B438" s="18">
        <v>0</v>
      </c>
      <c r="C438" s="18">
        <v>0</v>
      </c>
      <c r="D438" s="18">
        <v>228482.3596</v>
      </c>
      <c r="E438" s="18">
        <v>267539.86637972249</v>
      </c>
      <c r="F438" s="18">
        <v>67392.054499999998</v>
      </c>
      <c r="G438" s="18">
        <v>68796.011965704805</v>
      </c>
      <c r="H438" s="19">
        <v>0.17094320475374891</v>
      </c>
      <c r="I438" s="19">
        <v>2.083268533837046E-2</v>
      </c>
      <c r="J438" s="19">
        <v>0.13675215671657259</v>
      </c>
    </row>
    <row r="439" spans="1:10" ht="11.25" customHeight="1" x14ac:dyDescent="0.2">
      <c r="A439" s="28">
        <v>44621</v>
      </c>
      <c r="B439" s="18">
        <v>0</v>
      </c>
      <c r="C439" s="18">
        <v>0</v>
      </c>
      <c r="D439" s="18">
        <v>234264.78166959999</v>
      </c>
      <c r="E439" s="18">
        <v>274310.75420913869</v>
      </c>
      <c r="F439" s="18">
        <v>69097.609817000004</v>
      </c>
      <c r="G439" s="18">
        <v>70537.098579951053</v>
      </c>
      <c r="H439" s="19">
        <v>0.17094320475374891</v>
      </c>
      <c r="I439" s="19">
        <v>2.0832685338370238E-2</v>
      </c>
      <c r="J439" s="19">
        <v>0.13675215671657259</v>
      </c>
    </row>
    <row r="440" spans="1:10" ht="11.25" customHeight="1" x14ac:dyDescent="0.2">
      <c r="A440" s="28">
        <v>44652</v>
      </c>
      <c r="B440" s="18">
        <v>0</v>
      </c>
      <c r="C440" s="18">
        <v>0</v>
      </c>
      <c r="D440" s="18">
        <v>229070.56332159997</v>
      </c>
      <c r="E440" s="18">
        <v>268228.61953054083</v>
      </c>
      <c r="F440" s="18">
        <v>67565.548231999986</v>
      </c>
      <c r="G440" s="18">
        <v>68973.120038031731</v>
      </c>
      <c r="H440" s="19">
        <v>0.17094320475374891</v>
      </c>
      <c r="I440" s="19">
        <v>2.083268533837046E-2</v>
      </c>
      <c r="J440" s="19">
        <v>0.13675215671657259</v>
      </c>
    </row>
    <row r="441" spans="1:10" ht="11.25" customHeight="1" x14ac:dyDescent="0.2">
      <c r="A441" s="28">
        <v>44682</v>
      </c>
      <c r="B441" s="18">
        <v>0</v>
      </c>
      <c r="C441" s="18">
        <v>0</v>
      </c>
      <c r="D441" s="18">
        <v>229070.56332159997</v>
      </c>
      <c r="E441" s="18">
        <v>268228.61953054083</v>
      </c>
      <c r="F441" s="18">
        <v>67565.548231999986</v>
      </c>
      <c r="G441" s="18">
        <v>68973.120038031731</v>
      </c>
      <c r="H441" s="19">
        <v>0.17094320475374891</v>
      </c>
      <c r="I441" s="19">
        <v>2.083268533837046E-2</v>
      </c>
      <c r="J441" s="19">
        <v>0.13675215671657259</v>
      </c>
    </row>
    <row r="442" spans="1:10" ht="11.25" customHeight="1" x14ac:dyDescent="0.2">
      <c r="A442" s="21" t="s">
        <v>22</v>
      </c>
      <c r="B442" s="18">
        <v>0</v>
      </c>
      <c r="C442" s="18">
        <v>0</v>
      </c>
      <c r="D442" s="18">
        <v>170733748.65214008</v>
      </c>
      <c r="E442" s="18">
        <v>214440730.74961555</v>
      </c>
      <c r="F442" s="18">
        <v>169132259.10562003</v>
      </c>
      <c r="G442" s="18">
        <v>169628257.66407096</v>
      </c>
      <c r="H442" s="19">
        <v>0.25599497722343134</v>
      </c>
      <c r="I442" s="19">
        <v>2.932607659080988E-3</v>
      </c>
      <c r="J442" s="19">
        <v>0.1300600226175963</v>
      </c>
    </row>
    <row r="443" spans="1:10" ht="11.25" customHeight="1" x14ac:dyDescent="0.2">
      <c r="A443" s="22" t="s">
        <v>33</v>
      </c>
      <c r="B443" s="18">
        <v>0</v>
      </c>
      <c r="C443" s="18">
        <v>0</v>
      </c>
      <c r="D443" s="18">
        <v>46126.77018</v>
      </c>
      <c r="E443" s="18">
        <v>59359.810243814783</v>
      </c>
      <c r="F443" s="18">
        <v>49506.234830000009</v>
      </c>
      <c r="G443" s="18">
        <v>49700.626306753962</v>
      </c>
      <c r="H443" s="19">
        <v>0.28688416752735324</v>
      </c>
      <c r="I443" s="19">
        <v>3.9266059602685033E-3</v>
      </c>
      <c r="J443" s="19">
        <v>0.14040583101163362</v>
      </c>
    </row>
    <row r="444" spans="1:10" ht="11.25" customHeight="1" x14ac:dyDescent="0.2">
      <c r="A444" s="23" t="s">
        <v>24</v>
      </c>
      <c r="B444" s="18">
        <v>0</v>
      </c>
      <c r="C444" s="18">
        <v>0</v>
      </c>
      <c r="D444" s="18">
        <v>46126.77018</v>
      </c>
      <c r="E444" s="18">
        <v>59359.810243814783</v>
      </c>
      <c r="F444" s="18">
        <v>49506.234830000009</v>
      </c>
      <c r="G444" s="18">
        <v>49700.626306753962</v>
      </c>
      <c r="H444" s="19">
        <v>0.28688416752735324</v>
      </c>
      <c r="I444" s="19">
        <v>3.9266059602685033E-3</v>
      </c>
      <c r="J444" s="19">
        <v>0.14040583101163362</v>
      </c>
    </row>
    <row r="445" spans="1:10" ht="11.25" customHeight="1" x14ac:dyDescent="0.2">
      <c r="A445" s="24" t="s">
        <v>24</v>
      </c>
      <c r="B445" s="18">
        <v>0</v>
      </c>
      <c r="C445" s="18">
        <v>0</v>
      </c>
      <c r="D445" s="18">
        <v>46126.77018</v>
      </c>
      <c r="E445" s="18">
        <v>59359.810243814783</v>
      </c>
      <c r="F445" s="18">
        <v>49506.234830000009</v>
      </c>
      <c r="G445" s="18">
        <v>49700.626306753962</v>
      </c>
      <c r="H445" s="19">
        <v>0.28688416752735324</v>
      </c>
      <c r="I445" s="19">
        <v>3.9266059602685033E-3</v>
      </c>
      <c r="J445" s="19">
        <v>0.14040583101163362</v>
      </c>
    </row>
    <row r="446" spans="1:10" ht="11.25" customHeight="1" x14ac:dyDescent="0.2">
      <c r="A446" s="25" t="s">
        <v>25</v>
      </c>
      <c r="B446" s="18">
        <v>0</v>
      </c>
      <c r="C446" s="18">
        <v>0</v>
      </c>
      <c r="D446" s="18">
        <v>46126.77018</v>
      </c>
      <c r="E446" s="18">
        <v>59359.810243814783</v>
      </c>
      <c r="F446" s="18">
        <v>49506.234830000009</v>
      </c>
      <c r="G446" s="18">
        <v>49700.626306753962</v>
      </c>
      <c r="H446" s="19">
        <v>0.28688416752735324</v>
      </c>
      <c r="I446" s="19">
        <v>3.9266059602685033E-3</v>
      </c>
      <c r="J446" s="19">
        <v>0.14040583101163362</v>
      </c>
    </row>
    <row r="447" spans="1:10" ht="11.25" customHeight="1" x14ac:dyDescent="0.2">
      <c r="A447" s="26" t="s">
        <v>25</v>
      </c>
      <c r="B447" s="18">
        <v>0</v>
      </c>
      <c r="C447" s="18">
        <v>0</v>
      </c>
      <c r="D447" s="18">
        <v>46126.77018</v>
      </c>
      <c r="E447" s="18">
        <v>59359.810243814783</v>
      </c>
      <c r="F447" s="18">
        <v>49506.234830000009</v>
      </c>
      <c r="G447" s="18">
        <v>49700.626306753962</v>
      </c>
      <c r="H447" s="19">
        <v>0.28688416752735324</v>
      </c>
      <c r="I447" s="19">
        <v>3.9266059602685033E-3</v>
      </c>
      <c r="J447" s="19">
        <v>0.14040583101163362</v>
      </c>
    </row>
    <row r="448" spans="1:10" ht="11.25" customHeight="1" x14ac:dyDescent="0.2">
      <c r="A448" s="27" t="s">
        <v>35</v>
      </c>
      <c r="B448" s="18">
        <v>0</v>
      </c>
      <c r="C448" s="18">
        <v>0</v>
      </c>
      <c r="D448" s="18">
        <v>28570.329450000001</v>
      </c>
      <c r="E448" s="18">
        <v>37934.663133628354</v>
      </c>
      <c r="F448" s="18">
        <v>37497.427199999998</v>
      </c>
      <c r="G448" s="18">
        <v>37510.498397058866</v>
      </c>
      <c r="H448" s="19">
        <v>0.32776428777332023</v>
      </c>
      <c r="I448" s="19">
        <v>3.4858917090829777E-4</v>
      </c>
      <c r="J448" s="19">
        <v>0.14193617819301596</v>
      </c>
    </row>
    <row r="449" spans="1:10" ht="11.25" customHeight="1" x14ac:dyDescent="0.2">
      <c r="A449" s="28">
        <v>44348</v>
      </c>
      <c r="B449" s="18">
        <v>0</v>
      </c>
      <c r="C449" s="18">
        <v>0</v>
      </c>
      <c r="D449" s="18">
        <v>2160.87482</v>
      </c>
      <c r="E449" s="18">
        <v>2869.1324163446006</v>
      </c>
      <c r="F449" s="18">
        <v>2836.0627199999999</v>
      </c>
      <c r="G449" s="18">
        <v>2837.0513407522099</v>
      </c>
      <c r="H449" s="19">
        <v>0.32776428777331978</v>
      </c>
      <c r="I449" s="19">
        <v>3.4858917090874186E-4</v>
      </c>
      <c r="J449" s="19">
        <v>0.14193617819301596</v>
      </c>
    </row>
    <row r="450" spans="1:10" ht="11.25" customHeight="1" x14ac:dyDescent="0.2">
      <c r="A450" s="28">
        <v>44378</v>
      </c>
      <c r="B450" s="18">
        <v>0</v>
      </c>
      <c r="C450" s="18">
        <v>0</v>
      </c>
      <c r="D450" s="18">
        <v>2118.6905999999999</v>
      </c>
      <c r="E450" s="18">
        <v>2813.1217155210275</v>
      </c>
      <c r="F450" s="18">
        <v>2780.6976</v>
      </c>
      <c r="G450" s="18">
        <v>2781.6669210709319</v>
      </c>
      <c r="H450" s="19">
        <v>0.32776428777331978</v>
      </c>
      <c r="I450" s="19">
        <v>3.4858917090874186E-4</v>
      </c>
      <c r="J450" s="19">
        <v>0.14193617819301596</v>
      </c>
    </row>
    <row r="451" spans="1:10" ht="11.25" customHeight="1" x14ac:dyDescent="0.2">
      <c r="A451" s="28">
        <v>44409</v>
      </c>
      <c r="B451" s="18">
        <v>0</v>
      </c>
      <c r="C451" s="18">
        <v>0</v>
      </c>
      <c r="D451" s="18">
        <v>2509.9610899999998</v>
      </c>
      <c r="E451" s="18">
        <v>3332.6366990025954</v>
      </c>
      <c r="F451" s="18">
        <v>3294.2246399999999</v>
      </c>
      <c r="G451" s="18">
        <v>3295.3729710360449</v>
      </c>
      <c r="H451" s="19">
        <v>0.32776428777331978</v>
      </c>
      <c r="I451" s="19">
        <v>3.4858917090874186E-4</v>
      </c>
      <c r="J451" s="19">
        <v>0.14193617819301618</v>
      </c>
    </row>
    <row r="452" spans="1:10" ht="11.25" customHeight="1" x14ac:dyDescent="0.2">
      <c r="A452" s="28">
        <v>44440</v>
      </c>
      <c r="B452" s="18">
        <v>0</v>
      </c>
      <c r="C452" s="18">
        <v>0</v>
      </c>
      <c r="D452" s="18">
        <v>2723.96306</v>
      </c>
      <c r="E452" s="18">
        <v>3616.7808722817331</v>
      </c>
      <c r="F452" s="18">
        <v>3575.0937600000002</v>
      </c>
      <c r="G452" s="18">
        <v>3576.3399989697195</v>
      </c>
      <c r="H452" s="19">
        <v>0.32776428777331978</v>
      </c>
      <c r="I452" s="19">
        <v>3.4858917090874186E-4</v>
      </c>
      <c r="J452" s="19">
        <v>0.14193617819301596</v>
      </c>
    </row>
    <row r="453" spans="1:10" ht="11.25" customHeight="1" x14ac:dyDescent="0.2">
      <c r="A453" s="28">
        <v>44470</v>
      </c>
      <c r="B453" s="18">
        <v>0</v>
      </c>
      <c r="C453" s="18">
        <v>0</v>
      </c>
      <c r="D453" s="18">
        <v>2196.8973000000001</v>
      </c>
      <c r="E453" s="18">
        <v>2916.9617788456294</v>
      </c>
      <c r="F453" s="18">
        <v>2883.3407999999995</v>
      </c>
      <c r="G453" s="18">
        <v>2884.3459013789197</v>
      </c>
      <c r="H453" s="19">
        <v>0.32776428777331978</v>
      </c>
      <c r="I453" s="19">
        <v>3.4858917090896391E-4</v>
      </c>
      <c r="J453" s="19">
        <v>0.14193617819301596</v>
      </c>
    </row>
    <row r="454" spans="1:10" ht="11.25" customHeight="1" x14ac:dyDescent="0.2">
      <c r="A454" s="28">
        <v>44501</v>
      </c>
      <c r="B454" s="18">
        <v>0</v>
      </c>
      <c r="C454" s="18">
        <v>0</v>
      </c>
      <c r="D454" s="18">
        <v>2548.35347</v>
      </c>
      <c r="E454" s="18">
        <v>3383.6127300892185</v>
      </c>
      <c r="F454" s="18">
        <v>3344.61312</v>
      </c>
      <c r="G454" s="18">
        <v>3345.7790159145111</v>
      </c>
      <c r="H454" s="19">
        <v>0.32776428777332001</v>
      </c>
      <c r="I454" s="19">
        <v>3.4858917090874186E-4</v>
      </c>
      <c r="J454" s="19">
        <v>0.14193617819301596</v>
      </c>
    </row>
    <row r="455" spans="1:10" ht="11.25" customHeight="1" x14ac:dyDescent="0.2">
      <c r="A455" s="28">
        <v>44531</v>
      </c>
      <c r="B455" s="18">
        <v>0</v>
      </c>
      <c r="C455" s="18">
        <v>0</v>
      </c>
      <c r="D455" s="18">
        <v>2198.3192399999998</v>
      </c>
      <c r="E455" s="18">
        <v>2918.8497799969859</v>
      </c>
      <c r="F455" s="18">
        <v>2885.2070400000007</v>
      </c>
      <c r="G455" s="18">
        <v>2886.2127919299737</v>
      </c>
      <c r="H455" s="19">
        <v>0.32776428777332001</v>
      </c>
      <c r="I455" s="19">
        <v>3.4858917090851982E-4</v>
      </c>
      <c r="J455" s="19">
        <v>0.14193617819301596</v>
      </c>
    </row>
    <row r="456" spans="1:10" ht="11.25" customHeight="1" x14ac:dyDescent="0.2">
      <c r="A456" s="28">
        <v>44562</v>
      </c>
      <c r="B456" s="18">
        <v>0</v>
      </c>
      <c r="C456" s="18">
        <v>0</v>
      </c>
      <c r="D456" s="18">
        <v>2347.8599300000001</v>
      </c>
      <c r="E456" s="18">
        <v>3117.4045677479667</v>
      </c>
      <c r="F456" s="18">
        <v>3081.4732799999997</v>
      </c>
      <c r="G456" s="18">
        <v>3082.5474482158525</v>
      </c>
      <c r="H456" s="19">
        <v>0.32776428777331978</v>
      </c>
      <c r="I456" s="19">
        <v>3.4858917090874186E-4</v>
      </c>
      <c r="J456" s="19">
        <v>0.14193617819301596</v>
      </c>
    </row>
    <row r="457" spans="1:10" ht="11.25" customHeight="1" x14ac:dyDescent="0.2">
      <c r="A457" s="28">
        <v>44593</v>
      </c>
      <c r="B457" s="18">
        <v>0</v>
      </c>
      <c r="C457" s="18">
        <v>0</v>
      </c>
      <c r="D457" s="18">
        <v>2552.85628</v>
      </c>
      <c r="E457" s="18">
        <v>3389.5914004018468</v>
      </c>
      <c r="F457" s="18">
        <v>3350.52288</v>
      </c>
      <c r="G457" s="18">
        <v>3351.6908359928493</v>
      </c>
      <c r="H457" s="19">
        <v>0.32776428777331978</v>
      </c>
      <c r="I457" s="19">
        <v>3.4858917090851982E-4</v>
      </c>
      <c r="J457" s="19">
        <v>0.14193617819301574</v>
      </c>
    </row>
    <row r="458" spans="1:10" ht="11.25" customHeight="1" x14ac:dyDescent="0.2">
      <c r="A458" s="28">
        <v>44621</v>
      </c>
      <c r="B458" s="18">
        <v>0</v>
      </c>
      <c r="C458" s="18">
        <v>0</v>
      </c>
      <c r="D458" s="18">
        <v>2774.2049400000001</v>
      </c>
      <c r="E458" s="18">
        <v>3683.4902462963259</v>
      </c>
      <c r="F458" s="18">
        <v>3641.03424</v>
      </c>
      <c r="G458" s="18">
        <v>3642.303465106972</v>
      </c>
      <c r="H458" s="19">
        <v>0.32776428777332001</v>
      </c>
      <c r="I458" s="19">
        <v>3.4858917090874186E-4</v>
      </c>
      <c r="J458" s="19">
        <v>0.14193617819301596</v>
      </c>
    </row>
    <row r="459" spans="1:10" ht="11.25" customHeight="1" x14ac:dyDescent="0.2">
      <c r="A459" s="28">
        <v>44652</v>
      </c>
      <c r="B459" s="18">
        <v>0</v>
      </c>
      <c r="C459" s="18">
        <v>0</v>
      </c>
      <c r="D459" s="18">
        <v>2219.17436</v>
      </c>
      <c r="E459" s="18">
        <v>2946.5404635502132</v>
      </c>
      <c r="F459" s="18">
        <v>2912.5785600000004</v>
      </c>
      <c r="G459" s="18">
        <v>2913.5938533454373</v>
      </c>
      <c r="H459" s="19">
        <v>0.32776428777332001</v>
      </c>
      <c r="I459" s="19">
        <v>3.4858917090874186E-4</v>
      </c>
      <c r="J459" s="19">
        <v>0.14193617819301574</v>
      </c>
    </row>
    <row r="460" spans="1:10" ht="11.25" customHeight="1" x14ac:dyDescent="0.2">
      <c r="A460" s="28">
        <v>44682</v>
      </c>
      <c r="B460" s="18">
        <v>0</v>
      </c>
      <c r="C460" s="18">
        <v>0</v>
      </c>
      <c r="D460" s="18">
        <v>2219.17436</v>
      </c>
      <c r="E460" s="18">
        <v>2946.5404635502132</v>
      </c>
      <c r="F460" s="18">
        <v>2912.5785600000004</v>
      </c>
      <c r="G460" s="18">
        <v>2913.5938533454373</v>
      </c>
      <c r="H460" s="19">
        <v>0.32776428777332001</v>
      </c>
      <c r="I460" s="19">
        <v>3.4858917090874186E-4</v>
      </c>
      <c r="J460" s="19">
        <v>0.14193617819301574</v>
      </c>
    </row>
    <row r="461" spans="1:10" ht="11.25" customHeight="1" x14ac:dyDescent="0.2">
      <c r="A461" s="27" t="s">
        <v>36</v>
      </c>
      <c r="B461" s="18">
        <v>0</v>
      </c>
      <c r="C461" s="18">
        <v>0</v>
      </c>
      <c r="D461" s="18">
        <v>5132.3523700000005</v>
      </c>
      <c r="E461" s="18">
        <v>6368.3496291051797</v>
      </c>
      <c r="F461" s="18">
        <v>3361.4092799999999</v>
      </c>
      <c r="G461" s="18">
        <v>3362.5810308740006</v>
      </c>
      <c r="H461" s="19">
        <v>0.24082470765840669</v>
      </c>
      <c r="I461" s="19">
        <v>3.4858917090896391E-4</v>
      </c>
      <c r="J461" s="19">
        <v>0.14565619580097144</v>
      </c>
    </row>
    <row r="462" spans="1:10" ht="11.25" customHeight="1" x14ac:dyDescent="0.2">
      <c r="A462" s="28">
        <v>44348</v>
      </c>
      <c r="B462" s="18">
        <v>0</v>
      </c>
      <c r="C462" s="18">
        <v>0</v>
      </c>
      <c r="D462" s="18">
        <v>435.96738000000005</v>
      </c>
      <c r="E462" s="18">
        <v>540.95909683710147</v>
      </c>
      <c r="F462" s="18">
        <v>285.53472000000005</v>
      </c>
      <c r="G462" s="18">
        <v>285.63425431131049</v>
      </c>
      <c r="H462" s="19">
        <v>0.24082470765840647</v>
      </c>
      <c r="I462" s="19">
        <v>3.4858917090874186E-4</v>
      </c>
      <c r="J462" s="19">
        <v>0.145656195800971</v>
      </c>
    </row>
    <row r="463" spans="1:10" ht="11.25" customHeight="1" x14ac:dyDescent="0.2">
      <c r="A463" s="28">
        <v>44378</v>
      </c>
      <c r="B463" s="18">
        <v>0</v>
      </c>
      <c r="C463" s="18">
        <v>0</v>
      </c>
      <c r="D463" s="18">
        <v>447.36522000000002</v>
      </c>
      <c r="E463" s="18">
        <v>555.10181832303863</v>
      </c>
      <c r="F463" s="18">
        <v>292.99968000000001</v>
      </c>
      <c r="G463" s="18">
        <v>293.10181651552773</v>
      </c>
      <c r="H463" s="19">
        <v>0.24082470765840625</v>
      </c>
      <c r="I463" s="19">
        <v>3.4858917090874186E-4</v>
      </c>
      <c r="J463" s="19">
        <v>0.145656195800971</v>
      </c>
    </row>
    <row r="464" spans="1:10" ht="11.25" customHeight="1" x14ac:dyDescent="0.2">
      <c r="A464" s="28">
        <v>44409</v>
      </c>
      <c r="B464" s="18">
        <v>0</v>
      </c>
      <c r="C464" s="18">
        <v>0</v>
      </c>
      <c r="D464" s="18">
        <v>461.61252000000002</v>
      </c>
      <c r="E464" s="18">
        <v>572.78022018046033</v>
      </c>
      <c r="F464" s="18">
        <v>302.33087999999998</v>
      </c>
      <c r="G464" s="18">
        <v>302.4362692707993</v>
      </c>
      <c r="H464" s="19">
        <v>0.24082470765840647</v>
      </c>
      <c r="I464" s="19">
        <v>3.4858917090874186E-4</v>
      </c>
      <c r="J464" s="19">
        <v>0.145656195800971</v>
      </c>
    </row>
    <row r="465" spans="1:10" ht="11.25" customHeight="1" x14ac:dyDescent="0.2">
      <c r="A465" s="28">
        <v>44440</v>
      </c>
      <c r="B465" s="18">
        <v>0</v>
      </c>
      <c r="C465" s="18">
        <v>0</v>
      </c>
      <c r="D465" s="18">
        <v>473.96018000000004</v>
      </c>
      <c r="E465" s="18">
        <v>588.10150179022571</v>
      </c>
      <c r="F465" s="18">
        <v>310.41792000000004</v>
      </c>
      <c r="G465" s="18">
        <v>310.52612832536801</v>
      </c>
      <c r="H465" s="19">
        <v>0.24082470765840647</v>
      </c>
      <c r="I465" s="19">
        <v>3.4858917090851982E-4</v>
      </c>
      <c r="J465" s="19">
        <v>0.145656195800971</v>
      </c>
    </row>
    <row r="466" spans="1:10" ht="11.25" customHeight="1" x14ac:dyDescent="0.2">
      <c r="A466" s="28">
        <v>44470</v>
      </c>
      <c r="B466" s="18">
        <v>0</v>
      </c>
      <c r="C466" s="18">
        <v>0</v>
      </c>
      <c r="D466" s="18">
        <v>371.37962000000005</v>
      </c>
      <c r="E466" s="18">
        <v>460.81700841679009</v>
      </c>
      <c r="F466" s="18">
        <v>243.23328000000004</v>
      </c>
      <c r="G466" s="18">
        <v>243.3180684874126</v>
      </c>
      <c r="H466" s="19">
        <v>0.24082470765840625</v>
      </c>
      <c r="I466" s="19">
        <v>3.4858917090851982E-4</v>
      </c>
      <c r="J466" s="19">
        <v>0.145656195800971</v>
      </c>
    </row>
    <row r="467" spans="1:10" ht="11.25" customHeight="1" x14ac:dyDescent="0.2">
      <c r="A467" s="28">
        <v>44501</v>
      </c>
      <c r="B467" s="18">
        <v>0</v>
      </c>
      <c r="C467" s="18">
        <v>0</v>
      </c>
      <c r="D467" s="18">
        <v>403.19858999999997</v>
      </c>
      <c r="E467" s="18">
        <v>500.2987725650317</v>
      </c>
      <c r="F467" s="18">
        <v>264.07296000000002</v>
      </c>
      <c r="G467" s="18">
        <v>264.1650129741858</v>
      </c>
      <c r="H467" s="19">
        <v>0.24082470765840669</v>
      </c>
      <c r="I467" s="19">
        <v>3.4858917090851982E-4</v>
      </c>
      <c r="J467" s="19">
        <v>0.14565619580097122</v>
      </c>
    </row>
    <row r="468" spans="1:10" ht="11.25" customHeight="1" x14ac:dyDescent="0.2">
      <c r="A468" s="28">
        <v>44531</v>
      </c>
      <c r="B468" s="18">
        <v>0</v>
      </c>
      <c r="C468" s="18">
        <v>0</v>
      </c>
      <c r="D468" s="18">
        <v>406.0480500000001</v>
      </c>
      <c r="E468" s="18">
        <v>503.83445293651602</v>
      </c>
      <c r="F468" s="18">
        <v>265.93920000000003</v>
      </c>
      <c r="G468" s="18">
        <v>266.03190352524012</v>
      </c>
      <c r="H468" s="19">
        <v>0.24082470765840625</v>
      </c>
      <c r="I468" s="19">
        <v>3.4858917090851982E-4</v>
      </c>
      <c r="J468" s="19">
        <v>0.145656195800971</v>
      </c>
    </row>
    <row r="469" spans="1:10" ht="11.25" customHeight="1" x14ac:dyDescent="0.2">
      <c r="A469" s="28">
        <v>44562</v>
      </c>
      <c r="B469" s="18">
        <v>0</v>
      </c>
      <c r="C469" s="18">
        <v>0</v>
      </c>
      <c r="D469" s="18">
        <v>446.89031000000006</v>
      </c>
      <c r="E469" s="18">
        <v>554.51253826112475</v>
      </c>
      <c r="F469" s="18">
        <v>292.68864000000002</v>
      </c>
      <c r="G469" s="18">
        <v>292.79066809035203</v>
      </c>
      <c r="H469" s="19">
        <v>0.24082470765840647</v>
      </c>
      <c r="I469" s="19">
        <v>3.4858917090874186E-4</v>
      </c>
      <c r="J469" s="19">
        <v>0.14565619580097122</v>
      </c>
    </row>
    <row r="470" spans="1:10" ht="11.25" customHeight="1" x14ac:dyDescent="0.2">
      <c r="A470" s="28">
        <v>44593</v>
      </c>
      <c r="B470" s="18">
        <v>0</v>
      </c>
      <c r="C470" s="18">
        <v>0</v>
      </c>
      <c r="D470" s="18">
        <v>460.18779000000001</v>
      </c>
      <c r="E470" s="18">
        <v>571.01237999471823</v>
      </c>
      <c r="F470" s="18">
        <v>301.39776000000001</v>
      </c>
      <c r="G470" s="18">
        <v>301.50282399527214</v>
      </c>
      <c r="H470" s="19">
        <v>0.24082470765840669</v>
      </c>
      <c r="I470" s="19">
        <v>3.4858917090874186E-4</v>
      </c>
      <c r="J470" s="19">
        <v>0.14565619580097122</v>
      </c>
    </row>
    <row r="471" spans="1:10" ht="11.25" customHeight="1" x14ac:dyDescent="0.2">
      <c r="A471" s="28">
        <v>44621</v>
      </c>
      <c r="B471" s="18">
        <v>0</v>
      </c>
      <c r="C471" s="18">
        <v>0</v>
      </c>
      <c r="D471" s="18">
        <v>456.38851</v>
      </c>
      <c r="E471" s="18">
        <v>566.29813949940569</v>
      </c>
      <c r="F471" s="18">
        <v>298.90944000000002</v>
      </c>
      <c r="G471" s="18">
        <v>299.01363659386641</v>
      </c>
      <c r="H471" s="19">
        <v>0.24082470765840647</v>
      </c>
      <c r="I471" s="19">
        <v>3.4858917090874186E-4</v>
      </c>
      <c r="J471" s="19">
        <v>0.145656195800971</v>
      </c>
    </row>
    <row r="472" spans="1:10" ht="11.25" customHeight="1" x14ac:dyDescent="0.2">
      <c r="A472" s="28">
        <v>44652</v>
      </c>
      <c r="B472" s="18">
        <v>0</v>
      </c>
      <c r="C472" s="18">
        <v>0</v>
      </c>
      <c r="D472" s="18">
        <v>384.6771</v>
      </c>
      <c r="E472" s="18">
        <v>477.31685015038352</v>
      </c>
      <c r="F472" s="18">
        <v>251.94239999999999</v>
      </c>
      <c r="G472" s="18">
        <v>252.03022439233274</v>
      </c>
      <c r="H472" s="19">
        <v>0.24082470765840625</v>
      </c>
      <c r="I472" s="19">
        <v>3.4858917090874186E-4</v>
      </c>
      <c r="J472" s="19">
        <v>0.14565619580097078</v>
      </c>
    </row>
    <row r="473" spans="1:10" ht="11.25" customHeight="1" x14ac:dyDescent="0.2">
      <c r="A473" s="28">
        <v>44682</v>
      </c>
      <c r="B473" s="18">
        <v>0</v>
      </c>
      <c r="C473" s="18">
        <v>0</v>
      </c>
      <c r="D473" s="18">
        <v>384.6771</v>
      </c>
      <c r="E473" s="18">
        <v>477.31685015038352</v>
      </c>
      <c r="F473" s="18">
        <v>251.94239999999999</v>
      </c>
      <c r="G473" s="18">
        <v>252.03022439233274</v>
      </c>
      <c r="H473" s="19">
        <v>0.24082470765840625</v>
      </c>
      <c r="I473" s="19">
        <v>3.4858917090874186E-4</v>
      </c>
      <c r="J473" s="19">
        <v>0.14565619580097078</v>
      </c>
    </row>
    <row r="474" spans="1:10" ht="11.25" customHeight="1" x14ac:dyDescent="0.2">
      <c r="A474" s="27" t="s">
        <v>34</v>
      </c>
      <c r="B474" s="18">
        <v>0</v>
      </c>
      <c r="C474" s="18">
        <v>0</v>
      </c>
      <c r="D474" s="18">
        <v>12424.08836</v>
      </c>
      <c r="E474" s="18">
        <v>15056.797481081252</v>
      </c>
      <c r="F474" s="18">
        <v>8647.3983499999977</v>
      </c>
      <c r="G474" s="18">
        <v>8827.546878821091</v>
      </c>
      <c r="H474" s="19">
        <v>0.21190360570497813</v>
      </c>
      <c r="I474" s="19">
        <v>2.0832685338370238E-2</v>
      </c>
      <c r="J474" s="19">
        <v>0.13349118116888392</v>
      </c>
    </row>
    <row r="475" spans="1:10" ht="11.25" customHeight="1" x14ac:dyDescent="0.2">
      <c r="A475" s="28">
        <v>44348</v>
      </c>
      <c r="B475" s="18">
        <v>0</v>
      </c>
      <c r="C475" s="18">
        <v>0</v>
      </c>
      <c r="D475" s="18">
        <v>1184.7400800000003</v>
      </c>
      <c r="E475" s="18">
        <v>1435.7907747752049</v>
      </c>
      <c r="F475" s="18">
        <v>824.60129999999992</v>
      </c>
      <c r="G475" s="18">
        <v>841.77995941251106</v>
      </c>
      <c r="H475" s="19">
        <v>0.21190360570497835</v>
      </c>
      <c r="I475" s="19">
        <v>2.083268533837046E-2</v>
      </c>
      <c r="J475" s="19">
        <v>0.13349118116888414</v>
      </c>
    </row>
    <row r="476" spans="1:10" ht="11.25" customHeight="1" x14ac:dyDescent="0.2">
      <c r="A476" s="28">
        <v>44378</v>
      </c>
      <c r="B476" s="18">
        <v>0</v>
      </c>
      <c r="C476" s="18">
        <v>0</v>
      </c>
      <c r="D476" s="18">
        <v>1215.3922</v>
      </c>
      <c r="E476" s="18">
        <v>1472.9381895257063</v>
      </c>
      <c r="F476" s="18">
        <v>845.93574999999987</v>
      </c>
      <c r="G476" s="18">
        <v>863.5588632962282</v>
      </c>
      <c r="H476" s="19">
        <v>0.21190360570497835</v>
      </c>
      <c r="I476" s="19">
        <v>2.083268533837046E-2</v>
      </c>
      <c r="J476" s="19">
        <v>0.13349118116888414</v>
      </c>
    </row>
    <row r="477" spans="1:10" ht="11.25" customHeight="1" x14ac:dyDescent="0.2">
      <c r="A477" s="28">
        <v>44409</v>
      </c>
      <c r="B477" s="18">
        <v>0</v>
      </c>
      <c r="C477" s="18">
        <v>0</v>
      </c>
      <c r="D477" s="18">
        <v>1233.2132000000001</v>
      </c>
      <c r="E477" s="18">
        <v>1494.5355236829748</v>
      </c>
      <c r="F477" s="18">
        <v>858.33949999999993</v>
      </c>
      <c r="G477" s="18">
        <v>876.22101671699409</v>
      </c>
      <c r="H477" s="19">
        <v>0.21190360570497835</v>
      </c>
      <c r="I477" s="19">
        <v>2.083268533837046E-2</v>
      </c>
      <c r="J477" s="19">
        <v>0.13349118116888414</v>
      </c>
    </row>
    <row r="478" spans="1:10" ht="11.25" customHeight="1" x14ac:dyDescent="0.2">
      <c r="A478" s="28">
        <v>44440</v>
      </c>
      <c r="B478" s="18">
        <v>0</v>
      </c>
      <c r="C478" s="18">
        <v>0</v>
      </c>
      <c r="D478" s="18">
        <v>1203.2739200000001</v>
      </c>
      <c r="E478" s="18">
        <v>1458.252002298764</v>
      </c>
      <c r="F478" s="18">
        <v>837.50119999999993</v>
      </c>
      <c r="G478" s="18">
        <v>854.94859897010747</v>
      </c>
      <c r="H478" s="19">
        <v>0.21190360570497857</v>
      </c>
      <c r="I478" s="19">
        <v>2.0832685338370238E-2</v>
      </c>
      <c r="J478" s="19">
        <v>0.13349118116888437</v>
      </c>
    </row>
    <row r="479" spans="1:10" ht="11.25" customHeight="1" x14ac:dyDescent="0.2">
      <c r="A479" s="28">
        <v>44470</v>
      </c>
      <c r="B479" s="18">
        <v>0</v>
      </c>
      <c r="C479" s="18">
        <v>0</v>
      </c>
      <c r="D479" s="18">
        <v>772.00571999999988</v>
      </c>
      <c r="E479" s="18">
        <v>935.59651569286802</v>
      </c>
      <c r="F479" s="18">
        <v>537.33044999999993</v>
      </c>
      <c r="G479" s="18">
        <v>548.52448618757489</v>
      </c>
      <c r="H479" s="19">
        <v>0.21190360570497857</v>
      </c>
      <c r="I479" s="19">
        <v>2.083268533837046E-2</v>
      </c>
      <c r="J479" s="19">
        <v>0.13349118116888437</v>
      </c>
    </row>
    <row r="480" spans="1:10" ht="11.25" customHeight="1" x14ac:dyDescent="0.2">
      <c r="A480" s="28">
        <v>44501</v>
      </c>
      <c r="B480" s="18">
        <v>0</v>
      </c>
      <c r="C480" s="18">
        <v>0</v>
      </c>
      <c r="D480" s="18">
        <v>1166.20624</v>
      </c>
      <c r="E480" s="18">
        <v>1413.3295472516456</v>
      </c>
      <c r="F480" s="18">
        <v>811.70139999999992</v>
      </c>
      <c r="G480" s="18">
        <v>828.61131985491454</v>
      </c>
      <c r="H480" s="19">
        <v>0.21190360570497857</v>
      </c>
      <c r="I480" s="19">
        <v>2.0832685338370238E-2</v>
      </c>
      <c r="J480" s="19">
        <v>0.13349118116888437</v>
      </c>
    </row>
    <row r="481" spans="1:10" ht="11.25" customHeight="1" x14ac:dyDescent="0.2">
      <c r="A481" s="28">
        <v>44531</v>
      </c>
      <c r="B481" s="18">
        <v>0</v>
      </c>
      <c r="C481" s="18">
        <v>0</v>
      </c>
      <c r="D481" s="18">
        <v>831.17144000000019</v>
      </c>
      <c r="E481" s="18">
        <v>1007.2996650949995</v>
      </c>
      <c r="F481" s="18">
        <v>578.51090000000011</v>
      </c>
      <c r="G481" s="18">
        <v>590.5628355445175</v>
      </c>
      <c r="H481" s="19">
        <v>0.21190360570497857</v>
      </c>
      <c r="I481" s="19">
        <v>2.0832685338370238E-2</v>
      </c>
      <c r="J481" s="19">
        <v>0.13349118116888414</v>
      </c>
    </row>
    <row r="482" spans="1:10" ht="11.25" customHeight="1" x14ac:dyDescent="0.2">
      <c r="A482" s="28">
        <v>44562</v>
      </c>
      <c r="B482" s="18">
        <v>0</v>
      </c>
      <c r="C482" s="18">
        <v>0</v>
      </c>
      <c r="D482" s="18">
        <v>1007.2429199999999</v>
      </c>
      <c r="E482" s="18">
        <v>1220.6813265688111</v>
      </c>
      <c r="F482" s="18">
        <v>701.05994999999984</v>
      </c>
      <c r="G482" s="18">
        <v>715.66491134168348</v>
      </c>
      <c r="H482" s="19">
        <v>0.21190360570497857</v>
      </c>
      <c r="I482" s="19">
        <v>2.0832685338370238E-2</v>
      </c>
      <c r="J482" s="19">
        <v>0.13349118116888414</v>
      </c>
    </row>
    <row r="483" spans="1:10" ht="11.25" customHeight="1" x14ac:dyDescent="0.2">
      <c r="A483" s="28">
        <v>44593</v>
      </c>
      <c r="B483" s="18">
        <v>0</v>
      </c>
      <c r="C483" s="18">
        <v>0</v>
      </c>
      <c r="D483" s="18">
        <v>1099.91212</v>
      </c>
      <c r="E483" s="18">
        <v>1332.9874641866072</v>
      </c>
      <c r="F483" s="18">
        <v>765.55944999999997</v>
      </c>
      <c r="G483" s="18">
        <v>781.50810912966585</v>
      </c>
      <c r="H483" s="19">
        <v>0.21190360570497879</v>
      </c>
      <c r="I483" s="19">
        <v>2.083268533837046E-2</v>
      </c>
      <c r="J483" s="19">
        <v>0.13349118116888459</v>
      </c>
    </row>
    <row r="484" spans="1:10" ht="11.25" customHeight="1" x14ac:dyDescent="0.2">
      <c r="A484" s="28">
        <v>44621</v>
      </c>
      <c r="B484" s="18">
        <v>0</v>
      </c>
      <c r="C484" s="18">
        <v>0</v>
      </c>
      <c r="D484" s="18">
        <v>1102.7634800000001</v>
      </c>
      <c r="E484" s="18">
        <v>1336.4430376517701</v>
      </c>
      <c r="F484" s="18">
        <v>767.54404999999997</v>
      </c>
      <c r="G484" s="18">
        <v>783.53405367698826</v>
      </c>
      <c r="H484" s="19">
        <v>0.21190360570497857</v>
      </c>
      <c r="I484" s="19">
        <v>2.0832685338370238E-2</v>
      </c>
      <c r="J484" s="19">
        <v>0.13349118116888414</v>
      </c>
    </row>
    <row r="485" spans="1:10" ht="11.25" customHeight="1" x14ac:dyDescent="0.2">
      <c r="A485" s="28">
        <v>44652</v>
      </c>
      <c r="B485" s="18">
        <v>0</v>
      </c>
      <c r="C485" s="18">
        <v>0</v>
      </c>
      <c r="D485" s="18">
        <v>804.08352000000014</v>
      </c>
      <c r="E485" s="18">
        <v>974.47171717595131</v>
      </c>
      <c r="F485" s="18">
        <v>559.65719999999999</v>
      </c>
      <c r="G485" s="18">
        <v>571.3163623449534</v>
      </c>
      <c r="H485" s="19">
        <v>0.21190360570497835</v>
      </c>
      <c r="I485" s="19">
        <v>2.083268533837046E-2</v>
      </c>
      <c r="J485" s="19">
        <v>0.13349118116888414</v>
      </c>
    </row>
    <row r="486" spans="1:10" ht="11.25" customHeight="1" x14ac:dyDescent="0.2">
      <c r="A486" s="28">
        <v>44682</v>
      </c>
      <c r="B486" s="18">
        <v>0</v>
      </c>
      <c r="C486" s="18">
        <v>0</v>
      </c>
      <c r="D486" s="18">
        <v>804.08352000000014</v>
      </c>
      <c r="E486" s="18">
        <v>974.47171717595131</v>
      </c>
      <c r="F486" s="18">
        <v>559.65719999999999</v>
      </c>
      <c r="G486" s="18">
        <v>571.3163623449534</v>
      </c>
      <c r="H486" s="19">
        <v>0.21190360570497835</v>
      </c>
      <c r="I486" s="19">
        <v>2.083268533837046E-2</v>
      </c>
      <c r="J486" s="19">
        <v>0.13349118116888414</v>
      </c>
    </row>
    <row r="487" spans="1:10" ht="11.25" customHeight="1" x14ac:dyDescent="0.2">
      <c r="A487" s="22" t="s">
        <v>23</v>
      </c>
      <c r="B487" s="18">
        <v>0</v>
      </c>
      <c r="C487" s="18">
        <v>0</v>
      </c>
      <c r="D487" s="18">
        <v>170687621.88196006</v>
      </c>
      <c r="E487" s="18">
        <v>214381370.93937173</v>
      </c>
      <c r="F487" s="18">
        <v>169082752.87079003</v>
      </c>
      <c r="G487" s="18">
        <v>169578557.03776425</v>
      </c>
      <c r="H487" s="19">
        <v>0.25598662970199726</v>
      </c>
      <c r="I487" s="19">
        <v>2.9323166234047626E-3</v>
      </c>
      <c r="J487" s="19">
        <v>0.13005711064875047</v>
      </c>
    </row>
    <row r="488" spans="1:10" ht="11.25" customHeight="1" x14ac:dyDescent="0.2">
      <c r="A488" s="23" t="s">
        <v>24</v>
      </c>
      <c r="B488" s="18">
        <v>0</v>
      </c>
      <c r="C488" s="18">
        <v>0</v>
      </c>
      <c r="D488" s="18">
        <v>170687621.88196006</v>
      </c>
      <c r="E488" s="18">
        <v>214381370.93937173</v>
      </c>
      <c r="F488" s="18">
        <v>169082752.87079003</v>
      </c>
      <c r="G488" s="18">
        <v>169578557.03776425</v>
      </c>
      <c r="H488" s="19">
        <v>0.25598662970199726</v>
      </c>
      <c r="I488" s="19">
        <v>2.9323166234047626E-3</v>
      </c>
      <c r="J488" s="19">
        <v>0.13005711064875047</v>
      </c>
    </row>
    <row r="489" spans="1:10" ht="11.25" customHeight="1" x14ac:dyDescent="0.2">
      <c r="A489" s="24" t="s">
        <v>24</v>
      </c>
      <c r="B489" s="18">
        <v>0</v>
      </c>
      <c r="C489" s="18">
        <v>0</v>
      </c>
      <c r="D489" s="18">
        <v>146049644.24807999</v>
      </c>
      <c r="E489" s="18">
        <v>186114086.72122297</v>
      </c>
      <c r="F489" s="18">
        <v>139222224.23987001</v>
      </c>
      <c r="G489" s="18">
        <v>139630149.92569011</v>
      </c>
      <c r="H489" s="19">
        <v>0.27432071251806245</v>
      </c>
      <c r="I489" s="19">
        <v>2.9300328165799971E-3</v>
      </c>
      <c r="J489" s="19">
        <v>0.14187297322193704</v>
      </c>
    </row>
    <row r="490" spans="1:10" ht="11.25" customHeight="1" x14ac:dyDescent="0.2">
      <c r="A490" s="25" t="s">
        <v>25</v>
      </c>
      <c r="B490" s="18">
        <v>0</v>
      </c>
      <c r="C490" s="18">
        <v>0</v>
      </c>
      <c r="D490" s="18">
        <v>146049644.24807999</v>
      </c>
      <c r="E490" s="18">
        <v>186114086.72122297</v>
      </c>
      <c r="F490" s="18">
        <v>139222224.23987001</v>
      </c>
      <c r="G490" s="18">
        <v>139630149.92569011</v>
      </c>
      <c r="H490" s="19">
        <v>0.27432071251806245</v>
      </c>
      <c r="I490" s="19">
        <v>2.9300328165799971E-3</v>
      </c>
      <c r="J490" s="19">
        <v>0.14187297322193704</v>
      </c>
    </row>
    <row r="491" spans="1:10" ht="11.25" customHeight="1" x14ac:dyDescent="0.2">
      <c r="A491" s="26" t="s">
        <v>25</v>
      </c>
      <c r="B491" s="18">
        <v>0</v>
      </c>
      <c r="C491" s="18">
        <v>0</v>
      </c>
      <c r="D491" s="18">
        <v>146049644.24807999</v>
      </c>
      <c r="E491" s="18">
        <v>186114086.72122297</v>
      </c>
      <c r="F491" s="18">
        <v>139222224.23987001</v>
      </c>
      <c r="G491" s="18">
        <v>139630149.92569011</v>
      </c>
      <c r="H491" s="19">
        <v>0.27432071251806245</v>
      </c>
      <c r="I491" s="19">
        <v>2.9300328165799971E-3</v>
      </c>
      <c r="J491" s="19">
        <v>0.14187297322193704</v>
      </c>
    </row>
    <row r="492" spans="1:10" ht="11.25" customHeight="1" x14ac:dyDescent="0.2">
      <c r="A492" s="27" t="s">
        <v>25</v>
      </c>
      <c r="B492" s="18">
        <v>0</v>
      </c>
      <c r="C492" s="18">
        <v>0</v>
      </c>
      <c r="D492" s="18">
        <v>146049644.24807999</v>
      </c>
      <c r="E492" s="18">
        <v>186114086.72122297</v>
      </c>
      <c r="F492" s="18">
        <v>139222224.23987001</v>
      </c>
      <c r="G492" s="18">
        <v>139630149.92569011</v>
      </c>
      <c r="H492" s="19">
        <v>0.27432071251806245</v>
      </c>
      <c r="I492" s="19">
        <v>2.9300328165799971E-3</v>
      </c>
      <c r="J492" s="19">
        <v>0.14187297322193704</v>
      </c>
    </row>
    <row r="493" spans="1:10" ht="11.25" customHeight="1" x14ac:dyDescent="0.2">
      <c r="A493" s="28">
        <v>44348</v>
      </c>
      <c r="B493" s="18">
        <v>0</v>
      </c>
      <c r="C493" s="18">
        <v>0</v>
      </c>
      <c r="D493" s="18">
        <v>11346537.40728</v>
      </c>
      <c r="E493" s="18">
        <v>14459127.633457908</v>
      </c>
      <c r="F493" s="18">
        <v>10816117.926170001</v>
      </c>
      <c r="G493" s="18">
        <v>10847809.506641682</v>
      </c>
      <c r="H493" s="19">
        <v>0.27432071251806334</v>
      </c>
      <c r="I493" s="19">
        <v>2.9300328165804412E-3</v>
      </c>
      <c r="J493" s="19">
        <v>0.14187297322193793</v>
      </c>
    </row>
    <row r="494" spans="1:10" ht="11.25" customHeight="1" x14ac:dyDescent="0.2">
      <c r="A494" s="28">
        <v>44378</v>
      </c>
      <c r="B494" s="18">
        <v>0</v>
      </c>
      <c r="C494" s="18">
        <v>0</v>
      </c>
      <c r="D494" s="18">
        <v>11098967.519759998</v>
      </c>
      <c r="E494" s="18">
        <v>14143644.197995404</v>
      </c>
      <c r="F494" s="18">
        <v>10580121.251390001</v>
      </c>
      <c r="G494" s="18">
        <v>10611121.35385997</v>
      </c>
      <c r="H494" s="19">
        <v>0.27432071251806356</v>
      </c>
      <c r="I494" s="19">
        <v>2.9300328165802192E-3</v>
      </c>
      <c r="J494" s="19">
        <v>0.1418729732219377</v>
      </c>
    </row>
    <row r="495" spans="1:10" ht="11.25" customHeight="1" x14ac:dyDescent="0.2">
      <c r="A495" s="28">
        <v>44409</v>
      </c>
      <c r="B495" s="18">
        <v>0</v>
      </c>
      <c r="C495" s="18">
        <v>0</v>
      </c>
      <c r="D495" s="18">
        <v>11115381.21624</v>
      </c>
      <c r="E495" s="18">
        <v>14164560.511388853</v>
      </c>
      <c r="F495" s="18">
        <v>10595767.65261</v>
      </c>
      <c r="G495" s="18">
        <v>10626813.599549005</v>
      </c>
      <c r="H495" s="19">
        <v>0.27432071251806334</v>
      </c>
      <c r="I495" s="19">
        <v>2.9300328165799971E-3</v>
      </c>
      <c r="J495" s="19">
        <v>0.14187297322193748</v>
      </c>
    </row>
    <row r="496" spans="1:10" ht="11.25" customHeight="1" x14ac:dyDescent="0.2">
      <c r="A496" s="28">
        <v>44440</v>
      </c>
      <c r="B496" s="18">
        <v>0</v>
      </c>
      <c r="C496" s="18">
        <v>0</v>
      </c>
      <c r="D496" s="18">
        <v>12415629.13992</v>
      </c>
      <c r="E496" s="18">
        <v>15821493.371942883</v>
      </c>
      <c r="F496" s="18">
        <v>11835232.554629998</v>
      </c>
      <c r="G496" s="18">
        <v>11869910.174406923</v>
      </c>
      <c r="H496" s="19">
        <v>0.27432071251806334</v>
      </c>
      <c r="I496" s="19">
        <v>2.9300328165802192E-3</v>
      </c>
      <c r="J496" s="19">
        <v>0.1418729732219377</v>
      </c>
    </row>
    <row r="497" spans="1:10" ht="11.25" customHeight="1" x14ac:dyDescent="0.2">
      <c r="A497" s="28">
        <v>44470</v>
      </c>
      <c r="B497" s="18">
        <v>0</v>
      </c>
      <c r="C497" s="18">
        <v>0</v>
      </c>
      <c r="D497" s="18">
        <v>11885249.5428</v>
      </c>
      <c r="E497" s="18">
        <v>15145619.66583588</v>
      </c>
      <c r="F497" s="18">
        <v>11329646.747950001</v>
      </c>
      <c r="G497" s="18">
        <v>11362842.984721754</v>
      </c>
      <c r="H497" s="19">
        <v>0.27432071251806311</v>
      </c>
      <c r="I497" s="19">
        <v>2.9300328165799971E-3</v>
      </c>
      <c r="J497" s="19">
        <v>0.14187297322193748</v>
      </c>
    </row>
    <row r="498" spans="1:10" ht="11.25" customHeight="1" x14ac:dyDescent="0.2">
      <c r="A498" s="28">
        <v>44501</v>
      </c>
      <c r="B498" s="18">
        <v>0</v>
      </c>
      <c r="C498" s="18">
        <v>0</v>
      </c>
      <c r="D498" s="18">
        <v>11798828.482080003</v>
      </c>
      <c r="E498" s="18">
        <v>15035491.518162606</v>
      </c>
      <c r="F498" s="18">
        <v>11247265.634620002</v>
      </c>
      <c r="G498" s="18">
        <v>11280220.492026232</v>
      </c>
      <c r="H498" s="19">
        <v>0.27432071251806311</v>
      </c>
      <c r="I498" s="19">
        <v>2.9300328165802192E-3</v>
      </c>
      <c r="J498" s="19">
        <v>0.1418729732219377</v>
      </c>
    </row>
    <row r="499" spans="1:10" ht="11.25" customHeight="1" x14ac:dyDescent="0.2">
      <c r="A499" s="28">
        <v>44531</v>
      </c>
      <c r="B499" s="18">
        <v>0</v>
      </c>
      <c r="C499" s="18">
        <v>0</v>
      </c>
      <c r="D499" s="18">
        <v>12673949.132159999</v>
      </c>
      <c r="E499" s="18">
        <v>16150675.88851182</v>
      </c>
      <c r="F499" s="18">
        <v>12081476.79624</v>
      </c>
      <c r="G499" s="18">
        <v>12116875.919725733</v>
      </c>
      <c r="H499" s="19">
        <v>0.27432071251806334</v>
      </c>
      <c r="I499" s="19">
        <v>2.9300328165799971E-3</v>
      </c>
      <c r="J499" s="19">
        <v>0.1418729732219377</v>
      </c>
    </row>
    <row r="500" spans="1:10" ht="11.25" customHeight="1" x14ac:dyDescent="0.2">
      <c r="A500" s="28">
        <v>44562</v>
      </c>
      <c r="B500" s="18">
        <v>0</v>
      </c>
      <c r="C500" s="18">
        <v>0</v>
      </c>
      <c r="D500" s="18">
        <v>12554414.365200002</v>
      </c>
      <c r="E500" s="18">
        <v>15998350.259108676</v>
      </c>
      <c r="F500" s="18">
        <v>11967529.951550003</v>
      </c>
      <c r="G500" s="18">
        <v>12002595.207041448</v>
      </c>
      <c r="H500" s="19">
        <v>0.27432071251806334</v>
      </c>
      <c r="I500" s="19">
        <v>2.9300328165799971E-3</v>
      </c>
      <c r="J500" s="19">
        <v>0.1418729732219377</v>
      </c>
    </row>
    <row r="501" spans="1:10" ht="11.25" customHeight="1" x14ac:dyDescent="0.2">
      <c r="A501" s="28">
        <v>44593</v>
      </c>
      <c r="B501" s="18">
        <v>0</v>
      </c>
      <c r="C501" s="18">
        <v>0</v>
      </c>
      <c r="D501" s="18">
        <v>12393841.58976</v>
      </c>
      <c r="E501" s="18">
        <v>15793729.045498967</v>
      </c>
      <c r="F501" s="18">
        <v>11814463.512640001</v>
      </c>
      <c r="G501" s="18">
        <v>11849080.278442323</v>
      </c>
      <c r="H501" s="19">
        <v>0.27432071251806311</v>
      </c>
      <c r="I501" s="19">
        <v>2.9300328165799971E-3</v>
      </c>
      <c r="J501" s="19">
        <v>0.14187297322193748</v>
      </c>
    </row>
    <row r="502" spans="1:10" ht="11.25" customHeight="1" x14ac:dyDescent="0.2">
      <c r="A502" s="28">
        <v>44621</v>
      </c>
      <c r="B502" s="18">
        <v>0</v>
      </c>
      <c r="C502" s="18">
        <v>0</v>
      </c>
      <c r="D502" s="18">
        <v>13496863.843439998</v>
      </c>
      <c r="E502" s="18">
        <v>17199333.149731748</v>
      </c>
      <c r="F502" s="18">
        <v>12865922.50341</v>
      </c>
      <c r="G502" s="18">
        <v>12903620.07856057</v>
      </c>
      <c r="H502" s="19">
        <v>0.27432071251806356</v>
      </c>
      <c r="I502" s="19">
        <v>2.9300328165802192E-3</v>
      </c>
      <c r="J502" s="19">
        <v>0.1418729732219377</v>
      </c>
    </row>
    <row r="503" spans="1:10" ht="11.25" customHeight="1" x14ac:dyDescent="0.2">
      <c r="A503" s="28">
        <v>44652</v>
      </c>
      <c r="B503" s="18">
        <v>0</v>
      </c>
      <c r="C503" s="18">
        <v>0</v>
      </c>
      <c r="D503" s="18">
        <v>12634991.004719999</v>
      </c>
      <c r="E503" s="18">
        <v>16101030.739794111</v>
      </c>
      <c r="F503" s="18">
        <v>12044339.85433</v>
      </c>
      <c r="G503" s="18">
        <v>12079630.16535723</v>
      </c>
      <c r="H503" s="19">
        <v>0.27432071251806334</v>
      </c>
      <c r="I503" s="19">
        <v>2.9300328165802192E-3</v>
      </c>
      <c r="J503" s="19">
        <v>0.1418729732219377</v>
      </c>
    </row>
    <row r="504" spans="1:10" ht="11.25" customHeight="1" x14ac:dyDescent="0.2">
      <c r="A504" s="28">
        <v>44682</v>
      </c>
      <c r="B504" s="18">
        <v>0</v>
      </c>
      <c r="C504" s="18">
        <v>0</v>
      </c>
      <c r="D504" s="18">
        <v>12634991.004719999</v>
      </c>
      <c r="E504" s="18">
        <v>16101030.739794111</v>
      </c>
      <c r="F504" s="18">
        <v>12044339.85433</v>
      </c>
      <c r="G504" s="18">
        <v>12079630.16535723</v>
      </c>
      <c r="H504" s="19">
        <v>0.27432071251806334</v>
      </c>
      <c r="I504" s="19">
        <v>2.9300328165802192E-3</v>
      </c>
      <c r="J504" s="19">
        <v>0.1418729732219377</v>
      </c>
    </row>
    <row r="505" spans="1:10" ht="11.25" customHeight="1" x14ac:dyDescent="0.2">
      <c r="A505" s="24" t="s">
        <v>29</v>
      </c>
      <c r="B505" s="18">
        <v>0</v>
      </c>
      <c r="C505" s="18">
        <v>0</v>
      </c>
      <c r="D505" s="18">
        <v>3000239.5362800001</v>
      </c>
      <c r="E505" s="18">
        <v>3442141.1354224742</v>
      </c>
      <c r="F505" s="18">
        <v>3636056.1032599993</v>
      </c>
      <c r="G505" s="18">
        <v>3646853.4884813302</v>
      </c>
      <c r="H505" s="19">
        <v>0.14728877271259089</v>
      </c>
      <c r="I505" s="19">
        <v>2.9695320739546727E-3</v>
      </c>
      <c r="J505" s="19">
        <v>6.8215614395862323E-2</v>
      </c>
    </row>
    <row r="506" spans="1:10" ht="11.25" customHeight="1" x14ac:dyDescent="0.2">
      <c r="A506" s="25" t="s">
        <v>25</v>
      </c>
      <c r="B506" s="18">
        <v>0</v>
      </c>
      <c r="C506" s="18">
        <v>0</v>
      </c>
      <c r="D506" s="18">
        <v>3000239.5362800001</v>
      </c>
      <c r="E506" s="18">
        <v>3442141.1354224742</v>
      </c>
      <c r="F506" s="18">
        <v>3636056.1032599993</v>
      </c>
      <c r="G506" s="18">
        <v>3646853.4884813302</v>
      </c>
      <c r="H506" s="19">
        <v>0.14728877271259089</v>
      </c>
      <c r="I506" s="19">
        <v>2.9695320739546727E-3</v>
      </c>
      <c r="J506" s="19">
        <v>6.8215614395862323E-2</v>
      </c>
    </row>
    <row r="507" spans="1:10" ht="11.25" customHeight="1" x14ac:dyDescent="0.2">
      <c r="A507" s="26" t="s">
        <v>25</v>
      </c>
      <c r="B507" s="18">
        <v>0</v>
      </c>
      <c r="C507" s="18">
        <v>0</v>
      </c>
      <c r="D507" s="18">
        <v>3000239.5362800001</v>
      </c>
      <c r="E507" s="18">
        <v>3442141.1354224742</v>
      </c>
      <c r="F507" s="18">
        <v>3636056.1032599993</v>
      </c>
      <c r="G507" s="18">
        <v>3646853.4884813302</v>
      </c>
      <c r="H507" s="19">
        <v>0.14728877271259089</v>
      </c>
      <c r="I507" s="19">
        <v>2.9695320739546727E-3</v>
      </c>
      <c r="J507" s="19">
        <v>6.8215614395862323E-2</v>
      </c>
    </row>
    <row r="508" spans="1:10" ht="11.25" customHeight="1" x14ac:dyDescent="0.2">
      <c r="A508" s="27" t="s">
        <v>25</v>
      </c>
      <c r="B508" s="18">
        <v>0</v>
      </c>
      <c r="C508" s="18">
        <v>0</v>
      </c>
      <c r="D508" s="18">
        <v>3000239.5362800001</v>
      </c>
      <c r="E508" s="18">
        <v>3442141.1354224742</v>
      </c>
      <c r="F508" s="18">
        <v>3636056.1032599993</v>
      </c>
      <c r="G508" s="18">
        <v>3646853.4884813302</v>
      </c>
      <c r="H508" s="19">
        <v>0.14728877271259089</v>
      </c>
      <c r="I508" s="19">
        <v>2.9695320739546727E-3</v>
      </c>
      <c r="J508" s="19">
        <v>6.8215614395862323E-2</v>
      </c>
    </row>
    <row r="509" spans="1:10" ht="11.25" customHeight="1" x14ac:dyDescent="0.2">
      <c r="A509" s="28">
        <v>44348</v>
      </c>
      <c r="B509" s="18">
        <v>0</v>
      </c>
      <c r="C509" s="18">
        <v>0</v>
      </c>
      <c r="D509" s="18">
        <v>230965.63552000001</v>
      </c>
      <c r="E509" s="18">
        <v>264984.28051452443</v>
      </c>
      <c r="F509" s="18">
        <v>279912.31983999995</v>
      </c>
      <c r="G509" s="18">
        <v>280743.52845166012</v>
      </c>
      <c r="H509" s="19">
        <v>0.14728877271259111</v>
      </c>
      <c r="I509" s="19">
        <v>2.9695320739555608E-3</v>
      </c>
      <c r="J509" s="19">
        <v>6.8215614395862767E-2</v>
      </c>
    </row>
    <row r="510" spans="1:10" ht="11.25" customHeight="1" x14ac:dyDescent="0.2">
      <c r="A510" s="28">
        <v>44378</v>
      </c>
      <c r="B510" s="18">
        <v>0</v>
      </c>
      <c r="C510" s="18">
        <v>0</v>
      </c>
      <c r="D510" s="18">
        <v>234687.52708</v>
      </c>
      <c r="E510" s="18">
        <v>269254.36491456616</v>
      </c>
      <c r="F510" s="18">
        <v>284422.96185999998</v>
      </c>
      <c r="G510" s="18">
        <v>285267.56496781256</v>
      </c>
      <c r="H510" s="19">
        <v>0.14728877271259089</v>
      </c>
      <c r="I510" s="19">
        <v>2.9695320739551168E-3</v>
      </c>
      <c r="J510" s="19">
        <v>6.8215614395862767E-2</v>
      </c>
    </row>
    <row r="511" spans="1:10" ht="11.25" customHeight="1" x14ac:dyDescent="0.2">
      <c r="A511" s="28">
        <v>44409</v>
      </c>
      <c r="B511" s="18">
        <v>0</v>
      </c>
      <c r="C511" s="18">
        <v>0</v>
      </c>
      <c r="D511" s="18">
        <v>237077.4308</v>
      </c>
      <c r="E511" s="18">
        <v>271996.27462038631</v>
      </c>
      <c r="F511" s="18">
        <v>287319.33860000002</v>
      </c>
      <c r="G511" s="18">
        <v>288172.54259144032</v>
      </c>
      <c r="H511" s="19">
        <v>0.14728877271259133</v>
      </c>
      <c r="I511" s="19">
        <v>2.9695320739551168E-3</v>
      </c>
      <c r="J511" s="19">
        <v>6.8215614395862767E-2</v>
      </c>
    </row>
    <row r="512" spans="1:10" ht="11.25" customHeight="1" x14ac:dyDescent="0.2">
      <c r="A512" s="28">
        <v>44440</v>
      </c>
      <c r="B512" s="18">
        <v>0</v>
      </c>
      <c r="C512" s="18">
        <v>0</v>
      </c>
      <c r="D512" s="18">
        <v>231674.43256000002</v>
      </c>
      <c r="E512" s="18">
        <v>265797.47540064837</v>
      </c>
      <c r="F512" s="18">
        <v>280771.32652</v>
      </c>
      <c r="G512" s="18">
        <v>281605.08597954811</v>
      </c>
      <c r="H512" s="19">
        <v>0.14728877271259111</v>
      </c>
      <c r="I512" s="19">
        <v>2.9695320739553388E-3</v>
      </c>
      <c r="J512" s="19">
        <v>6.8215614395862767E-2</v>
      </c>
    </row>
    <row r="513" spans="1:10" ht="11.25" customHeight="1" x14ac:dyDescent="0.2">
      <c r="A513" s="28">
        <v>44470</v>
      </c>
      <c r="B513" s="18">
        <v>0</v>
      </c>
      <c r="C513" s="18">
        <v>0</v>
      </c>
      <c r="D513" s="18">
        <v>236065.33500000002</v>
      </c>
      <c r="E513" s="18">
        <v>270835.10847213666</v>
      </c>
      <c r="F513" s="18">
        <v>286092.75750000007</v>
      </c>
      <c r="G513" s="18">
        <v>286942.31911952246</v>
      </c>
      <c r="H513" s="19">
        <v>0.14728877271259089</v>
      </c>
      <c r="I513" s="19">
        <v>2.9695320739546727E-3</v>
      </c>
      <c r="J513" s="19">
        <v>6.8215614395862323E-2</v>
      </c>
    </row>
    <row r="514" spans="1:10" ht="11.25" customHeight="1" x14ac:dyDescent="0.2">
      <c r="A514" s="28">
        <v>44501</v>
      </c>
      <c r="B514" s="18">
        <v>0</v>
      </c>
      <c r="C514" s="18">
        <v>0</v>
      </c>
      <c r="D514" s="18">
        <v>238789.08420000004</v>
      </c>
      <c r="E514" s="18">
        <v>273960.03534898156</v>
      </c>
      <c r="F514" s="18">
        <v>289393.72890000005</v>
      </c>
      <c r="G514" s="18">
        <v>290253.09285997006</v>
      </c>
      <c r="H514" s="19">
        <v>0.14728877271259089</v>
      </c>
      <c r="I514" s="19">
        <v>2.9695320739551168E-3</v>
      </c>
      <c r="J514" s="19">
        <v>6.8215614395862323E-2</v>
      </c>
    </row>
    <row r="515" spans="1:10" ht="11.25" customHeight="1" x14ac:dyDescent="0.2">
      <c r="A515" s="28">
        <v>44531</v>
      </c>
      <c r="B515" s="18">
        <v>0</v>
      </c>
      <c r="C515" s="18">
        <v>0</v>
      </c>
      <c r="D515" s="18">
        <v>240759.91332000002</v>
      </c>
      <c r="E515" s="18">
        <v>276221.14547129261</v>
      </c>
      <c r="F515" s="18">
        <v>291782.21994000004</v>
      </c>
      <c r="G515" s="18">
        <v>292648.67660072161</v>
      </c>
      <c r="H515" s="19">
        <v>0.14728877271259089</v>
      </c>
      <c r="I515" s="19">
        <v>2.9695320739548947E-3</v>
      </c>
      <c r="J515" s="19">
        <v>6.8215614395862545E-2</v>
      </c>
    </row>
    <row r="516" spans="1:10" ht="11.25" customHeight="1" x14ac:dyDescent="0.2">
      <c r="A516" s="28">
        <v>44562</v>
      </c>
      <c r="B516" s="18">
        <v>0</v>
      </c>
      <c r="C516" s="18">
        <v>0</v>
      </c>
      <c r="D516" s="18">
        <v>248760.41984000002</v>
      </c>
      <c r="E516" s="18">
        <v>285400.03677770245</v>
      </c>
      <c r="F516" s="18">
        <v>301478.20928000001</v>
      </c>
      <c r="G516" s="18">
        <v>302373.45849205554</v>
      </c>
      <c r="H516" s="19">
        <v>0.14728877271259089</v>
      </c>
      <c r="I516" s="19">
        <v>2.9695320739551168E-3</v>
      </c>
      <c r="J516" s="19">
        <v>6.8215614395862323E-2</v>
      </c>
    </row>
    <row r="517" spans="1:10" ht="11.25" customHeight="1" x14ac:dyDescent="0.2">
      <c r="A517" s="28">
        <v>44593</v>
      </c>
      <c r="B517" s="18">
        <v>0</v>
      </c>
      <c r="C517" s="18">
        <v>0</v>
      </c>
      <c r="D517" s="18">
        <v>269091.71327999997</v>
      </c>
      <c r="E517" s="18">
        <v>308725.90147613967</v>
      </c>
      <c r="F517" s="18">
        <v>326118.14976000006</v>
      </c>
      <c r="G517" s="18">
        <v>327086.56806561124</v>
      </c>
      <c r="H517" s="19">
        <v>0.14728877271259133</v>
      </c>
      <c r="I517" s="19">
        <v>2.9695320739548947E-3</v>
      </c>
      <c r="J517" s="19">
        <v>6.8215614395862767E-2</v>
      </c>
    </row>
    <row r="518" spans="1:10" ht="11.25" customHeight="1" x14ac:dyDescent="0.2">
      <c r="A518" s="28">
        <v>44621</v>
      </c>
      <c r="B518" s="18">
        <v>0</v>
      </c>
      <c r="C518" s="18">
        <v>0</v>
      </c>
      <c r="D518" s="18">
        <v>274742.95076000004</v>
      </c>
      <c r="E518" s="18">
        <v>315209.5027888763</v>
      </c>
      <c r="F518" s="18">
        <v>332967.00842000009</v>
      </c>
      <c r="G518" s="18">
        <v>333955.76463107212</v>
      </c>
      <c r="H518" s="19">
        <v>0.14728877271259111</v>
      </c>
      <c r="I518" s="19">
        <v>2.9695320739548947E-3</v>
      </c>
      <c r="J518" s="19">
        <v>6.8215614395862767E-2</v>
      </c>
    </row>
    <row r="519" spans="1:10" ht="11.25" customHeight="1" x14ac:dyDescent="0.2">
      <c r="A519" s="28">
        <v>44652</v>
      </c>
      <c r="B519" s="18">
        <v>0</v>
      </c>
      <c r="C519" s="18">
        <v>0</v>
      </c>
      <c r="D519" s="18">
        <v>278812.54695999995</v>
      </c>
      <c r="E519" s="18">
        <v>319878.50481861009</v>
      </c>
      <c r="F519" s="18">
        <v>337899.04132000008</v>
      </c>
      <c r="G519" s="18">
        <v>338902.44336095842</v>
      </c>
      <c r="H519" s="19">
        <v>0.14728877271259133</v>
      </c>
      <c r="I519" s="19">
        <v>2.9695320739548947E-3</v>
      </c>
      <c r="J519" s="19">
        <v>6.8215614395862545E-2</v>
      </c>
    </row>
    <row r="520" spans="1:10" ht="11.25" customHeight="1" x14ac:dyDescent="0.2">
      <c r="A520" s="28">
        <v>44682</v>
      </c>
      <c r="B520" s="18">
        <v>0</v>
      </c>
      <c r="C520" s="18">
        <v>0</v>
      </c>
      <c r="D520" s="18">
        <v>278812.54695999995</v>
      </c>
      <c r="E520" s="18">
        <v>319878.50481861009</v>
      </c>
      <c r="F520" s="18">
        <v>337899.04132000008</v>
      </c>
      <c r="G520" s="18">
        <v>338902.44336095842</v>
      </c>
      <c r="H520" s="19">
        <v>0.14728877271259133</v>
      </c>
      <c r="I520" s="19">
        <v>2.9695320739548947E-3</v>
      </c>
      <c r="J520" s="19">
        <v>6.8215614395862545E-2</v>
      </c>
    </row>
    <row r="521" spans="1:10" ht="11.25" customHeight="1" x14ac:dyDescent="0.2">
      <c r="A521" s="24" t="s">
        <v>30</v>
      </c>
      <c r="B521" s="18">
        <v>0</v>
      </c>
      <c r="C521" s="18">
        <v>0</v>
      </c>
      <c r="D521" s="18">
        <v>9892697.3298199996</v>
      </c>
      <c r="E521" s="18">
        <v>11349981.221487693</v>
      </c>
      <c r="F521" s="18">
        <v>11989738.602680001</v>
      </c>
      <c r="G521" s="18">
        <v>12024991.70816241</v>
      </c>
      <c r="H521" s="19">
        <v>0.14730905465741317</v>
      </c>
      <c r="I521" s="19">
        <v>2.94027306604705E-3</v>
      </c>
      <c r="J521" s="19">
        <v>6.8207077208135347E-2</v>
      </c>
    </row>
    <row r="522" spans="1:10" ht="11.25" customHeight="1" x14ac:dyDescent="0.2">
      <c r="A522" s="25" t="s">
        <v>25</v>
      </c>
      <c r="B522" s="18">
        <v>0</v>
      </c>
      <c r="C522" s="18">
        <v>0</v>
      </c>
      <c r="D522" s="18">
        <v>9892697.3298199996</v>
      </c>
      <c r="E522" s="18">
        <v>11349981.221487693</v>
      </c>
      <c r="F522" s="18">
        <v>11989738.602680001</v>
      </c>
      <c r="G522" s="18">
        <v>12024991.70816241</v>
      </c>
      <c r="H522" s="19">
        <v>0.14730905465741317</v>
      </c>
      <c r="I522" s="19">
        <v>2.94027306604705E-3</v>
      </c>
      <c r="J522" s="19">
        <v>6.8207077208135347E-2</v>
      </c>
    </row>
    <row r="523" spans="1:10" ht="11.25" customHeight="1" x14ac:dyDescent="0.2">
      <c r="A523" s="26" t="s">
        <v>25</v>
      </c>
      <c r="B523" s="18">
        <v>0</v>
      </c>
      <c r="C523" s="18">
        <v>0</v>
      </c>
      <c r="D523" s="18">
        <v>9892697.3298199996</v>
      </c>
      <c r="E523" s="18">
        <v>11349981.221487693</v>
      </c>
      <c r="F523" s="18">
        <v>11989738.602680001</v>
      </c>
      <c r="G523" s="18">
        <v>12024991.70816241</v>
      </c>
      <c r="H523" s="19">
        <v>0.14730905465741317</v>
      </c>
      <c r="I523" s="19">
        <v>2.94027306604705E-3</v>
      </c>
      <c r="J523" s="19">
        <v>6.8207077208135347E-2</v>
      </c>
    </row>
    <row r="524" spans="1:10" ht="11.25" customHeight="1" x14ac:dyDescent="0.2">
      <c r="A524" s="27" t="s">
        <v>25</v>
      </c>
      <c r="B524" s="18">
        <v>0</v>
      </c>
      <c r="C524" s="18">
        <v>0</v>
      </c>
      <c r="D524" s="18">
        <v>9892697.3298199996</v>
      </c>
      <c r="E524" s="18">
        <v>11349981.221487693</v>
      </c>
      <c r="F524" s="18">
        <v>11989738.602680001</v>
      </c>
      <c r="G524" s="18">
        <v>12024991.70816241</v>
      </c>
      <c r="H524" s="19">
        <v>0.14730905465741317</v>
      </c>
      <c r="I524" s="19">
        <v>2.94027306604705E-3</v>
      </c>
      <c r="J524" s="19">
        <v>6.8207077208135347E-2</v>
      </c>
    </row>
    <row r="525" spans="1:10" ht="11.25" customHeight="1" x14ac:dyDescent="0.2">
      <c r="A525" s="28">
        <v>44348</v>
      </c>
      <c r="B525" s="18">
        <v>0</v>
      </c>
      <c r="C525" s="18">
        <v>0</v>
      </c>
      <c r="D525" s="18">
        <v>746597.12520000001</v>
      </c>
      <c r="E525" s="18">
        <v>856577.64192315401</v>
      </c>
      <c r="F525" s="18">
        <v>904859.82480000006</v>
      </c>
      <c r="G525" s="18">
        <v>907520.35977140779</v>
      </c>
      <c r="H525" s="19">
        <v>0.14730905465741273</v>
      </c>
      <c r="I525" s="19">
        <v>2.940273066047272E-3</v>
      </c>
      <c r="J525" s="19">
        <v>6.8207077208135347E-2</v>
      </c>
    </row>
    <row r="526" spans="1:10" ht="11.25" customHeight="1" x14ac:dyDescent="0.2">
      <c r="A526" s="28">
        <v>44378</v>
      </c>
      <c r="B526" s="18">
        <v>0</v>
      </c>
      <c r="C526" s="18">
        <v>0</v>
      </c>
      <c r="D526" s="18">
        <v>747417.18507999997</v>
      </c>
      <c r="E526" s="18">
        <v>857518.5040488391</v>
      </c>
      <c r="F526" s="18">
        <v>905853.71991999983</v>
      </c>
      <c r="G526" s="18">
        <v>908517.1772144594</v>
      </c>
      <c r="H526" s="19">
        <v>0.14730905465741251</v>
      </c>
      <c r="I526" s="19">
        <v>2.940273066047272E-3</v>
      </c>
      <c r="J526" s="19">
        <v>6.8207077208135347E-2</v>
      </c>
    </row>
    <row r="527" spans="1:10" ht="11.25" customHeight="1" x14ac:dyDescent="0.2">
      <c r="A527" s="28">
        <v>44409</v>
      </c>
      <c r="B527" s="18">
        <v>0</v>
      </c>
      <c r="C527" s="18">
        <v>0</v>
      </c>
      <c r="D527" s="18">
        <v>758932.44845999999</v>
      </c>
      <c r="E527" s="18">
        <v>870730.06999147811</v>
      </c>
      <c r="F527" s="18">
        <v>919809.97403999988</v>
      </c>
      <c r="G527" s="18">
        <v>922514.46653255157</v>
      </c>
      <c r="H527" s="19">
        <v>0.14730905465741273</v>
      </c>
      <c r="I527" s="19">
        <v>2.9402730660474941E-3</v>
      </c>
      <c r="J527" s="19">
        <v>6.8207077208135347E-2</v>
      </c>
    </row>
    <row r="528" spans="1:10" ht="11.25" customHeight="1" x14ac:dyDescent="0.2">
      <c r="A528" s="28">
        <v>44440</v>
      </c>
      <c r="B528" s="18">
        <v>0</v>
      </c>
      <c r="C528" s="18">
        <v>0</v>
      </c>
      <c r="D528" s="18">
        <v>776423.93458000012</v>
      </c>
      <c r="E528" s="18">
        <v>890798.21039636852</v>
      </c>
      <c r="F528" s="18">
        <v>941009.28291999991</v>
      </c>
      <c r="G528" s="18">
        <v>943776.10716947005</v>
      </c>
      <c r="H528" s="19">
        <v>0.14730905465741229</v>
      </c>
      <c r="I528" s="19">
        <v>2.940273066047272E-3</v>
      </c>
      <c r="J528" s="19">
        <v>6.8207077208135125E-2</v>
      </c>
    </row>
    <row r="529" spans="1:10" ht="11.25" customHeight="1" x14ac:dyDescent="0.2">
      <c r="A529" s="28">
        <v>44470</v>
      </c>
      <c r="B529" s="18">
        <v>0</v>
      </c>
      <c r="C529" s="18">
        <v>0</v>
      </c>
      <c r="D529" s="18">
        <v>775323.78723999986</v>
      </c>
      <c r="E529" s="18">
        <v>889536.00139172922</v>
      </c>
      <c r="F529" s="18">
        <v>939675.92775999987</v>
      </c>
      <c r="G529" s="18">
        <v>942438.83158120583</v>
      </c>
      <c r="H529" s="19">
        <v>0.14730905465741273</v>
      </c>
      <c r="I529" s="19">
        <v>2.9402730660474941E-3</v>
      </c>
      <c r="J529" s="19">
        <v>6.8207077208135347E-2</v>
      </c>
    </row>
    <row r="530" spans="1:10" ht="11.25" customHeight="1" x14ac:dyDescent="0.2">
      <c r="A530" s="28">
        <v>44501</v>
      </c>
      <c r="B530" s="18">
        <v>0</v>
      </c>
      <c r="C530" s="18">
        <v>0</v>
      </c>
      <c r="D530" s="18">
        <v>787006.32731999992</v>
      </c>
      <c r="E530" s="18">
        <v>902939.48540691135</v>
      </c>
      <c r="F530" s="18">
        <v>953834.91767999995</v>
      </c>
      <c r="G530" s="18">
        <v>956639.45279790985</v>
      </c>
      <c r="H530" s="19">
        <v>0.14730905465741251</v>
      </c>
      <c r="I530" s="19">
        <v>2.940273066047272E-3</v>
      </c>
      <c r="J530" s="19">
        <v>6.8207077208135347E-2</v>
      </c>
    </row>
    <row r="531" spans="1:10" ht="11.25" customHeight="1" x14ac:dyDescent="0.2">
      <c r="A531" s="28">
        <v>44531</v>
      </c>
      <c r="B531" s="18">
        <v>0</v>
      </c>
      <c r="C531" s="18">
        <v>0</v>
      </c>
      <c r="D531" s="18">
        <v>813592.49407999997</v>
      </c>
      <c r="E531" s="18">
        <v>933442.0352592913</v>
      </c>
      <c r="F531" s="18">
        <v>986056.78591999994</v>
      </c>
      <c r="G531" s="18">
        <v>988956.06212923361</v>
      </c>
      <c r="H531" s="19">
        <v>0.14730905465741251</v>
      </c>
      <c r="I531" s="19">
        <v>2.940273066047272E-3</v>
      </c>
      <c r="J531" s="19">
        <v>6.8207077208135347E-2</v>
      </c>
    </row>
    <row r="532" spans="1:10" ht="11.25" customHeight="1" x14ac:dyDescent="0.2">
      <c r="A532" s="28">
        <v>44562</v>
      </c>
      <c r="B532" s="18">
        <v>0</v>
      </c>
      <c r="C532" s="18">
        <v>0</v>
      </c>
      <c r="D532" s="18">
        <v>835575.07676000008</v>
      </c>
      <c r="E532" s="18">
        <v>958662.8514128105</v>
      </c>
      <c r="F532" s="18">
        <v>1012699.2082399999</v>
      </c>
      <c r="G532" s="18">
        <v>1015676.8204459954</v>
      </c>
      <c r="H532" s="19">
        <v>0.14730905465741251</v>
      </c>
      <c r="I532" s="19">
        <v>2.940273066047272E-3</v>
      </c>
      <c r="J532" s="19">
        <v>6.8207077208135125E-2</v>
      </c>
    </row>
    <row r="533" spans="1:10" ht="11.25" customHeight="1" x14ac:dyDescent="0.2">
      <c r="A533" s="28">
        <v>44593</v>
      </c>
      <c r="B533" s="18">
        <v>0</v>
      </c>
      <c r="C533" s="18">
        <v>0</v>
      </c>
      <c r="D533" s="18">
        <v>874007.01979999989</v>
      </c>
      <c r="E533" s="18">
        <v>1002756.1676506804</v>
      </c>
      <c r="F533" s="18">
        <v>1059277.9052000002</v>
      </c>
      <c r="G533" s="18">
        <v>1062392.4714941187</v>
      </c>
      <c r="H533" s="19">
        <v>0.14730905465741273</v>
      </c>
      <c r="I533" s="19">
        <v>2.940273066047272E-3</v>
      </c>
      <c r="J533" s="19">
        <v>6.8207077208135347E-2</v>
      </c>
    </row>
    <row r="534" spans="1:10" ht="11.25" customHeight="1" x14ac:dyDescent="0.2">
      <c r="A534" s="28">
        <v>44621</v>
      </c>
      <c r="B534" s="18">
        <v>0</v>
      </c>
      <c r="C534" s="18">
        <v>0</v>
      </c>
      <c r="D534" s="18">
        <v>927790.43854</v>
      </c>
      <c r="E534" s="18">
        <v>1064462.3709615138</v>
      </c>
      <c r="F534" s="18">
        <v>1124462.2639600001</v>
      </c>
      <c r="G534" s="18">
        <v>1127768.4900685081</v>
      </c>
      <c r="H534" s="19">
        <v>0.14730905465741273</v>
      </c>
      <c r="I534" s="19">
        <v>2.94027306604705E-3</v>
      </c>
      <c r="J534" s="19">
        <v>6.8207077208135125E-2</v>
      </c>
    </row>
    <row r="535" spans="1:10" ht="11.25" customHeight="1" x14ac:dyDescent="0.2">
      <c r="A535" s="28">
        <v>44652</v>
      </c>
      <c r="B535" s="18">
        <v>0</v>
      </c>
      <c r="C535" s="18">
        <v>0</v>
      </c>
      <c r="D535" s="18">
        <v>925015.74638000014</v>
      </c>
      <c r="E535" s="18">
        <v>1061278.9415224588</v>
      </c>
      <c r="F535" s="18">
        <v>1121099.3961200002</v>
      </c>
      <c r="G535" s="18">
        <v>1124395.7344787735</v>
      </c>
      <c r="H535" s="19">
        <v>0.14730905465741251</v>
      </c>
      <c r="I535" s="19">
        <v>2.940273066047272E-3</v>
      </c>
      <c r="J535" s="19">
        <v>6.8207077208135125E-2</v>
      </c>
    </row>
    <row r="536" spans="1:10" ht="11.25" customHeight="1" x14ac:dyDescent="0.2">
      <c r="A536" s="28">
        <v>44682</v>
      </c>
      <c r="B536" s="18">
        <v>0</v>
      </c>
      <c r="C536" s="18">
        <v>0</v>
      </c>
      <c r="D536" s="18">
        <v>925015.74638000014</v>
      </c>
      <c r="E536" s="18">
        <v>1061278.9415224588</v>
      </c>
      <c r="F536" s="18">
        <v>1121099.3961200002</v>
      </c>
      <c r="G536" s="18">
        <v>1124395.7344787735</v>
      </c>
      <c r="H536" s="19">
        <v>0.14730905465741251</v>
      </c>
      <c r="I536" s="19">
        <v>2.940273066047272E-3</v>
      </c>
      <c r="J536" s="19">
        <v>6.8207077208135125E-2</v>
      </c>
    </row>
    <row r="537" spans="1:10" ht="11.25" customHeight="1" x14ac:dyDescent="0.2">
      <c r="A537" s="24" t="s">
        <v>31</v>
      </c>
      <c r="B537" s="18">
        <v>0</v>
      </c>
      <c r="C537" s="18">
        <v>0</v>
      </c>
      <c r="D537" s="18">
        <v>9648961.2785999998</v>
      </c>
      <c r="E537" s="18">
        <v>11070340.642976545</v>
      </c>
      <c r="F537" s="18">
        <v>11694335.696400002</v>
      </c>
      <c r="G537" s="18">
        <v>11728720.236673445</v>
      </c>
      <c r="H537" s="19">
        <v>0.14730905465741251</v>
      </c>
      <c r="I537" s="19">
        <v>2.940273066047272E-3</v>
      </c>
      <c r="J537" s="19">
        <v>6.8207077208135125E-2</v>
      </c>
    </row>
    <row r="538" spans="1:10" ht="11.25" customHeight="1" x14ac:dyDescent="0.2">
      <c r="A538" s="25" t="s">
        <v>25</v>
      </c>
      <c r="B538" s="18">
        <v>0</v>
      </c>
      <c r="C538" s="18">
        <v>0</v>
      </c>
      <c r="D538" s="18">
        <v>9648961.2785999998</v>
      </c>
      <c r="E538" s="18">
        <v>11070340.642976545</v>
      </c>
      <c r="F538" s="18">
        <v>11694335.696400002</v>
      </c>
      <c r="G538" s="18">
        <v>11728720.236673445</v>
      </c>
      <c r="H538" s="19">
        <v>0.14730905465741251</v>
      </c>
      <c r="I538" s="19">
        <v>2.940273066047272E-3</v>
      </c>
      <c r="J538" s="19">
        <v>6.8207077208135125E-2</v>
      </c>
    </row>
    <row r="539" spans="1:10" ht="11.25" customHeight="1" x14ac:dyDescent="0.2">
      <c r="A539" s="26" t="s">
        <v>25</v>
      </c>
      <c r="B539" s="18">
        <v>0</v>
      </c>
      <c r="C539" s="18">
        <v>0</v>
      </c>
      <c r="D539" s="18">
        <v>9648961.2785999998</v>
      </c>
      <c r="E539" s="18">
        <v>11070340.642976545</v>
      </c>
      <c r="F539" s="18">
        <v>11694335.696400002</v>
      </c>
      <c r="G539" s="18">
        <v>11728720.236673445</v>
      </c>
      <c r="H539" s="19">
        <v>0.14730905465741251</v>
      </c>
      <c r="I539" s="19">
        <v>2.940273066047272E-3</v>
      </c>
      <c r="J539" s="19">
        <v>6.8207077208135125E-2</v>
      </c>
    </row>
    <row r="540" spans="1:10" ht="11.25" customHeight="1" x14ac:dyDescent="0.2">
      <c r="A540" s="27" t="s">
        <v>25</v>
      </c>
      <c r="B540" s="18">
        <v>0</v>
      </c>
      <c r="C540" s="18">
        <v>0</v>
      </c>
      <c r="D540" s="18">
        <v>9648961.2785999998</v>
      </c>
      <c r="E540" s="18">
        <v>11070340.642976545</v>
      </c>
      <c r="F540" s="18">
        <v>11694335.696400002</v>
      </c>
      <c r="G540" s="18">
        <v>11728720.236673445</v>
      </c>
      <c r="H540" s="19">
        <v>0.14730905465741251</v>
      </c>
      <c r="I540" s="19">
        <v>2.940273066047272E-3</v>
      </c>
      <c r="J540" s="19">
        <v>6.8207077208135125E-2</v>
      </c>
    </row>
    <row r="541" spans="1:10" ht="11.25" customHeight="1" x14ac:dyDescent="0.2">
      <c r="A541" s="28">
        <v>44348</v>
      </c>
      <c r="B541" s="18">
        <v>0</v>
      </c>
      <c r="C541" s="18">
        <v>0</v>
      </c>
      <c r="D541" s="18">
        <v>657664.58886000013</v>
      </c>
      <c r="E541" s="18">
        <v>754544.53772662254</v>
      </c>
      <c r="F541" s="18">
        <v>797075.48363999999</v>
      </c>
      <c r="G541" s="18">
        <v>799419.10321615345</v>
      </c>
      <c r="H541" s="19">
        <v>0.14730905465741229</v>
      </c>
      <c r="I541" s="19">
        <v>2.9402730660474941E-3</v>
      </c>
      <c r="J541" s="19">
        <v>6.8207077208135347E-2</v>
      </c>
    </row>
    <row r="542" spans="1:10" ht="11.25" customHeight="1" x14ac:dyDescent="0.2">
      <c r="A542" s="28">
        <v>44378</v>
      </c>
      <c r="B542" s="18">
        <v>0</v>
      </c>
      <c r="C542" s="18">
        <v>0</v>
      </c>
      <c r="D542" s="18">
        <v>647683.50332999998</v>
      </c>
      <c r="E542" s="18">
        <v>743093.14792274346</v>
      </c>
      <c r="F542" s="18">
        <v>784978.62042000005</v>
      </c>
      <c r="G542" s="18">
        <v>787286.67191504396</v>
      </c>
      <c r="H542" s="19">
        <v>0.14730905465741273</v>
      </c>
      <c r="I542" s="19">
        <v>2.940273066047272E-3</v>
      </c>
      <c r="J542" s="19">
        <v>6.8207077208135347E-2</v>
      </c>
    </row>
    <row r="543" spans="1:10" ht="11.25" customHeight="1" x14ac:dyDescent="0.2">
      <c r="A543" s="28">
        <v>44409</v>
      </c>
      <c r="B543" s="18">
        <v>0</v>
      </c>
      <c r="C543" s="18">
        <v>0</v>
      </c>
      <c r="D543" s="18">
        <v>669438.68666999997</v>
      </c>
      <c r="E543" s="18">
        <v>768053.06675445742</v>
      </c>
      <c r="F543" s="18">
        <v>811345.43957999989</v>
      </c>
      <c r="G543" s="18">
        <v>813731.01672325749</v>
      </c>
      <c r="H543" s="19">
        <v>0.14730905465741251</v>
      </c>
      <c r="I543" s="19">
        <v>2.9402730660474941E-3</v>
      </c>
      <c r="J543" s="19">
        <v>6.8207077208135569E-2</v>
      </c>
    </row>
    <row r="544" spans="1:10" ht="11.25" customHeight="1" x14ac:dyDescent="0.2">
      <c r="A544" s="28">
        <v>44440</v>
      </c>
      <c r="B544" s="18">
        <v>0</v>
      </c>
      <c r="C544" s="18">
        <v>0</v>
      </c>
      <c r="D544" s="18">
        <v>806871.76881000004</v>
      </c>
      <c r="E544" s="18">
        <v>925731.28630315547</v>
      </c>
      <c r="F544" s="18">
        <v>977911.40993999992</v>
      </c>
      <c r="G544" s="18">
        <v>980786.73651962704</v>
      </c>
      <c r="H544" s="19">
        <v>0.14730905465741251</v>
      </c>
      <c r="I544" s="19">
        <v>2.9402730660474941E-3</v>
      </c>
      <c r="J544" s="19">
        <v>6.8207077208135347E-2</v>
      </c>
    </row>
    <row r="545" spans="1:10" ht="11.25" customHeight="1" x14ac:dyDescent="0.2">
      <c r="A545" s="28">
        <v>44470</v>
      </c>
      <c r="B545" s="18">
        <v>0</v>
      </c>
      <c r="C545" s="18">
        <v>0</v>
      </c>
      <c r="D545" s="18">
        <v>725252.61828000005</v>
      </c>
      <c r="E545" s="18">
        <v>832088.89586664026</v>
      </c>
      <c r="F545" s="18">
        <v>878990.73672000004</v>
      </c>
      <c r="G545" s="18">
        <v>881575.20950848295</v>
      </c>
      <c r="H545" s="19">
        <v>0.14730905465741273</v>
      </c>
      <c r="I545" s="19">
        <v>2.940273066047272E-3</v>
      </c>
      <c r="J545" s="19">
        <v>6.8207077208135347E-2</v>
      </c>
    </row>
    <row r="546" spans="1:10" ht="11.25" customHeight="1" x14ac:dyDescent="0.2">
      <c r="A546" s="28">
        <v>44501</v>
      </c>
      <c r="B546" s="18">
        <v>0</v>
      </c>
      <c r="C546" s="18">
        <v>0</v>
      </c>
      <c r="D546" s="18">
        <v>749871.14234999998</v>
      </c>
      <c r="E546" s="18">
        <v>860333.95144445274</v>
      </c>
      <c r="F546" s="18">
        <v>908827.8639</v>
      </c>
      <c r="G546" s="18">
        <v>911500.06598989875</v>
      </c>
      <c r="H546" s="19">
        <v>0.14730905465741295</v>
      </c>
      <c r="I546" s="19">
        <v>2.9402730660477161E-3</v>
      </c>
      <c r="J546" s="19">
        <v>6.8207077208135569E-2</v>
      </c>
    </row>
    <row r="547" spans="1:10" ht="11.25" customHeight="1" x14ac:dyDescent="0.2">
      <c r="A547" s="28">
        <v>44531</v>
      </c>
      <c r="B547" s="18">
        <v>0</v>
      </c>
      <c r="C547" s="18">
        <v>0</v>
      </c>
      <c r="D547" s="18">
        <v>865265.39805000008</v>
      </c>
      <c r="E547" s="18">
        <v>992726.8258645155</v>
      </c>
      <c r="F547" s="18">
        <v>1048683.2457000001</v>
      </c>
      <c r="G547" s="18">
        <v>1051766.6608021471</v>
      </c>
      <c r="H547" s="19">
        <v>0.14730905465741273</v>
      </c>
      <c r="I547" s="19">
        <v>2.9402730660474941E-3</v>
      </c>
      <c r="J547" s="19">
        <v>6.8207077208135347E-2</v>
      </c>
    </row>
    <row r="548" spans="1:10" ht="11.25" customHeight="1" x14ac:dyDescent="0.2">
      <c r="A548" s="28">
        <v>44562</v>
      </c>
      <c r="B548" s="18">
        <v>0</v>
      </c>
      <c r="C548" s="18">
        <v>0</v>
      </c>
      <c r="D548" s="18">
        <v>865241.39748000004</v>
      </c>
      <c r="E548" s="18">
        <v>992699.28979323746</v>
      </c>
      <c r="F548" s="18">
        <v>1048654.1575200001</v>
      </c>
      <c r="G548" s="18">
        <v>1051737.4870949546</v>
      </c>
      <c r="H548" s="19">
        <v>0.14730905465741273</v>
      </c>
      <c r="I548" s="19">
        <v>2.940273066047272E-3</v>
      </c>
      <c r="J548" s="19">
        <v>6.8207077208135347E-2</v>
      </c>
    </row>
    <row r="549" spans="1:10" ht="11.25" customHeight="1" x14ac:dyDescent="0.2">
      <c r="A549" s="28">
        <v>44593</v>
      </c>
      <c r="B549" s="18">
        <v>0</v>
      </c>
      <c r="C549" s="18">
        <v>0</v>
      </c>
      <c r="D549" s="18">
        <v>808896.54417000012</v>
      </c>
      <c r="E549" s="18">
        <v>928054.32940733072</v>
      </c>
      <c r="F549" s="18">
        <v>980365.39457999996</v>
      </c>
      <c r="G549" s="18">
        <v>983247.93654456863</v>
      </c>
      <c r="H549" s="19">
        <v>0.14730905465741251</v>
      </c>
      <c r="I549" s="19">
        <v>2.9402730660474941E-3</v>
      </c>
      <c r="J549" s="19">
        <v>6.8207077208135347E-2</v>
      </c>
    </row>
    <row r="550" spans="1:10" ht="11.25" customHeight="1" x14ac:dyDescent="0.2">
      <c r="A550" s="28">
        <v>44621</v>
      </c>
      <c r="B550" s="18">
        <v>0</v>
      </c>
      <c r="C550" s="18">
        <v>0</v>
      </c>
      <c r="D550" s="18">
        <v>1005838.1911200001</v>
      </c>
      <c r="E550" s="18">
        <v>1154007.2641922093</v>
      </c>
      <c r="F550" s="18">
        <v>1219054.4788800003</v>
      </c>
      <c r="G550" s="18">
        <v>1222638.8319302953</v>
      </c>
      <c r="H550" s="19">
        <v>0.14730905465741273</v>
      </c>
      <c r="I550" s="19">
        <v>2.940273066047272E-3</v>
      </c>
      <c r="J550" s="19">
        <v>6.8207077208135347E-2</v>
      </c>
    </row>
    <row r="551" spans="1:10" ht="11.25" customHeight="1" x14ac:dyDescent="0.2">
      <c r="A551" s="28">
        <v>44652</v>
      </c>
      <c r="B551" s="18">
        <v>0</v>
      </c>
      <c r="C551" s="18">
        <v>0</v>
      </c>
      <c r="D551" s="18">
        <v>923468.71973999997</v>
      </c>
      <c r="E551" s="18">
        <v>1059504.0238505907</v>
      </c>
      <c r="F551" s="18">
        <v>1119224.4327599998</v>
      </c>
      <c r="G551" s="18">
        <v>1122515.2582145063</v>
      </c>
      <c r="H551" s="19">
        <v>0.14730905465741295</v>
      </c>
      <c r="I551" s="19">
        <v>2.9402730660474941E-3</v>
      </c>
      <c r="J551" s="19">
        <v>6.8207077208135569E-2</v>
      </c>
    </row>
    <row r="552" spans="1:10" ht="11.25" customHeight="1" x14ac:dyDescent="0.2">
      <c r="A552" s="28">
        <v>44682</v>
      </c>
      <c r="B552" s="18">
        <v>0</v>
      </c>
      <c r="C552" s="18">
        <v>0</v>
      </c>
      <c r="D552" s="18">
        <v>923468.71973999997</v>
      </c>
      <c r="E552" s="18">
        <v>1059504.0238505907</v>
      </c>
      <c r="F552" s="18">
        <v>1119224.4327599998</v>
      </c>
      <c r="G552" s="18">
        <v>1122515.2582145063</v>
      </c>
      <c r="H552" s="19">
        <v>0.14730905465741295</v>
      </c>
      <c r="I552" s="19">
        <v>2.9402730660474941E-3</v>
      </c>
      <c r="J552" s="19">
        <v>6.8207077208135569E-2</v>
      </c>
    </row>
    <row r="553" spans="1:10" ht="11.25" customHeight="1" x14ac:dyDescent="0.2">
      <c r="A553" s="24" t="s">
        <v>32</v>
      </c>
      <c r="B553" s="18">
        <v>0</v>
      </c>
      <c r="C553" s="18">
        <v>0</v>
      </c>
      <c r="D553" s="18">
        <v>2096079.4891800003</v>
      </c>
      <c r="E553" s="18">
        <v>2404821.2182620973</v>
      </c>
      <c r="F553" s="18">
        <v>2540398.2285799999</v>
      </c>
      <c r="G553" s="18">
        <v>2547841.678756922</v>
      </c>
      <c r="H553" s="19">
        <v>0.14729485722074354</v>
      </c>
      <c r="I553" s="19">
        <v>2.9300328165797751E-3</v>
      </c>
      <c r="J553" s="19">
        <v>6.8195125374564292E-2</v>
      </c>
    </row>
    <row r="554" spans="1:10" ht="11.25" customHeight="1" x14ac:dyDescent="0.2">
      <c r="A554" s="25" t="s">
        <v>25</v>
      </c>
      <c r="B554" s="18">
        <v>0</v>
      </c>
      <c r="C554" s="18">
        <v>0</v>
      </c>
      <c r="D554" s="18">
        <v>2096079.4891800003</v>
      </c>
      <c r="E554" s="18">
        <v>2404821.2182620973</v>
      </c>
      <c r="F554" s="18">
        <v>2540398.2285799999</v>
      </c>
      <c r="G554" s="18">
        <v>2547841.678756922</v>
      </c>
      <c r="H554" s="19">
        <v>0.14729485722074354</v>
      </c>
      <c r="I554" s="19">
        <v>2.9300328165797751E-3</v>
      </c>
      <c r="J554" s="19">
        <v>6.8195125374564292E-2</v>
      </c>
    </row>
    <row r="555" spans="1:10" ht="11.25" customHeight="1" x14ac:dyDescent="0.2">
      <c r="A555" s="26" t="s">
        <v>25</v>
      </c>
      <c r="B555" s="18">
        <v>0</v>
      </c>
      <c r="C555" s="18">
        <v>0</v>
      </c>
      <c r="D555" s="18">
        <v>2096079.4891800003</v>
      </c>
      <c r="E555" s="18">
        <v>2404821.2182620973</v>
      </c>
      <c r="F555" s="18">
        <v>2540398.2285799999</v>
      </c>
      <c r="G555" s="18">
        <v>2547841.678756922</v>
      </c>
      <c r="H555" s="19">
        <v>0.14729485722074354</v>
      </c>
      <c r="I555" s="19">
        <v>2.9300328165797751E-3</v>
      </c>
      <c r="J555" s="19">
        <v>6.8195125374564292E-2</v>
      </c>
    </row>
    <row r="556" spans="1:10" ht="11.25" customHeight="1" x14ac:dyDescent="0.2">
      <c r="A556" s="27" t="s">
        <v>25</v>
      </c>
      <c r="B556" s="18">
        <v>0</v>
      </c>
      <c r="C556" s="18">
        <v>0</v>
      </c>
      <c r="D556" s="18">
        <v>2096079.4891800003</v>
      </c>
      <c r="E556" s="18">
        <v>2404821.2182620973</v>
      </c>
      <c r="F556" s="18">
        <v>2540398.2285799999</v>
      </c>
      <c r="G556" s="18">
        <v>2547841.678756922</v>
      </c>
      <c r="H556" s="19">
        <v>0.14729485722074354</v>
      </c>
      <c r="I556" s="19">
        <v>2.9300328165797751E-3</v>
      </c>
      <c r="J556" s="19">
        <v>6.8195125374564292E-2</v>
      </c>
    </row>
    <row r="557" spans="1:10" ht="11.25" customHeight="1" x14ac:dyDescent="0.2">
      <c r="A557" s="28">
        <v>44348</v>
      </c>
      <c r="B557" s="18">
        <v>0</v>
      </c>
      <c r="C557" s="18">
        <v>0</v>
      </c>
      <c r="D557" s="18">
        <v>113073.4449</v>
      </c>
      <c r="E557" s="18">
        <v>129728.58182200311</v>
      </c>
      <c r="F557" s="18">
        <v>137042.3119</v>
      </c>
      <c r="G557" s="18">
        <v>137443.85037112699</v>
      </c>
      <c r="H557" s="19">
        <v>0.14729485722074354</v>
      </c>
      <c r="I557" s="19">
        <v>2.9300328165799971E-3</v>
      </c>
      <c r="J557" s="19">
        <v>6.8195125374564514E-2</v>
      </c>
    </row>
    <row r="558" spans="1:10" ht="11.25" customHeight="1" x14ac:dyDescent="0.2">
      <c r="A558" s="28">
        <v>44378</v>
      </c>
      <c r="B558" s="18">
        <v>0</v>
      </c>
      <c r="C558" s="18">
        <v>0</v>
      </c>
      <c r="D558" s="18">
        <v>107425.56411000001</v>
      </c>
      <c r="E558" s="18">
        <v>123248.79723744029</v>
      </c>
      <c r="F558" s="18">
        <v>130197.21541</v>
      </c>
      <c r="G558" s="18">
        <v>130578.69752377865</v>
      </c>
      <c r="H558" s="19">
        <v>0.14729485722074354</v>
      </c>
      <c r="I558" s="19">
        <v>2.9300328165799971E-3</v>
      </c>
      <c r="J558" s="19">
        <v>6.8195125374564736E-2</v>
      </c>
    </row>
    <row r="559" spans="1:10" ht="11.25" customHeight="1" x14ac:dyDescent="0.2">
      <c r="A559" s="28">
        <v>44409</v>
      </c>
      <c r="B559" s="18">
        <v>0</v>
      </c>
      <c r="C559" s="18">
        <v>0</v>
      </c>
      <c r="D559" s="18">
        <v>111725.78679</v>
      </c>
      <c r="E559" s="18">
        <v>128182.42060310827</v>
      </c>
      <c r="F559" s="18">
        <v>135408.98248999999</v>
      </c>
      <c r="G559" s="18">
        <v>135805.73525235543</v>
      </c>
      <c r="H559" s="19">
        <v>0.14729485722074354</v>
      </c>
      <c r="I559" s="19">
        <v>2.9300328165802192E-3</v>
      </c>
      <c r="J559" s="19">
        <v>6.8195125374564514E-2</v>
      </c>
    </row>
    <row r="560" spans="1:10" ht="11.25" customHeight="1" x14ac:dyDescent="0.2">
      <c r="A560" s="28">
        <v>44440</v>
      </c>
      <c r="B560" s="18">
        <v>0</v>
      </c>
      <c r="C560" s="18">
        <v>0</v>
      </c>
      <c r="D560" s="18">
        <v>173127.33143999998</v>
      </c>
      <c r="E560" s="18">
        <v>198628.09700546315</v>
      </c>
      <c r="F560" s="18">
        <v>209826.18664</v>
      </c>
      <c r="G560" s="18">
        <v>210440.98425263309</v>
      </c>
      <c r="H560" s="19">
        <v>0.14729485722074376</v>
      </c>
      <c r="I560" s="19">
        <v>2.9300328165802192E-3</v>
      </c>
      <c r="J560" s="19">
        <v>6.8195125374564958E-2</v>
      </c>
    </row>
    <row r="561" spans="1:10" ht="11.25" customHeight="1" x14ac:dyDescent="0.2">
      <c r="A561" s="28">
        <v>44470</v>
      </c>
      <c r="B561" s="18">
        <v>0</v>
      </c>
      <c r="C561" s="18">
        <v>0</v>
      </c>
      <c r="D561" s="18">
        <v>140322.64473</v>
      </c>
      <c r="E561" s="18">
        <v>160991.44865034247</v>
      </c>
      <c r="F561" s="18">
        <v>170067.69063</v>
      </c>
      <c r="G561" s="18">
        <v>170565.9945445859</v>
      </c>
      <c r="H561" s="19">
        <v>0.14729485722074354</v>
      </c>
      <c r="I561" s="19">
        <v>2.9300328165802192E-3</v>
      </c>
      <c r="J561" s="19">
        <v>6.8195125374564514E-2</v>
      </c>
    </row>
    <row r="562" spans="1:10" ht="11.25" customHeight="1" x14ac:dyDescent="0.2">
      <c r="A562" s="28">
        <v>44501</v>
      </c>
      <c r="B562" s="18">
        <v>0</v>
      </c>
      <c r="C562" s="18">
        <v>0</v>
      </c>
      <c r="D562" s="18">
        <v>144257.06294999999</v>
      </c>
      <c r="E562" s="18">
        <v>165505.38644030408</v>
      </c>
      <c r="F562" s="18">
        <v>174836.11145000003</v>
      </c>
      <c r="G562" s="18">
        <v>175348.38699407177</v>
      </c>
      <c r="H562" s="19">
        <v>0.14729485722074376</v>
      </c>
      <c r="I562" s="19">
        <v>2.9300328165799971E-3</v>
      </c>
      <c r="J562" s="19">
        <v>6.8195125374564736E-2</v>
      </c>
    </row>
    <row r="563" spans="1:10" ht="11.25" customHeight="1" x14ac:dyDescent="0.2">
      <c r="A563" s="28">
        <v>44531</v>
      </c>
      <c r="B563" s="18">
        <v>0</v>
      </c>
      <c r="C563" s="18">
        <v>0</v>
      </c>
      <c r="D563" s="18">
        <v>196490.59964999999</v>
      </c>
      <c r="E563" s="18">
        <v>225432.65447066506</v>
      </c>
      <c r="F563" s="18">
        <v>238141.90914999999</v>
      </c>
      <c r="G563" s="18">
        <v>238839.67275881255</v>
      </c>
      <c r="H563" s="19">
        <v>0.14729485722074376</v>
      </c>
      <c r="I563" s="19">
        <v>2.9300328165802192E-3</v>
      </c>
      <c r="J563" s="19">
        <v>6.8195125374564736E-2</v>
      </c>
    </row>
    <row r="564" spans="1:10" ht="11.25" customHeight="1" x14ac:dyDescent="0.2">
      <c r="A564" s="28">
        <v>44562</v>
      </c>
      <c r="B564" s="18">
        <v>0</v>
      </c>
      <c r="C564" s="18">
        <v>0</v>
      </c>
      <c r="D564" s="18">
        <v>200441.44944</v>
      </c>
      <c r="E564" s="18">
        <v>229965.4441163837</v>
      </c>
      <c r="F564" s="18">
        <v>242930.24464000002</v>
      </c>
      <c r="G564" s="18">
        <v>243642.03822893504</v>
      </c>
      <c r="H564" s="19">
        <v>0.14729485722074376</v>
      </c>
      <c r="I564" s="19">
        <v>2.9300328165799971E-3</v>
      </c>
      <c r="J564" s="19">
        <v>6.8195125374564736E-2</v>
      </c>
    </row>
    <row r="565" spans="1:10" ht="11.25" customHeight="1" x14ac:dyDescent="0.2">
      <c r="A565" s="28">
        <v>44593</v>
      </c>
      <c r="B565" s="18">
        <v>0</v>
      </c>
      <c r="C565" s="18">
        <v>0</v>
      </c>
      <c r="D565" s="18">
        <v>179437.32369000002</v>
      </c>
      <c r="E565" s="18">
        <v>205867.51866299091</v>
      </c>
      <c r="F565" s="18">
        <v>217473.74639000004</v>
      </c>
      <c r="G565" s="18">
        <v>218110.95160366734</v>
      </c>
      <c r="H565" s="19">
        <v>0.14729485722074354</v>
      </c>
      <c r="I565" s="19">
        <v>2.9300328165799971E-3</v>
      </c>
      <c r="J565" s="19">
        <v>6.8195125374564514E-2</v>
      </c>
    </row>
    <row r="566" spans="1:10" ht="11.25" customHeight="1" x14ac:dyDescent="0.2">
      <c r="A566" s="28">
        <v>44621</v>
      </c>
      <c r="B566" s="18">
        <v>0</v>
      </c>
      <c r="C566" s="18">
        <v>0</v>
      </c>
      <c r="D566" s="18">
        <v>275303.14361999999</v>
      </c>
      <c r="E566" s="18">
        <v>315853.88085192983</v>
      </c>
      <c r="F566" s="18">
        <v>333660.82822000008</v>
      </c>
      <c r="G566" s="18">
        <v>334638.46539629193</v>
      </c>
      <c r="H566" s="19">
        <v>0.14729485722074398</v>
      </c>
      <c r="I566" s="19">
        <v>2.9300328165799971E-3</v>
      </c>
      <c r="J566" s="19">
        <v>6.8195125374564958E-2</v>
      </c>
    </row>
    <row r="567" spans="1:10" ht="11.25" customHeight="1" x14ac:dyDescent="0.2">
      <c r="A567" s="28">
        <v>44652</v>
      </c>
      <c r="B567" s="18">
        <v>0</v>
      </c>
      <c r="C567" s="18">
        <v>0</v>
      </c>
      <c r="D567" s="18">
        <v>227237.56892999998</v>
      </c>
      <c r="E567" s="18">
        <v>260708.49420073323</v>
      </c>
      <c r="F567" s="18">
        <v>275406.50083000003</v>
      </c>
      <c r="G567" s="18">
        <v>276213.45091533143</v>
      </c>
      <c r="H567" s="19">
        <v>0.14729485722074376</v>
      </c>
      <c r="I567" s="19">
        <v>2.9300328165799971E-3</v>
      </c>
      <c r="J567" s="19">
        <v>6.8195125374564736E-2</v>
      </c>
    </row>
    <row r="568" spans="1:10" ht="11.25" customHeight="1" x14ac:dyDescent="0.2">
      <c r="A568" s="28">
        <v>44682</v>
      </c>
      <c r="B568" s="18">
        <v>0</v>
      </c>
      <c r="C568" s="18">
        <v>0</v>
      </c>
      <c r="D568" s="18">
        <v>227237.56892999998</v>
      </c>
      <c r="E568" s="18">
        <v>260708.49420073323</v>
      </c>
      <c r="F568" s="18">
        <v>275406.50083000003</v>
      </c>
      <c r="G568" s="18">
        <v>276213.45091533143</v>
      </c>
      <c r="H568" s="19">
        <v>0.14729485722074376</v>
      </c>
      <c r="I568" s="19">
        <v>2.9300328165799971E-3</v>
      </c>
      <c r="J568" s="19">
        <v>6.8195125374564736E-2</v>
      </c>
    </row>
    <row r="569" spans="1:10" ht="11.25" customHeight="1" x14ac:dyDescent="0.2">
      <c r="A569" s="21" t="s">
        <v>44</v>
      </c>
      <c r="B569" s="18">
        <v>0</v>
      </c>
      <c r="C569" s="18">
        <v>0</v>
      </c>
      <c r="D569" s="18">
        <v>48323446.521027789</v>
      </c>
      <c r="E569" s="18">
        <v>65778727.272950985</v>
      </c>
      <c r="F569" s="18">
        <v>46064454.251529902</v>
      </c>
      <c r="G569" s="18">
        <v>49350003.783692747</v>
      </c>
      <c r="H569" s="19">
        <v>0.36121762847208316</v>
      </c>
      <c r="I569" s="19">
        <v>7.1325050639317267E-2</v>
      </c>
      <c r="J569" s="19">
        <v>0.2197403492854908</v>
      </c>
    </row>
    <row r="570" spans="1:10" ht="11.25" customHeight="1" x14ac:dyDescent="0.2">
      <c r="A570" s="22" t="s">
        <v>33</v>
      </c>
      <c r="B570" s="18">
        <v>0</v>
      </c>
      <c r="C570" s="18">
        <v>0</v>
      </c>
      <c r="D570" s="18">
        <v>1563.87698</v>
      </c>
      <c r="E570" s="18">
        <v>2156.4673378395787</v>
      </c>
      <c r="F570" s="18">
        <v>1697.3837599999999</v>
      </c>
      <c r="G570" s="18">
        <v>1818.458297824518</v>
      </c>
      <c r="H570" s="19">
        <v>0.37892389581665054</v>
      </c>
      <c r="I570" s="19">
        <v>7.1330090859663908E-2</v>
      </c>
      <c r="J570" s="19">
        <v>0.2188309836471698</v>
      </c>
    </row>
    <row r="571" spans="1:10" ht="11.25" customHeight="1" x14ac:dyDescent="0.2">
      <c r="A571" s="23" t="s">
        <v>45</v>
      </c>
      <c r="B571" s="18">
        <v>0</v>
      </c>
      <c r="C571" s="18">
        <v>0</v>
      </c>
      <c r="D571" s="18">
        <v>1563.87698</v>
      </c>
      <c r="E571" s="18">
        <v>2156.4673378395787</v>
      </c>
      <c r="F571" s="18">
        <v>1697.3837599999999</v>
      </c>
      <c r="G571" s="18">
        <v>1818.458297824518</v>
      </c>
      <c r="H571" s="19">
        <v>0.37892389581665054</v>
      </c>
      <c r="I571" s="19">
        <v>7.1330090859663908E-2</v>
      </c>
      <c r="J571" s="19">
        <v>0.2188309836471698</v>
      </c>
    </row>
    <row r="572" spans="1:10" ht="11.25" customHeight="1" x14ac:dyDescent="0.2">
      <c r="A572" s="24" t="s">
        <v>25</v>
      </c>
      <c r="B572" s="18">
        <v>0</v>
      </c>
      <c r="C572" s="18">
        <v>0</v>
      </c>
      <c r="D572" s="18">
        <v>1563.87698</v>
      </c>
      <c r="E572" s="18">
        <v>2156.4673378395787</v>
      </c>
      <c r="F572" s="18">
        <v>1697.3837599999999</v>
      </c>
      <c r="G572" s="18">
        <v>1818.458297824518</v>
      </c>
      <c r="H572" s="19">
        <v>0.37892389581665054</v>
      </c>
      <c r="I572" s="19">
        <v>7.1330090859663908E-2</v>
      </c>
      <c r="J572" s="19">
        <v>0.2188309836471698</v>
      </c>
    </row>
    <row r="573" spans="1:10" ht="11.25" customHeight="1" x14ac:dyDescent="0.2">
      <c r="A573" s="25" t="s">
        <v>25</v>
      </c>
      <c r="B573" s="18">
        <v>0</v>
      </c>
      <c r="C573" s="18">
        <v>0</v>
      </c>
      <c r="D573" s="18">
        <v>1563.87698</v>
      </c>
      <c r="E573" s="18">
        <v>2156.4673378395787</v>
      </c>
      <c r="F573" s="18">
        <v>1697.3837599999999</v>
      </c>
      <c r="G573" s="18">
        <v>1818.458297824518</v>
      </c>
      <c r="H573" s="19">
        <v>0.37892389581665054</v>
      </c>
      <c r="I573" s="19">
        <v>7.1330090859663908E-2</v>
      </c>
      <c r="J573" s="19">
        <v>0.2188309836471698</v>
      </c>
    </row>
    <row r="574" spans="1:10" ht="11.25" customHeight="1" x14ac:dyDescent="0.2">
      <c r="A574" s="26" t="s">
        <v>25</v>
      </c>
      <c r="B574" s="18">
        <v>0</v>
      </c>
      <c r="C574" s="18">
        <v>0</v>
      </c>
      <c r="D574" s="18">
        <v>1563.87698</v>
      </c>
      <c r="E574" s="18">
        <v>2156.4673378395787</v>
      </c>
      <c r="F574" s="18">
        <v>1697.3837599999999</v>
      </c>
      <c r="G574" s="18">
        <v>1818.458297824518</v>
      </c>
      <c r="H574" s="19">
        <v>0.37892389581665054</v>
      </c>
      <c r="I574" s="19">
        <v>7.1330090859663908E-2</v>
      </c>
      <c r="J574" s="19">
        <v>0.2188309836471698</v>
      </c>
    </row>
    <row r="575" spans="1:10" ht="11.25" customHeight="1" x14ac:dyDescent="0.2">
      <c r="A575" s="27" t="s">
        <v>35</v>
      </c>
      <c r="B575" s="18">
        <v>0</v>
      </c>
      <c r="C575" s="18">
        <v>0</v>
      </c>
      <c r="D575" s="18">
        <v>1111.2543000000001</v>
      </c>
      <c r="E575" s="18">
        <v>1568.5796481778368</v>
      </c>
      <c r="F575" s="18">
        <v>1405.2784799999997</v>
      </c>
      <c r="G575" s="18">
        <v>1501.589853961015</v>
      </c>
      <c r="H575" s="19">
        <v>0.41153977822883259</v>
      </c>
      <c r="I575" s="19">
        <v>6.853543645030058E-2</v>
      </c>
      <c r="J575" s="19">
        <v>0.21999980550177933</v>
      </c>
    </row>
    <row r="576" spans="1:10" ht="11.25" customHeight="1" x14ac:dyDescent="0.2">
      <c r="A576" s="28">
        <v>44348</v>
      </c>
      <c r="B576" s="18">
        <v>0</v>
      </c>
      <c r="C576" s="18">
        <v>0</v>
      </c>
      <c r="D576" s="18">
        <v>42.857100000000003</v>
      </c>
      <c r="E576" s="18">
        <v>60.494501429530914</v>
      </c>
      <c r="F576" s="18">
        <v>54.196560000000005</v>
      </c>
      <c r="G576" s="18">
        <v>57.910944893704901</v>
      </c>
      <c r="H576" s="19">
        <v>0.41153977822883281</v>
      </c>
      <c r="I576" s="19">
        <v>6.8535436450300358E-2</v>
      </c>
      <c r="J576" s="19">
        <v>0.21999980550177933</v>
      </c>
    </row>
    <row r="577" spans="1:10" ht="11.25" customHeight="1" x14ac:dyDescent="0.2">
      <c r="A577" s="28">
        <v>44378</v>
      </c>
      <c r="B577" s="18">
        <v>0</v>
      </c>
      <c r="C577" s="18">
        <v>0</v>
      </c>
      <c r="D577" s="18">
        <v>108.44144999999999</v>
      </c>
      <c r="E577" s="18">
        <v>153.06942028381306</v>
      </c>
      <c r="F577" s="18">
        <v>137.13372000000001</v>
      </c>
      <c r="G577" s="18">
        <v>146.5322393522533</v>
      </c>
      <c r="H577" s="19">
        <v>0.41153977822883303</v>
      </c>
      <c r="I577" s="19">
        <v>6.8535436450300358E-2</v>
      </c>
      <c r="J577" s="19">
        <v>0.21999980550177911</v>
      </c>
    </row>
    <row r="578" spans="1:10" ht="11.25" customHeight="1" x14ac:dyDescent="0.2">
      <c r="A578" s="28">
        <v>44409</v>
      </c>
      <c r="B578" s="18">
        <v>0</v>
      </c>
      <c r="C578" s="18">
        <v>0</v>
      </c>
      <c r="D578" s="18">
        <v>54.545400000000001</v>
      </c>
      <c r="E578" s="18">
        <v>76.993001819402977</v>
      </c>
      <c r="F578" s="18">
        <v>68.977440000000001</v>
      </c>
      <c r="G578" s="18">
        <v>73.704838955624425</v>
      </c>
      <c r="H578" s="19">
        <v>0.41153977822883281</v>
      </c>
      <c r="I578" s="19">
        <v>6.853543645030058E-2</v>
      </c>
      <c r="J578" s="19">
        <v>0.21999980550177933</v>
      </c>
    </row>
    <row r="579" spans="1:10" ht="11.25" customHeight="1" x14ac:dyDescent="0.2">
      <c r="A579" s="28">
        <v>44440</v>
      </c>
      <c r="B579" s="18">
        <v>0</v>
      </c>
      <c r="C579" s="18">
        <v>0</v>
      </c>
      <c r="D579" s="18">
        <v>102.81374999999998</v>
      </c>
      <c r="E579" s="18">
        <v>145.12569787387466</v>
      </c>
      <c r="F579" s="18">
        <v>130.017</v>
      </c>
      <c r="G579" s="18">
        <v>138.92777184095871</v>
      </c>
      <c r="H579" s="19">
        <v>0.41153977822883303</v>
      </c>
      <c r="I579" s="19">
        <v>6.853543645030058E-2</v>
      </c>
      <c r="J579" s="19">
        <v>0.21999980550177911</v>
      </c>
    </row>
    <row r="580" spans="1:10" ht="11.25" customHeight="1" x14ac:dyDescent="0.2">
      <c r="A580" s="28">
        <v>44470</v>
      </c>
      <c r="B580" s="18">
        <v>0</v>
      </c>
      <c r="C580" s="18">
        <v>0</v>
      </c>
      <c r="D580" s="18">
        <v>137.66219999999998</v>
      </c>
      <c r="E580" s="18">
        <v>194.31567125849324</v>
      </c>
      <c r="F580" s="18">
        <v>174.08592000000002</v>
      </c>
      <c r="G580" s="18">
        <v>186.01697450705211</v>
      </c>
      <c r="H580" s="19">
        <v>0.41153977822883303</v>
      </c>
      <c r="I580" s="19">
        <v>6.853543645030058E-2</v>
      </c>
      <c r="J580" s="19">
        <v>0.21999980550177933</v>
      </c>
    </row>
    <row r="581" spans="1:10" ht="11.25" customHeight="1" x14ac:dyDescent="0.2">
      <c r="A581" s="28">
        <v>44501</v>
      </c>
      <c r="B581" s="18">
        <v>0</v>
      </c>
      <c r="C581" s="18">
        <v>0</v>
      </c>
      <c r="D581" s="18">
        <v>1042.8561</v>
      </c>
      <c r="E581" s="18">
        <v>1472.0328681185854</v>
      </c>
      <c r="F581" s="18">
        <v>1318.78296</v>
      </c>
      <c r="G581" s="18">
        <v>1409.1663257468192</v>
      </c>
      <c r="H581" s="19">
        <v>0.41153977822883281</v>
      </c>
      <c r="I581" s="19">
        <v>6.853543645030058E-2</v>
      </c>
      <c r="J581" s="19">
        <v>0.21999980550177911</v>
      </c>
    </row>
    <row r="582" spans="1:10" ht="11.25" customHeight="1" x14ac:dyDescent="0.2">
      <c r="A582" s="28">
        <v>44531</v>
      </c>
      <c r="B582" s="18">
        <v>0</v>
      </c>
      <c r="C582" s="18">
        <v>0</v>
      </c>
      <c r="D582" s="18">
        <v>455.41079999999999</v>
      </c>
      <c r="E582" s="18">
        <v>642.83045963501536</v>
      </c>
      <c r="F582" s="18">
        <v>575.90688000000011</v>
      </c>
      <c r="G582" s="18">
        <v>615.37690937553089</v>
      </c>
      <c r="H582" s="19">
        <v>0.41153977822883281</v>
      </c>
      <c r="I582" s="19">
        <v>6.8535436450300358E-2</v>
      </c>
      <c r="J582" s="19">
        <v>0.21999980550177911</v>
      </c>
    </row>
    <row r="583" spans="1:10" ht="11.25" customHeight="1" x14ac:dyDescent="0.2">
      <c r="A583" s="28">
        <v>44562</v>
      </c>
      <c r="B583" s="18">
        <v>0</v>
      </c>
      <c r="C583" s="18">
        <v>0</v>
      </c>
      <c r="D583" s="18">
        <v>-1176.1893</v>
      </c>
      <c r="E583" s="18">
        <v>-1660.2379836771263</v>
      </c>
      <c r="F583" s="18">
        <v>-1487.3944800000004</v>
      </c>
      <c r="G583" s="18">
        <v>-1589.333709860568</v>
      </c>
      <c r="H583" s="19">
        <v>0.41153977822883303</v>
      </c>
      <c r="I583" s="19">
        <v>6.8535436450300358E-2</v>
      </c>
      <c r="J583" s="19">
        <v>0.21999980550177911</v>
      </c>
    </row>
    <row r="584" spans="1:10" ht="11.25" customHeight="1" x14ac:dyDescent="0.2">
      <c r="A584" s="28">
        <v>44593</v>
      </c>
      <c r="B584" s="18">
        <v>0</v>
      </c>
      <c r="C584" s="18">
        <v>0</v>
      </c>
      <c r="D584" s="18">
        <v>58.008600000000001</v>
      </c>
      <c r="E584" s="18">
        <v>81.881446379365073</v>
      </c>
      <c r="F584" s="18">
        <v>73.356960000000015</v>
      </c>
      <c r="G584" s="18">
        <v>78.38451127026724</v>
      </c>
      <c r="H584" s="19">
        <v>0.41153977822883281</v>
      </c>
      <c r="I584" s="19">
        <v>6.8535436450300358E-2</v>
      </c>
      <c r="J584" s="19">
        <v>0.21999980550177889</v>
      </c>
    </row>
    <row r="585" spans="1:10" ht="11.25" customHeight="1" x14ac:dyDescent="0.2">
      <c r="A585" s="28">
        <v>44621</v>
      </c>
      <c r="B585" s="18">
        <v>0</v>
      </c>
      <c r="C585" s="18">
        <v>0</v>
      </c>
      <c r="D585" s="18">
        <v>92.207699999999988</v>
      </c>
      <c r="E585" s="18">
        <v>130.15483640899075</v>
      </c>
      <c r="F585" s="18">
        <v>116.60472000000001</v>
      </c>
      <c r="G585" s="18">
        <v>124.59627537736509</v>
      </c>
      <c r="H585" s="19">
        <v>0.41153977822883303</v>
      </c>
      <c r="I585" s="19">
        <v>6.8535436450300358E-2</v>
      </c>
      <c r="J585" s="19">
        <v>0.21999980550177911</v>
      </c>
    </row>
    <row r="586" spans="1:10" ht="11.25" customHeight="1" x14ac:dyDescent="0.2">
      <c r="A586" s="28">
        <v>44652</v>
      </c>
      <c r="B586" s="18">
        <v>0</v>
      </c>
      <c r="C586" s="18">
        <v>0</v>
      </c>
      <c r="D586" s="18">
        <v>96.320250000000001</v>
      </c>
      <c r="E586" s="18">
        <v>135.95986432394574</v>
      </c>
      <c r="F586" s="18">
        <v>121.80540000000002</v>
      </c>
      <c r="G586" s="18">
        <v>130.15338625100344</v>
      </c>
      <c r="H586" s="19">
        <v>0.41153977822883281</v>
      </c>
      <c r="I586" s="19">
        <v>6.8535436450300358E-2</v>
      </c>
      <c r="J586" s="19">
        <v>0.21999980550177911</v>
      </c>
    </row>
    <row r="587" spans="1:10" ht="11.25" customHeight="1" x14ac:dyDescent="0.2">
      <c r="A587" s="28">
        <v>44682</v>
      </c>
      <c r="B587" s="18">
        <v>0</v>
      </c>
      <c r="C587" s="18">
        <v>0</v>
      </c>
      <c r="D587" s="18">
        <v>96.320250000000001</v>
      </c>
      <c r="E587" s="18">
        <v>135.95986432394574</v>
      </c>
      <c r="F587" s="18">
        <v>121.80540000000002</v>
      </c>
      <c r="G587" s="18">
        <v>130.15338625100344</v>
      </c>
      <c r="H587" s="19">
        <v>0.41153977822883281</v>
      </c>
      <c r="I587" s="19">
        <v>6.8535436450300358E-2</v>
      </c>
      <c r="J587" s="19">
        <v>0.21999980550177911</v>
      </c>
    </row>
    <row r="588" spans="1:10" ht="11.25" customHeight="1" x14ac:dyDescent="0.2">
      <c r="A588" s="27" t="s">
        <v>36</v>
      </c>
      <c r="B588" s="18">
        <v>0</v>
      </c>
      <c r="C588" s="18">
        <v>0</v>
      </c>
      <c r="D588" s="18">
        <v>121.88988000000002</v>
      </c>
      <c r="E588" s="18">
        <v>160.94836943625083</v>
      </c>
      <c r="F588" s="18">
        <v>75.546720000000008</v>
      </c>
      <c r="G588" s="18">
        <v>80.724347427588668</v>
      </c>
      <c r="H588" s="19">
        <v>0.32044078996755765</v>
      </c>
      <c r="I588" s="19">
        <v>6.853543645030058E-2</v>
      </c>
      <c r="J588" s="19">
        <v>0.22405226216334473</v>
      </c>
    </row>
    <row r="589" spans="1:10" ht="11.25" customHeight="1" x14ac:dyDescent="0.2">
      <c r="A589" s="28">
        <v>44348</v>
      </c>
      <c r="B589" s="18">
        <v>0</v>
      </c>
      <c r="C589" s="18">
        <v>0</v>
      </c>
      <c r="D589" s="18">
        <v>1.3248900000000001</v>
      </c>
      <c r="E589" s="18">
        <v>1.7494387982201176</v>
      </c>
      <c r="F589" s="18">
        <v>0.82116000000000011</v>
      </c>
      <c r="G589" s="18">
        <v>0.87743855899552881</v>
      </c>
      <c r="H589" s="19">
        <v>0.32044078996755765</v>
      </c>
      <c r="I589" s="19">
        <v>6.8535436450300358E-2</v>
      </c>
      <c r="J589" s="19">
        <v>0.22405226216334473</v>
      </c>
    </row>
    <row r="590" spans="1:10" ht="11.25" customHeight="1" x14ac:dyDescent="0.2">
      <c r="A590" s="28">
        <v>44378</v>
      </c>
      <c r="B590" s="18">
        <v>0</v>
      </c>
      <c r="C590" s="18">
        <v>0</v>
      </c>
      <c r="D590" s="18">
        <v>14.132160000000001</v>
      </c>
      <c r="E590" s="18">
        <v>18.660680514347924</v>
      </c>
      <c r="F590" s="18">
        <v>8.7590400000000006</v>
      </c>
      <c r="G590" s="18">
        <v>9.3593446292856406</v>
      </c>
      <c r="H590" s="19">
        <v>0.32044078996755787</v>
      </c>
      <c r="I590" s="19">
        <v>6.853543645030058E-2</v>
      </c>
      <c r="J590" s="19">
        <v>0.22405226216334495</v>
      </c>
    </row>
    <row r="591" spans="1:10" ht="11.25" customHeight="1" x14ac:dyDescent="0.2">
      <c r="A591" s="28">
        <v>44409</v>
      </c>
      <c r="B591" s="18">
        <v>0</v>
      </c>
      <c r="C591" s="18">
        <v>0</v>
      </c>
      <c r="D591" s="18">
        <v>3.0914100000000002</v>
      </c>
      <c r="E591" s="18">
        <v>4.0820238625136076</v>
      </c>
      <c r="F591" s="18">
        <v>1.9160400000000002</v>
      </c>
      <c r="G591" s="18">
        <v>2.0473566376562338</v>
      </c>
      <c r="H591" s="19">
        <v>0.32044078996755765</v>
      </c>
      <c r="I591" s="19">
        <v>6.8535436450300358E-2</v>
      </c>
      <c r="J591" s="19">
        <v>0.22405226216334473</v>
      </c>
    </row>
    <row r="592" spans="1:10" ht="11.25" customHeight="1" x14ac:dyDescent="0.2">
      <c r="A592" s="28">
        <v>44440</v>
      </c>
      <c r="B592" s="18">
        <v>0</v>
      </c>
      <c r="C592" s="18">
        <v>0</v>
      </c>
      <c r="D592" s="18">
        <v>12.807270000000001</v>
      </c>
      <c r="E592" s="18">
        <v>16.911241716127805</v>
      </c>
      <c r="F592" s="18">
        <v>7.9378800000000016</v>
      </c>
      <c r="G592" s="18">
        <v>8.4819060702901119</v>
      </c>
      <c r="H592" s="19">
        <v>0.32044078996755787</v>
      </c>
      <c r="I592" s="19">
        <v>6.8535436450300358E-2</v>
      </c>
      <c r="J592" s="19">
        <v>0.22405226216334495</v>
      </c>
    </row>
    <row r="593" spans="1:10" ht="11.25" customHeight="1" x14ac:dyDescent="0.2">
      <c r="A593" s="28">
        <v>44470</v>
      </c>
      <c r="B593" s="18">
        <v>0</v>
      </c>
      <c r="C593" s="18">
        <v>0</v>
      </c>
      <c r="D593" s="18">
        <v>15.457050000000001</v>
      </c>
      <c r="E593" s="18">
        <v>20.410119312568042</v>
      </c>
      <c r="F593" s="18">
        <v>9.5802000000000014</v>
      </c>
      <c r="G593" s="18">
        <v>10.236783188281171</v>
      </c>
      <c r="H593" s="19">
        <v>0.32044078996755787</v>
      </c>
      <c r="I593" s="19">
        <v>6.853543645030058E-2</v>
      </c>
      <c r="J593" s="19">
        <v>0.22405226216334517</v>
      </c>
    </row>
    <row r="594" spans="1:10" ht="11.25" customHeight="1" x14ac:dyDescent="0.2">
      <c r="A594" s="28">
        <v>44501</v>
      </c>
      <c r="B594" s="18">
        <v>0</v>
      </c>
      <c r="C594" s="18">
        <v>0</v>
      </c>
      <c r="D594" s="18">
        <v>3.0914100000000002</v>
      </c>
      <c r="E594" s="18">
        <v>4.0820238625136076</v>
      </c>
      <c r="F594" s="18">
        <v>1.9160400000000002</v>
      </c>
      <c r="G594" s="18">
        <v>2.0473566376562338</v>
      </c>
      <c r="H594" s="19">
        <v>0.32044078996755765</v>
      </c>
      <c r="I594" s="19">
        <v>6.8535436450300358E-2</v>
      </c>
      <c r="J594" s="19">
        <v>0.22405226216334473</v>
      </c>
    </row>
    <row r="595" spans="1:10" ht="11.25" customHeight="1" x14ac:dyDescent="0.2">
      <c r="A595" s="28">
        <v>44531</v>
      </c>
      <c r="B595" s="18">
        <v>0</v>
      </c>
      <c r="C595" s="18">
        <v>0</v>
      </c>
      <c r="D595" s="18">
        <v>4.4162999999999997</v>
      </c>
      <c r="E595" s="18">
        <v>5.8314626607337257</v>
      </c>
      <c r="F595" s="18">
        <v>2.7372000000000005</v>
      </c>
      <c r="G595" s="18">
        <v>2.9247951966517629</v>
      </c>
      <c r="H595" s="19">
        <v>0.32044078996755787</v>
      </c>
      <c r="I595" s="19">
        <v>6.8535436450300358E-2</v>
      </c>
      <c r="J595" s="19">
        <v>0.22405226216334495</v>
      </c>
    </row>
    <row r="596" spans="1:10" ht="11.25" customHeight="1" x14ac:dyDescent="0.2">
      <c r="A596" s="28">
        <v>44562</v>
      </c>
      <c r="B596" s="18">
        <v>0</v>
      </c>
      <c r="C596" s="18">
        <v>0</v>
      </c>
      <c r="D596" s="18">
        <v>29.147579999999998</v>
      </c>
      <c r="E596" s="18">
        <v>38.487653560842588</v>
      </c>
      <c r="F596" s="18">
        <v>18.065520000000003</v>
      </c>
      <c r="G596" s="18">
        <v>19.303648297901635</v>
      </c>
      <c r="H596" s="19">
        <v>0.32044078996755787</v>
      </c>
      <c r="I596" s="19">
        <v>6.8535436450300358E-2</v>
      </c>
      <c r="J596" s="19">
        <v>0.22405226216334495</v>
      </c>
    </row>
    <row r="597" spans="1:10" ht="11.25" customHeight="1" x14ac:dyDescent="0.2">
      <c r="A597" s="28">
        <v>44593</v>
      </c>
      <c r="B597" s="18">
        <v>0</v>
      </c>
      <c r="C597" s="18">
        <v>0</v>
      </c>
      <c r="D597" s="18">
        <v>6.1828200000000004</v>
      </c>
      <c r="E597" s="18">
        <v>8.1640477250272152</v>
      </c>
      <c r="F597" s="18">
        <v>3.8320800000000004</v>
      </c>
      <c r="G597" s="18">
        <v>4.0947132753124675</v>
      </c>
      <c r="H597" s="19">
        <v>0.32044078996755765</v>
      </c>
      <c r="I597" s="19">
        <v>6.8535436450300358E-2</v>
      </c>
      <c r="J597" s="19">
        <v>0.22405226216334473</v>
      </c>
    </row>
    <row r="598" spans="1:10" ht="11.25" customHeight="1" x14ac:dyDescent="0.2">
      <c r="A598" s="28">
        <v>44621</v>
      </c>
      <c r="B598" s="18">
        <v>0</v>
      </c>
      <c r="C598" s="18">
        <v>0</v>
      </c>
      <c r="D598" s="18">
        <v>10.157489999999999</v>
      </c>
      <c r="E598" s="18">
        <v>13.412364119687568</v>
      </c>
      <c r="F598" s="18">
        <v>6.2955600000000009</v>
      </c>
      <c r="G598" s="18">
        <v>6.7270289522990545</v>
      </c>
      <c r="H598" s="19">
        <v>0.32044078996755787</v>
      </c>
      <c r="I598" s="19">
        <v>6.8535436450300358E-2</v>
      </c>
      <c r="J598" s="19">
        <v>0.22405226216334495</v>
      </c>
    </row>
    <row r="599" spans="1:10" ht="11.25" customHeight="1" x14ac:dyDescent="0.2">
      <c r="A599" s="28">
        <v>44652</v>
      </c>
      <c r="B599" s="18">
        <v>0</v>
      </c>
      <c r="C599" s="18">
        <v>0</v>
      </c>
      <c r="D599" s="18">
        <v>11.040750000000001</v>
      </c>
      <c r="E599" s="18">
        <v>14.578656651834315</v>
      </c>
      <c r="F599" s="18">
        <v>6.8430000000000009</v>
      </c>
      <c r="G599" s="18">
        <v>7.3119879916294073</v>
      </c>
      <c r="H599" s="19">
        <v>0.32044078996755787</v>
      </c>
      <c r="I599" s="19">
        <v>6.853543645030058E-2</v>
      </c>
      <c r="J599" s="19">
        <v>0.22405226216334495</v>
      </c>
    </row>
    <row r="600" spans="1:10" ht="11.25" customHeight="1" x14ac:dyDescent="0.2">
      <c r="A600" s="28">
        <v>44682</v>
      </c>
      <c r="B600" s="18">
        <v>0</v>
      </c>
      <c r="C600" s="18">
        <v>0</v>
      </c>
      <c r="D600" s="18">
        <v>11.040750000000001</v>
      </c>
      <c r="E600" s="18">
        <v>14.578656651834315</v>
      </c>
      <c r="F600" s="18">
        <v>6.8430000000000009</v>
      </c>
      <c r="G600" s="18">
        <v>7.3119879916294073</v>
      </c>
      <c r="H600" s="19">
        <v>0.32044078996755787</v>
      </c>
      <c r="I600" s="19">
        <v>6.853543645030058E-2</v>
      </c>
      <c r="J600" s="19">
        <v>0.22405226216334495</v>
      </c>
    </row>
    <row r="601" spans="1:10" ht="11.25" customHeight="1" x14ac:dyDescent="0.2">
      <c r="A601" s="27" t="s">
        <v>34</v>
      </c>
      <c r="B601" s="18">
        <v>0</v>
      </c>
      <c r="C601" s="18">
        <v>0</v>
      </c>
      <c r="D601" s="18">
        <v>330.73279999999994</v>
      </c>
      <c r="E601" s="18">
        <v>426.93932022549131</v>
      </c>
      <c r="F601" s="18">
        <v>216.55855999999997</v>
      </c>
      <c r="G601" s="18">
        <v>236.14409643591404</v>
      </c>
      <c r="H601" s="19">
        <v>0.29088895998670639</v>
      </c>
      <c r="I601" s="19">
        <v>9.0439908890759257E-2</v>
      </c>
      <c r="J601" s="19">
        <v>0.21157296665784298</v>
      </c>
    </row>
    <row r="602" spans="1:10" ht="11.25" customHeight="1" x14ac:dyDescent="0.2">
      <c r="A602" s="28">
        <v>44378</v>
      </c>
      <c r="B602" s="18">
        <v>0</v>
      </c>
      <c r="C602" s="18">
        <v>0</v>
      </c>
      <c r="D602" s="18">
        <v>40.007999999999996</v>
      </c>
      <c r="E602" s="18">
        <v>51.645885511148144</v>
      </c>
      <c r="F602" s="18">
        <v>26.1966</v>
      </c>
      <c r="G602" s="18">
        <v>28.565818117247666</v>
      </c>
      <c r="H602" s="19">
        <v>0.29088895998670639</v>
      </c>
      <c r="I602" s="19">
        <v>9.0439908890759257E-2</v>
      </c>
      <c r="J602" s="19">
        <v>0.21157296665784275</v>
      </c>
    </row>
    <row r="603" spans="1:10" ht="11.25" customHeight="1" x14ac:dyDescent="0.2">
      <c r="A603" s="28">
        <v>44409</v>
      </c>
      <c r="B603" s="18">
        <v>0</v>
      </c>
      <c r="C603" s="18">
        <v>0</v>
      </c>
      <c r="D603" s="18">
        <v>10.001999999999999</v>
      </c>
      <c r="E603" s="18">
        <v>12.911471377787036</v>
      </c>
      <c r="F603" s="18">
        <v>6.54915</v>
      </c>
      <c r="G603" s="18">
        <v>7.1414545293119165</v>
      </c>
      <c r="H603" s="19">
        <v>0.29088895998670639</v>
      </c>
      <c r="I603" s="19">
        <v>9.0439908890759257E-2</v>
      </c>
      <c r="J603" s="19">
        <v>0.21157296665784275</v>
      </c>
    </row>
    <row r="604" spans="1:10" ht="11.25" customHeight="1" x14ac:dyDescent="0.2">
      <c r="A604" s="28">
        <v>44440</v>
      </c>
      <c r="B604" s="18">
        <v>0</v>
      </c>
      <c r="C604" s="18">
        <v>0</v>
      </c>
      <c r="D604" s="18">
        <v>36.007199999999997</v>
      </c>
      <c r="E604" s="18">
        <v>46.481296960033326</v>
      </c>
      <c r="F604" s="18">
        <v>23.57694</v>
      </c>
      <c r="G604" s="18">
        <v>25.7092363055229</v>
      </c>
      <c r="H604" s="19">
        <v>0.29088895998670616</v>
      </c>
      <c r="I604" s="19">
        <v>9.0439908890759257E-2</v>
      </c>
      <c r="J604" s="19">
        <v>0.21157296665784275</v>
      </c>
    </row>
    <row r="605" spans="1:10" ht="11.25" customHeight="1" x14ac:dyDescent="0.2">
      <c r="A605" s="28">
        <v>44470</v>
      </c>
      <c r="B605" s="18">
        <v>0</v>
      </c>
      <c r="C605" s="18">
        <v>0</v>
      </c>
      <c r="D605" s="18">
        <v>38.674399999999999</v>
      </c>
      <c r="E605" s="18">
        <v>49.924355994109874</v>
      </c>
      <c r="F605" s="18">
        <v>25.323380000000004</v>
      </c>
      <c r="G605" s="18">
        <v>27.613624180006077</v>
      </c>
      <c r="H605" s="19">
        <v>0.29088895998670639</v>
      </c>
      <c r="I605" s="19">
        <v>9.0439908890759257E-2</v>
      </c>
      <c r="J605" s="19">
        <v>0.21157296665784253</v>
      </c>
    </row>
    <row r="606" spans="1:10" ht="11.25" customHeight="1" x14ac:dyDescent="0.2">
      <c r="A606" s="28">
        <v>44501</v>
      </c>
      <c r="B606" s="18">
        <v>0</v>
      </c>
      <c r="C606" s="18">
        <v>0</v>
      </c>
      <c r="D606" s="18">
        <v>428.75239999999997</v>
      </c>
      <c r="E606" s="18">
        <v>553.47173972780433</v>
      </c>
      <c r="F606" s="18">
        <v>280.74023</v>
      </c>
      <c r="G606" s="18">
        <v>306.13035082317083</v>
      </c>
      <c r="H606" s="19">
        <v>0.29088895998670639</v>
      </c>
      <c r="I606" s="19">
        <v>9.0439908890759479E-2</v>
      </c>
      <c r="J606" s="19">
        <v>0.21157296665784275</v>
      </c>
    </row>
    <row r="607" spans="1:10" ht="11.25" customHeight="1" x14ac:dyDescent="0.2">
      <c r="A607" s="28">
        <v>44531</v>
      </c>
      <c r="B607" s="18">
        <v>0</v>
      </c>
      <c r="C607" s="18">
        <v>0</v>
      </c>
      <c r="D607" s="18">
        <v>50.01</v>
      </c>
      <c r="E607" s="18">
        <v>64.557356888935175</v>
      </c>
      <c r="F607" s="18">
        <v>32.745750000000001</v>
      </c>
      <c r="G607" s="18">
        <v>35.707272646559581</v>
      </c>
      <c r="H607" s="19">
        <v>0.29088895998670616</v>
      </c>
      <c r="I607" s="19">
        <v>9.0439908890759257E-2</v>
      </c>
      <c r="J607" s="19">
        <v>0.21157296665784231</v>
      </c>
    </row>
    <row r="608" spans="1:10" ht="11.25" customHeight="1" x14ac:dyDescent="0.2">
      <c r="A608" s="28">
        <v>44562</v>
      </c>
      <c r="B608" s="18">
        <v>0</v>
      </c>
      <c r="C608" s="18">
        <v>0</v>
      </c>
      <c r="D608" s="18">
        <v>-379.4092</v>
      </c>
      <c r="E608" s="18">
        <v>-489.77514759738824</v>
      </c>
      <c r="F608" s="18">
        <v>-248.43109000000001</v>
      </c>
      <c r="G608" s="18">
        <v>-270.89917514523205</v>
      </c>
      <c r="H608" s="19">
        <v>0.29088895998670639</v>
      </c>
      <c r="I608" s="19">
        <v>9.0439908890759257E-2</v>
      </c>
      <c r="J608" s="19">
        <v>0.21157296665784275</v>
      </c>
    </row>
    <row r="609" spans="1:10" ht="11.25" customHeight="1" x14ac:dyDescent="0.2">
      <c r="A609" s="28">
        <v>44593</v>
      </c>
      <c r="B609" s="18">
        <v>0</v>
      </c>
      <c r="C609" s="18">
        <v>0</v>
      </c>
      <c r="D609" s="18">
        <v>20.6708</v>
      </c>
      <c r="E609" s="18">
        <v>26.683707514093207</v>
      </c>
      <c r="F609" s="18">
        <v>13.53491</v>
      </c>
      <c r="G609" s="18">
        <v>14.759006027244627</v>
      </c>
      <c r="H609" s="19">
        <v>0.29088895998670616</v>
      </c>
      <c r="I609" s="19">
        <v>9.0439908890759257E-2</v>
      </c>
      <c r="J609" s="19">
        <v>0.21157296665784298</v>
      </c>
    </row>
    <row r="610" spans="1:10" ht="11.25" customHeight="1" x14ac:dyDescent="0.2">
      <c r="A610" s="28">
        <v>44621</v>
      </c>
      <c r="B610" s="18">
        <v>0</v>
      </c>
      <c r="C610" s="18">
        <v>0</v>
      </c>
      <c r="D610" s="18">
        <v>27.338799999999999</v>
      </c>
      <c r="E610" s="18">
        <v>35.291355099284566</v>
      </c>
      <c r="F610" s="18">
        <v>17.901010000000003</v>
      </c>
      <c r="G610" s="18">
        <v>19.519975713452574</v>
      </c>
      <c r="H610" s="19">
        <v>0.29088895998670639</v>
      </c>
      <c r="I610" s="19">
        <v>9.0439908890759257E-2</v>
      </c>
      <c r="J610" s="19">
        <v>0.21157296665784253</v>
      </c>
    </row>
    <row r="611" spans="1:10" ht="11.25" customHeight="1" x14ac:dyDescent="0.2">
      <c r="A611" s="28">
        <v>44652</v>
      </c>
      <c r="B611" s="18">
        <v>0</v>
      </c>
      <c r="C611" s="18">
        <v>0</v>
      </c>
      <c r="D611" s="18">
        <v>29.339199999999995</v>
      </c>
      <c r="E611" s="18">
        <v>37.873649374841968</v>
      </c>
      <c r="F611" s="18">
        <v>19.210840000000001</v>
      </c>
      <c r="G611" s="18">
        <v>20.948266619314953</v>
      </c>
      <c r="H611" s="19">
        <v>0.29088895998670639</v>
      </c>
      <c r="I611" s="19">
        <v>9.0439908890759257E-2</v>
      </c>
      <c r="J611" s="19">
        <v>0.21157296665784275</v>
      </c>
    </row>
    <row r="612" spans="1:10" ht="11.25" customHeight="1" x14ac:dyDescent="0.2">
      <c r="A612" s="28">
        <v>44682</v>
      </c>
      <c r="B612" s="18">
        <v>0</v>
      </c>
      <c r="C612" s="18">
        <v>0</v>
      </c>
      <c r="D612" s="18">
        <v>29.339199999999995</v>
      </c>
      <c r="E612" s="18">
        <v>37.873649374841968</v>
      </c>
      <c r="F612" s="18">
        <v>19.210840000000001</v>
      </c>
      <c r="G612" s="18">
        <v>20.948266619314953</v>
      </c>
      <c r="H612" s="19">
        <v>0.29088895998670639</v>
      </c>
      <c r="I612" s="19">
        <v>9.0439908890759257E-2</v>
      </c>
      <c r="J612" s="19">
        <v>0.21157296665784275</v>
      </c>
    </row>
    <row r="613" spans="1:10" ht="11.25" customHeight="1" x14ac:dyDescent="0.2">
      <c r="A613" s="22" t="s">
        <v>23</v>
      </c>
      <c r="B613" s="18">
        <v>0</v>
      </c>
      <c r="C613" s="18">
        <v>0</v>
      </c>
      <c r="D613" s="18">
        <v>48321882.644047789</v>
      </c>
      <c r="E613" s="18">
        <v>65776570.805613138</v>
      </c>
      <c r="F613" s="18">
        <v>46062756.867769897</v>
      </c>
      <c r="G613" s="18">
        <v>49348185.325394921</v>
      </c>
      <c r="H613" s="19">
        <v>0.36121705543100169</v>
      </c>
      <c r="I613" s="19">
        <v>7.1325050453588279E-2</v>
      </c>
      <c r="J613" s="19">
        <v>0.21974038070668911</v>
      </c>
    </row>
    <row r="614" spans="1:10" ht="11.25" customHeight="1" x14ac:dyDescent="0.2">
      <c r="A614" s="23" t="s">
        <v>45</v>
      </c>
      <c r="B614" s="18">
        <v>0</v>
      </c>
      <c r="C614" s="18">
        <v>0</v>
      </c>
      <c r="D614" s="18">
        <v>48321882.644047789</v>
      </c>
      <c r="E614" s="18">
        <v>65776570.805613138</v>
      </c>
      <c r="F614" s="18">
        <v>46062756.867769897</v>
      </c>
      <c r="G614" s="18">
        <v>49348185.325394921</v>
      </c>
      <c r="H614" s="19">
        <v>0.36121705543100169</v>
      </c>
      <c r="I614" s="19">
        <v>7.1325050453588279E-2</v>
      </c>
      <c r="J614" s="19">
        <v>0.21974038070668911</v>
      </c>
    </row>
    <row r="615" spans="1:10" ht="11.25" customHeight="1" x14ac:dyDescent="0.2">
      <c r="A615" s="24" t="s">
        <v>54</v>
      </c>
      <c r="B615" s="18">
        <v>0</v>
      </c>
      <c r="C615" s="18">
        <v>0</v>
      </c>
      <c r="D615" s="18">
        <v>212247.84448500004</v>
      </c>
      <c r="E615" s="18">
        <v>288915.38589144882</v>
      </c>
      <c r="F615" s="18">
        <v>202324.91619250004</v>
      </c>
      <c r="G615" s="18">
        <v>216755.75104794797</v>
      </c>
      <c r="H615" s="19">
        <v>0.36121705543100013</v>
      </c>
      <c r="I615" s="19">
        <v>7.1325050453587613E-2</v>
      </c>
      <c r="J615" s="19">
        <v>0.219740380706688</v>
      </c>
    </row>
    <row r="616" spans="1:10" ht="11.25" customHeight="1" x14ac:dyDescent="0.2">
      <c r="A616" s="25" t="s">
        <v>55</v>
      </c>
      <c r="B616" s="18">
        <v>0</v>
      </c>
      <c r="C616" s="18">
        <v>0</v>
      </c>
      <c r="D616" s="18">
        <v>140677.25226000001</v>
      </c>
      <c r="E616" s="18">
        <v>191492.27508748139</v>
      </c>
      <c r="F616" s="18">
        <v>134100.36433000001</v>
      </c>
      <c r="G616" s="18">
        <v>143665.07958168176</v>
      </c>
      <c r="H616" s="19">
        <v>0.36121705543100102</v>
      </c>
      <c r="I616" s="19">
        <v>7.1325050453587391E-2</v>
      </c>
      <c r="J616" s="19">
        <v>0.21974038070668822</v>
      </c>
    </row>
    <row r="617" spans="1:10" ht="11.25" customHeight="1" x14ac:dyDescent="0.2">
      <c r="A617" s="26" t="s">
        <v>25</v>
      </c>
      <c r="B617" s="18">
        <v>0</v>
      </c>
      <c r="C617" s="18">
        <v>0</v>
      </c>
      <c r="D617" s="18">
        <v>140677.25226000001</v>
      </c>
      <c r="E617" s="18">
        <v>191492.27508748139</v>
      </c>
      <c r="F617" s="18">
        <v>134100.36433000001</v>
      </c>
      <c r="G617" s="18">
        <v>143665.07958168176</v>
      </c>
      <c r="H617" s="19">
        <v>0.36121705543100102</v>
      </c>
      <c r="I617" s="19">
        <v>7.1325050453587391E-2</v>
      </c>
      <c r="J617" s="19">
        <v>0.21974038070668822</v>
      </c>
    </row>
    <row r="618" spans="1:10" ht="11.25" customHeight="1" x14ac:dyDescent="0.2">
      <c r="A618" s="27" t="s">
        <v>25</v>
      </c>
      <c r="B618" s="18">
        <v>0</v>
      </c>
      <c r="C618" s="18">
        <v>0</v>
      </c>
      <c r="D618" s="18">
        <v>140677.25226000001</v>
      </c>
      <c r="E618" s="18">
        <v>191492.27508748139</v>
      </c>
      <c r="F618" s="18">
        <v>134100.36433000001</v>
      </c>
      <c r="G618" s="18">
        <v>143665.07958168176</v>
      </c>
      <c r="H618" s="19">
        <v>0.36121705543100102</v>
      </c>
      <c r="I618" s="19">
        <v>7.1325050453587391E-2</v>
      </c>
      <c r="J618" s="19">
        <v>0.21974038070668822</v>
      </c>
    </row>
    <row r="619" spans="1:10" ht="11.25" customHeight="1" x14ac:dyDescent="0.2">
      <c r="A619" s="28">
        <v>44348</v>
      </c>
      <c r="B619" s="18">
        <v>0</v>
      </c>
      <c r="C619" s="18">
        <v>0</v>
      </c>
      <c r="D619" s="18">
        <v>18166.583640000001</v>
      </c>
      <c r="E619" s="18">
        <v>24728.6634896818</v>
      </c>
      <c r="F619" s="18">
        <v>17317.266620000002</v>
      </c>
      <c r="G619" s="18">
        <v>18552.421535389731</v>
      </c>
      <c r="H619" s="19">
        <v>0.36121705543100124</v>
      </c>
      <c r="I619" s="19">
        <v>7.1325050453587613E-2</v>
      </c>
      <c r="J619" s="19">
        <v>0.21974038070668844</v>
      </c>
    </row>
    <row r="620" spans="1:10" ht="11.25" customHeight="1" x14ac:dyDescent="0.2">
      <c r="A620" s="28">
        <v>44378</v>
      </c>
      <c r="B620" s="18">
        <v>0</v>
      </c>
      <c r="C620" s="18">
        <v>0</v>
      </c>
      <c r="D620" s="18">
        <v>-16091.280959999993</v>
      </c>
      <c r="E620" s="18">
        <v>-21903.72608648413</v>
      </c>
      <c r="F620" s="18">
        <v>-15338.987680000002</v>
      </c>
      <c r="G620" s="18">
        <v>-16433.041750182958</v>
      </c>
      <c r="H620" s="19">
        <v>0.36121705543100147</v>
      </c>
      <c r="I620" s="19">
        <v>7.1325050453587391E-2</v>
      </c>
      <c r="J620" s="19">
        <v>0.21974038070668866</v>
      </c>
    </row>
    <row r="621" spans="1:10" ht="11.25" customHeight="1" x14ac:dyDescent="0.2">
      <c r="A621" s="28">
        <v>44409</v>
      </c>
      <c r="B621" s="18">
        <v>0</v>
      </c>
      <c r="C621" s="18">
        <v>0</v>
      </c>
      <c r="D621" s="18">
        <v>14863.157460000002</v>
      </c>
      <c r="E621" s="18">
        <v>20231.983432108522</v>
      </c>
      <c r="F621" s="18">
        <v>14168.280930000004</v>
      </c>
      <c r="G621" s="18">
        <v>15178.834282172857</v>
      </c>
      <c r="H621" s="19">
        <v>0.36121705543100124</v>
      </c>
      <c r="I621" s="19">
        <v>7.1325050453587613E-2</v>
      </c>
      <c r="J621" s="19">
        <v>0.21974038070668844</v>
      </c>
    </row>
    <row r="622" spans="1:10" ht="11.25" customHeight="1" x14ac:dyDescent="0.2">
      <c r="A622" s="28">
        <v>44440</v>
      </c>
      <c r="B622" s="18">
        <v>0</v>
      </c>
      <c r="C622" s="18">
        <v>0</v>
      </c>
      <c r="D622" s="18">
        <v>23185.464779999998</v>
      </c>
      <c r="E622" s="18">
        <v>31560.450096630782</v>
      </c>
      <c r="F622" s="18">
        <v>22101.506990000002</v>
      </c>
      <c r="G622" s="18">
        <v>23677.898091162071</v>
      </c>
      <c r="H622" s="19">
        <v>0.36121705543100124</v>
      </c>
      <c r="I622" s="19">
        <v>7.1325050453587613E-2</v>
      </c>
      <c r="J622" s="19">
        <v>0.21974038070668844</v>
      </c>
    </row>
    <row r="623" spans="1:10" ht="11.25" customHeight="1" x14ac:dyDescent="0.2">
      <c r="A623" s="28">
        <v>44470</v>
      </c>
      <c r="B623" s="18">
        <v>0</v>
      </c>
      <c r="C623" s="18">
        <v>0</v>
      </c>
      <c r="D623" s="18">
        <v>15707.02146</v>
      </c>
      <c r="E623" s="18">
        <v>21380.665501372743</v>
      </c>
      <c r="F623" s="18">
        <v>14972.692930000001</v>
      </c>
      <c r="G623" s="18">
        <v>16040.621008658325</v>
      </c>
      <c r="H623" s="19">
        <v>0.36121705543100102</v>
      </c>
      <c r="I623" s="19">
        <v>7.1325050453587613E-2</v>
      </c>
      <c r="J623" s="19">
        <v>0.21974038070668844</v>
      </c>
    </row>
    <row r="624" spans="1:10" ht="11.25" customHeight="1" x14ac:dyDescent="0.2">
      <c r="A624" s="28">
        <v>44501</v>
      </c>
      <c r="B624" s="18">
        <v>0</v>
      </c>
      <c r="C624" s="18">
        <v>0</v>
      </c>
      <c r="D624" s="18">
        <v>12393.046980000001</v>
      </c>
      <c r="E624" s="18">
        <v>16869.62691793366</v>
      </c>
      <c r="F624" s="18">
        <v>11813.652090000001</v>
      </c>
      <c r="G624" s="18">
        <v>12656.261421360383</v>
      </c>
      <c r="H624" s="19">
        <v>0.3612170554310008</v>
      </c>
      <c r="I624" s="19">
        <v>7.1325050453587613E-2</v>
      </c>
      <c r="J624" s="19">
        <v>0.21974038070668822</v>
      </c>
    </row>
    <row r="625" spans="1:10" ht="11.25" customHeight="1" x14ac:dyDescent="0.2">
      <c r="A625" s="28">
        <v>44531</v>
      </c>
      <c r="B625" s="18">
        <v>0</v>
      </c>
      <c r="C625" s="18">
        <v>0</v>
      </c>
      <c r="D625" s="18">
        <v>15722.994599999998</v>
      </c>
      <c r="E625" s="18">
        <v>21402.408411969529</v>
      </c>
      <c r="F625" s="18">
        <v>14987.919300000001</v>
      </c>
      <c r="G625" s="18">
        <v>16056.9334002668</v>
      </c>
      <c r="H625" s="19">
        <v>0.36121705543100102</v>
      </c>
      <c r="I625" s="19">
        <v>7.1325050453587613E-2</v>
      </c>
      <c r="J625" s="19">
        <v>0.21974038070668844</v>
      </c>
    </row>
    <row r="626" spans="1:10" ht="11.25" customHeight="1" x14ac:dyDescent="0.2">
      <c r="A626" s="28">
        <v>44562</v>
      </c>
      <c r="B626" s="18">
        <v>0</v>
      </c>
      <c r="C626" s="18">
        <v>0</v>
      </c>
      <c r="D626" s="18">
        <v>10778.8557</v>
      </c>
      <c r="E626" s="18">
        <v>14672.362216869662</v>
      </c>
      <c r="F626" s="18">
        <v>10274.92685</v>
      </c>
      <c r="G626" s="18">
        <v>11007.786525983172</v>
      </c>
      <c r="H626" s="19">
        <v>0.36121705543100102</v>
      </c>
      <c r="I626" s="19">
        <v>7.1325050453587613E-2</v>
      </c>
      <c r="J626" s="19">
        <v>0.21974038070668844</v>
      </c>
    </row>
    <row r="627" spans="1:10" ht="11.25" customHeight="1" x14ac:dyDescent="0.2">
      <c r="A627" s="28">
        <v>44593</v>
      </c>
      <c r="B627" s="18">
        <v>0</v>
      </c>
      <c r="C627" s="18">
        <v>0</v>
      </c>
      <c r="D627" s="18">
        <v>10774.03362</v>
      </c>
      <c r="E627" s="18">
        <v>14665.79831933101</v>
      </c>
      <c r="F627" s="18">
        <v>10270.33021</v>
      </c>
      <c r="G627" s="18">
        <v>11002.862030403256</v>
      </c>
      <c r="H627" s="19">
        <v>0.36121705543100124</v>
      </c>
      <c r="I627" s="19">
        <v>7.1325050453587613E-2</v>
      </c>
      <c r="J627" s="19">
        <v>0.21974038070668844</v>
      </c>
    </row>
    <row r="628" spans="1:10" ht="11.25" customHeight="1" x14ac:dyDescent="0.2">
      <c r="A628" s="28">
        <v>44621</v>
      </c>
      <c r="B628" s="18">
        <v>0</v>
      </c>
      <c r="C628" s="18">
        <v>0</v>
      </c>
      <c r="D628" s="18">
        <v>10188.753659999998</v>
      </c>
      <c r="E628" s="18">
        <v>13869.105255577035</v>
      </c>
      <c r="F628" s="18">
        <v>9712.4130299999997</v>
      </c>
      <c r="G628" s="18">
        <v>10405.151379390833</v>
      </c>
      <c r="H628" s="19">
        <v>0.36121705543100124</v>
      </c>
      <c r="I628" s="19">
        <v>7.1325050453587835E-2</v>
      </c>
      <c r="J628" s="19">
        <v>0.21974038070668866</v>
      </c>
    </row>
    <row r="629" spans="1:10" ht="11.25" customHeight="1" x14ac:dyDescent="0.2">
      <c r="A629" s="28">
        <v>44652</v>
      </c>
      <c r="B629" s="18">
        <v>0</v>
      </c>
      <c r="C629" s="18">
        <v>0</v>
      </c>
      <c r="D629" s="18">
        <v>12494.310659999999</v>
      </c>
      <c r="E629" s="18">
        <v>17007.468766245369</v>
      </c>
      <c r="F629" s="18">
        <v>11910.181530000002</v>
      </c>
      <c r="G629" s="18">
        <v>12759.675828538639</v>
      </c>
      <c r="H629" s="19">
        <v>0.36121705543100124</v>
      </c>
      <c r="I629" s="19">
        <v>7.1325050453587613E-2</v>
      </c>
      <c r="J629" s="19">
        <v>0.21974038070668844</v>
      </c>
    </row>
    <row r="630" spans="1:10" ht="11.25" customHeight="1" x14ac:dyDescent="0.2">
      <c r="A630" s="28">
        <v>44682</v>
      </c>
      <c r="B630" s="18">
        <v>0</v>
      </c>
      <c r="C630" s="18">
        <v>0</v>
      </c>
      <c r="D630" s="18">
        <v>12494.310659999999</v>
      </c>
      <c r="E630" s="18">
        <v>17007.468766245369</v>
      </c>
      <c r="F630" s="18">
        <v>11910.181530000002</v>
      </c>
      <c r="G630" s="18">
        <v>12759.675828538639</v>
      </c>
      <c r="H630" s="19">
        <v>0.36121705543100124</v>
      </c>
      <c r="I630" s="19">
        <v>7.1325050453587613E-2</v>
      </c>
      <c r="J630" s="19">
        <v>0.21974038070668844</v>
      </c>
    </row>
    <row r="631" spans="1:10" ht="11.25" customHeight="1" x14ac:dyDescent="0.2">
      <c r="A631" s="25" t="s">
        <v>56</v>
      </c>
      <c r="B631" s="18">
        <v>0</v>
      </c>
      <c r="C631" s="18">
        <v>0</v>
      </c>
      <c r="D631" s="18">
        <v>71570.592225</v>
      </c>
      <c r="E631" s="18">
        <v>97423.110803967415</v>
      </c>
      <c r="F631" s="18">
        <v>68224.551862500011</v>
      </c>
      <c r="G631" s="18">
        <v>73090.671466266227</v>
      </c>
      <c r="H631" s="19">
        <v>0.36121705543100124</v>
      </c>
      <c r="I631" s="19">
        <v>7.1325050453588057E-2</v>
      </c>
      <c r="J631" s="19">
        <v>0.21974038070668889</v>
      </c>
    </row>
    <row r="632" spans="1:10" ht="11.25" customHeight="1" x14ac:dyDescent="0.2">
      <c r="A632" s="26" t="s">
        <v>25</v>
      </c>
      <c r="B632" s="18">
        <v>0</v>
      </c>
      <c r="C632" s="18">
        <v>0</v>
      </c>
      <c r="D632" s="18">
        <v>71570.592225</v>
      </c>
      <c r="E632" s="18">
        <v>97423.110803967415</v>
      </c>
      <c r="F632" s="18">
        <v>68224.551862500011</v>
      </c>
      <c r="G632" s="18">
        <v>73090.671466266227</v>
      </c>
      <c r="H632" s="19">
        <v>0.36121705543100124</v>
      </c>
      <c r="I632" s="19">
        <v>7.1325050453588057E-2</v>
      </c>
      <c r="J632" s="19">
        <v>0.21974038070668889</v>
      </c>
    </row>
    <row r="633" spans="1:10" ht="11.25" customHeight="1" x14ac:dyDescent="0.2">
      <c r="A633" s="27" t="s">
        <v>25</v>
      </c>
      <c r="B633" s="18">
        <v>0</v>
      </c>
      <c r="C633" s="18">
        <v>0</v>
      </c>
      <c r="D633" s="18">
        <v>71570.592225</v>
      </c>
      <c r="E633" s="18">
        <v>97423.110803967415</v>
      </c>
      <c r="F633" s="18">
        <v>68224.551862500011</v>
      </c>
      <c r="G633" s="18">
        <v>73090.671466266227</v>
      </c>
      <c r="H633" s="19">
        <v>0.36121705543100124</v>
      </c>
      <c r="I633" s="19">
        <v>7.1325050453588057E-2</v>
      </c>
      <c r="J633" s="19">
        <v>0.21974038070668889</v>
      </c>
    </row>
    <row r="634" spans="1:10" ht="11.25" customHeight="1" x14ac:dyDescent="0.2">
      <c r="A634" s="28">
        <v>44348</v>
      </c>
      <c r="B634" s="18">
        <v>0</v>
      </c>
      <c r="C634" s="18">
        <v>0</v>
      </c>
      <c r="D634" s="18">
        <v>6988.7309580000001</v>
      </c>
      <c r="E634" s="18">
        <v>9513.1797758482389</v>
      </c>
      <c r="F634" s="18">
        <v>6661.9965389999998</v>
      </c>
      <c r="G634" s="18">
        <v>7137.1637782658008</v>
      </c>
      <c r="H634" s="19">
        <v>0.36121705543100102</v>
      </c>
      <c r="I634" s="19">
        <v>7.1325050453587613E-2</v>
      </c>
      <c r="J634" s="19">
        <v>0.21974038070668844</v>
      </c>
    </row>
    <row r="635" spans="1:10" ht="11.25" customHeight="1" x14ac:dyDescent="0.2">
      <c r="A635" s="28">
        <v>44378</v>
      </c>
      <c r="B635" s="18">
        <v>0</v>
      </c>
      <c r="C635" s="18">
        <v>0</v>
      </c>
      <c r="D635" s="18">
        <v>8802.300177000001</v>
      </c>
      <c r="E635" s="18">
        <v>11981.84112795572</v>
      </c>
      <c r="F635" s="18">
        <v>8390.7784785000003</v>
      </c>
      <c r="G635" s="18">
        <v>8989.251176823891</v>
      </c>
      <c r="H635" s="19">
        <v>0.36121705543100102</v>
      </c>
      <c r="I635" s="19">
        <v>7.1325050453587835E-2</v>
      </c>
      <c r="J635" s="19">
        <v>0.21974038070668844</v>
      </c>
    </row>
    <row r="636" spans="1:10" ht="11.25" customHeight="1" x14ac:dyDescent="0.2">
      <c r="A636" s="28">
        <v>44409</v>
      </c>
      <c r="B636" s="18">
        <v>0</v>
      </c>
      <c r="C636" s="18">
        <v>0</v>
      </c>
      <c r="D636" s="18">
        <v>7337.2226795999995</v>
      </c>
      <c r="E636" s="18">
        <v>9987.5526509666706</v>
      </c>
      <c r="F636" s="18">
        <v>6994.1957118000009</v>
      </c>
      <c r="G636" s="18">
        <v>7493.0570738264023</v>
      </c>
      <c r="H636" s="19">
        <v>0.36121705543100102</v>
      </c>
      <c r="I636" s="19">
        <v>7.1325050453587613E-2</v>
      </c>
      <c r="J636" s="19">
        <v>0.21974038070668844</v>
      </c>
    </row>
    <row r="637" spans="1:10" ht="11.25" customHeight="1" x14ac:dyDescent="0.2">
      <c r="A637" s="28">
        <v>44440</v>
      </c>
      <c r="B637" s="18">
        <v>0</v>
      </c>
      <c r="C637" s="18">
        <v>0</v>
      </c>
      <c r="D637" s="18">
        <v>7792.1316791999998</v>
      </c>
      <c r="E637" s="18">
        <v>10606.782539891246</v>
      </c>
      <c r="F637" s="18">
        <v>7427.8369836000011</v>
      </c>
      <c r="G637" s="18">
        <v>7957.627831216294</v>
      </c>
      <c r="H637" s="19">
        <v>0.36121705543100124</v>
      </c>
      <c r="I637" s="19">
        <v>7.1325050453587391E-2</v>
      </c>
      <c r="J637" s="19">
        <v>0.21974038070668844</v>
      </c>
    </row>
    <row r="638" spans="1:10" ht="11.25" customHeight="1" x14ac:dyDescent="0.2">
      <c r="A638" s="28">
        <v>44470</v>
      </c>
      <c r="B638" s="18">
        <v>0</v>
      </c>
      <c r="C638" s="18">
        <v>0</v>
      </c>
      <c r="D638" s="18">
        <v>7491.8758266000004</v>
      </c>
      <c r="E638" s="18">
        <v>10198.069152339151</v>
      </c>
      <c r="F638" s="18">
        <v>7141.6185753000009</v>
      </c>
      <c r="G638" s="18">
        <v>7650.994880503551</v>
      </c>
      <c r="H638" s="19">
        <v>0.36121705543100124</v>
      </c>
      <c r="I638" s="19">
        <v>7.1325050453587391E-2</v>
      </c>
      <c r="J638" s="19">
        <v>0.21974038070668866</v>
      </c>
    </row>
    <row r="639" spans="1:10" ht="11.25" customHeight="1" x14ac:dyDescent="0.2">
      <c r="A639" s="28">
        <v>44501</v>
      </c>
      <c r="B639" s="18">
        <v>0</v>
      </c>
      <c r="C639" s="18">
        <v>0</v>
      </c>
      <c r="D639" s="18">
        <v>5731.0179696000005</v>
      </c>
      <c r="E639" s="18">
        <v>7801.1594052010669</v>
      </c>
      <c r="F639" s="18">
        <v>5463.0836568000004</v>
      </c>
      <c r="G639" s="18">
        <v>5852.7383742534312</v>
      </c>
      <c r="H639" s="19">
        <v>0.36121705543100102</v>
      </c>
      <c r="I639" s="19">
        <v>7.1325050453587835E-2</v>
      </c>
      <c r="J639" s="19">
        <v>0.21974038070668866</v>
      </c>
    </row>
    <row r="640" spans="1:10" ht="11.25" customHeight="1" x14ac:dyDescent="0.2">
      <c r="A640" s="28">
        <v>44531</v>
      </c>
      <c r="B640" s="18">
        <v>0</v>
      </c>
      <c r="C640" s="18">
        <v>0</v>
      </c>
      <c r="D640" s="18">
        <v>5152.3864524000001</v>
      </c>
      <c r="E640" s="18">
        <v>7013.51631517851</v>
      </c>
      <c r="F640" s="18">
        <v>4911.5040942000005</v>
      </c>
      <c r="G640" s="18">
        <v>5261.8173715218181</v>
      </c>
      <c r="H640" s="19">
        <v>0.36121705543100102</v>
      </c>
      <c r="I640" s="19">
        <v>7.1325050453587613E-2</v>
      </c>
      <c r="J640" s="19">
        <v>0.21974038070668844</v>
      </c>
    </row>
    <row r="641" spans="1:10" ht="11.25" customHeight="1" x14ac:dyDescent="0.2">
      <c r="A641" s="28">
        <v>44562</v>
      </c>
      <c r="B641" s="18">
        <v>0</v>
      </c>
      <c r="C641" s="18">
        <v>0</v>
      </c>
      <c r="D641" s="18">
        <v>4770.1793502</v>
      </c>
      <c r="E641" s="18">
        <v>6493.2494889570098</v>
      </c>
      <c r="F641" s="18">
        <v>4547.1657891000004</v>
      </c>
      <c r="G641" s="18">
        <v>4871.492618428385</v>
      </c>
      <c r="H641" s="19">
        <v>0.36121705543100102</v>
      </c>
      <c r="I641" s="19">
        <v>7.1325050453587391E-2</v>
      </c>
      <c r="J641" s="19">
        <v>0.21974038070668844</v>
      </c>
    </row>
    <row r="642" spans="1:10" ht="11.25" customHeight="1" x14ac:dyDescent="0.2">
      <c r="A642" s="28">
        <v>44593</v>
      </c>
      <c r="B642" s="18">
        <v>0</v>
      </c>
      <c r="C642" s="18">
        <v>0</v>
      </c>
      <c r="D642" s="18">
        <v>4133.7642455999994</v>
      </c>
      <c r="E642" s="18">
        <v>5626.9503942415849</v>
      </c>
      <c r="F642" s="18">
        <v>3940.5041148000005</v>
      </c>
      <c r="G642" s="18">
        <v>4221.56076960068</v>
      </c>
      <c r="H642" s="19">
        <v>0.36121705543100102</v>
      </c>
      <c r="I642" s="19">
        <v>7.1325050453587613E-2</v>
      </c>
      <c r="J642" s="19">
        <v>0.21974038070668844</v>
      </c>
    </row>
    <row r="643" spans="1:10" ht="11.25" customHeight="1" x14ac:dyDescent="0.2">
      <c r="A643" s="28">
        <v>44621</v>
      </c>
      <c r="B643" s="18">
        <v>0</v>
      </c>
      <c r="C643" s="18">
        <v>0</v>
      </c>
      <c r="D643" s="18">
        <v>4553.4660335999997</v>
      </c>
      <c r="E643" s="18">
        <v>6198.2556262620719</v>
      </c>
      <c r="F643" s="18">
        <v>4340.5841688</v>
      </c>
      <c r="G643" s="18">
        <v>4650.1765536377043</v>
      </c>
      <c r="H643" s="19">
        <v>0.36121705543100124</v>
      </c>
      <c r="I643" s="19">
        <v>7.1325050453587835E-2</v>
      </c>
      <c r="J643" s="19">
        <v>0.21974038070668866</v>
      </c>
    </row>
    <row r="644" spans="1:10" ht="11.25" customHeight="1" x14ac:dyDescent="0.2">
      <c r="A644" s="28">
        <v>44652</v>
      </c>
      <c r="B644" s="18">
        <v>0</v>
      </c>
      <c r="C644" s="18">
        <v>0</v>
      </c>
      <c r="D644" s="18">
        <v>4408.7584266000003</v>
      </c>
      <c r="E644" s="18">
        <v>6001.2771635630652</v>
      </c>
      <c r="F644" s="18">
        <v>4202.6418753000007</v>
      </c>
      <c r="G644" s="18">
        <v>4502.3955190941333</v>
      </c>
      <c r="H644" s="19">
        <v>0.36121705543100102</v>
      </c>
      <c r="I644" s="19">
        <v>7.1325050453587613E-2</v>
      </c>
      <c r="J644" s="19">
        <v>0.21974038070668822</v>
      </c>
    </row>
    <row r="645" spans="1:10" ht="11.25" customHeight="1" x14ac:dyDescent="0.2">
      <c r="A645" s="28">
        <v>44682</v>
      </c>
      <c r="B645" s="18">
        <v>0</v>
      </c>
      <c r="C645" s="18">
        <v>0</v>
      </c>
      <c r="D645" s="18">
        <v>4408.7584266000003</v>
      </c>
      <c r="E645" s="18">
        <v>6001.2771635630652</v>
      </c>
      <c r="F645" s="18">
        <v>4202.6418753000007</v>
      </c>
      <c r="G645" s="18">
        <v>4502.3955190941333</v>
      </c>
      <c r="H645" s="19">
        <v>0.36121705543100102</v>
      </c>
      <c r="I645" s="19">
        <v>7.1325050453587613E-2</v>
      </c>
      <c r="J645" s="19">
        <v>0.21974038070668822</v>
      </c>
    </row>
    <row r="646" spans="1:10" ht="11.25" customHeight="1" x14ac:dyDescent="0.2">
      <c r="A646" s="24" t="s">
        <v>57</v>
      </c>
      <c r="B646" s="18">
        <v>0</v>
      </c>
      <c r="C646" s="18">
        <v>0</v>
      </c>
      <c r="D646" s="18">
        <v>5601.1653827999999</v>
      </c>
      <c r="E646" s="18">
        <v>7624.401849357072</v>
      </c>
      <c r="F646" s="18">
        <v>5339.3018873999999</v>
      </c>
      <c r="G646" s="18">
        <v>5720.1278639057382</v>
      </c>
      <c r="H646" s="19">
        <v>0.36121705543100124</v>
      </c>
      <c r="I646" s="19">
        <v>7.1325050453587613E-2</v>
      </c>
      <c r="J646" s="19">
        <v>0.21974038070668866</v>
      </c>
    </row>
    <row r="647" spans="1:10" ht="11.25" customHeight="1" x14ac:dyDescent="0.2">
      <c r="A647" s="25" t="s">
        <v>55</v>
      </c>
      <c r="B647" s="18">
        <v>0</v>
      </c>
      <c r="C647" s="18">
        <v>0</v>
      </c>
      <c r="D647" s="18">
        <v>4250.3621399999993</v>
      </c>
      <c r="E647" s="18">
        <v>5785.665436726209</v>
      </c>
      <c r="F647" s="18">
        <v>4051.6508700000004</v>
      </c>
      <c r="G647" s="18">
        <v>4340.635072723072</v>
      </c>
      <c r="H647" s="19">
        <v>0.36121705543100102</v>
      </c>
      <c r="I647" s="19">
        <v>7.1325050453587613E-2</v>
      </c>
      <c r="J647" s="19">
        <v>0.21974038070668844</v>
      </c>
    </row>
    <row r="648" spans="1:10" ht="11.25" customHeight="1" x14ac:dyDescent="0.2">
      <c r="A648" s="26" t="s">
        <v>25</v>
      </c>
      <c r="B648" s="18">
        <v>0</v>
      </c>
      <c r="C648" s="18">
        <v>0</v>
      </c>
      <c r="D648" s="18">
        <v>4250.3621399999993</v>
      </c>
      <c r="E648" s="18">
        <v>5785.665436726209</v>
      </c>
      <c r="F648" s="18">
        <v>4051.6508700000004</v>
      </c>
      <c r="G648" s="18">
        <v>4340.635072723072</v>
      </c>
      <c r="H648" s="19">
        <v>0.36121705543100102</v>
      </c>
      <c r="I648" s="19">
        <v>7.1325050453587613E-2</v>
      </c>
      <c r="J648" s="19">
        <v>0.21974038070668844</v>
      </c>
    </row>
    <row r="649" spans="1:10" ht="11.25" customHeight="1" x14ac:dyDescent="0.2">
      <c r="A649" s="27" t="s">
        <v>25</v>
      </c>
      <c r="B649" s="18">
        <v>0</v>
      </c>
      <c r="C649" s="18">
        <v>0</v>
      </c>
      <c r="D649" s="18">
        <v>4250.3621399999993</v>
      </c>
      <c r="E649" s="18">
        <v>5785.665436726209</v>
      </c>
      <c r="F649" s="18">
        <v>4051.6508700000004</v>
      </c>
      <c r="G649" s="18">
        <v>4340.635072723072</v>
      </c>
      <c r="H649" s="19">
        <v>0.36121705543100102</v>
      </c>
      <c r="I649" s="19">
        <v>7.1325050453587613E-2</v>
      </c>
      <c r="J649" s="19">
        <v>0.21974038070668844</v>
      </c>
    </row>
    <row r="650" spans="1:10" ht="11.25" customHeight="1" x14ac:dyDescent="0.2">
      <c r="A650" s="28">
        <v>44348</v>
      </c>
      <c r="B650" s="18">
        <v>0</v>
      </c>
      <c r="C650" s="18">
        <v>0</v>
      </c>
      <c r="D650" s="18">
        <v>269.43371999999999</v>
      </c>
      <c r="E650" s="18">
        <v>366.75777497222083</v>
      </c>
      <c r="F650" s="18">
        <v>256.83726000000001</v>
      </c>
      <c r="G650" s="18">
        <v>275.15619052786121</v>
      </c>
      <c r="H650" s="19">
        <v>0.36121705543100102</v>
      </c>
      <c r="I650" s="19">
        <v>7.1325050453587613E-2</v>
      </c>
      <c r="J650" s="19">
        <v>0.21974038070668844</v>
      </c>
    </row>
    <row r="651" spans="1:10" ht="11.25" customHeight="1" x14ac:dyDescent="0.2">
      <c r="A651" s="28">
        <v>44378</v>
      </c>
      <c r="B651" s="18">
        <v>0</v>
      </c>
      <c r="C651" s="18">
        <v>0</v>
      </c>
      <c r="D651" s="18">
        <v>408.67128000000002</v>
      </c>
      <c r="E651" s="18">
        <v>556.29031640081826</v>
      </c>
      <c r="F651" s="18">
        <v>389.56524000000002</v>
      </c>
      <c r="G651" s="18">
        <v>417.35100039796401</v>
      </c>
      <c r="H651" s="19">
        <v>0.36121705543100124</v>
      </c>
      <c r="I651" s="19">
        <v>7.1325050453587613E-2</v>
      </c>
      <c r="J651" s="19">
        <v>0.21974038070668866</v>
      </c>
    </row>
    <row r="652" spans="1:10" ht="11.25" customHeight="1" x14ac:dyDescent="0.2">
      <c r="A652" s="28">
        <v>44409</v>
      </c>
      <c r="B652" s="18">
        <v>0</v>
      </c>
      <c r="C652" s="18">
        <v>0</v>
      </c>
      <c r="D652" s="18">
        <v>216.39084000000003</v>
      </c>
      <c r="E652" s="18">
        <v>294.55490204704091</v>
      </c>
      <c r="F652" s="18">
        <v>206.27422000000004</v>
      </c>
      <c r="G652" s="18">
        <v>220.98673914877446</v>
      </c>
      <c r="H652" s="19">
        <v>0.36121705543100102</v>
      </c>
      <c r="I652" s="19">
        <v>7.1325050453587613E-2</v>
      </c>
      <c r="J652" s="19">
        <v>0.21974038070668844</v>
      </c>
    </row>
    <row r="653" spans="1:10" ht="11.25" customHeight="1" x14ac:dyDescent="0.2">
      <c r="A653" s="28">
        <v>44440</v>
      </c>
      <c r="B653" s="18">
        <v>0</v>
      </c>
      <c r="C653" s="18">
        <v>0</v>
      </c>
      <c r="D653" s="18">
        <v>296.85930000000002</v>
      </c>
      <c r="E653" s="18">
        <v>404.08994222330819</v>
      </c>
      <c r="F653" s="18">
        <v>282.98065000000003</v>
      </c>
      <c r="G653" s="18">
        <v>303.16425913863907</v>
      </c>
      <c r="H653" s="19">
        <v>0.36121705543100102</v>
      </c>
      <c r="I653" s="19">
        <v>7.1325050453587613E-2</v>
      </c>
      <c r="J653" s="19">
        <v>0.21974038070668844</v>
      </c>
    </row>
    <row r="654" spans="1:10" ht="11.25" customHeight="1" x14ac:dyDescent="0.2">
      <c r="A654" s="28">
        <v>44470</v>
      </c>
      <c r="B654" s="18">
        <v>0</v>
      </c>
      <c r="C654" s="18">
        <v>0</v>
      </c>
      <c r="D654" s="18">
        <v>182.93766000000002</v>
      </c>
      <c r="E654" s="18">
        <v>249.01786287263764</v>
      </c>
      <c r="F654" s="18">
        <v>174.38503000000003</v>
      </c>
      <c r="G654" s="18">
        <v>186.82305106310042</v>
      </c>
      <c r="H654" s="19">
        <v>0.36121705543100102</v>
      </c>
      <c r="I654" s="19">
        <v>7.1325050453587613E-2</v>
      </c>
      <c r="J654" s="19">
        <v>0.21974038070668822</v>
      </c>
    </row>
    <row r="655" spans="1:10" ht="11.25" customHeight="1" x14ac:dyDescent="0.2">
      <c r="A655" s="28">
        <v>44501</v>
      </c>
      <c r="B655" s="18">
        <v>0</v>
      </c>
      <c r="C655" s="18">
        <v>0</v>
      </c>
      <c r="D655" s="18">
        <v>427.35683999999998</v>
      </c>
      <c r="E655" s="18">
        <v>581.72541936309744</v>
      </c>
      <c r="F655" s="18">
        <v>407.37721999999997</v>
      </c>
      <c r="G655" s="18">
        <v>436.43342077014228</v>
      </c>
      <c r="H655" s="19">
        <v>0.36121705543100102</v>
      </c>
      <c r="I655" s="19">
        <v>7.1325050453587835E-2</v>
      </c>
      <c r="J655" s="19">
        <v>0.21974038070668844</v>
      </c>
    </row>
    <row r="656" spans="1:10" ht="11.25" customHeight="1" x14ac:dyDescent="0.2">
      <c r="A656" s="28">
        <v>44531</v>
      </c>
      <c r="B656" s="18">
        <v>0</v>
      </c>
      <c r="C656" s="18">
        <v>0</v>
      </c>
      <c r="D656" s="18">
        <v>536.15501999999992</v>
      </c>
      <c r="E656" s="18">
        <v>729.82335757894953</v>
      </c>
      <c r="F656" s="18">
        <v>511.08891</v>
      </c>
      <c r="G656" s="18">
        <v>547.54235229201913</v>
      </c>
      <c r="H656" s="19">
        <v>0.36121705543100124</v>
      </c>
      <c r="I656" s="19">
        <v>7.1325050453587613E-2</v>
      </c>
      <c r="J656" s="19">
        <v>0.21974038070668866</v>
      </c>
    </row>
    <row r="657" spans="1:10" ht="11.25" customHeight="1" x14ac:dyDescent="0.2">
      <c r="A657" s="28">
        <v>44562</v>
      </c>
      <c r="B657" s="18">
        <v>0</v>
      </c>
      <c r="C657" s="18">
        <v>0</v>
      </c>
      <c r="D657" s="18">
        <v>594.32136000000003</v>
      </c>
      <c r="E657" s="18">
        <v>809.00037163894785</v>
      </c>
      <c r="F657" s="18">
        <v>566.53588000000002</v>
      </c>
      <c r="G657" s="18">
        <v>606.94408022476773</v>
      </c>
      <c r="H657" s="19">
        <v>0.3612170554310008</v>
      </c>
      <c r="I657" s="19">
        <v>7.1325050453587613E-2</v>
      </c>
      <c r="J657" s="19">
        <v>0.21974038070668844</v>
      </c>
    </row>
    <row r="658" spans="1:10" ht="11.25" customHeight="1" x14ac:dyDescent="0.2">
      <c r="A658" s="28">
        <v>44593</v>
      </c>
      <c r="B658" s="18">
        <v>0</v>
      </c>
      <c r="C658" s="18">
        <v>0</v>
      </c>
      <c r="D658" s="18">
        <v>281.48891999999995</v>
      </c>
      <c r="E658" s="18">
        <v>383.16751881885261</v>
      </c>
      <c r="F658" s="18">
        <v>268.32886000000002</v>
      </c>
      <c r="G658" s="18">
        <v>287.46742947765364</v>
      </c>
      <c r="H658" s="19">
        <v>0.36121705543100124</v>
      </c>
      <c r="I658" s="19">
        <v>7.1325050453587391E-2</v>
      </c>
      <c r="J658" s="19">
        <v>0.21974038070668866</v>
      </c>
    </row>
    <row r="659" spans="1:10" ht="11.25" customHeight="1" x14ac:dyDescent="0.2">
      <c r="A659" s="28">
        <v>44621</v>
      </c>
      <c r="B659" s="18">
        <v>0</v>
      </c>
      <c r="C659" s="18">
        <v>0</v>
      </c>
      <c r="D659" s="18">
        <v>481.60524000000004</v>
      </c>
      <c r="E659" s="18">
        <v>655.56926667294056</v>
      </c>
      <c r="F659" s="18">
        <v>459.08942000000008</v>
      </c>
      <c r="G659" s="18">
        <v>491.83399604420833</v>
      </c>
      <c r="H659" s="19">
        <v>0.36121705543100102</v>
      </c>
      <c r="I659" s="19">
        <v>7.1325050453587613E-2</v>
      </c>
      <c r="J659" s="19">
        <v>0.21974038070668844</v>
      </c>
    </row>
    <row r="660" spans="1:10" ht="11.25" customHeight="1" x14ac:dyDescent="0.2">
      <c r="A660" s="28">
        <v>44652</v>
      </c>
      <c r="B660" s="18">
        <v>0</v>
      </c>
      <c r="C660" s="18">
        <v>0</v>
      </c>
      <c r="D660" s="18">
        <v>277.57098000000002</v>
      </c>
      <c r="E660" s="18">
        <v>377.83435206869734</v>
      </c>
      <c r="F660" s="18">
        <v>264.59409000000005</v>
      </c>
      <c r="G660" s="18">
        <v>283.46627681897115</v>
      </c>
      <c r="H660" s="19">
        <v>0.36121705543100124</v>
      </c>
      <c r="I660" s="19">
        <v>7.1325050453587613E-2</v>
      </c>
      <c r="J660" s="19">
        <v>0.21974038070668866</v>
      </c>
    </row>
    <row r="661" spans="1:10" ht="11.25" customHeight="1" x14ac:dyDescent="0.2">
      <c r="A661" s="28">
        <v>44682</v>
      </c>
      <c r="B661" s="18">
        <v>0</v>
      </c>
      <c r="C661" s="18">
        <v>0</v>
      </c>
      <c r="D661" s="18">
        <v>277.57098000000002</v>
      </c>
      <c r="E661" s="18">
        <v>377.83435206869734</v>
      </c>
      <c r="F661" s="18">
        <v>264.59409000000005</v>
      </c>
      <c r="G661" s="18">
        <v>283.46627681897115</v>
      </c>
      <c r="H661" s="19">
        <v>0.36121705543100124</v>
      </c>
      <c r="I661" s="19">
        <v>7.1325050453587613E-2</v>
      </c>
      <c r="J661" s="19">
        <v>0.21974038070668866</v>
      </c>
    </row>
    <row r="662" spans="1:10" ht="11.25" customHeight="1" x14ac:dyDescent="0.2">
      <c r="A662" s="25" t="s">
        <v>56</v>
      </c>
      <c r="B662" s="18">
        <v>0</v>
      </c>
      <c r="C662" s="18">
        <v>0</v>
      </c>
      <c r="D662" s="18">
        <v>1350.8032427999997</v>
      </c>
      <c r="E662" s="18">
        <v>1838.7364126308635</v>
      </c>
      <c r="F662" s="18">
        <v>1287.6510174000002</v>
      </c>
      <c r="G662" s="18">
        <v>1379.4927911826685</v>
      </c>
      <c r="H662" s="19">
        <v>0.36121705543100124</v>
      </c>
      <c r="I662" s="19">
        <v>7.1325050453587391E-2</v>
      </c>
      <c r="J662" s="19">
        <v>0.21974038070668844</v>
      </c>
    </row>
    <row r="663" spans="1:10" ht="11.25" customHeight="1" x14ac:dyDescent="0.2">
      <c r="A663" s="26" t="s">
        <v>25</v>
      </c>
      <c r="B663" s="18">
        <v>0</v>
      </c>
      <c r="C663" s="18">
        <v>0</v>
      </c>
      <c r="D663" s="18">
        <v>1350.8032427999997</v>
      </c>
      <c r="E663" s="18">
        <v>1838.7364126308635</v>
      </c>
      <c r="F663" s="18">
        <v>1287.6510174000002</v>
      </c>
      <c r="G663" s="18">
        <v>1379.4927911826685</v>
      </c>
      <c r="H663" s="19">
        <v>0.36121705543100124</v>
      </c>
      <c r="I663" s="19">
        <v>7.1325050453587391E-2</v>
      </c>
      <c r="J663" s="19">
        <v>0.21974038070668844</v>
      </c>
    </row>
    <row r="664" spans="1:10" ht="11.25" customHeight="1" x14ac:dyDescent="0.2">
      <c r="A664" s="27" t="s">
        <v>25</v>
      </c>
      <c r="B664" s="18">
        <v>0</v>
      </c>
      <c r="C664" s="18">
        <v>0</v>
      </c>
      <c r="D664" s="18">
        <v>1350.8032427999997</v>
      </c>
      <c r="E664" s="18">
        <v>1838.7364126308635</v>
      </c>
      <c r="F664" s="18">
        <v>1287.6510174000002</v>
      </c>
      <c r="G664" s="18">
        <v>1379.4927911826685</v>
      </c>
      <c r="H664" s="19">
        <v>0.36121705543100124</v>
      </c>
      <c r="I664" s="19">
        <v>7.1325050453587391E-2</v>
      </c>
      <c r="J664" s="19">
        <v>0.21974038070668844</v>
      </c>
    </row>
    <row r="665" spans="1:10" ht="11.25" customHeight="1" x14ac:dyDescent="0.2">
      <c r="A665" s="28">
        <v>44348</v>
      </c>
      <c r="B665" s="18">
        <v>0</v>
      </c>
      <c r="C665" s="18">
        <v>0</v>
      </c>
      <c r="D665" s="18">
        <v>76.083381000000003</v>
      </c>
      <c r="E665" s="18">
        <v>103.56599585205497</v>
      </c>
      <c r="F665" s="18">
        <v>72.52636050000001</v>
      </c>
      <c r="G665" s="18">
        <v>77.699306821877585</v>
      </c>
      <c r="H665" s="19">
        <v>0.36121705543100102</v>
      </c>
      <c r="I665" s="19">
        <v>7.1325050453587391E-2</v>
      </c>
      <c r="J665" s="19">
        <v>0.21974038070668822</v>
      </c>
    </row>
    <row r="666" spans="1:10" ht="11.25" customHeight="1" x14ac:dyDescent="0.2">
      <c r="A666" s="28">
        <v>44378</v>
      </c>
      <c r="B666" s="18">
        <v>0</v>
      </c>
      <c r="C666" s="18">
        <v>0</v>
      </c>
      <c r="D666" s="18">
        <v>94.482630000000015</v>
      </c>
      <c r="E666" s="18">
        <v>128.61136739797678</v>
      </c>
      <c r="F666" s="18">
        <v>90.065415000000016</v>
      </c>
      <c r="G666" s="18">
        <v>96.489335268998332</v>
      </c>
      <c r="H666" s="19">
        <v>0.36121705543100102</v>
      </c>
      <c r="I666" s="19">
        <v>7.1325050453587613E-2</v>
      </c>
      <c r="J666" s="19">
        <v>0.21974038070668844</v>
      </c>
    </row>
    <row r="667" spans="1:10" ht="11.25" customHeight="1" x14ac:dyDescent="0.2">
      <c r="A667" s="28">
        <v>44409</v>
      </c>
      <c r="B667" s="18">
        <v>0</v>
      </c>
      <c r="C667" s="18">
        <v>0</v>
      </c>
      <c r="D667" s="18">
        <v>77.27684579999999</v>
      </c>
      <c r="E667" s="18">
        <v>105.19056049287153</v>
      </c>
      <c r="F667" s="18">
        <v>73.664028900000005</v>
      </c>
      <c r="G667" s="18">
        <v>78.918119477907055</v>
      </c>
      <c r="H667" s="19">
        <v>0.36121705543100124</v>
      </c>
      <c r="I667" s="19">
        <v>7.1325050453587835E-2</v>
      </c>
      <c r="J667" s="19">
        <v>0.21974038070668866</v>
      </c>
    </row>
    <row r="668" spans="1:10" ht="11.25" customHeight="1" x14ac:dyDescent="0.2">
      <c r="A668" s="28">
        <v>44440</v>
      </c>
      <c r="B668" s="18">
        <v>0</v>
      </c>
      <c r="C668" s="18">
        <v>0</v>
      </c>
      <c r="D668" s="18">
        <v>118.1530152</v>
      </c>
      <c r="E668" s="18">
        <v>160.8318994408383</v>
      </c>
      <c r="F668" s="18">
        <v>112.62917160000001</v>
      </c>
      <c r="G668" s="18">
        <v>120.66245294691579</v>
      </c>
      <c r="H668" s="19">
        <v>0.36121705543100102</v>
      </c>
      <c r="I668" s="19">
        <v>7.1325050453587613E-2</v>
      </c>
      <c r="J668" s="19">
        <v>0.21974038070668844</v>
      </c>
    </row>
    <row r="669" spans="1:10" ht="11.25" customHeight="1" x14ac:dyDescent="0.2">
      <c r="A669" s="28">
        <v>44470</v>
      </c>
      <c r="B669" s="18">
        <v>0</v>
      </c>
      <c r="C669" s="18">
        <v>0</v>
      </c>
      <c r="D669" s="18">
        <v>81.453972599999986</v>
      </c>
      <c r="E669" s="18">
        <v>110.87653673572945</v>
      </c>
      <c r="F669" s="18">
        <v>77.645868300000004</v>
      </c>
      <c r="G669" s="18">
        <v>83.183963774010124</v>
      </c>
      <c r="H669" s="19">
        <v>0.36121705543100124</v>
      </c>
      <c r="I669" s="19">
        <v>7.1325050453587613E-2</v>
      </c>
      <c r="J669" s="19">
        <v>0.21974038070668844</v>
      </c>
    </row>
    <row r="670" spans="1:10" ht="11.25" customHeight="1" x14ac:dyDescent="0.2">
      <c r="A670" s="28">
        <v>44501</v>
      </c>
      <c r="B670" s="18">
        <v>0</v>
      </c>
      <c r="C670" s="18">
        <v>0</v>
      </c>
      <c r="D670" s="18">
        <v>145.60270560000001</v>
      </c>
      <c r="E670" s="18">
        <v>198.19688617961896</v>
      </c>
      <c r="F670" s="18">
        <v>138.79554480000002</v>
      </c>
      <c r="G670" s="18">
        <v>148.69514403559319</v>
      </c>
      <c r="H670" s="19">
        <v>0.36121705543100124</v>
      </c>
      <c r="I670" s="19">
        <v>7.1325050453587613E-2</v>
      </c>
      <c r="J670" s="19">
        <v>0.21974038070668822</v>
      </c>
    </row>
    <row r="671" spans="1:10" ht="11.25" customHeight="1" x14ac:dyDescent="0.2">
      <c r="A671" s="28">
        <v>44531</v>
      </c>
      <c r="B671" s="18">
        <v>0</v>
      </c>
      <c r="C671" s="18">
        <v>0</v>
      </c>
      <c r="D671" s="18">
        <v>71.607888000000003</v>
      </c>
      <c r="E671" s="18">
        <v>97.47387844899292</v>
      </c>
      <c r="F671" s="18">
        <v>68.260104000000013</v>
      </c>
      <c r="G671" s="18">
        <v>73.128759361767138</v>
      </c>
      <c r="H671" s="19">
        <v>0.36121705543100102</v>
      </c>
      <c r="I671" s="19">
        <v>7.1325050453587391E-2</v>
      </c>
      <c r="J671" s="19">
        <v>0.21974038070668844</v>
      </c>
    </row>
    <row r="672" spans="1:10" ht="11.25" customHeight="1" x14ac:dyDescent="0.2">
      <c r="A672" s="28">
        <v>44562</v>
      </c>
      <c r="B672" s="18">
        <v>0</v>
      </c>
      <c r="C672" s="18">
        <v>0</v>
      </c>
      <c r="D672" s="18">
        <v>209.85089399999998</v>
      </c>
      <c r="E672" s="18">
        <v>285.65261601024309</v>
      </c>
      <c r="F672" s="18">
        <v>200.04002700000001</v>
      </c>
      <c r="G672" s="18">
        <v>214.30789201851204</v>
      </c>
      <c r="H672" s="19">
        <v>0.36121705543100102</v>
      </c>
      <c r="I672" s="19">
        <v>7.1325050453587613E-2</v>
      </c>
      <c r="J672" s="19">
        <v>0.21974038070668844</v>
      </c>
    </row>
    <row r="673" spans="1:10" ht="11.25" customHeight="1" x14ac:dyDescent="0.2">
      <c r="A673" s="28">
        <v>44593</v>
      </c>
      <c r="B673" s="18">
        <v>0</v>
      </c>
      <c r="C673" s="18">
        <v>0</v>
      </c>
      <c r="D673" s="18">
        <v>99.057578399999997</v>
      </c>
      <c r="E673" s="18">
        <v>134.83886518777354</v>
      </c>
      <c r="F673" s="18">
        <v>94.426477200000008</v>
      </c>
      <c r="G673" s="18">
        <v>101.16145045044455</v>
      </c>
      <c r="H673" s="19">
        <v>0.36121705543100102</v>
      </c>
      <c r="I673" s="19">
        <v>7.1325050453587613E-2</v>
      </c>
      <c r="J673" s="19">
        <v>0.21974038070668844</v>
      </c>
    </row>
    <row r="674" spans="1:10" ht="11.25" customHeight="1" x14ac:dyDescent="0.2">
      <c r="A674" s="28">
        <v>44621</v>
      </c>
      <c r="B674" s="18">
        <v>0</v>
      </c>
      <c r="C674" s="18">
        <v>0</v>
      </c>
      <c r="D674" s="18">
        <v>176.73224579999999</v>
      </c>
      <c r="E674" s="18">
        <v>240.5709472275839</v>
      </c>
      <c r="F674" s="18">
        <v>168.46972890000001</v>
      </c>
      <c r="G674" s="18">
        <v>180.48584081369472</v>
      </c>
      <c r="H674" s="19">
        <v>0.36121705543100124</v>
      </c>
      <c r="I674" s="19">
        <v>7.1325050453587613E-2</v>
      </c>
      <c r="J674" s="19">
        <v>0.21974038070668844</v>
      </c>
    </row>
    <row r="675" spans="1:10" ht="11.25" customHeight="1" x14ac:dyDescent="0.2">
      <c r="A675" s="28">
        <v>44652</v>
      </c>
      <c r="B675" s="18">
        <v>0</v>
      </c>
      <c r="C675" s="18">
        <v>0</v>
      </c>
      <c r="D675" s="18">
        <v>100.2510432</v>
      </c>
      <c r="E675" s="18">
        <v>136.46342982859008</v>
      </c>
      <c r="F675" s="18">
        <v>95.564145600000003</v>
      </c>
      <c r="G675" s="18">
        <v>102.38026310647399</v>
      </c>
      <c r="H675" s="19">
        <v>0.36121705543100102</v>
      </c>
      <c r="I675" s="19">
        <v>7.1325050453587613E-2</v>
      </c>
      <c r="J675" s="19">
        <v>0.21974038070668844</v>
      </c>
    </row>
    <row r="676" spans="1:10" ht="11.25" customHeight="1" x14ac:dyDescent="0.2">
      <c r="A676" s="28">
        <v>44682</v>
      </c>
      <c r="B676" s="18">
        <v>0</v>
      </c>
      <c r="C676" s="18">
        <v>0</v>
      </c>
      <c r="D676" s="18">
        <v>100.2510432</v>
      </c>
      <c r="E676" s="18">
        <v>136.46342982859008</v>
      </c>
      <c r="F676" s="18">
        <v>95.564145600000003</v>
      </c>
      <c r="G676" s="18">
        <v>102.38026310647399</v>
      </c>
      <c r="H676" s="19">
        <v>0.36121705543100102</v>
      </c>
      <c r="I676" s="19">
        <v>7.1325050453587613E-2</v>
      </c>
      <c r="J676" s="19">
        <v>0.21974038070668844</v>
      </c>
    </row>
    <row r="677" spans="1:10" ht="11.25" customHeight="1" x14ac:dyDescent="0.2">
      <c r="A677" s="24" t="s">
        <v>25</v>
      </c>
      <c r="B677" s="18">
        <v>0</v>
      </c>
      <c r="C677" s="18">
        <v>0</v>
      </c>
      <c r="D677" s="18">
        <v>48104033.634179994</v>
      </c>
      <c r="E677" s="18">
        <v>65480031.017872326</v>
      </c>
      <c r="F677" s="18">
        <v>45855092.649690002</v>
      </c>
      <c r="G677" s="18">
        <v>49125709.446483068</v>
      </c>
      <c r="H677" s="19">
        <v>0.36121705543100169</v>
      </c>
      <c r="I677" s="19">
        <v>7.1325050453588279E-2</v>
      </c>
      <c r="J677" s="19">
        <v>0.21974038070668911</v>
      </c>
    </row>
    <row r="678" spans="1:10" ht="11.25" customHeight="1" x14ac:dyDescent="0.2">
      <c r="A678" s="25" t="s">
        <v>25</v>
      </c>
      <c r="B678" s="18">
        <v>0</v>
      </c>
      <c r="C678" s="18">
        <v>0</v>
      </c>
      <c r="D678" s="18">
        <v>48104033.634179994</v>
      </c>
      <c r="E678" s="18">
        <v>65480031.017872326</v>
      </c>
      <c r="F678" s="18">
        <v>45855092.649690002</v>
      </c>
      <c r="G678" s="18">
        <v>49125709.446483068</v>
      </c>
      <c r="H678" s="19">
        <v>0.36121705543100169</v>
      </c>
      <c r="I678" s="19">
        <v>7.1325050453588279E-2</v>
      </c>
      <c r="J678" s="19">
        <v>0.21974038070668911</v>
      </c>
    </row>
    <row r="679" spans="1:10" ht="11.25" customHeight="1" x14ac:dyDescent="0.2">
      <c r="A679" s="26" t="s">
        <v>25</v>
      </c>
      <c r="B679" s="18">
        <v>0</v>
      </c>
      <c r="C679" s="18">
        <v>0</v>
      </c>
      <c r="D679" s="18">
        <v>48104033.634179994</v>
      </c>
      <c r="E679" s="18">
        <v>65480031.017872326</v>
      </c>
      <c r="F679" s="18">
        <v>45855092.649690002</v>
      </c>
      <c r="G679" s="18">
        <v>49125709.446483068</v>
      </c>
      <c r="H679" s="19">
        <v>0.36121705543100169</v>
      </c>
      <c r="I679" s="19">
        <v>7.1325050453588279E-2</v>
      </c>
      <c r="J679" s="19">
        <v>0.21974038070668911</v>
      </c>
    </row>
    <row r="680" spans="1:10" ht="11.25" customHeight="1" x14ac:dyDescent="0.2">
      <c r="A680" s="27" t="s">
        <v>25</v>
      </c>
      <c r="B680" s="18">
        <v>0</v>
      </c>
      <c r="C680" s="18">
        <v>0</v>
      </c>
      <c r="D680" s="18">
        <v>48104033.634179994</v>
      </c>
      <c r="E680" s="18">
        <v>65480031.017872326</v>
      </c>
      <c r="F680" s="18">
        <v>45855092.649690002</v>
      </c>
      <c r="G680" s="18">
        <v>49125709.446483068</v>
      </c>
      <c r="H680" s="19">
        <v>0.36121705543100169</v>
      </c>
      <c r="I680" s="19">
        <v>7.1325050453588279E-2</v>
      </c>
      <c r="J680" s="19">
        <v>0.21974038070668911</v>
      </c>
    </row>
    <row r="681" spans="1:10" ht="11.25" customHeight="1" x14ac:dyDescent="0.2">
      <c r="A681" s="28">
        <v>44348</v>
      </c>
      <c r="B681" s="18">
        <v>0</v>
      </c>
      <c r="C681" s="18">
        <v>0</v>
      </c>
      <c r="D681" s="18">
        <v>4640441.5891799992</v>
      </c>
      <c r="E681" s="18">
        <v>6316648.2359231543</v>
      </c>
      <c r="F681" s="18">
        <v>4423493.4771900009</v>
      </c>
      <c r="G681" s="18">
        <v>4738999.3726316923</v>
      </c>
      <c r="H681" s="19">
        <v>0.36121705543100124</v>
      </c>
      <c r="I681" s="19">
        <v>7.1325050453587391E-2</v>
      </c>
      <c r="J681" s="19">
        <v>0.21974038070668866</v>
      </c>
    </row>
    <row r="682" spans="1:10" ht="11.25" customHeight="1" x14ac:dyDescent="0.2">
      <c r="A682" s="28">
        <v>44378</v>
      </c>
      <c r="B682" s="18">
        <v>0</v>
      </c>
      <c r="C682" s="18">
        <v>0</v>
      </c>
      <c r="D682" s="18">
        <v>4558872.1880399995</v>
      </c>
      <c r="E682" s="18">
        <v>6205614.5758900931</v>
      </c>
      <c r="F682" s="18">
        <v>4345737.5768200001</v>
      </c>
      <c r="G682" s="18">
        <v>4655697.5287447376</v>
      </c>
      <c r="H682" s="19">
        <v>0.36121705543100102</v>
      </c>
      <c r="I682" s="19">
        <v>7.1325050453587391E-2</v>
      </c>
      <c r="J682" s="19">
        <v>0.21974038070668822</v>
      </c>
    </row>
    <row r="683" spans="1:10" ht="11.25" customHeight="1" x14ac:dyDescent="0.2">
      <c r="A683" s="28">
        <v>44409</v>
      </c>
      <c r="B683" s="18">
        <v>0</v>
      </c>
      <c r="C683" s="18">
        <v>0</v>
      </c>
      <c r="D683" s="18">
        <v>4426605.848819999</v>
      </c>
      <c r="E683" s="18">
        <v>6025571.3790844074</v>
      </c>
      <c r="F683" s="18">
        <v>4219654.9018099997</v>
      </c>
      <c r="G683" s="18">
        <v>4520622.0005783271</v>
      </c>
      <c r="H683" s="19">
        <v>0.36121705543100124</v>
      </c>
      <c r="I683" s="19">
        <v>7.1325050453587835E-2</v>
      </c>
      <c r="J683" s="19">
        <v>0.21974038070668866</v>
      </c>
    </row>
    <row r="684" spans="1:10" ht="11.25" customHeight="1" x14ac:dyDescent="0.2">
      <c r="A684" s="28">
        <v>44440</v>
      </c>
      <c r="B684" s="18">
        <v>0</v>
      </c>
      <c r="C684" s="18">
        <v>0</v>
      </c>
      <c r="D684" s="18">
        <v>4378725.6082200008</v>
      </c>
      <c r="E684" s="18">
        <v>5960395.9789615488</v>
      </c>
      <c r="F684" s="18">
        <v>4174013.1395100001</v>
      </c>
      <c r="G684" s="18">
        <v>4471724.8372794883</v>
      </c>
      <c r="H684" s="19">
        <v>0.36121705543100102</v>
      </c>
      <c r="I684" s="19">
        <v>7.1325050453587613E-2</v>
      </c>
      <c r="J684" s="19">
        <v>0.21974038070668822</v>
      </c>
    </row>
    <row r="685" spans="1:10" ht="11.25" customHeight="1" x14ac:dyDescent="0.2">
      <c r="A685" s="28">
        <v>44470</v>
      </c>
      <c r="B685" s="18">
        <v>0</v>
      </c>
      <c r="C685" s="18">
        <v>0</v>
      </c>
      <c r="D685" s="18">
        <v>4320118.3492799997</v>
      </c>
      <c r="E685" s="18">
        <v>5880618.7785203587</v>
      </c>
      <c r="F685" s="18">
        <v>4118145.86424</v>
      </c>
      <c r="G685" s="18">
        <v>4411872.825782151</v>
      </c>
      <c r="H685" s="19">
        <v>0.36121705543100124</v>
      </c>
      <c r="I685" s="19">
        <v>7.1325050453587613E-2</v>
      </c>
      <c r="J685" s="19">
        <v>0.21974038070668866</v>
      </c>
    </row>
    <row r="686" spans="1:10" ht="11.25" customHeight="1" x14ac:dyDescent="0.2">
      <c r="A686" s="28">
        <v>44501</v>
      </c>
      <c r="B686" s="18">
        <v>0</v>
      </c>
      <c r="C686" s="18">
        <v>0</v>
      </c>
      <c r="D686" s="18">
        <v>4148422.4646600001</v>
      </c>
      <c r="E686" s="18">
        <v>5646903.4120283015</v>
      </c>
      <c r="F686" s="18">
        <v>3954477.0385300005</v>
      </c>
      <c r="G686" s="18">
        <v>4236530.3128207065</v>
      </c>
      <c r="H686" s="19">
        <v>0.36121705543100102</v>
      </c>
      <c r="I686" s="19">
        <v>7.1325050453587613E-2</v>
      </c>
      <c r="J686" s="19">
        <v>0.21974038070668844</v>
      </c>
    </row>
    <row r="687" spans="1:10" ht="11.25" customHeight="1" x14ac:dyDescent="0.2">
      <c r="A687" s="28">
        <v>44531</v>
      </c>
      <c r="B687" s="18">
        <v>0</v>
      </c>
      <c r="C687" s="18">
        <v>0</v>
      </c>
      <c r="D687" s="18">
        <v>4152425.3938199999</v>
      </c>
      <c r="E687" s="18">
        <v>5652352.2674725763</v>
      </c>
      <c r="F687" s="18">
        <v>3958292.8243100001</v>
      </c>
      <c r="G687" s="18">
        <v>4240618.259713985</v>
      </c>
      <c r="H687" s="19">
        <v>0.36121705543100124</v>
      </c>
      <c r="I687" s="19">
        <v>7.1325050453587613E-2</v>
      </c>
      <c r="J687" s="19">
        <v>0.21974038070668866</v>
      </c>
    </row>
    <row r="688" spans="1:10" ht="11.25" customHeight="1" x14ac:dyDescent="0.2">
      <c r="A688" s="28">
        <v>44562</v>
      </c>
      <c r="B688" s="18">
        <v>0</v>
      </c>
      <c r="C688" s="18">
        <v>0</v>
      </c>
      <c r="D688" s="18">
        <v>4078291.0372799998</v>
      </c>
      <c r="E688" s="18">
        <v>5551439.3169569252</v>
      </c>
      <c r="F688" s="18">
        <v>3887624.3682400002</v>
      </c>
      <c r="G688" s="18">
        <v>4164909.3724493147</v>
      </c>
      <c r="H688" s="19">
        <v>0.36121705543100124</v>
      </c>
      <c r="I688" s="19">
        <v>7.1325050453587613E-2</v>
      </c>
      <c r="J688" s="19">
        <v>0.21974038070668866</v>
      </c>
    </row>
    <row r="689" spans="1:10" ht="11.25" customHeight="1" x14ac:dyDescent="0.2">
      <c r="A689" s="28">
        <v>44593</v>
      </c>
      <c r="B689" s="18">
        <v>0</v>
      </c>
      <c r="C689" s="18">
        <v>0</v>
      </c>
      <c r="D689" s="18">
        <v>3330575.3945400002</v>
      </c>
      <c r="E689" s="18">
        <v>4533636.0314466832</v>
      </c>
      <c r="F689" s="18">
        <v>3174865.6350699998</v>
      </c>
      <c r="G689" s="18">
        <v>3401313.0866747289</v>
      </c>
      <c r="H689" s="19">
        <v>0.3612170554310008</v>
      </c>
      <c r="I689" s="19">
        <v>7.1325050453587613E-2</v>
      </c>
      <c r="J689" s="19">
        <v>0.21974038070668822</v>
      </c>
    </row>
    <row r="690" spans="1:10" ht="11.25" customHeight="1" x14ac:dyDescent="0.2">
      <c r="A690" s="28">
        <v>44621</v>
      </c>
      <c r="B690" s="18">
        <v>0</v>
      </c>
      <c r="C690" s="18">
        <v>0</v>
      </c>
      <c r="D690" s="18">
        <v>3326784.0341400001</v>
      </c>
      <c r="E690" s="18">
        <v>4528475.1670069173</v>
      </c>
      <c r="F690" s="18">
        <v>3171251.5268700002</v>
      </c>
      <c r="G690" s="18">
        <v>3397441.20202502</v>
      </c>
      <c r="H690" s="19">
        <v>0.3612170554310008</v>
      </c>
      <c r="I690" s="19">
        <v>7.1325050453587613E-2</v>
      </c>
      <c r="J690" s="19">
        <v>0.21974038070668844</v>
      </c>
    </row>
    <row r="691" spans="1:10" ht="11.25" customHeight="1" x14ac:dyDescent="0.2">
      <c r="A691" s="28">
        <v>44652</v>
      </c>
      <c r="B691" s="18">
        <v>0</v>
      </c>
      <c r="C691" s="18">
        <v>0</v>
      </c>
      <c r="D691" s="18">
        <v>3371385.8630999993</v>
      </c>
      <c r="E691" s="18">
        <v>4589187.9372906862</v>
      </c>
      <c r="F691" s="18">
        <v>3213768.14855</v>
      </c>
      <c r="G691" s="18">
        <v>3442990.3238914618</v>
      </c>
      <c r="H691" s="19">
        <v>0.36121705543100147</v>
      </c>
      <c r="I691" s="19">
        <v>7.1325050453587613E-2</v>
      </c>
      <c r="J691" s="19">
        <v>0.21974038070668844</v>
      </c>
    </row>
    <row r="692" spans="1:10" ht="11.25" customHeight="1" x14ac:dyDescent="0.2">
      <c r="A692" s="28">
        <v>44682</v>
      </c>
      <c r="B692" s="18">
        <v>0</v>
      </c>
      <c r="C692" s="18">
        <v>0</v>
      </c>
      <c r="D692" s="18">
        <v>3371385.8630999993</v>
      </c>
      <c r="E692" s="18">
        <v>4589187.9372906862</v>
      </c>
      <c r="F692" s="18">
        <v>3213768.14855</v>
      </c>
      <c r="G692" s="18">
        <v>3442990.3238914618</v>
      </c>
      <c r="H692" s="19">
        <v>0.36121705543100147</v>
      </c>
      <c r="I692" s="19">
        <v>7.1325050453587613E-2</v>
      </c>
      <c r="J692" s="19">
        <v>0.21974038070668844</v>
      </c>
    </row>
    <row r="693" spans="1:10" ht="11.25" customHeight="1" x14ac:dyDescent="0.2">
      <c r="A693" s="21" t="s">
        <v>37</v>
      </c>
      <c r="B693" s="18">
        <v>0</v>
      </c>
      <c r="C693" s="18">
        <v>0</v>
      </c>
      <c r="D693" s="18">
        <v>77356164.90151763</v>
      </c>
      <c r="E693" s="18">
        <v>98576915.073181719</v>
      </c>
      <c r="F693" s="18">
        <v>73741826.644541398</v>
      </c>
      <c r="G693" s="18">
        <v>73957843.990469307</v>
      </c>
      <c r="H693" s="19">
        <v>0.2743252615829701</v>
      </c>
      <c r="I693" s="19">
        <v>2.929373406618474E-3</v>
      </c>
      <c r="J693" s="19">
        <v>0.14187327904393521</v>
      </c>
    </row>
    <row r="694" spans="1:10" ht="11.25" customHeight="1" x14ac:dyDescent="0.2">
      <c r="A694" s="22" t="s">
        <v>33</v>
      </c>
      <c r="B694" s="18">
        <v>0</v>
      </c>
      <c r="C694" s="18">
        <v>0</v>
      </c>
      <c r="D694" s="18">
        <v>149441.37926000007</v>
      </c>
      <c r="E694" s="18">
        <v>190788.14311329342</v>
      </c>
      <c r="F694" s="18">
        <v>144305.53875000021</v>
      </c>
      <c r="G694" s="18">
        <v>144679.73261899693</v>
      </c>
      <c r="H694" s="19">
        <v>0.2766754700607903</v>
      </c>
      <c r="I694" s="19">
        <v>2.5930665741458192E-3</v>
      </c>
      <c r="J694" s="19">
        <v>0.1420302824108941</v>
      </c>
    </row>
    <row r="695" spans="1:10" ht="11.25" customHeight="1" x14ac:dyDescent="0.2">
      <c r="A695" s="23" t="s">
        <v>43</v>
      </c>
      <c r="B695" s="18">
        <v>0</v>
      </c>
      <c r="C695" s="18">
        <v>0</v>
      </c>
      <c r="D695" s="18">
        <v>123355.36338000002</v>
      </c>
      <c r="E695" s="18">
        <v>157456.14616781584</v>
      </c>
      <c r="F695" s="18">
        <v>119086.89834000001</v>
      </c>
      <c r="G695" s="18">
        <v>119406.04861223426</v>
      </c>
      <c r="H695" s="19">
        <v>0.27644345453198738</v>
      </c>
      <c r="I695" s="19">
        <v>2.6799780385835525E-3</v>
      </c>
      <c r="J695" s="19">
        <v>0.14197167117588627</v>
      </c>
    </row>
    <row r="696" spans="1:10" ht="11.25" customHeight="1" x14ac:dyDescent="0.2">
      <c r="A696" s="24" t="s">
        <v>25</v>
      </c>
      <c r="B696" s="18">
        <v>0</v>
      </c>
      <c r="C696" s="18">
        <v>0</v>
      </c>
      <c r="D696" s="18">
        <v>123355.36338000002</v>
      </c>
      <c r="E696" s="18">
        <v>157456.14616781584</v>
      </c>
      <c r="F696" s="18">
        <v>119086.89834000001</v>
      </c>
      <c r="G696" s="18">
        <v>119406.04861223426</v>
      </c>
      <c r="H696" s="19">
        <v>0.27644345453198738</v>
      </c>
      <c r="I696" s="19">
        <v>2.6799780385835525E-3</v>
      </c>
      <c r="J696" s="19">
        <v>0.14197167117588627</v>
      </c>
    </row>
    <row r="697" spans="1:10" ht="11.25" customHeight="1" x14ac:dyDescent="0.2">
      <c r="A697" s="25" t="s">
        <v>25</v>
      </c>
      <c r="B697" s="18">
        <v>0</v>
      </c>
      <c r="C697" s="18">
        <v>0</v>
      </c>
      <c r="D697" s="18">
        <v>123355.36338000002</v>
      </c>
      <c r="E697" s="18">
        <v>157456.14616781584</v>
      </c>
      <c r="F697" s="18">
        <v>119086.89834000001</v>
      </c>
      <c r="G697" s="18">
        <v>119406.04861223426</v>
      </c>
      <c r="H697" s="19">
        <v>0.27644345453198738</v>
      </c>
      <c r="I697" s="19">
        <v>2.6799780385835525E-3</v>
      </c>
      <c r="J697" s="19">
        <v>0.14197167117588627</v>
      </c>
    </row>
    <row r="698" spans="1:10" ht="11.25" customHeight="1" x14ac:dyDescent="0.2">
      <c r="A698" s="26" t="s">
        <v>25</v>
      </c>
      <c r="B698" s="18">
        <v>0</v>
      </c>
      <c r="C698" s="18">
        <v>0</v>
      </c>
      <c r="D698" s="18">
        <v>123355.36338000002</v>
      </c>
      <c r="E698" s="18">
        <v>157456.14616781584</v>
      </c>
      <c r="F698" s="18">
        <v>119086.89834000001</v>
      </c>
      <c r="G698" s="18">
        <v>119406.04861223426</v>
      </c>
      <c r="H698" s="19">
        <v>0.27644345453198738</v>
      </c>
      <c r="I698" s="19">
        <v>2.6799780385835525E-3</v>
      </c>
      <c r="J698" s="19">
        <v>0.14197167117588627</v>
      </c>
    </row>
    <row r="699" spans="1:10" ht="11.25" customHeight="1" x14ac:dyDescent="0.2">
      <c r="A699" s="27" t="s">
        <v>35</v>
      </c>
      <c r="B699" s="18">
        <v>0</v>
      </c>
      <c r="C699" s="18">
        <v>0</v>
      </c>
      <c r="D699" s="18">
        <v>85226.232780000006</v>
      </c>
      <c r="E699" s="18">
        <v>111319.71405586784</v>
      </c>
      <c r="F699" s="18">
        <v>97941.208320000005</v>
      </c>
      <c r="G699" s="18">
        <v>97975.349564606062</v>
      </c>
      <c r="H699" s="19">
        <v>0.30616724950432395</v>
      </c>
      <c r="I699" s="19">
        <v>3.4858917090851982E-4</v>
      </c>
      <c r="J699" s="19">
        <v>0.14264337790366111</v>
      </c>
    </row>
    <row r="700" spans="1:10" ht="11.25" customHeight="1" x14ac:dyDescent="0.2">
      <c r="A700" s="28">
        <v>44348</v>
      </c>
      <c r="B700" s="18">
        <v>0</v>
      </c>
      <c r="C700" s="18">
        <v>0</v>
      </c>
      <c r="D700" s="18">
        <v>5588.3170200000013</v>
      </c>
      <c r="E700" s="18">
        <v>7299.2766713716001</v>
      </c>
      <c r="F700" s="18">
        <v>6422.0428800000009</v>
      </c>
      <c r="G700" s="18">
        <v>6424.2815346030802</v>
      </c>
      <c r="H700" s="19">
        <v>0.30616724950432372</v>
      </c>
      <c r="I700" s="19">
        <v>3.4858917090874186E-4</v>
      </c>
      <c r="J700" s="19">
        <v>0.14264337790366111</v>
      </c>
    </row>
    <row r="701" spans="1:10" ht="11.25" customHeight="1" x14ac:dyDescent="0.2">
      <c r="A701" s="28">
        <v>44378</v>
      </c>
      <c r="B701" s="18">
        <v>0</v>
      </c>
      <c r="C701" s="18">
        <v>0</v>
      </c>
      <c r="D701" s="18">
        <v>5291.4030000000012</v>
      </c>
      <c r="E701" s="18">
        <v>6911.4573025289292</v>
      </c>
      <c r="F701" s="18">
        <v>6080.8320000000012</v>
      </c>
      <c r="G701" s="18">
        <v>6082.951712185316</v>
      </c>
      <c r="H701" s="19">
        <v>0.30616724950432395</v>
      </c>
      <c r="I701" s="19">
        <v>3.4858917090874186E-4</v>
      </c>
      <c r="J701" s="19">
        <v>0.14264337790366111</v>
      </c>
    </row>
    <row r="702" spans="1:10" ht="11.25" customHeight="1" x14ac:dyDescent="0.2">
      <c r="A702" s="28">
        <v>44409</v>
      </c>
      <c r="B702" s="18">
        <v>0</v>
      </c>
      <c r="C702" s="18">
        <v>0</v>
      </c>
      <c r="D702" s="18">
        <v>5476.8051000000005</v>
      </c>
      <c r="E702" s="18">
        <v>7153.6234535382537</v>
      </c>
      <c r="F702" s="18">
        <v>6293.8944000000001</v>
      </c>
      <c r="G702" s="18">
        <v>6296.0883834306833</v>
      </c>
      <c r="H702" s="19">
        <v>0.30616724950432372</v>
      </c>
      <c r="I702" s="19">
        <v>3.4858917090874186E-4</v>
      </c>
      <c r="J702" s="19">
        <v>0.14264337790366133</v>
      </c>
    </row>
    <row r="703" spans="1:10" ht="11.25" customHeight="1" x14ac:dyDescent="0.2">
      <c r="A703" s="28">
        <v>44440</v>
      </c>
      <c r="B703" s="18">
        <v>0</v>
      </c>
      <c r="C703" s="18">
        <v>0</v>
      </c>
      <c r="D703" s="18">
        <v>6391.0945800000009</v>
      </c>
      <c r="E703" s="18">
        <v>8347.8384288805937</v>
      </c>
      <c r="F703" s="18">
        <v>7344.5875200000009</v>
      </c>
      <c r="G703" s="18">
        <v>7347.1477636742648</v>
      </c>
      <c r="H703" s="19">
        <v>0.30616724950432395</v>
      </c>
      <c r="I703" s="19">
        <v>3.4858917090874186E-4</v>
      </c>
      <c r="J703" s="19">
        <v>0.14264337790366133</v>
      </c>
    </row>
    <row r="704" spans="1:10" ht="11.25" customHeight="1" x14ac:dyDescent="0.2">
      <c r="A704" s="28">
        <v>44470</v>
      </c>
      <c r="B704" s="18">
        <v>0</v>
      </c>
      <c r="C704" s="18">
        <v>0</v>
      </c>
      <c r="D704" s="18">
        <v>7159.2276600000005</v>
      </c>
      <c r="E704" s="18">
        <v>9351.1487012374764</v>
      </c>
      <c r="F704" s="18">
        <v>8227.3190400000003</v>
      </c>
      <c r="G704" s="18">
        <v>8230.1869943229558</v>
      </c>
      <c r="H704" s="19">
        <v>0.30616724950432372</v>
      </c>
      <c r="I704" s="19">
        <v>3.4858917090874186E-4</v>
      </c>
      <c r="J704" s="19">
        <v>0.14264337790366111</v>
      </c>
    </row>
    <row r="705" spans="1:10" ht="11.25" customHeight="1" x14ac:dyDescent="0.2">
      <c r="A705" s="28">
        <v>44501</v>
      </c>
      <c r="B705" s="18">
        <v>0</v>
      </c>
      <c r="C705" s="18">
        <v>0</v>
      </c>
      <c r="D705" s="18">
        <v>6883.69578</v>
      </c>
      <c r="E705" s="18">
        <v>8991.2579833871205</v>
      </c>
      <c r="F705" s="18">
        <v>7910.6803200000004</v>
      </c>
      <c r="G705" s="18">
        <v>7913.4378974940719</v>
      </c>
      <c r="H705" s="19">
        <v>0.30616724950432372</v>
      </c>
      <c r="I705" s="19">
        <v>3.4858917090851982E-4</v>
      </c>
      <c r="J705" s="19">
        <v>0.14264337790366088</v>
      </c>
    </row>
    <row r="706" spans="1:10" ht="11.25" customHeight="1" x14ac:dyDescent="0.2">
      <c r="A706" s="28">
        <v>44531</v>
      </c>
      <c r="B706" s="18">
        <v>0</v>
      </c>
      <c r="C706" s="18">
        <v>0</v>
      </c>
      <c r="D706" s="18">
        <v>9064.1327400000009</v>
      </c>
      <c r="E706" s="18">
        <v>11839.273330147891</v>
      </c>
      <c r="F706" s="18">
        <v>10416.418560000002</v>
      </c>
      <c r="G706" s="18">
        <v>10420.04961070967</v>
      </c>
      <c r="H706" s="19">
        <v>0.30616724950432372</v>
      </c>
      <c r="I706" s="19">
        <v>3.4858917090874186E-4</v>
      </c>
      <c r="J706" s="19">
        <v>0.14264337790366111</v>
      </c>
    </row>
    <row r="707" spans="1:10" ht="11.25" customHeight="1" x14ac:dyDescent="0.2">
      <c r="A707" s="28">
        <v>44562</v>
      </c>
      <c r="B707" s="18">
        <v>0</v>
      </c>
      <c r="C707" s="18">
        <v>0</v>
      </c>
      <c r="D707" s="18">
        <v>7353.5615400000006</v>
      </c>
      <c r="E707" s="18">
        <v>9604.9812507625811</v>
      </c>
      <c r="F707" s="18">
        <v>8450.6457600000031</v>
      </c>
      <c r="G707" s="18">
        <v>8453.5915635991223</v>
      </c>
      <c r="H707" s="19">
        <v>0.30616724950432395</v>
      </c>
      <c r="I707" s="19">
        <v>3.4858917090851982E-4</v>
      </c>
      <c r="J707" s="19">
        <v>0.14264337790366088</v>
      </c>
    </row>
    <row r="708" spans="1:10" ht="11.25" customHeight="1" x14ac:dyDescent="0.2">
      <c r="A708" s="28">
        <v>44593</v>
      </c>
      <c r="B708" s="18">
        <v>0</v>
      </c>
      <c r="C708" s="18">
        <v>0</v>
      </c>
      <c r="D708" s="18">
        <v>8280.3013800000008</v>
      </c>
      <c r="E708" s="18">
        <v>10815.458478581459</v>
      </c>
      <c r="F708" s="18">
        <v>9515.6467200000006</v>
      </c>
      <c r="G708" s="18">
        <v>9518.9637714007858</v>
      </c>
      <c r="H708" s="19">
        <v>0.30616724950432395</v>
      </c>
      <c r="I708" s="19">
        <v>3.4858917090874186E-4</v>
      </c>
      <c r="J708" s="19">
        <v>0.14264337790366111</v>
      </c>
    </row>
    <row r="709" spans="1:10" ht="11.25" customHeight="1" x14ac:dyDescent="0.2">
      <c r="A709" s="28">
        <v>44621</v>
      </c>
      <c r="B709" s="18">
        <v>0</v>
      </c>
      <c r="C709" s="18">
        <v>0</v>
      </c>
      <c r="D709" s="18">
        <v>8040.4966200000008</v>
      </c>
      <c r="E709" s="18">
        <v>10502.233354794214</v>
      </c>
      <c r="F709" s="18">
        <v>9240.0652800000025</v>
      </c>
      <c r="G709" s="18">
        <v>9243.2862666950987</v>
      </c>
      <c r="H709" s="19">
        <v>0.30616724950432395</v>
      </c>
      <c r="I709" s="19">
        <v>3.4858917090851982E-4</v>
      </c>
      <c r="J709" s="19">
        <v>0.14264337790366133</v>
      </c>
    </row>
    <row r="710" spans="1:10" ht="11.25" customHeight="1" x14ac:dyDescent="0.2">
      <c r="A710" s="28">
        <v>44652</v>
      </c>
      <c r="B710" s="18">
        <v>0</v>
      </c>
      <c r="C710" s="18">
        <v>0</v>
      </c>
      <c r="D710" s="18">
        <v>7848.598680000001</v>
      </c>
      <c r="E710" s="18">
        <v>10251.582550318868</v>
      </c>
      <c r="F710" s="18">
        <v>9019.5379199999988</v>
      </c>
      <c r="G710" s="18">
        <v>9022.6820332455136</v>
      </c>
      <c r="H710" s="19">
        <v>0.30616724950432395</v>
      </c>
      <c r="I710" s="19">
        <v>3.4858917090896391E-4</v>
      </c>
      <c r="J710" s="19">
        <v>0.14264337790366155</v>
      </c>
    </row>
    <row r="711" spans="1:10" ht="11.25" customHeight="1" x14ac:dyDescent="0.2">
      <c r="A711" s="28">
        <v>44682</v>
      </c>
      <c r="B711" s="18">
        <v>0</v>
      </c>
      <c r="C711" s="18">
        <v>0</v>
      </c>
      <c r="D711" s="18">
        <v>7848.598680000001</v>
      </c>
      <c r="E711" s="18">
        <v>10251.582550318868</v>
      </c>
      <c r="F711" s="18">
        <v>9019.5379199999988</v>
      </c>
      <c r="G711" s="18">
        <v>9022.6820332455136</v>
      </c>
      <c r="H711" s="19">
        <v>0.30616724950432395</v>
      </c>
      <c r="I711" s="19">
        <v>3.4858917090896391E-4</v>
      </c>
      <c r="J711" s="19">
        <v>0.14264337790366155</v>
      </c>
    </row>
    <row r="712" spans="1:10" ht="11.25" customHeight="1" x14ac:dyDescent="0.2">
      <c r="A712" s="27" t="s">
        <v>36</v>
      </c>
      <c r="B712" s="18">
        <v>0</v>
      </c>
      <c r="C712" s="18">
        <v>0</v>
      </c>
      <c r="D712" s="18">
        <v>14057.055359999998</v>
      </c>
      <c r="E712" s="18">
        <v>17228.659004487439</v>
      </c>
      <c r="F712" s="18">
        <v>7591.8643200000006</v>
      </c>
      <c r="G712" s="18">
        <v>7594.51076168896</v>
      </c>
      <c r="H712" s="19">
        <v>0.22562361485125759</v>
      </c>
      <c r="I712" s="19">
        <v>3.4858917090874186E-4</v>
      </c>
      <c r="J712" s="19">
        <v>0.14662394858940164</v>
      </c>
    </row>
    <row r="713" spans="1:10" ht="11.25" customHeight="1" x14ac:dyDescent="0.2">
      <c r="A713" s="28">
        <v>44348</v>
      </c>
      <c r="B713" s="18">
        <v>0</v>
      </c>
      <c r="C713" s="18">
        <v>0</v>
      </c>
      <c r="D713" s="18">
        <v>1057.38912</v>
      </c>
      <c r="E713" s="18">
        <v>1295.9610755587898</v>
      </c>
      <c r="F713" s="18">
        <v>571.0694400000001</v>
      </c>
      <c r="G713" s="18">
        <v>571.26850862262097</v>
      </c>
      <c r="H713" s="19">
        <v>0.22562361485125715</v>
      </c>
      <c r="I713" s="19">
        <v>3.4858917090874186E-4</v>
      </c>
      <c r="J713" s="19">
        <v>0.14662394858940142</v>
      </c>
    </row>
    <row r="714" spans="1:10" ht="11.25" customHeight="1" x14ac:dyDescent="0.2">
      <c r="A714" s="28">
        <v>44378</v>
      </c>
      <c r="B714" s="18">
        <v>0</v>
      </c>
      <c r="C714" s="18">
        <v>0</v>
      </c>
      <c r="D714" s="18">
        <v>943.35696000000007</v>
      </c>
      <c r="E714" s="18">
        <v>1156.2005674102929</v>
      </c>
      <c r="F714" s="18">
        <v>509.48352000000006</v>
      </c>
      <c r="G714" s="18">
        <v>509.66112043782852</v>
      </c>
      <c r="H714" s="19">
        <v>0.22562361485125715</v>
      </c>
      <c r="I714" s="19">
        <v>3.4858917090874186E-4</v>
      </c>
      <c r="J714" s="19">
        <v>0.14662394858940142</v>
      </c>
    </row>
    <row r="715" spans="1:10" ht="11.25" customHeight="1" x14ac:dyDescent="0.2">
      <c r="A715" s="28">
        <v>44409</v>
      </c>
      <c r="B715" s="18">
        <v>0</v>
      </c>
      <c r="C715" s="18">
        <v>0</v>
      </c>
      <c r="D715" s="18">
        <v>1005.55632</v>
      </c>
      <c r="E715" s="18">
        <v>1232.4335718549278</v>
      </c>
      <c r="F715" s="18">
        <v>543.07584000000008</v>
      </c>
      <c r="G715" s="18">
        <v>543.2651503568062</v>
      </c>
      <c r="H715" s="19">
        <v>0.22562361485125737</v>
      </c>
      <c r="I715" s="19">
        <v>3.4858917090874186E-4</v>
      </c>
      <c r="J715" s="19">
        <v>0.14662394858940164</v>
      </c>
    </row>
    <row r="716" spans="1:10" ht="11.25" customHeight="1" x14ac:dyDescent="0.2">
      <c r="A716" s="28">
        <v>44440</v>
      </c>
      <c r="B716" s="18">
        <v>0</v>
      </c>
      <c r="C716" s="18">
        <v>0</v>
      </c>
      <c r="D716" s="18">
        <v>1144.92896</v>
      </c>
      <c r="E716" s="18">
        <v>1403.2519707030906</v>
      </c>
      <c r="F716" s="18">
        <v>618.34752000000003</v>
      </c>
      <c r="G716" s="18">
        <v>618.56306924933028</v>
      </c>
      <c r="H716" s="19">
        <v>0.22562361485125737</v>
      </c>
      <c r="I716" s="19">
        <v>3.4858917090874186E-4</v>
      </c>
      <c r="J716" s="19">
        <v>0.14662394858940142</v>
      </c>
    </row>
    <row r="717" spans="1:10" ht="11.25" customHeight="1" x14ac:dyDescent="0.2">
      <c r="A717" s="28">
        <v>44470</v>
      </c>
      <c r="B717" s="18">
        <v>0</v>
      </c>
      <c r="C717" s="18">
        <v>0</v>
      </c>
      <c r="D717" s="18">
        <v>1252.05008</v>
      </c>
      <c r="E717" s="18">
        <v>1534.542145024406</v>
      </c>
      <c r="F717" s="18">
        <v>676.20096000000001</v>
      </c>
      <c r="G717" s="18">
        <v>676.43667633201414</v>
      </c>
      <c r="H717" s="19">
        <v>0.22562361485125737</v>
      </c>
      <c r="I717" s="19">
        <v>3.4858917090874186E-4</v>
      </c>
      <c r="J717" s="19">
        <v>0.14662394858940164</v>
      </c>
    </row>
    <row r="718" spans="1:10" ht="11.25" customHeight="1" x14ac:dyDescent="0.2">
      <c r="A718" s="28">
        <v>44501</v>
      </c>
      <c r="B718" s="18">
        <v>0</v>
      </c>
      <c r="C718" s="18">
        <v>0</v>
      </c>
      <c r="D718" s="18">
        <v>1059.6927999999998</v>
      </c>
      <c r="E718" s="18">
        <v>1298.7845201678506</v>
      </c>
      <c r="F718" s="18">
        <v>572.31360000000006</v>
      </c>
      <c r="G718" s="18">
        <v>572.51310232332389</v>
      </c>
      <c r="H718" s="19">
        <v>0.22562361485125759</v>
      </c>
      <c r="I718" s="19">
        <v>3.4858917090874186E-4</v>
      </c>
      <c r="J718" s="19">
        <v>0.14662394858940186</v>
      </c>
    </row>
    <row r="719" spans="1:10" ht="11.25" customHeight="1" x14ac:dyDescent="0.2">
      <c r="A719" s="28">
        <v>44531</v>
      </c>
      <c r="B719" s="18">
        <v>0</v>
      </c>
      <c r="C719" s="18">
        <v>0</v>
      </c>
      <c r="D719" s="18">
        <v>1455.3498400000001</v>
      </c>
      <c r="E719" s="18">
        <v>1783.7111317739991</v>
      </c>
      <c r="F719" s="18">
        <v>785.99808000000019</v>
      </c>
      <c r="G719" s="18">
        <v>786.27207041904308</v>
      </c>
      <c r="H719" s="19">
        <v>0.22562361485125737</v>
      </c>
      <c r="I719" s="19">
        <v>3.4858917090851982E-4</v>
      </c>
      <c r="J719" s="19">
        <v>0.14662394858940164</v>
      </c>
    </row>
    <row r="720" spans="1:10" ht="11.25" customHeight="1" x14ac:dyDescent="0.2">
      <c r="A720" s="28">
        <v>44562</v>
      </c>
      <c r="B720" s="18">
        <v>0</v>
      </c>
      <c r="C720" s="18">
        <v>0</v>
      </c>
      <c r="D720" s="18">
        <v>1120.7403199999999</v>
      </c>
      <c r="E720" s="18">
        <v>1373.6058023079549</v>
      </c>
      <c r="F720" s="18">
        <v>605.28384000000017</v>
      </c>
      <c r="G720" s="18">
        <v>605.49483539195012</v>
      </c>
      <c r="H720" s="19">
        <v>0.22562361485125759</v>
      </c>
      <c r="I720" s="19">
        <v>3.4858917090851982E-4</v>
      </c>
      <c r="J720" s="19">
        <v>0.14662394858940164</v>
      </c>
    </row>
    <row r="721" spans="1:10" ht="11.25" customHeight="1" x14ac:dyDescent="0.2">
      <c r="A721" s="28">
        <v>44593</v>
      </c>
      <c r="B721" s="18">
        <v>0</v>
      </c>
      <c r="C721" s="18">
        <v>0</v>
      </c>
      <c r="D721" s="18">
        <v>1366.65816</v>
      </c>
      <c r="E721" s="18">
        <v>1675.0085143251679</v>
      </c>
      <c r="F721" s="18">
        <v>738.09792000000016</v>
      </c>
      <c r="G721" s="18">
        <v>738.35521294198224</v>
      </c>
      <c r="H721" s="19">
        <v>0.22562361485125737</v>
      </c>
      <c r="I721" s="19">
        <v>3.4858917090851982E-4</v>
      </c>
      <c r="J721" s="19">
        <v>0.14662394858940142</v>
      </c>
    </row>
    <row r="722" spans="1:10" ht="11.25" customHeight="1" x14ac:dyDescent="0.2">
      <c r="A722" s="28">
        <v>44621</v>
      </c>
      <c r="B722" s="18">
        <v>0</v>
      </c>
      <c r="C722" s="18">
        <v>0</v>
      </c>
      <c r="D722" s="18">
        <v>1212.88752</v>
      </c>
      <c r="E722" s="18">
        <v>1486.5435866703765</v>
      </c>
      <c r="F722" s="18">
        <v>655.05024000000003</v>
      </c>
      <c r="G722" s="18">
        <v>655.27858342006527</v>
      </c>
      <c r="H722" s="19">
        <v>0.22562361485125715</v>
      </c>
      <c r="I722" s="19">
        <v>3.4858917090874186E-4</v>
      </c>
      <c r="J722" s="19">
        <v>0.14662394858940164</v>
      </c>
    </row>
    <row r="723" spans="1:10" ht="11.25" customHeight="1" x14ac:dyDescent="0.2">
      <c r="A723" s="28">
        <v>44652</v>
      </c>
      <c r="B723" s="18">
        <v>0</v>
      </c>
      <c r="C723" s="18">
        <v>0</v>
      </c>
      <c r="D723" s="18">
        <v>1219.22264</v>
      </c>
      <c r="E723" s="18">
        <v>1494.308059345293</v>
      </c>
      <c r="F723" s="18">
        <v>658.47167999999999</v>
      </c>
      <c r="G723" s="18">
        <v>658.70121609699811</v>
      </c>
      <c r="H723" s="19">
        <v>0.22562361485125737</v>
      </c>
      <c r="I723" s="19">
        <v>3.4858917090874186E-4</v>
      </c>
      <c r="J723" s="19">
        <v>0.14662394858940142</v>
      </c>
    </row>
    <row r="724" spans="1:10" ht="11.25" customHeight="1" x14ac:dyDescent="0.2">
      <c r="A724" s="28">
        <v>44682</v>
      </c>
      <c r="B724" s="18">
        <v>0</v>
      </c>
      <c r="C724" s="18">
        <v>0</v>
      </c>
      <c r="D724" s="18">
        <v>1219.22264</v>
      </c>
      <c r="E724" s="18">
        <v>1494.308059345293</v>
      </c>
      <c r="F724" s="18">
        <v>658.47167999999999</v>
      </c>
      <c r="G724" s="18">
        <v>658.70121609699811</v>
      </c>
      <c r="H724" s="19">
        <v>0.22562361485125737</v>
      </c>
      <c r="I724" s="19">
        <v>3.4858917090874186E-4</v>
      </c>
      <c r="J724" s="19">
        <v>0.14662394858940142</v>
      </c>
    </row>
    <row r="725" spans="1:10" ht="11.25" customHeight="1" x14ac:dyDescent="0.2">
      <c r="A725" s="27" t="s">
        <v>34</v>
      </c>
      <c r="B725" s="18">
        <v>0</v>
      </c>
      <c r="C725" s="18">
        <v>0</v>
      </c>
      <c r="D725" s="18">
        <v>24072.075240000002</v>
      </c>
      <c r="E725" s="18">
        <v>28907.773107460507</v>
      </c>
      <c r="F725" s="18">
        <v>13553.825700000001</v>
      </c>
      <c r="G725" s="18">
        <v>13836.188285939217</v>
      </c>
      <c r="H725" s="19">
        <v>0.20088412898548746</v>
      </c>
      <c r="I725" s="19">
        <v>2.0832685338370016E-2</v>
      </c>
      <c r="J725" s="19">
        <v>0.13602492765718033</v>
      </c>
    </row>
    <row r="726" spans="1:10" ht="11.25" customHeight="1" x14ac:dyDescent="0.2">
      <c r="A726" s="28">
        <v>44348</v>
      </c>
      <c r="B726" s="18">
        <v>0</v>
      </c>
      <c r="C726" s="18">
        <v>0</v>
      </c>
      <c r="D726" s="18">
        <v>2010.8527599999998</v>
      </c>
      <c r="E726" s="18">
        <v>2414.8011652106625</v>
      </c>
      <c r="F726" s="18">
        <v>1132.2142999999999</v>
      </c>
      <c r="G726" s="18">
        <v>1155.8013642475032</v>
      </c>
      <c r="H726" s="19">
        <v>0.20088412898548702</v>
      </c>
      <c r="I726" s="19">
        <v>2.083268533837046E-2</v>
      </c>
      <c r="J726" s="19">
        <v>0.13602492765718033</v>
      </c>
    </row>
    <row r="727" spans="1:10" ht="11.25" customHeight="1" x14ac:dyDescent="0.2">
      <c r="A727" s="28">
        <v>44378</v>
      </c>
      <c r="B727" s="18">
        <v>0</v>
      </c>
      <c r="C727" s="18">
        <v>0</v>
      </c>
      <c r="D727" s="18">
        <v>1984.4173599999999</v>
      </c>
      <c r="E727" s="18">
        <v>2383.05531290728</v>
      </c>
      <c r="F727" s="18">
        <v>1117.3298</v>
      </c>
      <c r="G727" s="18">
        <v>1140.6067801425841</v>
      </c>
      <c r="H727" s="19">
        <v>0.20088412898548724</v>
      </c>
      <c r="I727" s="19">
        <v>2.0832685338370238E-2</v>
      </c>
      <c r="J727" s="19">
        <v>0.13602492765718011</v>
      </c>
    </row>
    <row r="728" spans="1:10" ht="11.25" customHeight="1" x14ac:dyDescent="0.2">
      <c r="A728" s="28">
        <v>44409</v>
      </c>
      <c r="B728" s="18">
        <v>0</v>
      </c>
      <c r="C728" s="18">
        <v>0</v>
      </c>
      <c r="D728" s="18">
        <v>2023.1892800000001</v>
      </c>
      <c r="E728" s="18">
        <v>2429.6158962855748</v>
      </c>
      <c r="F728" s="18">
        <v>1139.1604</v>
      </c>
      <c r="G728" s="18">
        <v>1162.8921701631321</v>
      </c>
      <c r="H728" s="19">
        <v>0.20088412898548702</v>
      </c>
      <c r="I728" s="19">
        <v>2.0832685338370238E-2</v>
      </c>
      <c r="J728" s="19">
        <v>0.13602492765718011</v>
      </c>
    </row>
    <row r="729" spans="1:10" ht="11.25" customHeight="1" x14ac:dyDescent="0.2">
      <c r="A729" s="28">
        <v>44440</v>
      </c>
      <c r="B729" s="18">
        <v>0</v>
      </c>
      <c r="C729" s="18">
        <v>0</v>
      </c>
      <c r="D729" s="18">
        <v>2109.5449199999998</v>
      </c>
      <c r="E729" s="18">
        <v>2533.319013809959</v>
      </c>
      <c r="F729" s="18">
        <v>1187.7830999999999</v>
      </c>
      <c r="G729" s="18">
        <v>1212.5278115725339</v>
      </c>
      <c r="H729" s="19">
        <v>0.20088412898548724</v>
      </c>
      <c r="I729" s="19">
        <v>2.0832685338370238E-2</v>
      </c>
      <c r="J729" s="19">
        <v>0.13602492765718011</v>
      </c>
    </row>
    <row r="730" spans="1:10" ht="11.25" customHeight="1" x14ac:dyDescent="0.2">
      <c r="A730" s="28">
        <v>44470</v>
      </c>
      <c r="B730" s="18">
        <v>0</v>
      </c>
      <c r="C730" s="18">
        <v>0</v>
      </c>
      <c r="D730" s="18">
        <v>2146.5544799999998</v>
      </c>
      <c r="E730" s="18">
        <v>2577.7632070346949</v>
      </c>
      <c r="F730" s="18">
        <v>1208.6213999999998</v>
      </c>
      <c r="G730" s="18">
        <v>1233.8002293194204</v>
      </c>
      <c r="H730" s="19">
        <v>0.20088412898548702</v>
      </c>
      <c r="I730" s="19">
        <v>2.0832685338370238E-2</v>
      </c>
      <c r="J730" s="19">
        <v>0.13602492765718011</v>
      </c>
    </row>
    <row r="731" spans="1:10" ht="11.25" customHeight="1" x14ac:dyDescent="0.2">
      <c r="A731" s="28">
        <v>44501</v>
      </c>
      <c r="B731" s="18">
        <v>0</v>
      </c>
      <c r="C731" s="18">
        <v>0</v>
      </c>
      <c r="D731" s="18">
        <v>1871.6263199999999</v>
      </c>
      <c r="E731" s="18">
        <v>2247.6063430795125</v>
      </c>
      <c r="F731" s="18">
        <v>1053.8226</v>
      </c>
      <c r="G731" s="18">
        <v>1075.7765546282633</v>
      </c>
      <c r="H731" s="19">
        <v>0.20088412898548724</v>
      </c>
      <c r="I731" s="19">
        <v>2.0832685338370238E-2</v>
      </c>
      <c r="J731" s="19">
        <v>0.13602492765718011</v>
      </c>
    </row>
    <row r="732" spans="1:10" ht="11.25" customHeight="1" x14ac:dyDescent="0.2">
      <c r="A732" s="28">
        <v>44531</v>
      </c>
      <c r="B732" s="18">
        <v>0</v>
      </c>
      <c r="C732" s="18">
        <v>0</v>
      </c>
      <c r="D732" s="18">
        <v>2580.97622</v>
      </c>
      <c r="E732" s="18">
        <v>3099.4533798869547</v>
      </c>
      <c r="F732" s="18">
        <v>1453.22335</v>
      </c>
      <c r="G732" s="18">
        <v>1483.4978947769223</v>
      </c>
      <c r="H732" s="19">
        <v>0.20088412898548702</v>
      </c>
      <c r="I732" s="19">
        <v>2.0832685338370238E-2</v>
      </c>
      <c r="J732" s="19">
        <v>0.13602492765718033</v>
      </c>
    </row>
    <row r="733" spans="1:10" ht="11.25" customHeight="1" x14ac:dyDescent="0.2">
      <c r="A733" s="28">
        <v>44562</v>
      </c>
      <c r="B733" s="18">
        <v>0</v>
      </c>
      <c r="C733" s="18">
        <v>0</v>
      </c>
      <c r="D733" s="18">
        <v>1892.7746399999999</v>
      </c>
      <c r="E733" s="18">
        <v>2273.0030249222191</v>
      </c>
      <c r="F733" s="18">
        <v>1065.7302</v>
      </c>
      <c r="G733" s="18">
        <v>1087.9322219121987</v>
      </c>
      <c r="H733" s="19">
        <v>0.20088412898548724</v>
      </c>
      <c r="I733" s="19">
        <v>2.083268533837046E-2</v>
      </c>
      <c r="J733" s="19">
        <v>0.13602492765718055</v>
      </c>
    </row>
    <row r="734" spans="1:10" ht="11.25" customHeight="1" x14ac:dyDescent="0.2">
      <c r="A734" s="28">
        <v>44593</v>
      </c>
      <c r="B734" s="18">
        <v>0</v>
      </c>
      <c r="C734" s="18">
        <v>0</v>
      </c>
      <c r="D734" s="18">
        <v>2162.41572</v>
      </c>
      <c r="E734" s="18">
        <v>2596.8107184167252</v>
      </c>
      <c r="F734" s="18">
        <v>1217.5520999999999</v>
      </c>
      <c r="G734" s="18">
        <v>1242.916979782372</v>
      </c>
      <c r="H734" s="19">
        <v>0.20088412898548724</v>
      </c>
      <c r="I734" s="19">
        <v>2.083268533837046E-2</v>
      </c>
      <c r="J734" s="19">
        <v>0.13602492765718033</v>
      </c>
    </row>
    <row r="735" spans="1:10" ht="11.25" customHeight="1" x14ac:dyDescent="0.2">
      <c r="A735" s="28">
        <v>44621</v>
      </c>
      <c r="B735" s="18">
        <v>0</v>
      </c>
      <c r="C735" s="18">
        <v>0</v>
      </c>
      <c r="D735" s="18">
        <v>1840.78502</v>
      </c>
      <c r="E735" s="18">
        <v>2210.5695153922329</v>
      </c>
      <c r="F735" s="18">
        <v>1036.4573499999999</v>
      </c>
      <c r="G735" s="18">
        <v>1058.0495398391911</v>
      </c>
      <c r="H735" s="19">
        <v>0.20088412898548724</v>
      </c>
      <c r="I735" s="19">
        <v>2.0832685338370238E-2</v>
      </c>
      <c r="J735" s="19">
        <v>0.13602492765718033</v>
      </c>
    </row>
    <row r="736" spans="1:10" ht="11.25" customHeight="1" x14ac:dyDescent="0.2">
      <c r="A736" s="28">
        <v>44652</v>
      </c>
      <c r="B736" s="18">
        <v>0</v>
      </c>
      <c r="C736" s="18">
        <v>0</v>
      </c>
      <c r="D736" s="18">
        <v>1724.4692600000001</v>
      </c>
      <c r="E736" s="18">
        <v>2070.8877652573474</v>
      </c>
      <c r="F736" s="18">
        <v>970.96555000000001</v>
      </c>
      <c r="G736" s="18">
        <v>991.19336977754767</v>
      </c>
      <c r="H736" s="19">
        <v>0.20088412898548702</v>
      </c>
      <c r="I736" s="19">
        <v>2.0832685338370238E-2</v>
      </c>
      <c r="J736" s="19">
        <v>0.13602492765718011</v>
      </c>
    </row>
    <row r="737" spans="1:10" ht="11.25" customHeight="1" x14ac:dyDescent="0.2">
      <c r="A737" s="28">
        <v>44682</v>
      </c>
      <c r="B737" s="18">
        <v>0</v>
      </c>
      <c r="C737" s="18">
        <v>0</v>
      </c>
      <c r="D737" s="18">
        <v>1724.4692600000001</v>
      </c>
      <c r="E737" s="18">
        <v>2070.8877652573474</v>
      </c>
      <c r="F737" s="18">
        <v>970.96555000000001</v>
      </c>
      <c r="G737" s="18">
        <v>991.19336977754767</v>
      </c>
      <c r="H737" s="19">
        <v>0.20088412898548702</v>
      </c>
      <c r="I737" s="19">
        <v>2.0832685338370238E-2</v>
      </c>
      <c r="J737" s="19">
        <v>0.13602492765718011</v>
      </c>
    </row>
    <row r="738" spans="1:10" ht="11.25" customHeight="1" x14ac:dyDescent="0.2">
      <c r="A738" s="23" t="s">
        <v>38</v>
      </c>
      <c r="B738" s="18">
        <v>0</v>
      </c>
      <c r="C738" s="18">
        <v>0</v>
      </c>
      <c r="D738" s="18">
        <v>24557.291779999996</v>
      </c>
      <c r="E738" s="18">
        <v>31376.279813241075</v>
      </c>
      <c r="F738" s="18">
        <v>23709.367010000002</v>
      </c>
      <c r="G738" s="18">
        <v>23760.429007732877</v>
      </c>
      <c r="H738" s="19">
        <v>0.27767671184306297</v>
      </c>
      <c r="I738" s="19">
        <v>2.1536634744967476E-3</v>
      </c>
      <c r="J738" s="19">
        <v>0.14233531392476051</v>
      </c>
    </row>
    <row r="739" spans="1:10" ht="11.25" customHeight="1" x14ac:dyDescent="0.2">
      <c r="A739" s="24" t="s">
        <v>25</v>
      </c>
      <c r="B739" s="18">
        <v>0</v>
      </c>
      <c r="C739" s="18">
        <v>0</v>
      </c>
      <c r="D739" s="18">
        <v>24557.291779999996</v>
      </c>
      <c r="E739" s="18">
        <v>31376.279813241075</v>
      </c>
      <c r="F739" s="18">
        <v>23709.367010000002</v>
      </c>
      <c r="G739" s="18">
        <v>23760.429007732877</v>
      </c>
      <c r="H739" s="19">
        <v>0.27767671184306297</v>
      </c>
      <c r="I739" s="19">
        <v>2.1536634744967476E-3</v>
      </c>
      <c r="J739" s="19">
        <v>0.14233531392476051</v>
      </c>
    </row>
    <row r="740" spans="1:10" ht="11.25" customHeight="1" x14ac:dyDescent="0.2">
      <c r="A740" s="25" t="s">
        <v>25</v>
      </c>
      <c r="B740" s="18">
        <v>0</v>
      </c>
      <c r="C740" s="18">
        <v>0</v>
      </c>
      <c r="D740" s="18">
        <v>24557.291779999996</v>
      </c>
      <c r="E740" s="18">
        <v>31376.279813241075</v>
      </c>
      <c r="F740" s="18">
        <v>23709.367010000002</v>
      </c>
      <c r="G740" s="18">
        <v>23760.429007732877</v>
      </c>
      <c r="H740" s="19">
        <v>0.27767671184306297</v>
      </c>
      <c r="I740" s="19">
        <v>2.1536634744967476E-3</v>
      </c>
      <c r="J740" s="19">
        <v>0.14233531392476051</v>
      </c>
    </row>
    <row r="741" spans="1:10" ht="11.25" customHeight="1" x14ac:dyDescent="0.2">
      <c r="A741" s="26" t="s">
        <v>25</v>
      </c>
      <c r="B741" s="18">
        <v>0</v>
      </c>
      <c r="C741" s="18">
        <v>0</v>
      </c>
      <c r="D741" s="18">
        <v>24557.291779999996</v>
      </c>
      <c r="E741" s="18">
        <v>31376.279813241075</v>
      </c>
      <c r="F741" s="18">
        <v>23709.367010000002</v>
      </c>
      <c r="G741" s="18">
        <v>23760.429007732877</v>
      </c>
      <c r="H741" s="19">
        <v>0.27767671184306297</v>
      </c>
      <c r="I741" s="19">
        <v>2.1536634744967476E-3</v>
      </c>
      <c r="J741" s="19">
        <v>0.14233531392476051</v>
      </c>
    </row>
    <row r="742" spans="1:10" ht="11.25" customHeight="1" x14ac:dyDescent="0.2">
      <c r="A742" s="27" t="s">
        <v>35</v>
      </c>
      <c r="B742" s="18">
        <v>0</v>
      </c>
      <c r="C742" s="18">
        <v>0</v>
      </c>
      <c r="D742" s="18">
        <v>17010.439679999999</v>
      </c>
      <c r="E742" s="18">
        <v>22218.47920968481</v>
      </c>
      <c r="F742" s="18">
        <v>19548.24192</v>
      </c>
      <c r="G742" s="18">
        <v>19555.056225443619</v>
      </c>
      <c r="H742" s="19">
        <v>0.30616724950432395</v>
      </c>
      <c r="I742" s="19">
        <v>3.4858917090896391E-4</v>
      </c>
      <c r="J742" s="19">
        <v>0.14264337790366155</v>
      </c>
    </row>
    <row r="743" spans="1:10" ht="11.25" customHeight="1" x14ac:dyDescent="0.2">
      <c r="A743" s="28">
        <v>44348</v>
      </c>
      <c r="B743" s="18">
        <v>0</v>
      </c>
      <c r="C743" s="18">
        <v>0</v>
      </c>
      <c r="D743" s="18">
        <v>1491.6072600000002</v>
      </c>
      <c r="E743" s="18">
        <v>1948.288552134881</v>
      </c>
      <c r="F743" s="18">
        <v>1714.1414400000001</v>
      </c>
      <c r="G743" s="18">
        <v>1714.73897114339</v>
      </c>
      <c r="H743" s="19">
        <v>0.30616724950432372</v>
      </c>
      <c r="I743" s="19">
        <v>3.4858917090874186E-4</v>
      </c>
      <c r="J743" s="19">
        <v>0.14264337790366133</v>
      </c>
    </row>
    <row r="744" spans="1:10" ht="11.25" customHeight="1" x14ac:dyDescent="0.2">
      <c r="A744" s="28">
        <v>44378</v>
      </c>
      <c r="B744" s="18">
        <v>0</v>
      </c>
      <c r="C744" s="18">
        <v>0</v>
      </c>
      <c r="D744" s="18">
        <v>1416.9051000000002</v>
      </c>
      <c r="E744" s="18">
        <v>1850.7150372756491</v>
      </c>
      <c r="F744" s="18">
        <v>1628.2944000000002</v>
      </c>
      <c r="G744" s="18">
        <v>1628.8620057948915</v>
      </c>
      <c r="H744" s="19">
        <v>0.30616724950432372</v>
      </c>
      <c r="I744" s="19">
        <v>3.4858917090874186E-4</v>
      </c>
      <c r="J744" s="19">
        <v>0.14264337790366111</v>
      </c>
    </row>
    <row r="745" spans="1:10" ht="11.25" customHeight="1" x14ac:dyDescent="0.2">
      <c r="A745" s="28">
        <v>44409</v>
      </c>
      <c r="B745" s="18">
        <v>0</v>
      </c>
      <c r="C745" s="18">
        <v>0</v>
      </c>
      <c r="D745" s="18">
        <v>1481.0515200000002</v>
      </c>
      <c r="E745" s="18">
        <v>1934.5009902525985</v>
      </c>
      <c r="F745" s="18">
        <v>1702.0108800000003</v>
      </c>
      <c r="G745" s="18">
        <v>1702.6041825615371</v>
      </c>
      <c r="H745" s="19">
        <v>0.30616724950432395</v>
      </c>
      <c r="I745" s="19">
        <v>3.4858917090874186E-4</v>
      </c>
      <c r="J745" s="19">
        <v>0.14264337790366111</v>
      </c>
    </row>
    <row r="746" spans="1:10" ht="11.25" customHeight="1" x14ac:dyDescent="0.2">
      <c r="A746" s="28">
        <v>44440</v>
      </c>
      <c r="B746" s="18">
        <v>0</v>
      </c>
      <c r="C746" s="18">
        <v>0</v>
      </c>
      <c r="D746" s="18">
        <v>2040.2350800000002</v>
      </c>
      <c r="E746" s="18">
        <v>2664.8882427858343</v>
      </c>
      <c r="F746" s="18">
        <v>2344.6195200000002</v>
      </c>
      <c r="G746" s="18">
        <v>2345.4368289745735</v>
      </c>
      <c r="H746" s="19">
        <v>0.30616724950432395</v>
      </c>
      <c r="I746" s="19">
        <v>3.4858917090874186E-4</v>
      </c>
      <c r="J746" s="19">
        <v>0.14264337790366111</v>
      </c>
    </row>
    <row r="747" spans="1:10" ht="11.25" customHeight="1" x14ac:dyDescent="0.2">
      <c r="A747" s="28">
        <v>44470</v>
      </c>
      <c r="B747" s="18">
        <v>0</v>
      </c>
      <c r="C747" s="18">
        <v>0</v>
      </c>
      <c r="D747" s="18">
        <v>1319.4675000000002</v>
      </c>
      <c r="E747" s="18">
        <v>1723.4452352853466</v>
      </c>
      <c r="F747" s="18">
        <v>1516.3200000000002</v>
      </c>
      <c r="G747" s="18">
        <v>1516.8485727316324</v>
      </c>
      <c r="H747" s="19">
        <v>0.30616724950432372</v>
      </c>
      <c r="I747" s="19">
        <v>3.4858917090874186E-4</v>
      </c>
      <c r="J747" s="19">
        <v>0.14264337790366111</v>
      </c>
    </row>
    <row r="748" spans="1:10" ht="11.25" customHeight="1" x14ac:dyDescent="0.2">
      <c r="A748" s="28">
        <v>44501</v>
      </c>
      <c r="B748" s="18">
        <v>0</v>
      </c>
      <c r="C748" s="18">
        <v>0</v>
      </c>
      <c r="D748" s="18">
        <v>1529.4996600000002</v>
      </c>
      <c r="E748" s="18">
        <v>1997.7823640199986</v>
      </c>
      <c r="F748" s="18">
        <v>1757.68704</v>
      </c>
      <c r="G748" s="18">
        <v>1758.2997506679906</v>
      </c>
      <c r="H748" s="19">
        <v>0.30616724950432372</v>
      </c>
      <c r="I748" s="19">
        <v>3.4858917090874186E-4</v>
      </c>
      <c r="J748" s="19">
        <v>0.14264337790366111</v>
      </c>
    </row>
    <row r="749" spans="1:10" ht="11.25" customHeight="1" x14ac:dyDescent="0.2">
      <c r="A749" s="28">
        <v>44531</v>
      </c>
      <c r="B749" s="18">
        <v>0</v>
      </c>
      <c r="C749" s="18">
        <v>0</v>
      </c>
      <c r="D749" s="18">
        <v>1486.19406</v>
      </c>
      <c r="E749" s="18">
        <v>1941.2180075798642</v>
      </c>
      <c r="F749" s="18">
        <v>1707.92064</v>
      </c>
      <c r="G749" s="18">
        <v>1708.5160026398755</v>
      </c>
      <c r="H749" s="19">
        <v>0.30616724950432395</v>
      </c>
      <c r="I749" s="19">
        <v>3.4858917090874186E-4</v>
      </c>
      <c r="J749" s="19">
        <v>0.14264337790366111</v>
      </c>
    </row>
    <row r="750" spans="1:10" ht="11.25" customHeight="1" x14ac:dyDescent="0.2">
      <c r="A750" s="28">
        <v>44562</v>
      </c>
      <c r="B750" s="18">
        <v>0</v>
      </c>
      <c r="C750" s="18">
        <v>0</v>
      </c>
      <c r="D750" s="18">
        <v>1861.0581600000003</v>
      </c>
      <c r="E750" s="18">
        <v>2430.8532180147781</v>
      </c>
      <c r="F750" s="18">
        <v>2138.7110400000001</v>
      </c>
      <c r="G750" s="18">
        <v>2139.4565715082472</v>
      </c>
      <c r="H750" s="19">
        <v>0.30616724950432372</v>
      </c>
      <c r="I750" s="19">
        <v>3.4858917090874186E-4</v>
      </c>
      <c r="J750" s="19">
        <v>0.14264337790366133</v>
      </c>
    </row>
    <row r="751" spans="1:10" ht="11.25" customHeight="1" x14ac:dyDescent="0.2">
      <c r="A751" s="28">
        <v>44593</v>
      </c>
      <c r="B751" s="18">
        <v>0</v>
      </c>
      <c r="C751" s="18">
        <v>0</v>
      </c>
      <c r="D751" s="18">
        <v>1276.7032200000001</v>
      </c>
      <c r="E751" s="18">
        <v>1667.5879333007138</v>
      </c>
      <c r="F751" s="18">
        <v>1467.1756800000001</v>
      </c>
      <c r="G751" s="18">
        <v>1467.6871215538686</v>
      </c>
      <c r="H751" s="19">
        <v>0.30616724950432372</v>
      </c>
      <c r="I751" s="19">
        <v>3.4858917090874186E-4</v>
      </c>
      <c r="J751" s="19">
        <v>0.14264337790366111</v>
      </c>
    </row>
    <row r="752" spans="1:10" ht="11.25" customHeight="1" x14ac:dyDescent="0.2">
      <c r="A752" s="28">
        <v>44621</v>
      </c>
      <c r="B752" s="18">
        <v>0</v>
      </c>
      <c r="C752" s="18">
        <v>0</v>
      </c>
      <c r="D752" s="18">
        <v>709.12920000000008</v>
      </c>
      <c r="E752" s="18">
        <v>926.24133670720164</v>
      </c>
      <c r="F752" s="18">
        <v>814.92480000000012</v>
      </c>
      <c r="G752" s="18">
        <v>815.20887396038506</v>
      </c>
      <c r="H752" s="19">
        <v>0.30616724950432372</v>
      </c>
      <c r="I752" s="19">
        <v>3.4858917090874186E-4</v>
      </c>
      <c r="J752" s="19">
        <v>0.14264337790366133</v>
      </c>
    </row>
    <row r="753" spans="1:10" ht="11.25" customHeight="1" x14ac:dyDescent="0.2">
      <c r="A753" s="28">
        <v>44652</v>
      </c>
      <c r="B753" s="18">
        <v>0</v>
      </c>
      <c r="C753" s="18">
        <v>0</v>
      </c>
      <c r="D753" s="18">
        <v>1199.2944600000001</v>
      </c>
      <c r="E753" s="18">
        <v>1566.4791461639736</v>
      </c>
      <c r="F753" s="18">
        <v>1378.2182400000002</v>
      </c>
      <c r="G753" s="18">
        <v>1378.698671953613</v>
      </c>
      <c r="H753" s="19">
        <v>0.30616724950432395</v>
      </c>
      <c r="I753" s="19">
        <v>3.4858917090874186E-4</v>
      </c>
      <c r="J753" s="19">
        <v>0.14264337790366133</v>
      </c>
    </row>
    <row r="754" spans="1:10" ht="11.25" customHeight="1" x14ac:dyDescent="0.2">
      <c r="A754" s="28">
        <v>44682</v>
      </c>
      <c r="B754" s="18">
        <v>0</v>
      </c>
      <c r="C754" s="18">
        <v>0</v>
      </c>
      <c r="D754" s="18">
        <v>1199.2944600000001</v>
      </c>
      <c r="E754" s="18">
        <v>1566.4791461639736</v>
      </c>
      <c r="F754" s="18">
        <v>1378.2182400000002</v>
      </c>
      <c r="G754" s="18">
        <v>1378.698671953613</v>
      </c>
      <c r="H754" s="19">
        <v>0.30616724950432395</v>
      </c>
      <c r="I754" s="19">
        <v>3.4858917090874186E-4</v>
      </c>
      <c r="J754" s="19">
        <v>0.14264337790366133</v>
      </c>
    </row>
    <row r="755" spans="1:10" ht="11.25" customHeight="1" x14ac:dyDescent="0.2">
      <c r="A755" s="27" t="s">
        <v>36</v>
      </c>
      <c r="B755" s="18">
        <v>0</v>
      </c>
      <c r="C755" s="18">
        <v>0</v>
      </c>
      <c r="D755" s="18">
        <v>3836.2031199999997</v>
      </c>
      <c r="E755" s="18">
        <v>4701.7411352380714</v>
      </c>
      <c r="F755" s="18">
        <v>2071.8374399999998</v>
      </c>
      <c r="G755" s="18">
        <v>2072.5596600954673</v>
      </c>
      <c r="H755" s="19">
        <v>0.22562361485125737</v>
      </c>
      <c r="I755" s="19">
        <v>3.4858917090874186E-4</v>
      </c>
      <c r="J755" s="19">
        <v>0.14662394858940142</v>
      </c>
    </row>
    <row r="756" spans="1:10" ht="11.25" customHeight="1" x14ac:dyDescent="0.2">
      <c r="A756" s="28">
        <v>44348</v>
      </c>
      <c r="B756" s="18">
        <v>0</v>
      </c>
      <c r="C756" s="18">
        <v>0</v>
      </c>
      <c r="D756" s="18">
        <v>282.77671999999995</v>
      </c>
      <c r="E756" s="18">
        <v>346.57782576218182</v>
      </c>
      <c r="F756" s="18">
        <v>152.72064</v>
      </c>
      <c r="G756" s="18">
        <v>152.77387676127825</v>
      </c>
      <c r="H756" s="19">
        <v>0.22562361485125737</v>
      </c>
      <c r="I756" s="19">
        <v>3.4858917090874186E-4</v>
      </c>
      <c r="J756" s="19">
        <v>0.14662394858940164</v>
      </c>
    </row>
    <row r="757" spans="1:10" ht="11.25" customHeight="1" x14ac:dyDescent="0.2">
      <c r="A757" s="28">
        <v>44378</v>
      </c>
      <c r="B757" s="18">
        <v>0</v>
      </c>
      <c r="C757" s="18">
        <v>0</v>
      </c>
      <c r="D757" s="18">
        <v>241.88639999999998</v>
      </c>
      <c r="E757" s="18">
        <v>296.46168395135714</v>
      </c>
      <c r="F757" s="18">
        <v>130.63679999999999</v>
      </c>
      <c r="G757" s="18">
        <v>130.68233857380218</v>
      </c>
      <c r="H757" s="19">
        <v>0.22562361485125737</v>
      </c>
      <c r="I757" s="19">
        <v>3.4858917090896391E-4</v>
      </c>
      <c r="J757" s="19">
        <v>0.14662394858940164</v>
      </c>
    </row>
    <row r="758" spans="1:10" ht="11.25" customHeight="1" x14ac:dyDescent="0.2">
      <c r="A758" s="28">
        <v>44409</v>
      </c>
      <c r="B758" s="18">
        <v>0</v>
      </c>
      <c r="C758" s="18">
        <v>0</v>
      </c>
      <c r="D758" s="18">
        <v>315.02823999999998</v>
      </c>
      <c r="E758" s="18">
        <v>386.10605028902944</v>
      </c>
      <c r="F758" s="18">
        <v>170.13888000000003</v>
      </c>
      <c r="G758" s="18">
        <v>170.19818857111855</v>
      </c>
      <c r="H758" s="19">
        <v>0.22562361485125737</v>
      </c>
      <c r="I758" s="19">
        <v>3.4858917090851982E-4</v>
      </c>
      <c r="J758" s="19">
        <v>0.14662394858940142</v>
      </c>
    </row>
    <row r="759" spans="1:10" ht="11.25" customHeight="1" x14ac:dyDescent="0.2">
      <c r="A759" s="28">
        <v>44440</v>
      </c>
      <c r="B759" s="18">
        <v>0</v>
      </c>
      <c r="C759" s="18">
        <v>0</v>
      </c>
      <c r="D759" s="18">
        <v>464.19151999999997</v>
      </c>
      <c r="E759" s="18">
        <v>568.92408872569968</v>
      </c>
      <c r="F759" s="18">
        <v>250.69824000000003</v>
      </c>
      <c r="G759" s="18">
        <v>250.7856306916299</v>
      </c>
      <c r="H759" s="19">
        <v>0.22562361485125737</v>
      </c>
      <c r="I759" s="19">
        <v>3.4858917090874186E-4</v>
      </c>
      <c r="J759" s="19">
        <v>0.14662394858940142</v>
      </c>
    </row>
    <row r="760" spans="1:10" ht="11.25" customHeight="1" x14ac:dyDescent="0.2">
      <c r="A760" s="28">
        <v>44470</v>
      </c>
      <c r="B760" s="18">
        <v>0</v>
      </c>
      <c r="C760" s="18">
        <v>0</v>
      </c>
      <c r="D760" s="18">
        <v>274.71383999999995</v>
      </c>
      <c r="E760" s="18">
        <v>336.6957696304699</v>
      </c>
      <c r="F760" s="18">
        <v>148.36608000000001</v>
      </c>
      <c r="G760" s="18">
        <v>148.41779880881819</v>
      </c>
      <c r="H760" s="19">
        <v>0.22562361485125737</v>
      </c>
      <c r="I760" s="19">
        <v>3.4858917090874186E-4</v>
      </c>
      <c r="J760" s="19">
        <v>0.14662394858940164</v>
      </c>
    </row>
    <row r="761" spans="1:10" ht="11.25" customHeight="1" x14ac:dyDescent="0.2">
      <c r="A761" s="28">
        <v>44501</v>
      </c>
      <c r="B761" s="18">
        <v>0</v>
      </c>
      <c r="C761" s="18">
        <v>0</v>
      </c>
      <c r="D761" s="18">
        <v>392.77744000000001</v>
      </c>
      <c r="E761" s="18">
        <v>481.39730584482282</v>
      </c>
      <c r="F761" s="18">
        <v>212.12928000000002</v>
      </c>
      <c r="G761" s="18">
        <v>212.2032259698407</v>
      </c>
      <c r="H761" s="19">
        <v>0.22562361485125737</v>
      </c>
      <c r="I761" s="19">
        <v>3.4858917090874186E-4</v>
      </c>
      <c r="J761" s="19">
        <v>0.14662394858940142</v>
      </c>
    </row>
    <row r="762" spans="1:10" ht="11.25" customHeight="1" x14ac:dyDescent="0.2">
      <c r="A762" s="28">
        <v>44531</v>
      </c>
      <c r="B762" s="18">
        <v>0</v>
      </c>
      <c r="C762" s="18">
        <v>0</v>
      </c>
      <c r="D762" s="18">
        <v>320.78744</v>
      </c>
      <c r="E762" s="18">
        <v>393.16466181168084</v>
      </c>
      <c r="F762" s="18">
        <v>173.24928000000003</v>
      </c>
      <c r="G762" s="18">
        <v>173.30967282287577</v>
      </c>
      <c r="H762" s="19">
        <v>0.22562361485125737</v>
      </c>
      <c r="I762" s="19">
        <v>3.4858917090874186E-4</v>
      </c>
      <c r="J762" s="19">
        <v>0.14662394858940142</v>
      </c>
    </row>
    <row r="763" spans="1:10" ht="11.25" customHeight="1" x14ac:dyDescent="0.2">
      <c r="A763" s="28">
        <v>44562</v>
      </c>
      <c r="B763" s="18">
        <v>0</v>
      </c>
      <c r="C763" s="18">
        <v>0</v>
      </c>
      <c r="D763" s="18">
        <v>437.12327999999997</v>
      </c>
      <c r="E763" s="18">
        <v>535.74861456923827</v>
      </c>
      <c r="F763" s="18">
        <v>236.07936000000001</v>
      </c>
      <c r="G763" s="18">
        <v>236.16165470837109</v>
      </c>
      <c r="H763" s="19">
        <v>0.22562361485125737</v>
      </c>
      <c r="I763" s="19">
        <v>3.4858917090874186E-4</v>
      </c>
      <c r="J763" s="19">
        <v>0.14662394858940164</v>
      </c>
    </row>
    <row r="764" spans="1:10" ht="11.25" customHeight="1" x14ac:dyDescent="0.2">
      <c r="A764" s="28">
        <v>44593</v>
      </c>
      <c r="B764" s="18">
        <v>0</v>
      </c>
      <c r="C764" s="18">
        <v>0</v>
      </c>
      <c r="D764" s="18">
        <v>318.48376000000002</v>
      </c>
      <c r="E764" s="18">
        <v>390.34121720262027</v>
      </c>
      <c r="F764" s="18">
        <v>172.00512000000003</v>
      </c>
      <c r="G764" s="18">
        <v>172.06507912217288</v>
      </c>
      <c r="H764" s="19">
        <v>0.22562361485125715</v>
      </c>
      <c r="I764" s="19">
        <v>3.4858917090874186E-4</v>
      </c>
      <c r="J764" s="19">
        <v>0.14662394858940142</v>
      </c>
    </row>
    <row r="765" spans="1:10" ht="11.25" customHeight="1" x14ac:dyDescent="0.2">
      <c r="A765" s="28">
        <v>44621</v>
      </c>
      <c r="B765" s="18">
        <v>0</v>
      </c>
      <c r="C765" s="18">
        <v>0</v>
      </c>
      <c r="D765" s="18">
        <v>137.64487999999997</v>
      </c>
      <c r="E765" s="18">
        <v>168.70081539136751</v>
      </c>
      <c r="F765" s="18">
        <v>74.338560000000001</v>
      </c>
      <c r="G765" s="18">
        <v>74.364473616996946</v>
      </c>
      <c r="H765" s="19">
        <v>0.22562361485125737</v>
      </c>
      <c r="I765" s="19">
        <v>3.4858917090874186E-4</v>
      </c>
      <c r="J765" s="19">
        <v>0.14662394858940164</v>
      </c>
    </row>
    <row r="766" spans="1:10" ht="11.25" customHeight="1" x14ac:dyDescent="0.2">
      <c r="A766" s="28">
        <v>44652</v>
      </c>
      <c r="B766" s="18">
        <v>0</v>
      </c>
      <c r="C766" s="18">
        <v>0</v>
      </c>
      <c r="D766" s="18">
        <v>325.39479999999992</v>
      </c>
      <c r="E766" s="18">
        <v>398.81155102980182</v>
      </c>
      <c r="F766" s="18">
        <v>175.73759999999999</v>
      </c>
      <c r="G766" s="18">
        <v>175.79886022428147</v>
      </c>
      <c r="H766" s="19">
        <v>0.22562361485125737</v>
      </c>
      <c r="I766" s="19">
        <v>3.4858917090874186E-4</v>
      </c>
      <c r="J766" s="19">
        <v>0.14662394858940142</v>
      </c>
    </row>
    <row r="767" spans="1:10" ht="11.25" customHeight="1" x14ac:dyDescent="0.2">
      <c r="A767" s="28">
        <v>44682</v>
      </c>
      <c r="B767" s="18">
        <v>0</v>
      </c>
      <c r="C767" s="18">
        <v>0</v>
      </c>
      <c r="D767" s="18">
        <v>325.39479999999992</v>
      </c>
      <c r="E767" s="18">
        <v>398.81155102980182</v>
      </c>
      <c r="F767" s="18">
        <v>175.73759999999999</v>
      </c>
      <c r="G767" s="18">
        <v>175.79886022428147</v>
      </c>
      <c r="H767" s="19">
        <v>0.22562361485125737</v>
      </c>
      <c r="I767" s="19">
        <v>3.4858917090874186E-4</v>
      </c>
      <c r="J767" s="19">
        <v>0.14662394858940142</v>
      </c>
    </row>
    <row r="768" spans="1:10" ht="11.25" customHeight="1" x14ac:dyDescent="0.2">
      <c r="A768" s="27" t="s">
        <v>34</v>
      </c>
      <c r="B768" s="18">
        <v>0</v>
      </c>
      <c r="C768" s="18">
        <v>0</v>
      </c>
      <c r="D768" s="18">
        <v>3710.6489799999999</v>
      </c>
      <c r="E768" s="18">
        <v>4456.0594683181862</v>
      </c>
      <c r="F768" s="18">
        <v>2089.2876500000002</v>
      </c>
      <c r="G768" s="18">
        <v>2132.8131221937933</v>
      </c>
      <c r="H768" s="19">
        <v>0.20088412898548724</v>
      </c>
      <c r="I768" s="19">
        <v>2.0832685338370238E-2</v>
      </c>
      <c r="J768" s="19">
        <v>0.13602492765718011</v>
      </c>
    </row>
    <row r="769" spans="1:10" ht="11.25" customHeight="1" x14ac:dyDescent="0.2">
      <c r="A769" s="28">
        <v>44348</v>
      </c>
      <c r="B769" s="18">
        <v>0</v>
      </c>
      <c r="C769" s="18">
        <v>0</v>
      </c>
      <c r="D769" s="18">
        <v>207.07729999999998</v>
      </c>
      <c r="E769" s="18">
        <v>248.6758430431664</v>
      </c>
      <c r="F769" s="18">
        <v>116.59524999999999</v>
      </c>
      <c r="G769" s="18">
        <v>119.02424215519861</v>
      </c>
      <c r="H769" s="19">
        <v>0.20088412898548724</v>
      </c>
      <c r="I769" s="19">
        <v>2.0832685338370238E-2</v>
      </c>
      <c r="J769" s="19">
        <v>0.13602492765718011</v>
      </c>
    </row>
    <row r="770" spans="1:10" ht="11.25" customHeight="1" x14ac:dyDescent="0.2">
      <c r="A770" s="28">
        <v>44378</v>
      </c>
      <c r="B770" s="18">
        <v>0</v>
      </c>
      <c r="C770" s="18">
        <v>0</v>
      </c>
      <c r="D770" s="18">
        <v>252.01747999999998</v>
      </c>
      <c r="E770" s="18">
        <v>302.6437919589174</v>
      </c>
      <c r="F770" s="18">
        <v>141.89889999999997</v>
      </c>
      <c r="G770" s="18">
        <v>144.85503513356085</v>
      </c>
      <c r="H770" s="19">
        <v>0.20088412898548724</v>
      </c>
      <c r="I770" s="19">
        <v>2.0832685338370238E-2</v>
      </c>
      <c r="J770" s="19">
        <v>0.13602492765718011</v>
      </c>
    </row>
    <row r="771" spans="1:10" ht="11.25" customHeight="1" x14ac:dyDescent="0.2">
      <c r="A771" s="28">
        <v>44409</v>
      </c>
      <c r="B771" s="18">
        <v>0</v>
      </c>
      <c r="C771" s="18">
        <v>0</v>
      </c>
      <c r="D771" s="18">
        <v>409.74869999999999</v>
      </c>
      <c r="E771" s="18">
        <v>492.06071070243564</v>
      </c>
      <c r="F771" s="18">
        <v>230.70975000000001</v>
      </c>
      <c r="G771" s="18">
        <v>235.51605362624409</v>
      </c>
      <c r="H771" s="19">
        <v>0.20088412898548702</v>
      </c>
      <c r="I771" s="19">
        <v>2.0832685338370238E-2</v>
      </c>
      <c r="J771" s="19">
        <v>0.13602492765718011</v>
      </c>
    </row>
    <row r="772" spans="1:10" ht="11.25" customHeight="1" x14ac:dyDescent="0.2">
      <c r="A772" s="28">
        <v>44440</v>
      </c>
      <c r="B772" s="18">
        <v>0</v>
      </c>
      <c r="C772" s="18">
        <v>0</v>
      </c>
      <c r="D772" s="18">
        <v>384.19448</v>
      </c>
      <c r="E772" s="18">
        <v>461.37305347583214</v>
      </c>
      <c r="F772" s="18">
        <v>216.32139999999998</v>
      </c>
      <c r="G772" s="18">
        <v>220.82795565815573</v>
      </c>
      <c r="H772" s="19">
        <v>0.20088412898548702</v>
      </c>
      <c r="I772" s="19">
        <v>2.083268533837046E-2</v>
      </c>
      <c r="J772" s="19">
        <v>0.13602492765718033</v>
      </c>
    </row>
    <row r="773" spans="1:10" ht="11.25" customHeight="1" x14ac:dyDescent="0.2">
      <c r="A773" s="28">
        <v>44470</v>
      </c>
      <c r="B773" s="18">
        <v>0</v>
      </c>
      <c r="C773" s="18">
        <v>0</v>
      </c>
      <c r="D773" s="18">
        <v>258.18573999999995</v>
      </c>
      <c r="E773" s="18">
        <v>310.05115749637338</v>
      </c>
      <c r="F773" s="18">
        <v>145.37195</v>
      </c>
      <c r="G773" s="18">
        <v>148.40043809137529</v>
      </c>
      <c r="H773" s="19">
        <v>0.20088412898548702</v>
      </c>
      <c r="I773" s="19">
        <v>2.0832685338370238E-2</v>
      </c>
      <c r="J773" s="19">
        <v>0.13602492765718011</v>
      </c>
    </row>
    <row r="774" spans="1:10" ht="11.25" customHeight="1" x14ac:dyDescent="0.2">
      <c r="A774" s="28">
        <v>44501</v>
      </c>
      <c r="B774" s="18">
        <v>0</v>
      </c>
      <c r="C774" s="18">
        <v>0</v>
      </c>
      <c r="D774" s="18">
        <v>466.14422000000002</v>
      </c>
      <c r="E774" s="18">
        <v>559.78519561631924</v>
      </c>
      <c r="F774" s="18">
        <v>262.46334999999999</v>
      </c>
      <c r="G774" s="18">
        <v>267.93116638340456</v>
      </c>
      <c r="H774" s="19">
        <v>0.20088412898548702</v>
      </c>
      <c r="I774" s="19">
        <v>2.083268533837046E-2</v>
      </c>
      <c r="J774" s="19">
        <v>0.13602492765718011</v>
      </c>
    </row>
    <row r="775" spans="1:10" ht="11.25" customHeight="1" x14ac:dyDescent="0.2">
      <c r="A775" s="28">
        <v>44531</v>
      </c>
      <c r="B775" s="18">
        <v>0</v>
      </c>
      <c r="C775" s="18">
        <v>0</v>
      </c>
      <c r="D775" s="18">
        <v>295.19529999999997</v>
      </c>
      <c r="E775" s="18">
        <v>354.49535072110956</v>
      </c>
      <c r="F775" s="18">
        <v>166.21025</v>
      </c>
      <c r="G775" s="18">
        <v>169.67285583826185</v>
      </c>
      <c r="H775" s="19">
        <v>0.20088412898548724</v>
      </c>
      <c r="I775" s="19">
        <v>2.0832685338370238E-2</v>
      </c>
      <c r="J775" s="19">
        <v>0.13602492765718011</v>
      </c>
    </row>
    <row r="776" spans="1:10" ht="11.25" customHeight="1" x14ac:dyDescent="0.2">
      <c r="A776" s="28">
        <v>44562</v>
      </c>
      <c r="B776" s="18">
        <v>0</v>
      </c>
      <c r="C776" s="18">
        <v>0</v>
      </c>
      <c r="D776" s="18">
        <v>540.16333999999995</v>
      </c>
      <c r="E776" s="18">
        <v>648.67358206579149</v>
      </c>
      <c r="F776" s="18">
        <v>304.13995</v>
      </c>
      <c r="G776" s="18">
        <v>310.47600187717768</v>
      </c>
      <c r="H776" s="19">
        <v>0.20088412898548724</v>
      </c>
      <c r="I776" s="19">
        <v>2.0832685338370238E-2</v>
      </c>
      <c r="J776" s="19">
        <v>0.13602492765718033</v>
      </c>
    </row>
    <row r="777" spans="1:10" ht="11.25" customHeight="1" x14ac:dyDescent="0.2">
      <c r="A777" s="28">
        <v>44593</v>
      </c>
      <c r="B777" s="18">
        <v>0</v>
      </c>
      <c r="C777" s="18">
        <v>0</v>
      </c>
      <c r="D777" s="18">
        <v>218.53263999999999</v>
      </c>
      <c r="E777" s="18">
        <v>262.43237904129899</v>
      </c>
      <c r="F777" s="18">
        <v>123.04519999999999</v>
      </c>
      <c r="G777" s="18">
        <v>125.60856193399684</v>
      </c>
      <c r="H777" s="19">
        <v>0.20088412898548702</v>
      </c>
      <c r="I777" s="19">
        <v>2.0832685338370238E-2</v>
      </c>
      <c r="J777" s="19">
        <v>0.13602492765718011</v>
      </c>
    </row>
    <row r="778" spans="1:10" ht="11.25" customHeight="1" x14ac:dyDescent="0.2">
      <c r="A778" s="28">
        <v>44621</v>
      </c>
      <c r="B778" s="18">
        <v>0</v>
      </c>
      <c r="C778" s="18">
        <v>0</v>
      </c>
      <c r="D778" s="18">
        <v>159.49357999999998</v>
      </c>
      <c r="E778" s="18">
        <v>191.53330889707709</v>
      </c>
      <c r="F778" s="18">
        <v>89.803149999999988</v>
      </c>
      <c r="G778" s="18">
        <v>91.67399076634446</v>
      </c>
      <c r="H778" s="19">
        <v>0.20088412898548724</v>
      </c>
      <c r="I778" s="19">
        <v>2.0832685338370238E-2</v>
      </c>
      <c r="J778" s="19">
        <v>0.13602492765718033</v>
      </c>
    </row>
    <row r="779" spans="1:10" ht="11.25" customHeight="1" x14ac:dyDescent="0.2">
      <c r="A779" s="28">
        <v>44652</v>
      </c>
      <c r="B779" s="18">
        <v>0</v>
      </c>
      <c r="C779" s="18">
        <v>0</v>
      </c>
      <c r="D779" s="18">
        <v>259.94809999999995</v>
      </c>
      <c r="E779" s="18">
        <v>312.16754764993226</v>
      </c>
      <c r="F779" s="18">
        <v>146.36425</v>
      </c>
      <c r="G779" s="18">
        <v>149.41341036503655</v>
      </c>
      <c r="H779" s="19">
        <v>0.20088412898548724</v>
      </c>
      <c r="I779" s="19">
        <v>2.0832685338370238E-2</v>
      </c>
      <c r="J779" s="19">
        <v>0.13602492765718033</v>
      </c>
    </row>
    <row r="780" spans="1:10" ht="11.25" customHeight="1" x14ac:dyDescent="0.2">
      <c r="A780" s="28">
        <v>44682</v>
      </c>
      <c r="B780" s="18">
        <v>0</v>
      </c>
      <c r="C780" s="18">
        <v>0</v>
      </c>
      <c r="D780" s="18">
        <v>259.94809999999995</v>
      </c>
      <c r="E780" s="18">
        <v>312.16754764993226</v>
      </c>
      <c r="F780" s="18">
        <v>146.36425</v>
      </c>
      <c r="G780" s="18">
        <v>149.41341036503655</v>
      </c>
      <c r="H780" s="19">
        <v>0.20088412898548724</v>
      </c>
      <c r="I780" s="19">
        <v>2.0832685338370238E-2</v>
      </c>
      <c r="J780" s="19">
        <v>0.13602492765718033</v>
      </c>
    </row>
    <row r="781" spans="1:10" ht="11.25" customHeight="1" x14ac:dyDescent="0.2">
      <c r="A781" s="23" t="s">
        <v>46</v>
      </c>
      <c r="B781" s="18">
        <v>0</v>
      </c>
      <c r="C781" s="18">
        <v>0</v>
      </c>
      <c r="D781" s="18">
        <v>1528.724099999999</v>
      </c>
      <c r="E781" s="18">
        <v>1955.7171322365589</v>
      </c>
      <c r="F781" s="18">
        <v>1509.2734000000003</v>
      </c>
      <c r="G781" s="18">
        <v>1513.2549990297659</v>
      </c>
      <c r="H781" s="19">
        <v>0.27931333864401053</v>
      </c>
      <c r="I781" s="19">
        <v>2.6380899774458566E-3</v>
      </c>
      <c r="J781" s="19">
        <v>0.1418614173534789</v>
      </c>
    </row>
    <row r="782" spans="1:10" ht="11.25" customHeight="1" x14ac:dyDescent="0.2">
      <c r="A782" s="24" t="s">
        <v>25</v>
      </c>
      <c r="B782" s="18">
        <v>0</v>
      </c>
      <c r="C782" s="18">
        <v>0</v>
      </c>
      <c r="D782" s="18">
        <v>1528.724099999999</v>
      </c>
      <c r="E782" s="18">
        <v>1955.7171322365589</v>
      </c>
      <c r="F782" s="18">
        <v>1509.2734000000003</v>
      </c>
      <c r="G782" s="18">
        <v>1513.2549990297659</v>
      </c>
      <c r="H782" s="19">
        <v>0.27931333864401053</v>
      </c>
      <c r="I782" s="19">
        <v>2.6380899774458566E-3</v>
      </c>
      <c r="J782" s="19">
        <v>0.1418614173534789</v>
      </c>
    </row>
    <row r="783" spans="1:10" ht="11.25" customHeight="1" x14ac:dyDescent="0.2">
      <c r="A783" s="25" t="s">
        <v>25</v>
      </c>
      <c r="B783" s="18">
        <v>0</v>
      </c>
      <c r="C783" s="18">
        <v>0</v>
      </c>
      <c r="D783" s="18">
        <v>1528.724099999999</v>
      </c>
      <c r="E783" s="18">
        <v>1955.7171322365589</v>
      </c>
      <c r="F783" s="18">
        <v>1509.2734000000003</v>
      </c>
      <c r="G783" s="18">
        <v>1513.2549990297659</v>
      </c>
      <c r="H783" s="19">
        <v>0.27931333864401053</v>
      </c>
      <c r="I783" s="19">
        <v>2.6380899774458566E-3</v>
      </c>
      <c r="J783" s="19">
        <v>0.1418614173534789</v>
      </c>
    </row>
    <row r="784" spans="1:10" ht="11.25" customHeight="1" x14ac:dyDescent="0.2">
      <c r="A784" s="26" t="s">
        <v>25</v>
      </c>
      <c r="B784" s="18">
        <v>0</v>
      </c>
      <c r="C784" s="18">
        <v>0</v>
      </c>
      <c r="D784" s="18">
        <v>1528.724099999999</v>
      </c>
      <c r="E784" s="18">
        <v>1955.7171322365589</v>
      </c>
      <c r="F784" s="18">
        <v>1509.2734000000003</v>
      </c>
      <c r="G784" s="18">
        <v>1513.2549990297659</v>
      </c>
      <c r="H784" s="19">
        <v>0.27931333864401053</v>
      </c>
      <c r="I784" s="19">
        <v>2.6380899774458566E-3</v>
      </c>
      <c r="J784" s="19">
        <v>0.1418614173534789</v>
      </c>
    </row>
    <row r="785" spans="1:10" ht="11.25" customHeight="1" x14ac:dyDescent="0.2">
      <c r="A785" s="27" t="s">
        <v>35</v>
      </c>
      <c r="B785" s="18">
        <v>0</v>
      </c>
      <c r="C785" s="18">
        <v>0</v>
      </c>
      <c r="D785" s="18">
        <v>1111.0593000000001</v>
      </c>
      <c r="E785" s="18">
        <v>1451.2292699171994</v>
      </c>
      <c r="F785" s="18">
        <v>1276.8192000000004</v>
      </c>
      <c r="G785" s="18">
        <v>1277.2642853463285</v>
      </c>
      <c r="H785" s="19">
        <v>0.30616724950432372</v>
      </c>
      <c r="I785" s="19">
        <v>3.4858917090851982E-4</v>
      </c>
      <c r="J785" s="19">
        <v>0.14264337790366088</v>
      </c>
    </row>
    <row r="786" spans="1:10" ht="11.25" customHeight="1" x14ac:dyDescent="0.2">
      <c r="A786" s="28">
        <v>44348</v>
      </c>
      <c r="B786" s="18">
        <v>0</v>
      </c>
      <c r="C786" s="18">
        <v>0</v>
      </c>
      <c r="D786" s="18">
        <v>100.41486</v>
      </c>
      <c r="E786" s="18">
        <v>131.15860149556175</v>
      </c>
      <c r="F786" s="18">
        <v>115.39584000000001</v>
      </c>
      <c r="G786" s="18">
        <v>115.43606574019192</v>
      </c>
      <c r="H786" s="19">
        <v>0.30616724950432395</v>
      </c>
      <c r="I786" s="19">
        <v>3.4858917090874186E-4</v>
      </c>
      <c r="J786" s="19">
        <v>0.14264337790366133</v>
      </c>
    </row>
    <row r="787" spans="1:10" ht="11.25" customHeight="1" x14ac:dyDescent="0.2">
      <c r="A787" s="28">
        <v>44378</v>
      </c>
      <c r="B787" s="18">
        <v>0</v>
      </c>
      <c r="C787" s="18">
        <v>0</v>
      </c>
      <c r="D787" s="18">
        <v>106.09872000000001</v>
      </c>
      <c r="E787" s="18">
        <v>138.58267327832942</v>
      </c>
      <c r="F787" s="18">
        <v>121.92768000000001</v>
      </c>
      <c r="G787" s="18">
        <v>121.97018266888203</v>
      </c>
      <c r="H787" s="19">
        <v>0.30616724950432395</v>
      </c>
      <c r="I787" s="19">
        <v>3.4858917090874186E-4</v>
      </c>
      <c r="J787" s="19">
        <v>0.14264337790366133</v>
      </c>
    </row>
    <row r="788" spans="1:10" ht="11.25" customHeight="1" x14ac:dyDescent="0.2">
      <c r="A788" s="28">
        <v>44409</v>
      </c>
      <c r="B788" s="18">
        <v>0</v>
      </c>
      <c r="C788" s="18">
        <v>0</v>
      </c>
      <c r="D788" s="18">
        <v>103.66278000000001</v>
      </c>
      <c r="E788" s="18">
        <v>135.40092822857184</v>
      </c>
      <c r="F788" s="18">
        <v>119.12832000000002</v>
      </c>
      <c r="G788" s="18">
        <v>119.16984684230056</v>
      </c>
      <c r="H788" s="19">
        <v>0.30616724950432372</v>
      </c>
      <c r="I788" s="19">
        <v>3.4858917090874186E-4</v>
      </c>
      <c r="J788" s="19">
        <v>0.14264337790366111</v>
      </c>
    </row>
    <row r="789" spans="1:10" ht="11.25" customHeight="1" x14ac:dyDescent="0.2">
      <c r="A789" s="28">
        <v>44440</v>
      </c>
      <c r="B789" s="18">
        <v>0</v>
      </c>
      <c r="C789" s="18">
        <v>0</v>
      </c>
      <c r="D789" s="18">
        <v>108.26400000000001</v>
      </c>
      <c r="E789" s="18">
        <v>141.41089110033613</v>
      </c>
      <c r="F789" s="18">
        <v>124.41600000000001</v>
      </c>
      <c r="G789" s="18">
        <v>124.45937007028779</v>
      </c>
      <c r="H789" s="19">
        <v>0.30616724950432395</v>
      </c>
      <c r="I789" s="19">
        <v>3.4858917090874186E-4</v>
      </c>
      <c r="J789" s="19">
        <v>0.14264337790366133</v>
      </c>
    </row>
    <row r="790" spans="1:10" ht="11.25" customHeight="1" x14ac:dyDescent="0.2">
      <c r="A790" s="28">
        <v>44470</v>
      </c>
      <c r="B790" s="18">
        <v>0</v>
      </c>
      <c r="C790" s="18">
        <v>0</v>
      </c>
      <c r="D790" s="18">
        <v>89.317800000000005</v>
      </c>
      <c r="E790" s="18">
        <v>116.66398515777732</v>
      </c>
      <c r="F790" s="18">
        <v>102.64320000000001</v>
      </c>
      <c r="G790" s="18">
        <v>102.67898030798743</v>
      </c>
      <c r="H790" s="19">
        <v>0.30616724950432395</v>
      </c>
      <c r="I790" s="19">
        <v>3.4858917090874186E-4</v>
      </c>
      <c r="J790" s="19">
        <v>0.14264337790366133</v>
      </c>
    </row>
    <row r="791" spans="1:10" ht="11.25" customHeight="1" x14ac:dyDescent="0.2">
      <c r="A791" s="28">
        <v>44501</v>
      </c>
      <c r="B791" s="18">
        <v>0</v>
      </c>
      <c r="C791" s="18">
        <v>0</v>
      </c>
      <c r="D791" s="18">
        <v>98.249580000000009</v>
      </c>
      <c r="E791" s="18">
        <v>128.33038367355505</v>
      </c>
      <c r="F791" s="18">
        <v>112.90752000000001</v>
      </c>
      <c r="G791" s="18">
        <v>112.94687833878616</v>
      </c>
      <c r="H791" s="19">
        <v>0.30616724950432395</v>
      </c>
      <c r="I791" s="19">
        <v>3.4858917090874186E-4</v>
      </c>
      <c r="J791" s="19">
        <v>0.14264337790366133</v>
      </c>
    </row>
    <row r="792" spans="1:10" ht="11.25" customHeight="1" x14ac:dyDescent="0.2">
      <c r="A792" s="28">
        <v>44531</v>
      </c>
      <c r="B792" s="18">
        <v>0</v>
      </c>
      <c r="C792" s="18">
        <v>0</v>
      </c>
      <c r="D792" s="18">
        <v>98.520240000000001</v>
      </c>
      <c r="E792" s="18">
        <v>128.68391090130586</v>
      </c>
      <c r="F792" s="18">
        <v>113.21856000000001</v>
      </c>
      <c r="G792" s="18">
        <v>113.25802676396188</v>
      </c>
      <c r="H792" s="19">
        <v>0.30616724950432372</v>
      </c>
      <c r="I792" s="19">
        <v>3.4858917090851982E-4</v>
      </c>
      <c r="J792" s="19">
        <v>0.14264337790366111</v>
      </c>
    </row>
    <row r="793" spans="1:10" ht="11.25" customHeight="1" x14ac:dyDescent="0.2">
      <c r="A793" s="28">
        <v>44562</v>
      </c>
      <c r="B793" s="18">
        <v>0</v>
      </c>
      <c r="C793" s="18">
        <v>0</v>
      </c>
      <c r="D793" s="18">
        <v>82.551300000000012</v>
      </c>
      <c r="E793" s="18">
        <v>107.8258044640063</v>
      </c>
      <c r="F793" s="18">
        <v>94.867200000000011</v>
      </c>
      <c r="G793" s="18">
        <v>94.900269678594441</v>
      </c>
      <c r="H793" s="19">
        <v>0.30616724950432372</v>
      </c>
      <c r="I793" s="19">
        <v>3.4858917090874186E-4</v>
      </c>
      <c r="J793" s="19">
        <v>0.14264337790366111</v>
      </c>
    </row>
    <row r="794" spans="1:10" ht="11.25" customHeight="1" x14ac:dyDescent="0.2">
      <c r="A794" s="28">
        <v>44593</v>
      </c>
      <c r="B794" s="18">
        <v>0</v>
      </c>
      <c r="C794" s="18">
        <v>0</v>
      </c>
      <c r="D794" s="18">
        <v>67.123680000000007</v>
      </c>
      <c r="E794" s="18">
        <v>87.674752482208405</v>
      </c>
      <c r="F794" s="18">
        <v>77.137920000000008</v>
      </c>
      <c r="G794" s="18">
        <v>77.16480944357842</v>
      </c>
      <c r="H794" s="19">
        <v>0.30616724950432395</v>
      </c>
      <c r="I794" s="19">
        <v>3.4858917090851982E-4</v>
      </c>
      <c r="J794" s="19">
        <v>0.14264337790366111</v>
      </c>
    </row>
    <row r="795" spans="1:10" ht="11.25" customHeight="1" x14ac:dyDescent="0.2">
      <c r="A795" s="28">
        <v>44621</v>
      </c>
      <c r="B795" s="18">
        <v>0</v>
      </c>
      <c r="C795" s="18">
        <v>0</v>
      </c>
      <c r="D795" s="18">
        <v>84.716580000000008</v>
      </c>
      <c r="E795" s="18">
        <v>110.65402228601302</v>
      </c>
      <c r="F795" s="18">
        <v>97.355520000000013</v>
      </c>
      <c r="G795" s="18">
        <v>97.389457080000199</v>
      </c>
      <c r="H795" s="19">
        <v>0.30616724950432372</v>
      </c>
      <c r="I795" s="19">
        <v>3.4858917090874186E-4</v>
      </c>
      <c r="J795" s="19">
        <v>0.14264337790366111</v>
      </c>
    </row>
    <row r="796" spans="1:10" ht="11.25" customHeight="1" x14ac:dyDescent="0.2">
      <c r="A796" s="28">
        <v>44652</v>
      </c>
      <c r="B796" s="18">
        <v>0</v>
      </c>
      <c r="C796" s="18">
        <v>0</v>
      </c>
      <c r="D796" s="18">
        <v>86.069880000000012</v>
      </c>
      <c r="E796" s="18">
        <v>112.42165842476723</v>
      </c>
      <c r="F796" s="18">
        <v>98.910720000000012</v>
      </c>
      <c r="G796" s="18">
        <v>98.945199205878794</v>
      </c>
      <c r="H796" s="19">
        <v>0.30616724950432395</v>
      </c>
      <c r="I796" s="19">
        <v>3.4858917090874186E-4</v>
      </c>
      <c r="J796" s="19">
        <v>0.14264337790366111</v>
      </c>
    </row>
    <row r="797" spans="1:10" ht="11.25" customHeight="1" x14ac:dyDescent="0.2">
      <c r="A797" s="28">
        <v>44682</v>
      </c>
      <c r="B797" s="18">
        <v>0</v>
      </c>
      <c r="C797" s="18">
        <v>0</v>
      </c>
      <c r="D797" s="18">
        <v>86.069880000000012</v>
      </c>
      <c r="E797" s="18">
        <v>112.42165842476723</v>
      </c>
      <c r="F797" s="18">
        <v>98.910720000000012</v>
      </c>
      <c r="G797" s="18">
        <v>98.945199205878794</v>
      </c>
      <c r="H797" s="19">
        <v>0.30616724950432395</v>
      </c>
      <c r="I797" s="19">
        <v>3.4858917090874186E-4</v>
      </c>
      <c r="J797" s="19">
        <v>0.14264337790366111</v>
      </c>
    </row>
    <row r="798" spans="1:10" ht="11.25" customHeight="1" x14ac:dyDescent="0.2">
      <c r="A798" s="27" t="s">
        <v>36</v>
      </c>
      <c r="B798" s="18">
        <v>0</v>
      </c>
      <c r="C798" s="18">
        <v>0</v>
      </c>
      <c r="D798" s="18">
        <v>118.06359999999998</v>
      </c>
      <c r="E798" s="18">
        <v>144.7015362143529</v>
      </c>
      <c r="F798" s="18">
        <v>63.763200000000012</v>
      </c>
      <c r="G798" s="18">
        <v>63.785427161022497</v>
      </c>
      <c r="H798" s="19">
        <v>0.22562361485125759</v>
      </c>
      <c r="I798" s="19">
        <v>3.4858917090874186E-4</v>
      </c>
      <c r="J798" s="19">
        <v>0.14662394858940164</v>
      </c>
    </row>
    <row r="799" spans="1:10" ht="11.25" customHeight="1" x14ac:dyDescent="0.2">
      <c r="A799" s="28">
        <v>44348</v>
      </c>
      <c r="B799" s="18">
        <v>0</v>
      </c>
      <c r="C799" s="18">
        <v>0</v>
      </c>
      <c r="D799" s="18">
        <v>11.5184</v>
      </c>
      <c r="E799" s="18">
        <v>14.117223045302723</v>
      </c>
      <c r="F799" s="18">
        <v>6.2208000000000006</v>
      </c>
      <c r="G799" s="18">
        <v>6.2229685035143891</v>
      </c>
      <c r="H799" s="19">
        <v>0.22562361485125737</v>
      </c>
      <c r="I799" s="19">
        <v>3.4858917090874186E-4</v>
      </c>
      <c r="J799" s="19">
        <v>0.14662394858940142</v>
      </c>
    </row>
    <row r="800" spans="1:10" ht="11.25" customHeight="1" x14ac:dyDescent="0.2">
      <c r="A800" s="28">
        <v>44378</v>
      </c>
      <c r="B800" s="18">
        <v>0</v>
      </c>
      <c r="C800" s="18">
        <v>0</v>
      </c>
      <c r="D800" s="18">
        <v>11.5184</v>
      </c>
      <c r="E800" s="18">
        <v>14.117223045302723</v>
      </c>
      <c r="F800" s="18">
        <v>6.2208000000000006</v>
      </c>
      <c r="G800" s="18">
        <v>6.2229685035143891</v>
      </c>
      <c r="H800" s="19">
        <v>0.22562361485125737</v>
      </c>
      <c r="I800" s="19">
        <v>3.4858917090874186E-4</v>
      </c>
      <c r="J800" s="19">
        <v>0.14662394858940142</v>
      </c>
    </row>
    <row r="801" spans="1:10" ht="11.25" customHeight="1" x14ac:dyDescent="0.2">
      <c r="A801" s="28">
        <v>44409</v>
      </c>
      <c r="B801" s="18">
        <v>0</v>
      </c>
      <c r="C801" s="18">
        <v>0</v>
      </c>
      <c r="D801" s="18">
        <v>12.09432</v>
      </c>
      <c r="E801" s="18">
        <v>14.823084197567859</v>
      </c>
      <c r="F801" s="18">
        <v>6.5318400000000008</v>
      </c>
      <c r="G801" s="18">
        <v>6.5341169286901088</v>
      </c>
      <c r="H801" s="19">
        <v>0.22562361485125737</v>
      </c>
      <c r="I801" s="19">
        <v>3.4858917090874186E-4</v>
      </c>
      <c r="J801" s="19">
        <v>0.14662394858940164</v>
      </c>
    </row>
    <row r="802" spans="1:10" ht="11.25" customHeight="1" x14ac:dyDescent="0.2">
      <c r="A802" s="28">
        <v>44440</v>
      </c>
      <c r="B802" s="18">
        <v>0</v>
      </c>
      <c r="C802" s="18">
        <v>0</v>
      </c>
      <c r="D802" s="18">
        <v>10.94248</v>
      </c>
      <c r="E802" s="18">
        <v>13.411361893037585</v>
      </c>
      <c r="F802" s="18">
        <v>5.9097600000000003</v>
      </c>
      <c r="G802" s="18">
        <v>5.9118200783386694</v>
      </c>
      <c r="H802" s="19">
        <v>0.22562361485125715</v>
      </c>
      <c r="I802" s="19">
        <v>3.4858917090874186E-4</v>
      </c>
      <c r="J802" s="19">
        <v>0.1466239485894012</v>
      </c>
    </row>
    <row r="803" spans="1:10" ht="11.25" customHeight="1" x14ac:dyDescent="0.2">
      <c r="A803" s="28">
        <v>44470</v>
      </c>
      <c r="B803" s="18">
        <v>0</v>
      </c>
      <c r="C803" s="18">
        <v>0</v>
      </c>
      <c r="D803" s="18">
        <v>10.366559999999998</v>
      </c>
      <c r="E803" s="18">
        <v>12.705500740772449</v>
      </c>
      <c r="F803" s="18">
        <v>5.5987200000000001</v>
      </c>
      <c r="G803" s="18">
        <v>5.6006716531629497</v>
      </c>
      <c r="H803" s="19">
        <v>0.22562361485125737</v>
      </c>
      <c r="I803" s="19">
        <v>3.4858917090851982E-4</v>
      </c>
      <c r="J803" s="19">
        <v>0.14662394858940142</v>
      </c>
    </row>
    <row r="804" spans="1:10" ht="11.25" customHeight="1" x14ac:dyDescent="0.2">
      <c r="A804" s="28">
        <v>44501</v>
      </c>
      <c r="B804" s="18">
        <v>0</v>
      </c>
      <c r="C804" s="18">
        <v>0</v>
      </c>
      <c r="D804" s="18">
        <v>10.366559999999998</v>
      </c>
      <c r="E804" s="18">
        <v>12.705500740772449</v>
      </c>
      <c r="F804" s="18">
        <v>5.5987200000000001</v>
      </c>
      <c r="G804" s="18">
        <v>5.6006716531629497</v>
      </c>
      <c r="H804" s="19">
        <v>0.22562361485125737</v>
      </c>
      <c r="I804" s="19">
        <v>3.4858917090851982E-4</v>
      </c>
      <c r="J804" s="19">
        <v>0.14662394858940142</v>
      </c>
    </row>
    <row r="805" spans="1:10" ht="11.25" customHeight="1" x14ac:dyDescent="0.2">
      <c r="A805" s="28">
        <v>44531</v>
      </c>
      <c r="B805" s="18">
        <v>0</v>
      </c>
      <c r="C805" s="18">
        <v>0</v>
      </c>
      <c r="D805" s="18">
        <v>9.7906399999999998</v>
      </c>
      <c r="E805" s="18">
        <v>11.999639588507314</v>
      </c>
      <c r="F805" s="18">
        <v>5.2876800000000008</v>
      </c>
      <c r="G805" s="18">
        <v>5.2895232279872317</v>
      </c>
      <c r="H805" s="19">
        <v>0.22562361485125737</v>
      </c>
      <c r="I805" s="19">
        <v>3.4858917090874186E-4</v>
      </c>
      <c r="J805" s="19">
        <v>0.14662394858940142</v>
      </c>
    </row>
    <row r="806" spans="1:10" ht="11.25" customHeight="1" x14ac:dyDescent="0.2">
      <c r="A806" s="28">
        <v>44562</v>
      </c>
      <c r="B806" s="18">
        <v>0</v>
      </c>
      <c r="C806" s="18">
        <v>0</v>
      </c>
      <c r="D806" s="18">
        <v>8.0628799999999998</v>
      </c>
      <c r="E806" s="18">
        <v>9.8820561317119058</v>
      </c>
      <c r="F806" s="18">
        <v>4.3545600000000002</v>
      </c>
      <c r="G806" s="18">
        <v>4.3560779524600726</v>
      </c>
      <c r="H806" s="19">
        <v>0.22562361485125737</v>
      </c>
      <c r="I806" s="19">
        <v>3.4858917090874186E-4</v>
      </c>
      <c r="J806" s="19">
        <v>0.14662394858940164</v>
      </c>
    </row>
    <row r="807" spans="1:10" ht="11.25" customHeight="1" x14ac:dyDescent="0.2">
      <c r="A807" s="28">
        <v>44593</v>
      </c>
      <c r="B807" s="18">
        <v>0</v>
      </c>
      <c r="C807" s="18">
        <v>0</v>
      </c>
      <c r="D807" s="18">
        <v>6.9110399999999998</v>
      </c>
      <c r="E807" s="18">
        <v>8.4703338271816335</v>
      </c>
      <c r="F807" s="18">
        <v>3.7324800000000002</v>
      </c>
      <c r="G807" s="18">
        <v>3.7337811021086336</v>
      </c>
      <c r="H807" s="19">
        <v>0.22562361485125737</v>
      </c>
      <c r="I807" s="19">
        <v>3.4858917090874186E-4</v>
      </c>
      <c r="J807" s="19">
        <v>0.14662394858940142</v>
      </c>
    </row>
    <row r="808" spans="1:10" ht="11.25" customHeight="1" x14ac:dyDescent="0.2">
      <c r="A808" s="28">
        <v>44621</v>
      </c>
      <c r="B808" s="18">
        <v>0</v>
      </c>
      <c r="C808" s="18">
        <v>0</v>
      </c>
      <c r="D808" s="18">
        <v>8.0628799999999998</v>
      </c>
      <c r="E808" s="18">
        <v>9.8820561317119058</v>
      </c>
      <c r="F808" s="18">
        <v>4.3545600000000002</v>
      </c>
      <c r="G808" s="18">
        <v>4.3560779524600726</v>
      </c>
      <c r="H808" s="19">
        <v>0.22562361485125737</v>
      </c>
      <c r="I808" s="19">
        <v>3.4858917090874186E-4</v>
      </c>
      <c r="J808" s="19">
        <v>0.14662394858940164</v>
      </c>
    </row>
    <row r="809" spans="1:10" ht="11.25" customHeight="1" x14ac:dyDescent="0.2">
      <c r="A809" s="28">
        <v>44652</v>
      </c>
      <c r="B809" s="18">
        <v>0</v>
      </c>
      <c r="C809" s="18">
        <v>0</v>
      </c>
      <c r="D809" s="18">
        <v>9.2147199999999998</v>
      </c>
      <c r="E809" s="18">
        <v>11.293778436242178</v>
      </c>
      <c r="F809" s="18">
        <v>4.9766400000000006</v>
      </c>
      <c r="G809" s="18">
        <v>4.978374802811512</v>
      </c>
      <c r="H809" s="19">
        <v>0.22562361485125737</v>
      </c>
      <c r="I809" s="19">
        <v>3.4858917090874186E-4</v>
      </c>
      <c r="J809" s="19">
        <v>0.14662394858940164</v>
      </c>
    </row>
    <row r="810" spans="1:10" ht="11.25" customHeight="1" x14ac:dyDescent="0.2">
      <c r="A810" s="28">
        <v>44682</v>
      </c>
      <c r="B810" s="18">
        <v>0</v>
      </c>
      <c r="C810" s="18">
        <v>0</v>
      </c>
      <c r="D810" s="18">
        <v>9.2147199999999998</v>
      </c>
      <c r="E810" s="18">
        <v>11.293778436242178</v>
      </c>
      <c r="F810" s="18">
        <v>4.9766400000000006</v>
      </c>
      <c r="G810" s="18">
        <v>4.978374802811512</v>
      </c>
      <c r="H810" s="19">
        <v>0.22562361485125737</v>
      </c>
      <c r="I810" s="19">
        <v>3.4858917090874186E-4</v>
      </c>
      <c r="J810" s="19">
        <v>0.14662394858940164</v>
      </c>
    </row>
    <row r="811" spans="1:10" ht="11.25" customHeight="1" x14ac:dyDescent="0.2">
      <c r="A811" s="27" t="s">
        <v>34</v>
      </c>
      <c r="B811" s="18">
        <v>0</v>
      </c>
      <c r="C811" s="18">
        <v>0</v>
      </c>
      <c r="D811" s="18">
        <v>299.60120000000001</v>
      </c>
      <c r="E811" s="18">
        <v>359.78632610500676</v>
      </c>
      <c r="F811" s="18">
        <v>168.691</v>
      </c>
      <c r="G811" s="18">
        <v>172.20528652241498</v>
      </c>
      <c r="H811" s="19">
        <v>0.20088412898548724</v>
      </c>
      <c r="I811" s="19">
        <v>2.0832685338370016E-2</v>
      </c>
      <c r="J811" s="19">
        <v>0.13602492765718033</v>
      </c>
    </row>
    <row r="812" spans="1:10" ht="11.25" customHeight="1" x14ac:dyDescent="0.2">
      <c r="A812" s="28">
        <v>44348</v>
      </c>
      <c r="B812" s="18">
        <v>0</v>
      </c>
      <c r="C812" s="18">
        <v>0</v>
      </c>
      <c r="D812" s="18">
        <v>28.197759999999999</v>
      </c>
      <c r="E812" s="18">
        <v>33.862242456941807</v>
      </c>
      <c r="F812" s="18">
        <v>15.876799999999999</v>
      </c>
      <c r="G812" s="18">
        <v>16.207556378580236</v>
      </c>
      <c r="H812" s="19">
        <v>0.20088412898548702</v>
      </c>
      <c r="I812" s="19">
        <v>2.0832685338370238E-2</v>
      </c>
      <c r="J812" s="19">
        <v>0.13602492765718011</v>
      </c>
    </row>
    <row r="813" spans="1:10" ht="11.25" customHeight="1" x14ac:dyDescent="0.2">
      <c r="A813" s="28">
        <v>44378</v>
      </c>
      <c r="B813" s="18">
        <v>0</v>
      </c>
      <c r="C813" s="18">
        <v>0</v>
      </c>
      <c r="D813" s="18">
        <v>29.078939999999999</v>
      </c>
      <c r="E813" s="18">
        <v>34.920437533721241</v>
      </c>
      <c r="F813" s="18">
        <v>16.372949999999999</v>
      </c>
      <c r="G813" s="18">
        <v>16.71404251541087</v>
      </c>
      <c r="H813" s="19">
        <v>0.20088412898548724</v>
      </c>
      <c r="I813" s="19">
        <v>2.083268533837046E-2</v>
      </c>
      <c r="J813" s="19">
        <v>0.13602492765718011</v>
      </c>
    </row>
    <row r="814" spans="1:10" ht="11.25" customHeight="1" x14ac:dyDescent="0.2">
      <c r="A814" s="28">
        <v>44409</v>
      </c>
      <c r="B814" s="18">
        <v>0</v>
      </c>
      <c r="C814" s="18">
        <v>0</v>
      </c>
      <c r="D814" s="18">
        <v>31.722479999999997</v>
      </c>
      <c r="E814" s="18">
        <v>38.095022764059529</v>
      </c>
      <c r="F814" s="18">
        <v>17.861399999999996</v>
      </c>
      <c r="G814" s="18">
        <v>18.233500925902764</v>
      </c>
      <c r="H814" s="19">
        <v>0.20088412898548702</v>
      </c>
      <c r="I814" s="19">
        <v>2.0832685338370238E-2</v>
      </c>
      <c r="J814" s="19">
        <v>0.13602492765718011</v>
      </c>
    </row>
    <row r="815" spans="1:10" ht="11.25" customHeight="1" x14ac:dyDescent="0.2">
      <c r="A815" s="28">
        <v>44440</v>
      </c>
      <c r="B815" s="18">
        <v>0</v>
      </c>
      <c r="C815" s="18">
        <v>0</v>
      </c>
      <c r="D815" s="18">
        <v>28.197759999999999</v>
      </c>
      <c r="E815" s="18">
        <v>33.862242456941807</v>
      </c>
      <c r="F815" s="18">
        <v>15.876799999999999</v>
      </c>
      <c r="G815" s="18">
        <v>16.207556378580236</v>
      </c>
      <c r="H815" s="19">
        <v>0.20088412898548702</v>
      </c>
      <c r="I815" s="19">
        <v>2.0832685338370238E-2</v>
      </c>
      <c r="J815" s="19">
        <v>0.13602492765718011</v>
      </c>
    </row>
    <row r="816" spans="1:10" ht="11.25" customHeight="1" x14ac:dyDescent="0.2">
      <c r="A816" s="28">
        <v>44470</v>
      </c>
      <c r="B816" s="18">
        <v>0</v>
      </c>
      <c r="C816" s="18">
        <v>0</v>
      </c>
      <c r="D816" s="18">
        <v>25.554220000000001</v>
      </c>
      <c r="E816" s="18">
        <v>30.687657226603513</v>
      </c>
      <c r="F816" s="18">
        <v>14.388350000000001</v>
      </c>
      <c r="G816" s="18">
        <v>14.688097968088341</v>
      </c>
      <c r="H816" s="19">
        <v>0.20088412898548702</v>
      </c>
      <c r="I816" s="19">
        <v>2.0832685338370238E-2</v>
      </c>
      <c r="J816" s="19">
        <v>0.13602492765718011</v>
      </c>
    </row>
    <row r="817" spans="1:10" ht="11.25" customHeight="1" x14ac:dyDescent="0.2">
      <c r="A817" s="28">
        <v>44501</v>
      </c>
      <c r="B817" s="18">
        <v>0</v>
      </c>
      <c r="C817" s="18">
        <v>0</v>
      </c>
      <c r="D817" s="18">
        <v>27.316579999999998</v>
      </c>
      <c r="E817" s="18">
        <v>32.804047380162373</v>
      </c>
      <c r="F817" s="18">
        <v>15.380649999999999</v>
      </c>
      <c r="G817" s="18">
        <v>15.701070241749605</v>
      </c>
      <c r="H817" s="19">
        <v>0.20088412898548702</v>
      </c>
      <c r="I817" s="19">
        <v>2.0832685338370238E-2</v>
      </c>
      <c r="J817" s="19">
        <v>0.13602492765718011</v>
      </c>
    </row>
    <row r="818" spans="1:10" ht="11.25" customHeight="1" x14ac:dyDescent="0.2">
      <c r="A818" s="28">
        <v>44531</v>
      </c>
      <c r="B818" s="18">
        <v>0</v>
      </c>
      <c r="C818" s="18">
        <v>0</v>
      </c>
      <c r="D818" s="18">
        <v>24.67304</v>
      </c>
      <c r="E818" s="18">
        <v>29.629462149824082</v>
      </c>
      <c r="F818" s="18">
        <v>13.892199999999999</v>
      </c>
      <c r="G818" s="18">
        <v>14.181611831257708</v>
      </c>
      <c r="H818" s="19">
        <v>0.20088412898548702</v>
      </c>
      <c r="I818" s="19">
        <v>2.083268533837046E-2</v>
      </c>
      <c r="J818" s="19">
        <v>0.13602492765718011</v>
      </c>
    </row>
    <row r="819" spans="1:10" ht="11.25" customHeight="1" x14ac:dyDescent="0.2">
      <c r="A819" s="28">
        <v>44562</v>
      </c>
      <c r="B819" s="18">
        <v>0</v>
      </c>
      <c r="C819" s="18">
        <v>0</v>
      </c>
      <c r="D819" s="18">
        <v>20.267139999999998</v>
      </c>
      <c r="E819" s="18">
        <v>24.338486765926923</v>
      </c>
      <c r="F819" s="18">
        <v>11.411449999999999</v>
      </c>
      <c r="G819" s="18">
        <v>11.649181147104546</v>
      </c>
      <c r="H819" s="19">
        <v>0.20088412898548724</v>
      </c>
      <c r="I819" s="19">
        <v>2.083268533837046E-2</v>
      </c>
      <c r="J819" s="19">
        <v>0.13602492765718033</v>
      </c>
    </row>
    <row r="820" spans="1:10" ht="11.25" customHeight="1" x14ac:dyDescent="0.2">
      <c r="A820" s="28">
        <v>44593</v>
      </c>
      <c r="B820" s="18">
        <v>0</v>
      </c>
      <c r="C820" s="18">
        <v>0</v>
      </c>
      <c r="D820" s="18">
        <v>17.6236</v>
      </c>
      <c r="E820" s="18">
        <v>21.163901535588629</v>
      </c>
      <c r="F820" s="18">
        <v>9.923</v>
      </c>
      <c r="G820" s="18">
        <v>10.129722736612647</v>
      </c>
      <c r="H820" s="19">
        <v>0.20088412898548702</v>
      </c>
      <c r="I820" s="19">
        <v>2.0832685338370238E-2</v>
      </c>
      <c r="J820" s="19">
        <v>0.13602492765718011</v>
      </c>
    </row>
    <row r="821" spans="1:10" ht="11.25" customHeight="1" x14ac:dyDescent="0.2">
      <c r="A821" s="28">
        <v>44621</v>
      </c>
      <c r="B821" s="18">
        <v>0</v>
      </c>
      <c r="C821" s="18">
        <v>0</v>
      </c>
      <c r="D821" s="18">
        <v>21.148319999999998</v>
      </c>
      <c r="E821" s="18">
        <v>25.396681842706357</v>
      </c>
      <c r="F821" s="18">
        <v>11.9076</v>
      </c>
      <c r="G821" s="18">
        <v>12.155667283935179</v>
      </c>
      <c r="H821" s="19">
        <v>0.20088412898548724</v>
      </c>
      <c r="I821" s="19">
        <v>2.0832685338370238E-2</v>
      </c>
      <c r="J821" s="19">
        <v>0.13602492765718033</v>
      </c>
    </row>
    <row r="822" spans="1:10" ht="11.25" customHeight="1" x14ac:dyDescent="0.2">
      <c r="A822" s="28">
        <v>44652</v>
      </c>
      <c r="B822" s="18">
        <v>0</v>
      </c>
      <c r="C822" s="18">
        <v>0</v>
      </c>
      <c r="D822" s="18">
        <v>22.910679999999999</v>
      </c>
      <c r="E822" s="18">
        <v>27.513071996265218</v>
      </c>
      <c r="F822" s="18">
        <v>12.899899999999999</v>
      </c>
      <c r="G822" s="18">
        <v>13.168639557596443</v>
      </c>
      <c r="H822" s="19">
        <v>0.20088412898548702</v>
      </c>
      <c r="I822" s="19">
        <v>2.083268533837046E-2</v>
      </c>
      <c r="J822" s="19">
        <v>0.13602492765718011</v>
      </c>
    </row>
    <row r="823" spans="1:10" ht="11.25" customHeight="1" x14ac:dyDescent="0.2">
      <c r="A823" s="28">
        <v>44682</v>
      </c>
      <c r="B823" s="18">
        <v>0</v>
      </c>
      <c r="C823" s="18">
        <v>0</v>
      </c>
      <c r="D823" s="18">
        <v>22.910679999999999</v>
      </c>
      <c r="E823" s="18">
        <v>27.513071996265218</v>
      </c>
      <c r="F823" s="18">
        <v>12.899899999999999</v>
      </c>
      <c r="G823" s="18">
        <v>13.168639557596443</v>
      </c>
      <c r="H823" s="19">
        <v>0.20088412898548702</v>
      </c>
      <c r="I823" s="19">
        <v>2.083268533837046E-2</v>
      </c>
      <c r="J823" s="19">
        <v>0.13602492765718011</v>
      </c>
    </row>
    <row r="824" spans="1:10" ht="11.25" customHeight="1" x14ac:dyDescent="0.2">
      <c r="A824" s="22" t="s">
        <v>23</v>
      </c>
      <c r="B824" s="18">
        <v>0</v>
      </c>
      <c r="C824" s="18">
        <v>0</v>
      </c>
      <c r="D824" s="18">
        <v>77206723.522257641</v>
      </c>
      <c r="E824" s="18">
        <v>98386126.930068433</v>
      </c>
      <c r="F824" s="18">
        <v>73597521.10579139</v>
      </c>
      <c r="G824" s="18">
        <v>73813164.257850319</v>
      </c>
      <c r="H824" s="19">
        <v>0.274320712518064</v>
      </c>
      <c r="I824" s="19">
        <v>2.9300328165808853E-3</v>
      </c>
      <c r="J824" s="19">
        <v>0.14187297322193837</v>
      </c>
    </row>
    <row r="825" spans="1:10" ht="11.25" customHeight="1" x14ac:dyDescent="0.2">
      <c r="A825" s="23" t="s">
        <v>43</v>
      </c>
      <c r="B825" s="18">
        <v>0</v>
      </c>
      <c r="C825" s="18">
        <v>0</v>
      </c>
      <c r="D825" s="18">
        <v>52578697.456800014</v>
      </c>
      <c r="E825" s="18">
        <v>67002123.206421062</v>
      </c>
      <c r="F825" s="18">
        <v>50120787.662700005</v>
      </c>
      <c r="G825" s="18">
        <v>50267643.215344563</v>
      </c>
      <c r="H825" s="19">
        <v>0.27432071251806334</v>
      </c>
      <c r="I825" s="19">
        <v>2.9300328165799971E-3</v>
      </c>
      <c r="J825" s="19">
        <v>0.14187297322193748</v>
      </c>
    </row>
    <row r="826" spans="1:10" ht="11.25" customHeight="1" x14ac:dyDescent="0.2">
      <c r="A826" s="24" t="s">
        <v>25</v>
      </c>
      <c r="B826" s="18">
        <v>0</v>
      </c>
      <c r="C826" s="18">
        <v>0</v>
      </c>
      <c r="D826" s="18">
        <v>52578697.456800014</v>
      </c>
      <c r="E826" s="18">
        <v>67002123.206421062</v>
      </c>
      <c r="F826" s="18">
        <v>50120787.662700005</v>
      </c>
      <c r="G826" s="18">
        <v>50267643.215344563</v>
      </c>
      <c r="H826" s="19">
        <v>0.27432071251806334</v>
      </c>
      <c r="I826" s="19">
        <v>2.9300328165799971E-3</v>
      </c>
      <c r="J826" s="19">
        <v>0.14187297322193748</v>
      </c>
    </row>
    <row r="827" spans="1:10" ht="11.25" customHeight="1" x14ac:dyDescent="0.2">
      <c r="A827" s="25" t="s">
        <v>25</v>
      </c>
      <c r="B827" s="18">
        <v>0</v>
      </c>
      <c r="C827" s="18">
        <v>0</v>
      </c>
      <c r="D827" s="18">
        <v>52578697.456800014</v>
      </c>
      <c r="E827" s="18">
        <v>67002123.206421062</v>
      </c>
      <c r="F827" s="18">
        <v>50120787.662700005</v>
      </c>
      <c r="G827" s="18">
        <v>50267643.215344563</v>
      </c>
      <c r="H827" s="19">
        <v>0.27432071251806334</v>
      </c>
      <c r="I827" s="19">
        <v>2.9300328165799971E-3</v>
      </c>
      <c r="J827" s="19">
        <v>0.14187297322193748</v>
      </c>
    </row>
    <row r="828" spans="1:10" ht="11.25" customHeight="1" x14ac:dyDescent="0.2">
      <c r="A828" s="26" t="s">
        <v>25</v>
      </c>
      <c r="B828" s="18">
        <v>0</v>
      </c>
      <c r="C828" s="18">
        <v>0</v>
      </c>
      <c r="D828" s="18">
        <v>52578697.456800014</v>
      </c>
      <c r="E828" s="18">
        <v>67002123.206421062</v>
      </c>
      <c r="F828" s="18">
        <v>50120787.662700005</v>
      </c>
      <c r="G828" s="18">
        <v>50267643.215344563</v>
      </c>
      <c r="H828" s="19">
        <v>0.27432071251806334</v>
      </c>
      <c r="I828" s="19">
        <v>2.9300328165799971E-3</v>
      </c>
      <c r="J828" s="19">
        <v>0.14187297322193748</v>
      </c>
    </row>
    <row r="829" spans="1:10" ht="11.25" customHeight="1" x14ac:dyDescent="0.2">
      <c r="A829" s="27" t="s">
        <v>25</v>
      </c>
      <c r="B829" s="18">
        <v>0</v>
      </c>
      <c r="C829" s="18">
        <v>0</v>
      </c>
      <c r="D829" s="18">
        <v>52578697.456800014</v>
      </c>
      <c r="E829" s="18">
        <v>67002123.206421062</v>
      </c>
      <c r="F829" s="18">
        <v>50120787.662700005</v>
      </c>
      <c r="G829" s="18">
        <v>50267643.215344563</v>
      </c>
      <c r="H829" s="19">
        <v>0.27432071251806334</v>
      </c>
      <c r="I829" s="19">
        <v>2.9300328165799971E-3</v>
      </c>
      <c r="J829" s="19">
        <v>0.14187297322193748</v>
      </c>
    </row>
    <row r="830" spans="1:10" ht="11.25" customHeight="1" x14ac:dyDescent="0.2">
      <c r="A830" s="28">
        <v>44348</v>
      </c>
      <c r="B830" s="18">
        <v>0</v>
      </c>
      <c r="C830" s="18">
        <v>0</v>
      </c>
      <c r="D830" s="18">
        <v>3917685.2291999999</v>
      </c>
      <c r="E830" s="18">
        <v>4992387.4326956365</v>
      </c>
      <c r="F830" s="18">
        <v>3734544.1975499997</v>
      </c>
      <c r="G830" s="18">
        <v>3745486.5346037904</v>
      </c>
      <c r="H830" s="19">
        <v>0.27432071251806334</v>
      </c>
      <c r="I830" s="19">
        <v>2.9300328165802192E-3</v>
      </c>
      <c r="J830" s="19">
        <v>0.14187297322193793</v>
      </c>
    </row>
    <row r="831" spans="1:10" ht="11.25" customHeight="1" x14ac:dyDescent="0.2">
      <c r="A831" s="28">
        <v>44378</v>
      </c>
      <c r="B831" s="18">
        <v>0</v>
      </c>
      <c r="C831" s="18">
        <v>0</v>
      </c>
      <c r="D831" s="18">
        <v>3786634.5722400001</v>
      </c>
      <c r="E831" s="18">
        <v>4825386.8661424089</v>
      </c>
      <c r="F831" s="18">
        <v>3609619.7991100005</v>
      </c>
      <c r="G831" s="18">
        <v>3620196.1035767701</v>
      </c>
      <c r="H831" s="19">
        <v>0.27432071251806334</v>
      </c>
      <c r="I831" s="19">
        <v>2.9300328165799971E-3</v>
      </c>
      <c r="J831" s="19">
        <v>0.1418729732219377</v>
      </c>
    </row>
    <row r="832" spans="1:10" ht="11.25" customHeight="1" x14ac:dyDescent="0.2">
      <c r="A832" s="28">
        <v>44409</v>
      </c>
      <c r="B832" s="18">
        <v>0</v>
      </c>
      <c r="C832" s="18">
        <v>0</v>
      </c>
      <c r="D832" s="18">
        <v>3799005.29232</v>
      </c>
      <c r="E832" s="18">
        <v>4841151.1309691146</v>
      </c>
      <c r="F832" s="18">
        <v>3621412.2219799999</v>
      </c>
      <c r="G832" s="18">
        <v>3632023.0786327654</v>
      </c>
      <c r="H832" s="19">
        <v>0.27432071251806289</v>
      </c>
      <c r="I832" s="19">
        <v>2.9300328165799971E-3</v>
      </c>
      <c r="J832" s="19">
        <v>0.14187297322193748</v>
      </c>
    </row>
    <row r="833" spans="1:10" ht="11.25" customHeight="1" x14ac:dyDescent="0.2">
      <c r="A833" s="28">
        <v>44440</v>
      </c>
      <c r="B833" s="18">
        <v>0</v>
      </c>
      <c r="C833" s="18">
        <v>0</v>
      </c>
      <c r="D833" s="18">
        <v>4396072.59504</v>
      </c>
      <c r="E833" s="18">
        <v>5602006.3615925042</v>
      </c>
      <c r="F833" s="18">
        <v>4190568.26706</v>
      </c>
      <c r="G833" s="18">
        <v>4202846.7696026051</v>
      </c>
      <c r="H833" s="19">
        <v>0.27432071251806334</v>
      </c>
      <c r="I833" s="19">
        <v>2.9300328165802192E-3</v>
      </c>
      <c r="J833" s="19">
        <v>0.1418729732219377</v>
      </c>
    </row>
    <row r="834" spans="1:10" ht="11.25" customHeight="1" x14ac:dyDescent="0.2">
      <c r="A834" s="28">
        <v>44470</v>
      </c>
      <c r="B834" s="18">
        <v>0</v>
      </c>
      <c r="C834" s="18">
        <v>0</v>
      </c>
      <c r="D834" s="18">
        <v>4297071.9014400002</v>
      </c>
      <c r="E834" s="18">
        <v>5475847.7271843702</v>
      </c>
      <c r="F834" s="18">
        <v>4096195.5841600001</v>
      </c>
      <c r="G834" s="18">
        <v>4108197.5716447197</v>
      </c>
      <c r="H834" s="19">
        <v>0.27432071251806334</v>
      </c>
      <c r="I834" s="19">
        <v>2.9300328165802192E-3</v>
      </c>
      <c r="J834" s="19">
        <v>0.1418729732219377</v>
      </c>
    </row>
    <row r="835" spans="1:10" ht="11.25" customHeight="1" x14ac:dyDescent="0.2">
      <c r="A835" s="28">
        <v>44501</v>
      </c>
      <c r="B835" s="18">
        <v>0</v>
      </c>
      <c r="C835" s="18">
        <v>0</v>
      </c>
      <c r="D835" s="18">
        <v>4257863.7636000002</v>
      </c>
      <c r="E835" s="18">
        <v>5425883.9850355946</v>
      </c>
      <c r="F835" s="18">
        <v>4058820.3191500003</v>
      </c>
      <c r="G835" s="18">
        <v>4070712.7958817119</v>
      </c>
      <c r="H835" s="19">
        <v>0.27432071251806334</v>
      </c>
      <c r="I835" s="19">
        <v>2.9300328165799971E-3</v>
      </c>
      <c r="J835" s="19">
        <v>0.1418729732219377</v>
      </c>
    </row>
    <row r="836" spans="1:10" ht="11.25" customHeight="1" x14ac:dyDescent="0.2">
      <c r="A836" s="28">
        <v>44531</v>
      </c>
      <c r="B836" s="18">
        <v>0</v>
      </c>
      <c r="C836" s="18">
        <v>0</v>
      </c>
      <c r="D836" s="18">
        <v>4738730.6846400006</v>
      </c>
      <c r="E836" s="18">
        <v>6038662.6624816544</v>
      </c>
      <c r="F836" s="18">
        <v>4517208.0314600011</v>
      </c>
      <c r="G836" s="18">
        <v>4530443.5992314983</v>
      </c>
      <c r="H836" s="19">
        <v>0.27432071251806311</v>
      </c>
      <c r="I836" s="19">
        <v>2.9300328165802192E-3</v>
      </c>
      <c r="J836" s="19">
        <v>0.1418729732219377</v>
      </c>
    </row>
    <row r="837" spans="1:10" ht="11.25" customHeight="1" x14ac:dyDescent="0.2">
      <c r="A837" s="28">
        <v>44562</v>
      </c>
      <c r="B837" s="18">
        <v>0</v>
      </c>
      <c r="C837" s="18">
        <v>0</v>
      </c>
      <c r="D837" s="18">
        <v>4533672.8395199999</v>
      </c>
      <c r="E837" s="18">
        <v>5777353.2031809175</v>
      </c>
      <c r="F837" s="18">
        <v>4321736.0777799999</v>
      </c>
      <c r="G837" s="18">
        <v>4334398.9063124945</v>
      </c>
      <c r="H837" s="19">
        <v>0.27432071251806334</v>
      </c>
      <c r="I837" s="19">
        <v>2.9300328165804412E-3</v>
      </c>
      <c r="J837" s="19">
        <v>0.1418729732219377</v>
      </c>
    </row>
    <row r="838" spans="1:10" ht="11.25" customHeight="1" x14ac:dyDescent="0.2">
      <c r="A838" s="28">
        <v>44593</v>
      </c>
      <c r="B838" s="18">
        <v>0</v>
      </c>
      <c r="C838" s="18">
        <v>0</v>
      </c>
      <c r="D838" s="18">
        <v>4478495.2017599996</v>
      </c>
      <c r="E838" s="18">
        <v>5707039.1965155294</v>
      </c>
      <c r="F838" s="18">
        <v>4269137.8431399995</v>
      </c>
      <c r="G838" s="18">
        <v>4281646.5571189048</v>
      </c>
      <c r="H838" s="19">
        <v>0.27432071251806311</v>
      </c>
      <c r="I838" s="19">
        <v>2.9300328165804412E-3</v>
      </c>
      <c r="J838" s="19">
        <v>0.14187297322193748</v>
      </c>
    </row>
    <row r="839" spans="1:10" ht="11.25" customHeight="1" x14ac:dyDescent="0.2">
      <c r="A839" s="28">
        <v>44621</v>
      </c>
      <c r="B839" s="18">
        <v>0</v>
      </c>
      <c r="C839" s="18">
        <v>0</v>
      </c>
      <c r="D839" s="18">
        <v>4911304.6442400012</v>
      </c>
      <c r="E839" s="18">
        <v>6258577.2336411895</v>
      </c>
      <c r="F839" s="18">
        <v>4681714.6321100006</v>
      </c>
      <c r="G839" s="18">
        <v>4695432.2096199468</v>
      </c>
      <c r="H839" s="19">
        <v>0.27432071251806289</v>
      </c>
      <c r="I839" s="19">
        <v>2.9300328165802192E-3</v>
      </c>
      <c r="J839" s="19">
        <v>0.14187297322193726</v>
      </c>
    </row>
    <row r="840" spans="1:10" ht="11.25" customHeight="1" x14ac:dyDescent="0.2">
      <c r="A840" s="28">
        <v>44652</v>
      </c>
      <c r="B840" s="18">
        <v>0</v>
      </c>
      <c r="C840" s="18">
        <v>0</v>
      </c>
      <c r="D840" s="18">
        <v>4731080.3664000006</v>
      </c>
      <c r="E840" s="18">
        <v>6028913.7034910684</v>
      </c>
      <c r="F840" s="18">
        <v>4509915.3446000004</v>
      </c>
      <c r="G840" s="18">
        <v>4523129.5445596762</v>
      </c>
      <c r="H840" s="19">
        <v>0.27432071251806311</v>
      </c>
      <c r="I840" s="19">
        <v>2.9300328165799971E-3</v>
      </c>
      <c r="J840" s="19">
        <v>0.1418729732219377</v>
      </c>
    </row>
    <row r="841" spans="1:10" ht="11.25" customHeight="1" x14ac:dyDescent="0.2">
      <c r="A841" s="28">
        <v>44682</v>
      </c>
      <c r="B841" s="18">
        <v>0</v>
      </c>
      <c r="C841" s="18">
        <v>0</v>
      </c>
      <c r="D841" s="18">
        <v>4731080.3664000006</v>
      </c>
      <c r="E841" s="18">
        <v>6028913.7034910684</v>
      </c>
      <c r="F841" s="18">
        <v>4509915.3446000004</v>
      </c>
      <c r="G841" s="18">
        <v>4523129.5445596762</v>
      </c>
      <c r="H841" s="19">
        <v>0.27432071251806311</v>
      </c>
      <c r="I841" s="19">
        <v>2.9300328165799971E-3</v>
      </c>
      <c r="J841" s="19">
        <v>0.1418729732219377</v>
      </c>
    </row>
    <row r="842" spans="1:10" ht="11.25" customHeight="1" x14ac:dyDescent="0.2">
      <c r="A842" s="23" t="s">
        <v>53</v>
      </c>
      <c r="B842" s="18">
        <v>0</v>
      </c>
      <c r="C842" s="18">
        <v>0</v>
      </c>
      <c r="D842" s="18">
        <v>559487.31480000005</v>
      </c>
      <c r="E842" s="18">
        <v>712966.27364075382</v>
      </c>
      <c r="F842" s="18">
        <v>533332.81845000014</v>
      </c>
      <c r="G842" s="18">
        <v>534895.50111021765</v>
      </c>
      <c r="H842" s="19">
        <v>0.27432071251806311</v>
      </c>
      <c r="I842" s="19">
        <v>2.9300328165795531E-3</v>
      </c>
      <c r="J842" s="19">
        <v>0.14187297322193726</v>
      </c>
    </row>
    <row r="843" spans="1:10" ht="11.25" customHeight="1" x14ac:dyDescent="0.2">
      <c r="A843" s="24" t="s">
        <v>25</v>
      </c>
      <c r="B843" s="18">
        <v>0</v>
      </c>
      <c r="C843" s="18">
        <v>0</v>
      </c>
      <c r="D843" s="18">
        <v>559487.31480000005</v>
      </c>
      <c r="E843" s="18">
        <v>712966.27364075382</v>
      </c>
      <c r="F843" s="18">
        <v>533332.81845000014</v>
      </c>
      <c r="G843" s="18">
        <v>534895.50111021765</v>
      </c>
      <c r="H843" s="19">
        <v>0.27432071251806311</v>
      </c>
      <c r="I843" s="19">
        <v>2.9300328165795531E-3</v>
      </c>
      <c r="J843" s="19">
        <v>0.14187297322193726</v>
      </c>
    </row>
    <row r="844" spans="1:10" ht="11.25" customHeight="1" x14ac:dyDescent="0.2">
      <c r="A844" s="25" t="s">
        <v>25</v>
      </c>
      <c r="B844" s="18">
        <v>0</v>
      </c>
      <c r="C844" s="18">
        <v>0</v>
      </c>
      <c r="D844" s="18">
        <v>559487.31480000005</v>
      </c>
      <c r="E844" s="18">
        <v>712966.27364075382</v>
      </c>
      <c r="F844" s="18">
        <v>533332.81845000014</v>
      </c>
      <c r="G844" s="18">
        <v>534895.50111021765</v>
      </c>
      <c r="H844" s="19">
        <v>0.27432071251806311</v>
      </c>
      <c r="I844" s="19">
        <v>2.9300328165795531E-3</v>
      </c>
      <c r="J844" s="19">
        <v>0.14187297322193726</v>
      </c>
    </row>
    <row r="845" spans="1:10" ht="11.25" customHeight="1" x14ac:dyDescent="0.2">
      <c r="A845" s="26" t="s">
        <v>25</v>
      </c>
      <c r="B845" s="18">
        <v>0</v>
      </c>
      <c r="C845" s="18">
        <v>0</v>
      </c>
      <c r="D845" s="18">
        <v>559487.31480000005</v>
      </c>
      <c r="E845" s="18">
        <v>712966.27364075382</v>
      </c>
      <c r="F845" s="18">
        <v>533332.81845000014</v>
      </c>
      <c r="G845" s="18">
        <v>534895.50111021765</v>
      </c>
      <c r="H845" s="19">
        <v>0.27432071251806311</v>
      </c>
      <c r="I845" s="19">
        <v>2.9300328165795531E-3</v>
      </c>
      <c r="J845" s="19">
        <v>0.14187297322193726</v>
      </c>
    </row>
    <row r="846" spans="1:10" ht="11.25" customHeight="1" x14ac:dyDescent="0.2">
      <c r="A846" s="27" t="s">
        <v>25</v>
      </c>
      <c r="B846" s="18">
        <v>0</v>
      </c>
      <c r="C846" s="18">
        <v>0</v>
      </c>
      <c r="D846" s="18">
        <v>559487.31480000005</v>
      </c>
      <c r="E846" s="18">
        <v>712966.27364075382</v>
      </c>
      <c r="F846" s="18">
        <v>533332.81845000014</v>
      </c>
      <c r="G846" s="18">
        <v>534895.50111021765</v>
      </c>
      <c r="H846" s="19">
        <v>0.27432071251806311</v>
      </c>
      <c r="I846" s="19">
        <v>2.9300328165795531E-3</v>
      </c>
      <c r="J846" s="19">
        <v>0.14187297322193726</v>
      </c>
    </row>
    <row r="847" spans="1:10" ht="11.25" customHeight="1" x14ac:dyDescent="0.2">
      <c r="A847" s="28">
        <v>44348</v>
      </c>
      <c r="B847" s="18">
        <v>0</v>
      </c>
      <c r="C847" s="18">
        <v>0</v>
      </c>
      <c r="D847" s="18">
        <v>50406.891360000009</v>
      </c>
      <c r="E847" s="18">
        <v>64234.545713695814</v>
      </c>
      <c r="F847" s="18">
        <v>48050.507540000013</v>
      </c>
      <c r="G847" s="18">
        <v>48191.297103945537</v>
      </c>
      <c r="H847" s="19">
        <v>0.27432071251806311</v>
      </c>
      <c r="I847" s="19">
        <v>2.9300328165799971E-3</v>
      </c>
      <c r="J847" s="19">
        <v>0.14187297322193748</v>
      </c>
    </row>
    <row r="848" spans="1:10" ht="11.25" customHeight="1" x14ac:dyDescent="0.2">
      <c r="A848" s="28">
        <v>44378</v>
      </c>
      <c r="B848" s="18">
        <v>0</v>
      </c>
      <c r="C848" s="18">
        <v>0</v>
      </c>
      <c r="D848" s="18">
        <v>44506.645920000003</v>
      </c>
      <c r="E848" s="18">
        <v>56715.74074056356</v>
      </c>
      <c r="F848" s="18">
        <v>42426.082380000007</v>
      </c>
      <c r="G848" s="18">
        <v>42550.39219365234</v>
      </c>
      <c r="H848" s="19">
        <v>0.27432071251806334</v>
      </c>
      <c r="I848" s="19">
        <v>2.9300328165802192E-3</v>
      </c>
      <c r="J848" s="19">
        <v>0.1418729732219377</v>
      </c>
    </row>
    <row r="849" spans="1:10" ht="11.25" customHeight="1" x14ac:dyDescent="0.2">
      <c r="A849" s="28">
        <v>44409</v>
      </c>
      <c r="B849" s="18">
        <v>0</v>
      </c>
      <c r="C849" s="18">
        <v>0</v>
      </c>
      <c r="D849" s="18">
        <v>48772.919279999995</v>
      </c>
      <c r="E849" s="18">
        <v>62152.341248475583</v>
      </c>
      <c r="F849" s="18">
        <v>46492.919170000001</v>
      </c>
      <c r="G849" s="18">
        <v>46629.144948906709</v>
      </c>
      <c r="H849" s="19">
        <v>0.27432071251806334</v>
      </c>
      <c r="I849" s="19">
        <v>2.9300328165802192E-3</v>
      </c>
      <c r="J849" s="19">
        <v>0.14187297322193793</v>
      </c>
    </row>
    <row r="850" spans="1:10" ht="11.25" customHeight="1" x14ac:dyDescent="0.2">
      <c r="A850" s="28">
        <v>44440</v>
      </c>
      <c r="B850" s="18">
        <v>0</v>
      </c>
      <c r="C850" s="18">
        <v>0</v>
      </c>
      <c r="D850" s="18">
        <v>57144.500400000004</v>
      </c>
      <c r="E850" s="18">
        <v>72820.420466216761</v>
      </c>
      <c r="F850" s="18">
        <v>54473.151850000002</v>
      </c>
      <c r="G850" s="18">
        <v>54632.759972543055</v>
      </c>
      <c r="H850" s="19">
        <v>0.27432071251806334</v>
      </c>
      <c r="I850" s="19">
        <v>2.9300328165802192E-3</v>
      </c>
      <c r="J850" s="19">
        <v>0.1418729732219377</v>
      </c>
    </row>
    <row r="851" spans="1:10" ht="11.25" customHeight="1" x14ac:dyDescent="0.2">
      <c r="A851" s="28">
        <v>44470</v>
      </c>
      <c r="B851" s="18">
        <v>0</v>
      </c>
      <c r="C851" s="18">
        <v>0</v>
      </c>
      <c r="D851" s="18">
        <v>52771.37328</v>
      </c>
      <c r="E851" s="18">
        <v>67247.65399872628</v>
      </c>
      <c r="F851" s="18">
        <v>50304.456420000002</v>
      </c>
      <c r="G851" s="18">
        <v>50451.85012813082</v>
      </c>
      <c r="H851" s="19">
        <v>0.27432071251806311</v>
      </c>
      <c r="I851" s="19">
        <v>2.9300328165799971E-3</v>
      </c>
      <c r="J851" s="19">
        <v>0.14187297322193748</v>
      </c>
    </row>
    <row r="852" spans="1:10" ht="11.25" customHeight="1" x14ac:dyDescent="0.2">
      <c r="A852" s="28">
        <v>44501</v>
      </c>
      <c r="B852" s="18">
        <v>0</v>
      </c>
      <c r="C852" s="18">
        <v>0</v>
      </c>
      <c r="D852" s="18">
        <v>52947.750480000002</v>
      </c>
      <c r="E852" s="18">
        <v>67472.41511790223</v>
      </c>
      <c r="F852" s="18">
        <v>50472.58847000001</v>
      </c>
      <c r="G852" s="18">
        <v>50620.474810554842</v>
      </c>
      <c r="H852" s="19">
        <v>0.27432071251806334</v>
      </c>
      <c r="I852" s="19">
        <v>2.9300328165799971E-3</v>
      </c>
      <c r="J852" s="19">
        <v>0.1418729732219377</v>
      </c>
    </row>
    <row r="853" spans="1:10" ht="11.25" customHeight="1" x14ac:dyDescent="0.2">
      <c r="A853" s="28">
        <v>44531</v>
      </c>
      <c r="B853" s="18">
        <v>0</v>
      </c>
      <c r="C853" s="18">
        <v>0</v>
      </c>
      <c r="D853" s="18">
        <v>55662.931920000003</v>
      </c>
      <c r="E853" s="18">
        <v>70932.427065138865</v>
      </c>
      <c r="F853" s="18">
        <v>53060.842630000006</v>
      </c>
      <c r="G853" s="18">
        <v>53216.312640181299</v>
      </c>
      <c r="H853" s="19">
        <v>0.27432071251806356</v>
      </c>
      <c r="I853" s="19">
        <v>2.9300328165799971E-3</v>
      </c>
      <c r="J853" s="19">
        <v>0.14187297322193793</v>
      </c>
    </row>
    <row r="854" spans="1:10" ht="11.25" customHeight="1" x14ac:dyDescent="0.2">
      <c r="A854" s="28">
        <v>44562</v>
      </c>
      <c r="B854" s="18">
        <v>0</v>
      </c>
      <c r="C854" s="18">
        <v>0</v>
      </c>
      <c r="D854" s="18">
        <v>52659.039840000005</v>
      </c>
      <c r="E854" s="18">
        <v>67104.505169425887</v>
      </c>
      <c r="F854" s="18">
        <v>50197.374260000004</v>
      </c>
      <c r="G854" s="18">
        <v>50344.454213887955</v>
      </c>
      <c r="H854" s="19">
        <v>0.27432071251806334</v>
      </c>
      <c r="I854" s="19">
        <v>2.9300328165799971E-3</v>
      </c>
      <c r="J854" s="19">
        <v>0.1418729732219377</v>
      </c>
    </row>
    <row r="855" spans="1:10" ht="11.25" customHeight="1" x14ac:dyDescent="0.2">
      <c r="A855" s="28">
        <v>44593</v>
      </c>
      <c r="B855" s="18">
        <v>0</v>
      </c>
      <c r="C855" s="18">
        <v>0</v>
      </c>
      <c r="D855" s="18">
        <v>52317.929760000006</v>
      </c>
      <c r="E855" s="18">
        <v>66669.821529233188</v>
      </c>
      <c r="F855" s="18">
        <v>49872.210140000003</v>
      </c>
      <c r="G855" s="18">
        <v>50018.337352345581</v>
      </c>
      <c r="H855" s="19">
        <v>0.27432071251806311</v>
      </c>
      <c r="I855" s="19">
        <v>2.9300328165799971E-3</v>
      </c>
      <c r="J855" s="19">
        <v>0.1418729732219377</v>
      </c>
    </row>
    <row r="856" spans="1:10" ht="11.25" customHeight="1" x14ac:dyDescent="0.2">
      <c r="A856" s="28">
        <v>44621</v>
      </c>
      <c r="B856" s="18">
        <v>0</v>
      </c>
      <c r="C856" s="18">
        <v>0</v>
      </c>
      <c r="D856" s="18">
        <v>60561.080880000009</v>
      </c>
      <c r="E856" s="18">
        <v>77174.239737865661</v>
      </c>
      <c r="F856" s="18">
        <v>57730.016570000007</v>
      </c>
      <c r="G856" s="18">
        <v>57899.167413051822</v>
      </c>
      <c r="H856" s="19">
        <v>0.27432071251806311</v>
      </c>
      <c r="I856" s="19">
        <v>2.9300328165802192E-3</v>
      </c>
      <c r="J856" s="19">
        <v>0.1418729732219377</v>
      </c>
    </row>
    <row r="857" spans="1:10" ht="11.25" customHeight="1" x14ac:dyDescent="0.2">
      <c r="A857" s="28">
        <v>44652</v>
      </c>
      <c r="B857" s="18">
        <v>0</v>
      </c>
      <c r="C857" s="18">
        <v>0</v>
      </c>
      <c r="D857" s="18">
        <v>15868.125840000001</v>
      </c>
      <c r="E857" s="18">
        <v>20221.081426755089</v>
      </c>
      <c r="F857" s="18">
        <v>15126.334510000001</v>
      </c>
      <c r="G857" s="18">
        <v>15170.65516650887</v>
      </c>
      <c r="H857" s="19">
        <v>0.27432071251806311</v>
      </c>
      <c r="I857" s="19">
        <v>2.9300328165802192E-3</v>
      </c>
      <c r="J857" s="19">
        <v>0.1418729732219377</v>
      </c>
    </row>
    <row r="858" spans="1:10" ht="11.25" customHeight="1" x14ac:dyDescent="0.2">
      <c r="A858" s="28">
        <v>44682</v>
      </c>
      <c r="B858" s="18">
        <v>0</v>
      </c>
      <c r="C858" s="18">
        <v>0</v>
      </c>
      <c r="D858" s="18">
        <v>15868.125840000001</v>
      </c>
      <c r="E858" s="18">
        <v>20221.081426755089</v>
      </c>
      <c r="F858" s="18">
        <v>15126.334510000001</v>
      </c>
      <c r="G858" s="18">
        <v>15170.65516650887</v>
      </c>
      <c r="H858" s="19">
        <v>0.27432071251806311</v>
      </c>
      <c r="I858" s="19">
        <v>2.9300328165802192E-3</v>
      </c>
      <c r="J858" s="19">
        <v>0.1418729732219377</v>
      </c>
    </row>
    <row r="859" spans="1:10" ht="11.25" customHeight="1" x14ac:dyDescent="0.2">
      <c r="A859" s="23" t="s">
        <v>38</v>
      </c>
      <c r="B859" s="18">
        <v>0</v>
      </c>
      <c r="C859" s="18">
        <v>0</v>
      </c>
      <c r="D859" s="18">
        <v>9519627.5068800002</v>
      </c>
      <c r="E859" s="18">
        <v>12131058.507473875</v>
      </c>
      <c r="F859" s="18">
        <v>9074611.0493200012</v>
      </c>
      <c r="G859" s="18">
        <v>9101199.95749221</v>
      </c>
      <c r="H859" s="19">
        <v>0.27432071251806356</v>
      </c>
      <c r="I859" s="19">
        <v>2.9300328165802192E-3</v>
      </c>
      <c r="J859" s="19">
        <v>0.14187297322193793</v>
      </c>
    </row>
    <row r="860" spans="1:10" ht="11.25" customHeight="1" x14ac:dyDescent="0.2">
      <c r="A860" s="24" t="s">
        <v>25</v>
      </c>
      <c r="B860" s="18">
        <v>0</v>
      </c>
      <c r="C860" s="18">
        <v>0</v>
      </c>
      <c r="D860" s="18">
        <v>9519627.5068800002</v>
      </c>
      <c r="E860" s="18">
        <v>12131058.507473875</v>
      </c>
      <c r="F860" s="18">
        <v>9074611.0493200012</v>
      </c>
      <c r="G860" s="18">
        <v>9101199.95749221</v>
      </c>
      <c r="H860" s="19">
        <v>0.27432071251806356</v>
      </c>
      <c r="I860" s="19">
        <v>2.9300328165802192E-3</v>
      </c>
      <c r="J860" s="19">
        <v>0.14187297322193793</v>
      </c>
    </row>
    <row r="861" spans="1:10" ht="11.25" customHeight="1" x14ac:dyDescent="0.2">
      <c r="A861" s="25" t="s">
        <v>25</v>
      </c>
      <c r="B861" s="18">
        <v>0</v>
      </c>
      <c r="C861" s="18">
        <v>0</v>
      </c>
      <c r="D861" s="18">
        <v>9519627.5068800002</v>
      </c>
      <c r="E861" s="18">
        <v>12131058.507473875</v>
      </c>
      <c r="F861" s="18">
        <v>9074611.0493200012</v>
      </c>
      <c r="G861" s="18">
        <v>9101199.95749221</v>
      </c>
      <c r="H861" s="19">
        <v>0.27432071251806356</v>
      </c>
      <c r="I861" s="19">
        <v>2.9300328165802192E-3</v>
      </c>
      <c r="J861" s="19">
        <v>0.14187297322193793</v>
      </c>
    </row>
    <row r="862" spans="1:10" ht="11.25" customHeight="1" x14ac:dyDescent="0.2">
      <c r="A862" s="26" t="s">
        <v>25</v>
      </c>
      <c r="B862" s="18">
        <v>0</v>
      </c>
      <c r="C862" s="18">
        <v>0</v>
      </c>
      <c r="D862" s="18">
        <v>9519627.5068800002</v>
      </c>
      <c r="E862" s="18">
        <v>12131058.507473875</v>
      </c>
      <c r="F862" s="18">
        <v>9074611.0493200012</v>
      </c>
      <c r="G862" s="18">
        <v>9101199.95749221</v>
      </c>
      <c r="H862" s="19">
        <v>0.27432071251806356</v>
      </c>
      <c r="I862" s="19">
        <v>2.9300328165802192E-3</v>
      </c>
      <c r="J862" s="19">
        <v>0.14187297322193793</v>
      </c>
    </row>
    <row r="863" spans="1:10" ht="11.25" customHeight="1" x14ac:dyDescent="0.2">
      <c r="A863" s="27" t="s">
        <v>25</v>
      </c>
      <c r="B863" s="18">
        <v>0</v>
      </c>
      <c r="C863" s="18">
        <v>0</v>
      </c>
      <c r="D863" s="18">
        <v>9519627.5068800002</v>
      </c>
      <c r="E863" s="18">
        <v>12131058.507473875</v>
      </c>
      <c r="F863" s="18">
        <v>9074611.0493200012</v>
      </c>
      <c r="G863" s="18">
        <v>9101199.95749221</v>
      </c>
      <c r="H863" s="19">
        <v>0.27432071251806356</v>
      </c>
      <c r="I863" s="19">
        <v>2.9300328165802192E-3</v>
      </c>
      <c r="J863" s="19">
        <v>0.14187297322193793</v>
      </c>
    </row>
    <row r="864" spans="1:10" ht="11.25" customHeight="1" x14ac:dyDescent="0.2">
      <c r="A864" s="28">
        <v>44348</v>
      </c>
      <c r="B864" s="18">
        <v>0</v>
      </c>
      <c r="C864" s="18">
        <v>0</v>
      </c>
      <c r="D864" s="18">
        <v>747270.8112</v>
      </c>
      <c r="E864" s="18">
        <v>952262.67257233511</v>
      </c>
      <c r="F864" s="18">
        <v>712337.95180000004</v>
      </c>
      <c r="G864" s="18">
        <v>714425.12537526956</v>
      </c>
      <c r="H864" s="19">
        <v>0.27432071251806334</v>
      </c>
      <c r="I864" s="19">
        <v>2.9300328165802192E-3</v>
      </c>
      <c r="J864" s="19">
        <v>0.1418729732219377</v>
      </c>
    </row>
    <row r="865" spans="1:10" ht="11.25" customHeight="1" x14ac:dyDescent="0.2">
      <c r="A865" s="28">
        <v>44378</v>
      </c>
      <c r="B865" s="18">
        <v>0</v>
      </c>
      <c r="C865" s="18">
        <v>0</v>
      </c>
      <c r="D865" s="18">
        <v>758146.94856000005</v>
      </c>
      <c r="E865" s="18">
        <v>966122.35968237463</v>
      </c>
      <c r="F865" s="18">
        <v>722705.65959000005</v>
      </c>
      <c r="G865" s="18">
        <v>724823.21088932699</v>
      </c>
      <c r="H865" s="19">
        <v>0.27432071251806311</v>
      </c>
      <c r="I865" s="19">
        <v>2.9300328165802192E-3</v>
      </c>
      <c r="J865" s="19">
        <v>0.14187297322193748</v>
      </c>
    </row>
    <row r="866" spans="1:10" ht="11.25" customHeight="1" x14ac:dyDescent="0.2">
      <c r="A866" s="28">
        <v>44409</v>
      </c>
      <c r="B866" s="18">
        <v>0</v>
      </c>
      <c r="C866" s="18">
        <v>0</v>
      </c>
      <c r="D866" s="18">
        <v>821553.35328000016</v>
      </c>
      <c r="E866" s="18">
        <v>1046922.4545233739</v>
      </c>
      <c r="F866" s="18">
        <v>783147.98892000015</v>
      </c>
      <c r="G866" s="18">
        <v>785442.63822777441</v>
      </c>
      <c r="H866" s="19">
        <v>0.27432071251806311</v>
      </c>
      <c r="I866" s="19">
        <v>2.9300328165799971E-3</v>
      </c>
      <c r="J866" s="19">
        <v>0.14187297322193748</v>
      </c>
    </row>
    <row r="867" spans="1:10" ht="11.25" customHeight="1" x14ac:dyDescent="0.2">
      <c r="A867" s="28">
        <v>44440</v>
      </c>
      <c r="B867" s="18">
        <v>0</v>
      </c>
      <c r="C867" s="18">
        <v>0</v>
      </c>
      <c r="D867" s="18">
        <v>849379.85328000016</v>
      </c>
      <c r="E867" s="18">
        <v>1082382.3398302577</v>
      </c>
      <c r="F867" s="18">
        <v>809673.67642000015</v>
      </c>
      <c r="G867" s="18">
        <v>812046.0468626318</v>
      </c>
      <c r="H867" s="19">
        <v>0.27432071251806311</v>
      </c>
      <c r="I867" s="19">
        <v>2.9300328165799971E-3</v>
      </c>
      <c r="J867" s="19">
        <v>0.1418729732219377</v>
      </c>
    </row>
    <row r="868" spans="1:10" ht="11.25" customHeight="1" x14ac:dyDescent="0.2">
      <c r="A868" s="28">
        <v>44470</v>
      </c>
      <c r="B868" s="18">
        <v>0</v>
      </c>
      <c r="C868" s="18">
        <v>0</v>
      </c>
      <c r="D868" s="18">
        <v>820790.65032000013</v>
      </c>
      <c r="E868" s="18">
        <v>1045950.526343947</v>
      </c>
      <c r="F868" s="18">
        <v>782420.94023000007</v>
      </c>
      <c r="G868" s="18">
        <v>784713.45926125348</v>
      </c>
      <c r="H868" s="19">
        <v>0.27432071251806311</v>
      </c>
      <c r="I868" s="19">
        <v>2.9300328165802192E-3</v>
      </c>
      <c r="J868" s="19">
        <v>0.1418729732219377</v>
      </c>
    </row>
    <row r="869" spans="1:10" ht="11.25" customHeight="1" x14ac:dyDescent="0.2">
      <c r="A869" s="28">
        <v>44501</v>
      </c>
      <c r="B869" s="18">
        <v>0</v>
      </c>
      <c r="C869" s="18">
        <v>0</v>
      </c>
      <c r="D869" s="18">
        <v>802111.10615999997</v>
      </c>
      <c r="E869" s="18">
        <v>1022146.7963204629</v>
      </c>
      <c r="F869" s="18">
        <v>764614.61349000002</v>
      </c>
      <c r="G869" s="18">
        <v>766854.95939956233</v>
      </c>
      <c r="H869" s="19">
        <v>0.27432071251806311</v>
      </c>
      <c r="I869" s="19">
        <v>2.9300328165799971E-3</v>
      </c>
      <c r="J869" s="19">
        <v>0.1418729732219377</v>
      </c>
    </row>
    <row r="870" spans="1:10" ht="11.25" customHeight="1" x14ac:dyDescent="0.2">
      <c r="A870" s="28">
        <v>44531</v>
      </c>
      <c r="B870" s="18">
        <v>0</v>
      </c>
      <c r="C870" s="18">
        <v>0</v>
      </c>
      <c r="D870" s="18">
        <v>839408.54807999998</v>
      </c>
      <c r="E870" s="18">
        <v>1069675.6990830584</v>
      </c>
      <c r="F870" s="18">
        <v>800168.50237</v>
      </c>
      <c r="G870" s="18">
        <v>802513.02234073775</v>
      </c>
      <c r="H870" s="19">
        <v>0.27432071251806311</v>
      </c>
      <c r="I870" s="19">
        <v>2.9300328165799971E-3</v>
      </c>
      <c r="J870" s="19">
        <v>0.14187297322193748</v>
      </c>
    </row>
    <row r="871" spans="1:10" ht="11.25" customHeight="1" x14ac:dyDescent="0.2">
      <c r="A871" s="28">
        <v>44562</v>
      </c>
      <c r="B871" s="18">
        <v>0</v>
      </c>
      <c r="C871" s="18">
        <v>0</v>
      </c>
      <c r="D871" s="18">
        <v>665171.16312000016</v>
      </c>
      <c r="E871" s="18">
        <v>847641.39053354727</v>
      </c>
      <c r="F871" s="18">
        <v>634076.23693000013</v>
      </c>
      <c r="G871" s="18">
        <v>635934.10111241858</v>
      </c>
      <c r="H871" s="19">
        <v>0.27432071251806289</v>
      </c>
      <c r="I871" s="19">
        <v>2.9300328165799971E-3</v>
      </c>
      <c r="J871" s="19">
        <v>0.14187297322193726</v>
      </c>
    </row>
    <row r="872" spans="1:10" ht="11.25" customHeight="1" x14ac:dyDescent="0.2">
      <c r="A872" s="28">
        <v>44593</v>
      </c>
      <c r="B872" s="18">
        <v>0</v>
      </c>
      <c r="C872" s="18">
        <v>0</v>
      </c>
      <c r="D872" s="18">
        <v>787125.20880000002</v>
      </c>
      <c r="E872" s="18">
        <v>1003049.9569189453</v>
      </c>
      <c r="F872" s="18">
        <v>750329.26570000011</v>
      </c>
      <c r="G872" s="18">
        <v>752527.75507174153</v>
      </c>
      <c r="H872" s="19">
        <v>0.27432071251806311</v>
      </c>
      <c r="I872" s="19">
        <v>2.9300328165799971E-3</v>
      </c>
      <c r="J872" s="19">
        <v>0.1418729732219377</v>
      </c>
    </row>
    <row r="873" spans="1:10" ht="11.25" customHeight="1" x14ac:dyDescent="0.2">
      <c r="A873" s="28">
        <v>44621</v>
      </c>
      <c r="B873" s="18">
        <v>0</v>
      </c>
      <c r="C873" s="18">
        <v>0</v>
      </c>
      <c r="D873" s="18">
        <v>809210.03159999999</v>
      </c>
      <c r="E873" s="18">
        <v>1031193.1040452765</v>
      </c>
      <c r="F873" s="18">
        <v>771381.68365000014</v>
      </c>
      <c r="G873" s="18">
        <v>773641.85729720339</v>
      </c>
      <c r="H873" s="19">
        <v>0.27432071251806334</v>
      </c>
      <c r="I873" s="19">
        <v>2.9300328165799971E-3</v>
      </c>
      <c r="J873" s="19">
        <v>0.1418729732219377</v>
      </c>
    </row>
    <row r="874" spans="1:10" ht="11.25" customHeight="1" x14ac:dyDescent="0.2">
      <c r="A874" s="28">
        <v>44652</v>
      </c>
      <c r="B874" s="18">
        <v>0</v>
      </c>
      <c r="C874" s="18">
        <v>0</v>
      </c>
      <c r="D874" s="18">
        <v>809729.91624000017</v>
      </c>
      <c r="E874" s="18">
        <v>1031855.6038101484</v>
      </c>
      <c r="F874" s="18">
        <v>771877.26511000004</v>
      </c>
      <c r="G874" s="18">
        <v>774138.8908271445</v>
      </c>
      <c r="H874" s="19">
        <v>0.27432071251806289</v>
      </c>
      <c r="I874" s="19">
        <v>2.9300328165802192E-3</v>
      </c>
      <c r="J874" s="19">
        <v>0.14187297322193748</v>
      </c>
    </row>
    <row r="875" spans="1:10" ht="11.25" customHeight="1" x14ac:dyDescent="0.2">
      <c r="A875" s="28">
        <v>44682</v>
      </c>
      <c r="B875" s="18">
        <v>0</v>
      </c>
      <c r="C875" s="18">
        <v>0</v>
      </c>
      <c r="D875" s="18">
        <v>809729.91624000017</v>
      </c>
      <c r="E875" s="18">
        <v>1031855.6038101484</v>
      </c>
      <c r="F875" s="18">
        <v>771877.26511000004</v>
      </c>
      <c r="G875" s="18">
        <v>774138.8908271445</v>
      </c>
      <c r="H875" s="19">
        <v>0.27432071251806289</v>
      </c>
      <c r="I875" s="19">
        <v>2.9300328165802192E-3</v>
      </c>
      <c r="J875" s="19">
        <v>0.14187297322193748</v>
      </c>
    </row>
    <row r="876" spans="1:10" ht="11.25" customHeight="1" x14ac:dyDescent="0.2">
      <c r="A876" s="23" t="s">
        <v>46</v>
      </c>
      <c r="B876" s="18">
        <v>0</v>
      </c>
      <c r="C876" s="18">
        <v>0</v>
      </c>
      <c r="D876" s="18">
        <v>8872967.0452800002</v>
      </c>
      <c r="E876" s="18">
        <v>11307005.687290506</v>
      </c>
      <c r="F876" s="18">
        <v>8458180.1894199997</v>
      </c>
      <c r="G876" s="18">
        <v>8482962.9349435493</v>
      </c>
      <c r="H876" s="19">
        <v>0.27432071251806378</v>
      </c>
      <c r="I876" s="19">
        <v>2.9300328165797751E-3</v>
      </c>
      <c r="J876" s="19">
        <v>0.1418729732219377</v>
      </c>
    </row>
    <row r="877" spans="1:10" ht="11.25" customHeight="1" x14ac:dyDescent="0.2">
      <c r="A877" s="24" t="s">
        <v>25</v>
      </c>
      <c r="B877" s="18">
        <v>0</v>
      </c>
      <c r="C877" s="18">
        <v>0</v>
      </c>
      <c r="D877" s="18">
        <v>8872967.0452800002</v>
      </c>
      <c r="E877" s="18">
        <v>11307005.687290506</v>
      </c>
      <c r="F877" s="18">
        <v>8458180.1894199997</v>
      </c>
      <c r="G877" s="18">
        <v>8482962.9349435493</v>
      </c>
      <c r="H877" s="19">
        <v>0.27432071251806378</v>
      </c>
      <c r="I877" s="19">
        <v>2.9300328165797751E-3</v>
      </c>
      <c r="J877" s="19">
        <v>0.1418729732219377</v>
      </c>
    </row>
    <row r="878" spans="1:10" ht="11.25" customHeight="1" x14ac:dyDescent="0.2">
      <c r="A878" s="25" t="s">
        <v>25</v>
      </c>
      <c r="B878" s="18">
        <v>0</v>
      </c>
      <c r="C878" s="18">
        <v>0</v>
      </c>
      <c r="D878" s="18">
        <v>8872967.0452800002</v>
      </c>
      <c r="E878" s="18">
        <v>11307005.687290506</v>
      </c>
      <c r="F878" s="18">
        <v>8458180.1894199997</v>
      </c>
      <c r="G878" s="18">
        <v>8482962.9349435493</v>
      </c>
      <c r="H878" s="19">
        <v>0.27432071251806378</v>
      </c>
      <c r="I878" s="19">
        <v>2.9300328165797751E-3</v>
      </c>
      <c r="J878" s="19">
        <v>0.1418729732219377</v>
      </c>
    </row>
    <row r="879" spans="1:10" ht="11.25" customHeight="1" x14ac:dyDescent="0.2">
      <c r="A879" s="26" t="s">
        <v>25</v>
      </c>
      <c r="B879" s="18">
        <v>0</v>
      </c>
      <c r="C879" s="18">
        <v>0</v>
      </c>
      <c r="D879" s="18">
        <v>8872967.0452800002</v>
      </c>
      <c r="E879" s="18">
        <v>11307005.687290506</v>
      </c>
      <c r="F879" s="18">
        <v>8458180.1894199997</v>
      </c>
      <c r="G879" s="18">
        <v>8482962.9349435493</v>
      </c>
      <c r="H879" s="19">
        <v>0.27432071251806378</v>
      </c>
      <c r="I879" s="19">
        <v>2.9300328165797751E-3</v>
      </c>
      <c r="J879" s="19">
        <v>0.1418729732219377</v>
      </c>
    </row>
    <row r="880" spans="1:10" ht="11.25" customHeight="1" x14ac:dyDescent="0.2">
      <c r="A880" s="27" t="s">
        <v>25</v>
      </c>
      <c r="B880" s="18">
        <v>0</v>
      </c>
      <c r="C880" s="18">
        <v>0</v>
      </c>
      <c r="D880" s="18">
        <v>8872967.0452800002</v>
      </c>
      <c r="E880" s="18">
        <v>11307005.687290506</v>
      </c>
      <c r="F880" s="18">
        <v>8458180.1894199997</v>
      </c>
      <c r="G880" s="18">
        <v>8482962.9349435493</v>
      </c>
      <c r="H880" s="19">
        <v>0.27432071251806378</v>
      </c>
      <c r="I880" s="19">
        <v>2.9300328165797751E-3</v>
      </c>
      <c r="J880" s="19">
        <v>0.1418729732219377</v>
      </c>
    </row>
    <row r="881" spans="1:10" ht="11.25" customHeight="1" x14ac:dyDescent="0.2">
      <c r="A881" s="28">
        <v>44348</v>
      </c>
      <c r="B881" s="18">
        <v>0</v>
      </c>
      <c r="C881" s="18">
        <v>0</v>
      </c>
      <c r="D881" s="18">
        <v>540145.07184000011</v>
      </c>
      <c r="E881" s="18">
        <v>688318.05281026929</v>
      </c>
      <c r="F881" s="18">
        <v>514894.77226000006</v>
      </c>
      <c r="G881" s="18">
        <v>516403.43083980738</v>
      </c>
      <c r="H881" s="19">
        <v>0.27432071251806311</v>
      </c>
      <c r="I881" s="19">
        <v>2.9300328165799971E-3</v>
      </c>
      <c r="J881" s="19">
        <v>0.1418729732219377</v>
      </c>
    </row>
    <row r="882" spans="1:10" ht="11.25" customHeight="1" x14ac:dyDescent="0.2">
      <c r="A882" s="28">
        <v>44378</v>
      </c>
      <c r="B882" s="18">
        <v>0</v>
      </c>
      <c r="C882" s="18">
        <v>0</v>
      </c>
      <c r="D882" s="18">
        <v>528265.12560000003</v>
      </c>
      <c r="E882" s="18">
        <v>673179.19125303626</v>
      </c>
      <c r="F882" s="18">
        <v>503570.18090000004</v>
      </c>
      <c r="G882" s="18">
        <v>505045.65805548819</v>
      </c>
      <c r="H882" s="19">
        <v>0.27432071251806334</v>
      </c>
      <c r="I882" s="19">
        <v>2.9300328165799971E-3</v>
      </c>
      <c r="J882" s="19">
        <v>0.1418729732219377</v>
      </c>
    </row>
    <row r="883" spans="1:10" ht="11.25" customHeight="1" x14ac:dyDescent="0.2">
      <c r="A883" s="28">
        <v>44409</v>
      </c>
      <c r="B883" s="18">
        <v>0</v>
      </c>
      <c r="C883" s="18">
        <v>0</v>
      </c>
      <c r="D883" s="18">
        <v>541585.54271999991</v>
      </c>
      <c r="E883" s="18">
        <v>690153.67468843237</v>
      </c>
      <c r="F883" s="18">
        <v>516267.90508</v>
      </c>
      <c r="G883" s="18">
        <v>517780.58698403148</v>
      </c>
      <c r="H883" s="19">
        <v>0.27432071251806334</v>
      </c>
      <c r="I883" s="19">
        <v>2.9300328165802192E-3</v>
      </c>
      <c r="J883" s="19">
        <v>0.1418729732219377</v>
      </c>
    </row>
    <row r="884" spans="1:10" ht="11.25" customHeight="1" x14ac:dyDescent="0.2">
      <c r="A884" s="28">
        <v>44440</v>
      </c>
      <c r="B884" s="18">
        <v>0</v>
      </c>
      <c r="C884" s="18">
        <v>0</v>
      </c>
      <c r="D884" s="18">
        <v>667858.60368000006</v>
      </c>
      <c r="E884" s="18">
        <v>851066.05170281662</v>
      </c>
      <c r="F884" s="18">
        <v>636638.04702000006</v>
      </c>
      <c r="G884" s="18">
        <v>638503.41739005211</v>
      </c>
      <c r="H884" s="19">
        <v>0.27432071251806334</v>
      </c>
      <c r="I884" s="19">
        <v>2.9300328165799971E-3</v>
      </c>
      <c r="J884" s="19">
        <v>0.1418729732219377</v>
      </c>
    </row>
    <row r="885" spans="1:10" ht="11.25" customHeight="1" x14ac:dyDescent="0.2">
      <c r="A885" s="28">
        <v>44470</v>
      </c>
      <c r="B885" s="18">
        <v>0</v>
      </c>
      <c r="C885" s="18">
        <v>0</v>
      </c>
      <c r="D885" s="18">
        <v>697138.24632000003</v>
      </c>
      <c r="E885" s="18">
        <v>888377.70677409542</v>
      </c>
      <c r="F885" s="18">
        <v>664548.94673000008</v>
      </c>
      <c r="G885" s="18">
        <v>666496.09695214266</v>
      </c>
      <c r="H885" s="19">
        <v>0.27432071251806311</v>
      </c>
      <c r="I885" s="19">
        <v>2.9300328165799971E-3</v>
      </c>
      <c r="J885" s="19">
        <v>0.1418729732219377</v>
      </c>
    </row>
    <row r="886" spans="1:10" ht="11.25" customHeight="1" x14ac:dyDescent="0.2">
      <c r="A886" s="28">
        <v>44501</v>
      </c>
      <c r="B886" s="18">
        <v>0</v>
      </c>
      <c r="C886" s="18">
        <v>0</v>
      </c>
      <c r="D886" s="18">
        <v>703003.21632000001</v>
      </c>
      <c r="E886" s="18">
        <v>895851.55952339259</v>
      </c>
      <c r="F886" s="18">
        <v>670139.74548000016</v>
      </c>
      <c r="G886" s="18">
        <v>672103.27692595113</v>
      </c>
      <c r="H886" s="19">
        <v>0.27432071251806334</v>
      </c>
      <c r="I886" s="19">
        <v>2.9300328165799971E-3</v>
      </c>
      <c r="J886" s="19">
        <v>0.1418729732219377</v>
      </c>
    </row>
    <row r="887" spans="1:10" ht="11.25" customHeight="1" x14ac:dyDescent="0.2">
      <c r="A887" s="28">
        <v>44531</v>
      </c>
      <c r="B887" s="18">
        <v>0</v>
      </c>
      <c r="C887" s="18">
        <v>0</v>
      </c>
      <c r="D887" s="18">
        <v>835296.73320000002</v>
      </c>
      <c r="E887" s="18">
        <v>1064435.9282154345</v>
      </c>
      <c r="F887" s="18">
        <v>796248.90354999993</v>
      </c>
      <c r="G887" s="18">
        <v>798581.9389675674</v>
      </c>
      <c r="H887" s="19">
        <v>0.27432071251806311</v>
      </c>
      <c r="I887" s="19">
        <v>2.9300328165802192E-3</v>
      </c>
      <c r="J887" s="19">
        <v>0.1418729732219377</v>
      </c>
    </row>
    <row r="888" spans="1:10" ht="11.25" customHeight="1" x14ac:dyDescent="0.2">
      <c r="A888" s="28">
        <v>44562</v>
      </c>
      <c r="B888" s="18">
        <v>0</v>
      </c>
      <c r="C888" s="18">
        <v>0</v>
      </c>
      <c r="D888" s="18">
        <v>729107.04191999999</v>
      </c>
      <c r="E888" s="18">
        <v>929116.20516143169</v>
      </c>
      <c r="F888" s="18">
        <v>695023.28888000001</v>
      </c>
      <c r="G888" s="18">
        <v>697059.72992470581</v>
      </c>
      <c r="H888" s="19">
        <v>0.27432071251806311</v>
      </c>
      <c r="I888" s="19">
        <v>2.9300328165799971E-3</v>
      </c>
      <c r="J888" s="19">
        <v>0.14187297322193748</v>
      </c>
    </row>
    <row r="889" spans="1:10" ht="11.25" customHeight="1" x14ac:dyDescent="0.2">
      <c r="A889" s="28">
        <v>44593</v>
      </c>
      <c r="B889" s="18">
        <v>0</v>
      </c>
      <c r="C889" s="18">
        <v>0</v>
      </c>
      <c r="D889" s="18">
        <v>798958.57776000013</v>
      </c>
      <c r="E889" s="18">
        <v>1018129.4640835418</v>
      </c>
      <c r="F889" s="18">
        <v>761609.45714000007</v>
      </c>
      <c r="G889" s="18">
        <v>763840.99784283806</v>
      </c>
      <c r="H889" s="19">
        <v>0.27432071251806311</v>
      </c>
      <c r="I889" s="19">
        <v>2.9300328165802192E-3</v>
      </c>
      <c r="J889" s="19">
        <v>0.14187297322193748</v>
      </c>
    </row>
    <row r="890" spans="1:10" ht="11.25" customHeight="1" x14ac:dyDescent="0.2">
      <c r="A890" s="28">
        <v>44621</v>
      </c>
      <c r="B890" s="18">
        <v>0</v>
      </c>
      <c r="C890" s="18">
        <v>0</v>
      </c>
      <c r="D890" s="18">
        <v>950777.90688000002</v>
      </c>
      <c r="E890" s="18">
        <v>1211595.9797417542</v>
      </c>
      <c r="F890" s="18">
        <v>906331.64931999997</v>
      </c>
      <c r="G890" s="18">
        <v>908987.23079521279</v>
      </c>
      <c r="H890" s="19">
        <v>0.27432071251806311</v>
      </c>
      <c r="I890" s="19">
        <v>2.9300328165802192E-3</v>
      </c>
      <c r="J890" s="19">
        <v>0.1418729732219377</v>
      </c>
    </row>
    <row r="891" spans="1:10" ht="11.25" customHeight="1" x14ac:dyDescent="0.2">
      <c r="A891" s="28">
        <v>44652</v>
      </c>
      <c r="B891" s="18">
        <v>0</v>
      </c>
      <c r="C891" s="18">
        <v>0</v>
      </c>
      <c r="D891" s="18">
        <v>940415.48952000006</v>
      </c>
      <c r="E891" s="18">
        <v>1198390.9366681499</v>
      </c>
      <c r="F891" s="18">
        <v>896453.64653000014</v>
      </c>
      <c r="G891" s="18">
        <v>899080.2851328759</v>
      </c>
      <c r="H891" s="19">
        <v>0.27432071251806334</v>
      </c>
      <c r="I891" s="19">
        <v>2.9300328165799971E-3</v>
      </c>
      <c r="J891" s="19">
        <v>0.1418729732219377</v>
      </c>
    </row>
    <row r="892" spans="1:10" ht="11.25" customHeight="1" x14ac:dyDescent="0.2">
      <c r="A892" s="28">
        <v>44682</v>
      </c>
      <c r="B892" s="18">
        <v>0</v>
      </c>
      <c r="C892" s="18">
        <v>0</v>
      </c>
      <c r="D892" s="18">
        <v>940415.48952000006</v>
      </c>
      <c r="E892" s="18">
        <v>1198390.9366681499</v>
      </c>
      <c r="F892" s="18">
        <v>896453.64653000014</v>
      </c>
      <c r="G892" s="18">
        <v>899080.2851328759</v>
      </c>
      <c r="H892" s="19">
        <v>0.27432071251806334</v>
      </c>
      <c r="I892" s="19">
        <v>2.9300328165799971E-3</v>
      </c>
      <c r="J892" s="19">
        <v>0.1418729732219377</v>
      </c>
    </row>
    <row r="893" spans="1:10" ht="11.25" customHeight="1" x14ac:dyDescent="0.2">
      <c r="A893" s="23" t="s">
        <v>51</v>
      </c>
      <c r="B893" s="18">
        <v>0</v>
      </c>
      <c r="C893" s="18">
        <v>0</v>
      </c>
      <c r="D893" s="18">
        <v>5675944.1984975999</v>
      </c>
      <c r="E893" s="18">
        <v>7232973.2552422304</v>
      </c>
      <c r="F893" s="18">
        <v>5410609.3859013999</v>
      </c>
      <c r="G893" s="18">
        <v>5426462.6489597876</v>
      </c>
      <c r="H893" s="19">
        <v>0.27432071251806356</v>
      </c>
      <c r="I893" s="19">
        <v>2.9300328165802192E-3</v>
      </c>
      <c r="J893" s="19">
        <v>0.14187297322193793</v>
      </c>
    </row>
    <row r="894" spans="1:10" ht="11.25" customHeight="1" x14ac:dyDescent="0.2">
      <c r="A894" s="24" t="s">
        <v>52</v>
      </c>
      <c r="B894" s="18">
        <v>0</v>
      </c>
      <c r="C894" s="18">
        <v>0</v>
      </c>
      <c r="D894" s="18">
        <v>5675944.1984975999</v>
      </c>
      <c r="E894" s="18">
        <v>7232973.2552422304</v>
      </c>
      <c r="F894" s="18">
        <v>5410609.3859013999</v>
      </c>
      <c r="G894" s="18">
        <v>5426462.6489597876</v>
      </c>
      <c r="H894" s="19">
        <v>0.27432071251806356</v>
      </c>
      <c r="I894" s="19">
        <v>2.9300328165802192E-3</v>
      </c>
      <c r="J894" s="19">
        <v>0.14187297322193793</v>
      </c>
    </row>
    <row r="895" spans="1:10" ht="11.25" customHeight="1" x14ac:dyDescent="0.2">
      <c r="A895" s="25" t="s">
        <v>25</v>
      </c>
      <c r="B895" s="18">
        <v>0</v>
      </c>
      <c r="C895" s="18">
        <v>0</v>
      </c>
      <c r="D895" s="18">
        <v>5675944.1984975999</v>
      </c>
      <c r="E895" s="18">
        <v>7232973.2552422304</v>
      </c>
      <c r="F895" s="18">
        <v>5410609.3859013999</v>
      </c>
      <c r="G895" s="18">
        <v>5426462.6489597876</v>
      </c>
      <c r="H895" s="19">
        <v>0.27432071251806356</v>
      </c>
      <c r="I895" s="19">
        <v>2.9300328165802192E-3</v>
      </c>
      <c r="J895" s="19">
        <v>0.14187297322193793</v>
      </c>
    </row>
    <row r="896" spans="1:10" ht="11.25" customHeight="1" x14ac:dyDescent="0.2">
      <c r="A896" s="26" t="s">
        <v>25</v>
      </c>
      <c r="B896" s="18">
        <v>0</v>
      </c>
      <c r="C896" s="18">
        <v>0</v>
      </c>
      <c r="D896" s="18">
        <v>5675944.1984975999</v>
      </c>
      <c r="E896" s="18">
        <v>7232973.2552422304</v>
      </c>
      <c r="F896" s="18">
        <v>5410609.3859013999</v>
      </c>
      <c r="G896" s="18">
        <v>5426462.6489597876</v>
      </c>
      <c r="H896" s="19">
        <v>0.27432071251806356</v>
      </c>
      <c r="I896" s="19">
        <v>2.9300328165802192E-3</v>
      </c>
      <c r="J896" s="19">
        <v>0.14187297322193793</v>
      </c>
    </row>
    <row r="897" spans="1:10" ht="11.25" customHeight="1" x14ac:dyDescent="0.2">
      <c r="A897" s="27" t="s">
        <v>25</v>
      </c>
      <c r="B897" s="18">
        <v>0</v>
      </c>
      <c r="C897" s="18">
        <v>0</v>
      </c>
      <c r="D897" s="18">
        <v>5675944.1984975999</v>
      </c>
      <c r="E897" s="18">
        <v>7232973.2552422304</v>
      </c>
      <c r="F897" s="18">
        <v>5410609.3859013999</v>
      </c>
      <c r="G897" s="18">
        <v>5426462.6489597876</v>
      </c>
      <c r="H897" s="19">
        <v>0.27432071251806356</v>
      </c>
      <c r="I897" s="19">
        <v>2.9300328165802192E-3</v>
      </c>
      <c r="J897" s="19">
        <v>0.14187297322193793</v>
      </c>
    </row>
    <row r="898" spans="1:10" ht="11.25" customHeight="1" x14ac:dyDescent="0.2">
      <c r="A898" s="28">
        <v>44348</v>
      </c>
      <c r="B898" s="18">
        <v>0</v>
      </c>
      <c r="C898" s="18">
        <v>0</v>
      </c>
      <c r="D898" s="18">
        <v>443916.08257919998</v>
      </c>
      <c r="E898" s="18">
        <v>565691.4586505536</v>
      </c>
      <c r="F898" s="18">
        <v>423164.22412880004</v>
      </c>
      <c r="G898" s="18">
        <v>424404.10919230006</v>
      </c>
      <c r="H898" s="19">
        <v>0.27432071251806334</v>
      </c>
      <c r="I898" s="19">
        <v>2.9300328165799971E-3</v>
      </c>
      <c r="J898" s="19">
        <v>0.1418729732219377</v>
      </c>
    </row>
    <row r="899" spans="1:10" ht="11.25" customHeight="1" x14ac:dyDescent="0.2">
      <c r="A899" s="28">
        <v>44378</v>
      </c>
      <c r="B899" s="18">
        <v>0</v>
      </c>
      <c r="C899" s="18">
        <v>0</v>
      </c>
      <c r="D899" s="18">
        <v>446617.72920960002</v>
      </c>
      <c r="E899" s="18">
        <v>569134.22290957696</v>
      </c>
      <c r="F899" s="18">
        <v>425739.57619440003</v>
      </c>
      <c r="G899" s="18">
        <v>426987.00712396653</v>
      </c>
      <c r="H899" s="19">
        <v>0.27432071251806334</v>
      </c>
      <c r="I899" s="19">
        <v>2.9300328165802192E-3</v>
      </c>
      <c r="J899" s="19">
        <v>0.1418729732219377</v>
      </c>
    </row>
    <row r="900" spans="1:10" ht="11.25" customHeight="1" x14ac:dyDescent="0.2">
      <c r="A900" s="28">
        <v>44409</v>
      </c>
      <c r="B900" s="18">
        <v>0</v>
      </c>
      <c r="C900" s="18">
        <v>0</v>
      </c>
      <c r="D900" s="18">
        <v>466486.03514880006</v>
      </c>
      <c r="E900" s="18">
        <v>594452.81669054518</v>
      </c>
      <c r="F900" s="18">
        <v>444679.09336320008</v>
      </c>
      <c r="G900" s="18">
        <v>445982.0176996013</v>
      </c>
      <c r="H900" s="19">
        <v>0.27432071251806334</v>
      </c>
      <c r="I900" s="19">
        <v>2.9300328165799971E-3</v>
      </c>
      <c r="J900" s="19">
        <v>0.14187297322193748</v>
      </c>
    </row>
    <row r="901" spans="1:10" ht="11.25" customHeight="1" x14ac:dyDescent="0.2">
      <c r="A901" s="28">
        <v>44440</v>
      </c>
      <c r="B901" s="18">
        <v>0</v>
      </c>
      <c r="C901" s="18">
        <v>0</v>
      </c>
      <c r="D901" s="18">
        <v>506692.02271680004</v>
      </c>
      <c r="E901" s="18">
        <v>645688.13941569137</v>
      </c>
      <c r="F901" s="18">
        <v>483005.56136520009</v>
      </c>
      <c r="G901" s="18">
        <v>484420.78351059079</v>
      </c>
      <c r="H901" s="19">
        <v>0.27432071251806334</v>
      </c>
      <c r="I901" s="19">
        <v>2.9300328165799971E-3</v>
      </c>
      <c r="J901" s="19">
        <v>0.14187297322193748</v>
      </c>
    </row>
    <row r="902" spans="1:10" ht="11.25" customHeight="1" x14ac:dyDescent="0.2">
      <c r="A902" s="28">
        <v>44470</v>
      </c>
      <c r="B902" s="18">
        <v>0</v>
      </c>
      <c r="C902" s="18">
        <v>0</v>
      </c>
      <c r="D902" s="18">
        <v>485555.62978079997</v>
      </c>
      <c r="E902" s="18">
        <v>618753.596109426</v>
      </c>
      <c r="F902" s="18">
        <v>462857.23678620002</v>
      </c>
      <c r="G902" s="18">
        <v>464213.42367937515</v>
      </c>
      <c r="H902" s="19">
        <v>0.27432071251806334</v>
      </c>
      <c r="I902" s="19">
        <v>2.9300328165799971E-3</v>
      </c>
      <c r="J902" s="19">
        <v>0.1418729732219377</v>
      </c>
    </row>
    <row r="903" spans="1:10" ht="11.25" customHeight="1" x14ac:dyDescent="0.2">
      <c r="A903" s="28">
        <v>44501</v>
      </c>
      <c r="B903" s="18">
        <v>0</v>
      </c>
      <c r="C903" s="18">
        <v>0</v>
      </c>
      <c r="D903" s="18">
        <v>460364.51338080002</v>
      </c>
      <c r="E903" s="18">
        <v>586652.03470945254</v>
      </c>
      <c r="F903" s="18">
        <v>438843.73593620007</v>
      </c>
      <c r="G903" s="18">
        <v>440129.56248384377</v>
      </c>
      <c r="H903" s="19">
        <v>0.27432071251806311</v>
      </c>
      <c r="I903" s="19">
        <v>2.9300328165802192E-3</v>
      </c>
      <c r="J903" s="19">
        <v>0.1418729732219377</v>
      </c>
    </row>
    <row r="904" spans="1:10" ht="11.25" customHeight="1" x14ac:dyDescent="0.2">
      <c r="A904" s="28">
        <v>44531</v>
      </c>
      <c r="B904" s="18">
        <v>0</v>
      </c>
      <c r="C904" s="18">
        <v>0</v>
      </c>
      <c r="D904" s="18">
        <v>484887.62254080002</v>
      </c>
      <c r="E904" s="18">
        <v>617902.34064738196</v>
      </c>
      <c r="F904" s="18">
        <v>462220.45705120004</v>
      </c>
      <c r="G904" s="18">
        <v>463574.77815885469</v>
      </c>
      <c r="H904" s="19">
        <v>0.27432071251806311</v>
      </c>
      <c r="I904" s="19">
        <v>2.9300328165799971E-3</v>
      </c>
      <c r="J904" s="19">
        <v>0.1418729732219377</v>
      </c>
    </row>
    <row r="905" spans="1:10" ht="11.25" customHeight="1" x14ac:dyDescent="0.2">
      <c r="A905" s="28">
        <v>44562</v>
      </c>
      <c r="B905" s="18">
        <v>0</v>
      </c>
      <c r="C905" s="18">
        <v>0</v>
      </c>
      <c r="D905" s="18">
        <v>464201.61135359999</v>
      </c>
      <c r="E905" s="18">
        <v>591541.72813215258</v>
      </c>
      <c r="F905" s="18">
        <v>442501.46011039999</v>
      </c>
      <c r="G905" s="18">
        <v>443798.00390990812</v>
      </c>
      <c r="H905" s="19">
        <v>0.27432071251806311</v>
      </c>
      <c r="I905" s="19">
        <v>2.9300328165802192E-3</v>
      </c>
      <c r="J905" s="19">
        <v>0.1418729732219377</v>
      </c>
    </row>
    <row r="906" spans="1:10" ht="11.25" customHeight="1" x14ac:dyDescent="0.2">
      <c r="A906" s="28">
        <v>44593</v>
      </c>
      <c r="B906" s="18">
        <v>0</v>
      </c>
      <c r="C906" s="18">
        <v>0</v>
      </c>
      <c r="D906" s="18">
        <v>456568.62260160001</v>
      </c>
      <c r="E906" s="18">
        <v>581814.8524670616</v>
      </c>
      <c r="F906" s="18">
        <v>435225.2926324</v>
      </c>
      <c r="G906" s="18">
        <v>436500.51702241861</v>
      </c>
      <c r="H906" s="19">
        <v>0.27432071251806311</v>
      </c>
      <c r="I906" s="19">
        <v>2.9300328165802192E-3</v>
      </c>
      <c r="J906" s="19">
        <v>0.1418729732219377</v>
      </c>
    </row>
    <row r="907" spans="1:10" ht="11.25" customHeight="1" x14ac:dyDescent="0.2">
      <c r="A907" s="28">
        <v>44621</v>
      </c>
      <c r="B907" s="18">
        <v>0</v>
      </c>
      <c r="C907" s="18">
        <v>0</v>
      </c>
      <c r="D907" s="18">
        <v>503326.23202080006</v>
      </c>
      <c r="E907" s="18">
        <v>641399.04261777794</v>
      </c>
      <c r="F907" s="18">
        <v>479797.11214620003</v>
      </c>
      <c r="G907" s="18">
        <v>481202.9334300888</v>
      </c>
      <c r="H907" s="19">
        <v>0.27432071251806334</v>
      </c>
      <c r="I907" s="19">
        <v>2.9300328165802192E-3</v>
      </c>
      <c r="J907" s="19">
        <v>0.1418729732219377</v>
      </c>
    </row>
    <row r="908" spans="1:10" ht="11.25" customHeight="1" x14ac:dyDescent="0.2">
      <c r="A908" s="28">
        <v>44652</v>
      </c>
      <c r="B908" s="18">
        <v>0</v>
      </c>
      <c r="C908" s="18">
        <v>0</v>
      </c>
      <c r="D908" s="18">
        <v>478664.04858240002</v>
      </c>
      <c r="E908" s="18">
        <v>609971.51144630485</v>
      </c>
      <c r="F908" s="18">
        <v>456287.81809359998</v>
      </c>
      <c r="G908" s="18">
        <v>457624.75637442002</v>
      </c>
      <c r="H908" s="19">
        <v>0.27432071251806334</v>
      </c>
      <c r="I908" s="19">
        <v>2.9300328165802192E-3</v>
      </c>
      <c r="J908" s="19">
        <v>0.1418729732219377</v>
      </c>
    </row>
    <row r="909" spans="1:10" ht="11.25" customHeight="1" x14ac:dyDescent="0.2">
      <c r="A909" s="28">
        <v>44682</v>
      </c>
      <c r="B909" s="18">
        <v>0</v>
      </c>
      <c r="C909" s="18">
        <v>0</v>
      </c>
      <c r="D909" s="18">
        <v>478664.04858240002</v>
      </c>
      <c r="E909" s="18">
        <v>609971.51144630485</v>
      </c>
      <c r="F909" s="18">
        <v>456287.81809359998</v>
      </c>
      <c r="G909" s="18">
        <v>457624.75637442002</v>
      </c>
      <c r="H909" s="19">
        <v>0.27432071251806334</v>
      </c>
      <c r="I909" s="19">
        <v>2.9300328165802192E-3</v>
      </c>
      <c r="J909" s="19">
        <v>0.1418729732219377</v>
      </c>
    </row>
    <row r="910" spans="1:10" ht="11.25" customHeight="1" x14ac:dyDescent="0.2">
      <c r="A910" s="21" t="s">
        <v>47</v>
      </c>
      <c r="B910" s="18">
        <v>0</v>
      </c>
      <c r="C910" s="18">
        <v>0</v>
      </c>
      <c r="D910" s="18">
        <v>15640238.657329997</v>
      </c>
      <c r="E910" s="18">
        <v>19930054.379598934</v>
      </c>
      <c r="F910" s="18">
        <v>14908751.183719996</v>
      </c>
      <c r="G910" s="18">
        <v>14952315.163649688</v>
      </c>
      <c r="H910" s="19">
        <v>0.27428070736366039</v>
      </c>
      <c r="I910" s="19">
        <v>2.9220408465373549E-3</v>
      </c>
      <c r="J910" s="19">
        <v>0.14185017981758863</v>
      </c>
    </row>
    <row r="911" spans="1:10" ht="11.25" customHeight="1" x14ac:dyDescent="0.2">
      <c r="A911" s="22" t="s">
        <v>23</v>
      </c>
      <c r="B911" s="18">
        <v>0</v>
      </c>
      <c r="C911" s="18">
        <v>0</v>
      </c>
      <c r="D911" s="18">
        <v>15640238.657329997</v>
      </c>
      <c r="E911" s="18">
        <v>19930054.379598934</v>
      </c>
      <c r="F911" s="18">
        <v>14908751.183719996</v>
      </c>
      <c r="G911" s="18">
        <v>14952315.163649688</v>
      </c>
      <c r="H911" s="19">
        <v>0.27428070736366039</v>
      </c>
      <c r="I911" s="19">
        <v>2.9220408465373549E-3</v>
      </c>
      <c r="J911" s="19">
        <v>0.14185017981758863</v>
      </c>
    </row>
    <row r="912" spans="1:10" ht="11.25" customHeight="1" x14ac:dyDescent="0.2">
      <c r="A912" s="23" t="s">
        <v>48</v>
      </c>
      <c r="B912" s="18">
        <v>0</v>
      </c>
      <c r="C912" s="18">
        <v>0</v>
      </c>
      <c r="D912" s="18">
        <v>15640238.657329997</v>
      </c>
      <c r="E912" s="18">
        <v>19930054.379598934</v>
      </c>
      <c r="F912" s="18">
        <v>14908751.183719996</v>
      </c>
      <c r="G912" s="18">
        <v>14952315.163649688</v>
      </c>
      <c r="H912" s="19">
        <v>0.27428070736366039</v>
      </c>
      <c r="I912" s="19">
        <v>2.9220408465373549E-3</v>
      </c>
      <c r="J912" s="19">
        <v>0.14185017981758863</v>
      </c>
    </row>
    <row r="913" spans="1:10" ht="11.25" customHeight="1" x14ac:dyDescent="0.2">
      <c r="A913" s="24" t="s">
        <v>49</v>
      </c>
      <c r="B913" s="18">
        <v>0</v>
      </c>
      <c r="C913" s="18">
        <v>0</v>
      </c>
      <c r="D913" s="18">
        <v>15315766.248509999</v>
      </c>
      <c r="E913" s="18">
        <v>19516576.492749665</v>
      </c>
      <c r="F913" s="18">
        <v>14599453.137879997</v>
      </c>
      <c r="G913" s="18">
        <v>14642107.697096124</v>
      </c>
      <c r="H913" s="19">
        <v>0.27428012259251755</v>
      </c>
      <c r="I913" s="19">
        <v>2.9216545861880938E-3</v>
      </c>
      <c r="J913" s="19">
        <v>0.14184969692672089</v>
      </c>
    </row>
    <row r="914" spans="1:10" ht="11.25" customHeight="1" x14ac:dyDescent="0.2">
      <c r="A914" s="25" t="s">
        <v>25</v>
      </c>
      <c r="B914" s="18">
        <v>0</v>
      </c>
      <c r="C914" s="18">
        <v>0</v>
      </c>
      <c r="D914" s="18">
        <v>15315766.248509999</v>
      </c>
      <c r="E914" s="18">
        <v>19516576.492749665</v>
      </c>
      <c r="F914" s="18">
        <v>14599453.137879997</v>
      </c>
      <c r="G914" s="18">
        <v>14642107.697096124</v>
      </c>
      <c r="H914" s="19">
        <v>0.27428012259251755</v>
      </c>
      <c r="I914" s="19">
        <v>2.9216545861880938E-3</v>
      </c>
      <c r="J914" s="19">
        <v>0.14184969692672089</v>
      </c>
    </row>
    <row r="915" spans="1:10" ht="11.25" customHeight="1" x14ac:dyDescent="0.2">
      <c r="A915" s="26" t="s">
        <v>25</v>
      </c>
      <c r="B915" s="18">
        <v>0</v>
      </c>
      <c r="C915" s="18">
        <v>0</v>
      </c>
      <c r="D915" s="18">
        <v>15315766.248509999</v>
      </c>
      <c r="E915" s="18">
        <v>19516576.492749665</v>
      </c>
      <c r="F915" s="18">
        <v>14599453.137879997</v>
      </c>
      <c r="G915" s="18">
        <v>14642107.697096124</v>
      </c>
      <c r="H915" s="19">
        <v>0.27428012259251755</v>
      </c>
      <c r="I915" s="19">
        <v>2.9216545861880938E-3</v>
      </c>
      <c r="J915" s="19">
        <v>0.14184969692672089</v>
      </c>
    </row>
    <row r="916" spans="1:10" ht="11.25" customHeight="1" x14ac:dyDescent="0.2">
      <c r="A916" s="27" t="s">
        <v>25</v>
      </c>
      <c r="B916" s="18">
        <v>0</v>
      </c>
      <c r="C916" s="18">
        <v>0</v>
      </c>
      <c r="D916" s="18">
        <v>15315766.248509999</v>
      </c>
      <c r="E916" s="18">
        <v>19516576.492749665</v>
      </c>
      <c r="F916" s="18">
        <v>14599453.137879997</v>
      </c>
      <c r="G916" s="18">
        <v>14642107.697096124</v>
      </c>
      <c r="H916" s="19">
        <v>0.27428012259251755</v>
      </c>
      <c r="I916" s="19">
        <v>2.9216545861880938E-3</v>
      </c>
      <c r="J916" s="19">
        <v>0.14184969692672089</v>
      </c>
    </row>
    <row r="917" spans="1:10" ht="11.25" customHeight="1" x14ac:dyDescent="0.2">
      <c r="A917" s="28">
        <v>44348</v>
      </c>
      <c r="B917" s="18">
        <v>0</v>
      </c>
      <c r="C917" s="18">
        <v>0</v>
      </c>
      <c r="D917" s="18">
        <v>1267807.1433299999</v>
      </c>
      <c r="E917" s="18">
        <v>1615541.4420262219</v>
      </c>
      <c r="F917" s="18">
        <v>1208512.2400400001</v>
      </c>
      <c r="G917" s="18">
        <v>1212043.0953685772</v>
      </c>
      <c r="H917" s="19">
        <v>0.27428012259251777</v>
      </c>
      <c r="I917" s="19">
        <v>2.9216545861878718E-3</v>
      </c>
      <c r="J917" s="19">
        <v>0.14184969692672111</v>
      </c>
    </row>
    <row r="918" spans="1:10" ht="11.25" customHeight="1" x14ac:dyDescent="0.2">
      <c r="A918" s="28">
        <v>44378</v>
      </c>
      <c r="B918" s="18">
        <v>0</v>
      </c>
      <c r="C918" s="18">
        <v>0</v>
      </c>
      <c r="D918" s="18">
        <v>1310228.6324400001</v>
      </c>
      <c r="E918" s="18">
        <v>1669598.3023698698</v>
      </c>
      <c r="F918" s="18">
        <v>1248949.6907200001</v>
      </c>
      <c r="G918" s="18">
        <v>1252598.6903118102</v>
      </c>
      <c r="H918" s="19">
        <v>0.27428012259251755</v>
      </c>
      <c r="I918" s="19">
        <v>2.9216545861880938E-3</v>
      </c>
      <c r="J918" s="19">
        <v>0.14184969692672111</v>
      </c>
    </row>
    <row r="919" spans="1:10" ht="11.25" customHeight="1" x14ac:dyDescent="0.2">
      <c r="A919" s="28">
        <v>44409</v>
      </c>
      <c r="B919" s="18">
        <v>0</v>
      </c>
      <c r="C919" s="18">
        <v>0</v>
      </c>
      <c r="D919" s="18">
        <v>1310601.7934099999</v>
      </c>
      <c r="E919" s="18">
        <v>1670073.8139764683</v>
      </c>
      <c r="F919" s="18">
        <v>1249305.3990800001</v>
      </c>
      <c r="G919" s="18">
        <v>1252955.4379287716</v>
      </c>
      <c r="H919" s="19">
        <v>0.27428012259251777</v>
      </c>
      <c r="I919" s="19">
        <v>2.9216545861878718E-3</v>
      </c>
      <c r="J919" s="19">
        <v>0.14184969692672111</v>
      </c>
    </row>
    <row r="920" spans="1:10" ht="11.25" customHeight="1" x14ac:dyDescent="0.2">
      <c r="A920" s="28">
        <v>44440</v>
      </c>
      <c r="B920" s="18">
        <v>0</v>
      </c>
      <c r="C920" s="18">
        <v>0</v>
      </c>
      <c r="D920" s="18">
        <v>1270423.791</v>
      </c>
      <c r="E920" s="18">
        <v>1618875.7841399307</v>
      </c>
      <c r="F920" s="18">
        <v>1211006.5079999999</v>
      </c>
      <c r="G920" s="18">
        <v>1214544.6507180016</v>
      </c>
      <c r="H920" s="19">
        <v>0.27428012259251755</v>
      </c>
      <c r="I920" s="19">
        <v>2.9216545861880938E-3</v>
      </c>
      <c r="J920" s="19">
        <v>0.14184969692672111</v>
      </c>
    </row>
    <row r="921" spans="1:10" ht="11.25" customHeight="1" x14ac:dyDescent="0.2">
      <c r="A921" s="28">
        <v>44470</v>
      </c>
      <c r="B921" s="18">
        <v>0</v>
      </c>
      <c r="C921" s="18">
        <v>0</v>
      </c>
      <c r="D921" s="18">
        <v>1307663.59815</v>
      </c>
      <c r="E921" s="18">
        <v>1666329.7301603546</v>
      </c>
      <c r="F921" s="18">
        <v>1246504.6222000001</v>
      </c>
      <c r="G921" s="18">
        <v>1250146.4781461551</v>
      </c>
      <c r="H921" s="19">
        <v>0.27428012259251755</v>
      </c>
      <c r="I921" s="19">
        <v>2.9216545861878718E-3</v>
      </c>
      <c r="J921" s="19">
        <v>0.14184969692672111</v>
      </c>
    </row>
    <row r="922" spans="1:10" ht="11.25" customHeight="1" x14ac:dyDescent="0.2">
      <c r="A922" s="28">
        <v>44501</v>
      </c>
      <c r="B922" s="18">
        <v>0</v>
      </c>
      <c r="C922" s="18">
        <v>0</v>
      </c>
      <c r="D922" s="18">
        <v>1267515.3582000001</v>
      </c>
      <c r="E922" s="18">
        <v>1615169.6260349948</v>
      </c>
      <c r="F922" s="18">
        <v>1208234.1016000002</v>
      </c>
      <c r="G922" s="18">
        <v>1211764.1443041284</v>
      </c>
      <c r="H922" s="19">
        <v>0.27428012259251755</v>
      </c>
      <c r="I922" s="19">
        <v>2.9216545861878718E-3</v>
      </c>
      <c r="J922" s="19">
        <v>0.14184969692672067</v>
      </c>
    </row>
    <row r="923" spans="1:10" ht="11.25" customHeight="1" x14ac:dyDescent="0.2">
      <c r="A923" s="28">
        <v>44531</v>
      </c>
      <c r="B923" s="18">
        <v>0</v>
      </c>
      <c r="C923" s="18">
        <v>0</v>
      </c>
      <c r="D923" s="18">
        <v>1304187.04143</v>
      </c>
      <c r="E923" s="18">
        <v>1661899.6230369932</v>
      </c>
      <c r="F923" s="18">
        <v>1243190.6628399999</v>
      </c>
      <c r="G923" s="18">
        <v>1246822.8365415924</v>
      </c>
      <c r="H923" s="19">
        <v>0.27428012259251755</v>
      </c>
      <c r="I923" s="19">
        <v>2.9216545861878718E-3</v>
      </c>
      <c r="J923" s="19">
        <v>0.14184969692672111</v>
      </c>
    </row>
    <row r="924" spans="1:10" ht="11.25" customHeight="1" x14ac:dyDescent="0.2">
      <c r="A924" s="28">
        <v>44562</v>
      </c>
      <c r="B924" s="18">
        <v>0</v>
      </c>
      <c r="C924" s="18">
        <v>0</v>
      </c>
      <c r="D924" s="18">
        <v>1303714.23273</v>
      </c>
      <c r="E924" s="18">
        <v>1661297.1323087942</v>
      </c>
      <c r="F924" s="18">
        <v>1242739.9672399999</v>
      </c>
      <c r="G924" s="18">
        <v>1246370.8241647258</v>
      </c>
      <c r="H924" s="19">
        <v>0.27428012259251733</v>
      </c>
      <c r="I924" s="19">
        <v>2.9216545861880938E-3</v>
      </c>
      <c r="J924" s="19">
        <v>0.14184969692672089</v>
      </c>
    </row>
    <row r="925" spans="1:10" ht="11.25" customHeight="1" x14ac:dyDescent="0.2">
      <c r="A925" s="28">
        <v>44593</v>
      </c>
      <c r="B925" s="18">
        <v>0</v>
      </c>
      <c r="C925" s="18">
        <v>0</v>
      </c>
      <c r="D925" s="18">
        <v>1163515.5277200001</v>
      </c>
      <c r="E925" s="18">
        <v>1482644.7093013395</v>
      </c>
      <c r="F925" s="18">
        <v>1109098.30736</v>
      </c>
      <c r="G925" s="18">
        <v>1112338.7095162317</v>
      </c>
      <c r="H925" s="19">
        <v>0.27428012259251755</v>
      </c>
      <c r="I925" s="19">
        <v>2.9216545861880938E-3</v>
      </c>
      <c r="J925" s="19">
        <v>0.14184969692672111</v>
      </c>
    </row>
    <row r="926" spans="1:10" ht="11.25" customHeight="1" x14ac:dyDescent="0.2">
      <c r="A926" s="28">
        <v>44621</v>
      </c>
      <c r="B926" s="18">
        <v>0</v>
      </c>
      <c r="C926" s="18">
        <v>0</v>
      </c>
      <c r="D926" s="18">
        <v>1297343.7476999999</v>
      </c>
      <c r="E926" s="18">
        <v>1653179.3498637923</v>
      </c>
      <c r="F926" s="18">
        <v>1236667.4276000001</v>
      </c>
      <c r="G926" s="18">
        <v>1240280.5426614368</v>
      </c>
      <c r="H926" s="19">
        <v>0.27428012259251777</v>
      </c>
      <c r="I926" s="19">
        <v>2.9216545861878718E-3</v>
      </c>
      <c r="J926" s="19">
        <v>0.14184969692672089</v>
      </c>
    </row>
    <row r="927" spans="1:10" ht="11.25" customHeight="1" x14ac:dyDescent="0.2">
      <c r="A927" s="28">
        <v>44652</v>
      </c>
      <c r="B927" s="18">
        <v>0</v>
      </c>
      <c r="C927" s="18">
        <v>0</v>
      </c>
      <c r="D927" s="18">
        <v>1256382.6912</v>
      </c>
      <c r="E927" s="18">
        <v>1600983.4897654532</v>
      </c>
      <c r="F927" s="18">
        <v>1197622.1056000001</v>
      </c>
      <c r="G927" s="18">
        <v>1201121.1437173462</v>
      </c>
      <c r="H927" s="19">
        <v>0.27428012259251755</v>
      </c>
      <c r="I927" s="19">
        <v>2.9216545861878718E-3</v>
      </c>
      <c r="J927" s="19">
        <v>0.14184969692672089</v>
      </c>
    </row>
    <row r="928" spans="1:10" ht="11.25" customHeight="1" x14ac:dyDescent="0.2">
      <c r="A928" s="28">
        <v>44682</v>
      </c>
      <c r="B928" s="18">
        <v>0</v>
      </c>
      <c r="C928" s="18">
        <v>0</v>
      </c>
      <c r="D928" s="18">
        <v>1256382.6912</v>
      </c>
      <c r="E928" s="18">
        <v>1600983.4897654532</v>
      </c>
      <c r="F928" s="18">
        <v>1197622.1056000001</v>
      </c>
      <c r="G928" s="18">
        <v>1201121.1437173462</v>
      </c>
      <c r="H928" s="19">
        <v>0.27428012259251755</v>
      </c>
      <c r="I928" s="19">
        <v>2.9216545861878718E-3</v>
      </c>
      <c r="J928" s="19">
        <v>0.14184969692672089</v>
      </c>
    </row>
    <row r="929" spans="1:10" ht="11.25" customHeight="1" x14ac:dyDescent="0.2">
      <c r="A929" s="24" t="s">
        <v>50</v>
      </c>
      <c r="B929" s="18">
        <v>0</v>
      </c>
      <c r="C929" s="18">
        <v>0</v>
      </c>
      <c r="D929" s="18">
        <v>324472.40882000001</v>
      </c>
      <c r="E929" s="18">
        <v>413477.88684926927</v>
      </c>
      <c r="F929" s="18">
        <v>309298.04583999998</v>
      </c>
      <c r="G929" s="18">
        <v>310207.46655356436</v>
      </c>
      <c r="H929" s="19">
        <v>0.27430830976647003</v>
      </c>
      <c r="I929" s="19">
        <v>2.940273066047272E-3</v>
      </c>
      <c r="J929" s="19">
        <v>0.14187297322193793</v>
      </c>
    </row>
    <row r="930" spans="1:10" ht="11.25" customHeight="1" x14ac:dyDescent="0.2">
      <c r="A930" s="25" t="s">
        <v>25</v>
      </c>
      <c r="B930" s="18">
        <v>0</v>
      </c>
      <c r="C930" s="18">
        <v>0</v>
      </c>
      <c r="D930" s="18">
        <v>324472.40882000001</v>
      </c>
      <c r="E930" s="18">
        <v>413477.88684926927</v>
      </c>
      <c r="F930" s="18">
        <v>309298.04583999998</v>
      </c>
      <c r="G930" s="18">
        <v>310207.46655356436</v>
      </c>
      <c r="H930" s="19">
        <v>0.27430830976647003</v>
      </c>
      <c r="I930" s="19">
        <v>2.940273066047272E-3</v>
      </c>
      <c r="J930" s="19">
        <v>0.14187297322193793</v>
      </c>
    </row>
    <row r="931" spans="1:10" ht="11.25" customHeight="1" x14ac:dyDescent="0.2">
      <c r="A931" s="26" t="s">
        <v>25</v>
      </c>
      <c r="B931" s="18">
        <v>0</v>
      </c>
      <c r="C931" s="18">
        <v>0</v>
      </c>
      <c r="D931" s="18">
        <v>324472.40882000001</v>
      </c>
      <c r="E931" s="18">
        <v>413477.88684926927</v>
      </c>
      <c r="F931" s="18">
        <v>309298.04583999998</v>
      </c>
      <c r="G931" s="18">
        <v>310207.46655356436</v>
      </c>
      <c r="H931" s="19">
        <v>0.27430830976647003</v>
      </c>
      <c r="I931" s="19">
        <v>2.940273066047272E-3</v>
      </c>
      <c r="J931" s="19">
        <v>0.14187297322193793</v>
      </c>
    </row>
    <row r="932" spans="1:10" ht="11.25" customHeight="1" x14ac:dyDescent="0.2">
      <c r="A932" s="27" t="s">
        <v>25</v>
      </c>
      <c r="B932" s="18">
        <v>0</v>
      </c>
      <c r="C932" s="18">
        <v>0</v>
      </c>
      <c r="D932" s="18">
        <v>324472.40882000001</v>
      </c>
      <c r="E932" s="18">
        <v>413477.88684926927</v>
      </c>
      <c r="F932" s="18">
        <v>309298.04583999998</v>
      </c>
      <c r="G932" s="18">
        <v>310207.46655356436</v>
      </c>
      <c r="H932" s="19">
        <v>0.27430830976647003</v>
      </c>
      <c r="I932" s="19">
        <v>2.940273066047272E-3</v>
      </c>
      <c r="J932" s="19">
        <v>0.14187297322193793</v>
      </c>
    </row>
    <row r="933" spans="1:10" ht="11.25" customHeight="1" x14ac:dyDescent="0.2">
      <c r="A933" s="28">
        <v>44348</v>
      </c>
      <c r="B933" s="18">
        <v>0</v>
      </c>
      <c r="C933" s="18">
        <v>0</v>
      </c>
      <c r="D933" s="18">
        <v>28504.54535</v>
      </c>
      <c r="E933" s="18">
        <v>36323.579005620188</v>
      </c>
      <c r="F933" s="18">
        <v>27171.494200000001</v>
      </c>
      <c r="G933" s="18">
        <v>27251.385812560518</v>
      </c>
      <c r="H933" s="19">
        <v>0.2743083097664698</v>
      </c>
      <c r="I933" s="19">
        <v>2.940273066047272E-3</v>
      </c>
      <c r="J933" s="19">
        <v>0.14187297322193793</v>
      </c>
    </row>
    <row r="934" spans="1:10" ht="11.25" customHeight="1" x14ac:dyDescent="0.2">
      <c r="A934" s="28">
        <v>44378</v>
      </c>
      <c r="B934" s="18">
        <v>0</v>
      </c>
      <c r="C934" s="18">
        <v>0</v>
      </c>
      <c r="D934" s="18">
        <v>29454.52562</v>
      </c>
      <c r="E934" s="18">
        <v>37534.146757795374</v>
      </c>
      <c r="F934" s="18">
        <v>28077.047439999998</v>
      </c>
      <c r="G934" s="18">
        <v>28159.60162636196</v>
      </c>
      <c r="H934" s="19">
        <v>0.27430830976646958</v>
      </c>
      <c r="I934" s="19">
        <v>2.940273066047272E-3</v>
      </c>
      <c r="J934" s="19">
        <v>0.14187297322193793</v>
      </c>
    </row>
    <row r="935" spans="1:10" ht="11.25" customHeight="1" x14ac:dyDescent="0.2">
      <c r="A935" s="28">
        <v>44409</v>
      </c>
      <c r="B935" s="18">
        <v>0</v>
      </c>
      <c r="C935" s="18">
        <v>0</v>
      </c>
      <c r="D935" s="18">
        <v>29458.224440000002</v>
      </c>
      <c r="E935" s="18">
        <v>37538.860194857705</v>
      </c>
      <c r="F935" s="18">
        <v>28080.573279999997</v>
      </c>
      <c r="G935" s="18">
        <v>28163.137833294346</v>
      </c>
      <c r="H935" s="19">
        <v>0.27430830976646958</v>
      </c>
      <c r="I935" s="19">
        <v>2.940273066047272E-3</v>
      </c>
      <c r="J935" s="19">
        <v>0.1418729732219377</v>
      </c>
    </row>
    <row r="936" spans="1:10" ht="11.25" customHeight="1" x14ac:dyDescent="0.2">
      <c r="A936" s="28">
        <v>44440</v>
      </c>
      <c r="B936" s="18">
        <v>0</v>
      </c>
      <c r="C936" s="18">
        <v>0</v>
      </c>
      <c r="D936" s="18">
        <v>26272.307480000003</v>
      </c>
      <c r="E936" s="18">
        <v>33479.019738503783</v>
      </c>
      <c r="F936" s="18">
        <v>25043.64976</v>
      </c>
      <c r="G936" s="18">
        <v>25117.284928864847</v>
      </c>
      <c r="H936" s="19">
        <v>0.27430830976646958</v>
      </c>
      <c r="I936" s="19">
        <v>2.940273066047272E-3</v>
      </c>
      <c r="J936" s="19">
        <v>0.14187297322193793</v>
      </c>
    </row>
    <row r="937" spans="1:10" ht="11.25" customHeight="1" x14ac:dyDescent="0.2">
      <c r="A937" s="28">
        <v>44470</v>
      </c>
      <c r="B937" s="18">
        <v>0</v>
      </c>
      <c r="C937" s="18">
        <v>0</v>
      </c>
      <c r="D937" s="18">
        <v>27146.256450000001</v>
      </c>
      <c r="E937" s="18">
        <v>34592.700173286627</v>
      </c>
      <c r="F937" s="18">
        <v>25876.727399999996</v>
      </c>
      <c r="G937" s="18">
        <v>25952.812044611663</v>
      </c>
      <c r="H937" s="19">
        <v>0.27430830976646958</v>
      </c>
      <c r="I937" s="19">
        <v>2.940273066047272E-3</v>
      </c>
      <c r="J937" s="19">
        <v>0.1418729732219377</v>
      </c>
    </row>
    <row r="938" spans="1:10" ht="11.25" customHeight="1" x14ac:dyDescent="0.2">
      <c r="A938" s="28">
        <v>44501</v>
      </c>
      <c r="B938" s="18">
        <v>0</v>
      </c>
      <c r="C938" s="18">
        <v>0</v>
      </c>
      <c r="D938" s="18">
        <v>26270.869050000001</v>
      </c>
      <c r="E938" s="18">
        <v>33477.186735201758</v>
      </c>
      <c r="F938" s="18">
        <v>25042.278599999998</v>
      </c>
      <c r="G938" s="18">
        <v>25115.909737280028</v>
      </c>
      <c r="H938" s="19">
        <v>0.27430830976646958</v>
      </c>
      <c r="I938" s="19">
        <v>2.940273066047272E-3</v>
      </c>
      <c r="J938" s="19">
        <v>0.1418729732219377</v>
      </c>
    </row>
    <row r="939" spans="1:10" ht="11.25" customHeight="1" x14ac:dyDescent="0.2">
      <c r="A939" s="28">
        <v>44531</v>
      </c>
      <c r="B939" s="18">
        <v>0</v>
      </c>
      <c r="C939" s="18">
        <v>0</v>
      </c>
      <c r="D939" s="18">
        <v>26956.794669999999</v>
      </c>
      <c r="E939" s="18">
        <v>34351.267452649481</v>
      </c>
      <c r="F939" s="18">
        <v>25696.126039999999</v>
      </c>
      <c r="G939" s="18">
        <v>25771.679667297165</v>
      </c>
      <c r="H939" s="19">
        <v>0.2743083097664698</v>
      </c>
      <c r="I939" s="19">
        <v>2.940273066047272E-3</v>
      </c>
      <c r="J939" s="19">
        <v>0.14187297322193793</v>
      </c>
    </row>
    <row r="940" spans="1:10" ht="11.25" customHeight="1" x14ac:dyDescent="0.2">
      <c r="A940" s="28">
        <v>44562</v>
      </c>
      <c r="B940" s="18">
        <v>0</v>
      </c>
      <c r="C940" s="18">
        <v>0</v>
      </c>
      <c r="D940" s="18">
        <v>26950.629969999998</v>
      </c>
      <c r="E940" s="18">
        <v>34343.411724212259</v>
      </c>
      <c r="F940" s="18">
        <v>25690.249639999998</v>
      </c>
      <c r="G940" s="18">
        <v>25765.785989076518</v>
      </c>
      <c r="H940" s="19">
        <v>0.27430830976646958</v>
      </c>
      <c r="I940" s="19">
        <v>2.94027306604705E-3</v>
      </c>
      <c r="J940" s="19">
        <v>0.1418729732219377</v>
      </c>
    </row>
    <row r="941" spans="1:10" ht="11.25" customHeight="1" x14ac:dyDescent="0.2">
      <c r="A941" s="28">
        <v>44593</v>
      </c>
      <c r="B941" s="18">
        <v>0</v>
      </c>
      <c r="C941" s="18">
        <v>0</v>
      </c>
      <c r="D941" s="18">
        <v>24343.372850000003</v>
      </c>
      <c r="E941" s="18">
        <v>31020.962310498471</v>
      </c>
      <c r="F941" s="18">
        <v>23204.924200000001</v>
      </c>
      <c r="G941" s="18">
        <v>23273.153013624928</v>
      </c>
      <c r="H941" s="19">
        <v>0.27430830976646958</v>
      </c>
      <c r="I941" s="19">
        <v>2.940273066047272E-3</v>
      </c>
      <c r="J941" s="19">
        <v>0.1418729732219377</v>
      </c>
    </row>
    <row r="942" spans="1:10" ht="11.25" customHeight="1" x14ac:dyDescent="0.2">
      <c r="A942" s="28">
        <v>44621</v>
      </c>
      <c r="B942" s="18">
        <v>0</v>
      </c>
      <c r="C942" s="18">
        <v>0</v>
      </c>
      <c r="D942" s="18">
        <v>26950.835460000002</v>
      </c>
      <c r="E942" s="18">
        <v>34343.673581826835</v>
      </c>
      <c r="F942" s="18">
        <v>25690.445519999997</v>
      </c>
      <c r="G942" s="18">
        <v>25765.982445017209</v>
      </c>
      <c r="H942" s="19">
        <v>0.27430830976646958</v>
      </c>
      <c r="I942" s="19">
        <v>2.940273066047272E-3</v>
      </c>
      <c r="J942" s="19">
        <v>0.14187297322193793</v>
      </c>
    </row>
    <row r="943" spans="1:10" ht="11.25" customHeight="1" x14ac:dyDescent="0.2">
      <c r="A943" s="28">
        <v>44652</v>
      </c>
      <c r="B943" s="18">
        <v>0</v>
      </c>
      <c r="C943" s="18">
        <v>0</v>
      </c>
      <c r="D943" s="18">
        <v>26082.023740000001</v>
      </c>
      <c r="E943" s="18">
        <v>33236.539587408341</v>
      </c>
      <c r="F943" s="18">
        <v>24862.264879999999</v>
      </c>
      <c r="G943" s="18">
        <v>24935.366727787594</v>
      </c>
      <c r="H943" s="19">
        <v>0.2743083097664698</v>
      </c>
      <c r="I943" s="19">
        <v>2.940273066047272E-3</v>
      </c>
      <c r="J943" s="19">
        <v>0.14187297322193793</v>
      </c>
    </row>
    <row r="944" spans="1:10" ht="11.25" customHeight="1" x14ac:dyDescent="0.2">
      <c r="A944" s="28">
        <v>44682</v>
      </c>
      <c r="B944" s="18">
        <v>0</v>
      </c>
      <c r="C944" s="18">
        <v>0</v>
      </c>
      <c r="D944" s="18">
        <v>26082.023740000001</v>
      </c>
      <c r="E944" s="18">
        <v>33236.539587408341</v>
      </c>
      <c r="F944" s="18">
        <v>24862.264879999999</v>
      </c>
      <c r="G944" s="18">
        <v>24935.366727787594</v>
      </c>
      <c r="H944" s="19">
        <v>0.2743083097664698</v>
      </c>
      <c r="I944" s="19">
        <v>2.940273066047272E-3</v>
      </c>
      <c r="J944" s="19">
        <v>0.14187297322193793</v>
      </c>
    </row>
    <row r="945" spans="1:10" ht="11.25" customHeight="1" x14ac:dyDescent="0.2">
      <c r="A945" s="20" t="s">
        <v>83</v>
      </c>
      <c r="B945" s="18">
        <v>1716120</v>
      </c>
      <c r="C945" s="18">
        <v>2046897.6777813013</v>
      </c>
      <c r="D945" s="18">
        <v>198356.88160000002</v>
      </c>
      <c r="E945" s="18">
        <v>212711.08802717042</v>
      </c>
      <c r="F945" s="18">
        <v>0</v>
      </c>
      <c r="G945" s="18">
        <v>0</v>
      </c>
      <c r="H945" s="19">
        <v>0.18027477245900836</v>
      </c>
      <c r="I945" s="19">
        <v>0</v>
      </c>
      <c r="J945" s="19">
        <v>0.18027477245900836</v>
      </c>
    </row>
    <row r="946" spans="1:10" ht="11.25" customHeight="1" x14ac:dyDescent="0.2">
      <c r="A946" s="21" t="s">
        <v>41</v>
      </c>
      <c r="B946" s="18">
        <v>1716120</v>
      </c>
      <c r="C946" s="18">
        <v>2046897.6777813013</v>
      </c>
      <c r="D946" s="18">
        <v>198356.88160000002</v>
      </c>
      <c r="E946" s="18">
        <v>212711.08802717042</v>
      </c>
      <c r="F946" s="18">
        <v>0</v>
      </c>
      <c r="G946" s="18">
        <v>0</v>
      </c>
      <c r="H946" s="19">
        <v>0.18027477245900836</v>
      </c>
      <c r="I946" s="19">
        <v>0</v>
      </c>
      <c r="J946" s="19">
        <v>0.18027477245900836</v>
      </c>
    </row>
    <row r="947" spans="1:10" ht="11.25" customHeight="1" x14ac:dyDescent="0.2">
      <c r="A947" s="22" t="s">
        <v>81</v>
      </c>
      <c r="B947" s="18">
        <v>1716120</v>
      </c>
      <c r="C947" s="18">
        <v>2046897.6777813013</v>
      </c>
      <c r="D947" s="18">
        <v>198356.88160000002</v>
      </c>
      <c r="E947" s="18">
        <v>212711.08802717042</v>
      </c>
      <c r="F947" s="18">
        <v>0</v>
      </c>
      <c r="G947" s="18">
        <v>0</v>
      </c>
      <c r="H947" s="19">
        <v>0.18027477245900836</v>
      </c>
      <c r="I947" s="19">
        <v>0</v>
      </c>
      <c r="J947" s="19">
        <v>0.18027477245900836</v>
      </c>
    </row>
    <row r="948" spans="1:10" ht="11.25" customHeight="1" x14ac:dyDescent="0.2">
      <c r="A948" s="23" t="s">
        <v>25</v>
      </c>
      <c r="B948" s="18">
        <v>1716120</v>
      </c>
      <c r="C948" s="18">
        <v>2046897.6777813013</v>
      </c>
      <c r="D948" s="18">
        <v>198356.88160000002</v>
      </c>
      <c r="E948" s="18">
        <v>212711.08802717042</v>
      </c>
      <c r="F948" s="18">
        <v>0</v>
      </c>
      <c r="G948" s="18">
        <v>0</v>
      </c>
      <c r="H948" s="19">
        <v>0.18027477245900836</v>
      </c>
      <c r="I948" s="19">
        <v>0</v>
      </c>
      <c r="J948" s="19">
        <v>0.18027477245900836</v>
      </c>
    </row>
    <row r="949" spans="1:10" ht="11.25" customHeight="1" x14ac:dyDescent="0.2">
      <c r="A949" s="24" t="s">
        <v>25</v>
      </c>
      <c r="B949" s="18">
        <v>1716120</v>
      </c>
      <c r="C949" s="18">
        <v>2046897.6777813013</v>
      </c>
      <c r="D949" s="18">
        <v>198356.88160000002</v>
      </c>
      <c r="E949" s="18">
        <v>212711.08802717042</v>
      </c>
      <c r="F949" s="18">
        <v>0</v>
      </c>
      <c r="G949" s="18">
        <v>0</v>
      </c>
      <c r="H949" s="19">
        <v>0.18027477245900836</v>
      </c>
      <c r="I949" s="19">
        <v>0</v>
      </c>
      <c r="J949" s="19">
        <v>0.18027477245900836</v>
      </c>
    </row>
    <row r="950" spans="1:10" ht="11.25" customHeight="1" x14ac:dyDescent="0.2">
      <c r="A950" s="25" t="s">
        <v>25</v>
      </c>
      <c r="B950" s="18">
        <v>1716120</v>
      </c>
      <c r="C950" s="18">
        <v>2046897.6777813013</v>
      </c>
      <c r="D950" s="18">
        <v>198356.88160000002</v>
      </c>
      <c r="E950" s="18">
        <v>212711.08802717042</v>
      </c>
      <c r="F950" s="18">
        <v>0</v>
      </c>
      <c r="G950" s="18">
        <v>0</v>
      </c>
      <c r="H950" s="19">
        <v>0.18027477245900836</v>
      </c>
      <c r="I950" s="19">
        <v>0</v>
      </c>
      <c r="J950" s="19">
        <v>0.18027477245900836</v>
      </c>
    </row>
    <row r="951" spans="1:10" ht="11.25" customHeight="1" x14ac:dyDescent="0.2">
      <c r="A951" s="26" t="s">
        <v>82</v>
      </c>
      <c r="B951" s="18">
        <v>1716120</v>
      </c>
      <c r="C951" s="18">
        <v>2046897.6777813013</v>
      </c>
      <c r="D951" s="18">
        <v>198356.88160000002</v>
      </c>
      <c r="E951" s="18">
        <v>212711.08802717042</v>
      </c>
      <c r="F951" s="18">
        <v>0</v>
      </c>
      <c r="G951" s="18">
        <v>0</v>
      </c>
      <c r="H951" s="19">
        <v>0.18027477245900836</v>
      </c>
      <c r="I951" s="19">
        <v>0</v>
      </c>
      <c r="J951" s="19">
        <v>0.18027477245900836</v>
      </c>
    </row>
    <row r="952" spans="1:10" ht="11.25" customHeight="1" x14ac:dyDescent="0.2">
      <c r="A952" s="27" t="s">
        <v>35</v>
      </c>
      <c r="B952" s="18">
        <v>545580</v>
      </c>
      <c r="C952" s="18">
        <v>660719.38270353165</v>
      </c>
      <c r="D952" s="18">
        <v>0</v>
      </c>
      <c r="E952" s="18">
        <v>0</v>
      </c>
      <c r="F952" s="18">
        <v>0</v>
      </c>
      <c r="G952" s="18">
        <v>0</v>
      </c>
      <c r="H952" s="19">
        <v>0.21104032901413472</v>
      </c>
      <c r="I952" s="19">
        <v>0</v>
      </c>
      <c r="J952" s="19">
        <v>0.21104032901413472</v>
      </c>
    </row>
    <row r="953" spans="1:10" ht="11.25" customHeight="1" x14ac:dyDescent="0.2">
      <c r="A953" s="28">
        <v>44348</v>
      </c>
      <c r="B953" s="18">
        <v>45465</v>
      </c>
      <c r="C953" s="18">
        <v>55059.948558627642</v>
      </c>
      <c r="D953" s="18">
        <v>0</v>
      </c>
      <c r="E953" s="18">
        <v>0</v>
      </c>
      <c r="F953" s="18">
        <v>0</v>
      </c>
      <c r="G953" s="18">
        <v>0</v>
      </c>
      <c r="H953" s="19">
        <v>0.21104032901413494</v>
      </c>
      <c r="I953" s="19">
        <v>0</v>
      </c>
      <c r="J953" s="19">
        <v>0.21104032901413494</v>
      </c>
    </row>
    <row r="954" spans="1:10" ht="11.25" customHeight="1" x14ac:dyDescent="0.2">
      <c r="A954" s="28">
        <v>44378</v>
      </c>
      <c r="B954" s="18">
        <v>45465</v>
      </c>
      <c r="C954" s="18">
        <v>55059.948558627642</v>
      </c>
      <c r="D954" s="18">
        <v>0</v>
      </c>
      <c r="E954" s="18">
        <v>0</v>
      </c>
      <c r="F954" s="18">
        <v>0</v>
      </c>
      <c r="G954" s="18">
        <v>0</v>
      </c>
      <c r="H954" s="19">
        <v>0.21104032901413494</v>
      </c>
      <c r="I954" s="19">
        <v>0</v>
      </c>
      <c r="J954" s="19">
        <v>0.21104032901413494</v>
      </c>
    </row>
    <row r="955" spans="1:10" ht="11.25" customHeight="1" x14ac:dyDescent="0.2">
      <c r="A955" s="28">
        <v>44409</v>
      </c>
      <c r="B955" s="18">
        <v>45465</v>
      </c>
      <c r="C955" s="18">
        <v>55059.948558627642</v>
      </c>
      <c r="D955" s="18">
        <v>0</v>
      </c>
      <c r="E955" s="18">
        <v>0</v>
      </c>
      <c r="F955" s="18">
        <v>0</v>
      </c>
      <c r="G955" s="18">
        <v>0</v>
      </c>
      <c r="H955" s="19">
        <v>0.21104032901413494</v>
      </c>
      <c r="I955" s="19">
        <v>0</v>
      </c>
      <c r="J955" s="19">
        <v>0.21104032901413494</v>
      </c>
    </row>
    <row r="956" spans="1:10" ht="11.25" customHeight="1" x14ac:dyDescent="0.2">
      <c r="A956" s="28">
        <v>44440</v>
      </c>
      <c r="B956" s="18">
        <v>45465</v>
      </c>
      <c r="C956" s="18">
        <v>55059.948558627642</v>
      </c>
      <c r="D956" s="18">
        <v>0</v>
      </c>
      <c r="E956" s="18">
        <v>0</v>
      </c>
      <c r="F956" s="18">
        <v>0</v>
      </c>
      <c r="G956" s="18">
        <v>0</v>
      </c>
      <c r="H956" s="19">
        <v>0.21104032901413494</v>
      </c>
      <c r="I956" s="19">
        <v>0</v>
      </c>
      <c r="J956" s="19">
        <v>0.21104032901413494</v>
      </c>
    </row>
    <row r="957" spans="1:10" ht="11.25" customHeight="1" x14ac:dyDescent="0.2">
      <c r="A957" s="28">
        <v>44470</v>
      </c>
      <c r="B957" s="18">
        <v>45465</v>
      </c>
      <c r="C957" s="18">
        <v>55059.948558627642</v>
      </c>
      <c r="D957" s="18">
        <v>0</v>
      </c>
      <c r="E957" s="18">
        <v>0</v>
      </c>
      <c r="F957" s="18">
        <v>0</v>
      </c>
      <c r="G957" s="18">
        <v>0</v>
      </c>
      <c r="H957" s="19">
        <v>0.21104032901413494</v>
      </c>
      <c r="I957" s="19">
        <v>0</v>
      </c>
      <c r="J957" s="19">
        <v>0.21104032901413494</v>
      </c>
    </row>
    <row r="958" spans="1:10" ht="11.25" customHeight="1" x14ac:dyDescent="0.2">
      <c r="A958" s="28">
        <v>44501</v>
      </c>
      <c r="B958" s="18">
        <v>45465</v>
      </c>
      <c r="C958" s="18">
        <v>55059.948558627642</v>
      </c>
      <c r="D958" s="18">
        <v>0</v>
      </c>
      <c r="E958" s="18">
        <v>0</v>
      </c>
      <c r="F958" s="18">
        <v>0</v>
      </c>
      <c r="G958" s="18">
        <v>0</v>
      </c>
      <c r="H958" s="19">
        <v>0.21104032901413494</v>
      </c>
      <c r="I958" s="19">
        <v>0</v>
      </c>
      <c r="J958" s="19">
        <v>0.21104032901413494</v>
      </c>
    </row>
    <row r="959" spans="1:10" ht="11.25" customHeight="1" x14ac:dyDescent="0.2">
      <c r="A959" s="28">
        <v>44531</v>
      </c>
      <c r="B959" s="18">
        <v>45465</v>
      </c>
      <c r="C959" s="18">
        <v>55059.948558627642</v>
      </c>
      <c r="D959" s="18">
        <v>0</v>
      </c>
      <c r="E959" s="18">
        <v>0</v>
      </c>
      <c r="F959" s="18">
        <v>0</v>
      </c>
      <c r="G959" s="18">
        <v>0</v>
      </c>
      <c r="H959" s="19">
        <v>0.21104032901413494</v>
      </c>
      <c r="I959" s="19">
        <v>0</v>
      </c>
      <c r="J959" s="19">
        <v>0.21104032901413494</v>
      </c>
    </row>
    <row r="960" spans="1:10" ht="11.25" customHeight="1" x14ac:dyDescent="0.2">
      <c r="A960" s="28">
        <v>44562</v>
      </c>
      <c r="B960" s="18">
        <v>45465</v>
      </c>
      <c r="C960" s="18">
        <v>55059.948558627642</v>
      </c>
      <c r="D960" s="18">
        <v>0</v>
      </c>
      <c r="E960" s="18">
        <v>0</v>
      </c>
      <c r="F960" s="18">
        <v>0</v>
      </c>
      <c r="G960" s="18">
        <v>0</v>
      </c>
      <c r="H960" s="19">
        <v>0.21104032901413494</v>
      </c>
      <c r="I960" s="19">
        <v>0</v>
      </c>
      <c r="J960" s="19">
        <v>0.21104032901413494</v>
      </c>
    </row>
    <row r="961" spans="1:10" ht="11.25" customHeight="1" x14ac:dyDescent="0.2">
      <c r="A961" s="28">
        <v>44593</v>
      </c>
      <c r="B961" s="18">
        <v>45465</v>
      </c>
      <c r="C961" s="18">
        <v>55059.948558627642</v>
      </c>
      <c r="D961" s="18">
        <v>0</v>
      </c>
      <c r="E961" s="18">
        <v>0</v>
      </c>
      <c r="F961" s="18">
        <v>0</v>
      </c>
      <c r="G961" s="18">
        <v>0</v>
      </c>
      <c r="H961" s="19">
        <v>0.21104032901413494</v>
      </c>
      <c r="I961" s="19">
        <v>0</v>
      </c>
      <c r="J961" s="19">
        <v>0.21104032901413494</v>
      </c>
    </row>
    <row r="962" spans="1:10" ht="11.25" customHeight="1" x14ac:dyDescent="0.2">
      <c r="A962" s="28">
        <v>44621</v>
      </c>
      <c r="B962" s="18">
        <v>45465</v>
      </c>
      <c r="C962" s="18">
        <v>55059.948558627642</v>
      </c>
      <c r="D962" s="18">
        <v>0</v>
      </c>
      <c r="E962" s="18">
        <v>0</v>
      </c>
      <c r="F962" s="18">
        <v>0</v>
      </c>
      <c r="G962" s="18">
        <v>0</v>
      </c>
      <c r="H962" s="19">
        <v>0.21104032901413494</v>
      </c>
      <c r="I962" s="19">
        <v>0</v>
      </c>
      <c r="J962" s="19">
        <v>0.21104032901413494</v>
      </c>
    </row>
    <row r="963" spans="1:10" ht="11.25" customHeight="1" x14ac:dyDescent="0.2">
      <c r="A963" s="28">
        <v>44652</v>
      </c>
      <c r="B963" s="18">
        <v>45465</v>
      </c>
      <c r="C963" s="18">
        <v>55059.948558627642</v>
      </c>
      <c r="D963" s="18">
        <v>0</v>
      </c>
      <c r="E963" s="18">
        <v>0</v>
      </c>
      <c r="F963" s="18">
        <v>0</v>
      </c>
      <c r="G963" s="18">
        <v>0</v>
      </c>
      <c r="H963" s="19">
        <v>0.21104032901413494</v>
      </c>
      <c r="I963" s="19">
        <v>0</v>
      </c>
      <c r="J963" s="19">
        <v>0.21104032901413494</v>
      </c>
    </row>
    <row r="964" spans="1:10" ht="11.25" customHeight="1" x14ac:dyDescent="0.2">
      <c r="A964" s="28">
        <v>44682</v>
      </c>
      <c r="B964" s="18">
        <v>45465</v>
      </c>
      <c r="C964" s="18">
        <v>55059.948558627642</v>
      </c>
      <c r="D964" s="18">
        <v>0</v>
      </c>
      <c r="E964" s="18">
        <v>0</v>
      </c>
      <c r="F964" s="18">
        <v>0</v>
      </c>
      <c r="G964" s="18">
        <v>0</v>
      </c>
      <c r="H964" s="19">
        <v>0.21104032901413494</v>
      </c>
      <c r="I964" s="19">
        <v>0</v>
      </c>
      <c r="J964" s="19">
        <v>0.21104032901413494</v>
      </c>
    </row>
    <row r="965" spans="1:10" ht="11.25" customHeight="1" x14ac:dyDescent="0.2">
      <c r="A965" s="27" t="s">
        <v>25</v>
      </c>
      <c r="B965" s="18">
        <v>0</v>
      </c>
      <c r="C965" s="18">
        <v>0</v>
      </c>
      <c r="D965" s="18">
        <v>198356.88160000002</v>
      </c>
      <c r="E965" s="18">
        <v>212711.08802717042</v>
      </c>
      <c r="F965" s="18">
        <v>0</v>
      </c>
      <c r="G965" s="18">
        <v>0</v>
      </c>
      <c r="H965" s="19">
        <v>7.2365558035524247E-2</v>
      </c>
      <c r="I965" s="19">
        <v>0</v>
      </c>
      <c r="J965" s="19">
        <v>7.2365558035524247E-2</v>
      </c>
    </row>
    <row r="966" spans="1:10" ht="11.25" customHeight="1" x14ac:dyDescent="0.2">
      <c r="A966" s="28">
        <v>44348</v>
      </c>
      <c r="B966" s="18">
        <v>0</v>
      </c>
      <c r="C966" s="18">
        <v>0</v>
      </c>
      <c r="D966" s="18">
        <v>15886.681440000002</v>
      </c>
      <c r="E966" s="18">
        <v>17036.330007738208</v>
      </c>
      <c r="F966" s="18">
        <v>0</v>
      </c>
      <c r="G966" s="18">
        <v>0</v>
      </c>
      <c r="H966" s="19">
        <v>7.2365558035524247E-2</v>
      </c>
      <c r="I966" s="19">
        <v>0</v>
      </c>
      <c r="J966" s="19">
        <v>7.2365558035524247E-2</v>
      </c>
    </row>
    <row r="967" spans="1:10" ht="11.25" customHeight="1" x14ac:dyDescent="0.2">
      <c r="A967" s="28">
        <v>44378</v>
      </c>
      <c r="B967" s="18">
        <v>0</v>
      </c>
      <c r="C967" s="18">
        <v>0</v>
      </c>
      <c r="D967" s="18">
        <v>14775.864240000001</v>
      </c>
      <c r="E967" s="18">
        <v>15845.127901184749</v>
      </c>
      <c r="F967" s="18">
        <v>0</v>
      </c>
      <c r="G967" s="18">
        <v>0</v>
      </c>
      <c r="H967" s="19">
        <v>7.2365558035524247E-2</v>
      </c>
      <c r="I967" s="19">
        <v>0</v>
      </c>
      <c r="J967" s="19">
        <v>7.2365558035524247E-2</v>
      </c>
    </row>
    <row r="968" spans="1:10" ht="11.25" customHeight="1" x14ac:dyDescent="0.2">
      <c r="A968" s="28">
        <v>44409</v>
      </c>
      <c r="B968" s="18">
        <v>0</v>
      </c>
      <c r="C968" s="18">
        <v>0</v>
      </c>
      <c r="D968" s="18">
        <v>14670.556880000002</v>
      </c>
      <c r="E968" s="18">
        <v>15732.1999153131</v>
      </c>
      <c r="F968" s="18">
        <v>0</v>
      </c>
      <c r="G968" s="18">
        <v>0</v>
      </c>
      <c r="H968" s="19">
        <v>7.2365558035524247E-2</v>
      </c>
      <c r="I968" s="19">
        <v>0</v>
      </c>
      <c r="J968" s="19">
        <v>7.2365558035524247E-2</v>
      </c>
    </row>
    <row r="969" spans="1:10" ht="11.25" customHeight="1" x14ac:dyDescent="0.2">
      <c r="A969" s="28">
        <v>44440</v>
      </c>
      <c r="B969" s="18">
        <v>0</v>
      </c>
      <c r="C969" s="18">
        <v>0</v>
      </c>
      <c r="D969" s="18">
        <v>15324.322400000001</v>
      </c>
      <c r="E969" s="18">
        <v>16433.275541992287</v>
      </c>
      <c r="F969" s="18">
        <v>0</v>
      </c>
      <c r="G969" s="18">
        <v>0</v>
      </c>
      <c r="H969" s="19">
        <v>7.2365558035524247E-2</v>
      </c>
      <c r="I969" s="19">
        <v>0</v>
      </c>
      <c r="J969" s="19">
        <v>7.2365558035524247E-2</v>
      </c>
    </row>
    <row r="970" spans="1:10" ht="11.25" customHeight="1" x14ac:dyDescent="0.2">
      <c r="A970" s="28">
        <v>44470</v>
      </c>
      <c r="B970" s="18">
        <v>0</v>
      </c>
      <c r="C970" s="18">
        <v>0</v>
      </c>
      <c r="D970" s="18">
        <v>16485.248320000002</v>
      </c>
      <c r="E970" s="18">
        <v>17678.212514030987</v>
      </c>
      <c r="F970" s="18">
        <v>0</v>
      </c>
      <c r="G970" s="18">
        <v>0</v>
      </c>
      <c r="H970" s="19">
        <v>7.2365558035524025E-2</v>
      </c>
      <c r="I970" s="19">
        <v>0</v>
      </c>
      <c r="J970" s="19">
        <v>7.2365558035524025E-2</v>
      </c>
    </row>
    <row r="971" spans="1:10" ht="11.25" customHeight="1" x14ac:dyDescent="0.2">
      <c r="A971" s="28">
        <v>44501</v>
      </c>
      <c r="B971" s="18">
        <v>0</v>
      </c>
      <c r="C971" s="18">
        <v>0</v>
      </c>
      <c r="D971" s="18">
        <v>15957.747520000001</v>
      </c>
      <c r="E971" s="18">
        <v>17112.538824274801</v>
      </c>
      <c r="F971" s="18">
        <v>0</v>
      </c>
      <c r="G971" s="18">
        <v>0</v>
      </c>
      <c r="H971" s="19">
        <v>7.2365558035524025E-2</v>
      </c>
      <c r="I971" s="19">
        <v>0</v>
      </c>
      <c r="J971" s="19">
        <v>7.2365558035524025E-2</v>
      </c>
    </row>
    <row r="972" spans="1:10" ht="11.25" customHeight="1" x14ac:dyDescent="0.2">
      <c r="A972" s="28">
        <v>44531</v>
      </c>
      <c r="B972" s="18">
        <v>0</v>
      </c>
      <c r="C972" s="18">
        <v>0</v>
      </c>
      <c r="D972" s="18">
        <v>15652.390880000001</v>
      </c>
      <c r="E972" s="18">
        <v>16785.084880621351</v>
      </c>
      <c r="F972" s="18">
        <v>0</v>
      </c>
      <c r="G972" s="18">
        <v>0</v>
      </c>
      <c r="H972" s="19">
        <v>7.2365558035524247E-2</v>
      </c>
      <c r="I972" s="19">
        <v>0</v>
      </c>
      <c r="J972" s="19">
        <v>7.2365558035524247E-2</v>
      </c>
    </row>
    <row r="973" spans="1:10" ht="11.25" customHeight="1" x14ac:dyDescent="0.2">
      <c r="A973" s="28">
        <v>44562</v>
      </c>
      <c r="B973" s="18">
        <v>0</v>
      </c>
      <c r="C973" s="18">
        <v>0</v>
      </c>
      <c r="D973" s="18">
        <v>17317.469519999999</v>
      </c>
      <c r="E973" s="18">
        <v>18570.657865577981</v>
      </c>
      <c r="F973" s="18">
        <v>0</v>
      </c>
      <c r="G973" s="18">
        <v>0</v>
      </c>
      <c r="H973" s="19">
        <v>7.2365558035524247E-2</v>
      </c>
      <c r="I973" s="19">
        <v>0</v>
      </c>
      <c r="J973" s="19">
        <v>7.2365558035524247E-2</v>
      </c>
    </row>
    <row r="974" spans="1:10" ht="11.25" customHeight="1" x14ac:dyDescent="0.2">
      <c r="A974" s="28">
        <v>44593</v>
      </c>
      <c r="B974" s="18">
        <v>0</v>
      </c>
      <c r="C974" s="18">
        <v>0</v>
      </c>
      <c r="D974" s="18">
        <v>18016.54304</v>
      </c>
      <c r="E974" s="18">
        <v>19320.320230960639</v>
      </c>
      <c r="F974" s="18">
        <v>0</v>
      </c>
      <c r="G974" s="18">
        <v>0</v>
      </c>
      <c r="H974" s="19">
        <v>7.2365558035524025E-2</v>
      </c>
      <c r="I974" s="19">
        <v>0</v>
      </c>
      <c r="J974" s="19">
        <v>7.2365558035524025E-2</v>
      </c>
    </row>
    <row r="975" spans="1:10" ht="11.25" customHeight="1" x14ac:dyDescent="0.2">
      <c r="A975" s="28">
        <v>44621</v>
      </c>
      <c r="B975" s="18">
        <v>0</v>
      </c>
      <c r="C975" s="18">
        <v>0</v>
      </c>
      <c r="D975" s="18">
        <v>16043.10008</v>
      </c>
      <c r="E975" s="18">
        <v>17204.067969908963</v>
      </c>
      <c r="F975" s="18">
        <v>0</v>
      </c>
      <c r="G975" s="18">
        <v>0</v>
      </c>
      <c r="H975" s="19">
        <v>7.2365558035524247E-2</v>
      </c>
      <c r="I975" s="19">
        <v>0</v>
      </c>
      <c r="J975" s="19">
        <v>7.2365558035524247E-2</v>
      </c>
    </row>
    <row r="976" spans="1:10" ht="11.25" customHeight="1" x14ac:dyDescent="0.2">
      <c r="A976" s="28">
        <v>44652</v>
      </c>
      <c r="B976" s="18">
        <v>0</v>
      </c>
      <c r="C976" s="18">
        <v>0</v>
      </c>
      <c r="D976" s="18">
        <v>19113.478640000001</v>
      </c>
      <c r="E976" s="18">
        <v>20496.636187783675</v>
      </c>
      <c r="F976" s="18">
        <v>0</v>
      </c>
      <c r="G976" s="18">
        <v>0</v>
      </c>
      <c r="H976" s="19">
        <v>7.2365558035524247E-2</v>
      </c>
      <c r="I976" s="19">
        <v>0</v>
      </c>
      <c r="J976" s="19">
        <v>7.2365558035524247E-2</v>
      </c>
    </row>
    <row r="977" spans="1:10" ht="11.25" customHeight="1" x14ac:dyDescent="0.2">
      <c r="A977" s="28">
        <v>44682</v>
      </c>
      <c r="B977" s="18">
        <v>0</v>
      </c>
      <c r="C977" s="18">
        <v>0</v>
      </c>
      <c r="D977" s="18">
        <v>19113.478640000001</v>
      </c>
      <c r="E977" s="18">
        <v>20496.636187783675</v>
      </c>
      <c r="F977" s="18">
        <v>0</v>
      </c>
      <c r="G977" s="18">
        <v>0</v>
      </c>
      <c r="H977" s="19">
        <v>7.2365558035524247E-2</v>
      </c>
      <c r="I977" s="19">
        <v>0</v>
      </c>
      <c r="J977" s="19">
        <v>7.2365558035524247E-2</v>
      </c>
    </row>
    <row r="978" spans="1:10" ht="11.25" customHeight="1" x14ac:dyDescent="0.2">
      <c r="A978" s="27" t="s">
        <v>34</v>
      </c>
      <c r="B978" s="18">
        <v>1170540</v>
      </c>
      <c r="C978" s="18">
        <v>1386178.2950777691</v>
      </c>
      <c r="D978" s="18">
        <v>0</v>
      </c>
      <c r="E978" s="18">
        <v>0</v>
      </c>
      <c r="F978" s="18">
        <v>0</v>
      </c>
      <c r="G978" s="18">
        <v>0</v>
      </c>
      <c r="H978" s="19">
        <v>0.18422120993538793</v>
      </c>
      <c r="I978" s="19">
        <v>0</v>
      </c>
      <c r="J978" s="19">
        <v>0.18422120993538793</v>
      </c>
    </row>
    <row r="979" spans="1:10" ht="11.25" customHeight="1" x14ac:dyDescent="0.2">
      <c r="A979" s="28">
        <v>44348</v>
      </c>
      <c r="B979" s="18">
        <v>97545</v>
      </c>
      <c r="C979" s="18">
        <v>115514.85792314741</v>
      </c>
      <c r="D979" s="18">
        <v>0</v>
      </c>
      <c r="E979" s="18">
        <v>0</v>
      </c>
      <c r="F979" s="18">
        <v>0</v>
      </c>
      <c r="G979" s="18">
        <v>0</v>
      </c>
      <c r="H979" s="19">
        <v>0.18422120993538793</v>
      </c>
      <c r="I979" s="19">
        <v>0</v>
      </c>
      <c r="J979" s="19">
        <v>0.18422120993538793</v>
      </c>
    </row>
    <row r="980" spans="1:10" ht="11.25" customHeight="1" x14ac:dyDescent="0.2">
      <c r="A980" s="28">
        <v>44378</v>
      </c>
      <c r="B980" s="18">
        <v>97545</v>
      </c>
      <c r="C980" s="18">
        <v>115514.85792314741</v>
      </c>
      <c r="D980" s="18">
        <v>0</v>
      </c>
      <c r="E980" s="18">
        <v>0</v>
      </c>
      <c r="F980" s="18">
        <v>0</v>
      </c>
      <c r="G980" s="18">
        <v>0</v>
      </c>
      <c r="H980" s="19">
        <v>0.18422120993538793</v>
      </c>
      <c r="I980" s="19">
        <v>0</v>
      </c>
      <c r="J980" s="19">
        <v>0.18422120993538793</v>
      </c>
    </row>
    <row r="981" spans="1:10" ht="11.25" customHeight="1" x14ac:dyDescent="0.2">
      <c r="A981" s="28">
        <v>44409</v>
      </c>
      <c r="B981" s="18">
        <v>97545</v>
      </c>
      <c r="C981" s="18">
        <v>115514.85792314741</v>
      </c>
      <c r="D981" s="18">
        <v>0</v>
      </c>
      <c r="E981" s="18">
        <v>0</v>
      </c>
      <c r="F981" s="18">
        <v>0</v>
      </c>
      <c r="G981" s="18">
        <v>0</v>
      </c>
      <c r="H981" s="19">
        <v>0.18422120993538793</v>
      </c>
      <c r="I981" s="19">
        <v>0</v>
      </c>
      <c r="J981" s="19">
        <v>0.18422120993538793</v>
      </c>
    </row>
    <row r="982" spans="1:10" ht="11.25" customHeight="1" x14ac:dyDescent="0.2">
      <c r="A982" s="28">
        <v>44440</v>
      </c>
      <c r="B982" s="18">
        <v>97545</v>
      </c>
      <c r="C982" s="18">
        <v>115514.85792314741</v>
      </c>
      <c r="D982" s="18">
        <v>0</v>
      </c>
      <c r="E982" s="18">
        <v>0</v>
      </c>
      <c r="F982" s="18">
        <v>0</v>
      </c>
      <c r="G982" s="18">
        <v>0</v>
      </c>
      <c r="H982" s="19">
        <v>0.18422120993538793</v>
      </c>
      <c r="I982" s="19">
        <v>0</v>
      </c>
      <c r="J982" s="19">
        <v>0.18422120993538793</v>
      </c>
    </row>
    <row r="983" spans="1:10" ht="11.25" customHeight="1" x14ac:dyDescent="0.2">
      <c r="A983" s="28">
        <v>44470</v>
      </c>
      <c r="B983" s="18">
        <v>97545</v>
      </c>
      <c r="C983" s="18">
        <v>115514.85792314741</v>
      </c>
      <c r="D983" s="18">
        <v>0</v>
      </c>
      <c r="E983" s="18">
        <v>0</v>
      </c>
      <c r="F983" s="18">
        <v>0</v>
      </c>
      <c r="G983" s="18">
        <v>0</v>
      </c>
      <c r="H983" s="19">
        <v>0.18422120993538793</v>
      </c>
      <c r="I983" s="19">
        <v>0</v>
      </c>
      <c r="J983" s="19">
        <v>0.18422120993538793</v>
      </c>
    </row>
    <row r="984" spans="1:10" ht="11.25" customHeight="1" x14ac:dyDescent="0.2">
      <c r="A984" s="28">
        <v>44501</v>
      </c>
      <c r="B984" s="18">
        <v>97545</v>
      </c>
      <c r="C984" s="18">
        <v>115514.85792314741</v>
      </c>
      <c r="D984" s="18">
        <v>0</v>
      </c>
      <c r="E984" s="18">
        <v>0</v>
      </c>
      <c r="F984" s="18">
        <v>0</v>
      </c>
      <c r="G984" s="18">
        <v>0</v>
      </c>
      <c r="H984" s="19">
        <v>0.18422120993538793</v>
      </c>
      <c r="I984" s="19">
        <v>0</v>
      </c>
      <c r="J984" s="19">
        <v>0.18422120993538793</v>
      </c>
    </row>
    <row r="985" spans="1:10" ht="11.25" customHeight="1" x14ac:dyDescent="0.2">
      <c r="A985" s="28">
        <v>44531</v>
      </c>
      <c r="B985" s="18">
        <v>97545</v>
      </c>
      <c r="C985" s="18">
        <v>115514.85792314741</v>
      </c>
      <c r="D985" s="18">
        <v>0</v>
      </c>
      <c r="E985" s="18">
        <v>0</v>
      </c>
      <c r="F985" s="18">
        <v>0</v>
      </c>
      <c r="G985" s="18">
        <v>0</v>
      </c>
      <c r="H985" s="19">
        <v>0.18422120993538793</v>
      </c>
      <c r="I985" s="19">
        <v>0</v>
      </c>
      <c r="J985" s="19">
        <v>0.18422120993538793</v>
      </c>
    </row>
    <row r="986" spans="1:10" ht="11.25" customHeight="1" x14ac:dyDescent="0.2">
      <c r="A986" s="28">
        <v>44562</v>
      </c>
      <c r="B986" s="18">
        <v>97545</v>
      </c>
      <c r="C986" s="18">
        <v>115514.85792314741</v>
      </c>
      <c r="D986" s="18">
        <v>0</v>
      </c>
      <c r="E986" s="18">
        <v>0</v>
      </c>
      <c r="F986" s="18">
        <v>0</v>
      </c>
      <c r="G986" s="18">
        <v>0</v>
      </c>
      <c r="H986" s="19">
        <v>0.18422120993538793</v>
      </c>
      <c r="I986" s="19">
        <v>0</v>
      </c>
      <c r="J986" s="19">
        <v>0.18422120993538793</v>
      </c>
    </row>
    <row r="987" spans="1:10" ht="11.25" customHeight="1" x14ac:dyDescent="0.2">
      <c r="A987" s="28">
        <v>44593</v>
      </c>
      <c r="B987" s="18">
        <v>97545</v>
      </c>
      <c r="C987" s="18">
        <v>115514.85792314741</v>
      </c>
      <c r="D987" s="18">
        <v>0</v>
      </c>
      <c r="E987" s="18">
        <v>0</v>
      </c>
      <c r="F987" s="18">
        <v>0</v>
      </c>
      <c r="G987" s="18">
        <v>0</v>
      </c>
      <c r="H987" s="19">
        <v>0.18422120993538793</v>
      </c>
      <c r="I987" s="19">
        <v>0</v>
      </c>
      <c r="J987" s="19">
        <v>0.18422120993538793</v>
      </c>
    </row>
    <row r="988" spans="1:10" ht="11.25" customHeight="1" x14ac:dyDescent="0.2">
      <c r="A988" s="28">
        <v>44621</v>
      </c>
      <c r="B988" s="18">
        <v>97545</v>
      </c>
      <c r="C988" s="18">
        <v>115514.85792314741</v>
      </c>
      <c r="D988" s="18">
        <v>0</v>
      </c>
      <c r="E988" s="18">
        <v>0</v>
      </c>
      <c r="F988" s="18">
        <v>0</v>
      </c>
      <c r="G988" s="18">
        <v>0</v>
      </c>
      <c r="H988" s="19">
        <v>0.18422120993538793</v>
      </c>
      <c r="I988" s="19">
        <v>0</v>
      </c>
      <c r="J988" s="19">
        <v>0.18422120993538793</v>
      </c>
    </row>
    <row r="989" spans="1:10" ht="11.25" customHeight="1" x14ac:dyDescent="0.2">
      <c r="A989" s="28">
        <v>44652</v>
      </c>
      <c r="B989" s="18">
        <v>97545</v>
      </c>
      <c r="C989" s="18">
        <v>115514.85792314741</v>
      </c>
      <c r="D989" s="18">
        <v>0</v>
      </c>
      <c r="E989" s="18">
        <v>0</v>
      </c>
      <c r="F989" s="18">
        <v>0</v>
      </c>
      <c r="G989" s="18">
        <v>0</v>
      </c>
      <c r="H989" s="19">
        <v>0.18422120993538793</v>
      </c>
      <c r="I989" s="19">
        <v>0</v>
      </c>
      <c r="J989" s="19">
        <v>0.18422120993538793</v>
      </c>
    </row>
    <row r="990" spans="1:10" ht="11.25" customHeight="1" x14ac:dyDescent="0.2">
      <c r="A990" s="28">
        <v>44682</v>
      </c>
      <c r="B990" s="18">
        <v>97545</v>
      </c>
      <c r="C990" s="18">
        <v>115514.85792314741</v>
      </c>
      <c r="D990" s="18">
        <v>0</v>
      </c>
      <c r="E990" s="18">
        <v>0</v>
      </c>
      <c r="F990" s="18">
        <v>0</v>
      </c>
      <c r="G990" s="18">
        <v>0</v>
      </c>
      <c r="H990" s="19">
        <v>0.18422120993538793</v>
      </c>
      <c r="I990" s="19">
        <v>0</v>
      </c>
      <c r="J990" s="19">
        <v>0.18422120993538793</v>
      </c>
    </row>
    <row r="991" spans="1:10" ht="11.25" customHeight="1" x14ac:dyDescent="0.2">
      <c r="A991" s="20" t="s">
        <v>66</v>
      </c>
      <c r="B991" s="18">
        <v>16577808.900927203</v>
      </c>
      <c r="C991" s="18">
        <v>18405621.785442665</v>
      </c>
      <c r="D991" s="18">
        <v>0</v>
      </c>
      <c r="E991" s="18">
        <v>0</v>
      </c>
      <c r="F991" s="18">
        <v>0</v>
      </c>
      <c r="G991" s="18">
        <v>0</v>
      </c>
      <c r="H991" s="19">
        <v>0.11025660239172086</v>
      </c>
      <c r="I991" s="19">
        <v>0</v>
      </c>
      <c r="J991" s="19">
        <v>0.11025660239172086</v>
      </c>
    </row>
    <row r="992" spans="1:10" ht="11.25" customHeight="1" x14ac:dyDescent="0.2">
      <c r="A992" s="21" t="s">
        <v>59</v>
      </c>
      <c r="B992" s="18">
        <v>6407444.7609271975</v>
      </c>
      <c r="C992" s="18">
        <v>6720627.7521215603</v>
      </c>
      <c r="D992" s="18">
        <v>0</v>
      </c>
      <c r="E992" s="18">
        <v>0</v>
      </c>
      <c r="F992" s="18">
        <v>0</v>
      </c>
      <c r="G992" s="18">
        <v>0</v>
      </c>
      <c r="H992" s="19">
        <v>4.8877985356059916E-2</v>
      </c>
      <c r="I992" s="19">
        <v>0</v>
      </c>
      <c r="J992" s="19">
        <v>4.8877985356059916E-2</v>
      </c>
    </row>
    <row r="993" spans="1:10" ht="11.25" customHeight="1" x14ac:dyDescent="0.2">
      <c r="A993" s="22" t="s">
        <v>64</v>
      </c>
      <c r="B993" s="18">
        <v>6407444.7609271975</v>
      </c>
      <c r="C993" s="18">
        <v>6720627.7521215603</v>
      </c>
      <c r="D993" s="18">
        <v>0</v>
      </c>
      <c r="E993" s="18">
        <v>0</v>
      </c>
      <c r="F993" s="18">
        <v>0</v>
      </c>
      <c r="G993" s="18">
        <v>0</v>
      </c>
      <c r="H993" s="19">
        <v>4.8877985356059916E-2</v>
      </c>
      <c r="I993" s="19">
        <v>0</v>
      </c>
      <c r="J993" s="19">
        <v>4.8877985356059916E-2</v>
      </c>
    </row>
    <row r="994" spans="1:10" ht="11.25" customHeight="1" x14ac:dyDescent="0.2">
      <c r="A994" s="23" t="s">
        <v>25</v>
      </c>
      <c r="B994" s="18">
        <v>6407444.7609271975</v>
      </c>
      <c r="C994" s="18">
        <v>6720627.7521215603</v>
      </c>
      <c r="D994" s="18">
        <v>0</v>
      </c>
      <c r="E994" s="18">
        <v>0</v>
      </c>
      <c r="F994" s="18">
        <v>0</v>
      </c>
      <c r="G994" s="18">
        <v>0</v>
      </c>
      <c r="H994" s="19">
        <v>4.8877985356059916E-2</v>
      </c>
      <c r="I994" s="19">
        <v>0</v>
      </c>
      <c r="J994" s="19">
        <v>4.8877985356059916E-2</v>
      </c>
    </row>
    <row r="995" spans="1:10" ht="11.25" customHeight="1" x14ac:dyDescent="0.2">
      <c r="A995" s="24" t="s">
        <v>25</v>
      </c>
      <c r="B995" s="18">
        <v>6407444.7609271975</v>
      </c>
      <c r="C995" s="18">
        <v>6720627.7521215603</v>
      </c>
      <c r="D995" s="18">
        <v>0</v>
      </c>
      <c r="E995" s="18">
        <v>0</v>
      </c>
      <c r="F995" s="18">
        <v>0</v>
      </c>
      <c r="G995" s="18">
        <v>0</v>
      </c>
      <c r="H995" s="19">
        <v>4.8877985356059916E-2</v>
      </c>
      <c r="I995" s="19">
        <v>0</v>
      </c>
      <c r="J995" s="19">
        <v>4.8877985356059916E-2</v>
      </c>
    </row>
    <row r="996" spans="1:10" ht="11.25" customHeight="1" x14ac:dyDescent="0.2">
      <c r="A996" s="25" t="s">
        <v>25</v>
      </c>
      <c r="B996" s="18">
        <v>6407444.7609271975</v>
      </c>
      <c r="C996" s="18">
        <v>6720627.7521215603</v>
      </c>
      <c r="D996" s="18">
        <v>0</v>
      </c>
      <c r="E996" s="18">
        <v>0</v>
      </c>
      <c r="F996" s="18">
        <v>0</v>
      </c>
      <c r="G996" s="18">
        <v>0</v>
      </c>
      <c r="H996" s="19">
        <v>4.8877985356059916E-2</v>
      </c>
      <c r="I996" s="19">
        <v>0</v>
      </c>
      <c r="J996" s="19">
        <v>4.8877985356059916E-2</v>
      </c>
    </row>
    <row r="997" spans="1:10" ht="11.25" customHeight="1" x14ac:dyDescent="0.2">
      <c r="A997" s="26" t="s">
        <v>65</v>
      </c>
      <c r="B997" s="18">
        <v>50184</v>
      </c>
      <c r="C997" s="18">
        <v>52661.903683986755</v>
      </c>
      <c r="D997" s="18">
        <v>0</v>
      </c>
      <c r="E997" s="18">
        <v>0</v>
      </c>
      <c r="F997" s="18">
        <v>0</v>
      </c>
      <c r="G997" s="18">
        <v>0</v>
      </c>
      <c r="H997" s="19">
        <v>4.9376368643128332E-2</v>
      </c>
      <c r="I997" s="19">
        <v>0</v>
      </c>
      <c r="J997" s="19">
        <v>4.9376368643128332E-2</v>
      </c>
    </row>
    <row r="998" spans="1:10" ht="11.25" customHeight="1" x14ac:dyDescent="0.2">
      <c r="A998" s="27" t="s">
        <v>25</v>
      </c>
      <c r="B998" s="18">
        <v>50184</v>
      </c>
      <c r="C998" s="18">
        <v>52661.903683986755</v>
      </c>
      <c r="D998" s="18">
        <v>0</v>
      </c>
      <c r="E998" s="18">
        <v>0</v>
      </c>
      <c r="F998" s="18">
        <v>0</v>
      </c>
      <c r="G998" s="18">
        <v>0</v>
      </c>
      <c r="H998" s="19">
        <v>4.9376368643128332E-2</v>
      </c>
      <c r="I998" s="19">
        <v>0</v>
      </c>
      <c r="J998" s="19">
        <v>4.9376368643128332E-2</v>
      </c>
    </row>
    <row r="999" spans="1:10" ht="11.25" customHeight="1" x14ac:dyDescent="0.2">
      <c r="A999" s="28">
        <v>44348</v>
      </c>
      <c r="B999" s="18">
        <v>4182</v>
      </c>
      <c r="C999" s="18">
        <v>4388.491973665562</v>
      </c>
      <c r="D999" s="18">
        <v>0</v>
      </c>
      <c r="E999" s="18">
        <v>0</v>
      </c>
      <c r="F999" s="18">
        <v>0</v>
      </c>
      <c r="G999" s="18">
        <v>0</v>
      </c>
      <c r="H999" s="19">
        <v>4.937636864312811E-2</v>
      </c>
      <c r="I999" s="19">
        <v>0</v>
      </c>
      <c r="J999" s="19">
        <v>4.937636864312811E-2</v>
      </c>
    </row>
    <row r="1000" spans="1:10" ht="11.25" customHeight="1" x14ac:dyDescent="0.2">
      <c r="A1000" s="28">
        <v>44378</v>
      </c>
      <c r="B1000" s="18">
        <v>4182</v>
      </c>
      <c r="C1000" s="18">
        <v>4388.491973665562</v>
      </c>
      <c r="D1000" s="18">
        <v>0</v>
      </c>
      <c r="E1000" s="18">
        <v>0</v>
      </c>
      <c r="F1000" s="18">
        <v>0</v>
      </c>
      <c r="G1000" s="18">
        <v>0</v>
      </c>
      <c r="H1000" s="19">
        <v>4.937636864312811E-2</v>
      </c>
      <c r="I1000" s="19">
        <v>0</v>
      </c>
      <c r="J1000" s="19">
        <v>4.937636864312811E-2</v>
      </c>
    </row>
    <row r="1001" spans="1:10" ht="11.25" customHeight="1" x14ac:dyDescent="0.2">
      <c r="A1001" s="28">
        <v>44409</v>
      </c>
      <c r="B1001" s="18">
        <v>4182</v>
      </c>
      <c r="C1001" s="18">
        <v>4388.491973665562</v>
      </c>
      <c r="D1001" s="18">
        <v>0</v>
      </c>
      <c r="E1001" s="18">
        <v>0</v>
      </c>
      <c r="F1001" s="18">
        <v>0</v>
      </c>
      <c r="G1001" s="18">
        <v>0</v>
      </c>
      <c r="H1001" s="19">
        <v>4.937636864312811E-2</v>
      </c>
      <c r="I1001" s="19">
        <v>0</v>
      </c>
      <c r="J1001" s="19">
        <v>4.937636864312811E-2</v>
      </c>
    </row>
    <row r="1002" spans="1:10" ht="11.25" customHeight="1" x14ac:dyDescent="0.2">
      <c r="A1002" s="28">
        <v>44440</v>
      </c>
      <c r="B1002" s="18">
        <v>4182</v>
      </c>
      <c r="C1002" s="18">
        <v>4388.491973665562</v>
      </c>
      <c r="D1002" s="18">
        <v>0</v>
      </c>
      <c r="E1002" s="18">
        <v>0</v>
      </c>
      <c r="F1002" s="18">
        <v>0</v>
      </c>
      <c r="G1002" s="18">
        <v>0</v>
      </c>
      <c r="H1002" s="19">
        <v>4.937636864312811E-2</v>
      </c>
      <c r="I1002" s="19">
        <v>0</v>
      </c>
      <c r="J1002" s="19">
        <v>4.937636864312811E-2</v>
      </c>
    </row>
    <row r="1003" spans="1:10" ht="11.25" customHeight="1" x14ac:dyDescent="0.2">
      <c r="A1003" s="28">
        <v>44470</v>
      </c>
      <c r="B1003" s="18">
        <v>4182</v>
      </c>
      <c r="C1003" s="18">
        <v>4388.491973665562</v>
      </c>
      <c r="D1003" s="18">
        <v>0</v>
      </c>
      <c r="E1003" s="18">
        <v>0</v>
      </c>
      <c r="F1003" s="18">
        <v>0</v>
      </c>
      <c r="G1003" s="18">
        <v>0</v>
      </c>
      <c r="H1003" s="19">
        <v>4.937636864312811E-2</v>
      </c>
      <c r="I1003" s="19">
        <v>0</v>
      </c>
      <c r="J1003" s="19">
        <v>4.937636864312811E-2</v>
      </c>
    </row>
    <row r="1004" spans="1:10" ht="11.25" customHeight="1" x14ac:dyDescent="0.2">
      <c r="A1004" s="28">
        <v>44501</v>
      </c>
      <c r="B1004" s="18">
        <v>4182</v>
      </c>
      <c r="C1004" s="18">
        <v>4388.491973665562</v>
      </c>
      <c r="D1004" s="18">
        <v>0</v>
      </c>
      <c r="E1004" s="18">
        <v>0</v>
      </c>
      <c r="F1004" s="18">
        <v>0</v>
      </c>
      <c r="G1004" s="18">
        <v>0</v>
      </c>
      <c r="H1004" s="19">
        <v>4.937636864312811E-2</v>
      </c>
      <c r="I1004" s="19">
        <v>0</v>
      </c>
      <c r="J1004" s="19">
        <v>4.937636864312811E-2</v>
      </c>
    </row>
    <row r="1005" spans="1:10" ht="11.25" customHeight="1" x14ac:dyDescent="0.2">
      <c r="A1005" s="28">
        <v>44531</v>
      </c>
      <c r="B1005" s="18">
        <v>4182</v>
      </c>
      <c r="C1005" s="18">
        <v>4388.491973665562</v>
      </c>
      <c r="D1005" s="18">
        <v>0</v>
      </c>
      <c r="E1005" s="18">
        <v>0</v>
      </c>
      <c r="F1005" s="18">
        <v>0</v>
      </c>
      <c r="G1005" s="18">
        <v>0</v>
      </c>
      <c r="H1005" s="19">
        <v>4.937636864312811E-2</v>
      </c>
      <c r="I1005" s="19">
        <v>0</v>
      </c>
      <c r="J1005" s="19">
        <v>4.937636864312811E-2</v>
      </c>
    </row>
    <row r="1006" spans="1:10" ht="11.25" customHeight="1" x14ac:dyDescent="0.2">
      <c r="A1006" s="28">
        <v>44562</v>
      </c>
      <c r="B1006" s="18">
        <v>4182</v>
      </c>
      <c r="C1006" s="18">
        <v>4388.491973665562</v>
      </c>
      <c r="D1006" s="18">
        <v>0</v>
      </c>
      <c r="E1006" s="18">
        <v>0</v>
      </c>
      <c r="F1006" s="18">
        <v>0</v>
      </c>
      <c r="G1006" s="18">
        <v>0</v>
      </c>
      <c r="H1006" s="19">
        <v>4.937636864312811E-2</v>
      </c>
      <c r="I1006" s="19">
        <v>0</v>
      </c>
      <c r="J1006" s="19">
        <v>4.937636864312811E-2</v>
      </c>
    </row>
    <row r="1007" spans="1:10" ht="11.25" customHeight="1" x14ac:dyDescent="0.2">
      <c r="A1007" s="28">
        <v>44593</v>
      </c>
      <c r="B1007" s="18">
        <v>4182</v>
      </c>
      <c r="C1007" s="18">
        <v>4388.491973665562</v>
      </c>
      <c r="D1007" s="18">
        <v>0</v>
      </c>
      <c r="E1007" s="18">
        <v>0</v>
      </c>
      <c r="F1007" s="18">
        <v>0</v>
      </c>
      <c r="G1007" s="18">
        <v>0</v>
      </c>
      <c r="H1007" s="19">
        <v>4.937636864312811E-2</v>
      </c>
      <c r="I1007" s="19">
        <v>0</v>
      </c>
      <c r="J1007" s="19">
        <v>4.937636864312811E-2</v>
      </c>
    </row>
    <row r="1008" spans="1:10" ht="11.25" customHeight="1" x14ac:dyDescent="0.2">
      <c r="A1008" s="28">
        <v>44621</v>
      </c>
      <c r="B1008" s="18">
        <v>4182</v>
      </c>
      <c r="C1008" s="18">
        <v>4388.491973665562</v>
      </c>
      <c r="D1008" s="18">
        <v>0</v>
      </c>
      <c r="E1008" s="18">
        <v>0</v>
      </c>
      <c r="F1008" s="18">
        <v>0</v>
      </c>
      <c r="G1008" s="18">
        <v>0</v>
      </c>
      <c r="H1008" s="19">
        <v>4.937636864312811E-2</v>
      </c>
      <c r="I1008" s="19">
        <v>0</v>
      </c>
      <c r="J1008" s="19">
        <v>4.937636864312811E-2</v>
      </c>
    </row>
    <row r="1009" spans="1:10" ht="11.25" customHeight="1" x14ac:dyDescent="0.2">
      <c r="A1009" s="28">
        <v>44652</v>
      </c>
      <c r="B1009" s="18">
        <v>4182</v>
      </c>
      <c r="C1009" s="18">
        <v>4388.491973665562</v>
      </c>
      <c r="D1009" s="18">
        <v>0</v>
      </c>
      <c r="E1009" s="18">
        <v>0</v>
      </c>
      <c r="F1009" s="18">
        <v>0</v>
      </c>
      <c r="G1009" s="18">
        <v>0</v>
      </c>
      <c r="H1009" s="19">
        <v>4.937636864312811E-2</v>
      </c>
      <c r="I1009" s="19">
        <v>0</v>
      </c>
      <c r="J1009" s="19">
        <v>4.937636864312811E-2</v>
      </c>
    </row>
    <row r="1010" spans="1:10" ht="11.25" customHeight="1" x14ac:dyDescent="0.2">
      <c r="A1010" s="28">
        <v>44682</v>
      </c>
      <c r="B1010" s="18">
        <v>4182</v>
      </c>
      <c r="C1010" s="18">
        <v>4388.491973665562</v>
      </c>
      <c r="D1010" s="18">
        <v>0</v>
      </c>
      <c r="E1010" s="18">
        <v>0</v>
      </c>
      <c r="F1010" s="18">
        <v>0</v>
      </c>
      <c r="G1010" s="18">
        <v>0</v>
      </c>
      <c r="H1010" s="19">
        <v>4.937636864312811E-2</v>
      </c>
      <c r="I1010" s="19">
        <v>0</v>
      </c>
      <c r="J1010" s="19">
        <v>4.937636864312811E-2</v>
      </c>
    </row>
    <row r="1011" spans="1:10" ht="11.25" customHeight="1" x14ac:dyDescent="0.2">
      <c r="A1011" s="26" t="s">
        <v>73</v>
      </c>
      <c r="B1011" s="18">
        <v>162791.99999999997</v>
      </c>
      <c r="C1011" s="18">
        <v>170830.07780415216</v>
      </c>
      <c r="D1011" s="18">
        <v>0</v>
      </c>
      <c r="E1011" s="18">
        <v>0</v>
      </c>
      <c r="F1011" s="18">
        <v>0</v>
      </c>
      <c r="G1011" s="18">
        <v>0</v>
      </c>
      <c r="H1011" s="19">
        <v>4.9376368643128554E-2</v>
      </c>
      <c r="I1011" s="19">
        <v>0</v>
      </c>
      <c r="J1011" s="19">
        <v>4.9376368643128554E-2</v>
      </c>
    </row>
    <row r="1012" spans="1:10" ht="11.25" customHeight="1" x14ac:dyDescent="0.2">
      <c r="A1012" s="27" t="s">
        <v>25</v>
      </c>
      <c r="B1012" s="18">
        <v>162791.99999999997</v>
      </c>
      <c r="C1012" s="18">
        <v>170830.07780415216</v>
      </c>
      <c r="D1012" s="18">
        <v>0</v>
      </c>
      <c r="E1012" s="18">
        <v>0</v>
      </c>
      <c r="F1012" s="18">
        <v>0</v>
      </c>
      <c r="G1012" s="18">
        <v>0</v>
      </c>
      <c r="H1012" s="19">
        <v>4.9376368643128554E-2</v>
      </c>
      <c r="I1012" s="19">
        <v>0</v>
      </c>
      <c r="J1012" s="19">
        <v>4.9376368643128554E-2</v>
      </c>
    </row>
    <row r="1013" spans="1:10" ht="11.25" customHeight="1" x14ac:dyDescent="0.2">
      <c r="A1013" s="28">
        <v>44348</v>
      </c>
      <c r="B1013" s="18">
        <v>13565.999999999998</v>
      </c>
      <c r="C1013" s="18">
        <v>14235.839817012677</v>
      </c>
      <c r="D1013" s="18">
        <v>0</v>
      </c>
      <c r="E1013" s="18">
        <v>0</v>
      </c>
      <c r="F1013" s="18">
        <v>0</v>
      </c>
      <c r="G1013" s="18">
        <v>0</v>
      </c>
      <c r="H1013" s="19">
        <v>4.9376368643128332E-2</v>
      </c>
      <c r="I1013" s="19">
        <v>0</v>
      </c>
      <c r="J1013" s="19">
        <v>4.9376368643128332E-2</v>
      </c>
    </row>
    <row r="1014" spans="1:10" ht="11.25" customHeight="1" x14ac:dyDescent="0.2">
      <c r="A1014" s="28">
        <v>44378</v>
      </c>
      <c r="B1014" s="18">
        <v>13565.999999999998</v>
      </c>
      <c r="C1014" s="18">
        <v>14235.839817012677</v>
      </c>
      <c r="D1014" s="18">
        <v>0</v>
      </c>
      <c r="E1014" s="18">
        <v>0</v>
      </c>
      <c r="F1014" s="18">
        <v>0</v>
      </c>
      <c r="G1014" s="18">
        <v>0</v>
      </c>
      <c r="H1014" s="19">
        <v>4.9376368643128332E-2</v>
      </c>
      <c r="I1014" s="19">
        <v>0</v>
      </c>
      <c r="J1014" s="19">
        <v>4.9376368643128332E-2</v>
      </c>
    </row>
    <row r="1015" spans="1:10" ht="11.25" customHeight="1" x14ac:dyDescent="0.2">
      <c r="A1015" s="28">
        <v>44409</v>
      </c>
      <c r="B1015" s="18">
        <v>13565.999999999998</v>
      </c>
      <c r="C1015" s="18">
        <v>14235.839817012677</v>
      </c>
      <c r="D1015" s="18">
        <v>0</v>
      </c>
      <c r="E1015" s="18">
        <v>0</v>
      </c>
      <c r="F1015" s="18">
        <v>0</v>
      </c>
      <c r="G1015" s="18">
        <v>0</v>
      </c>
      <c r="H1015" s="19">
        <v>4.9376368643128332E-2</v>
      </c>
      <c r="I1015" s="19">
        <v>0</v>
      </c>
      <c r="J1015" s="19">
        <v>4.9376368643128332E-2</v>
      </c>
    </row>
    <row r="1016" spans="1:10" ht="11.25" customHeight="1" x14ac:dyDescent="0.2">
      <c r="A1016" s="28">
        <v>44440</v>
      </c>
      <c r="B1016" s="18">
        <v>13565.999999999998</v>
      </c>
      <c r="C1016" s="18">
        <v>14235.839817012677</v>
      </c>
      <c r="D1016" s="18">
        <v>0</v>
      </c>
      <c r="E1016" s="18">
        <v>0</v>
      </c>
      <c r="F1016" s="18">
        <v>0</v>
      </c>
      <c r="G1016" s="18">
        <v>0</v>
      </c>
      <c r="H1016" s="19">
        <v>4.9376368643128332E-2</v>
      </c>
      <c r="I1016" s="19">
        <v>0</v>
      </c>
      <c r="J1016" s="19">
        <v>4.9376368643128332E-2</v>
      </c>
    </row>
    <row r="1017" spans="1:10" ht="11.25" customHeight="1" x14ac:dyDescent="0.2">
      <c r="A1017" s="28">
        <v>44470</v>
      </c>
      <c r="B1017" s="18">
        <v>13565.999999999998</v>
      </c>
      <c r="C1017" s="18">
        <v>14235.839817012677</v>
      </c>
      <c r="D1017" s="18">
        <v>0</v>
      </c>
      <c r="E1017" s="18">
        <v>0</v>
      </c>
      <c r="F1017" s="18">
        <v>0</v>
      </c>
      <c r="G1017" s="18">
        <v>0</v>
      </c>
      <c r="H1017" s="19">
        <v>4.9376368643128332E-2</v>
      </c>
      <c r="I1017" s="19">
        <v>0</v>
      </c>
      <c r="J1017" s="19">
        <v>4.9376368643128332E-2</v>
      </c>
    </row>
    <row r="1018" spans="1:10" ht="11.25" customHeight="1" x14ac:dyDescent="0.2">
      <c r="A1018" s="28">
        <v>44501</v>
      </c>
      <c r="B1018" s="18">
        <v>13565.999999999998</v>
      </c>
      <c r="C1018" s="18">
        <v>14235.839817012677</v>
      </c>
      <c r="D1018" s="18">
        <v>0</v>
      </c>
      <c r="E1018" s="18">
        <v>0</v>
      </c>
      <c r="F1018" s="18">
        <v>0</v>
      </c>
      <c r="G1018" s="18">
        <v>0</v>
      </c>
      <c r="H1018" s="19">
        <v>4.9376368643128332E-2</v>
      </c>
      <c r="I1018" s="19">
        <v>0</v>
      </c>
      <c r="J1018" s="19">
        <v>4.9376368643128332E-2</v>
      </c>
    </row>
    <row r="1019" spans="1:10" ht="11.25" customHeight="1" x14ac:dyDescent="0.2">
      <c r="A1019" s="28">
        <v>44531</v>
      </c>
      <c r="B1019" s="18">
        <v>13565.999999999998</v>
      </c>
      <c r="C1019" s="18">
        <v>14235.839817012677</v>
      </c>
      <c r="D1019" s="18">
        <v>0</v>
      </c>
      <c r="E1019" s="18">
        <v>0</v>
      </c>
      <c r="F1019" s="18">
        <v>0</v>
      </c>
      <c r="G1019" s="18">
        <v>0</v>
      </c>
      <c r="H1019" s="19">
        <v>4.9376368643128332E-2</v>
      </c>
      <c r="I1019" s="19">
        <v>0</v>
      </c>
      <c r="J1019" s="19">
        <v>4.9376368643128332E-2</v>
      </c>
    </row>
    <row r="1020" spans="1:10" ht="11.25" customHeight="1" x14ac:dyDescent="0.2">
      <c r="A1020" s="28">
        <v>44562</v>
      </c>
      <c r="B1020" s="18">
        <v>13565.999999999998</v>
      </c>
      <c r="C1020" s="18">
        <v>14235.839817012677</v>
      </c>
      <c r="D1020" s="18">
        <v>0</v>
      </c>
      <c r="E1020" s="18">
        <v>0</v>
      </c>
      <c r="F1020" s="18">
        <v>0</v>
      </c>
      <c r="G1020" s="18">
        <v>0</v>
      </c>
      <c r="H1020" s="19">
        <v>4.9376368643128332E-2</v>
      </c>
      <c r="I1020" s="19">
        <v>0</v>
      </c>
      <c r="J1020" s="19">
        <v>4.9376368643128332E-2</v>
      </c>
    </row>
    <row r="1021" spans="1:10" ht="11.25" customHeight="1" x14ac:dyDescent="0.2">
      <c r="A1021" s="28">
        <v>44593</v>
      </c>
      <c r="B1021" s="18">
        <v>13565.999999999998</v>
      </c>
      <c r="C1021" s="18">
        <v>14235.839817012677</v>
      </c>
      <c r="D1021" s="18">
        <v>0</v>
      </c>
      <c r="E1021" s="18">
        <v>0</v>
      </c>
      <c r="F1021" s="18">
        <v>0</v>
      </c>
      <c r="G1021" s="18">
        <v>0</v>
      </c>
      <c r="H1021" s="19">
        <v>4.9376368643128332E-2</v>
      </c>
      <c r="I1021" s="19">
        <v>0</v>
      </c>
      <c r="J1021" s="19">
        <v>4.9376368643128332E-2</v>
      </c>
    </row>
    <row r="1022" spans="1:10" ht="11.25" customHeight="1" x14ac:dyDescent="0.2">
      <c r="A1022" s="28">
        <v>44621</v>
      </c>
      <c r="B1022" s="18">
        <v>13565.999999999998</v>
      </c>
      <c r="C1022" s="18">
        <v>14235.839817012677</v>
      </c>
      <c r="D1022" s="18">
        <v>0</v>
      </c>
      <c r="E1022" s="18">
        <v>0</v>
      </c>
      <c r="F1022" s="18">
        <v>0</v>
      </c>
      <c r="G1022" s="18">
        <v>0</v>
      </c>
      <c r="H1022" s="19">
        <v>4.9376368643128332E-2</v>
      </c>
      <c r="I1022" s="19">
        <v>0</v>
      </c>
      <c r="J1022" s="19">
        <v>4.9376368643128332E-2</v>
      </c>
    </row>
    <row r="1023" spans="1:10" ht="11.25" customHeight="1" x14ac:dyDescent="0.2">
      <c r="A1023" s="28">
        <v>44652</v>
      </c>
      <c r="B1023" s="18">
        <v>13565.999999999998</v>
      </c>
      <c r="C1023" s="18">
        <v>14235.839817012677</v>
      </c>
      <c r="D1023" s="18">
        <v>0</v>
      </c>
      <c r="E1023" s="18">
        <v>0</v>
      </c>
      <c r="F1023" s="18">
        <v>0</v>
      </c>
      <c r="G1023" s="18">
        <v>0</v>
      </c>
      <c r="H1023" s="19">
        <v>4.9376368643128332E-2</v>
      </c>
      <c r="I1023" s="19">
        <v>0</v>
      </c>
      <c r="J1023" s="19">
        <v>4.9376368643128332E-2</v>
      </c>
    </row>
    <row r="1024" spans="1:10" ht="11.25" customHeight="1" x14ac:dyDescent="0.2">
      <c r="A1024" s="28">
        <v>44682</v>
      </c>
      <c r="B1024" s="18">
        <v>13565.999999999998</v>
      </c>
      <c r="C1024" s="18">
        <v>14235.839817012677</v>
      </c>
      <c r="D1024" s="18">
        <v>0</v>
      </c>
      <c r="E1024" s="18">
        <v>0</v>
      </c>
      <c r="F1024" s="18">
        <v>0</v>
      </c>
      <c r="G1024" s="18">
        <v>0</v>
      </c>
      <c r="H1024" s="19">
        <v>4.9376368643128332E-2</v>
      </c>
      <c r="I1024" s="19">
        <v>0</v>
      </c>
      <c r="J1024" s="19">
        <v>4.9376368643128332E-2</v>
      </c>
    </row>
    <row r="1025" spans="1:10" ht="11.25" customHeight="1" x14ac:dyDescent="0.2">
      <c r="A1025" s="26" t="s">
        <v>87</v>
      </c>
      <c r="B1025" s="18">
        <v>0</v>
      </c>
      <c r="C1025" s="18">
        <v>0</v>
      </c>
      <c r="D1025" s="18">
        <v>0</v>
      </c>
      <c r="E1025" s="18">
        <v>0</v>
      </c>
      <c r="F1025" s="18">
        <v>0</v>
      </c>
      <c r="G1025" s="18">
        <v>0</v>
      </c>
      <c r="H1025" s="19">
        <v>0</v>
      </c>
      <c r="I1025" s="19">
        <v>0</v>
      </c>
      <c r="J1025" s="19">
        <v>0</v>
      </c>
    </row>
    <row r="1026" spans="1:10" ht="11.25" customHeight="1" x14ac:dyDescent="0.2">
      <c r="A1026" s="27" t="s">
        <v>25</v>
      </c>
      <c r="B1026" s="18">
        <v>0</v>
      </c>
      <c r="C1026" s="18">
        <v>0</v>
      </c>
      <c r="D1026" s="18">
        <v>0</v>
      </c>
      <c r="E1026" s="18">
        <v>0</v>
      </c>
      <c r="F1026" s="18">
        <v>0</v>
      </c>
      <c r="G1026" s="18">
        <v>0</v>
      </c>
      <c r="H1026" s="19">
        <v>0</v>
      </c>
      <c r="I1026" s="19">
        <v>0</v>
      </c>
      <c r="J1026" s="19">
        <v>0</v>
      </c>
    </row>
    <row r="1027" spans="1:10" ht="11.25" customHeight="1" x14ac:dyDescent="0.2">
      <c r="A1027" s="28">
        <v>44348</v>
      </c>
      <c r="B1027" s="18">
        <v>0</v>
      </c>
      <c r="C1027" s="18">
        <v>0</v>
      </c>
      <c r="D1027" s="18">
        <v>0</v>
      </c>
      <c r="E1027" s="18">
        <v>0</v>
      </c>
      <c r="F1027" s="18">
        <v>0</v>
      </c>
      <c r="G1027" s="18">
        <v>0</v>
      </c>
      <c r="H1027" s="19">
        <v>0</v>
      </c>
      <c r="I1027" s="19">
        <v>0</v>
      </c>
      <c r="J1027" s="19">
        <v>0</v>
      </c>
    </row>
    <row r="1028" spans="1:10" ht="11.25" customHeight="1" x14ac:dyDescent="0.2">
      <c r="A1028" s="28">
        <v>44378</v>
      </c>
      <c r="B1028" s="18">
        <v>0</v>
      </c>
      <c r="C1028" s="18">
        <v>0</v>
      </c>
      <c r="D1028" s="18">
        <v>0</v>
      </c>
      <c r="E1028" s="18">
        <v>0</v>
      </c>
      <c r="F1028" s="18">
        <v>0</v>
      </c>
      <c r="G1028" s="18">
        <v>0</v>
      </c>
      <c r="H1028" s="19">
        <v>0</v>
      </c>
      <c r="I1028" s="19">
        <v>0</v>
      </c>
      <c r="J1028" s="19">
        <v>0</v>
      </c>
    </row>
    <row r="1029" spans="1:10" ht="11.25" customHeight="1" x14ac:dyDescent="0.2">
      <c r="A1029" s="28">
        <v>44409</v>
      </c>
      <c r="B1029" s="18">
        <v>0</v>
      </c>
      <c r="C1029" s="18">
        <v>0</v>
      </c>
      <c r="D1029" s="18">
        <v>0</v>
      </c>
      <c r="E1029" s="18">
        <v>0</v>
      </c>
      <c r="F1029" s="18">
        <v>0</v>
      </c>
      <c r="G1029" s="18">
        <v>0</v>
      </c>
      <c r="H1029" s="19">
        <v>0</v>
      </c>
      <c r="I1029" s="19">
        <v>0</v>
      </c>
      <c r="J1029" s="19">
        <v>0</v>
      </c>
    </row>
    <row r="1030" spans="1:10" ht="11.25" customHeight="1" x14ac:dyDescent="0.2">
      <c r="A1030" s="28">
        <v>44440</v>
      </c>
      <c r="B1030" s="18">
        <v>0</v>
      </c>
      <c r="C1030" s="18">
        <v>0</v>
      </c>
      <c r="D1030" s="18">
        <v>0</v>
      </c>
      <c r="E1030" s="18">
        <v>0</v>
      </c>
      <c r="F1030" s="18">
        <v>0</v>
      </c>
      <c r="G1030" s="18">
        <v>0</v>
      </c>
      <c r="H1030" s="19">
        <v>0</v>
      </c>
      <c r="I1030" s="19">
        <v>0</v>
      </c>
      <c r="J1030" s="19">
        <v>0</v>
      </c>
    </row>
    <row r="1031" spans="1:10" ht="11.25" customHeight="1" x14ac:dyDescent="0.2">
      <c r="A1031" s="28">
        <v>44470</v>
      </c>
      <c r="B1031" s="18">
        <v>0</v>
      </c>
      <c r="C1031" s="18">
        <v>0</v>
      </c>
      <c r="D1031" s="18">
        <v>0</v>
      </c>
      <c r="E1031" s="18">
        <v>0</v>
      </c>
      <c r="F1031" s="18">
        <v>0</v>
      </c>
      <c r="G1031" s="18">
        <v>0</v>
      </c>
      <c r="H1031" s="19">
        <v>0</v>
      </c>
      <c r="I1031" s="19">
        <v>0</v>
      </c>
      <c r="J1031" s="19">
        <v>0</v>
      </c>
    </row>
    <row r="1032" spans="1:10" ht="11.25" customHeight="1" x14ac:dyDescent="0.2">
      <c r="A1032" s="28">
        <v>44501</v>
      </c>
      <c r="B1032" s="18">
        <v>0</v>
      </c>
      <c r="C1032" s="18">
        <v>0</v>
      </c>
      <c r="D1032" s="18">
        <v>0</v>
      </c>
      <c r="E1032" s="18">
        <v>0</v>
      </c>
      <c r="F1032" s="18">
        <v>0</v>
      </c>
      <c r="G1032" s="18">
        <v>0</v>
      </c>
      <c r="H1032" s="19">
        <v>0</v>
      </c>
      <c r="I1032" s="19">
        <v>0</v>
      </c>
      <c r="J1032" s="19">
        <v>0</v>
      </c>
    </row>
    <row r="1033" spans="1:10" ht="11.25" customHeight="1" x14ac:dyDescent="0.2">
      <c r="A1033" s="28">
        <v>44531</v>
      </c>
      <c r="B1033" s="18">
        <v>0</v>
      </c>
      <c r="C1033" s="18">
        <v>0</v>
      </c>
      <c r="D1033" s="18">
        <v>0</v>
      </c>
      <c r="E1033" s="18">
        <v>0</v>
      </c>
      <c r="F1033" s="18">
        <v>0</v>
      </c>
      <c r="G1033" s="18">
        <v>0</v>
      </c>
      <c r="H1033" s="19">
        <v>0</v>
      </c>
      <c r="I1033" s="19">
        <v>0</v>
      </c>
      <c r="J1033" s="19">
        <v>0</v>
      </c>
    </row>
    <row r="1034" spans="1:10" ht="11.25" customHeight="1" x14ac:dyDescent="0.2">
      <c r="A1034" s="28">
        <v>44562</v>
      </c>
      <c r="B1034" s="18">
        <v>0</v>
      </c>
      <c r="C1034" s="18">
        <v>0</v>
      </c>
      <c r="D1034" s="18">
        <v>0</v>
      </c>
      <c r="E1034" s="18">
        <v>0</v>
      </c>
      <c r="F1034" s="18">
        <v>0</v>
      </c>
      <c r="G1034" s="18">
        <v>0</v>
      </c>
      <c r="H1034" s="19">
        <v>0</v>
      </c>
      <c r="I1034" s="19">
        <v>0</v>
      </c>
      <c r="J1034" s="19">
        <v>0</v>
      </c>
    </row>
    <row r="1035" spans="1:10" ht="11.25" customHeight="1" x14ac:dyDescent="0.2">
      <c r="A1035" s="28">
        <v>44593</v>
      </c>
      <c r="B1035" s="18">
        <v>0</v>
      </c>
      <c r="C1035" s="18">
        <v>0</v>
      </c>
      <c r="D1035" s="18">
        <v>0</v>
      </c>
      <c r="E1035" s="18">
        <v>0</v>
      </c>
      <c r="F1035" s="18">
        <v>0</v>
      </c>
      <c r="G1035" s="18">
        <v>0</v>
      </c>
      <c r="H1035" s="19">
        <v>0</v>
      </c>
      <c r="I1035" s="19">
        <v>0</v>
      </c>
      <c r="J1035" s="19">
        <v>0</v>
      </c>
    </row>
    <row r="1036" spans="1:10" ht="11.25" customHeight="1" x14ac:dyDescent="0.2">
      <c r="A1036" s="28">
        <v>44621</v>
      </c>
      <c r="B1036" s="18">
        <v>0</v>
      </c>
      <c r="C1036" s="18">
        <v>0</v>
      </c>
      <c r="D1036" s="18">
        <v>0</v>
      </c>
      <c r="E1036" s="18">
        <v>0</v>
      </c>
      <c r="F1036" s="18">
        <v>0</v>
      </c>
      <c r="G1036" s="18">
        <v>0</v>
      </c>
      <c r="H1036" s="19">
        <v>0</v>
      </c>
      <c r="I1036" s="19">
        <v>0</v>
      </c>
      <c r="J1036" s="19">
        <v>0</v>
      </c>
    </row>
    <row r="1037" spans="1:10" ht="11.25" customHeight="1" x14ac:dyDescent="0.2">
      <c r="A1037" s="28">
        <v>44652</v>
      </c>
      <c r="B1037" s="18">
        <v>0</v>
      </c>
      <c r="C1037" s="18">
        <v>0</v>
      </c>
      <c r="D1037" s="18">
        <v>0</v>
      </c>
      <c r="E1037" s="18">
        <v>0</v>
      </c>
      <c r="F1037" s="18">
        <v>0</v>
      </c>
      <c r="G1037" s="18">
        <v>0</v>
      </c>
      <c r="H1037" s="19">
        <v>0</v>
      </c>
      <c r="I1037" s="19">
        <v>0</v>
      </c>
      <c r="J1037" s="19">
        <v>0</v>
      </c>
    </row>
    <row r="1038" spans="1:10" ht="11.25" customHeight="1" x14ac:dyDescent="0.2">
      <c r="A1038" s="28">
        <v>44682</v>
      </c>
      <c r="B1038" s="18">
        <v>0</v>
      </c>
      <c r="C1038" s="18">
        <v>0</v>
      </c>
      <c r="D1038" s="18">
        <v>0</v>
      </c>
      <c r="E1038" s="18">
        <v>0</v>
      </c>
      <c r="F1038" s="18">
        <v>0</v>
      </c>
      <c r="G1038" s="18">
        <v>0</v>
      </c>
      <c r="H1038" s="19">
        <v>0</v>
      </c>
      <c r="I1038" s="19">
        <v>0</v>
      </c>
      <c r="J1038" s="19">
        <v>0</v>
      </c>
    </row>
    <row r="1039" spans="1:10" ht="11.25" customHeight="1" x14ac:dyDescent="0.2">
      <c r="A1039" s="26" t="s">
        <v>89</v>
      </c>
      <c r="B1039" s="18">
        <v>0</v>
      </c>
      <c r="C1039" s="18">
        <v>0</v>
      </c>
      <c r="D1039" s="18">
        <v>0</v>
      </c>
      <c r="E1039" s="18">
        <v>0</v>
      </c>
      <c r="F1039" s="18">
        <v>0</v>
      </c>
      <c r="G1039" s="18">
        <v>0</v>
      </c>
      <c r="H1039" s="19">
        <v>0</v>
      </c>
      <c r="I1039" s="19">
        <v>0</v>
      </c>
      <c r="J1039" s="19">
        <v>0</v>
      </c>
    </row>
    <row r="1040" spans="1:10" ht="11.25" customHeight="1" x14ac:dyDescent="0.2">
      <c r="A1040" s="27" t="s">
        <v>25</v>
      </c>
      <c r="B1040" s="18">
        <v>0</v>
      </c>
      <c r="C1040" s="18">
        <v>0</v>
      </c>
      <c r="D1040" s="18">
        <v>0</v>
      </c>
      <c r="E1040" s="18">
        <v>0</v>
      </c>
      <c r="F1040" s="18">
        <v>0</v>
      </c>
      <c r="G1040" s="18">
        <v>0</v>
      </c>
      <c r="H1040" s="19">
        <v>0</v>
      </c>
      <c r="I1040" s="19">
        <v>0</v>
      </c>
      <c r="J1040" s="19">
        <v>0</v>
      </c>
    </row>
    <row r="1041" spans="1:10" ht="11.25" customHeight="1" x14ac:dyDescent="0.2">
      <c r="A1041" s="28">
        <v>44348</v>
      </c>
      <c r="B1041" s="18">
        <v>0</v>
      </c>
      <c r="C1041" s="18">
        <v>0</v>
      </c>
      <c r="D1041" s="18">
        <v>0</v>
      </c>
      <c r="E1041" s="18">
        <v>0</v>
      </c>
      <c r="F1041" s="18">
        <v>0</v>
      </c>
      <c r="G1041" s="18">
        <v>0</v>
      </c>
      <c r="H1041" s="19">
        <v>0</v>
      </c>
      <c r="I1041" s="19">
        <v>0</v>
      </c>
      <c r="J1041" s="19">
        <v>0</v>
      </c>
    </row>
    <row r="1042" spans="1:10" ht="11.25" customHeight="1" x14ac:dyDescent="0.2">
      <c r="A1042" s="28">
        <v>44378</v>
      </c>
      <c r="B1042" s="18">
        <v>0</v>
      </c>
      <c r="C1042" s="18">
        <v>0</v>
      </c>
      <c r="D1042" s="18">
        <v>0</v>
      </c>
      <c r="E1042" s="18">
        <v>0</v>
      </c>
      <c r="F1042" s="18">
        <v>0</v>
      </c>
      <c r="G1042" s="18">
        <v>0</v>
      </c>
      <c r="H1042" s="19">
        <v>0</v>
      </c>
      <c r="I1042" s="19">
        <v>0</v>
      </c>
      <c r="J1042" s="19">
        <v>0</v>
      </c>
    </row>
    <row r="1043" spans="1:10" ht="11.25" customHeight="1" x14ac:dyDescent="0.2">
      <c r="A1043" s="28">
        <v>44409</v>
      </c>
      <c r="B1043" s="18">
        <v>0</v>
      </c>
      <c r="C1043" s="18">
        <v>0</v>
      </c>
      <c r="D1043" s="18">
        <v>0</v>
      </c>
      <c r="E1043" s="18">
        <v>0</v>
      </c>
      <c r="F1043" s="18">
        <v>0</v>
      </c>
      <c r="G1043" s="18">
        <v>0</v>
      </c>
      <c r="H1043" s="19">
        <v>0</v>
      </c>
      <c r="I1043" s="19">
        <v>0</v>
      </c>
      <c r="J1043" s="19">
        <v>0</v>
      </c>
    </row>
    <row r="1044" spans="1:10" ht="11.25" customHeight="1" x14ac:dyDescent="0.2">
      <c r="A1044" s="28">
        <v>44440</v>
      </c>
      <c r="B1044" s="18">
        <v>0</v>
      </c>
      <c r="C1044" s="18">
        <v>0</v>
      </c>
      <c r="D1044" s="18">
        <v>0</v>
      </c>
      <c r="E1044" s="18">
        <v>0</v>
      </c>
      <c r="F1044" s="18">
        <v>0</v>
      </c>
      <c r="G1044" s="18">
        <v>0</v>
      </c>
      <c r="H1044" s="19">
        <v>0</v>
      </c>
      <c r="I1044" s="19">
        <v>0</v>
      </c>
      <c r="J1044" s="19">
        <v>0</v>
      </c>
    </row>
    <row r="1045" spans="1:10" ht="11.25" customHeight="1" x14ac:dyDescent="0.2">
      <c r="A1045" s="28">
        <v>44470</v>
      </c>
      <c r="B1045" s="18">
        <v>0</v>
      </c>
      <c r="C1045" s="18">
        <v>0</v>
      </c>
      <c r="D1045" s="18">
        <v>0</v>
      </c>
      <c r="E1045" s="18">
        <v>0</v>
      </c>
      <c r="F1045" s="18">
        <v>0</v>
      </c>
      <c r="G1045" s="18">
        <v>0</v>
      </c>
      <c r="H1045" s="19">
        <v>0</v>
      </c>
      <c r="I1045" s="19">
        <v>0</v>
      </c>
      <c r="J1045" s="19">
        <v>0</v>
      </c>
    </row>
    <row r="1046" spans="1:10" ht="11.25" customHeight="1" x14ac:dyDescent="0.2">
      <c r="A1046" s="28">
        <v>44501</v>
      </c>
      <c r="B1046" s="18">
        <v>0</v>
      </c>
      <c r="C1046" s="18">
        <v>0</v>
      </c>
      <c r="D1046" s="18">
        <v>0</v>
      </c>
      <c r="E1046" s="18">
        <v>0</v>
      </c>
      <c r="F1046" s="18">
        <v>0</v>
      </c>
      <c r="G1046" s="18">
        <v>0</v>
      </c>
      <c r="H1046" s="19">
        <v>0</v>
      </c>
      <c r="I1046" s="19">
        <v>0</v>
      </c>
      <c r="J1046" s="19">
        <v>0</v>
      </c>
    </row>
    <row r="1047" spans="1:10" ht="11.25" customHeight="1" x14ac:dyDescent="0.2">
      <c r="A1047" s="28">
        <v>44531</v>
      </c>
      <c r="B1047" s="18">
        <v>0</v>
      </c>
      <c r="C1047" s="18">
        <v>0</v>
      </c>
      <c r="D1047" s="18">
        <v>0</v>
      </c>
      <c r="E1047" s="18">
        <v>0</v>
      </c>
      <c r="F1047" s="18">
        <v>0</v>
      </c>
      <c r="G1047" s="18">
        <v>0</v>
      </c>
      <c r="H1047" s="19">
        <v>0</v>
      </c>
      <c r="I1047" s="19">
        <v>0</v>
      </c>
      <c r="J1047" s="19">
        <v>0</v>
      </c>
    </row>
    <row r="1048" spans="1:10" ht="11.25" customHeight="1" x14ac:dyDescent="0.2">
      <c r="A1048" s="28">
        <v>44562</v>
      </c>
      <c r="B1048" s="18">
        <v>0</v>
      </c>
      <c r="C1048" s="18">
        <v>0</v>
      </c>
      <c r="D1048" s="18">
        <v>0</v>
      </c>
      <c r="E1048" s="18">
        <v>0</v>
      </c>
      <c r="F1048" s="18">
        <v>0</v>
      </c>
      <c r="G1048" s="18">
        <v>0</v>
      </c>
      <c r="H1048" s="19">
        <v>0</v>
      </c>
      <c r="I1048" s="19">
        <v>0</v>
      </c>
      <c r="J1048" s="19">
        <v>0</v>
      </c>
    </row>
    <row r="1049" spans="1:10" ht="11.25" customHeight="1" x14ac:dyDescent="0.2">
      <c r="A1049" s="28">
        <v>44593</v>
      </c>
      <c r="B1049" s="18">
        <v>0</v>
      </c>
      <c r="C1049" s="18">
        <v>0</v>
      </c>
      <c r="D1049" s="18">
        <v>0</v>
      </c>
      <c r="E1049" s="18">
        <v>0</v>
      </c>
      <c r="F1049" s="18">
        <v>0</v>
      </c>
      <c r="G1049" s="18">
        <v>0</v>
      </c>
      <c r="H1049" s="19">
        <v>0</v>
      </c>
      <c r="I1049" s="19">
        <v>0</v>
      </c>
      <c r="J1049" s="19">
        <v>0</v>
      </c>
    </row>
    <row r="1050" spans="1:10" ht="11.25" customHeight="1" x14ac:dyDescent="0.2">
      <c r="A1050" s="28">
        <v>44621</v>
      </c>
      <c r="B1050" s="18">
        <v>0</v>
      </c>
      <c r="C1050" s="18">
        <v>0</v>
      </c>
      <c r="D1050" s="18">
        <v>0</v>
      </c>
      <c r="E1050" s="18">
        <v>0</v>
      </c>
      <c r="F1050" s="18">
        <v>0</v>
      </c>
      <c r="G1050" s="18">
        <v>0</v>
      </c>
      <c r="H1050" s="19">
        <v>0</v>
      </c>
      <c r="I1050" s="19">
        <v>0</v>
      </c>
      <c r="J1050" s="19">
        <v>0</v>
      </c>
    </row>
    <row r="1051" spans="1:10" ht="11.25" customHeight="1" x14ac:dyDescent="0.2">
      <c r="A1051" s="28">
        <v>44652</v>
      </c>
      <c r="B1051" s="18">
        <v>0</v>
      </c>
      <c r="C1051" s="18">
        <v>0</v>
      </c>
      <c r="D1051" s="18">
        <v>0</v>
      </c>
      <c r="E1051" s="18">
        <v>0</v>
      </c>
      <c r="F1051" s="18">
        <v>0</v>
      </c>
      <c r="G1051" s="18">
        <v>0</v>
      </c>
      <c r="H1051" s="19">
        <v>0</v>
      </c>
      <c r="I1051" s="19">
        <v>0</v>
      </c>
      <c r="J1051" s="19">
        <v>0</v>
      </c>
    </row>
    <row r="1052" spans="1:10" ht="11.25" customHeight="1" x14ac:dyDescent="0.2">
      <c r="A1052" s="28">
        <v>44682</v>
      </c>
      <c r="B1052" s="18">
        <v>0</v>
      </c>
      <c r="C1052" s="18">
        <v>0</v>
      </c>
      <c r="D1052" s="18">
        <v>0</v>
      </c>
      <c r="E1052" s="18">
        <v>0</v>
      </c>
      <c r="F1052" s="18">
        <v>0</v>
      </c>
      <c r="G1052" s="18">
        <v>0</v>
      </c>
      <c r="H1052" s="19">
        <v>0</v>
      </c>
      <c r="I1052" s="19">
        <v>0</v>
      </c>
      <c r="J1052" s="19">
        <v>0</v>
      </c>
    </row>
    <row r="1053" spans="1:10" ht="11.25" customHeight="1" x14ac:dyDescent="0.2">
      <c r="A1053" s="26" t="s">
        <v>86</v>
      </c>
      <c r="B1053" s="18">
        <v>677832</v>
      </c>
      <c r="C1053" s="18">
        <v>710337.50348584715</v>
      </c>
      <c r="D1053" s="18">
        <v>0</v>
      </c>
      <c r="E1053" s="18">
        <v>0</v>
      </c>
      <c r="F1053" s="18">
        <v>0</v>
      </c>
      <c r="G1053" s="18">
        <v>0</v>
      </c>
      <c r="H1053" s="19">
        <v>4.7955103161029689E-2</v>
      </c>
      <c r="I1053" s="19">
        <v>0</v>
      </c>
      <c r="J1053" s="19">
        <v>4.7955103161029689E-2</v>
      </c>
    </row>
    <row r="1054" spans="1:10" ht="11.25" customHeight="1" x14ac:dyDescent="0.2">
      <c r="A1054" s="27" t="s">
        <v>25</v>
      </c>
      <c r="B1054" s="18">
        <v>677832</v>
      </c>
      <c r="C1054" s="18">
        <v>710337.50348584715</v>
      </c>
      <c r="D1054" s="18">
        <v>0</v>
      </c>
      <c r="E1054" s="18">
        <v>0</v>
      </c>
      <c r="F1054" s="18">
        <v>0</v>
      </c>
      <c r="G1054" s="18">
        <v>0</v>
      </c>
      <c r="H1054" s="19">
        <v>4.7955103161029689E-2</v>
      </c>
      <c r="I1054" s="19">
        <v>0</v>
      </c>
      <c r="J1054" s="19">
        <v>4.7955103161029689E-2</v>
      </c>
    </row>
    <row r="1055" spans="1:10" ht="11.25" customHeight="1" x14ac:dyDescent="0.2">
      <c r="A1055" s="28">
        <v>44348</v>
      </c>
      <c r="B1055" s="18">
        <v>56486</v>
      </c>
      <c r="C1055" s="18">
        <v>59194.79195715391</v>
      </c>
      <c r="D1055" s="18">
        <v>0</v>
      </c>
      <c r="E1055" s="18">
        <v>0</v>
      </c>
      <c r="F1055" s="18">
        <v>0</v>
      </c>
      <c r="G1055" s="18">
        <v>0</v>
      </c>
      <c r="H1055" s="19">
        <v>4.7955103161029466E-2</v>
      </c>
      <c r="I1055" s="19">
        <v>0</v>
      </c>
      <c r="J1055" s="19">
        <v>4.7955103161029466E-2</v>
      </c>
    </row>
    <row r="1056" spans="1:10" ht="11.25" customHeight="1" x14ac:dyDescent="0.2">
      <c r="A1056" s="28">
        <v>44378</v>
      </c>
      <c r="B1056" s="18">
        <v>56486</v>
      </c>
      <c r="C1056" s="18">
        <v>59194.79195715391</v>
      </c>
      <c r="D1056" s="18">
        <v>0</v>
      </c>
      <c r="E1056" s="18">
        <v>0</v>
      </c>
      <c r="F1056" s="18">
        <v>0</v>
      </c>
      <c r="G1056" s="18">
        <v>0</v>
      </c>
      <c r="H1056" s="19">
        <v>4.7955103161029466E-2</v>
      </c>
      <c r="I1056" s="19">
        <v>0</v>
      </c>
      <c r="J1056" s="19">
        <v>4.7955103161029466E-2</v>
      </c>
    </row>
    <row r="1057" spans="1:10" ht="11.25" customHeight="1" x14ac:dyDescent="0.2">
      <c r="A1057" s="28">
        <v>44409</v>
      </c>
      <c r="B1057" s="18">
        <v>56486</v>
      </c>
      <c r="C1057" s="18">
        <v>59194.79195715391</v>
      </c>
      <c r="D1057" s="18">
        <v>0</v>
      </c>
      <c r="E1057" s="18">
        <v>0</v>
      </c>
      <c r="F1057" s="18">
        <v>0</v>
      </c>
      <c r="G1057" s="18">
        <v>0</v>
      </c>
      <c r="H1057" s="19">
        <v>4.7955103161029466E-2</v>
      </c>
      <c r="I1057" s="19">
        <v>0</v>
      </c>
      <c r="J1057" s="19">
        <v>4.7955103161029466E-2</v>
      </c>
    </row>
    <row r="1058" spans="1:10" ht="11.25" customHeight="1" x14ac:dyDescent="0.2">
      <c r="A1058" s="28">
        <v>44440</v>
      </c>
      <c r="B1058" s="18">
        <v>56486</v>
      </c>
      <c r="C1058" s="18">
        <v>59194.79195715391</v>
      </c>
      <c r="D1058" s="18">
        <v>0</v>
      </c>
      <c r="E1058" s="18">
        <v>0</v>
      </c>
      <c r="F1058" s="18">
        <v>0</v>
      </c>
      <c r="G1058" s="18">
        <v>0</v>
      </c>
      <c r="H1058" s="19">
        <v>4.7955103161029466E-2</v>
      </c>
      <c r="I1058" s="19">
        <v>0</v>
      </c>
      <c r="J1058" s="19">
        <v>4.7955103161029466E-2</v>
      </c>
    </row>
    <row r="1059" spans="1:10" ht="11.25" customHeight="1" x14ac:dyDescent="0.2">
      <c r="A1059" s="28">
        <v>44470</v>
      </c>
      <c r="B1059" s="18">
        <v>56486</v>
      </c>
      <c r="C1059" s="18">
        <v>59194.79195715391</v>
      </c>
      <c r="D1059" s="18">
        <v>0</v>
      </c>
      <c r="E1059" s="18">
        <v>0</v>
      </c>
      <c r="F1059" s="18">
        <v>0</v>
      </c>
      <c r="G1059" s="18">
        <v>0</v>
      </c>
      <c r="H1059" s="19">
        <v>4.7955103161029466E-2</v>
      </c>
      <c r="I1059" s="19">
        <v>0</v>
      </c>
      <c r="J1059" s="19">
        <v>4.7955103161029466E-2</v>
      </c>
    </row>
    <row r="1060" spans="1:10" ht="11.25" customHeight="1" x14ac:dyDescent="0.2">
      <c r="A1060" s="28">
        <v>44501</v>
      </c>
      <c r="B1060" s="18">
        <v>56486</v>
      </c>
      <c r="C1060" s="18">
        <v>59194.79195715391</v>
      </c>
      <c r="D1060" s="18">
        <v>0</v>
      </c>
      <c r="E1060" s="18">
        <v>0</v>
      </c>
      <c r="F1060" s="18">
        <v>0</v>
      </c>
      <c r="G1060" s="18">
        <v>0</v>
      </c>
      <c r="H1060" s="19">
        <v>4.7955103161029466E-2</v>
      </c>
      <c r="I1060" s="19">
        <v>0</v>
      </c>
      <c r="J1060" s="19">
        <v>4.7955103161029466E-2</v>
      </c>
    </row>
    <row r="1061" spans="1:10" ht="11.25" customHeight="1" x14ac:dyDescent="0.2">
      <c r="A1061" s="28">
        <v>44531</v>
      </c>
      <c r="B1061" s="18">
        <v>56486</v>
      </c>
      <c r="C1061" s="18">
        <v>59194.79195715391</v>
      </c>
      <c r="D1061" s="18">
        <v>0</v>
      </c>
      <c r="E1061" s="18">
        <v>0</v>
      </c>
      <c r="F1061" s="18">
        <v>0</v>
      </c>
      <c r="G1061" s="18">
        <v>0</v>
      </c>
      <c r="H1061" s="19">
        <v>4.7955103161029466E-2</v>
      </c>
      <c r="I1061" s="19">
        <v>0</v>
      </c>
      <c r="J1061" s="19">
        <v>4.7955103161029466E-2</v>
      </c>
    </row>
    <row r="1062" spans="1:10" ht="11.25" customHeight="1" x14ac:dyDescent="0.2">
      <c r="A1062" s="28">
        <v>44562</v>
      </c>
      <c r="B1062" s="18">
        <v>56486</v>
      </c>
      <c r="C1062" s="18">
        <v>59194.79195715391</v>
      </c>
      <c r="D1062" s="18">
        <v>0</v>
      </c>
      <c r="E1062" s="18">
        <v>0</v>
      </c>
      <c r="F1062" s="18">
        <v>0</v>
      </c>
      <c r="G1062" s="18">
        <v>0</v>
      </c>
      <c r="H1062" s="19">
        <v>4.7955103161029466E-2</v>
      </c>
      <c r="I1062" s="19">
        <v>0</v>
      </c>
      <c r="J1062" s="19">
        <v>4.7955103161029466E-2</v>
      </c>
    </row>
    <row r="1063" spans="1:10" ht="11.25" customHeight="1" x14ac:dyDescent="0.2">
      <c r="A1063" s="28">
        <v>44593</v>
      </c>
      <c r="B1063" s="18">
        <v>56486</v>
      </c>
      <c r="C1063" s="18">
        <v>59194.79195715391</v>
      </c>
      <c r="D1063" s="18">
        <v>0</v>
      </c>
      <c r="E1063" s="18">
        <v>0</v>
      </c>
      <c r="F1063" s="18">
        <v>0</v>
      </c>
      <c r="G1063" s="18">
        <v>0</v>
      </c>
      <c r="H1063" s="19">
        <v>4.7955103161029466E-2</v>
      </c>
      <c r="I1063" s="19">
        <v>0</v>
      </c>
      <c r="J1063" s="19">
        <v>4.7955103161029466E-2</v>
      </c>
    </row>
    <row r="1064" spans="1:10" ht="11.25" customHeight="1" x14ac:dyDescent="0.2">
      <c r="A1064" s="28">
        <v>44621</v>
      </c>
      <c r="B1064" s="18">
        <v>56486</v>
      </c>
      <c r="C1064" s="18">
        <v>59194.79195715391</v>
      </c>
      <c r="D1064" s="18">
        <v>0</v>
      </c>
      <c r="E1064" s="18">
        <v>0</v>
      </c>
      <c r="F1064" s="18">
        <v>0</v>
      </c>
      <c r="G1064" s="18">
        <v>0</v>
      </c>
      <c r="H1064" s="19">
        <v>4.7955103161029466E-2</v>
      </c>
      <c r="I1064" s="19">
        <v>0</v>
      </c>
      <c r="J1064" s="19">
        <v>4.7955103161029466E-2</v>
      </c>
    </row>
    <row r="1065" spans="1:10" ht="11.25" customHeight="1" x14ac:dyDescent="0.2">
      <c r="A1065" s="28">
        <v>44652</v>
      </c>
      <c r="B1065" s="18">
        <v>56486</v>
      </c>
      <c r="C1065" s="18">
        <v>59194.79195715391</v>
      </c>
      <c r="D1065" s="18">
        <v>0</v>
      </c>
      <c r="E1065" s="18">
        <v>0</v>
      </c>
      <c r="F1065" s="18">
        <v>0</v>
      </c>
      <c r="G1065" s="18">
        <v>0</v>
      </c>
      <c r="H1065" s="19">
        <v>4.7955103161029466E-2</v>
      </c>
      <c r="I1065" s="19">
        <v>0</v>
      </c>
      <c r="J1065" s="19">
        <v>4.7955103161029466E-2</v>
      </c>
    </row>
    <row r="1066" spans="1:10" ht="11.25" customHeight="1" x14ac:dyDescent="0.2">
      <c r="A1066" s="28">
        <v>44682</v>
      </c>
      <c r="B1066" s="18">
        <v>56486</v>
      </c>
      <c r="C1066" s="18">
        <v>59194.79195715391</v>
      </c>
      <c r="D1066" s="18">
        <v>0</v>
      </c>
      <c r="E1066" s="18">
        <v>0</v>
      </c>
      <c r="F1066" s="18">
        <v>0</v>
      </c>
      <c r="G1066" s="18">
        <v>0</v>
      </c>
      <c r="H1066" s="19">
        <v>4.7955103161029466E-2</v>
      </c>
      <c r="I1066" s="19">
        <v>0</v>
      </c>
      <c r="J1066" s="19">
        <v>4.7955103161029466E-2</v>
      </c>
    </row>
    <row r="1067" spans="1:10" ht="11.25" customHeight="1" x14ac:dyDescent="0.2">
      <c r="A1067" s="26" t="s">
        <v>69</v>
      </c>
      <c r="B1067" s="18">
        <v>1502182.7600000002</v>
      </c>
      <c r="C1067" s="18">
        <v>1576787.0055558444</v>
      </c>
      <c r="D1067" s="18">
        <v>0</v>
      </c>
      <c r="E1067" s="18">
        <v>0</v>
      </c>
      <c r="F1067" s="18">
        <v>0</v>
      </c>
      <c r="G1067" s="18">
        <v>0</v>
      </c>
      <c r="H1067" s="19">
        <v>4.9663894129529318E-2</v>
      </c>
      <c r="I1067" s="19">
        <v>0</v>
      </c>
      <c r="J1067" s="19">
        <v>4.9663894129529318E-2</v>
      </c>
    </row>
    <row r="1068" spans="1:10" ht="11.25" customHeight="1" x14ac:dyDescent="0.2">
      <c r="A1068" s="27" t="s">
        <v>25</v>
      </c>
      <c r="B1068" s="18">
        <v>1502182.7600000002</v>
      </c>
      <c r="C1068" s="18">
        <v>1576787.0055558444</v>
      </c>
      <c r="D1068" s="18">
        <v>0</v>
      </c>
      <c r="E1068" s="18">
        <v>0</v>
      </c>
      <c r="F1068" s="18">
        <v>0</v>
      </c>
      <c r="G1068" s="18">
        <v>0</v>
      </c>
      <c r="H1068" s="19">
        <v>4.9663894129529318E-2</v>
      </c>
      <c r="I1068" s="19">
        <v>0</v>
      </c>
      <c r="J1068" s="19">
        <v>4.9663894129529318E-2</v>
      </c>
    </row>
    <row r="1069" spans="1:10" ht="11.25" customHeight="1" x14ac:dyDescent="0.2">
      <c r="A1069" s="28">
        <v>44348</v>
      </c>
      <c r="B1069" s="18">
        <v>125180.00000000001</v>
      </c>
      <c r="C1069" s="18">
        <v>131396.92626713449</v>
      </c>
      <c r="D1069" s="18">
        <v>0</v>
      </c>
      <c r="E1069" s="18">
        <v>0</v>
      </c>
      <c r="F1069" s="18">
        <v>0</v>
      </c>
      <c r="G1069" s="18">
        <v>0</v>
      </c>
      <c r="H1069" s="19">
        <v>4.9663894129529318E-2</v>
      </c>
      <c r="I1069" s="19">
        <v>0</v>
      </c>
      <c r="J1069" s="19">
        <v>4.9663894129529318E-2</v>
      </c>
    </row>
    <row r="1070" spans="1:10" ht="11.25" customHeight="1" x14ac:dyDescent="0.2">
      <c r="A1070" s="28">
        <v>44378</v>
      </c>
      <c r="B1070" s="18">
        <v>125180.00000000001</v>
      </c>
      <c r="C1070" s="18">
        <v>131396.92626713449</v>
      </c>
      <c r="D1070" s="18">
        <v>0</v>
      </c>
      <c r="E1070" s="18">
        <v>0</v>
      </c>
      <c r="F1070" s="18">
        <v>0</v>
      </c>
      <c r="G1070" s="18">
        <v>0</v>
      </c>
      <c r="H1070" s="19">
        <v>4.9663894129529318E-2</v>
      </c>
      <c r="I1070" s="19">
        <v>0</v>
      </c>
      <c r="J1070" s="19">
        <v>4.9663894129529318E-2</v>
      </c>
    </row>
    <row r="1071" spans="1:10" ht="11.25" customHeight="1" x14ac:dyDescent="0.2">
      <c r="A1071" s="28">
        <v>44409</v>
      </c>
      <c r="B1071" s="18">
        <v>125180.00000000001</v>
      </c>
      <c r="C1071" s="18">
        <v>131396.92626713449</v>
      </c>
      <c r="D1071" s="18">
        <v>0</v>
      </c>
      <c r="E1071" s="18">
        <v>0</v>
      </c>
      <c r="F1071" s="18">
        <v>0</v>
      </c>
      <c r="G1071" s="18">
        <v>0</v>
      </c>
      <c r="H1071" s="19">
        <v>4.9663894129529318E-2</v>
      </c>
      <c r="I1071" s="19">
        <v>0</v>
      </c>
      <c r="J1071" s="19">
        <v>4.9663894129529318E-2</v>
      </c>
    </row>
    <row r="1072" spans="1:10" ht="11.25" customHeight="1" x14ac:dyDescent="0.2">
      <c r="A1072" s="28">
        <v>44440</v>
      </c>
      <c r="B1072" s="18">
        <v>125180.00000000001</v>
      </c>
      <c r="C1072" s="18">
        <v>131396.92626713449</v>
      </c>
      <c r="D1072" s="18">
        <v>0</v>
      </c>
      <c r="E1072" s="18">
        <v>0</v>
      </c>
      <c r="F1072" s="18">
        <v>0</v>
      </c>
      <c r="G1072" s="18">
        <v>0</v>
      </c>
      <c r="H1072" s="19">
        <v>4.9663894129529318E-2</v>
      </c>
      <c r="I1072" s="19">
        <v>0</v>
      </c>
      <c r="J1072" s="19">
        <v>4.9663894129529318E-2</v>
      </c>
    </row>
    <row r="1073" spans="1:10" ht="11.25" customHeight="1" x14ac:dyDescent="0.2">
      <c r="A1073" s="28">
        <v>44470</v>
      </c>
      <c r="B1073" s="18">
        <v>125180.00000000001</v>
      </c>
      <c r="C1073" s="18">
        <v>131396.92626713449</v>
      </c>
      <c r="D1073" s="18">
        <v>0</v>
      </c>
      <c r="E1073" s="18">
        <v>0</v>
      </c>
      <c r="F1073" s="18">
        <v>0</v>
      </c>
      <c r="G1073" s="18">
        <v>0</v>
      </c>
      <c r="H1073" s="19">
        <v>4.9663894129529318E-2</v>
      </c>
      <c r="I1073" s="19">
        <v>0</v>
      </c>
      <c r="J1073" s="19">
        <v>4.9663894129529318E-2</v>
      </c>
    </row>
    <row r="1074" spans="1:10" ht="11.25" customHeight="1" x14ac:dyDescent="0.2">
      <c r="A1074" s="28">
        <v>44501</v>
      </c>
      <c r="B1074" s="18">
        <v>125180.00000000001</v>
      </c>
      <c r="C1074" s="18">
        <v>131396.92626713449</v>
      </c>
      <c r="D1074" s="18">
        <v>0</v>
      </c>
      <c r="E1074" s="18">
        <v>0</v>
      </c>
      <c r="F1074" s="18">
        <v>0</v>
      </c>
      <c r="G1074" s="18">
        <v>0</v>
      </c>
      <c r="H1074" s="19">
        <v>4.9663894129529318E-2</v>
      </c>
      <c r="I1074" s="19">
        <v>0</v>
      </c>
      <c r="J1074" s="19">
        <v>4.9663894129529318E-2</v>
      </c>
    </row>
    <row r="1075" spans="1:10" ht="11.25" customHeight="1" x14ac:dyDescent="0.2">
      <c r="A1075" s="28">
        <v>44531</v>
      </c>
      <c r="B1075" s="18">
        <v>125180.00000000001</v>
      </c>
      <c r="C1075" s="18">
        <v>131396.92626713449</v>
      </c>
      <c r="D1075" s="18">
        <v>0</v>
      </c>
      <c r="E1075" s="18">
        <v>0</v>
      </c>
      <c r="F1075" s="18">
        <v>0</v>
      </c>
      <c r="G1075" s="18">
        <v>0</v>
      </c>
      <c r="H1075" s="19">
        <v>4.9663894129529318E-2</v>
      </c>
      <c r="I1075" s="19">
        <v>0</v>
      </c>
      <c r="J1075" s="19">
        <v>4.9663894129529318E-2</v>
      </c>
    </row>
    <row r="1076" spans="1:10" ht="11.25" customHeight="1" x14ac:dyDescent="0.2">
      <c r="A1076" s="28">
        <v>44562</v>
      </c>
      <c r="B1076" s="18">
        <v>125180.00000000001</v>
      </c>
      <c r="C1076" s="18">
        <v>131396.92626713449</v>
      </c>
      <c r="D1076" s="18">
        <v>0</v>
      </c>
      <c r="E1076" s="18">
        <v>0</v>
      </c>
      <c r="F1076" s="18">
        <v>0</v>
      </c>
      <c r="G1076" s="18">
        <v>0</v>
      </c>
      <c r="H1076" s="19">
        <v>4.9663894129529318E-2</v>
      </c>
      <c r="I1076" s="19">
        <v>0</v>
      </c>
      <c r="J1076" s="19">
        <v>4.9663894129529318E-2</v>
      </c>
    </row>
    <row r="1077" spans="1:10" ht="11.25" customHeight="1" x14ac:dyDescent="0.2">
      <c r="A1077" s="28">
        <v>44593</v>
      </c>
      <c r="B1077" s="18">
        <v>125202.76000000001</v>
      </c>
      <c r="C1077" s="18">
        <v>131420.81661736488</v>
      </c>
      <c r="D1077" s="18">
        <v>0</v>
      </c>
      <c r="E1077" s="18">
        <v>0</v>
      </c>
      <c r="F1077" s="18">
        <v>0</v>
      </c>
      <c r="G1077" s="18">
        <v>0</v>
      </c>
      <c r="H1077" s="19">
        <v>4.9663894129529318E-2</v>
      </c>
      <c r="I1077" s="19">
        <v>0</v>
      </c>
      <c r="J1077" s="19">
        <v>4.9663894129529318E-2</v>
      </c>
    </row>
    <row r="1078" spans="1:10" ht="11.25" customHeight="1" x14ac:dyDescent="0.2">
      <c r="A1078" s="28">
        <v>44621</v>
      </c>
      <c r="B1078" s="18">
        <v>125180.00000000001</v>
      </c>
      <c r="C1078" s="18">
        <v>131396.92626713449</v>
      </c>
      <c r="D1078" s="18">
        <v>0</v>
      </c>
      <c r="E1078" s="18">
        <v>0</v>
      </c>
      <c r="F1078" s="18">
        <v>0</v>
      </c>
      <c r="G1078" s="18">
        <v>0</v>
      </c>
      <c r="H1078" s="19">
        <v>4.9663894129529318E-2</v>
      </c>
      <c r="I1078" s="19">
        <v>0</v>
      </c>
      <c r="J1078" s="19">
        <v>4.9663894129529318E-2</v>
      </c>
    </row>
    <row r="1079" spans="1:10" ht="11.25" customHeight="1" x14ac:dyDescent="0.2">
      <c r="A1079" s="28">
        <v>44652</v>
      </c>
      <c r="B1079" s="18">
        <v>125180.00000000001</v>
      </c>
      <c r="C1079" s="18">
        <v>131396.92626713449</v>
      </c>
      <c r="D1079" s="18">
        <v>0</v>
      </c>
      <c r="E1079" s="18">
        <v>0</v>
      </c>
      <c r="F1079" s="18">
        <v>0</v>
      </c>
      <c r="G1079" s="18">
        <v>0</v>
      </c>
      <c r="H1079" s="19">
        <v>4.9663894129529318E-2</v>
      </c>
      <c r="I1079" s="19">
        <v>0</v>
      </c>
      <c r="J1079" s="19">
        <v>4.9663894129529318E-2</v>
      </c>
    </row>
    <row r="1080" spans="1:10" ht="11.25" customHeight="1" x14ac:dyDescent="0.2">
      <c r="A1080" s="28">
        <v>44682</v>
      </c>
      <c r="B1080" s="18">
        <v>125180.00000000001</v>
      </c>
      <c r="C1080" s="18">
        <v>131396.92626713449</v>
      </c>
      <c r="D1080" s="18">
        <v>0</v>
      </c>
      <c r="E1080" s="18">
        <v>0</v>
      </c>
      <c r="F1080" s="18">
        <v>0</v>
      </c>
      <c r="G1080" s="18">
        <v>0</v>
      </c>
      <c r="H1080" s="19">
        <v>4.9663894129529318E-2</v>
      </c>
      <c r="I1080" s="19">
        <v>0</v>
      </c>
      <c r="J1080" s="19">
        <v>4.9663894129529318E-2</v>
      </c>
    </row>
    <row r="1081" spans="1:10" ht="11.25" customHeight="1" x14ac:dyDescent="0.2">
      <c r="A1081" s="26" t="s">
        <v>72</v>
      </c>
      <c r="B1081" s="18">
        <v>0</v>
      </c>
      <c r="C1081" s="18">
        <v>0</v>
      </c>
      <c r="D1081" s="18">
        <v>0</v>
      </c>
      <c r="E1081" s="18">
        <v>0</v>
      </c>
      <c r="F1081" s="18">
        <v>0</v>
      </c>
      <c r="G1081" s="18">
        <v>0</v>
      </c>
      <c r="H1081" s="19">
        <v>0</v>
      </c>
      <c r="I1081" s="19">
        <v>0</v>
      </c>
      <c r="J1081" s="19">
        <v>0</v>
      </c>
    </row>
    <row r="1082" spans="1:10" ht="11.25" customHeight="1" x14ac:dyDescent="0.2">
      <c r="A1082" s="27" t="s">
        <v>25</v>
      </c>
      <c r="B1082" s="18">
        <v>0</v>
      </c>
      <c r="C1082" s="18">
        <v>0</v>
      </c>
      <c r="D1082" s="18">
        <v>0</v>
      </c>
      <c r="E1082" s="18">
        <v>0</v>
      </c>
      <c r="F1082" s="18">
        <v>0</v>
      </c>
      <c r="G1082" s="18">
        <v>0</v>
      </c>
      <c r="H1082" s="19">
        <v>0</v>
      </c>
      <c r="I1082" s="19">
        <v>0</v>
      </c>
      <c r="J1082" s="19">
        <v>0</v>
      </c>
    </row>
    <row r="1083" spans="1:10" ht="11.25" customHeight="1" x14ac:dyDescent="0.2">
      <c r="A1083" s="28">
        <v>44348</v>
      </c>
      <c r="B1083" s="18">
        <v>0</v>
      </c>
      <c r="C1083" s="18">
        <v>0</v>
      </c>
      <c r="D1083" s="18">
        <v>0</v>
      </c>
      <c r="E1083" s="18">
        <v>0</v>
      </c>
      <c r="F1083" s="18">
        <v>0</v>
      </c>
      <c r="G1083" s="18">
        <v>0</v>
      </c>
      <c r="H1083" s="19">
        <v>0</v>
      </c>
      <c r="I1083" s="19">
        <v>0</v>
      </c>
      <c r="J1083" s="19">
        <v>0</v>
      </c>
    </row>
    <row r="1084" spans="1:10" ht="11.25" customHeight="1" x14ac:dyDescent="0.2">
      <c r="A1084" s="28">
        <v>44378</v>
      </c>
      <c r="B1084" s="18">
        <v>0</v>
      </c>
      <c r="C1084" s="18">
        <v>0</v>
      </c>
      <c r="D1084" s="18">
        <v>0</v>
      </c>
      <c r="E1084" s="18">
        <v>0</v>
      </c>
      <c r="F1084" s="18">
        <v>0</v>
      </c>
      <c r="G1084" s="18">
        <v>0</v>
      </c>
      <c r="H1084" s="19">
        <v>0</v>
      </c>
      <c r="I1084" s="19">
        <v>0</v>
      </c>
      <c r="J1084" s="19">
        <v>0</v>
      </c>
    </row>
    <row r="1085" spans="1:10" ht="11.25" customHeight="1" x14ac:dyDescent="0.2">
      <c r="A1085" s="28">
        <v>44409</v>
      </c>
      <c r="B1085" s="18">
        <v>0</v>
      </c>
      <c r="C1085" s="18">
        <v>0</v>
      </c>
      <c r="D1085" s="18">
        <v>0</v>
      </c>
      <c r="E1085" s="18">
        <v>0</v>
      </c>
      <c r="F1085" s="18">
        <v>0</v>
      </c>
      <c r="G1085" s="18">
        <v>0</v>
      </c>
      <c r="H1085" s="19">
        <v>0</v>
      </c>
      <c r="I1085" s="19">
        <v>0</v>
      </c>
      <c r="J1085" s="19">
        <v>0</v>
      </c>
    </row>
    <row r="1086" spans="1:10" ht="11.25" customHeight="1" x14ac:dyDescent="0.2">
      <c r="A1086" s="28">
        <v>44440</v>
      </c>
      <c r="B1086" s="18">
        <v>0</v>
      </c>
      <c r="C1086" s="18">
        <v>0</v>
      </c>
      <c r="D1086" s="18">
        <v>0</v>
      </c>
      <c r="E1086" s="18">
        <v>0</v>
      </c>
      <c r="F1086" s="18">
        <v>0</v>
      </c>
      <c r="G1086" s="18">
        <v>0</v>
      </c>
      <c r="H1086" s="19">
        <v>0</v>
      </c>
      <c r="I1086" s="19">
        <v>0</v>
      </c>
      <c r="J1086" s="19">
        <v>0</v>
      </c>
    </row>
    <row r="1087" spans="1:10" ht="11.25" customHeight="1" x14ac:dyDescent="0.2">
      <c r="A1087" s="28">
        <v>44470</v>
      </c>
      <c r="B1087" s="18">
        <v>0</v>
      </c>
      <c r="C1087" s="18">
        <v>0</v>
      </c>
      <c r="D1087" s="18">
        <v>0</v>
      </c>
      <c r="E1087" s="18">
        <v>0</v>
      </c>
      <c r="F1087" s="18">
        <v>0</v>
      </c>
      <c r="G1087" s="18">
        <v>0</v>
      </c>
      <c r="H1087" s="19">
        <v>0</v>
      </c>
      <c r="I1087" s="19">
        <v>0</v>
      </c>
      <c r="J1087" s="19">
        <v>0</v>
      </c>
    </row>
    <row r="1088" spans="1:10" ht="11.25" customHeight="1" x14ac:dyDescent="0.2">
      <c r="A1088" s="28">
        <v>44501</v>
      </c>
      <c r="B1088" s="18">
        <v>0</v>
      </c>
      <c r="C1088" s="18">
        <v>0</v>
      </c>
      <c r="D1088" s="18">
        <v>0</v>
      </c>
      <c r="E1088" s="18">
        <v>0</v>
      </c>
      <c r="F1088" s="18">
        <v>0</v>
      </c>
      <c r="G1088" s="18">
        <v>0</v>
      </c>
      <c r="H1088" s="19">
        <v>0</v>
      </c>
      <c r="I1088" s="19">
        <v>0</v>
      </c>
      <c r="J1088" s="19">
        <v>0</v>
      </c>
    </row>
    <row r="1089" spans="1:10" ht="11.25" customHeight="1" x14ac:dyDescent="0.2">
      <c r="A1089" s="28">
        <v>44531</v>
      </c>
      <c r="B1089" s="18">
        <v>0</v>
      </c>
      <c r="C1089" s="18">
        <v>0</v>
      </c>
      <c r="D1089" s="18">
        <v>0</v>
      </c>
      <c r="E1089" s="18">
        <v>0</v>
      </c>
      <c r="F1089" s="18">
        <v>0</v>
      </c>
      <c r="G1089" s="18">
        <v>0</v>
      </c>
      <c r="H1089" s="19">
        <v>0</v>
      </c>
      <c r="I1089" s="19">
        <v>0</v>
      </c>
      <c r="J1089" s="19">
        <v>0</v>
      </c>
    </row>
    <row r="1090" spans="1:10" ht="11.25" customHeight="1" x14ac:dyDescent="0.2">
      <c r="A1090" s="28">
        <v>44562</v>
      </c>
      <c r="B1090" s="18">
        <v>0</v>
      </c>
      <c r="C1090" s="18">
        <v>0</v>
      </c>
      <c r="D1090" s="18">
        <v>0</v>
      </c>
      <c r="E1090" s="18">
        <v>0</v>
      </c>
      <c r="F1090" s="18">
        <v>0</v>
      </c>
      <c r="G1090" s="18">
        <v>0</v>
      </c>
      <c r="H1090" s="19">
        <v>0</v>
      </c>
      <c r="I1090" s="19">
        <v>0</v>
      </c>
      <c r="J1090" s="19">
        <v>0</v>
      </c>
    </row>
    <row r="1091" spans="1:10" ht="11.25" customHeight="1" x14ac:dyDescent="0.2">
      <c r="A1091" s="28">
        <v>44593</v>
      </c>
      <c r="B1091" s="18">
        <v>0</v>
      </c>
      <c r="C1091" s="18">
        <v>0</v>
      </c>
      <c r="D1091" s="18">
        <v>0</v>
      </c>
      <c r="E1091" s="18">
        <v>0</v>
      </c>
      <c r="F1091" s="18">
        <v>0</v>
      </c>
      <c r="G1091" s="18">
        <v>0</v>
      </c>
      <c r="H1091" s="19">
        <v>0</v>
      </c>
      <c r="I1091" s="19">
        <v>0</v>
      </c>
      <c r="J1091" s="19">
        <v>0</v>
      </c>
    </row>
    <row r="1092" spans="1:10" ht="11.25" customHeight="1" x14ac:dyDescent="0.2">
      <c r="A1092" s="28">
        <v>44621</v>
      </c>
      <c r="B1092" s="18">
        <v>0</v>
      </c>
      <c r="C1092" s="18">
        <v>0</v>
      </c>
      <c r="D1092" s="18">
        <v>0</v>
      </c>
      <c r="E1092" s="18">
        <v>0</v>
      </c>
      <c r="F1092" s="18">
        <v>0</v>
      </c>
      <c r="G1092" s="18">
        <v>0</v>
      </c>
      <c r="H1092" s="19">
        <v>0</v>
      </c>
      <c r="I1092" s="19">
        <v>0</v>
      </c>
      <c r="J1092" s="19">
        <v>0</v>
      </c>
    </row>
    <row r="1093" spans="1:10" ht="11.25" customHeight="1" x14ac:dyDescent="0.2">
      <c r="A1093" s="28">
        <v>44652</v>
      </c>
      <c r="B1093" s="18">
        <v>0</v>
      </c>
      <c r="C1093" s="18">
        <v>0</v>
      </c>
      <c r="D1093" s="18">
        <v>0</v>
      </c>
      <c r="E1093" s="18">
        <v>0</v>
      </c>
      <c r="F1093" s="18">
        <v>0</v>
      </c>
      <c r="G1093" s="18">
        <v>0</v>
      </c>
      <c r="H1093" s="19">
        <v>0</v>
      </c>
      <c r="I1093" s="19">
        <v>0</v>
      </c>
      <c r="J1093" s="19">
        <v>0</v>
      </c>
    </row>
    <row r="1094" spans="1:10" ht="11.25" customHeight="1" x14ac:dyDescent="0.2">
      <c r="A1094" s="28">
        <v>44682</v>
      </c>
      <c r="B1094" s="18">
        <v>0</v>
      </c>
      <c r="C1094" s="18">
        <v>0</v>
      </c>
      <c r="D1094" s="18">
        <v>0</v>
      </c>
      <c r="E1094" s="18">
        <v>0</v>
      </c>
      <c r="F1094" s="18">
        <v>0</v>
      </c>
      <c r="G1094" s="18">
        <v>0</v>
      </c>
      <c r="H1094" s="19">
        <v>0</v>
      </c>
      <c r="I1094" s="19">
        <v>0</v>
      </c>
      <c r="J1094" s="19">
        <v>0</v>
      </c>
    </row>
    <row r="1095" spans="1:10" ht="11.25" customHeight="1" x14ac:dyDescent="0.2">
      <c r="A1095" s="26" t="s">
        <v>92</v>
      </c>
      <c r="B1095" s="18">
        <v>244944</v>
      </c>
      <c r="C1095" s="18">
        <v>256768.22892688078</v>
      </c>
      <c r="D1095" s="18">
        <v>0</v>
      </c>
      <c r="E1095" s="18">
        <v>0</v>
      </c>
      <c r="F1095" s="18">
        <v>0</v>
      </c>
      <c r="G1095" s="18">
        <v>0</v>
      </c>
      <c r="H1095" s="19">
        <v>4.827319275785813E-2</v>
      </c>
      <c r="I1095" s="19">
        <v>0</v>
      </c>
      <c r="J1095" s="19">
        <v>4.827319275785813E-2</v>
      </c>
    </row>
    <row r="1096" spans="1:10" ht="11.25" customHeight="1" x14ac:dyDescent="0.2">
      <c r="A1096" s="27" t="s">
        <v>25</v>
      </c>
      <c r="B1096" s="18">
        <v>244944</v>
      </c>
      <c r="C1096" s="18">
        <v>256768.22892688078</v>
      </c>
      <c r="D1096" s="18">
        <v>0</v>
      </c>
      <c r="E1096" s="18">
        <v>0</v>
      </c>
      <c r="F1096" s="18">
        <v>0</v>
      </c>
      <c r="G1096" s="18">
        <v>0</v>
      </c>
      <c r="H1096" s="19">
        <v>4.827319275785813E-2</v>
      </c>
      <c r="I1096" s="19">
        <v>0</v>
      </c>
      <c r="J1096" s="19">
        <v>4.827319275785813E-2</v>
      </c>
    </row>
    <row r="1097" spans="1:10" ht="11.25" customHeight="1" x14ac:dyDescent="0.2">
      <c r="A1097" s="28">
        <v>44348</v>
      </c>
      <c r="B1097" s="18">
        <v>20412</v>
      </c>
      <c r="C1097" s="18">
        <v>21397.352410573403</v>
      </c>
      <c r="D1097" s="18">
        <v>0</v>
      </c>
      <c r="E1097" s="18">
        <v>0</v>
      </c>
      <c r="F1097" s="18">
        <v>0</v>
      </c>
      <c r="G1097" s="18">
        <v>0</v>
      </c>
      <c r="H1097" s="19">
        <v>4.8273192757858352E-2</v>
      </c>
      <c r="I1097" s="19">
        <v>0</v>
      </c>
      <c r="J1097" s="19">
        <v>4.8273192757858352E-2</v>
      </c>
    </row>
    <row r="1098" spans="1:10" ht="11.25" customHeight="1" x14ac:dyDescent="0.2">
      <c r="A1098" s="28">
        <v>44378</v>
      </c>
      <c r="B1098" s="18">
        <v>20412</v>
      </c>
      <c r="C1098" s="18">
        <v>21397.352410573403</v>
      </c>
      <c r="D1098" s="18">
        <v>0</v>
      </c>
      <c r="E1098" s="18">
        <v>0</v>
      </c>
      <c r="F1098" s="18">
        <v>0</v>
      </c>
      <c r="G1098" s="18">
        <v>0</v>
      </c>
      <c r="H1098" s="19">
        <v>4.8273192757858352E-2</v>
      </c>
      <c r="I1098" s="19">
        <v>0</v>
      </c>
      <c r="J1098" s="19">
        <v>4.8273192757858352E-2</v>
      </c>
    </row>
    <row r="1099" spans="1:10" ht="11.25" customHeight="1" x14ac:dyDescent="0.2">
      <c r="A1099" s="28">
        <v>44409</v>
      </c>
      <c r="B1099" s="18">
        <v>20412</v>
      </c>
      <c r="C1099" s="18">
        <v>21397.352410573403</v>
      </c>
      <c r="D1099" s="18">
        <v>0</v>
      </c>
      <c r="E1099" s="18">
        <v>0</v>
      </c>
      <c r="F1099" s="18">
        <v>0</v>
      </c>
      <c r="G1099" s="18">
        <v>0</v>
      </c>
      <c r="H1099" s="19">
        <v>4.8273192757858352E-2</v>
      </c>
      <c r="I1099" s="19">
        <v>0</v>
      </c>
      <c r="J1099" s="19">
        <v>4.8273192757858352E-2</v>
      </c>
    </row>
    <row r="1100" spans="1:10" ht="11.25" customHeight="1" x14ac:dyDescent="0.2">
      <c r="A1100" s="28">
        <v>44440</v>
      </c>
      <c r="B1100" s="18">
        <v>20412</v>
      </c>
      <c r="C1100" s="18">
        <v>21397.352410573403</v>
      </c>
      <c r="D1100" s="18">
        <v>0</v>
      </c>
      <c r="E1100" s="18">
        <v>0</v>
      </c>
      <c r="F1100" s="18">
        <v>0</v>
      </c>
      <c r="G1100" s="18">
        <v>0</v>
      </c>
      <c r="H1100" s="19">
        <v>4.8273192757858352E-2</v>
      </c>
      <c r="I1100" s="19">
        <v>0</v>
      </c>
      <c r="J1100" s="19">
        <v>4.8273192757858352E-2</v>
      </c>
    </row>
    <row r="1101" spans="1:10" ht="11.25" customHeight="1" x14ac:dyDescent="0.2">
      <c r="A1101" s="28">
        <v>44470</v>
      </c>
      <c r="B1101" s="18">
        <v>20412</v>
      </c>
      <c r="C1101" s="18">
        <v>21397.352410573403</v>
      </c>
      <c r="D1101" s="18">
        <v>0</v>
      </c>
      <c r="E1101" s="18">
        <v>0</v>
      </c>
      <c r="F1101" s="18">
        <v>0</v>
      </c>
      <c r="G1101" s="18">
        <v>0</v>
      </c>
      <c r="H1101" s="19">
        <v>4.8273192757858352E-2</v>
      </c>
      <c r="I1101" s="19">
        <v>0</v>
      </c>
      <c r="J1101" s="19">
        <v>4.8273192757858352E-2</v>
      </c>
    </row>
    <row r="1102" spans="1:10" ht="11.25" customHeight="1" x14ac:dyDescent="0.2">
      <c r="A1102" s="28">
        <v>44501</v>
      </c>
      <c r="B1102" s="18">
        <v>20412</v>
      </c>
      <c r="C1102" s="18">
        <v>21397.352410573403</v>
      </c>
      <c r="D1102" s="18">
        <v>0</v>
      </c>
      <c r="E1102" s="18">
        <v>0</v>
      </c>
      <c r="F1102" s="18">
        <v>0</v>
      </c>
      <c r="G1102" s="18">
        <v>0</v>
      </c>
      <c r="H1102" s="19">
        <v>4.8273192757858352E-2</v>
      </c>
      <c r="I1102" s="19">
        <v>0</v>
      </c>
      <c r="J1102" s="19">
        <v>4.8273192757858352E-2</v>
      </c>
    </row>
    <row r="1103" spans="1:10" ht="11.25" customHeight="1" x14ac:dyDescent="0.2">
      <c r="A1103" s="28">
        <v>44531</v>
      </c>
      <c r="B1103" s="18">
        <v>20412</v>
      </c>
      <c r="C1103" s="18">
        <v>21397.352410573403</v>
      </c>
      <c r="D1103" s="18">
        <v>0</v>
      </c>
      <c r="E1103" s="18">
        <v>0</v>
      </c>
      <c r="F1103" s="18">
        <v>0</v>
      </c>
      <c r="G1103" s="18">
        <v>0</v>
      </c>
      <c r="H1103" s="19">
        <v>4.8273192757858352E-2</v>
      </c>
      <c r="I1103" s="19">
        <v>0</v>
      </c>
      <c r="J1103" s="19">
        <v>4.8273192757858352E-2</v>
      </c>
    </row>
    <row r="1104" spans="1:10" ht="11.25" customHeight="1" x14ac:dyDescent="0.2">
      <c r="A1104" s="28">
        <v>44562</v>
      </c>
      <c r="B1104" s="18">
        <v>20412</v>
      </c>
      <c r="C1104" s="18">
        <v>21397.352410573403</v>
      </c>
      <c r="D1104" s="18">
        <v>0</v>
      </c>
      <c r="E1104" s="18">
        <v>0</v>
      </c>
      <c r="F1104" s="18">
        <v>0</v>
      </c>
      <c r="G1104" s="18">
        <v>0</v>
      </c>
      <c r="H1104" s="19">
        <v>4.8273192757858352E-2</v>
      </c>
      <c r="I1104" s="19">
        <v>0</v>
      </c>
      <c r="J1104" s="19">
        <v>4.8273192757858352E-2</v>
      </c>
    </row>
    <row r="1105" spans="1:10" ht="11.25" customHeight="1" x14ac:dyDescent="0.2">
      <c r="A1105" s="28">
        <v>44593</v>
      </c>
      <c r="B1105" s="18">
        <v>20412</v>
      </c>
      <c r="C1105" s="18">
        <v>21397.352410573403</v>
      </c>
      <c r="D1105" s="18">
        <v>0</v>
      </c>
      <c r="E1105" s="18">
        <v>0</v>
      </c>
      <c r="F1105" s="18">
        <v>0</v>
      </c>
      <c r="G1105" s="18">
        <v>0</v>
      </c>
      <c r="H1105" s="19">
        <v>4.8273192757858352E-2</v>
      </c>
      <c r="I1105" s="19">
        <v>0</v>
      </c>
      <c r="J1105" s="19">
        <v>4.8273192757858352E-2</v>
      </c>
    </row>
    <row r="1106" spans="1:10" ht="11.25" customHeight="1" x14ac:dyDescent="0.2">
      <c r="A1106" s="28">
        <v>44621</v>
      </c>
      <c r="B1106" s="18">
        <v>20412</v>
      </c>
      <c r="C1106" s="18">
        <v>21397.352410573403</v>
      </c>
      <c r="D1106" s="18">
        <v>0</v>
      </c>
      <c r="E1106" s="18">
        <v>0</v>
      </c>
      <c r="F1106" s="18">
        <v>0</v>
      </c>
      <c r="G1106" s="18">
        <v>0</v>
      </c>
      <c r="H1106" s="19">
        <v>4.8273192757858352E-2</v>
      </c>
      <c r="I1106" s="19">
        <v>0</v>
      </c>
      <c r="J1106" s="19">
        <v>4.8273192757858352E-2</v>
      </c>
    </row>
    <row r="1107" spans="1:10" ht="11.25" customHeight="1" x14ac:dyDescent="0.2">
      <c r="A1107" s="28">
        <v>44652</v>
      </c>
      <c r="B1107" s="18">
        <v>20412</v>
      </c>
      <c r="C1107" s="18">
        <v>21397.352410573403</v>
      </c>
      <c r="D1107" s="18">
        <v>0</v>
      </c>
      <c r="E1107" s="18">
        <v>0</v>
      </c>
      <c r="F1107" s="18">
        <v>0</v>
      </c>
      <c r="G1107" s="18">
        <v>0</v>
      </c>
      <c r="H1107" s="19">
        <v>4.8273192757858352E-2</v>
      </c>
      <c r="I1107" s="19">
        <v>0</v>
      </c>
      <c r="J1107" s="19">
        <v>4.8273192757858352E-2</v>
      </c>
    </row>
    <row r="1108" spans="1:10" ht="11.25" customHeight="1" x14ac:dyDescent="0.2">
      <c r="A1108" s="28">
        <v>44682</v>
      </c>
      <c r="B1108" s="18">
        <v>20412</v>
      </c>
      <c r="C1108" s="18">
        <v>21397.352410573403</v>
      </c>
      <c r="D1108" s="18">
        <v>0</v>
      </c>
      <c r="E1108" s="18">
        <v>0</v>
      </c>
      <c r="F1108" s="18">
        <v>0</v>
      </c>
      <c r="G1108" s="18">
        <v>0</v>
      </c>
      <c r="H1108" s="19">
        <v>4.8273192757858352E-2</v>
      </c>
      <c r="I1108" s="19">
        <v>0</v>
      </c>
      <c r="J1108" s="19">
        <v>4.8273192757858352E-2</v>
      </c>
    </row>
    <row r="1109" spans="1:10" ht="11.25" customHeight="1" x14ac:dyDescent="0.2">
      <c r="A1109" s="26" t="s">
        <v>67</v>
      </c>
      <c r="B1109" s="18">
        <v>1149267.7009272003</v>
      </c>
      <c r="C1109" s="18">
        <v>1203622.6829257254</v>
      </c>
      <c r="D1109" s="18">
        <v>0</v>
      </c>
      <c r="E1109" s="18">
        <v>0</v>
      </c>
      <c r="F1109" s="18">
        <v>0</v>
      </c>
      <c r="G1109" s="18">
        <v>0</v>
      </c>
      <c r="H1109" s="19">
        <v>4.7295318536032083E-2</v>
      </c>
      <c r="I1109" s="19">
        <v>0</v>
      </c>
      <c r="J1109" s="19">
        <v>4.7295318536032083E-2</v>
      </c>
    </row>
    <row r="1110" spans="1:10" ht="11.25" customHeight="1" x14ac:dyDescent="0.2">
      <c r="A1110" s="27" t="s">
        <v>25</v>
      </c>
      <c r="B1110" s="18">
        <v>1149267.7009272003</v>
      </c>
      <c r="C1110" s="18">
        <v>1203622.6829257254</v>
      </c>
      <c r="D1110" s="18">
        <v>0</v>
      </c>
      <c r="E1110" s="18">
        <v>0</v>
      </c>
      <c r="F1110" s="18">
        <v>0</v>
      </c>
      <c r="G1110" s="18">
        <v>0</v>
      </c>
      <c r="H1110" s="19">
        <v>4.7295318536032083E-2</v>
      </c>
      <c r="I1110" s="19">
        <v>0</v>
      </c>
      <c r="J1110" s="19">
        <v>4.7295318536032083E-2</v>
      </c>
    </row>
    <row r="1111" spans="1:10" ht="11.25" customHeight="1" x14ac:dyDescent="0.2">
      <c r="A1111" s="28">
        <v>44348</v>
      </c>
      <c r="B1111" s="18">
        <v>95772.308410600002</v>
      </c>
      <c r="C1111" s="18">
        <v>100301.89024381044</v>
      </c>
      <c r="D1111" s="18">
        <v>0</v>
      </c>
      <c r="E1111" s="18">
        <v>0</v>
      </c>
      <c r="F1111" s="18">
        <v>0</v>
      </c>
      <c r="G1111" s="18">
        <v>0</v>
      </c>
      <c r="H1111" s="19">
        <v>4.7295318536032083E-2</v>
      </c>
      <c r="I1111" s="19">
        <v>0</v>
      </c>
      <c r="J1111" s="19">
        <v>4.7295318536032083E-2</v>
      </c>
    </row>
    <row r="1112" spans="1:10" ht="11.25" customHeight="1" x14ac:dyDescent="0.2">
      <c r="A1112" s="28">
        <v>44378</v>
      </c>
      <c r="B1112" s="18">
        <v>95772.308410600002</v>
      </c>
      <c r="C1112" s="18">
        <v>100301.89024381044</v>
      </c>
      <c r="D1112" s="18">
        <v>0</v>
      </c>
      <c r="E1112" s="18">
        <v>0</v>
      </c>
      <c r="F1112" s="18">
        <v>0</v>
      </c>
      <c r="G1112" s="18">
        <v>0</v>
      </c>
      <c r="H1112" s="19">
        <v>4.7295318536032083E-2</v>
      </c>
      <c r="I1112" s="19">
        <v>0</v>
      </c>
      <c r="J1112" s="19">
        <v>4.7295318536032083E-2</v>
      </c>
    </row>
    <row r="1113" spans="1:10" ht="11.25" customHeight="1" x14ac:dyDescent="0.2">
      <c r="A1113" s="28">
        <v>44409</v>
      </c>
      <c r="B1113" s="18">
        <v>95772.308410600002</v>
      </c>
      <c r="C1113" s="18">
        <v>100301.89024381044</v>
      </c>
      <c r="D1113" s="18">
        <v>0</v>
      </c>
      <c r="E1113" s="18">
        <v>0</v>
      </c>
      <c r="F1113" s="18">
        <v>0</v>
      </c>
      <c r="G1113" s="18">
        <v>0</v>
      </c>
      <c r="H1113" s="19">
        <v>4.7295318536032083E-2</v>
      </c>
      <c r="I1113" s="19">
        <v>0</v>
      </c>
      <c r="J1113" s="19">
        <v>4.7295318536032083E-2</v>
      </c>
    </row>
    <row r="1114" spans="1:10" ht="11.25" customHeight="1" x14ac:dyDescent="0.2">
      <c r="A1114" s="28">
        <v>44440</v>
      </c>
      <c r="B1114" s="18">
        <v>95772.308410600002</v>
      </c>
      <c r="C1114" s="18">
        <v>100301.89024381044</v>
      </c>
      <c r="D1114" s="18">
        <v>0</v>
      </c>
      <c r="E1114" s="18">
        <v>0</v>
      </c>
      <c r="F1114" s="18">
        <v>0</v>
      </c>
      <c r="G1114" s="18">
        <v>0</v>
      </c>
      <c r="H1114" s="19">
        <v>4.7295318536032083E-2</v>
      </c>
      <c r="I1114" s="19">
        <v>0</v>
      </c>
      <c r="J1114" s="19">
        <v>4.7295318536032083E-2</v>
      </c>
    </row>
    <row r="1115" spans="1:10" ht="11.25" customHeight="1" x14ac:dyDescent="0.2">
      <c r="A1115" s="28">
        <v>44470</v>
      </c>
      <c r="B1115" s="18">
        <v>95772.308410600002</v>
      </c>
      <c r="C1115" s="18">
        <v>100301.89024381044</v>
      </c>
      <c r="D1115" s="18">
        <v>0</v>
      </c>
      <c r="E1115" s="18">
        <v>0</v>
      </c>
      <c r="F1115" s="18">
        <v>0</v>
      </c>
      <c r="G1115" s="18">
        <v>0</v>
      </c>
      <c r="H1115" s="19">
        <v>4.7295318536032083E-2</v>
      </c>
      <c r="I1115" s="19">
        <v>0</v>
      </c>
      <c r="J1115" s="19">
        <v>4.7295318536032083E-2</v>
      </c>
    </row>
    <row r="1116" spans="1:10" ht="11.25" customHeight="1" x14ac:dyDescent="0.2">
      <c r="A1116" s="28">
        <v>44501</v>
      </c>
      <c r="B1116" s="18">
        <v>95772.308410600002</v>
      </c>
      <c r="C1116" s="18">
        <v>100301.89024381044</v>
      </c>
      <c r="D1116" s="18">
        <v>0</v>
      </c>
      <c r="E1116" s="18">
        <v>0</v>
      </c>
      <c r="F1116" s="18">
        <v>0</v>
      </c>
      <c r="G1116" s="18">
        <v>0</v>
      </c>
      <c r="H1116" s="19">
        <v>4.7295318536032083E-2</v>
      </c>
      <c r="I1116" s="19">
        <v>0</v>
      </c>
      <c r="J1116" s="19">
        <v>4.7295318536032083E-2</v>
      </c>
    </row>
    <row r="1117" spans="1:10" ht="11.25" customHeight="1" x14ac:dyDescent="0.2">
      <c r="A1117" s="28">
        <v>44531</v>
      </c>
      <c r="B1117" s="18">
        <v>95772.308410600002</v>
      </c>
      <c r="C1117" s="18">
        <v>100301.89024381044</v>
      </c>
      <c r="D1117" s="18">
        <v>0</v>
      </c>
      <c r="E1117" s="18">
        <v>0</v>
      </c>
      <c r="F1117" s="18">
        <v>0</v>
      </c>
      <c r="G1117" s="18">
        <v>0</v>
      </c>
      <c r="H1117" s="19">
        <v>4.7295318536032083E-2</v>
      </c>
      <c r="I1117" s="19">
        <v>0</v>
      </c>
      <c r="J1117" s="19">
        <v>4.7295318536032083E-2</v>
      </c>
    </row>
    <row r="1118" spans="1:10" ht="11.25" customHeight="1" x14ac:dyDescent="0.2">
      <c r="A1118" s="28">
        <v>44562</v>
      </c>
      <c r="B1118" s="18">
        <v>95772.308410600002</v>
      </c>
      <c r="C1118" s="18">
        <v>100301.89024381044</v>
      </c>
      <c r="D1118" s="18">
        <v>0</v>
      </c>
      <c r="E1118" s="18">
        <v>0</v>
      </c>
      <c r="F1118" s="18">
        <v>0</v>
      </c>
      <c r="G1118" s="18">
        <v>0</v>
      </c>
      <c r="H1118" s="19">
        <v>4.7295318536032083E-2</v>
      </c>
      <c r="I1118" s="19">
        <v>0</v>
      </c>
      <c r="J1118" s="19">
        <v>4.7295318536032083E-2</v>
      </c>
    </row>
    <row r="1119" spans="1:10" ht="11.25" customHeight="1" x14ac:dyDescent="0.2">
      <c r="A1119" s="28">
        <v>44593</v>
      </c>
      <c r="B1119" s="18">
        <v>95772.308410600002</v>
      </c>
      <c r="C1119" s="18">
        <v>100301.89024381044</v>
      </c>
      <c r="D1119" s="18">
        <v>0</v>
      </c>
      <c r="E1119" s="18">
        <v>0</v>
      </c>
      <c r="F1119" s="18">
        <v>0</v>
      </c>
      <c r="G1119" s="18">
        <v>0</v>
      </c>
      <c r="H1119" s="19">
        <v>4.7295318536032083E-2</v>
      </c>
      <c r="I1119" s="19">
        <v>0</v>
      </c>
      <c r="J1119" s="19">
        <v>4.7295318536032083E-2</v>
      </c>
    </row>
    <row r="1120" spans="1:10" ht="11.25" customHeight="1" x14ac:dyDescent="0.2">
      <c r="A1120" s="28">
        <v>44621</v>
      </c>
      <c r="B1120" s="18">
        <v>95772.308410600002</v>
      </c>
      <c r="C1120" s="18">
        <v>100301.89024381044</v>
      </c>
      <c r="D1120" s="18">
        <v>0</v>
      </c>
      <c r="E1120" s="18">
        <v>0</v>
      </c>
      <c r="F1120" s="18">
        <v>0</v>
      </c>
      <c r="G1120" s="18">
        <v>0</v>
      </c>
      <c r="H1120" s="19">
        <v>4.7295318536032083E-2</v>
      </c>
      <c r="I1120" s="19">
        <v>0</v>
      </c>
      <c r="J1120" s="19">
        <v>4.7295318536032083E-2</v>
      </c>
    </row>
    <row r="1121" spans="1:10" ht="11.25" customHeight="1" x14ac:dyDescent="0.2">
      <c r="A1121" s="28">
        <v>44652</v>
      </c>
      <c r="B1121" s="18">
        <v>95772.308410600002</v>
      </c>
      <c r="C1121" s="18">
        <v>100301.89024381044</v>
      </c>
      <c r="D1121" s="18">
        <v>0</v>
      </c>
      <c r="E1121" s="18">
        <v>0</v>
      </c>
      <c r="F1121" s="18">
        <v>0</v>
      </c>
      <c r="G1121" s="18">
        <v>0</v>
      </c>
      <c r="H1121" s="19">
        <v>4.7295318536032083E-2</v>
      </c>
      <c r="I1121" s="19">
        <v>0</v>
      </c>
      <c r="J1121" s="19">
        <v>4.7295318536032083E-2</v>
      </c>
    </row>
    <row r="1122" spans="1:10" ht="11.25" customHeight="1" x14ac:dyDescent="0.2">
      <c r="A1122" s="28">
        <v>44682</v>
      </c>
      <c r="B1122" s="18">
        <v>95772.308410600002</v>
      </c>
      <c r="C1122" s="18">
        <v>100301.89024381044</v>
      </c>
      <c r="D1122" s="18">
        <v>0</v>
      </c>
      <c r="E1122" s="18">
        <v>0</v>
      </c>
      <c r="F1122" s="18">
        <v>0</v>
      </c>
      <c r="G1122" s="18">
        <v>0</v>
      </c>
      <c r="H1122" s="19">
        <v>4.7295318536032083E-2</v>
      </c>
      <c r="I1122" s="19">
        <v>0</v>
      </c>
      <c r="J1122" s="19">
        <v>4.7295318536032083E-2</v>
      </c>
    </row>
    <row r="1123" spans="1:10" ht="11.25" customHeight="1" x14ac:dyDescent="0.2">
      <c r="A1123" s="26" t="s">
        <v>75</v>
      </c>
      <c r="B1123" s="18">
        <v>2620242.2999999998</v>
      </c>
      <c r="C1123" s="18">
        <v>2749620.3497391175</v>
      </c>
      <c r="D1123" s="18">
        <v>0</v>
      </c>
      <c r="E1123" s="18">
        <v>0</v>
      </c>
      <c r="F1123" s="18">
        <v>0</v>
      </c>
      <c r="G1123" s="18">
        <v>0</v>
      </c>
      <c r="H1123" s="19">
        <v>4.937636864312811E-2</v>
      </c>
      <c r="I1123" s="19">
        <v>0</v>
      </c>
      <c r="J1123" s="19">
        <v>4.937636864312811E-2</v>
      </c>
    </row>
    <row r="1124" spans="1:10" ht="11.25" customHeight="1" x14ac:dyDescent="0.2">
      <c r="A1124" s="27" t="s">
        <v>25</v>
      </c>
      <c r="B1124" s="18">
        <v>2620242.2999999998</v>
      </c>
      <c r="C1124" s="18">
        <v>2749620.3497391175</v>
      </c>
      <c r="D1124" s="18">
        <v>0</v>
      </c>
      <c r="E1124" s="18">
        <v>0</v>
      </c>
      <c r="F1124" s="18">
        <v>0</v>
      </c>
      <c r="G1124" s="18">
        <v>0</v>
      </c>
      <c r="H1124" s="19">
        <v>4.937636864312811E-2</v>
      </c>
      <c r="I1124" s="19">
        <v>0</v>
      </c>
      <c r="J1124" s="19">
        <v>4.937636864312811E-2</v>
      </c>
    </row>
    <row r="1125" spans="1:10" ht="11.25" customHeight="1" x14ac:dyDescent="0.2">
      <c r="A1125" s="28">
        <v>44348</v>
      </c>
      <c r="B1125" s="18">
        <v>217438.49999999997</v>
      </c>
      <c r="C1125" s="18">
        <v>228174.82353320881</v>
      </c>
      <c r="D1125" s="18">
        <v>0</v>
      </c>
      <c r="E1125" s="18">
        <v>0</v>
      </c>
      <c r="F1125" s="18">
        <v>0</v>
      </c>
      <c r="G1125" s="18">
        <v>0</v>
      </c>
      <c r="H1125" s="19">
        <v>4.9376368643128332E-2</v>
      </c>
      <c r="I1125" s="19">
        <v>0</v>
      </c>
      <c r="J1125" s="19">
        <v>4.9376368643128332E-2</v>
      </c>
    </row>
    <row r="1126" spans="1:10" ht="11.25" customHeight="1" x14ac:dyDescent="0.2">
      <c r="A1126" s="28">
        <v>44378</v>
      </c>
      <c r="B1126" s="18">
        <v>221135.99999999997</v>
      </c>
      <c r="C1126" s="18">
        <v>232054.89265626678</v>
      </c>
      <c r="D1126" s="18">
        <v>0</v>
      </c>
      <c r="E1126" s="18">
        <v>0</v>
      </c>
      <c r="F1126" s="18">
        <v>0</v>
      </c>
      <c r="G1126" s="18">
        <v>0</v>
      </c>
      <c r="H1126" s="19">
        <v>4.9376368643128332E-2</v>
      </c>
      <c r="I1126" s="19">
        <v>0</v>
      </c>
      <c r="J1126" s="19">
        <v>4.9376368643128332E-2</v>
      </c>
    </row>
    <row r="1127" spans="1:10" ht="11.25" customHeight="1" x14ac:dyDescent="0.2">
      <c r="A1127" s="28">
        <v>44409</v>
      </c>
      <c r="B1127" s="18">
        <v>222977.09999999998</v>
      </c>
      <c r="C1127" s="18">
        <v>233986.89948857564</v>
      </c>
      <c r="D1127" s="18">
        <v>0</v>
      </c>
      <c r="E1127" s="18">
        <v>0</v>
      </c>
      <c r="F1127" s="18">
        <v>0</v>
      </c>
      <c r="G1127" s="18">
        <v>0</v>
      </c>
      <c r="H1127" s="19">
        <v>4.937636864312811E-2</v>
      </c>
      <c r="I1127" s="19">
        <v>0</v>
      </c>
      <c r="J1127" s="19">
        <v>4.937636864312811E-2</v>
      </c>
    </row>
    <row r="1128" spans="1:10" ht="11.25" customHeight="1" x14ac:dyDescent="0.2">
      <c r="A1128" s="28">
        <v>44440</v>
      </c>
      <c r="B1128" s="18">
        <v>224690.69999999998</v>
      </c>
      <c r="C1128" s="18">
        <v>235785.1108338825</v>
      </c>
      <c r="D1128" s="18">
        <v>0</v>
      </c>
      <c r="E1128" s="18">
        <v>0</v>
      </c>
      <c r="F1128" s="18">
        <v>0</v>
      </c>
      <c r="G1128" s="18">
        <v>0</v>
      </c>
      <c r="H1128" s="19">
        <v>4.937636864312811E-2</v>
      </c>
      <c r="I1128" s="19">
        <v>0</v>
      </c>
      <c r="J1128" s="19">
        <v>4.937636864312811E-2</v>
      </c>
    </row>
    <row r="1129" spans="1:10" ht="11.25" customHeight="1" x14ac:dyDescent="0.2">
      <c r="A1129" s="28">
        <v>44470</v>
      </c>
      <c r="B1129" s="18">
        <v>216749.99999999997</v>
      </c>
      <c r="C1129" s="18">
        <v>227452.32790339802</v>
      </c>
      <c r="D1129" s="18">
        <v>0</v>
      </c>
      <c r="E1129" s="18">
        <v>0</v>
      </c>
      <c r="F1129" s="18">
        <v>0</v>
      </c>
      <c r="G1129" s="18">
        <v>0</v>
      </c>
      <c r="H1129" s="19">
        <v>4.9376368643128332E-2</v>
      </c>
      <c r="I1129" s="19">
        <v>0</v>
      </c>
      <c r="J1129" s="19">
        <v>4.9376368643128332E-2</v>
      </c>
    </row>
    <row r="1130" spans="1:10" ht="11.25" customHeight="1" x14ac:dyDescent="0.2">
      <c r="A1130" s="28">
        <v>44501</v>
      </c>
      <c r="B1130" s="18">
        <v>216749.99999999997</v>
      </c>
      <c r="C1130" s="18">
        <v>227452.32790339802</v>
      </c>
      <c r="D1130" s="18">
        <v>0</v>
      </c>
      <c r="E1130" s="18">
        <v>0</v>
      </c>
      <c r="F1130" s="18">
        <v>0</v>
      </c>
      <c r="G1130" s="18">
        <v>0</v>
      </c>
      <c r="H1130" s="19">
        <v>4.9376368643128332E-2</v>
      </c>
      <c r="I1130" s="19">
        <v>0</v>
      </c>
      <c r="J1130" s="19">
        <v>4.9376368643128332E-2</v>
      </c>
    </row>
    <row r="1131" spans="1:10" ht="11.25" customHeight="1" x14ac:dyDescent="0.2">
      <c r="A1131" s="28">
        <v>44531</v>
      </c>
      <c r="B1131" s="18">
        <v>216749.99999999997</v>
      </c>
      <c r="C1131" s="18">
        <v>227452.32790339802</v>
      </c>
      <c r="D1131" s="18">
        <v>0</v>
      </c>
      <c r="E1131" s="18">
        <v>0</v>
      </c>
      <c r="F1131" s="18">
        <v>0</v>
      </c>
      <c r="G1131" s="18">
        <v>0</v>
      </c>
      <c r="H1131" s="19">
        <v>4.9376368643128332E-2</v>
      </c>
      <c r="I1131" s="19">
        <v>0</v>
      </c>
      <c r="J1131" s="19">
        <v>4.9376368643128332E-2</v>
      </c>
    </row>
    <row r="1132" spans="1:10" ht="11.25" customHeight="1" x14ac:dyDescent="0.2">
      <c r="A1132" s="28">
        <v>44562</v>
      </c>
      <c r="B1132" s="18">
        <v>216749.99999999997</v>
      </c>
      <c r="C1132" s="18">
        <v>227452.32790339802</v>
      </c>
      <c r="D1132" s="18">
        <v>0</v>
      </c>
      <c r="E1132" s="18">
        <v>0</v>
      </c>
      <c r="F1132" s="18">
        <v>0</v>
      </c>
      <c r="G1132" s="18">
        <v>0</v>
      </c>
      <c r="H1132" s="19">
        <v>4.9376368643128332E-2</v>
      </c>
      <c r="I1132" s="19">
        <v>0</v>
      </c>
      <c r="J1132" s="19">
        <v>4.9376368643128332E-2</v>
      </c>
    </row>
    <row r="1133" spans="1:10" ht="11.25" customHeight="1" x14ac:dyDescent="0.2">
      <c r="A1133" s="28">
        <v>44593</v>
      </c>
      <c r="B1133" s="18">
        <v>216749.99999999997</v>
      </c>
      <c r="C1133" s="18">
        <v>227452.32790339802</v>
      </c>
      <c r="D1133" s="18">
        <v>0</v>
      </c>
      <c r="E1133" s="18">
        <v>0</v>
      </c>
      <c r="F1133" s="18">
        <v>0</v>
      </c>
      <c r="G1133" s="18">
        <v>0</v>
      </c>
      <c r="H1133" s="19">
        <v>4.9376368643128332E-2</v>
      </c>
      <c r="I1133" s="19">
        <v>0</v>
      </c>
      <c r="J1133" s="19">
        <v>4.9376368643128332E-2</v>
      </c>
    </row>
    <row r="1134" spans="1:10" ht="11.25" customHeight="1" x14ac:dyDescent="0.2">
      <c r="A1134" s="28">
        <v>44621</v>
      </c>
      <c r="B1134" s="18">
        <v>216749.99999999997</v>
      </c>
      <c r="C1134" s="18">
        <v>227452.32790339802</v>
      </c>
      <c r="D1134" s="18">
        <v>0</v>
      </c>
      <c r="E1134" s="18">
        <v>0</v>
      </c>
      <c r="F1134" s="18">
        <v>0</v>
      </c>
      <c r="G1134" s="18">
        <v>0</v>
      </c>
      <c r="H1134" s="19">
        <v>4.9376368643128332E-2</v>
      </c>
      <c r="I1134" s="19">
        <v>0</v>
      </c>
      <c r="J1134" s="19">
        <v>4.9376368643128332E-2</v>
      </c>
    </row>
    <row r="1135" spans="1:10" ht="11.25" customHeight="1" x14ac:dyDescent="0.2">
      <c r="A1135" s="28">
        <v>44652</v>
      </c>
      <c r="B1135" s="18">
        <v>216749.99999999997</v>
      </c>
      <c r="C1135" s="18">
        <v>227452.32790339802</v>
      </c>
      <c r="D1135" s="18">
        <v>0</v>
      </c>
      <c r="E1135" s="18">
        <v>0</v>
      </c>
      <c r="F1135" s="18">
        <v>0</v>
      </c>
      <c r="G1135" s="18">
        <v>0</v>
      </c>
      <c r="H1135" s="19">
        <v>4.9376368643128332E-2</v>
      </c>
      <c r="I1135" s="19">
        <v>0</v>
      </c>
      <c r="J1135" s="19">
        <v>4.9376368643128332E-2</v>
      </c>
    </row>
    <row r="1136" spans="1:10" ht="11.25" customHeight="1" x14ac:dyDescent="0.2">
      <c r="A1136" s="28">
        <v>44682</v>
      </c>
      <c r="B1136" s="18">
        <v>216749.99999999997</v>
      </c>
      <c r="C1136" s="18">
        <v>227452.32790339802</v>
      </c>
      <c r="D1136" s="18">
        <v>0</v>
      </c>
      <c r="E1136" s="18">
        <v>0</v>
      </c>
      <c r="F1136" s="18">
        <v>0</v>
      </c>
      <c r="G1136" s="18">
        <v>0</v>
      </c>
      <c r="H1136" s="19">
        <v>4.9376368643128332E-2</v>
      </c>
      <c r="I1136" s="19">
        <v>0</v>
      </c>
      <c r="J1136" s="19">
        <v>4.9376368643128332E-2</v>
      </c>
    </row>
    <row r="1137" spans="1:10" ht="11.25" customHeight="1" x14ac:dyDescent="0.2">
      <c r="A1137" s="21" t="s">
        <v>39</v>
      </c>
      <c r="B1137" s="18">
        <v>5071342.0800000019</v>
      </c>
      <c r="C1137" s="18">
        <v>5950896.5750941895</v>
      </c>
      <c r="D1137" s="18">
        <v>0</v>
      </c>
      <c r="E1137" s="18">
        <v>0</v>
      </c>
      <c r="F1137" s="18">
        <v>0</v>
      </c>
      <c r="G1137" s="18">
        <v>0</v>
      </c>
      <c r="H1137" s="19">
        <v>0.17343623861677804</v>
      </c>
      <c r="I1137" s="19">
        <v>0</v>
      </c>
      <c r="J1137" s="19">
        <v>0.17343623861677804</v>
      </c>
    </row>
    <row r="1138" spans="1:10" ht="11.25" customHeight="1" x14ac:dyDescent="0.2">
      <c r="A1138" s="22" t="s">
        <v>64</v>
      </c>
      <c r="B1138" s="18">
        <v>5071342.0800000019</v>
      </c>
      <c r="C1138" s="18">
        <v>5950896.5750941895</v>
      </c>
      <c r="D1138" s="18">
        <v>0</v>
      </c>
      <c r="E1138" s="18">
        <v>0</v>
      </c>
      <c r="F1138" s="18">
        <v>0</v>
      </c>
      <c r="G1138" s="18">
        <v>0</v>
      </c>
      <c r="H1138" s="19">
        <v>0.17343623861677804</v>
      </c>
      <c r="I1138" s="19">
        <v>0</v>
      </c>
      <c r="J1138" s="19">
        <v>0.17343623861677804</v>
      </c>
    </row>
    <row r="1139" spans="1:10" ht="11.25" customHeight="1" x14ac:dyDescent="0.2">
      <c r="A1139" s="23" t="s">
        <v>25</v>
      </c>
      <c r="B1139" s="18">
        <v>5071342.0800000019</v>
      </c>
      <c r="C1139" s="18">
        <v>5950896.5750941895</v>
      </c>
      <c r="D1139" s="18">
        <v>0</v>
      </c>
      <c r="E1139" s="18">
        <v>0</v>
      </c>
      <c r="F1139" s="18">
        <v>0</v>
      </c>
      <c r="G1139" s="18">
        <v>0</v>
      </c>
      <c r="H1139" s="19">
        <v>0.17343623861677804</v>
      </c>
      <c r="I1139" s="19">
        <v>0</v>
      </c>
      <c r="J1139" s="19">
        <v>0.17343623861677804</v>
      </c>
    </row>
    <row r="1140" spans="1:10" ht="11.25" customHeight="1" x14ac:dyDescent="0.2">
      <c r="A1140" s="24" t="s">
        <v>25</v>
      </c>
      <c r="B1140" s="18">
        <v>5071342.0800000019</v>
      </c>
      <c r="C1140" s="18">
        <v>5950896.5750941895</v>
      </c>
      <c r="D1140" s="18">
        <v>0</v>
      </c>
      <c r="E1140" s="18">
        <v>0</v>
      </c>
      <c r="F1140" s="18">
        <v>0</v>
      </c>
      <c r="G1140" s="18">
        <v>0</v>
      </c>
      <c r="H1140" s="19">
        <v>0.17343623861677804</v>
      </c>
      <c r="I1140" s="19">
        <v>0</v>
      </c>
      <c r="J1140" s="19">
        <v>0.17343623861677804</v>
      </c>
    </row>
    <row r="1141" spans="1:10" ht="11.25" customHeight="1" x14ac:dyDescent="0.2">
      <c r="A1141" s="25" t="s">
        <v>25</v>
      </c>
      <c r="B1141" s="18">
        <v>5071342.0800000019</v>
      </c>
      <c r="C1141" s="18">
        <v>5950896.5750941895</v>
      </c>
      <c r="D1141" s="18">
        <v>0</v>
      </c>
      <c r="E1141" s="18">
        <v>0</v>
      </c>
      <c r="F1141" s="18">
        <v>0</v>
      </c>
      <c r="G1141" s="18">
        <v>0</v>
      </c>
      <c r="H1141" s="19">
        <v>0.17343623861677804</v>
      </c>
      <c r="I1141" s="19">
        <v>0</v>
      </c>
      <c r="J1141" s="19">
        <v>0.17343623861677804</v>
      </c>
    </row>
    <row r="1142" spans="1:10" ht="11.25" customHeight="1" x14ac:dyDescent="0.2">
      <c r="A1142" s="26" t="s">
        <v>85</v>
      </c>
      <c r="B1142" s="18">
        <v>0</v>
      </c>
      <c r="C1142" s="18">
        <v>0</v>
      </c>
      <c r="D1142" s="18">
        <v>0</v>
      </c>
      <c r="E1142" s="18">
        <v>0</v>
      </c>
      <c r="F1142" s="18">
        <v>0</v>
      </c>
      <c r="G1142" s="18">
        <v>0</v>
      </c>
      <c r="H1142" s="19">
        <v>0</v>
      </c>
      <c r="I1142" s="19">
        <v>0</v>
      </c>
      <c r="J1142" s="19">
        <v>0</v>
      </c>
    </row>
    <row r="1143" spans="1:10" ht="11.25" customHeight="1" x14ac:dyDescent="0.2">
      <c r="A1143" s="27" t="s">
        <v>25</v>
      </c>
      <c r="B1143" s="18">
        <v>0</v>
      </c>
      <c r="C1143" s="18">
        <v>0</v>
      </c>
      <c r="D1143" s="18">
        <v>0</v>
      </c>
      <c r="E1143" s="18">
        <v>0</v>
      </c>
      <c r="F1143" s="18">
        <v>0</v>
      </c>
      <c r="G1143" s="18">
        <v>0</v>
      </c>
      <c r="H1143" s="19">
        <v>0</v>
      </c>
      <c r="I1143" s="19">
        <v>0</v>
      </c>
      <c r="J1143" s="19">
        <v>0</v>
      </c>
    </row>
    <row r="1144" spans="1:10" ht="11.25" customHeight="1" x14ac:dyDescent="0.2">
      <c r="A1144" s="28">
        <v>44348</v>
      </c>
      <c r="B1144" s="18">
        <v>0</v>
      </c>
      <c r="C1144" s="18">
        <v>0</v>
      </c>
      <c r="D1144" s="18">
        <v>0</v>
      </c>
      <c r="E1144" s="18">
        <v>0</v>
      </c>
      <c r="F1144" s="18">
        <v>0</v>
      </c>
      <c r="G1144" s="18">
        <v>0</v>
      </c>
      <c r="H1144" s="19">
        <v>0</v>
      </c>
      <c r="I1144" s="19">
        <v>0</v>
      </c>
      <c r="J1144" s="19">
        <v>0</v>
      </c>
    </row>
    <row r="1145" spans="1:10" ht="11.25" customHeight="1" x14ac:dyDescent="0.2">
      <c r="A1145" s="28">
        <v>44378</v>
      </c>
      <c r="B1145" s="18">
        <v>0</v>
      </c>
      <c r="C1145" s="18">
        <v>0</v>
      </c>
      <c r="D1145" s="18">
        <v>0</v>
      </c>
      <c r="E1145" s="18">
        <v>0</v>
      </c>
      <c r="F1145" s="18">
        <v>0</v>
      </c>
      <c r="G1145" s="18">
        <v>0</v>
      </c>
      <c r="H1145" s="19">
        <v>0</v>
      </c>
      <c r="I1145" s="19">
        <v>0</v>
      </c>
      <c r="J1145" s="19">
        <v>0</v>
      </c>
    </row>
    <row r="1146" spans="1:10" ht="11.25" customHeight="1" x14ac:dyDescent="0.2">
      <c r="A1146" s="28">
        <v>44409</v>
      </c>
      <c r="B1146" s="18">
        <v>0</v>
      </c>
      <c r="C1146" s="18">
        <v>0</v>
      </c>
      <c r="D1146" s="18">
        <v>0</v>
      </c>
      <c r="E1146" s="18">
        <v>0</v>
      </c>
      <c r="F1146" s="18">
        <v>0</v>
      </c>
      <c r="G1146" s="18">
        <v>0</v>
      </c>
      <c r="H1146" s="19">
        <v>0</v>
      </c>
      <c r="I1146" s="19">
        <v>0</v>
      </c>
      <c r="J1146" s="19">
        <v>0</v>
      </c>
    </row>
    <row r="1147" spans="1:10" ht="11.25" customHeight="1" x14ac:dyDescent="0.2">
      <c r="A1147" s="28">
        <v>44440</v>
      </c>
      <c r="B1147" s="18">
        <v>0</v>
      </c>
      <c r="C1147" s="18">
        <v>0</v>
      </c>
      <c r="D1147" s="18">
        <v>0</v>
      </c>
      <c r="E1147" s="18">
        <v>0</v>
      </c>
      <c r="F1147" s="18">
        <v>0</v>
      </c>
      <c r="G1147" s="18">
        <v>0</v>
      </c>
      <c r="H1147" s="19">
        <v>0</v>
      </c>
      <c r="I1147" s="19">
        <v>0</v>
      </c>
      <c r="J1147" s="19">
        <v>0</v>
      </c>
    </row>
    <row r="1148" spans="1:10" ht="11.25" customHeight="1" x14ac:dyDescent="0.2">
      <c r="A1148" s="28">
        <v>44470</v>
      </c>
      <c r="B1148" s="18">
        <v>0</v>
      </c>
      <c r="C1148" s="18">
        <v>0</v>
      </c>
      <c r="D1148" s="18">
        <v>0</v>
      </c>
      <c r="E1148" s="18">
        <v>0</v>
      </c>
      <c r="F1148" s="18">
        <v>0</v>
      </c>
      <c r="G1148" s="18">
        <v>0</v>
      </c>
      <c r="H1148" s="19">
        <v>0</v>
      </c>
      <c r="I1148" s="19">
        <v>0</v>
      </c>
      <c r="J1148" s="19">
        <v>0</v>
      </c>
    </row>
    <row r="1149" spans="1:10" ht="11.25" customHeight="1" x14ac:dyDescent="0.2">
      <c r="A1149" s="28">
        <v>44501</v>
      </c>
      <c r="B1149" s="18">
        <v>0</v>
      </c>
      <c r="C1149" s="18">
        <v>0</v>
      </c>
      <c r="D1149" s="18">
        <v>0</v>
      </c>
      <c r="E1149" s="18">
        <v>0</v>
      </c>
      <c r="F1149" s="18">
        <v>0</v>
      </c>
      <c r="G1149" s="18">
        <v>0</v>
      </c>
      <c r="H1149" s="19">
        <v>0</v>
      </c>
      <c r="I1149" s="19">
        <v>0</v>
      </c>
      <c r="J1149" s="19">
        <v>0</v>
      </c>
    </row>
    <row r="1150" spans="1:10" ht="11.25" customHeight="1" x14ac:dyDescent="0.2">
      <c r="A1150" s="28">
        <v>44531</v>
      </c>
      <c r="B1150" s="18">
        <v>0</v>
      </c>
      <c r="C1150" s="18">
        <v>0</v>
      </c>
      <c r="D1150" s="18">
        <v>0</v>
      </c>
      <c r="E1150" s="18">
        <v>0</v>
      </c>
      <c r="F1150" s="18">
        <v>0</v>
      </c>
      <c r="G1150" s="18">
        <v>0</v>
      </c>
      <c r="H1150" s="19">
        <v>0</v>
      </c>
      <c r="I1150" s="19">
        <v>0</v>
      </c>
      <c r="J1150" s="19">
        <v>0</v>
      </c>
    </row>
    <row r="1151" spans="1:10" ht="11.25" customHeight="1" x14ac:dyDescent="0.2">
      <c r="A1151" s="28">
        <v>44562</v>
      </c>
      <c r="B1151" s="18">
        <v>0</v>
      </c>
      <c r="C1151" s="18">
        <v>0</v>
      </c>
      <c r="D1151" s="18">
        <v>0</v>
      </c>
      <c r="E1151" s="18">
        <v>0</v>
      </c>
      <c r="F1151" s="18">
        <v>0</v>
      </c>
      <c r="G1151" s="18">
        <v>0</v>
      </c>
      <c r="H1151" s="19">
        <v>0</v>
      </c>
      <c r="I1151" s="19">
        <v>0</v>
      </c>
      <c r="J1151" s="19">
        <v>0</v>
      </c>
    </row>
    <row r="1152" spans="1:10" ht="11.25" customHeight="1" x14ac:dyDescent="0.2">
      <c r="A1152" s="28">
        <v>44593</v>
      </c>
      <c r="B1152" s="18">
        <v>0</v>
      </c>
      <c r="C1152" s="18">
        <v>0</v>
      </c>
      <c r="D1152" s="18">
        <v>0</v>
      </c>
      <c r="E1152" s="18">
        <v>0</v>
      </c>
      <c r="F1152" s="18">
        <v>0</v>
      </c>
      <c r="G1152" s="18">
        <v>0</v>
      </c>
      <c r="H1152" s="19">
        <v>0</v>
      </c>
      <c r="I1152" s="19">
        <v>0</v>
      </c>
      <c r="J1152" s="19">
        <v>0</v>
      </c>
    </row>
    <row r="1153" spans="1:10" ht="11.25" customHeight="1" x14ac:dyDescent="0.2">
      <c r="A1153" s="28">
        <v>44621</v>
      </c>
      <c r="B1153" s="18">
        <v>0</v>
      </c>
      <c r="C1153" s="18">
        <v>0</v>
      </c>
      <c r="D1153" s="18">
        <v>0</v>
      </c>
      <c r="E1153" s="18">
        <v>0</v>
      </c>
      <c r="F1153" s="18">
        <v>0</v>
      </c>
      <c r="G1153" s="18">
        <v>0</v>
      </c>
      <c r="H1153" s="19">
        <v>0</v>
      </c>
      <c r="I1153" s="19">
        <v>0</v>
      </c>
      <c r="J1153" s="19">
        <v>0</v>
      </c>
    </row>
    <row r="1154" spans="1:10" ht="11.25" customHeight="1" x14ac:dyDescent="0.2">
      <c r="A1154" s="28">
        <v>44652</v>
      </c>
      <c r="B1154" s="18">
        <v>0</v>
      </c>
      <c r="C1154" s="18">
        <v>0</v>
      </c>
      <c r="D1154" s="18">
        <v>0</v>
      </c>
      <c r="E1154" s="18">
        <v>0</v>
      </c>
      <c r="F1154" s="18">
        <v>0</v>
      </c>
      <c r="G1154" s="18">
        <v>0</v>
      </c>
      <c r="H1154" s="19">
        <v>0</v>
      </c>
      <c r="I1154" s="19">
        <v>0</v>
      </c>
      <c r="J1154" s="19">
        <v>0</v>
      </c>
    </row>
    <row r="1155" spans="1:10" ht="11.25" customHeight="1" x14ac:dyDescent="0.2">
      <c r="A1155" s="28">
        <v>44682</v>
      </c>
      <c r="B1155" s="18">
        <v>0</v>
      </c>
      <c r="C1155" s="18">
        <v>0</v>
      </c>
      <c r="D1155" s="18">
        <v>0</v>
      </c>
      <c r="E1155" s="18">
        <v>0</v>
      </c>
      <c r="F1155" s="18">
        <v>0</v>
      </c>
      <c r="G1155" s="18">
        <v>0</v>
      </c>
      <c r="H1155" s="19">
        <v>0</v>
      </c>
      <c r="I1155" s="19">
        <v>0</v>
      </c>
      <c r="J1155" s="19">
        <v>0</v>
      </c>
    </row>
    <row r="1156" spans="1:10" ht="11.25" customHeight="1" x14ac:dyDescent="0.2">
      <c r="A1156" s="26" t="s">
        <v>71</v>
      </c>
      <c r="B1156" s="18">
        <v>1475873.2799999998</v>
      </c>
      <c r="C1156" s="18">
        <v>1731843.1903582069</v>
      </c>
      <c r="D1156" s="18">
        <v>0</v>
      </c>
      <c r="E1156" s="18">
        <v>0</v>
      </c>
      <c r="F1156" s="18">
        <v>0</v>
      </c>
      <c r="G1156" s="18">
        <v>0</v>
      </c>
      <c r="H1156" s="19">
        <v>0.17343623861677826</v>
      </c>
      <c r="I1156" s="19">
        <v>0</v>
      </c>
      <c r="J1156" s="19">
        <v>0.17343623861677826</v>
      </c>
    </row>
    <row r="1157" spans="1:10" ht="11.25" customHeight="1" x14ac:dyDescent="0.2">
      <c r="A1157" s="27" t="s">
        <v>25</v>
      </c>
      <c r="B1157" s="18">
        <v>1475873.2799999998</v>
      </c>
      <c r="C1157" s="18">
        <v>1731843.1903582069</v>
      </c>
      <c r="D1157" s="18">
        <v>0</v>
      </c>
      <c r="E1157" s="18">
        <v>0</v>
      </c>
      <c r="F1157" s="18">
        <v>0</v>
      </c>
      <c r="G1157" s="18">
        <v>0</v>
      </c>
      <c r="H1157" s="19">
        <v>0.17343623861677826</v>
      </c>
      <c r="I1157" s="19">
        <v>0</v>
      </c>
      <c r="J1157" s="19">
        <v>0.17343623861677826</v>
      </c>
    </row>
    <row r="1158" spans="1:10" ht="11.25" customHeight="1" x14ac:dyDescent="0.2">
      <c r="A1158" s="28">
        <v>44348</v>
      </c>
      <c r="B1158" s="18">
        <v>122931.20000000001</v>
      </c>
      <c r="C1158" s="18">
        <v>144251.92493664689</v>
      </c>
      <c r="D1158" s="18">
        <v>0</v>
      </c>
      <c r="E1158" s="18">
        <v>0</v>
      </c>
      <c r="F1158" s="18">
        <v>0</v>
      </c>
      <c r="G1158" s="18">
        <v>0</v>
      </c>
      <c r="H1158" s="19">
        <v>0.17343623861677804</v>
      </c>
      <c r="I1158" s="19">
        <v>0</v>
      </c>
      <c r="J1158" s="19">
        <v>0.17343623861677804</v>
      </c>
    </row>
    <row r="1159" spans="1:10" ht="11.25" customHeight="1" x14ac:dyDescent="0.2">
      <c r="A1159" s="28">
        <v>44378</v>
      </c>
      <c r="B1159" s="18">
        <v>122931.20000000001</v>
      </c>
      <c r="C1159" s="18">
        <v>144251.92493664689</v>
      </c>
      <c r="D1159" s="18">
        <v>0</v>
      </c>
      <c r="E1159" s="18">
        <v>0</v>
      </c>
      <c r="F1159" s="18">
        <v>0</v>
      </c>
      <c r="G1159" s="18">
        <v>0</v>
      </c>
      <c r="H1159" s="19">
        <v>0.17343623861677804</v>
      </c>
      <c r="I1159" s="19">
        <v>0</v>
      </c>
      <c r="J1159" s="19">
        <v>0.17343623861677804</v>
      </c>
    </row>
    <row r="1160" spans="1:10" ht="11.25" customHeight="1" x14ac:dyDescent="0.2">
      <c r="A1160" s="28">
        <v>44409</v>
      </c>
      <c r="B1160" s="18">
        <v>122931.20000000001</v>
      </c>
      <c r="C1160" s="18">
        <v>144251.92493664689</v>
      </c>
      <c r="D1160" s="18">
        <v>0</v>
      </c>
      <c r="E1160" s="18">
        <v>0</v>
      </c>
      <c r="F1160" s="18">
        <v>0</v>
      </c>
      <c r="G1160" s="18">
        <v>0</v>
      </c>
      <c r="H1160" s="19">
        <v>0.17343623861677804</v>
      </c>
      <c r="I1160" s="19">
        <v>0</v>
      </c>
      <c r="J1160" s="19">
        <v>0.17343623861677804</v>
      </c>
    </row>
    <row r="1161" spans="1:10" ht="11.25" customHeight="1" x14ac:dyDescent="0.2">
      <c r="A1161" s="28">
        <v>44440</v>
      </c>
      <c r="B1161" s="18">
        <v>122931.20000000001</v>
      </c>
      <c r="C1161" s="18">
        <v>144251.92493664689</v>
      </c>
      <c r="D1161" s="18">
        <v>0</v>
      </c>
      <c r="E1161" s="18">
        <v>0</v>
      </c>
      <c r="F1161" s="18">
        <v>0</v>
      </c>
      <c r="G1161" s="18">
        <v>0</v>
      </c>
      <c r="H1161" s="19">
        <v>0.17343623861677804</v>
      </c>
      <c r="I1161" s="19">
        <v>0</v>
      </c>
      <c r="J1161" s="19">
        <v>0.17343623861677804</v>
      </c>
    </row>
    <row r="1162" spans="1:10" ht="11.25" customHeight="1" x14ac:dyDescent="0.2">
      <c r="A1162" s="28">
        <v>44470</v>
      </c>
      <c r="B1162" s="18">
        <v>122931.20000000001</v>
      </c>
      <c r="C1162" s="18">
        <v>144251.92493664689</v>
      </c>
      <c r="D1162" s="18">
        <v>0</v>
      </c>
      <c r="E1162" s="18">
        <v>0</v>
      </c>
      <c r="F1162" s="18">
        <v>0</v>
      </c>
      <c r="G1162" s="18">
        <v>0</v>
      </c>
      <c r="H1162" s="19">
        <v>0.17343623861677804</v>
      </c>
      <c r="I1162" s="19">
        <v>0</v>
      </c>
      <c r="J1162" s="19">
        <v>0.17343623861677804</v>
      </c>
    </row>
    <row r="1163" spans="1:10" ht="11.25" customHeight="1" x14ac:dyDescent="0.2">
      <c r="A1163" s="28">
        <v>44501</v>
      </c>
      <c r="B1163" s="18">
        <v>122931.20000000001</v>
      </c>
      <c r="C1163" s="18">
        <v>144251.92493664689</v>
      </c>
      <c r="D1163" s="18">
        <v>0</v>
      </c>
      <c r="E1163" s="18">
        <v>0</v>
      </c>
      <c r="F1163" s="18">
        <v>0</v>
      </c>
      <c r="G1163" s="18">
        <v>0</v>
      </c>
      <c r="H1163" s="19">
        <v>0.17343623861677804</v>
      </c>
      <c r="I1163" s="19">
        <v>0</v>
      </c>
      <c r="J1163" s="19">
        <v>0.17343623861677804</v>
      </c>
    </row>
    <row r="1164" spans="1:10" ht="11.25" customHeight="1" x14ac:dyDescent="0.2">
      <c r="A1164" s="28">
        <v>44531</v>
      </c>
      <c r="B1164" s="18">
        <v>122931.20000000001</v>
      </c>
      <c r="C1164" s="18">
        <v>144251.92493664689</v>
      </c>
      <c r="D1164" s="18">
        <v>0</v>
      </c>
      <c r="E1164" s="18">
        <v>0</v>
      </c>
      <c r="F1164" s="18">
        <v>0</v>
      </c>
      <c r="G1164" s="18">
        <v>0</v>
      </c>
      <c r="H1164" s="19">
        <v>0.17343623861677804</v>
      </c>
      <c r="I1164" s="19">
        <v>0</v>
      </c>
      <c r="J1164" s="19">
        <v>0.17343623861677804</v>
      </c>
    </row>
    <row r="1165" spans="1:10" ht="11.25" customHeight="1" x14ac:dyDescent="0.2">
      <c r="A1165" s="28">
        <v>44562</v>
      </c>
      <c r="B1165" s="18">
        <v>122931.20000000001</v>
      </c>
      <c r="C1165" s="18">
        <v>144251.92493664689</v>
      </c>
      <c r="D1165" s="18">
        <v>0</v>
      </c>
      <c r="E1165" s="18">
        <v>0</v>
      </c>
      <c r="F1165" s="18">
        <v>0</v>
      </c>
      <c r="G1165" s="18">
        <v>0</v>
      </c>
      <c r="H1165" s="19">
        <v>0.17343623861677804</v>
      </c>
      <c r="I1165" s="19">
        <v>0</v>
      </c>
      <c r="J1165" s="19">
        <v>0.17343623861677804</v>
      </c>
    </row>
    <row r="1166" spans="1:10" ht="11.25" customHeight="1" x14ac:dyDescent="0.2">
      <c r="A1166" s="28">
        <v>44593</v>
      </c>
      <c r="B1166" s="18">
        <v>122931.20000000001</v>
      </c>
      <c r="C1166" s="18">
        <v>144251.92493664689</v>
      </c>
      <c r="D1166" s="18">
        <v>0</v>
      </c>
      <c r="E1166" s="18">
        <v>0</v>
      </c>
      <c r="F1166" s="18">
        <v>0</v>
      </c>
      <c r="G1166" s="18">
        <v>0</v>
      </c>
      <c r="H1166" s="19">
        <v>0.17343623861677804</v>
      </c>
      <c r="I1166" s="19">
        <v>0</v>
      </c>
      <c r="J1166" s="19">
        <v>0.17343623861677804</v>
      </c>
    </row>
    <row r="1167" spans="1:10" ht="11.25" customHeight="1" x14ac:dyDescent="0.2">
      <c r="A1167" s="28">
        <v>44621</v>
      </c>
      <c r="B1167" s="18">
        <v>122931.20000000001</v>
      </c>
      <c r="C1167" s="18">
        <v>144251.92493664689</v>
      </c>
      <c r="D1167" s="18">
        <v>0</v>
      </c>
      <c r="E1167" s="18">
        <v>0</v>
      </c>
      <c r="F1167" s="18">
        <v>0</v>
      </c>
      <c r="G1167" s="18">
        <v>0</v>
      </c>
      <c r="H1167" s="19">
        <v>0.17343623861677804</v>
      </c>
      <c r="I1167" s="19">
        <v>0</v>
      </c>
      <c r="J1167" s="19">
        <v>0.17343623861677804</v>
      </c>
    </row>
    <row r="1168" spans="1:10" ht="11.25" customHeight="1" x14ac:dyDescent="0.2">
      <c r="A1168" s="28">
        <v>44652</v>
      </c>
      <c r="B1168" s="18">
        <v>123280.64000000001</v>
      </c>
      <c r="C1168" s="18">
        <v>144661.97049586914</v>
      </c>
      <c r="D1168" s="18">
        <v>0</v>
      </c>
      <c r="E1168" s="18">
        <v>0</v>
      </c>
      <c r="F1168" s="18">
        <v>0</v>
      </c>
      <c r="G1168" s="18">
        <v>0</v>
      </c>
      <c r="H1168" s="19">
        <v>0.17343623861677826</v>
      </c>
      <c r="I1168" s="19">
        <v>0</v>
      </c>
      <c r="J1168" s="19">
        <v>0.17343623861677826</v>
      </c>
    </row>
    <row r="1169" spans="1:10" ht="11.25" customHeight="1" x14ac:dyDescent="0.2">
      <c r="A1169" s="28">
        <v>44682</v>
      </c>
      <c r="B1169" s="18">
        <v>123280.64000000001</v>
      </c>
      <c r="C1169" s="18">
        <v>144661.97049586914</v>
      </c>
      <c r="D1169" s="18">
        <v>0</v>
      </c>
      <c r="E1169" s="18">
        <v>0</v>
      </c>
      <c r="F1169" s="18">
        <v>0</v>
      </c>
      <c r="G1169" s="18">
        <v>0</v>
      </c>
      <c r="H1169" s="19">
        <v>0.17343623861677826</v>
      </c>
      <c r="I1169" s="19">
        <v>0</v>
      </c>
      <c r="J1169" s="19">
        <v>0.17343623861677826</v>
      </c>
    </row>
    <row r="1170" spans="1:10" ht="11.25" customHeight="1" x14ac:dyDescent="0.2">
      <c r="A1170" s="26" t="s">
        <v>88</v>
      </c>
      <c r="B1170" s="18">
        <v>2096640.0000000002</v>
      </c>
      <c r="C1170" s="18">
        <v>2460273.3553334819</v>
      </c>
      <c r="D1170" s="18">
        <v>0</v>
      </c>
      <c r="E1170" s="18">
        <v>0</v>
      </c>
      <c r="F1170" s="18">
        <v>0</v>
      </c>
      <c r="G1170" s="18">
        <v>0</v>
      </c>
      <c r="H1170" s="19">
        <v>0.17343623861677804</v>
      </c>
      <c r="I1170" s="19">
        <v>0</v>
      </c>
      <c r="J1170" s="19">
        <v>0.17343623861677804</v>
      </c>
    </row>
    <row r="1171" spans="1:10" ht="11.25" customHeight="1" x14ac:dyDescent="0.2">
      <c r="A1171" s="27" t="s">
        <v>25</v>
      </c>
      <c r="B1171" s="18">
        <v>2096640.0000000002</v>
      </c>
      <c r="C1171" s="18">
        <v>2460273.3553334819</v>
      </c>
      <c r="D1171" s="18">
        <v>0</v>
      </c>
      <c r="E1171" s="18">
        <v>0</v>
      </c>
      <c r="F1171" s="18">
        <v>0</v>
      </c>
      <c r="G1171" s="18">
        <v>0</v>
      </c>
      <c r="H1171" s="19">
        <v>0.17343623861677804</v>
      </c>
      <c r="I1171" s="19">
        <v>0</v>
      </c>
      <c r="J1171" s="19">
        <v>0.17343623861677804</v>
      </c>
    </row>
    <row r="1172" spans="1:10" ht="11.25" customHeight="1" x14ac:dyDescent="0.2">
      <c r="A1172" s="28">
        <v>44348</v>
      </c>
      <c r="B1172" s="18">
        <v>174720.00000000003</v>
      </c>
      <c r="C1172" s="18">
        <v>205022.77961112349</v>
      </c>
      <c r="D1172" s="18">
        <v>0</v>
      </c>
      <c r="E1172" s="18">
        <v>0</v>
      </c>
      <c r="F1172" s="18">
        <v>0</v>
      </c>
      <c r="G1172" s="18">
        <v>0</v>
      </c>
      <c r="H1172" s="19">
        <v>0.17343623861677804</v>
      </c>
      <c r="I1172" s="19">
        <v>0</v>
      </c>
      <c r="J1172" s="19">
        <v>0.17343623861677804</v>
      </c>
    </row>
    <row r="1173" spans="1:10" ht="11.25" customHeight="1" x14ac:dyDescent="0.2">
      <c r="A1173" s="28">
        <v>44378</v>
      </c>
      <c r="B1173" s="18">
        <v>174720.00000000003</v>
      </c>
      <c r="C1173" s="18">
        <v>205022.77961112349</v>
      </c>
      <c r="D1173" s="18">
        <v>0</v>
      </c>
      <c r="E1173" s="18">
        <v>0</v>
      </c>
      <c r="F1173" s="18">
        <v>0</v>
      </c>
      <c r="G1173" s="18">
        <v>0</v>
      </c>
      <c r="H1173" s="19">
        <v>0.17343623861677804</v>
      </c>
      <c r="I1173" s="19">
        <v>0</v>
      </c>
      <c r="J1173" s="19">
        <v>0.17343623861677804</v>
      </c>
    </row>
    <row r="1174" spans="1:10" ht="11.25" customHeight="1" x14ac:dyDescent="0.2">
      <c r="A1174" s="28">
        <v>44409</v>
      </c>
      <c r="B1174" s="18">
        <v>174720.00000000003</v>
      </c>
      <c r="C1174" s="18">
        <v>205022.77961112349</v>
      </c>
      <c r="D1174" s="18">
        <v>0</v>
      </c>
      <c r="E1174" s="18">
        <v>0</v>
      </c>
      <c r="F1174" s="18">
        <v>0</v>
      </c>
      <c r="G1174" s="18">
        <v>0</v>
      </c>
      <c r="H1174" s="19">
        <v>0.17343623861677804</v>
      </c>
      <c r="I1174" s="19">
        <v>0</v>
      </c>
      <c r="J1174" s="19">
        <v>0.17343623861677804</v>
      </c>
    </row>
    <row r="1175" spans="1:10" ht="11.25" customHeight="1" x14ac:dyDescent="0.2">
      <c r="A1175" s="28">
        <v>44440</v>
      </c>
      <c r="B1175" s="18">
        <v>174720.00000000003</v>
      </c>
      <c r="C1175" s="18">
        <v>205022.77961112349</v>
      </c>
      <c r="D1175" s="18">
        <v>0</v>
      </c>
      <c r="E1175" s="18">
        <v>0</v>
      </c>
      <c r="F1175" s="18">
        <v>0</v>
      </c>
      <c r="G1175" s="18">
        <v>0</v>
      </c>
      <c r="H1175" s="19">
        <v>0.17343623861677804</v>
      </c>
      <c r="I1175" s="19">
        <v>0</v>
      </c>
      <c r="J1175" s="19">
        <v>0.17343623861677804</v>
      </c>
    </row>
    <row r="1176" spans="1:10" ht="11.25" customHeight="1" x14ac:dyDescent="0.2">
      <c r="A1176" s="28">
        <v>44470</v>
      </c>
      <c r="B1176" s="18">
        <v>174720.00000000003</v>
      </c>
      <c r="C1176" s="18">
        <v>205022.77961112349</v>
      </c>
      <c r="D1176" s="18">
        <v>0</v>
      </c>
      <c r="E1176" s="18">
        <v>0</v>
      </c>
      <c r="F1176" s="18">
        <v>0</v>
      </c>
      <c r="G1176" s="18">
        <v>0</v>
      </c>
      <c r="H1176" s="19">
        <v>0.17343623861677804</v>
      </c>
      <c r="I1176" s="19">
        <v>0</v>
      </c>
      <c r="J1176" s="19">
        <v>0.17343623861677804</v>
      </c>
    </row>
    <row r="1177" spans="1:10" ht="11.25" customHeight="1" x14ac:dyDescent="0.2">
      <c r="A1177" s="28">
        <v>44501</v>
      </c>
      <c r="B1177" s="18">
        <v>174720.00000000003</v>
      </c>
      <c r="C1177" s="18">
        <v>205022.77961112349</v>
      </c>
      <c r="D1177" s="18">
        <v>0</v>
      </c>
      <c r="E1177" s="18">
        <v>0</v>
      </c>
      <c r="F1177" s="18">
        <v>0</v>
      </c>
      <c r="G1177" s="18">
        <v>0</v>
      </c>
      <c r="H1177" s="19">
        <v>0.17343623861677804</v>
      </c>
      <c r="I1177" s="19">
        <v>0</v>
      </c>
      <c r="J1177" s="19">
        <v>0.17343623861677804</v>
      </c>
    </row>
    <row r="1178" spans="1:10" ht="11.25" customHeight="1" x14ac:dyDescent="0.2">
      <c r="A1178" s="28">
        <v>44531</v>
      </c>
      <c r="B1178" s="18">
        <v>174720.00000000003</v>
      </c>
      <c r="C1178" s="18">
        <v>205022.77961112349</v>
      </c>
      <c r="D1178" s="18">
        <v>0</v>
      </c>
      <c r="E1178" s="18">
        <v>0</v>
      </c>
      <c r="F1178" s="18">
        <v>0</v>
      </c>
      <c r="G1178" s="18">
        <v>0</v>
      </c>
      <c r="H1178" s="19">
        <v>0.17343623861677804</v>
      </c>
      <c r="I1178" s="19">
        <v>0</v>
      </c>
      <c r="J1178" s="19">
        <v>0.17343623861677804</v>
      </c>
    </row>
    <row r="1179" spans="1:10" ht="11.25" customHeight="1" x14ac:dyDescent="0.2">
      <c r="A1179" s="28">
        <v>44562</v>
      </c>
      <c r="B1179" s="18">
        <v>174720.00000000003</v>
      </c>
      <c r="C1179" s="18">
        <v>205022.77961112349</v>
      </c>
      <c r="D1179" s="18">
        <v>0</v>
      </c>
      <c r="E1179" s="18">
        <v>0</v>
      </c>
      <c r="F1179" s="18">
        <v>0</v>
      </c>
      <c r="G1179" s="18">
        <v>0</v>
      </c>
      <c r="H1179" s="19">
        <v>0.17343623861677804</v>
      </c>
      <c r="I1179" s="19">
        <v>0</v>
      </c>
      <c r="J1179" s="19">
        <v>0.17343623861677804</v>
      </c>
    </row>
    <row r="1180" spans="1:10" ht="11.25" customHeight="1" x14ac:dyDescent="0.2">
      <c r="A1180" s="28">
        <v>44593</v>
      </c>
      <c r="B1180" s="18">
        <v>174720.00000000003</v>
      </c>
      <c r="C1180" s="18">
        <v>205022.77961112349</v>
      </c>
      <c r="D1180" s="18">
        <v>0</v>
      </c>
      <c r="E1180" s="18">
        <v>0</v>
      </c>
      <c r="F1180" s="18">
        <v>0</v>
      </c>
      <c r="G1180" s="18">
        <v>0</v>
      </c>
      <c r="H1180" s="19">
        <v>0.17343623861677804</v>
      </c>
      <c r="I1180" s="19">
        <v>0</v>
      </c>
      <c r="J1180" s="19">
        <v>0.17343623861677804</v>
      </c>
    </row>
    <row r="1181" spans="1:10" ht="11.25" customHeight="1" x14ac:dyDescent="0.2">
      <c r="A1181" s="28">
        <v>44621</v>
      </c>
      <c r="B1181" s="18">
        <v>174720.00000000003</v>
      </c>
      <c r="C1181" s="18">
        <v>205022.77961112349</v>
      </c>
      <c r="D1181" s="18">
        <v>0</v>
      </c>
      <c r="E1181" s="18">
        <v>0</v>
      </c>
      <c r="F1181" s="18">
        <v>0</v>
      </c>
      <c r="G1181" s="18">
        <v>0</v>
      </c>
      <c r="H1181" s="19">
        <v>0.17343623861677804</v>
      </c>
      <c r="I1181" s="19">
        <v>0</v>
      </c>
      <c r="J1181" s="19">
        <v>0.17343623861677804</v>
      </c>
    </row>
    <row r="1182" spans="1:10" ht="11.25" customHeight="1" x14ac:dyDescent="0.2">
      <c r="A1182" s="28">
        <v>44652</v>
      </c>
      <c r="B1182" s="18">
        <v>174720.00000000003</v>
      </c>
      <c r="C1182" s="18">
        <v>205022.77961112349</v>
      </c>
      <c r="D1182" s="18">
        <v>0</v>
      </c>
      <c r="E1182" s="18">
        <v>0</v>
      </c>
      <c r="F1182" s="18">
        <v>0</v>
      </c>
      <c r="G1182" s="18">
        <v>0</v>
      </c>
      <c r="H1182" s="19">
        <v>0.17343623861677804</v>
      </c>
      <c r="I1182" s="19">
        <v>0</v>
      </c>
      <c r="J1182" s="19">
        <v>0.17343623861677804</v>
      </c>
    </row>
    <row r="1183" spans="1:10" ht="11.25" customHeight="1" x14ac:dyDescent="0.2">
      <c r="A1183" s="28">
        <v>44682</v>
      </c>
      <c r="B1183" s="18">
        <v>174720.00000000003</v>
      </c>
      <c r="C1183" s="18">
        <v>205022.77961112349</v>
      </c>
      <c r="D1183" s="18">
        <v>0</v>
      </c>
      <c r="E1183" s="18">
        <v>0</v>
      </c>
      <c r="F1183" s="18">
        <v>0</v>
      </c>
      <c r="G1183" s="18">
        <v>0</v>
      </c>
      <c r="H1183" s="19">
        <v>0.17343623861677804</v>
      </c>
      <c r="I1183" s="19">
        <v>0</v>
      </c>
      <c r="J1183" s="19">
        <v>0.17343623861677804</v>
      </c>
    </row>
    <row r="1184" spans="1:10" ht="11.25" customHeight="1" x14ac:dyDescent="0.2">
      <c r="A1184" s="26" t="s">
        <v>91</v>
      </c>
      <c r="B1184" s="18">
        <v>0</v>
      </c>
      <c r="C1184" s="18">
        <v>0</v>
      </c>
      <c r="D1184" s="18">
        <v>0</v>
      </c>
      <c r="E1184" s="18">
        <v>0</v>
      </c>
      <c r="F1184" s="18">
        <v>0</v>
      </c>
      <c r="G1184" s="18">
        <v>0</v>
      </c>
      <c r="H1184" s="19">
        <v>0</v>
      </c>
      <c r="I1184" s="19">
        <v>0</v>
      </c>
      <c r="J1184" s="19">
        <v>0</v>
      </c>
    </row>
    <row r="1185" spans="1:10" ht="11.25" customHeight="1" x14ac:dyDescent="0.2">
      <c r="A1185" s="27" t="s">
        <v>25</v>
      </c>
      <c r="B1185" s="18">
        <v>0</v>
      </c>
      <c r="C1185" s="18">
        <v>0</v>
      </c>
      <c r="D1185" s="18">
        <v>0</v>
      </c>
      <c r="E1185" s="18">
        <v>0</v>
      </c>
      <c r="F1185" s="18">
        <v>0</v>
      </c>
      <c r="G1185" s="18">
        <v>0</v>
      </c>
      <c r="H1185" s="19">
        <v>0</v>
      </c>
      <c r="I1185" s="19">
        <v>0</v>
      </c>
      <c r="J1185" s="19">
        <v>0</v>
      </c>
    </row>
    <row r="1186" spans="1:10" ht="11.25" customHeight="1" x14ac:dyDescent="0.2">
      <c r="A1186" s="28">
        <v>44348</v>
      </c>
      <c r="B1186" s="18">
        <v>0</v>
      </c>
      <c r="C1186" s="18">
        <v>0</v>
      </c>
      <c r="D1186" s="18">
        <v>0</v>
      </c>
      <c r="E1186" s="18">
        <v>0</v>
      </c>
      <c r="F1186" s="18">
        <v>0</v>
      </c>
      <c r="G1186" s="18">
        <v>0</v>
      </c>
      <c r="H1186" s="19">
        <v>0</v>
      </c>
      <c r="I1186" s="19">
        <v>0</v>
      </c>
      <c r="J1186" s="19">
        <v>0</v>
      </c>
    </row>
    <row r="1187" spans="1:10" ht="11.25" customHeight="1" x14ac:dyDescent="0.2">
      <c r="A1187" s="28">
        <v>44378</v>
      </c>
      <c r="B1187" s="18">
        <v>0</v>
      </c>
      <c r="C1187" s="18">
        <v>0</v>
      </c>
      <c r="D1187" s="18">
        <v>0</v>
      </c>
      <c r="E1187" s="18">
        <v>0</v>
      </c>
      <c r="F1187" s="18">
        <v>0</v>
      </c>
      <c r="G1187" s="18">
        <v>0</v>
      </c>
      <c r="H1187" s="19">
        <v>0</v>
      </c>
      <c r="I1187" s="19">
        <v>0</v>
      </c>
      <c r="J1187" s="19">
        <v>0</v>
      </c>
    </row>
    <row r="1188" spans="1:10" ht="11.25" customHeight="1" x14ac:dyDescent="0.2">
      <c r="A1188" s="28">
        <v>44409</v>
      </c>
      <c r="B1188" s="18">
        <v>0</v>
      </c>
      <c r="C1188" s="18">
        <v>0</v>
      </c>
      <c r="D1188" s="18">
        <v>0</v>
      </c>
      <c r="E1188" s="18">
        <v>0</v>
      </c>
      <c r="F1188" s="18">
        <v>0</v>
      </c>
      <c r="G1188" s="18">
        <v>0</v>
      </c>
      <c r="H1188" s="19">
        <v>0</v>
      </c>
      <c r="I1188" s="19">
        <v>0</v>
      </c>
      <c r="J1188" s="19">
        <v>0</v>
      </c>
    </row>
    <row r="1189" spans="1:10" ht="11.25" customHeight="1" x14ac:dyDescent="0.2">
      <c r="A1189" s="28">
        <v>44440</v>
      </c>
      <c r="B1189" s="18">
        <v>0</v>
      </c>
      <c r="C1189" s="18">
        <v>0</v>
      </c>
      <c r="D1189" s="18">
        <v>0</v>
      </c>
      <c r="E1189" s="18">
        <v>0</v>
      </c>
      <c r="F1189" s="18">
        <v>0</v>
      </c>
      <c r="G1189" s="18">
        <v>0</v>
      </c>
      <c r="H1189" s="19">
        <v>0</v>
      </c>
      <c r="I1189" s="19">
        <v>0</v>
      </c>
      <c r="J1189" s="19">
        <v>0</v>
      </c>
    </row>
    <row r="1190" spans="1:10" ht="11.25" customHeight="1" x14ac:dyDescent="0.2">
      <c r="A1190" s="28">
        <v>44470</v>
      </c>
      <c r="B1190" s="18">
        <v>0</v>
      </c>
      <c r="C1190" s="18">
        <v>0</v>
      </c>
      <c r="D1190" s="18">
        <v>0</v>
      </c>
      <c r="E1190" s="18">
        <v>0</v>
      </c>
      <c r="F1190" s="18">
        <v>0</v>
      </c>
      <c r="G1190" s="18">
        <v>0</v>
      </c>
      <c r="H1190" s="19">
        <v>0</v>
      </c>
      <c r="I1190" s="19">
        <v>0</v>
      </c>
      <c r="J1190" s="19">
        <v>0</v>
      </c>
    </row>
    <row r="1191" spans="1:10" ht="11.25" customHeight="1" x14ac:dyDescent="0.2">
      <c r="A1191" s="28">
        <v>44501</v>
      </c>
      <c r="B1191" s="18">
        <v>0</v>
      </c>
      <c r="C1191" s="18">
        <v>0</v>
      </c>
      <c r="D1191" s="18">
        <v>0</v>
      </c>
      <c r="E1191" s="18">
        <v>0</v>
      </c>
      <c r="F1191" s="18">
        <v>0</v>
      </c>
      <c r="G1191" s="18">
        <v>0</v>
      </c>
      <c r="H1191" s="19">
        <v>0</v>
      </c>
      <c r="I1191" s="19">
        <v>0</v>
      </c>
      <c r="J1191" s="19">
        <v>0</v>
      </c>
    </row>
    <row r="1192" spans="1:10" ht="11.25" customHeight="1" x14ac:dyDescent="0.2">
      <c r="A1192" s="28">
        <v>44531</v>
      </c>
      <c r="B1192" s="18">
        <v>0</v>
      </c>
      <c r="C1192" s="18">
        <v>0</v>
      </c>
      <c r="D1192" s="18">
        <v>0</v>
      </c>
      <c r="E1192" s="18">
        <v>0</v>
      </c>
      <c r="F1192" s="18">
        <v>0</v>
      </c>
      <c r="G1192" s="18">
        <v>0</v>
      </c>
      <c r="H1192" s="19">
        <v>0</v>
      </c>
      <c r="I1192" s="19">
        <v>0</v>
      </c>
      <c r="J1192" s="19">
        <v>0</v>
      </c>
    </row>
    <row r="1193" spans="1:10" ht="11.25" customHeight="1" x14ac:dyDescent="0.2">
      <c r="A1193" s="28">
        <v>44562</v>
      </c>
      <c r="B1193" s="18">
        <v>0</v>
      </c>
      <c r="C1193" s="18">
        <v>0</v>
      </c>
      <c r="D1193" s="18">
        <v>0</v>
      </c>
      <c r="E1193" s="18">
        <v>0</v>
      </c>
      <c r="F1193" s="18">
        <v>0</v>
      </c>
      <c r="G1193" s="18">
        <v>0</v>
      </c>
      <c r="H1193" s="19">
        <v>0</v>
      </c>
      <c r="I1193" s="19">
        <v>0</v>
      </c>
      <c r="J1193" s="19">
        <v>0</v>
      </c>
    </row>
    <row r="1194" spans="1:10" ht="11.25" customHeight="1" x14ac:dyDescent="0.2">
      <c r="A1194" s="28">
        <v>44593</v>
      </c>
      <c r="B1194" s="18">
        <v>0</v>
      </c>
      <c r="C1194" s="18">
        <v>0</v>
      </c>
      <c r="D1194" s="18">
        <v>0</v>
      </c>
      <c r="E1194" s="18">
        <v>0</v>
      </c>
      <c r="F1194" s="18">
        <v>0</v>
      </c>
      <c r="G1194" s="18">
        <v>0</v>
      </c>
      <c r="H1194" s="19">
        <v>0</v>
      </c>
      <c r="I1194" s="19">
        <v>0</v>
      </c>
      <c r="J1194" s="19">
        <v>0</v>
      </c>
    </row>
    <row r="1195" spans="1:10" ht="11.25" customHeight="1" x14ac:dyDescent="0.2">
      <c r="A1195" s="28">
        <v>44621</v>
      </c>
      <c r="B1195" s="18">
        <v>0</v>
      </c>
      <c r="C1195" s="18">
        <v>0</v>
      </c>
      <c r="D1195" s="18">
        <v>0</v>
      </c>
      <c r="E1195" s="18">
        <v>0</v>
      </c>
      <c r="F1195" s="18">
        <v>0</v>
      </c>
      <c r="G1195" s="18">
        <v>0</v>
      </c>
      <c r="H1195" s="19">
        <v>0</v>
      </c>
      <c r="I1195" s="19">
        <v>0</v>
      </c>
      <c r="J1195" s="19">
        <v>0</v>
      </c>
    </row>
    <row r="1196" spans="1:10" ht="11.25" customHeight="1" x14ac:dyDescent="0.2">
      <c r="A1196" s="28">
        <v>44652</v>
      </c>
      <c r="B1196" s="18">
        <v>0</v>
      </c>
      <c r="C1196" s="18">
        <v>0</v>
      </c>
      <c r="D1196" s="18">
        <v>0</v>
      </c>
      <c r="E1196" s="18">
        <v>0</v>
      </c>
      <c r="F1196" s="18">
        <v>0</v>
      </c>
      <c r="G1196" s="18">
        <v>0</v>
      </c>
      <c r="H1196" s="19">
        <v>0</v>
      </c>
      <c r="I1196" s="19">
        <v>0</v>
      </c>
      <c r="J1196" s="19">
        <v>0</v>
      </c>
    </row>
    <row r="1197" spans="1:10" ht="11.25" customHeight="1" x14ac:dyDescent="0.2">
      <c r="A1197" s="28">
        <v>44682</v>
      </c>
      <c r="B1197" s="18">
        <v>0</v>
      </c>
      <c r="C1197" s="18">
        <v>0</v>
      </c>
      <c r="D1197" s="18">
        <v>0</v>
      </c>
      <c r="E1197" s="18">
        <v>0</v>
      </c>
      <c r="F1197" s="18">
        <v>0</v>
      </c>
      <c r="G1197" s="18">
        <v>0</v>
      </c>
      <c r="H1197" s="19">
        <v>0</v>
      </c>
      <c r="I1197" s="19">
        <v>0</v>
      </c>
      <c r="J1197" s="19">
        <v>0</v>
      </c>
    </row>
    <row r="1198" spans="1:10" ht="11.25" customHeight="1" x14ac:dyDescent="0.2">
      <c r="A1198" s="26" t="s">
        <v>84</v>
      </c>
      <c r="B1198" s="18">
        <v>1498828.7999999998</v>
      </c>
      <c r="C1198" s="18">
        <v>1758780.0294024991</v>
      </c>
      <c r="D1198" s="18">
        <v>0</v>
      </c>
      <c r="E1198" s="18">
        <v>0</v>
      </c>
      <c r="F1198" s="18">
        <v>0</v>
      </c>
      <c r="G1198" s="18">
        <v>0</v>
      </c>
      <c r="H1198" s="19">
        <v>0.17343623861677826</v>
      </c>
      <c r="I1198" s="19">
        <v>0</v>
      </c>
      <c r="J1198" s="19">
        <v>0.17343623861677826</v>
      </c>
    </row>
    <row r="1199" spans="1:10" ht="11.25" customHeight="1" x14ac:dyDescent="0.2">
      <c r="A1199" s="27" t="s">
        <v>25</v>
      </c>
      <c r="B1199" s="18">
        <v>1498828.7999999998</v>
      </c>
      <c r="C1199" s="18">
        <v>1758780.0294024991</v>
      </c>
      <c r="D1199" s="18">
        <v>0</v>
      </c>
      <c r="E1199" s="18">
        <v>0</v>
      </c>
      <c r="F1199" s="18">
        <v>0</v>
      </c>
      <c r="G1199" s="18">
        <v>0</v>
      </c>
      <c r="H1199" s="19">
        <v>0.17343623861677826</v>
      </c>
      <c r="I1199" s="19">
        <v>0</v>
      </c>
      <c r="J1199" s="19">
        <v>0.17343623861677826</v>
      </c>
    </row>
    <row r="1200" spans="1:10" ht="11.25" customHeight="1" x14ac:dyDescent="0.2">
      <c r="A1200" s="28">
        <v>44348</v>
      </c>
      <c r="B1200" s="18">
        <v>124902.40000000001</v>
      </c>
      <c r="C1200" s="18">
        <v>146565.0024502083</v>
      </c>
      <c r="D1200" s="18">
        <v>0</v>
      </c>
      <c r="E1200" s="18">
        <v>0</v>
      </c>
      <c r="F1200" s="18">
        <v>0</v>
      </c>
      <c r="G1200" s="18">
        <v>0</v>
      </c>
      <c r="H1200" s="19">
        <v>0.17343623861677826</v>
      </c>
      <c r="I1200" s="19">
        <v>0</v>
      </c>
      <c r="J1200" s="19">
        <v>0.17343623861677826</v>
      </c>
    </row>
    <row r="1201" spans="1:10" ht="11.25" customHeight="1" x14ac:dyDescent="0.2">
      <c r="A1201" s="28">
        <v>44378</v>
      </c>
      <c r="B1201" s="18">
        <v>124902.40000000001</v>
      </c>
      <c r="C1201" s="18">
        <v>146565.0024502083</v>
      </c>
      <c r="D1201" s="18">
        <v>0</v>
      </c>
      <c r="E1201" s="18">
        <v>0</v>
      </c>
      <c r="F1201" s="18">
        <v>0</v>
      </c>
      <c r="G1201" s="18">
        <v>0</v>
      </c>
      <c r="H1201" s="19">
        <v>0.17343623861677826</v>
      </c>
      <c r="I1201" s="19">
        <v>0</v>
      </c>
      <c r="J1201" s="19">
        <v>0.17343623861677826</v>
      </c>
    </row>
    <row r="1202" spans="1:10" ht="11.25" customHeight="1" x14ac:dyDescent="0.2">
      <c r="A1202" s="28">
        <v>44409</v>
      </c>
      <c r="B1202" s="18">
        <v>124902.40000000001</v>
      </c>
      <c r="C1202" s="18">
        <v>146565.0024502083</v>
      </c>
      <c r="D1202" s="18">
        <v>0</v>
      </c>
      <c r="E1202" s="18">
        <v>0</v>
      </c>
      <c r="F1202" s="18">
        <v>0</v>
      </c>
      <c r="G1202" s="18">
        <v>0</v>
      </c>
      <c r="H1202" s="19">
        <v>0.17343623861677826</v>
      </c>
      <c r="I1202" s="19">
        <v>0</v>
      </c>
      <c r="J1202" s="19">
        <v>0.17343623861677826</v>
      </c>
    </row>
    <row r="1203" spans="1:10" ht="11.25" customHeight="1" x14ac:dyDescent="0.2">
      <c r="A1203" s="28">
        <v>44440</v>
      </c>
      <c r="B1203" s="18">
        <v>124902.40000000001</v>
      </c>
      <c r="C1203" s="18">
        <v>146565.0024502083</v>
      </c>
      <c r="D1203" s="18">
        <v>0</v>
      </c>
      <c r="E1203" s="18">
        <v>0</v>
      </c>
      <c r="F1203" s="18">
        <v>0</v>
      </c>
      <c r="G1203" s="18">
        <v>0</v>
      </c>
      <c r="H1203" s="19">
        <v>0.17343623861677826</v>
      </c>
      <c r="I1203" s="19">
        <v>0</v>
      </c>
      <c r="J1203" s="19">
        <v>0.17343623861677826</v>
      </c>
    </row>
    <row r="1204" spans="1:10" ht="11.25" customHeight="1" x14ac:dyDescent="0.2">
      <c r="A1204" s="28">
        <v>44470</v>
      </c>
      <c r="B1204" s="18">
        <v>124902.40000000001</v>
      </c>
      <c r="C1204" s="18">
        <v>146565.0024502083</v>
      </c>
      <c r="D1204" s="18">
        <v>0</v>
      </c>
      <c r="E1204" s="18">
        <v>0</v>
      </c>
      <c r="F1204" s="18">
        <v>0</v>
      </c>
      <c r="G1204" s="18">
        <v>0</v>
      </c>
      <c r="H1204" s="19">
        <v>0.17343623861677826</v>
      </c>
      <c r="I1204" s="19">
        <v>0</v>
      </c>
      <c r="J1204" s="19">
        <v>0.17343623861677826</v>
      </c>
    </row>
    <row r="1205" spans="1:10" ht="11.25" customHeight="1" x14ac:dyDescent="0.2">
      <c r="A1205" s="28">
        <v>44501</v>
      </c>
      <c r="B1205" s="18">
        <v>124902.40000000001</v>
      </c>
      <c r="C1205" s="18">
        <v>146565.0024502083</v>
      </c>
      <c r="D1205" s="18">
        <v>0</v>
      </c>
      <c r="E1205" s="18">
        <v>0</v>
      </c>
      <c r="F1205" s="18">
        <v>0</v>
      </c>
      <c r="G1205" s="18">
        <v>0</v>
      </c>
      <c r="H1205" s="19">
        <v>0.17343623861677826</v>
      </c>
      <c r="I1205" s="19">
        <v>0</v>
      </c>
      <c r="J1205" s="19">
        <v>0.17343623861677826</v>
      </c>
    </row>
    <row r="1206" spans="1:10" ht="11.25" customHeight="1" x14ac:dyDescent="0.2">
      <c r="A1206" s="28">
        <v>44531</v>
      </c>
      <c r="B1206" s="18">
        <v>124902.40000000001</v>
      </c>
      <c r="C1206" s="18">
        <v>146565.0024502083</v>
      </c>
      <c r="D1206" s="18">
        <v>0</v>
      </c>
      <c r="E1206" s="18">
        <v>0</v>
      </c>
      <c r="F1206" s="18">
        <v>0</v>
      </c>
      <c r="G1206" s="18">
        <v>0</v>
      </c>
      <c r="H1206" s="19">
        <v>0.17343623861677826</v>
      </c>
      <c r="I1206" s="19">
        <v>0</v>
      </c>
      <c r="J1206" s="19">
        <v>0.17343623861677826</v>
      </c>
    </row>
    <row r="1207" spans="1:10" ht="11.25" customHeight="1" x14ac:dyDescent="0.2">
      <c r="A1207" s="28">
        <v>44562</v>
      </c>
      <c r="B1207" s="18">
        <v>124902.40000000001</v>
      </c>
      <c r="C1207" s="18">
        <v>146565.0024502083</v>
      </c>
      <c r="D1207" s="18">
        <v>0</v>
      </c>
      <c r="E1207" s="18">
        <v>0</v>
      </c>
      <c r="F1207" s="18">
        <v>0</v>
      </c>
      <c r="G1207" s="18">
        <v>0</v>
      </c>
      <c r="H1207" s="19">
        <v>0.17343623861677826</v>
      </c>
      <c r="I1207" s="19">
        <v>0</v>
      </c>
      <c r="J1207" s="19">
        <v>0.17343623861677826</v>
      </c>
    </row>
    <row r="1208" spans="1:10" ht="11.25" customHeight="1" x14ac:dyDescent="0.2">
      <c r="A1208" s="28">
        <v>44593</v>
      </c>
      <c r="B1208" s="18">
        <v>124902.40000000001</v>
      </c>
      <c r="C1208" s="18">
        <v>146565.0024502083</v>
      </c>
      <c r="D1208" s="18">
        <v>0</v>
      </c>
      <c r="E1208" s="18">
        <v>0</v>
      </c>
      <c r="F1208" s="18">
        <v>0</v>
      </c>
      <c r="G1208" s="18">
        <v>0</v>
      </c>
      <c r="H1208" s="19">
        <v>0.17343623861677826</v>
      </c>
      <c r="I1208" s="19">
        <v>0</v>
      </c>
      <c r="J1208" s="19">
        <v>0.17343623861677826</v>
      </c>
    </row>
    <row r="1209" spans="1:10" ht="11.25" customHeight="1" x14ac:dyDescent="0.2">
      <c r="A1209" s="28">
        <v>44621</v>
      </c>
      <c r="B1209" s="18">
        <v>124902.40000000001</v>
      </c>
      <c r="C1209" s="18">
        <v>146565.0024502083</v>
      </c>
      <c r="D1209" s="18">
        <v>0</v>
      </c>
      <c r="E1209" s="18">
        <v>0</v>
      </c>
      <c r="F1209" s="18">
        <v>0</v>
      </c>
      <c r="G1209" s="18">
        <v>0</v>
      </c>
      <c r="H1209" s="19">
        <v>0.17343623861677826</v>
      </c>
      <c r="I1209" s="19">
        <v>0</v>
      </c>
      <c r="J1209" s="19">
        <v>0.17343623861677826</v>
      </c>
    </row>
    <row r="1210" spans="1:10" ht="11.25" customHeight="1" x14ac:dyDescent="0.2">
      <c r="A1210" s="28">
        <v>44652</v>
      </c>
      <c r="B1210" s="18">
        <v>124902.40000000001</v>
      </c>
      <c r="C1210" s="18">
        <v>146565.0024502083</v>
      </c>
      <c r="D1210" s="18">
        <v>0</v>
      </c>
      <c r="E1210" s="18">
        <v>0</v>
      </c>
      <c r="F1210" s="18">
        <v>0</v>
      </c>
      <c r="G1210" s="18">
        <v>0</v>
      </c>
      <c r="H1210" s="19">
        <v>0.17343623861677826</v>
      </c>
      <c r="I1210" s="19">
        <v>0</v>
      </c>
      <c r="J1210" s="19">
        <v>0.17343623861677826</v>
      </c>
    </row>
    <row r="1211" spans="1:10" ht="11.25" customHeight="1" x14ac:dyDescent="0.2">
      <c r="A1211" s="28">
        <v>44682</v>
      </c>
      <c r="B1211" s="18">
        <v>124902.40000000001</v>
      </c>
      <c r="C1211" s="18">
        <v>146565.0024502083</v>
      </c>
      <c r="D1211" s="18">
        <v>0</v>
      </c>
      <c r="E1211" s="18">
        <v>0</v>
      </c>
      <c r="F1211" s="18">
        <v>0</v>
      </c>
      <c r="G1211" s="18">
        <v>0</v>
      </c>
      <c r="H1211" s="19">
        <v>0.17343623861677826</v>
      </c>
      <c r="I1211" s="19">
        <v>0</v>
      </c>
      <c r="J1211" s="19">
        <v>0.17343623861677826</v>
      </c>
    </row>
    <row r="1212" spans="1:10" ht="11.25" customHeight="1" x14ac:dyDescent="0.2">
      <c r="A1212" s="21" t="s">
        <v>41</v>
      </c>
      <c r="B1212" s="18">
        <v>5099022.0599999884</v>
      </c>
      <c r="C1212" s="18">
        <v>5734097.4582268745</v>
      </c>
      <c r="D1212" s="18">
        <v>0</v>
      </c>
      <c r="E1212" s="18">
        <v>0</v>
      </c>
      <c r="F1212" s="18">
        <v>0</v>
      </c>
      <c r="G1212" s="18">
        <v>0</v>
      </c>
      <c r="H1212" s="19">
        <v>0.12454847042314765</v>
      </c>
      <c r="I1212" s="19">
        <v>0</v>
      </c>
      <c r="J1212" s="19">
        <v>0.12454847042314765</v>
      </c>
    </row>
    <row r="1213" spans="1:10" ht="11.25" customHeight="1" x14ac:dyDescent="0.2">
      <c r="A1213" s="22" t="s">
        <v>64</v>
      </c>
      <c r="B1213" s="18">
        <v>5099022.0599999884</v>
      </c>
      <c r="C1213" s="18">
        <v>5734097.4582268745</v>
      </c>
      <c r="D1213" s="18">
        <v>0</v>
      </c>
      <c r="E1213" s="18">
        <v>0</v>
      </c>
      <c r="F1213" s="18">
        <v>0</v>
      </c>
      <c r="G1213" s="18">
        <v>0</v>
      </c>
      <c r="H1213" s="19">
        <v>0.12454847042314765</v>
      </c>
      <c r="I1213" s="19">
        <v>0</v>
      </c>
      <c r="J1213" s="19">
        <v>0.12454847042314765</v>
      </c>
    </row>
    <row r="1214" spans="1:10" ht="11.25" customHeight="1" x14ac:dyDescent="0.2">
      <c r="A1214" s="23" t="s">
        <v>25</v>
      </c>
      <c r="B1214" s="18">
        <v>5099022.0599999884</v>
      </c>
      <c r="C1214" s="18">
        <v>5734097.4582268745</v>
      </c>
      <c r="D1214" s="18">
        <v>0</v>
      </c>
      <c r="E1214" s="18">
        <v>0</v>
      </c>
      <c r="F1214" s="18">
        <v>0</v>
      </c>
      <c r="G1214" s="18">
        <v>0</v>
      </c>
      <c r="H1214" s="19">
        <v>0.12454847042314765</v>
      </c>
      <c r="I1214" s="19">
        <v>0</v>
      </c>
      <c r="J1214" s="19">
        <v>0.12454847042314765</v>
      </c>
    </row>
    <row r="1215" spans="1:10" ht="11.25" customHeight="1" x14ac:dyDescent="0.2">
      <c r="A1215" s="24" t="s">
        <v>25</v>
      </c>
      <c r="B1215" s="18">
        <v>5099022.0599999884</v>
      </c>
      <c r="C1215" s="18">
        <v>5734097.4582268745</v>
      </c>
      <c r="D1215" s="18">
        <v>0</v>
      </c>
      <c r="E1215" s="18">
        <v>0</v>
      </c>
      <c r="F1215" s="18">
        <v>0</v>
      </c>
      <c r="G1215" s="18">
        <v>0</v>
      </c>
      <c r="H1215" s="19">
        <v>0.12454847042314765</v>
      </c>
      <c r="I1215" s="19">
        <v>0</v>
      </c>
      <c r="J1215" s="19">
        <v>0.12454847042314765</v>
      </c>
    </row>
    <row r="1216" spans="1:10" ht="11.25" customHeight="1" x14ac:dyDescent="0.2">
      <c r="A1216" s="25" t="s">
        <v>25</v>
      </c>
      <c r="B1216" s="18">
        <v>5099022.0599999884</v>
      </c>
      <c r="C1216" s="18">
        <v>5734097.4582268745</v>
      </c>
      <c r="D1216" s="18">
        <v>0</v>
      </c>
      <c r="E1216" s="18">
        <v>0</v>
      </c>
      <c r="F1216" s="18">
        <v>0</v>
      </c>
      <c r="G1216" s="18">
        <v>0</v>
      </c>
      <c r="H1216" s="19">
        <v>0.12454847042314765</v>
      </c>
      <c r="I1216" s="19">
        <v>0</v>
      </c>
      <c r="J1216" s="19">
        <v>0.12454847042314765</v>
      </c>
    </row>
    <row r="1217" spans="1:10" ht="11.25" customHeight="1" x14ac:dyDescent="0.2">
      <c r="A1217" s="26" t="s">
        <v>99</v>
      </c>
      <c r="B1217" s="18">
        <v>108112.56000000003</v>
      </c>
      <c r="C1217" s="18">
        <v>121577.81398153072</v>
      </c>
      <c r="D1217" s="18">
        <v>0</v>
      </c>
      <c r="E1217" s="18">
        <v>0</v>
      </c>
      <c r="F1217" s="18">
        <v>0</v>
      </c>
      <c r="G1217" s="18">
        <v>0</v>
      </c>
      <c r="H1217" s="19">
        <v>0.12454847042314698</v>
      </c>
      <c r="I1217" s="19">
        <v>0</v>
      </c>
      <c r="J1217" s="19">
        <v>0.12454847042314698</v>
      </c>
    </row>
    <row r="1218" spans="1:10" ht="11.25" customHeight="1" x14ac:dyDescent="0.2">
      <c r="A1218" s="27" t="s">
        <v>25</v>
      </c>
      <c r="B1218" s="18">
        <v>108112.56000000003</v>
      </c>
      <c r="C1218" s="18">
        <v>121577.81398153072</v>
      </c>
      <c r="D1218" s="18">
        <v>0</v>
      </c>
      <c r="E1218" s="18">
        <v>0</v>
      </c>
      <c r="F1218" s="18">
        <v>0</v>
      </c>
      <c r="G1218" s="18">
        <v>0</v>
      </c>
      <c r="H1218" s="19">
        <v>0.12454847042314698</v>
      </c>
      <c r="I1218" s="19">
        <v>0</v>
      </c>
      <c r="J1218" s="19">
        <v>0.12454847042314698</v>
      </c>
    </row>
    <row r="1219" spans="1:10" ht="11.25" customHeight="1" x14ac:dyDescent="0.2">
      <c r="A1219" s="28">
        <v>44348</v>
      </c>
      <c r="B1219" s="18">
        <v>8991.6</v>
      </c>
      <c r="C1219" s="18">
        <v>10111.490026656767</v>
      </c>
      <c r="D1219" s="18">
        <v>0</v>
      </c>
      <c r="E1219" s="18">
        <v>0</v>
      </c>
      <c r="F1219" s="18">
        <v>0</v>
      </c>
      <c r="G1219" s="18">
        <v>0</v>
      </c>
      <c r="H1219" s="19">
        <v>0.12454847042314676</v>
      </c>
      <c r="I1219" s="19">
        <v>0</v>
      </c>
      <c r="J1219" s="19">
        <v>0.12454847042314676</v>
      </c>
    </row>
    <row r="1220" spans="1:10" ht="11.25" customHeight="1" x14ac:dyDescent="0.2">
      <c r="A1220" s="28">
        <v>44378</v>
      </c>
      <c r="B1220" s="18">
        <v>8991.6</v>
      </c>
      <c r="C1220" s="18">
        <v>10111.490026656767</v>
      </c>
      <c r="D1220" s="18">
        <v>0</v>
      </c>
      <c r="E1220" s="18">
        <v>0</v>
      </c>
      <c r="F1220" s="18">
        <v>0</v>
      </c>
      <c r="G1220" s="18">
        <v>0</v>
      </c>
      <c r="H1220" s="19">
        <v>0.12454847042314676</v>
      </c>
      <c r="I1220" s="19">
        <v>0</v>
      </c>
      <c r="J1220" s="19">
        <v>0.12454847042314676</v>
      </c>
    </row>
    <row r="1221" spans="1:10" ht="11.25" customHeight="1" x14ac:dyDescent="0.2">
      <c r="A1221" s="28">
        <v>44409</v>
      </c>
      <c r="B1221" s="18">
        <v>8991.6</v>
      </c>
      <c r="C1221" s="18">
        <v>10111.490026656767</v>
      </c>
      <c r="D1221" s="18">
        <v>0</v>
      </c>
      <c r="E1221" s="18">
        <v>0</v>
      </c>
      <c r="F1221" s="18">
        <v>0</v>
      </c>
      <c r="G1221" s="18">
        <v>0</v>
      </c>
      <c r="H1221" s="19">
        <v>0.12454847042314676</v>
      </c>
      <c r="I1221" s="19">
        <v>0</v>
      </c>
      <c r="J1221" s="19">
        <v>0.12454847042314676</v>
      </c>
    </row>
    <row r="1222" spans="1:10" ht="11.25" customHeight="1" x14ac:dyDescent="0.2">
      <c r="A1222" s="28">
        <v>44440</v>
      </c>
      <c r="B1222" s="18">
        <v>8991.6</v>
      </c>
      <c r="C1222" s="18">
        <v>10111.490026656767</v>
      </c>
      <c r="D1222" s="18">
        <v>0</v>
      </c>
      <c r="E1222" s="18">
        <v>0</v>
      </c>
      <c r="F1222" s="18">
        <v>0</v>
      </c>
      <c r="G1222" s="18">
        <v>0</v>
      </c>
      <c r="H1222" s="19">
        <v>0.12454847042314676</v>
      </c>
      <c r="I1222" s="19">
        <v>0</v>
      </c>
      <c r="J1222" s="19">
        <v>0.12454847042314676</v>
      </c>
    </row>
    <row r="1223" spans="1:10" ht="11.25" customHeight="1" x14ac:dyDescent="0.2">
      <c r="A1223" s="28">
        <v>44470</v>
      </c>
      <c r="B1223" s="18">
        <v>8991.6</v>
      </c>
      <c r="C1223" s="18">
        <v>10111.490026656767</v>
      </c>
      <c r="D1223" s="18">
        <v>0</v>
      </c>
      <c r="E1223" s="18">
        <v>0</v>
      </c>
      <c r="F1223" s="18">
        <v>0</v>
      </c>
      <c r="G1223" s="18">
        <v>0</v>
      </c>
      <c r="H1223" s="19">
        <v>0.12454847042314676</v>
      </c>
      <c r="I1223" s="19">
        <v>0</v>
      </c>
      <c r="J1223" s="19">
        <v>0.12454847042314676</v>
      </c>
    </row>
    <row r="1224" spans="1:10" ht="11.25" customHeight="1" x14ac:dyDescent="0.2">
      <c r="A1224" s="28">
        <v>44501</v>
      </c>
      <c r="B1224" s="18">
        <v>8991.6</v>
      </c>
      <c r="C1224" s="18">
        <v>10111.490026656767</v>
      </c>
      <c r="D1224" s="18">
        <v>0</v>
      </c>
      <c r="E1224" s="18">
        <v>0</v>
      </c>
      <c r="F1224" s="18">
        <v>0</v>
      </c>
      <c r="G1224" s="18">
        <v>0</v>
      </c>
      <c r="H1224" s="19">
        <v>0.12454847042314676</v>
      </c>
      <c r="I1224" s="19">
        <v>0</v>
      </c>
      <c r="J1224" s="19">
        <v>0.12454847042314676</v>
      </c>
    </row>
    <row r="1225" spans="1:10" ht="11.25" customHeight="1" x14ac:dyDescent="0.2">
      <c r="A1225" s="28">
        <v>44531</v>
      </c>
      <c r="B1225" s="18">
        <v>8991.6</v>
      </c>
      <c r="C1225" s="18">
        <v>10111.490026656767</v>
      </c>
      <c r="D1225" s="18">
        <v>0</v>
      </c>
      <c r="E1225" s="18">
        <v>0</v>
      </c>
      <c r="F1225" s="18">
        <v>0</v>
      </c>
      <c r="G1225" s="18">
        <v>0</v>
      </c>
      <c r="H1225" s="19">
        <v>0.12454847042314676</v>
      </c>
      <c r="I1225" s="19">
        <v>0</v>
      </c>
      <c r="J1225" s="19">
        <v>0.12454847042314676</v>
      </c>
    </row>
    <row r="1226" spans="1:10" ht="11.25" customHeight="1" x14ac:dyDescent="0.2">
      <c r="A1226" s="28">
        <v>44562</v>
      </c>
      <c r="B1226" s="18">
        <v>8991.6</v>
      </c>
      <c r="C1226" s="18">
        <v>10111.490026656767</v>
      </c>
      <c r="D1226" s="18">
        <v>0</v>
      </c>
      <c r="E1226" s="18">
        <v>0</v>
      </c>
      <c r="F1226" s="18">
        <v>0</v>
      </c>
      <c r="G1226" s="18">
        <v>0</v>
      </c>
      <c r="H1226" s="19">
        <v>0.12454847042314676</v>
      </c>
      <c r="I1226" s="19">
        <v>0</v>
      </c>
      <c r="J1226" s="19">
        <v>0.12454847042314676</v>
      </c>
    </row>
    <row r="1227" spans="1:10" ht="11.25" customHeight="1" x14ac:dyDescent="0.2">
      <c r="A1227" s="28">
        <v>44593</v>
      </c>
      <c r="B1227" s="18">
        <v>8991.6</v>
      </c>
      <c r="C1227" s="18">
        <v>10111.490026656767</v>
      </c>
      <c r="D1227" s="18">
        <v>0</v>
      </c>
      <c r="E1227" s="18">
        <v>0</v>
      </c>
      <c r="F1227" s="18">
        <v>0</v>
      </c>
      <c r="G1227" s="18">
        <v>0</v>
      </c>
      <c r="H1227" s="19">
        <v>0.12454847042314676</v>
      </c>
      <c r="I1227" s="19">
        <v>0</v>
      </c>
      <c r="J1227" s="19">
        <v>0.12454847042314676</v>
      </c>
    </row>
    <row r="1228" spans="1:10" ht="11.25" customHeight="1" x14ac:dyDescent="0.2">
      <c r="A1228" s="28">
        <v>44621</v>
      </c>
      <c r="B1228" s="18">
        <v>9204.9600000000009</v>
      </c>
      <c r="C1228" s="18">
        <v>10351.423688306251</v>
      </c>
      <c r="D1228" s="18">
        <v>0</v>
      </c>
      <c r="E1228" s="18">
        <v>0</v>
      </c>
      <c r="F1228" s="18">
        <v>0</v>
      </c>
      <c r="G1228" s="18">
        <v>0</v>
      </c>
      <c r="H1228" s="19">
        <v>0.12454847042314698</v>
      </c>
      <c r="I1228" s="19">
        <v>0</v>
      </c>
      <c r="J1228" s="19">
        <v>0.12454847042314698</v>
      </c>
    </row>
    <row r="1229" spans="1:10" ht="11.25" customHeight="1" x14ac:dyDescent="0.2">
      <c r="A1229" s="28">
        <v>44652</v>
      </c>
      <c r="B1229" s="18">
        <v>8991.6</v>
      </c>
      <c r="C1229" s="18">
        <v>10111.490026656767</v>
      </c>
      <c r="D1229" s="18">
        <v>0</v>
      </c>
      <c r="E1229" s="18">
        <v>0</v>
      </c>
      <c r="F1229" s="18">
        <v>0</v>
      </c>
      <c r="G1229" s="18">
        <v>0</v>
      </c>
      <c r="H1229" s="19">
        <v>0.12454847042314676</v>
      </c>
      <c r="I1229" s="19">
        <v>0</v>
      </c>
      <c r="J1229" s="19">
        <v>0.12454847042314676</v>
      </c>
    </row>
    <row r="1230" spans="1:10" ht="11.25" customHeight="1" x14ac:dyDescent="0.2">
      <c r="A1230" s="28">
        <v>44682</v>
      </c>
      <c r="B1230" s="18">
        <v>8991.6</v>
      </c>
      <c r="C1230" s="18">
        <v>10111.490026656767</v>
      </c>
      <c r="D1230" s="18">
        <v>0</v>
      </c>
      <c r="E1230" s="18">
        <v>0</v>
      </c>
      <c r="F1230" s="18">
        <v>0</v>
      </c>
      <c r="G1230" s="18">
        <v>0</v>
      </c>
      <c r="H1230" s="19">
        <v>0.12454847042314676</v>
      </c>
      <c r="I1230" s="19">
        <v>0</v>
      </c>
      <c r="J1230" s="19">
        <v>0.12454847042314676</v>
      </c>
    </row>
    <row r="1231" spans="1:10" ht="11.25" customHeight="1" x14ac:dyDescent="0.2">
      <c r="A1231" s="26" t="s">
        <v>97</v>
      </c>
      <c r="B1231" s="18">
        <v>107899.20000000003</v>
      </c>
      <c r="C1231" s="18">
        <v>121337.88031988124</v>
      </c>
      <c r="D1231" s="18">
        <v>0</v>
      </c>
      <c r="E1231" s="18">
        <v>0</v>
      </c>
      <c r="F1231" s="18">
        <v>0</v>
      </c>
      <c r="G1231" s="18">
        <v>0</v>
      </c>
      <c r="H1231" s="19">
        <v>0.12454847042314676</v>
      </c>
      <c r="I1231" s="19">
        <v>0</v>
      </c>
      <c r="J1231" s="19">
        <v>0.12454847042314676</v>
      </c>
    </row>
    <row r="1232" spans="1:10" ht="11.25" customHeight="1" x14ac:dyDescent="0.2">
      <c r="A1232" s="27" t="s">
        <v>25</v>
      </c>
      <c r="B1232" s="18">
        <v>107899.20000000003</v>
      </c>
      <c r="C1232" s="18">
        <v>121337.88031988124</v>
      </c>
      <c r="D1232" s="18">
        <v>0</v>
      </c>
      <c r="E1232" s="18">
        <v>0</v>
      </c>
      <c r="F1232" s="18">
        <v>0</v>
      </c>
      <c r="G1232" s="18">
        <v>0</v>
      </c>
      <c r="H1232" s="19">
        <v>0.12454847042314676</v>
      </c>
      <c r="I1232" s="19">
        <v>0</v>
      </c>
      <c r="J1232" s="19">
        <v>0.12454847042314676</v>
      </c>
    </row>
    <row r="1233" spans="1:10" ht="11.25" customHeight="1" x14ac:dyDescent="0.2">
      <c r="A1233" s="28">
        <v>44348</v>
      </c>
      <c r="B1233" s="18">
        <v>8991.6</v>
      </c>
      <c r="C1233" s="18">
        <v>10111.490026656767</v>
      </c>
      <c r="D1233" s="18">
        <v>0</v>
      </c>
      <c r="E1233" s="18">
        <v>0</v>
      </c>
      <c r="F1233" s="18">
        <v>0</v>
      </c>
      <c r="G1233" s="18">
        <v>0</v>
      </c>
      <c r="H1233" s="19">
        <v>0.12454847042314676</v>
      </c>
      <c r="I1233" s="19">
        <v>0</v>
      </c>
      <c r="J1233" s="19">
        <v>0.12454847042314676</v>
      </c>
    </row>
    <row r="1234" spans="1:10" ht="11.25" customHeight="1" x14ac:dyDescent="0.2">
      <c r="A1234" s="28">
        <v>44378</v>
      </c>
      <c r="B1234" s="18">
        <v>8991.6</v>
      </c>
      <c r="C1234" s="18">
        <v>10111.490026656767</v>
      </c>
      <c r="D1234" s="18">
        <v>0</v>
      </c>
      <c r="E1234" s="18">
        <v>0</v>
      </c>
      <c r="F1234" s="18">
        <v>0</v>
      </c>
      <c r="G1234" s="18">
        <v>0</v>
      </c>
      <c r="H1234" s="19">
        <v>0.12454847042314676</v>
      </c>
      <c r="I1234" s="19">
        <v>0</v>
      </c>
      <c r="J1234" s="19">
        <v>0.12454847042314676</v>
      </c>
    </row>
    <row r="1235" spans="1:10" ht="11.25" customHeight="1" x14ac:dyDescent="0.2">
      <c r="A1235" s="28">
        <v>44409</v>
      </c>
      <c r="B1235" s="18">
        <v>8991.6</v>
      </c>
      <c r="C1235" s="18">
        <v>10111.490026656767</v>
      </c>
      <c r="D1235" s="18">
        <v>0</v>
      </c>
      <c r="E1235" s="18">
        <v>0</v>
      </c>
      <c r="F1235" s="18">
        <v>0</v>
      </c>
      <c r="G1235" s="18">
        <v>0</v>
      </c>
      <c r="H1235" s="19">
        <v>0.12454847042314676</v>
      </c>
      <c r="I1235" s="19">
        <v>0</v>
      </c>
      <c r="J1235" s="19">
        <v>0.12454847042314676</v>
      </c>
    </row>
    <row r="1236" spans="1:10" ht="11.25" customHeight="1" x14ac:dyDescent="0.2">
      <c r="A1236" s="28">
        <v>44440</v>
      </c>
      <c r="B1236" s="18">
        <v>8991.6</v>
      </c>
      <c r="C1236" s="18">
        <v>10111.490026656767</v>
      </c>
      <c r="D1236" s="18">
        <v>0</v>
      </c>
      <c r="E1236" s="18">
        <v>0</v>
      </c>
      <c r="F1236" s="18">
        <v>0</v>
      </c>
      <c r="G1236" s="18">
        <v>0</v>
      </c>
      <c r="H1236" s="19">
        <v>0.12454847042314676</v>
      </c>
      <c r="I1236" s="19">
        <v>0</v>
      </c>
      <c r="J1236" s="19">
        <v>0.12454847042314676</v>
      </c>
    </row>
    <row r="1237" spans="1:10" ht="11.25" customHeight="1" x14ac:dyDescent="0.2">
      <c r="A1237" s="28">
        <v>44470</v>
      </c>
      <c r="B1237" s="18">
        <v>8991.6</v>
      </c>
      <c r="C1237" s="18">
        <v>10111.490026656767</v>
      </c>
      <c r="D1237" s="18">
        <v>0</v>
      </c>
      <c r="E1237" s="18">
        <v>0</v>
      </c>
      <c r="F1237" s="18">
        <v>0</v>
      </c>
      <c r="G1237" s="18">
        <v>0</v>
      </c>
      <c r="H1237" s="19">
        <v>0.12454847042314676</v>
      </c>
      <c r="I1237" s="19">
        <v>0</v>
      </c>
      <c r="J1237" s="19">
        <v>0.12454847042314676</v>
      </c>
    </row>
    <row r="1238" spans="1:10" ht="11.25" customHeight="1" x14ac:dyDescent="0.2">
      <c r="A1238" s="28">
        <v>44501</v>
      </c>
      <c r="B1238" s="18">
        <v>8991.6</v>
      </c>
      <c r="C1238" s="18">
        <v>10111.490026656767</v>
      </c>
      <c r="D1238" s="18">
        <v>0</v>
      </c>
      <c r="E1238" s="18">
        <v>0</v>
      </c>
      <c r="F1238" s="18">
        <v>0</v>
      </c>
      <c r="G1238" s="18">
        <v>0</v>
      </c>
      <c r="H1238" s="19">
        <v>0.12454847042314676</v>
      </c>
      <c r="I1238" s="19">
        <v>0</v>
      </c>
      <c r="J1238" s="19">
        <v>0.12454847042314676</v>
      </c>
    </row>
    <row r="1239" spans="1:10" ht="11.25" customHeight="1" x14ac:dyDescent="0.2">
      <c r="A1239" s="28">
        <v>44531</v>
      </c>
      <c r="B1239" s="18">
        <v>8991.6</v>
      </c>
      <c r="C1239" s="18">
        <v>10111.490026656767</v>
      </c>
      <c r="D1239" s="18">
        <v>0</v>
      </c>
      <c r="E1239" s="18">
        <v>0</v>
      </c>
      <c r="F1239" s="18">
        <v>0</v>
      </c>
      <c r="G1239" s="18">
        <v>0</v>
      </c>
      <c r="H1239" s="19">
        <v>0.12454847042314676</v>
      </c>
      <c r="I1239" s="19">
        <v>0</v>
      </c>
      <c r="J1239" s="19">
        <v>0.12454847042314676</v>
      </c>
    </row>
    <row r="1240" spans="1:10" ht="11.25" customHeight="1" x14ac:dyDescent="0.2">
      <c r="A1240" s="28">
        <v>44562</v>
      </c>
      <c r="B1240" s="18">
        <v>8991.6</v>
      </c>
      <c r="C1240" s="18">
        <v>10111.490026656767</v>
      </c>
      <c r="D1240" s="18">
        <v>0</v>
      </c>
      <c r="E1240" s="18">
        <v>0</v>
      </c>
      <c r="F1240" s="18">
        <v>0</v>
      </c>
      <c r="G1240" s="18">
        <v>0</v>
      </c>
      <c r="H1240" s="19">
        <v>0.12454847042314676</v>
      </c>
      <c r="I1240" s="19">
        <v>0</v>
      </c>
      <c r="J1240" s="19">
        <v>0.12454847042314676</v>
      </c>
    </row>
    <row r="1241" spans="1:10" ht="11.25" customHeight="1" x14ac:dyDescent="0.2">
      <c r="A1241" s="28">
        <v>44593</v>
      </c>
      <c r="B1241" s="18">
        <v>8991.6</v>
      </c>
      <c r="C1241" s="18">
        <v>10111.490026656767</v>
      </c>
      <c r="D1241" s="18">
        <v>0</v>
      </c>
      <c r="E1241" s="18">
        <v>0</v>
      </c>
      <c r="F1241" s="18">
        <v>0</v>
      </c>
      <c r="G1241" s="18">
        <v>0</v>
      </c>
      <c r="H1241" s="19">
        <v>0.12454847042314676</v>
      </c>
      <c r="I1241" s="19">
        <v>0</v>
      </c>
      <c r="J1241" s="19">
        <v>0.12454847042314676</v>
      </c>
    </row>
    <row r="1242" spans="1:10" ht="11.25" customHeight="1" x14ac:dyDescent="0.2">
      <c r="A1242" s="28">
        <v>44621</v>
      </c>
      <c r="B1242" s="18">
        <v>8991.6</v>
      </c>
      <c r="C1242" s="18">
        <v>10111.490026656767</v>
      </c>
      <c r="D1242" s="18">
        <v>0</v>
      </c>
      <c r="E1242" s="18">
        <v>0</v>
      </c>
      <c r="F1242" s="18">
        <v>0</v>
      </c>
      <c r="G1242" s="18">
        <v>0</v>
      </c>
      <c r="H1242" s="19">
        <v>0.12454847042314676</v>
      </c>
      <c r="I1242" s="19">
        <v>0</v>
      </c>
      <c r="J1242" s="19">
        <v>0.12454847042314676</v>
      </c>
    </row>
    <row r="1243" spans="1:10" ht="11.25" customHeight="1" x14ac:dyDescent="0.2">
      <c r="A1243" s="28">
        <v>44652</v>
      </c>
      <c r="B1243" s="18">
        <v>8991.6</v>
      </c>
      <c r="C1243" s="18">
        <v>10111.490026656767</v>
      </c>
      <c r="D1243" s="18">
        <v>0</v>
      </c>
      <c r="E1243" s="18">
        <v>0</v>
      </c>
      <c r="F1243" s="18">
        <v>0</v>
      </c>
      <c r="G1243" s="18">
        <v>0</v>
      </c>
      <c r="H1243" s="19">
        <v>0.12454847042314676</v>
      </c>
      <c r="I1243" s="19">
        <v>0</v>
      </c>
      <c r="J1243" s="19">
        <v>0.12454847042314676</v>
      </c>
    </row>
    <row r="1244" spans="1:10" ht="11.25" customHeight="1" x14ac:dyDescent="0.2">
      <c r="A1244" s="28">
        <v>44682</v>
      </c>
      <c r="B1244" s="18">
        <v>8991.6</v>
      </c>
      <c r="C1244" s="18">
        <v>10111.490026656767</v>
      </c>
      <c r="D1244" s="18">
        <v>0</v>
      </c>
      <c r="E1244" s="18">
        <v>0</v>
      </c>
      <c r="F1244" s="18">
        <v>0</v>
      </c>
      <c r="G1244" s="18">
        <v>0</v>
      </c>
      <c r="H1244" s="19">
        <v>0.12454847042314676</v>
      </c>
      <c r="I1244" s="19">
        <v>0</v>
      </c>
      <c r="J1244" s="19">
        <v>0.12454847042314676</v>
      </c>
    </row>
    <row r="1245" spans="1:10" ht="11.25" customHeight="1" x14ac:dyDescent="0.2">
      <c r="A1245" s="26" t="s">
        <v>100</v>
      </c>
      <c r="B1245" s="18">
        <v>107899.20000000003</v>
      </c>
      <c r="C1245" s="18">
        <v>121337.88031988124</v>
      </c>
      <c r="D1245" s="18">
        <v>0</v>
      </c>
      <c r="E1245" s="18">
        <v>0</v>
      </c>
      <c r="F1245" s="18">
        <v>0</v>
      </c>
      <c r="G1245" s="18">
        <v>0</v>
      </c>
      <c r="H1245" s="19">
        <v>0.12454847042314676</v>
      </c>
      <c r="I1245" s="19">
        <v>0</v>
      </c>
      <c r="J1245" s="19">
        <v>0.12454847042314676</v>
      </c>
    </row>
    <row r="1246" spans="1:10" ht="11.25" customHeight="1" x14ac:dyDescent="0.2">
      <c r="A1246" s="27" t="s">
        <v>25</v>
      </c>
      <c r="B1246" s="18">
        <v>107899.20000000003</v>
      </c>
      <c r="C1246" s="18">
        <v>121337.88031988124</v>
      </c>
      <c r="D1246" s="18">
        <v>0</v>
      </c>
      <c r="E1246" s="18">
        <v>0</v>
      </c>
      <c r="F1246" s="18">
        <v>0</v>
      </c>
      <c r="G1246" s="18">
        <v>0</v>
      </c>
      <c r="H1246" s="19">
        <v>0.12454847042314676</v>
      </c>
      <c r="I1246" s="19">
        <v>0</v>
      </c>
      <c r="J1246" s="19">
        <v>0.12454847042314676</v>
      </c>
    </row>
    <row r="1247" spans="1:10" ht="11.25" customHeight="1" x14ac:dyDescent="0.2">
      <c r="A1247" s="28">
        <v>44348</v>
      </c>
      <c r="B1247" s="18">
        <v>8991.6</v>
      </c>
      <c r="C1247" s="18">
        <v>10111.490026656767</v>
      </c>
      <c r="D1247" s="18">
        <v>0</v>
      </c>
      <c r="E1247" s="18">
        <v>0</v>
      </c>
      <c r="F1247" s="18">
        <v>0</v>
      </c>
      <c r="G1247" s="18">
        <v>0</v>
      </c>
      <c r="H1247" s="19">
        <v>0.12454847042314676</v>
      </c>
      <c r="I1247" s="19">
        <v>0</v>
      </c>
      <c r="J1247" s="19">
        <v>0.12454847042314676</v>
      </c>
    </row>
    <row r="1248" spans="1:10" ht="11.25" customHeight="1" x14ac:dyDescent="0.2">
      <c r="A1248" s="28">
        <v>44378</v>
      </c>
      <c r="B1248" s="18">
        <v>8991.6</v>
      </c>
      <c r="C1248" s="18">
        <v>10111.490026656767</v>
      </c>
      <c r="D1248" s="18">
        <v>0</v>
      </c>
      <c r="E1248" s="18">
        <v>0</v>
      </c>
      <c r="F1248" s="18">
        <v>0</v>
      </c>
      <c r="G1248" s="18">
        <v>0</v>
      </c>
      <c r="H1248" s="19">
        <v>0.12454847042314676</v>
      </c>
      <c r="I1248" s="19">
        <v>0</v>
      </c>
      <c r="J1248" s="19">
        <v>0.12454847042314676</v>
      </c>
    </row>
    <row r="1249" spans="1:10" ht="11.25" customHeight="1" x14ac:dyDescent="0.2">
      <c r="A1249" s="28">
        <v>44409</v>
      </c>
      <c r="B1249" s="18">
        <v>8991.6</v>
      </c>
      <c r="C1249" s="18">
        <v>10111.490026656767</v>
      </c>
      <c r="D1249" s="18">
        <v>0</v>
      </c>
      <c r="E1249" s="18">
        <v>0</v>
      </c>
      <c r="F1249" s="18">
        <v>0</v>
      </c>
      <c r="G1249" s="18">
        <v>0</v>
      </c>
      <c r="H1249" s="19">
        <v>0.12454847042314676</v>
      </c>
      <c r="I1249" s="19">
        <v>0</v>
      </c>
      <c r="J1249" s="19">
        <v>0.12454847042314676</v>
      </c>
    </row>
    <row r="1250" spans="1:10" ht="11.25" customHeight="1" x14ac:dyDescent="0.2">
      <c r="A1250" s="28">
        <v>44440</v>
      </c>
      <c r="B1250" s="18">
        <v>8991.6</v>
      </c>
      <c r="C1250" s="18">
        <v>10111.490026656767</v>
      </c>
      <c r="D1250" s="18">
        <v>0</v>
      </c>
      <c r="E1250" s="18">
        <v>0</v>
      </c>
      <c r="F1250" s="18">
        <v>0</v>
      </c>
      <c r="G1250" s="18">
        <v>0</v>
      </c>
      <c r="H1250" s="19">
        <v>0.12454847042314676</v>
      </c>
      <c r="I1250" s="19">
        <v>0</v>
      </c>
      <c r="J1250" s="19">
        <v>0.12454847042314676</v>
      </c>
    </row>
    <row r="1251" spans="1:10" ht="11.25" customHeight="1" x14ac:dyDescent="0.2">
      <c r="A1251" s="28">
        <v>44470</v>
      </c>
      <c r="B1251" s="18">
        <v>8991.6</v>
      </c>
      <c r="C1251" s="18">
        <v>10111.490026656767</v>
      </c>
      <c r="D1251" s="18">
        <v>0</v>
      </c>
      <c r="E1251" s="18">
        <v>0</v>
      </c>
      <c r="F1251" s="18">
        <v>0</v>
      </c>
      <c r="G1251" s="18">
        <v>0</v>
      </c>
      <c r="H1251" s="19">
        <v>0.12454847042314676</v>
      </c>
      <c r="I1251" s="19">
        <v>0</v>
      </c>
      <c r="J1251" s="19">
        <v>0.12454847042314676</v>
      </c>
    </row>
    <row r="1252" spans="1:10" ht="11.25" customHeight="1" x14ac:dyDescent="0.2">
      <c r="A1252" s="28">
        <v>44501</v>
      </c>
      <c r="B1252" s="18">
        <v>8991.6</v>
      </c>
      <c r="C1252" s="18">
        <v>10111.490026656767</v>
      </c>
      <c r="D1252" s="18">
        <v>0</v>
      </c>
      <c r="E1252" s="18">
        <v>0</v>
      </c>
      <c r="F1252" s="18">
        <v>0</v>
      </c>
      <c r="G1252" s="18">
        <v>0</v>
      </c>
      <c r="H1252" s="19">
        <v>0.12454847042314676</v>
      </c>
      <c r="I1252" s="19">
        <v>0</v>
      </c>
      <c r="J1252" s="19">
        <v>0.12454847042314676</v>
      </c>
    </row>
    <row r="1253" spans="1:10" ht="11.25" customHeight="1" x14ac:dyDescent="0.2">
      <c r="A1253" s="28">
        <v>44531</v>
      </c>
      <c r="B1253" s="18">
        <v>8991.6</v>
      </c>
      <c r="C1253" s="18">
        <v>10111.490026656767</v>
      </c>
      <c r="D1253" s="18">
        <v>0</v>
      </c>
      <c r="E1253" s="18">
        <v>0</v>
      </c>
      <c r="F1253" s="18">
        <v>0</v>
      </c>
      <c r="G1253" s="18">
        <v>0</v>
      </c>
      <c r="H1253" s="19">
        <v>0.12454847042314676</v>
      </c>
      <c r="I1253" s="19">
        <v>0</v>
      </c>
      <c r="J1253" s="19">
        <v>0.12454847042314676</v>
      </c>
    </row>
    <row r="1254" spans="1:10" ht="11.25" customHeight="1" x14ac:dyDescent="0.2">
      <c r="A1254" s="28">
        <v>44562</v>
      </c>
      <c r="B1254" s="18">
        <v>8991.6</v>
      </c>
      <c r="C1254" s="18">
        <v>10111.490026656767</v>
      </c>
      <c r="D1254" s="18">
        <v>0</v>
      </c>
      <c r="E1254" s="18">
        <v>0</v>
      </c>
      <c r="F1254" s="18">
        <v>0</v>
      </c>
      <c r="G1254" s="18">
        <v>0</v>
      </c>
      <c r="H1254" s="19">
        <v>0.12454847042314676</v>
      </c>
      <c r="I1254" s="19">
        <v>0</v>
      </c>
      <c r="J1254" s="19">
        <v>0.12454847042314676</v>
      </c>
    </row>
    <row r="1255" spans="1:10" ht="11.25" customHeight="1" x14ac:dyDescent="0.2">
      <c r="A1255" s="28">
        <v>44593</v>
      </c>
      <c r="B1255" s="18">
        <v>8991.6</v>
      </c>
      <c r="C1255" s="18">
        <v>10111.490026656767</v>
      </c>
      <c r="D1255" s="18">
        <v>0</v>
      </c>
      <c r="E1255" s="18">
        <v>0</v>
      </c>
      <c r="F1255" s="18">
        <v>0</v>
      </c>
      <c r="G1255" s="18">
        <v>0</v>
      </c>
      <c r="H1255" s="19">
        <v>0.12454847042314676</v>
      </c>
      <c r="I1255" s="19">
        <v>0</v>
      </c>
      <c r="J1255" s="19">
        <v>0.12454847042314676</v>
      </c>
    </row>
    <row r="1256" spans="1:10" ht="11.25" customHeight="1" x14ac:dyDescent="0.2">
      <c r="A1256" s="28">
        <v>44621</v>
      </c>
      <c r="B1256" s="18">
        <v>8991.6</v>
      </c>
      <c r="C1256" s="18">
        <v>10111.490026656767</v>
      </c>
      <c r="D1256" s="18">
        <v>0</v>
      </c>
      <c r="E1256" s="18">
        <v>0</v>
      </c>
      <c r="F1256" s="18">
        <v>0</v>
      </c>
      <c r="G1256" s="18">
        <v>0</v>
      </c>
      <c r="H1256" s="19">
        <v>0.12454847042314676</v>
      </c>
      <c r="I1256" s="19">
        <v>0</v>
      </c>
      <c r="J1256" s="19">
        <v>0.12454847042314676</v>
      </c>
    </row>
    <row r="1257" spans="1:10" ht="11.25" customHeight="1" x14ac:dyDescent="0.2">
      <c r="A1257" s="28">
        <v>44652</v>
      </c>
      <c r="B1257" s="18">
        <v>8991.6</v>
      </c>
      <c r="C1257" s="18">
        <v>10111.490026656767</v>
      </c>
      <c r="D1257" s="18">
        <v>0</v>
      </c>
      <c r="E1257" s="18">
        <v>0</v>
      </c>
      <c r="F1257" s="18">
        <v>0</v>
      </c>
      <c r="G1257" s="18">
        <v>0</v>
      </c>
      <c r="H1257" s="19">
        <v>0.12454847042314676</v>
      </c>
      <c r="I1257" s="19">
        <v>0</v>
      </c>
      <c r="J1257" s="19">
        <v>0.12454847042314676</v>
      </c>
    </row>
    <row r="1258" spans="1:10" ht="11.25" customHeight="1" x14ac:dyDescent="0.2">
      <c r="A1258" s="28">
        <v>44682</v>
      </c>
      <c r="B1258" s="18">
        <v>8991.6</v>
      </c>
      <c r="C1258" s="18">
        <v>10111.490026656767</v>
      </c>
      <c r="D1258" s="18">
        <v>0</v>
      </c>
      <c r="E1258" s="18">
        <v>0</v>
      </c>
      <c r="F1258" s="18">
        <v>0</v>
      </c>
      <c r="G1258" s="18">
        <v>0</v>
      </c>
      <c r="H1258" s="19">
        <v>0.12454847042314676</v>
      </c>
      <c r="I1258" s="19">
        <v>0</v>
      </c>
      <c r="J1258" s="19">
        <v>0.12454847042314676</v>
      </c>
    </row>
    <row r="1259" spans="1:10" ht="11.25" customHeight="1" x14ac:dyDescent="0.2">
      <c r="A1259" s="26" t="s">
        <v>68</v>
      </c>
      <c r="B1259" s="18">
        <v>55229.760000000017</v>
      </c>
      <c r="C1259" s="18">
        <v>62108.542129837522</v>
      </c>
      <c r="D1259" s="18">
        <v>0</v>
      </c>
      <c r="E1259" s="18">
        <v>0</v>
      </c>
      <c r="F1259" s="18">
        <v>0</v>
      </c>
      <c r="G1259" s="18">
        <v>0</v>
      </c>
      <c r="H1259" s="19">
        <v>0.12454847042314698</v>
      </c>
      <c r="I1259" s="19">
        <v>0</v>
      </c>
      <c r="J1259" s="19">
        <v>0.12454847042314698</v>
      </c>
    </row>
    <row r="1260" spans="1:10" ht="11.25" customHeight="1" x14ac:dyDescent="0.2">
      <c r="A1260" s="27" t="s">
        <v>25</v>
      </c>
      <c r="B1260" s="18">
        <v>55229.760000000017</v>
      </c>
      <c r="C1260" s="18">
        <v>62108.542129837522</v>
      </c>
      <c r="D1260" s="18">
        <v>0</v>
      </c>
      <c r="E1260" s="18">
        <v>0</v>
      </c>
      <c r="F1260" s="18">
        <v>0</v>
      </c>
      <c r="G1260" s="18">
        <v>0</v>
      </c>
      <c r="H1260" s="19">
        <v>0.12454847042314698</v>
      </c>
      <c r="I1260" s="19">
        <v>0</v>
      </c>
      <c r="J1260" s="19">
        <v>0.12454847042314698</v>
      </c>
    </row>
    <row r="1261" spans="1:10" ht="11.25" customHeight="1" x14ac:dyDescent="0.2">
      <c r="A1261" s="28">
        <v>44348</v>
      </c>
      <c r="B1261" s="18">
        <v>4602.4800000000005</v>
      </c>
      <c r="C1261" s="18">
        <v>5175.7118441531256</v>
      </c>
      <c r="D1261" s="18">
        <v>0</v>
      </c>
      <c r="E1261" s="18">
        <v>0</v>
      </c>
      <c r="F1261" s="18">
        <v>0</v>
      </c>
      <c r="G1261" s="18">
        <v>0</v>
      </c>
      <c r="H1261" s="19">
        <v>0.12454847042314698</v>
      </c>
      <c r="I1261" s="19">
        <v>0</v>
      </c>
      <c r="J1261" s="19">
        <v>0.12454847042314698</v>
      </c>
    </row>
    <row r="1262" spans="1:10" ht="11.25" customHeight="1" x14ac:dyDescent="0.2">
      <c r="A1262" s="28">
        <v>44378</v>
      </c>
      <c r="B1262" s="18">
        <v>4602.4800000000005</v>
      </c>
      <c r="C1262" s="18">
        <v>5175.7118441531256</v>
      </c>
      <c r="D1262" s="18">
        <v>0</v>
      </c>
      <c r="E1262" s="18">
        <v>0</v>
      </c>
      <c r="F1262" s="18">
        <v>0</v>
      </c>
      <c r="G1262" s="18">
        <v>0</v>
      </c>
      <c r="H1262" s="19">
        <v>0.12454847042314698</v>
      </c>
      <c r="I1262" s="19">
        <v>0</v>
      </c>
      <c r="J1262" s="19">
        <v>0.12454847042314698</v>
      </c>
    </row>
    <row r="1263" spans="1:10" ht="11.25" customHeight="1" x14ac:dyDescent="0.2">
      <c r="A1263" s="28">
        <v>44409</v>
      </c>
      <c r="B1263" s="18">
        <v>4602.4800000000005</v>
      </c>
      <c r="C1263" s="18">
        <v>5175.7118441531256</v>
      </c>
      <c r="D1263" s="18">
        <v>0</v>
      </c>
      <c r="E1263" s="18">
        <v>0</v>
      </c>
      <c r="F1263" s="18">
        <v>0</v>
      </c>
      <c r="G1263" s="18">
        <v>0</v>
      </c>
      <c r="H1263" s="19">
        <v>0.12454847042314698</v>
      </c>
      <c r="I1263" s="19">
        <v>0</v>
      </c>
      <c r="J1263" s="19">
        <v>0.12454847042314698</v>
      </c>
    </row>
    <row r="1264" spans="1:10" ht="11.25" customHeight="1" x14ac:dyDescent="0.2">
      <c r="A1264" s="28">
        <v>44440</v>
      </c>
      <c r="B1264" s="18">
        <v>4602.4800000000005</v>
      </c>
      <c r="C1264" s="18">
        <v>5175.7118441531256</v>
      </c>
      <c r="D1264" s="18">
        <v>0</v>
      </c>
      <c r="E1264" s="18">
        <v>0</v>
      </c>
      <c r="F1264" s="18">
        <v>0</v>
      </c>
      <c r="G1264" s="18">
        <v>0</v>
      </c>
      <c r="H1264" s="19">
        <v>0.12454847042314698</v>
      </c>
      <c r="I1264" s="19">
        <v>0</v>
      </c>
      <c r="J1264" s="19">
        <v>0.12454847042314698</v>
      </c>
    </row>
    <row r="1265" spans="1:10" ht="11.25" customHeight="1" x14ac:dyDescent="0.2">
      <c r="A1265" s="28">
        <v>44470</v>
      </c>
      <c r="B1265" s="18">
        <v>4602.4800000000005</v>
      </c>
      <c r="C1265" s="18">
        <v>5175.7118441531256</v>
      </c>
      <c r="D1265" s="18">
        <v>0</v>
      </c>
      <c r="E1265" s="18">
        <v>0</v>
      </c>
      <c r="F1265" s="18">
        <v>0</v>
      </c>
      <c r="G1265" s="18">
        <v>0</v>
      </c>
      <c r="H1265" s="19">
        <v>0.12454847042314698</v>
      </c>
      <c r="I1265" s="19">
        <v>0</v>
      </c>
      <c r="J1265" s="19">
        <v>0.12454847042314698</v>
      </c>
    </row>
    <row r="1266" spans="1:10" ht="11.25" customHeight="1" x14ac:dyDescent="0.2">
      <c r="A1266" s="28">
        <v>44501</v>
      </c>
      <c r="B1266" s="18">
        <v>4602.4800000000005</v>
      </c>
      <c r="C1266" s="18">
        <v>5175.7118441531256</v>
      </c>
      <c r="D1266" s="18">
        <v>0</v>
      </c>
      <c r="E1266" s="18">
        <v>0</v>
      </c>
      <c r="F1266" s="18">
        <v>0</v>
      </c>
      <c r="G1266" s="18">
        <v>0</v>
      </c>
      <c r="H1266" s="19">
        <v>0.12454847042314698</v>
      </c>
      <c r="I1266" s="19">
        <v>0</v>
      </c>
      <c r="J1266" s="19">
        <v>0.12454847042314698</v>
      </c>
    </row>
    <row r="1267" spans="1:10" ht="11.25" customHeight="1" x14ac:dyDescent="0.2">
      <c r="A1267" s="28">
        <v>44531</v>
      </c>
      <c r="B1267" s="18">
        <v>4602.4800000000005</v>
      </c>
      <c r="C1267" s="18">
        <v>5175.7118441531256</v>
      </c>
      <c r="D1267" s="18">
        <v>0</v>
      </c>
      <c r="E1267" s="18">
        <v>0</v>
      </c>
      <c r="F1267" s="18">
        <v>0</v>
      </c>
      <c r="G1267" s="18">
        <v>0</v>
      </c>
      <c r="H1267" s="19">
        <v>0.12454847042314698</v>
      </c>
      <c r="I1267" s="19">
        <v>0</v>
      </c>
      <c r="J1267" s="19">
        <v>0.12454847042314698</v>
      </c>
    </row>
    <row r="1268" spans="1:10" ht="11.25" customHeight="1" x14ac:dyDescent="0.2">
      <c r="A1268" s="28">
        <v>44562</v>
      </c>
      <c r="B1268" s="18">
        <v>4602.4800000000005</v>
      </c>
      <c r="C1268" s="18">
        <v>5175.7118441531256</v>
      </c>
      <c r="D1268" s="18">
        <v>0</v>
      </c>
      <c r="E1268" s="18">
        <v>0</v>
      </c>
      <c r="F1268" s="18">
        <v>0</v>
      </c>
      <c r="G1268" s="18">
        <v>0</v>
      </c>
      <c r="H1268" s="19">
        <v>0.12454847042314698</v>
      </c>
      <c r="I1268" s="19">
        <v>0</v>
      </c>
      <c r="J1268" s="19">
        <v>0.12454847042314698</v>
      </c>
    </row>
    <row r="1269" spans="1:10" ht="11.25" customHeight="1" x14ac:dyDescent="0.2">
      <c r="A1269" s="28">
        <v>44593</v>
      </c>
      <c r="B1269" s="18">
        <v>4602.4800000000005</v>
      </c>
      <c r="C1269" s="18">
        <v>5175.7118441531256</v>
      </c>
      <c r="D1269" s="18">
        <v>0</v>
      </c>
      <c r="E1269" s="18">
        <v>0</v>
      </c>
      <c r="F1269" s="18">
        <v>0</v>
      </c>
      <c r="G1269" s="18">
        <v>0</v>
      </c>
      <c r="H1269" s="19">
        <v>0.12454847042314698</v>
      </c>
      <c r="I1269" s="19">
        <v>0</v>
      </c>
      <c r="J1269" s="19">
        <v>0.12454847042314698</v>
      </c>
    </row>
    <row r="1270" spans="1:10" ht="11.25" customHeight="1" x14ac:dyDescent="0.2">
      <c r="A1270" s="28">
        <v>44621</v>
      </c>
      <c r="B1270" s="18">
        <v>4602.4800000000005</v>
      </c>
      <c r="C1270" s="18">
        <v>5175.7118441531256</v>
      </c>
      <c r="D1270" s="18">
        <v>0</v>
      </c>
      <c r="E1270" s="18">
        <v>0</v>
      </c>
      <c r="F1270" s="18">
        <v>0</v>
      </c>
      <c r="G1270" s="18">
        <v>0</v>
      </c>
      <c r="H1270" s="19">
        <v>0.12454847042314698</v>
      </c>
      <c r="I1270" s="19">
        <v>0</v>
      </c>
      <c r="J1270" s="19">
        <v>0.12454847042314698</v>
      </c>
    </row>
    <row r="1271" spans="1:10" ht="11.25" customHeight="1" x14ac:dyDescent="0.2">
      <c r="A1271" s="28">
        <v>44652</v>
      </c>
      <c r="B1271" s="18">
        <v>4602.4800000000005</v>
      </c>
      <c r="C1271" s="18">
        <v>5175.7118441531256</v>
      </c>
      <c r="D1271" s="18">
        <v>0</v>
      </c>
      <c r="E1271" s="18">
        <v>0</v>
      </c>
      <c r="F1271" s="18">
        <v>0</v>
      </c>
      <c r="G1271" s="18">
        <v>0</v>
      </c>
      <c r="H1271" s="19">
        <v>0.12454847042314698</v>
      </c>
      <c r="I1271" s="19">
        <v>0</v>
      </c>
      <c r="J1271" s="19">
        <v>0.12454847042314698</v>
      </c>
    </row>
    <row r="1272" spans="1:10" ht="11.25" customHeight="1" x14ac:dyDescent="0.2">
      <c r="A1272" s="28">
        <v>44682</v>
      </c>
      <c r="B1272" s="18">
        <v>4602.4800000000005</v>
      </c>
      <c r="C1272" s="18">
        <v>5175.7118441531256</v>
      </c>
      <c r="D1272" s="18">
        <v>0</v>
      </c>
      <c r="E1272" s="18">
        <v>0</v>
      </c>
      <c r="F1272" s="18">
        <v>0</v>
      </c>
      <c r="G1272" s="18">
        <v>0</v>
      </c>
      <c r="H1272" s="19">
        <v>0.12454847042314698</v>
      </c>
      <c r="I1272" s="19">
        <v>0</v>
      </c>
      <c r="J1272" s="19">
        <v>0.12454847042314698</v>
      </c>
    </row>
    <row r="1273" spans="1:10" ht="11.25" customHeight="1" x14ac:dyDescent="0.2">
      <c r="A1273" s="26" t="s">
        <v>74</v>
      </c>
      <c r="B1273" s="18">
        <v>348165.42000000004</v>
      </c>
      <c r="C1273" s="18">
        <v>391528.89051523263</v>
      </c>
      <c r="D1273" s="18">
        <v>0</v>
      </c>
      <c r="E1273" s="18">
        <v>0</v>
      </c>
      <c r="F1273" s="18">
        <v>0</v>
      </c>
      <c r="G1273" s="18">
        <v>0</v>
      </c>
      <c r="H1273" s="19">
        <v>0.12454847042314721</v>
      </c>
      <c r="I1273" s="19">
        <v>0</v>
      </c>
      <c r="J1273" s="19">
        <v>0.12454847042314721</v>
      </c>
    </row>
    <row r="1274" spans="1:10" ht="11.25" customHeight="1" x14ac:dyDescent="0.2">
      <c r="A1274" s="27" t="s">
        <v>25</v>
      </c>
      <c r="B1274" s="18">
        <v>348165.42000000004</v>
      </c>
      <c r="C1274" s="18">
        <v>391528.89051523263</v>
      </c>
      <c r="D1274" s="18">
        <v>0</v>
      </c>
      <c r="E1274" s="18">
        <v>0</v>
      </c>
      <c r="F1274" s="18">
        <v>0</v>
      </c>
      <c r="G1274" s="18">
        <v>0</v>
      </c>
      <c r="H1274" s="19">
        <v>0.12454847042314721</v>
      </c>
      <c r="I1274" s="19">
        <v>0</v>
      </c>
      <c r="J1274" s="19">
        <v>0.12454847042314721</v>
      </c>
    </row>
    <row r="1275" spans="1:10" ht="11.25" customHeight="1" x14ac:dyDescent="0.2">
      <c r="A1275" s="28">
        <v>44348</v>
      </c>
      <c r="B1275" s="18">
        <v>28956</v>
      </c>
      <c r="C1275" s="18">
        <v>32562.425509572644</v>
      </c>
      <c r="D1275" s="18">
        <v>0</v>
      </c>
      <c r="E1275" s="18">
        <v>0</v>
      </c>
      <c r="F1275" s="18">
        <v>0</v>
      </c>
      <c r="G1275" s="18">
        <v>0</v>
      </c>
      <c r="H1275" s="19">
        <v>0.12454847042314698</v>
      </c>
      <c r="I1275" s="19">
        <v>0</v>
      </c>
      <c r="J1275" s="19">
        <v>0.12454847042314698</v>
      </c>
    </row>
    <row r="1276" spans="1:10" ht="11.25" customHeight="1" x14ac:dyDescent="0.2">
      <c r="A1276" s="28">
        <v>44378</v>
      </c>
      <c r="B1276" s="18">
        <v>28956</v>
      </c>
      <c r="C1276" s="18">
        <v>32562.425509572644</v>
      </c>
      <c r="D1276" s="18">
        <v>0</v>
      </c>
      <c r="E1276" s="18">
        <v>0</v>
      </c>
      <c r="F1276" s="18">
        <v>0</v>
      </c>
      <c r="G1276" s="18">
        <v>0</v>
      </c>
      <c r="H1276" s="19">
        <v>0.12454847042314698</v>
      </c>
      <c r="I1276" s="19">
        <v>0</v>
      </c>
      <c r="J1276" s="19">
        <v>0.12454847042314698</v>
      </c>
    </row>
    <row r="1277" spans="1:10" ht="11.25" customHeight="1" x14ac:dyDescent="0.2">
      <c r="A1277" s="28">
        <v>44409</v>
      </c>
      <c r="B1277" s="18">
        <v>28956</v>
      </c>
      <c r="C1277" s="18">
        <v>32562.425509572644</v>
      </c>
      <c r="D1277" s="18">
        <v>0</v>
      </c>
      <c r="E1277" s="18">
        <v>0</v>
      </c>
      <c r="F1277" s="18">
        <v>0</v>
      </c>
      <c r="G1277" s="18">
        <v>0</v>
      </c>
      <c r="H1277" s="19">
        <v>0.12454847042314698</v>
      </c>
      <c r="I1277" s="19">
        <v>0</v>
      </c>
      <c r="J1277" s="19">
        <v>0.12454847042314698</v>
      </c>
    </row>
    <row r="1278" spans="1:10" ht="11.25" customHeight="1" x14ac:dyDescent="0.2">
      <c r="A1278" s="28">
        <v>44440</v>
      </c>
      <c r="B1278" s="18">
        <v>28956</v>
      </c>
      <c r="C1278" s="18">
        <v>32562.425509572644</v>
      </c>
      <c r="D1278" s="18">
        <v>0</v>
      </c>
      <c r="E1278" s="18">
        <v>0</v>
      </c>
      <c r="F1278" s="18">
        <v>0</v>
      </c>
      <c r="G1278" s="18">
        <v>0</v>
      </c>
      <c r="H1278" s="19">
        <v>0.12454847042314698</v>
      </c>
      <c r="I1278" s="19">
        <v>0</v>
      </c>
      <c r="J1278" s="19">
        <v>0.12454847042314698</v>
      </c>
    </row>
    <row r="1279" spans="1:10" ht="11.25" customHeight="1" x14ac:dyDescent="0.2">
      <c r="A1279" s="28">
        <v>44470</v>
      </c>
      <c r="B1279" s="18">
        <v>28956</v>
      </c>
      <c r="C1279" s="18">
        <v>32562.425509572644</v>
      </c>
      <c r="D1279" s="18">
        <v>0</v>
      </c>
      <c r="E1279" s="18">
        <v>0</v>
      </c>
      <c r="F1279" s="18">
        <v>0</v>
      </c>
      <c r="G1279" s="18">
        <v>0</v>
      </c>
      <c r="H1279" s="19">
        <v>0.12454847042314698</v>
      </c>
      <c r="I1279" s="19">
        <v>0</v>
      </c>
      <c r="J1279" s="19">
        <v>0.12454847042314698</v>
      </c>
    </row>
    <row r="1280" spans="1:10" ht="11.25" customHeight="1" x14ac:dyDescent="0.2">
      <c r="A1280" s="28">
        <v>44501</v>
      </c>
      <c r="B1280" s="18">
        <v>28956</v>
      </c>
      <c r="C1280" s="18">
        <v>32562.425509572644</v>
      </c>
      <c r="D1280" s="18">
        <v>0</v>
      </c>
      <c r="E1280" s="18">
        <v>0</v>
      </c>
      <c r="F1280" s="18">
        <v>0</v>
      </c>
      <c r="G1280" s="18">
        <v>0</v>
      </c>
      <c r="H1280" s="19">
        <v>0.12454847042314698</v>
      </c>
      <c r="I1280" s="19">
        <v>0</v>
      </c>
      <c r="J1280" s="19">
        <v>0.12454847042314698</v>
      </c>
    </row>
    <row r="1281" spans="1:10" ht="11.25" customHeight="1" x14ac:dyDescent="0.2">
      <c r="A1281" s="28">
        <v>44531</v>
      </c>
      <c r="B1281" s="18">
        <v>28956</v>
      </c>
      <c r="C1281" s="18">
        <v>32562.425509572644</v>
      </c>
      <c r="D1281" s="18">
        <v>0</v>
      </c>
      <c r="E1281" s="18">
        <v>0</v>
      </c>
      <c r="F1281" s="18">
        <v>0</v>
      </c>
      <c r="G1281" s="18">
        <v>0</v>
      </c>
      <c r="H1281" s="19">
        <v>0.12454847042314698</v>
      </c>
      <c r="I1281" s="19">
        <v>0</v>
      </c>
      <c r="J1281" s="19">
        <v>0.12454847042314698</v>
      </c>
    </row>
    <row r="1282" spans="1:10" ht="11.25" customHeight="1" x14ac:dyDescent="0.2">
      <c r="A1282" s="28">
        <v>44562</v>
      </c>
      <c r="B1282" s="18">
        <v>29405.58</v>
      </c>
      <c r="C1282" s="18">
        <v>33068.000010905482</v>
      </c>
      <c r="D1282" s="18">
        <v>0</v>
      </c>
      <c r="E1282" s="18">
        <v>0</v>
      </c>
      <c r="F1282" s="18">
        <v>0</v>
      </c>
      <c r="G1282" s="18">
        <v>0</v>
      </c>
      <c r="H1282" s="19">
        <v>0.12454847042314698</v>
      </c>
      <c r="I1282" s="19">
        <v>0</v>
      </c>
      <c r="J1282" s="19">
        <v>0.12454847042314698</v>
      </c>
    </row>
    <row r="1283" spans="1:10" ht="11.25" customHeight="1" x14ac:dyDescent="0.2">
      <c r="A1283" s="28">
        <v>44593</v>
      </c>
      <c r="B1283" s="18">
        <v>28956</v>
      </c>
      <c r="C1283" s="18">
        <v>32562.425509572644</v>
      </c>
      <c r="D1283" s="18">
        <v>0</v>
      </c>
      <c r="E1283" s="18">
        <v>0</v>
      </c>
      <c r="F1283" s="18">
        <v>0</v>
      </c>
      <c r="G1283" s="18">
        <v>0</v>
      </c>
      <c r="H1283" s="19">
        <v>0.12454847042314698</v>
      </c>
      <c r="I1283" s="19">
        <v>0</v>
      </c>
      <c r="J1283" s="19">
        <v>0.12454847042314698</v>
      </c>
    </row>
    <row r="1284" spans="1:10" ht="11.25" customHeight="1" x14ac:dyDescent="0.2">
      <c r="A1284" s="28">
        <v>44621</v>
      </c>
      <c r="B1284" s="18">
        <v>29199.84</v>
      </c>
      <c r="C1284" s="18">
        <v>32836.635408600625</v>
      </c>
      <c r="D1284" s="18">
        <v>0</v>
      </c>
      <c r="E1284" s="18">
        <v>0</v>
      </c>
      <c r="F1284" s="18">
        <v>0</v>
      </c>
      <c r="G1284" s="18">
        <v>0</v>
      </c>
      <c r="H1284" s="19">
        <v>0.12454847042314698</v>
      </c>
      <c r="I1284" s="19">
        <v>0</v>
      </c>
      <c r="J1284" s="19">
        <v>0.12454847042314698</v>
      </c>
    </row>
    <row r="1285" spans="1:10" ht="11.25" customHeight="1" x14ac:dyDescent="0.2">
      <c r="A1285" s="28">
        <v>44652</v>
      </c>
      <c r="B1285" s="18">
        <v>28956</v>
      </c>
      <c r="C1285" s="18">
        <v>32562.425509572644</v>
      </c>
      <c r="D1285" s="18">
        <v>0</v>
      </c>
      <c r="E1285" s="18">
        <v>0</v>
      </c>
      <c r="F1285" s="18">
        <v>0</v>
      </c>
      <c r="G1285" s="18">
        <v>0</v>
      </c>
      <c r="H1285" s="19">
        <v>0.12454847042314698</v>
      </c>
      <c r="I1285" s="19">
        <v>0</v>
      </c>
      <c r="J1285" s="19">
        <v>0.12454847042314698</v>
      </c>
    </row>
    <row r="1286" spans="1:10" ht="11.25" customHeight="1" x14ac:dyDescent="0.2">
      <c r="A1286" s="28">
        <v>44682</v>
      </c>
      <c r="B1286" s="18">
        <v>28956</v>
      </c>
      <c r="C1286" s="18">
        <v>32562.425509572644</v>
      </c>
      <c r="D1286" s="18">
        <v>0</v>
      </c>
      <c r="E1286" s="18">
        <v>0</v>
      </c>
      <c r="F1286" s="18">
        <v>0</v>
      </c>
      <c r="G1286" s="18">
        <v>0</v>
      </c>
      <c r="H1286" s="19">
        <v>0.12454847042314698</v>
      </c>
      <c r="I1286" s="19">
        <v>0</v>
      </c>
      <c r="J1286" s="19">
        <v>0.12454847042314698</v>
      </c>
    </row>
    <row r="1287" spans="1:10" ht="11.25" customHeight="1" x14ac:dyDescent="0.2">
      <c r="A1287" s="26" t="s">
        <v>94</v>
      </c>
      <c r="B1287" s="18">
        <v>107899.20000000003</v>
      </c>
      <c r="C1287" s="18">
        <v>121337.88031988124</v>
      </c>
      <c r="D1287" s="18">
        <v>0</v>
      </c>
      <c r="E1287" s="18">
        <v>0</v>
      </c>
      <c r="F1287" s="18">
        <v>0</v>
      </c>
      <c r="G1287" s="18">
        <v>0</v>
      </c>
      <c r="H1287" s="19">
        <v>0.12454847042314676</v>
      </c>
      <c r="I1287" s="19">
        <v>0</v>
      </c>
      <c r="J1287" s="19">
        <v>0.12454847042314676</v>
      </c>
    </row>
    <row r="1288" spans="1:10" ht="11.25" customHeight="1" x14ac:dyDescent="0.2">
      <c r="A1288" s="27" t="s">
        <v>25</v>
      </c>
      <c r="B1288" s="18">
        <v>107899.20000000003</v>
      </c>
      <c r="C1288" s="18">
        <v>121337.88031988124</v>
      </c>
      <c r="D1288" s="18">
        <v>0</v>
      </c>
      <c r="E1288" s="18">
        <v>0</v>
      </c>
      <c r="F1288" s="18">
        <v>0</v>
      </c>
      <c r="G1288" s="18">
        <v>0</v>
      </c>
      <c r="H1288" s="19">
        <v>0.12454847042314676</v>
      </c>
      <c r="I1288" s="19">
        <v>0</v>
      </c>
      <c r="J1288" s="19">
        <v>0.12454847042314676</v>
      </c>
    </row>
    <row r="1289" spans="1:10" ht="11.25" customHeight="1" x14ac:dyDescent="0.2">
      <c r="A1289" s="28">
        <v>44348</v>
      </c>
      <c r="B1289" s="18">
        <v>8991.6</v>
      </c>
      <c r="C1289" s="18">
        <v>10111.490026656767</v>
      </c>
      <c r="D1289" s="18">
        <v>0</v>
      </c>
      <c r="E1289" s="18">
        <v>0</v>
      </c>
      <c r="F1289" s="18">
        <v>0</v>
      </c>
      <c r="G1289" s="18">
        <v>0</v>
      </c>
      <c r="H1289" s="19">
        <v>0.12454847042314676</v>
      </c>
      <c r="I1289" s="19">
        <v>0</v>
      </c>
      <c r="J1289" s="19">
        <v>0.12454847042314676</v>
      </c>
    </row>
    <row r="1290" spans="1:10" ht="11.25" customHeight="1" x14ac:dyDescent="0.2">
      <c r="A1290" s="28">
        <v>44378</v>
      </c>
      <c r="B1290" s="18">
        <v>8991.6</v>
      </c>
      <c r="C1290" s="18">
        <v>10111.490026656767</v>
      </c>
      <c r="D1290" s="18">
        <v>0</v>
      </c>
      <c r="E1290" s="18">
        <v>0</v>
      </c>
      <c r="F1290" s="18">
        <v>0</v>
      </c>
      <c r="G1290" s="18">
        <v>0</v>
      </c>
      <c r="H1290" s="19">
        <v>0.12454847042314676</v>
      </c>
      <c r="I1290" s="19">
        <v>0</v>
      </c>
      <c r="J1290" s="19">
        <v>0.12454847042314676</v>
      </c>
    </row>
    <row r="1291" spans="1:10" ht="11.25" customHeight="1" x14ac:dyDescent="0.2">
      <c r="A1291" s="28">
        <v>44409</v>
      </c>
      <c r="B1291" s="18">
        <v>8991.6</v>
      </c>
      <c r="C1291" s="18">
        <v>10111.490026656767</v>
      </c>
      <c r="D1291" s="18">
        <v>0</v>
      </c>
      <c r="E1291" s="18">
        <v>0</v>
      </c>
      <c r="F1291" s="18">
        <v>0</v>
      </c>
      <c r="G1291" s="18">
        <v>0</v>
      </c>
      <c r="H1291" s="19">
        <v>0.12454847042314676</v>
      </c>
      <c r="I1291" s="19">
        <v>0</v>
      </c>
      <c r="J1291" s="19">
        <v>0.12454847042314676</v>
      </c>
    </row>
    <row r="1292" spans="1:10" ht="11.25" customHeight="1" x14ac:dyDescent="0.2">
      <c r="A1292" s="28">
        <v>44440</v>
      </c>
      <c r="B1292" s="18">
        <v>8991.6</v>
      </c>
      <c r="C1292" s="18">
        <v>10111.490026656767</v>
      </c>
      <c r="D1292" s="18">
        <v>0</v>
      </c>
      <c r="E1292" s="18">
        <v>0</v>
      </c>
      <c r="F1292" s="18">
        <v>0</v>
      </c>
      <c r="G1292" s="18">
        <v>0</v>
      </c>
      <c r="H1292" s="19">
        <v>0.12454847042314676</v>
      </c>
      <c r="I1292" s="19">
        <v>0</v>
      </c>
      <c r="J1292" s="19">
        <v>0.12454847042314676</v>
      </c>
    </row>
    <row r="1293" spans="1:10" ht="11.25" customHeight="1" x14ac:dyDescent="0.2">
      <c r="A1293" s="28">
        <v>44470</v>
      </c>
      <c r="B1293" s="18">
        <v>8991.6</v>
      </c>
      <c r="C1293" s="18">
        <v>10111.490026656767</v>
      </c>
      <c r="D1293" s="18">
        <v>0</v>
      </c>
      <c r="E1293" s="18">
        <v>0</v>
      </c>
      <c r="F1293" s="18">
        <v>0</v>
      </c>
      <c r="G1293" s="18">
        <v>0</v>
      </c>
      <c r="H1293" s="19">
        <v>0.12454847042314676</v>
      </c>
      <c r="I1293" s="19">
        <v>0</v>
      </c>
      <c r="J1293" s="19">
        <v>0.12454847042314676</v>
      </c>
    </row>
    <row r="1294" spans="1:10" ht="11.25" customHeight="1" x14ac:dyDescent="0.2">
      <c r="A1294" s="28">
        <v>44501</v>
      </c>
      <c r="B1294" s="18">
        <v>8991.6</v>
      </c>
      <c r="C1294" s="18">
        <v>10111.490026656767</v>
      </c>
      <c r="D1294" s="18">
        <v>0</v>
      </c>
      <c r="E1294" s="18">
        <v>0</v>
      </c>
      <c r="F1294" s="18">
        <v>0</v>
      </c>
      <c r="G1294" s="18">
        <v>0</v>
      </c>
      <c r="H1294" s="19">
        <v>0.12454847042314676</v>
      </c>
      <c r="I1294" s="19">
        <v>0</v>
      </c>
      <c r="J1294" s="19">
        <v>0.12454847042314676</v>
      </c>
    </row>
    <row r="1295" spans="1:10" ht="11.25" customHeight="1" x14ac:dyDescent="0.2">
      <c r="A1295" s="28">
        <v>44531</v>
      </c>
      <c r="B1295" s="18">
        <v>8991.6</v>
      </c>
      <c r="C1295" s="18">
        <v>10111.490026656767</v>
      </c>
      <c r="D1295" s="18">
        <v>0</v>
      </c>
      <c r="E1295" s="18">
        <v>0</v>
      </c>
      <c r="F1295" s="18">
        <v>0</v>
      </c>
      <c r="G1295" s="18">
        <v>0</v>
      </c>
      <c r="H1295" s="19">
        <v>0.12454847042314676</v>
      </c>
      <c r="I1295" s="19">
        <v>0</v>
      </c>
      <c r="J1295" s="19">
        <v>0.12454847042314676</v>
      </c>
    </row>
    <row r="1296" spans="1:10" ht="11.25" customHeight="1" x14ac:dyDescent="0.2">
      <c r="A1296" s="28">
        <v>44562</v>
      </c>
      <c r="B1296" s="18">
        <v>8991.6</v>
      </c>
      <c r="C1296" s="18">
        <v>10111.490026656767</v>
      </c>
      <c r="D1296" s="18">
        <v>0</v>
      </c>
      <c r="E1296" s="18">
        <v>0</v>
      </c>
      <c r="F1296" s="18">
        <v>0</v>
      </c>
      <c r="G1296" s="18">
        <v>0</v>
      </c>
      <c r="H1296" s="19">
        <v>0.12454847042314676</v>
      </c>
      <c r="I1296" s="19">
        <v>0</v>
      </c>
      <c r="J1296" s="19">
        <v>0.12454847042314676</v>
      </c>
    </row>
    <row r="1297" spans="1:10" ht="11.25" customHeight="1" x14ac:dyDescent="0.2">
      <c r="A1297" s="28">
        <v>44593</v>
      </c>
      <c r="B1297" s="18">
        <v>8991.6</v>
      </c>
      <c r="C1297" s="18">
        <v>10111.490026656767</v>
      </c>
      <c r="D1297" s="18">
        <v>0</v>
      </c>
      <c r="E1297" s="18">
        <v>0</v>
      </c>
      <c r="F1297" s="18">
        <v>0</v>
      </c>
      <c r="G1297" s="18">
        <v>0</v>
      </c>
      <c r="H1297" s="19">
        <v>0.12454847042314676</v>
      </c>
      <c r="I1297" s="19">
        <v>0</v>
      </c>
      <c r="J1297" s="19">
        <v>0.12454847042314676</v>
      </c>
    </row>
    <row r="1298" spans="1:10" ht="11.25" customHeight="1" x14ac:dyDescent="0.2">
      <c r="A1298" s="28">
        <v>44621</v>
      </c>
      <c r="B1298" s="18">
        <v>8991.6</v>
      </c>
      <c r="C1298" s="18">
        <v>10111.490026656767</v>
      </c>
      <c r="D1298" s="18">
        <v>0</v>
      </c>
      <c r="E1298" s="18">
        <v>0</v>
      </c>
      <c r="F1298" s="18">
        <v>0</v>
      </c>
      <c r="G1298" s="18">
        <v>0</v>
      </c>
      <c r="H1298" s="19">
        <v>0.12454847042314676</v>
      </c>
      <c r="I1298" s="19">
        <v>0</v>
      </c>
      <c r="J1298" s="19">
        <v>0.12454847042314676</v>
      </c>
    </row>
    <row r="1299" spans="1:10" ht="11.25" customHeight="1" x14ac:dyDescent="0.2">
      <c r="A1299" s="28">
        <v>44652</v>
      </c>
      <c r="B1299" s="18">
        <v>8991.6</v>
      </c>
      <c r="C1299" s="18">
        <v>10111.490026656767</v>
      </c>
      <c r="D1299" s="18">
        <v>0</v>
      </c>
      <c r="E1299" s="18">
        <v>0</v>
      </c>
      <c r="F1299" s="18">
        <v>0</v>
      </c>
      <c r="G1299" s="18">
        <v>0</v>
      </c>
      <c r="H1299" s="19">
        <v>0.12454847042314676</v>
      </c>
      <c r="I1299" s="19">
        <v>0</v>
      </c>
      <c r="J1299" s="19">
        <v>0.12454847042314676</v>
      </c>
    </row>
    <row r="1300" spans="1:10" ht="11.25" customHeight="1" x14ac:dyDescent="0.2">
      <c r="A1300" s="28">
        <v>44682</v>
      </c>
      <c r="B1300" s="18">
        <v>8991.6</v>
      </c>
      <c r="C1300" s="18">
        <v>10111.490026656767</v>
      </c>
      <c r="D1300" s="18">
        <v>0</v>
      </c>
      <c r="E1300" s="18">
        <v>0</v>
      </c>
      <c r="F1300" s="18">
        <v>0</v>
      </c>
      <c r="G1300" s="18">
        <v>0</v>
      </c>
      <c r="H1300" s="19">
        <v>0.12454847042314676</v>
      </c>
      <c r="I1300" s="19">
        <v>0</v>
      </c>
      <c r="J1300" s="19">
        <v>0.12454847042314676</v>
      </c>
    </row>
    <row r="1301" spans="1:10" ht="11.25" customHeight="1" x14ac:dyDescent="0.2">
      <c r="A1301" s="26" t="s">
        <v>76</v>
      </c>
      <c r="B1301" s="18">
        <v>87782.39999999998</v>
      </c>
      <c r="C1301" s="18">
        <v>98715.563650072887</v>
      </c>
      <c r="D1301" s="18">
        <v>0</v>
      </c>
      <c r="E1301" s="18">
        <v>0</v>
      </c>
      <c r="F1301" s="18">
        <v>0</v>
      </c>
      <c r="G1301" s="18">
        <v>0</v>
      </c>
      <c r="H1301" s="19">
        <v>0.12454847042314765</v>
      </c>
      <c r="I1301" s="19">
        <v>0</v>
      </c>
      <c r="J1301" s="19">
        <v>0.12454847042314765</v>
      </c>
    </row>
    <row r="1302" spans="1:10" ht="11.25" customHeight="1" x14ac:dyDescent="0.2">
      <c r="A1302" s="27" t="s">
        <v>25</v>
      </c>
      <c r="B1302" s="18">
        <v>87782.39999999998</v>
      </c>
      <c r="C1302" s="18">
        <v>98715.563650072887</v>
      </c>
      <c r="D1302" s="18">
        <v>0</v>
      </c>
      <c r="E1302" s="18">
        <v>0</v>
      </c>
      <c r="F1302" s="18">
        <v>0</v>
      </c>
      <c r="G1302" s="18">
        <v>0</v>
      </c>
      <c r="H1302" s="19">
        <v>0.12454847042314765</v>
      </c>
      <c r="I1302" s="19">
        <v>0</v>
      </c>
      <c r="J1302" s="19">
        <v>0.12454847042314765</v>
      </c>
    </row>
    <row r="1303" spans="1:10" ht="11.25" customHeight="1" x14ac:dyDescent="0.2">
      <c r="A1303" s="28">
        <v>44348</v>
      </c>
      <c r="B1303" s="18">
        <v>7315.2</v>
      </c>
      <c r="C1303" s="18">
        <v>8226.2969708394048</v>
      </c>
      <c r="D1303" s="18">
        <v>0</v>
      </c>
      <c r="E1303" s="18">
        <v>0</v>
      </c>
      <c r="F1303" s="18">
        <v>0</v>
      </c>
      <c r="G1303" s="18">
        <v>0</v>
      </c>
      <c r="H1303" s="19">
        <v>0.12454847042314698</v>
      </c>
      <c r="I1303" s="19">
        <v>0</v>
      </c>
      <c r="J1303" s="19">
        <v>0.12454847042314698</v>
      </c>
    </row>
    <row r="1304" spans="1:10" ht="11.25" customHeight="1" x14ac:dyDescent="0.2">
      <c r="A1304" s="28">
        <v>44378</v>
      </c>
      <c r="B1304" s="18">
        <v>7315.2</v>
      </c>
      <c r="C1304" s="18">
        <v>8226.2969708394048</v>
      </c>
      <c r="D1304" s="18">
        <v>0</v>
      </c>
      <c r="E1304" s="18">
        <v>0</v>
      </c>
      <c r="F1304" s="18">
        <v>0</v>
      </c>
      <c r="G1304" s="18">
        <v>0</v>
      </c>
      <c r="H1304" s="19">
        <v>0.12454847042314698</v>
      </c>
      <c r="I1304" s="19">
        <v>0</v>
      </c>
      <c r="J1304" s="19">
        <v>0.12454847042314698</v>
      </c>
    </row>
    <row r="1305" spans="1:10" ht="11.25" customHeight="1" x14ac:dyDescent="0.2">
      <c r="A1305" s="28">
        <v>44409</v>
      </c>
      <c r="B1305" s="18">
        <v>7315.2</v>
      </c>
      <c r="C1305" s="18">
        <v>8226.2969708394048</v>
      </c>
      <c r="D1305" s="18">
        <v>0</v>
      </c>
      <c r="E1305" s="18">
        <v>0</v>
      </c>
      <c r="F1305" s="18">
        <v>0</v>
      </c>
      <c r="G1305" s="18">
        <v>0</v>
      </c>
      <c r="H1305" s="19">
        <v>0.12454847042314698</v>
      </c>
      <c r="I1305" s="19">
        <v>0</v>
      </c>
      <c r="J1305" s="19">
        <v>0.12454847042314698</v>
      </c>
    </row>
    <row r="1306" spans="1:10" ht="11.25" customHeight="1" x14ac:dyDescent="0.2">
      <c r="A1306" s="28">
        <v>44440</v>
      </c>
      <c r="B1306" s="18">
        <v>7315.2</v>
      </c>
      <c r="C1306" s="18">
        <v>8226.2969708394048</v>
      </c>
      <c r="D1306" s="18">
        <v>0</v>
      </c>
      <c r="E1306" s="18">
        <v>0</v>
      </c>
      <c r="F1306" s="18">
        <v>0</v>
      </c>
      <c r="G1306" s="18">
        <v>0</v>
      </c>
      <c r="H1306" s="19">
        <v>0.12454847042314698</v>
      </c>
      <c r="I1306" s="19">
        <v>0</v>
      </c>
      <c r="J1306" s="19">
        <v>0.12454847042314698</v>
      </c>
    </row>
    <row r="1307" spans="1:10" ht="11.25" customHeight="1" x14ac:dyDescent="0.2">
      <c r="A1307" s="28">
        <v>44470</v>
      </c>
      <c r="B1307" s="18">
        <v>7315.2</v>
      </c>
      <c r="C1307" s="18">
        <v>8226.2969708394048</v>
      </c>
      <c r="D1307" s="18">
        <v>0</v>
      </c>
      <c r="E1307" s="18">
        <v>0</v>
      </c>
      <c r="F1307" s="18">
        <v>0</v>
      </c>
      <c r="G1307" s="18">
        <v>0</v>
      </c>
      <c r="H1307" s="19">
        <v>0.12454847042314698</v>
      </c>
      <c r="I1307" s="19">
        <v>0</v>
      </c>
      <c r="J1307" s="19">
        <v>0.12454847042314698</v>
      </c>
    </row>
    <row r="1308" spans="1:10" ht="11.25" customHeight="1" x14ac:dyDescent="0.2">
      <c r="A1308" s="28">
        <v>44501</v>
      </c>
      <c r="B1308" s="18">
        <v>7315.2</v>
      </c>
      <c r="C1308" s="18">
        <v>8226.2969708394048</v>
      </c>
      <c r="D1308" s="18">
        <v>0</v>
      </c>
      <c r="E1308" s="18">
        <v>0</v>
      </c>
      <c r="F1308" s="18">
        <v>0</v>
      </c>
      <c r="G1308" s="18">
        <v>0</v>
      </c>
      <c r="H1308" s="19">
        <v>0.12454847042314698</v>
      </c>
      <c r="I1308" s="19">
        <v>0</v>
      </c>
      <c r="J1308" s="19">
        <v>0.12454847042314698</v>
      </c>
    </row>
    <row r="1309" spans="1:10" ht="11.25" customHeight="1" x14ac:dyDescent="0.2">
      <c r="A1309" s="28">
        <v>44531</v>
      </c>
      <c r="B1309" s="18">
        <v>7315.2</v>
      </c>
      <c r="C1309" s="18">
        <v>8226.2969708394048</v>
      </c>
      <c r="D1309" s="18">
        <v>0</v>
      </c>
      <c r="E1309" s="18">
        <v>0</v>
      </c>
      <c r="F1309" s="18">
        <v>0</v>
      </c>
      <c r="G1309" s="18">
        <v>0</v>
      </c>
      <c r="H1309" s="19">
        <v>0.12454847042314698</v>
      </c>
      <c r="I1309" s="19">
        <v>0</v>
      </c>
      <c r="J1309" s="19">
        <v>0.12454847042314698</v>
      </c>
    </row>
    <row r="1310" spans="1:10" ht="11.25" customHeight="1" x14ac:dyDescent="0.2">
      <c r="A1310" s="28">
        <v>44562</v>
      </c>
      <c r="B1310" s="18">
        <v>7315.2</v>
      </c>
      <c r="C1310" s="18">
        <v>8226.2969708394048</v>
      </c>
      <c r="D1310" s="18">
        <v>0</v>
      </c>
      <c r="E1310" s="18">
        <v>0</v>
      </c>
      <c r="F1310" s="18">
        <v>0</v>
      </c>
      <c r="G1310" s="18">
        <v>0</v>
      </c>
      <c r="H1310" s="19">
        <v>0.12454847042314698</v>
      </c>
      <c r="I1310" s="19">
        <v>0</v>
      </c>
      <c r="J1310" s="19">
        <v>0.12454847042314698</v>
      </c>
    </row>
    <row r="1311" spans="1:10" ht="11.25" customHeight="1" x14ac:dyDescent="0.2">
      <c r="A1311" s="28">
        <v>44593</v>
      </c>
      <c r="B1311" s="18">
        <v>7315.2</v>
      </c>
      <c r="C1311" s="18">
        <v>8226.2969708394048</v>
      </c>
      <c r="D1311" s="18">
        <v>0</v>
      </c>
      <c r="E1311" s="18">
        <v>0</v>
      </c>
      <c r="F1311" s="18">
        <v>0</v>
      </c>
      <c r="G1311" s="18">
        <v>0</v>
      </c>
      <c r="H1311" s="19">
        <v>0.12454847042314698</v>
      </c>
      <c r="I1311" s="19">
        <v>0</v>
      </c>
      <c r="J1311" s="19">
        <v>0.12454847042314698</v>
      </c>
    </row>
    <row r="1312" spans="1:10" ht="11.25" customHeight="1" x14ac:dyDescent="0.2">
      <c r="A1312" s="28">
        <v>44621</v>
      </c>
      <c r="B1312" s="18">
        <v>7315.2</v>
      </c>
      <c r="C1312" s="18">
        <v>8226.2969708394048</v>
      </c>
      <c r="D1312" s="18">
        <v>0</v>
      </c>
      <c r="E1312" s="18">
        <v>0</v>
      </c>
      <c r="F1312" s="18">
        <v>0</v>
      </c>
      <c r="G1312" s="18">
        <v>0</v>
      </c>
      <c r="H1312" s="19">
        <v>0.12454847042314698</v>
      </c>
      <c r="I1312" s="19">
        <v>0</v>
      </c>
      <c r="J1312" s="19">
        <v>0.12454847042314698</v>
      </c>
    </row>
    <row r="1313" spans="1:10" ht="11.25" customHeight="1" x14ac:dyDescent="0.2">
      <c r="A1313" s="28">
        <v>44652</v>
      </c>
      <c r="B1313" s="18">
        <v>7315.2</v>
      </c>
      <c r="C1313" s="18">
        <v>8226.2969708394048</v>
      </c>
      <c r="D1313" s="18">
        <v>0</v>
      </c>
      <c r="E1313" s="18">
        <v>0</v>
      </c>
      <c r="F1313" s="18">
        <v>0</v>
      </c>
      <c r="G1313" s="18">
        <v>0</v>
      </c>
      <c r="H1313" s="19">
        <v>0.12454847042314698</v>
      </c>
      <c r="I1313" s="19">
        <v>0</v>
      </c>
      <c r="J1313" s="19">
        <v>0.12454847042314698</v>
      </c>
    </row>
    <row r="1314" spans="1:10" ht="11.25" customHeight="1" x14ac:dyDescent="0.2">
      <c r="A1314" s="28">
        <v>44682</v>
      </c>
      <c r="B1314" s="18">
        <v>7315.2</v>
      </c>
      <c r="C1314" s="18">
        <v>8226.2969708394048</v>
      </c>
      <c r="D1314" s="18">
        <v>0</v>
      </c>
      <c r="E1314" s="18">
        <v>0</v>
      </c>
      <c r="F1314" s="18">
        <v>0</v>
      </c>
      <c r="G1314" s="18">
        <v>0</v>
      </c>
      <c r="H1314" s="19">
        <v>0.12454847042314698</v>
      </c>
      <c r="I1314" s="19">
        <v>0</v>
      </c>
      <c r="J1314" s="19">
        <v>0.12454847042314698</v>
      </c>
    </row>
    <row r="1315" spans="1:10" ht="11.25" customHeight="1" x14ac:dyDescent="0.2">
      <c r="A1315" s="26" t="s">
        <v>77</v>
      </c>
      <c r="B1315" s="18">
        <v>134599.67999999999</v>
      </c>
      <c r="C1315" s="18">
        <v>151363.86426344505</v>
      </c>
      <c r="D1315" s="18">
        <v>0</v>
      </c>
      <c r="E1315" s="18">
        <v>0</v>
      </c>
      <c r="F1315" s="18">
        <v>0</v>
      </c>
      <c r="G1315" s="18">
        <v>0</v>
      </c>
      <c r="H1315" s="19">
        <v>0.12454847042314698</v>
      </c>
      <c r="I1315" s="19">
        <v>0</v>
      </c>
      <c r="J1315" s="19">
        <v>0.12454847042314698</v>
      </c>
    </row>
    <row r="1316" spans="1:10" ht="11.25" customHeight="1" x14ac:dyDescent="0.2">
      <c r="A1316" s="27" t="s">
        <v>25</v>
      </c>
      <c r="B1316" s="18">
        <v>134599.67999999999</v>
      </c>
      <c r="C1316" s="18">
        <v>151363.86426344505</v>
      </c>
      <c r="D1316" s="18">
        <v>0</v>
      </c>
      <c r="E1316" s="18">
        <v>0</v>
      </c>
      <c r="F1316" s="18">
        <v>0</v>
      </c>
      <c r="G1316" s="18">
        <v>0</v>
      </c>
      <c r="H1316" s="19">
        <v>0.12454847042314698</v>
      </c>
      <c r="I1316" s="19">
        <v>0</v>
      </c>
      <c r="J1316" s="19">
        <v>0.12454847042314698</v>
      </c>
    </row>
    <row r="1317" spans="1:10" ht="11.25" customHeight="1" x14ac:dyDescent="0.2">
      <c r="A1317" s="28">
        <v>44348</v>
      </c>
      <c r="B1317" s="18">
        <v>11216.64</v>
      </c>
      <c r="C1317" s="18">
        <v>12613.655355287086</v>
      </c>
      <c r="D1317" s="18">
        <v>0</v>
      </c>
      <c r="E1317" s="18">
        <v>0</v>
      </c>
      <c r="F1317" s="18">
        <v>0</v>
      </c>
      <c r="G1317" s="18">
        <v>0</v>
      </c>
      <c r="H1317" s="19">
        <v>0.12454847042314698</v>
      </c>
      <c r="I1317" s="19">
        <v>0</v>
      </c>
      <c r="J1317" s="19">
        <v>0.12454847042314698</v>
      </c>
    </row>
    <row r="1318" spans="1:10" ht="11.25" customHeight="1" x14ac:dyDescent="0.2">
      <c r="A1318" s="28">
        <v>44378</v>
      </c>
      <c r="B1318" s="18">
        <v>11216.64</v>
      </c>
      <c r="C1318" s="18">
        <v>12613.655355287086</v>
      </c>
      <c r="D1318" s="18">
        <v>0</v>
      </c>
      <c r="E1318" s="18">
        <v>0</v>
      </c>
      <c r="F1318" s="18">
        <v>0</v>
      </c>
      <c r="G1318" s="18">
        <v>0</v>
      </c>
      <c r="H1318" s="19">
        <v>0.12454847042314698</v>
      </c>
      <c r="I1318" s="19">
        <v>0</v>
      </c>
      <c r="J1318" s="19">
        <v>0.12454847042314698</v>
      </c>
    </row>
    <row r="1319" spans="1:10" ht="11.25" customHeight="1" x14ac:dyDescent="0.2">
      <c r="A1319" s="28">
        <v>44409</v>
      </c>
      <c r="B1319" s="18">
        <v>11216.64</v>
      </c>
      <c r="C1319" s="18">
        <v>12613.655355287086</v>
      </c>
      <c r="D1319" s="18">
        <v>0</v>
      </c>
      <c r="E1319" s="18">
        <v>0</v>
      </c>
      <c r="F1319" s="18">
        <v>0</v>
      </c>
      <c r="G1319" s="18">
        <v>0</v>
      </c>
      <c r="H1319" s="19">
        <v>0.12454847042314698</v>
      </c>
      <c r="I1319" s="19">
        <v>0</v>
      </c>
      <c r="J1319" s="19">
        <v>0.12454847042314698</v>
      </c>
    </row>
    <row r="1320" spans="1:10" ht="11.25" customHeight="1" x14ac:dyDescent="0.2">
      <c r="A1320" s="28">
        <v>44440</v>
      </c>
      <c r="B1320" s="18">
        <v>11216.64</v>
      </c>
      <c r="C1320" s="18">
        <v>12613.655355287086</v>
      </c>
      <c r="D1320" s="18">
        <v>0</v>
      </c>
      <c r="E1320" s="18">
        <v>0</v>
      </c>
      <c r="F1320" s="18">
        <v>0</v>
      </c>
      <c r="G1320" s="18">
        <v>0</v>
      </c>
      <c r="H1320" s="19">
        <v>0.12454847042314698</v>
      </c>
      <c r="I1320" s="19">
        <v>0</v>
      </c>
      <c r="J1320" s="19">
        <v>0.12454847042314698</v>
      </c>
    </row>
    <row r="1321" spans="1:10" ht="11.25" customHeight="1" x14ac:dyDescent="0.2">
      <c r="A1321" s="28">
        <v>44470</v>
      </c>
      <c r="B1321" s="18">
        <v>11216.64</v>
      </c>
      <c r="C1321" s="18">
        <v>12613.655355287086</v>
      </c>
      <c r="D1321" s="18">
        <v>0</v>
      </c>
      <c r="E1321" s="18">
        <v>0</v>
      </c>
      <c r="F1321" s="18">
        <v>0</v>
      </c>
      <c r="G1321" s="18">
        <v>0</v>
      </c>
      <c r="H1321" s="19">
        <v>0.12454847042314698</v>
      </c>
      <c r="I1321" s="19">
        <v>0</v>
      </c>
      <c r="J1321" s="19">
        <v>0.12454847042314698</v>
      </c>
    </row>
    <row r="1322" spans="1:10" ht="11.25" customHeight="1" x14ac:dyDescent="0.2">
      <c r="A1322" s="28">
        <v>44501</v>
      </c>
      <c r="B1322" s="18">
        <v>11216.64</v>
      </c>
      <c r="C1322" s="18">
        <v>12613.655355287086</v>
      </c>
      <c r="D1322" s="18">
        <v>0</v>
      </c>
      <c r="E1322" s="18">
        <v>0</v>
      </c>
      <c r="F1322" s="18">
        <v>0</v>
      </c>
      <c r="G1322" s="18">
        <v>0</v>
      </c>
      <c r="H1322" s="19">
        <v>0.12454847042314698</v>
      </c>
      <c r="I1322" s="19">
        <v>0</v>
      </c>
      <c r="J1322" s="19">
        <v>0.12454847042314698</v>
      </c>
    </row>
    <row r="1323" spans="1:10" ht="11.25" customHeight="1" x14ac:dyDescent="0.2">
      <c r="A1323" s="28">
        <v>44531</v>
      </c>
      <c r="B1323" s="18">
        <v>11216.64</v>
      </c>
      <c r="C1323" s="18">
        <v>12613.655355287086</v>
      </c>
      <c r="D1323" s="18">
        <v>0</v>
      </c>
      <c r="E1323" s="18">
        <v>0</v>
      </c>
      <c r="F1323" s="18">
        <v>0</v>
      </c>
      <c r="G1323" s="18">
        <v>0</v>
      </c>
      <c r="H1323" s="19">
        <v>0.12454847042314698</v>
      </c>
      <c r="I1323" s="19">
        <v>0</v>
      </c>
      <c r="J1323" s="19">
        <v>0.12454847042314698</v>
      </c>
    </row>
    <row r="1324" spans="1:10" ht="11.25" customHeight="1" x14ac:dyDescent="0.2">
      <c r="A1324" s="28">
        <v>44562</v>
      </c>
      <c r="B1324" s="18">
        <v>11216.64</v>
      </c>
      <c r="C1324" s="18">
        <v>12613.655355287086</v>
      </c>
      <c r="D1324" s="18">
        <v>0</v>
      </c>
      <c r="E1324" s="18">
        <v>0</v>
      </c>
      <c r="F1324" s="18">
        <v>0</v>
      </c>
      <c r="G1324" s="18">
        <v>0</v>
      </c>
      <c r="H1324" s="19">
        <v>0.12454847042314698</v>
      </c>
      <c r="I1324" s="19">
        <v>0</v>
      </c>
      <c r="J1324" s="19">
        <v>0.12454847042314698</v>
      </c>
    </row>
    <row r="1325" spans="1:10" ht="11.25" customHeight="1" x14ac:dyDescent="0.2">
      <c r="A1325" s="28">
        <v>44593</v>
      </c>
      <c r="B1325" s="18">
        <v>11216.64</v>
      </c>
      <c r="C1325" s="18">
        <v>12613.655355287086</v>
      </c>
      <c r="D1325" s="18">
        <v>0</v>
      </c>
      <c r="E1325" s="18">
        <v>0</v>
      </c>
      <c r="F1325" s="18">
        <v>0</v>
      </c>
      <c r="G1325" s="18">
        <v>0</v>
      </c>
      <c r="H1325" s="19">
        <v>0.12454847042314698</v>
      </c>
      <c r="I1325" s="19">
        <v>0</v>
      </c>
      <c r="J1325" s="19">
        <v>0.12454847042314698</v>
      </c>
    </row>
    <row r="1326" spans="1:10" ht="11.25" customHeight="1" x14ac:dyDescent="0.2">
      <c r="A1326" s="28">
        <v>44621</v>
      </c>
      <c r="B1326" s="18">
        <v>11216.64</v>
      </c>
      <c r="C1326" s="18">
        <v>12613.655355287086</v>
      </c>
      <c r="D1326" s="18">
        <v>0</v>
      </c>
      <c r="E1326" s="18">
        <v>0</v>
      </c>
      <c r="F1326" s="18">
        <v>0</v>
      </c>
      <c r="G1326" s="18">
        <v>0</v>
      </c>
      <c r="H1326" s="19">
        <v>0.12454847042314698</v>
      </c>
      <c r="I1326" s="19">
        <v>0</v>
      </c>
      <c r="J1326" s="19">
        <v>0.12454847042314698</v>
      </c>
    </row>
    <row r="1327" spans="1:10" ht="11.25" customHeight="1" x14ac:dyDescent="0.2">
      <c r="A1327" s="28">
        <v>44652</v>
      </c>
      <c r="B1327" s="18">
        <v>11216.64</v>
      </c>
      <c r="C1327" s="18">
        <v>12613.655355287086</v>
      </c>
      <c r="D1327" s="18">
        <v>0</v>
      </c>
      <c r="E1327" s="18">
        <v>0</v>
      </c>
      <c r="F1327" s="18">
        <v>0</v>
      </c>
      <c r="G1327" s="18">
        <v>0</v>
      </c>
      <c r="H1327" s="19">
        <v>0.12454847042314698</v>
      </c>
      <c r="I1327" s="19">
        <v>0</v>
      </c>
      <c r="J1327" s="19">
        <v>0.12454847042314698</v>
      </c>
    </row>
    <row r="1328" spans="1:10" ht="11.25" customHeight="1" x14ac:dyDescent="0.2">
      <c r="A1328" s="28">
        <v>44682</v>
      </c>
      <c r="B1328" s="18">
        <v>11216.64</v>
      </c>
      <c r="C1328" s="18">
        <v>12613.655355287086</v>
      </c>
      <c r="D1328" s="18">
        <v>0</v>
      </c>
      <c r="E1328" s="18">
        <v>0</v>
      </c>
      <c r="F1328" s="18">
        <v>0</v>
      </c>
      <c r="G1328" s="18">
        <v>0</v>
      </c>
      <c r="H1328" s="19">
        <v>0.12454847042314698</v>
      </c>
      <c r="I1328" s="19">
        <v>0</v>
      </c>
      <c r="J1328" s="19">
        <v>0.12454847042314698</v>
      </c>
    </row>
    <row r="1329" spans="1:10" ht="11.25" customHeight="1" x14ac:dyDescent="0.2">
      <c r="A1329" s="26" t="s">
        <v>93</v>
      </c>
      <c r="B1329" s="18">
        <v>118872</v>
      </c>
      <c r="C1329" s="18">
        <v>133677.32577614032</v>
      </c>
      <c r="D1329" s="18">
        <v>0</v>
      </c>
      <c r="E1329" s="18">
        <v>0</v>
      </c>
      <c r="F1329" s="18">
        <v>0</v>
      </c>
      <c r="G1329" s="18">
        <v>0</v>
      </c>
      <c r="H1329" s="19">
        <v>0.12454847042314698</v>
      </c>
      <c r="I1329" s="19">
        <v>0</v>
      </c>
      <c r="J1329" s="19">
        <v>0.12454847042314698</v>
      </c>
    </row>
    <row r="1330" spans="1:10" ht="11.25" customHeight="1" x14ac:dyDescent="0.2">
      <c r="A1330" s="27" t="s">
        <v>25</v>
      </c>
      <c r="B1330" s="18">
        <v>118872</v>
      </c>
      <c r="C1330" s="18">
        <v>133677.32577614032</v>
      </c>
      <c r="D1330" s="18">
        <v>0</v>
      </c>
      <c r="E1330" s="18">
        <v>0</v>
      </c>
      <c r="F1330" s="18">
        <v>0</v>
      </c>
      <c r="G1330" s="18">
        <v>0</v>
      </c>
      <c r="H1330" s="19">
        <v>0.12454847042314698</v>
      </c>
      <c r="I1330" s="19">
        <v>0</v>
      </c>
      <c r="J1330" s="19">
        <v>0.12454847042314698</v>
      </c>
    </row>
    <row r="1331" spans="1:10" ht="11.25" customHeight="1" x14ac:dyDescent="0.2">
      <c r="A1331" s="28">
        <v>44348</v>
      </c>
      <c r="B1331" s="18">
        <v>9906</v>
      </c>
      <c r="C1331" s="18">
        <v>11139.777148011693</v>
      </c>
      <c r="D1331" s="18">
        <v>0</v>
      </c>
      <c r="E1331" s="18">
        <v>0</v>
      </c>
      <c r="F1331" s="18">
        <v>0</v>
      </c>
      <c r="G1331" s="18">
        <v>0</v>
      </c>
      <c r="H1331" s="19">
        <v>0.12454847042314698</v>
      </c>
      <c r="I1331" s="19">
        <v>0</v>
      </c>
      <c r="J1331" s="19">
        <v>0.12454847042314698</v>
      </c>
    </row>
    <row r="1332" spans="1:10" ht="11.25" customHeight="1" x14ac:dyDescent="0.2">
      <c r="A1332" s="28">
        <v>44378</v>
      </c>
      <c r="B1332" s="18">
        <v>9906</v>
      </c>
      <c r="C1332" s="18">
        <v>11139.777148011693</v>
      </c>
      <c r="D1332" s="18">
        <v>0</v>
      </c>
      <c r="E1332" s="18">
        <v>0</v>
      </c>
      <c r="F1332" s="18">
        <v>0</v>
      </c>
      <c r="G1332" s="18">
        <v>0</v>
      </c>
      <c r="H1332" s="19">
        <v>0.12454847042314698</v>
      </c>
      <c r="I1332" s="19">
        <v>0</v>
      </c>
      <c r="J1332" s="19">
        <v>0.12454847042314698</v>
      </c>
    </row>
    <row r="1333" spans="1:10" ht="11.25" customHeight="1" x14ac:dyDescent="0.2">
      <c r="A1333" s="28">
        <v>44409</v>
      </c>
      <c r="B1333" s="18">
        <v>9906</v>
      </c>
      <c r="C1333" s="18">
        <v>11139.777148011693</v>
      </c>
      <c r="D1333" s="18">
        <v>0</v>
      </c>
      <c r="E1333" s="18">
        <v>0</v>
      </c>
      <c r="F1333" s="18">
        <v>0</v>
      </c>
      <c r="G1333" s="18">
        <v>0</v>
      </c>
      <c r="H1333" s="19">
        <v>0.12454847042314698</v>
      </c>
      <c r="I1333" s="19">
        <v>0</v>
      </c>
      <c r="J1333" s="19">
        <v>0.12454847042314698</v>
      </c>
    </row>
    <row r="1334" spans="1:10" ht="11.25" customHeight="1" x14ac:dyDescent="0.2">
      <c r="A1334" s="28">
        <v>44440</v>
      </c>
      <c r="B1334" s="18">
        <v>9906</v>
      </c>
      <c r="C1334" s="18">
        <v>11139.777148011693</v>
      </c>
      <c r="D1334" s="18">
        <v>0</v>
      </c>
      <c r="E1334" s="18">
        <v>0</v>
      </c>
      <c r="F1334" s="18">
        <v>0</v>
      </c>
      <c r="G1334" s="18">
        <v>0</v>
      </c>
      <c r="H1334" s="19">
        <v>0.12454847042314698</v>
      </c>
      <c r="I1334" s="19">
        <v>0</v>
      </c>
      <c r="J1334" s="19">
        <v>0.12454847042314698</v>
      </c>
    </row>
    <row r="1335" spans="1:10" ht="11.25" customHeight="1" x14ac:dyDescent="0.2">
      <c r="A1335" s="28">
        <v>44470</v>
      </c>
      <c r="B1335" s="18">
        <v>9906</v>
      </c>
      <c r="C1335" s="18">
        <v>11139.777148011693</v>
      </c>
      <c r="D1335" s="18">
        <v>0</v>
      </c>
      <c r="E1335" s="18">
        <v>0</v>
      </c>
      <c r="F1335" s="18">
        <v>0</v>
      </c>
      <c r="G1335" s="18">
        <v>0</v>
      </c>
      <c r="H1335" s="19">
        <v>0.12454847042314698</v>
      </c>
      <c r="I1335" s="19">
        <v>0</v>
      </c>
      <c r="J1335" s="19">
        <v>0.12454847042314698</v>
      </c>
    </row>
    <row r="1336" spans="1:10" ht="11.25" customHeight="1" x14ac:dyDescent="0.2">
      <c r="A1336" s="28">
        <v>44501</v>
      </c>
      <c r="B1336" s="18">
        <v>9906</v>
      </c>
      <c r="C1336" s="18">
        <v>11139.777148011693</v>
      </c>
      <c r="D1336" s="18">
        <v>0</v>
      </c>
      <c r="E1336" s="18">
        <v>0</v>
      </c>
      <c r="F1336" s="18">
        <v>0</v>
      </c>
      <c r="G1336" s="18">
        <v>0</v>
      </c>
      <c r="H1336" s="19">
        <v>0.12454847042314698</v>
      </c>
      <c r="I1336" s="19">
        <v>0</v>
      </c>
      <c r="J1336" s="19">
        <v>0.12454847042314698</v>
      </c>
    </row>
    <row r="1337" spans="1:10" ht="11.25" customHeight="1" x14ac:dyDescent="0.2">
      <c r="A1337" s="28">
        <v>44531</v>
      </c>
      <c r="B1337" s="18">
        <v>9906</v>
      </c>
      <c r="C1337" s="18">
        <v>11139.777148011693</v>
      </c>
      <c r="D1337" s="18">
        <v>0</v>
      </c>
      <c r="E1337" s="18">
        <v>0</v>
      </c>
      <c r="F1337" s="18">
        <v>0</v>
      </c>
      <c r="G1337" s="18">
        <v>0</v>
      </c>
      <c r="H1337" s="19">
        <v>0.12454847042314698</v>
      </c>
      <c r="I1337" s="19">
        <v>0</v>
      </c>
      <c r="J1337" s="19">
        <v>0.12454847042314698</v>
      </c>
    </row>
    <row r="1338" spans="1:10" ht="11.25" customHeight="1" x14ac:dyDescent="0.2">
      <c r="A1338" s="28">
        <v>44562</v>
      </c>
      <c r="B1338" s="18">
        <v>9906</v>
      </c>
      <c r="C1338" s="18">
        <v>11139.777148011693</v>
      </c>
      <c r="D1338" s="18">
        <v>0</v>
      </c>
      <c r="E1338" s="18">
        <v>0</v>
      </c>
      <c r="F1338" s="18">
        <v>0</v>
      </c>
      <c r="G1338" s="18">
        <v>0</v>
      </c>
      <c r="H1338" s="19">
        <v>0.12454847042314698</v>
      </c>
      <c r="I1338" s="19">
        <v>0</v>
      </c>
      <c r="J1338" s="19">
        <v>0.12454847042314698</v>
      </c>
    </row>
    <row r="1339" spans="1:10" ht="11.25" customHeight="1" x14ac:dyDescent="0.2">
      <c r="A1339" s="28">
        <v>44593</v>
      </c>
      <c r="B1339" s="18">
        <v>9906</v>
      </c>
      <c r="C1339" s="18">
        <v>11139.777148011693</v>
      </c>
      <c r="D1339" s="18">
        <v>0</v>
      </c>
      <c r="E1339" s="18">
        <v>0</v>
      </c>
      <c r="F1339" s="18">
        <v>0</v>
      </c>
      <c r="G1339" s="18">
        <v>0</v>
      </c>
      <c r="H1339" s="19">
        <v>0.12454847042314698</v>
      </c>
      <c r="I1339" s="19">
        <v>0</v>
      </c>
      <c r="J1339" s="19">
        <v>0.12454847042314698</v>
      </c>
    </row>
    <row r="1340" spans="1:10" ht="11.25" customHeight="1" x14ac:dyDescent="0.2">
      <c r="A1340" s="28">
        <v>44621</v>
      </c>
      <c r="B1340" s="18">
        <v>9906</v>
      </c>
      <c r="C1340" s="18">
        <v>11139.777148011693</v>
      </c>
      <c r="D1340" s="18">
        <v>0</v>
      </c>
      <c r="E1340" s="18">
        <v>0</v>
      </c>
      <c r="F1340" s="18">
        <v>0</v>
      </c>
      <c r="G1340" s="18">
        <v>0</v>
      </c>
      <c r="H1340" s="19">
        <v>0.12454847042314698</v>
      </c>
      <c r="I1340" s="19">
        <v>0</v>
      </c>
      <c r="J1340" s="19">
        <v>0.12454847042314698</v>
      </c>
    </row>
    <row r="1341" spans="1:10" ht="11.25" customHeight="1" x14ac:dyDescent="0.2">
      <c r="A1341" s="28">
        <v>44652</v>
      </c>
      <c r="B1341" s="18">
        <v>9906</v>
      </c>
      <c r="C1341" s="18">
        <v>11139.777148011693</v>
      </c>
      <c r="D1341" s="18">
        <v>0</v>
      </c>
      <c r="E1341" s="18">
        <v>0</v>
      </c>
      <c r="F1341" s="18">
        <v>0</v>
      </c>
      <c r="G1341" s="18">
        <v>0</v>
      </c>
      <c r="H1341" s="19">
        <v>0.12454847042314698</v>
      </c>
      <c r="I1341" s="19">
        <v>0</v>
      </c>
      <c r="J1341" s="19">
        <v>0.12454847042314698</v>
      </c>
    </row>
    <row r="1342" spans="1:10" ht="11.25" customHeight="1" x14ac:dyDescent="0.2">
      <c r="A1342" s="28">
        <v>44682</v>
      </c>
      <c r="B1342" s="18">
        <v>9906</v>
      </c>
      <c r="C1342" s="18">
        <v>11139.777148011693</v>
      </c>
      <c r="D1342" s="18">
        <v>0</v>
      </c>
      <c r="E1342" s="18">
        <v>0</v>
      </c>
      <c r="F1342" s="18">
        <v>0</v>
      </c>
      <c r="G1342" s="18">
        <v>0</v>
      </c>
      <c r="H1342" s="19">
        <v>0.12454847042314698</v>
      </c>
      <c r="I1342" s="19">
        <v>0</v>
      </c>
      <c r="J1342" s="19">
        <v>0.12454847042314698</v>
      </c>
    </row>
    <row r="1343" spans="1:10" ht="11.25" customHeight="1" x14ac:dyDescent="0.2">
      <c r="A1343" s="26" t="s">
        <v>88</v>
      </c>
      <c r="B1343" s="18">
        <v>868680</v>
      </c>
      <c r="C1343" s="18">
        <v>976872.76528717915</v>
      </c>
      <c r="D1343" s="18">
        <v>0</v>
      </c>
      <c r="E1343" s="18">
        <v>0</v>
      </c>
      <c r="F1343" s="18">
        <v>0</v>
      </c>
      <c r="G1343" s="18">
        <v>0</v>
      </c>
      <c r="H1343" s="19">
        <v>0.12454847042314676</v>
      </c>
      <c r="I1343" s="19">
        <v>0</v>
      </c>
      <c r="J1343" s="19">
        <v>0.12454847042314676</v>
      </c>
    </row>
    <row r="1344" spans="1:10" ht="11.25" customHeight="1" x14ac:dyDescent="0.2">
      <c r="A1344" s="27" t="s">
        <v>25</v>
      </c>
      <c r="B1344" s="18">
        <v>868680</v>
      </c>
      <c r="C1344" s="18">
        <v>976872.76528717915</v>
      </c>
      <c r="D1344" s="18">
        <v>0</v>
      </c>
      <c r="E1344" s="18">
        <v>0</v>
      </c>
      <c r="F1344" s="18">
        <v>0</v>
      </c>
      <c r="G1344" s="18">
        <v>0</v>
      </c>
      <c r="H1344" s="19">
        <v>0.12454847042314676</v>
      </c>
      <c r="I1344" s="19">
        <v>0</v>
      </c>
      <c r="J1344" s="19">
        <v>0.12454847042314676</v>
      </c>
    </row>
    <row r="1345" spans="1:10" ht="11.25" customHeight="1" x14ac:dyDescent="0.2">
      <c r="A1345" s="28">
        <v>44348</v>
      </c>
      <c r="B1345" s="18">
        <v>72390</v>
      </c>
      <c r="C1345" s="18">
        <v>81406.063773931615</v>
      </c>
      <c r="D1345" s="18">
        <v>0</v>
      </c>
      <c r="E1345" s="18">
        <v>0</v>
      </c>
      <c r="F1345" s="18">
        <v>0</v>
      </c>
      <c r="G1345" s="18">
        <v>0</v>
      </c>
      <c r="H1345" s="19">
        <v>0.12454847042314698</v>
      </c>
      <c r="I1345" s="19">
        <v>0</v>
      </c>
      <c r="J1345" s="19">
        <v>0.12454847042314698</v>
      </c>
    </row>
    <row r="1346" spans="1:10" ht="11.25" customHeight="1" x14ac:dyDescent="0.2">
      <c r="A1346" s="28">
        <v>44378</v>
      </c>
      <c r="B1346" s="18">
        <v>72390</v>
      </c>
      <c r="C1346" s="18">
        <v>81406.063773931615</v>
      </c>
      <c r="D1346" s="18">
        <v>0</v>
      </c>
      <c r="E1346" s="18">
        <v>0</v>
      </c>
      <c r="F1346" s="18">
        <v>0</v>
      </c>
      <c r="G1346" s="18">
        <v>0</v>
      </c>
      <c r="H1346" s="19">
        <v>0.12454847042314698</v>
      </c>
      <c r="I1346" s="19">
        <v>0</v>
      </c>
      <c r="J1346" s="19">
        <v>0.12454847042314698</v>
      </c>
    </row>
    <row r="1347" spans="1:10" ht="11.25" customHeight="1" x14ac:dyDescent="0.2">
      <c r="A1347" s="28">
        <v>44409</v>
      </c>
      <c r="B1347" s="18">
        <v>72390</v>
      </c>
      <c r="C1347" s="18">
        <v>81406.063773931615</v>
      </c>
      <c r="D1347" s="18">
        <v>0</v>
      </c>
      <c r="E1347" s="18">
        <v>0</v>
      </c>
      <c r="F1347" s="18">
        <v>0</v>
      </c>
      <c r="G1347" s="18">
        <v>0</v>
      </c>
      <c r="H1347" s="19">
        <v>0.12454847042314698</v>
      </c>
      <c r="I1347" s="19">
        <v>0</v>
      </c>
      <c r="J1347" s="19">
        <v>0.12454847042314698</v>
      </c>
    </row>
    <row r="1348" spans="1:10" ht="11.25" customHeight="1" x14ac:dyDescent="0.2">
      <c r="A1348" s="28">
        <v>44440</v>
      </c>
      <c r="B1348" s="18">
        <v>72390</v>
      </c>
      <c r="C1348" s="18">
        <v>81406.063773931615</v>
      </c>
      <c r="D1348" s="18">
        <v>0</v>
      </c>
      <c r="E1348" s="18">
        <v>0</v>
      </c>
      <c r="F1348" s="18">
        <v>0</v>
      </c>
      <c r="G1348" s="18">
        <v>0</v>
      </c>
      <c r="H1348" s="19">
        <v>0.12454847042314698</v>
      </c>
      <c r="I1348" s="19">
        <v>0</v>
      </c>
      <c r="J1348" s="19">
        <v>0.12454847042314698</v>
      </c>
    </row>
    <row r="1349" spans="1:10" ht="11.25" customHeight="1" x14ac:dyDescent="0.2">
      <c r="A1349" s="28">
        <v>44470</v>
      </c>
      <c r="B1349" s="18">
        <v>72390</v>
      </c>
      <c r="C1349" s="18">
        <v>81406.063773931615</v>
      </c>
      <c r="D1349" s="18">
        <v>0</v>
      </c>
      <c r="E1349" s="18">
        <v>0</v>
      </c>
      <c r="F1349" s="18">
        <v>0</v>
      </c>
      <c r="G1349" s="18">
        <v>0</v>
      </c>
      <c r="H1349" s="19">
        <v>0.12454847042314698</v>
      </c>
      <c r="I1349" s="19">
        <v>0</v>
      </c>
      <c r="J1349" s="19">
        <v>0.12454847042314698</v>
      </c>
    </row>
    <row r="1350" spans="1:10" ht="11.25" customHeight="1" x14ac:dyDescent="0.2">
      <c r="A1350" s="28">
        <v>44501</v>
      </c>
      <c r="B1350" s="18">
        <v>72390</v>
      </c>
      <c r="C1350" s="18">
        <v>81406.063773931615</v>
      </c>
      <c r="D1350" s="18">
        <v>0</v>
      </c>
      <c r="E1350" s="18">
        <v>0</v>
      </c>
      <c r="F1350" s="18">
        <v>0</v>
      </c>
      <c r="G1350" s="18">
        <v>0</v>
      </c>
      <c r="H1350" s="19">
        <v>0.12454847042314698</v>
      </c>
      <c r="I1350" s="19">
        <v>0</v>
      </c>
      <c r="J1350" s="19">
        <v>0.12454847042314698</v>
      </c>
    </row>
    <row r="1351" spans="1:10" ht="11.25" customHeight="1" x14ac:dyDescent="0.2">
      <c r="A1351" s="28">
        <v>44531</v>
      </c>
      <c r="B1351" s="18">
        <v>72390</v>
      </c>
      <c r="C1351" s="18">
        <v>81406.063773931615</v>
      </c>
      <c r="D1351" s="18">
        <v>0</v>
      </c>
      <c r="E1351" s="18">
        <v>0</v>
      </c>
      <c r="F1351" s="18">
        <v>0</v>
      </c>
      <c r="G1351" s="18">
        <v>0</v>
      </c>
      <c r="H1351" s="19">
        <v>0.12454847042314698</v>
      </c>
      <c r="I1351" s="19">
        <v>0</v>
      </c>
      <c r="J1351" s="19">
        <v>0.12454847042314698</v>
      </c>
    </row>
    <row r="1352" spans="1:10" ht="11.25" customHeight="1" x14ac:dyDescent="0.2">
      <c r="A1352" s="28">
        <v>44562</v>
      </c>
      <c r="B1352" s="18">
        <v>72390</v>
      </c>
      <c r="C1352" s="18">
        <v>81406.063773931615</v>
      </c>
      <c r="D1352" s="18">
        <v>0</v>
      </c>
      <c r="E1352" s="18">
        <v>0</v>
      </c>
      <c r="F1352" s="18">
        <v>0</v>
      </c>
      <c r="G1352" s="18">
        <v>0</v>
      </c>
      <c r="H1352" s="19">
        <v>0.12454847042314698</v>
      </c>
      <c r="I1352" s="19">
        <v>0</v>
      </c>
      <c r="J1352" s="19">
        <v>0.12454847042314698</v>
      </c>
    </row>
    <row r="1353" spans="1:10" ht="11.25" customHeight="1" x14ac:dyDescent="0.2">
      <c r="A1353" s="28">
        <v>44593</v>
      </c>
      <c r="B1353" s="18">
        <v>72390</v>
      </c>
      <c r="C1353" s="18">
        <v>81406.063773931615</v>
      </c>
      <c r="D1353" s="18">
        <v>0</v>
      </c>
      <c r="E1353" s="18">
        <v>0</v>
      </c>
      <c r="F1353" s="18">
        <v>0</v>
      </c>
      <c r="G1353" s="18">
        <v>0</v>
      </c>
      <c r="H1353" s="19">
        <v>0.12454847042314698</v>
      </c>
      <c r="I1353" s="19">
        <v>0</v>
      </c>
      <c r="J1353" s="19">
        <v>0.12454847042314698</v>
      </c>
    </row>
    <row r="1354" spans="1:10" ht="11.25" customHeight="1" x14ac:dyDescent="0.2">
      <c r="A1354" s="28">
        <v>44621</v>
      </c>
      <c r="B1354" s="18">
        <v>72390</v>
      </c>
      <c r="C1354" s="18">
        <v>81406.063773931615</v>
      </c>
      <c r="D1354" s="18">
        <v>0</v>
      </c>
      <c r="E1354" s="18">
        <v>0</v>
      </c>
      <c r="F1354" s="18">
        <v>0</v>
      </c>
      <c r="G1354" s="18">
        <v>0</v>
      </c>
      <c r="H1354" s="19">
        <v>0.12454847042314698</v>
      </c>
      <c r="I1354" s="19">
        <v>0</v>
      </c>
      <c r="J1354" s="19">
        <v>0.12454847042314698</v>
      </c>
    </row>
    <row r="1355" spans="1:10" ht="11.25" customHeight="1" x14ac:dyDescent="0.2">
      <c r="A1355" s="28">
        <v>44652</v>
      </c>
      <c r="B1355" s="18">
        <v>72390</v>
      </c>
      <c r="C1355" s="18">
        <v>81406.063773931615</v>
      </c>
      <c r="D1355" s="18">
        <v>0</v>
      </c>
      <c r="E1355" s="18">
        <v>0</v>
      </c>
      <c r="F1355" s="18">
        <v>0</v>
      </c>
      <c r="G1355" s="18">
        <v>0</v>
      </c>
      <c r="H1355" s="19">
        <v>0.12454847042314698</v>
      </c>
      <c r="I1355" s="19">
        <v>0</v>
      </c>
      <c r="J1355" s="19">
        <v>0.12454847042314698</v>
      </c>
    </row>
    <row r="1356" spans="1:10" ht="11.25" customHeight="1" x14ac:dyDescent="0.2">
      <c r="A1356" s="28">
        <v>44682</v>
      </c>
      <c r="B1356" s="18">
        <v>72390</v>
      </c>
      <c r="C1356" s="18">
        <v>81406.063773931615</v>
      </c>
      <c r="D1356" s="18">
        <v>0</v>
      </c>
      <c r="E1356" s="18">
        <v>0</v>
      </c>
      <c r="F1356" s="18">
        <v>0</v>
      </c>
      <c r="G1356" s="18">
        <v>0</v>
      </c>
      <c r="H1356" s="19">
        <v>0.12454847042314698</v>
      </c>
      <c r="I1356" s="19">
        <v>0</v>
      </c>
      <c r="J1356" s="19">
        <v>0.12454847042314698</v>
      </c>
    </row>
    <row r="1357" spans="1:10" ht="11.25" customHeight="1" x14ac:dyDescent="0.2">
      <c r="A1357" s="26" t="s">
        <v>70</v>
      </c>
      <c r="B1357" s="18">
        <v>921715.19999999984</v>
      </c>
      <c r="C1357" s="18">
        <v>1036513.4183257647</v>
      </c>
      <c r="D1357" s="18">
        <v>0</v>
      </c>
      <c r="E1357" s="18">
        <v>0</v>
      </c>
      <c r="F1357" s="18">
        <v>0</v>
      </c>
      <c r="G1357" s="18">
        <v>0</v>
      </c>
      <c r="H1357" s="19">
        <v>0.12454847042314676</v>
      </c>
      <c r="I1357" s="19">
        <v>0</v>
      </c>
      <c r="J1357" s="19">
        <v>0.12454847042314676</v>
      </c>
    </row>
    <row r="1358" spans="1:10" ht="11.25" customHeight="1" x14ac:dyDescent="0.2">
      <c r="A1358" s="27" t="s">
        <v>25</v>
      </c>
      <c r="B1358" s="18">
        <v>921715.19999999984</v>
      </c>
      <c r="C1358" s="18">
        <v>1036513.4183257647</v>
      </c>
      <c r="D1358" s="18">
        <v>0</v>
      </c>
      <c r="E1358" s="18">
        <v>0</v>
      </c>
      <c r="F1358" s="18">
        <v>0</v>
      </c>
      <c r="G1358" s="18">
        <v>0</v>
      </c>
      <c r="H1358" s="19">
        <v>0.12454847042314676</v>
      </c>
      <c r="I1358" s="19">
        <v>0</v>
      </c>
      <c r="J1358" s="19">
        <v>0.12454847042314676</v>
      </c>
    </row>
    <row r="1359" spans="1:10" ht="11.25" customHeight="1" x14ac:dyDescent="0.2">
      <c r="A1359" s="28">
        <v>44348</v>
      </c>
      <c r="B1359" s="18">
        <v>76809.600000000006</v>
      </c>
      <c r="C1359" s="18">
        <v>86376.118193813745</v>
      </c>
      <c r="D1359" s="18">
        <v>0</v>
      </c>
      <c r="E1359" s="18">
        <v>0</v>
      </c>
      <c r="F1359" s="18">
        <v>0</v>
      </c>
      <c r="G1359" s="18">
        <v>0</v>
      </c>
      <c r="H1359" s="19">
        <v>0.12454847042314676</v>
      </c>
      <c r="I1359" s="19">
        <v>0</v>
      </c>
      <c r="J1359" s="19">
        <v>0.12454847042314676</v>
      </c>
    </row>
    <row r="1360" spans="1:10" ht="11.25" customHeight="1" x14ac:dyDescent="0.2">
      <c r="A1360" s="28">
        <v>44378</v>
      </c>
      <c r="B1360" s="18">
        <v>76809.600000000006</v>
      </c>
      <c r="C1360" s="18">
        <v>86376.118193813745</v>
      </c>
      <c r="D1360" s="18">
        <v>0</v>
      </c>
      <c r="E1360" s="18">
        <v>0</v>
      </c>
      <c r="F1360" s="18">
        <v>0</v>
      </c>
      <c r="G1360" s="18">
        <v>0</v>
      </c>
      <c r="H1360" s="19">
        <v>0.12454847042314676</v>
      </c>
      <c r="I1360" s="19">
        <v>0</v>
      </c>
      <c r="J1360" s="19">
        <v>0.12454847042314676</v>
      </c>
    </row>
    <row r="1361" spans="1:10" ht="11.25" customHeight="1" x14ac:dyDescent="0.2">
      <c r="A1361" s="28">
        <v>44409</v>
      </c>
      <c r="B1361" s="18">
        <v>76809.600000000006</v>
      </c>
      <c r="C1361" s="18">
        <v>86376.118193813745</v>
      </c>
      <c r="D1361" s="18">
        <v>0</v>
      </c>
      <c r="E1361" s="18">
        <v>0</v>
      </c>
      <c r="F1361" s="18">
        <v>0</v>
      </c>
      <c r="G1361" s="18">
        <v>0</v>
      </c>
      <c r="H1361" s="19">
        <v>0.12454847042314676</v>
      </c>
      <c r="I1361" s="19">
        <v>0</v>
      </c>
      <c r="J1361" s="19">
        <v>0.12454847042314676</v>
      </c>
    </row>
    <row r="1362" spans="1:10" ht="11.25" customHeight="1" x14ac:dyDescent="0.2">
      <c r="A1362" s="28">
        <v>44440</v>
      </c>
      <c r="B1362" s="18">
        <v>76809.600000000006</v>
      </c>
      <c r="C1362" s="18">
        <v>86376.118193813745</v>
      </c>
      <c r="D1362" s="18">
        <v>0</v>
      </c>
      <c r="E1362" s="18">
        <v>0</v>
      </c>
      <c r="F1362" s="18">
        <v>0</v>
      </c>
      <c r="G1362" s="18">
        <v>0</v>
      </c>
      <c r="H1362" s="19">
        <v>0.12454847042314676</v>
      </c>
      <c r="I1362" s="19">
        <v>0</v>
      </c>
      <c r="J1362" s="19">
        <v>0.12454847042314676</v>
      </c>
    </row>
    <row r="1363" spans="1:10" ht="11.25" customHeight="1" x14ac:dyDescent="0.2">
      <c r="A1363" s="28">
        <v>44470</v>
      </c>
      <c r="B1363" s="18">
        <v>76809.600000000006</v>
      </c>
      <c r="C1363" s="18">
        <v>86376.118193813745</v>
      </c>
      <c r="D1363" s="18">
        <v>0</v>
      </c>
      <c r="E1363" s="18">
        <v>0</v>
      </c>
      <c r="F1363" s="18">
        <v>0</v>
      </c>
      <c r="G1363" s="18">
        <v>0</v>
      </c>
      <c r="H1363" s="19">
        <v>0.12454847042314676</v>
      </c>
      <c r="I1363" s="19">
        <v>0</v>
      </c>
      <c r="J1363" s="19">
        <v>0.12454847042314676</v>
      </c>
    </row>
    <row r="1364" spans="1:10" ht="11.25" customHeight="1" x14ac:dyDescent="0.2">
      <c r="A1364" s="28">
        <v>44501</v>
      </c>
      <c r="B1364" s="18">
        <v>76809.600000000006</v>
      </c>
      <c r="C1364" s="18">
        <v>86376.118193813745</v>
      </c>
      <c r="D1364" s="18">
        <v>0</v>
      </c>
      <c r="E1364" s="18">
        <v>0</v>
      </c>
      <c r="F1364" s="18">
        <v>0</v>
      </c>
      <c r="G1364" s="18">
        <v>0</v>
      </c>
      <c r="H1364" s="19">
        <v>0.12454847042314676</v>
      </c>
      <c r="I1364" s="19">
        <v>0</v>
      </c>
      <c r="J1364" s="19">
        <v>0.12454847042314676</v>
      </c>
    </row>
    <row r="1365" spans="1:10" ht="11.25" customHeight="1" x14ac:dyDescent="0.2">
      <c r="A1365" s="28">
        <v>44531</v>
      </c>
      <c r="B1365" s="18">
        <v>76809.600000000006</v>
      </c>
      <c r="C1365" s="18">
        <v>86376.118193813745</v>
      </c>
      <c r="D1365" s="18">
        <v>0</v>
      </c>
      <c r="E1365" s="18">
        <v>0</v>
      </c>
      <c r="F1365" s="18">
        <v>0</v>
      </c>
      <c r="G1365" s="18">
        <v>0</v>
      </c>
      <c r="H1365" s="19">
        <v>0.12454847042314676</v>
      </c>
      <c r="I1365" s="19">
        <v>0</v>
      </c>
      <c r="J1365" s="19">
        <v>0.12454847042314676</v>
      </c>
    </row>
    <row r="1366" spans="1:10" ht="11.25" customHeight="1" x14ac:dyDescent="0.2">
      <c r="A1366" s="28">
        <v>44562</v>
      </c>
      <c r="B1366" s="18">
        <v>76809.600000000006</v>
      </c>
      <c r="C1366" s="18">
        <v>86376.118193813745</v>
      </c>
      <c r="D1366" s="18">
        <v>0</v>
      </c>
      <c r="E1366" s="18">
        <v>0</v>
      </c>
      <c r="F1366" s="18">
        <v>0</v>
      </c>
      <c r="G1366" s="18">
        <v>0</v>
      </c>
      <c r="H1366" s="19">
        <v>0.12454847042314676</v>
      </c>
      <c r="I1366" s="19">
        <v>0</v>
      </c>
      <c r="J1366" s="19">
        <v>0.12454847042314676</v>
      </c>
    </row>
    <row r="1367" spans="1:10" ht="11.25" customHeight="1" x14ac:dyDescent="0.2">
      <c r="A1367" s="28">
        <v>44593</v>
      </c>
      <c r="B1367" s="18">
        <v>76809.600000000006</v>
      </c>
      <c r="C1367" s="18">
        <v>86376.118193813745</v>
      </c>
      <c r="D1367" s="18">
        <v>0</v>
      </c>
      <c r="E1367" s="18">
        <v>0</v>
      </c>
      <c r="F1367" s="18">
        <v>0</v>
      </c>
      <c r="G1367" s="18">
        <v>0</v>
      </c>
      <c r="H1367" s="19">
        <v>0.12454847042314676</v>
      </c>
      <c r="I1367" s="19">
        <v>0</v>
      </c>
      <c r="J1367" s="19">
        <v>0.12454847042314676</v>
      </c>
    </row>
    <row r="1368" spans="1:10" ht="11.25" customHeight="1" x14ac:dyDescent="0.2">
      <c r="A1368" s="28">
        <v>44621</v>
      </c>
      <c r="B1368" s="18">
        <v>76809.600000000006</v>
      </c>
      <c r="C1368" s="18">
        <v>86376.118193813745</v>
      </c>
      <c r="D1368" s="18">
        <v>0</v>
      </c>
      <c r="E1368" s="18">
        <v>0</v>
      </c>
      <c r="F1368" s="18">
        <v>0</v>
      </c>
      <c r="G1368" s="18">
        <v>0</v>
      </c>
      <c r="H1368" s="19">
        <v>0.12454847042314676</v>
      </c>
      <c r="I1368" s="19">
        <v>0</v>
      </c>
      <c r="J1368" s="19">
        <v>0.12454847042314676</v>
      </c>
    </row>
    <row r="1369" spans="1:10" ht="11.25" customHeight="1" x14ac:dyDescent="0.2">
      <c r="A1369" s="28">
        <v>44652</v>
      </c>
      <c r="B1369" s="18">
        <v>76809.600000000006</v>
      </c>
      <c r="C1369" s="18">
        <v>86376.118193813745</v>
      </c>
      <c r="D1369" s="18">
        <v>0</v>
      </c>
      <c r="E1369" s="18">
        <v>0</v>
      </c>
      <c r="F1369" s="18">
        <v>0</v>
      </c>
      <c r="G1369" s="18">
        <v>0</v>
      </c>
      <c r="H1369" s="19">
        <v>0.12454847042314676</v>
      </c>
      <c r="I1369" s="19">
        <v>0</v>
      </c>
      <c r="J1369" s="19">
        <v>0.12454847042314676</v>
      </c>
    </row>
    <row r="1370" spans="1:10" ht="11.25" customHeight="1" x14ac:dyDescent="0.2">
      <c r="A1370" s="28">
        <v>44682</v>
      </c>
      <c r="B1370" s="18">
        <v>76809.600000000006</v>
      </c>
      <c r="C1370" s="18">
        <v>86376.118193813745</v>
      </c>
      <c r="D1370" s="18">
        <v>0</v>
      </c>
      <c r="E1370" s="18">
        <v>0</v>
      </c>
      <c r="F1370" s="18">
        <v>0</v>
      </c>
      <c r="G1370" s="18">
        <v>0</v>
      </c>
      <c r="H1370" s="19">
        <v>0.12454847042314676</v>
      </c>
      <c r="I1370" s="19">
        <v>0</v>
      </c>
      <c r="J1370" s="19">
        <v>0.12454847042314676</v>
      </c>
    </row>
    <row r="1371" spans="1:10" ht="11.25" customHeight="1" x14ac:dyDescent="0.2">
      <c r="A1371" s="26" t="s">
        <v>78</v>
      </c>
      <c r="B1371" s="18">
        <v>1181404.8</v>
      </c>
      <c r="C1371" s="18">
        <v>1328546.9607905636</v>
      </c>
      <c r="D1371" s="18">
        <v>0</v>
      </c>
      <c r="E1371" s="18">
        <v>0</v>
      </c>
      <c r="F1371" s="18">
        <v>0</v>
      </c>
      <c r="G1371" s="18">
        <v>0</v>
      </c>
      <c r="H1371" s="19">
        <v>0.12454847042314676</v>
      </c>
      <c r="I1371" s="19">
        <v>0</v>
      </c>
      <c r="J1371" s="19">
        <v>0.12454847042314676</v>
      </c>
    </row>
    <row r="1372" spans="1:10" ht="11.25" customHeight="1" x14ac:dyDescent="0.2">
      <c r="A1372" s="27" t="s">
        <v>25</v>
      </c>
      <c r="B1372" s="18">
        <v>1181404.8</v>
      </c>
      <c r="C1372" s="18">
        <v>1328546.9607905636</v>
      </c>
      <c r="D1372" s="18">
        <v>0</v>
      </c>
      <c r="E1372" s="18">
        <v>0</v>
      </c>
      <c r="F1372" s="18">
        <v>0</v>
      </c>
      <c r="G1372" s="18">
        <v>0</v>
      </c>
      <c r="H1372" s="19">
        <v>0.12454847042314676</v>
      </c>
      <c r="I1372" s="19">
        <v>0</v>
      </c>
      <c r="J1372" s="19">
        <v>0.12454847042314676</v>
      </c>
    </row>
    <row r="1373" spans="1:10" ht="11.25" customHeight="1" x14ac:dyDescent="0.2">
      <c r="A1373" s="28">
        <v>44348</v>
      </c>
      <c r="B1373" s="18">
        <v>98450.4</v>
      </c>
      <c r="C1373" s="18">
        <v>110712.24673254699</v>
      </c>
      <c r="D1373" s="18">
        <v>0</v>
      </c>
      <c r="E1373" s="18">
        <v>0</v>
      </c>
      <c r="F1373" s="18">
        <v>0</v>
      </c>
      <c r="G1373" s="18">
        <v>0</v>
      </c>
      <c r="H1373" s="19">
        <v>0.12454847042314698</v>
      </c>
      <c r="I1373" s="19">
        <v>0</v>
      </c>
      <c r="J1373" s="19">
        <v>0.12454847042314698</v>
      </c>
    </row>
    <row r="1374" spans="1:10" ht="11.25" customHeight="1" x14ac:dyDescent="0.2">
      <c r="A1374" s="28">
        <v>44378</v>
      </c>
      <c r="B1374" s="18">
        <v>98450.4</v>
      </c>
      <c r="C1374" s="18">
        <v>110712.24673254699</v>
      </c>
      <c r="D1374" s="18">
        <v>0</v>
      </c>
      <c r="E1374" s="18">
        <v>0</v>
      </c>
      <c r="F1374" s="18">
        <v>0</v>
      </c>
      <c r="G1374" s="18">
        <v>0</v>
      </c>
      <c r="H1374" s="19">
        <v>0.12454847042314698</v>
      </c>
      <c r="I1374" s="19">
        <v>0</v>
      </c>
      <c r="J1374" s="19">
        <v>0.12454847042314698</v>
      </c>
    </row>
    <row r="1375" spans="1:10" ht="11.25" customHeight="1" x14ac:dyDescent="0.2">
      <c r="A1375" s="28">
        <v>44409</v>
      </c>
      <c r="B1375" s="18">
        <v>98450.4</v>
      </c>
      <c r="C1375" s="18">
        <v>110712.24673254699</v>
      </c>
      <c r="D1375" s="18">
        <v>0</v>
      </c>
      <c r="E1375" s="18">
        <v>0</v>
      </c>
      <c r="F1375" s="18">
        <v>0</v>
      </c>
      <c r="G1375" s="18">
        <v>0</v>
      </c>
      <c r="H1375" s="19">
        <v>0.12454847042314698</v>
      </c>
      <c r="I1375" s="19">
        <v>0</v>
      </c>
      <c r="J1375" s="19">
        <v>0.12454847042314698</v>
      </c>
    </row>
    <row r="1376" spans="1:10" ht="11.25" customHeight="1" x14ac:dyDescent="0.2">
      <c r="A1376" s="28">
        <v>44440</v>
      </c>
      <c r="B1376" s="18">
        <v>98450.4</v>
      </c>
      <c r="C1376" s="18">
        <v>110712.24673254699</v>
      </c>
      <c r="D1376" s="18">
        <v>0</v>
      </c>
      <c r="E1376" s="18">
        <v>0</v>
      </c>
      <c r="F1376" s="18">
        <v>0</v>
      </c>
      <c r="G1376" s="18">
        <v>0</v>
      </c>
      <c r="H1376" s="19">
        <v>0.12454847042314698</v>
      </c>
      <c r="I1376" s="19">
        <v>0</v>
      </c>
      <c r="J1376" s="19">
        <v>0.12454847042314698</v>
      </c>
    </row>
    <row r="1377" spans="1:10" ht="11.25" customHeight="1" x14ac:dyDescent="0.2">
      <c r="A1377" s="28">
        <v>44470</v>
      </c>
      <c r="B1377" s="18">
        <v>98450.4</v>
      </c>
      <c r="C1377" s="18">
        <v>110712.24673254699</v>
      </c>
      <c r="D1377" s="18">
        <v>0</v>
      </c>
      <c r="E1377" s="18">
        <v>0</v>
      </c>
      <c r="F1377" s="18">
        <v>0</v>
      </c>
      <c r="G1377" s="18">
        <v>0</v>
      </c>
      <c r="H1377" s="19">
        <v>0.12454847042314698</v>
      </c>
      <c r="I1377" s="19">
        <v>0</v>
      </c>
      <c r="J1377" s="19">
        <v>0.12454847042314698</v>
      </c>
    </row>
    <row r="1378" spans="1:10" ht="11.25" customHeight="1" x14ac:dyDescent="0.2">
      <c r="A1378" s="28">
        <v>44501</v>
      </c>
      <c r="B1378" s="18">
        <v>98450.4</v>
      </c>
      <c r="C1378" s="18">
        <v>110712.24673254699</v>
      </c>
      <c r="D1378" s="18">
        <v>0</v>
      </c>
      <c r="E1378" s="18">
        <v>0</v>
      </c>
      <c r="F1378" s="18">
        <v>0</v>
      </c>
      <c r="G1378" s="18">
        <v>0</v>
      </c>
      <c r="H1378" s="19">
        <v>0.12454847042314698</v>
      </c>
      <c r="I1378" s="19">
        <v>0</v>
      </c>
      <c r="J1378" s="19">
        <v>0.12454847042314698</v>
      </c>
    </row>
    <row r="1379" spans="1:10" ht="11.25" customHeight="1" x14ac:dyDescent="0.2">
      <c r="A1379" s="28">
        <v>44531</v>
      </c>
      <c r="B1379" s="18">
        <v>98450.4</v>
      </c>
      <c r="C1379" s="18">
        <v>110712.24673254699</v>
      </c>
      <c r="D1379" s="18">
        <v>0</v>
      </c>
      <c r="E1379" s="18">
        <v>0</v>
      </c>
      <c r="F1379" s="18">
        <v>0</v>
      </c>
      <c r="G1379" s="18">
        <v>0</v>
      </c>
      <c r="H1379" s="19">
        <v>0.12454847042314698</v>
      </c>
      <c r="I1379" s="19">
        <v>0</v>
      </c>
      <c r="J1379" s="19">
        <v>0.12454847042314698</v>
      </c>
    </row>
    <row r="1380" spans="1:10" ht="11.25" customHeight="1" x14ac:dyDescent="0.2">
      <c r="A1380" s="28">
        <v>44562</v>
      </c>
      <c r="B1380" s="18">
        <v>98450.4</v>
      </c>
      <c r="C1380" s="18">
        <v>110712.24673254699</v>
      </c>
      <c r="D1380" s="18">
        <v>0</v>
      </c>
      <c r="E1380" s="18">
        <v>0</v>
      </c>
      <c r="F1380" s="18">
        <v>0</v>
      </c>
      <c r="G1380" s="18">
        <v>0</v>
      </c>
      <c r="H1380" s="19">
        <v>0.12454847042314698</v>
      </c>
      <c r="I1380" s="19">
        <v>0</v>
      </c>
      <c r="J1380" s="19">
        <v>0.12454847042314698</v>
      </c>
    </row>
    <row r="1381" spans="1:10" ht="11.25" customHeight="1" x14ac:dyDescent="0.2">
      <c r="A1381" s="28">
        <v>44593</v>
      </c>
      <c r="B1381" s="18">
        <v>98450.4</v>
      </c>
      <c r="C1381" s="18">
        <v>110712.24673254699</v>
      </c>
      <c r="D1381" s="18">
        <v>0</v>
      </c>
      <c r="E1381" s="18">
        <v>0</v>
      </c>
      <c r="F1381" s="18">
        <v>0</v>
      </c>
      <c r="G1381" s="18">
        <v>0</v>
      </c>
      <c r="H1381" s="19">
        <v>0.12454847042314698</v>
      </c>
      <c r="I1381" s="19">
        <v>0</v>
      </c>
      <c r="J1381" s="19">
        <v>0.12454847042314698</v>
      </c>
    </row>
    <row r="1382" spans="1:10" ht="11.25" customHeight="1" x14ac:dyDescent="0.2">
      <c r="A1382" s="28">
        <v>44621</v>
      </c>
      <c r="B1382" s="18">
        <v>98450.4</v>
      </c>
      <c r="C1382" s="18">
        <v>110712.24673254699</v>
      </c>
      <c r="D1382" s="18">
        <v>0</v>
      </c>
      <c r="E1382" s="18">
        <v>0</v>
      </c>
      <c r="F1382" s="18">
        <v>0</v>
      </c>
      <c r="G1382" s="18">
        <v>0</v>
      </c>
      <c r="H1382" s="19">
        <v>0.12454847042314698</v>
      </c>
      <c r="I1382" s="19">
        <v>0</v>
      </c>
      <c r="J1382" s="19">
        <v>0.12454847042314698</v>
      </c>
    </row>
    <row r="1383" spans="1:10" ht="11.25" customHeight="1" x14ac:dyDescent="0.2">
      <c r="A1383" s="28">
        <v>44652</v>
      </c>
      <c r="B1383" s="18">
        <v>98450.4</v>
      </c>
      <c r="C1383" s="18">
        <v>110712.24673254699</v>
      </c>
      <c r="D1383" s="18">
        <v>0</v>
      </c>
      <c r="E1383" s="18">
        <v>0</v>
      </c>
      <c r="F1383" s="18">
        <v>0</v>
      </c>
      <c r="G1383" s="18">
        <v>0</v>
      </c>
      <c r="H1383" s="19">
        <v>0.12454847042314698</v>
      </c>
      <c r="I1383" s="19">
        <v>0</v>
      </c>
      <c r="J1383" s="19">
        <v>0.12454847042314698</v>
      </c>
    </row>
    <row r="1384" spans="1:10" ht="11.25" customHeight="1" x14ac:dyDescent="0.2">
      <c r="A1384" s="28">
        <v>44682</v>
      </c>
      <c r="B1384" s="18">
        <v>98450.4</v>
      </c>
      <c r="C1384" s="18">
        <v>110712.24673254699</v>
      </c>
      <c r="D1384" s="18">
        <v>0</v>
      </c>
      <c r="E1384" s="18">
        <v>0</v>
      </c>
      <c r="F1384" s="18">
        <v>0</v>
      </c>
      <c r="G1384" s="18">
        <v>0</v>
      </c>
      <c r="H1384" s="19">
        <v>0.12454847042314698</v>
      </c>
      <c r="I1384" s="19">
        <v>0</v>
      </c>
      <c r="J1384" s="19">
        <v>0.12454847042314698</v>
      </c>
    </row>
    <row r="1385" spans="1:10" ht="11.25" customHeight="1" x14ac:dyDescent="0.2">
      <c r="A1385" s="26" t="s">
        <v>80</v>
      </c>
      <c r="B1385" s="18">
        <v>258958.07999999999</v>
      </c>
      <c r="C1385" s="18">
        <v>291210.91276771494</v>
      </c>
      <c r="D1385" s="18">
        <v>0</v>
      </c>
      <c r="E1385" s="18">
        <v>0</v>
      </c>
      <c r="F1385" s="18">
        <v>0</v>
      </c>
      <c r="G1385" s="18">
        <v>0</v>
      </c>
      <c r="H1385" s="19">
        <v>0.12454847042314698</v>
      </c>
      <c r="I1385" s="19">
        <v>0</v>
      </c>
      <c r="J1385" s="19">
        <v>0.12454847042314698</v>
      </c>
    </row>
    <row r="1386" spans="1:10" ht="11.25" customHeight="1" x14ac:dyDescent="0.2">
      <c r="A1386" s="27" t="s">
        <v>25</v>
      </c>
      <c r="B1386" s="18">
        <v>258958.07999999999</v>
      </c>
      <c r="C1386" s="18">
        <v>291210.91276771494</v>
      </c>
      <c r="D1386" s="18">
        <v>0</v>
      </c>
      <c r="E1386" s="18">
        <v>0</v>
      </c>
      <c r="F1386" s="18">
        <v>0</v>
      </c>
      <c r="G1386" s="18">
        <v>0</v>
      </c>
      <c r="H1386" s="19">
        <v>0.12454847042314698</v>
      </c>
      <c r="I1386" s="19">
        <v>0</v>
      </c>
      <c r="J1386" s="19">
        <v>0.12454847042314698</v>
      </c>
    </row>
    <row r="1387" spans="1:10" ht="11.25" customHeight="1" x14ac:dyDescent="0.2">
      <c r="A1387" s="28">
        <v>44348</v>
      </c>
      <c r="B1387" s="18">
        <v>21579.84</v>
      </c>
      <c r="C1387" s="18">
        <v>24267.576063976245</v>
      </c>
      <c r="D1387" s="18">
        <v>0</v>
      </c>
      <c r="E1387" s="18">
        <v>0</v>
      </c>
      <c r="F1387" s="18">
        <v>0</v>
      </c>
      <c r="G1387" s="18">
        <v>0</v>
      </c>
      <c r="H1387" s="19">
        <v>0.12454847042314698</v>
      </c>
      <c r="I1387" s="19">
        <v>0</v>
      </c>
      <c r="J1387" s="19">
        <v>0.12454847042314698</v>
      </c>
    </row>
    <row r="1388" spans="1:10" ht="11.25" customHeight="1" x14ac:dyDescent="0.2">
      <c r="A1388" s="28">
        <v>44378</v>
      </c>
      <c r="B1388" s="18">
        <v>21579.84</v>
      </c>
      <c r="C1388" s="18">
        <v>24267.576063976245</v>
      </c>
      <c r="D1388" s="18">
        <v>0</v>
      </c>
      <c r="E1388" s="18">
        <v>0</v>
      </c>
      <c r="F1388" s="18">
        <v>0</v>
      </c>
      <c r="G1388" s="18">
        <v>0</v>
      </c>
      <c r="H1388" s="19">
        <v>0.12454847042314698</v>
      </c>
      <c r="I1388" s="19">
        <v>0</v>
      </c>
      <c r="J1388" s="19">
        <v>0.12454847042314698</v>
      </c>
    </row>
    <row r="1389" spans="1:10" ht="11.25" customHeight="1" x14ac:dyDescent="0.2">
      <c r="A1389" s="28">
        <v>44409</v>
      </c>
      <c r="B1389" s="18">
        <v>21579.84</v>
      </c>
      <c r="C1389" s="18">
        <v>24267.576063976245</v>
      </c>
      <c r="D1389" s="18">
        <v>0</v>
      </c>
      <c r="E1389" s="18">
        <v>0</v>
      </c>
      <c r="F1389" s="18">
        <v>0</v>
      </c>
      <c r="G1389" s="18">
        <v>0</v>
      </c>
      <c r="H1389" s="19">
        <v>0.12454847042314698</v>
      </c>
      <c r="I1389" s="19">
        <v>0</v>
      </c>
      <c r="J1389" s="19">
        <v>0.12454847042314698</v>
      </c>
    </row>
    <row r="1390" spans="1:10" ht="11.25" customHeight="1" x14ac:dyDescent="0.2">
      <c r="A1390" s="28">
        <v>44440</v>
      </c>
      <c r="B1390" s="18">
        <v>21579.84</v>
      </c>
      <c r="C1390" s="18">
        <v>24267.576063976245</v>
      </c>
      <c r="D1390" s="18">
        <v>0</v>
      </c>
      <c r="E1390" s="18">
        <v>0</v>
      </c>
      <c r="F1390" s="18">
        <v>0</v>
      </c>
      <c r="G1390" s="18">
        <v>0</v>
      </c>
      <c r="H1390" s="19">
        <v>0.12454847042314698</v>
      </c>
      <c r="I1390" s="19">
        <v>0</v>
      </c>
      <c r="J1390" s="19">
        <v>0.12454847042314698</v>
      </c>
    </row>
    <row r="1391" spans="1:10" ht="11.25" customHeight="1" x14ac:dyDescent="0.2">
      <c r="A1391" s="28">
        <v>44470</v>
      </c>
      <c r="B1391" s="18">
        <v>21579.84</v>
      </c>
      <c r="C1391" s="18">
        <v>24267.576063976245</v>
      </c>
      <c r="D1391" s="18">
        <v>0</v>
      </c>
      <c r="E1391" s="18">
        <v>0</v>
      </c>
      <c r="F1391" s="18">
        <v>0</v>
      </c>
      <c r="G1391" s="18">
        <v>0</v>
      </c>
      <c r="H1391" s="19">
        <v>0.12454847042314698</v>
      </c>
      <c r="I1391" s="19">
        <v>0</v>
      </c>
      <c r="J1391" s="19">
        <v>0.12454847042314698</v>
      </c>
    </row>
    <row r="1392" spans="1:10" ht="11.25" customHeight="1" x14ac:dyDescent="0.2">
      <c r="A1392" s="28">
        <v>44501</v>
      </c>
      <c r="B1392" s="18">
        <v>21579.84</v>
      </c>
      <c r="C1392" s="18">
        <v>24267.576063976245</v>
      </c>
      <c r="D1392" s="18">
        <v>0</v>
      </c>
      <c r="E1392" s="18">
        <v>0</v>
      </c>
      <c r="F1392" s="18">
        <v>0</v>
      </c>
      <c r="G1392" s="18">
        <v>0</v>
      </c>
      <c r="H1392" s="19">
        <v>0.12454847042314698</v>
      </c>
      <c r="I1392" s="19">
        <v>0</v>
      </c>
      <c r="J1392" s="19">
        <v>0.12454847042314698</v>
      </c>
    </row>
    <row r="1393" spans="1:10" ht="11.25" customHeight="1" x14ac:dyDescent="0.2">
      <c r="A1393" s="28">
        <v>44531</v>
      </c>
      <c r="B1393" s="18">
        <v>21579.84</v>
      </c>
      <c r="C1393" s="18">
        <v>24267.576063976245</v>
      </c>
      <c r="D1393" s="18">
        <v>0</v>
      </c>
      <c r="E1393" s="18">
        <v>0</v>
      </c>
      <c r="F1393" s="18">
        <v>0</v>
      </c>
      <c r="G1393" s="18">
        <v>0</v>
      </c>
      <c r="H1393" s="19">
        <v>0.12454847042314698</v>
      </c>
      <c r="I1393" s="19">
        <v>0</v>
      </c>
      <c r="J1393" s="19">
        <v>0.12454847042314698</v>
      </c>
    </row>
    <row r="1394" spans="1:10" ht="11.25" customHeight="1" x14ac:dyDescent="0.2">
      <c r="A1394" s="28">
        <v>44562</v>
      </c>
      <c r="B1394" s="18">
        <v>21579.84</v>
      </c>
      <c r="C1394" s="18">
        <v>24267.576063976245</v>
      </c>
      <c r="D1394" s="18">
        <v>0</v>
      </c>
      <c r="E1394" s="18">
        <v>0</v>
      </c>
      <c r="F1394" s="18">
        <v>0</v>
      </c>
      <c r="G1394" s="18">
        <v>0</v>
      </c>
      <c r="H1394" s="19">
        <v>0.12454847042314698</v>
      </c>
      <c r="I1394" s="19">
        <v>0</v>
      </c>
      <c r="J1394" s="19">
        <v>0.12454847042314698</v>
      </c>
    </row>
    <row r="1395" spans="1:10" ht="11.25" customHeight="1" x14ac:dyDescent="0.2">
      <c r="A1395" s="28">
        <v>44593</v>
      </c>
      <c r="B1395" s="18">
        <v>21579.84</v>
      </c>
      <c r="C1395" s="18">
        <v>24267.576063976245</v>
      </c>
      <c r="D1395" s="18">
        <v>0</v>
      </c>
      <c r="E1395" s="18">
        <v>0</v>
      </c>
      <c r="F1395" s="18">
        <v>0</v>
      </c>
      <c r="G1395" s="18">
        <v>0</v>
      </c>
      <c r="H1395" s="19">
        <v>0.12454847042314698</v>
      </c>
      <c r="I1395" s="19">
        <v>0</v>
      </c>
      <c r="J1395" s="19">
        <v>0.12454847042314698</v>
      </c>
    </row>
    <row r="1396" spans="1:10" ht="11.25" customHeight="1" x14ac:dyDescent="0.2">
      <c r="A1396" s="28">
        <v>44621</v>
      </c>
      <c r="B1396" s="18">
        <v>21579.84</v>
      </c>
      <c r="C1396" s="18">
        <v>24267.576063976245</v>
      </c>
      <c r="D1396" s="18">
        <v>0</v>
      </c>
      <c r="E1396" s="18">
        <v>0</v>
      </c>
      <c r="F1396" s="18">
        <v>0</v>
      </c>
      <c r="G1396" s="18">
        <v>0</v>
      </c>
      <c r="H1396" s="19">
        <v>0.12454847042314698</v>
      </c>
      <c r="I1396" s="19">
        <v>0</v>
      </c>
      <c r="J1396" s="19">
        <v>0.12454847042314698</v>
      </c>
    </row>
    <row r="1397" spans="1:10" ht="11.25" customHeight="1" x14ac:dyDescent="0.2">
      <c r="A1397" s="28">
        <v>44652</v>
      </c>
      <c r="B1397" s="18">
        <v>21579.84</v>
      </c>
      <c r="C1397" s="18">
        <v>24267.576063976245</v>
      </c>
      <c r="D1397" s="18">
        <v>0</v>
      </c>
      <c r="E1397" s="18">
        <v>0</v>
      </c>
      <c r="F1397" s="18">
        <v>0</v>
      </c>
      <c r="G1397" s="18">
        <v>0</v>
      </c>
      <c r="H1397" s="19">
        <v>0.12454847042314698</v>
      </c>
      <c r="I1397" s="19">
        <v>0</v>
      </c>
      <c r="J1397" s="19">
        <v>0.12454847042314698</v>
      </c>
    </row>
    <row r="1398" spans="1:10" ht="11.25" customHeight="1" x14ac:dyDescent="0.2">
      <c r="A1398" s="28">
        <v>44682</v>
      </c>
      <c r="B1398" s="18">
        <v>21579.84</v>
      </c>
      <c r="C1398" s="18">
        <v>24267.576063976245</v>
      </c>
      <c r="D1398" s="18">
        <v>0</v>
      </c>
      <c r="E1398" s="18">
        <v>0</v>
      </c>
      <c r="F1398" s="18">
        <v>0</v>
      </c>
      <c r="G1398" s="18">
        <v>0</v>
      </c>
      <c r="H1398" s="19">
        <v>0.12454847042314698</v>
      </c>
      <c r="I1398" s="19">
        <v>0</v>
      </c>
      <c r="J1398" s="19">
        <v>0.12454847042314698</v>
      </c>
    </row>
    <row r="1399" spans="1:10" ht="11.25" customHeight="1" x14ac:dyDescent="0.2">
      <c r="A1399" s="26" t="s">
        <v>95</v>
      </c>
      <c r="B1399" s="18">
        <v>107899.20000000003</v>
      </c>
      <c r="C1399" s="18">
        <v>121337.88031988124</v>
      </c>
      <c r="D1399" s="18">
        <v>0</v>
      </c>
      <c r="E1399" s="18">
        <v>0</v>
      </c>
      <c r="F1399" s="18">
        <v>0</v>
      </c>
      <c r="G1399" s="18">
        <v>0</v>
      </c>
      <c r="H1399" s="19">
        <v>0.12454847042314676</v>
      </c>
      <c r="I1399" s="19">
        <v>0</v>
      </c>
      <c r="J1399" s="19">
        <v>0.12454847042314676</v>
      </c>
    </row>
    <row r="1400" spans="1:10" ht="11.25" customHeight="1" x14ac:dyDescent="0.2">
      <c r="A1400" s="27" t="s">
        <v>25</v>
      </c>
      <c r="B1400" s="18">
        <v>107899.20000000003</v>
      </c>
      <c r="C1400" s="18">
        <v>121337.88031988124</v>
      </c>
      <c r="D1400" s="18">
        <v>0</v>
      </c>
      <c r="E1400" s="18">
        <v>0</v>
      </c>
      <c r="F1400" s="18">
        <v>0</v>
      </c>
      <c r="G1400" s="18">
        <v>0</v>
      </c>
      <c r="H1400" s="19">
        <v>0.12454847042314676</v>
      </c>
      <c r="I1400" s="19">
        <v>0</v>
      </c>
      <c r="J1400" s="19">
        <v>0.12454847042314676</v>
      </c>
    </row>
    <row r="1401" spans="1:10" ht="11.25" customHeight="1" x14ac:dyDescent="0.2">
      <c r="A1401" s="28">
        <v>44348</v>
      </c>
      <c r="B1401" s="18">
        <v>8991.6</v>
      </c>
      <c r="C1401" s="18">
        <v>10111.490026656767</v>
      </c>
      <c r="D1401" s="18">
        <v>0</v>
      </c>
      <c r="E1401" s="18">
        <v>0</v>
      </c>
      <c r="F1401" s="18">
        <v>0</v>
      </c>
      <c r="G1401" s="18">
        <v>0</v>
      </c>
      <c r="H1401" s="19">
        <v>0.12454847042314676</v>
      </c>
      <c r="I1401" s="19">
        <v>0</v>
      </c>
      <c r="J1401" s="19">
        <v>0.12454847042314676</v>
      </c>
    </row>
    <row r="1402" spans="1:10" ht="11.25" customHeight="1" x14ac:dyDescent="0.2">
      <c r="A1402" s="28">
        <v>44378</v>
      </c>
      <c r="B1402" s="18">
        <v>8991.6</v>
      </c>
      <c r="C1402" s="18">
        <v>10111.490026656767</v>
      </c>
      <c r="D1402" s="18">
        <v>0</v>
      </c>
      <c r="E1402" s="18">
        <v>0</v>
      </c>
      <c r="F1402" s="18">
        <v>0</v>
      </c>
      <c r="G1402" s="18">
        <v>0</v>
      </c>
      <c r="H1402" s="19">
        <v>0.12454847042314676</v>
      </c>
      <c r="I1402" s="19">
        <v>0</v>
      </c>
      <c r="J1402" s="19">
        <v>0.12454847042314676</v>
      </c>
    </row>
    <row r="1403" spans="1:10" ht="11.25" customHeight="1" x14ac:dyDescent="0.2">
      <c r="A1403" s="28">
        <v>44409</v>
      </c>
      <c r="B1403" s="18">
        <v>8991.6</v>
      </c>
      <c r="C1403" s="18">
        <v>10111.490026656767</v>
      </c>
      <c r="D1403" s="18">
        <v>0</v>
      </c>
      <c r="E1403" s="18">
        <v>0</v>
      </c>
      <c r="F1403" s="18">
        <v>0</v>
      </c>
      <c r="G1403" s="18">
        <v>0</v>
      </c>
      <c r="H1403" s="19">
        <v>0.12454847042314676</v>
      </c>
      <c r="I1403" s="19">
        <v>0</v>
      </c>
      <c r="J1403" s="19">
        <v>0.12454847042314676</v>
      </c>
    </row>
    <row r="1404" spans="1:10" ht="11.25" customHeight="1" x14ac:dyDescent="0.2">
      <c r="A1404" s="28">
        <v>44440</v>
      </c>
      <c r="B1404" s="18">
        <v>8991.6</v>
      </c>
      <c r="C1404" s="18">
        <v>10111.490026656767</v>
      </c>
      <c r="D1404" s="18">
        <v>0</v>
      </c>
      <c r="E1404" s="18">
        <v>0</v>
      </c>
      <c r="F1404" s="18">
        <v>0</v>
      </c>
      <c r="G1404" s="18">
        <v>0</v>
      </c>
      <c r="H1404" s="19">
        <v>0.12454847042314676</v>
      </c>
      <c r="I1404" s="19">
        <v>0</v>
      </c>
      <c r="J1404" s="19">
        <v>0.12454847042314676</v>
      </c>
    </row>
    <row r="1405" spans="1:10" ht="11.25" customHeight="1" x14ac:dyDescent="0.2">
      <c r="A1405" s="28">
        <v>44470</v>
      </c>
      <c r="B1405" s="18">
        <v>8991.6</v>
      </c>
      <c r="C1405" s="18">
        <v>10111.490026656767</v>
      </c>
      <c r="D1405" s="18">
        <v>0</v>
      </c>
      <c r="E1405" s="18">
        <v>0</v>
      </c>
      <c r="F1405" s="18">
        <v>0</v>
      </c>
      <c r="G1405" s="18">
        <v>0</v>
      </c>
      <c r="H1405" s="19">
        <v>0.12454847042314676</v>
      </c>
      <c r="I1405" s="19">
        <v>0</v>
      </c>
      <c r="J1405" s="19">
        <v>0.12454847042314676</v>
      </c>
    </row>
    <row r="1406" spans="1:10" ht="11.25" customHeight="1" x14ac:dyDescent="0.2">
      <c r="A1406" s="28">
        <v>44501</v>
      </c>
      <c r="B1406" s="18">
        <v>8991.6</v>
      </c>
      <c r="C1406" s="18">
        <v>10111.490026656767</v>
      </c>
      <c r="D1406" s="18">
        <v>0</v>
      </c>
      <c r="E1406" s="18">
        <v>0</v>
      </c>
      <c r="F1406" s="18">
        <v>0</v>
      </c>
      <c r="G1406" s="18">
        <v>0</v>
      </c>
      <c r="H1406" s="19">
        <v>0.12454847042314676</v>
      </c>
      <c r="I1406" s="19">
        <v>0</v>
      </c>
      <c r="J1406" s="19">
        <v>0.12454847042314676</v>
      </c>
    </row>
    <row r="1407" spans="1:10" ht="11.25" customHeight="1" x14ac:dyDescent="0.2">
      <c r="A1407" s="28">
        <v>44531</v>
      </c>
      <c r="B1407" s="18">
        <v>8991.6</v>
      </c>
      <c r="C1407" s="18">
        <v>10111.490026656767</v>
      </c>
      <c r="D1407" s="18">
        <v>0</v>
      </c>
      <c r="E1407" s="18">
        <v>0</v>
      </c>
      <c r="F1407" s="18">
        <v>0</v>
      </c>
      <c r="G1407" s="18">
        <v>0</v>
      </c>
      <c r="H1407" s="19">
        <v>0.12454847042314676</v>
      </c>
      <c r="I1407" s="19">
        <v>0</v>
      </c>
      <c r="J1407" s="19">
        <v>0.12454847042314676</v>
      </c>
    </row>
    <row r="1408" spans="1:10" ht="11.25" customHeight="1" x14ac:dyDescent="0.2">
      <c r="A1408" s="28">
        <v>44562</v>
      </c>
      <c r="B1408" s="18">
        <v>8991.6</v>
      </c>
      <c r="C1408" s="18">
        <v>10111.490026656767</v>
      </c>
      <c r="D1408" s="18">
        <v>0</v>
      </c>
      <c r="E1408" s="18">
        <v>0</v>
      </c>
      <c r="F1408" s="18">
        <v>0</v>
      </c>
      <c r="G1408" s="18">
        <v>0</v>
      </c>
      <c r="H1408" s="19">
        <v>0.12454847042314676</v>
      </c>
      <c r="I1408" s="19">
        <v>0</v>
      </c>
      <c r="J1408" s="19">
        <v>0.12454847042314676</v>
      </c>
    </row>
    <row r="1409" spans="1:10" ht="11.25" customHeight="1" x14ac:dyDescent="0.2">
      <c r="A1409" s="28">
        <v>44593</v>
      </c>
      <c r="B1409" s="18">
        <v>8991.6</v>
      </c>
      <c r="C1409" s="18">
        <v>10111.490026656767</v>
      </c>
      <c r="D1409" s="18">
        <v>0</v>
      </c>
      <c r="E1409" s="18">
        <v>0</v>
      </c>
      <c r="F1409" s="18">
        <v>0</v>
      </c>
      <c r="G1409" s="18">
        <v>0</v>
      </c>
      <c r="H1409" s="19">
        <v>0.12454847042314676</v>
      </c>
      <c r="I1409" s="19">
        <v>0</v>
      </c>
      <c r="J1409" s="19">
        <v>0.12454847042314676</v>
      </c>
    </row>
    <row r="1410" spans="1:10" ht="11.25" customHeight="1" x14ac:dyDescent="0.2">
      <c r="A1410" s="28">
        <v>44621</v>
      </c>
      <c r="B1410" s="18">
        <v>8991.6</v>
      </c>
      <c r="C1410" s="18">
        <v>10111.490026656767</v>
      </c>
      <c r="D1410" s="18">
        <v>0</v>
      </c>
      <c r="E1410" s="18">
        <v>0</v>
      </c>
      <c r="F1410" s="18">
        <v>0</v>
      </c>
      <c r="G1410" s="18">
        <v>0</v>
      </c>
      <c r="H1410" s="19">
        <v>0.12454847042314676</v>
      </c>
      <c r="I1410" s="19">
        <v>0</v>
      </c>
      <c r="J1410" s="19">
        <v>0.12454847042314676</v>
      </c>
    </row>
    <row r="1411" spans="1:10" ht="11.25" customHeight="1" x14ac:dyDescent="0.2">
      <c r="A1411" s="28">
        <v>44652</v>
      </c>
      <c r="B1411" s="18">
        <v>8991.6</v>
      </c>
      <c r="C1411" s="18">
        <v>10111.490026656767</v>
      </c>
      <c r="D1411" s="18">
        <v>0</v>
      </c>
      <c r="E1411" s="18">
        <v>0</v>
      </c>
      <c r="F1411" s="18">
        <v>0</v>
      </c>
      <c r="G1411" s="18">
        <v>0</v>
      </c>
      <c r="H1411" s="19">
        <v>0.12454847042314676</v>
      </c>
      <c r="I1411" s="19">
        <v>0</v>
      </c>
      <c r="J1411" s="19">
        <v>0.12454847042314676</v>
      </c>
    </row>
    <row r="1412" spans="1:10" ht="11.25" customHeight="1" x14ac:dyDescent="0.2">
      <c r="A1412" s="28">
        <v>44682</v>
      </c>
      <c r="B1412" s="18">
        <v>8991.6</v>
      </c>
      <c r="C1412" s="18">
        <v>10111.490026656767</v>
      </c>
      <c r="D1412" s="18">
        <v>0</v>
      </c>
      <c r="E1412" s="18">
        <v>0</v>
      </c>
      <c r="F1412" s="18">
        <v>0</v>
      </c>
      <c r="G1412" s="18">
        <v>0</v>
      </c>
      <c r="H1412" s="19">
        <v>0.12454847042314676</v>
      </c>
      <c r="I1412" s="19">
        <v>0</v>
      </c>
      <c r="J1412" s="19">
        <v>0.12454847042314676</v>
      </c>
    </row>
    <row r="1413" spans="1:10" ht="11.25" customHeight="1" x14ac:dyDescent="0.2">
      <c r="A1413" s="26" t="s">
        <v>79</v>
      </c>
      <c r="B1413" s="18">
        <v>140817.60000000001</v>
      </c>
      <c r="C1413" s="18">
        <v>158356.21668865849</v>
      </c>
      <c r="D1413" s="18">
        <v>0</v>
      </c>
      <c r="E1413" s="18">
        <v>0</v>
      </c>
      <c r="F1413" s="18">
        <v>0</v>
      </c>
      <c r="G1413" s="18">
        <v>0</v>
      </c>
      <c r="H1413" s="19">
        <v>0.12454847042314654</v>
      </c>
      <c r="I1413" s="19">
        <v>0</v>
      </c>
      <c r="J1413" s="19">
        <v>0.12454847042314654</v>
      </c>
    </row>
    <row r="1414" spans="1:10" ht="11.25" customHeight="1" x14ac:dyDescent="0.2">
      <c r="A1414" s="27" t="s">
        <v>25</v>
      </c>
      <c r="B1414" s="18">
        <v>140817.60000000001</v>
      </c>
      <c r="C1414" s="18">
        <v>158356.21668865849</v>
      </c>
      <c r="D1414" s="18">
        <v>0</v>
      </c>
      <c r="E1414" s="18">
        <v>0</v>
      </c>
      <c r="F1414" s="18">
        <v>0</v>
      </c>
      <c r="G1414" s="18">
        <v>0</v>
      </c>
      <c r="H1414" s="19">
        <v>0.12454847042314654</v>
      </c>
      <c r="I1414" s="19">
        <v>0</v>
      </c>
      <c r="J1414" s="19">
        <v>0.12454847042314654</v>
      </c>
    </row>
    <row r="1415" spans="1:10" ht="11.25" customHeight="1" x14ac:dyDescent="0.2">
      <c r="A1415" s="28">
        <v>44348</v>
      </c>
      <c r="B1415" s="18">
        <v>11734.8</v>
      </c>
      <c r="C1415" s="18">
        <v>13196.351390721546</v>
      </c>
      <c r="D1415" s="18">
        <v>0</v>
      </c>
      <c r="E1415" s="18">
        <v>0</v>
      </c>
      <c r="F1415" s="18">
        <v>0</v>
      </c>
      <c r="G1415" s="18">
        <v>0</v>
      </c>
      <c r="H1415" s="19">
        <v>0.12454847042314698</v>
      </c>
      <c r="I1415" s="19">
        <v>0</v>
      </c>
      <c r="J1415" s="19">
        <v>0.12454847042314698</v>
      </c>
    </row>
    <row r="1416" spans="1:10" ht="11.25" customHeight="1" x14ac:dyDescent="0.2">
      <c r="A1416" s="28">
        <v>44378</v>
      </c>
      <c r="B1416" s="18">
        <v>11734.8</v>
      </c>
      <c r="C1416" s="18">
        <v>13196.351390721546</v>
      </c>
      <c r="D1416" s="18">
        <v>0</v>
      </c>
      <c r="E1416" s="18">
        <v>0</v>
      </c>
      <c r="F1416" s="18">
        <v>0</v>
      </c>
      <c r="G1416" s="18">
        <v>0</v>
      </c>
      <c r="H1416" s="19">
        <v>0.12454847042314698</v>
      </c>
      <c r="I1416" s="19">
        <v>0</v>
      </c>
      <c r="J1416" s="19">
        <v>0.12454847042314698</v>
      </c>
    </row>
    <row r="1417" spans="1:10" ht="11.25" customHeight="1" x14ac:dyDescent="0.2">
      <c r="A1417" s="28">
        <v>44409</v>
      </c>
      <c r="B1417" s="18">
        <v>11734.8</v>
      </c>
      <c r="C1417" s="18">
        <v>13196.351390721546</v>
      </c>
      <c r="D1417" s="18">
        <v>0</v>
      </c>
      <c r="E1417" s="18">
        <v>0</v>
      </c>
      <c r="F1417" s="18">
        <v>0</v>
      </c>
      <c r="G1417" s="18">
        <v>0</v>
      </c>
      <c r="H1417" s="19">
        <v>0.12454847042314698</v>
      </c>
      <c r="I1417" s="19">
        <v>0</v>
      </c>
      <c r="J1417" s="19">
        <v>0.12454847042314698</v>
      </c>
    </row>
    <row r="1418" spans="1:10" ht="11.25" customHeight="1" x14ac:dyDescent="0.2">
      <c r="A1418" s="28">
        <v>44440</v>
      </c>
      <c r="B1418" s="18">
        <v>11734.8</v>
      </c>
      <c r="C1418" s="18">
        <v>13196.351390721546</v>
      </c>
      <c r="D1418" s="18">
        <v>0</v>
      </c>
      <c r="E1418" s="18">
        <v>0</v>
      </c>
      <c r="F1418" s="18">
        <v>0</v>
      </c>
      <c r="G1418" s="18">
        <v>0</v>
      </c>
      <c r="H1418" s="19">
        <v>0.12454847042314698</v>
      </c>
      <c r="I1418" s="19">
        <v>0</v>
      </c>
      <c r="J1418" s="19">
        <v>0.12454847042314698</v>
      </c>
    </row>
    <row r="1419" spans="1:10" ht="11.25" customHeight="1" x14ac:dyDescent="0.2">
      <c r="A1419" s="28">
        <v>44470</v>
      </c>
      <c r="B1419" s="18">
        <v>11734.8</v>
      </c>
      <c r="C1419" s="18">
        <v>13196.351390721546</v>
      </c>
      <c r="D1419" s="18">
        <v>0</v>
      </c>
      <c r="E1419" s="18">
        <v>0</v>
      </c>
      <c r="F1419" s="18">
        <v>0</v>
      </c>
      <c r="G1419" s="18">
        <v>0</v>
      </c>
      <c r="H1419" s="19">
        <v>0.12454847042314698</v>
      </c>
      <c r="I1419" s="19">
        <v>0</v>
      </c>
      <c r="J1419" s="19">
        <v>0.12454847042314698</v>
      </c>
    </row>
    <row r="1420" spans="1:10" ht="11.25" customHeight="1" x14ac:dyDescent="0.2">
      <c r="A1420" s="28">
        <v>44501</v>
      </c>
      <c r="B1420" s="18">
        <v>11734.8</v>
      </c>
      <c r="C1420" s="18">
        <v>13196.351390721546</v>
      </c>
      <c r="D1420" s="18">
        <v>0</v>
      </c>
      <c r="E1420" s="18">
        <v>0</v>
      </c>
      <c r="F1420" s="18">
        <v>0</v>
      </c>
      <c r="G1420" s="18">
        <v>0</v>
      </c>
      <c r="H1420" s="19">
        <v>0.12454847042314698</v>
      </c>
      <c r="I1420" s="19">
        <v>0</v>
      </c>
      <c r="J1420" s="19">
        <v>0.12454847042314698</v>
      </c>
    </row>
    <row r="1421" spans="1:10" ht="11.25" customHeight="1" x14ac:dyDescent="0.2">
      <c r="A1421" s="28">
        <v>44531</v>
      </c>
      <c r="B1421" s="18">
        <v>11734.8</v>
      </c>
      <c r="C1421" s="18">
        <v>13196.351390721546</v>
      </c>
      <c r="D1421" s="18">
        <v>0</v>
      </c>
      <c r="E1421" s="18">
        <v>0</v>
      </c>
      <c r="F1421" s="18">
        <v>0</v>
      </c>
      <c r="G1421" s="18">
        <v>0</v>
      </c>
      <c r="H1421" s="19">
        <v>0.12454847042314698</v>
      </c>
      <c r="I1421" s="19">
        <v>0</v>
      </c>
      <c r="J1421" s="19">
        <v>0.12454847042314698</v>
      </c>
    </row>
    <row r="1422" spans="1:10" ht="11.25" customHeight="1" x14ac:dyDescent="0.2">
      <c r="A1422" s="28">
        <v>44562</v>
      </c>
      <c r="B1422" s="18">
        <v>11734.8</v>
      </c>
      <c r="C1422" s="18">
        <v>13196.351390721546</v>
      </c>
      <c r="D1422" s="18">
        <v>0</v>
      </c>
      <c r="E1422" s="18">
        <v>0</v>
      </c>
      <c r="F1422" s="18">
        <v>0</v>
      </c>
      <c r="G1422" s="18">
        <v>0</v>
      </c>
      <c r="H1422" s="19">
        <v>0.12454847042314698</v>
      </c>
      <c r="I1422" s="19">
        <v>0</v>
      </c>
      <c r="J1422" s="19">
        <v>0.12454847042314698</v>
      </c>
    </row>
    <row r="1423" spans="1:10" ht="11.25" customHeight="1" x14ac:dyDescent="0.2">
      <c r="A1423" s="28">
        <v>44593</v>
      </c>
      <c r="B1423" s="18">
        <v>11734.8</v>
      </c>
      <c r="C1423" s="18">
        <v>13196.351390721546</v>
      </c>
      <c r="D1423" s="18">
        <v>0</v>
      </c>
      <c r="E1423" s="18">
        <v>0</v>
      </c>
      <c r="F1423" s="18">
        <v>0</v>
      </c>
      <c r="G1423" s="18">
        <v>0</v>
      </c>
      <c r="H1423" s="19">
        <v>0.12454847042314698</v>
      </c>
      <c r="I1423" s="19">
        <v>0</v>
      </c>
      <c r="J1423" s="19">
        <v>0.12454847042314698</v>
      </c>
    </row>
    <row r="1424" spans="1:10" ht="11.25" customHeight="1" x14ac:dyDescent="0.2">
      <c r="A1424" s="28">
        <v>44621</v>
      </c>
      <c r="B1424" s="18">
        <v>11734.8</v>
      </c>
      <c r="C1424" s="18">
        <v>13196.351390721546</v>
      </c>
      <c r="D1424" s="18">
        <v>0</v>
      </c>
      <c r="E1424" s="18">
        <v>0</v>
      </c>
      <c r="F1424" s="18">
        <v>0</v>
      </c>
      <c r="G1424" s="18">
        <v>0</v>
      </c>
      <c r="H1424" s="19">
        <v>0.12454847042314698</v>
      </c>
      <c r="I1424" s="19">
        <v>0</v>
      </c>
      <c r="J1424" s="19">
        <v>0.12454847042314698</v>
      </c>
    </row>
    <row r="1425" spans="1:10" ht="11.25" customHeight="1" x14ac:dyDescent="0.2">
      <c r="A1425" s="28">
        <v>44652</v>
      </c>
      <c r="B1425" s="18">
        <v>11734.8</v>
      </c>
      <c r="C1425" s="18">
        <v>13196.351390721546</v>
      </c>
      <c r="D1425" s="18">
        <v>0</v>
      </c>
      <c r="E1425" s="18">
        <v>0</v>
      </c>
      <c r="F1425" s="18">
        <v>0</v>
      </c>
      <c r="G1425" s="18">
        <v>0</v>
      </c>
      <c r="H1425" s="19">
        <v>0.12454847042314698</v>
      </c>
      <c r="I1425" s="19">
        <v>0</v>
      </c>
      <c r="J1425" s="19">
        <v>0.12454847042314698</v>
      </c>
    </row>
    <row r="1426" spans="1:10" ht="11.25" customHeight="1" x14ac:dyDescent="0.2">
      <c r="A1426" s="28">
        <v>44682</v>
      </c>
      <c r="B1426" s="18">
        <v>11734.8</v>
      </c>
      <c r="C1426" s="18">
        <v>13196.351390721546</v>
      </c>
      <c r="D1426" s="18">
        <v>0</v>
      </c>
      <c r="E1426" s="18">
        <v>0</v>
      </c>
      <c r="F1426" s="18">
        <v>0</v>
      </c>
      <c r="G1426" s="18">
        <v>0</v>
      </c>
      <c r="H1426" s="19">
        <v>0.12454847042314698</v>
      </c>
      <c r="I1426" s="19">
        <v>0</v>
      </c>
      <c r="J1426" s="19">
        <v>0.12454847042314698</v>
      </c>
    </row>
    <row r="1427" spans="1:10" ht="11.25" customHeight="1" x14ac:dyDescent="0.2">
      <c r="A1427" s="26" t="s">
        <v>96</v>
      </c>
      <c r="B1427" s="18">
        <v>91440</v>
      </c>
      <c r="C1427" s="18">
        <v>102828.71213549253</v>
      </c>
      <c r="D1427" s="18">
        <v>0</v>
      </c>
      <c r="E1427" s="18">
        <v>0</v>
      </c>
      <c r="F1427" s="18">
        <v>0</v>
      </c>
      <c r="G1427" s="18">
        <v>0</v>
      </c>
      <c r="H1427" s="19">
        <v>0.12454847042314676</v>
      </c>
      <c r="I1427" s="19">
        <v>0</v>
      </c>
      <c r="J1427" s="19">
        <v>0.12454847042314676</v>
      </c>
    </row>
    <row r="1428" spans="1:10" ht="11.25" customHeight="1" x14ac:dyDescent="0.2">
      <c r="A1428" s="27" t="s">
        <v>25</v>
      </c>
      <c r="B1428" s="18">
        <v>91440</v>
      </c>
      <c r="C1428" s="18">
        <v>102828.71213549253</v>
      </c>
      <c r="D1428" s="18">
        <v>0</v>
      </c>
      <c r="E1428" s="18">
        <v>0</v>
      </c>
      <c r="F1428" s="18">
        <v>0</v>
      </c>
      <c r="G1428" s="18">
        <v>0</v>
      </c>
      <c r="H1428" s="19">
        <v>0.12454847042314676</v>
      </c>
      <c r="I1428" s="19">
        <v>0</v>
      </c>
      <c r="J1428" s="19">
        <v>0.12454847042314676</v>
      </c>
    </row>
    <row r="1429" spans="1:10" ht="11.25" customHeight="1" x14ac:dyDescent="0.2">
      <c r="A1429" s="28">
        <v>44348</v>
      </c>
      <c r="B1429" s="18">
        <v>7620</v>
      </c>
      <c r="C1429" s="18">
        <v>8569.0593446243802</v>
      </c>
      <c r="D1429" s="18">
        <v>0</v>
      </c>
      <c r="E1429" s="18">
        <v>0</v>
      </c>
      <c r="F1429" s="18">
        <v>0</v>
      </c>
      <c r="G1429" s="18">
        <v>0</v>
      </c>
      <c r="H1429" s="19">
        <v>0.12454847042314698</v>
      </c>
      <c r="I1429" s="19">
        <v>0</v>
      </c>
      <c r="J1429" s="19">
        <v>0.12454847042314698</v>
      </c>
    </row>
    <row r="1430" spans="1:10" ht="11.25" customHeight="1" x14ac:dyDescent="0.2">
      <c r="A1430" s="28">
        <v>44378</v>
      </c>
      <c r="B1430" s="18">
        <v>7620</v>
      </c>
      <c r="C1430" s="18">
        <v>8569.0593446243802</v>
      </c>
      <c r="D1430" s="18">
        <v>0</v>
      </c>
      <c r="E1430" s="18">
        <v>0</v>
      </c>
      <c r="F1430" s="18">
        <v>0</v>
      </c>
      <c r="G1430" s="18">
        <v>0</v>
      </c>
      <c r="H1430" s="19">
        <v>0.12454847042314698</v>
      </c>
      <c r="I1430" s="19">
        <v>0</v>
      </c>
      <c r="J1430" s="19">
        <v>0.12454847042314698</v>
      </c>
    </row>
    <row r="1431" spans="1:10" ht="11.25" customHeight="1" x14ac:dyDescent="0.2">
      <c r="A1431" s="28">
        <v>44409</v>
      </c>
      <c r="B1431" s="18">
        <v>7620</v>
      </c>
      <c r="C1431" s="18">
        <v>8569.0593446243802</v>
      </c>
      <c r="D1431" s="18">
        <v>0</v>
      </c>
      <c r="E1431" s="18">
        <v>0</v>
      </c>
      <c r="F1431" s="18">
        <v>0</v>
      </c>
      <c r="G1431" s="18">
        <v>0</v>
      </c>
      <c r="H1431" s="19">
        <v>0.12454847042314698</v>
      </c>
      <c r="I1431" s="19">
        <v>0</v>
      </c>
      <c r="J1431" s="19">
        <v>0.12454847042314698</v>
      </c>
    </row>
    <row r="1432" spans="1:10" ht="11.25" customHeight="1" x14ac:dyDescent="0.2">
      <c r="A1432" s="28">
        <v>44440</v>
      </c>
      <c r="B1432" s="18">
        <v>7620</v>
      </c>
      <c r="C1432" s="18">
        <v>8569.0593446243802</v>
      </c>
      <c r="D1432" s="18">
        <v>0</v>
      </c>
      <c r="E1432" s="18">
        <v>0</v>
      </c>
      <c r="F1432" s="18">
        <v>0</v>
      </c>
      <c r="G1432" s="18">
        <v>0</v>
      </c>
      <c r="H1432" s="19">
        <v>0.12454847042314698</v>
      </c>
      <c r="I1432" s="19">
        <v>0</v>
      </c>
      <c r="J1432" s="19">
        <v>0.12454847042314698</v>
      </c>
    </row>
    <row r="1433" spans="1:10" ht="11.25" customHeight="1" x14ac:dyDescent="0.2">
      <c r="A1433" s="28">
        <v>44470</v>
      </c>
      <c r="B1433" s="18">
        <v>7620</v>
      </c>
      <c r="C1433" s="18">
        <v>8569.0593446243802</v>
      </c>
      <c r="D1433" s="18">
        <v>0</v>
      </c>
      <c r="E1433" s="18">
        <v>0</v>
      </c>
      <c r="F1433" s="18">
        <v>0</v>
      </c>
      <c r="G1433" s="18">
        <v>0</v>
      </c>
      <c r="H1433" s="19">
        <v>0.12454847042314698</v>
      </c>
      <c r="I1433" s="19">
        <v>0</v>
      </c>
      <c r="J1433" s="19">
        <v>0.12454847042314698</v>
      </c>
    </row>
    <row r="1434" spans="1:10" ht="11.25" customHeight="1" x14ac:dyDescent="0.2">
      <c r="A1434" s="28">
        <v>44501</v>
      </c>
      <c r="B1434" s="18">
        <v>7620</v>
      </c>
      <c r="C1434" s="18">
        <v>8569.0593446243802</v>
      </c>
      <c r="D1434" s="18">
        <v>0</v>
      </c>
      <c r="E1434" s="18">
        <v>0</v>
      </c>
      <c r="F1434" s="18">
        <v>0</v>
      </c>
      <c r="G1434" s="18">
        <v>0</v>
      </c>
      <c r="H1434" s="19">
        <v>0.12454847042314698</v>
      </c>
      <c r="I1434" s="19">
        <v>0</v>
      </c>
      <c r="J1434" s="19">
        <v>0.12454847042314698</v>
      </c>
    </row>
    <row r="1435" spans="1:10" ht="11.25" customHeight="1" x14ac:dyDescent="0.2">
      <c r="A1435" s="28">
        <v>44531</v>
      </c>
      <c r="B1435" s="18">
        <v>7620</v>
      </c>
      <c r="C1435" s="18">
        <v>8569.0593446243802</v>
      </c>
      <c r="D1435" s="18">
        <v>0</v>
      </c>
      <c r="E1435" s="18">
        <v>0</v>
      </c>
      <c r="F1435" s="18">
        <v>0</v>
      </c>
      <c r="G1435" s="18">
        <v>0</v>
      </c>
      <c r="H1435" s="19">
        <v>0.12454847042314698</v>
      </c>
      <c r="I1435" s="19">
        <v>0</v>
      </c>
      <c r="J1435" s="19">
        <v>0.12454847042314698</v>
      </c>
    </row>
    <row r="1436" spans="1:10" ht="11.25" customHeight="1" x14ac:dyDescent="0.2">
      <c r="A1436" s="28">
        <v>44562</v>
      </c>
      <c r="B1436" s="18">
        <v>7620</v>
      </c>
      <c r="C1436" s="18">
        <v>8569.0593446243802</v>
      </c>
      <c r="D1436" s="18">
        <v>0</v>
      </c>
      <c r="E1436" s="18">
        <v>0</v>
      </c>
      <c r="F1436" s="18">
        <v>0</v>
      </c>
      <c r="G1436" s="18">
        <v>0</v>
      </c>
      <c r="H1436" s="19">
        <v>0.12454847042314698</v>
      </c>
      <c r="I1436" s="19">
        <v>0</v>
      </c>
      <c r="J1436" s="19">
        <v>0.12454847042314698</v>
      </c>
    </row>
    <row r="1437" spans="1:10" ht="11.25" customHeight="1" x14ac:dyDescent="0.2">
      <c r="A1437" s="28">
        <v>44593</v>
      </c>
      <c r="B1437" s="18">
        <v>7620</v>
      </c>
      <c r="C1437" s="18">
        <v>8569.0593446243802</v>
      </c>
      <c r="D1437" s="18">
        <v>0</v>
      </c>
      <c r="E1437" s="18">
        <v>0</v>
      </c>
      <c r="F1437" s="18">
        <v>0</v>
      </c>
      <c r="G1437" s="18">
        <v>0</v>
      </c>
      <c r="H1437" s="19">
        <v>0.12454847042314698</v>
      </c>
      <c r="I1437" s="19">
        <v>0</v>
      </c>
      <c r="J1437" s="19">
        <v>0.12454847042314698</v>
      </c>
    </row>
    <row r="1438" spans="1:10" ht="11.25" customHeight="1" x14ac:dyDescent="0.2">
      <c r="A1438" s="28">
        <v>44621</v>
      </c>
      <c r="B1438" s="18">
        <v>7620</v>
      </c>
      <c r="C1438" s="18">
        <v>8569.0593446243802</v>
      </c>
      <c r="D1438" s="18">
        <v>0</v>
      </c>
      <c r="E1438" s="18">
        <v>0</v>
      </c>
      <c r="F1438" s="18">
        <v>0</v>
      </c>
      <c r="G1438" s="18">
        <v>0</v>
      </c>
      <c r="H1438" s="19">
        <v>0.12454847042314698</v>
      </c>
      <c r="I1438" s="19">
        <v>0</v>
      </c>
      <c r="J1438" s="19">
        <v>0.12454847042314698</v>
      </c>
    </row>
    <row r="1439" spans="1:10" ht="11.25" customHeight="1" x14ac:dyDescent="0.2">
      <c r="A1439" s="28">
        <v>44652</v>
      </c>
      <c r="B1439" s="18">
        <v>7620</v>
      </c>
      <c r="C1439" s="18">
        <v>8569.0593446243802</v>
      </c>
      <c r="D1439" s="18">
        <v>0</v>
      </c>
      <c r="E1439" s="18">
        <v>0</v>
      </c>
      <c r="F1439" s="18">
        <v>0</v>
      </c>
      <c r="G1439" s="18">
        <v>0</v>
      </c>
      <c r="H1439" s="19">
        <v>0.12454847042314698</v>
      </c>
      <c r="I1439" s="19">
        <v>0</v>
      </c>
      <c r="J1439" s="19">
        <v>0.12454847042314698</v>
      </c>
    </row>
    <row r="1440" spans="1:10" ht="11.25" customHeight="1" x14ac:dyDescent="0.2">
      <c r="A1440" s="28">
        <v>44682</v>
      </c>
      <c r="B1440" s="18">
        <v>7620</v>
      </c>
      <c r="C1440" s="18">
        <v>8569.0593446243802</v>
      </c>
      <c r="D1440" s="18">
        <v>0</v>
      </c>
      <c r="E1440" s="18">
        <v>0</v>
      </c>
      <c r="F1440" s="18">
        <v>0</v>
      </c>
      <c r="G1440" s="18">
        <v>0</v>
      </c>
      <c r="H1440" s="19">
        <v>0.12454847042314698</v>
      </c>
      <c r="I1440" s="19">
        <v>0</v>
      </c>
      <c r="J1440" s="19">
        <v>0.12454847042314698</v>
      </c>
    </row>
    <row r="1441" spans="1:10" ht="11.25" customHeight="1" x14ac:dyDescent="0.2">
      <c r="A1441" s="26" t="s">
        <v>90</v>
      </c>
      <c r="B1441" s="18">
        <v>76809.60000000002</v>
      </c>
      <c r="C1441" s="18">
        <v>86376.118193813745</v>
      </c>
      <c r="D1441" s="18">
        <v>0</v>
      </c>
      <c r="E1441" s="18">
        <v>0</v>
      </c>
      <c r="F1441" s="18">
        <v>0</v>
      </c>
      <c r="G1441" s="18">
        <v>0</v>
      </c>
      <c r="H1441" s="19">
        <v>0.12454847042314654</v>
      </c>
      <c r="I1441" s="19">
        <v>0</v>
      </c>
      <c r="J1441" s="19">
        <v>0.12454847042314654</v>
      </c>
    </row>
    <row r="1442" spans="1:10" ht="11.25" customHeight="1" x14ac:dyDescent="0.2">
      <c r="A1442" s="27" t="s">
        <v>25</v>
      </c>
      <c r="B1442" s="18">
        <v>76809.60000000002</v>
      </c>
      <c r="C1442" s="18">
        <v>86376.118193813745</v>
      </c>
      <c r="D1442" s="18">
        <v>0</v>
      </c>
      <c r="E1442" s="18">
        <v>0</v>
      </c>
      <c r="F1442" s="18">
        <v>0</v>
      </c>
      <c r="G1442" s="18">
        <v>0</v>
      </c>
      <c r="H1442" s="19">
        <v>0.12454847042314654</v>
      </c>
      <c r="I1442" s="19">
        <v>0</v>
      </c>
      <c r="J1442" s="19">
        <v>0.12454847042314654</v>
      </c>
    </row>
    <row r="1443" spans="1:10" ht="11.25" customHeight="1" x14ac:dyDescent="0.2">
      <c r="A1443" s="28">
        <v>44348</v>
      </c>
      <c r="B1443" s="18">
        <v>6400.8</v>
      </c>
      <c r="C1443" s="18">
        <v>7198.0098494844788</v>
      </c>
      <c r="D1443" s="18">
        <v>0</v>
      </c>
      <c r="E1443" s="18">
        <v>0</v>
      </c>
      <c r="F1443" s="18">
        <v>0</v>
      </c>
      <c r="G1443" s="18">
        <v>0</v>
      </c>
      <c r="H1443" s="19">
        <v>0.12454847042314698</v>
      </c>
      <c r="I1443" s="19">
        <v>0</v>
      </c>
      <c r="J1443" s="19">
        <v>0.12454847042314698</v>
      </c>
    </row>
    <row r="1444" spans="1:10" ht="11.25" customHeight="1" x14ac:dyDescent="0.2">
      <c r="A1444" s="28">
        <v>44378</v>
      </c>
      <c r="B1444" s="18">
        <v>6400.8</v>
      </c>
      <c r="C1444" s="18">
        <v>7198.0098494844788</v>
      </c>
      <c r="D1444" s="18">
        <v>0</v>
      </c>
      <c r="E1444" s="18">
        <v>0</v>
      </c>
      <c r="F1444" s="18">
        <v>0</v>
      </c>
      <c r="G1444" s="18">
        <v>0</v>
      </c>
      <c r="H1444" s="19">
        <v>0.12454847042314698</v>
      </c>
      <c r="I1444" s="19">
        <v>0</v>
      </c>
      <c r="J1444" s="19">
        <v>0.12454847042314698</v>
      </c>
    </row>
    <row r="1445" spans="1:10" ht="11.25" customHeight="1" x14ac:dyDescent="0.2">
      <c r="A1445" s="28">
        <v>44409</v>
      </c>
      <c r="B1445" s="18">
        <v>6400.8</v>
      </c>
      <c r="C1445" s="18">
        <v>7198.0098494844788</v>
      </c>
      <c r="D1445" s="18">
        <v>0</v>
      </c>
      <c r="E1445" s="18">
        <v>0</v>
      </c>
      <c r="F1445" s="18">
        <v>0</v>
      </c>
      <c r="G1445" s="18">
        <v>0</v>
      </c>
      <c r="H1445" s="19">
        <v>0.12454847042314698</v>
      </c>
      <c r="I1445" s="19">
        <v>0</v>
      </c>
      <c r="J1445" s="19">
        <v>0.12454847042314698</v>
      </c>
    </row>
    <row r="1446" spans="1:10" ht="11.25" customHeight="1" x14ac:dyDescent="0.2">
      <c r="A1446" s="28">
        <v>44440</v>
      </c>
      <c r="B1446" s="18">
        <v>6400.8</v>
      </c>
      <c r="C1446" s="18">
        <v>7198.0098494844788</v>
      </c>
      <c r="D1446" s="18">
        <v>0</v>
      </c>
      <c r="E1446" s="18">
        <v>0</v>
      </c>
      <c r="F1446" s="18">
        <v>0</v>
      </c>
      <c r="G1446" s="18">
        <v>0</v>
      </c>
      <c r="H1446" s="19">
        <v>0.12454847042314698</v>
      </c>
      <c r="I1446" s="19">
        <v>0</v>
      </c>
      <c r="J1446" s="19">
        <v>0.12454847042314698</v>
      </c>
    </row>
    <row r="1447" spans="1:10" ht="11.25" customHeight="1" x14ac:dyDescent="0.2">
      <c r="A1447" s="28">
        <v>44470</v>
      </c>
      <c r="B1447" s="18">
        <v>6400.8</v>
      </c>
      <c r="C1447" s="18">
        <v>7198.0098494844788</v>
      </c>
      <c r="D1447" s="18">
        <v>0</v>
      </c>
      <c r="E1447" s="18">
        <v>0</v>
      </c>
      <c r="F1447" s="18">
        <v>0</v>
      </c>
      <c r="G1447" s="18">
        <v>0</v>
      </c>
      <c r="H1447" s="19">
        <v>0.12454847042314698</v>
      </c>
      <c r="I1447" s="19">
        <v>0</v>
      </c>
      <c r="J1447" s="19">
        <v>0.12454847042314698</v>
      </c>
    </row>
    <row r="1448" spans="1:10" ht="11.25" customHeight="1" x14ac:dyDescent="0.2">
      <c r="A1448" s="28">
        <v>44501</v>
      </c>
      <c r="B1448" s="18">
        <v>6400.8</v>
      </c>
      <c r="C1448" s="18">
        <v>7198.0098494844788</v>
      </c>
      <c r="D1448" s="18">
        <v>0</v>
      </c>
      <c r="E1448" s="18">
        <v>0</v>
      </c>
      <c r="F1448" s="18">
        <v>0</v>
      </c>
      <c r="G1448" s="18">
        <v>0</v>
      </c>
      <c r="H1448" s="19">
        <v>0.12454847042314698</v>
      </c>
      <c r="I1448" s="19">
        <v>0</v>
      </c>
      <c r="J1448" s="19">
        <v>0.12454847042314698</v>
      </c>
    </row>
    <row r="1449" spans="1:10" ht="11.25" customHeight="1" x14ac:dyDescent="0.2">
      <c r="A1449" s="28">
        <v>44531</v>
      </c>
      <c r="B1449" s="18">
        <v>6400.8</v>
      </c>
      <c r="C1449" s="18">
        <v>7198.0098494844788</v>
      </c>
      <c r="D1449" s="18">
        <v>0</v>
      </c>
      <c r="E1449" s="18">
        <v>0</v>
      </c>
      <c r="F1449" s="18">
        <v>0</v>
      </c>
      <c r="G1449" s="18">
        <v>0</v>
      </c>
      <c r="H1449" s="19">
        <v>0.12454847042314698</v>
      </c>
      <c r="I1449" s="19">
        <v>0</v>
      </c>
      <c r="J1449" s="19">
        <v>0.12454847042314698</v>
      </c>
    </row>
    <row r="1450" spans="1:10" ht="11.25" customHeight="1" x14ac:dyDescent="0.2">
      <c r="A1450" s="28">
        <v>44562</v>
      </c>
      <c r="B1450" s="18">
        <v>6400.8</v>
      </c>
      <c r="C1450" s="18">
        <v>7198.0098494844788</v>
      </c>
      <c r="D1450" s="18">
        <v>0</v>
      </c>
      <c r="E1450" s="18">
        <v>0</v>
      </c>
      <c r="F1450" s="18">
        <v>0</v>
      </c>
      <c r="G1450" s="18">
        <v>0</v>
      </c>
      <c r="H1450" s="19">
        <v>0.12454847042314698</v>
      </c>
      <c r="I1450" s="19">
        <v>0</v>
      </c>
      <c r="J1450" s="19">
        <v>0.12454847042314698</v>
      </c>
    </row>
    <row r="1451" spans="1:10" ht="11.25" customHeight="1" x14ac:dyDescent="0.2">
      <c r="A1451" s="28">
        <v>44593</v>
      </c>
      <c r="B1451" s="18">
        <v>6400.8</v>
      </c>
      <c r="C1451" s="18">
        <v>7198.0098494844788</v>
      </c>
      <c r="D1451" s="18">
        <v>0</v>
      </c>
      <c r="E1451" s="18">
        <v>0</v>
      </c>
      <c r="F1451" s="18">
        <v>0</v>
      </c>
      <c r="G1451" s="18">
        <v>0</v>
      </c>
      <c r="H1451" s="19">
        <v>0.12454847042314698</v>
      </c>
      <c r="I1451" s="19">
        <v>0</v>
      </c>
      <c r="J1451" s="19">
        <v>0.12454847042314698</v>
      </c>
    </row>
    <row r="1452" spans="1:10" ht="11.25" customHeight="1" x14ac:dyDescent="0.2">
      <c r="A1452" s="28">
        <v>44621</v>
      </c>
      <c r="B1452" s="18">
        <v>6400.8</v>
      </c>
      <c r="C1452" s="18">
        <v>7198.0098494844788</v>
      </c>
      <c r="D1452" s="18">
        <v>0</v>
      </c>
      <c r="E1452" s="18">
        <v>0</v>
      </c>
      <c r="F1452" s="18">
        <v>0</v>
      </c>
      <c r="G1452" s="18">
        <v>0</v>
      </c>
      <c r="H1452" s="19">
        <v>0.12454847042314698</v>
      </c>
      <c r="I1452" s="19">
        <v>0</v>
      </c>
      <c r="J1452" s="19">
        <v>0.12454847042314698</v>
      </c>
    </row>
    <row r="1453" spans="1:10" ht="11.25" customHeight="1" x14ac:dyDescent="0.2">
      <c r="A1453" s="28">
        <v>44652</v>
      </c>
      <c r="B1453" s="18">
        <v>6400.8</v>
      </c>
      <c r="C1453" s="18">
        <v>7198.0098494844788</v>
      </c>
      <c r="D1453" s="18">
        <v>0</v>
      </c>
      <c r="E1453" s="18">
        <v>0</v>
      </c>
      <c r="F1453" s="18">
        <v>0</v>
      </c>
      <c r="G1453" s="18">
        <v>0</v>
      </c>
      <c r="H1453" s="19">
        <v>0.12454847042314698</v>
      </c>
      <c r="I1453" s="19">
        <v>0</v>
      </c>
      <c r="J1453" s="19">
        <v>0.12454847042314698</v>
      </c>
    </row>
    <row r="1454" spans="1:10" ht="11.25" customHeight="1" x14ac:dyDescent="0.2">
      <c r="A1454" s="28">
        <v>44682</v>
      </c>
      <c r="B1454" s="18">
        <v>6400.8</v>
      </c>
      <c r="C1454" s="18">
        <v>7198.0098494844788</v>
      </c>
      <c r="D1454" s="18">
        <v>0</v>
      </c>
      <c r="E1454" s="18">
        <v>0</v>
      </c>
      <c r="F1454" s="18">
        <v>0</v>
      </c>
      <c r="G1454" s="18">
        <v>0</v>
      </c>
      <c r="H1454" s="19">
        <v>0.12454847042314698</v>
      </c>
      <c r="I1454" s="19">
        <v>0</v>
      </c>
      <c r="J1454" s="19">
        <v>0.12454847042314698</v>
      </c>
    </row>
    <row r="1455" spans="1:10" ht="11.25" customHeight="1" x14ac:dyDescent="0.2">
      <c r="A1455" s="26" t="s">
        <v>98</v>
      </c>
      <c r="B1455" s="18">
        <v>274838.16000000003</v>
      </c>
      <c r="C1455" s="18">
        <v>309068.83244191221</v>
      </c>
      <c r="D1455" s="18">
        <v>0</v>
      </c>
      <c r="E1455" s="18">
        <v>0</v>
      </c>
      <c r="F1455" s="18">
        <v>0</v>
      </c>
      <c r="G1455" s="18">
        <v>0</v>
      </c>
      <c r="H1455" s="19">
        <v>0.12454847042314721</v>
      </c>
      <c r="I1455" s="19">
        <v>0</v>
      </c>
      <c r="J1455" s="19">
        <v>0.12454847042314721</v>
      </c>
    </row>
    <row r="1456" spans="1:10" ht="11.25" customHeight="1" x14ac:dyDescent="0.2">
      <c r="A1456" s="27" t="s">
        <v>25</v>
      </c>
      <c r="B1456" s="18">
        <v>274838.16000000003</v>
      </c>
      <c r="C1456" s="18">
        <v>309068.83244191221</v>
      </c>
      <c r="D1456" s="18">
        <v>0</v>
      </c>
      <c r="E1456" s="18">
        <v>0</v>
      </c>
      <c r="F1456" s="18">
        <v>0</v>
      </c>
      <c r="G1456" s="18">
        <v>0</v>
      </c>
      <c r="H1456" s="19">
        <v>0.12454847042314721</v>
      </c>
      <c r="I1456" s="19">
        <v>0</v>
      </c>
      <c r="J1456" s="19">
        <v>0.12454847042314721</v>
      </c>
    </row>
    <row r="1457" spans="1:10" ht="11.25" customHeight="1" x14ac:dyDescent="0.2">
      <c r="A1457" s="28">
        <v>44348</v>
      </c>
      <c r="B1457" s="18">
        <v>22860</v>
      </c>
      <c r="C1457" s="18">
        <v>25707.178033873141</v>
      </c>
      <c r="D1457" s="18">
        <v>0</v>
      </c>
      <c r="E1457" s="18">
        <v>0</v>
      </c>
      <c r="F1457" s="18">
        <v>0</v>
      </c>
      <c r="G1457" s="18">
        <v>0</v>
      </c>
      <c r="H1457" s="19">
        <v>0.12454847042314698</v>
      </c>
      <c r="I1457" s="19">
        <v>0</v>
      </c>
      <c r="J1457" s="19">
        <v>0.12454847042314698</v>
      </c>
    </row>
    <row r="1458" spans="1:10" ht="11.25" customHeight="1" x14ac:dyDescent="0.2">
      <c r="A1458" s="28">
        <v>44378</v>
      </c>
      <c r="B1458" s="18">
        <v>22860</v>
      </c>
      <c r="C1458" s="18">
        <v>25707.178033873141</v>
      </c>
      <c r="D1458" s="18">
        <v>0</v>
      </c>
      <c r="E1458" s="18">
        <v>0</v>
      </c>
      <c r="F1458" s="18">
        <v>0</v>
      </c>
      <c r="G1458" s="18">
        <v>0</v>
      </c>
      <c r="H1458" s="19">
        <v>0.12454847042314698</v>
      </c>
      <c r="I1458" s="19">
        <v>0</v>
      </c>
      <c r="J1458" s="19">
        <v>0.12454847042314698</v>
      </c>
    </row>
    <row r="1459" spans="1:10" ht="11.25" customHeight="1" x14ac:dyDescent="0.2">
      <c r="A1459" s="28">
        <v>44409</v>
      </c>
      <c r="B1459" s="18">
        <v>22860</v>
      </c>
      <c r="C1459" s="18">
        <v>25707.178033873141</v>
      </c>
      <c r="D1459" s="18">
        <v>0</v>
      </c>
      <c r="E1459" s="18">
        <v>0</v>
      </c>
      <c r="F1459" s="18">
        <v>0</v>
      </c>
      <c r="G1459" s="18">
        <v>0</v>
      </c>
      <c r="H1459" s="19">
        <v>0.12454847042314698</v>
      </c>
      <c r="I1459" s="19">
        <v>0</v>
      </c>
      <c r="J1459" s="19">
        <v>0.12454847042314698</v>
      </c>
    </row>
    <row r="1460" spans="1:10" ht="11.25" customHeight="1" x14ac:dyDescent="0.2">
      <c r="A1460" s="28">
        <v>44440</v>
      </c>
      <c r="B1460" s="18">
        <v>22860</v>
      </c>
      <c r="C1460" s="18">
        <v>25707.178033873141</v>
      </c>
      <c r="D1460" s="18">
        <v>0</v>
      </c>
      <c r="E1460" s="18">
        <v>0</v>
      </c>
      <c r="F1460" s="18">
        <v>0</v>
      </c>
      <c r="G1460" s="18">
        <v>0</v>
      </c>
      <c r="H1460" s="19">
        <v>0.12454847042314698</v>
      </c>
      <c r="I1460" s="19">
        <v>0</v>
      </c>
      <c r="J1460" s="19">
        <v>0.12454847042314698</v>
      </c>
    </row>
    <row r="1461" spans="1:10" ht="11.25" customHeight="1" x14ac:dyDescent="0.2">
      <c r="A1461" s="28">
        <v>44470</v>
      </c>
      <c r="B1461" s="18">
        <v>22860</v>
      </c>
      <c r="C1461" s="18">
        <v>25707.178033873141</v>
      </c>
      <c r="D1461" s="18">
        <v>0</v>
      </c>
      <c r="E1461" s="18">
        <v>0</v>
      </c>
      <c r="F1461" s="18">
        <v>0</v>
      </c>
      <c r="G1461" s="18">
        <v>0</v>
      </c>
      <c r="H1461" s="19">
        <v>0.12454847042314698</v>
      </c>
      <c r="I1461" s="19">
        <v>0</v>
      </c>
      <c r="J1461" s="19">
        <v>0.12454847042314698</v>
      </c>
    </row>
    <row r="1462" spans="1:10" ht="11.25" customHeight="1" x14ac:dyDescent="0.2">
      <c r="A1462" s="28">
        <v>44501</v>
      </c>
      <c r="B1462" s="18">
        <v>22860</v>
      </c>
      <c r="C1462" s="18">
        <v>25707.178033873141</v>
      </c>
      <c r="D1462" s="18">
        <v>0</v>
      </c>
      <c r="E1462" s="18">
        <v>0</v>
      </c>
      <c r="F1462" s="18">
        <v>0</v>
      </c>
      <c r="G1462" s="18">
        <v>0</v>
      </c>
      <c r="H1462" s="19">
        <v>0.12454847042314698</v>
      </c>
      <c r="I1462" s="19">
        <v>0</v>
      </c>
      <c r="J1462" s="19">
        <v>0.12454847042314698</v>
      </c>
    </row>
    <row r="1463" spans="1:10" ht="11.25" customHeight="1" x14ac:dyDescent="0.2">
      <c r="A1463" s="28">
        <v>44531</v>
      </c>
      <c r="B1463" s="18">
        <v>22943.82</v>
      </c>
      <c r="C1463" s="18">
        <v>25801.437686664009</v>
      </c>
      <c r="D1463" s="18">
        <v>0</v>
      </c>
      <c r="E1463" s="18">
        <v>0</v>
      </c>
      <c r="F1463" s="18">
        <v>0</v>
      </c>
      <c r="G1463" s="18">
        <v>0</v>
      </c>
      <c r="H1463" s="19">
        <v>0.12454847042314698</v>
      </c>
      <c r="I1463" s="19">
        <v>0</v>
      </c>
      <c r="J1463" s="19">
        <v>0.12454847042314698</v>
      </c>
    </row>
    <row r="1464" spans="1:10" ht="11.25" customHeight="1" x14ac:dyDescent="0.2">
      <c r="A1464" s="28">
        <v>44562</v>
      </c>
      <c r="B1464" s="18">
        <v>23050.5</v>
      </c>
      <c r="C1464" s="18">
        <v>25921.404517488751</v>
      </c>
      <c r="D1464" s="18">
        <v>0</v>
      </c>
      <c r="E1464" s="18">
        <v>0</v>
      </c>
      <c r="F1464" s="18">
        <v>0</v>
      </c>
      <c r="G1464" s="18">
        <v>0</v>
      </c>
      <c r="H1464" s="19">
        <v>0.12454847042314698</v>
      </c>
      <c r="I1464" s="19">
        <v>0</v>
      </c>
      <c r="J1464" s="19">
        <v>0.12454847042314698</v>
      </c>
    </row>
    <row r="1465" spans="1:10" ht="11.25" customHeight="1" x14ac:dyDescent="0.2">
      <c r="A1465" s="28">
        <v>44593</v>
      </c>
      <c r="B1465" s="18">
        <v>23103.84</v>
      </c>
      <c r="C1465" s="18">
        <v>25981.387932901122</v>
      </c>
      <c r="D1465" s="18">
        <v>0</v>
      </c>
      <c r="E1465" s="18">
        <v>0</v>
      </c>
      <c r="F1465" s="18">
        <v>0</v>
      </c>
      <c r="G1465" s="18">
        <v>0</v>
      </c>
      <c r="H1465" s="19">
        <v>0.12454847042314698</v>
      </c>
      <c r="I1465" s="19">
        <v>0</v>
      </c>
      <c r="J1465" s="19">
        <v>0.12454847042314698</v>
      </c>
    </row>
    <row r="1466" spans="1:10" ht="11.25" customHeight="1" x14ac:dyDescent="0.2">
      <c r="A1466" s="28">
        <v>44621</v>
      </c>
      <c r="B1466" s="18">
        <v>22860</v>
      </c>
      <c r="C1466" s="18">
        <v>25707.178033873141</v>
      </c>
      <c r="D1466" s="18">
        <v>0</v>
      </c>
      <c r="E1466" s="18">
        <v>0</v>
      </c>
      <c r="F1466" s="18">
        <v>0</v>
      </c>
      <c r="G1466" s="18">
        <v>0</v>
      </c>
      <c r="H1466" s="19">
        <v>0.12454847042314698</v>
      </c>
      <c r="I1466" s="19">
        <v>0</v>
      </c>
      <c r="J1466" s="19">
        <v>0.12454847042314698</v>
      </c>
    </row>
    <row r="1467" spans="1:10" ht="11.25" customHeight="1" x14ac:dyDescent="0.2">
      <c r="A1467" s="28">
        <v>44652</v>
      </c>
      <c r="B1467" s="18">
        <v>22860</v>
      </c>
      <c r="C1467" s="18">
        <v>25707.178033873141</v>
      </c>
      <c r="D1467" s="18">
        <v>0</v>
      </c>
      <c r="E1467" s="18">
        <v>0</v>
      </c>
      <c r="F1467" s="18">
        <v>0</v>
      </c>
      <c r="G1467" s="18">
        <v>0</v>
      </c>
      <c r="H1467" s="19">
        <v>0.12454847042314698</v>
      </c>
      <c r="I1467" s="19">
        <v>0</v>
      </c>
      <c r="J1467" s="19">
        <v>0.12454847042314698</v>
      </c>
    </row>
    <row r="1468" spans="1:10" ht="11.25" customHeight="1" x14ac:dyDescent="0.2">
      <c r="A1468" s="28">
        <v>44682</v>
      </c>
      <c r="B1468" s="18">
        <v>22860</v>
      </c>
      <c r="C1468" s="18">
        <v>25707.178033873141</v>
      </c>
      <c r="D1468" s="18">
        <v>0</v>
      </c>
      <c r="E1468" s="18">
        <v>0</v>
      </c>
      <c r="F1468" s="18">
        <v>0</v>
      </c>
      <c r="G1468" s="18">
        <v>0</v>
      </c>
      <c r="H1468" s="19">
        <v>0.12454847042314698</v>
      </c>
      <c r="I1468" s="19">
        <v>0</v>
      </c>
      <c r="J1468" s="19">
        <v>0.12454847042314698</v>
      </c>
    </row>
    <row r="1469" spans="1:10" ht="11.25" customHeight="1" x14ac:dyDescent="0.2">
      <c r="A1469" s="20" t="s">
        <v>60</v>
      </c>
      <c r="B1469" s="18">
        <v>31472469.738045197</v>
      </c>
      <c r="C1469" s="18">
        <v>36902726.335974939</v>
      </c>
      <c r="D1469" s="18">
        <v>35129595.916942149</v>
      </c>
      <c r="E1469" s="18">
        <v>51943694.027538612</v>
      </c>
      <c r="F1469" s="18">
        <v>0</v>
      </c>
      <c r="G1469" s="18">
        <v>0</v>
      </c>
      <c r="H1469" s="19">
        <v>0.33398896099944775</v>
      </c>
      <c r="I1469" s="19">
        <v>0</v>
      </c>
      <c r="J1469" s="19">
        <v>0.33398896099944775</v>
      </c>
    </row>
    <row r="1470" spans="1:10" ht="11.25" customHeight="1" x14ac:dyDescent="0.2">
      <c r="A1470" s="21" t="s">
        <v>59</v>
      </c>
      <c r="B1470" s="18">
        <v>2695656</v>
      </c>
      <c r="C1470" s="18">
        <v>3263053.4998259568</v>
      </c>
      <c r="D1470" s="18">
        <v>1900854.4017</v>
      </c>
      <c r="E1470" s="18">
        <v>2933969.7450742768</v>
      </c>
      <c r="F1470" s="18">
        <v>0</v>
      </c>
      <c r="G1470" s="18">
        <v>0</v>
      </c>
      <c r="H1470" s="19">
        <v>0.34820172333522659</v>
      </c>
      <c r="I1470" s="19">
        <v>0</v>
      </c>
      <c r="J1470" s="19">
        <v>0.34820172333522659</v>
      </c>
    </row>
    <row r="1471" spans="1:10" ht="11.25" customHeight="1" x14ac:dyDescent="0.2">
      <c r="A1471" s="22" t="s">
        <v>40</v>
      </c>
      <c r="B1471" s="18">
        <v>2695656</v>
      </c>
      <c r="C1471" s="18">
        <v>3263053.4998259568</v>
      </c>
      <c r="D1471" s="18">
        <v>1900854.4017</v>
      </c>
      <c r="E1471" s="18">
        <v>2933969.7450742768</v>
      </c>
      <c r="F1471" s="18">
        <v>0</v>
      </c>
      <c r="G1471" s="18">
        <v>0</v>
      </c>
      <c r="H1471" s="19">
        <v>0.34820172333522659</v>
      </c>
      <c r="I1471" s="19">
        <v>0</v>
      </c>
      <c r="J1471" s="19">
        <v>0.34820172333522659</v>
      </c>
    </row>
    <row r="1472" spans="1:10" ht="11.25" customHeight="1" x14ac:dyDescent="0.2">
      <c r="A1472" s="23" t="s">
        <v>38</v>
      </c>
      <c r="B1472" s="18">
        <v>2695656</v>
      </c>
      <c r="C1472" s="18">
        <v>3263053.4998259568</v>
      </c>
      <c r="D1472" s="18">
        <v>1900854.4017</v>
      </c>
      <c r="E1472" s="18">
        <v>2933969.7450742768</v>
      </c>
      <c r="F1472" s="18">
        <v>0</v>
      </c>
      <c r="G1472" s="18">
        <v>0</v>
      </c>
      <c r="H1472" s="19">
        <v>0.34820172333522659</v>
      </c>
      <c r="I1472" s="19">
        <v>0</v>
      </c>
      <c r="J1472" s="19">
        <v>0.34820172333522659</v>
      </c>
    </row>
    <row r="1473" spans="1:10" ht="11.25" customHeight="1" x14ac:dyDescent="0.2">
      <c r="A1473" s="24" t="s">
        <v>25</v>
      </c>
      <c r="B1473" s="18">
        <v>2695656</v>
      </c>
      <c r="C1473" s="18">
        <v>3263053.4998259568</v>
      </c>
      <c r="D1473" s="18">
        <v>1900854.4017</v>
      </c>
      <c r="E1473" s="18">
        <v>2933969.7450742768</v>
      </c>
      <c r="F1473" s="18">
        <v>0</v>
      </c>
      <c r="G1473" s="18">
        <v>0</v>
      </c>
      <c r="H1473" s="19">
        <v>0.34820172333522659</v>
      </c>
      <c r="I1473" s="19">
        <v>0</v>
      </c>
      <c r="J1473" s="19">
        <v>0.34820172333522659</v>
      </c>
    </row>
    <row r="1474" spans="1:10" ht="11.25" customHeight="1" x14ac:dyDescent="0.2">
      <c r="A1474" s="25" t="s">
        <v>25</v>
      </c>
      <c r="B1474" s="18">
        <v>2695656</v>
      </c>
      <c r="C1474" s="18">
        <v>3263053.4998259568</v>
      </c>
      <c r="D1474" s="18">
        <v>1900854.4017</v>
      </c>
      <c r="E1474" s="18">
        <v>2933969.7450742768</v>
      </c>
      <c r="F1474" s="18">
        <v>0</v>
      </c>
      <c r="G1474" s="18">
        <v>0</v>
      </c>
      <c r="H1474" s="19">
        <v>0.34820172333522659</v>
      </c>
      <c r="I1474" s="19">
        <v>0</v>
      </c>
      <c r="J1474" s="19">
        <v>0.34820172333522659</v>
      </c>
    </row>
    <row r="1475" spans="1:10" ht="11.25" customHeight="1" x14ac:dyDescent="0.2">
      <c r="A1475" s="26" t="s">
        <v>25</v>
      </c>
      <c r="B1475" s="18">
        <v>2695656</v>
      </c>
      <c r="C1475" s="18">
        <v>3263053.4998259568</v>
      </c>
      <c r="D1475" s="18">
        <v>1900854.4017</v>
      </c>
      <c r="E1475" s="18">
        <v>2933969.7450742768</v>
      </c>
      <c r="F1475" s="18">
        <v>0</v>
      </c>
      <c r="G1475" s="18">
        <v>0</v>
      </c>
      <c r="H1475" s="19">
        <v>0.34820172333522659</v>
      </c>
      <c r="I1475" s="19">
        <v>0</v>
      </c>
      <c r="J1475" s="19">
        <v>0.34820172333522659</v>
      </c>
    </row>
    <row r="1476" spans="1:10" ht="11.25" customHeight="1" x14ac:dyDescent="0.2">
      <c r="A1476" s="27" t="s">
        <v>35</v>
      </c>
      <c r="B1476" s="18">
        <v>1037232</v>
      </c>
      <c r="C1476" s="18">
        <v>1225435.9236902965</v>
      </c>
      <c r="D1476" s="18">
        <v>0</v>
      </c>
      <c r="E1476" s="18">
        <v>0</v>
      </c>
      <c r="F1476" s="18">
        <v>0</v>
      </c>
      <c r="G1476" s="18">
        <v>0</v>
      </c>
      <c r="H1476" s="19">
        <v>0.18144824271744064</v>
      </c>
      <c r="I1476" s="19">
        <v>0</v>
      </c>
      <c r="J1476" s="19">
        <v>0.18144824271744064</v>
      </c>
    </row>
    <row r="1477" spans="1:10" ht="11.25" customHeight="1" x14ac:dyDescent="0.2">
      <c r="A1477" s="28">
        <v>44348</v>
      </c>
      <c r="B1477" s="18">
        <v>86436</v>
      </c>
      <c r="C1477" s="18">
        <v>102119.66030752468</v>
      </c>
      <c r="D1477" s="18">
        <v>0</v>
      </c>
      <c r="E1477" s="18">
        <v>0</v>
      </c>
      <c r="F1477" s="18">
        <v>0</v>
      </c>
      <c r="G1477" s="18">
        <v>0</v>
      </c>
      <c r="H1477" s="19">
        <v>0.18144824271744042</v>
      </c>
      <c r="I1477" s="19">
        <v>0</v>
      </c>
      <c r="J1477" s="19">
        <v>0.18144824271744042</v>
      </c>
    </row>
    <row r="1478" spans="1:10" ht="11.25" customHeight="1" x14ac:dyDescent="0.2">
      <c r="A1478" s="28">
        <v>44378</v>
      </c>
      <c r="B1478" s="18">
        <v>86436</v>
      </c>
      <c r="C1478" s="18">
        <v>102119.66030752468</v>
      </c>
      <c r="D1478" s="18">
        <v>0</v>
      </c>
      <c r="E1478" s="18">
        <v>0</v>
      </c>
      <c r="F1478" s="18">
        <v>0</v>
      </c>
      <c r="G1478" s="18">
        <v>0</v>
      </c>
      <c r="H1478" s="19">
        <v>0.18144824271744042</v>
      </c>
      <c r="I1478" s="19">
        <v>0</v>
      </c>
      <c r="J1478" s="19">
        <v>0.18144824271744042</v>
      </c>
    </row>
    <row r="1479" spans="1:10" ht="11.25" customHeight="1" x14ac:dyDescent="0.2">
      <c r="A1479" s="28">
        <v>44409</v>
      </c>
      <c r="B1479" s="18">
        <v>86436</v>
      </c>
      <c r="C1479" s="18">
        <v>102119.66030752468</v>
      </c>
      <c r="D1479" s="18">
        <v>0</v>
      </c>
      <c r="E1479" s="18">
        <v>0</v>
      </c>
      <c r="F1479" s="18">
        <v>0</v>
      </c>
      <c r="G1479" s="18">
        <v>0</v>
      </c>
      <c r="H1479" s="19">
        <v>0.18144824271744042</v>
      </c>
      <c r="I1479" s="19">
        <v>0</v>
      </c>
      <c r="J1479" s="19">
        <v>0.18144824271744042</v>
      </c>
    </row>
    <row r="1480" spans="1:10" ht="11.25" customHeight="1" x14ac:dyDescent="0.2">
      <c r="A1480" s="28">
        <v>44440</v>
      </c>
      <c r="B1480" s="18">
        <v>86436</v>
      </c>
      <c r="C1480" s="18">
        <v>102119.66030752468</v>
      </c>
      <c r="D1480" s="18">
        <v>0</v>
      </c>
      <c r="E1480" s="18">
        <v>0</v>
      </c>
      <c r="F1480" s="18">
        <v>0</v>
      </c>
      <c r="G1480" s="18">
        <v>0</v>
      </c>
      <c r="H1480" s="19">
        <v>0.18144824271744042</v>
      </c>
      <c r="I1480" s="19">
        <v>0</v>
      </c>
      <c r="J1480" s="19">
        <v>0.18144824271744042</v>
      </c>
    </row>
    <row r="1481" spans="1:10" ht="11.25" customHeight="1" x14ac:dyDescent="0.2">
      <c r="A1481" s="28">
        <v>44470</v>
      </c>
      <c r="B1481" s="18">
        <v>86436</v>
      </c>
      <c r="C1481" s="18">
        <v>102119.66030752468</v>
      </c>
      <c r="D1481" s="18">
        <v>0</v>
      </c>
      <c r="E1481" s="18">
        <v>0</v>
      </c>
      <c r="F1481" s="18">
        <v>0</v>
      </c>
      <c r="G1481" s="18">
        <v>0</v>
      </c>
      <c r="H1481" s="19">
        <v>0.18144824271744042</v>
      </c>
      <c r="I1481" s="19">
        <v>0</v>
      </c>
      <c r="J1481" s="19">
        <v>0.18144824271744042</v>
      </c>
    </row>
    <row r="1482" spans="1:10" ht="11.25" customHeight="1" x14ac:dyDescent="0.2">
      <c r="A1482" s="28">
        <v>44501</v>
      </c>
      <c r="B1482" s="18">
        <v>86436</v>
      </c>
      <c r="C1482" s="18">
        <v>102119.66030752468</v>
      </c>
      <c r="D1482" s="18">
        <v>0</v>
      </c>
      <c r="E1482" s="18">
        <v>0</v>
      </c>
      <c r="F1482" s="18">
        <v>0</v>
      </c>
      <c r="G1482" s="18">
        <v>0</v>
      </c>
      <c r="H1482" s="19">
        <v>0.18144824271744042</v>
      </c>
      <c r="I1482" s="19">
        <v>0</v>
      </c>
      <c r="J1482" s="19">
        <v>0.18144824271744042</v>
      </c>
    </row>
    <row r="1483" spans="1:10" ht="11.25" customHeight="1" x14ac:dyDescent="0.2">
      <c r="A1483" s="28">
        <v>44531</v>
      </c>
      <c r="B1483" s="18">
        <v>86436</v>
      </c>
      <c r="C1483" s="18">
        <v>102119.66030752468</v>
      </c>
      <c r="D1483" s="18">
        <v>0</v>
      </c>
      <c r="E1483" s="18">
        <v>0</v>
      </c>
      <c r="F1483" s="18">
        <v>0</v>
      </c>
      <c r="G1483" s="18">
        <v>0</v>
      </c>
      <c r="H1483" s="19">
        <v>0.18144824271744042</v>
      </c>
      <c r="I1483" s="19">
        <v>0</v>
      </c>
      <c r="J1483" s="19">
        <v>0.18144824271744042</v>
      </c>
    </row>
    <row r="1484" spans="1:10" ht="11.25" customHeight="1" x14ac:dyDescent="0.2">
      <c r="A1484" s="28">
        <v>44562</v>
      </c>
      <c r="B1484" s="18">
        <v>86436</v>
      </c>
      <c r="C1484" s="18">
        <v>102119.66030752468</v>
      </c>
      <c r="D1484" s="18">
        <v>0</v>
      </c>
      <c r="E1484" s="18">
        <v>0</v>
      </c>
      <c r="F1484" s="18">
        <v>0</v>
      </c>
      <c r="G1484" s="18">
        <v>0</v>
      </c>
      <c r="H1484" s="19">
        <v>0.18144824271744042</v>
      </c>
      <c r="I1484" s="19">
        <v>0</v>
      </c>
      <c r="J1484" s="19">
        <v>0.18144824271744042</v>
      </c>
    </row>
    <row r="1485" spans="1:10" ht="11.25" customHeight="1" x14ac:dyDescent="0.2">
      <c r="A1485" s="28">
        <v>44593</v>
      </c>
      <c r="B1485" s="18">
        <v>86436</v>
      </c>
      <c r="C1485" s="18">
        <v>102119.66030752468</v>
      </c>
      <c r="D1485" s="18">
        <v>0</v>
      </c>
      <c r="E1485" s="18">
        <v>0</v>
      </c>
      <c r="F1485" s="18">
        <v>0</v>
      </c>
      <c r="G1485" s="18">
        <v>0</v>
      </c>
      <c r="H1485" s="19">
        <v>0.18144824271744042</v>
      </c>
      <c r="I1485" s="19">
        <v>0</v>
      </c>
      <c r="J1485" s="19">
        <v>0.18144824271744042</v>
      </c>
    </row>
    <row r="1486" spans="1:10" ht="11.25" customHeight="1" x14ac:dyDescent="0.2">
      <c r="A1486" s="28">
        <v>44621</v>
      </c>
      <c r="B1486" s="18">
        <v>86436</v>
      </c>
      <c r="C1486" s="18">
        <v>102119.66030752468</v>
      </c>
      <c r="D1486" s="18">
        <v>0</v>
      </c>
      <c r="E1486" s="18">
        <v>0</v>
      </c>
      <c r="F1486" s="18">
        <v>0</v>
      </c>
      <c r="G1486" s="18">
        <v>0</v>
      </c>
      <c r="H1486" s="19">
        <v>0.18144824271744042</v>
      </c>
      <c r="I1486" s="19">
        <v>0</v>
      </c>
      <c r="J1486" s="19">
        <v>0.18144824271744042</v>
      </c>
    </row>
    <row r="1487" spans="1:10" ht="11.25" customHeight="1" x14ac:dyDescent="0.2">
      <c r="A1487" s="28">
        <v>44652</v>
      </c>
      <c r="B1487" s="18">
        <v>86436</v>
      </c>
      <c r="C1487" s="18">
        <v>102119.66030752468</v>
      </c>
      <c r="D1487" s="18">
        <v>0</v>
      </c>
      <c r="E1487" s="18">
        <v>0</v>
      </c>
      <c r="F1487" s="18">
        <v>0</v>
      </c>
      <c r="G1487" s="18">
        <v>0</v>
      </c>
      <c r="H1487" s="19">
        <v>0.18144824271744042</v>
      </c>
      <c r="I1487" s="19">
        <v>0</v>
      </c>
      <c r="J1487" s="19">
        <v>0.18144824271744042</v>
      </c>
    </row>
    <row r="1488" spans="1:10" ht="11.25" customHeight="1" x14ac:dyDescent="0.2">
      <c r="A1488" s="28">
        <v>44682</v>
      </c>
      <c r="B1488" s="18">
        <v>86436</v>
      </c>
      <c r="C1488" s="18">
        <v>102119.66030752468</v>
      </c>
      <c r="D1488" s="18">
        <v>0</v>
      </c>
      <c r="E1488" s="18">
        <v>0</v>
      </c>
      <c r="F1488" s="18">
        <v>0</v>
      </c>
      <c r="G1488" s="18">
        <v>0</v>
      </c>
      <c r="H1488" s="19">
        <v>0.18144824271744042</v>
      </c>
      <c r="I1488" s="19">
        <v>0</v>
      </c>
      <c r="J1488" s="19">
        <v>0.18144824271744042</v>
      </c>
    </row>
    <row r="1489" spans="1:10" ht="11.25" customHeight="1" x14ac:dyDescent="0.2">
      <c r="A1489" s="27" t="s">
        <v>25</v>
      </c>
      <c r="B1489" s="18">
        <v>0</v>
      </c>
      <c r="C1489" s="18">
        <v>0</v>
      </c>
      <c r="D1489" s="18">
        <v>1900854.4017</v>
      </c>
      <c r="E1489" s="18">
        <v>2933969.7450742768</v>
      </c>
      <c r="F1489" s="18">
        <v>0</v>
      </c>
      <c r="G1489" s="18">
        <v>0</v>
      </c>
      <c r="H1489" s="19">
        <v>0.54350051347979433</v>
      </c>
      <c r="I1489" s="19">
        <v>0</v>
      </c>
      <c r="J1489" s="19">
        <v>0.54350051347979433</v>
      </c>
    </row>
    <row r="1490" spans="1:10" ht="11.25" customHeight="1" x14ac:dyDescent="0.2">
      <c r="A1490" s="28">
        <v>44348</v>
      </c>
      <c r="B1490" s="18">
        <v>0</v>
      </c>
      <c r="C1490" s="18">
        <v>0</v>
      </c>
      <c r="D1490" s="18">
        <v>162199.84169999999</v>
      </c>
      <c r="E1490" s="18">
        <v>250355.53895029129</v>
      </c>
      <c r="F1490" s="18">
        <v>0</v>
      </c>
      <c r="G1490" s="18">
        <v>0</v>
      </c>
      <c r="H1490" s="19">
        <v>0.54350051347979411</v>
      </c>
      <c r="I1490" s="19">
        <v>0</v>
      </c>
      <c r="J1490" s="19">
        <v>0.54350051347979411</v>
      </c>
    </row>
    <row r="1491" spans="1:10" ht="11.25" customHeight="1" x14ac:dyDescent="0.2">
      <c r="A1491" s="28">
        <v>44378</v>
      </c>
      <c r="B1491" s="18">
        <v>0</v>
      </c>
      <c r="C1491" s="18">
        <v>0</v>
      </c>
      <c r="D1491" s="18">
        <v>156322.88214</v>
      </c>
      <c r="E1491" s="18">
        <v>241284.44885173134</v>
      </c>
      <c r="F1491" s="18">
        <v>0</v>
      </c>
      <c r="G1491" s="18">
        <v>0</v>
      </c>
      <c r="H1491" s="19">
        <v>0.54350051347979411</v>
      </c>
      <c r="I1491" s="19">
        <v>0</v>
      </c>
      <c r="J1491" s="19">
        <v>0.54350051347979411</v>
      </c>
    </row>
    <row r="1492" spans="1:10" ht="11.25" customHeight="1" x14ac:dyDescent="0.2">
      <c r="A1492" s="28">
        <v>44409</v>
      </c>
      <c r="B1492" s="18">
        <v>0</v>
      </c>
      <c r="C1492" s="18">
        <v>0</v>
      </c>
      <c r="D1492" s="18">
        <v>164533.97160000002</v>
      </c>
      <c r="E1492" s="18">
        <v>253958.26964946988</v>
      </c>
      <c r="F1492" s="18">
        <v>0</v>
      </c>
      <c r="G1492" s="18">
        <v>0</v>
      </c>
      <c r="H1492" s="19">
        <v>0.54350051347979411</v>
      </c>
      <c r="I1492" s="19">
        <v>0</v>
      </c>
      <c r="J1492" s="19">
        <v>0.54350051347979411</v>
      </c>
    </row>
    <row r="1493" spans="1:10" ht="11.25" customHeight="1" x14ac:dyDescent="0.2">
      <c r="A1493" s="28">
        <v>44440</v>
      </c>
      <c r="B1493" s="18">
        <v>0</v>
      </c>
      <c r="C1493" s="18">
        <v>0</v>
      </c>
      <c r="D1493" s="18">
        <v>149221.42488000001</v>
      </c>
      <c r="E1493" s="18">
        <v>230323.3459244665</v>
      </c>
      <c r="F1493" s="18">
        <v>0</v>
      </c>
      <c r="G1493" s="18">
        <v>0</v>
      </c>
      <c r="H1493" s="19">
        <v>0.54350051347979389</v>
      </c>
      <c r="I1493" s="19">
        <v>0</v>
      </c>
      <c r="J1493" s="19">
        <v>0.54350051347979389</v>
      </c>
    </row>
    <row r="1494" spans="1:10" ht="11.25" customHeight="1" x14ac:dyDescent="0.2">
      <c r="A1494" s="28">
        <v>44470</v>
      </c>
      <c r="B1494" s="18">
        <v>0</v>
      </c>
      <c r="C1494" s="18">
        <v>0</v>
      </c>
      <c r="D1494" s="18">
        <v>142614.92778</v>
      </c>
      <c r="E1494" s="18">
        <v>220126.21425831376</v>
      </c>
      <c r="F1494" s="18">
        <v>0</v>
      </c>
      <c r="G1494" s="18">
        <v>0</v>
      </c>
      <c r="H1494" s="19">
        <v>0.54350051347979411</v>
      </c>
      <c r="I1494" s="19">
        <v>0</v>
      </c>
      <c r="J1494" s="19">
        <v>0.54350051347979411</v>
      </c>
    </row>
    <row r="1495" spans="1:10" ht="11.25" customHeight="1" x14ac:dyDescent="0.2">
      <c r="A1495" s="28">
        <v>44501</v>
      </c>
      <c r="B1495" s="18">
        <v>0</v>
      </c>
      <c r="C1495" s="18">
        <v>0</v>
      </c>
      <c r="D1495" s="18">
        <v>165096.65519999998</v>
      </c>
      <c r="E1495" s="18">
        <v>254826.77207499652</v>
      </c>
      <c r="F1495" s="18">
        <v>0</v>
      </c>
      <c r="G1495" s="18">
        <v>0</v>
      </c>
      <c r="H1495" s="19">
        <v>0.54350051347979433</v>
      </c>
      <c r="I1495" s="19">
        <v>0</v>
      </c>
      <c r="J1495" s="19">
        <v>0.54350051347979433</v>
      </c>
    </row>
    <row r="1496" spans="1:10" ht="11.25" customHeight="1" x14ac:dyDescent="0.2">
      <c r="A1496" s="28">
        <v>44531</v>
      </c>
      <c r="B1496" s="18">
        <v>0</v>
      </c>
      <c r="C1496" s="18">
        <v>0</v>
      </c>
      <c r="D1496" s="18">
        <v>174227.04629999999</v>
      </c>
      <c r="E1496" s="18">
        <v>268919.53542611783</v>
      </c>
      <c r="F1496" s="18">
        <v>0</v>
      </c>
      <c r="G1496" s="18">
        <v>0</v>
      </c>
      <c r="H1496" s="19">
        <v>0.54350051347979411</v>
      </c>
      <c r="I1496" s="19">
        <v>0</v>
      </c>
      <c r="J1496" s="19">
        <v>0.54350051347979411</v>
      </c>
    </row>
    <row r="1497" spans="1:10" ht="11.25" customHeight="1" x14ac:dyDescent="0.2">
      <c r="A1497" s="28">
        <v>44562</v>
      </c>
      <c r="B1497" s="18">
        <v>0</v>
      </c>
      <c r="C1497" s="18">
        <v>0</v>
      </c>
      <c r="D1497" s="18">
        <v>173487.62718000001</v>
      </c>
      <c r="E1497" s="18">
        <v>267778.24163472111</v>
      </c>
      <c r="F1497" s="18">
        <v>0</v>
      </c>
      <c r="G1497" s="18">
        <v>0</v>
      </c>
      <c r="H1497" s="19">
        <v>0.54350051347979411</v>
      </c>
      <c r="I1497" s="19">
        <v>0</v>
      </c>
      <c r="J1497" s="19">
        <v>0.54350051347979411</v>
      </c>
    </row>
    <row r="1498" spans="1:10" ht="11.25" customHeight="1" x14ac:dyDescent="0.2">
      <c r="A1498" s="28">
        <v>44593</v>
      </c>
      <c r="B1498" s="18">
        <v>0</v>
      </c>
      <c r="C1498" s="18">
        <v>0</v>
      </c>
      <c r="D1498" s="18">
        <v>153865.95630000002</v>
      </c>
      <c r="E1498" s="18">
        <v>237492.18255610959</v>
      </c>
      <c r="F1498" s="18">
        <v>0</v>
      </c>
      <c r="G1498" s="18">
        <v>0</v>
      </c>
      <c r="H1498" s="19">
        <v>0.54350051347979411</v>
      </c>
      <c r="I1498" s="19">
        <v>0</v>
      </c>
      <c r="J1498" s="19">
        <v>0.54350051347979411</v>
      </c>
    </row>
    <row r="1499" spans="1:10" ht="11.25" customHeight="1" x14ac:dyDescent="0.2">
      <c r="A1499" s="28">
        <v>44621</v>
      </c>
      <c r="B1499" s="18">
        <v>0</v>
      </c>
      <c r="C1499" s="18">
        <v>0</v>
      </c>
      <c r="D1499" s="18">
        <v>136028.25677999997</v>
      </c>
      <c r="E1499" s="18">
        <v>209959.68418769128</v>
      </c>
      <c r="F1499" s="18">
        <v>0</v>
      </c>
      <c r="G1499" s="18">
        <v>0</v>
      </c>
      <c r="H1499" s="19">
        <v>0.54350051347979456</v>
      </c>
      <c r="I1499" s="19">
        <v>0</v>
      </c>
      <c r="J1499" s="19">
        <v>0.54350051347979456</v>
      </c>
    </row>
    <row r="1500" spans="1:10" ht="11.25" customHeight="1" x14ac:dyDescent="0.2">
      <c r="A1500" s="28">
        <v>44652</v>
      </c>
      <c r="B1500" s="18">
        <v>0</v>
      </c>
      <c r="C1500" s="18">
        <v>0</v>
      </c>
      <c r="D1500" s="18">
        <v>161627.90592000002</v>
      </c>
      <c r="E1500" s="18">
        <v>249472.75578018388</v>
      </c>
      <c r="F1500" s="18">
        <v>0</v>
      </c>
      <c r="G1500" s="18">
        <v>0</v>
      </c>
      <c r="H1500" s="19">
        <v>0.54350051347979411</v>
      </c>
      <c r="I1500" s="19">
        <v>0</v>
      </c>
      <c r="J1500" s="19">
        <v>0.54350051347979411</v>
      </c>
    </row>
    <row r="1501" spans="1:10" ht="11.25" customHeight="1" x14ac:dyDescent="0.2">
      <c r="A1501" s="28">
        <v>44682</v>
      </c>
      <c r="B1501" s="18">
        <v>0</v>
      </c>
      <c r="C1501" s="18">
        <v>0</v>
      </c>
      <c r="D1501" s="18">
        <v>161627.90592000002</v>
      </c>
      <c r="E1501" s="18">
        <v>249472.75578018388</v>
      </c>
      <c r="F1501" s="18">
        <v>0</v>
      </c>
      <c r="G1501" s="18">
        <v>0</v>
      </c>
      <c r="H1501" s="19">
        <v>0.54350051347979411</v>
      </c>
      <c r="I1501" s="19">
        <v>0</v>
      </c>
      <c r="J1501" s="19">
        <v>0.54350051347979411</v>
      </c>
    </row>
    <row r="1502" spans="1:10" ht="11.25" customHeight="1" x14ac:dyDescent="0.2">
      <c r="A1502" s="27" t="s">
        <v>34</v>
      </c>
      <c r="B1502" s="18">
        <v>1658424</v>
      </c>
      <c r="C1502" s="18">
        <v>2037617.5761356589</v>
      </c>
      <c r="D1502" s="18">
        <v>0</v>
      </c>
      <c r="E1502" s="18">
        <v>0</v>
      </c>
      <c r="F1502" s="18">
        <v>0</v>
      </c>
      <c r="G1502" s="18">
        <v>0</v>
      </c>
      <c r="H1502" s="19">
        <v>0.22864694199773927</v>
      </c>
      <c r="I1502" s="19">
        <v>0</v>
      </c>
      <c r="J1502" s="19">
        <v>0.22864694199773927</v>
      </c>
    </row>
    <row r="1503" spans="1:10" ht="11.25" customHeight="1" x14ac:dyDescent="0.2">
      <c r="A1503" s="28">
        <v>44348</v>
      </c>
      <c r="B1503" s="18">
        <v>138202</v>
      </c>
      <c r="C1503" s="18">
        <v>169801.46467797161</v>
      </c>
      <c r="D1503" s="18">
        <v>0</v>
      </c>
      <c r="E1503" s="18">
        <v>0</v>
      </c>
      <c r="F1503" s="18">
        <v>0</v>
      </c>
      <c r="G1503" s="18">
        <v>0</v>
      </c>
      <c r="H1503" s="19">
        <v>0.22864694199773972</v>
      </c>
      <c r="I1503" s="19">
        <v>0</v>
      </c>
      <c r="J1503" s="19">
        <v>0.22864694199773972</v>
      </c>
    </row>
    <row r="1504" spans="1:10" ht="11.25" customHeight="1" x14ac:dyDescent="0.2">
      <c r="A1504" s="28">
        <v>44378</v>
      </c>
      <c r="B1504" s="18">
        <v>138202</v>
      </c>
      <c r="C1504" s="18">
        <v>169801.46467797161</v>
      </c>
      <c r="D1504" s="18">
        <v>0</v>
      </c>
      <c r="E1504" s="18">
        <v>0</v>
      </c>
      <c r="F1504" s="18">
        <v>0</v>
      </c>
      <c r="G1504" s="18">
        <v>0</v>
      </c>
      <c r="H1504" s="19">
        <v>0.22864694199773972</v>
      </c>
      <c r="I1504" s="19">
        <v>0</v>
      </c>
      <c r="J1504" s="19">
        <v>0.22864694199773972</v>
      </c>
    </row>
    <row r="1505" spans="1:10" ht="11.25" customHeight="1" x14ac:dyDescent="0.2">
      <c r="A1505" s="28">
        <v>44409</v>
      </c>
      <c r="B1505" s="18">
        <v>138202</v>
      </c>
      <c r="C1505" s="18">
        <v>169801.46467797161</v>
      </c>
      <c r="D1505" s="18">
        <v>0</v>
      </c>
      <c r="E1505" s="18">
        <v>0</v>
      </c>
      <c r="F1505" s="18">
        <v>0</v>
      </c>
      <c r="G1505" s="18">
        <v>0</v>
      </c>
      <c r="H1505" s="19">
        <v>0.22864694199773972</v>
      </c>
      <c r="I1505" s="19">
        <v>0</v>
      </c>
      <c r="J1505" s="19">
        <v>0.22864694199773972</v>
      </c>
    </row>
    <row r="1506" spans="1:10" ht="11.25" customHeight="1" x14ac:dyDescent="0.2">
      <c r="A1506" s="28">
        <v>44440</v>
      </c>
      <c r="B1506" s="18">
        <v>138202</v>
      </c>
      <c r="C1506" s="18">
        <v>169801.46467797161</v>
      </c>
      <c r="D1506" s="18">
        <v>0</v>
      </c>
      <c r="E1506" s="18">
        <v>0</v>
      </c>
      <c r="F1506" s="18">
        <v>0</v>
      </c>
      <c r="G1506" s="18">
        <v>0</v>
      </c>
      <c r="H1506" s="19">
        <v>0.22864694199773972</v>
      </c>
      <c r="I1506" s="19">
        <v>0</v>
      </c>
      <c r="J1506" s="19">
        <v>0.22864694199773972</v>
      </c>
    </row>
    <row r="1507" spans="1:10" ht="11.25" customHeight="1" x14ac:dyDescent="0.2">
      <c r="A1507" s="28">
        <v>44470</v>
      </c>
      <c r="B1507" s="18">
        <v>138202</v>
      </c>
      <c r="C1507" s="18">
        <v>169801.46467797161</v>
      </c>
      <c r="D1507" s="18">
        <v>0</v>
      </c>
      <c r="E1507" s="18">
        <v>0</v>
      </c>
      <c r="F1507" s="18">
        <v>0</v>
      </c>
      <c r="G1507" s="18">
        <v>0</v>
      </c>
      <c r="H1507" s="19">
        <v>0.22864694199773972</v>
      </c>
      <c r="I1507" s="19">
        <v>0</v>
      </c>
      <c r="J1507" s="19">
        <v>0.22864694199773972</v>
      </c>
    </row>
    <row r="1508" spans="1:10" ht="11.25" customHeight="1" x14ac:dyDescent="0.2">
      <c r="A1508" s="28">
        <v>44501</v>
      </c>
      <c r="B1508" s="18">
        <v>138202</v>
      </c>
      <c r="C1508" s="18">
        <v>169801.46467797161</v>
      </c>
      <c r="D1508" s="18">
        <v>0</v>
      </c>
      <c r="E1508" s="18">
        <v>0</v>
      </c>
      <c r="F1508" s="18">
        <v>0</v>
      </c>
      <c r="G1508" s="18">
        <v>0</v>
      </c>
      <c r="H1508" s="19">
        <v>0.22864694199773972</v>
      </c>
      <c r="I1508" s="19">
        <v>0</v>
      </c>
      <c r="J1508" s="19">
        <v>0.22864694199773972</v>
      </c>
    </row>
    <row r="1509" spans="1:10" ht="11.25" customHeight="1" x14ac:dyDescent="0.2">
      <c r="A1509" s="28">
        <v>44531</v>
      </c>
      <c r="B1509" s="18">
        <v>138202</v>
      </c>
      <c r="C1509" s="18">
        <v>169801.46467797161</v>
      </c>
      <c r="D1509" s="18">
        <v>0</v>
      </c>
      <c r="E1509" s="18">
        <v>0</v>
      </c>
      <c r="F1509" s="18">
        <v>0</v>
      </c>
      <c r="G1509" s="18">
        <v>0</v>
      </c>
      <c r="H1509" s="19">
        <v>0.22864694199773972</v>
      </c>
      <c r="I1509" s="19">
        <v>0</v>
      </c>
      <c r="J1509" s="19">
        <v>0.22864694199773972</v>
      </c>
    </row>
    <row r="1510" spans="1:10" ht="11.25" customHeight="1" x14ac:dyDescent="0.2">
      <c r="A1510" s="28">
        <v>44562</v>
      </c>
      <c r="B1510" s="18">
        <v>138202</v>
      </c>
      <c r="C1510" s="18">
        <v>169801.46467797161</v>
      </c>
      <c r="D1510" s="18">
        <v>0</v>
      </c>
      <c r="E1510" s="18">
        <v>0</v>
      </c>
      <c r="F1510" s="18">
        <v>0</v>
      </c>
      <c r="G1510" s="18">
        <v>0</v>
      </c>
      <c r="H1510" s="19">
        <v>0.22864694199773972</v>
      </c>
      <c r="I1510" s="19">
        <v>0</v>
      </c>
      <c r="J1510" s="19">
        <v>0.22864694199773972</v>
      </c>
    </row>
    <row r="1511" spans="1:10" ht="11.25" customHeight="1" x14ac:dyDescent="0.2">
      <c r="A1511" s="28">
        <v>44593</v>
      </c>
      <c r="B1511" s="18">
        <v>138202</v>
      </c>
      <c r="C1511" s="18">
        <v>169801.46467797161</v>
      </c>
      <c r="D1511" s="18">
        <v>0</v>
      </c>
      <c r="E1511" s="18">
        <v>0</v>
      </c>
      <c r="F1511" s="18">
        <v>0</v>
      </c>
      <c r="G1511" s="18">
        <v>0</v>
      </c>
      <c r="H1511" s="19">
        <v>0.22864694199773972</v>
      </c>
      <c r="I1511" s="19">
        <v>0</v>
      </c>
      <c r="J1511" s="19">
        <v>0.22864694199773972</v>
      </c>
    </row>
    <row r="1512" spans="1:10" ht="11.25" customHeight="1" x14ac:dyDescent="0.2">
      <c r="A1512" s="28">
        <v>44621</v>
      </c>
      <c r="B1512" s="18">
        <v>138202</v>
      </c>
      <c r="C1512" s="18">
        <v>169801.46467797161</v>
      </c>
      <c r="D1512" s="18">
        <v>0</v>
      </c>
      <c r="E1512" s="18">
        <v>0</v>
      </c>
      <c r="F1512" s="18">
        <v>0</v>
      </c>
      <c r="G1512" s="18">
        <v>0</v>
      </c>
      <c r="H1512" s="19">
        <v>0.22864694199773972</v>
      </c>
      <c r="I1512" s="19">
        <v>0</v>
      </c>
      <c r="J1512" s="19">
        <v>0.22864694199773972</v>
      </c>
    </row>
    <row r="1513" spans="1:10" ht="11.25" customHeight="1" x14ac:dyDescent="0.2">
      <c r="A1513" s="28">
        <v>44652</v>
      </c>
      <c r="B1513" s="18">
        <v>138202</v>
      </c>
      <c r="C1513" s="18">
        <v>169801.46467797161</v>
      </c>
      <c r="D1513" s="18">
        <v>0</v>
      </c>
      <c r="E1513" s="18">
        <v>0</v>
      </c>
      <c r="F1513" s="18">
        <v>0</v>
      </c>
      <c r="G1513" s="18">
        <v>0</v>
      </c>
      <c r="H1513" s="19">
        <v>0.22864694199773972</v>
      </c>
      <c r="I1513" s="19">
        <v>0</v>
      </c>
      <c r="J1513" s="19">
        <v>0.22864694199773972</v>
      </c>
    </row>
    <row r="1514" spans="1:10" ht="11.25" customHeight="1" x14ac:dyDescent="0.2">
      <c r="A1514" s="28">
        <v>44682</v>
      </c>
      <c r="B1514" s="18">
        <v>138202</v>
      </c>
      <c r="C1514" s="18">
        <v>169801.46467797161</v>
      </c>
      <c r="D1514" s="18">
        <v>0</v>
      </c>
      <c r="E1514" s="18">
        <v>0</v>
      </c>
      <c r="F1514" s="18">
        <v>0</v>
      </c>
      <c r="G1514" s="18">
        <v>0</v>
      </c>
      <c r="H1514" s="19">
        <v>0.22864694199773972</v>
      </c>
      <c r="I1514" s="19">
        <v>0</v>
      </c>
      <c r="J1514" s="19">
        <v>0.22864694199773972</v>
      </c>
    </row>
    <row r="1515" spans="1:10" ht="11.25" customHeight="1" x14ac:dyDescent="0.2">
      <c r="A1515" s="21" t="s">
        <v>39</v>
      </c>
      <c r="B1515" s="18">
        <v>5705702.5500000007</v>
      </c>
      <c r="C1515" s="18">
        <v>6904513.5186886806</v>
      </c>
      <c r="D1515" s="18">
        <v>6442318.3567600008</v>
      </c>
      <c r="E1515" s="18">
        <v>9905267.8066765126</v>
      </c>
      <c r="F1515" s="18">
        <v>0</v>
      </c>
      <c r="G1515" s="18">
        <v>0</v>
      </c>
      <c r="H1515" s="19">
        <v>0.38374649289672069</v>
      </c>
      <c r="I1515" s="19">
        <v>0</v>
      </c>
      <c r="J1515" s="19">
        <v>0.38374649289672069</v>
      </c>
    </row>
    <row r="1516" spans="1:10" ht="11.25" customHeight="1" x14ac:dyDescent="0.2">
      <c r="A1516" s="22" t="s">
        <v>40</v>
      </c>
      <c r="B1516" s="18">
        <v>5705702.5500000007</v>
      </c>
      <c r="C1516" s="18">
        <v>6904513.5186886806</v>
      </c>
      <c r="D1516" s="18">
        <v>6442318.3567600008</v>
      </c>
      <c r="E1516" s="18">
        <v>9905267.8066765126</v>
      </c>
      <c r="F1516" s="18">
        <v>0</v>
      </c>
      <c r="G1516" s="18">
        <v>0</v>
      </c>
      <c r="H1516" s="19">
        <v>0.38374649289672069</v>
      </c>
      <c r="I1516" s="19">
        <v>0</v>
      </c>
      <c r="J1516" s="19">
        <v>0.38374649289672069</v>
      </c>
    </row>
    <row r="1517" spans="1:10" ht="11.25" customHeight="1" x14ac:dyDescent="0.2">
      <c r="A1517" s="23" t="s">
        <v>38</v>
      </c>
      <c r="B1517" s="18">
        <v>5705702.5500000007</v>
      </c>
      <c r="C1517" s="18">
        <v>6904513.5186886806</v>
      </c>
      <c r="D1517" s="18">
        <v>6442318.3567600008</v>
      </c>
      <c r="E1517" s="18">
        <v>9905267.8066765126</v>
      </c>
      <c r="F1517" s="18">
        <v>0</v>
      </c>
      <c r="G1517" s="18">
        <v>0</v>
      </c>
      <c r="H1517" s="19">
        <v>0.38374649289672069</v>
      </c>
      <c r="I1517" s="19">
        <v>0</v>
      </c>
      <c r="J1517" s="19">
        <v>0.38374649289672069</v>
      </c>
    </row>
    <row r="1518" spans="1:10" ht="11.25" customHeight="1" x14ac:dyDescent="0.2">
      <c r="A1518" s="24" t="s">
        <v>25</v>
      </c>
      <c r="B1518" s="18">
        <v>5705702.5500000007</v>
      </c>
      <c r="C1518" s="18">
        <v>6904513.5186886806</v>
      </c>
      <c r="D1518" s="18">
        <v>6442318.3567600008</v>
      </c>
      <c r="E1518" s="18">
        <v>9905267.8066765126</v>
      </c>
      <c r="F1518" s="18">
        <v>0</v>
      </c>
      <c r="G1518" s="18">
        <v>0</v>
      </c>
      <c r="H1518" s="19">
        <v>0.38374649289672069</v>
      </c>
      <c r="I1518" s="19">
        <v>0</v>
      </c>
      <c r="J1518" s="19">
        <v>0.38374649289672069</v>
      </c>
    </row>
    <row r="1519" spans="1:10" ht="11.25" customHeight="1" x14ac:dyDescent="0.2">
      <c r="A1519" s="25" t="s">
        <v>25</v>
      </c>
      <c r="B1519" s="18">
        <v>5705702.5500000007</v>
      </c>
      <c r="C1519" s="18">
        <v>6904513.5186886806</v>
      </c>
      <c r="D1519" s="18">
        <v>6442318.3567600008</v>
      </c>
      <c r="E1519" s="18">
        <v>9905267.8066765126</v>
      </c>
      <c r="F1519" s="18">
        <v>0</v>
      </c>
      <c r="G1519" s="18">
        <v>0</v>
      </c>
      <c r="H1519" s="19">
        <v>0.38374649289672069</v>
      </c>
      <c r="I1519" s="19">
        <v>0</v>
      </c>
      <c r="J1519" s="19">
        <v>0.38374649289672069</v>
      </c>
    </row>
    <row r="1520" spans="1:10" ht="11.25" customHeight="1" x14ac:dyDescent="0.2">
      <c r="A1520" s="26" t="s">
        <v>25</v>
      </c>
      <c r="B1520" s="18">
        <v>5705702.5500000007</v>
      </c>
      <c r="C1520" s="18">
        <v>6904513.5186886806</v>
      </c>
      <c r="D1520" s="18">
        <v>6442318.3567600008</v>
      </c>
      <c r="E1520" s="18">
        <v>9905267.8066765126</v>
      </c>
      <c r="F1520" s="18">
        <v>0</v>
      </c>
      <c r="G1520" s="18">
        <v>0</v>
      </c>
      <c r="H1520" s="19">
        <v>0.38374649289672069</v>
      </c>
      <c r="I1520" s="19">
        <v>0</v>
      </c>
      <c r="J1520" s="19">
        <v>0.38374649289672069</v>
      </c>
    </row>
    <row r="1521" spans="1:10" ht="11.25" customHeight="1" x14ac:dyDescent="0.2">
      <c r="A1521" s="27" t="s">
        <v>35</v>
      </c>
      <c r="B1521" s="18">
        <v>1616590.44</v>
      </c>
      <c r="C1521" s="18">
        <v>2023304.7204717312</v>
      </c>
      <c r="D1521" s="18">
        <v>0</v>
      </c>
      <c r="E1521" s="18">
        <v>0</v>
      </c>
      <c r="F1521" s="18">
        <v>0</v>
      </c>
      <c r="G1521" s="18">
        <v>0</v>
      </c>
      <c r="H1521" s="19">
        <v>0.25158770608078762</v>
      </c>
      <c r="I1521" s="19">
        <v>0</v>
      </c>
      <c r="J1521" s="19">
        <v>0.25158770608078762</v>
      </c>
    </row>
    <row r="1522" spans="1:10" ht="11.25" customHeight="1" x14ac:dyDescent="0.2">
      <c r="A1522" s="28">
        <v>44348</v>
      </c>
      <c r="B1522" s="18">
        <v>123379.92</v>
      </c>
      <c r="C1522" s="18">
        <v>154420.79104923108</v>
      </c>
      <c r="D1522" s="18">
        <v>0</v>
      </c>
      <c r="E1522" s="18">
        <v>0</v>
      </c>
      <c r="F1522" s="18">
        <v>0</v>
      </c>
      <c r="G1522" s="18">
        <v>0</v>
      </c>
      <c r="H1522" s="19">
        <v>0.25158770608078762</v>
      </c>
      <c r="I1522" s="19">
        <v>0</v>
      </c>
      <c r="J1522" s="19">
        <v>0.25158770608078762</v>
      </c>
    </row>
    <row r="1523" spans="1:10" ht="11.25" customHeight="1" x14ac:dyDescent="0.2">
      <c r="A1523" s="28">
        <v>44378</v>
      </c>
      <c r="B1523" s="18">
        <v>123678.48</v>
      </c>
      <c r="C1523" s="18">
        <v>154794.46507475854</v>
      </c>
      <c r="D1523" s="18">
        <v>0</v>
      </c>
      <c r="E1523" s="18">
        <v>0</v>
      </c>
      <c r="F1523" s="18">
        <v>0</v>
      </c>
      <c r="G1523" s="18">
        <v>0</v>
      </c>
      <c r="H1523" s="19">
        <v>0.2515877060807874</v>
      </c>
      <c r="I1523" s="19">
        <v>0</v>
      </c>
      <c r="J1523" s="19">
        <v>0.2515877060807874</v>
      </c>
    </row>
    <row r="1524" spans="1:10" ht="11.25" customHeight="1" x14ac:dyDescent="0.2">
      <c r="A1524" s="28">
        <v>44409</v>
      </c>
      <c r="B1524" s="18">
        <v>124340.91</v>
      </c>
      <c r="C1524" s="18">
        <v>155623.55431889763</v>
      </c>
      <c r="D1524" s="18">
        <v>0</v>
      </c>
      <c r="E1524" s="18">
        <v>0</v>
      </c>
      <c r="F1524" s="18">
        <v>0</v>
      </c>
      <c r="G1524" s="18">
        <v>0</v>
      </c>
      <c r="H1524" s="19">
        <v>0.2515877060807874</v>
      </c>
      <c r="I1524" s="19">
        <v>0</v>
      </c>
      <c r="J1524" s="19">
        <v>0.2515877060807874</v>
      </c>
    </row>
    <row r="1525" spans="1:10" ht="11.25" customHeight="1" x14ac:dyDescent="0.2">
      <c r="A1525" s="28">
        <v>44440</v>
      </c>
      <c r="B1525" s="18">
        <v>125376.54000000001</v>
      </c>
      <c r="C1525" s="18">
        <v>156919.7360949461</v>
      </c>
      <c r="D1525" s="18">
        <v>0</v>
      </c>
      <c r="E1525" s="18">
        <v>0</v>
      </c>
      <c r="F1525" s="18">
        <v>0</v>
      </c>
      <c r="G1525" s="18">
        <v>0</v>
      </c>
      <c r="H1525" s="19">
        <v>0.2515877060807874</v>
      </c>
      <c r="I1525" s="19">
        <v>0</v>
      </c>
      <c r="J1525" s="19">
        <v>0.2515877060807874</v>
      </c>
    </row>
    <row r="1526" spans="1:10" ht="11.25" customHeight="1" x14ac:dyDescent="0.2">
      <c r="A1526" s="28">
        <v>44470</v>
      </c>
      <c r="B1526" s="18">
        <v>125208.6</v>
      </c>
      <c r="C1526" s="18">
        <v>156709.54445558687</v>
      </c>
      <c r="D1526" s="18">
        <v>0</v>
      </c>
      <c r="E1526" s="18">
        <v>0</v>
      </c>
      <c r="F1526" s="18">
        <v>0</v>
      </c>
      <c r="G1526" s="18">
        <v>0</v>
      </c>
      <c r="H1526" s="19">
        <v>0.2515877060807874</v>
      </c>
      <c r="I1526" s="19">
        <v>0</v>
      </c>
      <c r="J1526" s="19">
        <v>0.2515877060807874</v>
      </c>
    </row>
    <row r="1527" spans="1:10" ht="11.25" customHeight="1" x14ac:dyDescent="0.2">
      <c r="A1527" s="28">
        <v>44501</v>
      </c>
      <c r="B1527" s="18">
        <v>127718.37</v>
      </c>
      <c r="C1527" s="18">
        <v>159850.74173267727</v>
      </c>
      <c r="D1527" s="18">
        <v>0</v>
      </c>
      <c r="E1527" s="18">
        <v>0</v>
      </c>
      <c r="F1527" s="18">
        <v>0</v>
      </c>
      <c r="G1527" s="18">
        <v>0</v>
      </c>
      <c r="H1527" s="19">
        <v>0.25158770608078762</v>
      </c>
      <c r="I1527" s="19">
        <v>0</v>
      </c>
      <c r="J1527" s="19">
        <v>0.25158770608078762</v>
      </c>
    </row>
    <row r="1528" spans="1:10" ht="11.25" customHeight="1" x14ac:dyDescent="0.2">
      <c r="A1528" s="28">
        <v>44531</v>
      </c>
      <c r="B1528" s="18">
        <v>126094.95</v>
      </c>
      <c r="C1528" s="18">
        <v>157818.8892188716</v>
      </c>
      <c r="D1528" s="18">
        <v>0</v>
      </c>
      <c r="E1528" s="18">
        <v>0</v>
      </c>
      <c r="F1528" s="18">
        <v>0</v>
      </c>
      <c r="G1528" s="18">
        <v>0</v>
      </c>
      <c r="H1528" s="19">
        <v>0.25158770608078762</v>
      </c>
      <c r="I1528" s="19">
        <v>0</v>
      </c>
      <c r="J1528" s="19">
        <v>0.25158770608078762</v>
      </c>
    </row>
    <row r="1529" spans="1:10" ht="11.25" customHeight="1" x14ac:dyDescent="0.2">
      <c r="A1529" s="28">
        <v>44562</v>
      </c>
      <c r="B1529" s="18">
        <v>125861.7</v>
      </c>
      <c r="C1529" s="18">
        <v>157526.95638642824</v>
      </c>
      <c r="D1529" s="18">
        <v>0</v>
      </c>
      <c r="E1529" s="18">
        <v>0</v>
      </c>
      <c r="F1529" s="18">
        <v>0</v>
      </c>
      <c r="G1529" s="18">
        <v>0</v>
      </c>
      <c r="H1529" s="19">
        <v>0.2515877060807874</v>
      </c>
      <c r="I1529" s="19">
        <v>0</v>
      </c>
      <c r="J1529" s="19">
        <v>0.2515877060807874</v>
      </c>
    </row>
    <row r="1530" spans="1:10" ht="11.25" customHeight="1" x14ac:dyDescent="0.2">
      <c r="A1530" s="28">
        <v>44593</v>
      </c>
      <c r="B1530" s="18">
        <v>151920.39000000001</v>
      </c>
      <c r="C1530" s="18">
        <v>190141.6924269986</v>
      </c>
      <c r="D1530" s="18">
        <v>0</v>
      </c>
      <c r="E1530" s="18">
        <v>0</v>
      </c>
      <c r="F1530" s="18">
        <v>0</v>
      </c>
      <c r="G1530" s="18">
        <v>0</v>
      </c>
      <c r="H1530" s="19">
        <v>0.2515877060807874</v>
      </c>
      <c r="I1530" s="19">
        <v>0</v>
      </c>
      <c r="J1530" s="19">
        <v>0.2515877060807874</v>
      </c>
    </row>
    <row r="1531" spans="1:10" ht="11.25" customHeight="1" x14ac:dyDescent="0.2">
      <c r="A1531" s="28">
        <v>44621</v>
      </c>
      <c r="B1531" s="18">
        <v>153366.54</v>
      </c>
      <c r="C1531" s="18">
        <v>191951.67598814733</v>
      </c>
      <c r="D1531" s="18">
        <v>0</v>
      </c>
      <c r="E1531" s="18">
        <v>0</v>
      </c>
      <c r="F1531" s="18">
        <v>0</v>
      </c>
      <c r="G1531" s="18">
        <v>0</v>
      </c>
      <c r="H1531" s="19">
        <v>0.2515877060807874</v>
      </c>
      <c r="I1531" s="19">
        <v>0</v>
      </c>
      <c r="J1531" s="19">
        <v>0.2515877060807874</v>
      </c>
    </row>
    <row r="1532" spans="1:10" ht="11.25" customHeight="1" x14ac:dyDescent="0.2">
      <c r="A1532" s="28">
        <v>44652</v>
      </c>
      <c r="B1532" s="18">
        <v>154822.01999999999</v>
      </c>
      <c r="C1532" s="18">
        <v>193773.3368625938</v>
      </c>
      <c r="D1532" s="18">
        <v>0</v>
      </c>
      <c r="E1532" s="18">
        <v>0</v>
      </c>
      <c r="F1532" s="18">
        <v>0</v>
      </c>
      <c r="G1532" s="18">
        <v>0</v>
      </c>
      <c r="H1532" s="19">
        <v>0.25158770608078762</v>
      </c>
      <c r="I1532" s="19">
        <v>0</v>
      </c>
      <c r="J1532" s="19">
        <v>0.25158770608078762</v>
      </c>
    </row>
    <row r="1533" spans="1:10" ht="11.25" customHeight="1" x14ac:dyDescent="0.2">
      <c r="A1533" s="28">
        <v>44682</v>
      </c>
      <c r="B1533" s="18">
        <v>154822.01999999999</v>
      </c>
      <c r="C1533" s="18">
        <v>193773.3368625938</v>
      </c>
      <c r="D1533" s="18">
        <v>0</v>
      </c>
      <c r="E1533" s="18">
        <v>0</v>
      </c>
      <c r="F1533" s="18">
        <v>0</v>
      </c>
      <c r="G1533" s="18">
        <v>0</v>
      </c>
      <c r="H1533" s="19">
        <v>0.25158770608078762</v>
      </c>
      <c r="I1533" s="19">
        <v>0</v>
      </c>
      <c r="J1533" s="19">
        <v>0.25158770608078762</v>
      </c>
    </row>
    <row r="1534" spans="1:10" ht="11.25" customHeight="1" x14ac:dyDescent="0.2">
      <c r="A1534" s="27" t="s">
        <v>25</v>
      </c>
      <c r="B1534" s="18">
        <v>0</v>
      </c>
      <c r="C1534" s="18">
        <v>0</v>
      </c>
      <c r="D1534" s="18">
        <v>6442318.3567600008</v>
      </c>
      <c r="E1534" s="18">
        <v>9905267.8066765126</v>
      </c>
      <c r="F1534" s="18">
        <v>0</v>
      </c>
      <c r="G1534" s="18">
        <v>0</v>
      </c>
      <c r="H1534" s="19">
        <v>0.5375315621095933</v>
      </c>
      <c r="I1534" s="19">
        <v>0</v>
      </c>
      <c r="J1534" s="19">
        <v>0.5375315621095933</v>
      </c>
    </row>
    <row r="1535" spans="1:10" ht="11.25" customHeight="1" x14ac:dyDescent="0.2">
      <c r="A1535" s="28">
        <v>44348</v>
      </c>
      <c r="B1535" s="18">
        <v>0</v>
      </c>
      <c r="C1535" s="18">
        <v>0</v>
      </c>
      <c r="D1535" s="18">
        <v>522607.56262000004</v>
      </c>
      <c r="E1535" s="18">
        <v>803525.62212541571</v>
      </c>
      <c r="F1535" s="18">
        <v>0</v>
      </c>
      <c r="G1535" s="18">
        <v>0</v>
      </c>
      <c r="H1535" s="19">
        <v>0.5375315621095933</v>
      </c>
      <c r="I1535" s="19">
        <v>0</v>
      </c>
      <c r="J1535" s="19">
        <v>0.5375315621095933</v>
      </c>
    </row>
    <row r="1536" spans="1:10" ht="11.25" customHeight="1" x14ac:dyDescent="0.2">
      <c r="A1536" s="28">
        <v>44378</v>
      </c>
      <c r="B1536" s="18">
        <v>0</v>
      </c>
      <c r="C1536" s="18">
        <v>0</v>
      </c>
      <c r="D1536" s="18">
        <v>497502.16516000003</v>
      </c>
      <c r="E1536" s="18">
        <v>764925.28115135978</v>
      </c>
      <c r="F1536" s="18">
        <v>0</v>
      </c>
      <c r="G1536" s="18">
        <v>0</v>
      </c>
      <c r="H1536" s="19">
        <v>0.5375315621095933</v>
      </c>
      <c r="I1536" s="19">
        <v>0</v>
      </c>
      <c r="J1536" s="19">
        <v>0.5375315621095933</v>
      </c>
    </row>
    <row r="1537" spans="1:10" ht="11.25" customHeight="1" x14ac:dyDescent="0.2">
      <c r="A1537" s="28">
        <v>44409</v>
      </c>
      <c r="B1537" s="18">
        <v>0</v>
      </c>
      <c r="C1537" s="18">
        <v>0</v>
      </c>
      <c r="D1537" s="18">
        <v>540826.9781200001</v>
      </c>
      <c r="E1537" s="18">
        <v>831538.54849985451</v>
      </c>
      <c r="F1537" s="18">
        <v>0</v>
      </c>
      <c r="G1537" s="18">
        <v>0</v>
      </c>
      <c r="H1537" s="19">
        <v>0.53753156210959308</v>
      </c>
      <c r="I1537" s="19">
        <v>0</v>
      </c>
      <c r="J1537" s="19">
        <v>0.53753156210959308</v>
      </c>
    </row>
    <row r="1538" spans="1:10" ht="11.25" customHeight="1" x14ac:dyDescent="0.2">
      <c r="A1538" s="28">
        <v>44440</v>
      </c>
      <c r="B1538" s="18">
        <v>0</v>
      </c>
      <c r="C1538" s="18">
        <v>0</v>
      </c>
      <c r="D1538" s="18">
        <v>546697.77734000003</v>
      </c>
      <c r="E1538" s="18">
        <v>840565.08759541286</v>
      </c>
      <c r="F1538" s="18">
        <v>0</v>
      </c>
      <c r="G1538" s="18">
        <v>0</v>
      </c>
      <c r="H1538" s="19">
        <v>0.5375315621095933</v>
      </c>
      <c r="I1538" s="19">
        <v>0</v>
      </c>
      <c r="J1538" s="19">
        <v>0.5375315621095933</v>
      </c>
    </row>
    <row r="1539" spans="1:10" ht="11.25" customHeight="1" x14ac:dyDescent="0.2">
      <c r="A1539" s="28">
        <v>44470</v>
      </c>
      <c r="B1539" s="18">
        <v>0</v>
      </c>
      <c r="C1539" s="18">
        <v>0</v>
      </c>
      <c r="D1539" s="18">
        <v>506899.03550000006</v>
      </c>
      <c r="E1539" s="18">
        <v>779373.26588416123</v>
      </c>
      <c r="F1539" s="18">
        <v>0</v>
      </c>
      <c r="G1539" s="18">
        <v>0</v>
      </c>
      <c r="H1539" s="19">
        <v>0.5375315621095933</v>
      </c>
      <c r="I1539" s="19">
        <v>0</v>
      </c>
      <c r="J1539" s="19">
        <v>0.5375315621095933</v>
      </c>
    </row>
    <row r="1540" spans="1:10" ht="11.25" customHeight="1" x14ac:dyDescent="0.2">
      <c r="A1540" s="28">
        <v>44501</v>
      </c>
      <c r="B1540" s="18">
        <v>0</v>
      </c>
      <c r="C1540" s="18">
        <v>0</v>
      </c>
      <c r="D1540" s="18">
        <v>546687.97612000001</v>
      </c>
      <c r="E1540" s="18">
        <v>840550.01791031554</v>
      </c>
      <c r="F1540" s="18">
        <v>0</v>
      </c>
      <c r="G1540" s="18">
        <v>0</v>
      </c>
      <c r="H1540" s="19">
        <v>0.53753156210959308</v>
      </c>
      <c r="I1540" s="19">
        <v>0</v>
      </c>
      <c r="J1540" s="19">
        <v>0.53753156210959308</v>
      </c>
    </row>
    <row r="1541" spans="1:10" ht="11.25" customHeight="1" x14ac:dyDescent="0.2">
      <c r="A1541" s="28">
        <v>44531</v>
      </c>
      <c r="B1541" s="18">
        <v>0</v>
      </c>
      <c r="C1541" s="18">
        <v>0</v>
      </c>
      <c r="D1541" s="18">
        <v>529872.70050000004</v>
      </c>
      <c r="E1541" s="18">
        <v>814696.00091899373</v>
      </c>
      <c r="F1541" s="18">
        <v>0</v>
      </c>
      <c r="G1541" s="18">
        <v>0</v>
      </c>
      <c r="H1541" s="19">
        <v>0.5375315621095933</v>
      </c>
      <c r="I1541" s="19">
        <v>0</v>
      </c>
      <c r="J1541" s="19">
        <v>0.5375315621095933</v>
      </c>
    </row>
    <row r="1542" spans="1:10" ht="11.25" customHeight="1" x14ac:dyDescent="0.2">
      <c r="A1542" s="28">
        <v>44562</v>
      </c>
      <c r="B1542" s="18">
        <v>0</v>
      </c>
      <c r="C1542" s="18">
        <v>0</v>
      </c>
      <c r="D1542" s="18">
        <v>502281.08215999999</v>
      </c>
      <c r="E1542" s="18">
        <v>772273.01687156176</v>
      </c>
      <c r="F1542" s="18">
        <v>0</v>
      </c>
      <c r="G1542" s="18">
        <v>0</v>
      </c>
      <c r="H1542" s="19">
        <v>0.5375315621095933</v>
      </c>
      <c r="I1542" s="19">
        <v>0</v>
      </c>
      <c r="J1542" s="19">
        <v>0.5375315621095933</v>
      </c>
    </row>
    <row r="1543" spans="1:10" ht="11.25" customHeight="1" x14ac:dyDescent="0.2">
      <c r="A1543" s="28">
        <v>44593</v>
      </c>
      <c r="B1543" s="18">
        <v>0</v>
      </c>
      <c r="C1543" s="18">
        <v>0</v>
      </c>
      <c r="D1543" s="18">
        <v>520923.26572000002</v>
      </c>
      <c r="E1543" s="18">
        <v>800935.96248170233</v>
      </c>
      <c r="F1543" s="18">
        <v>0</v>
      </c>
      <c r="G1543" s="18">
        <v>0</v>
      </c>
      <c r="H1543" s="19">
        <v>0.53753156210959308</v>
      </c>
      <c r="I1543" s="19">
        <v>0</v>
      </c>
      <c r="J1543" s="19">
        <v>0.53753156210959308</v>
      </c>
    </row>
    <row r="1544" spans="1:10" ht="11.25" customHeight="1" x14ac:dyDescent="0.2">
      <c r="A1544" s="28">
        <v>44621</v>
      </c>
      <c r="B1544" s="18">
        <v>0</v>
      </c>
      <c r="C1544" s="18">
        <v>0</v>
      </c>
      <c r="D1544" s="18">
        <v>547326.04212</v>
      </c>
      <c r="E1544" s="18">
        <v>841531.06452402472</v>
      </c>
      <c r="F1544" s="18">
        <v>0</v>
      </c>
      <c r="G1544" s="18">
        <v>0</v>
      </c>
      <c r="H1544" s="19">
        <v>0.53753156210959352</v>
      </c>
      <c r="I1544" s="19">
        <v>0</v>
      </c>
      <c r="J1544" s="19">
        <v>0.53753156210959352</v>
      </c>
    </row>
    <row r="1545" spans="1:10" ht="11.25" customHeight="1" x14ac:dyDescent="0.2">
      <c r="A1545" s="28">
        <v>44652</v>
      </c>
      <c r="B1545" s="18">
        <v>0</v>
      </c>
      <c r="C1545" s="18">
        <v>0</v>
      </c>
      <c r="D1545" s="18">
        <v>590346.8857000001</v>
      </c>
      <c r="E1545" s="18">
        <v>907676.96935685456</v>
      </c>
      <c r="F1545" s="18">
        <v>0</v>
      </c>
      <c r="G1545" s="18">
        <v>0</v>
      </c>
      <c r="H1545" s="19">
        <v>0.53753156210959308</v>
      </c>
      <c r="I1545" s="19">
        <v>0</v>
      </c>
      <c r="J1545" s="19">
        <v>0.53753156210959308</v>
      </c>
    </row>
    <row r="1546" spans="1:10" ht="11.25" customHeight="1" x14ac:dyDescent="0.2">
      <c r="A1546" s="28">
        <v>44682</v>
      </c>
      <c r="B1546" s="18">
        <v>0</v>
      </c>
      <c r="C1546" s="18">
        <v>0</v>
      </c>
      <c r="D1546" s="18">
        <v>590346.8857000001</v>
      </c>
      <c r="E1546" s="18">
        <v>907676.96935685456</v>
      </c>
      <c r="F1546" s="18">
        <v>0</v>
      </c>
      <c r="G1546" s="18">
        <v>0</v>
      </c>
      <c r="H1546" s="19">
        <v>0.53753156210959308</v>
      </c>
      <c r="I1546" s="19">
        <v>0</v>
      </c>
      <c r="J1546" s="19">
        <v>0.53753156210959308</v>
      </c>
    </row>
    <row r="1547" spans="1:10" ht="11.25" customHeight="1" x14ac:dyDescent="0.2">
      <c r="A1547" s="27" t="s">
        <v>34</v>
      </c>
      <c r="B1547" s="18">
        <v>4089112.1100000003</v>
      </c>
      <c r="C1547" s="18">
        <v>4881208.7982169483</v>
      </c>
      <c r="D1547" s="18">
        <v>0</v>
      </c>
      <c r="E1547" s="18">
        <v>0</v>
      </c>
      <c r="F1547" s="18">
        <v>0</v>
      </c>
      <c r="G1547" s="18">
        <v>0</v>
      </c>
      <c r="H1547" s="19">
        <v>0.1937087237789008</v>
      </c>
      <c r="I1547" s="19">
        <v>0</v>
      </c>
      <c r="J1547" s="19">
        <v>0.1937087237789008</v>
      </c>
    </row>
    <row r="1548" spans="1:10" ht="11.25" customHeight="1" x14ac:dyDescent="0.2">
      <c r="A1548" s="28">
        <v>44348</v>
      </c>
      <c r="B1548" s="18">
        <v>315612</v>
      </c>
      <c r="C1548" s="18">
        <v>376748.79772930645</v>
      </c>
      <c r="D1548" s="18">
        <v>0</v>
      </c>
      <c r="E1548" s="18">
        <v>0</v>
      </c>
      <c r="F1548" s="18">
        <v>0</v>
      </c>
      <c r="G1548" s="18">
        <v>0</v>
      </c>
      <c r="H1548" s="19">
        <v>0.1937087237789008</v>
      </c>
      <c r="I1548" s="19">
        <v>0</v>
      </c>
      <c r="J1548" s="19">
        <v>0.1937087237789008</v>
      </c>
    </row>
    <row r="1549" spans="1:10" ht="11.25" customHeight="1" x14ac:dyDescent="0.2">
      <c r="A1549" s="28">
        <v>44378</v>
      </c>
      <c r="B1549" s="18">
        <v>316640.13</v>
      </c>
      <c r="C1549" s="18">
        <v>377976.08547948522</v>
      </c>
      <c r="D1549" s="18">
        <v>0</v>
      </c>
      <c r="E1549" s="18">
        <v>0</v>
      </c>
      <c r="F1549" s="18">
        <v>0</v>
      </c>
      <c r="G1549" s="18">
        <v>0</v>
      </c>
      <c r="H1549" s="19">
        <v>0.1937087237789008</v>
      </c>
      <c r="I1549" s="19">
        <v>0</v>
      </c>
      <c r="J1549" s="19">
        <v>0.1937087237789008</v>
      </c>
    </row>
    <row r="1550" spans="1:10" ht="11.25" customHeight="1" x14ac:dyDescent="0.2">
      <c r="A1550" s="28">
        <v>44409</v>
      </c>
      <c r="B1550" s="18">
        <v>316664.03999999998</v>
      </c>
      <c r="C1550" s="18">
        <v>378004.62705507077</v>
      </c>
      <c r="D1550" s="18">
        <v>0</v>
      </c>
      <c r="E1550" s="18">
        <v>0</v>
      </c>
      <c r="F1550" s="18">
        <v>0</v>
      </c>
      <c r="G1550" s="18">
        <v>0</v>
      </c>
      <c r="H1550" s="19">
        <v>0.1937087237789008</v>
      </c>
      <c r="I1550" s="19">
        <v>0</v>
      </c>
      <c r="J1550" s="19">
        <v>0.1937087237789008</v>
      </c>
    </row>
    <row r="1551" spans="1:10" ht="11.25" customHeight="1" x14ac:dyDescent="0.2">
      <c r="A1551" s="28">
        <v>44440</v>
      </c>
      <c r="B1551" s="18">
        <v>319772.34000000003</v>
      </c>
      <c r="C1551" s="18">
        <v>381715.03188119276</v>
      </c>
      <c r="D1551" s="18">
        <v>0</v>
      </c>
      <c r="E1551" s="18">
        <v>0</v>
      </c>
      <c r="F1551" s="18">
        <v>0</v>
      </c>
      <c r="G1551" s="18">
        <v>0</v>
      </c>
      <c r="H1551" s="19">
        <v>0.1937087237789008</v>
      </c>
      <c r="I1551" s="19">
        <v>0</v>
      </c>
      <c r="J1551" s="19">
        <v>0.1937087237789008</v>
      </c>
    </row>
    <row r="1552" spans="1:10" ht="11.25" customHeight="1" x14ac:dyDescent="0.2">
      <c r="A1552" s="28">
        <v>44470</v>
      </c>
      <c r="B1552" s="18">
        <v>318959.40000000002</v>
      </c>
      <c r="C1552" s="18">
        <v>380744.61831128394</v>
      </c>
      <c r="D1552" s="18">
        <v>0</v>
      </c>
      <c r="E1552" s="18">
        <v>0</v>
      </c>
      <c r="F1552" s="18">
        <v>0</v>
      </c>
      <c r="G1552" s="18">
        <v>0</v>
      </c>
      <c r="H1552" s="19">
        <v>0.1937087237789008</v>
      </c>
      <c r="I1552" s="19">
        <v>0</v>
      </c>
      <c r="J1552" s="19">
        <v>0.1937087237789008</v>
      </c>
    </row>
    <row r="1553" spans="1:10" ht="11.25" customHeight="1" x14ac:dyDescent="0.2">
      <c r="A1553" s="28">
        <v>44501</v>
      </c>
      <c r="B1553" s="18">
        <v>319055.03999999998</v>
      </c>
      <c r="C1553" s="18">
        <v>380858.78461362614</v>
      </c>
      <c r="D1553" s="18">
        <v>0</v>
      </c>
      <c r="E1553" s="18">
        <v>0</v>
      </c>
      <c r="F1553" s="18">
        <v>0</v>
      </c>
      <c r="G1553" s="18">
        <v>0</v>
      </c>
      <c r="H1553" s="19">
        <v>0.1937087237789008</v>
      </c>
      <c r="I1553" s="19">
        <v>0</v>
      </c>
      <c r="J1553" s="19">
        <v>0.1937087237789008</v>
      </c>
    </row>
    <row r="1554" spans="1:10" ht="11.25" customHeight="1" x14ac:dyDescent="0.2">
      <c r="A1554" s="28">
        <v>44531</v>
      </c>
      <c r="B1554" s="18">
        <v>319891.89</v>
      </c>
      <c r="C1554" s="18">
        <v>381857.73975912051</v>
      </c>
      <c r="D1554" s="18">
        <v>0</v>
      </c>
      <c r="E1554" s="18">
        <v>0</v>
      </c>
      <c r="F1554" s="18">
        <v>0</v>
      </c>
      <c r="G1554" s="18">
        <v>0</v>
      </c>
      <c r="H1554" s="19">
        <v>0.1937087237789008</v>
      </c>
      <c r="I1554" s="19">
        <v>0</v>
      </c>
      <c r="J1554" s="19">
        <v>0.1937087237789008</v>
      </c>
    </row>
    <row r="1555" spans="1:10" ht="11.25" customHeight="1" x14ac:dyDescent="0.2">
      <c r="A1555" s="28">
        <v>44562</v>
      </c>
      <c r="B1555" s="18">
        <v>317835.63</v>
      </c>
      <c r="C1555" s="18">
        <v>379403.1642587629</v>
      </c>
      <c r="D1555" s="18">
        <v>0</v>
      </c>
      <c r="E1555" s="18">
        <v>0</v>
      </c>
      <c r="F1555" s="18">
        <v>0</v>
      </c>
      <c r="G1555" s="18">
        <v>0</v>
      </c>
      <c r="H1555" s="19">
        <v>0.1937087237789008</v>
      </c>
      <c r="I1555" s="19">
        <v>0</v>
      </c>
      <c r="J1555" s="19">
        <v>0.1937087237789008</v>
      </c>
    </row>
    <row r="1556" spans="1:10" ht="11.25" customHeight="1" x14ac:dyDescent="0.2">
      <c r="A1556" s="28">
        <v>44593</v>
      </c>
      <c r="B1556" s="18">
        <v>382560</v>
      </c>
      <c r="C1556" s="18">
        <v>456665.20936885627</v>
      </c>
      <c r="D1556" s="18">
        <v>0</v>
      </c>
      <c r="E1556" s="18">
        <v>0</v>
      </c>
      <c r="F1556" s="18">
        <v>0</v>
      </c>
      <c r="G1556" s="18">
        <v>0</v>
      </c>
      <c r="H1556" s="19">
        <v>0.1937087237789008</v>
      </c>
      <c r="I1556" s="19">
        <v>0</v>
      </c>
      <c r="J1556" s="19">
        <v>0.1937087237789008</v>
      </c>
    </row>
    <row r="1557" spans="1:10" ht="11.25" customHeight="1" x14ac:dyDescent="0.2">
      <c r="A1557" s="28">
        <v>44621</v>
      </c>
      <c r="B1557" s="18">
        <v>384664.08</v>
      </c>
      <c r="C1557" s="18">
        <v>459176.86802038498</v>
      </c>
      <c r="D1557" s="18">
        <v>0</v>
      </c>
      <c r="E1557" s="18">
        <v>0</v>
      </c>
      <c r="F1557" s="18">
        <v>0</v>
      </c>
      <c r="G1557" s="18">
        <v>0</v>
      </c>
      <c r="H1557" s="19">
        <v>0.1937087237789008</v>
      </c>
      <c r="I1557" s="19">
        <v>0</v>
      </c>
      <c r="J1557" s="19">
        <v>0.1937087237789008</v>
      </c>
    </row>
    <row r="1558" spans="1:10" ht="11.25" customHeight="1" x14ac:dyDescent="0.2">
      <c r="A1558" s="28">
        <v>44652</v>
      </c>
      <c r="B1558" s="18">
        <v>388728.78</v>
      </c>
      <c r="C1558" s="18">
        <v>464028.93586992909</v>
      </c>
      <c r="D1558" s="18">
        <v>0</v>
      </c>
      <c r="E1558" s="18">
        <v>0</v>
      </c>
      <c r="F1558" s="18">
        <v>0</v>
      </c>
      <c r="G1558" s="18">
        <v>0</v>
      </c>
      <c r="H1558" s="19">
        <v>0.1937087237789008</v>
      </c>
      <c r="I1558" s="19">
        <v>0</v>
      </c>
      <c r="J1558" s="19">
        <v>0.1937087237789008</v>
      </c>
    </row>
    <row r="1559" spans="1:10" ht="11.25" customHeight="1" x14ac:dyDescent="0.2">
      <c r="A1559" s="28">
        <v>44682</v>
      </c>
      <c r="B1559" s="18">
        <v>388728.78</v>
      </c>
      <c r="C1559" s="18">
        <v>464028.93586992909</v>
      </c>
      <c r="D1559" s="18">
        <v>0</v>
      </c>
      <c r="E1559" s="18">
        <v>0</v>
      </c>
      <c r="F1559" s="18">
        <v>0</v>
      </c>
      <c r="G1559" s="18">
        <v>0</v>
      </c>
      <c r="H1559" s="19">
        <v>0.1937087237789008</v>
      </c>
      <c r="I1559" s="19">
        <v>0</v>
      </c>
      <c r="J1559" s="19">
        <v>0.1937087237789008</v>
      </c>
    </row>
    <row r="1560" spans="1:10" ht="11.25" customHeight="1" x14ac:dyDescent="0.2">
      <c r="A1560" s="21" t="s">
        <v>41</v>
      </c>
      <c r="B1560" s="18">
        <v>23071111.188045204</v>
      </c>
      <c r="C1560" s="18">
        <v>26735159.31746031</v>
      </c>
      <c r="D1560" s="18">
        <v>26786423.158482149</v>
      </c>
      <c r="E1560" s="18">
        <v>39104456.475787833</v>
      </c>
      <c r="F1560" s="18">
        <v>0</v>
      </c>
      <c r="G1560" s="18">
        <v>0</v>
      </c>
      <c r="H1560" s="19">
        <v>0.32055499045820679</v>
      </c>
      <c r="I1560" s="19">
        <v>0</v>
      </c>
      <c r="J1560" s="19">
        <v>0.32055499045820679</v>
      </c>
    </row>
    <row r="1561" spans="1:10" ht="11.25" customHeight="1" x14ac:dyDescent="0.2">
      <c r="A1561" s="22" t="s">
        <v>40</v>
      </c>
      <c r="B1561" s="18">
        <v>16628271.60193393</v>
      </c>
      <c r="C1561" s="18">
        <v>19208006.549102802</v>
      </c>
      <c r="D1561" s="18">
        <v>9871817.3782800008</v>
      </c>
      <c r="E1561" s="18">
        <v>15283119.086474847</v>
      </c>
      <c r="F1561" s="18">
        <v>0</v>
      </c>
      <c r="G1561" s="18">
        <v>0</v>
      </c>
      <c r="H1561" s="19">
        <v>0.30154754051317179</v>
      </c>
      <c r="I1561" s="19">
        <v>0</v>
      </c>
      <c r="J1561" s="19">
        <v>0.30154754051317179</v>
      </c>
    </row>
    <row r="1562" spans="1:10" ht="11.25" customHeight="1" x14ac:dyDescent="0.2">
      <c r="A1562" s="23" t="s">
        <v>38</v>
      </c>
      <c r="B1562" s="18">
        <v>16628271.60193393</v>
      </c>
      <c r="C1562" s="18">
        <v>19208006.549102802</v>
      </c>
      <c r="D1562" s="18">
        <v>9871817.3782800008</v>
      </c>
      <c r="E1562" s="18">
        <v>15283119.086474847</v>
      </c>
      <c r="F1562" s="18">
        <v>0</v>
      </c>
      <c r="G1562" s="18">
        <v>0</v>
      </c>
      <c r="H1562" s="19">
        <v>0.30154754051317179</v>
      </c>
      <c r="I1562" s="19">
        <v>0</v>
      </c>
      <c r="J1562" s="19">
        <v>0.30154754051317179</v>
      </c>
    </row>
    <row r="1563" spans="1:10" ht="11.25" customHeight="1" x14ac:dyDescent="0.2">
      <c r="A1563" s="24" t="s">
        <v>25</v>
      </c>
      <c r="B1563" s="18">
        <v>16628271.60193393</v>
      </c>
      <c r="C1563" s="18">
        <v>19208006.549102802</v>
      </c>
      <c r="D1563" s="18">
        <v>9871817.3782800008</v>
      </c>
      <c r="E1563" s="18">
        <v>15283119.086474847</v>
      </c>
      <c r="F1563" s="18">
        <v>0</v>
      </c>
      <c r="G1563" s="18">
        <v>0</v>
      </c>
      <c r="H1563" s="19">
        <v>0.30154754051317179</v>
      </c>
      <c r="I1563" s="19">
        <v>0</v>
      </c>
      <c r="J1563" s="19">
        <v>0.30154754051317179</v>
      </c>
    </row>
    <row r="1564" spans="1:10" ht="11.25" customHeight="1" x14ac:dyDescent="0.2">
      <c r="A1564" s="25" t="s">
        <v>63</v>
      </c>
      <c r="B1564" s="18">
        <v>6795459.3919339292</v>
      </c>
      <c r="C1564" s="18">
        <v>7852810.4545399155</v>
      </c>
      <c r="D1564" s="18">
        <v>4759548.8769399999</v>
      </c>
      <c r="E1564" s="18">
        <v>7368526.9385367744</v>
      </c>
      <c r="F1564" s="18">
        <v>0</v>
      </c>
      <c r="G1564" s="18">
        <v>0</v>
      </c>
      <c r="H1564" s="19">
        <v>0.31729350935030132</v>
      </c>
      <c r="I1564" s="19">
        <v>0</v>
      </c>
      <c r="J1564" s="19">
        <v>0.31729350935030132</v>
      </c>
    </row>
    <row r="1565" spans="1:10" ht="11.25" customHeight="1" x14ac:dyDescent="0.2">
      <c r="A1565" s="26" t="s">
        <v>25</v>
      </c>
      <c r="B1565" s="18">
        <v>6795459.3919339292</v>
      </c>
      <c r="C1565" s="18">
        <v>7852810.4545399155</v>
      </c>
      <c r="D1565" s="18">
        <v>4759548.8769399999</v>
      </c>
      <c r="E1565" s="18">
        <v>7368526.9385367744</v>
      </c>
      <c r="F1565" s="18">
        <v>0</v>
      </c>
      <c r="G1565" s="18">
        <v>0</v>
      </c>
      <c r="H1565" s="19">
        <v>0.31729350935030132</v>
      </c>
      <c r="I1565" s="19">
        <v>0</v>
      </c>
      <c r="J1565" s="19">
        <v>0.31729350935030132</v>
      </c>
    </row>
    <row r="1566" spans="1:10" ht="11.25" customHeight="1" x14ac:dyDescent="0.2">
      <c r="A1566" s="27" t="s">
        <v>35</v>
      </c>
      <c r="B1566" s="18">
        <v>2201700.7633795138</v>
      </c>
      <c r="C1566" s="18">
        <v>2572241.2881258288</v>
      </c>
      <c r="D1566" s="18">
        <v>0</v>
      </c>
      <c r="E1566" s="18">
        <v>0</v>
      </c>
      <c r="F1566" s="18">
        <v>0</v>
      </c>
      <c r="G1566" s="18">
        <v>0</v>
      </c>
      <c r="H1566" s="19">
        <v>0.16829740485603129</v>
      </c>
      <c r="I1566" s="19">
        <v>0</v>
      </c>
      <c r="J1566" s="19">
        <v>0.16829740485603129</v>
      </c>
    </row>
    <row r="1567" spans="1:10" ht="11.25" customHeight="1" x14ac:dyDescent="0.2">
      <c r="A1567" s="28">
        <v>44348</v>
      </c>
      <c r="B1567" s="18">
        <v>338776.21694740909</v>
      </c>
      <c r="C1567" s="18">
        <v>395791.37508660188</v>
      </c>
      <c r="D1567" s="18">
        <v>0</v>
      </c>
      <c r="E1567" s="18">
        <v>0</v>
      </c>
      <c r="F1567" s="18">
        <v>0</v>
      </c>
      <c r="G1567" s="18">
        <v>0</v>
      </c>
      <c r="H1567" s="19">
        <v>0.16829740485603129</v>
      </c>
      <c r="I1567" s="19">
        <v>0</v>
      </c>
      <c r="J1567" s="19">
        <v>0.16829740485603129</v>
      </c>
    </row>
    <row r="1568" spans="1:10" ht="11.25" customHeight="1" x14ac:dyDescent="0.2">
      <c r="A1568" s="28">
        <v>44378</v>
      </c>
      <c r="B1568" s="18">
        <v>311311.69946097001</v>
      </c>
      <c r="C1568" s="18">
        <v>363704.65058157197</v>
      </c>
      <c r="D1568" s="18">
        <v>0</v>
      </c>
      <c r="E1568" s="18">
        <v>0</v>
      </c>
      <c r="F1568" s="18">
        <v>0</v>
      </c>
      <c r="G1568" s="18">
        <v>0</v>
      </c>
      <c r="H1568" s="19">
        <v>0.16829740485603106</v>
      </c>
      <c r="I1568" s="19">
        <v>0</v>
      </c>
      <c r="J1568" s="19">
        <v>0.16829740485603106</v>
      </c>
    </row>
    <row r="1569" spans="1:10" ht="11.25" customHeight="1" x14ac:dyDescent="0.2">
      <c r="A1569" s="28">
        <v>44409</v>
      </c>
      <c r="B1569" s="18">
        <v>144633.52542254003</v>
      </c>
      <c r="C1569" s="18">
        <v>168974.97240633229</v>
      </c>
      <c r="D1569" s="18">
        <v>0</v>
      </c>
      <c r="E1569" s="18">
        <v>0</v>
      </c>
      <c r="F1569" s="18">
        <v>0</v>
      </c>
      <c r="G1569" s="18">
        <v>0</v>
      </c>
      <c r="H1569" s="19">
        <v>0.16829740485603106</v>
      </c>
      <c r="I1569" s="19">
        <v>0</v>
      </c>
      <c r="J1569" s="19">
        <v>0.16829740485603106</v>
      </c>
    </row>
    <row r="1570" spans="1:10" ht="11.25" customHeight="1" x14ac:dyDescent="0.2">
      <c r="A1570" s="28">
        <v>44440</v>
      </c>
      <c r="B1570" s="18">
        <v>157149.3901193112</v>
      </c>
      <c r="C1570" s="18">
        <v>183597.2246510993</v>
      </c>
      <c r="D1570" s="18">
        <v>0</v>
      </c>
      <c r="E1570" s="18">
        <v>0</v>
      </c>
      <c r="F1570" s="18">
        <v>0</v>
      </c>
      <c r="G1570" s="18">
        <v>0</v>
      </c>
      <c r="H1570" s="19">
        <v>0.16829740485603129</v>
      </c>
      <c r="I1570" s="19">
        <v>0</v>
      </c>
      <c r="J1570" s="19">
        <v>0.16829740485603129</v>
      </c>
    </row>
    <row r="1571" spans="1:10" ht="11.25" customHeight="1" x14ac:dyDescent="0.2">
      <c r="A1571" s="28">
        <v>44470</v>
      </c>
      <c r="B1571" s="18">
        <v>159868.92757610281</v>
      </c>
      <c r="C1571" s="18">
        <v>186774.4532042777</v>
      </c>
      <c r="D1571" s="18">
        <v>0</v>
      </c>
      <c r="E1571" s="18">
        <v>0</v>
      </c>
      <c r="F1571" s="18">
        <v>0</v>
      </c>
      <c r="G1571" s="18">
        <v>0</v>
      </c>
      <c r="H1571" s="19">
        <v>0.16829740485603106</v>
      </c>
      <c r="I1571" s="19">
        <v>0</v>
      </c>
      <c r="J1571" s="19">
        <v>0.16829740485603106</v>
      </c>
    </row>
    <row r="1572" spans="1:10" ht="11.25" customHeight="1" x14ac:dyDescent="0.2">
      <c r="A1572" s="28">
        <v>44501</v>
      </c>
      <c r="B1572" s="18">
        <v>159597.80042345371</v>
      </c>
      <c r="C1572" s="18">
        <v>186457.69605545176</v>
      </c>
      <c r="D1572" s="18">
        <v>0</v>
      </c>
      <c r="E1572" s="18">
        <v>0</v>
      </c>
      <c r="F1572" s="18">
        <v>0</v>
      </c>
      <c r="G1572" s="18">
        <v>0</v>
      </c>
      <c r="H1572" s="19">
        <v>0.16829740485603106</v>
      </c>
      <c r="I1572" s="19">
        <v>0</v>
      </c>
      <c r="J1572" s="19">
        <v>0.16829740485603106</v>
      </c>
    </row>
    <row r="1573" spans="1:10" ht="11.25" customHeight="1" x14ac:dyDescent="0.2">
      <c r="A1573" s="28">
        <v>44531</v>
      </c>
      <c r="B1573" s="18">
        <v>159296.096041955</v>
      </c>
      <c r="C1573" s="18">
        <v>186105.21560951314</v>
      </c>
      <c r="D1573" s="18">
        <v>0</v>
      </c>
      <c r="E1573" s="18">
        <v>0</v>
      </c>
      <c r="F1573" s="18">
        <v>0</v>
      </c>
      <c r="G1573" s="18">
        <v>0</v>
      </c>
      <c r="H1573" s="19">
        <v>0.16829740485603129</v>
      </c>
      <c r="I1573" s="19">
        <v>0</v>
      </c>
      <c r="J1573" s="19">
        <v>0.16829740485603129</v>
      </c>
    </row>
    <row r="1574" spans="1:10" ht="11.25" customHeight="1" x14ac:dyDescent="0.2">
      <c r="A1574" s="28">
        <v>44562</v>
      </c>
      <c r="B1574" s="18">
        <v>163933.18019906661</v>
      </c>
      <c r="C1574" s="18">
        <v>191522.70899636563</v>
      </c>
      <c r="D1574" s="18">
        <v>0</v>
      </c>
      <c r="E1574" s="18">
        <v>0</v>
      </c>
      <c r="F1574" s="18">
        <v>0</v>
      </c>
      <c r="G1574" s="18">
        <v>0</v>
      </c>
      <c r="H1574" s="19">
        <v>0.16829740485603106</v>
      </c>
      <c r="I1574" s="19">
        <v>0</v>
      </c>
      <c r="J1574" s="19">
        <v>0.16829740485603106</v>
      </c>
    </row>
    <row r="1575" spans="1:10" ht="11.25" customHeight="1" x14ac:dyDescent="0.2">
      <c r="A1575" s="28">
        <v>44593</v>
      </c>
      <c r="B1575" s="18">
        <v>153002.44064364181</v>
      </c>
      <c r="C1575" s="18">
        <v>178752.35434060567</v>
      </c>
      <c r="D1575" s="18">
        <v>0</v>
      </c>
      <c r="E1575" s="18">
        <v>0</v>
      </c>
      <c r="F1575" s="18">
        <v>0</v>
      </c>
      <c r="G1575" s="18">
        <v>0</v>
      </c>
      <c r="H1575" s="19">
        <v>0.16829740485603106</v>
      </c>
      <c r="I1575" s="19">
        <v>0</v>
      </c>
      <c r="J1575" s="19">
        <v>0.16829740485603106</v>
      </c>
    </row>
    <row r="1576" spans="1:10" ht="11.25" customHeight="1" x14ac:dyDescent="0.2">
      <c r="A1576" s="28">
        <v>44621</v>
      </c>
      <c r="B1576" s="18">
        <v>151659.4794966006</v>
      </c>
      <c r="C1576" s="18">
        <v>177183.37631769496</v>
      </c>
      <c r="D1576" s="18">
        <v>0</v>
      </c>
      <c r="E1576" s="18">
        <v>0</v>
      </c>
      <c r="F1576" s="18">
        <v>0</v>
      </c>
      <c r="G1576" s="18">
        <v>0</v>
      </c>
      <c r="H1576" s="19">
        <v>0.16829740485603129</v>
      </c>
      <c r="I1576" s="19">
        <v>0</v>
      </c>
      <c r="J1576" s="19">
        <v>0.16829740485603129</v>
      </c>
    </row>
    <row r="1577" spans="1:10" ht="11.25" customHeight="1" x14ac:dyDescent="0.2">
      <c r="A1577" s="28">
        <v>44652</v>
      </c>
      <c r="B1577" s="18">
        <v>151236.0035242314</v>
      </c>
      <c r="C1577" s="18">
        <v>176688.63043815712</v>
      </c>
      <c r="D1577" s="18">
        <v>0</v>
      </c>
      <c r="E1577" s="18">
        <v>0</v>
      </c>
      <c r="F1577" s="18">
        <v>0</v>
      </c>
      <c r="G1577" s="18">
        <v>0</v>
      </c>
      <c r="H1577" s="19">
        <v>0.16829740485603106</v>
      </c>
      <c r="I1577" s="19">
        <v>0</v>
      </c>
      <c r="J1577" s="19">
        <v>0.16829740485603106</v>
      </c>
    </row>
    <row r="1578" spans="1:10" ht="11.25" customHeight="1" x14ac:dyDescent="0.2">
      <c r="A1578" s="28">
        <v>44682</v>
      </c>
      <c r="B1578" s="18">
        <v>151236.0035242314</v>
      </c>
      <c r="C1578" s="18">
        <v>176688.63043815712</v>
      </c>
      <c r="D1578" s="18">
        <v>0</v>
      </c>
      <c r="E1578" s="18">
        <v>0</v>
      </c>
      <c r="F1578" s="18">
        <v>0</v>
      </c>
      <c r="G1578" s="18">
        <v>0</v>
      </c>
      <c r="H1578" s="19">
        <v>0.16829740485603106</v>
      </c>
      <c r="I1578" s="19">
        <v>0</v>
      </c>
      <c r="J1578" s="19">
        <v>0.16829740485603106</v>
      </c>
    </row>
    <row r="1579" spans="1:10" ht="11.25" customHeight="1" x14ac:dyDescent="0.2">
      <c r="A1579" s="27" t="s">
        <v>25</v>
      </c>
      <c r="B1579" s="18">
        <v>0</v>
      </c>
      <c r="C1579" s="18">
        <v>0</v>
      </c>
      <c r="D1579" s="18">
        <v>4759548.8769399999</v>
      </c>
      <c r="E1579" s="18">
        <v>7368526.9385367744</v>
      </c>
      <c r="F1579" s="18">
        <v>0</v>
      </c>
      <c r="G1579" s="18">
        <v>0</v>
      </c>
      <c r="H1579" s="19">
        <v>0.54815658564559877</v>
      </c>
      <c r="I1579" s="19">
        <v>0</v>
      </c>
      <c r="J1579" s="19">
        <v>0.54815658564559877</v>
      </c>
    </row>
    <row r="1580" spans="1:10" ht="11.25" customHeight="1" x14ac:dyDescent="0.2">
      <c r="A1580" s="28">
        <v>44348</v>
      </c>
      <c r="B1580" s="18">
        <v>0</v>
      </c>
      <c r="C1580" s="18">
        <v>0</v>
      </c>
      <c r="D1580" s="18">
        <v>577949.27189999993</v>
      </c>
      <c r="E1580" s="18">
        <v>894755.9714610636</v>
      </c>
      <c r="F1580" s="18">
        <v>0</v>
      </c>
      <c r="G1580" s="18">
        <v>0</v>
      </c>
      <c r="H1580" s="19">
        <v>0.54815658564559855</v>
      </c>
      <c r="I1580" s="19">
        <v>0</v>
      </c>
      <c r="J1580" s="19">
        <v>0.54815658564559855</v>
      </c>
    </row>
    <row r="1581" spans="1:10" ht="11.25" customHeight="1" x14ac:dyDescent="0.2">
      <c r="A1581" s="28">
        <v>44378</v>
      </c>
      <c r="B1581" s="18">
        <v>0</v>
      </c>
      <c r="C1581" s="18">
        <v>0</v>
      </c>
      <c r="D1581" s="18">
        <v>534318.09002</v>
      </c>
      <c r="E1581" s="18">
        <v>827208.0698940407</v>
      </c>
      <c r="F1581" s="18">
        <v>0</v>
      </c>
      <c r="G1581" s="18">
        <v>0</v>
      </c>
      <c r="H1581" s="19">
        <v>0.54815658564559833</v>
      </c>
      <c r="I1581" s="19">
        <v>0</v>
      </c>
      <c r="J1581" s="19">
        <v>0.54815658564559833</v>
      </c>
    </row>
    <row r="1582" spans="1:10" ht="11.25" customHeight="1" x14ac:dyDescent="0.2">
      <c r="A1582" s="28">
        <v>44409</v>
      </c>
      <c r="B1582" s="18">
        <v>0</v>
      </c>
      <c r="C1582" s="18">
        <v>0</v>
      </c>
      <c r="D1582" s="18">
        <v>376596.91498</v>
      </c>
      <c r="E1582" s="18">
        <v>583030.99406010262</v>
      </c>
      <c r="F1582" s="18">
        <v>0</v>
      </c>
      <c r="G1582" s="18">
        <v>0</v>
      </c>
      <c r="H1582" s="19">
        <v>0.54815658564559877</v>
      </c>
      <c r="I1582" s="19">
        <v>0</v>
      </c>
      <c r="J1582" s="19">
        <v>0.54815658564559877</v>
      </c>
    </row>
    <row r="1583" spans="1:10" ht="11.25" customHeight="1" x14ac:dyDescent="0.2">
      <c r="A1583" s="28">
        <v>44440</v>
      </c>
      <c r="B1583" s="18">
        <v>0</v>
      </c>
      <c r="C1583" s="18">
        <v>0</v>
      </c>
      <c r="D1583" s="18">
        <v>405952.41830000002</v>
      </c>
      <c r="E1583" s="18">
        <v>628477.9098499018</v>
      </c>
      <c r="F1583" s="18">
        <v>0</v>
      </c>
      <c r="G1583" s="18">
        <v>0</v>
      </c>
      <c r="H1583" s="19">
        <v>0.54815658564559855</v>
      </c>
      <c r="I1583" s="19">
        <v>0</v>
      </c>
      <c r="J1583" s="19">
        <v>0.54815658564559855</v>
      </c>
    </row>
    <row r="1584" spans="1:10" ht="11.25" customHeight="1" x14ac:dyDescent="0.2">
      <c r="A1584" s="28">
        <v>44470</v>
      </c>
      <c r="B1584" s="18">
        <v>0</v>
      </c>
      <c r="C1584" s="18">
        <v>0</v>
      </c>
      <c r="D1584" s="18">
        <v>364247.81822000002</v>
      </c>
      <c r="E1584" s="18">
        <v>563912.65858433384</v>
      </c>
      <c r="F1584" s="18">
        <v>0</v>
      </c>
      <c r="G1584" s="18">
        <v>0</v>
      </c>
      <c r="H1584" s="19">
        <v>0.54815658564559855</v>
      </c>
      <c r="I1584" s="19">
        <v>0</v>
      </c>
      <c r="J1584" s="19">
        <v>0.54815658564559855</v>
      </c>
    </row>
    <row r="1585" spans="1:10" ht="11.25" customHeight="1" x14ac:dyDescent="0.2">
      <c r="A1585" s="28">
        <v>44501</v>
      </c>
      <c r="B1585" s="18">
        <v>0</v>
      </c>
      <c r="C1585" s="18">
        <v>0</v>
      </c>
      <c r="D1585" s="18">
        <v>389494.55116000003</v>
      </c>
      <c r="E1585" s="18">
        <v>602998.55445143045</v>
      </c>
      <c r="F1585" s="18">
        <v>0</v>
      </c>
      <c r="G1585" s="18">
        <v>0</v>
      </c>
      <c r="H1585" s="19">
        <v>0.54815658564559833</v>
      </c>
      <c r="I1585" s="19">
        <v>0</v>
      </c>
      <c r="J1585" s="19">
        <v>0.54815658564559833</v>
      </c>
    </row>
    <row r="1586" spans="1:10" ht="11.25" customHeight="1" x14ac:dyDescent="0.2">
      <c r="A1586" s="28">
        <v>44531</v>
      </c>
      <c r="B1586" s="18">
        <v>0</v>
      </c>
      <c r="C1586" s="18">
        <v>0</v>
      </c>
      <c r="D1586" s="18">
        <v>385803.28071999998</v>
      </c>
      <c r="E1586" s="18">
        <v>597283.8898103456</v>
      </c>
      <c r="F1586" s="18">
        <v>0</v>
      </c>
      <c r="G1586" s="18">
        <v>0</v>
      </c>
      <c r="H1586" s="19">
        <v>0.54815658564559877</v>
      </c>
      <c r="I1586" s="19">
        <v>0</v>
      </c>
      <c r="J1586" s="19">
        <v>0.54815658564559877</v>
      </c>
    </row>
    <row r="1587" spans="1:10" ht="11.25" customHeight="1" x14ac:dyDescent="0.2">
      <c r="A1587" s="28">
        <v>44562</v>
      </c>
      <c r="B1587" s="18">
        <v>0</v>
      </c>
      <c r="C1587" s="18">
        <v>0</v>
      </c>
      <c r="D1587" s="18">
        <v>388482.76324</v>
      </c>
      <c r="E1587" s="18">
        <v>601432.14831980586</v>
      </c>
      <c r="F1587" s="18">
        <v>0</v>
      </c>
      <c r="G1587" s="18">
        <v>0</v>
      </c>
      <c r="H1587" s="19">
        <v>0.54815658564559855</v>
      </c>
      <c r="I1587" s="19">
        <v>0</v>
      </c>
      <c r="J1587" s="19">
        <v>0.54815658564559855</v>
      </c>
    </row>
    <row r="1588" spans="1:10" ht="11.25" customHeight="1" x14ac:dyDescent="0.2">
      <c r="A1588" s="28">
        <v>44593</v>
      </c>
      <c r="B1588" s="18">
        <v>0</v>
      </c>
      <c r="C1588" s="18">
        <v>0</v>
      </c>
      <c r="D1588" s="18">
        <v>361957.02113999997</v>
      </c>
      <c r="E1588" s="18">
        <v>560366.14599855407</v>
      </c>
      <c r="F1588" s="18">
        <v>0</v>
      </c>
      <c r="G1588" s="18">
        <v>0</v>
      </c>
      <c r="H1588" s="19">
        <v>0.54815658564559855</v>
      </c>
      <c r="I1588" s="19">
        <v>0</v>
      </c>
      <c r="J1588" s="19">
        <v>0.54815658564559855</v>
      </c>
    </row>
    <row r="1589" spans="1:10" ht="11.25" customHeight="1" x14ac:dyDescent="0.2">
      <c r="A1589" s="28">
        <v>44621</v>
      </c>
      <c r="B1589" s="18">
        <v>0</v>
      </c>
      <c r="C1589" s="18">
        <v>0</v>
      </c>
      <c r="D1589" s="18">
        <v>305149.19005999999</v>
      </c>
      <c r="E1589" s="18">
        <v>472418.72819580941</v>
      </c>
      <c r="F1589" s="18">
        <v>0</v>
      </c>
      <c r="G1589" s="18">
        <v>0</v>
      </c>
      <c r="H1589" s="19">
        <v>0.54815658564559855</v>
      </c>
      <c r="I1589" s="19">
        <v>0</v>
      </c>
      <c r="J1589" s="19">
        <v>0.54815658564559855</v>
      </c>
    </row>
    <row r="1590" spans="1:10" ht="11.25" customHeight="1" x14ac:dyDescent="0.2">
      <c r="A1590" s="28">
        <v>44652</v>
      </c>
      <c r="B1590" s="18">
        <v>0</v>
      </c>
      <c r="C1590" s="18">
        <v>0</v>
      </c>
      <c r="D1590" s="18">
        <v>334798.77859999996</v>
      </c>
      <c r="E1590" s="18">
        <v>518320.93395569269</v>
      </c>
      <c r="F1590" s="18">
        <v>0</v>
      </c>
      <c r="G1590" s="18">
        <v>0</v>
      </c>
      <c r="H1590" s="19">
        <v>0.54815658564559877</v>
      </c>
      <c r="I1590" s="19">
        <v>0</v>
      </c>
      <c r="J1590" s="19">
        <v>0.54815658564559877</v>
      </c>
    </row>
    <row r="1591" spans="1:10" ht="11.25" customHeight="1" x14ac:dyDescent="0.2">
      <c r="A1591" s="28">
        <v>44682</v>
      </c>
      <c r="B1591" s="18">
        <v>0</v>
      </c>
      <c r="C1591" s="18">
        <v>0</v>
      </c>
      <c r="D1591" s="18">
        <v>334798.77859999996</v>
      </c>
      <c r="E1591" s="18">
        <v>518320.93395569269</v>
      </c>
      <c r="F1591" s="18">
        <v>0</v>
      </c>
      <c r="G1591" s="18">
        <v>0</v>
      </c>
      <c r="H1591" s="19">
        <v>0.54815658564559877</v>
      </c>
      <c r="I1591" s="19">
        <v>0</v>
      </c>
      <c r="J1591" s="19">
        <v>0.54815658564559877</v>
      </c>
    </row>
    <row r="1592" spans="1:10" ht="11.25" customHeight="1" x14ac:dyDescent="0.2">
      <c r="A1592" s="27" t="s">
        <v>34</v>
      </c>
      <c r="B1592" s="18">
        <v>4593758.628554415</v>
      </c>
      <c r="C1592" s="18">
        <v>5280569.1664140858</v>
      </c>
      <c r="D1592" s="18">
        <v>0</v>
      </c>
      <c r="E1592" s="18">
        <v>0</v>
      </c>
      <c r="F1592" s="18">
        <v>0</v>
      </c>
      <c r="G1592" s="18">
        <v>0</v>
      </c>
      <c r="H1592" s="19">
        <v>0.14950949612165387</v>
      </c>
      <c r="I1592" s="19">
        <v>0</v>
      </c>
      <c r="J1592" s="19">
        <v>0.14950949612165387</v>
      </c>
    </row>
    <row r="1593" spans="1:10" ht="11.25" customHeight="1" x14ac:dyDescent="0.2">
      <c r="A1593" s="28">
        <v>44348</v>
      </c>
      <c r="B1593" s="18">
        <v>791495.92925183999</v>
      </c>
      <c r="C1593" s="18">
        <v>909832.08681662276</v>
      </c>
      <c r="D1593" s="18">
        <v>0</v>
      </c>
      <c r="E1593" s="18">
        <v>0</v>
      </c>
      <c r="F1593" s="18">
        <v>0</v>
      </c>
      <c r="G1593" s="18">
        <v>0</v>
      </c>
      <c r="H1593" s="19">
        <v>0.14950949612165387</v>
      </c>
      <c r="I1593" s="19">
        <v>0</v>
      </c>
      <c r="J1593" s="19">
        <v>0.14950949612165387</v>
      </c>
    </row>
    <row r="1594" spans="1:10" ht="11.25" customHeight="1" x14ac:dyDescent="0.2">
      <c r="A1594" s="28">
        <v>44378</v>
      </c>
      <c r="B1594" s="18">
        <v>719077.61016551999</v>
      </c>
      <c r="C1594" s="18">
        <v>826586.54133372998</v>
      </c>
      <c r="D1594" s="18">
        <v>0</v>
      </c>
      <c r="E1594" s="18">
        <v>0</v>
      </c>
      <c r="F1594" s="18">
        <v>0</v>
      </c>
      <c r="G1594" s="18">
        <v>0</v>
      </c>
      <c r="H1594" s="19">
        <v>0.14950949612165387</v>
      </c>
      <c r="I1594" s="19">
        <v>0</v>
      </c>
      <c r="J1594" s="19">
        <v>0.14950949612165387</v>
      </c>
    </row>
    <row r="1595" spans="1:10" ht="11.25" customHeight="1" x14ac:dyDescent="0.2">
      <c r="A1595" s="28">
        <v>44409</v>
      </c>
      <c r="B1595" s="18">
        <v>282835.271162752</v>
      </c>
      <c r="C1595" s="18">
        <v>325121.8300397264</v>
      </c>
      <c r="D1595" s="18">
        <v>0</v>
      </c>
      <c r="E1595" s="18">
        <v>0</v>
      </c>
      <c r="F1595" s="18">
        <v>0</v>
      </c>
      <c r="G1595" s="18">
        <v>0</v>
      </c>
      <c r="H1595" s="19">
        <v>0.14950949612165387</v>
      </c>
      <c r="I1595" s="19">
        <v>0</v>
      </c>
      <c r="J1595" s="19">
        <v>0.14950949612165387</v>
      </c>
    </row>
    <row r="1596" spans="1:10" ht="11.25" customHeight="1" x14ac:dyDescent="0.2">
      <c r="A1596" s="28">
        <v>44440</v>
      </c>
      <c r="B1596" s="18">
        <v>301585.92524121597</v>
      </c>
      <c r="C1596" s="18">
        <v>346675.88496141299</v>
      </c>
      <c r="D1596" s="18">
        <v>0</v>
      </c>
      <c r="E1596" s="18">
        <v>0</v>
      </c>
      <c r="F1596" s="18">
        <v>0</v>
      </c>
      <c r="G1596" s="18">
        <v>0</v>
      </c>
      <c r="H1596" s="19">
        <v>0.1495094961216541</v>
      </c>
      <c r="I1596" s="19">
        <v>0</v>
      </c>
      <c r="J1596" s="19">
        <v>0.1495094961216541</v>
      </c>
    </row>
    <row r="1597" spans="1:10" ht="11.25" customHeight="1" x14ac:dyDescent="0.2">
      <c r="A1597" s="28">
        <v>44470</v>
      </c>
      <c r="B1597" s="18">
        <v>314767.36748172797</v>
      </c>
      <c r="C1597" s="18">
        <v>361828.07798946061</v>
      </c>
      <c r="D1597" s="18">
        <v>0</v>
      </c>
      <c r="E1597" s="18">
        <v>0</v>
      </c>
      <c r="F1597" s="18">
        <v>0</v>
      </c>
      <c r="G1597" s="18">
        <v>0</v>
      </c>
      <c r="H1597" s="19">
        <v>0.14950949612165387</v>
      </c>
      <c r="I1597" s="19">
        <v>0</v>
      </c>
      <c r="J1597" s="19">
        <v>0.14950949612165387</v>
      </c>
    </row>
    <row r="1598" spans="1:10" ht="11.25" customHeight="1" x14ac:dyDescent="0.2">
      <c r="A1598" s="28">
        <v>44501</v>
      </c>
      <c r="B1598" s="18">
        <v>317176.43937568</v>
      </c>
      <c r="C1598" s="18">
        <v>364597.32900839823</v>
      </c>
      <c r="D1598" s="18">
        <v>0</v>
      </c>
      <c r="E1598" s="18">
        <v>0</v>
      </c>
      <c r="F1598" s="18">
        <v>0</v>
      </c>
      <c r="G1598" s="18">
        <v>0</v>
      </c>
      <c r="H1598" s="19">
        <v>0.14950949612165387</v>
      </c>
      <c r="I1598" s="19">
        <v>0</v>
      </c>
      <c r="J1598" s="19">
        <v>0.14950949612165387</v>
      </c>
    </row>
    <row r="1599" spans="1:10" ht="11.25" customHeight="1" x14ac:dyDescent="0.2">
      <c r="A1599" s="28">
        <v>44531</v>
      </c>
      <c r="B1599" s="18">
        <v>319197.18385651195</v>
      </c>
      <c r="C1599" s="18">
        <v>366920.19397834997</v>
      </c>
      <c r="D1599" s="18">
        <v>0</v>
      </c>
      <c r="E1599" s="18">
        <v>0</v>
      </c>
      <c r="F1599" s="18">
        <v>0</v>
      </c>
      <c r="G1599" s="18">
        <v>0</v>
      </c>
      <c r="H1599" s="19">
        <v>0.14950949612165387</v>
      </c>
      <c r="I1599" s="19">
        <v>0</v>
      </c>
      <c r="J1599" s="19">
        <v>0.14950949612165387</v>
      </c>
    </row>
    <row r="1600" spans="1:10" ht="11.25" customHeight="1" x14ac:dyDescent="0.2">
      <c r="A1600" s="28">
        <v>44562</v>
      </c>
      <c r="B1600" s="18">
        <v>329263.62974159996</v>
      </c>
      <c r="C1600" s="18">
        <v>378491.66911545343</v>
      </c>
      <c r="D1600" s="18">
        <v>0</v>
      </c>
      <c r="E1600" s="18">
        <v>0</v>
      </c>
      <c r="F1600" s="18">
        <v>0</v>
      </c>
      <c r="G1600" s="18">
        <v>0</v>
      </c>
      <c r="H1600" s="19">
        <v>0.1495094961216541</v>
      </c>
      <c r="I1600" s="19">
        <v>0</v>
      </c>
      <c r="J1600" s="19">
        <v>0.1495094961216541</v>
      </c>
    </row>
    <row r="1601" spans="1:10" ht="11.25" customHeight="1" x14ac:dyDescent="0.2">
      <c r="A1601" s="28">
        <v>44593</v>
      </c>
      <c r="B1601" s="18">
        <v>306658.70192352001</v>
      </c>
      <c r="C1601" s="18">
        <v>352507.08992942591</v>
      </c>
      <c r="D1601" s="18">
        <v>0</v>
      </c>
      <c r="E1601" s="18">
        <v>0</v>
      </c>
      <c r="F1601" s="18">
        <v>0</v>
      </c>
      <c r="G1601" s="18">
        <v>0</v>
      </c>
      <c r="H1601" s="19">
        <v>0.14950949612165387</v>
      </c>
      <c r="I1601" s="19">
        <v>0</v>
      </c>
      <c r="J1601" s="19">
        <v>0.14950949612165387</v>
      </c>
    </row>
    <row r="1602" spans="1:10" ht="11.25" customHeight="1" x14ac:dyDescent="0.2">
      <c r="A1602" s="28">
        <v>44621</v>
      </c>
      <c r="B1602" s="18">
        <v>305057.05281446397</v>
      </c>
      <c r="C1602" s="18">
        <v>350665.97906911123</v>
      </c>
      <c r="D1602" s="18">
        <v>0</v>
      </c>
      <c r="E1602" s="18">
        <v>0</v>
      </c>
      <c r="F1602" s="18">
        <v>0</v>
      </c>
      <c r="G1602" s="18">
        <v>0</v>
      </c>
      <c r="H1602" s="19">
        <v>0.14950949612165387</v>
      </c>
      <c r="I1602" s="19">
        <v>0</v>
      </c>
      <c r="J1602" s="19">
        <v>0.14950949612165387</v>
      </c>
    </row>
    <row r="1603" spans="1:10" ht="11.25" customHeight="1" x14ac:dyDescent="0.2">
      <c r="A1603" s="28">
        <v>44652</v>
      </c>
      <c r="B1603" s="18">
        <v>303321.75876979198</v>
      </c>
      <c r="C1603" s="18">
        <v>348671.24208619742</v>
      </c>
      <c r="D1603" s="18">
        <v>0</v>
      </c>
      <c r="E1603" s="18">
        <v>0</v>
      </c>
      <c r="F1603" s="18">
        <v>0</v>
      </c>
      <c r="G1603" s="18">
        <v>0</v>
      </c>
      <c r="H1603" s="19">
        <v>0.14950949612165387</v>
      </c>
      <c r="I1603" s="19">
        <v>0</v>
      </c>
      <c r="J1603" s="19">
        <v>0.14950949612165387</v>
      </c>
    </row>
    <row r="1604" spans="1:10" ht="11.25" customHeight="1" x14ac:dyDescent="0.2">
      <c r="A1604" s="28">
        <v>44682</v>
      </c>
      <c r="B1604" s="18">
        <v>303321.75876979198</v>
      </c>
      <c r="C1604" s="18">
        <v>348671.24208619742</v>
      </c>
      <c r="D1604" s="18">
        <v>0</v>
      </c>
      <c r="E1604" s="18">
        <v>0</v>
      </c>
      <c r="F1604" s="18">
        <v>0</v>
      </c>
      <c r="G1604" s="18">
        <v>0</v>
      </c>
      <c r="H1604" s="19">
        <v>0.14950949612165387</v>
      </c>
      <c r="I1604" s="19">
        <v>0</v>
      </c>
      <c r="J1604" s="19">
        <v>0.14950949612165387</v>
      </c>
    </row>
    <row r="1605" spans="1:10" ht="11.25" customHeight="1" x14ac:dyDescent="0.2">
      <c r="A1605" s="25" t="s">
        <v>25</v>
      </c>
      <c r="B1605" s="18">
        <v>9832812.2099999972</v>
      </c>
      <c r="C1605" s="18">
        <v>11355196.094562883</v>
      </c>
      <c r="D1605" s="18">
        <v>5112268.501339999</v>
      </c>
      <c r="E1605" s="18">
        <v>7914592.1479380764</v>
      </c>
      <c r="F1605" s="18">
        <v>0</v>
      </c>
      <c r="G1605" s="18">
        <v>0</v>
      </c>
      <c r="H1605" s="19">
        <v>0.28937331384764442</v>
      </c>
      <c r="I1605" s="19">
        <v>0</v>
      </c>
      <c r="J1605" s="19">
        <v>0.28937331384764442</v>
      </c>
    </row>
    <row r="1606" spans="1:10" ht="11.25" customHeight="1" x14ac:dyDescent="0.2">
      <c r="A1606" s="26" t="s">
        <v>25</v>
      </c>
      <c r="B1606" s="18">
        <v>9832812.2099999972</v>
      </c>
      <c r="C1606" s="18">
        <v>11355196.094562883</v>
      </c>
      <c r="D1606" s="18">
        <v>5112268.501339999</v>
      </c>
      <c r="E1606" s="18">
        <v>7914592.1479380764</v>
      </c>
      <c r="F1606" s="18">
        <v>0</v>
      </c>
      <c r="G1606" s="18">
        <v>0</v>
      </c>
      <c r="H1606" s="19">
        <v>0.28937331384764442</v>
      </c>
      <c r="I1606" s="19">
        <v>0</v>
      </c>
      <c r="J1606" s="19">
        <v>0.28937331384764442</v>
      </c>
    </row>
    <row r="1607" spans="1:10" ht="11.25" customHeight="1" x14ac:dyDescent="0.2">
      <c r="A1607" s="27" t="s">
        <v>35</v>
      </c>
      <c r="B1607" s="18">
        <v>2782911.41</v>
      </c>
      <c r="C1607" s="18">
        <v>3251268.178247238</v>
      </c>
      <c r="D1607" s="18">
        <v>0</v>
      </c>
      <c r="E1607" s="18">
        <v>0</v>
      </c>
      <c r="F1607" s="18">
        <v>0</v>
      </c>
      <c r="G1607" s="18">
        <v>0</v>
      </c>
      <c r="H1607" s="19">
        <v>0.16829740485603084</v>
      </c>
      <c r="I1607" s="19">
        <v>0</v>
      </c>
      <c r="J1607" s="19">
        <v>0.16829740485603084</v>
      </c>
    </row>
    <row r="1608" spans="1:10" ht="11.25" customHeight="1" x14ac:dyDescent="0.2">
      <c r="A1608" s="28">
        <v>44348</v>
      </c>
      <c r="B1608" s="18">
        <v>102040</v>
      </c>
      <c r="C1608" s="18">
        <v>119213.06719150943</v>
      </c>
      <c r="D1608" s="18">
        <v>0</v>
      </c>
      <c r="E1608" s="18">
        <v>0</v>
      </c>
      <c r="F1608" s="18">
        <v>0</v>
      </c>
      <c r="G1608" s="18">
        <v>0</v>
      </c>
      <c r="H1608" s="19">
        <v>0.16829740485603129</v>
      </c>
      <c r="I1608" s="19">
        <v>0</v>
      </c>
      <c r="J1608" s="19">
        <v>0.16829740485603129</v>
      </c>
    </row>
    <row r="1609" spans="1:10" ht="11.25" customHeight="1" x14ac:dyDescent="0.2">
      <c r="A1609" s="28">
        <v>44378</v>
      </c>
      <c r="B1609" s="18">
        <v>102040</v>
      </c>
      <c r="C1609" s="18">
        <v>119213.06719150943</v>
      </c>
      <c r="D1609" s="18">
        <v>0</v>
      </c>
      <c r="E1609" s="18">
        <v>0</v>
      </c>
      <c r="F1609" s="18">
        <v>0</v>
      </c>
      <c r="G1609" s="18">
        <v>0</v>
      </c>
      <c r="H1609" s="19">
        <v>0.16829740485603129</v>
      </c>
      <c r="I1609" s="19">
        <v>0</v>
      </c>
      <c r="J1609" s="19">
        <v>0.16829740485603129</v>
      </c>
    </row>
    <row r="1610" spans="1:10" ht="11.25" customHeight="1" x14ac:dyDescent="0.2">
      <c r="A1610" s="28">
        <v>44409</v>
      </c>
      <c r="B1610" s="18">
        <v>254589.80000000002</v>
      </c>
      <c r="C1610" s="18">
        <v>297436.60264281603</v>
      </c>
      <c r="D1610" s="18">
        <v>0</v>
      </c>
      <c r="E1610" s="18">
        <v>0</v>
      </c>
      <c r="F1610" s="18">
        <v>0</v>
      </c>
      <c r="G1610" s="18">
        <v>0</v>
      </c>
      <c r="H1610" s="19">
        <v>0.16829740485603106</v>
      </c>
      <c r="I1610" s="19">
        <v>0</v>
      </c>
      <c r="J1610" s="19">
        <v>0.16829740485603106</v>
      </c>
    </row>
    <row r="1611" spans="1:10" ht="11.25" customHeight="1" x14ac:dyDescent="0.2">
      <c r="A1611" s="28">
        <v>44440</v>
      </c>
      <c r="B1611" s="18">
        <v>256120.40000000002</v>
      </c>
      <c r="C1611" s="18">
        <v>299224.79865068867</v>
      </c>
      <c r="D1611" s="18">
        <v>0</v>
      </c>
      <c r="E1611" s="18">
        <v>0</v>
      </c>
      <c r="F1611" s="18">
        <v>0</v>
      </c>
      <c r="G1611" s="18">
        <v>0</v>
      </c>
      <c r="H1611" s="19">
        <v>0.16829740485603106</v>
      </c>
      <c r="I1611" s="19">
        <v>0</v>
      </c>
      <c r="J1611" s="19">
        <v>0.16829740485603106</v>
      </c>
    </row>
    <row r="1612" spans="1:10" ht="11.25" customHeight="1" x14ac:dyDescent="0.2">
      <c r="A1612" s="28">
        <v>44470</v>
      </c>
      <c r="B1612" s="18">
        <v>256452.03000000003</v>
      </c>
      <c r="C1612" s="18">
        <v>299612.24111906107</v>
      </c>
      <c r="D1612" s="18">
        <v>0</v>
      </c>
      <c r="E1612" s="18">
        <v>0</v>
      </c>
      <c r="F1612" s="18">
        <v>0</v>
      </c>
      <c r="G1612" s="18">
        <v>0</v>
      </c>
      <c r="H1612" s="19">
        <v>0.16829740485603106</v>
      </c>
      <c r="I1612" s="19">
        <v>0</v>
      </c>
      <c r="J1612" s="19">
        <v>0.16829740485603106</v>
      </c>
    </row>
    <row r="1613" spans="1:10" ht="11.25" customHeight="1" x14ac:dyDescent="0.2">
      <c r="A1613" s="28">
        <v>44501</v>
      </c>
      <c r="B1613" s="18">
        <v>255686.73</v>
      </c>
      <c r="C1613" s="18">
        <v>298718.14311512472</v>
      </c>
      <c r="D1613" s="18">
        <v>0</v>
      </c>
      <c r="E1613" s="18">
        <v>0</v>
      </c>
      <c r="F1613" s="18">
        <v>0</v>
      </c>
      <c r="G1613" s="18">
        <v>0</v>
      </c>
      <c r="H1613" s="19">
        <v>0.16829740485603106</v>
      </c>
      <c r="I1613" s="19">
        <v>0</v>
      </c>
      <c r="J1613" s="19">
        <v>0.16829740485603106</v>
      </c>
    </row>
    <row r="1614" spans="1:10" ht="11.25" customHeight="1" x14ac:dyDescent="0.2">
      <c r="A1614" s="28">
        <v>44531</v>
      </c>
      <c r="B1614" s="18">
        <v>255992.85</v>
      </c>
      <c r="C1614" s="18">
        <v>299075.78231669927</v>
      </c>
      <c r="D1614" s="18">
        <v>0</v>
      </c>
      <c r="E1614" s="18">
        <v>0</v>
      </c>
      <c r="F1614" s="18">
        <v>0</v>
      </c>
      <c r="G1614" s="18">
        <v>0</v>
      </c>
      <c r="H1614" s="19">
        <v>0.16829740485603129</v>
      </c>
      <c r="I1614" s="19">
        <v>0</v>
      </c>
      <c r="J1614" s="19">
        <v>0.16829740485603129</v>
      </c>
    </row>
    <row r="1615" spans="1:10" ht="11.25" customHeight="1" x14ac:dyDescent="0.2">
      <c r="A1615" s="28">
        <v>44562</v>
      </c>
      <c r="B1615" s="18">
        <v>257625.49000000002</v>
      </c>
      <c r="C1615" s="18">
        <v>300983.19139176339</v>
      </c>
      <c r="D1615" s="18">
        <v>0</v>
      </c>
      <c r="E1615" s="18">
        <v>0</v>
      </c>
      <c r="F1615" s="18">
        <v>0</v>
      </c>
      <c r="G1615" s="18">
        <v>0</v>
      </c>
      <c r="H1615" s="19">
        <v>0.16829740485603106</v>
      </c>
      <c r="I1615" s="19">
        <v>0</v>
      </c>
      <c r="J1615" s="19">
        <v>0.16829740485603106</v>
      </c>
    </row>
    <row r="1616" spans="1:10" ht="11.25" customHeight="1" x14ac:dyDescent="0.2">
      <c r="A1616" s="28">
        <v>44593</v>
      </c>
      <c r="B1616" s="18">
        <v>258518.34000000003</v>
      </c>
      <c r="C1616" s="18">
        <v>302026.30572968913</v>
      </c>
      <c r="D1616" s="18">
        <v>0</v>
      </c>
      <c r="E1616" s="18">
        <v>0</v>
      </c>
      <c r="F1616" s="18">
        <v>0</v>
      </c>
      <c r="G1616" s="18">
        <v>0</v>
      </c>
      <c r="H1616" s="19">
        <v>0.16829740485603106</v>
      </c>
      <c r="I1616" s="19">
        <v>0</v>
      </c>
      <c r="J1616" s="19">
        <v>0.16829740485603106</v>
      </c>
    </row>
    <row r="1617" spans="1:10" ht="11.25" customHeight="1" x14ac:dyDescent="0.2">
      <c r="A1617" s="28">
        <v>44621</v>
      </c>
      <c r="B1617" s="18">
        <v>264360.13</v>
      </c>
      <c r="C1617" s="18">
        <v>308851.25382640306</v>
      </c>
      <c r="D1617" s="18">
        <v>0</v>
      </c>
      <c r="E1617" s="18">
        <v>0</v>
      </c>
      <c r="F1617" s="18">
        <v>0</v>
      </c>
      <c r="G1617" s="18">
        <v>0</v>
      </c>
      <c r="H1617" s="19">
        <v>0.16829740485603129</v>
      </c>
      <c r="I1617" s="19">
        <v>0</v>
      </c>
      <c r="J1617" s="19">
        <v>0.16829740485603129</v>
      </c>
    </row>
    <row r="1618" spans="1:10" ht="11.25" customHeight="1" x14ac:dyDescent="0.2">
      <c r="A1618" s="28">
        <v>44652</v>
      </c>
      <c r="B1618" s="18">
        <v>259742.82</v>
      </c>
      <c r="C1618" s="18">
        <v>303456.86253598722</v>
      </c>
      <c r="D1618" s="18">
        <v>0</v>
      </c>
      <c r="E1618" s="18">
        <v>0</v>
      </c>
      <c r="F1618" s="18">
        <v>0</v>
      </c>
      <c r="G1618" s="18">
        <v>0</v>
      </c>
      <c r="H1618" s="19">
        <v>0.16829740485603106</v>
      </c>
      <c r="I1618" s="19">
        <v>0</v>
      </c>
      <c r="J1618" s="19">
        <v>0.16829740485603106</v>
      </c>
    </row>
    <row r="1619" spans="1:10" ht="11.25" customHeight="1" x14ac:dyDescent="0.2">
      <c r="A1619" s="28">
        <v>44682</v>
      </c>
      <c r="B1619" s="18">
        <v>259742.82</v>
      </c>
      <c r="C1619" s="18">
        <v>303456.86253598722</v>
      </c>
      <c r="D1619" s="18">
        <v>0</v>
      </c>
      <c r="E1619" s="18">
        <v>0</v>
      </c>
      <c r="F1619" s="18">
        <v>0</v>
      </c>
      <c r="G1619" s="18">
        <v>0</v>
      </c>
      <c r="H1619" s="19">
        <v>0.16829740485603106</v>
      </c>
      <c r="I1619" s="19">
        <v>0</v>
      </c>
      <c r="J1619" s="19">
        <v>0.16829740485603106</v>
      </c>
    </row>
    <row r="1620" spans="1:10" ht="11.25" customHeight="1" x14ac:dyDescent="0.2">
      <c r="A1620" s="27" t="s">
        <v>25</v>
      </c>
      <c r="B1620" s="18">
        <v>0</v>
      </c>
      <c r="C1620" s="18">
        <v>0</v>
      </c>
      <c r="D1620" s="18">
        <v>5112268.501339999</v>
      </c>
      <c r="E1620" s="18">
        <v>7914592.1479380764</v>
      </c>
      <c r="F1620" s="18">
        <v>0</v>
      </c>
      <c r="G1620" s="18">
        <v>0</v>
      </c>
      <c r="H1620" s="19">
        <v>0.54815658564559899</v>
      </c>
      <c r="I1620" s="19">
        <v>0</v>
      </c>
      <c r="J1620" s="19">
        <v>0.54815658564559899</v>
      </c>
    </row>
    <row r="1621" spans="1:10" ht="11.25" customHeight="1" x14ac:dyDescent="0.2">
      <c r="A1621" s="28">
        <v>44348</v>
      </c>
      <c r="B1621" s="18">
        <v>0</v>
      </c>
      <c r="C1621" s="18">
        <v>0</v>
      </c>
      <c r="D1621" s="18">
        <v>233317.74466</v>
      </c>
      <c r="E1621" s="18">
        <v>361212.40294335718</v>
      </c>
      <c r="F1621" s="18">
        <v>0</v>
      </c>
      <c r="G1621" s="18">
        <v>0</v>
      </c>
      <c r="H1621" s="19">
        <v>0.54815658564559855</v>
      </c>
      <c r="I1621" s="19">
        <v>0</v>
      </c>
      <c r="J1621" s="19">
        <v>0.54815658564559855</v>
      </c>
    </row>
    <row r="1622" spans="1:10" ht="11.25" customHeight="1" x14ac:dyDescent="0.2">
      <c r="A1622" s="28">
        <v>44378</v>
      </c>
      <c r="B1622" s="18">
        <v>0</v>
      </c>
      <c r="C1622" s="18">
        <v>0</v>
      </c>
      <c r="D1622" s="18">
        <v>226452.80085999999</v>
      </c>
      <c r="E1622" s="18">
        <v>350584.39498930023</v>
      </c>
      <c r="F1622" s="18">
        <v>0</v>
      </c>
      <c r="G1622" s="18">
        <v>0</v>
      </c>
      <c r="H1622" s="19">
        <v>0.54815658564559855</v>
      </c>
      <c r="I1622" s="19">
        <v>0</v>
      </c>
      <c r="J1622" s="19">
        <v>0.54815658564559855</v>
      </c>
    </row>
    <row r="1623" spans="1:10" ht="11.25" customHeight="1" x14ac:dyDescent="0.2">
      <c r="A1623" s="28">
        <v>44409</v>
      </c>
      <c r="B1623" s="18">
        <v>0</v>
      </c>
      <c r="C1623" s="18">
        <v>0</v>
      </c>
      <c r="D1623" s="18">
        <v>440113.11629999999</v>
      </c>
      <c r="E1623" s="18">
        <v>681364.01942885225</v>
      </c>
      <c r="F1623" s="18">
        <v>0</v>
      </c>
      <c r="G1623" s="18">
        <v>0</v>
      </c>
      <c r="H1623" s="19">
        <v>0.54815658564559855</v>
      </c>
      <c r="I1623" s="19">
        <v>0</v>
      </c>
      <c r="J1623" s="19">
        <v>0.54815658564559855</v>
      </c>
    </row>
    <row r="1624" spans="1:10" ht="11.25" customHeight="1" x14ac:dyDescent="0.2">
      <c r="A1624" s="28">
        <v>44440</v>
      </c>
      <c r="B1624" s="18">
        <v>0</v>
      </c>
      <c r="C1624" s="18">
        <v>0</v>
      </c>
      <c r="D1624" s="18">
        <v>463000.16333999997</v>
      </c>
      <c r="E1624" s="18">
        <v>716796.7520298087</v>
      </c>
      <c r="F1624" s="18">
        <v>0</v>
      </c>
      <c r="G1624" s="18">
        <v>0</v>
      </c>
      <c r="H1624" s="19">
        <v>0.54815658564559833</v>
      </c>
      <c r="I1624" s="19">
        <v>0</v>
      </c>
      <c r="J1624" s="19">
        <v>0.54815658564559833</v>
      </c>
    </row>
    <row r="1625" spans="1:10" ht="11.25" customHeight="1" x14ac:dyDescent="0.2">
      <c r="A1625" s="28">
        <v>44470</v>
      </c>
      <c r="B1625" s="18">
        <v>0</v>
      </c>
      <c r="C1625" s="18">
        <v>0</v>
      </c>
      <c r="D1625" s="18">
        <v>453721.45103999996</v>
      </c>
      <c r="E1625" s="18">
        <v>702431.85247625294</v>
      </c>
      <c r="F1625" s="18">
        <v>0</v>
      </c>
      <c r="G1625" s="18">
        <v>0</v>
      </c>
      <c r="H1625" s="19">
        <v>0.54815658564559855</v>
      </c>
      <c r="I1625" s="19">
        <v>0</v>
      </c>
      <c r="J1625" s="19">
        <v>0.54815658564559855</v>
      </c>
    </row>
    <row r="1626" spans="1:10" ht="11.25" customHeight="1" x14ac:dyDescent="0.2">
      <c r="A1626" s="28">
        <v>44501</v>
      </c>
      <c r="B1626" s="18">
        <v>0</v>
      </c>
      <c r="C1626" s="18">
        <v>0</v>
      </c>
      <c r="D1626" s="18">
        <v>480528.06801999995</v>
      </c>
      <c r="E1626" s="18">
        <v>743932.69309271907</v>
      </c>
      <c r="F1626" s="18">
        <v>0</v>
      </c>
      <c r="G1626" s="18">
        <v>0</v>
      </c>
      <c r="H1626" s="19">
        <v>0.54815658564559855</v>
      </c>
      <c r="I1626" s="19">
        <v>0</v>
      </c>
      <c r="J1626" s="19">
        <v>0.54815658564559855</v>
      </c>
    </row>
    <row r="1627" spans="1:10" ht="11.25" customHeight="1" x14ac:dyDescent="0.2">
      <c r="A1627" s="28">
        <v>44531</v>
      </c>
      <c r="B1627" s="18">
        <v>0</v>
      </c>
      <c r="C1627" s="18">
        <v>0</v>
      </c>
      <c r="D1627" s="18">
        <v>491690.45067999995</v>
      </c>
      <c r="E1627" s="18">
        <v>761213.80931929429</v>
      </c>
      <c r="F1627" s="18">
        <v>0</v>
      </c>
      <c r="G1627" s="18">
        <v>0</v>
      </c>
      <c r="H1627" s="19">
        <v>0.54815658564559855</v>
      </c>
      <c r="I1627" s="19">
        <v>0</v>
      </c>
      <c r="J1627" s="19">
        <v>0.54815658564559855</v>
      </c>
    </row>
    <row r="1628" spans="1:10" ht="11.25" customHeight="1" x14ac:dyDescent="0.2">
      <c r="A1628" s="28">
        <v>44562</v>
      </c>
      <c r="B1628" s="18">
        <v>0</v>
      </c>
      <c r="C1628" s="18">
        <v>0</v>
      </c>
      <c r="D1628" s="18">
        <v>433408.20380000002</v>
      </c>
      <c r="E1628" s="18">
        <v>670983.76498579967</v>
      </c>
      <c r="F1628" s="18">
        <v>0</v>
      </c>
      <c r="G1628" s="18">
        <v>0</v>
      </c>
      <c r="H1628" s="19">
        <v>0.54815658564559833</v>
      </c>
      <c r="I1628" s="19">
        <v>0</v>
      </c>
      <c r="J1628" s="19">
        <v>0.54815658564559833</v>
      </c>
    </row>
    <row r="1629" spans="1:10" ht="11.25" customHeight="1" x14ac:dyDescent="0.2">
      <c r="A1629" s="28">
        <v>44593</v>
      </c>
      <c r="B1629" s="18">
        <v>0</v>
      </c>
      <c r="C1629" s="18">
        <v>0</v>
      </c>
      <c r="D1629" s="18">
        <v>425241.46522000001</v>
      </c>
      <c r="E1629" s="18">
        <v>658340.37486992672</v>
      </c>
      <c r="F1629" s="18">
        <v>0</v>
      </c>
      <c r="G1629" s="18">
        <v>0</v>
      </c>
      <c r="H1629" s="19">
        <v>0.54815658564559833</v>
      </c>
      <c r="I1629" s="19">
        <v>0</v>
      </c>
      <c r="J1629" s="19">
        <v>0.54815658564559833</v>
      </c>
    </row>
    <row r="1630" spans="1:10" ht="11.25" customHeight="1" x14ac:dyDescent="0.2">
      <c r="A1630" s="28">
        <v>44621</v>
      </c>
      <c r="B1630" s="18">
        <v>0</v>
      </c>
      <c r="C1630" s="18">
        <v>0</v>
      </c>
      <c r="D1630" s="18">
        <v>438861.76905999996</v>
      </c>
      <c r="E1630" s="18">
        <v>679426.73795831669</v>
      </c>
      <c r="F1630" s="18">
        <v>0</v>
      </c>
      <c r="G1630" s="18">
        <v>0</v>
      </c>
      <c r="H1630" s="19">
        <v>0.54815658564559855</v>
      </c>
      <c r="I1630" s="19">
        <v>0</v>
      </c>
      <c r="J1630" s="19">
        <v>0.54815658564559855</v>
      </c>
    </row>
    <row r="1631" spans="1:10" ht="11.25" customHeight="1" x14ac:dyDescent="0.2">
      <c r="A1631" s="28">
        <v>44652</v>
      </c>
      <c r="B1631" s="18">
        <v>0</v>
      </c>
      <c r="C1631" s="18">
        <v>0</v>
      </c>
      <c r="D1631" s="18">
        <v>512966.63417999999</v>
      </c>
      <c r="E1631" s="18">
        <v>794152.67292222357</v>
      </c>
      <c r="F1631" s="18">
        <v>0</v>
      </c>
      <c r="G1631" s="18">
        <v>0</v>
      </c>
      <c r="H1631" s="19">
        <v>0.54815658564559855</v>
      </c>
      <c r="I1631" s="19">
        <v>0</v>
      </c>
      <c r="J1631" s="19">
        <v>0.54815658564559855</v>
      </c>
    </row>
    <row r="1632" spans="1:10" ht="11.25" customHeight="1" x14ac:dyDescent="0.2">
      <c r="A1632" s="28">
        <v>44682</v>
      </c>
      <c r="B1632" s="18">
        <v>0</v>
      </c>
      <c r="C1632" s="18">
        <v>0</v>
      </c>
      <c r="D1632" s="18">
        <v>512966.63417999999</v>
      </c>
      <c r="E1632" s="18">
        <v>794152.67292222357</v>
      </c>
      <c r="F1632" s="18">
        <v>0</v>
      </c>
      <c r="G1632" s="18">
        <v>0</v>
      </c>
      <c r="H1632" s="19">
        <v>0.54815658564559855</v>
      </c>
      <c r="I1632" s="19">
        <v>0</v>
      </c>
      <c r="J1632" s="19">
        <v>0.54815658564559855</v>
      </c>
    </row>
    <row r="1633" spans="1:10" ht="11.25" customHeight="1" x14ac:dyDescent="0.2">
      <c r="A1633" s="27" t="s">
        <v>34</v>
      </c>
      <c r="B1633" s="18">
        <v>7049900.8000000007</v>
      </c>
      <c r="C1633" s="18">
        <v>8103927.9163156431</v>
      </c>
      <c r="D1633" s="18">
        <v>0</v>
      </c>
      <c r="E1633" s="18">
        <v>0</v>
      </c>
      <c r="F1633" s="18">
        <v>0</v>
      </c>
      <c r="G1633" s="18">
        <v>0</v>
      </c>
      <c r="H1633" s="19">
        <v>0.14950949612165365</v>
      </c>
      <c r="I1633" s="19">
        <v>0</v>
      </c>
      <c r="J1633" s="19">
        <v>0.14950949612165365</v>
      </c>
    </row>
    <row r="1634" spans="1:10" ht="11.25" customHeight="1" x14ac:dyDescent="0.2">
      <c r="A1634" s="28">
        <v>44348</v>
      </c>
      <c r="B1634" s="18">
        <v>262400</v>
      </c>
      <c r="C1634" s="18">
        <v>301631.29178232199</v>
      </c>
      <c r="D1634" s="18">
        <v>0</v>
      </c>
      <c r="E1634" s="18">
        <v>0</v>
      </c>
      <c r="F1634" s="18">
        <v>0</v>
      </c>
      <c r="G1634" s="18">
        <v>0</v>
      </c>
      <c r="H1634" s="19">
        <v>0.14950949612165387</v>
      </c>
      <c r="I1634" s="19">
        <v>0</v>
      </c>
      <c r="J1634" s="19">
        <v>0.14950949612165387</v>
      </c>
    </row>
    <row r="1635" spans="1:10" ht="11.25" customHeight="1" x14ac:dyDescent="0.2">
      <c r="A1635" s="28">
        <v>44378</v>
      </c>
      <c r="B1635" s="18">
        <v>262400</v>
      </c>
      <c r="C1635" s="18">
        <v>301631.29178232199</v>
      </c>
      <c r="D1635" s="18">
        <v>0</v>
      </c>
      <c r="E1635" s="18">
        <v>0</v>
      </c>
      <c r="F1635" s="18">
        <v>0</v>
      </c>
      <c r="G1635" s="18">
        <v>0</v>
      </c>
      <c r="H1635" s="19">
        <v>0.14950949612165387</v>
      </c>
      <c r="I1635" s="19">
        <v>0</v>
      </c>
      <c r="J1635" s="19">
        <v>0.14950949612165387</v>
      </c>
    </row>
    <row r="1636" spans="1:10" ht="11.25" customHeight="1" x14ac:dyDescent="0.2">
      <c r="A1636" s="28">
        <v>44409</v>
      </c>
      <c r="B1636" s="18">
        <v>646160</v>
      </c>
      <c r="C1636" s="18">
        <v>742767.05601396784</v>
      </c>
      <c r="D1636" s="18">
        <v>0</v>
      </c>
      <c r="E1636" s="18">
        <v>0</v>
      </c>
      <c r="F1636" s="18">
        <v>0</v>
      </c>
      <c r="G1636" s="18">
        <v>0</v>
      </c>
      <c r="H1636" s="19">
        <v>0.14950949612165387</v>
      </c>
      <c r="I1636" s="19">
        <v>0</v>
      </c>
      <c r="J1636" s="19">
        <v>0.14950949612165387</v>
      </c>
    </row>
    <row r="1637" spans="1:10" ht="11.25" customHeight="1" x14ac:dyDescent="0.2">
      <c r="A1637" s="28">
        <v>44440</v>
      </c>
      <c r="B1637" s="18">
        <v>647209.6</v>
      </c>
      <c r="C1637" s="18">
        <v>743973.58118109708</v>
      </c>
      <c r="D1637" s="18">
        <v>0</v>
      </c>
      <c r="E1637" s="18">
        <v>0</v>
      </c>
      <c r="F1637" s="18">
        <v>0</v>
      </c>
      <c r="G1637" s="18">
        <v>0</v>
      </c>
      <c r="H1637" s="19">
        <v>0.14950949612165387</v>
      </c>
      <c r="I1637" s="19">
        <v>0</v>
      </c>
      <c r="J1637" s="19">
        <v>0.14950949612165387</v>
      </c>
    </row>
    <row r="1638" spans="1:10" ht="11.25" customHeight="1" x14ac:dyDescent="0.2">
      <c r="A1638" s="28">
        <v>44470</v>
      </c>
      <c r="B1638" s="18">
        <v>650620.79999999993</v>
      </c>
      <c r="C1638" s="18">
        <v>747894.78797426727</v>
      </c>
      <c r="D1638" s="18">
        <v>0</v>
      </c>
      <c r="E1638" s="18">
        <v>0</v>
      </c>
      <c r="F1638" s="18">
        <v>0</v>
      </c>
      <c r="G1638" s="18">
        <v>0</v>
      </c>
      <c r="H1638" s="19">
        <v>0.14950949612165387</v>
      </c>
      <c r="I1638" s="19">
        <v>0</v>
      </c>
      <c r="J1638" s="19">
        <v>0.14950949612165387</v>
      </c>
    </row>
    <row r="1639" spans="1:10" ht="11.25" customHeight="1" x14ac:dyDescent="0.2">
      <c r="A1639" s="28">
        <v>44501</v>
      </c>
      <c r="B1639" s="18">
        <v>646160</v>
      </c>
      <c r="C1639" s="18">
        <v>742767.05601396784</v>
      </c>
      <c r="D1639" s="18">
        <v>0</v>
      </c>
      <c r="E1639" s="18">
        <v>0</v>
      </c>
      <c r="F1639" s="18">
        <v>0</v>
      </c>
      <c r="G1639" s="18">
        <v>0</v>
      </c>
      <c r="H1639" s="19">
        <v>0.14950949612165387</v>
      </c>
      <c r="I1639" s="19">
        <v>0</v>
      </c>
      <c r="J1639" s="19">
        <v>0.14950949612165387</v>
      </c>
    </row>
    <row r="1640" spans="1:10" ht="11.25" customHeight="1" x14ac:dyDescent="0.2">
      <c r="A1640" s="28">
        <v>44531</v>
      </c>
      <c r="B1640" s="18">
        <v>646160</v>
      </c>
      <c r="C1640" s="18">
        <v>742767.05601396784</v>
      </c>
      <c r="D1640" s="18">
        <v>0</v>
      </c>
      <c r="E1640" s="18">
        <v>0</v>
      </c>
      <c r="F1640" s="18">
        <v>0</v>
      </c>
      <c r="G1640" s="18">
        <v>0</v>
      </c>
      <c r="H1640" s="19">
        <v>0.14950949612165387</v>
      </c>
      <c r="I1640" s="19">
        <v>0</v>
      </c>
      <c r="J1640" s="19">
        <v>0.14950949612165387</v>
      </c>
    </row>
    <row r="1641" spans="1:10" ht="11.25" customHeight="1" x14ac:dyDescent="0.2">
      <c r="A1641" s="28">
        <v>44562</v>
      </c>
      <c r="B1641" s="18">
        <v>648849.6</v>
      </c>
      <c r="C1641" s="18">
        <v>745858.77675473667</v>
      </c>
      <c r="D1641" s="18">
        <v>0</v>
      </c>
      <c r="E1641" s="18">
        <v>0</v>
      </c>
      <c r="F1641" s="18">
        <v>0</v>
      </c>
      <c r="G1641" s="18">
        <v>0</v>
      </c>
      <c r="H1641" s="19">
        <v>0.14950949612165387</v>
      </c>
      <c r="I1641" s="19">
        <v>0</v>
      </c>
      <c r="J1641" s="19">
        <v>0.14950949612165387</v>
      </c>
    </row>
    <row r="1642" spans="1:10" ht="11.25" customHeight="1" x14ac:dyDescent="0.2">
      <c r="A1642" s="28">
        <v>44593</v>
      </c>
      <c r="B1642" s="18">
        <v>653966.39999999991</v>
      </c>
      <c r="C1642" s="18">
        <v>751740.58694449195</v>
      </c>
      <c r="D1642" s="18">
        <v>0</v>
      </c>
      <c r="E1642" s="18">
        <v>0</v>
      </c>
      <c r="F1642" s="18">
        <v>0</v>
      </c>
      <c r="G1642" s="18">
        <v>0</v>
      </c>
      <c r="H1642" s="19">
        <v>0.1495094961216541</v>
      </c>
      <c r="I1642" s="19">
        <v>0</v>
      </c>
      <c r="J1642" s="19">
        <v>0.1495094961216541</v>
      </c>
    </row>
    <row r="1643" spans="1:10" ht="11.25" customHeight="1" x14ac:dyDescent="0.2">
      <c r="A1643" s="28">
        <v>44621</v>
      </c>
      <c r="B1643" s="18">
        <v>671088</v>
      </c>
      <c r="C1643" s="18">
        <v>771422.0287332884</v>
      </c>
      <c r="D1643" s="18">
        <v>0</v>
      </c>
      <c r="E1643" s="18">
        <v>0</v>
      </c>
      <c r="F1643" s="18">
        <v>0</v>
      </c>
      <c r="G1643" s="18">
        <v>0</v>
      </c>
      <c r="H1643" s="19">
        <v>0.14950949612165387</v>
      </c>
      <c r="I1643" s="19">
        <v>0</v>
      </c>
      <c r="J1643" s="19">
        <v>0.14950949612165387</v>
      </c>
    </row>
    <row r="1644" spans="1:10" ht="11.25" customHeight="1" x14ac:dyDescent="0.2">
      <c r="A1644" s="28">
        <v>44652</v>
      </c>
      <c r="B1644" s="18">
        <v>657443.19999999995</v>
      </c>
      <c r="C1644" s="18">
        <v>755737.20156060765</v>
      </c>
      <c r="D1644" s="18">
        <v>0</v>
      </c>
      <c r="E1644" s="18">
        <v>0</v>
      </c>
      <c r="F1644" s="18">
        <v>0</v>
      </c>
      <c r="G1644" s="18">
        <v>0</v>
      </c>
      <c r="H1644" s="19">
        <v>0.14950949612165387</v>
      </c>
      <c r="I1644" s="19">
        <v>0</v>
      </c>
      <c r="J1644" s="19">
        <v>0.14950949612165387</v>
      </c>
    </row>
    <row r="1645" spans="1:10" ht="11.25" customHeight="1" x14ac:dyDescent="0.2">
      <c r="A1645" s="28">
        <v>44682</v>
      </c>
      <c r="B1645" s="18">
        <v>657443.19999999995</v>
      </c>
      <c r="C1645" s="18">
        <v>755737.20156060765</v>
      </c>
      <c r="D1645" s="18">
        <v>0</v>
      </c>
      <c r="E1645" s="18">
        <v>0</v>
      </c>
      <c r="F1645" s="18">
        <v>0</v>
      </c>
      <c r="G1645" s="18">
        <v>0</v>
      </c>
      <c r="H1645" s="19">
        <v>0.14950949612165387</v>
      </c>
      <c r="I1645" s="19">
        <v>0</v>
      </c>
      <c r="J1645" s="19">
        <v>0.14950949612165387</v>
      </c>
    </row>
    <row r="1646" spans="1:10" ht="11.25" customHeight="1" x14ac:dyDescent="0.2">
      <c r="A1646" s="22" t="s">
        <v>42</v>
      </c>
      <c r="B1646" s="18">
        <v>6442839.5861112736</v>
      </c>
      <c r="C1646" s="18">
        <v>7527152.768357506</v>
      </c>
      <c r="D1646" s="18">
        <v>16914605.780202139</v>
      </c>
      <c r="E1646" s="18">
        <v>23821337.389312994</v>
      </c>
      <c r="F1646" s="18">
        <v>0</v>
      </c>
      <c r="G1646" s="18">
        <v>0</v>
      </c>
      <c r="H1646" s="19">
        <v>0.34211981087974341</v>
      </c>
      <c r="I1646" s="19">
        <v>0</v>
      </c>
      <c r="J1646" s="19">
        <v>0.34211981087974341</v>
      </c>
    </row>
    <row r="1647" spans="1:10" ht="11.25" customHeight="1" x14ac:dyDescent="0.2">
      <c r="A1647" s="23" t="s">
        <v>38</v>
      </c>
      <c r="B1647" s="18">
        <v>6442839.5861112736</v>
      </c>
      <c r="C1647" s="18">
        <v>7527152.768357506</v>
      </c>
      <c r="D1647" s="18">
        <v>16914605.780202139</v>
      </c>
      <c r="E1647" s="18">
        <v>23821337.389312994</v>
      </c>
      <c r="F1647" s="18">
        <v>0</v>
      </c>
      <c r="G1647" s="18">
        <v>0</v>
      </c>
      <c r="H1647" s="19">
        <v>0.34211981087974341</v>
      </c>
      <c r="I1647" s="19">
        <v>0</v>
      </c>
      <c r="J1647" s="19">
        <v>0.34211981087974341</v>
      </c>
    </row>
    <row r="1648" spans="1:10" ht="11.25" customHeight="1" x14ac:dyDescent="0.2">
      <c r="A1648" s="24" t="s">
        <v>25</v>
      </c>
      <c r="B1648" s="18">
        <v>6442839.5861112736</v>
      </c>
      <c r="C1648" s="18">
        <v>7527152.768357506</v>
      </c>
      <c r="D1648" s="18">
        <v>16914605.780202139</v>
      </c>
      <c r="E1648" s="18">
        <v>23821337.389312994</v>
      </c>
      <c r="F1648" s="18">
        <v>0</v>
      </c>
      <c r="G1648" s="18">
        <v>0</v>
      </c>
      <c r="H1648" s="19">
        <v>0.34211981087974341</v>
      </c>
      <c r="I1648" s="19">
        <v>0</v>
      </c>
      <c r="J1648" s="19">
        <v>0.34211981087974341</v>
      </c>
    </row>
    <row r="1649" spans="1:10" ht="11.25" customHeight="1" x14ac:dyDescent="0.2">
      <c r="A1649" s="25" t="s">
        <v>63</v>
      </c>
      <c r="B1649" s="18">
        <v>6442839.5861112736</v>
      </c>
      <c r="C1649" s="18">
        <v>7527152.768357506</v>
      </c>
      <c r="D1649" s="18">
        <v>16914605.780202139</v>
      </c>
      <c r="E1649" s="18">
        <v>23821337.389312994</v>
      </c>
      <c r="F1649" s="18">
        <v>0</v>
      </c>
      <c r="G1649" s="18">
        <v>0</v>
      </c>
      <c r="H1649" s="19">
        <v>0.34211981087974341</v>
      </c>
      <c r="I1649" s="19">
        <v>0</v>
      </c>
      <c r="J1649" s="19">
        <v>0.34211981087974341</v>
      </c>
    </row>
    <row r="1650" spans="1:10" ht="11.25" customHeight="1" x14ac:dyDescent="0.2">
      <c r="A1650" s="26" t="s">
        <v>25</v>
      </c>
      <c r="B1650" s="18">
        <v>6442839.5861112736</v>
      </c>
      <c r="C1650" s="18">
        <v>7527152.768357506</v>
      </c>
      <c r="D1650" s="18">
        <v>16914605.780202139</v>
      </c>
      <c r="E1650" s="18">
        <v>23821337.389312994</v>
      </c>
      <c r="F1650" s="18">
        <v>0</v>
      </c>
      <c r="G1650" s="18">
        <v>0</v>
      </c>
      <c r="H1650" s="19">
        <v>0.34211981087974341</v>
      </c>
      <c r="I1650" s="19">
        <v>0</v>
      </c>
      <c r="J1650" s="19">
        <v>0.34211981087974341</v>
      </c>
    </row>
    <row r="1651" spans="1:10" ht="11.25" customHeight="1" x14ac:dyDescent="0.2">
      <c r="A1651" s="27" t="s">
        <v>35</v>
      </c>
      <c r="B1651" s="18">
        <v>0</v>
      </c>
      <c r="C1651" s="18">
        <v>0</v>
      </c>
      <c r="D1651" s="18">
        <v>10644624.218799997</v>
      </c>
      <c r="E1651" s="18">
        <v>16479545.086057853</v>
      </c>
      <c r="F1651" s="18">
        <v>0</v>
      </c>
      <c r="G1651" s="18">
        <v>0</v>
      </c>
      <c r="H1651" s="19">
        <v>0.54815658564559877</v>
      </c>
      <c r="I1651" s="19">
        <v>0</v>
      </c>
      <c r="J1651" s="19">
        <v>0.54815658564559877</v>
      </c>
    </row>
    <row r="1652" spans="1:10" ht="11.25" customHeight="1" x14ac:dyDescent="0.2">
      <c r="A1652" s="28">
        <v>44348</v>
      </c>
      <c r="B1652" s="18">
        <v>0</v>
      </c>
      <c r="C1652" s="18">
        <v>0</v>
      </c>
      <c r="D1652" s="18">
        <v>720982.49938000005</v>
      </c>
      <c r="E1652" s="18">
        <v>1116193.8045503707</v>
      </c>
      <c r="F1652" s="18">
        <v>0</v>
      </c>
      <c r="G1652" s="18">
        <v>0</v>
      </c>
      <c r="H1652" s="19">
        <v>0.54815658564559833</v>
      </c>
      <c r="I1652" s="19">
        <v>0</v>
      </c>
      <c r="J1652" s="19">
        <v>0.54815658564559833</v>
      </c>
    </row>
    <row r="1653" spans="1:10" ht="11.25" customHeight="1" x14ac:dyDescent="0.2">
      <c r="A1653" s="28">
        <v>44378</v>
      </c>
      <c r="B1653" s="18">
        <v>0</v>
      </c>
      <c r="C1653" s="18">
        <v>0</v>
      </c>
      <c r="D1653" s="18">
        <v>737231.66087999998</v>
      </c>
      <c r="E1653" s="18">
        <v>1141350.0509378146</v>
      </c>
      <c r="F1653" s="18">
        <v>0</v>
      </c>
      <c r="G1653" s="18">
        <v>0</v>
      </c>
      <c r="H1653" s="19">
        <v>0.54815658564559877</v>
      </c>
      <c r="I1653" s="19">
        <v>0</v>
      </c>
      <c r="J1653" s="19">
        <v>0.54815658564559877</v>
      </c>
    </row>
    <row r="1654" spans="1:10" ht="11.25" customHeight="1" x14ac:dyDescent="0.2">
      <c r="A1654" s="28">
        <v>44409</v>
      </c>
      <c r="B1654" s="18">
        <v>0</v>
      </c>
      <c r="C1654" s="18">
        <v>0</v>
      </c>
      <c r="D1654" s="18">
        <v>832971.69383999996</v>
      </c>
      <c r="E1654" s="18">
        <v>1289570.6134747651</v>
      </c>
      <c r="F1654" s="18">
        <v>0</v>
      </c>
      <c r="G1654" s="18">
        <v>0</v>
      </c>
      <c r="H1654" s="19">
        <v>0.54815658564559833</v>
      </c>
      <c r="I1654" s="19">
        <v>0</v>
      </c>
      <c r="J1654" s="19">
        <v>0.54815658564559833</v>
      </c>
    </row>
    <row r="1655" spans="1:10" ht="11.25" customHeight="1" x14ac:dyDescent="0.2">
      <c r="A1655" s="28">
        <v>44440</v>
      </c>
      <c r="B1655" s="18">
        <v>0</v>
      </c>
      <c r="C1655" s="18">
        <v>0</v>
      </c>
      <c r="D1655" s="18">
        <v>857187.84294</v>
      </c>
      <c r="E1655" s="18">
        <v>1327061.0041829059</v>
      </c>
      <c r="F1655" s="18">
        <v>0</v>
      </c>
      <c r="G1655" s="18">
        <v>0</v>
      </c>
      <c r="H1655" s="19">
        <v>0.54815658564559833</v>
      </c>
      <c r="I1655" s="19">
        <v>0</v>
      </c>
      <c r="J1655" s="19">
        <v>0.54815658564559833</v>
      </c>
    </row>
    <row r="1656" spans="1:10" ht="11.25" customHeight="1" x14ac:dyDescent="0.2">
      <c r="A1656" s="28">
        <v>44470</v>
      </c>
      <c r="B1656" s="18">
        <v>0</v>
      </c>
      <c r="C1656" s="18">
        <v>0</v>
      </c>
      <c r="D1656" s="18">
        <v>880795.60711999994</v>
      </c>
      <c r="E1656" s="18">
        <v>1363609.519770541</v>
      </c>
      <c r="F1656" s="18">
        <v>0</v>
      </c>
      <c r="G1656" s="18">
        <v>0</v>
      </c>
      <c r="H1656" s="19">
        <v>0.54815658564559833</v>
      </c>
      <c r="I1656" s="19">
        <v>0</v>
      </c>
      <c r="J1656" s="19">
        <v>0.54815658564559833</v>
      </c>
    </row>
    <row r="1657" spans="1:10" ht="11.25" customHeight="1" x14ac:dyDescent="0.2">
      <c r="A1657" s="28">
        <v>44501</v>
      </c>
      <c r="B1657" s="18">
        <v>0</v>
      </c>
      <c r="C1657" s="18">
        <v>0</v>
      </c>
      <c r="D1657" s="18">
        <v>895365.10491999984</v>
      </c>
      <c r="E1657" s="18">
        <v>1386165.3837391601</v>
      </c>
      <c r="F1657" s="18">
        <v>0</v>
      </c>
      <c r="G1657" s="18">
        <v>0</v>
      </c>
      <c r="H1657" s="19">
        <v>0.54815658564559855</v>
      </c>
      <c r="I1657" s="19">
        <v>0</v>
      </c>
      <c r="J1657" s="19">
        <v>0.54815658564559855</v>
      </c>
    </row>
    <row r="1658" spans="1:10" ht="11.25" customHeight="1" x14ac:dyDescent="0.2">
      <c r="A1658" s="28">
        <v>44531</v>
      </c>
      <c r="B1658" s="18">
        <v>0</v>
      </c>
      <c r="C1658" s="18">
        <v>0</v>
      </c>
      <c r="D1658" s="18">
        <v>885140.03577999992</v>
      </c>
      <c r="E1658" s="18">
        <v>1370335.3756113877</v>
      </c>
      <c r="F1658" s="18">
        <v>0</v>
      </c>
      <c r="G1658" s="18">
        <v>0</v>
      </c>
      <c r="H1658" s="19">
        <v>0.54815658564559855</v>
      </c>
      <c r="I1658" s="19">
        <v>0</v>
      </c>
      <c r="J1658" s="19">
        <v>0.54815658564559855</v>
      </c>
    </row>
    <row r="1659" spans="1:10" ht="11.25" customHeight="1" x14ac:dyDescent="0.2">
      <c r="A1659" s="28">
        <v>44562</v>
      </c>
      <c r="B1659" s="18">
        <v>0</v>
      </c>
      <c r="C1659" s="18">
        <v>0</v>
      </c>
      <c r="D1659" s="18">
        <v>784498.25739999989</v>
      </c>
      <c r="E1659" s="18">
        <v>1214526.1436213057</v>
      </c>
      <c r="F1659" s="18">
        <v>0</v>
      </c>
      <c r="G1659" s="18">
        <v>0</v>
      </c>
      <c r="H1659" s="19">
        <v>0.54815658564559855</v>
      </c>
      <c r="I1659" s="19">
        <v>0</v>
      </c>
      <c r="J1659" s="19">
        <v>0.54815658564559855</v>
      </c>
    </row>
    <row r="1660" spans="1:10" ht="11.25" customHeight="1" x14ac:dyDescent="0.2">
      <c r="A1660" s="28">
        <v>44593</v>
      </c>
      <c r="B1660" s="18">
        <v>0</v>
      </c>
      <c r="C1660" s="18">
        <v>0</v>
      </c>
      <c r="D1660" s="18">
        <v>948570.59153999994</v>
      </c>
      <c r="E1660" s="18">
        <v>1468535.8082423918</v>
      </c>
      <c r="F1660" s="18">
        <v>0</v>
      </c>
      <c r="G1660" s="18">
        <v>0</v>
      </c>
      <c r="H1660" s="19">
        <v>0.54815658564559833</v>
      </c>
      <c r="I1660" s="19">
        <v>0</v>
      </c>
      <c r="J1660" s="19">
        <v>0.54815658564559833</v>
      </c>
    </row>
    <row r="1661" spans="1:10" ht="11.25" customHeight="1" x14ac:dyDescent="0.2">
      <c r="A1661" s="28">
        <v>44621</v>
      </c>
      <c r="B1661" s="18">
        <v>0</v>
      </c>
      <c r="C1661" s="18">
        <v>0</v>
      </c>
      <c r="D1661" s="18">
        <v>937301.63955999992</v>
      </c>
      <c r="E1661" s="18">
        <v>1451089.7060212309</v>
      </c>
      <c r="F1661" s="18">
        <v>0</v>
      </c>
      <c r="G1661" s="18">
        <v>0</v>
      </c>
      <c r="H1661" s="19">
        <v>0.54815658564559855</v>
      </c>
      <c r="I1661" s="19">
        <v>0</v>
      </c>
      <c r="J1661" s="19">
        <v>0.54815658564559855</v>
      </c>
    </row>
    <row r="1662" spans="1:10" ht="11.25" customHeight="1" x14ac:dyDescent="0.2">
      <c r="A1662" s="28">
        <v>44652</v>
      </c>
      <c r="B1662" s="18">
        <v>0</v>
      </c>
      <c r="C1662" s="18">
        <v>0</v>
      </c>
      <c r="D1662" s="18">
        <v>1082289.6427199999</v>
      </c>
      <c r="E1662" s="18">
        <v>1675553.8379529896</v>
      </c>
      <c r="F1662" s="18">
        <v>0</v>
      </c>
      <c r="G1662" s="18">
        <v>0</v>
      </c>
      <c r="H1662" s="19">
        <v>0.54815658564559833</v>
      </c>
      <c r="I1662" s="19">
        <v>0</v>
      </c>
      <c r="J1662" s="19">
        <v>0.54815658564559833</v>
      </c>
    </row>
    <row r="1663" spans="1:10" ht="11.25" customHeight="1" x14ac:dyDescent="0.2">
      <c r="A1663" s="28">
        <v>44682</v>
      </c>
      <c r="B1663" s="18">
        <v>0</v>
      </c>
      <c r="C1663" s="18">
        <v>0</v>
      </c>
      <c r="D1663" s="18">
        <v>1082289.6427199999</v>
      </c>
      <c r="E1663" s="18">
        <v>1675553.8379529896</v>
      </c>
      <c r="F1663" s="18">
        <v>0</v>
      </c>
      <c r="G1663" s="18">
        <v>0</v>
      </c>
      <c r="H1663" s="19">
        <v>0.54815658564559833</v>
      </c>
      <c r="I1663" s="19">
        <v>0</v>
      </c>
      <c r="J1663" s="19">
        <v>0.54815658564559833</v>
      </c>
    </row>
    <row r="1664" spans="1:10" ht="11.25" customHeight="1" x14ac:dyDescent="0.2">
      <c r="A1664" s="27" t="s">
        <v>25</v>
      </c>
      <c r="B1664" s="18">
        <v>6442839.5861112736</v>
      </c>
      <c r="C1664" s="18">
        <v>7527152.768357506</v>
      </c>
      <c r="D1664" s="18">
        <v>0</v>
      </c>
      <c r="E1664" s="18">
        <v>0</v>
      </c>
      <c r="F1664" s="18">
        <v>0</v>
      </c>
      <c r="G1664" s="18">
        <v>0</v>
      </c>
      <c r="H1664" s="19">
        <v>0.16829740485603106</v>
      </c>
      <c r="I1664" s="19">
        <v>0</v>
      </c>
      <c r="J1664" s="19">
        <v>0.16829740485603106</v>
      </c>
    </row>
    <row r="1665" spans="1:10" ht="11.25" customHeight="1" x14ac:dyDescent="0.2">
      <c r="A1665" s="28">
        <v>44348</v>
      </c>
      <c r="B1665" s="18">
        <v>490317.9270644887</v>
      </c>
      <c r="C1665" s="18">
        <v>572837.16174383089</v>
      </c>
      <c r="D1665" s="18">
        <v>0</v>
      </c>
      <c r="E1665" s="18">
        <v>0</v>
      </c>
      <c r="F1665" s="18">
        <v>0</v>
      </c>
      <c r="G1665" s="18">
        <v>0</v>
      </c>
      <c r="H1665" s="19">
        <v>0.16829740485603106</v>
      </c>
      <c r="I1665" s="19">
        <v>0</v>
      </c>
      <c r="J1665" s="19">
        <v>0.16829740485603106</v>
      </c>
    </row>
    <row r="1666" spans="1:10" ht="11.25" customHeight="1" x14ac:dyDescent="0.2">
      <c r="A1666" s="28">
        <v>44378</v>
      </c>
      <c r="B1666" s="18">
        <v>430617.73039539304</v>
      </c>
      <c r="C1666" s="18">
        <v>503089.57690593175</v>
      </c>
      <c r="D1666" s="18">
        <v>0</v>
      </c>
      <c r="E1666" s="18">
        <v>0</v>
      </c>
      <c r="F1666" s="18">
        <v>0</v>
      </c>
      <c r="G1666" s="18">
        <v>0</v>
      </c>
      <c r="H1666" s="19">
        <v>0.16829740485603106</v>
      </c>
      <c r="I1666" s="19">
        <v>0</v>
      </c>
      <c r="J1666" s="19">
        <v>0.16829740485603106</v>
      </c>
    </row>
    <row r="1667" spans="1:10" ht="11.25" customHeight="1" x14ac:dyDescent="0.2">
      <c r="A1667" s="28">
        <v>44409</v>
      </c>
      <c r="B1667" s="18">
        <v>494322.29520122608</v>
      </c>
      <c r="C1667" s="18">
        <v>577515.45464606932</v>
      </c>
      <c r="D1667" s="18">
        <v>0</v>
      </c>
      <c r="E1667" s="18">
        <v>0</v>
      </c>
      <c r="F1667" s="18">
        <v>0</v>
      </c>
      <c r="G1667" s="18">
        <v>0</v>
      </c>
      <c r="H1667" s="19">
        <v>0.16829740485603106</v>
      </c>
      <c r="I1667" s="19">
        <v>0</v>
      </c>
      <c r="J1667" s="19">
        <v>0.16829740485603106</v>
      </c>
    </row>
    <row r="1668" spans="1:10" ht="11.25" customHeight="1" x14ac:dyDescent="0.2">
      <c r="A1668" s="28">
        <v>44440</v>
      </c>
      <c r="B1668" s="18">
        <v>492622.16272739461</v>
      </c>
      <c r="C1668" s="18">
        <v>575529.19428898057</v>
      </c>
      <c r="D1668" s="18">
        <v>0</v>
      </c>
      <c r="E1668" s="18">
        <v>0</v>
      </c>
      <c r="F1668" s="18">
        <v>0</v>
      </c>
      <c r="G1668" s="18">
        <v>0</v>
      </c>
      <c r="H1668" s="19">
        <v>0.16829740485603106</v>
      </c>
      <c r="I1668" s="19">
        <v>0</v>
      </c>
      <c r="J1668" s="19">
        <v>0.16829740485603106</v>
      </c>
    </row>
    <row r="1669" spans="1:10" ht="11.25" customHeight="1" x14ac:dyDescent="0.2">
      <c r="A1669" s="28">
        <v>44470</v>
      </c>
      <c r="B1669" s="18">
        <v>523705.41139819141</v>
      </c>
      <c r="C1669" s="18">
        <v>611843.67304556724</v>
      </c>
      <c r="D1669" s="18">
        <v>0</v>
      </c>
      <c r="E1669" s="18">
        <v>0</v>
      </c>
      <c r="F1669" s="18">
        <v>0</v>
      </c>
      <c r="G1669" s="18">
        <v>0</v>
      </c>
      <c r="H1669" s="19">
        <v>0.16829740485603129</v>
      </c>
      <c r="I1669" s="19">
        <v>0</v>
      </c>
      <c r="J1669" s="19">
        <v>0.16829740485603129</v>
      </c>
    </row>
    <row r="1670" spans="1:10" ht="11.25" customHeight="1" x14ac:dyDescent="0.2">
      <c r="A1670" s="28">
        <v>44501</v>
      </c>
      <c r="B1670" s="18">
        <v>517766.98352895363</v>
      </c>
      <c r="C1670" s="18">
        <v>604905.82317701192</v>
      </c>
      <c r="D1670" s="18">
        <v>0</v>
      </c>
      <c r="E1670" s="18">
        <v>0</v>
      </c>
      <c r="F1670" s="18">
        <v>0</v>
      </c>
      <c r="G1670" s="18">
        <v>0</v>
      </c>
      <c r="H1670" s="19">
        <v>0.16829740485603106</v>
      </c>
      <c r="I1670" s="19">
        <v>0</v>
      </c>
      <c r="J1670" s="19">
        <v>0.16829740485603106</v>
      </c>
    </row>
    <row r="1671" spans="1:10" ht="11.25" customHeight="1" x14ac:dyDescent="0.2">
      <c r="A1671" s="28">
        <v>44531</v>
      </c>
      <c r="B1671" s="18">
        <v>532313.05348650389</v>
      </c>
      <c r="C1671" s="18">
        <v>621899.95895927213</v>
      </c>
      <c r="D1671" s="18">
        <v>0</v>
      </c>
      <c r="E1671" s="18">
        <v>0</v>
      </c>
      <c r="F1671" s="18">
        <v>0</v>
      </c>
      <c r="G1671" s="18">
        <v>0</v>
      </c>
      <c r="H1671" s="19">
        <v>0.16829740485603106</v>
      </c>
      <c r="I1671" s="19">
        <v>0</v>
      </c>
      <c r="J1671" s="19">
        <v>0.16829740485603106</v>
      </c>
    </row>
    <row r="1672" spans="1:10" ht="11.25" customHeight="1" x14ac:dyDescent="0.2">
      <c r="A1672" s="28">
        <v>44562</v>
      </c>
      <c r="B1672" s="18">
        <v>535492.73076980037</v>
      </c>
      <c r="C1672" s="18">
        <v>625614.76767762715</v>
      </c>
      <c r="D1672" s="18">
        <v>0</v>
      </c>
      <c r="E1672" s="18">
        <v>0</v>
      </c>
      <c r="F1672" s="18">
        <v>0</v>
      </c>
      <c r="G1672" s="18">
        <v>0</v>
      </c>
      <c r="H1672" s="19">
        <v>0.16829740485603106</v>
      </c>
      <c r="I1672" s="19">
        <v>0</v>
      </c>
      <c r="J1672" s="19">
        <v>0.16829740485603106</v>
      </c>
    </row>
    <row r="1673" spans="1:10" ht="11.25" customHeight="1" x14ac:dyDescent="0.2">
      <c r="A1673" s="28">
        <v>44593</v>
      </c>
      <c r="B1673" s="18">
        <v>575166.97581411724</v>
      </c>
      <c r="C1673" s="18">
        <v>671966.08520252479</v>
      </c>
      <c r="D1673" s="18">
        <v>0</v>
      </c>
      <c r="E1673" s="18">
        <v>0</v>
      </c>
      <c r="F1673" s="18">
        <v>0</v>
      </c>
      <c r="G1673" s="18">
        <v>0</v>
      </c>
      <c r="H1673" s="19">
        <v>0.16829740485603106</v>
      </c>
      <c r="I1673" s="19">
        <v>0</v>
      </c>
      <c r="J1673" s="19">
        <v>0.16829740485603106</v>
      </c>
    </row>
    <row r="1674" spans="1:10" ht="11.25" customHeight="1" x14ac:dyDescent="0.2">
      <c r="A1674" s="28">
        <v>44621</v>
      </c>
      <c r="B1674" s="18">
        <v>583174.08896792401</v>
      </c>
      <c r="C1674" s="18">
        <v>681320.77472050581</v>
      </c>
      <c r="D1674" s="18">
        <v>0</v>
      </c>
      <c r="E1674" s="18">
        <v>0</v>
      </c>
      <c r="F1674" s="18">
        <v>0</v>
      </c>
      <c r="G1674" s="18">
        <v>0</v>
      </c>
      <c r="H1674" s="19">
        <v>0.16829740485603106</v>
      </c>
      <c r="I1674" s="19">
        <v>0</v>
      </c>
      <c r="J1674" s="19">
        <v>0.16829740485603106</v>
      </c>
    </row>
    <row r="1675" spans="1:10" ht="11.25" customHeight="1" x14ac:dyDescent="0.2">
      <c r="A1675" s="28">
        <v>44652</v>
      </c>
      <c r="B1675" s="18">
        <v>633670.1133786398</v>
      </c>
      <c r="C1675" s="18">
        <v>740315.14899509191</v>
      </c>
      <c r="D1675" s="18">
        <v>0</v>
      </c>
      <c r="E1675" s="18">
        <v>0</v>
      </c>
      <c r="F1675" s="18">
        <v>0</v>
      </c>
      <c r="G1675" s="18">
        <v>0</v>
      </c>
      <c r="H1675" s="19">
        <v>0.16829740485603106</v>
      </c>
      <c r="I1675" s="19">
        <v>0</v>
      </c>
      <c r="J1675" s="19">
        <v>0.16829740485603106</v>
      </c>
    </row>
    <row r="1676" spans="1:10" ht="11.25" customHeight="1" x14ac:dyDescent="0.2">
      <c r="A1676" s="28">
        <v>44682</v>
      </c>
      <c r="B1676" s="18">
        <v>633670.1133786398</v>
      </c>
      <c r="C1676" s="18">
        <v>740315.14899509191</v>
      </c>
      <c r="D1676" s="18">
        <v>0</v>
      </c>
      <c r="E1676" s="18">
        <v>0</v>
      </c>
      <c r="F1676" s="18">
        <v>0</v>
      </c>
      <c r="G1676" s="18">
        <v>0</v>
      </c>
      <c r="H1676" s="19">
        <v>0.16829740485603106</v>
      </c>
      <c r="I1676" s="19">
        <v>0</v>
      </c>
      <c r="J1676" s="19">
        <v>0.16829740485603106</v>
      </c>
    </row>
    <row r="1677" spans="1:10" ht="11.25" customHeight="1" x14ac:dyDescent="0.2">
      <c r="A1677" s="27" t="s">
        <v>34</v>
      </c>
      <c r="B1677" s="18">
        <v>0</v>
      </c>
      <c r="C1677" s="18">
        <v>0</v>
      </c>
      <c r="D1677" s="18">
        <v>6269981.5614021411</v>
      </c>
      <c r="E1677" s="18">
        <v>7341792.303255138</v>
      </c>
      <c r="F1677" s="18">
        <v>0</v>
      </c>
      <c r="G1677" s="18">
        <v>0</v>
      </c>
      <c r="H1677" s="19">
        <v>0.17094320475374891</v>
      </c>
      <c r="I1677" s="19">
        <v>0</v>
      </c>
      <c r="J1677" s="19">
        <v>0.17094320475374891</v>
      </c>
    </row>
    <row r="1678" spans="1:10" ht="11.25" customHeight="1" x14ac:dyDescent="0.2">
      <c r="A1678" s="28">
        <v>44348</v>
      </c>
      <c r="B1678" s="18">
        <v>0</v>
      </c>
      <c r="C1678" s="18">
        <v>0</v>
      </c>
      <c r="D1678" s="18">
        <v>478246.58093908243</v>
      </c>
      <c r="E1678" s="18">
        <v>559999.58414733235</v>
      </c>
      <c r="F1678" s="18">
        <v>0</v>
      </c>
      <c r="G1678" s="18">
        <v>0</v>
      </c>
      <c r="H1678" s="19">
        <v>0.17094320475374891</v>
      </c>
      <c r="I1678" s="19">
        <v>0</v>
      </c>
      <c r="J1678" s="19">
        <v>0.17094320475374891</v>
      </c>
    </row>
    <row r="1679" spans="1:10" ht="11.25" customHeight="1" x14ac:dyDescent="0.2">
      <c r="A1679" s="28">
        <v>44378</v>
      </c>
      <c r="B1679" s="18">
        <v>0</v>
      </c>
      <c r="C1679" s="18">
        <v>0</v>
      </c>
      <c r="D1679" s="18">
        <v>394440.416805694</v>
      </c>
      <c r="E1679" s="18">
        <v>461867.32573886379</v>
      </c>
      <c r="F1679" s="18">
        <v>0</v>
      </c>
      <c r="G1679" s="18">
        <v>0</v>
      </c>
      <c r="H1679" s="19">
        <v>0.17094320475374891</v>
      </c>
      <c r="I1679" s="19">
        <v>0</v>
      </c>
      <c r="J1679" s="19">
        <v>0.17094320475374891</v>
      </c>
    </row>
    <row r="1680" spans="1:10" ht="11.25" customHeight="1" x14ac:dyDescent="0.2">
      <c r="A1680" s="28">
        <v>44409</v>
      </c>
      <c r="B1680" s="18">
        <v>0</v>
      </c>
      <c r="C1680" s="18">
        <v>0</v>
      </c>
      <c r="D1680" s="18">
        <v>475390.05487228354</v>
      </c>
      <c r="E1680" s="18">
        <v>556654.75436021225</v>
      </c>
      <c r="F1680" s="18">
        <v>0</v>
      </c>
      <c r="G1680" s="18">
        <v>0</v>
      </c>
      <c r="H1680" s="19">
        <v>0.17094320475374891</v>
      </c>
      <c r="I1680" s="19">
        <v>0</v>
      </c>
      <c r="J1680" s="19">
        <v>0.17094320475374891</v>
      </c>
    </row>
    <row r="1681" spans="1:10" ht="11.25" customHeight="1" x14ac:dyDescent="0.2">
      <c r="A1681" s="28">
        <v>44440</v>
      </c>
      <c r="B1681" s="18">
        <v>0</v>
      </c>
      <c r="C1681" s="18">
        <v>0</v>
      </c>
      <c r="D1681" s="18">
        <v>488371.56946178596</v>
      </c>
      <c r="E1681" s="18">
        <v>571855.37065620173</v>
      </c>
      <c r="F1681" s="18">
        <v>0</v>
      </c>
      <c r="G1681" s="18">
        <v>0</v>
      </c>
      <c r="H1681" s="19">
        <v>0.17094320475374891</v>
      </c>
      <c r="I1681" s="19">
        <v>0</v>
      </c>
      <c r="J1681" s="19">
        <v>0.17094320475374891</v>
      </c>
    </row>
    <row r="1682" spans="1:10" ht="11.25" customHeight="1" x14ac:dyDescent="0.2">
      <c r="A1682" s="28">
        <v>44470</v>
      </c>
      <c r="B1682" s="18">
        <v>0</v>
      </c>
      <c r="C1682" s="18">
        <v>0</v>
      </c>
      <c r="D1682" s="18">
        <v>523568.94756636955</v>
      </c>
      <c r="E1682" s="18">
        <v>613069.50137291232</v>
      </c>
      <c r="F1682" s="18">
        <v>0</v>
      </c>
      <c r="G1682" s="18">
        <v>0</v>
      </c>
      <c r="H1682" s="19">
        <v>0.17094320475374891</v>
      </c>
      <c r="I1682" s="19">
        <v>0</v>
      </c>
      <c r="J1682" s="19">
        <v>0.17094320475374891</v>
      </c>
    </row>
    <row r="1683" spans="1:10" ht="11.25" customHeight="1" x14ac:dyDescent="0.2">
      <c r="A1683" s="28">
        <v>44501</v>
      </c>
      <c r="B1683" s="18">
        <v>0</v>
      </c>
      <c r="C1683" s="18">
        <v>0</v>
      </c>
      <c r="D1683" s="18">
        <v>459113.42334419064</v>
      </c>
      <c r="E1683" s="18">
        <v>537595.7432761112</v>
      </c>
      <c r="F1683" s="18">
        <v>0</v>
      </c>
      <c r="G1683" s="18">
        <v>0</v>
      </c>
      <c r="H1683" s="19">
        <v>0.17094320475374891</v>
      </c>
      <c r="I1683" s="19">
        <v>0</v>
      </c>
      <c r="J1683" s="19">
        <v>0.17094320475374891</v>
      </c>
    </row>
    <row r="1684" spans="1:10" ht="11.25" customHeight="1" x14ac:dyDescent="0.2">
      <c r="A1684" s="28">
        <v>44531</v>
      </c>
      <c r="B1684" s="18">
        <v>0</v>
      </c>
      <c r="C1684" s="18">
        <v>0</v>
      </c>
      <c r="D1684" s="18">
        <v>441420.33931633434</v>
      </c>
      <c r="E1684" s="18">
        <v>516878.14676255581</v>
      </c>
      <c r="F1684" s="18">
        <v>0</v>
      </c>
      <c r="G1684" s="18">
        <v>0</v>
      </c>
      <c r="H1684" s="19">
        <v>0.17094320475374891</v>
      </c>
      <c r="I1684" s="19">
        <v>0</v>
      </c>
      <c r="J1684" s="19">
        <v>0.17094320475374891</v>
      </c>
    </row>
    <row r="1685" spans="1:10" ht="11.25" customHeight="1" x14ac:dyDescent="0.2">
      <c r="A1685" s="28">
        <v>44562</v>
      </c>
      <c r="B1685" s="18">
        <v>0</v>
      </c>
      <c r="C1685" s="18">
        <v>0</v>
      </c>
      <c r="D1685" s="18">
        <v>474513.75227457209</v>
      </c>
      <c r="E1685" s="18">
        <v>555628.65378811397</v>
      </c>
      <c r="F1685" s="18">
        <v>0</v>
      </c>
      <c r="G1685" s="18">
        <v>0</v>
      </c>
      <c r="H1685" s="19">
        <v>0.17094320475374891</v>
      </c>
      <c r="I1685" s="19">
        <v>0</v>
      </c>
      <c r="J1685" s="19">
        <v>0.17094320475374891</v>
      </c>
    </row>
    <row r="1686" spans="1:10" ht="11.25" customHeight="1" x14ac:dyDescent="0.2">
      <c r="A1686" s="28">
        <v>44593</v>
      </c>
      <c r="B1686" s="18">
        <v>0</v>
      </c>
      <c r="C1686" s="18">
        <v>0</v>
      </c>
      <c r="D1686" s="18">
        <v>559557.84705878294</v>
      </c>
      <c r="E1686" s="18">
        <v>655210.45868011937</v>
      </c>
      <c r="F1686" s="18">
        <v>0</v>
      </c>
      <c r="G1686" s="18">
        <v>0</v>
      </c>
      <c r="H1686" s="19">
        <v>0.17094320475374891</v>
      </c>
      <c r="I1686" s="19">
        <v>0</v>
      </c>
      <c r="J1686" s="19">
        <v>0.17094320475374891</v>
      </c>
    </row>
    <row r="1687" spans="1:10" ht="11.25" customHeight="1" x14ac:dyDescent="0.2">
      <c r="A1687" s="28">
        <v>44621</v>
      </c>
      <c r="B1687" s="18">
        <v>0</v>
      </c>
      <c r="C1687" s="18">
        <v>0</v>
      </c>
      <c r="D1687" s="18">
        <v>579928.36755474913</v>
      </c>
      <c r="E1687" s="18">
        <v>679063.18123216799</v>
      </c>
      <c r="F1687" s="18">
        <v>0</v>
      </c>
      <c r="G1687" s="18">
        <v>0</v>
      </c>
      <c r="H1687" s="19">
        <v>0.17094320475374891</v>
      </c>
      <c r="I1687" s="19">
        <v>0</v>
      </c>
      <c r="J1687" s="19">
        <v>0.17094320475374891</v>
      </c>
    </row>
    <row r="1688" spans="1:10" ht="11.25" customHeight="1" x14ac:dyDescent="0.2">
      <c r="A1688" s="28">
        <v>44652</v>
      </c>
      <c r="B1688" s="18">
        <v>0</v>
      </c>
      <c r="C1688" s="18">
        <v>0</v>
      </c>
      <c r="D1688" s="18">
        <v>697715.13110414799</v>
      </c>
      <c r="E1688" s="18">
        <v>816984.79162027303</v>
      </c>
      <c r="F1688" s="18">
        <v>0</v>
      </c>
      <c r="G1688" s="18">
        <v>0</v>
      </c>
      <c r="H1688" s="19">
        <v>0.17094320475374869</v>
      </c>
      <c r="I1688" s="19">
        <v>0</v>
      </c>
      <c r="J1688" s="19">
        <v>0.17094320475374869</v>
      </c>
    </row>
    <row r="1689" spans="1:10" ht="11.25" customHeight="1" x14ac:dyDescent="0.2">
      <c r="A1689" s="28">
        <v>44682</v>
      </c>
      <c r="B1689" s="18">
        <v>0</v>
      </c>
      <c r="C1689" s="18">
        <v>0</v>
      </c>
      <c r="D1689" s="18">
        <v>697715.13110414799</v>
      </c>
      <c r="E1689" s="18">
        <v>816984.79162027303</v>
      </c>
      <c r="F1689" s="18">
        <v>0</v>
      </c>
      <c r="G1689" s="18">
        <v>0</v>
      </c>
      <c r="H1689" s="19">
        <v>0.17094320475374869</v>
      </c>
      <c r="I1689" s="19">
        <v>0</v>
      </c>
      <c r="J1689" s="19">
        <v>0.17094320475374869</v>
      </c>
    </row>
    <row r="1690" spans="1:10" ht="11.25" customHeight="1" x14ac:dyDescent="0.2">
      <c r="A1690" s="20" t="s">
        <v>62</v>
      </c>
      <c r="B1690" s="18">
        <v>0</v>
      </c>
      <c r="C1690" s="18">
        <v>0</v>
      </c>
      <c r="D1690" s="18">
        <v>49835.3364</v>
      </c>
      <c r="E1690" s="18">
        <v>52680.428614122175</v>
      </c>
      <c r="F1690" s="18">
        <v>0</v>
      </c>
      <c r="G1690" s="18">
        <v>0</v>
      </c>
      <c r="H1690" s="19">
        <v>5.7089856709027442E-2</v>
      </c>
      <c r="I1690" s="19">
        <v>0</v>
      </c>
      <c r="J1690" s="19">
        <v>5.7089856709027442E-2</v>
      </c>
    </row>
    <row r="1691" spans="1:10" ht="11.25" customHeight="1" x14ac:dyDescent="0.2">
      <c r="A1691" s="21" t="s">
        <v>59</v>
      </c>
      <c r="B1691" s="18">
        <v>0</v>
      </c>
      <c r="C1691" s="18">
        <v>0</v>
      </c>
      <c r="D1691" s="18">
        <v>49835.3364</v>
      </c>
      <c r="E1691" s="18">
        <v>52680.428614122175</v>
      </c>
      <c r="F1691" s="18">
        <v>0</v>
      </c>
      <c r="G1691" s="18">
        <v>0</v>
      </c>
      <c r="H1691" s="19">
        <v>5.7089856709027442E-2</v>
      </c>
      <c r="I1691" s="19">
        <v>0</v>
      </c>
      <c r="J1691" s="19">
        <v>5.7089856709027442E-2</v>
      </c>
    </row>
    <row r="1692" spans="1:10" ht="11.25" customHeight="1" x14ac:dyDescent="0.2">
      <c r="A1692" s="22" t="s">
        <v>40</v>
      </c>
      <c r="B1692" s="18">
        <v>0</v>
      </c>
      <c r="C1692" s="18">
        <v>0</v>
      </c>
      <c r="D1692" s="18">
        <v>49835.3364</v>
      </c>
      <c r="E1692" s="18">
        <v>52680.428614122175</v>
      </c>
      <c r="F1692" s="18">
        <v>0</v>
      </c>
      <c r="G1692" s="18">
        <v>0</v>
      </c>
      <c r="H1692" s="19">
        <v>5.7089856709027442E-2</v>
      </c>
      <c r="I1692" s="19">
        <v>0</v>
      </c>
      <c r="J1692" s="19">
        <v>5.7089856709027442E-2</v>
      </c>
    </row>
    <row r="1693" spans="1:10" ht="11.25" customHeight="1" x14ac:dyDescent="0.2">
      <c r="A1693" s="23" t="s">
        <v>38</v>
      </c>
      <c r="B1693" s="18">
        <v>0</v>
      </c>
      <c r="C1693" s="18">
        <v>0</v>
      </c>
      <c r="D1693" s="18">
        <v>49835.3364</v>
      </c>
      <c r="E1693" s="18">
        <v>52680.428614122175</v>
      </c>
      <c r="F1693" s="18">
        <v>0</v>
      </c>
      <c r="G1693" s="18">
        <v>0</v>
      </c>
      <c r="H1693" s="19">
        <v>5.7089856709027442E-2</v>
      </c>
      <c r="I1693" s="19">
        <v>0</v>
      </c>
      <c r="J1693" s="19">
        <v>5.7089856709027442E-2</v>
      </c>
    </row>
    <row r="1694" spans="1:10" ht="11.25" customHeight="1" x14ac:dyDescent="0.2">
      <c r="A1694" s="24" t="s">
        <v>25</v>
      </c>
      <c r="B1694" s="18">
        <v>0</v>
      </c>
      <c r="C1694" s="18">
        <v>0</v>
      </c>
      <c r="D1694" s="18">
        <v>49835.3364</v>
      </c>
      <c r="E1694" s="18">
        <v>52680.428614122175</v>
      </c>
      <c r="F1694" s="18">
        <v>0</v>
      </c>
      <c r="G1694" s="18">
        <v>0</v>
      </c>
      <c r="H1694" s="19">
        <v>5.7089856709027442E-2</v>
      </c>
      <c r="I1694" s="19">
        <v>0</v>
      </c>
      <c r="J1694" s="19">
        <v>5.7089856709027442E-2</v>
      </c>
    </row>
    <row r="1695" spans="1:10" ht="11.25" customHeight="1" x14ac:dyDescent="0.2">
      <c r="A1695" s="25" t="s">
        <v>61</v>
      </c>
      <c r="B1695" s="18">
        <v>0</v>
      </c>
      <c r="C1695" s="18">
        <v>0</v>
      </c>
      <c r="D1695" s="18">
        <v>49835.3364</v>
      </c>
      <c r="E1695" s="18">
        <v>52680.428614122175</v>
      </c>
      <c r="F1695" s="18">
        <v>0</v>
      </c>
      <c r="G1695" s="18">
        <v>0</v>
      </c>
      <c r="H1695" s="19">
        <v>5.7089856709027442E-2</v>
      </c>
      <c r="I1695" s="19">
        <v>0</v>
      </c>
      <c r="J1695" s="19">
        <v>5.7089856709027442E-2</v>
      </c>
    </row>
    <row r="1696" spans="1:10" ht="11.25" customHeight="1" x14ac:dyDescent="0.2">
      <c r="A1696" s="26" t="s">
        <v>25</v>
      </c>
      <c r="B1696" s="18">
        <v>0</v>
      </c>
      <c r="C1696" s="18">
        <v>0</v>
      </c>
      <c r="D1696" s="18">
        <v>49835.3364</v>
      </c>
      <c r="E1696" s="18">
        <v>52680.428614122175</v>
      </c>
      <c r="F1696" s="18">
        <v>0</v>
      </c>
      <c r="G1696" s="18">
        <v>0</v>
      </c>
      <c r="H1696" s="19">
        <v>5.7089856709027442E-2</v>
      </c>
      <c r="I1696" s="19">
        <v>0</v>
      </c>
      <c r="J1696" s="19">
        <v>5.7089856709027442E-2</v>
      </c>
    </row>
    <row r="1697" spans="1:10" ht="11.25" customHeight="1" x14ac:dyDescent="0.2">
      <c r="A1697" s="27" t="s">
        <v>25</v>
      </c>
      <c r="B1697" s="18">
        <v>0</v>
      </c>
      <c r="C1697" s="18">
        <v>0</v>
      </c>
      <c r="D1697" s="18">
        <v>49835.3364</v>
      </c>
      <c r="E1697" s="18">
        <v>52680.428614122175</v>
      </c>
      <c r="F1697" s="18">
        <v>0</v>
      </c>
      <c r="G1697" s="18">
        <v>0</v>
      </c>
      <c r="H1697" s="19">
        <v>5.7089856709027442E-2</v>
      </c>
      <c r="I1697" s="19">
        <v>0</v>
      </c>
      <c r="J1697" s="19">
        <v>5.7089856709027442E-2</v>
      </c>
    </row>
    <row r="1698" spans="1:10" ht="11.25" customHeight="1" x14ac:dyDescent="0.2">
      <c r="A1698" s="28">
        <v>44348</v>
      </c>
      <c r="B1698" s="18">
        <v>0</v>
      </c>
      <c r="C1698" s="18">
        <v>0</v>
      </c>
      <c r="D1698" s="18">
        <v>3930.4322399999996</v>
      </c>
      <c r="E1698" s="18">
        <v>4154.8200533861418</v>
      </c>
      <c r="F1698" s="18">
        <v>0</v>
      </c>
      <c r="G1698" s="18">
        <v>0</v>
      </c>
      <c r="H1698" s="19">
        <v>5.7089856709027442E-2</v>
      </c>
      <c r="I1698" s="19">
        <v>0</v>
      </c>
      <c r="J1698" s="19">
        <v>5.7089856709027442E-2</v>
      </c>
    </row>
    <row r="1699" spans="1:10" ht="11.25" customHeight="1" x14ac:dyDescent="0.2">
      <c r="A1699" s="28">
        <v>44378</v>
      </c>
      <c r="B1699" s="18">
        <v>0</v>
      </c>
      <c r="C1699" s="18">
        <v>0</v>
      </c>
      <c r="D1699" s="18">
        <v>4652.0050799999999</v>
      </c>
      <c r="E1699" s="18">
        <v>4917.5873834268677</v>
      </c>
      <c r="F1699" s="18">
        <v>0</v>
      </c>
      <c r="G1699" s="18">
        <v>0</v>
      </c>
      <c r="H1699" s="19">
        <v>5.7089856709027442E-2</v>
      </c>
      <c r="I1699" s="19">
        <v>0</v>
      </c>
      <c r="J1699" s="19">
        <v>5.7089856709027442E-2</v>
      </c>
    </row>
    <row r="1700" spans="1:10" ht="11.25" customHeight="1" x14ac:dyDescent="0.2">
      <c r="A1700" s="28">
        <v>44409</v>
      </c>
      <c r="B1700" s="18">
        <v>0</v>
      </c>
      <c r="C1700" s="18">
        <v>0</v>
      </c>
      <c r="D1700" s="18">
        <v>3872.4718800000001</v>
      </c>
      <c r="E1700" s="18">
        <v>4093.5507447389382</v>
      </c>
      <c r="F1700" s="18">
        <v>0</v>
      </c>
      <c r="G1700" s="18">
        <v>0</v>
      </c>
      <c r="H1700" s="19">
        <v>5.7089856709027442E-2</v>
      </c>
      <c r="I1700" s="19">
        <v>0</v>
      </c>
      <c r="J1700" s="19">
        <v>5.7089856709027442E-2</v>
      </c>
    </row>
    <row r="1701" spans="1:10" ht="11.25" customHeight="1" x14ac:dyDescent="0.2">
      <c r="A1701" s="28">
        <v>44440</v>
      </c>
      <c r="B1701" s="18">
        <v>0</v>
      </c>
      <c r="C1701" s="18">
        <v>0</v>
      </c>
      <c r="D1701" s="18">
        <v>4438.14876</v>
      </c>
      <c r="E1701" s="18">
        <v>4691.5220367617485</v>
      </c>
      <c r="F1701" s="18">
        <v>0</v>
      </c>
      <c r="G1701" s="18">
        <v>0</v>
      </c>
      <c r="H1701" s="19">
        <v>5.7089856709027664E-2</v>
      </c>
      <c r="I1701" s="19">
        <v>0</v>
      </c>
      <c r="J1701" s="19">
        <v>5.7089856709027664E-2</v>
      </c>
    </row>
    <row r="1702" spans="1:10" ht="11.25" customHeight="1" x14ac:dyDescent="0.2">
      <c r="A1702" s="28">
        <v>44470</v>
      </c>
      <c r="B1702" s="18">
        <v>0</v>
      </c>
      <c r="C1702" s="18">
        <v>0</v>
      </c>
      <c r="D1702" s="18">
        <v>3165.7015199999996</v>
      </c>
      <c r="E1702" s="18">
        <v>3346.4309661603502</v>
      </c>
      <c r="F1702" s="18">
        <v>0</v>
      </c>
      <c r="G1702" s="18">
        <v>0</v>
      </c>
      <c r="H1702" s="19">
        <v>5.7089856709027442E-2</v>
      </c>
      <c r="I1702" s="19">
        <v>0</v>
      </c>
      <c r="J1702" s="19">
        <v>5.7089856709027442E-2</v>
      </c>
    </row>
    <row r="1703" spans="1:10" ht="11.25" customHeight="1" x14ac:dyDescent="0.2">
      <c r="A1703" s="28">
        <v>44501</v>
      </c>
      <c r="B1703" s="18">
        <v>0</v>
      </c>
      <c r="C1703" s="18">
        <v>0</v>
      </c>
      <c r="D1703" s="18">
        <v>3693.5177999999996</v>
      </c>
      <c r="E1703" s="18">
        <v>3904.3802019542422</v>
      </c>
      <c r="F1703" s="18">
        <v>0</v>
      </c>
      <c r="G1703" s="18">
        <v>0</v>
      </c>
      <c r="H1703" s="19">
        <v>5.7089856709027442E-2</v>
      </c>
      <c r="I1703" s="19">
        <v>0</v>
      </c>
      <c r="J1703" s="19">
        <v>5.7089856709027442E-2</v>
      </c>
    </row>
    <row r="1704" spans="1:10" ht="11.25" customHeight="1" x14ac:dyDescent="0.2">
      <c r="A1704" s="28">
        <v>44531</v>
      </c>
      <c r="B1704" s="18">
        <v>0</v>
      </c>
      <c r="C1704" s="18">
        <v>0</v>
      </c>
      <c r="D1704" s="18">
        <v>3834.10932</v>
      </c>
      <c r="E1704" s="18">
        <v>4052.9980716855471</v>
      </c>
      <c r="F1704" s="18">
        <v>0</v>
      </c>
      <c r="G1704" s="18">
        <v>0</v>
      </c>
      <c r="H1704" s="19">
        <v>5.7089856709027442E-2</v>
      </c>
      <c r="I1704" s="19">
        <v>0</v>
      </c>
      <c r="J1704" s="19">
        <v>5.7089856709027442E-2</v>
      </c>
    </row>
    <row r="1705" spans="1:10" ht="11.25" customHeight="1" x14ac:dyDescent="0.2">
      <c r="A1705" s="28">
        <v>44562</v>
      </c>
      <c r="B1705" s="18">
        <v>0</v>
      </c>
      <c r="C1705" s="18">
        <v>0</v>
      </c>
      <c r="D1705" s="18">
        <v>3730.0861199999999</v>
      </c>
      <c r="E1705" s="18">
        <v>3943.0362021031324</v>
      </c>
      <c r="F1705" s="18">
        <v>0</v>
      </c>
      <c r="G1705" s="18">
        <v>0</v>
      </c>
      <c r="H1705" s="19">
        <v>5.7089856709027442E-2</v>
      </c>
      <c r="I1705" s="19">
        <v>0</v>
      </c>
      <c r="J1705" s="19">
        <v>5.7089856709027442E-2</v>
      </c>
    </row>
    <row r="1706" spans="1:10" ht="11.25" customHeight="1" x14ac:dyDescent="0.2">
      <c r="A1706" s="28">
        <v>44593</v>
      </c>
      <c r="B1706" s="18">
        <v>0</v>
      </c>
      <c r="C1706" s="18">
        <v>0</v>
      </c>
      <c r="D1706" s="18">
        <v>4647.8612399999993</v>
      </c>
      <c r="E1706" s="18">
        <v>4913.2069721950429</v>
      </c>
      <c r="F1706" s="18">
        <v>0</v>
      </c>
      <c r="G1706" s="18">
        <v>0</v>
      </c>
      <c r="H1706" s="19">
        <v>5.7089856709027664E-2</v>
      </c>
      <c r="I1706" s="19">
        <v>0</v>
      </c>
      <c r="J1706" s="19">
        <v>5.7089856709027664E-2</v>
      </c>
    </row>
    <row r="1707" spans="1:10" ht="11.25" customHeight="1" x14ac:dyDescent="0.2">
      <c r="A1707" s="28">
        <v>44621</v>
      </c>
      <c r="B1707" s="18">
        <v>0</v>
      </c>
      <c r="C1707" s="18">
        <v>0</v>
      </c>
      <c r="D1707" s="18">
        <v>5531.8448399999997</v>
      </c>
      <c r="E1707" s="18">
        <v>5847.6570692521727</v>
      </c>
      <c r="F1707" s="18">
        <v>0</v>
      </c>
      <c r="G1707" s="18">
        <v>0</v>
      </c>
      <c r="H1707" s="19">
        <v>5.7089856709027442E-2</v>
      </c>
      <c r="I1707" s="19">
        <v>0</v>
      </c>
      <c r="J1707" s="19">
        <v>5.7089856709027442E-2</v>
      </c>
    </row>
    <row r="1708" spans="1:10" ht="11.25" customHeight="1" x14ac:dyDescent="0.2">
      <c r="A1708" s="28">
        <v>44652</v>
      </c>
      <c r="B1708" s="18">
        <v>0</v>
      </c>
      <c r="C1708" s="18">
        <v>0</v>
      </c>
      <c r="D1708" s="18">
        <v>4169.5788000000002</v>
      </c>
      <c r="E1708" s="18">
        <v>4407.6194562289993</v>
      </c>
      <c r="F1708" s="18">
        <v>0</v>
      </c>
      <c r="G1708" s="18">
        <v>0</v>
      </c>
      <c r="H1708" s="19">
        <v>5.7089856709027664E-2</v>
      </c>
      <c r="I1708" s="19">
        <v>0</v>
      </c>
      <c r="J1708" s="19">
        <v>5.7089856709027664E-2</v>
      </c>
    </row>
    <row r="1709" spans="1:10" ht="11.25" customHeight="1" x14ac:dyDescent="0.2">
      <c r="A1709" s="28">
        <v>44682</v>
      </c>
      <c r="B1709" s="18">
        <v>0</v>
      </c>
      <c r="C1709" s="18">
        <v>0</v>
      </c>
      <c r="D1709" s="18">
        <v>4169.5788000000002</v>
      </c>
      <c r="E1709" s="18">
        <v>4407.6194562289993</v>
      </c>
      <c r="F1709" s="18">
        <v>0</v>
      </c>
      <c r="G1709" s="18">
        <v>0</v>
      </c>
      <c r="H1709" s="19">
        <v>5.7089856709027664E-2</v>
      </c>
      <c r="I1709" s="19">
        <v>0</v>
      </c>
      <c r="J1709" s="19">
        <v>5.7089856709027664E-2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B4B8D-5B0B-47F3-8B4A-92A8A137C7C8}">
  <dimension ref="A1:G949"/>
  <sheetViews>
    <sheetView showGridLines="0" workbookViewId="0"/>
  </sheetViews>
  <sheetFormatPr defaultRowHeight="11.25" customHeight="1" x14ac:dyDescent="0.2"/>
  <cols>
    <col min="1" max="1" width="39.5703125" style="15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5"/>
  </cols>
  <sheetData>
    <row r="1" spans="1:7" ht="11.25" customHeight="1" x14ac:dyDescent="0.2">
      <c r="A1" s="17" t="s">
        <v>1097</v>
      </c>
      <c r="B1" s="18" t="s">
        <v>1123</v>
      </c>
      <c r="C1" s="18" t="s">
        <v>1124</v>
      </c>
      <c r="D1" s="18" t="s">
        <v>1125</v>
      </c>
      <c r="E1" s="18" t="s">
        <v>1126</v>
      </c>
      <c r="F1" s="18" t="s">
        <v>1127</v>
      </c>
      <c r="G1" s="18" t="s">
        <v>1128</v>
      </c>
    </row>
    <row r="2" spans="1:7" ht="11.25" customHeight="1" x14ac:dyDescent="0.2">
      <c r="A2" s="20" t="s">
        <v>1115</v>
      </c>
      <c r="B2" s="18">
        <v>255498.79650000005</v>
      </c>
      <c r="C2" s="18">
        <v>1490884.0739172003</v>
      </c>
      <c r="D2" s="18">
        <v>297743.00485409476</v>
      </c>
      <c r="E2" s="18">
        <v>1689830.4330412357</v>
      </c>
      <c r="F2" s="18">
        <v>1746382.8704172005</v>
      </c>
      <c r="G2" s="18">
        <v>1987573.4378953304</v>
      </c>
    </row>
    <row r="3" spans="1:7" ht="11.25" customHeight="1" x14ac:dyDescent="0.2">
      <c r="A3" s="21" t="s">
        <v>41</v>
      </c>
      <c r="B3" s="18">
        <v>255498.79650000005</v>
      </c>
      <c r="C3" s="18">
        <v>783231.71746620024</v>
      </c>
      <c r="D3" s="18">
        <v>297743.00485409476</v>
      </c>
      <c r="E3" s="18">
        <v>881781.33277302166</v>
      </c>
      <c r="F3" s="18">
        <v>1038730.5139662003</v>
      </c>
      <c r="G3" s="18">
        <v>1179524.3376271164</v>
      </c>
    </row>
    <row r="4" spans="1:7" ht="11.25" customHeight="1" x14ac:dyDescent="0.2">
      <c r="A4" s="22" t="s">
        <v>40</v>
      </c>
      <c r="B4" s="18">
        <v>57155.995500000005</v>
      </c>
      <c r="C4" s="18">
        <v>45702.170411999999</v>
      </c>
      <c r="D4" s="18">
        <v>66019.625173918583</v>
      </c>
      <c r="E4" s="18">
        <v>51148.773457208066</v>
      </c>
      <c r="F4" s="18">
        <v>102858.16591200003</v>
      </c>
      <c r="G4" s="18">
        <v>117168.39863112665</v>
      </c>
    </row>
    <row r="5" spans="1:7" ht="11.25" customHeight="1" x14ac:dyDescent="0.2">
      <c r="A5" s="23" t="s">
        <v>51</v>
      </c>
      <c r="B5" s="18">
        <v>57155.995500000005</v>
      </c>
      <c r="C5" s="18">
        <v>45702.170411999999</v>
      </c>
      <c r="D5" s="18">
        <v>66019.625173918583</v>
      </c>
      <c r="E5" s="18">
        <v>51148.773457208066</v>
      </c>
      <c r="F5" s="18">
        <v>102858.16591200003</v>
      </c>
      <c r="G5" s="18">
        <v>117168.39863112665</v>
      </c>
    </row>
    <row r="6" spans="1:7" ht="11.25" customHeight="1" x14ac:dyDescent="0.2">
      <c r="A6" s="24" t="s">
        <v>52</v>
      </c>
      <c r="B6" s="18">
        <v>57155.995500000005</v>
      </c>
      <c r="C6" s="18">
        <v>45702.170411999999</v>
      </c>
      <c r="D6" s="18">
        <v>66019.625173918583</v>
      </c>
      <c r="E6" s="18">
        <v>51148.773457208066</v>
      </c>
      <c r="F6" s="18">
        <v>102858.16591200003</v>
      </c>
      <c r="G6" s="18">
        <v>117168.39863112665</v>
      </c>
    </row>
    <row r="7" spans="1:7" ht="11.25" customHeight="1" x14ac:dyDescent="0.2">
      <c r="A7" s="25" t="s">
        <v>25</v>
      </c>
      <c r="B7" s="18">
        <v>57155.995500000005</v>
      </c>
      <c r="C7" s="18">
        <v>45702.170411999999</v>
      </c>
      <c r="D7" s="18">
        <v>66019.625173918583</v>
      </c>
      <c r="E7" s="18">
        <v>51148.773457208066</v>
      </c>
      <c r="F7" s="18">
        <v>102858.16591200003</v>
      </c>
      <c r="G7" s="18">
        <v>117168.39863112665</v>
      </c>
    </row>
    <row r="8" spans="1:7" ht="11.25" customHeight="1" x14ac:dyDescent="0.2">
      <c r="A8" s="26" t="s">
        <v>25</v>
      </c>
      <c r="B8" s="18">
        <v>57155.995500000005</v>
      </c>
      <c r="C8" s="18">
        <v>45702.170411999999</v>
      </c>
      <c r="D8" s="18">
        <v>66019.625173918583</v>
      </c>
      <c r="E8" s="18">
        <v>51148.773457208066</v>
      </c>
      <c r="F8" s="18">
        <v>102858.16591200003</v>
      </c>
      <c r="G8" s="18">
        <v>117168.39863112665</v>
      </c>
    </row>
    <row r="9" spans="1:7" ht="11.25" customHeight="1" x14ac:dyDescent="0.2">
      <c r="A9" s="27" t="s">
        <v>35</v>
      </c>
      <c r="B9" s="18">
        <v>16939.915500000003</v>
      </c>
      <c r="C9" s="18">
        <v>39881.322558</v>
      </c>
      <c r="D9" s="18">
        <v>19790.85931713046</v>
      </c>
      <c r="E9" s="18">
        <v>44741.315009675047</v>
      </c>
      <c r="F9" s="18">
        <v>56821.23805800001</v>
      </c>
      <c r="G9" s="18">
        <v>64532.174326805507</v>
      </c>
    </row>
    <row r="10" spans="1:7" ht="11.25" customHeight="1" x14ac:dyDescent="0.2">
      <c r="A10" s="28">
        <v>44348</v>
      </c>
      <c r="B10" s="18">
        <v>2280.5940000000001</v>
      </c>
      <c r="C10" s="18">
        <v>5193.0862620000016</v>
      </c>
      <c r="D10" s="18">
        <v>2664.4120517302358</v>
      </c>
      <c r="E10" s="18">
        <v>5825.9228485377944</v>
      </c>
      <c r="F10" s="18">
        <v>7473.6802620000017</v>
      </c>
      <c r="G10" s="18">
        <v>8490.3349002680297</v>
      </c>
    </row>
    <row r="11" spans="1:7" ht="11.25" customHeight="1" x14ac:dyDescent="0.2">
      <c r="A11" s="28">
        <v>44378</v>
      </c>
      <c r="B11" s="18">
        <v>2265.2880000000005</v>
      </c>
      <c r="C11" s="18">
        <v>5000.1510719999978</v>
      </c>
      <c r="D11" s="18">
        <v>2646.5300916515093</v>
      </c>
      <c r="E11" s="18">
        <v>5609.4763127016813</v>
      </c>
      <c r="F11" s="18">
        <v>7265.4390719999983</v>
      </c>
      <c r="G11" s="18">
        <v>8256.0064043531911</v>
      </c>
    </row>
    <row r="12" spans="1:7" ht="11.25" customHeight="1" x14ac:dyDescent="0.2">
      <c r="A12" s="28">
        <v>44409</v>
      </c>
      <c r="B12" s="18">
        <v>2188.7580000000003</v>
      </c>
      <c r="C12" s="18">
        <v>5252.3218019999986</v>
      </c>
      <c r="D12" s="18">
        <v>2557.1202912578774</v>
      </c>
      <c r="E12" s="18">
        <v>5892.3769123681432</v>
      </c>
      <c r="F12" s="18">
        <v>7441.0798019999984</v>
      </c>
      <c r="G12" s="18">
        <v>8449.4972036260206</v>
      </c>
    </row>
    <row r="13" spans="1:7" ht="11.25" customHeight="1" x14ac:dyDescent="0.2">
      <c r="A13" s="28">
        <v>44440</v>
      </c>
      <c r="B13" s="18">
        <v>2211.7169999999996</v>
      </c>
      <c r="C13" s="18">
        <v>5291.6043180000052</v>
      </c>
      <c r="D13" s="18">
        <v>2583.9432313759662</v>
      </c>
      <c r="E13" s="18">
        <v>5936.4464494345948</v>
      </c>
      <c r="F13" s="18">
        <v>7503.3213180000048</v>
      </c>
      <c r="G13" s="18">
        <v>8520.3896808105601</v>
      </c>
    </row>
    <row r="14" spans="1:7" ht="11.25" customHeight="1" x14ac:dyDescent="0.2">
      <c r="A14" s="28">
        <v>44470</v>
      </c>
      <c r="B14" s="18">
        <v>1063.7670000000005</v>
      </c>
      <c r="C14" s="18">
        <v>2738.912273999998</v>
      </c>
      <c r="D14" s="18">
        <v>1242.7962254714862</v>
      </c>
      <c r="E14" s="18">
        <v>3072.6798655356497</v>
      </c>
      <c r="F14" s="18">
        <v>3802.6792739999983</v>
      </c>
      <c r="G14" s="18">
        <v>4315.4760910071363</v>
      </c>
    </row>
    <row r="15" spans="1:7" ht="11.25" customHeight="1" x14ac:dyDescent="0.2">
      <c r="A15" s="28">
        <v>44501</v>
      </c>
      <c r="B15" s="18">
        <v>979.58400000000017</v>
      </c>
      <c r="C15" s="18">
        <v>2199.0294899999999</v>
      </c>
      <c r="D15" s="18">
        <v>1144.4454450384906</v>
      </c>
      <c r="E15" s="18">
        <v>2467.0062279045205</v>
      </c>
      <c r="F15" s="18">
        <v>3178.6134900000002</v>
      </c>
      <c r="G15" s="18">
        <v>3611.4516729430111</v>
      </c>
    </row>
    <row r="16" spans="1:7" ht="11.25" customHeight="1" x14ac:dyDescent="0.2">
      <c r="A16" s="28">
        <v>44531</v>
      </c>
      <c r="B16" s="18">
        <v>983.4105000000003</v>
      </c>
      <c r="C16" s="18">
        <v>2312.9200080000023</v>
      </c>
      <c r="D16" s="18">
        <v>1148.9159350581724</v>
      </c>
      <c r="E16" s="18">
        <v>2594.7756000220711</v>
      </c>
      <c r="F16" s="18">
        <v>3296.3305080000027</v>
      </c>
      <c r="G16" s="18">
        <v>3743.6915350802437</v>
      </c>
    </row>
    <row r="17" spans="1:7" ht="11.25" customHeight="1" x14ac:dyDescent="0.2">
      <c r="A17" s="28">
        <v>44562</v>
      </c>
      <c r="B17" s="18">
        <v>983.4105000000003</v>
      </c>
      <c r="C17" s="18">
        <v>2395.7298540000002</v>
      </c>
      <c r="D17" s="18">
        <v>1148.9159350581724</v>
      </c>
      <c r="E17" s="18">
        <v>2687.6767669881442</v>
      </c>
      <c r="F17" s="18">
        <v>3379.1403540000006</v>
      </c>
      <c r="G17" s="18">
        <v>3836.5927020463168</v>
      </c>
    </row>
    <row r="18" spans="1:7" ht="11.25" customHeight="1" x14ac:dyDescent="0.2">
      <c r="A18" s="28">
        <v>44593</v>
      </c>
      <c r="B18" s="18">
        <v>1014.0225</v>
      </c>
      <c r="C18" s="18">
        <v>2282.1750840000018</v>
      </c>
      <c r="D18" s="18">
        <v>1184.6798552156249</v>
      </c>
      <c r="E18" s="18">
        <v>2560.2840575805676</v>
      </c>
      <c r="F18" s="18">
        <v>3296.1975840000018</v>
      </c>
      <c r="G18" s="18">
        <v>3744.9639127961927</v>
      </c>
    </row>
    <row r="19" spans="1:7" ht="11.25" customHeight="1" x14ac:dyDescent="0.2">
      <c r="A19" s="28">
        <v>44621</v>
      </c>
      <c r="B19" s="18">
        <v>994.8900000000001</v>
      </c>
      <c r="C19" s="18">
        <v>2328.6282180000012</v>
      </c>
      <c r="D19" s="18">
        <v>1162.3274051172168</v>
      </c>
      <c r="E19" s="18">
        <v>2612.3980339527911</v>
      </c>
      <c r="F19" s="18">
        <v>3323.5182180000011</v>
      </c>
      <c r="G19" s="18">
        <v>3774.7254390700082</v>
      </c>
    </row>
    <row r="20" spans="1:7" ht="11.25" customHeight="1" x14ac:dyDescent="0.2">
      <c r="A20" s="28">
        <v>44652</v>
      </c>
      <c r="B20" s="18">
        <v>987.23700000000053</v>
      </c>
      <c r="C20" s="18">
        <v>2443.3820879999994</v>
      </c>
      <c r="D20" s="18">
        <v>1153.3864250778543</v>
      </c>
      <c r="E20" s="18">
        <v>2741.1359673245443</v>
      </c>
      <c r="F20" s="18">
        <v>3430.6190879999999</v>
      </c>
      <c r="G20" s="18">
        <v>3894.5223924023985</v>
      </c>
    </row>
    <row r="21" spans="1:7" ht="11.25" customHeight="1" x14ac:dyDescent="0.2">
      <c r="A21" s="28">
        <v>44682</v>
      </c>
      <c r="B21" s="18">
        <v>987.23700000000053</v>
      </c>
      <c r="C21" s="18">
        <v>2443.3820879999994</v>
      </c>
      <c r="D21" s="18">
        <v>1153.3864250778543</v>
      </c>
      <c r="E21" s="18">
        <v>2741.1359673245443</v>
      </c>
      <c r="F21" s="18">
        <v>3430.6190879999999</v>
      </c>
      <c r="G21" s="18">
        <v>3894.5223924023985</v>
      </c>
    </row>
    <row r="22" spans="1:7" ht="11.25" customHeight="1" x14ac:dyDescent="0.2">
      <c r="A22" s="27" t="s">
        <v>34</v>
      </c>
      <c r="B22" s="18">
        <v>40216.080000000002</v>
      </c>
      <c r="C22" s="18">
        <v>5820.8478540000006</v>
      </c>
      <c r="D22" s="18">
        <v>46228.765856788123</v>
      </c>
      <c r="E22" s="18">
        <v>6407.458447533043</v>
      </c>
      <c r="F22" s="18">
        <v>46036.927854000001</v>
      </c>
      <c r="G22" s="18">
        <v>52636.224304321164</v>
      </c>
    </row>
    <row r="23" spans="1:7" ht="11.25" customHeight="1" x14ac:dyDescent="0.2">
      <c r="A23" s="28">
        <v>44348</v>
      </c>
      <c r="B23" s="18">
        <v>5598.96</v>
      </c>
      <c r="C23" s="18">
        <v>827.91551699999854</v>
      </c>
      <c r="D23" s="18">
        <v>6436.0576884052953</v>
      </c>
      <c r="E23" s="18">
        <v>911.3507870850674</v>
      </c>
      <c r="F23" s="18">
        <v>6426.8755169999986</v>
      </c>
      <c r="G23" s="18">
        <v>7347.4084754903624</v>
      </c>
    </row>
    <row r="24" spans="1:7" ht="11.25" customHeight="1" x14ac:dyDescent="0.2">
      <c r="A24" s="28">
        <v>44378</v>
      </c>
      <c r="B24" s="18">
        <v>5549.7599999999993</v>
      </c>
      <c r="C24" s="18">
        <v>797.98494119999918</v>
      </c>
      <c r="D24" s="18">
        <v>6379.5018211961096</v>
      </c>
      <c r="E24" s="18">
        <v>878.40388217370707</v>
      </c>
      <c r="F24" s="18">
        <v>6347.7449411999987</v>
      </c>
      <c r="G24" s="18">
        <v>7257.9057033698164</v>
      </c>
    </row>
    <row r="25" spans="1:7" ht="11.25" customHeight="1" x14ac:dyDescent="0.2">
      <c r="A25" s="28">
        <v>44409</v>
      </c>
      <c r="B25" s="18">
        <v>5372.6400000000021</v>
      </c>
      <c r="C25" s="18">
        <v>795.66909359999966</v>
      </c>
      <c r="D25" s="18">
        <v>6175.900699243045</v>
      </c>
      <c r="E25" s="18">
        <v>875.85464920284028</v>
      </c>
      <c r="F25" s="18">
        <v>6168.3090936000017</v>
      </c>
      <c r="G25" s="18">
        <v>7051.7553484458849</v>
      </c>
    </row>
    <row r="26" spans="1:7" ht="11.25" customHeight="1" x14ac:dyDescent="0.2">
      <c r="A26" s="28">
        <v>44440</v>
      </c>
      <c r="B26" s="18">
        <v>5362.7999999999993</v>
      </c>
      <c r="C26" s="18">
        <v>778.89674280000099</v>
      </c>
      <c r="D26" s="18">
        <v>6164.5895258012051</v>
      </c>
      <c r="E26" s="18">
        <v>857.39202253504504</v>
      </c>
      <c r="F26" s="18">
        <v>6141.6967428000007</v>
      </c>
      <c r="G26" s="18">
        <v>7021.9815483362499</v>
      </c>
    </row>
    <row r="27" spans="1:7" ht="11.25" customHeight="1" x14ac:dyDescent="0.2">
      <c r="A27" s="28">
        <v>44470</v>
      </c>
      <c r="B27" s="18">
        <v>2499.3599999999992</v>
      </c>
      <c r="C27" s="18">
        <v>303.90236459999994</v>
      </c>
      <c r="D27" s="18">
        <v>2873.0380542266162</v>
      </c>
      <c r="E27" s="18">
        <v>334.52889031336224</v>
      </c>
      <c r="F27" s="18">
        <v>2803.2623645999993</v>
      </c>
      <c r="G27" s="18">
        <v>3207.5669445399785</v>
      </c>
    </row>
    <row r="28" spans="1:7" ht="11.25" customHeight="1" x14ac:dyDescent="0.2">
      <c r="A28" s="28">
        <v>44501</v>
      </c>
      <c r="B28" s="18">
        <v>2204.1599999999994</v>
      </c>
      <c r="C28" s="18">
        <v>249.30450300000021</v>
      </c>
      <c r="D28" s="18">
        <v>2533.7028509715042</v>
      </c>
      <c r="E28" s="18">
        <v>274.42879178806612</v>
      </c>
      <c r="F28" s="18">
        <v>2453.4645029999997</v>
      </c>
      <c r="G28" s="18">
        <v>2808.1316427595702</v>
      </c>
    </row>
    <row r="29" spans="1:7" ht="11.25" customHeight="1" x14ac:dyDescent="0.2">
      <c r="A29" s="28">
        <v>44531</v>
      </c>
      <c r="B29" s="18">
        <v>2214</v>
      </c>
      <c r="C29" s="18">
        <v>295.16530320000044</v>
      </c>
      <c r="D29" s="18">
        <v>2545.0140244133418</v>
      </c>
      <c r="E29" s="18">
        <v>324.91132955963599</v>
      </c>
      <c r="F29" s="18">
        <v>2509.1653032000004</v>
      </c>
      <c r="G29" s="18">
        <v>2869.925353972978</v>
      </c>
    </row>
    <row r="30" spans="1:7" ht="11.25" customHeight="1" x14ac:dyDescent="0.2">
      <c r="A30" s="28">
        <v>44562</v>
      </c>
      <c r="B30" s="18">
        <v>2273.04</v>
      </c>
      <c r="C30" s="18">
        <v>304.53395939999996</v>
      </c>
      <c r="D30" s="18">
        <v>2612.8810650643645</v>
      </c>
      <c r="E30" s="18">
        <v>335.22413566905334</v>
      </c>
      <c r="F30" s="18">
        <v>2577.5739593999997</v>
      </c>
      <c r="G30" s="18">
        <v>2948.1052007334179</v>
      </c>
    </row>
    <row r="31" spans="1:7" ht="11.25" customHeight="1" x14ac:dyDescent="0.2">
      <c r="A31" s="28">
        <v>44593</v>
      </c>
      <c r="B31" s="18">
        <v>2322.2400000000002</v>
      </c>
      <c r="C31" s="18">
        <v>333.55223160000048</v>
      </c>
      <c r="D31" s="18">
        <v>2669.4369322735497</v>
      </c>
      <c r="E31" s="18">
        <v>367.16679728886118</v>
      </c>
      <c r="F31" s="18">
        <v>2655.7922316000008</v>
      </c>
      <c r="G31" s="18">
        <v>3036.603729562411</v>
      </c>
    </row>
    <row r="32" spans="1:7" ht="11.25" customHeight="1" x14ac:dyDescent="0.2">
      <c r="A32" s="28">
        <v>44621</v>
      </c>
      <c r="B32" s="18">
        <v>2312.3999999999996</v>
      </c>
      <c r="C32" s="18">
        <v>353.48255640000019</v>
      </c>
      <c r="D32" s="18">
        <v>2658.1257588317121</v>
      </c>
      <c r="E32" s="18">
        <v>389.10565073511293</v>
      </c>
      <c r="F32" s="18">
        <v>2665.8825563999999</v>
      </c>
      <c r="G32" s="18">
        <v>3047.2314095668253</v>
      </c>
    </row>
    <row r="33" spans="1:7" ht="11.25" customHeight="1" x14ac:dyDescent="0.2">
      <c r="A33" s="28">
        <v>44652</v>
      </c>
      <c r="B33" s="18">
        <v>2253.3599999999992</v>
      </c>
      <c r="C33" s="18">
        <v>390.22032060000038</v>
      </c>
      <c r="D33" s="18">
        <v>2590.2587181806894</v>
      </c>
      <c r="E33" s="18">
        <v>429.54575559114483</v>
      </c>
      <c r="F33" s="18">
        <v>2643.5803205999996</v>
      </c>
      <c r="G33" s="18">
        <v>3019.8044737718342</v>
      </c>
    </row>
    <row r="34" spans="1:7" ht="11.25" customHeight="1" x14ac:dyDescent="0.2">
      <c r="A34" s="28">
        <v>44682</v>
      </c>
      <c r="B34" s="18">
        <v>2253.3599999999992</v>
      </c>
      <c r="C34" s="18">
        <v>390.22032060000038</v>
      </c>
      <c r="D34" s="18">
        <v>2590.2587181806894</v>
      </c>
      <c r="E34" s="18">
        <v>429.54575559114483</v>
      </c>
      <c r="F34" s="18">
        <v>2643.5803205999996</v>
      </c>
      <c r="G34" s="18">
        <v>3019.8044737718342</v>
      </c>
    </row>
    <row r="35" spans="1:7" ht="11.25" customHeight="1" x14ac:dyDescent="0.2">
      <c r="A35" s="22" t="s">
        <v>42</v>
      </c>
      <c r="B35" s="18">
        <v>198342.80100000004</v>
      </c>
      <c r="C35" s="18">
        <v>737529.5470542002</v>
      </c>
      <c r="D35" s="18">
        <v>231723.37968017627</v>
      </c>
      <c r="E35" s="18">
        <v>830632.55931581371</v>
      </c>
      <c r="F35" s="18">
        <v>935872.34805420018</v>
      </c>
      <c r="G35" s="18">
        <v>1062355.93899599</v>
      </c>
    </row>
    <row r="36" spans="1:7" ht="11.25" customHeight="1" x14ac:dyDescent="0.2">
      <c r="A36" s="23" t="s">
        <v>51</v>
      </c>
      <c r="B36" s="18">
        <v>198342.80100000004</v>
      </c>
      <c r="C36" s="18">
        <v>737529.5470542002</v>
      </c>
      <c r="D36" s="18">
        <v>231723.37968017627</v>
      </c>
      <c r="E36" s="18">
        <v>830632.55931581371</v>
      </c>
      <c r="F36" s="18">
        <v>935872.34805420018</v>
      </c>
      <c r="G36" s="18">
        <v>1062355.93899599</v>
      </c>
    </row>
    <row r="37" spans="1:7" ht="11.25" customHeight="1" x14ac:dyDescent="0.2">
      <c r="A37" s="24" t="s">
        <v>52</v>
      </c>
      <c r="B37" s="18">
        <v>198342.80100000004</v>
      </c>
      <c r="C37" s="18">
        <v>737529.5470542002</v>
      </c>
      <c r="D37" s="18">
        <v>231723.37968017627</v>
      </c>
      <c r="E37" s="18">
        <v>830632.55931581371</v>
      </c>
      <c r="F37" s="18">
        <v>935872.34805420018</v>
      </c>
      <c r="G37" s="18">
        <v>1062355.93899599</v>
      </c>
    </row>
    <row r="38" spans="1:7" ht="11.25" customHeight="1" x14ac:dyDescent="0.2">
      <c r="A38" s="25" t="s">
        <v>25</v>
      </c>
      <c r="B38" s="18">
        <v>198342.80100000004</v>
      </c>
      <c r="C38" s="18">
        <v>737529.5470542002</v>
      </c>
      <c r="D38" s="18">
        <v>231723.37968017627</v>
      </c>
      <c r="E38" s="18">
        <v>830632.55931581371</v>
      </c>
      <c r="F38" s="18">
        <v>935872.34805420018</v>
      </c>
      <c r="G38" s="18">
        <v>1062355.93899599</v>
      </c>
    </row>
    <row r="39" spans="1:7" ht="11.25" customHeight="1" x14ac:dyDescent="0.2">
      <c r="A39" s="26" t="s">
        <v>25</v>
      </c>
      <c r="B39" s="18">
        <v>198342.80100000004</v>
      </c>
      <c r="C39" s="18">
        <v>737529.5470542002</v>
      </c>
      <c r="D39" s="18">
        <v>231723.37968017627</v>
      </c>
      <c r="E39" s="18">
        <v>830632.55931581371</v>
      </c>
      <c r="F39" s="18">
        <v>935872.34805420018</v>
      </c>
      <c r="G39" s="18">
        <v>1062355.93899599</v>
      </c>
    </row>
    <row r="40" spans="1:7" ht="11.25" customHeight="1" x14ac:dyDescent="0.2">
      <c r="A40" s="27" t="s">
        <v>35</v>
      </c>
      <c r="B40" s="18">
        <v>0</v>
      </c>
      <c r="C40" s="18">
        <v>520841.65156800015</v>
      </c>
      <c r="D40" s="18">
        <v>0</v>
      </c>
      <c r="E40" s="18">
        <v>584312.12678750046</v>
      </c>
      <c r="F40" s="18">
        <v>520841.65156800015</v>
      </c>
      <c r="G40" s="18">
        <v>584312.12678750046</v>
      </c>
    </row>
    <row r="41" spans="1:7" ht="11.25" customHeight="1" x14ac:dyDescent="0.2">
      <c r="A41" s="28">
        <v>44348</v>
      </c>
      <c r="B41" s="18">
        <v>0</v>
      </c>
      <c r="C41" s="18">
        <v>39887.342040000032</v>
      </c>
      <c r="D41" s="18">
        <v>0</v>
      </c>
      <c r="E41" s="18">
        <v>44748.068033975243</v>
      </c>
      <c r="F41" s="18">
        <v>39887.342040000032</v>
      </c>
      <c r="G41" s="18">
        <v>44748.068033975243</v>
      </c>
    </row>
    <row r="42" spans="1:7" ht="11.25" customHeight="1" x14ac:dyDescent="0.2">
      <c r="A42" s="28">
        <v>44378</v>
      </c>
      <c r="B42" s="18">
        <v>0</v>
      </c>
      <c r="C42" s="18">
        <v>41539.96564200001</v>
      </c>
      <c r="D42" s="18">
        <v>0</v>
      </c>
      <c r="E42" s="18">
        <v>46602.082605883479</v>
      </c>
      <c r="F42" s="18">
        <v>41539.96564200001</v>
      </c>
      <c r="G42" s="18">
        <v>46602.082605883479</v>
      </c>
    </row>
    <row r="43" spans="1:7" ht="11.25" customHeight="1" x14ac:dyDescent="0.2">
      <c r="A43" s="28">
        <v>44409</v>
      </c>
      <c r="B43" s="18">
        <v>0</v>
      </c>
      <c r="C43" s="18">
        <v>41625.84518400002</v>
      </c>
      <c r="D43" s="18">
        <v>0</v>
      </c>
      <c r="E43" s="18">
        <v>46698.427546197869</v>
      </c>
      <c r="F43" s="18">
        <v>41625.84518400002</v>
      </c>
      <c r="G43" s="18">
        <v>46698.427546197869</v>
      </c>
    </row>
    <row r="44" spans="1:7" ht="11.25" customHeight="1" x14ac:dyDescent="0.2">
      <c r="A44" s="28">
        <v>44440</v>
      </c>
      <c r="B44" s="18">
        <v>0</v>
      </c>
      <c r="C44" s="18">
        <v>41730.478650000041</v>
      </c>
      <c r="D44" s="18">
        <v>0</v>
      </c>
      <c r="E44" s="18">
        <v>46815.811789311992</v>
      </c>
      <c r="F44" s="18">
        <v>41730.478650000041</v>
      </c>
      <c r="G44" s="18">
        <v>46815.811789311992</v>
      </c>
    </row>
    <row r="45" spans="1:7" ht="11.25" customHeight="1" x14ac:dyDescent="0.2">
      <c r="A45" s="28">
        <v>44470</v>
      </c>
      <c r="B45" s="18">
        <v>0</v>
      </c>
      <c r="C45" s="18">
        <v>43652.971698000001</v>
      </c>
      <c r="D45" s="18">
        <v>0</v>
      </c>
      <c r="E45" s="18">
        <v>48972.582466597916</v>
      </c>
      <c r="F45" s="18">
        <v>43652.971698000001</v>
      </c>
      <c r="G45" s="18">
        <v>48972.582466597916</v>
      </c>
    </row>
    <row r="46" spans="1:7" ht="11.25" customHeight="1" x14ac:dyDescent="0.2">
      <c r="A46" s="28">
        <v>44501</v>
      </c>
      <c r="B46" s="18">
        <v>0</v>
      </c>
      <c r="C46" s="18">
        <v>43047.833892000024</v>
      </c>
      <c r="D46" s="18">
        <v>0</v>
      </c>
      <c r="E46" s="18">
        <v>48293.701740836295</v>
      </c>
      <c r="F46" s="18">
        <v>43047.833892000024</v>
      </c>
      <c r="G46" s="18">
        <v>48293.701740836295</v>
      </c>
    </row>
    <row r="47" spans="1:7" ht="11.25" customHeight="1" x14ac:dyDescent="0.2">
      <c r="A47" s="28">
        <v>44531</v>
      </c>
      <c r="B47" s="18">
        <v>0</v>
      </c>
      <c r="C47" s="18">
        <v>43832.932625999958</v>
      </c>
      <c r="D47" s="18">
        <v>0</v>
      </c>
      <c r="E47" s="18">
        <v>49174.473679141585</v>
      </c>
      <c r="F47" s="18">
        <v>43832.932625999958</v>
      </c>
      <c r="G47" s="18">
        <v>49174.473679141585</v>
      </c>
    </row>
    <row r="48" spans="1:7" ht="11.25" customHeight="1" x14ac:dyDescent="0.2">
      <c r="A48" s="28">
        <v>44562</v>
      </c>
      <c r="B48" s="18">
        <v>0</v>
      </c>
      <c r="C48" s="18">
        <v>44751.323315999995</v>
      </c>
      <c r="D48" s="18">
        <v>0</v>
      </c>
      <c r="E48" s="18">
        <v>50204.780713304914</v>
      </c>
      <c r="F48" s="18">
        <v>44751.323315999995</v>
      </c>
      <c r="G48" s="18">
        <v>50204.780713304914</v>
      </c>
    </row>
    <row r="49" spans="1:7" ht="11.25" customHeight="1" x14ac:dyDescent="0.2">
      <c r="A49" s="28">
        <v>44593</v>
      </c>
      <c r="B49" s="18">
        <v>0</v>
      </c>
      <c r="C49" s="18">
        <v>42740.720400000006</v>
      </c>
      <c r="D49" s="18">
        <v>0</v>
      </c>
      <c r="E49" s="18">
        <v>47949.162979131223</v>
      </c>
      <c r="F49" s="18">
        <v>42740.720400000006</v>
      </c>
      <c r="G49" s="18">
        <v>47949.162979131223</v>
      </c>
    </row>
    <row r="50" spans="1:7" ht="11.25" customHeight="1" x14ac:dyDescent="0.2">
      <c r="A50" s="28">
        <v>44621</v>
      </c>
      <c r="B50" s="18">
        <v>0</v>
      </c>
      <c r="C50" s="18">
        <v>46891.381067999937</v>
      </c>
      <c r="D50" s="18">
        <v>0</v>
      </c>
      <c r="E50" s="18">
        <v>52605.628826651147</v>
      </c>
      <c r="F50" s="18">
        <v>46891.381067999937</v>
      </c>
      <c r="G50" s="18">
        <v>52605.628826651147</v>
      </c>
    </row>
    <row r="51" spans="1:7" ht="11.25" customHeight="1" x14ac:dyDescent="0.2">
      <c r="A51" s="28">
        <v>44652</v>
      </c>
      <c r="B51" s="18">
        <v>0</v>
      </c>
      <c r="C51" s="18">
        <v>45570.42852600004</v>
      </c>
      <c r="D51" s="18">
        <v>0</v>
      </c>
      <c r="E51" s="18">
        <v>51123.703203234407</v>
      </c>
      <c r="F51" s="18">
        <v>45570.42852600004</v>
      </c>
      <c r="G51" s="18">
        <v>51123.703203234407</v>
      </c>
    </row>
    <row r="52" spans="1:7" ht="11.25" customHeight="1" x14ac:dyDescent="0.2">
      <c r="A52" s="28">
        <v>44682</v>
      </c>
      <c r="B52" s="18">
        <v>0</v>
      </c>
      <c r="C52" s="18">
        <v>45570.42852600004</v>
      </c>
      <c r="D52" s="18">
        <v>0</v>
      </c>
      <c r="E52" s="18">
        <v>51123.703203234407</v>
      </c>
      <c r="F52" s="18">
        <v>45570.42852600004</v>
      </c>
      <c r="G52" s="18">
        <v>51123.703203234407</v>
      </c>
    </row>
    <row r="53" spans="1:7" ht="11.25" customHeight="1" x14ac:dyDescent="0.2">
      <c r="A53" s="27" t="s">
        <v>25</v>
      </c>
      <c r="B53" s="18">
        <v>198342.80100000004</v>
      </c>
      <c r="C53" s="18">
        <v>0</v>
      </c>
      <c r="D53" s="18">
        <v>231723.37968017627</v>
      </c>
      <c r="E53" s="18">
        <v>0</v>
      </c>
      <c r="F53" s="18">
        <v>198342.80100000004</v>
      </c>
      <c r="G53" s="18">
        <v>231723.37968017627</v>
      </c>
    </row>
    <row r="54" spans="1:7" ht="11.25" customHeight="1" x14ac:dyDescent="0.2">
      <c r="A54" s="28">
        <v>44348</v>
      </c>
      <c r="B54" s="18">
        <v>15386.356500000004</v>
      </c>
      <c r="C54" s="18">
        <v>0</v>
      </c>
      <c r="D54" s="18">
        <v>17975.840369139729</v>
      </c>
      <c r="E54" s="18">
        <v>0</v>
      </c>
      <c r="F54" s="18">
        <v>15386.356500000004</v>
      </c>
      <c r="G54" s="18">
        <v>17975.840369139729</v>
      </c>
    </row>
    <row r="55" spans="1:7" ht="11.25" customHeight="1" x14ac:dyDescent="0.2">
      <c r="A55" s="28">
        <v>44378</v>
      </c>
      <c r="B55" s="18">
        <v>15436.100999999999</v>
      </c>
      <c r="C55" s="18">
        <v>0</v>
      </c>
      <c r="D55" s="18">
        <v>18033.956739395584</v>
      </c>
      <c r="E55" s="18">
        <v>0</v>
      </c>
      <c r="F55" s="18">
        <v>15436.100999999999</v>
      </c>
      <c r="G55" s="18">
        <v>18033.956739395584</v>
      </c>
    </row>
    <row r="56" spans="1:7" ht="11.25" customHeight="1" x14ac:dyDescent="0.2">
      <c r="A56" s="28">
        <v>44409</v>
      </c>
      <c r="B56" s="18">
        <v>15455.233499999998</v>
      </c>
      <c r="C56" s="18">
        <v>0</v>
      </c>
      <c r="D56" s="18">
        <v>18056.309189493993</v>
      </c>
      <c r="E56" s="18">
        <v>0</v>
      </c>
      <c r="F56" s="18">
        <v>15455.233499999998</v>
      </c>
      <c r="G56" s="18">
        <v>18056.309189493993</v>
      </c>
    </row>
    <row r="57" spans="1:7" ht="11.25" customHeight="1" x14ac:dyDescent="0.2">
      <c r="A57" s="28">
        <v>44440</v>
      </c>
      <c r="B57" s="18">
        <v>15501.151500000004</v>
      </c>
      <c r="C57" s="18">
        <v>0</v>
      </c>
      <c r="D57" s="18">
        <v>18109.955069730178</v>
      </c>
      <c r="E57" s="18">
        <v>0</v>
      </c>
      <c r="F57" s="18">
        <v>15501.151500000004</v>
      </c>
      <c r="G57" s="18">
        <v>18109.955069730178</v>
      </c>
    </row>
    <row r="58" spans="1:7" ht="11.25" customHeight="1" x14ac:dyDescent="0.2">
      <c r="A58" s="28">
        <v>44470</v>
      </c>
      <c r="B58" s="18">
        <v>16752.417000000009</v>
      </c>
      <c r="C58" s="18">
        <v>0</v>
      </c>
      <c r="D58" s="18">
        <v>19571.805306166068</v>
      </c>
      <c r="E58" s="18">
        <v>0</v>
      </c>
      <c r="F58" s="18">
        <v>16752.417000000009</v>
      </c>
      <c r="G58" s="18">
        <v>19571.805306166068</v>
      </c>
    </row>
    <row r="59" spans="1:7" ht="11.25" customHeight="1" x14ac:dyDescent="0.2">
      <c r="A59" s="28">
        <v>44501</v>
      </c>
      <c r="B59" s="18">
        <v>16744.764000000003</v>
      </c>
      <c r="C59" s="18">
        <v>0</v>
      </c>
      <c r="D59" s="18">
        <v>19562.864326126699</v>
      </c>
      <c r="E59" s="18">
        <v>0</v>
      </c>
      <c r="F59" s="18">
        <v>16744.764000000003</v>
      </c>
      <c r="G59" s="18">
        <v>19562.864326126699</v>
      </c>
    </row>
    <row r="60" spans="1:7" ht="11.25" customHeight="1" x14ac:dyDescent="0.2">
      <c r="A60" s="28">
        <v>44531</v>
      </c>
      <c r="B60" s="18">
        <v>16893.997500000001</v>
      </c>
      <c r="C60" s="18">
        <v>0</v>
      </c>
      <c r="D60" s="18">
        <v>19737.213436894279</v>
      </c>
      <c r="E60" s="18">
        <v>0</v>
      </c>
      <c r="F60" s="18">
        <v>16893.997500000001</v>
      </c>
      <c r="G60" s="18">
        <v>19737.213436894279</v>
      </c>
    </row>
    <row r="61" spans="1:7" ht="11.25" customHeight="1" x14ac:dyDescent="0.2">
      <c r="A61" s="28">
        <v>44562</v>
      </c>
      <c r="B61" s="18">
        <v>16936.089000000004</v>
      </c>
      <c r="C61" s="18">
        <v>0</v>
      </c>
      <c r="D61" s="18">
        <v>19786.388827110779</v>
      </c>
      <c r="E61" s="18">
        <v>0</v>
      </c>
      <c r="F61" s="18">
        <v>16936.089000000004</v>
      </c>
      <c r="G61" s="18">
        <v>19786.388827110779</v>
      </c>
    </row>
    <row r="62" spans="1:7" ht="11.25" customHeight="1" x14ac:dyDescent="0.2">
      <c r="A62" s="28">
        <v>44593</v>
      </c>
      <c r="B62" s="18">
        <v>16901.650500000007</v>
      </c>
      <c r="C62" s="18">
        <v>0</v>
      </c>
      <c r="D62" s="18">
        <v>19746.154416933648</v>
      </c>
      <c r="E62" s="18">
        <v>0</v>
      </c>
      <c r="F62" s="18">
        <v>16901.650500000007</v>
      </c>
      <c r="G62" s="18">
        <v>19746.154416933648</v>
      </c>
    </row>
    <row r="63" spans="1:7" ht="11.25" customHeight="1" x14ac:dyDescent="0.2">
      <c r="A63" s="28">
        <v>44621</v>
      </c>
      <c r="B63" s="18">
        <v>17391.442500000001</v>
      </c>
      <c r="C63" s="18">
        <v>0</v>
      </c>
      <c r="D63" s="18">
        <v>20318.377139452889</v>
      </c>
      <c r="E63" s="18">
        <v>0</v>
      </c>
      <c r="F63" s="18">
        <v>17391.442500000001</v>
      </c>
      <c r="G63" s="18">
        <v>20318.377139452889</v>
      </c>
    </row>
    <row r="64" spans="1:7" ht="11.25" customHeight="1" x14ac:dyDescent="0.2">
      <c r="A64" s="28">
        <v>44652</v>
      </c>
      <c r="B64" s="18">
        <v>17471.799000000003</v>
      </c>
      <c r="C64" s="18">
        <v>0</v>
      </c>
      <c r="D64" s="18">
        <v>20412.257429866204</v>
      </c>
      <c r="E64" s="18">
        <v>0</v>
      </c>
      <c r="F64" s="18">
        <v>17471.799000000003</v>
      </c>
      <c r="G64" s="18">
        <v>20412.257429866204</v>
      </c>
    </row>
    <row r="65" spans="1:7" ht="11.25" customHeight="1" x14ac:dyDescent="0.2">
      <c r="A65" s="28">
        <v>44682</v>
      </c>
      <c r="B65" s="18">
        <v>17471.799000000003</v>
      </c>
      <c r="C65" s="18">
        <v>0</v>
      </c>
      <c r="D65" s="18">
        <v>20412.257429866204</v>
      </c>
      <c r="E65" s="18">
        <v>0</v>
      </c>
      <c r="F65" s="18">
        <v>17471.799000000003</v>
      </c>
      <c r="G65" s="18">
        <v>20412.257429866204</v>
      </c>
    </row>
    <row r="66" spans="1:7" ht="11.25" customHeight="1" x14ac:dyDescent="0.2">
      <c r="A66" s="27" t="s">
        <v>34</v>
      </c>
      <c r="B66" s="18">
        <v>0</v>
      </c>
      <c r="C66" s="18">
        <v>216687.89548620005</v>
      </c>
      <c r="D66" s="18">
        <v>0</v>
      </c>
      <c r="E66" s="18">
        <v>246320.43252831325</v>
      </c>
      <c r="F66" s="18">
        <v>216687.89548620005</v>
      </c>
      <c r="G66" s="18">
        <v>246320.43252831325</v>
      </c>
    </row>
    <row r="67" spans="1:7" ht="11.25" customHeight="1" x14ac:dyDescent="0.2">
      <c r="A67" s="28">
        <v>44348</v>
      </c>
      <c r="B67" s="18">
        <v>0</v>
      </c>
      <c r="C67" s="18">
        <v>13766.622834600001</v>
      </c>
      <c r="D67" s="18">
        <v>0</v>
      </c>
      <c r="E67" s="18">
        <v>15649.238197935167</v>
      </c>
      <c r="F67" s="18">
        <v>13766.622834600001</v>
      </c>
      <c r="G67" s="18">
        <v>15649.238197935167</v>
      </c>
    </row>
    <row r="68" spans="1:7" ht="11.25" customHeight="1" x14ac:dyDescent="0.2">
      <c r="A68" s="28">
        <v>44378</v>
      </c>
      <c r="B68" s="18">
        <v>0</v>
      </c>
      <c r="C68" s="18">
        <v>15414.440524199994</v>
      </c>
      <c r="D68" s="18">
        <v>0</v>
      </c>
      <c r="E68" s="18">
        <v>17522.398510463678</v>
      </c>
      <c r="F68" s="18">
        <v>15414.440524199994</v>
      </c>
      <c r="G68" s="18">
        <v>17522.398510463678</v>
      </c>
    </row>
    <row r="69" spans="1:7" ht="11.25" customHeight="1" x14ac:dyDescent="0.2">
      <c r="A69" s="28">
        <v>44409</v>
      </c>
      <c r="B69" s="18">
        <v>0</v>
      </c>
      <c r="C69" s="18">
        <v>16352.839240199974</v>
      </c>
      <c r="D69" s="18">
        <v>0</v>
      </c>
      <c r="E69" s="18">
        <v>18589.125274736718</v>
      </c>
      <c r="F69" s="18">
        <v>16352.839240199974</v>
      </c>
      <c r="G69" s="18">
        <v>18589.125274736718</v>
      </c>
    </row>
    <row r="70" spans="1:7" ht="11.25" customHeight="1" x14ac:dyDescent="0.2">
      <c r="A70" s="28">
        <v>44440</v>
      </c>
      <c r="B70" s="18">
        <v>0</v>
      </c>
      <c r="C70" s="18">
        <v>18523.441729800048</v>
      </c>
      <c r="D70" s="18">
        <v>0</v>
      </c>
      <c r="E70" s="18">
        <v>21056.562336163963</v>
      </c>
      <c r="F70" s="18">
        <v>18523.441729800048</v>
      </c>
      <c r="G70" s="18">
        <v>21056.562336163963</v>
      </c>
    </row>
    <row r="71" spans="1:7" ht="11.25" customHeight="1" x14ac:dyDescent="0.2">
      <c r="A71" s="28">
        <v>44470</v>
      </c>
      <c r="B71" s="18">
        <v>0</v>
      </c>
      <c r="C71" s="18">
        <v>17802.521490599975</v>
      </c>
      <c r="D71" s="18">
        <v>0</v>
      </c>
      <c r="E71" s="18">
        <v>20237.054699432654</v>
      </c>
      <c r="F71" s="18">
        <v>17802.521490599975</v>
      </c>
      <c r="G71" s="18">
        <v>20237.054699432654</v>
      </c>
    </row>
    <row r="72" spans="1:7" ht="11.25" customHeight="1" x14ac:dyDescent="0.2">
      <c r="A72" s="28">
        <v>44501</v>
      </c>
      <c r="B72" s="18">
        <v>0</v>
      </c>
      <c r="C72" s="18">
        <v>17830.229085000039</v>
      </c>
      <c r="D72" s="18">
        <v>0</v>
      </c>
      <c r="E72" s="18">
        <v>20268.551367124357</v>
      </c>
      <c r="F72" s="18">
        <v>17830.229085000039</v>
      </c>
      <c r="G72" s="18">
        <v>20268.551367124357</v>
      </c>
    </row>
    <row r="73" spans="1:7" ht="11.25" customHeight="1" x14ac:dyDescent="0.2">
      <c r="A73" s="28">
        <v>44531</v>
      </c>
      <c r="B73" s="18">
        <v>0</v>
      </c>
      <c r="C73" s="18">
        <v>20308.882517999984</v>
      </c>
      <c r="D73" s="18">
        <v>0</v>
      </c>
      <c r="E73" s="18">
        <v>23086.166002839978</v>
      </c>
      <c r="F73" s="18">
        <v>20308.882517999984</v>
      </c>
      <c r="G73" s="18">
        <v>23086.166002839978</v>
      </c>
    </row>
    <row r="74" spans="1:7" ht="11.25" customHeight="1" x14ac:dyDescent="0.2">
      <c r="A74" s="28">
        <v>44562</v>
      </c>
      <c r="B74" s="18">
        <v>0</v>
      </c>
      <c r="C74" s="18">
        <v>20571.320487600016</v>
      </c>
      <c r="D74" s="18">
        <v>0</v>
      </c>
      <c r="E74" s="18">
        <v>23384.492930787128</v>
      </c>
      <c r="F74" s="18">
        <v>20571.320487600016</v>
      </c>
      <c r="G74" s="18">
        <v>23384.492930787128</v>
      </c>
    </row>
    <row r="75" spans="1:7" ht="11.25" customHeight="1" x14ac:dyDescent="0.2">
      <c r="A75" s="28">
        <v>44593</v>
      </c>
      <c r="B75" s="18">
        <v>0</v>
      </c>
      <c r="C75" s="18">
        <v>18885.600899999972</v>
      </c>
      <c r="D75" s="18">
        <v>0</v>
      </c>
      <c r="E75" s="18">
        <v>21468.247553963411</v>
      </c>
      <c r="F75" s="18">
        <v>18885.600899999972</v>
      </c>
      <c r="G75" s="18">
        <v>21468.247553963411</v>
      </c>
    </row>
    <row r="76" spans="1:7" ht="11.25" customHeight="1" x14ac:dyDescent="0.2">
      <c r="A76" s="28">
        <v>44621</v>
      </c>
      <c r="B76" s="18">
        <v>0</v>
      </c>
      <c r="C76" s="18">
        <v>19363.5569034</v>
      </c>
      <c r="D76" s="18">
        <v>0</v>
      </c>
      <c r="E76" s="18">
        <v>22011.565071644029</v>
      </c>
      <c r="F76" s="18">
        <v>19363.5569034</v>
      </c>
      <c r="G76" s="18">
        <v>22011.565071644029</v>
      </c>
    </row>
    <row r="77" spans="1:7" ht="11.25" customHeight="1" x14ac:dyDescent="0.2">
      <c r="A77" s="28">
        <v>44652</v>
      </c>
      <c r="B77" s="18">
        <v>0</v>
      </c>
      <c r="C77" s="18">
        <v>18934.219886400053</v>
      </c>
      <c r="D77" s="18">
        <v>0</v>
      </c>
      <c r="E77" s="18">
        <v>21523.515291611075</v>
      </c>
      <c r="F77" s="18">
        <v>18934.219886400053</v>
      </c>
      <c r="G77" s="18">
        <v>21523.515291611075</v>
      </c>
    </row>
    <row r="78" spans="1:7" ht="11.25" customHeight="1" x14ac:dyDescent="0.2">
      <c r="A78" s="28">
        <v>44682</v>
      </c>
      <c r="B78" s="18">
        <v>0</v>
      </c>
      <c r="C78" s="18">
        <v>18934.219886400053</v>
      </c>
      <c r="D78" s="18">
        <v>0</v>
      </c>
      <c r="E78" s="18">
        <v>21523.515291611075</v>
      </c>
      <c r="F78" s="18">
        <v>18934.219886400053</v>
      </c>
      <c r="G78" s="18">
        <v>21523.515291611075</v>
      </c>
    </row>
    <row r="79" spans="1:7" ht="11.25" customHeight="1" x14ac:dyDescent="0.2">
      <c r="A79" s="21" t="s">
        <v>37</v>
      </c>
      <c r="B79" s="18">
        <v>0</v>
      </c>
      <c r="C79" s="18">
        <v>707652.35645100032</v>
      </c>
      <c r="D79" s="18">
        <v>0</v>
      </c>
      <c r="E79" s="18">
        <v>808049.10026821413</v>
      </c>
      <c r="F79" s="18">
        <v>707652.35645100032</v>
      </c>
      <c r="G79" s="18">
        <v>808049.10026821413</v>
      </c>
    </row>
    <row r="80" spans="1:7" ht="11.25" customHeight="1" x14ac:dyDescent="0.2">
      <c r="A80" s="22" t="s">
        <v>23</v>
      </c>
      <c r="B80" s="18">
        <v>0</v>
      </c>
      <c r="C80" s="18">
        <v>707652.35645100032</v>
      </c>
      <c r="D80" s="18">
        <v>0</v>
      </c>
      <c r="E80" s="18">
        <v>808049.10026821413</v>
      </c>
      <c r="F80" s="18">
        <v>707652.35645100032</v>
      </c>
      <c r="G80" s="18">
        <v>808049.10026821413</v>
      </c>
    </row>
    <row r="81" spans="1:7" ht="11.25" customHeight="1" x14ac:dyDescent="0.2">
      <c r="A81" s="23" t="s">
        <v>51</v>
      </c>
      <c r="B81" s="18">
        <v>0</v>
      </c>
      <c r="C81" s="18">
        <v>707652.35645100032</v>
      </c>
      <c r="D81" s="18">
        <v>0</v>
      </c>
      <c r="E81" s="18">
        <v>808049.10026821413</v>
      </c>
      <c r="F81" s="18">
        <v>707652.35645100032</v>
      </c>
      <c r="G81" s="18">
        <v>808049.10026821413</v>
      </c>
    </row>
    <row r="82" spans="1:7" ht="11.25" customHeight="1" x14ac:dyDescent="0.2">
      <c r="A82" s="24" t="s">
        <v>52</v>
      </c>
      <c r="B82" s="18">
        <v>0</v>
      </c>
      <c r="C82" s="18">
        <v>707652.35645100032</v>
      </c>
      <c r="D82" s="18">
        <v>0</v>
      </c>
      <c r="E82" s="18">
        <v>808049.10026821413</v>
      </c>
      <c r="F82" s="18">
        <v>707652.35645100032</v>
      </c>
      <c r="G82" s="18">
        <v>808049.10026821413</v>
      </c>
    </row>
    <row r="83" spans="1:7" ht="11.25" customHeight="1" x14ac:dyDescent="0.2">
      <c r="A83" s="25" t="s">
        <v>25</v>
      </c>
      <c r="B83" s="18">
        <v>0</v>
      </c>
      <c r="C83" s="18">
        <v>707652.35645100032</v>
      </c>
      <c r="D83" s="18">
        <v>0</v>
      </c>
      <c r="E83" s="18">
        <v>808049.10026821413</v>
      </c>
      <c r="F83" s="18">
        <v>707652.35645100032</v>
      </c>
      <c r="G83" s="18">
        <v>808049.10026821413</v>
      </c>
    </row>
    <row r="84" spans="1:7" ht="11.25" customHeight="1" x14ac:dyDescent="0.2">
      <c r="A84" s="26" t="s">
        <v>25</v>
      </c>
      <c r="B84" s="18">
        <v>0</v>
      </c>
      <c r="C84" s="18">
        <v>707652.35645100032</v>
      </c>
      <c r="D84" s="18">
        <v>0</v>
      </c>
      <c r="E84" s="18">
        <v>808049.10026821413</v>
      </c>
      <c r="F84" s="18">
        <v>707652.35645100032</v>
      </c>
      <c r="G84" s="18">
        <v>808049.10026821413</v>
      </c>
    </row>
    <row r="85" spans="1:7" ht="11.25" customHeight="1" x14ac:dyDescent="0.2">
      <c r="A85" s="27" t="s">
        <v>25</v>
      </c>
      <c r="B85" s="18">
        <v>0</v>
      </c>
      <c r="C85" s="18">
        <v>707652.35645100032</v>
      </c>
      <c r="D85" s="18">
        <v>0</v>
      </c>
      <c r="E85" s="18">
        <v>808049.10026821413</v>
      </c>
      <c r="F85" s="18">
        <v>707652.35645100032</v>
      </c>
      <c r="G85" s="18">
        <v>808049.10026821413</v>
      </c>
    </row>
    <row r="86" spans="1:7" ht="11.25" customHeight="1" x14ac:dyDescent="0.2">
      <c r="A86" s="28">
        <v>44348</v>
      </c>
      <c r="B86" s="18">
        <v>0</v>
      </c>
      <c r="C86" s="18">
        <v>55345.551492000006</v>
      </c>
      <c r="D86" s="18">
        <v>0</v>
      </c>
      <c r="E86" s="18">
        <v>63197.589436777896</v>
      </c>
      <c r="F86" s="18">
        <v>55345.551492000006</v>
      </c>
      <c r="G86" s="18">
        <v>63197.589436777896</v>
      </c>
    </row>
    <row r="87" spans="1:7" ht="11.25" customHeight="1" x14ac:dyDescent="0.2">
      <c r="A87" s="28">
        <v>44378</v>
      </c>
      <c r="B87" s="18">
        <v>0</v>
      </c>
      <c r="C87" s="18">
        <v>55682.381195999988</v>
      </c>
      <c r="D87" s="18">
        <v>0</v>
      </c>
      <c r="E87" s="18">
        <v>63582.206172353821</v>
      </c>
      <c r="F87" s="18">
        <v>55682.381195999988</v>
      </c>
      <c r="G87" s="18">
        <v>63582.206172353821</v>
      </c>
    </row>
    <row r="88" spans="1:7" ht="11.25" customHeight="1" x14ac:dyDescent="0.2">
      <c r="A88" s="28">
        <v>44409</v>
      </c>
      <c r="B88" s="18">
        <v>0</v>
      </c>
      <c r="C88" s="18">
        <v>58159.476287999889</v>
      </c>
      <c r="D88" s="18">
        <v>0</v>
      </c>
      <c r="E88" s="18">
        <v>66410.734110009216</v>
      </c>
      <c r="F88" s="18">
        <v>58159.476287999889</v>
      </c>
      <c r="G88" s="18">
        <v>66410.734110009216</v>
      </c>
    </row>
    <row r="89" spans="1:7" ht="11.25" customHeight="1" x14ac:dyDescent="0.2">
      <c r="A89" s="28">
        <v>44440</v>
      </c>
      <c r="B89" s="18">
        <v>0</v>
      </c>
      <c r="C89" s="18">
        <v>63172.18621799993</v>
      </c>
      <c r="D89" s="18">
        <v>0</v>
      </c>
      <c r="E89" s="18">
        <v>72134.6121016775</v>
      </c>
      <c r="F89" s="18">
        <v>63172.18621799993</v>
      </c>
      <c r="G89" s="18">
        <v>72134.6121016775</v>
      </c>
    </row>
    <row r="90" spans="1:7" ht="11.25" customHeight="1" x14ac:dyDescent="0.2">
      <c r="A90" s="28">
        <v>44470</v>
      </c>
      <c r="B90" s="18">
        <v>0</v>
      </c>
      <c r="C90" s="18">
        <v>60536.991483000085</v>
      </c>
      <c r="D90" s="18">
        <v>0</v>
      </c>
      <c r="E90" s="18">
        <v>69125.554454604426</v>
      </c>
      <c r="F90" s="18">
        <v>60536.991483000085</v>
      </c>
      <c r="G90" s="18">
        <v>69125.554454604426</v>
      </c>
    </row>
    <row r="91" spans="1:7" ht="11.25" customHeight="1" x14ac:dyDescent="0.2">
      <c r="A91" s="28">
        <v>44501</v>
      </c>
      <c r="B91" s="18">
        <v>0</v>
      </c>
      <c r="C91" s="18">
        <v>57396.271232999978</v>
      </c>
      <c r="D91" s="18">
        <v>0</v>
      </c>
      <c r="E91" s="18">
        <v>65539.250884678448</v>
      </c>
      <c r="F91" s="18">
        <v>57396.271232999978</v>
      </c>
      <c r="G91" s="18">
        <v>65539.250884678448</v>
      </c>
    </row>
    <row r="92" spans="1:7" ht="11.25" customHeight="1" x14ac:dyDescent="0.2">
      <c r="A92" s="28">
        <v>44531</v>
      </c>
      <c r="B92" s="18">
        <v>0</v>
      </c>
      <c r="C92" s="18">
        <v>60453.707208</v>
      </c>
      <c r="D92" s="18">
        <v>0</v>
      </c>
      <c r="E92" s="18">
        <v>69030.454391887441</v>
      </c>
      <c r="F92" s="18">
        <v>60453.707208</v>
      </c>
      <c r="G92" s="18">
        <v>69030.454391887441</v>
      </c>
    </row>
    <row r="93" spans="1:7" ht="11.25" customHeight="1" x14ac:dyDescent="0.2">
      <c r="A93" s="28">
        <v>44562</v>
      </c>
      <c r="B93" s="18">
        <v>0</v>
      </c>
      <c r="C93" s="18">
        <v>57874.664136000138</v>
      </c>
      <c r="D93" s="18">
        <v>0</v>
      </c>
      <c r="E93" s="18">
        <v>66085.51481119552</v>
      </c>
      <c r="F93" s="18">
        <v>57874.664136000138</v>
      </c>
      <c r="G93" s="18">
        <v>66085.51481119552</v>
      </c>
    </row>
    <row r="94" spans="1:7" ht="11.25" customHeight="1" x14ac:dyDescent="0.2">
      <c r="A94" s="28">
        <v>44593</v>
      </c>
      <c r="B94" s="18">
        <v>0</v>
      </c>
      <c r="C94" s="18">
        <v>56923.015866000074</v>
      </c>
      <c r="D94" s="18">
        <v>0</v>
      </c>
      <c r="E94" s="18">
        <v>64998.853371669036</v>
      </c>
      <c r="F94" s="18">
        <v>56923.015866000074</v>
      </c>
      <c r="G94" s="18">
        <v>64998.853371669036</v>
      </c>
    </row>
    <row r="95" spans="1:7" ht="11.25" customHeight="1" x14ac:dyDescent="0.2">
      <c r="A95" s="28">
        <v>44621</v>
      </c>
      <c r="B95" s="18">
        <v>0</v>
      </c>
      <c r="C95" s="18">
        <v>62752.553883000015</v>
      </c>
      <c r="D95" s="18">
        <v>0</v>
      </c>
      <c r="E95" s="18">
        <v>71655.445279651074</v>
      </c>
      <c r="F95" s="18">
        <v>62752.553883000015</v>
      </c>
      <c r="G95" s="18">
        <v>71655.445279651074</v>
      </c>
    </row>
    <row r="96" spans="1:7" ht="11.25" customHeight="1" x14ac:dyDescent="0.2">
      <c r="A96" s="28">
        <v>44652</v>
      </c>
      <c r="B96" s="18">
        <v>0</v>
      </c>
      <c r="C96" s="18">
        <v>59677.778724000113</v>
      </c>
      <c r="D96" s="18">
        <v>0</v>
      </c>
      <c r="E96" s="18">
        <v>68144.4426268549</v>
      </c>
      <c r="F96" s="18">
        <v>59677.778724000113</v>
      </c>
      <c r="G96" s="18">
        <v>68144.4426268549</v>
      </c>
    </row>
    <row r="97" spans="1:7" ht="11.25" customHeight="1" x14ac:dyDescent="0.2">
      <c r="A97" s="28">
        <v>44682</v>
      </c>
      <c r="B97" s="18">
        <v>0</v>
      </c>
      <c r="C97" s="18">
        <v>59677.778724000113</v>
      </c>
      <c r="D97" s="18">
        <v>0</v>
      </c>
      <c r="E97" s="18">
        <v>68144.4426268549</v>
      </c>
      <c r="F97" s="18">
        <v>59677.778724000113</v>
      </c>
      <c r="G97" s="18">
        <v>68144.4426268549</v>
      </c>
    </row>
    <row r="98" spans="1:7" ht="11.25" customHeight="1" x14ac:dyDescent="0.2">
      <c r="A98" s="20" t="s">
        <v>1116</v>
      </c>
      <c r="B98" s="18">
        <v>0</v>
      </c>
      <c r="C98" s="18">
        <v>29285354.199840013</v>
      </c>
      <c r="D98" s="18">
        <v>0</v>
      </c>
      <c r="E98" s="18">
        <v>31281820.003168255</v>
      </c>
      <c r="F98" s="18">
        <v>29285354.199839976</v>
      </c>
      <c r="G98" s="18">
        <v>31281820.003168266</v>
      </c>
    </row>
    <row r="99" spans="1:7" ht="11.25" customHeight="1" x14ac:dyDescent="0.2">
      <c r="A99" s="21" t="s">
        <v>22</v>
      </c>
      <c r="B99" s="18">
        <v>0</v>
      </c>
      <c r="C99" s="18">
        <v>29285354.199840013</v>
      </c>
      <c r="D99" s="18">
        <v>0</v>
      </c>
      <c r="E99" s="18">
        <v>31281820.003168255</v>
      </c>
      <c r="F99" s="18">
        <v>29285354.199839976</v>
      </c>
      <c r="G99" s="18">
        <v>31281820.003168266</v>
      </c>
    </row>
    <row r="100" spans="1:7" ht="11.25" customHeight="1" x14ac:dyDescent="0.2">
      <c r="A100" s="22" t="s">
        <v>23</v>
      </c>
      <c r="B100" s="18">
        <v>0</v>
      </c>
      <c r="C100" s="18">
        <v>29285354.199840013</v>
      </c>
      <c r="D100" s="18">
        <v>0</v>
      </c>
      <c r="E100" s="18">
        <v>31281820.003168255</v>
      </c>
      <c r="F100" s="18">
        <v>29285354.199839976</v>
      </c>
      <c r="G100" s="18">
        <v>31281820.003168266</v>
      </c>
    </row>
    <row r="101" spans="1:7" ht="11.25" customHeight="1" x14ac:dyDescent="0.2">
      <c r="A101" s="23" t="s">
        <v>24</v>
      </c>
      <c r="B101" s="18">
        <v>0</v>
      </c>
      <c r="C101" s="18">
        <v>29285354.199840013</v>
      </c>
      <c r="D101" s="18">
        <v>0</v>
      </c>
      <c r="E101" s="18">
        <v>31281820.003168255</v>
      </c>
      <c r="F101" s="18">
        <v>29285354.199839976</v>
      </c>
      <c r="G101" s="18">
        <v>31281820.003168266</v>
      </c>
    </row>
    <row r="102" spans="1:7" ht="11.25" customHeight="1" x14ac:dyDescent="0.2">
      <c r="A102" s="24" t="s">
        <v>29</v>
      </c>
      <c r="B102" s="18">
        <v>0</v>
      </c>
      <c r="C102" s="18">
        <v>12324912.732300004</v>
      </c>
      <c r="D102" s="18">
        <v>0</v>
      </c>
      <c r="E102" s="18">
        <v>13165275.730107069</v>
      </c>
      <c r="F102" s="18">
        <v>12324912.732299997</v>
      </c>
      <c r="G102" s="18">
        <v>13165275.730107075</v>
      </c>
    </row>
    <row r="103" spans="1:7" ht="11.25" customHeight="1" x14ac:dyDescent="0.2">
      <c r="A103" s="25" t="s">
        <v>25</v>
      </c>
      <c r="B103" s="18">
        <v>0</v>
      </c>
      <c r="C103" s="18">
        <v>12324912.732300004</v>
      </c>
      <c r="D103" s="18">
        <v>0</v>
      </c>
      <c r="E103" s="18">
        <v>13165275.730107069</v>
      </c>
      <c r="F103" s="18">
        <v>12324912.732299997</v>
      </c>
      <c r="G103" s="18">
        <v>13165275.730107075</v>
      </c>
    </row>
    <row r="104" spans="1:7" ht="11.25" customHeight="1" x14ac:dyDescent="0.2">
      <c r="A104" s="26" t="s">
        <v>25</v>
      </c>
      <c r="B104" s="18">
        <v>0</v>
      </c>
      <c r="C104" s="18">
        <v>12324912.732300004</v>
      </c>
      <c r="D104" s="18">
        <v>0</v>
      </c>
      <c r="E104" s="18">
        <v>13165275.730107069</v>
      </c>
      <c r="F104" s="18">
        <v>12324912.732299997</v>
      </c>
      <c r="G104" s="18">
        <v>13165275.730107075</v>
      </c>
    </row>
    <row r="105" spans="1:7" ht="11.25" customHeight="1" x14ac:dyDescent="0.2">
      <c r="A105" s="27" t="s">
        <v>25</v>
      </c>
      <c r="B105" s="18">
        <v>0</v>
      </c>
      <c r="C105" s="18">
        <v>12324912.732300004</v>
      </c>
      <c r="D105" s="18">
        <v>0</v>
      </c>
      <c r="E105" s="18">
        <v>13165275.730107069</v>
      </c>
      <c r="F105" s="18">
        <v>12324912.732299997</v>
      </c>
      <c r="G105" s="18">
        <v>13165275.730107075</v>
      </c>
    </row>
    <row r="106" spans="1:7" ht="11.25" customHeight="1" x14ac:dyDescent="0.2">
      <c r="A106" s="28">
        <v>44348</v>
      </c>
      <c r="B106" s="18">
        <v>0</v>
      </c>
      <c r="C106" s="18">
        <v>948801.34320000012</v>
      </c>
      <c r="D106" s="18">
        <v>0</v>
      </c>
      <c r="E106" s="18">
        <v>1013494.5023657714</v>
      </c>
      <c r="F106" s="18">
        <v>948801.34320000012</v>
      </c>
      <c r="G106" s="18">
        <v>1013494.5023657714</v>
      </c>
    </row>
    <row r="107" spans="1:7" ht="11.25" customHeight="1" x14ac:dyDescent="0.2">
      <c r="A107" s="28">
        <v>44378</v>
      </c>
      <c r="B107" s="18">
        <v>0</v>
      </c>
      <c r="C107" s="18">
        <v>964090.78530000011</v>
      </c>
      <c r="D107" s="18">
        <v>0</v>
      </c>
      <c r="E107" s="18">
        <v>1029826.4412101322</v>
      </c>
      <c r="F107" s="18">
        <v>964090.78530000011</v>
      </c>
      <c r="G107" s="18">
        <v>1029826.4412101322</v>
      </c>
    </row>
    <row r="108" spans="1:7" ht="11.25" customHeight="1" x14ac:dyDescent="0.2">
      <c r="A108" s="28">
        <v>44409</v>
      </c>
      <c r="B108" s="18">
        <v>0</v>
      </c>
      <c r="C108" s="18">
        <v>973908.45300000021</v>
      </c>
      <c r="D108" s="18">
        <v>0</v>
      </c>
      <c r="E108" s="18">
        <v>1040313.5176791067</v>
      </c>
      <c r="F108" s="18">
        <v>973908.45300000021</v>
      </c>
      <c r="G108" s="18">
        <v>1040313.5176791067</v>
      </c>
    </row>
    <row r="109" spans="1:7" ht="11.25" customHeight="1" x14ac:dyDescent="0.2">
      <c r="A109" s="28">
        <v>44440</v>
      </c>
      <c r="B109" s="18">
        <v>0</v>
      </c>
      <c r="C109" s="18">
        <v>951713.06460000016</v>
      </c>
      <c r="D109" s="18">
        <v>0</v>
      </c>
      <c r="E109" s="18">
        <v>1016604.7568489364</v>
      </c>
      <c r="F109" s="18">
        <v>951713.06460000016</v>
      </c>
      <c r="G109" s="18">
        <v>1016604.7568489364</v>
      </c>
    </row>
    <row r="110" spans="1:7" ht="11.25" customHeight="1" x14ac:dyDescent="0.2">
      <c r="A110" s="28">
        <v>44470</v>
      </c>
      <c r="B110" s="18">
        <v>0</v>
      </c>
      <c r="C110" s="18">
        <v>969750.78750000009</v>
      </c>
      <c r="D110" s="18">
        <v>0</v>
      </c>
      <c r="E110" s="18">
        <v>1035872.3655273671</v>
      </c>
      <c r="F110" s="18">
        <v>969750.78750000009</v>
      </c>
      <c r="G110" s="18">
        <v>1035872.3655273671</v>
      </c>
    </row>
    <row r="111" spans="1:7" ht="11.25" customHeight="1" x14ac:dyDescent="0.2">
      <c r="A111" s="28">
        <v>44501</v>
      </c>
      <c r="B111" s="18">
        <v>0</v>
      </c>
      <c r="C111" s="18">
        <v>980939.88450000028</v>
      </c>
      <c r="D111" s="18">
        <v>0</v>
      </c>
      <c r="E111" s="18">
        <v>1047824.3809594818</v>
      </c>
      <c r="F111" s="18">
        <v>980939.88450000028</v>
      </c>
      <c r="G111" s="18">
        <v>1047824.3809594818</v>
      </c>
    </row>
    <row r="112" spans="1:7" ht="11.25" customHeight="1" x14ac:dyDescent="0.2">
      <c r="A112" s="28">
        <v>44531</v>
      </c>
      <c r="B112" s="18">
        <v>0</v>
      </c>
      <c r="C112" s="18">
        <v>989036.00370000012</v>
      </c>
      <c r="D112" s="18">
        <v>0</v>
      </c>
      <c r="E112" s="18">
        <v>1056472.5267051694</v>
      </c>
      <c r="F112" s="18">
        <v>989036.00370000012</v>
      </c>
      <c r="G112" s="18">
        <v>1056472.5267051694</v>
      </c>
    </row>
    <row r="113" spans="1:7" ht="11.25" customHeight="1" x14ac:dyDescent="0.2">
      <c r="A113" s="28">
        <v>44562</v>
      </c>
      <c r="B113" s="18">
        <v>0</v>
      </c>
      <c r="C113" s="18">
        <v>1021901.8944000002</v>
      </c>
      <c r="D113" s="18">
        <v>0</v>
      </c>
      <c r="E113" s="18">
        <v>1091579.3483581222</v>
      </c>
      <c r="F113" s="18">
        <v>1021901.8944000002</v>
      </c>
      <c r="G113" s="18">
        <v>1091579.3483581222</v>
      </c>
    </row>
    <row r="114" spans="1:7" ht="11.25" customHeight="1" x14ac:dyDescent="0.2">
      <c r="A114" s="28">
        <v>44593</v>
      </c>
      <c r="B114" s="18">
        <v>0</v>
      </c>
      <c r="C114" s="18">
        <v>1105422.3648000001</v>
      </c>
      <c r="D114" s="18">
        <v>0</v>
      </c>
      <c r="E114" s="18">
        <v>1180794.5862918233</v>
      </c>
      <c r="F114" s="18">
        <v>1105422.3648000001</v>
      </c>
      <c r="G114" s="18">
        <v>1180794.5862918233</v>
      </c>
    </row>
    <row r="115" spans="1:7" ht="11.25" customHeight="1" x14ac:dyDescent="0.2">
      <c r="A115" s="28">
        <v>44621</v>
      </c>
      <c r="B115" s="18">
        <v>0</v>
      </c>
      <c r="C115" s="18">
        <v>1128637.5141000003</v>
      </c>
      <c r="D115" s="18">
        <v>0</v>
      </c>
      <c r="E115" s="18">
        <v>1205592.63949419</v>
      </c>
      <c r="F115" s="18">
        <v>1128637.5141000003</v>
      </c>
      <c r="G115" s="18">
        <v>1205592.63949419</v>
      </c>
    </row>
    <row r="116" spans="1:7" ht="11.25" customHeight="1" x14ac:dyDescent="0.2">
      <c r="A116" s="28">
        <v>44652</v>
      </c>
      <c r="B116" s="18">
        <v>0</v>
      </c>
      <c r="C116" s="18">
        <v>1145355.3186000003</v>
      </c>
      <c r="D116" s="18">
        <v>0</v>
      </c>
      <c r="E116" s="18">
        <v>1223450.3323334844</v>
      </c>
      <c r="F116" s="18">
        <v>1145355.3186000003</v>
      </c>
      <c r="G116" s="18">
        <v>1223450.3323334844</v>
      </c>
    </row>
    <row r="117" spans="1:7" ht="11.25" customHeight="1" x14ac:dyDescent="0.2">
      <c r="A117" s="28">
        <v>44682</v>
      </c>
      <c r="B117" s="18">
        <v>0</v>
      </c>
      <c r="C117" s="18">
        <v>1145355.3186000003</v>
      </c>
      <c r="D117" s="18">
        <v>0</v>
      </c>
      <c r="E117" s="18">
        <v>1223450.3323334844</v>
      </c>
      <c r="F117" s="18">
        <v>1145355.3186000003</v>
      </c>
      <c r="G117" s="18">
        <v>1223450.3323334844</v>
      </c>
    </row>
    <row r="118" spans="1:7" ht="11.25" customHeight="1" x14ac:dyDescent="0.2">
      <c r="A118" s="24" t="s">
        <v>30</v>
      </c>
      <c r="B118" s="18">
        <v>0</v>
      </c>
      <c r="C118" s="18">
        <v>14588698.685740001</v>
      </c>
      <c r="D118" s="18">
        <v>0</v>
      </c>
      <c r="E118" s="18">
        <v>15583315.286433408</v>
      </c>
      <c r="F118" s="18">
        <v>14588698.685740003</v>
      </c>
      <c r="G118" s="18">
        <v>15583315.286433406</v>
      </c>
    </row>
    <row r="119" spans="1:7" ht="11.25" customHeight="1" x14ac:dyDescent="0.2">
      <c r="A119" s="25" t="s">
        <v>25</v>
      </c>
      <c r="B119" s="18">
        <v>0</v>
      </c>
      <c r="C119" s="18">
        <v>14588698.685740001</v>
      </c>
      <c r="D119" s="18">
        <v>0</v>
      </c>
      <c r="E119" s="18">
        <v>15583315.286433408</v>
      </c>
      <c r="F119" s="18">
        <v>14588698.685740003</v>
      </c>
      <c r="G119" s="18">
        <v>15583315.286433406</v>
      </c>
    </row>
    <row r="120" spans="1:7" ht="11.25" customHeight="1" x14ac:dyDescent="0.2">
      <c r="A120" s="26" t="s">
        <v>25</v>
      </c>
      <c r="B120" s="18">
        <v>0</v>
      </c>
      <c r="C120" s="18">
        <v>14588698.685740001</v>
      </c>
      <c r="D120" s="18">
        <v>0</v>
      </c>
      <c r="E120" s="18">
        <v>15583315.286433408</v>
      </c>
      <c r="F120" s="18">
        <v>14588698.685740003</v>
      </c>
      <c r="G120" s="18">
        <v>15583315.286433406</v>
      </c>
    </row>
    <row r="121" spans="1:7" ht="11.25" customHeight="1" x14ac:dyDescent="0.2">
      <c r="A121" s="27" t="s">
        <v>25</v>
      </c>
      <c r="B121" s="18">
        <v>0</v>
      </c>
      <c r="C121" s="18">
        <v>14588698.685740001</v>
      </c>
      <c r="D121" s="18">
        <v>0</v>
      </c>
      <c r="E121" s="18">
        <v>15583315.286433408</v>
      </c>
      <c r="F121" s="18">
        <v>14588698.685740003</v>
      </c>
      <c r="G121" s="18">
        <v>15583315.286433406</v>
      </c>
    </row>
    <row r="122" spans="1:7" ht="11.25" customHeight="1" x14ac:dyDescent="0.2">
      <c r="A122" s="28">
        <v>44348</v>
      </c>
      <c r="B122" s="18">
        <v>0</v>
      </c>
      <c r="C122" s="18">
        <v>1101002.0964000004</v>
      </c>
      <c r="D122" s="18">
        <v>0</v>
      </c>
      <c r="E122" s="18">
        <v>1176065.3344630415</v>
      </c>
      <c r="F122" s="18">
        <v>1101002.0964000004</v>
      </c>
      <c r="G122" s="18">
        <v>1176065.3344630415</v>
      </c>
    </row>
    <row r="123" spans="1:7" ht="11.25" customHeight="1" x14ac:dyDescent="0.2">
      <c r="A123" s="28">
        <v>44378</v>
      </c>
      <c r="B123" s="18">
        <v>0</v>
      </c>
      <c r="C123" s="18">
        <v>1102211.4335600003</v>
      </c>
      <c r="D123" s="18">
        <v>0</v>
      </c>
      <c r="E123" s="18">
        <v>1177357.1208421993</v>
      </c>
      <c r="F123" s="18">
        <v>1102211.4335600003</v>
      </c>
      <c r="G123" s="18">
        <v>1177357.1208421993</v>
      </c>
    </row>
    <row r="124" spans="1:7" ht="11.25" customHeight="1" x14ac:dyDescent="0.2">
      <c r="A124" s="28">
        <v>44409</v>
      </c>
      <c r="B124" s="18">
        <v>0</v>
      </c>
      <c r="C124" s="18">
        <v>1119192.9202200002</v>
      </c>
      <c r="D124" s="18">
        <v>0</v>
      </c>
      <c r="E124" s="18">
        <v>1195496.3576826868</v>
      </c>
      <c r="F124" s="18">
        <v>1119192.9202200002</v>
      </c>
      <c r="G124" s="18">
        <v>1195496.3576826868</v>
      </c>
    </row>
    <row r="125" spans="1:7" ht="11.25" customHeight="1" x14ac:dyDescent="0.2">
      <c r="A125" s="28">
        <v>44440</v>
      </c>
      <c r="B125" s="18">
        <v>0</v>
      </c>
      <c r="C125" s="18">
        <v>1144987.5050600001</v>
      </c>
      <c r="D125" s="18">
        <v>0</v>
      </c>
      <c r="E125" s="18">
        <v>1223049.5450438927</v>
      </c>
      <c r="F125" s="18">
        <v>1144987.5050600001</v>
      </c>
      <c r="G125" s="18">
        <v>1223049.5450438927</v>
      </c>
    </row>
    <row r="126" spans="1:7" ht="11.25" customHeight="1" x14ac:dyDescent="0.2">
      <c r="A126" s="28">
        <v>44470</v>
      </c>
      <c r="B126" s="18">
        <v>0</v>
      </c>
      <c r="C126" s="18">
        <v>1143365.1246800001</v>
      </c>
      <c r="D126" s="18">
        <v>0</v>
      </c>
      <c r="E126" s="18">
        <v>1221316.5553152903</v>
      </c>
      <c r="F126" s="18">
        <v>1143365.1246800001</v>
      </c>
      <c r="G126" s="18">
        <v>1221316.5553152903</v>
      </c>
    </row>
    <row r="127" spans="1:7" ht="11.25" customHeight="1" x14ac:dyDescent="0.2">
      <c r="A127" s="28">
        <v>44501</v>
      </c>
      <c r="B127" s="18">
        <v>0</v>
      </c>
      <c r="C127" s="18">
        <v>1160593.2932400003</v>
      </c>
      <c r="D127" s="18">
        <v>0</v>
      </c>
      <c r="E127" s="18">
        <v>1239719.2921365481</v>
      </c>
      <c r="F127" s="18">
        <v>1160593.2932400003</v>
      </c>
      <c r="G127" s="18">
        <v>1239719.2921365481</v>
      </c>
    </row>
    <row r="128" spans="1:7" ht="11.25" customHeight="1" x14ac:dyDescent="0.2">
      <c r="A128" s="28">
        <v>44531</v>
      </c>
      <c r="B128" s="18">
        <v>0</v>
      </c>
      <c r="C128" s="18">
        <v>1199799.7465600001</v>
      </c>
      <c r="D128" s="18">
        <v>0</v>
      </c>
      <c r="E128" s="18">
        <v>1281598.7315923504</v>
      </c>
      <c r="F128" s="18">
        <v>1199799.7465600001</v>
      </c>
      <c r="G128" s="18">
        <v>1281598.7315923504</v>
      </c>
    </row>
    <row r="129" spans="1:7" ht="11.25" customHeight="1" x14ac:dyDescent="0.2">
      <c r="A129" s="28">
        <v>44562</v>
      </c>
      <c r="B129" s="18">
        <v>0</v>
      </c>
      <c r="C129" s="18">
        <v>1232217.32332</v>
      </c>
      <c r="D129" s="18">
        <v>0</v>
      </c>
      <c r="E129" s="18">
        <v>1316226.4479058711</v>
      </c>
      <c r="F129" s="18">
        <v>1232217.32332</v>
      </c>
      <c r="G129" s="18">
        <v>1316226.4479058711</v>
      </c>
    </row>
    <row r="130" spans="1:7" ht="11.25" customHeight="1" x14ac:dyDescent="0.2">
      <c r="A130" s="28">
        <v>44593</v>
      </c>
      <c r="B130" s="18">
        <v>0</v>
      </c>
      <c r="C130" s="18">
        <v>1288892.6686</v>
      </c>
      <c r="D130" s="18">
        <v>0</v>
      </c>
      <c r="E130" s="18">
        <v>1376765.7594298664</v>
      </c>
      <c r="F130" s="18">
        <v>1288892.6686</v>
      </c>
      <c r="G130" s="18">
        <v>1376765.7594298664</v>
      </c>
    </row>
    <row r="131" spans="1:7" ht="11.25" customHeight="1" x14ac:dyDescent="0.2">
      <c r="A131" s="28">
        <v>44621</v>
      </c>
      <c r="B131" s="18">
        <v>0</v>
      </c>
      <c r="C131" s="18">
        <v>1368206.7387800002</v>
      </c>
      <c r="D131" s="18">
        <v>0</v>
      </c>
      <c r="E131" s="18">
        <v>1461487.2406866816</v>
      </c>
      <c r="F131" s="18">
        <v>1368206.7387800002</v>
      </c>
      <c r="G131" s="18">
        <v>1461487.2406866816</v>
      </c>
    </row>
    <row r="132" spans="1:7" ht="11.25" customHeight="1" x14ac:dyDescent="0.2">
      <c r="A132" s="28">
        <v>44652</v>
      </c>
      <c r="B132" s="18">
        <v>0</v>
      </c>
      <c r="C132" s="18">
        <v>1364114.9176600003</v>
      </c>
      <c r="D132" s="18">
        <v>0</v>
      </c>
      <c r="E132" s="18">
        <v>1457116.4506674889</v>
      </c>
      <c r="F132" s="18">
        <v>1364114.9176600003</v>
      </c>
      <c r="G132" s="18">
        <v>1457116.4506674889</v>
      </c>
    </row>
    <row r="133" spans="1:7" ht="11.25" customHeight="1" x14ac:dyDescent="0.2">
      <c r="A133" s="28">
        <v>44682</v>
      </c>
      <c r="B133" s="18">
        <v>0</v>
      </c>
      <c r="C133" s="18">
        <v>1364114.9176600003</v>
      </c>
      <c r="D133" s="18">
        <v>0</v>
      </c>
      <c r="E133" s="18">
        <v>1457116.4506674889</v>
      </c>
      <c r="F133" s="18">
        <v>1364114.9176600003</v>
      </c>
      <c r="G133" s="18">
        <v>1457116.4506674889</v>
      </c>
    </row>
    <row r="134" spans="1:7" ht="11.25" customHeight="1" x14ac:dyDescent="0.2">
      <c r="A134" s="24" t="s">
        <v>31</v>
      </c>
      <c r="B134" s="18">
        <v>0</v>
      </c>
      <c r="C134" s="18">
        <v>2371742.7818000014</v>
      </c>
      <c r="D134" s="18">
        <v>0</v>
      </c>
      <c r="E134" s="18">
        <v>2533228.9866277771</v>
      </c>
      <c r="F134" s="18">
        <v>2371742.7818000014</v>
      </c>
      <c r="G134" s="18">
        <v>2533228.9866277766</v>
      </c>
    </row>
    <row r="135" spans="1:7" ht="11.25" customHeight="1" x14ac:dyDescent="0.2">
      <c r="A135" s="25" t="s">
        <v>25</v>
      </c>
      <c r="B135" s="18">
        <v>0</v>
      </c>
      <c r="C135" s="18">
        <v>2371742.7818000014</v>
      </c>
      <c r="D135" s="18">
        <v>0</v>
      </c>
      <c r="E135" s="18">
        <v>2533228.9866277771</v>
      </c>
      <c r="F135" s="18">
        <v>2371742.7818000014</v>
      </c>
      <c r="G135" s="18">
        <v>2533228.9866277766</v>
      </c>
    </row>
    <row r="136" spans="1:7" ht="11.25" customHeight="1" x14ac:dyDescent="0.2">
      <c r="A136" s="26" t="s">
        <v>25</v>
      </c>
      <c r="B136" s="18">
        <v>0</v>
      </c>
      <c r="C136" s="18">
        <v>2371742.7818000014</v>
      </c>
      <c r="D136" s="18">
        <v>0</v>
      </c>
      <c r="E136" s="18">
        <v>2533228.9866277771</v>
      </c>
      <c r="F136" s="18">
        <v>2371742.7818000014</v>
      </c>
      <c r="G136" s="18">
        <v>2533228.9866277766</v>
      </c>
    </row>
    <row r="137" spans="1:7" ht="11.25" customHeight="1" x14ac:dyDescent="0.2">
      <c r="A137" s="27" t="s">
        <v>25</v>
      </c>
      <c r="B137" s="18">
        <v>0</v>
      </c>
      <c r="C137" s="18">
        <v>2371742.7818000014</v>
      </c>
      <c r="D137" s="18">
        <v>0</v>
      </c>
      <c r="E137" s="18">
        <v>2533228.9866277771</v>
      </c>
      <c r="F137" s="18">
        <v>2371742.7818000014</v>
      </c>
      <c r="G137" s="18">
        <v>2533228.9866277766</v>
      </c>
    </row>
    <row r="138" spans="1:7" ht="11.25" customHeight="1" x14ac:dyDescent="0.2">
      <c r="A138" s="28">
        <v>44348</v>
      </c>
      <c r="B138" s="18">
        <v>0</v>
      </c>
      <c r="C138" s="18">
        <v>161655.87118000007</v>
      </c>
      <c r="D138" s="18">
        <v>0</v>
      </c>
      <c r="E138" s="18">
        <v>172662.6267714196</v>
      </c>
      <c r="F138" s="18">
        <v>161655.87118000007</v>
      </c>
      <c r="G138" s="18">
        <v>172662.6267714196</v>
      </c>
    </row>
    <row r="139" spans="1:7" ht="11.25" customHeight="1" x14ac:dyDescent="0.2">
      <c r="A139" s="28">
        <v>44378</v>
      </c>
      <c r="B139" s="18">
        <v>0</v>
      </c>
      <c r="C139" s="18">
        <v>159202.49129000009</v>
      </c>
      <c r="D139" s="18">
        <v>0</v>
      </c>
      <c r="E139" s="18">
        <v>170042.20220419866</v>
      </c>
      <c r="F139" s="18">
        <v>159202.49129000009</v>
      </c>
      <c r="G139" s="18">
        <v>170042.20220419866</v>
      </c>
    </row>
    <row r="140" spans="1:7" ht="11.25" customHeight="1" x14ac:dyDescent="0.2">
      <c r="A140" s="28">
        <v>44409</v>
      </c>
      <c r="B140" s="18">
        <v>0</v>
      </c>
      <c r="C140" s="18">
        <v>164549.97871000008</v>
      </c>
      <c r="D140" s="18">
        <v>0</v>
      </c>
      <c r="E140" s="18">
        <v>175753.78705307949</v>
      </c>
      <c r="F140" s="18">
        <v>164549.97871000008</v>
      </c>
      <c r="G140" s="18">
        <v>175753.78705307949</v>
      </c>
    </row>
    <row r="141" spans="1:7" ht="11.25" customHeight="1" x14ac:dyDescent="0.2">
      <c r="A141" s="28">
        <v>44440</v>
      </c>
      <c r="B141" s="18">
        <v>0</v>
      </c>
      <c r="C141" s="18">
        <v>198331.4305300001</v>
      </c>
      <c r="D141" s="18">
        <v>0</v>
      </c>
      <c r="E141" s="18">
        <v>211835.33586919808</v>
      </c>
      <c r="F141" s="18">
        <v>198331.4305300001</v>
      </c>
      <c r="G141" s="18">
        <v>211835.33586919808</v>
      </c>
    </row>
    <row r="142" spans="1:7" ht="11.25" customHeight="1" x14ac:dyDescent="0.2">
      <c r="A142" s="28">
        <v>44470</v>
      </c>
      <c r="B142" s="18">
        <v>0</v>
      </c>
      <c r="C142" s="18">
        <v>178269.20564000009</v>
      </c>
      <c r="D142" s="18">
        <v>0</v>
      </c>
      <c r="E142" s="18">
        <v>190407.12281945813</v>
      </c>
      <c r="F142" s="18">
        <v>178269.20564000009</v>
      </c>
      <c r="G142" s="18">
        <v>190407.12281945813</v>
      </c>
    </row>
    <row r="143" spans="1:7" ht="11.25" customHeight="1" x14ac:dyDescent="0.2">
      <c r="A143" s="28">
        <v>44501</v>
      </c>
      <c r="B143" s="18">
        <v>0</v>
      </c>
      <c r="C143" s="18">
        <v>184320.51055000012</v>
      </c>
      <c r="D143" s="18">
        <v>0</v>
      </c>
      <c r="E143" s="18">
        <v>196870.44638159464</v>
      </c>
      <c r="F143" s="18">
        <v>184320.51055000012</v>
      </c>
      <c r="G143" s="18">
        <v>196870.44638159464</v>
      </c>
    </row>
    <row r="144" spans="1:7" ht="11.25" customHeight="1" x14ac:dyDescent="0.2">
      <c r="A144" s="28">
        <v>44531</v>
      </c>
      <c r="B144" s="18">
        <v>0</v>
      </c>
      <c r="C144" s="18">
        <v>212684.75465000013</v>
      </c>
      <c r="D144" s="18">
        <v>0</v>
      </c>
      <c r="E144" s="18">
        <v>227165.94296296255</v>
      </c>
      <c r="F144" s="18">
        <v>212684.75465000013</v>
      </c>
      <c r="G144" s="18">
        <v>227165.94296296255</v>
      </c>
    </row>
    <row r="145" spans="1:7" ht="11.25" customHeight="1" x14ac:dyDescent="0.2">
      <c r="A145" s="28">
        <v>44562</v>
      </c>
      <c r="B145" s="18">
        <v>0</v>
      </c>
      <c r="C145" s="18">
        <v>212678.85524000009</v>
      </c>
      <c r="D145" s="18">
        <v>0</v>
      </c>
      <c r="E145" s="18">
        <v>227159.64187646584</v>
      </c>
      <c r="F145" s="18">
        <v>212678.85524000009</v>
      </c>
      <c r="G145" s="18">
        <v>227159.64187646584</v>
      </c>
    </row>
    <row r="146" spans="1:7" ht="11.25" customHeight="1" x14ac:dyDescent="0.2">
      <c r="A146" s="28">
        <v>44593</v>
      </c>
      <c r="B146" s="18">
        <v>0</v>
      </c>
      <c r="C146" s="18">
        <v>198829.1262100001</v>
      </c>
      <c r="D146" s="18">
        <v>0</v>
      </c>
      <c r="E146" s="18">
        <v>212366.91843909997</v>
      </c>
      <c r="F146" s="18">
        <v>198829.1262100001</v>
      </c>
      <c r="G146" s="18">
        <v>212366.91843909997</v>
      </c>
    </row>
    <row r="147" spans="1:7" ht="11.25" customHeight="1" x14ac:dyDescent="0.2">
      <c r="A147" s="28">
        <v>44621</v>
      </c>
      <c r="B147" s="18">
        <v>0</v>
      </c>
      <c r="C147" s="18">
        <v>247237.95656000014</v>
      </c>
      <c r="D147" s="18">
        <v>0</v>
      </c>
      <c r="E147" s="18">
        <v>264071.78845805611</v>
      </c>
      <c r="F147" s="18">
        <v>247237.95656000014</v>
      </c>
      <c r="G147" s="18">
        <v>264071.78845805611</v>
      </c>
    </row>
    <row r="148" spans="1:7" ht="11.25" customHeight="1" x14ac:dyDescent="0.2">
      <c r="A148" s="28">
        <v>44652</v>
      </c>
      <c r="B148" s="18">
        <v>0</v>
      </c>
      <c r="C148" s="18">
        <v>226991.30062000014</v>
      </c>
      <c r="D148" s="18">
        <v>0</v>
      </c>
      <c r="E148" s="18">
        <v>242446.58689612197</v>
      </c>
      <c r="F148" s="18">
        <v>226991.30062000014</v>
      </c>
      <c r="G148" s="18">
        <v>242446.58689612197</v>
      </c>
    </row>
    <row r="149" spans="1:7" ht="11.25" customHeight="1" x14ac:dyDescent="0.2">
      <c r="A149" s="28">
        <v>44682</v>
      </c>
      <c r="B149" s="18">
        <v>0</v>
      </c>
      <c r="C149" s="18">
        <v>226991.30062000014</v>
      </c>
      <c r="D149" s="18">
        <v>0</v>
      </c>
      <c r="E149" s="18">
        <v>242446.58689612197</v>
      </c>
      <c r="F149" s="18">
        <v>226991.30062000014</v>
      </c>
      <c r="G149" s="18">
        <v>242446.58689612197</v>
      </c>
    </row>
    <row r="150" spans="1:7" ht="11.25" customHeight="1" x14ac:dyDescent="0.2">
      <c r="A150" s="24" t="s">
        <v>32</v>
      </c>
      <c r="B150" s="18">
        <v>0</v>
      </c>
      <c r="C150" s="18">
        <v>0</v>
      </c>
      <c r="D150" s="18">
        <v>0</v>
      </c>
      <c r="E150" s="18">
        <v>4.4232217533135547E-10</v>
      </c>
      <c r="F150" s="18">
        <v>0</v>
      </c>
      <c r="G150" s="18">
        <v>4.4232217533135552E-10</v>
      </c>
    </row>
    <row r="151" spans="1:7" ht="11.25" customHeight="1" x14ac:dyDescent="0.2">
      <c r="A151" s="25" t="s">
        <v>25</v>
      </c>
      <c r="B151" s="18">
        <v>0</v>
      </c>
      <c r="C151" s="18">
        <v>0</v>
      </c>
      <c r="D151" s="18">
        <v>0</v>
      </c>
      <c r="E151" s="18">
        <v>4.4232217533135547E-10</v>
      </c>
      <c r="F151" s="18">
        <v>0</v>
      </c>
      <c r="G151" s="18">
        <v>4.4232217533135552E-10</v>
      </c>
    </row>
    <row r="152" spans="1:7" ht="11.25" customHeight="1" x14ac:dyDescent="0.2">
      <c r="A152" s="26" t="s">
        <v>25</v>
      </c>
      <c r="B152" s="18">
        <v>0</v>
      </c>
      <c r="C152" s="18">
        <v>0</v>
      </c>
      <c r="D152" s="18">
        <v>0</v>
      </c>
      <c r="E152" s="18">
        <v>4.4232217533135547E-10</v>
      </c>
      <c r="F152" s="18">
        <v>0</v>
      </c>
      <c r="G152" s="18">
        <v>4.4232217533135552E-10</v>
      </c>
    </row>
    <row r="153" spans="1:7" ht="11.25" customHeight="1" x14ac:dyDescent="0.2">
      <c r="A153" s="27" t="s">
        <v>25</v>
      </c>
      <c r="B153" s="18">
        <v>0</v>
      </c>
      <c r="C153" s="18">
        <v>0</v>
      </c>
      <c r="D153" s="18">
        <v>0</v>
      </c>
      <c r="E153" s="18">
        <v>4.4232217533135547E-10</v>
      </c>
      <c r="F153" s="18">
        <v>0</v>
      </c>
      <c r="G153" s="18">
        <v>4.4232217533135552E-10</v>
      </c>
    </row>
    <row r="154" spans="1:7" ht="11.25" customHeight="1" x14ac:dyDescent="0.2">
      <c r="A154" s="28">
        <v>44348</v>
      </c>
      <c r="B154" s="18">
        <v>0</v>
      </c>
      <c r="C154" s="18">
        <v>0</v>
      </c>
      <c r="D154" s="18">
        <v>0</v>
      </c>
      <c r="E154" s="18">
        <v>2.3861161935201379E-11</v>
      </c>
      <c r="F154" s="18">
        <v>0</v>
      </c>
      <c r="G154" s="18">
        <v>2.3861161935201379E-11</v>
      </c>
    </row>
    <row r="155" spans="1:7" ht="11.25" customHeight="1" x14ac:dyDescent="0.2">
      <c r="A155" s="28">
        <v>44378</v>
      </c>
      <c r="B155" s="18">
        <v>0</v>
      </c>
      <c r="C155" s="18">
        <v>0</v>
      </c>
      <c r="D155" s="18">
        <v>0</v>
      </c>
      <c r="E155" s="18">
        <v>2.2669325971946819E-11</v>
      </c>
      <c r="F155" s="18">
        <v>0</v>
      </c>
      <c r="G155" s="18">
        <v>2.2669325971946819E-11</v>
      </c>
    </row>
    <row r="156" spans="1:7" ht="11.25" customHeight="1" x14ac:dyDescent="0.2">
      <c r="A156" s="28">
        <v>44409</v>
      </c>
      <c r="B156" s="18">
        <v>0</v>
      </c>
      <c r="C156" s="18">
        <v>0</v>
      </c>
      <c r="D156" s="18">
        <v>0</v>
      </c>
      <c r="E156" s="18">
        <v>2.3576774310640758E-11</v>
      </c>
      <c r="F156" s="18">
        <v>0</v>
      </c>
      <c r="G156" s="18">
        <v>2.3576774310640758E-11</v>
      </c>
    </row>
    <row r="157" spans="1:7" ht="11.25" customHeight="1" x14ac:dyDescent="0.2">
      <c r="A157" s="28">
        <v>44440</v>
      </c>
      <c r="B157" s="18">
        <v>0</v>
      </c>
      <c r="C157" s="18">
        <v>0</v>
      </c>
      <c r="D157" s="18">
        <v>0</v>
      </c>
      <c r="E157" s="18">
        <v>3.653394742286764E-11</v>
      </c>
      <c r="F157" s="18">
        <v>0</v>
      </c>
      <c r="G157" s="18">
        <v>3.653394742286764E-11</v>
      </c>
    </row>
    <row r="158" spans="1:7" ht="11.25" customHeight="1" x14ac:dyDescent="0.2">
      <c r="A158" s="28">
        <v>44470</v>
      </c>
      <c r="B158" s="18">
        <v>0</v>
      </c>
      <c r="C158" s="18">
        <v>0</v>
      </c>
      <c r="D158" s="18">
        <v>0</v>
      </c>
      <c r="E158" s="18">
        <v>2.9611385343741863E-11</v>
      </c>
      <c r="F158" s="18">
        <v>0</v>
      </c>
      <c r="G158" s="18">
        <v>2.9611385343741863E-11</v>
      </c>
    </row>
    <row r="159" spans="1:7" ht="11.25" customHeight="1" x14ac:dyDescent="0.2">
      <c r="A159" s="28">
        <v>44501</v>
      </c>
      <c r="B159" s="18">
        <v>0</v>
      </c>
      <c r="C159" s="18">
        <v>0</v>
      </c>
      <c r="D159" s="18">
        <v>0</v>
      </c>
      <c r="E159" s="18">
        <v>3.0441640319622818E-11</v>
      </c>
      <c r="F159" s="18">
        <v>0</v>
      </c>
      <c r="G159" s="18">
        <v>3.0441640319622818E-11</v>
      </c>
    </row>
    <row r="160" spans="1:7" ht="11.25" customHeight="1" x14ac:dyDescent="0.2">
      <c r="A160" s="28">
        <v>44531</v>
      </c>
      <c r="B160" s="18">
        <v>0</v>
      </c>
      <c r="C160" s="18">
        <v>0</v>
      </c>
      <c r="D160" s="18">
        <v>0</v>
      </c>
      <c r="E160" s="18">
        <v>4.1464147670922105E-11</v>
      </c>
      <c r="F160" s="18">
        <v>0</v>
      </c>
      <c r="G160" s="18">
        <v>4.1464147670922105E-11</v>
      </c>
    </row>
    <row r="161" spans="1:7" ht="11.25" customHeight="1" x14ac:dyDescent="0.2">
      <c r="A161" s="28">
        <v>44562</v>
      </c>
      <c r="B161" s="18">
        <v>0</v>
      </c>
      <c r="C161" s="18">
        <v>0</v>
      </c>
      <c r="D161" s="18">
        <v>0</v>
      </c>
      <c r="E161" s="18">
        <v>4.2297870095353572E-11</v>
      </c>
      <c r="F161" s="18">
        <v>0</v>
      </c>
      <c r="G161" s="18">
        <v>4.2297870095353572E-11</v>
      </c>
    </row>
    <row r="162" spans="1:7" ht="11.25" customHeight="1" x14ac:dyDescent="0.2">
      <c r="A162" s="28">
        <v>44593</v>
      </c>
      <c r="B162" s="18">
        <v>0</v>
      </c>
      <c r="C162" s="18">
        <v>0</v>
      </c>
      <c r="D162" s="18">
        <v>0</v>
      </c>
      <c r="E162" s="18">
        <v>3.7865504509682072E-11</v>
      </c>
      <c r="F162" s="18">
        <v>0</v>
      </c>
      <c r="G162" s="18">
        <v>3.7865504509682072E-11</v>
      </c>
    </row>
    <row r="163" spans="1:7" ht="11.25" customHeight="1" x14ac:dyDescent="0.2">
      <c r="A163" s="28">
        <v>44621</v>
      </c>
      <c r="B163" s="18">
        <v>0</v>
      </c>
      <c r="C163" s="18">
        <v>0</v>
      </c>
      <c r="D163" s="18">
        <v>0</v>
      </c>
      <c r="E163" s="18">
        <v>5.8095452004636176E-11</v>
      </c>
      <c r="F163" s="18">
        <v>0</v>
      </c>
      <c r="G163" s="18">
        <v>5.8095452004636176E-11</v>
      </c>
    </row>
    <row r="164" spans="1:7" ht="11.25" customHeight="1" x14ac:dyDescent="0.2">
      <c r="A164" s="28">
        <v>44652</v>
      </c>
      <c r="B164" s="18">
        <v>0</v>
      </c>
      <c r="C164" s="18">
        <v>0</v>
      </c>
      <c r="D164" s="18">
        <v>0</v>
      </c>
      <c r="E164" s="18">
        <v>4.7952482873370169E-11</v>
      </c>
      <c r="F164" s="18">
        <v>0</v>
      </c>
      <c r="G164" s="18">
        <v>4.7952482873370169E-11</v>
      </c>
    </row>
    <row r="165" spans="1:7" ht="11.25" customHeight="1" x14ac:dyDescent="0.2">
      <c r="A165" s="28">
        <v>44682</v>
      </c>
      <c r="B165" s="18">
        <v>0</v>
      </c>
      <c r="C165" s="18">
        <v>0</v>
      </c>
      <c r="D165" s="18">
        <v>0</v>
      </c>
      <c r="E165" s="18">
        <v>4.7952482873370169E-11</v>
      </c>
      <c r="F165" s="18">
        <v>0</v>
      </c>
      <c r="G165" s="18">
        <v>4.7952482873370169E-11</v>
      </c>
    </row>
    <row r="166" spans="1:7" ht="11.25" customHeight="1" x14ac:dyDescent="0.2">
      <c r="A166" s="20" t="s">
        <v>1113</v>
      </c>
      <c r="B166" s="18">
        <v>14221515.601954797</v>
      </c>
      <c r="C166" s="18">
        <v>6717705.6473578578</v>
      </c>
      <c r="D166" s="18">
        <v>16532428.52023492</v>
      </c>
      <c r="E166" s="18">
        <v>7866051.7793095671</v>
      </c>
      <c r="F166" s="18">
        <v>20939221.249312654</v>
      </c>
      <c r="G166" s="18">
        <v>24398480.299544487</v>
      </c>
    </row>
    <row r="167" spans="1:7" ht="11.25" customHeight="1" x14ac:dyDescent="0.2">
      <c r="A167" s="21" t="s">
        <v>41</v>
      </c>
      <c r="B167" s="18">
        <v>14221515.601954797</v>
      </c>
      <c r="C167" s="18">
        <v>6717705.6473578578</v>
      </c>
      <c r="D167" s="18">
        <v>16532428.52023492</v>
      </c>
      <c r="E167" s="18">
        <v>7866051.7793095671</v>
      </c>
      <c r="F167" s="18">
        <v>20939221.249312654</v>
      </c>
      <c r="G167" s="18">
        <v>24398480.299544487</v>
      </c>
    </row>
    <row r="168" spans="1:7" ht="11.25" customHeight="1" x14ac:dyDescent="0.2">
      <c r="A168" s="22" t="s">
        <v>40</v>
      </c>
      <c r="B168" s="18">
        <v>6489034.9180660704</v>
      </c>
      <c r="C168" s="18">
        <v>0</v>
      </c>
      <c r="D168" s="18">
        <v>7498591.4041483328</v>
      </c>
      <c r="E168" s="18">
        <v>0</v>
      </c>
      <c r="F168" s="18">
        <v>6489034.9180660704</v>
      </c>
      <c r="G168" s="18">
        <v>7498591.4041483328</v>
      </c>
    </row>
    <row r="169" spans="1:7" ht="11.25" customHeight="1" x14ac:dyDescent="0.2">
      <c r="A169" s="23" t="s">
        <v>38</v>
      </c>
      <c r="B169" s="18">
        <v>6489034.9180660704</v>
      </c>
      <c r="C169" s="18">
        <v>0</v>
      </c>
      <c r="D169" s="18">
        <v>7498591.4041483328</v>
      </c>
      <c r="E169" s="18">
        <v>0</v>
      </c>
      <c r="F169" s="18">
        <v>6489034.9180660704</v>
      </c>
      <c r="G169" s="18">
        <v>7498591.4041483328</v>
      </c>
    </row>
    <row r="170" spans="1:7" ht="11.25" customHeight="1" x14ac:dyDescent="0.2">
      <c r="A170" s="24" t="s">
        <v>25</v>
      </c>
      <c r="B170" s="18">
        <v>6489034.9180660704</v>
      </c>
      <c r="C170" s="18">
        <v>0</v>
      </c>
      <c r="D170" s="18">
        <v>7498591.4041483328</v>
      </c>
      <c r="E170" s="18">
        <v>0</v>
      </c>
      <c r="F170" s="18">
        <v>6489034.9180660704</v>
      </c>
      <c r="G170" s="18">
        <v>7498591.4041483328</v>
      </c>
    </row>
    <row r="171" spans="1:7" ht="11.25" customHeight="1" x14ac:dyDescent="0.2">
      <c r="A171" s="25" t="s">
        <v>63</v>
      </c>
      <c r="B171" s="18">
        <v>6489034.9180660704</v>
      </c>
      <c r="C171" s="18">
        <v>0</v>
      </c>
      <c r="D171" s="18">
        <v>7498591.4041483328</v>
      </c>
      <c r="E171" s="18">
        <v>0</v>
      </c>
      <c r="F171" s="18">
        <v>6489034.9180660704</v>
      </c>
      <c r="G171" s="18">
        <v>7498591.4041483328</v>
      </c>
    </row>
    <row r="172" spans="1:7" ht="11.25" customHeight="1" x14ac:dyDescent="0.2">
      <c r="A172" s="26" t="s">
        <v>25</v>
      </c>
      <c r="B172" s="18">
        <v>6489034.9180660704</v>
      </c>
      <c r="C172" s="18">
        <v>0</v>
      </c>
      <c r="D172" s="18">
        <v>7498591.4041483328</v>
      </c>
      <c r="E172" s="18">
        <v>0</v>
      </c>
      <c r="F172" s="18">
        <v>6489034.9180660704</v>
      </c>
      <c r="G172" s="18">
        <v>7498591.4041483328</v>
      </c>
    </row>
    <row r="173" spans="1:7" ht="11.25" customHeight="1" x14ac:dyDescent="0.2">
      <c r="A173" s="27" t="s">
        <v>35</v>
      </c>
      <c r="B173" s="18">
        <v>2096249.5466204868</v>
      </c>
      <c r="C173" s="18">
        <v>0</v>
      </c>
      <c r="D173" s="18">
        <v>2449042.9052473465</v>
      </c>
      <c r="E173" s="18">
        <v>0</v>
      </c>
      <c r="F173" s="18">
        <v>2096249.5466204868</v>
      </c>
      <c r="G173" s="18">
        <v>2449042.9052473465</v>
      </c>
    </row>
    <row r="174" spans="1:7" ht="11.25" customHeight="1" x14ac:dyDescent="0.2">
      <c r="A174" s="28">
        <v>44348</v>
      </c>
      <c r="B174" s="18">
        <v>110276.31305259091</v>
      </c>
      <c r="C174" s="18">
        <v>0</v>
      </c>
      <c r="D174" s="18">
        <v>128835.53035643323</v>
      </c>
      <c r="E174" s="18">
        <v>0</v>
      </c>
      <c r="F174" s="18">
        <v>110276.31305259091</v>
      </c>
      <c r="G174" s="18">
        <v>128835.53035643323</v>
      </c>
    </row>
    <row r="175" spans="1:7" ht="11.25" customHeight="1" x14ac:dyDescent="0.2">
      <c r="A175" s="28">
        <v>44378</v>
      </c>
      <c r="B175" s="18">
        <v>138378.58053903002</v>
      </c>
      <c r="C175" s="18">
        <v>0</v>
      </c>
      <c r="D175" s="18">
        <v>161667.33653141005</v>
      </c>
      <c r="E175" s="18">
        <v>0</v>
      </c>
      <c r="F175" s="18">
        <v>138378.58053903002</v>
      </c>
      <c r="G175" s="18">
        <v>161667.33653141005</v>
      </c>
    </row>
    <row r="176" spans="1:7" ht="11.25" customHeight="1" x14ac:dyDescent="0.2">
      <c r="A176" s="28">
        <v>44409</v>
      </c>
      <c r="B176" s="18">
        <v>176664.92457746001</v>
      </c>
      <c r="C176" s="18">
        <v>0</v>
      </c>
      <c r="D176" s="18">
        <v>206397.17291293299</v>
      </c>
      <c r="E176" s="18">
        <v>0</v>
      </c>
      <c r="F176" s="18">
        <v>176664.92457746001</v>
      </c>
      <c r="G176" s="18">
        <v>206397.17291293299</v>
      </c>
    </row>
    <row r="177" spans="1:7" ht="11.25" customHeight="1" x14ac:dyDescent="0.2">
      <c r="A177" s="28">
        <v>44440</v>
      </c>
      <c r="B177" s="18">
        <v>188995.79988068884</v>
      </c>
      <c r="C177" s="18">
        <v>0</v>
      </c>
      <c r="D177" s="18">
        <v>220803.30252929855</v>
      </c>
      <c r="E177" s="18">
        <v>0</v>
      </c>
      <c r="F177" s="18">
        <v>188995.79988068884</v>
      </c>
      <c r="G177" s="18">
        <v>220803.30252929855</v>
      </c>
    </row>
    <row r="178" spans="1:7" ht="11.25" customHeight="1" x14ac:dyDescent="0.2">
      <c r="A178" s="28">
        <v>44470</v>
      </c>
      <c r="B178" s="18">
        <v>186965.03242389721</v>
      </c>
      <c r="C178" s="18">
        <v>0</v>
      </c>
      <c r="D178" s="18">
        <v>218430.76217966282</v>
      </c>
      <c r="E178" s="18">
        <v>0</v>
      </c>
      <c r="F178" s="18">
        <v>186965.03242389721</v>
      </c>
      <c r="G178" s="18">
        <v>218430.76217966282</v>
      </c>
    </row>
    <row r="179" spans="1:7" ht="11.25" customHeight="1" x14ac:dyDescent="0.2">
      <c r="A179" s="28">
        <v>44501</v>
      </c>
      <c r="B179" s="18">
        <v>188077.98957654633</v>
      </c>
      <c r="C179" s="18">
        <v>0</v>
      </c>
      <c r="D179" s="18">
        <v>219731.02713281874</v>
      </c>
      <c r="E179" s="18">
        <v>0</v>
      </c>
      <c r="F179" s="18">
        <v>188077.98957654633</v>
      </c>
      <c r="G179" s="18">
        <v>219731.02713281874</v>
      </c>
    </row>
    <row r="180" spans="1:7" ht="11.25" customHeight="1" x14ac:dyDescent="0.2">
      <c r="A180" s="28">
        <v>44531</v>
      </c>
      <c r="B180" s="18">
        <v>188328.67395804502</v>
      </c>
      <c r="C180" s="18">
        <v>0</v>
      </c>
      <c r="D180" s="18">
        <v>220023.90104516162</v>
      </c>
      <c r="E180" s="18">
        <v>0</v>
      </c>
      <c r="F180" s="18">
        <v>188328.67395804502</v>
      </c>
      <c r="G180" s="18">
        <v>220023.90104516162</v>
      </c>
    </row>
    <row r="181" spans="1:7" ht="11.25" customHeight="1" x14ac:dyDescent="0.2">
      <c r="A181" s="28">
        <v>44562</v>
      </c>
      <c r="B181" s="18">
        <v>192135.3998009334</v>
      </c>
      <c r="C181" s="18">
        <v>0</v>
      </c>
      <c r="D181" s="18">
        <v>224471.2889684065</v>
      </c>
      <c r="E181" s="18">
        <v>0</v>
      </c>
      <c r="F181" s="18">
        <v>192135.3998009334</v>
      </c>
      <c r="G181" s="18">
        <v>224471.2889684065</v>
      </c>
    </row>
    <row r="182" spans="1:7" ht="11.25" customHeight="1" x14ac:dyDescent="0.2">
      <c r="A182" s="28">
        <v>44593</v>
      </c>
      <c r="B182" s="18">
        <v>180719.3793563582</v>
      </c>
      <c r="C182" s="18">
        <v>0</v>
      </c>
      <c r="D182" s="18">
        <v>211133.9819092259</v>
      </c>
      <c r="E182" s="18">
        <v>0</v>
      </c>
      <c r="F182" s="18">
        <v>180719.3793563582</v>
      </c>
      <c r="G182" s="18">
        <v>211133.9819092259</v>
      </c>
    </row>
    <row r="183" spans="1:7" ht="11.25" customHeight="1" x14ac:dyDescent="0.2">
      <c r="A183" s="28">
        <v>44621</v>
      </c>
      <c r="B183" s="18">
        <v>181552.14050339942</v>
      </c>
      <c r="C183" s="18">
        <v>0</v>
      </c>
      <c r="D183" s="18">
        <v>212106.89459617907</v>
      </c>
      <c r="E183" s="18">
        <v>0</v>
      </c>
      <c r="F183" s="18">
        <v>181552.14050339942</v>
      </c>
      <c r="G183" s="18">
        <v>212106.89459617907</v>
      </c>
    </row>
    <row r="184" spans="1:7" ht="11.25" customHeight="1" x14ac:dyDescent="0.2">
      <c r="A184" s="28">
        <v>44652</v>
      </c>
      <c r="B184" s="18">
        <v>182077.6564757686</v>
      </c>
      <c r="C184" s="18">
        <v>0</v>
      </c>
      <c r="D184" s="18">
        <v>212720.85354290839</v>
      </c>
      <c r="E184" s="18">
        <v>0</v>
      </c>
      <c r="F184" s="18">
        <v>182077.6564757686</v>
      </c>
      <c r="G184" s="18">
        <v>212720.85354290839</v>
      </c>
    </row>
    <row r="185" spans="1:7" ht="11.25" customHeight="1" x14ac:dyDescent="0.2">
      <c r="A185" s="28">
        <v>44682</v>
      </c>
      <c r="B185" s="18">
        <v>182077.6564757686</v>
      </c>
      <c r="C185" s="18">
        <v>0</v>
      </c>
      <c r="D185" s="18">
        <v>212720.85354290839</v>
      </c>
      <c r="E185" s="18">
        <v>0</v>
      </c>
      <c r="F185" s="18">
        <v>182077.6564757686</v>
      </c>
      <c r="G185" s="18">
        <v>212720.85354290839</v>
      </c>
    </row>
    <row r="186" spans="1:7" ht="11.25" customHeight="1" x14ac:dyDescent="0.2">
      <c r="A186" s="27" t="s">
        <v>25</v>
      </c>
      <c r="B186" s="18">
        <v>0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</row>
    <row r="187" spans="1:7" ht="11.25" customHeight="1" x14ac:dyDescent="0.2">
      <c r="A187" s="28">
        <v>44348</v>
      </c>
      <c r="B187" s="18">
        <v>0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</row>
    <row r="188" spans="1:7" ht="11.25" customHeight="1" x14ac:dyDescent="0.2">
      <c r="A188" s="28">
        <v>44378</v>
      </c>
      <c r="B188" s="18">
        <v>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</row>
    <row r="189" spans="1:7" ht="11.25" customHeight="1" x14ac:dyDescent="0.2">
      <c r="A189" s="28">
        <v>44409</v>
      </c>
      <c r="B189" s="18">
        <v>0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</row>
    <row r="190" spans="1:7" ht="11.25" customHeight="1" x14ac:dyDescent="0.2">
      <c r="A190" s="28">
        <v>44440</v>
      </c>
      <c r="B190" s="18">
        <v>0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</row>
    <row r="191" spans="1:7" ht="11.25" customHeight="1" x14ac:dyDescent="0.2">
      <c r="A191" s="28">
        <v>44470</v>
      </c>
      <c r="B191" s="18">
        <v>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</row>
    <row r="192" spans="1:7" ht="11.25" customHeight="1" x14ac:dyDescent="0.2">
      <c r="A192" s="28">
        <v>44501</v>
      </c>
      <c r="B192" s="18">
        <v>0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</row>
    <row r="193" spans="1:7" ht="11.25" customHeight="1" x14ac:dyDescent="0.2">
      <c r="A193" s="28">
        <v>44531</v>
      </c>
      <c r="B193" s="18">
        <v>0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</row>
    <row r="194" spans="1:7" ht="11.25" customHeight="1" x14ac:dyDescent="0.2">
      <c r="A194" s="28">
        <v>44562</v>
      </c>
      <c r="B194" s="18">
        <v>0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</row>
    <row r="195" spans="1:7" ht="11.25" customHeight="1" x14ac:dyDescent="0.2">
      <c r="A195" s="28">
        <v>44593</v>
      </c>
      <c r="B195" s="18">
        <v>0</v>
      </c>
      <c r="C195" s="18">
        <v>0</v>
      </c>
      <c r="D195" s="18">
        <v>0</v>
      </c>
      <c r="E195" s="18">
        <v>0</v>
      </c>
      <c r="F195" s="18">
        <v>0</v>
      </c>
      <c r="G195" s="18">
        <v>0</v>
      </c>
    </row>
    <row r="196" spans="1:7" ht="11.25" customHeight="1" x14ac:dyDescent="0.2">
      <c r="A196" s="28">
        <v>44621</v>
      </c>
      <c r="B196" s="18">
        <v>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</row>
    <row r="197" spans="1:7" ht="11.25" customHeight="1" x14ac:dyDescent="0.2">
      <c r="A197" s="28">
        <v>44652</v>
      </c>
      <c r="B197" s="18">
        <v>0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</row>
    <row r="198" spans="1:7" ht="11.25" customHeight="1" x14ac:dyDescent="0.2">
      <c r="A198" s="28">
        <v>44682</v>
      </c>
      <c r="B198" s="18">
        <v>0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</row>
    <row r="199" spans="1:7" ht="11.25" customHeight="1" x14ac:dyDescent="0.2">
      <c r="A199" s="27" t="s">
        <v>34</v>
      </c>
      <c r="B199" s="18">
        <v>4392785.3714455841</v>
      </c>
      <c r="C199" s="18">
        <v>0</v>
      </c>
      <c r="D199" s="18">
        <v>5049548.4989009863</v>
      </c>
      <c r="E199" s="18">
        <v>0</v>
      </c>
      <c r="F199" s="18">
        <v>4392785.3714455841</v>
      </c>
      <c r="G199" s="18">
        <v>5049548.4989009863</v>
      </c>
    </row>
    <row r="200" spans="1:7" ht="11.25" customHeight="1" x14ac:dyDescent="0.2">
      <c r="A200" s="28">
        <v>44348</v>
      </c>
      <c r="B200" s="18">
        <v>229502.47074815995</v>
      </c>
      <c r="C200" s="18">
        <v>0</v>
      </c>
      <c r="D200" s="18">
        <v>263815.26950839197</v>
      </c>
      <c r="E200" s="18">
        <v>0</v>
      </c>
      <c r="F200" s="18">
        <v>229502.47074815995</v>
      </c>
      <c r="G200" s="18">
        <v>263815.26950839197</v>
      </c>
    </row>
    <row r="201" spans="1:7" ht="11.25" customHeight="1" x14ac:dyDescent="0.2">
      <c r="A201" s="28">
        <v>44378</v>
      </c>
      <c r="B201" s="18">
        <v>302511.18983447994</v>
      </c>
      <c r="C201" s="18">
        <v>0</v>
      </c>
      <c r="D201" s="18">
        <v>347739.48539779504</v>
      </c>
      <c r="E201" s="18">
        <v>0</v>
      </c>
      <c r="F201" s="18">
        <v>302511.18983447994</v>
      </c>
      <c r="G201" s="18">
        <v>347739.48539779504</v>
      </c>
    </row>
    <row r="202" spans="1:7" ht="11.25" customHeight="1" x14ac:dyDescent="0.2">
      <c r="A202" s="28">
        <v>44409</v>
      </c>
      <c r="B202" s="18">
        <v>365555.12883724796</v>
      </c>
      <c r="C202" s="18">
        <v>0</v>
      </c>
      <c r="D202" s="18">
        <v>420209.09195439122</v>
      </c>
      <c r="E202" s="18">
        <v>0</v>
      </c>
      <c r="F202" s="18">
        <v>365555.12883724796</v>
      </c>
      <c r="G202" s="18">
        <v>420209.09195439122</v>
      </c>
    </row>
    <row r="203" spans="1:7" ht="11.25" customHeight="1" x14ac:dyDescent="0.2">
      <c r="A203" s="28">
        <v>44440</v>
      </c>
      <c r="B203" s="18">
        <v>384458.87475878396</v>
      </c>
      <c r="C203" s="18">
        <v>0</v>
      </c>
      <c r="D203" s="18">
        <v>441939.12740346784</v>
      </c>
      <c r="E203" s="18">
        <v>0</v>
      </c>
      <c r="F203" s="18">
        <v>384458.87475878396</v>
      </c>
      <c r="G203" s="18">
        <v>441939.12740346784</v>
      </c>
    </row>
    <row r="204" spans="1:7" ht="11.25" customHeight="1" x14ac:dyDescent="0.2">
      <c r="A204" s="28">
        <v>44470</v>
      </c>
      <c r="B204" s="18">
        <v>388530.23251827195</v>
      </c>
      <c r="C204" s="18">
        <v>0</v>
      </c>
      <c r="D204" s="18">
        <v>446619.19181010785</v>
      </c>
      <c r="E204" s="18">
        <v>0</v>
      </c>
      <c r="F204" s="18">
        <v>388530.23251827195</v>
      </c>
      <c r="G204" s="18">
        <v>446619.19181010785</v>
      </c>
    </row>
    <row r="205" spans="1:7" ht="11.25" customHeight="1" x14ac:dyDescent="0.2">
      <c r="A205" s="28">
        <v>44501</v>
      </c>
      <c r="B205" s="18">
        <v>392615.56062431994</v>
      </c>
      <c r="C205" s="18">
        <v>0</v>
      </c>
      <c r="D205" s="18">
        <v>451315.31526278268</v>
      </c>
      <c r="E205" s="18">
        <v>0</v>
      </c>
      <c r="F205" s="18">
        <v>392615.56062431994</v>
      </c>
      <c r="G205" s="18">
        <v>451315.31526278268</v>
      </c>
    </row>
    <row r="206" spans="1:7" ht="11.25" customHeight="1" x14ac:dyDescent="0.2">
      <c r="A206" s="28">
        <v>44531</v>
      </c>
      <c r="B206" s="18">
        <v>395974.016143488</v>
      </c>
      <c r="C206" s="18">
        <v>0</v>
      </c>
      <c r="D206" s="18">
        <v>455175.89177436853</v>
      </c>
      <c r="E206" s="18">
        <v>0</v>
      </c>
      <c r="F206" s="18">
        <v>395974.016143488</v>
      </c>
      <c r="G206" s="18">
        <v>455175.89177436853</v>
      </c>
    </row>
    <row r="207" spans="1:7" ht="11.25" customHeight="1" x14ac:dyDescent="0.2">
      <c r="A207" s="28">
        <v>44562</v>
      </c>
      <c r="B207" s="18">
        <v>403816.37025839998</v>
      </c>
      <c r="C207" s="18">
        <v>0</v>
      </c>
      <c r="D207" s="18">
        <v>464190.75230140856</v>
      </c>
      <c r="E207" s="18">
        <v>0</v>
      </c>
      <c r="F207" s="18">
        <v>403816.37025839998</v>
      </c>
      <c r="G207" s="18">
        <v>464190.75230140856</v>
      </c>
    </row>
    <row r="208" spans="1:7" ht="11.25" customHeight="1" x14ac:dyDescent="0.2">
      <c r="A208" s="28">
        <v>44593</v>
      </c>
      <c r="B208" s="18">
        <v>380238.89807647996</v>
      </c>
      <c r="C208" s="18">
        <v>0</v>
      </c>
      <c r="D208" s="18">
        <v>437088.2241337474</v>
      </c>
      <c r="E208" s="18">
        <v>0</v>
      </c>
      <c r="F208" s="18">
        <v>380238.89807647996</v>
      </c>
      <c r="G208" s="18">
        <v>437088.2241337474</v>
      </c>
    </row>
    <row r="209" spans="1:7" ht="11.25" customHeight="1" x14ac:dyDescent="0.2">
      <c r="A209" s="28">
        <v>44621</v>
      </c>
      <c r="B209" s="18">
        <v>382955.74718553596</v>
      </c>
      <c r="C209" s="18">
        <v>0</v>
      </c>
      <c r="D209" s="18">
        <v>440211.26798413694</v>
      </c>
      <c r="E209" s="18">
        <v>0</v>
      </c>
      <c r="F209" s="18">
        <v>382955.74718553596</v>
      </c>
      <c r="G209" s="18">
        <v>440211.26798413694</v>
      </c>
    </row>
    <row r="210" spans="1:7" ht="11.25" customHeight="1" x14ac:dyDescent="0.2">
      <c r="A210" s="28">
        <v>44652</v>
      </c>
      <c r="B210" s="18">
        <v>383313.44123020797</v>
      </c>
      <c r="C210" s="18">
        <v>0</v>
      </c>
      <c r="D210" s="18">
        <v>440622.44068519358</v>
      </c>
      <c r="E210" s="18">
        <v>0</v>
      </c>
      <c r="F210" s="18">
        <v>383313.44123020797</v>
      </c>
      <c r="G210" s="18">
        <v>440622.44068519358</v>
      </c>
    </row>
    <row r="211" spans="1:7" ht="11.25" customHeight="1" x14ac:dyDescent="0.2">
      <c r="A211" s="28">
        <v>44682</v>
      </c>
      <c r="B211" s="18">
        <v>383313.44123020797</v>
      </c>
      <c r="C211" s="18">
        <v>0</v>
      </c>
      <c r="D211" s="18">
        <v>440622.44068519358</v>
      </c>
      <c r="E211" s="18">
        <v>0</v>
      </c>
      <c r="F211" s="18">
        <v>383313.44123020797</v>
      </c>
      <c r="G211" s="18">
        <v>440622.44068519358</v>
      </c>
    </row>
    <row r="212" spans="1:7" ht="11.25" customHeight="1" x14ac:dyDescent="0.2">
      <c r="A212" s="22" t="s">
        <v>42</v>
      </c>
      <c r="B212" s="18">
        <v>7732480.6838887287</v>
      </c>
      <c r="C212" s="18">
        <v>6717705.6473578578</v>
      </c>
      <c r="D212" s="18">
        <v>9033837.1160865892</v>
      </c>
      <c r="E212" s="18">
        <v>7866051.7793095671</v>
      </c>
      <c r="F212" s="18">
        <v>14450186.331246587</v>
      </c>
      <c r="G212" s="18">
        <v>16899888.895396158</v>
      </c>
    </row>
    <row r="213" spans="1:7" ht="11.25" customHeight="1" x14ac:dyDescent="0.2">
      <c r="A213" s="23" t="s">
        <v>38</v>
      </c>
      <c r="B213" s="18">
        <v>7732480.6838887287</v>
      </c>
      <c r="C213" s="18">
        <v>6717705.6473578578</v>
      </c>
      <c r="D213" s="18">
        <v>9033837.1160865892</v>
      </c>
      <c r="E213" s="18">
        <v>7866051.7793095671</v>
      </c>
      <c r="F213" s="18">
        <v>14450186.331246587</v>
      </c>
      <c r="G213" s="18">
        <v>16899888.895396158</v>
      </c>
    </row>
    <row r="214" spans="1:7" ht="11.25" customHeight="1" x14ac:dyDescent="0.2">
      <c r="A214" s="24" t="s">
        <v>25</v>
      </c>
      <c r="B214" s="18">
        <v>7732480.6838887287</v>
      </c>
      <c r="C214" s="18">
        <v>6717705.6473578578</v>
      </c>
      <c r="D214" s="18">
        <v>9033837.1160865892</v>
      </c>
      <c r="E214" s="18">
        <v>7866051.7793095671</v>
      </c>
      <c r="F214" s="18">
        <v>14450186.331246587</v>
      </c>
      <c r="G214" s="18">
        <v>16899888.895396158</v>
      </c>
    </row>
    <row r="215" spans="1:7" ht="11.25" customHeight="1" x14ac:dyDescent="0.2">
      <c r="A215" s="25" t="s">
        <v>63</v>
      </c>
      <c r="B215" s="18">
        <v>7732480.6838887287</v>
      </c>
      <c r="C215" s="18">
        <v>6717705.6473578578</v>
      </c>
      <c r="D215" s="18">
        <v>9033837.1160865892</v>
      </c>
      <c r="E215" s="18">
        <v>7866051.7793095671</v>
      </c>
      <c r="F215" s="18">
        <v>14450186.331246587</v>
      </c>
      <c r="G215" s="18">
        <v>16899888.895396158</v>
      </c>
    </row>
    <row r="216" spans="1:7" ht="11.25" customHeight="1" x14ac:dyDescent="0.2">
      <c r="A216" s="26" t="s">
        <v>25</v>
      </c>
      <c r="B216" s="18">
        <v>7732480.6838887287</v>
      </c>
      <c r="C216" s="18">
        <v>6717705.6473578578</v>
      </c>
      <c r="D216" s="18">
        <v>9033837.1160865892</v>
      </c>
      <c r="E216" s="18">
        <v>7866051.7793095671</v>
      </c>
      <c r="F216" s="18">
        <v>14450186.331246587</v>
      </c>
      <c r="G216" s="18">
        <v>16899888.895396158</v>
      </c>
    </row>
    <row r="217" spans="1:7" ht="11.25" customHeight="1" x14ac:dyDescent="0.2">
      <c r="A217" s="27" t="s">
        <v>35</v>
      </c>
      <c r="B217" s="18">
        <v>0</v>
      </c>
      <c r="C217" s="18">
        <v>0</v>
      </c>
      <c r="D217" s="18">
        <v>0</v>
      </c>
      <c r="E217" s="18">
        <v>0</v>
      </c>
      <c r="F217" s="18">
        <v>0</v>
      </c>
      <c r="G217" s="18">
        <v>0</v>
      </c>
    </row>
    <row r="218" spans="1:7" ht="11.25" customHeight="1" x14ac:dyDescent="0.2">
      <c r="A218" s="28">
        <v>44348</v>
      </c>
      <c r="B218" s="18">
        <v>0</v>
      </c>
      <c r="C218" s="18">
        <v>0</v>
      </c>
      <c r="D218" s="18">
        <v>0</v>
      </c>
      <c r="E218" s="18">
        <v>0</v>
      </c>
      <c r="F218" s="18">
        <v>0</v>
      </c>
      <c r="G218" s="18">
        <v>0</v>
      </c>
    </row>
    <row r="219" spans="1:7" ht="11.25" customHeight="1" x14ac:dyDescent="0.2">
      <c r="A219" s="28">
        <v>44378</v>
      </c>
      <c r="B219" s="18">
        <v>0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</row>
    <row r="220" spans="1:7" ht="11.25" customHeight="1" x14ac:dyDescent="0.2">
      <c r="A220" s="28">
        <v>44409</v>
      </c>
      <c r="B220" s="18">
        <v>0</v>
      </c>
      <c r="C220" s="18">
        <v>0</v>
      </c>
      <c r="D220" s="18">
        <v>0</v>
      </c>
      <c r="E220" s="18">
        <v>0</v>
      </c>
      <c r="F220" s="18">
        <v>0</v>
      </c>
      <c r="G220" s="18">
        <v>0</v>
      </c>
    </row>
    <row r="221" spans="1:7" ht="11.25" customHeight="1" x14ac:dyDescent="0.2">
      <c r="A221" s="28">
        <v>44440</v>
      </c>
      <c r="B221" s="18">
        <v>0</v>
      </c>
      <c r="C221" s="18">
        <v>0</v>
      </c>
      <c r="D221" s="18">
        <v>0</v>
      </c>
      <c r="E221" s="18">
        <v>0</v>
      </c>
      <c r="F221" s="18">
        <v>0</v>
      </c>
      <c r="G221" s="18">
        <v>0</v>
      </c>
    </row>
    <row r="222" spans="1:7" ht="11.25" customHeight="1" x14ac:dyDescent="0.2">
      <c r="A222" s="28">
        <v>44470</v>
      </c>
      <c r="B222" s="18">
        <v>0</v>
      </c>
      <c r="C222" s="18">
        <v>0</v>
      </c>
      <c r="D222" s="18">
        <v>0</v>
      </c>
      <c r="E222" s="18">
        <v>0</v>
      </c>
      <c r="F222" s="18">
        <v>0</v>
      </c>
      <c r="G222" s="18">
        <v>0</v>
      </c>
    </row>
    <row r="223" spans="1:7" ht="11.25" customHeight="1" x14ac:dyDescent="0.2">
      <c r="A223" s="28">
        <v>44501</v>
      </c>
      <c r="B223" s="18">
        <v>0</v>
      </c>
      <c r="C223" s="18">
        <v>0</v>
      </c>
      <c r="D223" s="18">
        <v>0</v>
      </c>
      <c r="E223" s="18">
        <v>0</v>
      </c>
      <c r="F223" s="18">
        <v>0</v>
      </c>
      <c r="G223" s="18">
        <v>0</v>
      </c>
    </row>
    <row r="224" spans="1:7" ht="11.25" customHeight="1" x14ac:dyDescent="0.2">
      <c r="A224" s="28">
        <v>44531</v>
      </c>
      <c r="B224" s="18">
        <v>0</v>
      </c>
      <c r="C224" s="18">
        <v>0</v>
      </c>
      <c r="D224" s="18">
        <v>0</v>
      </c>
      <c r="E224" s="18">
        <v>0</v>
      </c>
      <c r="F224" s="18">
        <v>0</v>
      </c>
      <c r="G224" s="18">
        <v>0</v>
      </c>
    </row>
    <row r="225" spans="1:7" ht="11.25" customHeight="1" x14ac:dyDescent="0.2">
      <c r="A225" s="28">
        <v>44562</v>
      </c>
      <c r="B225" s="18">
        <v>0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</row>
    <row r="226" spans="1:7" ht="11.25" customHeight="1" x14ac:dyDescent="0.2">
      <c r="A226" s="28">
        <v>44593</v>
      </c>
      <c r="B226" s="18">
        <v>0</v>
      </c>
      <c r="C226" s="18">
        <v>0</v>
      </c>
      <c r="D226" s="18">
        <v>0</v>
      </c>
      <c r="E226" s="18">
        <v>0</v>
      </c>
      <c r="F226" s="18">
        <v>0</v>
      </c>
      <c r="G226" s="18">
        <v>0</v>
      </c>
    </row>
    <row r="227" spans="1:7" ht="11.25" customHeight="1" x14ac:dyDescent="0.2">
      <c r="A227" s="28">
        <v>44621</v>
      </c>
      <c r="B227" s="18">
        <v>0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</row>
    <row r="228" spans="1:7" ht="11.25" customHeight="1" x14ac:dyDescent="0.2">
      <c r="A228" s="28">
        <v>44652</v>
      </c>
      <c r="B228" s="18">
        <v>0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</row>
    <row r="229" spans="1:7" ht="11.25" customHeight="1" x14ac:dyDescent="0.2">
      <c r="A229" s="28">
        <v>44682</v>
      </c>
      <c r="B229" s="18">
        <v>0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</row>
    <row r="230" spans="1:7" ht="11.25" customHeight="1" x14ac:dyDescent="0.2">
      <c r="A230" s="27" t="s">
        <v>25</v>
      </c>
      <c r="B230" s="18">
        <v>7732480.6838887287</v>
      </c>
      <c r="C230" s="18">
        <v>0</v>
      </c>
      <c r="D230" s="18">
        <v>9033837.1160865892</v>
      </c>
      <c r="E230" s="18">
        <v>0</v>
      </c>
      <c r="F230" s="18">
        <v>7732480.6838887287</v>
      </c>
      <c r="G230" s="18">
        <v>9033837.1160865892</v>
      </c>
    </row>
    <row r="231" spans="1:7" ht="11.25" customHeight="1" x14ac:dyDescent="0.2">
      <c r="A231" s="28">
        <v>44348</v>
      </c>
      <c r="B231" s="18">
        <v>560209.38293551141</v>
      </c>
      <c r="C231" s="18">
        <v>0</v>
      </c>
      <c r="D231" s="18">
        <v>654491.16825955652</v>
      </c>
      <c r="E231" s="18">
        <v>0</v>
      </c>
      <c r="F231" s="18">
        <v>560209.38293551141</v>
      </c>
      <c r="G231" s="18">
        <v>654491.16825955652</v>
      </c>
    </row>
    <row r="232" spans="1:7" ht="11.25" customHeight="1" x14ac:dyDescent="0.2">
      <c r="A232" s="28">
        <v>44378</v>
      </c>
      <c r="B232" s="18">
        <v>619628.96960460697</v>
      </c>
      <c r="C232" s="18">
        <v>0</v>
      </c>
      <c r="D232" s="18">
        <v>723910.91716267902</v>
      </c>
      <c r="E232" s="18">
        <v>0</v>
      </c>
      <c r="F232" s="18">
        <v>619628.96960460697</v>
      </c>
      <c r="G232" s="18">
        <v>723910.91716267902</v>
      </c>
    </row>
    <row r="233" spans="1:7" ht="11.25" customHeight="1" x14ac:dyDescent="0.2">
      <c r="A233" s="28">
        <v>44409</v>
      </c>
      <c r="B233" s="18">
        <v>595975.104798774</v>
      </c>
      <c r="C233" s="18">
        <v>0</v>
      </c>
      <c r="D233" s="18">
        <v>696276.16829520883</v>
      </c>
      <c r="E233" s="18">
        <v>0</v>
      </c>
      <c r="F233" s="18">
        <v>595975.104798774</v>
      </c>
      <c r="G233" s="18">
        <v>696276.16829520883</v>
      </c>
    </row>
    <row r="234" spans="1:7" ht="11.25" customHeight="1" x14ac:dyDescent="0.2">
      <c r="A234" s="28">
        <v>44440</v>
      </c>
      <c r="B234" s="18">
        <v>620200.56727260549</v>
      </c>
      <c r="C234" s="18">
        <v>0</v>
      </c>
      <c r="D234" s="18">
        <v>724578.71323482331</v>
      </c>
      <c r="E234" s="18">
        <v>0</v>
      </c>
      <c r="F234" s="18">
        <v>620200.56727260549</v>
      </c>
      <c r="G234" s="18">
        <v>724578.71323482331</v>
      </c>
    </row>
    <row r="235" spans="1:7" ht="11.25" customHeight="1" x14ac:dyDescent="0.2">
      <c r="A235" s="28">
        <v>44470</v>
      </c>
      <c r="B235" s="18">
        <v>612535.49860180868</v>
      </c>
      <c r="C235" s="18">
        <v>0</v>
      </c>
      <c r="D235" s="18">
        <v>715623.63339868817</v>
      </c>
      <c r="E235" s="18">
        <v>0</v>
      </c>
      <c r="F235" s="18">
        <v>612535.49860180868</v>
      </c>
      <c r="G235" s="18">
        <v>715623.63339868817</v>
      </c>
    </row>
    <row r="236" spans="1:7" ht="11.25" customHeight="1" x14ac:dyDescent="0.2">
      <c r="A236" s="28">
        <v>44501</v>
      </c>
      <c r="B236" s="18">
        <v>652835.89647104649</v>
      </c>
      <c r="C236" s="18">
        <v>0</v>
      </c>
      <c r="D236" s="18">
        <v>762706.48364398419</v>
      </c>
      <c r="E236" s="18">
        <v>0</v>
      </c>
      <c r="F236" s="18">
        <v>652835.89647104649</v>
      </c>
      <c r="G236" s="18">
        <v>762706.48364398419</v>
      </c>
    </row>
    <row r="237" spans="1:7" ht="11.25" customHeight="1" x14ac:dyDescent="0.2">
      <c r="A237" s="28">
        <v>44531</v>
      </c>
      <c r="B237" s="18">
        <v>657141.71651349624</v>
      </c>
      <c r="C237" s="18">
        <v>0</v>
      </c>
      <c r="D237" s="18">
        <v>767736.96202535531</v>
      </c>
      <c r="E237" s="18">
        <v>0</v>
      </c>
      <c r="F237" s="18">
        <v>657141.71651349624</v>
      </c>
      <c r="G237" s="18">
        <v>767736.96202535531</v>
      </c>
    </row>
    <row r="238" spans="1:7" ht="11.25" customHeight="1" x14ac:dyDescent="0.2">
      <c r="A238" s="28">
        <v>44562</v>
      </c>
      <c r="B238" s="18">
        <v>651946.74923019961</v>
      </c>
      <c r="C238" s="18">
        <v>0</v>
      </c>
      <c r="D238" s="18">
        <v>761667.69522996794</v>
      </c>
      <c r="E238" s="18">
        <v>0</v>
      </c>
      <c r="F238" s="18">
        <v>651946.74923019961</v>
      </c>
      <c r="G238" s="18">
        <v>761667.69522996794</v>
      </c>
    </row>
    <row r="239" spans="1:7" ht="11.25" customHeight="1" x14ac:dyDescent="0.2">
      <c r="A239" s="28">
        <v>44593</v>
      </c>
      <c r="B239" s="18">
        <v>699338.13418588287</v>
      </c>
      <c r="C239" s="18">
        <v>0</v>
      </c>
      <c r="D239" s="18">
        <v>817034.92728622572</v>
      </c>
      <c r="E239" s="18">
        <v>0</v>
      </c>
      <c r="F239" s="18">
        <v>699338.13418588287</v>
      </c>
      <c r="G239" s="18">
        <v>817034.92728622572</v>
      </c>
    </row>
    <row r="240" spans="1:7" ht="11.25" customHeight="1" x14ac:dyDescent="0.2">
      <c r="A240" s="28">
        <v>44621</v>
      </c>
      <c r="B240" s="18">
        <v>706662.53103207611</v>
      </c>
      <c r="C240" s="18">
        <v>0</v>
      </c>
      <c r="D240" s="18">
        <v>825592.00111376902</v>
      </c>
      <c r="E240" s="18">
        <v>0</v>
      </c>
      <c r="F240" s="18">
        <v>706662.53103207611</v>
      </c>
      <c r="G240" s="18">
        <v>825592.00111376902</v>
      </c>
    </row>
    <row r="241" spans="1:7" ht="11.25" customHeight="1" x14ac:dyDescent="0.2">
      <c r="A241" s="28">
        <v>44652</v>
      </c>
      <c r="B241" s="18">
        <v>678003.06662136025</v>
      </c>
      <c r="C241" s="18">
        <v>0</v>
      </c>
      <c r="D241" s="18">
        <v>792109.22321816604</v>
      </c>
      <c r="E241" s="18">
        <v>0</v>
      </c>
      <c r="F241" s="18">
        <v>678003.06662136025</v>
      </c>
      <c r="G241" s="18">
        <v>792109.22321816604</v>
      </c>
    </row>
    <row r="242" spans="1:7" ht="11.25" customHeight="1" x14ac:dyDescent="0.2">
      <c r="A242" s="28">
        <v>44682</v>
      </c>
      <c r="B242" s="18">
        <v>678003.06662136025</v>
      </c>
      <c r="C242" s="18">
        <v>0</v>
      </c>
      <c r="D242" s="18">
        <v>792109.22321816604</v>
      </c>
      <c r="E242" s="18">
        <v>0</v>
      </c>
      <c r="F242" s="18">
        <v>678003.06662136025</v>
      </c>
      <c r="G242" s="18">
        <v>792109.22321816604</v>
      </c>
    </row>
    <row r="243" spans="1:7" ht="11.25" customHeight="1" x14ac:dyDescent="0.2">
      <c r="A243" s="27" t="s">
        <v>34</v>
      </c>
      <c r="B243" s="18">
        <v>0</v>
      </c>
      <c r="C243" s="18">
        <v>6717705.6473578578</v>
      </c>
      <c r="D243" s="18">
        <v>0</v>
      </c>
      <c r="E243" s="18">
        <v>7866051.7793095671</v>
      </c>
      <c r="F243" s="18">
        <v>6717705.6473578578</v>
      </c>
      <c r="G243" s="18">
        <v>7866051.7793095671</v>
      </c>
    </row>
    <row r="244" spans="1:7" ht="11.25" customHeight="1" x14ac:dyDescent="0.2">
      <c r="A244" s="28">
        <v>44348</v>
      </c>
      <c r="B244" s="18">
        <v>0</v>
      </c>
      <c r="C244" s="18">
        <v>399799.87362091761</v>
      </c>
      <c r="D244" s="18">
        <v>0</v>
      </c>
      <c r="E244" s="18">
        <v>468142.94527782104</v>
      </c>
      <c r="F244" s="18">
        <v>399799.87362091761</v>
      </c>
      <c r="G244" s="18">
        <v>468142.94527782104</v>
      </c>
    </row>
    <row r="245" spans="1:7" ht="11.25" customHeight="1" x14ac:dyDescent="0.2">
      <c r="A245" s="28">
        <v>44378</v>
      </c>
      <c r="B245" s="18">
        <v>0</v>
      </c>
      <c r="C245" s="18">
        <v>495720.66599430604</v>
      </c>
      <c r="D245" s="18">
        <v>0</v>
      </c>
      <c r="E245" s="18">
        <v>580460.74530203547</v>
      </c>
      <c r="F245" s="18">
        <v>495720.66599430604</v>
      </c>
      <c r="G245" s="18">
        <v>580460.74530203547</v>
      </c>
    </row>
    <row r="246" spans="1:7" ht="11.25" customHeight="1" x14ac:dyDescent="0.2">
      <c r="A246" s="28">
        <v>44409</v>
      </c>
      <c r="B246" s="18">
        <v>0</v>
      </c>
      <c r="C246" s="18">
        <v>525604.23260771635</v>
      </c>
      <c r="D246" s="18">
        <v>0</v>
      </c>
      <c r="E246" s="18">
        <v>615452.7045618142</v>
      </c>
      <c r="F246" s="18">
        <v>525604.23260771635</v>
      </c>
      <c r="G246" s="18">
        <v>615452.7045618142</v>
      </c>
    </row>
    <row r="247" spans="1:7" ht="11.25" customHeight="1" x14ac:dyDescent="0.2">
      <c r="A247" s="28">
        <v>44440</v>
      </c>
      <c r="B247" s="18">
        <v>0</v>
      </c>
      <c r="C247" s="18">
        <v>580057.22669821396</v>
      </c>
      <c r="D247" s="18">
        <v>0</v>
      </c>
      <c r="E247" s="18">
        <v>679214.06797057844</v>
      </c>
      <c r="F247" s="18">
        <v>580057.22669821396</v>
      </c>
      <c r="G247" s="18">
        <v>679214.06797057844</v>
      </c>
    </row>
    <row r="248" spans="1:7" ht="11.25" customHeight="1" x14ac:dyDescent="0.2">
      <c r="A248" s="28">
        <v>44470</v>
      </c>
      <c r="B248" s="18">
        <v>0</v>
      </c>
      <c r="C248" s="18">
        <v>541650.36363363033</v>
      </c>
      <c r="D248" s="18">
        <v>0</v>
      </c>
      <c r="E248" s="18">
        <v>634241.8126491966</v>
      </c>
      <c r="F248" s="18">
        <v>541650.36363363033</v>
      </c>
      <c r="G248" s="18">
        <v>634241.8126491966</v>
      </c>
    </row>
    <row r="249" spans="1:7" ht="11.25" customHeight="1" x14ac:dyDescent="0.2">
      <c r="A249" s="28">
        <v>44501</v>
      </c>
      <c r="B249" s="18">
        <v>0</v>
      </c>
      <c r="C249" s="18">
        <v>556503.53329580941</v>
      </c>
      <c r="D249" s="18">
        <v>0</v>
      </c>
      <c r="E249" s="18">
        <v>651634.03073417966</v>
      </c>
      <c r="F249" s="18">
        <v>556503.53329580941</v>
      </c>
      <c r="G249" s="18">
        <v>651634.03073417966</v>
      </c>
    </row>
    <row r="250" spans="1:7" ht="11.25" customHeight="1" x14ac:dyDescent="0.2">
      <c r="A250" s="28">
        <v>44531</v>
      </c>
      <c r="B250" s="18">
        <v>0</v>
      </c>
      <c r="C250" s="18">
        <v>536900.65268366563</v>
      </c>
      <c r="D250" s="18">
        <v>0</v>
      </c>
      <c r="E250" s="18">
        <v>628680.17088779085</v>
      </c>
      <c r="F250" s="18">
        <v>536900.65268366563</v>
      </c>
      <c r="G250" s="18">
        <v>628680.17088779085</v>
      </c>
    </row>
    <row r="251" spans="1:7" ht="11.25" customHeight="1" x14ac:dyDescent="0.2">
      <c r="A251" s="28">
        <v>44562</v>
      </c>
      <c r="B251" s="18">
        <v>0</v>
      </c>
      <c r="C251" s="18">
        <v>524837.10396542773</v>
      </c>
      <c r="D251" s="18">
        <v>0</v>
      </c>
      <c r="E251" s="18">
        <v>614554.44049095444</v>
      </c>
      <c r="F251" s="18">
        <v>524837.10396542773</v>
      </c>
      <c r="G251" s="18">
        <v>614554.44049095444</v>
      </c>
    </row>
    <row r="252" spans="1:7" ht="11.25" customHeight="1" x14ac:dyDescent="0.2">
      <c r="A252" s="28">
        <v>44593</v>
      </c>
      <c r="B252" s="18">
        <v>0</v>
      </c>
      <c r="C252" s="18">
        <v>591092.97470121703</v>
      </c>
      <c r="D252" s="18">
        <v>0</v>
      </c>
      <c r="E252" s="18">
        <v>692136.30210406962</v>
      </c>
      <c r="F252" s="18">
        <v>591092.97470121703</v>
      </c>
      <c r="G252" s="18">
        <v>692136.30210406962</v>
      </c>
    </row>
    <row r="253" spans="1:7" ht="11.25" customHeight="1" x14ac:dyDescent="0.2">
      <c r="A253" s="28">
        <v>44621</v>
      </c>
      <c r="B253" s="18">
        <v>0</v>
      </c>
      <c r="C253" s="18">
        <v>597094.73156525078</v>
      </c>
      <c r="D253" s="18">
        <v>0</v>
      </c>
      <c r="E253" s="18">
        <v>699164.01852059411</v>
      </c>
      <c r="F253" s="18">
        <v>597094.73156525078</v>
      </c>
      <c r="G253" s="18">
        <v>699164.01852059411</v>
      </c>
    </row>
    <row r="254" spans="1:7" ht="11.25" customHeight="1" x14ac:dyDescent="0.2">
      <c r="A254" s="28">
        <v>44652</v>
      </c>
      <c r="B254" s="18">
        <v>0</v>
      </c>
      <c r="C254" s="18">
        <v>684222.14429585193</v>
      </c>
      <c r="D254" s="18">
        <v>0</v>
      </c>
      <c r="E254" s="18">
        <v>801185.27040526678</v>
      </c>
      <c r="F254" s="18">
        <v>684222.14429585193</v>
      </c>
      <c r="G254" s="18">
        <v>801185.27040526678</v>
      </c>
    </row>
    <row r="255" spans="1:7" ht="11.25" customHeight="1" x14ac:dyDescent="0.2">
      <c r="A255" s="28">
        <v>44682</v>
      </c>
      <c r="B255" s="18">
        <v>0</v>
      </c>
      <c r="C255" s="18">
        <v>684222.14429585193</v>
      </c>
      <c r="D255" s="18">
        <v>0</v>
      </c>
      <c r="E255" s="18">
        <v>801185.27040526678</v>
      </c>
      <c r="F255" s="18">
        <v>684222.14429585193</v>
      </c>
      <c r="G255" s="18">
        <v>801185.27040526678</v>
      </c>
    </row>
    <row r="256" spans="1:7" ht="11.25" customHeight="1" x14ac:dyDescent="0.2">
      <c r="A256" s="20" t="s">
        <v>1112</v>
      </c>
      <c r="B256" s="18">
        <v>18106666.519072805</v>
      </c>
      <c r="C256" s="18">
        <v>0</v>
      </c>
      <c r="D256" s="18">
        <v>20465555.479672711</v>
      </c>
      <c r="E256" s="18">
        <v>0</v>
      </c>
      <c r="F256" s="18">
        <v>18106666.519072805</v>
      </c>
      <c r="G256" s="18">
        <v>20465555.479672711</v>
      </c>
    </row>
    <row r="257" spans="1:7" ht="11.25" customHeight="1" x14ac:dyDescent="0.2">
      <c r="A257" s="21" t="s">
        <v>59</v>
      </c>
      <c r="B257" s="18">
        <v>5411168.2990728021</v>
      </c>
      <c r="C257" s="18">
        <v>0</v>
      </c>
      <c r="D257" s="18">
        <v>5677789.7524951892</v>
      </c>
      <c r="E257" s="18">
        <v>0</v>
      </c>
      <c r="F257" s="18">
        <v>5411168.2990728021</v>
      </c>
      <c r="G257" s="18">
        <v>5677789.7524951892</v>
      </c>
    </row>
    <row r="258" spans="1:7" ht="11.25" customHeight="1" x14ac:dyDescent="0.2">
      <c r="A258" s="22" t="s">
        <v>64</v>
      </c>
      <c r="B258" s="18">
        <v>5411168.2990728021</v>
      </c>
      <c r="C258" s="18">
        <v>0</v>
      </c>
      <c r="D258" s="18">
        <v>5677789.7524951892</v>
      </c>
      <c r="E258" s="18">
        <v>0</v>
      </c>
      <c r="F258" s="18">
        <v>5411168.2990728021</v>
      </c>
      <c r="G258" s="18">
        <v>5677789.7524951892</v>
      </c>
    </row>
    <row r="259" spans="1:7" ht="11.25" customHeight="1" x14ac:dyDescent="0.2">
      <c r="A259" s="23" t="s">
        <v>25</v>
      </c>
      <c r="B259" s="18">
        <v>5411168.2990728021</v>
      </c>
      <c r="C259" s="18">
        <v>0</v>
      </c>
      <c r="D259" s="18">
        <v>5677789.7524951892</v>
      </c>
      <c r="E259" s="18">
        <v>0</v>
      </c>
      <c r="F259" s="18">
        <v>5411168.2990728021</v>
      </c>
      <c r="G259" s="18">
        <v>5677789.7524951892</v>
      </c>
    </row>
    <row r="260" spans="1:7" ht="11.25" customHeight="1" x14ac:dyDescent="0.2">
      <c r="A260" s="24" t="s">
        <v>25</v>
      </c>
      <c r="B260" s="18">
        <v>5411168.2990728021</v>
      </c>
      <c r="C260" s="18">
        <v>0</v>
      </c>
      <c r="D260" s="18">
        <v>5677789.7524951892</v>
      </c>
      <c r="E260" s="18">
        <v>0</v>
      </c>
      <c r="F260" s="18">
        <v>5411168.2990728021</v>
      </c>
      <c r="G260" s="18">
        <v>5677789.7524951892</v>
      </c>
    </row>
    <row r="261" spans="1:7" ht="11.25" customHeight="1" x14ac:dyDescent="0.2">
      <c r="A261" s="25" t="s">
        <v>25</v>
      </c>
      <c r="B261" s="18">
        <v>5411168.2990728021</v>
      </c>
      <c r="C261" s="18">
        <v>0</v>
      </c>
      <c r="D261" s="18">
        <v>5677789.7524951892</v>
      </c>
      <c r="E261" s="18">
        <v>0</v>
      </c>
      <c r="F261" s="18">
        <v>5411168.2990728021</v>
      </c>
      <c r="G261" s="18">
        <v>5677789.7524951892</v>
      </c>
    </row>
    <row r="262" spans="1:7" ht="11.25" customHeight="1" x14ac:dyDescent="0.2">
      <c r="A262" s="26" t="s">
        <v>65</v>
      </c>
      <c r="B262" s="18">
        <v>50184</v>
      </c>
      <c r="C262" s="18">
        <v>0</v>
      </c>
      <c r="D262" s="18">
        <v>52661.903683986755</v>
      </c>
      <c r="E262" s="18">
        <v>0</v>
      </c>
      <c r="F262" s="18">
        <v>50184</v>
      </c>
      <c r="G262" s="18">
        <v>52661.903683986755</v>
      </c>
    </row>
    <row r="263" spans="1:7" ht="11.25" customHeight="1" x14ac:dyDescent="0.2">
      <c r="A263" s="27" t="s">
        <v>25</v>
      </c>
      <c r="B263" s="18">
        <v>50184</v>
      </c>
      <c r="C263" s="18">
        <v>0</v>
      </c>
      <c r="D263" s="18">
        <v>52661.903683986755</v>
      </c>
      <c r="E263" s="18">
        <v>0</v>
      </c>
      <c r="F263" s="18">
        <v>50184</v>
      </c>
      <c r="G263" s="18">
        <v>52661.903683986755</v>
      </c>
    </row>
    <row r="264" spans="1:7" ht="11.25" customHeight="1" x14ac:dyDescent="0.2">
      <c r="A264" s="28">
        <v>44348</v>
      </c>
      <c r="B264" s="18">
        <v>4182</v>
      </c>
      <c r="C264" s="18">
        <v>0</v>
      </c>
      <c r="D264" s="18">
        <v>4388.491973665562</v>
      </c>
      <c r="E264" s="18">
        <v>0</v>
      </c>
      <c r="F264" s="18">
        <v>4182</v>
      </c>
      <c r="G264" s="18">
        <v>4388.491973665562</v>
      </c>
    </row>
    <row r="265" spans="1:7" ht="11.25" customHeight="1" x14ac:dyDescent="0.2">
      <c r="A265" s="28">
        <v>44378</v>
      </c>
      <c r="B265" s="18">
        <v>4182</v>
      </c>
      <c r="C265" s="18">
        <v>0</v>
      </c>
      <c r="D265" s="18">
        <v>4388.491973665562</v>
      </c>
      <c r="E265" s="18">
        <v>0</v>
      </c>
      <c r="F265" s="18">
        <v>4182</v>
      </c>
      <c r="G265" s="18">
        <v>4388.491973665562</v>
      </c>
    </row>
    <row r="266" spans="1:7" ht="11.25" customHeight="1" x14ac:dyDescent="0.2">
      <c r="A266" s="28">
        <v>44409</v>
      </c>
      <c r="B266" s="18">
        <v>4182</v>
      </c>
      <c r="C266" s="18">
        <v>0</v>
      </c>
      <c r="D266" s="18">
        <v>4388.491973665562</v>
      </c>
      <c r="E266" s="18">
        <v>0</v>
      </c>
      <c r="F266" s="18">
        <v>4182</v>
      </c>
      <c r="G266" s="18">
        <v>4388.491973665562</v>
      </c>
    </row>
    <row r="267" spans="1:7" ht="11.25" customHeight="1" x14ac:dyDescent="0.2">
      <c r="A267" s="28">
        <v>44440</v>
      </c>
      <c r="B267" s="18">
        <v>4182</v>
      </c>
      <c r="C267" s="18">
        <v>0</v>
      </c>
      <c r="D267" s="18">
        <v>4388.491973665562</v>
      </c>
      <c r="E267" s="18">
        <v>0</v>
      </c>
      <c r="F267" s="18">
        <v>4182</v>
      </c>
      <c r="G267" s="18">
        <v>4388.491973665562</v>
      </c>
    </row>
    <row r="268" spans="1:7" ht="11.25" customHeight="1" x14ac:dyDescent="0.2">
      <c r="A268" s="28">
        <v>44470</v>
      </c>
      <c r="B268" s="18">
        <v>4182</v>
      </c>
      <c r="C268" s="18">
        <v>0</v>
      </c>
      <c r="D268" s="18">
        <v>4388.491973665562</v>
      </c>
      <c r="E268" s="18">
        <v>0</v>
      </c>
      <c r="F268" s="18">
        <v>4182</v>
      </c>
      <c r="G268" s="18">
        <v>4388.491973665562</v>
      </c>
    </row>
    <row r="269" spans="1:7" ht="11.25" customHeight="1" x14ac:dyDescent="0.2">
      <c r="A269" s="28">
        <v>44501</v>
      </c>
      <c r="B269" s="18">
        <v>4182</v>
      </c>
      <c r="C269" s="18">
        <v>0</v>
      </c>
      <c r="D269" s="18">
        <v>4388.491973665562</v>
      </c>
      <c r="E269" s="18">
        <v>0</v>
      </c>
      <c r="F269" s="18">
        <v>4182</v>
      </c>
      <c r="G269" s="18">
        <v>4388.491973665562</v>
      </c>
    </row>
    <row r="270" spans="1:7" ht="11.25" customHeight="1" x14ac:dyDescent="0.2">
      <c r="A270" s="28">
        <v>44531</v>
      </c>
      <c r="B270" s="18">
        <v>4182</v>
      </c>
      <c r="C270" s="18">
        <v>0</v>
      </c>
      <c r="D270" s="18">
        <v>4388.491973665562</v>
      </c>
      <c r="E270" s="18">
        <v>0</v>
      </c>
      <c r="F270" s="18">
        <v>4182</v>
      </c>
      <c r="G270" s="18">
        <v>4388.491973665562</v>
      </c>
    </row>
    <row r="271" spans="1:7" ht="11.25" customHeight="1" x14ac:dyDescent="0.2">
      <c r="A271" s="28">
        <v>44562</v>
      </c>
      <c r="B271" s="18">
        <v>4182</v>
      </c>
      <c r="C271" s="18">
        <v>0</v>
      </c>
      <c r="D271" s="18">
        <v>4388.491973665562</v>
      </c>
      <c r="E271" s="18">
        <v>0</v>
      </c>
      <c r="F271" s="18">
        <v>4182</v>
      </c>
      <c r="G271" s="18">
        <v>4388.491973665562</v>
      </c>
    </row>
    <row r="272" spans="1:7" ht="11.25" customHeight="1" x14ac:dyDescent="0.2">
      <c r="A272" s="28">
        <v>44593</v>
      </c>
      <c r="B272" s="18">
        <v>4182</v>
      </c>
      <c r="C272" s="18">
        <v>0</v>
      </c>
      <c r="D272" s="18">
        <v>4388.491973665562</v>
      </c>
      <c r="E272" s="18">
        <v>0</v>
      </c>
      <c r="F272" s="18">
        <v>4182</v>
      </c>
      <c r="G272" s="18">
        <v>4388.491973665562</v>
      </c>
    </row>
    <row r="273" spans="1:7" ht="11.25" customHeight="1" x14ac:dyDescent="0.2">
      <c r="A273" s="28">
        <v>44621</v>
      </c>
      <c r="B273" s="18">
        <v>4182</v>
      </c>
      <c r="C273" s="18">
        <v>0</v>
      </c>
      <c r="D273" s="18">
        <v>4388.491973665562</v>
      </c>
      <c r="E273" s="18">
        <v>0</v>
      </c>
      <c r="F273" s="18">
        <v>4182</v>
      </c>
      <c r="G273" s="18">
        <v>4388.491973665562</v>
      </c>
    </row>
    <row r="274" spans="1:7" ht="11.25" customHeight="1" x14ac:dyDescent="0.2">
      <c r="A274" s="28">
        <v>44652</v>
      </c>
      <c r="B274" s="18">
        <v>4182</v>
      </c>
      <c r="C274" s="18">
        <v>0</v>
      </c>
      <c r="D274" s="18">
        <v>4388.491973665562</v>
      </c>
      <c r="E274" s="18">
        <v>0</v>
      </c>
      <c r="F274" s="18">
        <v>4182</v>
      </c>
      <c r="G274" s="18">
        <v>4388.491973665562</v>
      </c>
    </row>
    <row r="275" spans="1:7" ht="11.25" customHeight="1" x14ac:dyDescent="0.2">
      <c r="A275" s="28">
        <v>44682</v>
      </c>
      <c r="B275" s="18">
        <v>4182</v>
      </c>
      <c r="C275" s="18">
        <v>0</v>
      </c>
      <c r="D275" s="18">
        <v>4388.491973665562</v>
      </c>
      <c r="E275" s="18">
        <v>0</v>
      </c>
      <c r="F275" s="18">
        <v>4182</v>
      </c>
      <c r="G275" s="18">
        <v>4388.491973665562</v>
      </c>
    </row>
    <row r="276" spans="1:7" ht="11.25" customHeight="1" x14ac:dyDescent="0.2">
      <c r="A276" s="26" t="s">
        <v>73</v>
      </c>
      <c r="B276" s="18">
        <v>162791.99999999997</v>
      </c>
      <c r="C276" s="18">
        <v>0</v>
      </c>
      <c r="D276" s="18">
        <v>170830.07780415216</v>
      </c>
      <c r="E276" s="18">
        <v>0</v>
      </c>
      <c r="F276" s="18">
        <v>162791.99999999997</v>
      </c>
      <c r="G276" s="18">
        <v>170830.07780415216</v>
      </c>
    </row>
    <row r="277" spans="1:7" ht="11.25" customHeight="1" x14ac:dyDescent="0.2">
      <c r="A277" s="27" t="s">
        <v>25</v>
      </c>
      <c r="B277" s="18">
        <v>162791.99999999997</v>
      </c>
      <c r="C277" s="18">
        <v>0</v>
      </c>
      <c r="D277" s="18">
        <v>170830.07780415216</v>
      </c>
      <c r="E277" s="18">
        <v>0</v>
      </c>
      <c r="F277" s="18">
        <v>162791.99999999997</v>
      </c>
      <c r="G277" s="18">
        <v>170830.07780415216</v>
      </c>
    </row>
    <row r="278" spans="1:7" ht="11.25" customHeight="1" x14ac:dyDescent="0.2">
      <c r="A278" s="28">
        <v>44348</v>
      </c>
      <c r="B278" s="18">
        <v>13565.999999999998</v>
      </c>
      <c r="C278" s="18">
        <v>0</v>
      </c>
      <c r="D278" s="18">
        <v>14235.839817012677</v>
      </c>
      <c r="E278" s="18">
        <v>0</v>
      </c>
      <c r="F278" s="18">
        <v>13565.999999999998</v>
      </c>
      <c r="G278" s="18">
        <v>14235.839817012677</v>
      </c>
    </row>
    <row r="279" spans="1:7" ht="11.25" customHeight="1" x14ac:dyDescent="0.2">
      <c r="A279" s="28">
        <v>44378</v>
      </c>
      <c r="B279" s="18">
        <v>13565.999999999998</v>
      </c>
      <c r="C279" s="18">
        <v>0</v>
      </c>
      <c r="D279" s="18">
        <v>14235.839817012677</v>
      </c>
      <c r="E279" s="18">
        <v>0</v>
      </c>
      <c r="F279" s="18">
        <v>13565.999999999998</v>
      </c>
      <c r="G279" s="18">
        <v>14235.839817012677</v>
      </c>
    </row>
    <row r="280" spans="1:7" ht="11.25" customHeight="1" x14ac:dyDescent="0.2">
      <c r="A280" s="28">
        <v>44409</v>
      </c>
      <c r="B280" s="18">
        <v>13565.999999999998</v>
      </c>
      <c r="C280" s="18">
        <v>0</v>
      </c>
      <c r="D280" s="18">
        <v>14235.839817012677</v>
      </c>
      <c r="E280" s="18">
        <v>0</v>
      </c>
      <c r="F280" s="18">
        <v>13565.999999999998</v>
      </c>
      <c r="G280" s="18">
        <v>14235.839817012677</v>
      </c>
    </row>
    <row r="281" spans="1:7" ht="11.25" customHeight="1" x14ac:dyDescent="0.2">
      <c r="A281" s="28">
        <v>44440</v>
      </c>
      <c r="B281" s="18">
        <v>13565.999999999998</v>
      </c>
      <c r="C281" s="18">
        <v>0</v>
      </c>
      <c r="D281" s="18">
        <v>14235.839817012677</v>
      </c>
      <c r="E281" s="18">
        <v>0</v>
      </c>
      <c r="F281" s="18">
        <v>13565.999999999998</v>
      </c>
      <c r="G281" s="18">
        <v>14235.839817012677</v>
      </c>
    </row>
    <row r="282" spans="1:7" ht="11.25" customHeight="1" x14ac:dyDescent="0.2">
      <c r="A282" s="28">
        <v>44470</v>
      </c>
      <c r="B282" s="18">
        <v>13565.999999999998</v>
      </c>
      <c r="C282" s="18">
        <v>0</v>
      </c>
      <c r="D282" s="18">
        <v>14235.839817012677</v>
      </c>
      <c r="E282" s="18">
        <v>0</v>
      </c>
      <c r="F282" s="18">
        <v>13565.999999999998</v>
      </c>
      <c r="G282" s="18">
        <v>14235.839817012677</v>
      </c>
    </row>
    <row r="283" spans="1:7" ht="11.25" customHeight="1" x14ac:dyDescent="0.2">
      <c r="A283" s="28">
        <v>44501</v>
      </c>
      <c r="B283" s="18">
        <v>13565.999999999998</v>
      </c>
      <c r="C283" s="18">
        <v>0</v>
      </c>
      <c r="D283" s="18">
        <v>14235.839817012677</v>
      </c>
      <c r="E283" s="18">
        <v>0</v>
      </c>
      <c r="F283" s="18">
        <v>13565.999999999998</v>
      </c>
      <c r="G283" s="18">
        <v>14235.839817012677</v>
      </c>
    </row>
    <row r="284" spans="1:7" ht="11.25" customHeight="1" x14ac:dyDescent="0.2">
      <c r="A284" s="28">
        <v>44531</v>
      </c>
      <c r="B284" s="18">
        <v>13565.999999999998</v>
      </c>
      <c r="C284" s="18">
        <v>0</v>
      </c>
      <c r="D284" s="18">
        <v>14235.839817012677</v>
      </c>
      <c r="E284" s="18">
        <v>0</v>
      </c>
      <c r="F284" s="18">
        <v>13565.999999999998</v>
      </c>
      <c r="G284" s="18">
        <v>14235.839817012677</v>
      </c>
    </row>
    <row r="285" spans="1:7" ht="11.25" customHeight="1" x14ac:dyDescent="0.2">
      <c r="A285" s="28">
        <v>44562</v>
      </c>
      <c r="B285" s="18">
        <v>13565.999999999998</v>
      </c>
      <c r="C285" s="18">
        <v>0</v>
      </c>
      <c r="D285" s="18">
        <v>14235.839817012677</v>
      </c>
      <c r="E285" s="18">
        <v>0</v>
      </c>
      <c r="F285" s="18">
        <v>13565.999999999998</v>
      </c>
      <c r="G285" s="18">
        <v>14235.839817012677</v>
      </c>
    </row>
    <row r="286" spans="1:7" ht="11.25" customHeight="1" x14ac:dyDescent="0.2">
      <c r="A286" s="28">
        <v>44593</v>
      </c>
      <c r="B286" s="18">
        <v>13565.999999999998</v>
      </c>
      <c r="C286" s="18">
        <v>0</v>
      </c>
      <c r="D286" s="18">
        <v>14235.839817012677</v>
      </c>
      <c r="E286" s="18">
        <v>0</v>
      </c>
      <c r="F286" s="18">
        <v>13565.999999999998</v>
      </c>
      <c r="G286" s="18">
        <v>14235.839817012677</v>
      </c>
    </row>
    <row r="287" spans="1:7" ht="11.25" customHeight="1" x14ac:dyDescent="0.2">
      <c r="A287" s="28">
        <v>44621</v>
      </c>
      <c r="B287" s="18">
        <v>13565.999999999998</v>
      </c>
      <c r="C287" s="18">
        <v>0</v>
      </c>
      <c r="D287" s="18">
        <v>14235.839817012677</v>
      </c>
      <c r="E287" s="18">
        <v>0</v>
      </c>
      <c r="F287" s="18">
        <v>13565.999999999998</v>
      </c>
      <c r="G287" s="18">
        <v>14235.839817012677</v>
      </c>
    </row>
    <row r="288" spans="1:7" ht="11.25" customHeight="1" x14ac:dyDescent="0.2">
      <c r="A288" s="28">
        <v>44652</v>
      </c>
      <c r="B288" s="18">
        <v>13565.999999999998</v>
      </c>
      <c r="C288" s="18">
        <v>0</v>
      </c>
      <c r="D288" s="18">
        <v>14235.839817012677</v>
      </c>
      <c r="E288" s="18">
        <v>0</v>
      </c>
      <c r="F288" s="18">
        <v>13565.999999999998</v>
      </c>
      <c r="G288" s="18">
        <v>14235.839817012677</v>
      </c>
    </row>
    <row r="289" spans="1:7" ht="11.25" customHeight="1" x14ac:dyDescent="0.2">
      <c r="A289" s="28">
        <v>44682</v>
      </c>
      <c r="B289" s="18">
        <v>13565.999999999998</v>
      </c>
      <c r="C289" s="18">
        <v>0</v>
      </c>
      <c r="D289" s="18">
        <v>14235.839817012677</v>
      </c>
      <c r="E289" s="18">
        <v>0</v>
      </c>
      <c r="F289" s="18">
        <v>13565.999999999998</v>
      </c>
      <c r="G289" s="18">
        <v>14235.839817012677</v>
      </c>
    </row>
    <row r="290" spans="1:7" ht="11.25" customHeight="1" x14ac:dyDescent="0.2">
      <c r="A290" s="26" t="s">
        <v>87</v>
      </c>
      <c r="B290" s="18">
        <v>1674000</v>
      </c>
      <c r="C290" s="18">
        <v>0</v>
      </c>
      <c r="D290" s="18">
        <v>1758897.3624878477</v>
      </c>
      <c r="E290" s="18">
        <v>0</v>
      </c>
      <c r="F290" s="18">
        <v>1674000</v>
      </c>
      <c r="G290" s="18">
        <v>1758897.3624878477</v>
      </c>
    </row>
    <row r="291" spans="1:7" ht="11.25" customHeight="1" x14ac:dyDescent="0.2">
      <c r="A291" s="27" t="s">
        <v>25</v>
      </c>
      <c r="B291" s="18">
        <v>1674000</v>
      </c>
      <c r="C291" s="18">
        <v>0</v>
      </c>
      <c r="D291" s="18">
        <v>1758897.3624878477</v>
      </c>
      <c r="E291" s="18">
        <v>0</v>
      </c>
      <c r="F291" s="18">
        <v>1674000</v>
      </c>
      <c r="G291" s="18">
        <v>1758897.3624878477</v>
      </c>
    </row>
    <row r="292" spans="1:7" ht="11.25" customHeight="1" x14ac:dyDescent="0.2">
      <c r="A292" s="28">
        <v>44348</v>
      </c>
      <c r="B292" s="18">
        <v>139500</v>
      </c>
      <c r="C292" s="18">
        <v>0</v>
      </c>
      <c r="D292" s="18">
        <v>146574.78020732067</v>
      </c>
      <c r="E292" s="18">
        <v>0</v>
      </c>
      <c r="F292" s="18">
        <v>139500</v>
      </c>
      <c r="G292" s="18">
        <v>146574.78020732067</v>
      </c>
    </row>
    <row r="293" spans="1:7" ht="11.25" customHeight="1" x14ac:dyDescent="0.2">
      <c r="A293" s="28">
        <v>44378</v>
      </c>
      <c r="B293" s="18">
        <v>139500</v>
      </c>
      <c r="C293" s="18">
        <v>0</v>
      </c>
      <c r="D293" s="18">
        <v>146574.78020732067</v>
      </c>
      <c r="E293" s="18">
        <v>0</v>
      </c>
      <c r="F293" s="18">
        <v>139500</v>
      </c>
      <c r="G293" s="18">
        <v>146574.78020732067</v>
      </c>
    </row>
    <row r="294" spans="1:7" ht="11.25" customHeight="1" x14ac:dyDescent="0.2">
      <c r="A294" s="28">
        <v>44409</v>
      </c>
      <c r="B294" s="18">
        <v>139500</v>
      </c>
      <c r="C294" s="18">
        <v>0</v>
      </c>
      <c r="D294" s="18">
        <v>146574.78020732067</v>
      </c>
      <c r="E294" s="18">
        <v>0</v>
      </c>
      <c r="F294" s="18">
        <v>139500</v>
      </c>
      <c r="G294" s="18">
        <v>146574.78020732067</v>
      </c>
    </row>
    <row r="295" spans="1:7" ht="11.25" customHeight="1" x14ac:dyDescent="0.2">
      <c r="A295" s="28">
        <v>44440</v>
      </c>
      <c r="B295" s="18">
        <v>139500</v>
      </c>
      <c r="C295" s="18">
        <v>0</v>
      </c>
      <c r="D295" s="18">
        <v>146574.78020732067</v>
      </c>
      <c r="E295" s="18">
        <v>0</v>
      </c>
      <c r="F295" s="18">
        <v>139500</v>
      </c>
      <c r="G295" s="18">
        <v>146574.78020732067</v>
      </c>
    </row>
    <row r="296" spans="1:7" ht="11.25" customHeight="1" x14ac:dyDescent="0.2">
      <c r="A296" s="28">
        <v>44470</v>
      </c>
      <c r="B296" s="18">
        <v>139500</v>
      </c>
      <c r="C296" s="18">
        <v>0</v>
      </c>
      <c r="D296" s="18">
        <v>146574.78020732067</v>
      </c>
      <c r="E296" s="18">
        <v>0</v>
      </c>
      <c r="F296" s="18">
        <v>139500</v>
      </c>
      <c r="G296" s="18">
        <v>146574.78020732067</v>
      </c>
    </row>
    <row r="297" spans="1:7" ht="11.25" customHeight="1" x14ac:dyDescent="0.2">
      <c r="A297" s="28">
        <v>44501</v>
      </c>
      <c r="B297" s="18">
        <v>139500</v>
      </c>
      <c r="C297" s="18">
        <v>0</v>
      </c>
      <c r="D297" s="18">
        <v>146574.78020732067</v>
      </c>
      <c r="E297" s="18">
        <v>0</v>
      </c>
      <c r="F297" s="18">
        <v>139500</v>
      </c>
      <c r="G297" s="18">
        <v>146574.78020732067</v>
      </c>
    </row>
    <row r="298" spans="1:7" ht="11.25" customHeight="1" x14ac:dyDescent="0.2">
      <c r="A298" s="28">
        <v>44531</v>
      </c>
      <c r="B298" s="18">
        <v>139500</v>
      </c>
      <c r="C298" s="18">
        <v>0</v>
      </c>
      <c r="D298" s="18">
        <v>146574.78020732067</v>
      </c>
      <c r="E298" s="18">
        <v>0</v>
      </c>
      <c r="F298" s="18">
        <v>139500</v>
      </c>
      <c r="G298" s="18">
        <v>146574.78020732067</v>
      </c>
    </row>
    <row r="299" spans="1:7" ht="11.25" customHeight="1" x14ac:dyDescent="0.2">
      <c r="A299" s="28">
        <v>44562</v>
      </c>
      <c r="B299" s="18">
        <v>139500</v>
      </c>
      <c r="C299" s="18">
        <v>0</v>
      </c>
      <c r="D299" s="18">
        <v>146574.78020732067</v>
      </c>
      <c r="E299" s="18">
        <v>0</v>
      </c>
      <c r="F299" s="18">
        <v>139500</v>
      </c>
      <c r="G299" s="18">
        <v>146574.78020732067</v>
      </c>
    </row>
    <row r="300" spans="1:7" ht="11.25" customHeight="1" x14ac:dyDescent="0.2">
      <c r="A300" s="28">
        <v>44593</v>
      </c>
      <c r="B300" s="18">
        <v>139500</v>
      </c>
      <c r="C300" s="18">
        <v>0</v>
      </c>
      <c r="D300" s="18">
        <v>146574.78020732067</v>
      </c>
      <c r="E300" s="18">
        <v>0</v>
      </c>
      <c r="F300" s="18">
        <v>139500</v>
      </c>
      <c r="G300" s="18">
        <v>146574.78020732067</v>
      </c>
    </row>
    <row r="301" spans="1:7" ht="11.25" customHeight="1" x14ac:dyDescent="0.2">
      <c r="A301" s="28">
        <v>44621</v>
      </c>
      <c r="B301" s="18">
        <v>139500</v>
      </c>
      <c r="C301" s="18">
        <v>0</v>
      </c>
      <c r="D301" s="18">
        <v>146574.78020732067</v>
      </c>
      <c r="E301" s="18">
        <v>0</v>
      </c>
      <c r="F301" s="18">
        <v>139500</v>
      </c>
      <c r="G301" s="18">
        <v>146574.78020732067</v>
      </c>
    </row>
    <row r="302" spans="1:7" ht="11.25" customHeight="1" x14ac:dyDescent="0.2">
      <c r="A302" s="28">
        <v>44652</v>
      </c>
      <c r="B302" s="18">
        <v>139500</v>
      </c>
      <c r="C302" s="18">
        <v>0</v>
      </c>
      <c r="D302" s="18">
        <v>146574.78020732067</v>
      </c>
      <c r="E302" s="18">
        <v>0</v>
      </c>
      <c r="F302" s="18">
        <v>139500</v>
      </c>
      <c r="G302" s="18">
        <v>146574.78020732067</v>
      </c>
    </row>
    <row r="303" spans="1:7" ht="11.25" customHeight="1" x14ac:dyDescent="0.2">
      <c r="A303" s="28">
        <v>44682</v>
      </c>
      <c r="B303" s="18">
        <v>139500</v>
      </c>
      <c r="C303" s="18">
        <v>0</v>
      </c>
      <c r="D303" s="18">
        <v>146574.78020732067</v>
      </c>
      <c r="E303" s="18">
        <v>0</v>
      </c>
      <c r="F303" s="18">
        <v>139500</v>
      </c>
      <c r="G303" s="18">
        <v>146574.78020732067</v>
      </c>
    </row>
    <row r="304" spans="1:7" ht="11.25" customHeight="1" x14ac:dyDescent="0.2">
      <c r="A304" s="26" t="s">
        <v>89</v>
      </c>
      <c r="B304" s="18">
        <v>811944</v>
      </c>
      <c r="C304" s="18">
        <v>0</v>
      </c>
      <c r="D304" s="18">
        <v>851975.22846981278</v>
      </c>
      <c r="E304" s="18">
        <v>0</v>
      </c>
      <c r="F304" s="18">
        <v>811944</v>
      </c>
      <c r="G304" s="18">
        <v>851975.22846981278</v>
      </c>
    </row>
    <row r="305" spans="1:7" ht="11.25" customHeight="1" x14ac:dyDescent="0.2">
      <c r="A305" s="27" t="s">
        <v>25</v>
      </c>
      <c r="B305" s="18">
        <v>811944</v>
      </c>
      <c r="C305" s="18">
        <v>0</v>
      </c>
      <c r="D305" s="18">
        <v>851975.22846981278</v>
      </c>
      <c r="E305" s="18">
        <v>0</v>
      </c>
      <c r="F305" s="18">
        <v>811944</v>
      </c>
      <c r="G305" s="18">
        <v>851975.22846981278</v>
      </c>
    </row>
    <row r="306" spans="1:7" ht="11.25" customHeight="1" x14ac:dyDescent="0.2">
      <c r="A306" s="28">
        <v>44348</v>
      </c>
      <c r="B306" s="18">
        <v>67662</v>
      </c>
      <c r="C306" s="18">
        <v>0</v>
      </c>
      <c r="D306" s="18">
        <v>70997.935705817712</v>
      </c>
      <c r="E306" s="18">
        <v>0</v>
      </c>
      <c r="F306" s="18">
        <v>67662</v>
      </c>
      <c r="G306" s="18">
        <v>70997.935705817712</v>
      </c>
    </row>
    <row r="307" spans="1:7" ht="11.25" customHeight="1" x14ac:dyDescent="0.2">
      <c r="A307" s="28">
        <v>44378</v>
      </c>
      <c r="B307" s="18">
        <v>67662</v>
      </c>
      <c r="C307" s="18">
        <v>0</v>
      </c>
      <c r="D307" s="18">
        <v>70997.935705817712</v>
      </c>
      <c r="E307" s="18">
        <v>0</v>
      </c>
      <c r="F307" s="18">
        <v>67662</v>
      </c>
      <c r="G307" s="18">
        <v>70997.935705817712</v>
      </c>
    </row>
    <row r="308" spans="1:7" ht="11.25" customHeight="1" x14ac:dyDescent="0.2">
      <c r="A308" s="28">
        <v>44409</v>
      </c>
      <c r="B308" s="18">
        <v>67662</v>
      </c>
      <c r="C308" s="18">
        <v>0</v>
      </c>
      <c r="D308" s="18">
        <v>70997.935705817712</v>
      </c>
      <c r="E308" s="18">
        <v>0</v>
      </c>
      <c r="F308" s="18">
        <v>67662</v>
      </c>
      <c r="G308" s="18">
        <v>70997.935705817712</v>
      </c>
    </row>
    <row r="309" spans="1:7" ht="11.25" customHeight="1" x14ac:dyDescent="0.2">
      <c r="A309" s="28">
        <v>44440</v>
      </c>
      <c r="B309" s="18">
        <v>67662</v>
      </c>
      <c r="C309" s="18">
        <v>0</v>
      </c>
      <c r="D309" s="18">
        <v>70997.935705817712</v>
      </c>
      <c r="E309" s="18">
        <v>0</v>
      </c>
      <c r="F309" s="18">
        <v>67662</v>
      </c>
      <c r="G309" s="18">
        <v>70997.935705817712</v>
      </c>
    </row>
    <row r="310" spans="1:7" ht="11.25" customHeight="1" x14ac:dyDescent="0.2">
      <c r="A310" s="28">
        <v>44470</v>
      </c>
      <c r="B310" s="18">
        <v>67662</v>
      </c>
      <c r="C310" s="18">
        <v>0</v>
      </c>
      <c r="D310" s="18">
        <v>70997.935705817712</v>
      </c>
      <c r="E310" s="18">
        <v>0</v>
      </c>
      <c r="F310" s="18">
        <v>67662</v>
      </c>
      <c r="G310" s="18">
        <v>70997.935705817712</v>
      </c>
    </row>
    <row r="311" spans="1:7" ht="11.25" customHeight="1" x14ac:dyDescent="0.2">
      <c r="A311" s="28">
        <v>44501</v>
      </c>
      <c r="B311" s="18">
        <v>67662</v>
      </c>
      <c r="C311" s="18">
        <v>0</v>
      </c>
      <c r="D311" s="18">
        <v>70997.935705817712</v>
      </c>
      <c r="E311" s="18">
        <v>0</v>
      </c>
      <c r="F311" s="18">
        <v>67662</v>
      </c>
      <c r="G311" s="18">
        <v>70997.935705817712</v>
      </c>
    </row>
    <row r="312" spans="1:7" ht="11.25" customHeight="1" x14ac:dyDescent="0.2">
      <c r="A312" s="28">
        <v>44531</v>
      </c>
      <c r="B312" s="18">
        <v>67662</v>
      </c>
      <c r="C312" s="18">
        <v>0</v>
      </c>
      <c r="D312" s="18">
        <v>70997.935705817712</v>
      </c>
      <c r="E312" s="18">
        <v>0</v>
      </c>
      <c r="F312" s="18">
        <v>67662</v>
      </c>
      <c r="G312" s="18">
        <v>70997.935705817712</v>
      </c>
    </row>
    <row r="313" spans="1:7" ht="11.25" customHeight="1" x14ac:dyDescent="0.2">
      <c r="A313" s="28">
        <v>44562</v>
      </c>
      <c r="B313" s="18">
        <v>67662</v>
      </c>
      <c r="C313" s="18">
        <v>0</v>
      </c>
      <c r="D313" s="18">
        <v>70997.935705817712</v>
      </c>
      <c r="E313" s="18">
        <v>0</v>
      </c>
      <c r="F313" s="18">
        <v>67662</v>
      </c>
      <c r="G313" s="18">
        <v>70997.935705817712</v>
      </c>
    </row>
    <row r="314" spans="1:7" ht="11.25" customHeight="1" x14ac:dyDescent="0.2">
      <c r="A314" s="28">
        <v>44593</v>
      </c>
      <c r="B314" s="18">
        <v>67662</v>
      </c>
      <c r="C314" s="18">
        <v>0</v>
      </c>
      <c r="D314" s="18">
        <v>70997.935705817712</v>
      </c>
      <c r="E314" s="18">
        <v>0</v>
      </c>
      <c r="F314" s="18">
        <v>67662</v>
      </c>
      <c r="G314" s="18">
        <v>70997.935705817712</v>
      </c>
    </row>
    <row r="315" spans="1:7" ht="11.25" customHeight="1" x14ac:dyDescent="0.2">
      <c r="A315" s="28">
        <v>44621</v>
      </c>
      <c r="B315" s="18">
        <v>67662</v>
      </c>
      <c r="C315" s="18">
        <v>0</v>
      </c>
      <c r="D315" s="18">
        <v>70997.935705817712</v>
      </c>
      <c r="E315" s="18">
        <v>0</v>
      </c>
      <c r="F315" s="18">
        <v>67662</v>
      </c>
      <c r="G315" s="18">
        <v>70997.935705817712</v>
      </c>
    </row>
    <row r="316" spans="1:7" ht="11.25" customHeight="1" x14ac:dyDescent="0.2">
      <c r="A316" s="28">
        <v>44652</v>
      </c>
      <c r="B316" s="18">
        <v>67662</v>
      </c>
      <c r="C316" s="18">
        <v>0</v>
      </c>
      <c r="D316" s="18">
        <v>70997.935705817712</v>
      </c>
      <c r="E316" s="18">
        <v>0</v>
      </c>
      <c r="F316" s="18">
        <v>67662</v>
      </c>
      <c r="G316" s="18">
        <v>70997.935705817712</v>
      </c>
    </row>
    <row r="317" spans="1:7" ht="11.25" customHeight="1" x14ac:dyDescent="0.2">
      <c r="A317" s="28">
        <v>44682</v>
      </c>
      <c r="B317" s="18">
        <v>67662</v>
      </c>
      <c r="C317" s="18">
        <v>0</v>
      </c>
      <c r="D317" s="18">
        <v>70997.935705817712</v>
      </c>
      <c r="E317" s="18">
        <v>0</v>
      </c>
      <c r="F317" s="18">
        <v>67662</v>
      </c>
      <c r="G317" s="18">
        <v>70997.935705817712</v>
      </c>
    </row>
    <row r="318" spans="1:7" ht="11.25" customHeight="1" x14ac:dyDescent="0.2">
      <c r="A318" s="26" t="s">
        <v>86</v>
      </c>
      <c r="B318" s="18">
        <v>677832</v>
      </c>
      <c r="C318" s="18">
        <v>0</v>
      </c>
      <c r="D318" s="18">
        <v>710337.50348584715</v>
      </c>
      <c r="E318" s="18">
        <v>0</v>
      </c>
      <c r="F318" s="18">
        <v>677832</v>
      </c>
      <c r="G318" s="18">
        <v>710337.50348584715</v>
      </c>
    </row>
    <row r="319" spans="1:7" ht="11.25" customHeight="1" x14ac:dyDescent="0.2">
      <c r="A319" s="27" t="s">
        <v>25</v>
      </c>
      <c r="B319" s="18">
        <v>677832</v>
      </c>
      <c r="C319" s="18">
        <v>0</v>
      </c>
      <c r="D319" s="18">
        <v>710337.50348584715</v>
      </c>
      <c r="E319" s="18">
        <v>0</v>
      </c>
      <c r="F319" s="18">
        <v>677832</v>
      </c>
      <c r="G319" s="18">
        <v>710337.50348584715</v>
      </c>
    </row>
    <row r="320" spans="1:7" ht="11.25" customHeight="1" x14ac:dyDescent="0.2">
      <c r="A320" s="28">
        <v>44348</v>
      </c>
      <c r="B320" s="18">
        <v>56486</v>
      </c>
      <c r="C320" s="18">
        <v>0</v>
      </c>
      <c r="D320" s="18">
        <v>59194.79195715391</v>
      </c>
      <c r="E320" s="18">
        <v>0</v>
      </c>
      <c r="F320" s="18">
        <v>56486</v>
      </c>
      <c r="G320" s="18">
        <v>59194.79195715391</v>
      </c>
    </row>
    <row r="321" spans="1:7" ht="11.25" customHeight="1" x14ac:dyDescent="0.2">
      <c r="A321" s="28">
        <v>44378</v>
      </c>
      <c r="B321" s="18">
        <v>56486</v>
      </c>
      <c r="C321" s="18">
        <v>0</v>
      </c>
      <c r="D321" s="18">
        <v>59194.79195715391</v>
      </c>
      <c r="E321" s="18">
        <v>0</v>
      </c>
      <c r="F321" s="18">
        <v>56486</v>
      </c>
      <c r="G321" s="18">
        <v>59194.79195715391</v>
      </c>
    </row>
    <row r="322" spans="1:7" ht="11.25" customHeight="1" x14ac:dyDescent="0.2">
      <c r="A322" s="28">
        <v>44409</v>
      </c>
      <c r="B322" s="18">
        <v>56486</v>
      </c>
      <c r="C322" s="18">
        <v>0</v>
      </c>
      <c r="D322" s="18">
        <v>59194.79195715391</v>
      </c>
      <c r="E322" s="18">
        <v>0</v>
      </c>
      <c r="F322" s="18">
        <v>56486</v>
      </c>
      <c r="G322" s="18">
        <v>59194.79195715391</v>
      </c>
    </row>
    <row r="323" spans="1:7" ht="11.25" customHeight="1" x14ac:dyDescent="0.2">
      <c r="A323" s="28">
        <v>44440</v>
      </c>
      <c r="B323" s="18">
        <v>56486</v>
      </c>
      <c r="C323" s="18">
        <v>0</v>
      </c>
      <c r="D323" s="18">
        <v>59194.79195715391</v>
      </c>
      <c r="E323" s="18">
        <v>0</v>
      </c>
      <c r="F323" s="18">
        <v>56486</v>
      </c>
      <c r="G323" s="18">
        <v>59194.79195715391</v>
      </c>
    </row>
    <row r="324" spans="1:7" ht="11.25" customHeight="1" x14ac:dyDescent="0.2">
      <c r="A324" s="28">
        <v>44470</v>
      </c>
      <c r="B324" s="18">
        <v>56486</v>
      </c>
      <c r="C324" s="18">
        <v>0</v>
      </c>
      <c r="D324" s="18">
        <v>59194.79195715391</v>
      </c>
      <c r="E324" s="18">
        <v>0</v>
      </c>
      <c r="F324" s="18">
        <v>56486</v>
      </c>
      <c r="G324" s="18">
        <v>59194.79195715391</v>
      </c>
    </row>
    <row r="325" spans="1:7" ht="11.25" customHeight="1" x14ac:dyDescent="0.2">
      <c r="A325" s="28">
        <v>44501</v>
      </c>
      <c r="B325" s="18">
        <v>56486</v>
      </c>
      <c r="C325" s="18">
        <v>0</v>
      </c>
      <c r="D325" s="18">
        <v>59194.79195715391</v>
      </c>
      <c r="E325" s="18">
        <v>0</v>
      </c>
      <c r="F325" s="18">
        <v>56486</v>
      </c>
      <c r="G325" s="18">
        <v>59194.79195715391</v>
      </c>
    </row>
    <row r="326" spans="1:7" ht="11.25" customHeight="1" x14ac:dyDescent="0.2">
      <c r="A326" s="28">
        <v>44531</v>
      </c>
      <c r="B326" s="18">
        <v>56486</v>
      </c>
      <c r="C326" s="18">
        <v>0</v>
      </c>
      <c r="D326" s="18">
        <v>59194.79195715391</v>
      </c>
      <c r="E326" s="18">
        <v>0</v>
      </c>
      <c r="F326" s="18">
        <v>56486</v>
      </c>
      <c r="G326" s="18">
        <v>59194.79195715391</v>
      </c>
    </row>
    <row r="327" spans="1:7" ht="11.25" customHeight="1" x14ac:dyDescent="0.2">
      <c r="A327" s="28">
        <v>44562</v>
      </c>
      <c r="B327" s="18">
        <v>56486</v>
      </c>
      <c r="C327" s="18">
        <v>0</v>
      </c>
      <c r="D327" s="18">
        <v>59194.79195715391</v>
      </c>
      <c r="E327" s="18">
        <v>0</v>
      </c>
      <c r="F327" s="18">
        <v>56486</v>
      </c>
      <c r="G327" s="18">
        <v>59194.79195715391</v>
      </c>
    </row>
    <row r="328" spans="1:7" ht="11.25" customHeight="1" x14ac:dyDescent="0.2">
      <c r="A328" s="28">
        <v>44593</v>
      </c>
      <c r="B328" s="18">
        <v>56486</v>
      </c>
      <c r="C328" s="18">
        <v>0</v>
      </c>
      <c r="D328" s="18">
        <v>59194.79195715391</v>
      </c>
      <c r="E328" s="18">
        <v>0</v>
      </c>
      <c r="F328" s="18">
        <v>56486</v>
      </c>
      <c r="G328" s="18">
        <v>59194.79195715391</v>
      </c>
    </row>
    <row r="329" spans="1:7" ht="11.25" customHeight="1" x14ac:dyDescent="0.2">
      <c r="A329" s="28">
        <v>44621</v>
      </c>
      <c r="B329" s="18">
        <v>56486</v>
      </c>
      <c r="C329" s="18">
        <v>0</v>
      </c>
      <c r="D329" s="18">
        <v>59194.79195715391</v>
      </c>
      <c r="E329" s="18">
        <v>0</v>
      </c>
      <c r="F329" s="18">
        <v>56486</v>
      </c>
      <c r="G329" s="18">
        <v>59194.79195715391</v>
      </c>
    </row>
    <row r="330" spans="1:7" ht="11.25" customHeight="1" x14ac:dyDescent="0.2">
      <c r="A330" s="28">
        <v>44652</v>
      </c>
      <c r="B330" s="18">
        <v>56486</v>
      </c>
      <c r="C330" s="18">
        <v>0</v>
      </c>
      <c r="D330" s="18">
        <v>59194.79195715391</v>
      </c>
      <c r="E330" s="18">
        <v>0</v>
      </c>
      <c r="F330" s="18">
        <v>56486</v>
      </c>
      <c r="G330" s="18">
        <v>59194.79195715391</v>
      </c>
    </row>
    <row r="331" spans="1:7" ht="11.25" customHeight="1" x14ac:dyDescent="0.2">
      <c r="A331" s="28">
        <v>44682</v>
      </c>
      <c r="B331" s="18">
        <v>56486</v>
      </c>
      <c r="C331" s="18">
        <v>0</v>
      </c>
      <c r="D331" s="18">
        <v>59194.79195715391</v>
      </c>
      <c r="E331" s="18">
        <v>0</v>
      </c>
      <c r="F331" s="18">
        <v>56486</v>
      </c>
      <c r="G331" s="18">
        <v>59194.79195715391</v>
      </c>
    </row>
    <row r="332" spans="1:7" ht="11.25" customHeight="1" x14ac:dyDescent="0.2">
      <c r="A332" s="26" t="s">
        <v>69</v>
      </c>
      <c r="B332" s="18">
        <v>0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</row>
    <row r="333" spans="1:7" ht="11.25" customHeight="1" x14ac:dyDescent="0.2">
      <c r="A333" s="27" t="s">
        <v>25</v>
      </c>
      <c r="B333" s="18">
        <v>0</v>
      </c>
      <c r="C333" s="18">
        <v>0</v>
      </c>
      <c r="D333" s="18">
        <v>0</v>
      </c>
      <c r="E333" s="18">
        <v>0</v>
      </c>
      <c r="F333" s="18">
        <v>0</v>
      </c>
      <c r="G333" s="18">
        <v>0</v>
      </c>
    </row>
    <row r="334" spans="1:7" ht="11.25" customHeight="1" x14ac:dyDescent="0.2">
      <c r="A334" s="28">
        <v>44348</v>
      </c>
      <c r="B334" s="18">
        <v>0</v>
      </c>
      <c r="C334" s="18">
        <v>0</v>
      </c>
      <c r="D334" s="18">
        <v>0</v>
      </c>
      <c r="E334" s="18">
        <v>0</v>
      </c>
      <c r="F334" s="18">
        <v>0</v>
      </c>
      <c r="G334" s="18">
        <v>0</v>
      </c>
    </row>
    <row r="335" spans="1:7" ht="11.25" customHeight="1" x14ac:dyDescent="0.2">
      <c r="A335" s="28">
        <v>44378</v>
      </c>
      <c r="B335" s="18">
        <v>0</v>
      </c>
      <c r="C335" s="18">
        <v>0</v>
      </c>
      <c r="D335" s="18">
        <v>0</v>
      </c>
      <c r="E335" s="18">
        <v>0</v>
      </c>
      <c r="F335" s="18">
        <v>0</v>
      </c>
      <c r="G335" s="18">
        <v>0</v>
      </c>
    </row>
    <row r="336" spans="1:7" ht="11.25" customHeight="1" x14ac:dyDescent="0.2">
      <c r="A336" s="28">
        <v>44409</v>
      </c>
      <c r="B336" s="18">
        <v>0</v>
      </c>
      <c r="C336" s="18">
        <v>0</v>
      </c>
      <c r="D336" s="18">
        <v>0</v>
      </c>
      <c r="E336" s="18">
        <v>0</v>
      </c>
      <c r="F336" s="18">
        <v>0</v>
      </c>
      <c r="G336" s="18">
        <v>0</v>
      </c>
    </row>
    <row r="337" spans="1:7" ht="11.25" customHeight="1" x14ac:dyDescent="0.2">
      <c r="A337" s="28">
        <v>44440</v>
      </c>
      <c r="B337" s="18">
        <v>0</v>
      </c>
      <c r="C337" s="18">
        <v>0</v>
      </c>
      <c r="D337" s="18">
        <v>0</v>
      </c>
      <c r="E337" s="18">
        <v>0</v>
      </c>
      <c r="F337" s="18">
        <v>0</v>
      </c>
      <c r="G337" s="18">
        <v>0</v>
      </c>
    </row>
    <row r="338" spans="1:7" ht="11.25" customHeight="1" x14ac:dyDescent="0.2">
      <c r="A338" s="28">
        <v>44470</v>
      </c>
      <c r="B338" s="18">
        <v>0</v>
      </c>
      <c r="C338" s="18">
        <v>0</v>
      </c>
      <c r="D338" s="18">
        <v>0</v>
      </c>
      <c r="E338" s="18">
        <v>0</v>
      </c>
      <c r="F338" s="18">
        <v>0</v>
      </c>
      <c r="G338" s="18">
        <v>0</v>
      </c>
    </row>
    <row r="339" spans="1:7" ht="11.25" customHeight="1" x14ac:dyDescent="0.2">
      <c r="A339" s="28">
        <v>44501</v>
      </c>
      <c r="B339" s="18">
        <v>0</v>
      </c>
      <c r="C339" s="18">
        <v>0</v>
      </c>
      <c r="D339" s="18">
        <v>0</v>
      </c>
      <c r="E339" s="18">
        <v>0</v>
      </c>
      <c r="F339" s="18">
        <v>0</v>
      </c>
      <c r="G339" s="18">
        <v>0</v>
      </c>
    </row>
    <row r="340" spans="1:7" ht="11.25" customHeight="1" x14ac:dyDescent="0.2">
      <c r="A340" s="28">
        <v>44531</v>
      </c>
      <c r="B340" s="18">
        <v>0</v>
      </c>
      <c r="C340" s="18">
        <v>0</v>
      </c>
      <c r="D340" s="18">
        <v>0</v>
      </c>
      <c r="E340" s="18">
        <v>0</v>
      </c>
      <c r="F340" s="18">
        <v>0</v>
      </c>
      <c r="G340" s="18">
        <v>0</v>
      </c>
    </row>
    <row r="341" spans="1:7" ht="11.25" customHeight="1" x14ac:dyDescent="0.2">
      <c r="A341" s="28">
        <v>44562</v>
      </c>
      <c r="B341" s="18">
        <v>0</v>
      </c>
      <c r="C341" s="18">
        <v>0</v>
      </c>
      <c r="D341" s="18">
        <v>0</v>
      </c>
      <c r="E341" s="18">
        <v>0</v>
      </c>
      <c r="F341" s="18">
        <v>0</v>
      </c>
      <c r="G341" s="18">
        <v>0</v>
      </c>
    </row>
    <row r="342" spans="1:7" ht="11.25" customHeight="1" x14ac:dyDescent="0.2">
      <c r="A342" s="28">
        <v>44593</v>
      </c>
      <c r="B342" s="18">
        <v>0</v>
      </c>
      <c r="C342" s="18">
        <v>0</v>
      </c>
      <c r="D342" s="18">
        <v>0</v>
      </c>
      <c r="E342" s="18">
        <v>0</v>
      </c>
      <c r="F342" s="18">
        <v>0</v>
      </c>
      <c r="G342" s="18">
        <v>0</v>
      </c>
    </row>
    <row r="343" spans="1:7" ht="11.25" customHeight="1" x14ac:dyDescent="0.2">
      <c r="A343" s="28">
        <v>44621</v>
      </c>
      <c r="B343" s="18">
        <v>0</v>
      </c>
      <c r="C343" s="18">
        <v>0</v>
      </c>
      <c r="D343" s="18">
        <v>0</v>
      </c>
      <c r="E343" s="18">
        <v>0</v>
      </c>
      <c r="F343" s="18">
        <v>0</v>
      </c>
      <c r="G343" s="18">
        <v>0</v>
      </c>
    </row>
    <row r="344" spans="1:7" ht="11.25" customHeight="1" x14ac:dyDescent="0.2">
      <c r="A344" s="28">
        <v>44652</v>
      </c>
      <c r="B344" s="18">
        <v>0</v>
      </c>
      <c r="C344" s="18">
        <v>0</v>
      </c>
      <c r="D344" s="18">
        <v>0</v>
      </c>
      <c r="E344" s="18">
        <v>0</v>
      </c>
      <c r="F344" s="18">
        <v>0</v>
      </c>
      <c r="G344" s="18">
        <v>0</v>
      </c>
    </row>
    <row r="345" spans="1:7" ht="11.25" customHeight="1" x14ac:dyDescent="0.2">
      <c r="A345" s="28">
        <v>44682</v>
      </c>
      <c r="B345" s="18">
        <v>0</v>
      </c>
      <c r="C345" s="18">
        <v>0</v>
      </c>
      <c r="D345" s="18">
        <v>0</v>
      </c>
      <c r="E345" s="18">
        <v>0</v>
      </c>
      <c r="F345" s="18">
        <v>0</v>
      </c>
      <c r="G345" s="18">
        <v>0</v>
      </c>
    </row>
    <row r="346" spans="1:7" ht="11.25" customHeight="1" x14ac:dyDescent="0.2">
      <c r="A346" s="26" t="s">
        <v>72</v>
      </c>
      <c r="B346" s="18">
        <v>1071180</v>
      </c>
      <c r="C346" s="18">
        <v>0</v>
      </c>
      <c r="D346" s="18">
        <v>1124055.2854772301</v>
      </c>
      <c r="E346" s="18">
        <v>0</v>
      </c>
      <c r="F346" s="18">
        <v>1071180</v>
      </c>
      <c r="G346" s="18">
        <v>1124055.2854772301</v>
      </c>
    </row>
    <row r="347" spans="1:7" ht="11.25" customHeight="1" x14ac:dyDescent="0.2">
      <c r="A347" s="27" t="s">
        <v>25</v>
      </c>
      <c r="B347" s="18">
        <v>1071180</v>
      </c>
      <c r="C347" s="18">
        <v>0</v>
      </c>
      <c r="D347" s="18">
        <v>1124055.2854772301</v>
      </c>
      <c r="E347" s="18">
        <v>0</v>
      </c>
      <c r="F347" s="18">
        <v>1071180</v>
      </c>
      <c r="G347" s="18">
        <v>1124055.2854772301</v>
      </c>
    </row>
    <row r="348" spans="1:7" ht="11.25" customHeight="1" x14ac:dyDescent="0.2">
      <c r="A348" s="28">
        <v>44348</v>
      </c>
      <c r="B348" s="18">
        <v>89265</v>
      </c>
      <c r="C348" s="18">
        <v>0</v>
      </c>
      <c r="D348" s="18">
        <v>93671.27378976917</v>
      </c>
      <c r="E348" s="18">
        <v>0</v>
      </c>
      <c r="F348" s="18">
        <v>89265</v>
      </c>
      <c r="G348" s="18">
        <v>93671.27378976917</v>
      </c>
    </row>
    <row r="349" spans="1:7" ht="11.25" customHeight="1" x14ac:dyDescent="0.2">
      <c r="A349" s="28">
        <v>44378</v>
      </c>
      <c r="B349" s="18">
        <v>89265</v>
      </c>
      <c r="C349" s="18">
        <v>0</v>
      </c>
      <c r="D349" s="18">
        <v>93671.27378976917</v>
      </c>
      <c r="E349" s="18">
        <v>0</v>
      </c>
      <c r="F349" s="18">
        <v>89265</v>
      </c>
      <c r="G349" s="18">
        <v>93671.27378976917</v>
      </c>
    </row>
    <row r="350" spans="1:7" ht="11.25" customHeight="1" x14ac:dyDescent="0.2">
      <c r="A350" s="28">
        <v>44409</v>
      </c>
      <c r="B350" s="18">
        <v>89265</v>
      </c>
      <c r="C350" s="18">
        <v>0</v>
      </c>
      <c r="D350" s="18">
        <v>93671.27378976917</v>
      </c>
      <c r="E350" s="18">
        <v>0</v>
      </c>
      <c r="F350" s="18">
        <v>89265</v>
      </c>
      <c r="G350" s="18">
        <v>93671.27378976917</v>
      </c>
    </row>
    <row r="351" spans="1:7" ht="11.25" customHeight="1" x14ac:dyDescent="0.2">
      <c r="A351" s="28">
        <v>44440</v>
      </c>
      <c r="B351" s="18">
        <v>89265</v>
      </c>
      <c r="C351" s="18">
        <v>0</v>
      </c>
      <c r="D351" s="18">
        <v>93671.27378976917</v>
      </c>
      <c r="E351" s="18">
        <v>0</v>
      </c>
      <c r="F351" s="18">
        <v>89265</v>
      </c>
      <c r="G351" s="18">
        <v>93671.27378976917</v>
      </c>
    </row>
    <row r="352" spans="1:7" ht="11.25" customHeight="1" x14ac:dyDescent="0.2">
      <c r="A352" s="28">
        <v>44470</v>
      </c>
      <c r="B352" s="18">
        <v>89265</v>
      </c>
      <c r="C352" s="18">
        <v>0</v>
      </c>
      <c r="D352" s="18">
        <v>93671.27378976917</v>
      </c>
      <c r="E352" s="18">
        <v>0</v>
      </c>
      <c r="F352" s="18">
        <v>89265</v>
      </c>
      <c r="G352" s="18">
        <v>93671.27378976917</v>
      </c>
    </row>
    <row r="353" spans="1:7" ht="11.25" customHeight="1" x14ac:dyDescent="0.2">
      <c r="A353" s="28">
        <v>44501</v>
      </c>
      <c r="B353" s="18">
        <v>89265</v>
      </c>
      <c r="C353" s="18">
        <v>0</v>
      </c>
      <c r="D353" s="18">
        <v>93671.27378976917</v>
      </c>
      <c r="E353" s="18">
        <v>0</v>
      </c>
      <c r="F353" s="18">
        <v>89265</v>
      </c>
      <c r="G353" s="18">
        <v>93671.27378976917</v>
      </c>
    </row>
    <row r="354" spans="1:7" ht="11.25" customHeight="1" x14ac:dyDescent="0.2">
      <c r="A354" s="28">
        <v>44531</v>
      </c>
      <c r="B354" s="18">
        <v>89265</v>
      </c>
      <c r="C354" s="18">
        <v>0</v>
      </c>
      <c r="D354" s="18">
        <v>93671.27378976917</v>
      </c>
      <c r="E354" s="18">
        <v>0</v>
      </c>
      <c r="F354" s="18">
        <v>89265</v>
      </c>
      <c r="G354" s="18">
        <v>93671.27378976917</v>
      </c>
    </row>
    <row r="355" spans="1:7" ht="11.25" customHeight="1" x14ac:dyDescent="0.2">
      <c r="A355" s="28">
        <v>44562</v>
      </c>
      <c r="B355" s="18">
        <v>89265</v>
      </c>
      <c r="C355" s="18">
        <v>0</v>
      </c>
      <c r="D355" s="18">
        <v>93671.27378976917</v>
      </c>
      <c r="E355" s="18">
        <v>0</v>
      </c>
      <c r="F355" s="18">
        <v>89265</v>
      </c>
      <c r="G355" s="18">
        <v>93671.27378976917</v>
      </c>
    </row>
    <row r="356" spans="1:7" ht="11.25" customHeight="1" x14ac:dyDescent="0.2">
      <c r="A356" s="28">
        <v>44593</v>
      </c>
      <c r="B356" s="18">
        <v>89265</v>
      </c>
      <c r="C356" s="18">
        <v>0</v>
      </c>
      <c r="D356" s="18">
        <v>93671.27378976917</v>
      </c>
      <c r="E356" s="18">
        <v>0</v>
      </c>
      <c r="F356" s="18">
        <v>89265</v>
      </c>
      <c r="G356" s="18">
        <v>93671.27378976917</v>
      </c>
    </row>
    <row r="357" spans="1:7" ht="11.25" customHeight="1" x14ac:dyDescent="0.2">
      <c r="A357" s="28">
        <v>44621</v>
      </c>
      <c r="B357" s="18">
        <v>89265</v>
      </c>
      <c r="C357" s="18">
        <v>0</v>
      </c>
      <c r="D357" s="18">
        <v>93671.27378976917</v>
      </c>
      <c r="E357" s="18">
        <v>0</v>
      </c>
      <c r="F357" s="18">
        <v>89265</v>
      </c>
      <c r="G357" s="18">
        <v>93671.27378976917</v>
      </c>
    </row>
    <row r="358" spans="1:7" ht="11.25" customHeight="1" x14ac:dyDescent="0.2">
      <c r="A358" s="28">
        <v>44652</v>
      </c>
      <c r="B358" s="18">
        <v>89265</v>
      </c>
      <c r="C358" s="18">
        <v>0</v>
      </c>
      <c r="D358" s="18">
        <v>93671.27378976917</v>
      </c>
      <c r="E358" s="18">
        <v>0</v>
      </c>
      <c r="F358" s="18">
        <v>89265</v>
      </c>
      <c r="G358" s="18">
        <v>93671.27378976917</v>
      </c>
    </row>
    <row r="359" spans="1:7" ht="11.25" customHeight="1" x14ac:dyDescent="0.2">
      <c r="A359" s="28">
        <v>44682</v>
      </c>
      <c r="B359" s="18">
        <v>89265</v>
      </c>
      <c r="C359" s="18">
        <v>0</v>
      </c>
      <c r="D359" s="18">
        <v>93671.27378976917</v>
      </c>
      <c r="E359" s="18">
        <v>0</v>
      </c>
      <c r="F359" s="18">
        <v>89265</v>
      </c>
      <c r="G359" s="18">
        <v>93671.27378976917</v>
      </c>
    </row>
    <row r="360" spans="1:7" ht="11.25" customHeight="1" x14ac:dyDescent="0.2">
      <c r="A360" s="26" t="s">
        <v>92</v>
      </c>
      <c r="B360" s="18">
        <v>244944</v>
      </c>
      <c r="C360" s="18">
        <v>0</v>
      </c>
      <c r="D360" s="18">
        <v>256768.22892688078</v>
      </c>
      <c r="E360" s="18">
        <v>0</v>
      </c>
      <c r="F360" s="18">
        <v>244944</v>
      </c>
      <c r="G360" s="18">
        <v>256768.22892688078</v>
      </c>
    </row>
    <row r="361" spans="1:7" ht="11.25" customHeight="1" x14ac:dyDescent="0.2">
      <c r="A361" s="27" t="s">
        <v>25</v>
      </c>
      <c r="B361" s="18">
        <v>244944</v>
      </c>
      <c r="C361" s="18">
        <v>0</v>
      </c>
      <c r="D361" s="18">
        <v>256768.22892688078</v>
      </c>
      <c r="E361" s="18">
        <v>0</v>
      </c>
      <c r="F361" s="18">
        <v>244944</v>
      </c>
      <c r="G361" s="18">
        <v>256768.22892688078</v>
      </c>
    </row>
    <row r="362" spans="1:7" ht="11.25" customHeight="1" x14ac:dyDescent="0.2">
      <c r="A362" s="28">
        <v>44348</v>
      </c>
      <c r="B362" s="18">
        <v>20412</v>
      </c>
      <c r="C362" s="18">
        <v>0</v>
      </c>
      <c r="D362" s="18">
        <v>21397.352410573403</v>
      </c>
      <c r="E362" s="18">
        <v>0</v>
      </c>
      <c r="F362" s="18">
        <v>20412</v>
      </c>
      <c r="G362" s="18">
        <v>21397.352410573403</v>
      </c>
    </row>
    <row r="363" spans="1:7" ht="11.25" customHeight="1" x14ac:dyDescent="0.2">
      <c r="A363" s="28">
        <v>44378</v>
      </c>
      <c r="B363" s="18">
        <v>20412</v>
      </c>
      <c r="C363" s="18">
        <v>0</v>
      </c>
      <c r="D363" s="18">
        <v>21397.352410573403</v>
      </c>
      <c r="E363" s="18">
        <v>0</v>
      </c>
      <c r="F363" s="18">
        <v>20412</v>
      </c>
      <c r="G363" s="18">
        <v>21397.352410573403</v>
      </c>
    </row>
    <row r="364" spans="1:7" ht="11.25" customHeight="1" x14ac:dyDescent="0.2">
      <c r="A364" s="28">
        <v>44409</v>
      </c>
      <c r="B364" s="18">
        <v>20412</v>
      </c>
      <c r="C364" s="18">
        <v>0</v>
      </c>
      <c r="D364" s="18">
        <v>21397.352410573403</v>
      </c>
      <c r="E364" s="18">
        <v>0</v>
      </c>
      <c r="F364" s="18">
        <v>20412</v>
      </c>
      <c r="G364" s="18">
        <v>21397.352410573403</v>
      </c>
    </row>
    <row r="365" spans="1:7" ht="11.25" customHeight="1" x14ac:dyDescent="0.2">
      <c r="A365" s="28">
        <v>44440</v>
      </c>
      <c r="B365" s="18">
        <v>20412</v>
      </c>
      <c r="C365" s="18">
        <v>0</v>
      </c>
      <c r="D365" s="18">
        <v>21397.352410573403</v>
      </c>
      <c r="E365" s="18">
        <v>0</v>
      </c>
      <c r="F365" s="18">
        <v>20412</v>
      </c>
      <c r="G365" s="18">
        <v>21397.352410573403</v>
      </c>
    </row>
    <row r="366" spans="1:7" ht="11.25" customHeight="1" x14ac:dyDescent="0.2">
      <c r="A366" s="28">
        <v>44470</v>
      </c>
      <c r="B366" s="18">
        <v>20412</v>
      </c>
      <c r="C366" s="18">
        <v>0</v>
      </c>
      <c r="D366" s="18">
        <v>21397.352410573403</v>
      </c>
      <c r="E366" s="18">
        <v>0</v>
      </c>
      <c r="F366" s="18">
        <v>20412</v>
      </c>
      <c r="G366" s="18">
        <v>21397.352410573403</v>
      </c>
    </row>
    <row r="367" spans="1:7" ht="11.25" customHeight="1" x14ac:dyDescent="0.2">
      <c r="A367" s="28">
        <v>44501</v>
      </c>
      <c r="B367" s="18">
        <v>20412</v>
      </c>
      <c r="C367" s="18">
        <v>0</v>
      </c>
      <c r="D367" s="18">
        <v>21397.352410573403</v>
      </c>
      <c r="E367" s="18">
        <v>0</v>
      </c>
      <c r="F367" s="18">
        <v>20412</v>
      </c>
      <c r="G367" s="18">
        <v>21397.352410573403</v>
      </c>
    </row>
    <row r="368" spans="1:7" ht="11.25" customHeight="1" x14ac:dyDescent="0.2">
      <c r="A368" s="28">
        <v>44531</v>
      </c>
      <c r="B368" s="18">
        <v>20412</v>
      </c>
      <c r="C368" s="18">
        <v>0</v>
      </c>
      <c r="D368" s="18">
        <v>21397.352410573403</v>
      </c>
      <c r="E368" s="18">
        <v>0</v>
      </c>
      <c r="F368" s="18">
        <v>20412</v>
      </c>
      <c r="G368" s="18">
        <v>21397.352410573403</v>
      </c>
    </row>
    <row r="369" spans="1:7" ht="11.25" customHeight="1" x14ac:dyDescent="0.2">
      <c r="A369" s="28">
        <v>44562</v>
      </c>
      <c r="B369" s="18">
        <v>20412</v>
      </c>
      <c r="C369" s="18">
        <v>0</v>
      </c>
      <c r="D369" s="18">
        <v>21397.352410573403</v>
      </c>
      <c r="E369" s="18">
        <v>0</v>
      </c>
      <c r="F369" s="18">
        <v>20412</v>
      </c>
      <c r="G369" s="18">
        <v>21397.352410573403</v>
      </c>
    </row>
    <row r="370" spans="1:7" ht="11.25" customHeight="1" x14ac:dyDescent="0.2">
      <c r="A370" s="28">
        <v>44593</v>
      </c>
      <c r="B370" s="18">
        <v>20412</v>
      </c>
      <c r="C370" s="18">
        <v>0</v>
      </c>
      <c r="D370" s="18">
        <v>21397.352410573403</v>
      </c>
      <c r="E370" s="18">
        <v>0</v>
      </c>
      <c r="F370" s="18">
        <v>20412</v>
      </c>
      <c r="G370" s="18">
        <v>21397.352410573403</v>
      </c>
    </row>
    <row r="371" spans="1:7" ht="11.25" customHeight="1" x14ac:dyDescent="0.2">
      <c r="A371" s="28">
        <v>44621</v>
      </c>
      <c r="B371" s="18">
        <v>20412</v>
      </c>
      <c r="C371" s="18">
        <v>0</v>
      </c>
      <c r="D371" s="18">
        <v>21397.352410573403</v>
      </c>
      <c r="E371" s="18">
        <v>0</v>
      </c>
      <c r="F371" s="18">
        <v>20412</v>
      </c>
      <c r="G371" s="18">
        <v>21397.352410573403</v>
      </c>
    </row>
    <row r="372" spans="1:7" ht="11.25" customHeight="1" x14ac:dyDescent="0.2">
      <c r="A372" s="28">
        <v>44652</v>
      </c>
      <c r="B372" s="18">
        <v>20412</v>
      </c>
      <c r="C372" s="18">
        <v>0</v>
      </c>
      <c r="D372" s="18">
        <v>21397.352410573403</v>
      </c>
      <c r="E372" s="18">
        <v>0</v>
      </c>
      <c r="F372" s="18">
        <v>20412</v>
      </c>
      <c r="G372" s="18">
        <v>21397.352410573403</v>
      </c>
    </row>
    <row r="373" spans="1:7" ht="11.25" customHeight="1" x14ac:dyDescent="0.2">
      <c r="A373" s="28">
        <v>44682</v>
      </c>
      <c r="B373" s="18">
        <v>20412</v>
      </c>
      <c r="C373" s="18">
        <v>0</v>
      </c>
      <c r="D373" s="18">
        <v>21397.352410573403</v>
      </c>
      <c r="E373" s="18">
        <v>0</v>
      </c>
      <c r="F373" s="18">
        <v>20412</v>
      </c>
      <c r="G373" s="18">
        <v>21397.352410573403</v>
      </c>
    </row>
    <row r="374" spans="1:7" ht="11.25" customHeight="1" x14ac:dyDescent="0.2">
      <c r="A374" s="26" t="s">
        <v>67</v>
      </c>
      <c r="B374" s="18">
        <v>718292.29907279974</v>
      </c>
      <c r="C374" s="18">
        <v>0</v>
      </c>
      <c r="D374" s="18">
        <v>752264.1621594266</v>
      </c>
      <c r="E374" s="18">
        <v>0</v>
      </c>
      <c r="F374" s="18">
        <v>718292.29907279974</v>
      </c>
      <c r="G374" s="18">
        <v>752264.1621594266</v>
      </c>
    </row>
    <row r="375" spans="1:7" ht="11.25" customHeight="1" x14ac:dyDescent="0.2">
      <c r="A375" s="27" t="s">
        <v>25</v>
      </c>
      <c r="B375" s="18">
        <v>718292.29907279974</v>
      </c>
      <c r="C375" s="18">
        <v>0</v>
      </c>
      <c r="D375" s="18">
        <v>752264.1621594266</v>
      </c>
      <c r="E375" s="18">
        <v>0</v>
      </c>
      <c r="F375" s="18">
        <v>718292.29907279974</v>
      </c>
      <c r="G375" s="18">
        <v>752264.1621594266</v>
      </c>
    </row>
    <row r="376" spans="1:7" ht="11.25" customHeight="1" x14ac:dyDescent="0.2">
      <c r="A376" s="28">
        <v>44348</v>
      </c>
      <c r="B376" s="18">
        <v>59857.691589399998</v>
      </c>
      <c r="C376" s="18">
        <v>0</v>
      </c>
      <c r="D376" s="18">
        <v>62688.680179952236</v>
      </c>
      <c r="E376" s="18">
        <v>0</v>
      </c>
      <c r="F376" s="18">
        <v>59857.691589399998</v>
      </c>
      <c r="G376" s="18">
        <v>62688.680179952236</v>
      </c>
    </row>
    <row r="377" spans="1:7" ht="11.25" customHeight="1" x14ac:dyDescent="0.2">
      <c r="A377" s="28">
        <v>44378</v>
      </c>
      <c r="B377" s="18">
        <v>59857.691589399998</v>
      </c>
      <c r="C377" s="18">
        <v>0</v>
      </c>
      <c r="D377" s="18">
        <v>62688.680179952236</v>
      </c>
      <c r="E377" s="18">
        <v>0</v>
      </c>
      <c r="F377" s="18">
        <v>59857.691589399998</v>
      </c>
      <c r="G377" s="18">
        <v>62688.680179952236</v>
      </c>
    </row>
    <row r="378" spans="1:7" ht="11.25" customHeight="1" x14ac:dyDescent="0.2">
      <c r="A378" s="28">
        <v>44409</v>
      </c>
      <c r="B378" s="18">
        <v>59857.691589399998</v>
      </c>
      <c r="C378" s="18">
        <v>0</v>
      </c>
      <c r="D378" s="18">
        <v>62688.680179952236</v>
      </c>
      <c r="E378" s="18">
        <v>0</v>
      </c>
      <c r="F378" s="18">
        <v>59857.691589399998</v>
      </c>
      <c r="G378" s="18">
        <v>62688.680179952236</v>
      </c>
    </row>
    <row r="379" spans="1:7" ht="11.25" customHeight="1" x14ac:dyDescent="0.2">
      <c r="A379" s="28">
        <v>44440</v>
      </c>
      <c r="B379" s="18">
        <v>59857.691589399998</v>
      </c>
      <c r="C379" s="18">
        <v>0</v>
      </c>
      <c r="D379" s="18">
        <v>62688.680179952236</v>
      </c>
      <c r="E379" s="18">
        <v>0</v>
      </c>
      <c r="F379" s="18">
        <v>59857.691589399998</v>
      </c>
      <c r="G379" s="18">
        <v>62688.680179952236</v>
      </c>
    </row>
    <row r="380" spans="1:7" ht="11.25" customHeight="1" x14ac:dyDescent="0.2">
      <c r="A380" s="28">
        <v>44470</v>
      </c>
      <c r="B380" s="18">
        <v>59857.691589399998</v>
      </c>
      <c r="C380" s="18">
        <v>0</v>
      </c>
      <c r="D380" s="18">
        <v>62688.680179952236</v>
      </c>
      <c r="E380" s="18">
        <v>0</v>
      </c>
      <c r="F380" s="18">
        <v>59857.691589399998</v>
      </c>
      <c r="G380" s="18">
        <v>62688.680179952236</v>
      </c>
    </row>
    <row r="381" spans="1:7" ht="11.25" customHeight="1" x14ac:dyDescent="0.2">
      <c r="A381" s="28">
        <v>44501</v>
      </c>
      <c r="B381" s="18">
        <v>59857.691589399998</v>
      </c>
      <c r="C381" s="18">
        <v>0</v>
      </c>
      <c r="D381" s="18">
        <v>62688.680179952236</v>
      </c>
      <c r="E381" s="18">
        <v>0</v>
      </c>
      <c r="F381" s="18">
        <v>59857.691589399998</v>
      </c>
      <c r="G381" s="18">
        <v>62688.680179952236</v>
      </c>
    </row>
    <row r="382" spans="1:7" ht="11.25" customHeight="1" x14ac:dyDescent="0.2">
      <c r="A382" s="28">
        <v>44531</v>
      </c>
      <c r="B382" s="18">
        <v>59857.691589399998</v>
      </c>
      <c r="C382" s="18">
        <v>0</v>
      </c>
      <c r="D382" s="18">
        <v>62688.680179952236</v>
      </c>
      <c r="E382" s="18">
        <v>0</v>
      </c>
      <c r="F382" s="18">
        <v>59857.691589399998</v>
      </c>
      <c r="G382" s="18">
        <v>62688.680179952236</v>
      </c>
    </row>
    <row r="383" spans="1:7" ht="11.25" customHeight="1" x14ac:dyDescent="0.2">
      <c r="A383" s="28">
        <v>44562</v>
      </c>
      <c r="B383" s="18">
        <v>59857.691589399998</v>
      </c>
      <c r="C383" s="18">
        <v>0</v>
      </c>
      <c r="D383" s="18">
        <v>62688.680179952236</v>
      </c>
      <c r="E383" s="18">
        <v>0</v>
      </c>
      <c r="F383" s="18">
        <v>59857.691589399998</v>
      </c>
      <c r="G383" s="18">
        <v>62688.680179952236</v>
      </c>
    </row>
    <row r="384" spans="1:7" ht="11.25" customHeight="1" x14ac:dyDescent="0.2">
      <c r="A384" s="28">
        <v>44593</v>
      </c>
      <c r="B384" s="18">
        <v>59857.691589399998</v>
      </c>
      <c r="C384" s="18">
        <v>0</v>
      </c>
      <c r="D384" s="18">
        <v>62688.680179952236</v>
      </c>
      <c r="E384" s="18">
        <v>0</v>
      </c>
      <c r="F384" s="18">
        <v>59857.691589399998</v>
      </c>
      <c r="G384" s="18">
        <v>62688.680179952236</v>
      </c>
    </row>
    <row r="385" spans="1:7" ht="11.25" customHeight="1" x14ac:dyDescent="0.2">
      <c r="A385" s="28">
        <v>44621</v>
      </c>
      <c r="B385" s="18">
        <v>59857.691589399998</v>
      </c>
      <c r="C385" s="18">
        <v>0</v>
      </c>
      <c r="D385" s="18">
        <v>62688.680179952236</v>
      </c>
      <c r="E385" s="18">
        <v>0</v>
      </c>
      <c r="F385" s="18">
        <v>59857.691589399998</v>
      </c>
      <c r="G385" s="18">
        <v>62688.680179952236</v>
      </c>
    </row>
    <row r="386" spans="1:7" ht="11.25" customHeight="1" x14ac:dyDescent="0.2">
      <c r="A386" s="28">
        <v>44652</v>
      </c>
      <c r="B386" s="18">
        <v>59857.691589399998</v>
      </c>
      <c r="C386" s="18">
        <v>0</v>
      </c>
      <c r="D386" s="18">
        <v>62688.680179952236</v>
      </c>
      <c r="E386" s="18">
        <v>0</v>
      </c>
      <c r="F386" s="18">
        <v>59857.691589399998</v>
      </c>
      <c r="G386" s="18">
        <v>62688.680179952236</v>
      </c>
    </row>
    <row r="387" spans="1:7" ht="11.25" customHeight="1" x14ac:dyDescent="0.2">
      <c r="A387" s="28">
        <v>44682</v>
      </c>
      <c r="B387" s="18">
        <v>59857.691589399998</v>
      </c>
      <c r="C387" s="18">
        <v>0</v>
      </c>
      <c r="D387" s="18">
        <v>62688.680179952236</v>
      </c>
      <c r="E387" s="18">
        <v>0</v>
      </c>
      <c r="F387" s="18">
        <v>59857.691589399998</v>
      </c>
      <c r="G387" s="18">
        <v>62688.680179952236</v>
      </c>
    </row>
    <row r="388" spans="1:7" ht="11.25" customHeight="1" x14ac:dyDescent="0.2">
      <c r="A388" s="26" t="s">
        <v>75</v>
      </c>
      <c r="B388" s="18">
        <v>0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</row>
    <row r="389" spans="1:7" ht="11.25" customHeight="1" x14ac:dyDescent="0.2">
      <c r="A389" s="27" t="s">
        <v>25</v>
      </c>
      <c r="B389" s="18">
        <v>0</v>
      </c>
      <c r="C389" s="18">
        <v>0</v>
      </c>
      <c r="D389" s="18">
        <v>0</v>
      </c>
      <c r="E389" s="18">
        <v>0</v>
      </c>
      <c r="F389" s="18">
        <v>0</v>
      </c>
      <c r="G389" s="18">
        <v>0</v>
      </c>
    </row>
    <row r="390" spans="1:7" ht="11.25" customHeight="1" x14ac:dyDescent="0.2">
      <c r="A390" s="28">
        <v>44348</v>
      </c>
      <c r="B390" s="18">
        <v>0</v>
      </c>
      <c r="C390" s="18">
        <v>0</v>
      </c>
      <c r="D390" s="18">
        <v>0</v>
      </c>
      <c r="E390" s="18">
        <v>0</v>
      </c>
      <c r="F390" s="18">
        <v>0</v>
      </c>
      <c r="G390" s="18">
        <v>0</v>
      </c>
    </row>
    <row r="391" spans="1:7" ht="11.25" customHeight="1" x14ac:dyDescent="0.2">
      <c r="A391" s="28">
        <v>44378</v>
      </c>
      <c r="B391" s="18">
        <v>0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</row>
    <row r="392" spans="1:7" ht="11.25" customHeight="1" x14ac:dyDescent="0.2">
      <c r="A392" s="28">
        <v>44409</v>
      </c>
      <c r="B392" s="18">
        <v>0</v>
      </c>
      <c r="C392" s="18">
        <v>0</v>
      </c>
      <c r="D392" s="18">
        <v>0</v>
      </c>
      <c r="E392" s="18">
        <v>0</v>
      </c>
      <c r="F392" s="18">
        <v>0</v>
      </c>
      <c r="G392" s="18">
        <v>0</v>
      </c>
    </row>
    <row r="393" spans="1:7" ht="11.25" customHeight="1" x14ac:dyDescent="0.2">
      <c r="A393" s="28">
        <v>44440</v>
      </c>
      <c r="B393" s="18">
        <v>0</v>
      </c>
      <c r="C393" s="18">
        <v>0</v>
      </c>
      <c r="D393" s="18">
        <v>0</v>
      </c>
      <c r="E393" s="18">
        <v>0</v>
      </c>
      <c r="F393" s="18">
        <v>0</v>
      </c>
      <c r="G393" s="18">
        <v>0</v>
      </c>
    </row>
    <row r="394" spans="1:7" ht="11.25" customHeight="1" x14ac:dyDescent="0.2">
      <c r="A394" s="28">
        <v>44470</v>
      </c>
      <c r="B394" s="18">
        <v>0</v>
      </c>
      <c r="C394" s="18">
        <v>0</v>
      </c>
      <c r="D394" s="18">
        <v>0</v>
      </c>
      <c r="E394" s="18">
        <v>0</v>
      </c>
      <c r="F394" s="18">
        <v>0</v>
      </c>
      <c r="G394" s="18">
        <v>0</v>
      </c>
    </row>
    <row r="395" spans="1:7" ht="11.25" customHeight="1" x14ac:dyDescent="0.2">
      <c r="A395" s="28">
        <v>44501</v>
      </c>
      <c r="B395" s="18">
        <v>0</v>
      </c>
      <c r="C395" s="18">
        <v>0</v>
      </c>
      <c r="D395" s="18">
        <v>0</v>
      </c>
      <c r="E395" s="18">
        <v>0</v>
      </c>
      <c r="F395" s="18">
        <v>0</v>
      </c>
      <c r="G395" s="18">
        <v>0</v>
      </c>
    </row>
    <row r="396" spans="1:7" ht="11.25" customHeight="1" x14ac:dyDescent="0.2">
      <c r="A396" s="28">
        <v>44531</v>
      </c>
      <c r="B396" s="18">
        <v>0</v>
      </c>
      <c r="C396" s="18">
        <v>0</v>
      </c>
      <c r="D396" s="18">
        <v>0</v>
      </c>
      <c r="E396" s="18">
        <v>0</v>
      </c>
      <c r="F396" s="18">
        <v>0</v>
      </c>
      <c r="G396" s="18">
        <v>0</v>
      </c>
    </row>
    <row r="397" spans="1:7" ht="11.25" customHeight="1" x14ac:dyDescent="0.2">
      <c r="A397" s="28">
        <v>44562</v>
      </c>
      <c r="B397" s="18">
        <v>0</v>
      </c>
      <c r="C397" s="18">
        <v>0</v>
      </c>
      <c r="D397" s="18">
        <v>0</v>
      </c>
      <c r="E397" s="18">
        <v>0</v>
      </c>
      <c r="F397" s="18">
        <v>0</v>
      </c>
      <c r="G397" s="18">
        <v>0</v>
      </c>
    </row>
    <row r="398" spans="1:7" ht="11.25" customHeight="1" x14ac:dyDescent="0.2">
      <c r="A398" s="28">
        <v>44593</v>
      </c>
      <c r="B398" s="18">
        <v>0</v>
      </c>
      <c r="C398" s="18">
        <v>0</v>
      </c>
      <c r="D398" s="18">
        <v>0</v>
      </c>
      <c r="E398" s="18">
        <v>0</v>
      </c>
      <c r="F398" s="18">
        <v>0</v>
      </c>
      <c r="G398" s="18">
        <v>0</v>
      </c>
    </row>
    <row r="399" spans="1:7" ht="11.25" customHeight="1" x14ac:dyDescent="0.2">
      <c r="A399" s="28">
        <v>44621</v>
      </c>
      <c r="B399" s="18">
        <v>0</v>
      </c>
      <c r="C399" s="18">
        <v>0</v>
      </c>
      <c r="D399" s="18">
        <v>0</v>
      </c>
      <c r="E399" s="18">
        <v>0</v>
      </c>
      <c r="F399" s="18">
        <v>0</v>
      </c>
      <c r="G399" s="18">
        <v>0</v>
      </c>
    </row>
    <row r="400" spans="1:7" ht="11.25" customHeight="1" x14ac:dyDescent="0.2">
      <c r="A400" s="28">
        <v>44652</v>
      </c>
      <c r="B400" s="18">
        <v>0</v>
      </c>
      <c r="C400" s="18">
        <v>0</v>
      </c>
      <c r="D400" s="18">
        <v>0</v>
      </c>
      <c r="E400" s="18">
        <v>0</v>
      </c>
      <c r="F400" s="18">
        <v>0</v>
      </c>
      <c r="G400" s="18">
        <v>0</v>
      </c>
    </row>
    <row r="401" spans="1:7" ht="11.25" customHeight="1" x14ac:dyDescent="0.2">
      <c r="A401" s="28">
        <v>44682</v>
      </c>
      <c r="B401" s="18">
        <v>0</v>
      </c>
      <c r="C401" s="18">
        <v>0</v>
      </c>
      <c r="D401" s="18">
        <v>0</v>
      </c>
      <c r="E401" s="18">
        <v>0</v>
      </c>
      <c r="F401" s="18">
        <v>0</v>
      </c>
      <c r="G401" s="18">
        <v>0</v>
      </c>
    </row>
    <row r="402" spans="1:7" ht="11.25" customHeight="1" x14ac:dyDescent="0.2">
      <c r="A402" s="21" t="s">
        <v>39</v>
      </c>
      <c r="B402" s="18">
        <v>10453793.280000003</v>
      </c>
      <c r="C402" s="18">
        <v>0</v>
      </c>
      <c r="D402" s="18">
        <v>12266859.865760563</v>
      </c>
      <c r="E402" s="18">
        <v>0</v>
      </c>
      <c r="F402" s="18">
        <v>10453793.280000003</v>
      </c>
      <c r="G402" s="18">
        <v>12266859.865760563</v>
      </c>
    </row>
    <row r="403" spans="1:7" ht="11.25" customHeight="1" x14ac:dyDescent="0.2">
      <c r="A403" s="22" t="s">
        <v>64</v>
      </c>
      <c r="B403" s="18">
        <v>10453793.280000003</v>
      </c>
      <c r="C403" s="18">
        <v>0</v>
      </c>
      <c r="D403" s="18">
        <v>12266859.865760563</v>
      </c>
      <c r="E403" s="18">
        <v>0</v>
      </c>
      <c r="F403" s="18">
        <v>10453793.280000003</v>
      </c>
      <c r="G403" s="18">
        <v>12266859.865760563</v>
      </c>
    </row>
    <row r="404" spans="1:7" ht="11.25" customHeight="1" x14ac:dyDescent="0.2">
      <c r="A404" s="23" t="s">
        <v>25</v>
      </c>
      <c r="B404" s="18">
        <v>10453793.280000003</v>
      </c>
      <c r="C404" s="18">
        <v>0</v>
      </c>
      <c r="D404" s="18">
        <v>12266859.865760563</v>
      </c>
      <c r="E404" s="18">
        <v>0</v>
      </c>
      <c r="F404" s="18">
        <v>10453793.280000003</v>
      </c>
      <c r="G404" s="18">
        <v>12266859.865760563</v>
      </c>
    </row>
    <row r="405" spans="1:7" ht="11.25" customHeight="1" x14ac:dyDescent="0.2">
      <c r="A405" s="24" t="s">
        <v>25</v>
      </c>
      <c r="B405" s="18">
        <v>10453793.280000003</v>
      </c>
      <c r="C405" s="18">
        <v>0</v>
      </c>
      <c r="D405" s="18">
        <v>12266859.865760563</v>
      </c>
      <c r="E405" s="18">
        <v>0</v>
      </c>
      <c r="F405" s="18">
        <v>10453793.280000003</v>
      </c>
      <c r="G405" s="18">
        <v>12266859.865760563</v>
      </c>
    </row>
    <row r="406" spans="1:7" ht="11.25" customHeight="1" x14ac:dyDescent="0.2">
      <c r="A406" s="25" t="s">
        <v>25</v>
      </c>
      <c r="B406" s="18">
        <v>10453793.280000003</v>
      </c>
      <c r="C406" s="18">
        <v>0</v>
      </c>
      <c r="D406" s="18">
        <v>12266859.865760563</v>
      </c>
      <c r="E406" s="18">
        <v>0</v>
      </c>
      <c r="F406" s="18">
        <v>10453793.280000003</v>
      </c>
      <c r="G406" s="18">
        <v>12266859.865760563</v>
      </c>
    </row>
    <row r="407" spans="1:7" ht="11.25" customHeight="1" x14ac:dyDescent="0.2">
      <c r="A407" s="26" t="s">
        <v>85</v>
      </c>
      <c r="B407" s="18">
        <v>2064384.0000000002</v>
      </c>
      <c r="C407" s="18">
        <v>0</v>
      </c>
      <c r="D407" s="18">
        <v>2422422.9960206593</v>
      </c>
      <c r="E407" s="18">
        <v>0</v>
      </c>
      <c r="F407" s="18">
        <v>2064384.0000000002</v>
      </c>
      <c r="G407" s="18">
        <v>2422422.9960206593</v>
      </c>
    </row>
    <row r="408" spans="1:7" ht="11.25" customHeight="1" x14ac:dyDescent="0.2">
      <c r="A408" s="27" t="s">
        <v>25</v>
      </c>
      <c r="B408" s="18">
        <v>2064384.0000000002</v>
      </c>
      <c r="C408" s="18">
        <v>0</v>
      </c>
      <c r="D408" s="18">
        <v>2422422.9960206593</v>
      </c>
      <c r="E408" s="18">
        <v>0</v>
      </c>
      <c r="F408" s="18">
        <v>2064384.0000000002</v>
      </c>
      <c r="G408" s="18">
        <v>2422422.9960206593</v>
      </c>
    </row>
    <row r="409" spans="1:7" ht="11.25" customHeight="1" x14ac:dyDescent="0.2">
      <c r="A409" s="28">
        <v>44348</v>
      </c>
      <c r="B409" s="18">
        <v>172032.00000000003</v>
      </c>
      <c r="C409" s="18">
        <v>0</v>
      </c>
      <c r="D409" s="18">
        <v>201868.58300172159</v>
      </c>
      <c r="E409" s="18">
        <v>0</v>
      </c>
      <c r="F409" s="18">
        <v>172032.00000000003</v>
      </c>
      <c r="G409" s="18">
        <v>201868.58300172159</v>
      </c>
    </row>
    <row r="410" spans="1:7" ht="11.25" customHeight="1" x14ac:dyDescent="0.2">
      <c r="A410" s="28">
        <v>44378</v>
      </c>
      <c r="B410" s="18">
        <v>172032.00000000003</v>
      </c>
      <c r="C410" s="18">
        <v>0</v>
      </c>
      <c r="D410" s="18">
        <v>201868.58300172159</v>
      </c>
      <c r="E410" s="18">
        <v>0</v>
      </c>
      <c r="F410" s="18">
        <v>172032.00000000003</v>
      </c>
      <c r="G410" s="18">
        <v>201868.58300172159</v>
      </c>
    </row>
    <row r="411" spans="1:7" ht="11.25" customHeight="1" x14ac:dyDescent="0.2">
      <c r="A411" s="28">
        <v>44409</v>
      </c>
      <c r="B411" s="18">
        <v>172032.00000000003</v>
      </c>
      <c r="C411" s="18">
        <v>0</v>
      </c>
      <c r="D411" s="18">
        <v>201868.58300172159</v>
      </c>
      <c r="E411" s="18">
        <v>0</v>
      </c>
      <c r="F411" s="18">
        <v>172032.00000000003</v>
      </c>
      <c r="G411" s="18">
        <v>201868.58300172159</v>
      </c>
    </row>
    <row r="412" spans="1:7" ht="11.25" customHeight="1" x14ac:dyDescent="0.2">
      <c r="A412" s="28">
        <v>44440</v>
      </c>
      <c r="B412" s="18">
        <v>172032.00000000003</v>
      </c>
      <c r="C412" s="18">
        <v>0</v>
      </c>
      <c r="D412" s="18">
        <v>201868.58300172159</v>
      </c>
      <c r="E412" s="18">
        <v>0</v>
      </c>
      <c r="F412" s="18">
        <v>172032.00000000003</v>
      </c>
      <c r="G412" s="18">
        <v>201868.58300172159</v>
      </c>
    </row>
    <row r="413" spans="1:7" ht="11.25" customHeight="1" x14ac:dyDescent="0.2">
      <c r="A413" s="28">
        <v>44470</v>
      </c>
      <c r="B413" s="18">
        <v>172032.00000000003</v>
      </c>
      <c r="C413" s="18">
        <v>0</v>
      </c>
      <c r="D413" s="18">
        <v>201868.58300172159</v>
      </c>
      <c r="E413" s="18">
        <v>0</v>
      </c>
      <c r="F413" s="18">
        <v>172032.00000000003</v>
      </c>
      <c r="G413" s="18">
        <v>201868.58300172159</v>
      </c>
    </row>
    <row r="414" spans="1:7" ht="11.25" customHeight="1" x14ac:dyDescent="0.2">
      <c r="A414" s="28">
        <v>44501</v>
      </c>
      <c r="B414" s="18">
        <v>172032.00000000003</v>
      </c>
      <c r="C414" s="18">
        <v>0</v>
      </c>
      <c r="D414" s="18">
        <v>201868.58300172159</v>
      </c>
      <c r="E414" s="18">
        <v>0</v>
      </c>
      <c r="F414" s="18">
        <v>172032.00000000003</v>
      </c>
      <c r="G414" s="18">
        <v>201868.58300172159</v>
      </c>
    </row>
    <row r="415" spans="1:7" ht="11.25" customHeight="1" x14ac:dyDescent="0.2">
      <c r="A415" s="28">
        <v>44531</v>
      </c>
      <c r="B415" s="18">
        <v>172032.00000000003</v>
      </c>
      <c r="C415" s="18">
        <v>0</v>
      </c>
      <c r="D415" s="18">
        <v>201868.58300172159</v>
      </c>
      <c r="E415" s="18">
        <v>0</v>
      </c>
      <c r="F415" s="18">
        <v>172032.00000000003</v>
      </c>
      <c r="G415" s="18">
        <v>201868.58300172159</v>
      </c>
    </row>
    <row r="416" spans="1:7" ht="11.25" customHeight="1" x14ac:dyDescent="0.2">
      <c r="A416" s="28">
        <v>44562</v>
      </c>
      <c r="B416" s="18">
        <v>172032.00000000003</v>
      </c>
      <c r="C416" s="18">
        <v>0</v>
      </c>
      <c r="D416" s="18">
        <v>201868.58300172159</v>
      </c>
      <c r="E416" s="18">
        <v>0</v>
      </c>
      <c r="F416" s="18">
        <v>172032.00000000003</v>
      </c>
      <c r="G416" s="18">
        <v>201868.58300172159</v>
      </c>
    </row>
    <row r="417" spans="1:7" ht="11.25" customHeight="1" x14ac:dyDescent="0.2">
      <c r="A417" s="28">
        <v>44593</v>
      </c>
      <c r="B417" s="18">
        <v>172032.00000000003</v>
      </c>
      <c r="C417" s="18">
        <v>0</v>
      </c>
      <c r="D417" s="18">
        <v>201868.58300172159</v>
      </c>
      <c r="E417" s="18">
        <v>0</v>
      </c>
      <c r="F417" s="18">
        <v>172032.00000000003</v>
      </c>
      <c r="G417" s="18">
        <v>201868.58300172159</v>
      </c>
    </row>
    <row r="418" spans="1:7" ht="11.25" customHeight="1" x14ac:dyDescent="0.2">
      <c r="A418" s="28">
        <v>44621</v>
      </c>
      <c r="B418" s="18">
        <v>172032.00000000003</v>
      </c>
      <c r="C418" s="18">
        <v>0</v>
      </c>
      <c r="D418" s="18">
        <v>201868.58300172159</v>
      </c>
      <c r="E418" s="18">
        <v>0</v>
      </c>
      <c r="F418" s="18">
        <v>172032.00000000003</v>
      </c>
      <c r="G418" s="18">
        <v>201868.58300172159</v>
      </c>
    </row>
    <row r="419" spans="1:7" ht="11.25" customHeight="1" x14ac:dyDescent="0.2">
      <c r="A419" s="28">
        <v>44652</v>
      </c>
      <c r="B419" s="18">
        <v>172032.00000000003</v>
      </c>
      <c r="C419" s="18">
        <v>0</v>
      </c>
      <c r="D419" s="18">
        <v>201868.58300172159</v>
      </c>
      <c r="E419" s="18">
        <v>0</v>
      </c>
      <c r="F419" s="18">
        <v>172032.00000000003</v>
      </c>
      <c r="G419" s="18">
        <v>201868.58300172159</v>
      </c>
    </row>
    <row r="420" spans="1:7" ht="11.25" customHeight="1" x14ac:dyDescent="0.2">
      <c r="A420" s="28">
        <v>44682</v>
      </c>
      <c r="B420" s="18">
        <v>172032.00000000003</v>
      </c>
      <c r="C420" s="18">
        <v>0</v>
      </c>
      <c r="D420" s="18">
        <v>201868.58300172159</v>
      </c>
      <c r="E420" s="18">
        <v>0</v>
      </c>
      <c r="F420" s="18">
        <v>172032.00000000003</v>
      </c>
      <c r="G420" s="18">
        <v>201868.58300172159</v>
      </c>
    </row>
    <row r="421" spans="1:7" ht="11.25" customHeight="1" x14ac:dyDescent="0.2">
      <c r="A421" s="26" t="s">
        <v>71</v>
      </c>
      <c r="B421" s="18">
        <v>1475873.2799999998</v>
      </c>
      <c r="C421" s="18">
        <v>0</v>
      </c>
      <c r="D421" s="18">
        <v>1731843.1903582069</v>
      </c>
      <c r="E421" s="18">
        <v>0</v>
      </c>
      <c r="F421" s="18">
        <v>1475873.2799999998</v>
      </c>
      <c r="G421" s="18">
        <v>1731843.1903582069</v>
      </c>
    </row>
    <row r="422" spans="1:7" ht="11.25" customHeight="1" x14ac:dyDescent="0.2">
      <c r="A422" s="27" t="s">
        <v>25</v>
      </c>
      <c r="B422" s="18">
        <v>1475873.2799999998</v>
      </c>
      <c r="C422" s="18">
        <v>0</v>
      </c>
      <c r="D422" s="18">
        <v>1731843.1903582069</v>
      </c>
      <c r="E422" s="18">
        <v>0</v>
      </c>
      <c r="F422" s="18">
        <v>1475873.2799999998</v>
      </c>
      <c r="G422" s="18">
        <v>1731843.1903582069</v>
      </c>
    </row>
    <row r="423" spans="1:7" ht="11.25" customHeight="1" x14ac:dyDescent="0.2">
      <c r="A423" s="28">
        <v>44348</v>
      </c>
      <c r="B423" s="18">
        <v>122931.20000000001</v>
      </c>
      <c r="C423" s="18">
        <v>0</v>
      </c>
      <c r="D423" s="18">
        <v>144251.92493664689</v>
      </c>
      <c r="E423" s="18">
        <v>0</v>
      </c>
      <c r="F423" s="18">
        <v>122931.20000000001</v>
      </c>
      <c r="G423" s="18">
        <v>144251.92493664689</v>
      </c>
    </row>
    <row r="424" spans="1:7" ht="11.25" customHeight="1" x14ac:dyDescent="0.2">
      <c r="A424" s="28">
        <v>44378</v>
      </c>
      <c r="B424" s="18">
        <v>122931.20000000001</v>
      </c>
      <c r="C424" s="18">
        <v>0</v>
      </c>
      <c r="D424" s="18">
        <v>144251.92493664689</v>
      </c>
      <c r="E424" s="18">
        <v>0</v>
      </c>
      <c r="F424" s="18">
        <v>122931.20000000001</v>
      </c>
      <c r="G424" s="18">
        <v>144251.92493664689</v>
      </c>
    </row>
    <row r="425" spans="1:7" ht="11.25" customHeight="1" x14ac:dyDescent="0.2">
      <c r="A425" s="28">
        <v>44409</v>
      </c>
      <c r="B425" s="18">
        <v>122931.20000000001</v>
      </c>
      <c r="C425" s="18">
        <v>0</v>
      </c>
      <c r="D425" s="18">
        <v>144251.92493664689</v>
      </c>
      <c r="E425" s="18">
        <v>0</v>
      </c>
      <c r="F425" s="18">
        <v>122931.20000000001</v>
      </c>
      <c r="G425" s="18">
        <v>144251.92493664689</v>
      </c>
    </row>
    <row r="426" spans="1:7" ht="11.25" customHeight="1" x14ac:dyDescent="0.2">
      <c r="A426" s="28">
        <v>44440</v>
      </c>
      <c r="B426" s="18">
        <v>122931.20000000001</v>
      </c>
      <c r="C426" s="18">
        <v>0</v>
      </c>
      <c r="D426" s="18">
        <v>144251.92493664689</v>
      </c>
      <c r="E426" s="18">
        <v>0</v>
      </c>
      <c r="F426" s="18">
        <v>122931.20000000001</v>
      </c>
      <c r="G426" s="18">
        <v>144251.92493664689</v>
      </c>
    </row>
    <row r="427" spans="1:7" ht="11.25" customHeight="1" x14ac:dyDescent="0.2">
      <c r="A427" s="28">
        <v>44470</v>
      </c>
      <c r="B427" s="18">
        <v>122931.20000000001</v>
      </c>
      <c r="C427" s="18">
        <v>0</v>
      </c>
      <c r="D427" s="18">
        <v>144251.92493664689</v>
      </c>
      <c r="E427" s="18">
        <v>0</v>
      </c>
      <c r="F427" s="18">
        <v>122931.20000000001</v>
      </c>
      <c r="G427" s="18">
        <v>144251.92493664689</v>
      </c>
    </row>
    <row r="428" spans="1:7" ht="11.25" customHeight="1" x14ac:dyDescent="0.2">
      <c r="A428" s="28">
        <v>44501</v>
      </c>
      <c r="B428" s="18">
        <v>122931.20000000001</v>
      </c>
      <c r="C428" s="18">
        <v>0</v>
      </c>
      <c r="D428" s="18">
        <v>144251.92493664689</v>
      </c>
      <c r="E428" s="18">
        <v>0</v>
      </c>
      <c r="F428" s="18">
        <v>122931.20000000001</v>
      </c>
      <c r="G428" s="18">
        <v>144251.92493664689</v>
      </c>
    </row>
    <row r="429" spans="1:7" ht="11.25" customHeight="1" x14ac:dyDescent="0.2">
      <c r="A429" s="28">
        <v>44531</v>
      </c>
      <c r="B429" s="18">
        <v>122931.20000000001</v>
      </c>
      <c r="C429" s="18">
        <v>0</v>
      </c>
      <c r="D429" s="18">
        <v>144251.92493664689</v>
      </c>
      <c r="E429" s="18">
        <v>0</v>
      </c>
      <c r="F429" s="18">
        <v>122931.20000000001</v>
      </c>
      <c r="G429" s="18">
        <v>144251.92493664689</v>
      </c>
    </row>
    <row r="430" spans="1:7" ht="11.25" customHeight="1" x14ac:dyDescent="0.2">
      <c r="A430" s="28">
        <v>44562</v>
      </c>
      <c r="B430" s="18">
        <v>122931.20000000001</v>
      </c>
      <c r="C430" s="18">
        <v>0</v>
      </c>
      <c r="D430" s="18">
        <v>144251.92493664689</v>
      </c>
      <c r="E430" s="18">
        <v>0</v>
      </c>
      <c r="F430" s="18">
        <v>122931.20000000001</v>
      </c>
      <c r="G430" s="18">
        <v>144251.92493664689</v>
      </c>
    </row>
    <row r="431" spans="1:7" ht="11.25" customHeight="1" x14ac:dyDescent="0.2">
      <c r="A431" s="28">
        <v>44593</v>
      </c>
      <c r="B431" s="18">
        <v>122931.20000000001</v>
      </c>
      <c r="C431" s="18">
        <v>0</v>
      </c>
      <c r="D431" s="18">
        <v>144251.92493664689</v>
      </c>
      <c r="E431" s="18">
        <v>0</v>
      </c>
      <c r="F431" s="18">
        <v>122931.20000000001</v>
      </c>
      <c r="G431" s="18">
        <v>144251.92493664689</v>
      </c>
    </row>
    <row r="432" spans="1:7" ht="11.25" customHeight="1" x14ac:dyDescent="0.2">
      <c r="A432" s="28">
        <v>44621</v>
      </c>
      <c r="B432" s="18">
        <v>122931.20000000001</v>
      </c>
      <c r="C432" s="18">
        <v>0</v>
      </c>
      <c r="D432" s="18">
        <v>144251.92493664689</v>
      </c>
      <c r="E432" s="18">
        <v>0</v>
      </c>
      <c r="F432" s="18">
        <v>122931.20000000001</v>
      </c>
      <c r="G432" s="18">
        <v>144251.92493664689</v>
      </c>
    </row>
    <row r="433" spans="1:7" ht="11.25" customHeight="1" x14ac:dyDescent="0.2">
      <c r="A433" s="28">
        <v>44652</v>
      </c>
      <c r="B433" s="18">
        <v>123280.64000000001</v>
      </c>
      <c r="C433" s="18">
        <v>0</v>
      </c>
      <c r="D433" s="18">
        <v>144661.97049586914</v>
      </c>
      <c r="E433" s="18">
        <v>0</v>
      </c>
      <c r="F433" s="18">
        <v>123280.64000000001</v>
      </c>
      <c r="G433" s="18">
        <v>144661.97049586914</v>
      </c>
    </row>
    <row r="434" spans="1:7" ht="11.25" customHeight="1" x14ac:dyDescent="0.2">
      <c r="A434" s="28">
        <v>44682</v>
      </c>
      <c r="B434" s="18">
        <v>123280.64000000001</v>
      </c>
      <c r="C434" s="18">
        <v>0</v>
      </c>
      <c r="D434" s="18">
        <v>144661.97049586914</v>
      </c>
      <c r="E434" s="18">
        <v>0</v>
      </c>
      <c r="F434" s="18">
        <v>123280.64000000001</v>
      </c>
      <c r="G434" s="18">
        <v>144661.97049586914</v>
      </c>
    </row>
    <row r="435" spans="1:7" ht="11.25" customHeight="1" x14ac:dyDescent="0.2">
      <c r="A435" s="26" t="s">
        <v>88</v>
      </c>
      <c r="B435" s="18">
        <v>2096640.0000000002</v>
      </c>
      <c r="C435" s="18">
        <v>0</v>
      </c>
      <c r="D435" s="18">
        <v>2460273.3553334819</v>
      </c>
      <c r="E435" s="18">
        <v>0</v>
      </c>
      <c r="F435" s="18">
        <v>2096640.0000000002</v>
      </c>
      <c r="G435" s="18">
        <v>2460273.3553334819</v>
      </c>
    </row>
    <row r="436" spans="1:7" ht="11.25" customHeight="1" x14ac:dyDescent="0.2">
      <c r="A436" s="27" t="s">
        <v>25</v>
      </c>
      <c r="B436" s="18">
        <v>2096640.0000000002</v>
      </c>
      <c r="C436" s="18">
        <v>0</v>
      </c>
      <c r="D436" s="18">
        <v>2460273.3553334819</v>
      </c>
      <c r="E436" s="18">
        <v>0</v>
      </c>
      <c r="F436" s="18">
        <v>2096640.0000000002</v>
      </c>
      <c r="G436" s="18">
        <v>2460273.3553334819</v>
      </c>
    </row>
    <row r="437" spans="1:7" ht="11.25" customHeight="1" x14ac:dyDescent="0.2">
      <c r="A437" s="28">
        <v>44348</v>
      </c>
      <c r="B437" s="18">
        <v>174720.00000000003</v>
      </c>
      <c r="C437" s="18">
        <v>0</v>
      </c>
      <c r="D437" s="18">
        <v>205022.77961112349</v>
      </c>
      <c r="E437" s="18">
        <v>0</v>
      </c>
      <c r="F437" s="18">
        <v>174720.00000000003</v>
      </c>
      <c r="G437" s="18">
        <v>205022.77961112349</v>
      </c>
    </row>
    <row r="438" spans="1:7" ht="11.25" customHeight="1" x14ac:dyDescent="0.2">
      <c r="A438" s="28">
        <v>44378</v>
      </c>
      <c r="B438" s="18">
        <v>174720.00000000003</v>
      </c>
      <c r="C438" s="18">
        <v>0</v>
      </c>
      <c r="D438" s="18">
        <v>205022.77961112349</v>
      </c>
      <c r="E438" s="18">
        <v>0</v>
      </c>
      <c r="F438" s="18">
        <v>174720.00000000003</v>
      </c>
      <c r="G438" s="18">
        <v>205022.77961112349</v>
      </c>
    </row>
    <row r="439" spans="1:7" ht="11.25" customHeight="1" x14ac:dyDescent="0.2">
      <c r="A439" s="28">
        <v>44409</v>
      </c>
      <c r="B439" s="18">
        <v>174720.00000000003</v>
      </c>
      <c r="C439" s="18">
        <v>0</v>
      </c>
      <c r="D439" s="18">
        <v>205022.77961112349</v>
      </c>
      <c r="E439" s="18">
        <v>0</v>
      </c>
      <c r="F439" s="18">
        <v>174720.00000000003</v>
      </c>
      <c r="G439" s="18">
        <v>205022.77961112349</v>
      </c>
    </row>
    <row r="440" spans="1:7" ht="11.25" customHeight="1" x14ac:dyDescent="0.2">
      <c r="A440" s="28">
        <v>44440</v>
      </c>
      <c r="B440" s="18">
        <v>174720.00000000003</v>
      </c>
      <c r="C440" s="18">
        <v>0</v>
      </c>
      <c r="D440" s="18">
        <v>205022.77961112349</v>
      </c>
      <c r="E440" s="18">
        <v>0</v>
      </c>
      <c r="F440" s="18">
        <v>174720.00000000003</v>
      </c>
      <c r="G440" s="18">
        <v>205022.77961112349</v>
      </c>
    </row>
    <row r="441" spans="1:7" ht="11.25" customHeight="1" x14ac:dyDescent="0.2">
      <c r="A441" s="28">
        <v>44470</v>
      </c>
      <c r="B441" s="18">
        <v>174720.00000000003</v>
      </c>
      <c r="C441" s="18">
        <v>0</v>
      </c>
      <c r="D441" s="18">
        <v>205022.77961112349</v>
      </c>
      <c r="E441" s="18">
        <v>0</v>
      </c>
      <c r="F441" s="18">
        <v>174720.00000000003</v>
      </c>
      <c r="G441" s="18">
        <v>205022.77961112349</v>
      </c>
    </row>
    <row r="442" spans="1:7" ht="11.25" customHeight="1" x14ac:dyDescent="0.2">
      <c r="A442" s="28">
        <v>44501</v>
      </c>
      <c r="B442" s="18">
        <v>174720.00000000003</v>
      </c>
      <c r="C442" s="18">
        <v>0</v>
      </c>
      <c r="D442" s="18">
        <v>205022.77961112349</v>
      </c>
      <c r="E442" s="18">
        <v>0</v>
      </c>
      <c r="F442" s="18">
        <v>174720.00000000003</v>
      </c>
      <c r="G442" s="18">
        <v>205022.77961112349</v>
      </c>
    </row>
    <row r="443" spans="1:7" ht="11.25" customHeight="1" x14ac:dyDescent="0.2">
      <c r="A443" s="28">
        <v>44531</v>
      </c>
      <c r="B443" s="18">
        <v>174720.00000000003</v>
      </c>
      <c r="C443" s="18">
        <v>0</v>
      </c>
      <c r="D443" s="18">
        <v>205022.77961112349</v>
      </c>
      <c r="E443" s="18">
        <v>0</v>
      </c>
      <c r="F443" s="18">
        <v>174720.00000000003</v>
      </c>
      <c r="G443" s="18">
        <v>205022.77961112349</v>
      </c>
    </row>
    <row r="444" spans="1:7" ht="11.25" customHeight="1" x14ac:dyDescent="0.2">
      <c r="A444" s="28">
        <v>44562</v>
      </c>
      <c r="B444" s="18">
        <v>174720.00000000003</v>
      </c>
      <c r="C444" s="18">
        <v>0</v>
      </c>
      <c r="D444" s="18">
        <v>205022.77961112349</v>
      </c>
      <c r="E444" s="18">
        <v>0</v>
      </c>
      <c r="F444" s="18">
        <v>174720.00000000003</v>
      </c>
      <c r="G444" s="18">
        <v>205022.77961112349</v>
      </c>
    </row>
    <row r="445" spans="1:7" ht="11.25" customHeight="1" x14ac:dyDescent="0.2">
      <c r="A445" s="28">
        <v>44593</v>
      </c>
      <c r="B445" s="18">
        <v>174720.00000000003</v>
      </c>
      <c r="C445" s="18">
        <v>0</v>
      </c>
      <c r="D445" s="18">
        <v>205022.77961112349</v>
      </c>
      <c r="E445" s="18">
        <v>0</v>
      </c>
      <c r="F445" s="18">
        <v>174720.00000000003</v>
      </c>
      <c r="G445" s="18">
        <v>205022.77961112349</v>
      </c>
    </row>
    <row r="446" spans="1:7" ht="11.25" customHeight="1" x14ac:dyDescent="0.2">
      <c r="A446" s="28">
        <v>44621</v>
      </c>
      <c r="B446" s="18">
        <v>174720.00000000003</v>
      </c>
      <c r="C446" s="18">
        <v>0</v>
      </c>
      <c r="D446" s="18">
        <v>205022.77961112349</v>
      </c>
      <c r="E446" s="18">
        <v>0</v>
      </c>
      <c r="F446" s="18">
        <v>174720.00000000003</v>
      </c>
      <c r="G446" s="18">
        <v>205022.77961112349</v>
      </c>
    </row>
    <row r="447" spans="1:7" ht="11.25" customHeight="1" x14ac:dyDescent="0.2">
      <c r="A447" s="28">
        <v>44652</v>
      </c>
      <c r="B447" s="18">
        <v>174720.00000000003</v>
      </c>
      <c r="C447" s="18">
        <v>0</v>
      </c>
      <c r="D447" s="18">
        <v>205022.77961112349</v>
      </c>
      <c r="E447" s="18">
        <v>0</v>
      </c>
      <c r="F447" s="18">
        <v>174720.00000000003</v>
      </c>
      <c r="G447" s="18">
        <v>205022.77961112349</v>
      </c>
    </row>
    <row r="448" spans="1:7" ht="11.25" customHeight="1" x14ac:dyDescent="0.2">
      <c r="A448" s="28">
        <v>44682</v>
      </c>
      <c r="B448" s="18">
        <v>174720.00000000003</v>
      </c>
      <c r="C448" s="18">
        <v>0</v>
      </c>
      <c r="D448" s="18">
        <v>205022.77961112349</v>
      </c>
      <c r="E448" s="18">
        <v>0</v>
      </c>
      <c r="F448" s="18">
        <v>174720.00000000003</v>
      </c>
      <c r="G448" s="18">
        <v>205022.77961112349</v>
      </c>
    </row>
    <row r="449" spans="1:7" ht="11.25" customHeight="1" x14ac:dyDescent="0.2">
      <c r="A449" s="26" t="s">
        <v>91</v>
      </c>
      <c r="B449" s="18">
        <v>4816896.0000000009</v>
      </c>
      <c r="C449" s="18">
        <v>0</v>
      </c>
      <c r="D449" s="18">
        <v>5652320.3240482034</v>
      </c>
      <c r="E449" s="18">
        <v>0</v>
      </c>
      <c r="F449" s="18">
        <v>4816896.0000000009</v>
      </c>
      <c r="G449" s="18">
        <v>5652320.3240482034</v>
      </c>
    </row>
    <row r="450" spans="1:7" ht="11.25" customHeight="1" x14ac:dyDescent="0.2">
      <c r="A450" s="27" t="s">
        <v>25</v>
      </c>
      <c r="B450" s="18">
        <v>4816896.0000000009</v>
      </c>
      <c r="C450" s="18">
        <v>0</v>
      </c>
      <c r="D450" s="18">
        <v>5652320.3240482034</v>
      </c>
      <c r="E450" s="18">
        <v>0</v>
      </c>
      <c r="F450" s="18">
        <v>4816896.0000000009</v>
      </c>
      <c r="G450" s="18">
        <v>5652320.3240482034</v>
      </c>
    </row>
    <row r="451" spans="1:7" ht="11.25" customHeight="1" x14ac:dyDescent="0.2">
      <c r="A451" s="28">
        <v>44348</v>
      </c>
      <c r="B451" s="18">
        <v>401408.00000000006</v>
      </c>
      <c r="C451" s="18">
        <v>0</v>
      </c>
      <c r="D451" s="18">
        <v>471026.69367068372</v>
      </c>
      <c r="E451" s="18">
        <v>0</v>
      </c>
      <c r="F451" s="18">
        <v>401408.00000000006</v>
      </c>
      <c r="G451" s="18">
        <v>471026.69367068372</v>
      </c>
    </row>
    <row r="452" spans="1:7" ht="11.25" customHeight="1" x14ac:dyDescent="0.2">
      <c r="A452" s="28">
        <v>44378</v>
      </c>
      <c r="B452" s="18">
        <v>401408.00000000006</v>
      </c>
      <c r="C452" s="18">
        <v>0</v>
      </c>
      <c r="D452" s="18">
        <v>471026.69367068372</v>
      </c>
      <c r="E452" s="18">
        <v>0</v>
      </c>
      <c r="F452" s="18">
        <v>401408.00000000006</v>
      </c>
      <c r="G452" s="18">
        <v>471026.69367068372</v>
      </c>
    </row>
    <row r="453" spans="1:7" ht="11.25" customHeight="1" x14ac:dyDescent="0.2">
      <c r="A453" s="28">
        <v>44409</v>
      </c>
      <c r="B453" s="18">
        <v>401408.00000000006</v>
      </c>
      <c r="C453" s="18">
        <v>0</v>
      </c>
      <c r="D453" s="18">
        <v>471026.69367068372</v>
      </c>
      <c r="E453" s="18">
        <v>0</v>
      </c>
      <c r="F453" s="18">
        <v>401408.00000000006</v>
      </c>
      <c r="G453" s="18">
        <v>471026.69367068372</v>
      </c>
    </row>
    <row r="454" spans="1:7" ht="11.25" customHeight="1" x14ac:dyDescent="0.2">
      <c r="A454" s="28">
        <v>44440</v>
      </c>
      <c r="B454" s="18">
        <v>401408.00000000006</v>
      </c>
      <c r="C454" s="18">
        <v>0</v>
      </c>
      <c r="D454" s="18">
        <v>471026.69367068372</v>
      </c>
      <c r="E454" s="18">
        <v>0</v>
      </c>
      <c r="F454" s="18">
        <v>401408.00000000006</v>
      </c>
      <c r="G454" s="18">
        <v>471026.69367068372</v>
      </c>
    </row>
    <row r="455" spans="1:7" ht="11.25" customHeight="1" x14ac:dyDescent="0.2">
      <c r="A455" s="28">
        <v>44470</v>
      </c>
      <c r="B455" s="18">
        <v>401408.00000000006</v>
      </c>
      <c r="C455" s="18">
        <v>0</v>
      </c>
      <c r="D455" s="18">
        <v>471026.69367068372</v>
      </c>
      <c r="E455" s="18">
        <v>0</v>
      </c>
      <c r="F455" s="18">
        <v>401408.00000000006</v>
      </c>
      <c r="G455" s="18">
        <v>471026.69367068372</v>
      </c>
    </row>
    <row r="456" spans="1:7" ht="11.25" customHeight="1" x14ac:dyDescent="0.2">
      <c r="A456" s="28">
        <v>44501</v>
      </c>
      <c r="B456" s="18">
        <v>401408.00000000006</v>
      </c>
      <c r="C456" s="18">
        <v>0</v>
      </c>
      <c r="D456" s="18">
        <v>471026.69367068372</v>
      </c>
      <c r="E456" s="18">
        <v>0</v>
      </c>
      <c r="F456" s="18">
        <v>401408.00000000006</v>
      </c>
      <c r="G456" s="18">
        <v>471026.69367068372</v>
      </c>
    </row>
    <row r="457" spans="1:7" ht="11.25" customHeight="1" x14ac:dyDescent="0.2">
      <c r="A457" s="28">
        <v>44531</v>
      </c>
      <c r="B457" s="18">
        <v>401408.00000000006</v>
      </c>
      <c r="C457" s="18">
        <v>0</v>
      </c>
      <c r="D457" s="18">
        <v>471026.69367068372</v>
      </c>
      <c r="E457" s="18">
        <v>0</v>
      </c>
      <c r="F457" s="18">
        <v>401408.00000000006</v>
      </c>
      <c r="G457" s="18">
        <v>471026.69367068372</v>
      </c>
    </row>
    <row r="458" spans="1:7" ht="11.25" customHeight="1" x14ac:dyDescent="0.2">
      <c r="A458" s="28">
        <v>44562</v>
      </c>
      <c r="B458" s="18">
        <v>401408.00000000006</v>
      </c>
      <c r="C458" s="18">
        <v>0</v>
      </c>
      <c r="D458" s="18">
        <v>471026.69367068372</v>
      </c>
      <c r="E458" s="18">
        <v>0</v>
      </c>
      <c r="F458" s="18">
        <v>401408.00000000006</v>
      </c>
      <c r="G458" s="18">
        <v>471026.69367068372</v>
      </c>
    </row>
    <row r="459" spans="1:7" ht="11.25" customHeight="1" x14ac:dyDescent="0.2">
      <c r="A459" s="28">
        <v>44593</v>
      </c>
      <c r="B459" s="18">
        <v>401408.00000000006</v>
      </c>
      <c r="C459" s="18">
        <v>0</v>
      </c>
      <c r="D459" s="18">
        <v>471026.69367068372</v>
      </c>
      <c r="E459" s="18">
        <v>0</v>
      </c>
      <c r="F459" s="18">
        <v>401408.00000000006</v>
      </c>
      <c r="G459" s="18">
        <v>471026.69367068372</v>
      </c>
    </row>
    <row r="460" spans="1:7" ht="11.25" customHeight="1" x14ac:dyDescent="0.2">
      <c r="A460" s="28">
        <v>44621</v>
      </c>
      <c r="B460" s="18">
        <v>401408.00000000006</v>
      </c>
      <c r="C460" s="18">
        <v>0</v>
      </c>
      <c r="D460" s="18">
        <v>471026.69367068372</v>
      </c>
      <c r="E460" s="18">
        <v>0</v>
      </c>
      <c r="F460" s="18">
        <v>401408.00000000006</v>
      </c>
      <c r="G460" s="18">
        <v>471026.69367068372</v>
      </c>
    </row>
    <row r="461" spans="1:7" ht="11.25" customHeight="1" x14ac:dyDescent="0.2">
      <c r="A461" s="28">
        <v>44652</v>
      </c>
      <c r="B461" s="18">
        <v>401408.00000000006</v>
      </c>
      <c r="C461" s="18">
        <v>0</v>
      </c>
      <c r="D461" s="18">
        <v>471026.69367068372</v>
      </c>
      <c r="E461" s="18">
        <v>0</v>
      </c>
      <c r="F461" s="18">
        <v>401408.00000000006</v>
      </c>
      <c r="G461" s="18">
        <v>471026.69367068372</v>
      </c>
    </row>
    <row r="462" spans="1:7" ht="11.25" customHeight="1" x14ac:dyDescent="0.2">
      <c r="A462" s="28">
        <v>44682</v>
      </c>
      <c r="B462" s="18">
        <v>401408.00000000006</v>
      </c>
      <c r="C462" s="18">
        <v>0</v>
      </c>
      <c r="D462" s="18">
        <v>471026.69367068372</v>
      </c>
      <c r="E462" s="18">
        <v>0</v>
      </c>
      <c r="F462" s="18">
        <v>401408.00000000006</v>
      </c>
      <c r="G462" s="18">
        <v>471026.69367068372</v>
      </c>
    </row>
    <row r="463" spans="1:7" ht="11.25" customHeight="1" x14ac:dyDescent="0.2">
      <c r="A463" s="26" t="s">
        <v>84</v>
      </c>
      <c r="B463" s="18">
        <v>0</v>
      </c>
      <c r="C463" s="18">
        <v>0</v>
      </c>
      <c r="D463" s="18">
        <v>0</v>
      </c>
      <c r="E463" s="18">
        <v>0</v>
      </c>
      <c r="F463" s="18">
        <v>0</v>
      </c>
      <c r="G463" s="18">
        <v>0</v>
      </c>
    </row>
    <row r="464" spans="1:7" ht="11.25" customHeight="1" x14ac:dyDescent="0.2">
      <c r="A464" s="27" t="s">
        <v>25</v>
      </c>
      <c r="B464" s="18">
        <v>0</v>
      </c>
      <c r="C464" s="18">
        <v>0</v>
      </c>
      <c r="D464" s="18">
        <v>0</v>
      </c>
      <c r="E464" s="18">
        <v>0</v>
      </c>
      <c r="F464" s="18">
        <v>0</v>
      </c>
      <c r="G464" s="18">
        <v>0</v>
      </c>
    </row>
    <row r="465" spans="1:7" ht="11.25" customHeight="1" x14ac:dyDescent="0.2">
      <c r="A465" s="28">
        <v>44348</v>
      </c>
      <c r="B465" s="18">
        <v>0</v>
      </c>
      <c r="C465" s="18">
        <v>0</v>
      </c>
      <c r="D465" s="18">
        <v>0</v>
      </c>
      <c r="E465" s="18">
        <v>0</v>
      </c>
      <c r="F465" s="18">
        <v>0</v>
      </c>
      <c r="G465" s="18">
        <v>0</v>
      </c>
    </row>
    <row r="466" spans="1:7" ht="11.25" customHeight="1" x14ac:dyDescent="0.2">
      <c r="A466" s="28">
        <v>44378</v>
      </c>
      <c r="B466" s="18">
        <v>0</v>
      </c>
      <c r="C466" s="18">
        <v>0</v>
      </c>
      <c r="D466" s="18">
        <v>0</v>
      </c>
      <c r="E466" s="18">
        <v>0</v>
      </c>
      <c r="F466" s="18">
        <v>0</v>
      </c>
      <c r="G466" s="18">
        <v>0</v>
      </c>
    </row>
    <row r="467" spans="1:7" ht="11.25" customHeight="1" x14ac:dyDescent="0.2">
      <c r="A467" s="28">
        <v>44409</v>
      </c>
      <c r="B467" s="18">
        <v>0</v>
      </c>
      <c r="C467" s="18">
        <v>0</v>
      </c>
      <c r="D467" s="18">
        <v>0</v>
      </c>
      <c r="E467" s="18">
        <v>0</v>
      </c>
      <c r="F467" s="18">
        <v>0</v>
      </c>
      <c r="G467" s="18">
        <v>0</v>
      </c>
    </row>
    <row r="468" spans="1:7" ht="11.25" customHeight="1" x14ac:dyDescent="0.2">
      <c r="A468" s="28">
        <v>44440</v>
      </c>
      <c r="B468" s="18">
        <v>0</v>
      </c>
      <c r="C468" s="18">
        <v>0</v>
      </c>
      <c r="D468" s="18">
        <v>0</v>
      </c>
      <c r="E468" s="18">
        <v>0</v>
      </c>
      <c r="F468" s="18">
        <v>0</v>
      </c>
      <c r="G468" s="18">
        <v>0</v>
      </c>
    </row>
    <row r="469" spans="1:7" ht="11.25" customHeight="1" x14ac:dyDescent="0.2">
      <c r="A469" s="28">
        <v>44470</v>
      </c>
      <c r="B469" s="18">
        <v>0</v>
      </c>
      <c r="C469" s="18">
        <v>0</v>
      </c>
      <c r="D469" s="18">
        <v>0</v>
      </c>
      <c r="E469" s="18">
        <v>0</v>
      </c>
      <c r="F469" s="18">
        <v>0</v>
      </c>
      <c r="G469" s="18">
        <v>0</v>
      </c>
    </row>
    <row r="470" spans="1:7" ht="11.25" customHeight="1" x14ac:dyDescent="0.2">
      <c r="A470" s="28">
        <v>44501</v>
      </c>
      <c r="B470" s="18">
        <v>0</v>
      </c>
      <c r="C470" s="18">
        <v>0</v>
      </c>
      <c r="D470" s="18">
        <v>0</v>
      </c>
      <c r="E470" s="18">
        <v>0</v>
      </c>
      <c r="F470" s="18">
        <v>0</v>
      </c>
      <c r="G470" s="18">
        <v>0</v>
      </c>
    </row>
    <row r="471" spans="1:7" ht="11.25" customHeight="1" x14ac:dyDescent="0.2">
      <c r="A471" s="28">
        <v>44531</v>
      </c>
      <c r="B471" s="18">
        <v>0</v>
      </c>
      <c r="C471" s="18">
        <v>0</v>
      </c>
      <c r="D471" s="18">
        <v>0</v>
      </c>
      <c r="E471" s="18">
        <v>0</v>
      </c>
      <c r="F471" s="18">
        <v>0</v>
      </c>
      <c r="G471" s="18">
        <v>0</v>
      </c>
    </row>
    <row r="472" spans="1:7" ht="11.25" customHeight="1" x14ac:dyDescent="0.2">
      <c r="A472" s="28">
        <v>44562</v>
      </c>
      <c r="B472" s="18">
        <v>0</v>
      </c>
      <c r="C472" s="18">
        <v>0</v>
      </c>
      <c r="D472" s="18">
        <v>0</v>
      </c>
      <c r="E472" s="18">
        <v>0</v>
      </c>
      <c r="F472" s="18">
        <v>0</v>
      </c>
      <c r="G472" s="18">
        <v>0</v>
      </c>
    </row>
    <row r="473" spans="1:7" ht="11.25" customHeight="1" x14ac:dyDescent="0.2">
      <c r="A473" s="28">
        <v>44593</v>
      </c>
      <c r="B473" s="18">
        <v>0</v>
      </c>
      <c r="C473" s="18">
        <v>0</v>
      </c>
      <c r="D473" s="18">
        <v>0</v>
      </c>
      <c r="E473" s="18">
        <v>0</v>
      </c>
      <c r="F473" s="18">
        <v>0</v>
      </c>
      <c r="G473" s="18">
        <v>0</v>
      </c>
    </row>
    <row r="474" spans="1:7" ht="11.25" customHeight="1" x14ac:dyDescent="0.2">
      <c r="A474" s="28">
        <v>44621</v>
      </c>
      <c r="B474" s="18">
        <v>0</v>
      </c>
      <c r="C474" s="18">
        <v>0</v>
      </c>
      <c r="D474" s="18">
        <v>0</v>
      </c>
      <c r="E474" s="18">
        <v>0</v>
      </c>
      <c r="F474" s="18">
        <v>0</v>
      </c>
      <c r="G474" s="18">
        <v>0</v>
      </c>
    </row>
    <row r="475" spans="1:7" ht="11.25" customHeight="1" x14ac:dyDescent="0.2">
      <c r="A475" s="28">
        <v>44652</v>
      </c>
      <c r="B475" s="18">
        <v>0</v>
      </c>
      <c r="C475" s="18">
        <v>0</v>
      </c>
      <c r="D475" s="18">
        <v>0</v>
      </c>
      <c r="E475" s="18">
        <v>0</v>
      </c>
      <c r="F475" s="18">
        <v>0</v>
      </c>
      <c r="G475" s="18">
        <v>0</v>
      </c>
    </row>
    <row r="476" spans="1:7" ht="11.25" customHeight="1" x14ac:dyDescent="0.2">
      <c r="A476" s="28">
        <v>44682</v>
      </c>
      <c r="B476" s="18">
        <v>0</v>
      </c>
      <c r="C476" s="18">
        <v>0</v>
      </c>
      <c r="D476" s="18">
        <v>0</v>
      </c>
      <c r="E476" s="18">
        <v>0</v>
      </c>
      <c r="F476" s="18">
        <v>0</v>
      </c>
      <c r="G476" s="18">
        <v>0</v>
      </c>
    </row>
    <row r="477" spans="1:7" ht="11.25" customHeight="1" x14ac:dyDescent="0.2">
      <c r="A477" s="21" t="s">
        <v>41</v>
      </c>
      <c r="B477" s="18">
        <v>2241704.9400000004</v>
      </c>
      <c r="C477" s="18">
        <v>0</v>
      </c>
      <c r="D477" s="18">
        <v>2520905.8614170095</v>
      </c>
      <c r="E477" s="18">
        <v>0</v>
      </c>
      <c r="F477" s="18">
        <v>2241704.9400000004</v>
      </c>
      <c r="G477" s="18">
        <v>2520905.8614170095</v>
      </c>
    </row>
    <row r="478" spans="1:7" ht="11.25" customHeight="1" x14ac:dyDescent="0.2">
      <c r="A478" s="22" t="s">
        <v>64</v>
      </c>
      <c r="B478" s="18">
        <v>2241704.9400000004</v>
      </c>
      <c r="C478" s="18">
        <v>0</v>
      </c>
      <c r="D478" s="18">
        <v>2520905.8614170095</v>
      </c>
      <c r="E478" s="18">
        <v>0</v>
      </c>
      <c r="F478" s="18">
        <v>2241704.9400000004</v>
      </c>
      <c r="G478" s="18">
        <v>2520905.8614170095</v>
      </c>
    </row>
    <row r="479" spans="1:7" ht="11.25" customHeight="1" x14ac:dyDescent="0.2">
      <c r="A479" s="23" t="s">
        <v>25</v>
      </c>
      <c r="B479" s="18">
        <v>2241704.9400000004</v>
      </c>
      <c r="C479" s="18">
        <v>0</v>
      </c>
      <c r="D479" s="18">
        <v>2520905.8614170095</v>
      </c>
      <c r="E479" s="18">
        <v>0</v>
      </c>
      <c r="F479" s="18">
        <v>2241704.9400000004</v>
      </c>
      <c r="G479" s="18">
        <v>2520905.8614170095</v>
      </c>
    </row>
    <row r="480" spans="1:7" ht="11.25" customHeight="1" x14ac:dyDescent="0.2">
      <c r="A480" s="24" t="s">
        <v>25</v>
      </c>
      <c r="B480" s="18">
        <v>2241704.9400000004</v>
      </c>
      <c r="C480" s="18">
        <v>0</v>
      </c>
      <c r="D480" s="18">
        <v>2520905.8614170095</v>
      </c>
      <c r="E480" s="18">
        <v>0</v>
      </c>
      <c r="F480" s="18">
        <v>2241704.9400000004</v>
      </c>
      <c r="G480" s="18">
        <v>2520905.8614170095</v>
      </c>
    </row>
    <row r="481" spans="1:7" ht="11.25" customHeight="1" x14ac:dyDescent="0.2">
      <c r="A481" s="25" t="s">
        <v>25</v>
      </c>
      <c r="B481" s="18">
        <v>2241704.9400000004</v>
      </c>
      <c r="C481" s="18">
        <v>0</v>
      </c>
      <c r="D481" s="18">
        <v>2520905.8614170095</v>
      </c>
      <c r="E481" s="18">
        <v>0</v>
      </c>
      <c r="F481" s="18">
        <v>2241704.9400000004</v>
      </c>
      <c r="G481" s="18">
        <v>2520905.8614170095</v>
      </c>
    </row>
    <row r="482" spans="1:7" ht="11.25" customHeight="1" x14ac:dyDescent="0.2">
      <c r="A482" s="26" t="s">
        <v>99</v>
      </c>
      <c r="B482" s="18">
        <v>108112.56000000003</v>
      </c>
      <c r="C482" s="18">
        <v>0</v>
      </c>
      <c r="D482" s="18">
        <v>121577.81398153072</v>
      </c>
      <c r="E482" s="18">
        <v>0</v>
      </c>
      <c r="F482" s="18">
        <v>108112.56000000003</v>
      </c>
      <c r="G482" s="18">
        <v>121577.81398153072</v>
      </c>
    </row>
    <row r="483" spans="1:7" ht="11.25" customHeight="1" x14ac:dyDescent="0.2">
      <c r="A483" s="27" t="s">
        <v>25</v>
      </c>
      <c r="B483" s="18">
        <v>108112.56000000003</v>
      </c>
      <c r="C483" s="18">
        <v>0</v>
      </c>
      <c r="D483" s="18">
        <v>121577.81398153072</v>
      </c>
      <c r="E483" s="18">
        <v>0</v>
      </c>
      <c r="F483" s="18">
        <v>108112.56000000003</v>
      </c>
      <c r="G483" s="18">
        <v>121577.81398153072</v>
      </c>
    </row>
    <row r="484" spans="1:7" ht="11.25" customHeight="1" x14ac:dyDescent="0.2">
      <c r="A484" s="28">
        <v>44348</v>
      </c>
      <c r="B484" s="18">
        <v>8991.6</v>
      </c>
      <c r="C484" s="18">
        <v>0</v>
      </c>
      <c r="D484" s="18">
        <v>10111.490026656767</v>
      </c>
      <c r="E484" s="18">
        <v>0</v>
      </c>
      <c r="F484" s="18">
        <v>8991.6</v>
      </c>
      <c r="G484" s="18">
        <v>10111.490026656767</v>
      </c>
    </row>
    <row r="485" spans="1:7" ht="11.25" customHeight="1" x14ac:dyDescent="0.2">
      <c r="A485" s="28">
        <v>44378</v>
      </c>
      <c r="B485" s="18">
        <v>8991.6</v>
      </c>
      <c r="C485" s="18">
        <v>0</v>
      </c>
      <c r="D485" s="18">
        <v>10111.490026656767</v>
      </c>
      <c r="E485" s="18">
        <v>0</v>
      </c>
      <c r="F485" s="18">
        <v>8991.6</v>
      </c>
      <c r="G485" s="18">
        <v>10111.490026656767</v>
      </c>
    </row>
    <row r="486" spans="1:7" ht="11.25" customHeight="1" x14ac:dyDescent="0.2">
      <c r="A486" s="28">
        <v>44409</v>
      </c>
      <c r="B486" s="18">
        <v>8991.6</v>
      </c>
      <c r="C486" s="18">
        <v>0</v>
      </c>
      <c r="D486" s="18">
        <v>10111.490026656767</v>
      </c>
      <c r="E486" s="18">
        <v>0</v>
      </c>
      <c r="F486" s="18">
        <v>8991.6</v>
      </c>
      <c r="G486" s="18">
        <v>10111.490026656767</v>
      </c>
    </row>
    <row r="487" spans="1:7" ht="11.25" customHeight="1" x14ac:dyDescent="0.2">
      <c r="A487" s="28">
        <v>44440</v>
      </c>
      <c r="B487" s="18">
        <v>8991.6</v>
      </c>
      <c r="C487" s="18">
        <v>0</v>
      </c>
      <c r="D487" s="18">
        <v>10111.490026656767</v>
      </c>
      <c r="E487" s="18">
        <v>0</v>
      </c>
      <c r="F487" s="18">
        <v>8991.6</v>
      </c>
      <c r="G487" s="18">
        <v>10111.490026656767</v>
      </c>
    </row>
    <row r="488" spans="1:7" ht="11.25" customHeight="1" x14ac:dyDescent="0.2">
      <c r="A488" s="28">
        <v>44470</v>
      </c>
      <c r="B488" s="18">
        <v>8991.6</v>
      </c>
      <c r="C488" s="18">
        <v>0</v>
      </c>
      <c r="D488" s="18">
        <v>10111.490026656767</v>
      </c>
      <c r="E488" s="18">
        <v>0</v>
      </c>
      <c r="F488" s="18">
        <v>8991.6</v>
      </c>
      <c r="G488" s="18">
        <v>10111.490026656767</v>
      </c>
    </row>
    <row r="489" spans="1:7" ht="11.25" customHeight="1" x14ac:dyDescent="0.2">
      <c r="A489" s="28">
        <v>44501</v>
      </c>
      <c r="B489" s="18">
        <v>8991.6</v>
      </c>
      <c r="C489" s="18">
        <v>0</v>
      </c>
      <c r="D489" s="18">
        <v>10111.490026656767</v>
      </c>
      <c r="E489" s="18">
        <v>0</v>
      </c>
      <c r="F489" s="18">
        <v>8991.6</v>
      </c>
      <c r="G489" s="18">
        <v>10111.490026656767</v>
      </c>
    </row>
    <row r="490" spans="1:7" ht="11.25" customHeight="1" x14ac:dyDescent="0.2">
      <c r="A490" s="28">
        <v>44531</v>
      </c>
      <c r="B490" s="18">
        <v>8991.6</v>
      </c>
      <c r="C490" s="18">
        <v>0</v>
      </c>
      <c r="D490" s="18">
        <v>10111.490026656767</v>
      </c>
      <c r="E490" s="18">
        <v>0</v>
      </c>
      <c r="F490" s="18">
        <v>8991.6</v>
      </c>
      <c r="G490" s="18">
        <v>10111.490026656767</v>
      </c>
    </row>
    <row r="491" spans="1:7" ht="11.25" customHeight="1" x14ac:dyDescent="0.2">
      <c r="A491" s="28">
        <v>44562</v>
      </c>
      <c r="B491" s="18">
        <v>8991.6</v>
      </c>
      <c r="C491" s="18">
        <v>0</v>
      </c>
      <c r="D491" s="18">
        <v>10111.490026656767</v>
      </c>
      <c r="E491" s="18">
        <v>0</v>
      </c>
      <c r="F491" s="18">
        <v>8991.6</v>
      </c>
      <c r="G491" s="18">
        <v>10111.490026656767</v>
      </c>
    </row>
    <row r="492" spans="1:7" ht="11.25" customHeight="1" x14ac:dyDescent="0.2">
      <c r="A492" s="28">
        <v>44593</v>
      </c>
      <c r="B492" s="18">
        <v>8991.6</v>
      </c>
      <c r="C492" s="18">
        <v>0</v>
      </c>
      <c r="D492" s="18">
        <v>10111.490026656767</v>
      </c>
      <c r="E492" s="18">
        <v>0</v>
      </c>
      <c r="F492" s="18">
        <v>8991.6</v>
      </c>
      <c r="G492" s="18">
        <v>10111.490026656767</v>
      </c>
    </row>
    <row r="493" spans="1:7" ht="11.25" customHeight="1" x14ac:dyDescent="0.2">
      <c r="A493" s="28">
        <v>44621</v>
      </c>
      <c r="B493" s="18">
        <v>9204.9600000000009</v>
      </c>
      <c r="C493" s="18">
        <v>0</v>
      </c>
      <c r="D493" s="18">
        <v>10351.423688306251</v>
      </c>
      <c r="E493" s="18">
        <v>0</v>
      </c>
      <c r="F493" s="18">
        <v>9204.9600000000009</v>
      </c>
      <c r="G493" s="18">
        <v>10351.423688306251</v>
      </c>
    </row>
    <row r="494" spans="1:7" ht="11.25" customHeight="1" x14ac:dyDescent="0.2">
      <c r="A494" s="28">
        <v>44652</v>
      </c>
      <c r="B494" s="18">
        <v>8991.6</v>
      </c>
      <c r="C494" s="18">
        <v>0</v>
      </c>
      <c r="D494" s="18">
        <v>10111.490026656767</v>
      </c>
      <c r="E494" s="18">
        <v>0</v>
      </c>
      <c r="F494" s="18">
        <v>8991.6</v>
      </c>
      <c r="G494" s="18">
        <v>10111.490026656767</v>
      </c>
    </row>
    <row r="495" spans="1:7" ht="11.25" customHeight="1" x14ac:dyDescent="0.2">
      <c r="A495" s="28">
        <v>44682</v>
      </c>
      <c r="B495" s="18">
        <v>8991.6</v>
      </c>
      <c r="C495" s="18">
        <v>0</v>
      </c>
      <c r="D495" s="18">
        <v>10111.490026656767</v>
      </c>
      <c r="E495" s="18">
        <v>0</v>
      </c>
      <c r="F495" s="18">
        <v>8991.6</v>
      </c>
      <c r="G495" s="18">
        <v>10111.490026656767</v>
      </c>
    </row>
    <row r="496" spans="1:7" ht="11.25" customHeight="1" x14ac:dyDescent="0.2">
      <c r="A496" s="26" t="s">
        <v>97</v>
      </c>
      <c r="B496" s="18">
        <v>107899.20000000003</v>
      </c>
      <c r="C496" s="18">
        <v>0</v>
      </c>
      <c r="D496" s="18">
        <v>121337.88031988124</v>
      </c>
      <c r="E496" s="18">
        <v>0</v>
      </c>
      <c r="F496" s="18">
        <v>107899.20000000003</v>
      </c>
      <c r="G496" s="18">
        <v>121337.88031988124</v>
      </c>
    </row>
    <row r="497" spans="1:7" ht="11.25" customHeight="1" x14ac:dyDescent="0.2">
      <c r="A497" s="27" t="s">
        <v>25</v>
      </c>
      <c r="B497" s="18">
        <v>107899.20000000003</v>
      </c>
      <c r="C497" s="18">
        <v>0</v>
      </c>
      <c r="D497" s="18">
        <v>121337.88031988124</v>
      </c>
      <c r="E497" s="18">
        <v>0</v>
      </c>
      <c r="F497" s="18">
        <v>107899.20000000003</v>
      </c>
      <c r="G497" s="18">
        <v>121337.88031988124</v>
      </c>
    </row>
    <row r="498" spans="1:7" ht="11.25" customHeight="1" x14ac:dyDescent="0.2">
      <c r="A498" s="28">
        <v>44348</v>
      </c>
      <c r="B498" s="18">
        <v>8991.6</v>
      </c>
      <c r="C498" s="18">
        <v>0</v>
      </c>
      <c r="D498" s="18">
        <v>10111.490026656767</v>
      </c>
      <c r="E498" s="18">
        <v>0</v>
      </c>
      <c r="F498" s="18">
        <v>8991.6</v>
      </c>
      <c r="G498" s="18">
        <v>10111.490026656767</v>
      </c>
    </row>
    <row r="499" spans="1:7" ht="11.25" customHeight="1" x14ac:dyDescent="0.2">
      <c r="A499" s="28">
        <v>44378</v>
      </c>
      <c r="B499" s="18">
        <v>8991.6</v>
      </c>
      <c r="C499" s="18">
        <v>0</v>
      </c>
      <c r="D499" s="18">
        <v>10111.490026656767</v>
      </c>
      <c r="E499" s="18">
        <v>0</v>
      </c>
      <c r="F499" s="18">
        <v>8991.6</v>
      </c>
      <c r="G499" s="18">
        <v>10111.490026656767</v>
      </c>
    </row>
    <row r="500" spans="1:7" ht="11.25" customHeight="1" x14ac:dyDescent="0.2">
      <c r="A500" s="28">
        <v>44409</v>
      </c>
      <c r="B500" s="18">
        <v>8991.6</v>
      </c>
      <c r="C500" s="18">
        <v>0</v>
      </c>
      <c r="D500" s="18">
        <v>10111.490026656767</v>
      </c>
      <c r="E500" s="18">
        <v>0</v>
      </c>
      <c r="F500" s="18">
        <v>8991.6</v>
      </c>
      <c r="G500" s="18">
        <v>10111.490026656767</v>
      </c>
    </row>
    <row r="501" spans="1:7" ht="11.25" customHeight="1" x14ac:dyDescent="0.2">
      <c r="A501" s="28">
        <v>44440</v>
      </c>
      <c r="B501" s="18">
        <v>8991.6</v>
      </c>
      <c r="C501" s="18">
        <v>0</v>
      </c>
      <c r="D501" s="18">
        <v>10111.490026656767</v>
      </c>
      <c r="E501" s="18">
        <v>0</v>
      </c>
      <c r="F501" s="18">
        <v>8991.6</v>
      </c>
      <c r="G501" s="18">
        <v>10111.490026656767</v>
      </c>
    </row>
    <row r="502" spans="1:7" ht="11.25" customHeight="1" x14ac:dyDescent="0.2">
      <c r="A502" s="28">
        <v>44470</v>
      </c>
      <c r="B502" s="18">
        <v>8991.6</v>
      </c>
      <c r="C502" s="18">
        <v>0</v>
      </c>
      <c r="D502" s="18">
        <v>10111.490026656767</v>
      </c>
      <c r="E502" s="18">
        <v>0</v>
      </c>
      <c r="F502" s="18">
        <v>8991.6</v>
      </c>
      <c r="G502" s="18">
        <v>10111.490026656767</v>
      </c>
    </row>
    <row r="503" spans="1:7" ht="11.25" customHeight="1" x14ac:dyDescent="0.2">
      <c r="A503" s="28">
        <v>44501</v>
      </c>
      <c r="B503" s="18">
        <v>8991.6</v>
      </c>
      <c r="C503" s="18">
        <v>0</v>
      </c>
      <c r="D503" s="18">
        <v>10111.490026656767</v>
      </c>
      <c r="E503" s="18">
        <v>0</v>
      </c>
      <c r="F503" s="18">
        <v>8991.6</v>
      </c>
      <c r="G503" s="18">
        <v>10111.490026656767</v>
      </c>
    </row>
    <row r="504" spans="1:7" ht="11.25" customHeight="1" x14ac:dyDescent="0.2">
      <c r="A504" s="28">
        <v>44531</v>
      </c>
      <c r="B504" s="18">
        <v>8991.6</v>
      </c>
      <c r="C504" s="18">
        <v>0</v>
      </c>
      <c r="D504" s="18">
        <v>10111.490026656767</v>
      </c>
      <c r="E504" s="18">
        <v>0</v>
      </c>
      <c r="F504" s="18">
        <v>8991.6</v>
      </c>
      <c r="G504" s="18">
        <v>10111.490026656767</v>
      </c>
    </row>
    <row r="505" spans="1:7" ht="11.25" customHeight="1" x14ac:dyDescent="0.2">
      <c r="A505" s="28">
        <v>44562</v>
      </c>
      <c r="B505" s="18">
        <v>8991.6</v>
      </c>
      <c r="C505" s="18">
        <v>0</v>
      </c>
      <c r="D505" s="18">
        <v>10111.490026656767</v>
      </c>
      <c r="E505" s="18">
        <v>0</v>
      </c>
      <c r="F505" s="18">
        <v>8991.6</v>
      </c>
      <c r="G505" s="18">
        <v>10111.490026656767</v>
      </c>
    </row>
    <row r="506" spans="1:7" ht="11.25" customHeight="1" x14ac:dyDescent="0.2">
      <c r="A506" s="28">
        <v>44593</v>
      </c>
      <c r="B506" s="18">
        <v>8991.6</v>
      </c>
      <c r="C506" s="18">
        <v>0</v>
      </c>
      <c r="D506" s="18">
        <v>10111.490026656767</v>
      </c>
      <c r="E506" s="18">
        <v>0</v>
      </c>
      <c r="F506" s="18">
        <v>8991.6</v>
      </c>
      <c r="G506" s="18">
        <v>10111.490026656767</v>
      </c>
    </row>
    <row r="507" spans="1:7" ht="11.25" customHeight="1" x14ac:dyDescent="0.2">
      <c r="A507" s="28">
        <v>44621</v>
      </c>
      <c r="B507" s="18">
        <v>8991.6</v>
      </c>
      <c r="C507" s="18">
        <v>0</v>
      </c>
      <c r="D507" s="18">
        <v>10111.490026656767</v>
      </c>
      <c r="E507" s="18">
        <v>0</v>
      </c>
      <c r="F507" s="18">
        <v>8991.6</v>
      </c>
      <c r="G507" s="18">
        <v>10111.490026656767</v>
      </c>
    </row>
    <row r="508" spans="1:7" ht="11.25" customHeight="1" x14ac:dyDescent="0.2">
      <c r="A508" s="28">
        <v>44652</v>
      </c>
      <c r="B508" s="18">
        <v>8991.6</v>
      </c>
      <c r="C508" s="18">
        <v>0</v>
      </c>
      <c r="D508" s="18">
        <v>10111.490026656767</v>
      </c>
      <c r="E508" s="18">
        <v>0</v>
      </c>
      <c r="F508" s="18">
        <v>8991.6</v>
      </c>
      <c r="G508" s="18">
        <v>10111.490026656767</v>
      </c>
    </row>
    <row r="509" spans="1:7" ht="11.25" customHeight="1" x14ac:dyDescent="0.2">
      <c r="A509" s="28">
        <v>44682</v>
      </c>
      <c r="B509" s="18">
        <v>8991.6</v>
      </c>
      <c r="C509" s="18">
        <v>0</v>
      </c>
      <c r="D509" s="18">
        <v>10111.490026656767</v>
      </c>
      <c r="E509" s="18">
        <v>0</v>
      </c>
      <c r="F509" s="18">
        <v>8991.6</v>
      </c>
      <c r="G509" s="18">
        <v>10111.490026656767</v>
      </c>
    </row>
    <row r="510" spans="1:7" ht="11.25" customHeight="1" x14ac:dyDescent="0.2">
      <c r="A510" s="26" t="s">
        <v>100</v>
      </c>
      <c r="B510" s="18">
        <v>107899.20000000003</v>
      </c>
      <c r="C510" s="18">
        <v>0</v>
      </c>
      <c r="D510" s="18">
        <v>121337.88031988124</v>
      </c>
      <c r="E510" s="18">
        <v>0</v>
      </c>
      <c r="F510" s="18">
        <v>107899.20000000003</v>
      </c>
      <c r="G510" s="18">
        <v>121337.88031988124</v>
      </c>
    </row>
    <row r="511" spans="1:7" ht="11.25" customHeight="1" x14ac:dyDescent="0.2">
      <c r="A511" s="27" t="s">
        <v>25</v>
      </c>
      <c r="B511" s="18">
        <v>107899.20000000003</v>
      </c>
      <c r="C511" s="18">
        <v>0</v>
      </c>
      <c r="D511" s="18">
        <v>121337.88031988124</v>
      </c>
      <c r="E511" s="18">
        <v>0</v>
      </c>
      <c r="F511" s="18">
        <v>107899.20000000003</v>
      </c>
      <c r="G511" s="18">
        <v>121337.88031988124</v>
      </c>
    </row>
    <row r="512" spans="1:7" ht="11.25" customHeight="1" x14ac:dyDescent="0.2">
      <c r="A512" s="28">
        <v>44348</v>
      </c>
      <c r="B512" s="18">
        <v>8991.6</v>
      </c>
      <c r="C512" s="18">
        <v>0</v>
      </c>
      <c r="D512" s="18">
        <v>10111.490026656767</v>
      </c>
      <c r="E512" s="18">
        <v>0</v>
      </c>
      <c r="F512" s="18">
        <v>8991.6</v>
      </c>
      <c r="G512" s="18">
        <v>10111.490026656767</v>
      </c>
    </row>
    <row r="513" spans="1:7" ht="11.25" customHeight="1" x14ac:dyDescent="0.2">
      <c r="A513" s="28">
        <v>44378</v>
      </c>
      <c r="B513" s="18">
        <v>8991.6</v>
      </c>
      <c r="C513" s="18">
        <v>0</v>
      </c>
      <c r="D513" s="18">
        <v>10111.490026656767</v>
      </c>
      <c r="E513" s="18">
        <v>0</v>
      </c>
      <c r="F513" s="18">
        <v>8991.6</v>
      </c>
      <c r="G513" s="18">
        <v>10111.490026656767</v>
      </c>
    </row>
    <row r="514" spans="1:7" ht="11.25" customHeight="1" x14ac:dyDescent="0.2">
      <c r="A514" s="28">
        <v>44409</v>
      </c>
      <c r="B514" s="18">
        <v>8991.6</v>
      </c>
      <c r="C514" s="18">
        <v>0</v>
      </c>
      <c r="D514" s="18">
        <v>10111.490026656767</v>
      </c>
      <c r="E514" s="18">
        <v>0</v>
      </c>
      <c r="F514" s="18">
        <v>8991.6</v>
      </c>
      <c r="G514" s="18">
        <v>10111.490026656767</v>
      </c>
    </row>
    <row r="515" spans="1:7" ht="11.25" customHeight="1" x14ac:dyDescent="0.2">
      <c r="A515" s="28">
        <v>44440</v>
      </c>
      <c r="B515" s="18">
        <v>8991.6</v>
      </c>
      <c r="C515" s="18">
        <v>0</v>
      </c>
      <c r="D515" s="18">
        <v>10111.490026656767</v>
      </c>
      <c r="E515" s="18">
        <v>0</v>
      </c>
      <c r="F515" s="18">
        <v>8991.6</v>
      </c>
      <c r="G515" s="18">
        <v>10111.490026656767</v>
      </c>
    </row>
    <row r="516" spans="1:7" ht="11.25" customHeight="1" x14ac:dyDescent="0.2">
      <c r="A516" s="28">
        <v>44470</v>
      </c>
      <c r="B516" s="18">
        <v>8991.6</v>
      </c>
      <c r="C516" s="18">
        <v>0</v>
      </c>
      <c r="D516" s="18">
        <v>10111.490026656767</v>
      </c>
      <c r="E516" s="18">
        <v>0</v>
      </c>
      <c r="F516" s="18">
        <v>8991.6</v>
      </c>
      <c r="G516" s="18">
        <v>10111.490026656767</v>
      </c>
    </row>
    <row r="517" spans="1:7" ht="11.25" customHeight="1" x14ac:dyDescent="0.2">
      <c r="A517" s="28">
        <v>44501</v>
      </c>
      <c r="B517" s="18">
        <v>8991.6</v>
      </c>
      <c r="C517" s="18">
        <v>0</v>
      </c>
      <c r="D517" s="18">
        <v>10111.490026656767</v>
      </c>
      <c r="E517" s="18">
        <v>0</v>
      </c>
      <c r="F517" s="18">
        <v>8991.6</v>
      </c>
      <c r="G517" s="18">
        <v>10111.490026656767</v>
      </c>
    </row>
    <row r="518" spans="1:7" ht="11.25" customHeight="1" x14ac:dyDescent="0.2">
      <c r="A518" s="28">
        <v>44531</v>
      </c>
      <c r="B518" s="18">
        <v>8991.6</v>
      </c>
      <c r="C518" s="18">
        <v>0</v>
      </c>
      <c r="D518" s="18">
        <v>10111.490026656767</v>
      </c>
      <c r="E518" s="18">
        <v>0</v>
      </c>
      <c r="F518" s="18">
        <v>8991.6</v>
      </c>
      <c r="G518" s="18">
        <v>10111.490026656767</v>
      </c>
    </row>
    <row r="519" spans="1:7" ht="11.25" customHeight="1" x14ac:dyDescent="0.2">
      <c r="A519" s="28">
        <v>44562</v>
      </c>
      <c r="B519" s="18">
        <v>8991.6</v>
      </c>
      <c r="C519" s="18">
        <v>0</v>
      </c>
      <c r="D519" s="18">
        <v>10111.490026656767</v>
      </c>
      <c r="E519" s="18">
        <v>0</v>
      </c>
      <c r="F519" s="18">
        <v>8991.6</v>
      </c>
      <c r="G519" s="18">
        <v>10111.490026656767</v>
      </c>
    </row>
    <row r="520" spans="1:7" ht="11.25" customHeight="1" x14ac:dyDescent="0.2">
      <c r="A520" s="28">
        <v>44593</v>
      </c>
      <c r="B520" s="18">
        <v>8991.6</v>
      </c>
      <c r="C520" s="18">
        <v>0</v>
      </c>
      <c r="D520" s="18">
        <v>10111.490026656767</v>
      </c>
      <c r="E520" s="18">
        <v>0</v>
      </c>
      <c r="F520" s="18">
        <v>8991.6</v>
      </c>
      <c r="G520" s="18">
        <v>10111.490026656767</v>
      </c>
    </row>
    <row r="521" spans="1:7" ht="11.25" customHeight="1" x14ac:dyDescent="0.2">
      <c r="A521" s="28">
        <v>44621</v>
      </c>
      <c r="B521" s="18">
        <v>8991.6</v>
      </c>
      <c r="C521" s="18">
        <v>0</v>
      </c>
      <c r="D521" s="18">
        <v>10111.490026656767</v>
      </c>
      <c r="E521" s="18">
        <v>0</v>
      </c>
      <c r="F521" s="18">
        <v>8991.6</v>
      </c>
      <c r="G521" s="18">
        <v>10111.490026656767</v>
      </c>
    </row>
    <row r="522" spans="1:7" ht="11.25" customHeight="1" x14ac:dyDescent="0.2">
      <c r="A522" s="28">
        <v>44652</v>
      </c>
      <c r="B522" s="18">
        <v>8991.6</v>
      </c>
      <c r="C522" s="18">
        <v>0</v>
      </c>
      <c r="D522" s="18">
        <v>10111.490026656767</v>
      </c>
      <c r="E522" s="18">
        <v>0</v>
      </c>
      <c r="F522" s="18">
        <v>8991.6</v>
      </c>
      <c r="G522" s="18">
        <v>10111.490026656767</v>
      </c>
    </row>
    <row r="523" spans="1:7" ht="11.25" customHeight="1" x14ac:dyDescent="0.2">
      <c r="A523" s="28">
        <v>44682</v>
      </c>
      <c r="B523" s="18">
        <v>8991.6</v>
      </c>
      <c r="C523" s="18">
        <v>0</v>
      </c>
      <c r="D523" s="18">
        <v>10111.490026656767</v>
      </c>
      <c r="E523" s="18">
        <v>0</v>
      </c>
      <c r="F523" s="18">
        <v>8991.6</v>
      </c>
      <c r="G523" s="18">
        <v>10111.490026656767</v>
      </c>
    </row>
    <row r="524" spans="1:7" ht="11.25" customHeight="1" x14ac:dyDescent="0.2">
      <c r="A524" s="26" t="s">
        <v>68</v>
      </c>
      <c r="B524" s="18">
        <v>0</v>
      </c>
      <c r="C524" s="18">
        <v>0</v>
      </c>
      <c r="D524" s="18">
        <v>0</v>
      </c>
      <c r="E524" s="18">
        <v>0</v>
      </c>
      <c r="F524" s="18">
        <v>0</v>
      </c>
      <c r="G524" s="18">
        <v>0</v>
      </c>
    </row>
    <row r="525" spans="1:7" ht="11.25" customHeight="1" x14ac:dyDescent="0.2">
      <c r="A525" s="27" t="s">
        <v>25</v>
      </c>
      <c r="B525" s="18">
        <v>0</v>
      </c>
      <c r="C525" s="18">
        <v>0</v>
      </c>
      <c r="D525" s="18">
        <v>0</v>
      </c>
      <c r="E525" s="18">
        <v>0</v>
      </c>
      <c r="F525" s="18">
        <v>0</v>
      </c>
      <c r="G525" s="18">
        <v>0</v>
      </c>
    </row>
    <row r="526" spans="1:7" ht="11.25" customHeight="1" x14ac:dyDescent="0.2">
      <c r="A526" s="28">
        <v>44348</v>
      </c>
      <c r="B526" s="18">
        <v>0</v>
      </c>
      <c r="C526" s="18">
        <v>0</v>
      </c>
      <c r="D526" s="18">
        <v>0</v>
      </c>
      <c r="E526" s="18">
        <v>0</v>
      </c>
      <c r="F526" s="18">
        <v>0</v>
      </c>
      <c r="G526" s="18">
        <v>0</v>
      </c>
    </row>
    <row r="527" spans="1:7" ht="11.25" customHeight="1" x14ac:dyDescent="0.2">
      <c r="A527" s="28">
        <v>44378</v>
      </c>
      <c r="B527" s="18">
        <v>0</v>
      </c>
      <c r="C527" s="18">
        <v>0</v>
      </c>
      <c r="D527" s="18">
        <v>0</v>
      </c>
      <c r="E527" s="18">
        <v>0</v>
      </c>
      <c r="F527" s="18">
        <v>0</v>
      </c>
      <c r="G527" s="18">
        <v>0</v>
      </c>
    </row>
    <row r="528" spans="1:7" ht="11.25" customHeight="1" x14ac:dyDescent="0.2">
      <c r="A528" s="28">
        <v>44409</v>
      </c>
      <c r="B528" s="18">
        <v>0</v>
      </c>
      <c r="C528" s="18">
        <v>0</v>
      </c>
      <c r="D528" s="18">
        <v>0</v>
      </c>
      <c r="E528" s="18">
        <v>0</v>
      </c>
      <c r="F528" s="18">
        <v>0</v>
      </c>
      <c r="G528" s="18">
        <v>0</v>
      </c>
    </row>
    <row r="529" spans="1:7" ht="11.25" customHeight="1" x14ac:dyDescent="0.2">
      <c r="A529" s="28">
        <v>44440</v>
      </c>
      <c r="B529" s="18">
        <v>0</v>
      </c>
      <c r="C529" s="18">
        <v>0</v>
      </c>
      <c r="D529" s="18">
        <v>0</v>
      </c>
      <c r="E529" s="18">
        <v>0</v>
      </c>
      <c r="F529" s="18">
        <v>0</v>
      </c>
      <c r="G529" s="18">
        <v>0</v>
      </c>
    </row>
    <row r="530" spans="1:7" ht="11.25" customHeight="1" x14ac:dyDescent="0.2">
      <c r="A530" s="28">
        <v>44470</v>
      </c>
      <c r="B530" s="18">
        <v>0</v>
      </c>
      <c r="C530" s="18">
        <v>0</v>
      </c>
      <c r="D530" s="18">
        <v>0</v>
      </c>
      <c r="E530" s="18">
        <v>0</v>
      </c>
      <c r="F530" s="18">
        <v>0</v>
      </c>
      <c r="G530" s="18">
        <v>0</v>
      </c>
    </row>
    <row r="531" spans="1:7" ht="11.25" customHeight="1" x14ac:dyDescent="0.2">
      <c r="A531" s="28">
        <v>44501</v>
      </c>
      <c r="B531" s="18">
        <v>0</v>
      </c>
      <c r="C531" s="18">
        <v>0</v>
      </c>
      <c r="D531" s="18">
        <v>0</v>
      </c>
      <c r="E531" s="18">
        <v>0</v>
      </c>
      <c r="F531" s="18">
        <v>0</v>
      </c>
      <c r="G531" s="18">
        <v>0</v>
      </c>
    </row>
    <row r="532" spans="1:7" ht="11.25" customHeight="1" x14ac:dyDescent="0.2">
      <c r="A532" s="28">
        <v>44531</v>
      </c>
      <c r="B532" s="18">
        <v>0</v>
      </c>
      <c r="C532" s="18">
        <v>0</v>
      </c>
      <c r="D532" s="18">
        <v>0</v>
      </c>
      <c r="E532" s="18">
        <v>0</v>
      </c>
      <c r="F532" s="18">
        <v>0</v>
      </c>
      <c r="G532" s="18">
        <v>0</v>
      </c>
    </row>
    <row r="533" spans="1:7" ht="11.25" customHeight="1" x14ac:dyDescent="0.2">
      <c r="A533" s="28">
        <v>44562</v>
      </c>
      <c r="B533" s="18">
        <v>0</v>
      </c>
      <c r="C533" s="18">
        <v>0</v>
      </c>
      <c r="D533" s="18">
        <v>0</v>
      </c>
      <c r="E533" s="18">
        <v>0</v>
      </c>
      <c r="F533" s="18">
        <v>0</v>
      </c>
      <c r="G533" s="18">
        <v>0</v>
      </c>
    </row>
    <row r="534" spans="1:7" ht="11.25" customHeight="1" x14ac:dyDescent="0.2">
      <c r="A534" s="28">
        <v>44593</v>
      </c>
      <c r="B534" s="18">
        <v>0</v>
      </c>
      <c r="C534" s="18">
        <v>0</v>
      </c>
      <c r="D534" s="18">
        <v>0</v>
      </c>
      <c r="E534" s="18">
        <v>0</v>
      </c>
      <c r="F534" s="18">
        <v>0</v>
      </c>
      <c r="G534" s="18">
        <v>0</v>
      </c>
    </row>
    <row r="535" spans="1:7" ht="11.25" customHeight="1" x14ac:dyDescent="0.2">
      <c r="A535" s="28">
        <v>44621</v>
      </c>
      <c r="B535" s="18">
        <v>0</v>
      </c>
      <c r="C535" s="18">
        <v>0</v>
      </c>
      <c r="D535" s="18">
        <v>0</v>
      </c>
      <c r="E535" s="18">
        <v>0</v>
      </c>
      <c r="F535" s="18">
        <v>0</v>
      </c>
      <c r="G535" s="18">
        <v>0</v>
      </c>
    </row>
    <row r="536" spans="1:7" ht="11.25" customHeight="1" x14ac:dyDescent="0.2">
      <c r="A536" s="28">
        <v>44652</v>
      </c>
      <c r="B536" s="18">
        <v>0</v>
      </c>
      <c r="C536" s="18">
        <v>0</v>
      </c>
      <c r="D536" s="18">
        <v>0</v>
      </c>
      <c r="E536" s="18">
        <v>0</v>
      </c>
      <c r="F536" s="18">
        <v>0</v>
      </c>
      <c r="G536" s="18">
        <v>0</v>
      </c>
    </row>
    <row r="537" spans="1:7" ht="11.25" customHeight="1" x14ac:dyDescent="0.2">
      <c r="A537" s="28">
        <v>44682</v>
      </c>
      <c r="B537" s="18">
        <v>0</v>
      </c>
      <c r="C537" s="18">
        <v>0</v>
      </c>
      <c r="D537" s="18">
        <v>0</v>
      </c>
      <c r="E537" s="18">
        <v>0</v>
      </c>
      <c r="F537" s="18">
        <v>0</v>
      </c>
      <c r="G537" s="18">
        <v>0</v>
      </c>
    </row>
    <row r="538" spans="1:7" ht="11.25" customHeight="1" x14ac:dyDescent="0.2">
      <c r="A538" s="26" t="s">
        <v>74</v>
      </c>
      <c r="B538" s="18">
        <v>348165.42000000004</v>
      </c>
      <c r="C538" s="18">
        <v>0</v>
      </c>
      <c r="D538" s="18">
        <v>391528.89051523263</v>
      </c>
      <c r="E538" s="18">
        <v>0</v>
      </c>
      <c r="F538" s="18">
        <v>348165.42000000004</v>
      </c>
      <c r="G538" s="18">
        <v>391528.89051523263</v>
      </c>
    </row>
    <row r="539" spans="1:7" ht="11.25" customHeight="1" x14ac:dyDescent="0.2">
      <c r="A539" s="27" t="s">
        <v>25</v>
      </c>
      <c r="B539" s="18">
        <v>348165.42000000004</v>
      </c>
      <c r="C539" s="18">
        <v>0</v>
      </c>
      <c r="D539" s="18">
        <v>391528.89051523263</v>
      </c>
      <c r="E539" s="18">
        <v>0</v>
      </c>
      <c r="F539" s="18">
        <v>348165.42000000004</v>
      </c>
      <c r="G539" s="18">
        <v>391528.89051523263</v>
      </c>
    </row>
    <row r="540" spans="1:7" ht="11.25" customHeight="1" x14ac:dyDescent="0.2">
      <c r="A540" s="28">
        <v>44348</v>
      </c>
      <c r="B540" s="18">
        <v>28956</v>
      </c>
      <c r="C540" s="18">
        <v>0</v>
      </c>
      <c r="D540" s="18">
        <v>32562.425509572644</v>
      </c>
      <c r="E540" s="18">
        <v>0</v>
      </c>
      <c r="F540" s="18">
        <v>28956</v>
      </c>
      <c r="G540" s="18">
        <v>32562.425509572644</v>
      </c>
    </row>
    <row r="541" spans="1:7" ht="11.25" customHeight="1" x14ac:dyDescent="0.2">
      <c r="A541" s="28">
        <v>44378</v>
      </c>
      <c r="B541" s="18">
        <v>28956</v>
      </c>
      <c r="C541" s="18">
        <v>0</v>
      </c>
      <c r="D541" s="18">
        <v>32562.425509572644</v>
      </c>
      <c r="E541" s="18">
        <v>0</v>
      </c>
      <c r="F541" s="18">
        <v>28956</v>
      </c>
      <c r="G541" s="18">
        <v>32562.425509572644</v>
      </c>
    </row>
    <row r="542" spans="1:7" ht="11.25" customHeight="1" x14ac:dyDescent="0.2">
      <c r="A542" s="28">
        <v>44409</v>
      </c>
      <c r="B542" s="18">
        <v>28956</v>
      </c>
      <c r="C542" s="18">
        <v>0</v>
      </c>
      <c r="D542" s="18">
        <v>32562.425509572644</v>
      </c>
      <c r="E542" s="18">
        <v>0</v>
      </c>
      <c r="F542" s="18">
        <v>28956</v>
      </c>
      <c r="G542" s="18">
        <v>32562.425509572644</v>
      </c>
    </row>
    <row r="543" spans="1:7" ht="11.25" customHeight="1" x14ac:dyDescent="0.2">
      <c r="A543" s="28">
        <v>44440</v>
      </c>
      <c r="B543" s="18">
        <v>28956</v>
      </c>
      <c r="C543" s="18">
        <v>0</v>
      </c>
      <c r="D543" s="18">
        <v>32562.425509572644</v>
      </c>
      <c r="E543" s="18">
        <v>0</v>
      </c>
      <c r="F543" s="18">
        <v>28956</v>
      </c>
      <c r="G543" s="18">
        <v>32562.425509572644</v>
      </c>
    </row>
    <row r="544" spans="1:7" ht="11.25" customHeight="1" x14ac:dyDescent="0.2">
      <c r="A544" s="28">
        <v>44470</v>
      </c>
      <c r="B544" s="18">
        <v>28956</v>
      </c>
      <c r="C544" s="18">
        <v>0</v>
      </c>
      <c r="D544" s="18">
        <v>32562.425509572644</v>
      </c>
      <c r="E544" s="18">
        <v>0</v>
      </c>
      <c r="F544" s="18">
        <v>28956</v>
      </c>
      <c r="G544" s="18">
        <v>32562.425509572644</v>
      </c>
    </row>
    <row r="545" spans="1:7" ht="11.25" customHeight="1" x14ac:dyDescent="0.2">
      <c r="A545" s="28">
        <v>44501</v>
      </c>
      <c r="B545" s="18">
        <v>28956</v>
      </c>
      <c r="C545" s="18">
        <v>0</v>
      </c>
      <c r="D545" s="18">
        <v>32562.425509572644</v>
      </c>
      <c r="E545" s="18">
        <v>0</v>
      </c>
      <c r="F545" s="18">
        <v>28956</v>
      </c>
      <c r="G545" s="18">
        <v>32562.425509572644</v>
      </c>
    </row>
    <row r="546" spans="1:7" ht="11.25" customHeight="1" x14ac:dyDescent="0.2">
      <c r="A546" s="28">
        <v>44531</v>
      </c>
      <c r="B546" s="18">
        <v>28956</v>
      </c>
      <c r="C546" s="18">
        <v>0</v>
      </c>
      <c r="D546" s="18">
        <v>32562.425509572644</v>
      </c>
      <c r="E546" s="18">
        <v>0</v>
      </c>
      <c r="F546" s="18">
        <v>28956</v>
      </c>
      <c r="G546" s="18">
        <v>32562.425509572644</v>
      </c>
    </row>
    <row r="547" spans="1:7" ht="11.25" customHeight="1" x14ac:dyDescent="0.2">
      <c r="A547" s="28">
        <v>44562</v>
      </c>
      <c r="B547" s="18">
        <v>29405.58</v>
      </c>
      <c r="C547" s="18">
        <v>0</v>
      </c>
      <c r="D547" s="18">
        <v>33068.000010905482</v>
      </c>
      <c r="E547" s="18">
        <v>0</v>
      </c>
      <c r="F547" s="18">
        <v>29405.58</v>
      </c>
      <c r="G547" s="18">
        <v>33068.000010905482</v>
      </c>
    </row>
    <row r="548" spans="1:7" ht="11.25" customHeight="1" x14ac:dyDescent="0.2">
      <c r="A548" s="28">
        <v>44593</v>
      </c>
      <c r="B548" s="18">
        <v>28956</v>
      </c>
      <c r="C548" s="18">
        <v>0</v>
      </c>
      <c r="D548" s="18">
        <v>32562.425509572644</v>
      </c>
      <c r="E548" s="18">
        <v>0</v>
      </c>
      <c r="F548" s="18">
        <v>28956</v>
      </c>
      <c r="G548" s="18">
        <v>32562.425509572644</v>
      </c>
    </row>
    <row r="549" spans="1:7" ht="11.25" customHeight="1" x14ac:dyDescent="0.2">
      <c r="A549" s="28">
        <v>44621</v>
      </c>
      <c r="B549" s="18">
        <v>29199.84</v>
      </c>
      <c r="C549" s="18">
        <v>0</v>
      </c>
      <c r="D549" s="18">
        <v>32836.635408600625</v>
      </c>
      <c r="E549" s="18">
        <v>0</v>
      </c>
      <c r="F549" s="18">
        <v>29199.84</v>
      </c>
      <c r="G549" s="18">
        <v>32836.635408600625</v>
      </c>
    </row>
    <row r="550" spans="1:7" ht="11.25" customHeight="1" x14ac:dyDescent="0.2">
      <c r="A550" s="28">
        <v>44652</v>
      </c>
      <c r="B550" s="18">
        <v>28956</v>
      </c>
      <c r="C550" s="18">
        <v>0</v>
      </c>
      <c r="D550" s="18">
        <v>32562.425509572644</v>
      </c>
      <c r="E550" s="18">
        <v>0</v>
      </c>
      <c r="F550" s="18">
        <v>28956</v>
      </c>
      <c r="G550" s="18">
        <v>32562.425509572644</v>
      </c>
    </row>
    <row r="551" spans="1:7" ht="11.25" customHeight="1" x14ac:dyDescent="0.2">
      <c r="A551" s="28">
        <v>44682</v>
      </c>
      <c r="B551" s="18">
        <v>28956</v>
      </c>
      <c r="C551" s="18">
        <v>0</v>
      </c>
      <c r="D551" s="18">
        <v>32562.425509572644</v>
      </c>
      <c r="E551" s="18">
        <v>0</v>
      </c>
      <c r="F551" s="18">
        <v>28956</v>
      </c>
      <c r="G551" s="18">
        <v>32562.425509572644</v>
      </c>
    </row>
    <row r="552" spans="1:7" ht="11.25" customHeight="1" x14ac:dyDescent="0.2">
      <c r="A552" s="26" t="s">
        <v>94</v>
      </c>
      <c r="B552" s="18">
        <v>107899.20000000003</v>
      </c>
      <c r="C552" s="18">
        <v>0</v>
      </c>
      <c r="D552" s="18">
        <v>121337.88031988124</v>
      </c>
      <c r="E552" s="18">
        <v>0</v>
      </c>
      <c r="F552" s="18">
        <v>107899.20000000003</v>
      </c>
      <c r="G552" s="18">
        <v>121337.88031988124</v>
      </c>
    </row>
    <row r="553" spans="1:7" ht="11.25" customHeight="1" x14ac:dyDescent="0.2">
      <c r="A553" s="27" t="s">
        <v>25</v>
      </c>
      <c r="B553" s="18">
        <v>107899.20000000003</v>
      </c>
      <c r="C553" s="18">
        <v>0</v>
      </c>
      <c r="D553" s="18">
        <v>121337.88031988124</v>
      </c>
      <c r="E553" s="18">
        <v>0</v>
      </c>
      <c r="F553" s="18">
        <v>107899.20000000003</v>
      </c>
      <c r="G553" s="18">
        <v>121337.88031988124</v>
      </c>
    </row>
    <row r="554" spans="1:7" ht="11.25" customHeight="1" x14ac:dyDescent="0.2">
      <c r="A554" s="28">
        <v>44348</v>
      </c>
      <c r="B554" s="18">
        <v>8991.6</v>
      </c>
      <c r="C554" s="18">
        <v>0</v>
      </c>
      <c r="D554" s="18">
        <v>10111.490026656767</v>
      </c>
      <c r="E554" s="18">
        <v>0</v>
      </c>
      <c r="F554" s="18">
        <v>8991.6</v>
      </c>
      <c r="G554" s="18">
        <v>10111.490026656767</v>
      </c>
    </row>
    <row r="555" spans="1:7" ht="11.25" customHeight="1" x14ac:dyDescent="0.2">
      <c r="A555" s="28">
        <v>44378</v>
      </c>
      <c r="B555" s="18">
        <v>8991.6</v>
      </c>
      <c r="C555" s="18">
        <v>0</v>
      </c>
      <c r="D555" s="18">
        <v>10111.490026656767</v>
      </c>
      <c r="E555" s="18">
        <v>0</v>
      </c>
      <c r="F555" s="18">
        <v>8991.6</v>
      </c>
      <c r="G555" s="18">
        <v>10111.490026656767</v>
      </c>
    </row>
    <row r="556" spans="1:7" ht="11.25" customHeight="1" x14ac:dyDescent="0.2">
      <c r="A556" s="28">
        <v>44409</v>
      </c>
      <c r="B556" s="18">
        <v>8991.6</v>
      </c>
      <c r="C556" s="18">
        <v>0</v>
      </c>
      <c r="D556" s="18">
        <v>10111.490026656767</v>
      </c>
      <c r="E556" s="18">
        <v>0</v>
      </c>
      <c r="F556" s="18">
        <v>8991.6</v>
      </c>
      <c r="G556" s="18">
        <v>10111.490026656767</v>
      </c>
    </row>
    <row r="557" spans="1:7" ht="11.25" customHeight="1" x14ac:dyDescent="0.2">
      <c r="A557" s="28">
        <v>44440</v>
      </c>
      <c r="B557" s="18">
        <v>8991.6</v>
      </c>
      <c r="C557" s="18">
        <v>0</v>
      </c>
      <c r="D557" s="18">
        <v>10111.490026656767</v>
      </c>
      <c r="E557" s="18">
        <v>0</v>
      </c>
      <c r="F557" s="18">
        <v>8991.6</v>
      </c>
      <c r="G557" s="18">
        <v>10111.490026656767</v>
      </c>
    </row>
    <row r="558" spans="1:7" ht="11.25" customHeight="1" x14ac:dyDescent="0.2">
      <c r="A558" s="28">
        <v>44470</v>
      </c>
      <c r="B558" s="18">
        <v>8991.6</v>
      </c>
      <c r="C558" s="18">
        <v>0</v>
      </c>
      <c r="D558" s="18">
        <v>10111.490026656767</v>
      </c>
      <c r="E558" s="18">
        <v>0</v>
      </c>
      <c r="F558" s="18">
        <v>8991.6</v>
      </c>
      <c r="G558" s="18">
        <v>10111.490026656767</v>
      </c>
    </row>
    <row r="559" spans="1:7" ht="11.25" customHeight="1" x14ac:dyDescent="0.2">
      <c r="A559" s="28">
        <v>44501</v>
      </c>
      <c r="B559" s="18">
        <v>8991.6</v>
      </c>
      <c r="C559" s="18">
        <v>0</v>
      </c>
      <c r="D559" s="18">
        <v>10111.490026656767</v>
      </c>
      <c r="E559" s="18">
        <v>0</v>
      </c>
      <c r="F559" s="18">
        <v>8991.6</v>
      </c>
      <c r="G559" s="18">
        <v>10111.490026656767</v>
      </c>
    </row>
    <row r="560" spans="1:7" ht="11.25" customHeight="1" x14ac:dyDescent="0.2">
      <c r="A560" s="28">
        <v>44531</v>
      </c>
      <c r="B560" s="18">
        <v>8991.6</v>
      </c>
      <c r="C560" s="18">
        <v>0</v>
      </c>
      <c r="D560" s="18">
        <v>10111.490026656767</v>
      </c>
      <c r="E560" s="18">
        <v>0</v>
      </c>
      <c r="F560" s="18">
        <v>8991.6</v>
      </c>
      <c r="G560" s="18">
        <v>10111.490026656767</v>
      </c>
    </row>
    <row r="561" spans="1:7" ht="11.25" customHeight="1" x14ac:dyDescent="0.2">
      <c r="A561" s="28">
        <v>44562</v>
      </c>
      <c r="B561" s="18">
        <v>8991.6</v>
      </c>
      <c r="C561" s="18">
        <v>0</v>
      </c>
      <c r="D561" s="18">
        <v>10111.490026656767</v>
      </c>
      <c r="E561" s="18">
        <v>0</v>
      </c>
      <c r="F561" s="18">
        <v>8991.6</v>
      </c>
      <c r="G561" s="18">
        <v>10111.490026656767</v>
      </c>
    </row>
    <row r="562" spans="1:7" ht="11.25" customHeight="1" x14ac:dyDescent="0.2">
      <c r="A562" s="28">
        <v>44593</v>
      </c>
      <c r="B562" s="18">
        <v>8991.6</v>
      </c>
      <c r="C562" s="18">
        <v>0</v>
      </c>
      <c r="D562" s="18">
        <v>10111.490026656767</v>
      </c>
      <c r="E562" s="18">
        <v>0</v>
      </c>
      <c r="F562" s="18">
        <v>8991.6</v>
      </c>
      <c r="G562" s="18">
        <v>10111.490026656767</v>
      </c>
    </row>
    <row r="563" spans="1:7" ht="11.25" customHeight="1" x14ac:dyDescent="0.2">
      <c r="A563" s="28">
        <v>44621</v>
      </c>
      <c r="B563" s="18">
        <v>8991.6</v>
      </c>
      <c r="C563" s="18">
        <v>0</v>
      </c>
      <c r="D563" s="18">
        <v>10111.490026656767</v>
      </c>
      <c r="E563" s="18">
        <v>0</v>
      </c>
      <c r="F563" s="18">
        <v>8991.6</v>
      </c>
      <c r="G563" s="18">
        <v>10111.490026656767</v>
      </c>
    </row>
    <row r="564" spans="1:7" ht="11.25" customHeight="1" x14ac:dyDescent="0.2">
      <c r="A564" s="28">
        <v>44652</v>
      </c>
      <c r="B564" s="18">
        <v>8991.6</v>
      </c>
      <c r="C564" s="18">
        <v>0</v>
      </c>
      <c r="D564" s="18">
        <v>10111.490026656767</v>
      </c>
      <c r="E564" s="18">
        <v>0</v>
      </c>
      <c r="F564" s="18">
        <v>8991.6</v>
      </c>
      <c r="G564" s="18">
        <v>10111.490026656767</v>
      </c>
    </row>
    <row r="565" spans="1:7" ht="11.25" customHeight="1" x14ac:dyDescent="0.2">
      <c r="A565" s="28">
        <v>44682</v>
      </c>
      <c r="B565" s="18">
        <v>8991.6</v>
      </c>
      <c r="C565" s="18">
        <v>0</v>
      </c>
      <c r="D565" s="18">
        <v>10111.490026656767</v>
      </c>
      <c r="E565" s="18">
        <v>0</v>
      </c>
      <c r="F565" s="18">
        <v>8991.6</v>
      </c>
      <c r="G565" s="18">
        <v>10111.490026656767</v>
      </c>
    </row>
    <row r="566" spans="1:7" ht="11.25" customHeight="1" x14ac:dyDescent="0.2">
      <c r="A566" s="26" t="s">
        <v>76</v>
      </c>
      <c r="B566" s="18">
        <v>0</v>
      </c>
      <c r="C566" s="18">
        <v>0</v>
      </c>
      <c r="D566" s="18">
        <v>0</v>
      </c>
      <c r="E566" s="18">
        <v>0</v>
      </c>
      <c r="F566" s="18">
        <v>0</v>
      </c>
      <c r="G566" s="18">
        <v>0</v>
      </c>
    </row>
    <row r="567" spans="1:7" ht="11.25" customHeight="1" x14ac:dyDescent="0.2">
      <c r="A567" s="27" t="s">
        <v>25</v>
      </c>
      <c r="B567" s="18">
        <v>0</v>
      </c>
      <c r="C567" s="18">
        <v>0</v>
      </c>
      <c r="D567" s="18">
        <v>0</v>
      </c>
      <c r="E567" s="18">
        <v>0</v>
      </c>
      <c r="F567" s="18">
        <v>0</v>
      </c>
      <c r="G567" s="18">
        <v>0</v>
      </c>
    </row>
    <row r="568" spans="1:7" ht="11.25" customHeight="1" x14ac:dyDescent="0.2">
      <c r="A568" s="28">
        <v>44348</v>
      </c>
      <c r="B568" s="18">
        <v>0</v>
      </c>
      <c r="C568" s="18">
        <v>0</v>
      </c>
      <c r="D568" s="18">
        <v>0</v>
      </c>
      <c r="E568" s="18">
        <v>0</v>
      </c>
      <c r="F568" s="18">
        <v>0</v>
      </c>
      <c r="G568" s="18">
        <v>0</v>
      </c>
    </row>
    <row r="569" spans="1:7" ht="11.25" customHeight="1" x14ac:dyDescent="0.2">
      <c r="A569" s="28">
        <v>44378</v>
      </c>
      <c r="B569" s="18">
        <v>0</v>
      </c>
      <c r="C569" s="18">
        <v>0</v>
      </c>
      <c r="D569" s="18">
        <v>0</v>
      </c>
      <c r="E569" s="18">
        <v>0</v>
      </c>
      <c r="F569" s="18">
        <v>0</v>
      </c>
      <c r="G569" s="18">
        <v>0</v>
      </c>
    </row>
    <row r="570" spans="1:7" ht="11.25" customHeight="1" x14ac:dyDescent="0.2">
      <c r="A570" s="28">
        <v>44409</v>
      </c>
      <c r="B570" s="18">
        <v>0</v>
      </c>
      <c r="C570" s="18">
        <v>0</v>
      </c>
      <c r="D570" s="18">
        <v>0</v>
      </c>
      <c r="E570" s="18">
        <v>0</v>
      </c>
      <c r="F570" s="18">
        <v>0</v>
      </c>
      <c r="G570" s="18">
        <v>0</v>
      </c>
    </row>
    <row r="571" spans="1:7" ht="11.25" customHeight="1" x14ac:dyDescent="0.2">
      <c r="A571" s="28">
        <v>44440</v>
      </c>
      <c r="B571" s="18">
        <v>0</v>
      </c>
      <c r="C571" s="18">
        <v>0</v>
      </c>
      <c r="D571" s="18">
        <v>0</v>
      </c>
      <c r="E571" s="18">
        <v>0</v>
      </c>
      <c r="F571" s="18">
        <v>0</v>
      </c>
      <c r="G571" s="18">
        <v>0</v>
      </c>
    </row>
    <row r="572" spans="1:7" ht="11.25" customHeight="1" x14ac:dyDescent="0.2">
      <c r="A572" s="28">
        <v>44470</v>
      </c>
      <c r="B572" s="18">
        <v>0</v>
      </c>
      <c r="C572" s="18">
        <v>0</v>
      </c>
      <c r="D572" s="18">
        <v>0</v>
      </c>
      <c r="E572" s="18">
        <v>0</v>
      </c>
      <c r="F572" s="18">
        <v>0</v>
      </c>
      <c r="G572" s="18">
        <v>0</v>
      </c>
    </row>
    <row r="573" spans="1:7" ht="11.25" customHeight="1" x14ac:dyDescent="0.2">
      <c r="A573" s="28">
        <v>44501</v>
      </c>
      <c r="B573" s="18">
        <v>0</v>
      </c>
      <c r="C573" s="18">
        <v>0</v>
      </c>
      <c r="D573" s="18">
        <v>0</v>
      </c>
      <c r="E573" s="18">
        <v>0</v>
      </c>
      <c r="F573" s="18">
        <v>0</v>
      </c>
      <c r="G573" s="18">
        <v>0</v>
      </c>
    </row>
    <row r="574" spans="1:7" ht="11.25" customHeight="1" x14ac:dyDescent="0.2">
      <c r="A574" s="28">
        <v>44531</v>
      </c>
      <c r="B574" s="18">
        <v>0</v>
      </c>
      <c r="C574" s="18">
        <v>0</v>
      </c>
      <c r="D574" s="18">
        <v>0</v>
      </c>
      <c r="E574" s="18">
        <v>0</v>
      </c>
      <c r="F574" s="18">
        <v>0</v>
      </c>
      <c r="G574" s="18">
        <v>0</v>
      </c>
    </row>
    <row r="575" spans="1:7" ht="11.25" customHeight="1" x14ac:dyDescent="0.2">
      <c r="A575" s="28">
        <v>44562</v>
      </c>
      <c r="B575" s="18">
        <v>0</v>
      </c>
      <c r="C575" s="18">
        <v>0</v>
      </c>
      <c r="D575" s="18">
        <v>0</v>
      </c>
      <c r="E575" s="18">
        <v>0</v>
      </c>
      <c r="F575" s="18">
        <v>0</v>
      </c>
      <c r="G575" s="18">
        <v>0</v>
      </c>
    </row>
    <row r="576" spans="1:7" ht="11.25" customHeight="1" x14ac:dyDescent="0.2">
      <c r="A576" s="28">
        <v>44593</v>
      </c>
      <c r="B576" s="18">
        <v>0</v>
      </c>
      <c r="C576" s="18">
        <v>0</v>
      </c>
      <c r="D576" s="18">
        <v>0</v>
      </c>
      <c r="E576" s="18">
        <v>0</v>
      </c>
      <c r="F576" s="18">
        <v>0</v>
      </c>
      <c r="G576" s="18">
        <v>0</v>
      </c>
    </row>
    <row r="577" spans="1:7" ht="11.25" customHeight="1" x14ac:dyDescent="0.2">
      <c r="A577" s="28">
        <v>44621</v>
      </c>
      <c r="B577" s="18">
        <v>0</v>
      </c>
      <c r="C577" s="18">
        <v>0</v>
      </c>
      <c r="D577" s="18">
        <v>0</v>
      </c>
      <c r="E577" s="18">
        <v>0</v>
      </c>
      <c r="F577" s="18">
        <v>0</v>
      </c>
      <c r="G577" s="18">
        <v>0</v>
      </c>
    </row>
    <row r="578" spans="1:7" ht="11.25" customHeight="1" x14ac:dyDescent="0.2">
      <c r="A578" s="28">
        <v>44652</v>
      </c>
      <c r="B578" s="18">
        <v>0</v>
      </c>
      <c r="C578" s="18">
        <v>0</v>
      </c>
      <c r="D578" s="18">
        <v>0</v>
      </c>
      <c r="E578" s="18">
        <v>0</v>
      </c>
      <c r="F578" s="18">
        <v>0</v>
      </c>
      <c r="G578" s="18">
        <v>0</v>
      </c>
    </row>
    <row r="579" spans="1:7" ht="11.25" customHeight="1" x14ac:dyDescent="0.2">
      <c r="A579" s="28">
        <v>44682</v>
      </c>
      <c r="B579" s="18">
        <v>0</v>
      </c>
      <c r="C579" s="18">
        <v>0</v>
      </c>
      <c r="D579" s="18">
        <v>0</v>
      </c>
      <c r="E579" s="18">
        <v>0</v>
      </c>
      <c r="F579" s="18">
        <v>0</v>
      </c>
      <c r="G579" s="18">
        <v>0</v>
      </c>
    </row>
    <row r="580" spans="1:7" ht="11.25" customHeight="1" x14ac:dyDescent="0.2">
      <c r="A580" s="26" t="s">
        <v>77</v>
      </c>
      <c r="B580" s="18">
        <v>0</v>
      </c>
      <c r="C580" s="18">
        <v>0</v>
      </c>
      <c r="D580" s="18">
        <v>0</v>
      </c>
      <c r="E580" s="18">
        <v>0</v>
      </c>
      <c r="F580" s="18">
        <v>0</v>
      </c>
      <c r="G580" s="18">
        <v>0</v>
      </c>
    </row>
    <row r="581" spans="1:7" ht="11.25" customHeight="1" x14ac:dyDescent="0.2">
      <c r="A581" s="27" t="s">
        <v>25</v>
      </c>
      <c r="B581" s="18">
        <v>0</v>
      </c>
      <c r="C581" s="18">
        <v>0</v>
      </c>
      <c r="D581" s="18">
        <v>0</v>
      </c>
      <c r="E581" s="18">
        <v>0</v>
      </c>
      <c r="F581" s="18">
        <v>0</v>
      </c>
      <c r="G581" s="18">
        <v>0</v>
      </c>
    </row>
    <row r="582" spans="1:7" ht="11.25" customHeight="1" x14ac:dyDescent="0.2">
      <c r="A582" s="28">
        <v>44348</v>
      </c>
      <c r="B582" s="18">
        <v>0</v>
      </c>
      <c r="C582" s="18">
        <v>0</v>
      </c>
      <c r="D582" s="18">
        <v>0</v>
      </c>
      <c r="E582" s="18">
        <v>0</v>
      </c>
      <c r="F582" s="18">
        <v>0</v>
      </c>
      <c r="G582" s="18">
        <v>0</v>
      </c>
    </row>
    <row r="583" spans="1:7" ht="11.25" customHeight="1" x14ac:dyDescent="0.2">
      <c r="A583" s="28">
        <v>44378</v>
      </c>
      <c r="B583" s="18">
        <v>0</v>
      </c>
      <c r="C583" s="18">
        <v>0</v>
      </c>
      <c r="D583" s="18">
        <v>0</v>
      </c>
      <c r="E583" s="18">
        <v>0</v>
      </c>
      <c r="F583" s="18">
        <v>0</v>
      </c>
      <c r="G583" s="18">
        <v>0</v>
      </c>
    </row>
    <row r="584" spans="1:7" ht="11.25" customHeight="1" x14ac:dyDescent="0.2">
      <c r="A584" s="28">
        <v>44409</v>
      </c>
      <c r="B584" s="18">
        <v>0</v>
      </c>
      <c r="C584" s="18">
        <v>0</v>
      </c>
      <c r="D584" s="18">
        <v>0</v>
      </c>
      <c r="E584" s="18">
        <v>0</v>
      </c>
      <c r="F584" s="18">
        <v>0</v>
      </c>
      <c r="G584" s="18">
        <v>0</v>
      </c>
    </row>
    <row r="585" spans="1:7" ht="11.25" customHeight="1" x14ac:dyDescent="0.2">
      <c r="A585" s="28">
        <v>44440</v>
      </c>
      <c r="B585" s="18">
        <v>0</v>
      </c>
      <c r="C585" s="18">
        <v>0</v>
      </c>
      <c r="D585" s="18">
        <v>0</v>
      </c>
      <c r="E585" s="18">
        <v>0</v>
      </c>
      <c r="F585" s="18">
        <v>0</v>
      </c>
      <c r="G585" s="18">
        <v>0</v>
      </c>
    </row>
    <row r="586" spans="1:7" ht="11.25" customHeight="1" x14ac:dyDescent="0.2">
      <c r="A586" s="28">
        <v>44470</v>
      </c>
      <c r="B586" s="18">
        <v>0</v>
      </c>
      <c r="C586" s="18">
        <v>0</v>
      </c>
      <c r="D586" s="18">
        <v>0</v>
      </c>
      <c r="E586" s="18">
        <v>0</v>
      </c>
      <c r="F586" s="18">
        <v>0</v>
      </c>
      <c r="G586" s="18">
        <v>0</v>
      </c>
    </row>
    <row r="587" spans="1:7" ht="11.25" customHeight="1" x14ac:dyDescent="0.2">
      <c r="A587" s="28">
        <v>44501</v>
      </c>
      <c r="B587" s="18">
        <v>0</v>
      </c>
      <c r="C587" s="18">
        <v>0</v>
      </c>
      <c r="D587" s="18">
        <v>0</v>
      </c>
      <c r="E587" s="18">
        <v>0</v>
      </c>
      <c r="F587" s="18">
        <v>0</v>
      </c>
      <c r="G587" s="18">
        <v>0</v>
      </c>
    </row>
    <row r="588" spans="1:7" ht="11.25" customHeight="1" x14ac:dyDescent="0.2">
      <c r="A588" s="28">
        <v>44531</v>
      </c>
      <c r="B588" s="18">
        <v>0</v>
      </c>
      <c r="C588" s="18">
        <v>0</v>
      </c>
      <c r="D588" s="18">
        <v>0</v>
      </c>
      <c r="E588" s="18">
        <v>0</v>
      </c>
      <c r="F588" s="18">
        <v>0</v>
      </c>
      <c r="G588" s="18">
        <v>0</v>
      </c>
    </row>
    <row r="589" spans="1:7" ht="11.25" customHeight="1" x14ac:dyDescent="0.2">
      <c r="A589" s="28">
        <v>44562</v>
      </c>
      <c r="B589" s="18">
        <v>0</v>
      </c>
      <c r="C589" s="18">
        <v>0</v>
      </c>
      <c r="D589" s="18">
        <v>0</v>
      </c>
      <c r="E589" s="18">
        <v>0</v>
      </c>
      <c r="F589" s="18">
        <v>0</v>
      </c>
      <c r="G589" s="18">
        <v>0</v>
      </c>
    </row>
    <row r="590" spans="1:7" ht="11.25" customHeight="1" x14ac:dyDescent="0.2">
      <c r="A590" s="28">
        <v>44593</v>
      </c>
      <c r="B590" s="18">
        <v>0</v>
      </c>
      <c r="C590" s="18">
        <v>0</v>
      </c>
      <c r="D590" s="18">
        <v>0</v>
      </c>
      <c r="E590" s="18">
        <v>0</v>
      </c>
      <c r="F590" s="18">
        <v>0</v>
      </c>
      <c r="G590" s="18">
        <v>0</v>
      </c>
    </row>
    <row r="591" spans="1:7" ht="11.25" customHeight="1" x14ac:dyDescent="0.2">
      <c r="A591" s="28">
        <v>44621</v>
      </c>
      <c r="B591" s="18">
        <v>0</v>
      </c>
      <c r="C591" s="18">
        <v>0</v>
      </c>
      <c r="D591" s="18">
        <v>0</v>
      </c>
      <c r="E591" s="18">
        <v>0</v>
      </c>
      <c r="F591" s="18">
        <v>0</v>
      </c>
      <c r="G591" s="18">
        <v>0</v>
      </c>
    </row>
    <row r="592" spans="1:7" ht="11.25" customHeight="1" x14ac:dyDescent="0.2">
      <c r="A592" s="28">
        <v>44652</v>
      </c>
      <c r="B592" s="18">
        <v>0</v>
      </c>
      <c r="C592" s="18">
        <v>0</v>
      </c>
      <c r="D592" s="18">
        <v>0</v>
      </c>
      <c r="E592" s="18">
        <v>0</v>
      </c>
      <c r="F592" s="18">
        <v>0</v>
      </c>
      <c r="G592" s="18">
        <v>0</v>
      </c>
    </row>
    <row r="593" spans="1:7" ht="11.25" customHeight="1" x14ac:dyDescent="0.2">
      <c r="A593" s="28">
        <v>44682</v>
      </c>
      <c r="B593" s="18">
        <v>0</v>
      </c>
      <c r="C593" s="18">
        <v>0</v>
      </c>
      <c r="D593" s="18">
        <v>0</v>
      </c>
      <c r="E593" s="18">
        <v>0</v>
      </c>
      <c r="F593" s="18">
        <v>0</v>
      </c>
      <c r="G593" s="18">
        <v>0</v>
      </c>
    </row>
    <row r="594" spans="1:7" ht="11.25" customHeight="1" x14ac:dyDescent="0.2">
      <c r="A594" s="26" t="s">
        <v>93</v>
      </c>
      <c r="B594" s="18">
        <v>118872</v>
      </c>
      <c r="C594" s="18">
        <v>0</v>
      </c>
      <c r="D594" s="18">
        <v>133677.32577614032</v>
      </c>
      <c r="E594" s="18">
        <v>0</v>
      </c>
      <c r="F594" s="18">
        <v>118872</v>
      </c>
      <c r="G594" s="18">
        <v>133677.32577614032</v>
      </c>
    </row>
    <row r="595" spans="1:7" ht="11.25" customHeight="1" x14ac:dyDescent="0.2">
      <c r="A595" s="27" t="s">
        <v>25</v>
      </c>
      <c r="B595" s="18">
        <v>118872</v>
      </c>
      <c r="C595" s="18">
        <v>0</v>
      </c>
      <c r="D595" s="18">
        <v>133677.32577614032</v>
      </c>
      <c r="E595" s="18">
        <v>0</v>
      </c>
      <c r="F595" s="18">
        <v>118872</v>
      </c>
      <c r="G595" s="18">
        <v>133677.32577614032</v>
      </c>
    </row>
    <row r="596" spans="1:7" ht="11.25" customHeight="1" x14ac:dyDescent="0.2">
      <c r="A596" s="28">
        <v>44348</v>
      </c>
      <c r="B596" s="18">
        <v>9906</v>
      </c>
      <c r="C596" s="18">
        <v>0</v>
      </c>
      <c r="D596" s="18">
        <v>11139.777148011693</v>
      </c>
      <c r="E596" s="18">
        <v>0</v>
      </c>
      <c r="F596" s="18">
        <v>9906</v>
      </c>
      <c r="G596" s="18">
        <v>11139.777148011693</v>
      </c>
    </row>
    <row r="597" spans="1:7" ht="11.25" customHeight="1" x14ac:dyDescent="0.2">
      <c r="A597" s="28">
        <v>44378</v>
      </c>
      <c r="B597" s="18">
        <v>9906</v>
      </c>
      <c r="C597" s="18">
        <v>0</v>
      </c>
      <c r="D597" s="18">
        <v>11139.777148011693</v>
      </c>
      <c r="E597" s="18">
        <v>0</v>
      </c>
      <c r="F597" s="18">
        <v>9906</v>
      </c>
      <c r="G597" s="18">
        <v>11139.777148011693</v>
      </c>
    </row>
    <row r="598" spans="1:7" ht="11.25" customHeight="1" x14ac:dyDescent="0.2">
      <c r="A598" s="28">
        <v>44409</v>
      </c>
      <c r="B598" s="18">
        <v>9906</v>
      </c>
      <c r="C598" s="18">
        <v>0</v>
      </c>
      <c r="D598" s="18">
        <v>11139.777148011693</v>
      </c>
      <c r="E598" s="18">
        <v>0</v>
      </c>
      <c r="F598" s="18">
        <v>9906</v>
      </c>
      <c r="G598" s="18">
        <v>11139.777148011693</v>
      </c>
    </row>
    <row r="599" spans="1:7" ht="11.25" customHeight="1" x14ac:dyDescent="0.2">
      <c r="A599" s="28">
        <v>44440</v>
      </c>
      <c r="B599" s="18">
        <v>9906</v>
      </c>
      <c r="C599" s="18">
        <v>0</v>
      </c>
      <c r="D599" s="18">
        <v>11139.777148011693</v>
      </c>
      <c r="E599" s="18">
        <v>0</v>
      </c>
      <c r="F599" s="18">
        <v>9906</v>
      </c>
      <c r="G599" s="18">
        <v>11139.777148011693</v>
      </c>
    </row>
    <row r="600" spans="1:7" ht="11.25" customHeight="1" x14ac:dyDescent="0.2">
      <c r="A600" s="28">
        <v>44470</v>
      </c>
      <c r="B600" s="18">
        <v>9906</v>
      </c>
      <c r="C600" s="18">
        <v>0</v>
      </c>
      <c r="D600" s="18">
        <v>11139.777148011693</v>
      </c>
      <c r="E600" s="18">
        <v>0</v>
      </c>
      <c r="F600" s="18">
        <v>9906</v>
      </c>
      <c r="G600" s="18">
        <v>11139.777148011693</v>
      </c>
    </row>
    <row r="601" spans="1:7" ht="11.25" customHeight="1" x14ac:dyDescent="0.2">
      <c r="A601" s="28">
        <v>44501</v>
      </c>
      <c r="B601" s="18">
        <v>9906</v>
      </c>
      <c r="C601" s="18">
        <v>0</v>
      </c>
      <c r="D601" s="18">
        <v>11139.777148011693</v>
      </c>
      <c r="E601" s="18">
        <v>0</v>
      </c>
      <c r="F601" s="18">
        <v>9906</v>
      </c>
      <c r="G601" s="18">
        <v>11139.777148011693</v>
      </c>
    </row>
    <row r="602" spans="1:7" ht="11.25" customHeight="1" x14ac:dyDescent="0.2">
      <c r="A602" s="28">
        <v>44531</v>
      </c>
      <c r="B602" s="18">
        <v>9906</v>
      </c>
      <c r="C602" s="18">
        <v>0</v>
      </c>
      <c r="D602" s="18">
        <v>11139.777148011693</v>
      </c>
      <c r="E602" s="18">
        <v>0</v>
      </c>
      <c r="F602" s="18">
        <v>9906</v>
      </c>
      <c r="G602" s="18">
        <v>11139.777148011693</v>
      </c>
    </row>
    <row r="603" spans="1:7" ht="11.25" customHeight="1" x14ac:dyDescent="0.2">
      <c r="A603" s="28">
        <v>44562</v>
      </c>
      <c r="B603" s="18">
        <v>9906</v>
      </c>
      <c r="C603" s="18">
        <v>0</v>
      </c>
      <c r="D603" s="18">
        <v>11139.777148011693</v>
      </c>
      <c r="E603" s="18">
        <v>0</v>
      </c>
      <c r="F603" s="18">
        <v>9906</v>
      </c>
      <c r="G603" s="18">
        <v>11139.777148011693</v>
      </c>
    </row>
    <row r="604" spans="1:7" ht="11.25" customHeight="1" x14ac:dyDescent="0.2">
      <c r="A604" s="28">
        <v>44593</v>
      </c>
      <c r="B604" s="18">
        <v>9906</v>
      </c>
      <c r="C604" s="18">
        <v>0</v>
      </c>
      <c r="D604" s="18">
        <v>11139.777148011693</v>
      </c>
      <c r="E604" s="18">
        <v>0</v>
      </c>
      <c r="F604" s="18">
        <v>9906</v>
      </c>
      <c r="G604" s="18">
        <v>11139.777148011693</v>
      </c>
    </row>
    <row r="605" spans="1:7" ht="11.25" customHeight="1" x14ac:dyDescent="0.2">
      <c r="A605" s="28">
        <v>44621</v>
      </c>
      <c r="B605" s="18">
        <v>9906</v>
      </c>
      <c r="C605" s="18">
        <v>0</v>
      </c>
      <c r="D605" s="18">
        <v>11139.777148011693</v>
      </c>
      <c r="E605" s="18">
        <v>0</v>
      </c>
      <c r="F605" s="18">
        <v>9906</v>
      </c>
      <c r="G605" s="18">
        <v>11139.777148011693</v>
      </c>
    </row>
    <row r="606" spans="1:7" ht="11.25" customHeight="1" x14ac:dyDescent="0.2">
      <c r="A606" s="28">
        <v>44652</v>
      </c>
      <c r="B606" s="18">
        <v>9906</v>
      </c>
      <c r="C606" s="18">
        <v>0</v>
      </c>
      <c r="D606" s="18">
        <v>11139.777148011693</v>
      </c>
      <c r="E606" s="18">
        <v>0</v>
      </c>
      <c r="F606" s="18">
        <v>9906</v>
      </c>
      <c r="G606" s="18">
        <v>11139.777148011693</v>
      </c>
    </row>
    <row r="607" spans="1:7" ht="11.25" customHeight="1" x14ac:dyDescent="0.2">
      <c r="A607" s="28">
        <v>44682</v>
      </c>
      <c r="B607" s="18">
        <v>9906</v>
      </c>
      <c r="C607" s="18">
        <v>0</v>
      </c>
      <c r="D607" s="18">
        <v>11139.777148011693</v>
      </c>
      <c r="E607" s="18">
        <v>0</v>
      </c>
      <c r="F607" s="18">
        <v>9906</v>
      </c>
      <c r="G607" s="18">
        <v>11139.777148011693</v>
      </c>
    </row>
    <row r="608" spans="1:7" ht="11.25" customHeight="1" x14ac:dyDescent="0.2">
      <c r="A608" s="26" t="s">
        <v>88</v>
      </c>
      <c r="B608" s="18">
        <v>868680</v>
      </c>
      <c r="C608" s="18">
        <v>0</v>
      </c>
      <c r="D608" s="18">
        <v>976872.76528717915</v>
      </c>
      <c r="E608" s="18">
        <v>0</v>
      </c>
      <c r="F608" s="18">
        <v>868680</v>
      </c>
      <c r="G608" s="18">
        <v>976872.76528717915</v>
      </c>
    </row>
    <row r="609" spans="1:7" ht="11.25" customHeight="1" x14ac:dyDescent="0.2">
      <c r="A609" s="27" t="s">
        <v>25</v>
      </c>
      <c r="B609" s="18">
        <v>868680</v>
      </c>
      <c r="C609" s="18">
        <v>0</v>
      </c>
      <c r="D609" s="18">
        <v>976872.76528717915</v>
      </c>
      <c r="E609" s="18">
        <v>0</v>
      </c>
      <c r="F609" s="18">
        <v>868680</v>
      </c>
      <c r="G609" s="18">
        <v>976872.76528717915</v>
      </c>
    </row>
    <row r="610" spans="1:7" ht="11.25" customHeight="1" x14ac:dyDescent="0.2">
      <c r="A610" s="28">
        <v>44348</v>
      </c>
      <c r="B610" s="18">
        <v>72390</v>
      </c>
      <c r="C610" s="18">
        <v>0</v>
      </c>
      <c r="D610" s="18">
        <v>81406.063773931615</v>
      </c>
      <c r="E610" s="18">
        <v>0</v>
      </c>
      <c r="F610" s="18">
        <v>72390</v>
      </c>
      <c r="G610" s="18">
        <v>81406.063773931615</v>
      </c>
    </row>
    <row r="611" spans="1:7" ht="11.25" customHeight="1" x14ac:dyDescent="0.2">
      <c r="A611" s="28">
        <v>44378</v>
      </c>
      <c r="B611" s="18">
        <v>72390</v>
      </c>
      <c r="C611" s="18">
        <v>0</v>
      </c>
      <c r="D611" s="18">
        <v>81406.063773931615</v>
      </c>
      <c r="E611" s="18">
        <v>0</v>
      </c>
      <c r="F611" s="18">
        <v>72390</v>
      </c>
      <c r="G611" s="18">
        <v>81406.063773931615</v>
      </c>
    </row>
    <row r="612" spans="1:7" ht="11.25" customHeight="1" x14ac:dyDescent="0.2">
      <c r="A612" s="28">
        <v>44409</v>
      </c>
      <c r="B612" s="18">
        <v>72390</v>
      </c>
      <c r="C612" s="18">
        <v>0</v>
      </c>
      <c r="D612" s="18">
        <v>81406.063773931615</v>
      </c>
      <c r="E612" s="18">
        <v>0</v>
      </c>
      <c r="F612" s="18">
        <v>72390</v>
      </c>
      <c r="G612" s="18">
        <v>81406.063773931615</v>
      </c>
    </row>
    <row r="613" spans="1:7" ht="11.25" customHeight="1" x14ac:dyDescent="0.2">
      <c r="A613" s="28">
        <v>44440</v>
      </c>
      <c r="B613" s="18">
        <v>72390</v>
      </c>
      <c r="C613" s="18">
        <v>0</v>
      </c>
      <c r="D613" s="18">
        <v>81406.063773931615</v>
      </c>
      <c r="E613" s="18">
        <v>0</v>
      </c>
      <c r="F613" s="18">
        <v>72390</v>
      </c>
      <c r="G613" s="18">
        <v>81406.063773931615</v>
      </c>
    </row>
    <row r="614" spans="1:7" ht="11.25" customHeight="1" x14ac:dyDescent="0.2">
      <c r="A614" s="28">
        <v>44470</v>
      </c>
      <c r="B614" s="18">
        <v>72390</v>
      </c>
      <c r="C614" s="18">
        <v>0</v>
      </c>
      <c r="D614" s="18">
        <v>81406.063773931615</v>
      </c>
      <c r="E614" s="18">
        <v>0</v>
      </c>
      <c r="F614" s="18">
        <v>72390</v>
      </c>
      <c r="G614" s="18">
        <v>81406.063773931615</v>
      </c>
    </row>
    <row r="615" spans="1:7" ht="11.25" customHeight="1" x14ac:dyDescent="0.2">
      <c r="A615" s="28">
        <v>44501</v>
      </c>
      <c r="B615" s="18">
        <v>72390</v>
      </c>
      <c r="C615" s="18">
        <v>0</v>
      </c>
      <c r="D615" s="18">
        <v>81406.063773931615</v>
      </c>
      <c r="E615" s="18">
        <v>0</v>
      </c>
      <c r="F615" s="18">
        <v>72390</v>
      </c>
      <c r="G615" s="18">
        <v>81406.063773931615</v>
      </c>
    </row>
    <row r="616" spans="1:7" ht="11.25" customHeight="1" x14ac:dyDescent="0.2">
      <c r="A616" s="28">
        <v>44531</v>
      </c>
      <c r="B616" s="18">
        <v>72390</v>
      </c>
      <c r="C616" s="18">
        <v>0</v>
      </c>
      <c r="D616" s="18">
        <v>81406.063773931615</v>
      </c>
      <c r="E616" s="18">
        <v>0</v>
      </c>
      <c r="F616" s="18">
        <v>72390</v>
      </c>
      <c r="G616" s="18">
        <v>81406.063773931615</v>
      </c>
    </row>
    <row r="617" spans="1:7" ht="11.25" customHeight="1" x14ac:dyDescent="0.2">
      <c r="A617" s="28">
        <v>44562</v>
      </c>
      <c r="B617" s="18">
        <v>72390</v>
      </c>
      <c r="C617" s="18">
        <v>0</v>
      </c>
      <c r="D617" s="18">
        <v>81406.063773931615</v>
      </c>
      <c r="E617" s="18">
        <v>0</v>
      </c>
      <c r="F617" s="18">
        <v>72390</v>
      </c>
      <c r="G617" s="18">
        <v>81406.063773931615</v>
      </c>
    </row>
    <row r="618" spans="1:7" ht="11.25" customHeight="1" x14ac:dyDescent="0.2">
      <c r="A618" s="28">
        <v>44593</v>
      </c>
      <c r="B618" s="18">
        <v>72390</v>
      </c>
      <c r="C618" s="18">
        <v>0</v>
      </c>
      <c r="D618" s="18">
        <v>81406.063773931615</v>
      </c>
      <c r="E618" s="18">
        <v>0</v>
      </c>
      <c r="F618" s="18">
        <v>72390</v>
      </c>
      <c r="G618" s="18">
        <v>81406.063773931615</v>
      </c>
    </row>
    <row r="619" spans="1:7" ht="11.25" customHeight="1" x14ac:dyDescent="0.2">
      <c r="A619" s="28">
        <v>44621</v>
      </c>
      <c r="B619" s="18">
        <v>72390</v>
      </c>
      <c r="C619" s="18">
        <v>0</v>
      </c>
      <c r="D619" s="18">
        <v>81406.063773931615</v>
      </c>
      <c r="E619" s="18">
        <v>0</v>
      </c>
      <c r="F619" s="18">
        <v>72390</v>
      </c>
      <c r="G619" s="18">
        <v>81406.063773931615</v>
      </c>
    </row>
    <row r="620" spans="1:7" ht="11.25" customHeight="1" x14ac:dyDescent="0.2">
      <c r="A620" s="28">
        <v>44652</v>
      </c>
      <c r="B620" s="18">
        <v>72390</v>
      </c>
      <c r="C620" s="18">
        <v>0</v>
      </c>
      <c r="D620" s="18">
        <v>81406.063773931615</v>
      </c>
      <c r="E620" s="18">
        <v>0</v>
      </c>
      <c r="F620" s="18">
        <v>72390</v>
      </c>
      <c r="G620" s="18">
        <v>81406.063773931615</v>
      </c>
    </row>
    <row r="621" spans="1:7" ht="11.25" customHeight="1" x14ac:dyDescent="0.2">
      <c r="A621" s="28">
        <v>44682</v>
      </c>
      <c r="B621" s="18">
        <v>72390</v>
      </c>
      <c r="C621" s="18">
        <v>0</v>
      </c>
      <c r="D621" s="18">
        <v>81406.063773931615</v>
      </c>
      <c r="E621" s="18">
        <v>0</v>
      </c>
      <c r="F621" s="18">
        <v>72390</v>
      </c>
      <c r="G621" s="18">
        <v>81406.063773931615</v>
      </c>
    </row>
    <row r="622" spans="1:7" ht="11.25" customHeight="1" x14ac:dyDescent="0.2">
      <c r="A622" s="26" t="s">
        <v>70</v>
      </c>
      <c r="B622" s="18">
        <v>0</v>
      </c>
      <c r="C622" s="18">
        <v>0</v>
      </c>
      <c r="D622" s="18">
        <v>0</v>
      </c>
      <c r="E622" s="18">
        <v>0</v>
      </c>
      <c r="F622" s="18">
        <v>0</v>
      </c>
      <c r="G622" s="18">
        <v>0</v>
      </c>
    </row>
    <row r="623" spans="1:7" ht="11.25" customHeight="1" x14ac:dyDescent="0.2">
      <c r="A623" s="27" t="s">
        <v>25</v>
      </c>
      <c r="B623" s="18">
        <v>0</v>
      </c>
      <c r="C623" s="18">
        <v>0</v>
      </c>
      <c r="D623" s="18">
        <v>0</v>
      </c>
      <c r="E623" s="18">
        <v>0</v>
      </c>
      <c r="F623" s="18">
        <v>0</v>
      </c>
      <c r="G623" s="18">
        <v>0</v>
      </c>
    </row>
    <row r="624" spans="1:7" ht="11.25" customHeight="1" x14ac:dyDescent="0.2">
      <c r="A624" s="28">
        <v>44348</v>
      </c>
      <c r="B624" s="18">
        <v>0</v>
      </c>
      <c r="C624" s="18">
        <v>0</v>
      </c>
      <c r="D624" s="18">
        <v>0</v>
      </c>
      <c r="E624" s="18">
        <v>0</v>
      </c>
      <c r="F624" s="18">
        <v>0</v>
      </c>
      <c r="G624" s="18">
        <v>0</v>
      </c>
    </row>
    <row r="625" spans="1:7" ht="11.25" customHeight="1" x14ac:dyDescent="0.2">
      <c r="A625" s="28">
        <v>44378</v>
      </c>
      <c r="B625" s="18">
        <v>0</v>
      </c>
      <c r="C625" s="18">
        <v>0</v>
      </c>
      <c r="D625" s="18">
        <v>0</v>
      </c>
      <c r="E625" s="18">
        <v>0</v>
      </c>
      <c r="F625" s="18">
        <v>0</v>
      </c>
      <c r="G625" s="18">
        <v>0</v>
      </c>
    </row>
    <row r="626" spans="1:7" ht="11.25" customHeight="1" x14ac:dyDescent="0.2">
      <c r="A626" s="28">
        <v>44409</v>
      </c>
      <c r="B626" s="18">
        <v>0</v>
      </c>
      <c r="C626" s="18">
        <v>0</v>
      </c>
      <c r="D626" s="18">
        <v>0</v>
      </c>
      <c r="E626" s="18">
        <v>0</v>
      </c>
      <c r="F626" s="18">
        <v>0</v>
      </c>
      <c r="G626" s="18">
        <v>0</v>
      </c>
    </row>
    <row r="627" spans="1:7" ht="11.25" customHeight="1" x14ac:dyDescent="0.2">
      <c r="A627" s="28">
        <v>44440</v>
      </c>
      <c r="B627" s="18">
        <v>0</v>
      </c>
      <c r="C627" s="18">
        <v>0</v>
      </c>
      <c r="D627" s="18">
        <v>0</v>
      </c>
      <c r="E627" s="18">
        <v>0</v>
      </c>
      <c r="F627" s="18">
        <v>0</v>
      </c>
      <c r="G627" s="18">
        <v>0</v>
      </c>
    </row>
    <row r="628" spans="1:7" ht="11.25" customHeight="1" x14ac:dyDescent="0.2">
      <c r="A628" s="28">
        <v>44470</v>
      </c>
      <c r="B628" s="18">
        <v>0</v>
      </c>
      <c r="C628" s="18">
        <v>0</v>
      </c>
      <c r="D628" s="18">
        <v>0</v>
      </c>
      <c r="E628" s="18">
        <v>0</v>
      </c>
      <c r="F628" s="18">
        <v>0</v>
      </c>
      <c r="G628" s="18">
        <v>0</v>
      </c>
    </row>
    <row r="629" spans="1:7" ht="11.25" customHeight="1" x14ac:dyDescent="0.2">
      <c r="A629" s="28">
        <v>44501</v>
      </c>
      <c r="B629" s="18">
        <v>0</v>
      </c>
      <c r="C629" s="18">
        <v>0</v>
      </c>
      <c r="D629" s="18">
        <v>0</v>
      </c>
      <c r="E629" s="18">
        <v>0</v>
      </c>
      <c r="F629" s="18">
        <v>0</v>
      </c>
      <c r="G629" s="18">
        <v>0</v>
      </c>
    </row>
    <row r="630" spans="1:7" ht="11.25" customHeight="1" x14ac:dyDescent="0.2">
      <c r="A630" s="28">
        <v>44531</v>
      </c>
      <c r="B630" s="18">
        <v>0</v>
      </c>
      <c r="C630" s="18">
        <v>0</v>
      </c>
      <c r="D630" s="18">
        <v>0</v>
      </c>
      <c r="E630" s="18">
        <v>0</v>
      </c>
      <c r="F630" s="18">
        <v>0</v>
      </c>
      <c r="G630" s="18">
        <v>0</v>
      </c>
    </row>
    <row r="631" spans="1:7" ht="11.25" customHeight="1" x14ac:dyDescent="0.2">
      <c r="A631" s="28">
        <v>44562</v>
      </c>
      <c r="B631" s="18">
        <v>0</v>
      </c>
      <c r="C631" s="18">
        <v>0</v>
      </c>
      <c r="D631" s="18">
        <v>0</v>
      </c>
      <c r="E631" s="18">
        <v>0</v>
      </c>
      <c r="F631" s="18">
        <v>0</v>
      </c>
      <c r="G631" s="18">
        <v>0</v>
      </c>
    </row>
    <row r="632" spans="1:7" ht="11.25" customHeight="1" x14ac:dyDescent="0.2">
      <c r="A632" s="28">
        <v>44593</v>
      </c>
      <c r="B632" s="18">
        <v>0</v>
      </c>
      <c r="C632" s="18">
        <v>0</v>
      </c>
      <c r="D632" s="18">
        <v>0</v>
      </c>
      <c r="E632" s="18">
        <v>0</v>
      </c>
      <c r="F632" s="18">
        <v>0</v>
      </c>
      <c r="G632" s="18">
        <v>0</v>
      </c>
    </row>
    <row r="633" spans="1:7" ht="11.25" customHeight="1" x14ac:dyDescent="0.2">
      <c r="A633" s="28">
        <v>44621</v>
      </c>
      <c r="B633" s="18">
        <v>0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</row>
    <row r="634" spans="1:7" ht="11.25" customHeight="1" x14ac:dyDescent="0.2">
      <c r="A634" s="28">
        <v>44652</v>
      </c>
      <c r="B634" s="18">
        <v>0</v>
      </c>
      <c r="C634" s="18">
        <v>0</v>
      </c>
      <c r="D634" s="18">
        <v>0</v>
      </c>
      <c r="E634" s="18">
        <v>0</v>
      </c>
      <c r="F634" s="18">
        <v>0</v>
      </c>
      <c r="G634" s="18">
        <v>0</v>
      </c>
    </row>
    <row r="635" spans="1:7" ht="11.25" customHeight="1" x14ac:dyDescent="0.2">
      <c r="A635" s="28">
        <v>44682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</row>
    <row r="636" spans="1:7" ht="11.25" customHeight="1" x14ac:dyDescent="0.2">
      <c r="A636" s="26" t="s">
        <v>78</v>
      </c>
      <c r="B636" s="18">
        <v>0</v>
      </c>
      <c r="C636" s="18">
        <v>0</v>
      </c>
      <c r="D636" s="18">
        <v>0</v>
      </c>
      <c r="E636" s="18">
        <v>0</v>
      </c>
      <c r="F636" s="18">
        <v>0</v>
      </c>
      <c r="G636" s="18">
        <v>0</v>
      </c>
    </row>
    <row r="637" spans="1:7" ht="11.25" customHeight="1" x14ac:dyDescent="0.2">
      <c r="A637" s="27" t="s">
        <v>25</v>
      </c>
      <c r="B637" s="18">
        <v>0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</row>
    <row r="638" spans="1:7" ht="11.25" customHeight="1" x14ac:dyDescent="0.2">
      <c r="A638" s="28">
        <v>44348</v>
      </c>
      <c r="B638" s="18">
        <v>0</v>
      </c>
      <c r="C638" s="18">
        <v>0</v>
      </c>
      <c r="D638" s="18">
        <v>0</v>
      </c>
      <c r="E638" s="18">
        <v>0</v>
      </c>
      <c r="F638" s="18">
        <v>0</v>
      </c>
      <c r="G638" s="18">
        <v>0</v>
      </c>
    </row>
    <row r="639" spans="1:7" ht="11.25" customHeight="1" x14ac:dyDescent="0.2">
      <c r="A639" s="28">
        <v>44378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</row>
    <row r="640" spans="1:7" ht="11.25" customHeight="1" x14ac:dyDescent="0.2">
      <c r="A640" s="28">
        <v>44409</v>
      </c>
      <c r="B640" s="18">
        <v>0</v>
      </c>
      <c r="C640" s="18">
        <v>0</v>
      </c>
      <c r="D640" s="18">
        <v>0</v>
      </c>
      <c r="E640" s="18">
        <v>0</v>
      </c>
      <c r="F640" s="18">
        <v>0</v>
      </c>
      <c r="G640" s="18">
        <v>0</v>
      </c>
    </row>
    <row r="641" spans="1:7" ht="11.25" customHeight="1" x14ac:dyDescent="0.2">
      <c r="A641" s="28">
        <v>44440</v>
      </c>
      <c r="B641" s="18">
        <v>0</v>
      </c>
      <c r="C641" s="18">
        <v>0</v>
      </c>
      <c r="D641" s="18">
        <v>0</v>
      </c>
      <c r="E641" s="18">
        <v>0</v>
      </c>
      <c r="F641" s="18">
        <v>0</v>
      </c>
      <c r="G641" s="18">
        <v>0</v>
      </c>
    </row>
    <row r="642" spans="1:7" ht="11.25" customHeight="1" x14ac:dyDescent="0.2">
      <c r="A642" s="28">
        <v>44470</v>
      </c>
      <c r="B642" s="18">
        <v>0</v>
      </c>
      <c r="C642" s="18">
        <v>0</v>
      </c>
      <c r="D642" s="18">
        <v>0</v>
      </c>
      <c r="E642" s="18">
        <v>0</v>
      </c>
      <c r="F642" s="18">
        <v>0</v>
      </c>
      <c r="G642" s="18">
        <v>0</v>
      </c>
    </row>
    <row r="643" spans="1:7" ht="11.25" customHeight="1" x14ac:dyDescent="0.2">
      <c r="A643" s="28">
        <v>44501</v>
      </c>
      <c r="B643" s="18">
        <v>0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</row>
    <row r="644" spans="1:7" ht="11.25" customHeight="1" x14ac:dyDescent="0.2">
      <c r="A644" s="28">
        <v>44531</v>
      </c>
      <c r="B644" s="18">
        <v>0</v>
      </c>
      <c r="C644" s="18">
        <v>0</v>
      </c>
      <c r="D644" s="18">
        <v>0</v>
      </c>
      <c r="E644" s="18">
        <v>0</v>
      </c>
      <c r="F644" s="18">
        <v>0</v>
      </c>
      <c r="G644" s="18">
        <v>0</v>
      </c>
    </row>
    <row r="645" spans="1:7" ht="11.25" customHeight="1" x14ac:dyDescent="0.2">
      <c r="A645" s="28">
        <v>44562</v>
      </c>
      <c r="B645" s="18">
        <v>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</row>
    <row r="646" spans="1:7" ht="11.25" customHeight="1" x14ac:dyDescent="0.2">
      <c r="A646" s="28">
        <v>44593</v>
      </c>
      <c r="B646" s="18">
        <v>0</v>
      </c>
      <c r="C646" s="18">
        <v>0</v>
      </c>
      <c r="D646" s="18">
        <v>0</v>
      </c>
      <c r="E646" s="18">
        <v>0</v>
      </c>
      <c r="F646" s="18">
        <v>0</v>
      </c>
      <c r="G646" s="18">
        <v>0</v>
      </c>
    </row>
    <row r="647" spans="1:7" ht="11.25" customHeight="1" x14ac:dyDescent="0.2">
      <c r="A647" s="28">
        <v>44621</v>
      </c>
      <c r="B647" s="18">
        <v>0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</row>
    <row r="648" spans="1:7" ht="11.25" customHeight="1" x14ac:dyDescent="0.2">
      <c r="A648" s="28">
        <v>44652</v>
      </c>
      <c r="B648" s="18">
        <v>0</v>
      </c>
      <c r="C648" s="18">
        <v>0</v>
      </c>
      <c r="D648" s="18">
        <v>0</v>
      </c>
      <c r="E648" s="18">
        <v>0</v>
      </c>
      <c r="F648" s="18">
        <v>0</v>
      </c>
      <c r="G648" s="18">
        <v>0</v>
      </c>
    </row>
    <row r="649" spans="1:7" ht="11.25" customHeight="1" x14ac:dyDescent="0.2">
      <c r="A649" s="28">
        <v>44682</v>
      </c>
      <c r="B649" s="18">
        <v>0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</row>
    <row r="650" spans="1:7" ht="11.25" customHeight="1" x14ac:dyDescent="0.2">
      <c r="A650" s="26" t="s">
        <v>80</v>
      </c>
      <c r="B650" s="18">
        <v>0</v>
      </c>
      <c r="C650" s="18">
        <v>0</v>
      </c>
      <c r="D650" s="18">
        <v>0</v>
      </c>
      <c r="E650" s="18">
        <v>0</v>
      </c>
      <c r="F650" s="18">
        <v>0</v>
      </c>
      <c r="G650" s="18">
        <v>0</v>
      </c>
    </row>
    <row r="651" spans="1:7" ht="11.25" customHeight="1" x14ac:dyDescent="0.2">
      <c r="A651" s="27" t="s">
        <v>25</v>
      </c>
      <c r="B651" s="18">
        <v>0</v>
      </c>
      <c r="C651" s="18">
        <v>0</v>
      </c>
      <c r="D651" s="18">
        <v>0</v>
      </c>
      <c r="E651" s="18">
        <v>0</v>
      </c>
      <c r="F651" s="18">
        <v>0</v>
      </c>
      <c r="G651" s="18">
        <v>0</v>
      </c>
    </row>
    <row r="652" spans="1:7" ht="11.25" customHeight="1" x14ac:dyDescent="0.2">
      <c r="A652" s="28">
        <v>44348</v>
      </c>
      <c r="B652" s="18">
        <v>0</v>
      </c>
      <c r="C652" s="18">
        <v>0</v>
      </c>
      <c r="D652" s="18">
        <v>0</v>
      </c>
      <c r="E652" s="18">
        <v>0</v>
      </c>
      <c r="F652" s="18">
        <v>0</v>
      </c>
      <c r="G652" s="18">
        <v>0</v>
      </c>
    </row>
    <row r="653" spans="1:7" ht="11.25" customHeight="1" x14ac:dyDescent="0.2">
      <c r="A653" s="28">
        <v>44378</v>
      </c>
      <c r="B653" s="18">
        <v>0</v>
      </c>
      <c r="C653" s="18">
        <v>0</v>
      </c>
      <c r="D653" s="18">
        <v>0</v>
      </c>
      <c r="E653" s="18">
        <v>0</v>
      </c>
      <c r="F653" s="18">
        <v>0</v>
      </c>
      <c r="G653" s="18">
        <v>0</v>
      </c>
    </row>
    <row r="654" spans="1:7" ht="11.25" customHeight="1" x14ac:dyDescent="0.2">
      <c r="A654" s="28">
        <v>44409</v>
      </c>
      <c r="B654" s="18">
        <v>0</v>
      </c>
      <c r="C654" s="18">
        <v>0</v>
      </c>
      <c r="D654" s="18">
        <v>0</v>
      </c>
      <c r="E654" s="18">
        <v>0</v>
      </c>
      <c r="F654" s="18">
        <v>0</v>
      </c>
      <c r="G654" s="18">
        <v>0</v>
      </c>
    </row>
    <row r="655" spans="1:7" ht="11.25" customHeight="1" x14ac:dyDescent="0.2">
      <c r="A655" s="28">
        <v>44440</v>
      </c>
      <c r="B655" s="18">
        <v>0</v>
      </c>
      <c r="C655" s="18">
        <v>0</v>
      </c>
      <c r="D655" s="18">
        <v>0</v>
      </c>
      <c r="E655" s="18">
        <v>0</v>
      </c>
      <c r="F655" s="18">
        <v>0</v>
      </c>
      <c r="G655" s="18">
        <v>0</v>
      </c>
    </row>
    <row r="656" spans="1:7" ht="11.25" customHeight="1" x14ac:dyDescent="0.2">
      <c r="A656" s="28">
        <v>44470</v>
      </c>
      <c r="B656" s="18">
        <v>0</v>
      </c>
      <c r="C656" s="18">
        <v>0</v>
      </c>
      <c r="D656" s="18">
        <v>0</v>
      </c>
      <c r="E656" s="18">
        <v>0</v>
      </c>
      <c r="F656" s="18">
        <v>0</v>
      </c>
      <c r="G656" s="18">
        <v>0</v>
      </c>
    </row>
    <row r="657" spans="1:7" ht="11.25" customHeight="1" x14ac:dyDescent="0.2">
      <c r="A657" s="28">
        <v>44501</v>
      </c>
      <c r="B657" s="18">
        <v>0</v>
      </c>
      <c r="C657" s="18">
        <v>0</v>
      </c>
      <c r="D657" s="18">
        <v>0</v>
      </c>
      <c r="E657" s="18">
        <v>0</v>
      </c>
      <c r="F657" s="18">
        <v>0</v>
      </c>
      <c r="G657" s="18">
        <v>0</v>
      </c>
    </row>
    <row r="658" spans="1:7" ht="11.25" customHeight="1" x14ac:dyDescent="0.2">
      <c r="A658" s="28">
        <v>44531</v>
      </c>
      <c r="B658" s="18">
        <v>0</v>
      </c>
      <c r="C658" s="18">
        <v>0</v>
      </c>
      <c r="D658" s="18">
        <v>0</v>
      </c>
      <c r="E658" s="18">
        <v>0</v>
      </c>
      <c r="F658" s="18">
        <v>0</v>
      </c>
      <c r="G658" s="18">
        <v>0</v>
      </c>
    </row>
    <row r="659" spans="1:7" ht="11.25" customHeight="1" x14ac:dyDescent="0.2">
      <c r="A659" s="28">
        <v>44562</v>
      </c>
      <c r="B659" s="18">
        <v>0</v>
      </c>
      <c r="C659" s="18">
        <v>0</v>
      </c>
      <c r="D659" s="18">
        <v>0</v>
      </c>
      <c r="E659" s="18">
        <v>0</v>
      </c>
      <c r="F659" s="18">
        <v>0</v>
      </c>
      <c r="G659" s="18">
        <v>0</v>
      </c>
    </row>
    <row r="660" spans="1:7" ht="11.25" customHeight="1" x14ac:dyDescent="0.2">
      <c r="A660" s="28">
        <v>44593</v>
      </c>
      <c r="B660" s="18">
        <v>0</v>
      </c>
      <c r="C660" s="18">
        <v>0</v>
      </c>
      <c r="D660" s="18">
        <v>0</v>
      </c>
      <c r="E660" s="18">
        <v>0</v>
      </c>
      <c r="F660" s="18">
        <v>0</v>
      </c>
      <c r="G660" s="18">
        <v>0</v>
      </c>
    </row>
    <row r="661" spans="1:7" ht="11.25" customHeight="1" x14ac:dyDescent="0.2">
      <c r="A661" s="28">
        <v>44621</v>
      </c>
      <c r="B661" s="18">
        <v>0</v>
      </c>
      <c r="C661" s="18">
        <v>0</v>
      </c>
      <c r="D661" s="18">
        <v>0</v>
      </c>
      <c r="E661" s="18">
        <v>0</v>
      </c>
      <c r="F661" s="18">
        <v>0</v>
      </c>
      <c r="G661" s="18">
        <v>0</v>
      </c>
    </row>
    <row r="662" spans="1:7" ht="11.25" customHeight="1" x14ac:dyDescent="0.2">
      <c r="A662" s="28">
        <v>44652</v>
      </c>
      <c r="B662" s="18">
        <v>0</v>
      </c>
      <c r="C662" s="18">
        <v>0</v>
      </c>
      <c r="D662" s="18">
        <v>0</v>
      </c>
      <c r="E662" s="18">
        <v>0</v>
      </c>
      <c r="F662" s="18">
        <v>0</v>
      </c>
      <c r="G662" s="18">
        <v>0</v>
      </c>
    </row>
    <row r="663" spans="1:7" ht="11.25" customHeight="1" x14ac:dyDescent="0.2">
      <c r="A663" s="28">
        <v>44682</v>
      </c>
      <c r="B663" s="18">
        <v>0</v>
      </c>
      <c r="C663" s="18">
        <v>0</v>
      </c>
      <c r="D663" s="18">
        <v>0</v>
      </c>
      <c r="E663" s="18">
        <v>0</v>
      </c>
      <c r="F663" s="18">
        <v>0</v>
      </c>
      <c r="G663" s="18">
        <v>0</v>
      </c>
    </row>
    <row r="664" spans="1:7" ht="11.25" customHeight="1" x14ac:dyDescent="0.2">
      <c r="A664" s="26" t="s">
        <v>95</v>
      </c>
      <c r="B664" s="18">
        <v>107899.20000000003</v>
      </c>
      <c r="C664" s="18">
        <v>0</v>
      </c>
      <c r="D664" s="18">
        <v>121337.88031988124</v>
      </c>
      <c r="E664" s="18">
        <v>0</v>
      </c>
      <c r="F664" s="18">
        <v>107899.20000000003</v>
      </c>
      <c r="G664" s="18">
        <v>121337.88031988124</v>
      </c>
    </row>
    <row r="665" spans="1:7" ht="11.25" customHeight="1" x14ac:dyDescent="0.2">
      <c r="A665" s="27" t="s">
        <v>25</v>
      </c>
      <c r="B665" s="18">
        <v>107899.20000000003</v>
      </c>
      <c r="C665" s="18">
        <v>0</v>
      </c>
      <c r="D665" s="18">
        <v>121337.88031988124</v>
      </c>
      <c r="E665" s="18">
        <v>0</v>
      </c>
      <c r="F665" s="18">
        <v>107899.20000000003</v>
      </c>
      <c r="G665" s="18">
        <v>121337.88031988124</v>
      </c>
    </row>
    <row r="666" spans="1:7" ht="11.25" customHeight="1" x14ac:dyDescent="0.2">
      <c r="A666" s="28">
        <v>44348</v>
      </c>
      <c r="B666" s="18">
        <v>8991.6</v>
      </c>
      <c r="C666" s="18">
        <v>0</v>
      </c>
      <c r="D666" s="18">
        <v>10111.490026656767</v>
      </c>
      <c r="E666" s="18">
        <v>0</v>
      </c>
      <c r="F666" s="18">
        <v>8991.6</v>
      </c>
      <c r="G666" s="18">
        <v>10111.490026656767</v>
      </c>
    </row>
    <row r="667" spans="1:7" ht="11.25" customHeight="1" x14ac:dyDescent="0.2">
      <c r="A667" s="28">
        <v>44378</v>
      </c>
      <c r="B667" s="18">
        <v>8991.6</v>
      </c>
      <c r="C667" s="18">
        <v>0</v>
      </c>
      <c r="D667" s="18">
        <v>10111.490026656767</v>
      </c>
      <c r="E667" s="18">
        <v>0</v>
      </c>
      <c r="F667" s="18">
        <v>8991.6</v>
      </c>
      <c r="G667" s="18">
        <v>10111.490026656767</v>
      </c>
    </row>
    <row r="668" spans="1:7" ht="11.25" customHeight="1" x14ac:dyDescent="0.2">
      <c r="A668" s="28">
        <v>44409</v>
      </c>
      <c r="B668" s="18">
        <v>8991.6</v>
      </c>
      <c r="C668" s="18">
        <v>0</v>
      </c>
      <c r="D668" s="18">
        <v>10111.490026656767</v>
      </c>
      <c r="E668" s="18">
        <v>0</v>
      </c>
      <c r="F668" s="18">
        <v>8991.6</v>
      </c>
      <c r="G668" s="18">
        <v>10111.490026656767</v>
      </c>
    </row>
    <row r="669" spans="1:7" ht="11.25" customHeight="1" x14ac:dyDescent="0.2">
      <c r="A669" s="28">
        <v>44440</v>
      </c>
      <c r="B669" s="18">
        <v>8991.6</v>
      </c>
      <c r="C669" s="18">
        <v>0</v>
      </c>
      <c r="D669" s="18">
        <v>10111.490026656767</v>
      </c>
      <c r="E669" s="18">
        <v>0</v>
      </c>
      <c r="F669" s="18">
        <v>8991.6</v>
      </c>
      <c r="G669" s="18">
        <v>10111.490026656767</v>
      </c>
    </row>
    <row r="670" spans="1:7" ht="11.25" customHeight="1" x14ac:dyDescent="0.2">
      <c r="A670" s="28">
        <v>44470</v>
      </c>
      <c r="B670" s="18">
        <v>8991.6</v>
      </c>
      <c r="C670" s="18">
        <v>0</v>
      </c>
      <c r="D670" s="18">
        <v>10111.490026656767</v>
      </c>
      <c r="E670" s="18">
        <v>0</v>
      </c>
      <c r="F670" s="18">
        <v>8991.6</v>
      </c>
      <c r="G670" s="18">
        <v>10111.490026656767</v>
      </c>
    </row>
    <row r="671" spans="1:7" ht="11.25" customHeight="1" x14ac:dyDescent="0.2">
      <c r="A671" s="28">
        <v>44501</v>
      </c>
      <c r="B671" s="18">
        <v>8991.6</v>
      </c>
      <c r="C671" s="18">
        <v>0</v>
      </c>
      <c r="D671" s="18">
        <v>10111.490026656767</v>
      </c>
      <c r="E671" s="18">
        <v>0</v>
      </c>
      <c r="F671" s="18">
        <v>8991.6</v>
      </c>
      <c r="G671" s="18">
        <v>10111.490026656767</v>
      </c>
    </row>
    <row r="672" spans="1:7" ht="11.25" customHeight="1" x14ac:dyDescent="0.2">
      <c r="A672" s="28">
        <v>44531</v>
      </c>
      <c r="B672" s="18">
        <v>8991.6</v>
      </c>
      <c r="C672" s="18">
        <v>0</v>
      </c>
      <c r="D672" s="18">
        <v>10111.490026656767</v>
      </c>
      <c r="E672" s="18">
        <v>0</v>
      </c>
      <c r="F672" s="18">
        <v>8991.6</v>
      </c>
      <c r="G672" s="18">
        <v>10111.490026656767</v>
      </c>
    </row>
    <row r="673" spans="1:7" ht="11.25" customHeight="1" x14ac:dyDescent="0.2">
      <c r="A673" s="28">
        <v>44562</v>
      </c>
      <c r="B673" s="18">
        <v>8991.6</v>
      </c>
      <c r="C673" s="18">
        <v>0</v>
      </c>
      <c r="D673" s="18">
        <v>10111.490026656767</v>
      </c>
      <c r="E673" s="18">
        <v>0</v>
      </c>
      <c r="F673" s="18">
        <v>8991.6</v>
      </c>
      <c r="G673" s="18">
        <v>10111.490026656767</v>
      </c>
    </row>
    <row r="674" spans="1:7" ht="11.25" customHeight="1" x14ac:dyDescent="0.2">
      <c r="A674" s="28">
        <v>44593</v>
      </c>
      <c r="B674" s="18">
        <v>8991.6</v>
      </c>
      <c r="C674" s="18">
        <v>0</v>
      </c>
      <c r="D674" s="18">
        <v>10111.490026656767</v>
      </c>
      <c r="E674" s="18">
        <v>0</v>
      </c>
      <c r="F674" s="18">
        <v>8991.6</v>
      </c>
      <c r="G674" s="18">
        <v>10111.490026656767</v>
      </c>
    </row>
    <row r="675" spans="1:7" ht="11.25" customHeight="1" x14ac:dyDescent="0.2">
      <c r="A675" s="28">
        <v>44621</v>
      </c>
      <c r="B675" s="18">
        <v>8991.6</v>
      </c>
      <c r="C675" s="18">
        <v>0</v>
      </c>
      <c r="D675" s="18">
        <v>10111.490026656767</v>
      </c>
      <c r="E675" s="18">
        <v>0</v>
      </c>
      <c r="F675" s="18">
        <v>8991.6</v>
      </c>
      <c r="G675" s="18">
        <v>10111.490026656767</v>
      </c>
    </row>
    <row r="676" spans="1:7" ht="11.25" customHeight="1" x14ac:dyDescent="0.2">
      <c r="A676" s="28">
        <v>44652</v>
      </c>
      <c r="B676" s="18">
        <v>8991.6</v>
      </c>
      <c r="C676" s="18">
        <v>0</v>
      </c>
      <c r="D676" s="18">
        <v>10111.490026656767</v>
      </c>
      <c r="E676" s="18">
        <v>0</v>
      </c>
      <c r="F676" s="18">
        <v>8991.6</v>
      </c>
      <c r="G676" s="18">
        <v>10111.490026656767</v>
      </c>
    </row>
    <row r="677" spans="1:7" ht="11.25" customHeight="1" x14ac:dyDescent="0.2">
      <c r="A677" s="28">
        <v>44682</v>
      </c>
      <c r="B677" s="18">
        <v>8991.6</v>
      </c>
      <c r="C677" s="18">
        <v>0</v>
      </c>
      <c r="D677" s="18">
        <v>10111.490026656767</v>
      </c>
      <c r="E677" s="18">
        <v>0</v>
      </c>
      <c r="F677" s="18">
        <v>8991.6</v>
      </c>
      <c r="G677" s="18">
        <v>10111.490026656767</v>
      </c>
    </row>
    <row r="678" spans="1:7" ht="11.25" customHeight="1" x14ac:dyDescent="0.2">
      <c r="A678" s="26" t="s">
        <v>79</v>
      </c>
      <c r="B678" s="18">
        <v>0</v>
      </c>
      <c r="C678" s="18">
        <v>0</v>
      </c>
      <c r="D678" s="18">
        <v>0</v>
      </c>
      <c r="E678" s="18">
        <v>0</v>
      </c>
      <c r="F678" s="18">
        <v>0</v>
      </c>
      <c r="G678" s="18">
        <v>0</v>
      </c>
    </row>
    <row r="679" spans="1:7" ht="11.25" customHeight="1" x14ac:dyDescent="0.2">
      <c r="A679" s="27" t="s">
        <v>25</v>
      </c>
      <c r="B679" s="18">
        <v>0</v>
      </c>
      <c r="C679" s="18">
        <v>0</v>
      </c>
      <c r="D679" s="18">
        <v>0</v>
      </c>
      <c r="E679" s="18">
        <v>0</v>
      </c>
      <c r="F679" s="18">
        <v>0</v>
      </c>
      <c r="G679" s="18">
        <v>0</v>
      </c>
    </row>
    <row r="680" spans="1:7" ht="11.25" customHeight="1" x14ac:dyDescent="0.2">
      <c r="A680" s="28">
        <v>44348</v>
      </c>
      <c r="B680" s="18">
        <v>0</v>
      </c>
      <c r="C680" s="18">
        <v>0</v>
      </c>
      <c r="D680" s="18">
        <v>0</v>
      </c>
      <c r="E680" s="18">
        <v>0</v>
      </c>
      <c r="F680" s="18">
        <v>0</v>
      </c>
      <c r="G680" s="18">
        <v>0</v>
      </c>
    </row>
    <row r="681" spans="1:7" ht="11.25" customHeight="1" x14ac:dyDescent="0.2">
      <c r="A681" s="28">
        <v>44378</v>
      </c>
      <c r="B681" s="18">
        <v>0</v>
      </c>
      <c r="C681" s="18">
        <v>0</v>
      </c>
      <c r="D681" s="18">
        <v>0</v>
      </c>
      <c r="E681" s="18">
        <v>0</v>
      </c>
      <c r="F681" s="18">
        <v>0</v>
      </c>
      <c r="G681" s="18">
        <v>0</v>
      </c>
    </row>
    <row r="682" spans="1:7" ht="11.25" customHeight="1" x14ac:dyDescent="0.2">
      <c r="A682" s="28">
        <v>44409</v>
      </c>
      <c r="B682" s="18">
        <v>0</v>
      </c>
      <c r="C682" s="18">
        <v>0</v>
      </c>
      <c r="D682" s="18">
        <v>0</v>
      </c>
      <c r="E682" s="18">
        <v>0</v>
      </c>
      <c r="F682" s="18">
        <v>0</v>
      </c>
      <c r="G682" s="18">
        <v>0</v>
      </c>
    </row>
    <row r="683" spans="1:7" ht="11.25" customHeight="1" x14ac:dyDescent="0.2">
      <c r="A683" s="28">
        <v>44440</v>
      </c>
      <c r="B683" s="18">
        <v>0</v>
      </c>
      <c r="C683" s="18">
        <v>0</v>
      </c>
      <c r="D683" s="18">
        <v>0</v>
      </c>
      <c r="E683" s="18">
        <v>0</v>
      </c>
      <c r="F683" s="18">
        <v>0</v>
      </c>
      <c r="G683" s="18">
        <v>0</v>
      </c>
    </row>
    <row r="684" spans="1:7" ht="11.25" customHeight="1" x14ac:dyDescent="0.2">
      <c r="A684" s="28">
        <v>44470</v>
      </c>
      <c r="B684" s="18">
        <v>0</v>
      </c>
      <c r="C684" s="18">
        <v>0</v>
      </c>
      <c r="D684" s="18">
        <v>0</v>
      </c>
      <c r="E684" s="18">
        <v>0</v>
      </c>
      <c r="F684" s="18">
        <v>0</v>
      </c>
      <c r="G684" s="18">
        <v>0</v>
      </c>
    </row>
    <row r="685" spans="1:7" ht="11.25" customHeight="1" x14ac:dyDescent="0.2">
      <c r="A685" s="28">
        <v>44501</v>
      </c>
      <c r="B685" s="18">
        <v>0</v>
      </c>
      <c r="C685" s="18">
        <v>0</v>
      </c>
      <c r="D685" s="18">
        <v>0</v>
      </c>
      <c r="E685" s="18">
        <v>0</v>
      </c>
      <c r="F685" s="18">
        <v>0</v>
      </c>
      <c r="G685" s="18">
        <v>0</v>
      </c>
    </row>
    <row r="686" spans="1:7" ht="11.25" customHeight="1" x14ac:dyDescent="0.2">
      <c r="A686" s="28">
        <v>44531</v>
      </c>
      <c r="B686" s="18">
        <v>0</v>
      </c>
      <c r="C686" s="18">
        <v>0</v>
      </c>
      <c r="D686" s="18">
        <v>0</v>
      </c>
      <c r="E686" s="18">
        <v>0</v>
      </c>
      <c r="F686" s="18">
        <v>0</v>
      </c>
      <c r="G686" s="18">
        <v>0</v>
      </c>
    </row>
    <row r="687" spans="1:7" ht="11.25" customHeight="1" x14ac:dyDescent="0.2">
      <c r="A687" s="28">
        <v>44562</v>
      </c>
      <c r="B687" s="18">
        <v>0</v>
      </c>
      <c r="C687" s="18">
        <v>0</v>
      </c>
      <c r="D687" s="18">
        <v>0</v>
      </c>
      <c r="E687" s="18">
        <v>0</v>
      </c>
      <c r="F687" s="18">
        <v>0</v>
      </c>
      <c r="G687" s="18">
        <v>0</v>
      </c>
    </row>
    <row r="688" spans="1:7" ht="11.25" customHeight="1" x14ac:dyDescent="0.2">
      <c r="A688" s="28">
        <v>44593</v>
      </c>
      <c r="B688" s="18">
        <v>0</v>
      </c>
      <c r="C688" s="18">
        <v>0</v>
      </c>
      <c r="D688" s="18">
        <v>0</v>
      </c>
      <c r="E688" s="18">
        <v>0</v>
      </c>
      <c r="F688" s="18">
        <v>0</v>
      </c>
      <c r="G688" s="18">
        <v>0</v>
      </c>
    </row>
    <row r="689" spans="1:7" ht="11.25" customHeight="1" x14ac:dyDescent="0.2">
      <c r="A689" s="28">
        <v>44621</v>
      </c>
      <c r="B689" s="18">
        <v>0</v>
      </c>
      <c r="C689" s="18">
        <v>0</v>
      </c>
      <c r="D689" s="18">
        <v>0</v>
      </c>
      <c r="E689" s="18">
        <v>0</v>
      </c>
      <c r="F689" s="18">
        <v>0</v>
      </c>
      <c r="G689" s="18">
        <v>0</v>
      </c>
    </row>
    <row r="690" spans="1:7" ht="11.25" customHeight="1" x14ac:dyDescent="0.2">
      <c r="A690" s="28">
        <v>44652</v>
      </c>
      <c r="B690" s="18">
        <v>0</v>
      </c>
      <c r="C690" s="18">
        <v>0</v>
      </c>
      <c r="D690" s="18">
        <v>0</v>
      </c>
      <c r="E690" s="18">
        <v>0</v>
      </c>
      <c r="F690" s="18">
        <v>0</v>
      </c>
      <c r="G690" s="18">
        <v>0</v>
      </c>
    </row>
    <row r="691" spans="1:7" ht="11.25" customHeight="1" x14ac:dyDescent="0.2">
      <c r="A691" s="28">
        <v>44682</v>
      </c>
      <c r="B691" s="18">
        <v>0</v>
      </c>
      <c r="C691" s="18">
        <v>0</v>
      </c>
      <c r="D691" s="18">
        <v>0</v>
      </c>
      <c r="E691" s="18">
        <v>0</v>
      </c>
      <c r="F691" s="18">
        <v>0</v>
      </c>
      <c r="G691" s="18">
        <v>0</v>
      </c>
    </row>
    <row r="692" spans="1:7" ht="11.25" customHeight="1" x14ac:dyDescent="0.2">
      <c r="A692" s="26" t="s">
        <v>96</v>
      </c>
      <c r="B692" s="18">
        <v>91440</v>
      </c>
      <c r="C692" s="18">
        <v>0</v>
      </c>
      <c r="D692" s="18">
        <v>102828.71213549253</v>
      </c>
      <c r="E692" s="18">
        <v>0</v>
      </c>
      <c r="F692" s="18">
        <v>91440</v>
      </c>
      <c r="G692" s="18">
        <v>102828.71213549253</v>
      </c>
    </row>
    <row r="693" spans="1:7" ht="11.25" customHeight="1" x14ac:dyDescent="0.2">
      <c r="A693" s="27" t="s">
        <v>25</v>
      </c>
      <c r="B693" s="18">
        <v>91440</v>
      </c>
      <c r="C693" s="18">
        <v>0</v>
      </c>
      <c r="D693" s="18">
        <v>102828.71213549253</v>
      </c>
      <c r="E693" s="18">
        <v>0</v>
      </c>
      <c r="F693" s="18">
        <v>91440</v>
      </c>
      <c r="G693" s="18">
        <v>102828.71213549253</v>
      </c>
    </row>
    <row r="694" spans="1:7" ht="11.25" customHeight="1" x14ac:dyDescent="0.2">
      <c r="A694" s="28">
        <v>44348</v>
      </c>
      <c r="B694" s="18">
        <v>7620</v>
      </c>
      <c r="C694" s="18">
        <v>0</v>
      </c>
      <c r="D694" s="18">
        <v>8569.0593446243802</v>
      </c>
      <c r="E694" s="18">
        <v>0</v>
      </c>
      <c r="F694" s="18">
        <v>7620</v>
      </c>
      <c r="G694" s="18">
        <v>8569.0593446243802</v>
      </c>
    </row>
    <row r="695" spans="1:7" ht="11.25" customHeight="1" x14ac:dyDescent="0.2">
      <c r="A695" s="28">
        <v>44378</v>
      </c>
      <c r="B695" s="18">
        <v>7620</v>
      </c>
      <c r="C695" s="18">
        <v>0</v>
      </c>
      <c r="D695" s="18">
        <v>8569.0593446243802</v>
      </c>
      <c r="E695" s="18">
        <v>0</v>
      </c>
      <c r="F695" s="18">
        <v>7620</v>
      </c>
      <c r="G695" s="18">
        <v>8569.0593446243802</v>
      </c>
    </row>
    <row r="696" spans="1:7" ht="11.25" customHeight="1" x14ac:dyDescent="0.2">
      <c r="A696" s="28">
        <v>44409</v>
      </c>
      <c r="B696" s="18">
        <v>7620</v>
      </c>
      <c r="C696" s="18">
        <v>0</v>
      </c>
      <c r="D696" s="18">
        <v>8569.0593446243802</v>
      </c>
      <c r="E696" s="18">
        <v>0</v>
      </c>
      <c r="F696" s="18">
        <v>7620</v>
      </c>
      <c r="G696" s="18">
        <v>8569.0593446243802</v>
      </c>
    </row>
    <row r="697" spans="1:7" ht="11.25" customHeight="1" x14ac:dyDescent="0.2">
      <c r="A697" s="28">
        <v>44440</v>
      </c>
      <c r="B697" s="18">
        <v>7620</v>
      </c>
      <c r="C697" s="18">
        <v>0</v>
      </c>
      <c r="D697" s="18">
        <v>8569.0593446243802</v>
      </c>
      <c r="E697" s="18">
        <v>0</v>
      </c>
      <c r="F697" s="18">
        <v>7620</v>
      </c>
      <c r="G697" s="18">
        <v>8569.0593446243802</v>
      </c>
    </row>
    <row r="698" spans="1:7" ht="11.25" customHeight="1" x14ac:dyDescent="0.2">
      <c r="A698" s="28">
        <v>44470</v>
      </c>
      <c r="B698" s="18">
        <v>7620</v>
      </c>
      <c r="C698" s="18">
        <v>0</v>
      </c>
      <c r="D698" s="18">
        <v>8569.0593446243802</v>
      </c>
      <c r="E698" s="18">
        <v>0</v>
      </c>
      <c r="F698" s="18">
        <v>7620</v>
      </c>
      <c r="G698" s="18">
        <v>8569.0593446243802</v>
      </c>
    </row>
    <row r="699" spans="1:7" ht="11.25" customHeight="1" x14ac:dyDescent="0.2">
      <c r="A699" s="28">
        <v>44501</v>
      </c>
      <c r="B699" s="18">
        <v>7620</v>
      </c>
      <c r="C699" s="18">
        <v>0</v>
      </c>
      <c r="D699" s="18">
        <v>8569.0593446243802</v>
      </c>
      <c r="E699" s="18">
        <v>0</v>
      </c>
      <c r="F699" s="18">
        <v>7620</v>
      </c>
      <c r="G699" s="18">
        <v>8569.0593446243802</v>
      </c>
    </row>
    <row r="700" spans="1:7" ht="11.25" customHeight="1" x14ac:dyDescent="0.2">
      <c r="A700" s="28">
        <v>44531</v>
      </c>
      <c r="B700" s="18">
        <v>7620</v>
      </c>
      <c r="C700" s="18">
        <v>0</v>
      </c>
      <c r="D700" s="18">
        <v>8569.0593446243802</v>
      </c>
      <c r="E700" s="18">
        <v>0</v>
      </c>
      <c r="F700" s="18">
        <v>7620</v>
      </c>
      <c r="G700" s="18">
        <v>8569.0593446243802</v>
      </c>
    </row>
    <row r="701" spans="1:7" ht="11.25" customHeight="1" x14ac:dyDescent="0.2">
      <c r="A701" s="28">
        <v>44562</v>
      </c>
      <c r="B701" s="18">
        <v>7620</v>
      </c>
      <c r="C701" s="18">
        <v>0</v>
      </c>
      <c r="D701" s="18">
        <v>8569.0593446243802</v>
      </c>
      <c r="E701" s="18">
        <v>0</v>
      </c>
      <c r="F701" s="18">
        <v>7620</v>
      </c>
      <c r="G701" s="18">
        <v>8569.0593446243802</v>
      </c>
    </row>
    <row r="702" spans="1:7" ht="11.25" customHeight="1" x14ac:dyDescent="0.2">
      <c r="A702" s="28">
        <v>44593</v>
      </c>
      <c r="B702" s="18">
        <v>7620</v>
      </c>
      <c r="C702" s="18">
        <v>0</v>
      </c>
      <c r="D702" s="18">
        <v>8569.0593446243802</v>
      </c>
      <c r="E702" s="18">
        <v>0</v>
      </c>
      <c r="F702" s="18">
        <v>7620</v>
      </c>
      <c r="G702" s="18">
        <v>8569.0593446243802</v>
      </c>
    </row>
    <row r="703" spans="1:7" ht="11.25" customHeight="1" x14ac:dyDescent="0.2">
      <c r="A703" s="28">
        <v>44621</v>
      </c>
      <c r="B703" s="18">
        <v>7620</v>
      </c>
      <c r="C703" s="18">
        <v>0</v>
      </c>
      <c r="D703" s="18">
        <v>8569.0593446243802</v>
      </c>
      <c r="E703" s="18">
        <v>0</v>
      </c>
      <c r="F703" s="18">
        <v>7620</v>
      </c>
      <c r="G703" s="18">
        <v>8569.0593446243802</v>
      </c>
    </row>
    <row r="704" spans="1:7" ht="11.25" customHeight="1" x14ac:dyDescent="0.2">
      <c r="A704" s="28">
        <v>44652</v>
      </c>
      <c r="B704" s="18">
        <v>7620</v>
      </c>
      <c r="C704" s="18">
        <v>0</v>
      </c>
      <c r="D704" s="18">
        <v>8569.0593446243802</v>
      </c>
      <c r="E704" s="18">
        <v>0</v>
      </c>
      <c r="F704" s="18">
        <v>7620</v>
      </c>
      <c r="G704" s="18">
        <v>8569.0593446243802</v>
      </c>
    </row>
    <row r="705" spans="1:7" ht="11.25" customHeight="1" x14ac:dyDescent="0.2">
      <c r="A705" s="28">
        <v>44682</v>
      </c>
      <c r="B705" s="18">
        <v>7620</v>
      </c>
      <c r="C705" s="18">
        <v>0</v>
      </c>
      <c r="D705" s="18">
        <v>8569.0593446243802</v>
      </c>
      <c r="E705" s="18">
        <v>0</v>
      </c>
      <c r="F705" s="18">
        <v>7620</v>
      </c>
      <c r="G705" s="18">
        <v>8569.0593446243802</v>
      </c>
    </row>
    <row r="706" spans="1:7" ht="11.25" customHeight="1" x14ac:dyDescent="0.2">
      <c r="A706" s="26" t="s">
        <v>90</v>
      </c>
      <c r="B706" s="18">
        <v>0</v>
      </c>
      <c r="C706" s="18">
        <v>0</v>
      </c>
      <c r="D706" s="18">
        <v>0</v>
      </c>
      <c r="E706" s="18">
        <v>0</v>
      </c>
      <c r="F706" s="18">
        <v>0</v>
      </c>
      <c r="G706" s="18">
        <v>0</v>
      </c>
    </row>
    <row r="707" spans="1:7" ht="11.25" customHeight="1" x14ac:dyDescent="0.2">
      <c r="A707" s="27" t="s">
        <v>25</v>
      </c>
      <c r="B707" s="18">
        <v>0</v>
      </c>
      <c r="C707" s="18">
        <v>0</v>
      </c>
      <c r="D707" s="18">
        <v>0</v>
      </c>
      <c r="E707" s="18">
        <v>0</v>
      </c>
      <c r="F707" s="18">
        <v>0</v>
      </c>
      <c r="G707" s="18">
        <v>0</v>
      </c>
    </row>
    <row r="708" spans="1:7" ht="11.25" customHeight="1" x14ac:dyDescent="0.2">
      <c r="A708" s="28">
        <v>44348</v>
      </c>
      <c r="B708" s="18">
        <v>0</v>
      </c>
      <c r="C708" s="18">
        <v>0</v>
      </c>
      <c r="D708" s="18">
        <v>0</v>
      </c>
      <c r="E708" s="18">
        <v>0</v>
      </c>
      <c r="F708" s="18">
        <v>0</v>
      </c>
      <c r="G708" s="18">
        <v>0</v>
      </c>
    </row>
    <row r="709" spans="1:7" ht="11.25" customHeight="1" x14ac:dyDescent="0.2">
      <c r="A709" s="28">
        <v>44378</v>
      </c>
      <c r="B709" s="18">
        <v>0</v>
      </c>
      <c r="C709" s="18">
        <v>0</v>
      </c>
      <c r="D709" s="18">
        <v>0</v>
      </c>
      <c r="E709" s="18">
        <v>0</v>
      </c>
      <c r="F709" s="18">
        <v>0</v>
      </c>
      <c r="G709" s="18">
        <v>0</v>
      </c>
    </row>
    <row r="710" spans="1:7" ht="11.25" customHeight="1" x14ac:dyDescent="0.2">
      <c r="A710" s="28">
        <v>44409</v>
      </c>
      <c r="B710" s="18">
        <v>0</v>
      </c>
      <c r="C710" s="18">
        <v>0</v>
      </c>
      <c r="D710" s="18">
        <v>0</v>
      </c>
      <c r="E710" s="18">
        <v>0</v>
      </c>
      <c r="F710" s="18">
        <v>0</v>
      </c>
      <c r="G710" s="18">
        <v>0</v>
      </c>
    </row>
    <row r="711" spans="1:7" ht="11.25" customHeight="1" x14ac:dyDescent="0.2">
      <c r="A711" s="28">
        <v>44440</v>
      </c>
      <c r="B711" s="18">
        <v>0</v>
      </c>
      <c r="C711" s="18">
        <v>0</v>
      </c>
      <c r="D711" s="18">
        <v>0</v>
      </c>
      <c r="E711" s="18">
        <v>0</v>
      </c>
      <c r="F711" s="18">
        <v>0</v>
      </c>
      <c r="G711" s="18">
        <v>0</v>
      </c>
    </row>
    <row r="712" spans="1:7" ht="11.25" customHeight="1" x14ac:dyDescent="0.2">
      <c r="A712" s="28">
        <v>44470</v>
      </c>
      <c r="B712" s="18">
        <v>0</v>
      </c>
      <c r="C712" s="18">
        <v>0</v>
      </c>
      <c r="D712" s="18">
        <v>0</v>
      </c>
      <c r="E712" s="18">
        <v>0</v>
      </c>
      <c r="F712" s="18">
        <v>0</v>
      </c>
      <c r="G712" s="18">
        <v>0</v>
      </c>
    </row>
    <row r="713" spans="1:7" ht="11.25" customHeight="1" x14ac:dyDescent="0.2">
      <c r="A713" s="28">
        <v>44501</v>
      </c>
      <c r="B713" s="18">
        <v>0</v>
      </c>
      <c r="C713" s="18">
        <v>0</v>
      </c>
      <c r="D713" s="18">
        <v>0</v>
      </c>
      <c r="E713" s="18">
        <v>0</v>
      </c>
      <c r="F713" s="18">
        <v>0</v>
      </c>
      <c r="G713" s="18">
        <v>0</v>
      </c>
    </row>
    <row r="714" spans="1:7" ht="11.25" customHeight="1" x14ac:dyDescent="0.2">
      <c r="A714" s="28">
        <v>44531</v>
      </c>
      <c r="B714" s="18">
        <v>0</v>
      </c>
      <c r="C714" s="18">
        <v>0</v>
      </c>
      <c r="D714" s="18">
        <v>0</v>
      </c>
      <c r="E714" s="18">
        <v>0</v>
      </c>
      <c r="F714" s="18">
        <v>0</v>
      </c>
      <c r="G714" s="18">
        <v>0</v>
      </c>
    </row>
    <row r="715" spans="1:7" ht="11.25" customHeight="1" x14ac:dyDescent="0.2">
      <c r="A715" s="28">
        <v>44562</v>
      </c>
      <c r="B715" s="18">
        <v>0</v>
      </c>
      <c r="C715" s="18">
        <v>0</v>
      </c>
      <c r="D715" s="18">
        <v>0</v>
      </c>
      <c r="E715" s="18">
        <v>0</v>
      </c>
      <c r="F715" s="18">
        <v>0</v>
      </c>
      <c r="G715" s="18">
        <v>0</v>
      </c>
    </row>
    <row r="716" spans="1:7" ht="11.25" customHeight="1" x14ac:dyDescent="0.2">
      <c r="A716" s="28">
        <v>44593</v>
      </c>
      <c r="B716" s="18">
        <v>0</v>
      </c>
      <c r="C716" s="18">
        <v>0</v>
      </c>
      <c r="D716" s="18">
        <v>0</v>
      </c>
      <c r="E716" s="18">
        <v>0</v>
      </c>
      <c r="F716" s="18">
        <v>0</v>
      </c>
      <c r="G716" s="18">
        <v>0</v>
      </c>
    </row>
    <row r="717" spans="1:7" ht="11.25" customHeight="1" x14ac:dyDescent="0.2">
      <c r="A717" s="28">
        <v>44621</v>
      </c>
      <c r="B717" s="18">
        <v>0</v>
      </c>
      <c r="C717" s="18">
        <v>0</v>
      </c>
      <c r="D717" s="18">
        <v>0</v>
      </c>
      <c r="E717" s="18">
        <v>0</v>
      </c>
      <c r="F717" s="18">
        <v>0</v>
      </c>
      <c r="G717" s="18">
        <v>0</v>
      </c>
    </row>
    <row r="718" spans="1:7" ht="11.25" customHeight="1" x14ac:dyDescent="0.2">
      <c r="A718" s="28">
        <v>44652</v>
      </c>
      <c r="B718" s="18">
        <v>0</v>
      </c>
      <c r="C718" s="18">
        <v>0</v>
      </c>
      <c r="D718" s="18">
        <v>0</v>
      </c>
      <c r="E718" s="18">
        <v>0</v>
      </c>
      <c r="F718" s="18">
        <v>0</v>
      </c>
      <c r="G718" s="18">
        <v>0</v>
      </c>
    </row>
    <row r="719" spans="1:7" ht="11.25" customHeight="1" x14ac:dyDescent="0.2">
      <c r="A719" s="28">
        <v>44682</v>
      </c>
      <c r="B719" s="18">
        <v>0</v>
      </c>
      <c r="C719" s="18">
        <v>0</v>
      </c>
      <c r="D719" s="18">
        <v>0</v>
      </c>
      <c r="E719" s="18">
        <v>0</v>
      </c>
      <c r="F719" s="18">
        <v>0</v>
      </c>
      <c r="G719" s="18">
        <v>0</v>
      </c>
    </row>
    <row r="720" spans="1:7" ht="11.25" customHeight="1" x14ac:dyDescent="0.2">
      <c r="A720" s="26" t="s">
        <v>98</v>
      </c>
      <c r="B720" s="18">
        <v>274838.16000000003</v>
      </c>
      <c r="C720" s="18">
        <v>0</v>
      </c>
      <c r="D720" s="18">
        <v>309068.83244191221</v>
      </c>
      <c r="E720" s="18">
        <v>0</v>
      </c>
      <c r="F720" s="18">
        <v>274838.16000000003</v>
      </c>
      <c r="G720" s="18">
        <v>309068.83244191221</v>
      </c>
    </row>
    <row r="721" spans="1:7" ht="11.25" customHeight="1" x14ac:dyDescent="0.2">
      <c r="A721" s="27" t="s">
        <v>25</v>
      </c>
      <c r="B721" s="18">
        <v>274838.16000000003</v>
      </c>
      <c r="C721" s="18">
        <v>0</v>
      </c>
      <c r="D721" s="18">
        <v>309068.83244191221</v>
      </c>
      <c r="E721" s="18">
        <v>0</v>
      </c>
      <c r="F721" s="18">
        <v>274838.16000000003</v>
      </c>
      <c r="G721" s="18">
        <v>309068.83244191221</v>
      </c>
    </row>
    <row r="722" spans="1:7" ht="11.25" customHeight="1" x14ac:dyDescent="0.2">
      <c r="A722" s="28">
        <v>44348</v>
      </c>
      <c r="B722" s="18">
        <v>22860</v>
      </c>
      <c r="C722" s="18">
        <v>0</v>
      </c>
      <c r="D722" s="18">
        <v>25707.178033873141</v>
      </c>
      <c r="E722" s="18">
        <v>0</v>
      </c>
      <c r="F722" s="18">
        <v>22860</v>
      </c>
      <c r="G722" s="18">
        <v>25707.178033873141</v>
      </c>
    </row>
    <row r="723" spans="1:7" ht="11.25" customHeight="1" x14ac:dyDescent="0.2">
      <c r="A723" s="28">
        <v>44378</v>
      </c>
      <c r="B723" s="18">
        <v>22860</v>
      </c>
      <c r="C723" s="18">
        <v>0</v>
      </c>
      <c r="D723" s="18">
        <v>25707.178033873141</v>
      </c>
      <c r="E723" s="18">
        <v>0</v>
      </c>
      <c r="F723" s="18">
        <v>22860</v>
      </c>
      <c r="G723" s="18">
        <v>25707.178033873141</v>
      </c>
    </row>
    <row r="724" spans="1:7" ht="11.25" customHeight="1" x14ac:dyDescent="0.2">
      <c r="A724" s="28">
        <v>44409</v>
      </c>
      <c r="B724" s="18">
        <v>22860</v>
      </c>
      <c r="C724" s="18">
        <v>0</v>
      </c>
      <c r="D724" s="18">
        <v>25707.178033873141</v>
      </c>
      <c r="E724" s="18">
        <v>0</v>
      </c>
      <c r="F724" s="18">
        <v>22860</v>
      </c>
      <c r="G724" s="18">
        <v>25707.178033873141</v>
      </c>
    </row>
    <row r="725" spans="1:7" ht="11.25" customHeight="1" x14ac:dyDescent="0.2">
      <c r="A725" s="28">
        <v>44440</v>
      </c>
      <c r="B725" s="18">
        <v>22860</v>
      </c>
      <c r="C725" s="18">
        <v>0</v>
      </c>
      <c r="D725" s="18">
        <v>25707.178033873141</v>
      </c>
      <c r="E725" s="18">
        <v>0</v>
      </c>
      <c r="F725" s="18">
        <v>22860</v>
      </c>
      <c r="G725" s="18">
        <v>25707.178033873141</v>
      </c>
    </row>
    <row r="726" spans="1:7" ht="11.25" customHeight="1" x14ac:dyDescent="0.2">
      <c r="A726" s="28">
        <v>44470</v>
      </c>
      <c r="B726" s="18">
        <v>22860</v>
      </c>
      <c r="C726" s="18">
        <v>0</v>
      </c>
      <c r="D726" s="18">
        <v>25707.178033873141</v>
      </c>
      <c r="E726" s="18">
        <v>0</v>
      </c>
      <c r="F726" s="18">
        <v>22860</v>
      </c>
      <c r="G726" s="18">
        <v>25707.178033873141</v>
      </c>
    </row>
    <row r="727" spans="1:7" ht="11.25" customHeight="1" x14ac:dyDescent="0.2">
      <c r="A727" s="28">
        <v>44501</v>
      </c>
      <c r="B727" s="18">
        <v>22860</v>
      </c>
      <c r="C727" s="18">
        <v>0</v>
      </c>
      <c r="D727" s="18">
        <v>25707.178033873141</v>
      </c>
      <c r="E727" s="18">
        <v>0</v>
      </c>
      <c r="F727" s="18">
        <v>22860</v>
      </c>
      <c r="G727" s="18">
        <v>25707.178033873141</v>
      </c>
    </row>
    <row r="728" spans="1:7" ht="11.25" customHeight="1" x14ac:dyDescent="0.2">
      <c r="A728" s="28">
        <v>44531</v>
      </c>
      <c r="B728" s="18">
        <v>22943.82</v>
      </c>
      <c r="C728" s="18">
        <v>0</v>
      </c>
      <c r="D728" s="18">
        <v>25801.437686664009</v>
      </c>
      <c r="E728" s="18">
        <v>0</v>
      </c>
      <c r="F728" s="18">
        <v>22943.82</v>
      </c>
      <c r="G728" s="18">
        <v>25801.437686664009</v>
      </c>
    </row>
    <row r="729" spans="1:7" ht="11.25" customHeight="1" x14ac:dyDescent="0.2">
      <c r="A729" s="28">
        <v>44562</v>
      </c>
      <c r="B729" s="18">
        <v>23050.5</v>
      </c>
      <c r="C729" s="18">
        <v>0</v>
      </c>
      <c r="D729" s="18">
        <v>25921.404517488751</v>
      </c>
      <c r="E729" s="18">
        <v>0</v>
      </c>
      <c r="F729" s="18">
        <v>23050.5</v>
      </c>
      <c r="G729" s="18">
        <v>25921.404517488751</v>
      </c>
    </row>
    <row r="730" spans="1:7" ht="11.25" customHeight="1" x14ac:dyDescent="0.2">
      <c r="A730" s="28">
        <v>44593</v>
      </c>
      <c r="B730" s="18">
        <v>23103.84</v>
      </c>
      <c r="C730" s="18">
        <v>0</v>
      </c>
      <c r="D730" s="18">
        <v>25981.387932901122</v>
      </c>
      <c r="E730" s="18">
        <v>0</v>
      </c>
      <c r="F730" s="18">
        <v>23103.84</v>
      </c>
      <c r="G730" s="18">
        <v>25981.387932901122</v>
      </c>
    </row>
    <row r="731" spans="1:7" ht="11.25" customHeight="1" x14ac:dyDescent="0.2">
      <c r="A731" s="28">
        <v>44621</v>
      </c>
      <c r="B731" s="18">
        <v>22860</v>
      </c>
      <c r="C731" s="18">
        <v>0</v>
      </c>
      <c r="D731" s="18">
        <v>25707.178033873141</v>
      </c>
      <c r="E731" s="18">
        <v>0</v>
      </c>
      <c r="F731" s="18">
        <v>22860</v>
      </c>
      <c r="G731" s="18">
        <v>25707.178033873141</v>
      </c>
    </row>
    <row r="732" spans="1:7" ht="11.25" customHeight="1" x14ac:dyDescent="0.2">
      <c r="A732" s="28">
        <v>44652</v>
      </c>
      <c r="B732" s="18">
        <v>22860</v>
      </c>
      <c r="C732" s="18">
        <v>0</v>
      </c>
      <c r="D732" s="18">
        <v>25707.178033873141</v>
      </c>
      <c r="E732" s="18">
        <v>0</v>
      </c>
      <c r="F732" s="18">
        <v>22860</v>
      </c>
      <c r="G732" s="18">
        <v>25707.178033873141</v>
      </c>
    </row>
    <row r="733" spans="1:7" ht="11.25" customHeight="1" x14ac:dyDescent="0.2">
      <c r="A733" s="28">
        <v>44682</v>
      </c>
      <c r="B733" s="18">
        <v>22860</v>
      </c>
      <c r="C733" s="18">
        <v>0</v>
      </c>
      <c r="D733" s="18">
        <v>25707.178033873141</v>
      </c>
      <c r="E733" s="18">
        <v>0</v>
      </c>
      <c r="F733" s="18">
        <v>22860</v>
      </c>
      <c r="G733" s="18">
        <v>25707.178033873141</v>
      </c>
    </row>
    <row r="734" spans="1:7" ht="11.25" customHeight="1" x14ac:dyDescent="0.2">
      <c r="A734" s="20" t="s">
        <v>1117</v>
      </c>
      <c r="B734" s="18">
        <v>0</v>
      </c>
      <c r="C734" s="18">
        <v>348045.22430230002</v>
      </c>
      <c r="D734" s="18">
        <v>0</v>
      </c>
      <c r="E734" s="18">
        <v>386332.50004770374</v>
      </c>
      <c r="F734" s="18">
        <v>348045.22430230025</v>
      </c>
      <c r="G734" s="18">
        <v>386332.50004770368</v>
      </c>
    </row>
    <row r="735" spans="1:7" ht="11.25" customHeight="1" x14ac:dyDescent="0.2">
      <c r="A735" s="21" t="s">
        <v>44</v>
      </c>
      <c r="B735" s="18">
        <v>0</v>
      </c>
      <c r="C735" s="18">
        <v>348045.22430230002</v>
      </c>
      <c r="D735" s="18">
        <v>0</v>
      </c>
      <c r="E735" s="18">
        <v>386332.50004770374</v>
      </c>
      <c r="F735" s="18">
        <v>348045.22430230025</v>
      </c>
      <c r="G735" s="18">
        <v>386332.50004770368</v>
      </c>
    </row>
    <row r="736" spans="1:7" ht="11.25" customHeight="1" x14ac:dyDescent="0.2">
      <c r="A736" s="22" t="s">
        <v>23</v>
      </c>
      <c r="B736" s="18">
        <v>0</v>
      </c>
      <c r="C736" s="18">
        <v>348045.22430230002</v>
      </c>
      <c r="D736" s="18">
        <v>0</v>
      </c>
      <c r="E736" s="18">
        <v>386332.50004770374</v>
      </c>
      <c r="F736" s="18">
        <v>348045.22430230025</v>
      </c>
      <c r="G736" s="18">
        <v>386332.50004770368</v>
      </c>
    </row>
    <row r="737" spans="1:7" ht="11.25" customHeight="1" x14ac:dyDescent="0.2">
      <c r="A737" s="23" t="s">
        <v>45</v>
      </c>
      <c r="B737" s="18">
        <v>0</v>
      </c>
      <c r="C737" s="18">
        <v>348045.22430230002</v>
      </c>
      <c r="D737" s="18">
        <v>0</v>
      </c>
      <c r="E737" s="18">
        <v>386332.50004770374</v>
      </c>
      <c r="F737" s="18">
        <v>348045.22430230025</v>
      </c>
      <c r="G737" s="18">
        <v>386332.50004770368</v>
      </c>
    </row>
    <row r="738" spans="1:7" ht="11.25" customHeight="1" x14ac:dyDescent="0.2">
      <c r="A738" s="24" t="s">
        <v>54</v>
      </c>
      <c r="B738" s="18">
        <v>0</v>
      </c>
      <c r="C738" s="18">
        <v>341597.99966250005</v>
      </c>
      <c r="D738" s="18">
        <v>0</v>
      </c>
      <c r="E738" s="18">
        <v>379176.03807223449</v>
      </c>
      <c r="F738" s="18">
        <v>341597.99966250005</v>
      </c>
      <c r="G738" s="18">
        <v>379176.03807223443</v>
      </c>
    </row>
    <row r="739" spans="1:7" ht="11.25" customHeight="1" x14ac:dyDescent="0.2">
      <c r="A739" s="25" t="s">
        <v>56</v>
      </c>
      <c r="B739" s="18">
        <v>0</v>
      </c>
      <c r="C739" s="18">
        <v>341597.99966250005</v>
      </c>
      <c r="D739" s="18">
        <v>0</v>
      </c>
      <c r="E739" s="18">
        <v>379176.03807223449</v>
      </c>
      <c r="F739" s="18">
        <v>341597.99966250005</v>
      </c>
      <c r="G739" s="18">
        <v>379176.03807223443</v>
      </c>
    </row>
    <row r="740" spans="1:7" ht="11.25" customHeight="1" x14ac:dyDescent="0.2">
      <c r="A740" s="26" t="s">
        <v>25</v>
      </c>
      <c r="B740" s="18">
        <v>0</v>
      </c>
      <c r="C740" s="18">
        <v>341597.99966250005</v>
      </c>
      <c r="D740" s="18">
        <v>0</v>
      </c>
      <c r="E740" s="18">
        <v>379176.03807223449</v>
      </c>
      <c r="F740" s="18">
        <v>341597.99966250005</v>
      </c>
      <c r="G740" s="18">
        <v>379176.03807223443</v>
      </c>
    </row>
    <row r="741" spans="1:7" ht="11.25" customHeight="1" x14ac:dyDescent="0.2">
      <c r="A741" s="27" t="s">
        <v>25</v>
      </c>
      <c r="B741" s="18">
        <v>0</v>
      </c>
      <c r="C741" s="18">
        <v>341597.99966250005</v>
      </c>
      <c r="D741" s="18">
        <v>0</v>
      </c>
      <c r="E741" s="18">
        <v>379176.03807223449</v>
      </c>
      <c r="F741" s="18">
        <v>341597.99966250005</v>
      </c>
      <c r="G741" s="18">
        <v>379176.03807223443</v>
      </c>
    </row>
    <row r="742" spans="1:7" ht="11.25" customHeight="1" x14ac:dyDescent="0.2">
      <c r="A742" s="28">
        <v>44348</v>
      </c>
      <c r="B742" s="18">
        <v>0</v>
      </c>
      <c r="C742" s="18">
        <v>33356.389003000004</v>
      </c>
      <c r="D742" s="18">
        <v>0</v>
      </c>
      <c r="E742" s="18">
        <v>37025.812326330968</v>
      </c>
      <c r="F742" s="18">
        <v>33356.389003000004</v>
      </c>
      <c r="G742" s="18">
        <v>37025.812326330968</v>
      </c>
    </row>
    <row r="743" spans="1:7" ht="11.25" customHeight="1" x14ac:dyDescent="0.2">
      <c r="A743" s="28">
        <v>44378</v>
      </c>
      <c r="B743" s="18">
        <v>0</v>
      </c>
      <c r="C743" s="18">
        <v>42012.3410945</v>
      </c>
      <c r="D743" s="18">
        <v>0</v>
      </c>
      <c r="E743" s="18">
        <v>46633.97637600571</v>
      </c>
      <c r="F743" s="18">
        <v>42012.3410945</v>
      </c>
      <c r="G743" s="18">
        <v>46633.97637600571</v>
      </c>
    </row>
    <row r="744" spans="1:7" ht="11.25" customHeight="1" x14ac:dyDescent="0.2">
      <c r="A744" s="28">
        <v>44409</v>
      </c>
      <c r="B744" s="18">
        <v>0</v>
      </c>
      <c r="C744" s="18">
        <v>35019.698908600003</v>
      </c>
      <c r="D744" s="18">
        <v>0</v>
      </c>
      <c r="E744" s="18">
        <v>38872.097318382526</v>
      </c>
      <c r="F744" s="18">
        <v>35019.698908600003</v>
      </c>
      <c r="G744" s="18">
        <v>38872.097318382526</v>
      </c>
    </row>
    <row r="745" spans="1:7" ht="11.25" customHeight="1" x14ac:dyDescent="0.2">
      <c r="A745" s="28">
        <v>44440</v>
      </c>
      <c r="B745" s="18">
        <v>0</v>
      </c>
      <c r="C745" s="18">
        <v>37190.925937200001</v>
      </c>
      <c r="D745" s="18">
        <v>0</v>
      </c>
      <c r="E745" s="18">
        <v>41282.173675016056</v>
      </c>
      <c r="F745" s="18">
        <v>37190.925937200001</v>
      </c>
      <c r="G745" s="18">
        <v>41282.173675016056</v>
      </c>
    </row>
    <row r="746" spans="1:7" ht="11.25" customHeight="1" x14ac:dyDescent="0.2">
      <c r="A746" s="28">
        <v>44470</v>
      </c>
      <c r="B746" s="18">
        <v>0</v>
      </c>
      <c r="C746" s="18">
        <v>35757.840148100011</v>
      </c>
      <c r="D746" s="18">
        <v>0</v>
      </c>
      <c r="E746" s="18">
        <v>39691.438974387151</v>
      </c>
      <c r="F746" s="18">
        <v>35757.840148100011</v>
      </c>
      <c r="G746" s="18">
        <v>39691.438974387151</v>
      </c>
    </row>
    <row r="747" spans="1:7" ht="11.25" customHeight="1" x14ac:dyDescent="0.2">
      <c r="A747" s="28">
        <v>44501</v>
      </c>
      <c r="B747" s="18">
        <v>0</v>
      </c>
      <c r="C747" s="18">
        <v>27353.473173600003</v>
      </c>
      <c r="D747" s="18">
        <v>0</v>
      </c>
      <c r="E747" s="18">
        <v>30362.536067916542</v>
      </c>
      <c r="F747" s="18">
        <v>27353.473173600003</v>
      </c>
      <c r="G747" s="18">
        <v>30362.536067916542</v>
      </c>
    </row>
    <row r="748" spans="1:7" ht="11.25" customHeight="1" x14ac:dyDescent="0.2">
      <c r="A748" s="28">
        <v>44531</v>
      </c>
      <c r="B748" s="18">
        <v>0</v>
      </c>
      <c r="C748" s="18">
        <v>24591.733153399997</v>
      </c>
      <c r="D748" s="18">
        <v>0</v>
      </c>
      <c r="E748" s="18">
        <v>27296.986386479315</v>
      </c>
      <c r="F748" s="18">
        <v>24591.733153399997</v>
      </c>
      <c r="G748" s="18">
        <v>27296.986386479315</v>
      </c>
    </row>
    <row r="749" spans="1:7" ht="11.25" customHeight="1" x14ac:dyDescent="0.2">
      <c r="A749" s="28">
        <v>44562</v>
      </c>
      <c r="B749" s="18">
        <v>0</v>
      </c>
      <c r="C749" s="18">
        <v>22767.503710700003</v>
      </c>
      <c r="D749" s="18">
        <v>0</v>
      </c>
      <c r="E749" s="18">
        <v>25272.079644340571</v>
      </c>
      <c r="F749" s="18">
        <v>22767.503710700003</v>
      </c>
      <c r="G749" s="18">
        <v>25272.079644340571</v>
      </c>
    </row>
    <row r="750" spans="1:7" ht="11.25" customHeight="1" x14ac:dyDescent="0.2">
      <c r="A750" s="28">
        <v>44593</v>
      </c>
      <c r="B750" s="18">
        <v>0</v>
      </c>
      <c r="C750" s="18">
        <v>19729.969439600001</v>
      </c>
      <c r="D750" s="18">
        <v>0</v>
      </c>
      <c r="E750" s="18">
        <v>21900.396521013521</v>
      </c>
      <c r="F750" s="18">
        <v>19729.969439600001</v>
      </c>
      <c r="G750" s="18">
        <v>21900.396521013521</v>
      </c>
    </row>
    <row r="751" spans="1:7" ht="11.25" customHeight="1" x14ac:dyDescent="0.2">
      <c r="A751" s="28">
        <v>44621</v>
      </c>
      <c r="B751" s="18">
        <v>0</v>
      </c>
      <c r="C751" s="18">
        <v>21733.156597600006</v>
      </c>
      <c r="D751" s="18">
        <v>0</v>
      </c>
      <c r="E751" s="18">
        <v>24123.947510299371</v>
      </c>
      <c r="F751" s="18">
        <v>21733.156597600006</v>
      </c>
      <c r="G751" s="18">
        <v>24123.947510299371</v>
      </c>
    </row>
    <row r="752" spans="1:7" ht="11.25" customHeight="1" x14ac:dyDescent="0.2">
      <c r="A752" s="28">
        <v>44652</v>
      </c>
      <c r="B752" s="18">
        <v>0</v>
      </c>
      <c r="C752" s="18">
        <v>21042.484248100005</v>
      </c>
      <c r="D752" s="18">
        <v>0</v>
      </c>
      <c r="E752" s="18">
        <v>23357.296636031384</v>
      </c>
      <c r="F752" s="18">
        <v>21042.484248100005</v>
      </c>
      <c r="G752" s="18">
        <v>23357.296636031384</v>
      </c>
    </row>
    <row r="753" spans="1:7" ht="11.25" customHeight="1" x14ac:dyDescent="0.2">
      <c r="A753" s="28">
        <v>44682</v>
      </c>
      <c r="B753" s="18">
        <v>0</v>
      </c>
      <c r="C753" s="18">
        <v>21042.484248100005</v>
      </c>
      <c r="D753" s="18">
        <v>0</v>
      </c>
      <c r="E753" s="18">
        <v>23357.296636031384</v>
      </c>
      <c r="F753" s="18">
        <v>21042.484248100005</v>
      </c>
      <c r="G753" s="18">
        <v>23357.296636031384</v>
      </c>
    </row>
    <row r="754" spans="1:7" ht="11.25" customHeight="1" x14ac:dyDescent="0.2">
      <c r="A754" s="24" t="s">
        <v>57</v>
      </c>
      <c r="B754" s="18">
        <v>0</v>
      </c>
      <c r="C754" s="18">
        <v>6447.2246398000016</v>
      </c>
      <c r="D754" s="18">
        <v>0</v>
      </c>
      <c r="E754" s="18">
        <v>7156.4619754692922</v>
      </c>
      <c r="F754" s="18">
        <v>6447.2246398000007</v>
      </c>
      <c r="G754" s="18">
        <v>7156.4619754692931</v>
      </c>
    </row>
    <row r="755" spans="1:7" ht="11.25" customHeight="1" x14ac:dyDescent="0.2">
      <c r="A755" s="25" t="s">
        <v>56</v>
      </c>
      <c r="B755" s="18">
        <v>0</v>
      </c>
      <c r="C755" s="18">
        <v>6447.2246398000016</v>
      </c>
      <c r="D755" s="18">
        <v>0</v>
      </c>
      <c r="E755" s="18">
        <v>7156.4619754692922</v>
      </c>
      <c r="F755" s="18">
        <v>6447.2246398000007</v>
      </c>
      <c r="G755" s="18">
        <v>7156.4619754692931</v>
      </c>
    </row>
    <row r="756" spans="1:7" ht="11.25" customHeight="1" x14ac:dyDescent="0.2">
      <c r="A756" s="26" t="s">
        <v>25</v>
      </c>
      <c r="B756" s="18">
        <v>0</v>
      </c>
      <c r="C756" s="18">
        <v>6447.2246398000016</v>
      </c>
      <c r="D756" s="18">
        <v>0</v>
      </c>
      <c r="E756" s="18">
        <v>7156.4619754692922</v>
      </c>
      <c r="F756" s="18">
        <v>6447.2246398000007</v>
      </c>
      <c r="G756" s="18">
        <v>7156.4619754692931</v>
      </c>
    </row>
    <row r="757" spans="1:7" ht="11.25" customHeight="1" x14ac:dyDescent="0.2">
      <c r="A757" s="27" t="s">
        <v>25</v>
      </c>
      <c r="B757" s="18">
        <v>0</v>
      </c>
      <c r="C757" s="18">
        <v>6447.2246398000016</v>
      </c>
      <c r="D757" s="18">
        <v>0</v>
      </c>
      <c r="E757" s="18">
        <v>7156.4619754692922</v>
      </c>
      <c r="F757" s="18">
        <v>6447.2246398000007</v>
      </c>
      <c r="G757" s="18">
        <v>7156.4619754692931</v>
      </c>
    </row>
    <row r="758" spans="1:7" ht="11.25" customHeight="1" x14ac:dyDescent="0.2">
      <c r="A758" s="28">
        <v>44348</v>
      </c>
      <c r="B758" s="18">
        <v>0</v>
      </c>
      <c r="C758" s="18">
        <v>363.13700850000009</v>
      </c>
      <c r="D758" s="18">
        <v>0</v>
      </c>
      <c r="E758" s="18">
        <v>403.08448028523117</v>
      </c>
      <c r="F758" s="18">
        <v>363.13700850000009</v>
      </c>
      <c r="G758" s="18">
        <v>403.08448028523117</v>
      </c>
    </row>
    <row r="759" spans="1:7" ht="11.25" customHeight="1" x14ac:dyDescent="0.2">
      <c r="A759" s="28">
        <v>44378</v>
      </c>
      <c r="B759" s="18">
        <v>0</v>
      </c>
      <c r="C759" s="18">
        <v>450.95445500000005</v>
      </c>
      <c r="D759" s="18">
        <v>0</v>
      </c>
      <c r="E759" s="18">
        <v>500.56242649799935</v>
      </c>
      <c r="F759" s="18">
        <v>450.95445500000005</v>
      </c>
      <c r="G759" s="18">
        <v>500.56242649799935</v>
      </c>
    </row>
    <row r="760" spans="1:7" ht="11.25" customHeight="1" x14ac:dyDescent="0.2">
      <c r="A760" s="28">
        <v>44409</v>
      </c>
      <c r="B760" s="18">
        <v>0</v>
      </c>
      <c r="C760" s="18">
        <v>368.83327530000003</v>
      </c>
      <c r="D760" s="18">
        <v>0</v>
      </c>
      <c r="E760" s="18">
        <v>409.40737409362691</v>
      </c>
      <c r="F760" s="18">
        <v>368.83327530000003</v>
      </c>
      <c r="G760" s="18">
        <v>409.40737409362691</v>
      </c>
    </row>
    <row r="761" spans="1:7" ht="11.25" customHeight="1" x14ac:dyDescent="0.2">
      <c r="A761" s="28">
        <v>44440</v>
      </c>
      <c r="B761" s="18">
        <v>0</v>
      </c>
      <c r="C761" s="18">
        <v>563.93041320000009</v>
      </c>
      <c r="D761" s="18">
        <v>0</v>
      </c>
      <c r="E761" s="18">
        <v>625.9664870311824</v>
      </c>
      <c r="F761" s="18">
        <v>563.93041320000009</v>
      </c>
      <c r="G761" s="18">
        <v>625.9664870311824</v>
      </c>
    </row>
    <row r="762" spans="1:7" ht="11.25" customHeight="1" x14ac:dyDescent="0.2">
      <c r="A762" s="28">
        <v>44470</v>
      </c>
      <c r="B762" s="18">
        <v>0</v>
      </c>
      <c r="C762" s="18">
        <v>388.77020910000005</v>
      </c>
      <c r="D762" s="18">
        <v>0</v>
      </c>
      <c r="E762" s="18">
        <v>431.53750242301203</v>
      </c>
      <c r="F762" s="18">
        <v>388.77020910000005</v>
      </c>
      <c r="G762" s="18">
        <v>431.53750242301203</v>
      </c>
    </row>
    <row r="763" spans="1:7" ht="11.25" customHeight="1" x14ac:dyDescent="0.2">
      <c r="A763" s="28">
        <v>44501</v>
      </c>
      <c r="B763" s="18">
        <v>0</v>
      </c>
      <c r="C763" s="18">
        <v>694.94454959999996</v>
      </c>
      <c r="D763" s="18">
        <v>0</v>
      </c>
      <c r="E763" s="18">
        <v>771.39304462428527</v>
      </c>
      <c r="F763" s="18">
        <v>694.94454959999996</v>
      </c>
      <c r="G763" s="18">
        <v>771.39304462428527</v>
      </c>
    </row>
    <row r="764" spans="1:7" ht="11.25" customHeight="1" x14ac:dyDescent="0.2">
      <c r="A764" s="28">
        <v>44531</v>
      </c>
      <c r="B764" s="18">
        <v>0</v>
      </c>
      <c r="C764" s="18">
        <v>341.77600799999999</v>
      </c>
      <c r="D764" s="18">
        <v>0</v>
      </c>
      <c r="E764" s="18">
        <v>379.37362850374689</v>
      </c>
      <c r="F764" s="18">
        <v>341.77600799999999</v>
      </c>
      <c r="G764" s="18">
        <v>379.37362850374689</v>
      </c>
    </row>
    <row r="765" spans="1:7" ht="11.25" customHeight="1" x14ac:dyDescent="0.2">
      <c r="A765" s="28">
        <v>44562</v>
      </c>
      <c r="B765" s="18">
        <v>0</v>
      </c>
      <c r="C765" s="18">
        <v>1001.5935790000001</v>
      </c>
      <c r="D765" s="18">
        <v>0</v>
      </c>
      <c r="E765" s="18">
        <v>1111.775494642925</v>
      </c>
      <c r="F765" s="18">
        <v>1001.5935790000001</v>
      </c>
      <c r="G765" s="18">
        <v>1111.775494642925</v>
      </c>
    </row>
    <row r="766" spans="1:7" ht="11.25" customHeight="1" x14ac:dyDescent="0.2">
      <c r="A766" s="28">
        <v>44593</v>
      </c>
      <c r="B766" s="18">
        <v>0</v>
      </c>
      <c r="C766" s="18">
        <v>472.79014440000009</v>
      </c>
      <c r="D766" s="18">
        <v>0</v>
      </c>
      <c r="E766" s="18">
        <v>524.80018609684987</v>
      </c>
      <c r="F766" s="18">
        <v>472.79014440000009</v>
      </c>
      <c r="G766" s="18">
        <v>524.80018609684987</v>
      </c>
    </row>
    <row r="767" spans="1:7" ht="11.25" customHeight="1" x14ac:dyDescent="0.2">
      <c r="A767" s="28">
        <v>44621</v>
      </c>
      <c r="B767" s="18">
        <v>0</v>
      </c>
      <c r="C767" s="18">
        <v>843.52217530000019</v>
      </c>
      <c r="D767" s="18">
        <v>0</v>
      </c>
      <c r="E767" s="18">
        <v>936.31519145994207</v>
      </c>
      <c r="F767" s="18">
        <v>843.52217530000019</v>
      </c>
      <c r="G767" s="18">
        <v>936.31519145994207</v>
      </c>
    </row>
    <row r="768" spans="1:7" ht="11.25" customHeight="1" x14ac:dyDescent="0.2">
      <c r="A768" s="28">
        <v>44652</v>
      </c>
      <c r="B768" s="18">
        <v>0</v>
      </c>
      <c r="C768" s="18">
        <v>478.48641120000008</v>
      </c>
      <c r="D768" s="18">
        <v>0</v>
      </c>
      <c r="E768" s="18">
        <v>531.12307990524562</v>
      </c>
      <c r="F768" s="18">
        <v>478.48641120000008</v>
      </c>
      <c r="G768" s="18">
        <v>531.12307990524562</v>
      </c>
    </row>
    <row r="769" spans="1:7" ht="11.25" customHeight="1" x14ac:dyDescent="0.2">
      <c r="A769" s="28">
        <v>44682</v>
      </c>
      <c r="B769" s="18">
        <v>0</v>
      </c>
      <c r="C769" s="18">
        <v>478.48641120000008</v>
      </c>
      <c r="D769" s="18">
        <v>0</v>
      </c>
      <c r="E769" s="18">
        <v>531.12307990524562</v>
      </c>
      <c r="F769" s="18">
        <v>478.48641120000008</v>
      </c>
      <c r="G769" s="18">
        <v>531.12307990524562</v>
      </c>
    </row>
    <row r="770" spans="1:7" ht="11.25" customHeight="1" x14ac:dyDescent="0.2">
      <c r="A770" s="20" t="s">
        <v>1114</v>
      </c>
      <c r="B770" s="18">
        <v>13466.707200000003</v>
      </c>
      <c r="C770" s="18">
        <v>12915074.725140354</v>
      </c>
      <c r="D770" s="18">
        <v>15711.082209500042</v>
      </c>
      <c r="E770" s="18">
        <v>7407945.5880699204</v>
      </c>
      <c r="F770" s="18">
        <v>12928541.432340356</v>
      </c>
      <c r="G770" s="18">
        <v>7423656.67027942</v>
      </c>
    </row>
    <row r="771" spans="1:7" ht="11.25" customHeight="1" x14ac:dyDescent="0.2">
      <c r="A771" s="21" t="s">
        <v>41</v>
      </c>
      <c r="B771" s="18">
        <v>13466.707200000003</v>
      </c>
      <c r="C771" s="18">
        <v>62565.116081199987</v>
      </c>
      <c r="D771" s="18">
        <v>15711.082209500042</v>
      </c>
      <c r="E771" s="18">
        <v>70392.457527170322</v>
      </c>
      <c r="F771" s="18">
        <v>76031.823281199991</v>
      </c>
      <c r="G771" s="18">
        <v>86103.539736670369</v>
      </c>
    </row>
    <row r="772" spans="1:7" ht="11.25" customHeight="1" x14ac:dyDescent="0.2">
      <c r="A772" s="22" t="s">
        <v>40</v>
      </c>
      <c r="B772" s="18">
        <v>2207.6135999999997</v>
      </c>
      <c r="C772" s="18">
        <v>6806.0777723999981</v>
      </c>
      <c r="D772" s="18">
        <v>2557.1123755888848</v>
      </c>
      <c r="E772" s="18">
        <v>7622.1636973317045</v>
      </c>
      <c r="F772" s="18">
        <v>9013.6913723999969</v>
      </c>
      <c r="G772" s="18">
        <v>10179.276072920589</v>
      </c>
    </row>
    <row r="773" spans="1:7" ht="11.25" customHeight="1" x14ac:dyDescent="0.2">
      <c r="A773" s="23" t="s">
        <v>45</v>
      </c>
      <c r="B773" s="18">
        <v>2207.6135999999997</v>
      </c>
      <c r="C773" s="18">
        <v>6806.0777723999981</v>
      </c>
      <c r="D773" s="18">
        <v>2557.1123755888848</v>
      </c>
      <c r="E773" s="18">
        <v>7622.1636973317045</v>
      </c>
      <c r="F773" s="18">
        <v>9013.6913723999969</v>
      </c>
      <c r="G773" s="18">
        <v>10179.276072920589</v>
      </c>
    </row>
    <row r="774" spans="1:7" ht="11.25" customHeight="1" x14ac:dyDescent="0.2">
      <c r="A774" s="24" t="s">
        <v>25</v>
      </c>
      <c r="B774" s="18">
        <v>2207.6135999999997</v>
      </c>
      <c r="C774" s="18">
        <v>6806.0777723999981</v>
      </c>
      <c r="D774" s="18">
        <v>2557.1123755888848</v>
      </c>
      <c r="E774" s="18">
        <v>7622.1636973317045</v>
      </c>
      <c r="F774" s="18">
        <v>9013.6913723999969</v>
      </c>
      <c r="G774" s="18">
        <v>10179.276072920589</v>
      </c>
    </row>
    <row r="775" spans="1:7" ht="11.25" customHeight="1" x14ac:dyDescent="0.2">
      <c r="A775" s="25" t="s">
        <v>25</v>
      </c>
      <c r="B775" s="18">
        <v>2207.6135999999997</v>
      </c>
      <c r="C775" s="18">
        <v>6806.0777723999981</v>
      </c>
      <c r="D775" s="18">
        <v>2557.1123755888848</v>
      </c>
      <c r="E775" s="18">
        <v>7622.1636973317045</v>
      </c>
      <c r="F775" s="18">
        <v>9013.6913723999969</v>
      </c>
      <c r="G775" s="18">
        <v>10179.276072920589</v>
      </c>
    </row>
    <row r="776" spans="1:7" ht="11.25" customHeight="1" x14ac:dyDescent="0.2">
      <c r="A776" s="26" t="s">
        <v>25</v>
      </c>
      <c r="B776" s="18">
        <v>2207.6135999999997</v>
      </c>
      <c r="C776" s="18">
        <v>6806.0777723999981</v>
      </c>
      <c r="D776" s="18">
        <v>2557.1123755888848</v>
      </c>
      <c r="E776" s="18">
        <v>7622.1636973317045</v>
      </c>
      <c r="F776" s="18">
        <v>9013.6913723999969</v>
      </c>
      <c r="G776" s="18">
        <v>10179.276072920589</v>
      </c>
    </row>
    <row r="777" spans="1:7" ht="11.25" customHeight="1" x14ac:dyDescent="0.2">
      <c r="A777" s="27" t="s">
        <v>35</v>
      </c>
      <c r="B777" s="18">
        <v>1034.6855999999996</v>
      </c>
      <c r="C777" s="18">
        <v>6174.6935039999998</v>
      </c>
      <c r="D777" s="18">
        <v>1208.8205013219051</v>
      </c>
      <c r="E777" s="18">
        <v>6927.1500900925112</v>
      </c>
      <c r="F777" s="18">
        <v>7209.3791039999996</v>
      </c>
      <c r="G777" s="18">
        <v>8135.970591414416</v>
      </c>
    </row>
    <row r="778" spans="1:7" ht="11.25" customHeight="1" x14ac:dyDescent="0.2">
      <c r="A778" s="28">
        <v>44348</v>
      </c>
      <c r="B778" s="18">
        <v>107.14200000000008</v>
      </c>
      <c r="C778" s="18">
        <v>453.73943999999904</v>
      </c>
      <c r="D778" s="18">
        <v>125.17372055108498</v>
      </c>
      <c r="E778" s="18">
        <v>509.03274804464183</v>
      </c>
      <c r="F778" s="18">
        <v>560.88143999999909</v>
      </c>
      <c r="G778" s="18">
        <v>634.20646859572685</v>
      </c>
    </row>
    <row r="779" spans="1:7" ht="11.25" customHeight="1" x14ac:dyDescent="0.2">
      <c r="A779" s="28">
        <v>44378</v>
      </c>
      <c r="B779" s="18">
        <v>117.34599999999986</v>
      </c>
      <c r="C779" s="18">
        <v>575.08836000000019</v>
      </c>
      <c r="D779" s="18">
        <v>137.09502727023568</v>
      </c>
      <c r="E779" s="18">
        <v>645.16941321937315</v>
      </c>
      <c r="F779" s="18">
        <v>692.43436000000008</v>
      </c>
      <c r="G779" s="18">
        <v>782.26444048960889</v>
      </c>
    </row>
    <row r="780" spans="1:7" ht="11.25" customHeight="1" x14ac:dyDescent="0.2">
      <c r="A780" s="28">
        <v>44409</v>
      </c>
      <c r="B780" s="18">
        <v>121.42760000000014</v>
      </c>
      <c r="C780" s="18">
        <v>553.98419999999828</v>
      </c>
      <c r="D780" s="18">
        <v>141.86354995789637</v>
      </c>
      <c r="E780" s="18">
        <v>621.49347144985279</v>
      </c>
      <c r="F780" s="18">
        <v>675.41179999999838</v>
      </c>
      <c r="G780" s="18">
        <v>763.35702140774913</v>
      </c>
    </row>
    <row r="781" spans="1:7" ht="11.25" customHeight="1" x14ac:dyDescent="0.2">
      <c r="A781" s="28">
        <v>44440</v>
      </c>
      <c r="B781" s="18">
        <v>126.52959999999985</v>
      </c>
      <c r="C781" s="18">
        <v>508.25851999999975</v>
      </c>
      <c r="D781" s="18">
        <v>147.8242033174715</v>
      </c>
      <c r="E781" s="18">
        <v>570.19559761589812</v>
      </c>
      <c r="F781" s="18">
        <v>634.78811999999959</v>
      </c>
      <c r="G781" s="18">
        <v>718.01980093336965</v>
      </c>
    </row>
    <row r="782" spans="1:7" ht="11.25" customHeight="1" x14ac:dyDescent="0.2">
      <c r="A782" s="28">
        <v>44470</v>
      </c>
      <c r="B782" s="18">
        <v>135.71319999999983</v>
      </c>
      <c r="C782" s="18">
        <v>501.22380000000055</v>
      </c>
      <c r="D782" s="18">
        <v>158.55337936470733</v>
      </c>
      <c r="E782" s="18">
        <v>562.30361702605967</v>
      </c>
      <c r="F782" s="18">
        <v>636.93700000000035</v>
      </c>
      <c r="G782" s="18">
        <v>720.85699639076699</v>
      </c>
    </row>
    <row r="783" spans="1:7" ht="11.25" customHeight="1" x14ac:dyDescent="0.2">
      <c r="A783" s="28">
        <v>44501</v>
      </c>
      <c r="B783" s="18">
        <v>13.265199999999989</v>
      </c>
      <c r="C783" s="18">
        <v>495.94776000000013</v>
      </c>
      <c r="D783" s="18">
        <v>15.497698734896213</v>
      </c>
      <c r="E783" s="18">
        <v>556.38463158367949</v>
      </c>
      <c r="F783" s="18">
        <v>509.21296000000012</v>
      </c>
      <c r="G783" s="18">
        <v>571.88233031857567</v>
      </c>
    </row>
    <row r="784" spans="1:7" ht="11.25" customHeight="1" x14ac:dyDescent="0.2">
      <c r="A784" s="28">
        <v>44531</v>
      </c>
      <c r="B784" s="18">
        <v>13.265199999999989</v>
      </c>
      <c r="C784" s="18">
        <v>490.67172000000096</v>
      </c>
      <c r="D784" s="18">
        <v>15.497698734896213</v>
      </c>
      <c r="E784" s="18">
        <v>550.46564614130102</v>
      </c>
      <c r="F784" s="18">
        <v>503.93692000000095</v>
      </c>
      <c r="G784" s="18">
        <v>565.9633448761972</v>
      </c>
    </row>
    <row r="785" spans="1:7" ht="11.25" customHeight="1" x14ac:dyDescent="0.2">
      <c r="A785" s="28">
        <v>44562</v>
      </c>
      <c r="B785" s="18">
        <v>13.265199999999989</v>
      </c>
      <c r="C785" s="18">
        <v>490.38393600000052</v>
      </c>
      <c r="D785" s="18">
        <v>15.497698734896213</v>
      </c>
      <c r="E785" s="18">
        <v>550.14279238989798</v>
      </c>
      <c r="F785" s="18">
        <v>503.64913600000051</v>
      </c>
      <c r="G785" s="18">
        <v>565.64049112479415</v>
      </c>
    </row>
    <row r="786" spans="1:7" ht="11.25" customHeight="1" x14ac:dyDescent="0.2">
      <c r="A786" s="28">
        <v>44593</v>
      </c>
      <c r="B786" s="18">
        <v>13.265199999999989</v>
      </c>
      <c r="C786" s="18">
        <v>505.30073999999956</v>
      </c>
      <c r="D786" s="18">
        <v>15.497698734896213</v>
      </c>
      <c r="E786" s="18">
        <v>566.87737850426095</v>
      </c>
      <c r="F786" s="18">
        <v>518.5659399999995</v>
      </c>
      <c r="G786" s="18">
        <v>582.37507723915712</v>
      </c>
    </row>
    <row r="787" spans="1:7" ht="11.25" customHeight="1" x14ac:dyDescent="0.2">
      <c r="A787" s="28">
        <v>44621</v>
      </c>
      <c r="B787" s="18">
        <v>118.36640000000003</v>
      </c>
      <c r="C787" s="18">
        <v>584.53726800000038</v>
      </c>
      <c r="D787" s="18">
        <v>138.28715794215094</v>
      </c>
      <c r="E787" s="18">
        <v>655.76977805708952</v>
      </c>
      <c r="F787" s="18">
        <v>702.90366800000038</v>
      </c>
      <c r="G787" s="18">
        <v>794.05693599924052</v>
      </c>
    </row>
    <row r="788" spans="1:7" ht="11.25" customHeight="1" x14ac:dyDescent="0.2">
      <c r="A788" s="28">
        <v>44652</v>
      </c>
      <c r="B788" s="18">
        <v>127.55000000000001</v>
      </c>
      <c r="C788" s="18">
        <v>507.77888000000087</v>
      </c>
      <c r="D788" s="18">
        <v>149.01633398938679</v>
      </c>
      <c r="E788" s="18">
        <v>569.65750803022854</v>
      </c>
      <c r="F788" s="18">
        <v>635.32888000000094</v>
      </c>
      <c r="G788" s="18">
        <v>718.67384201961534</v>
      </c>
    </row>
    <row r="789" spans="1:7" ht="11.25" customHeight="1" x14ac:dyDescent="0.2">
      <c r="A789" s="28">
        <v>44682</v>
      </c>
      <c r="B789" s="18">
        <v>127.55000000000001</v>
      </c>
      <c r="C789" s="18">
        <v>507.77888000000087</v>
      </c>
      <c r="D789" s="18">
        <v>149.01633398938679</v>
      </c>
      <c r="E789" s="18">
        <v>569.65750803022854</v>
      </c>
      <c r="F789" s="18">
        <v>635.32888000000094</v>
      </c>
      <c r="G789" s="18">
        <v>718.67384201961534</v>
      </c>
    </row>
    <row r="790" spans="1:7" ht="11.25" customHeight="1" x14ac:dyDescent="0.2">
      <c r="A790" s="27" t="s">
        <v>34</v>
      </c>
      <c r="B790" s="18">
        <v>1172.9280000000003</v>
      </c>
      <c r="C790" s="18">
        <v>631.38426839999931</v>
      </c>
      <c r="D790" s="18">
        <v>1348.2918742669799</v>
      </c>
      <c r="E790" s="18">
        <v>695.01360723919129</v>
      </c>
      <c r="F790" s="18">
        <v>1804.3122683999995</v>
      </c>
      <c r="G790" s="18">
        <v>2043.3054815061712</v>
      </c>
    </row>
    <row r="791" spans="1:7" ht="11.25" customHeight="1" x14ac:dyDescent="0.2">
      <c r="A791" s="28">
        <v>44348</v>
      </c>
      <c r="B791" s="18">
        <v>136.44799999999987</v>
      </c>
      <c r="C791" s="18">
        <v>69.475428000000136</v>
      </c>
      <c r="D791" s="18">
        <v>156.8482717268073</v>
      </c>
      <c r="E791" s="18">
        <v>76.47698912601993</v>
      </c>
      <c r="F791" s="18">
        <v>205.923428</v>
      </c>
      <c r="G791" s="18">
        <v>233.32526085282723</v>
      </c>
    </row>
    <row r="792" spans="1:7" ht="11.25" customHeight="1" x14ac:dyDescent="0.2">
      <c r="A792" s="28">
        <v>44378</v>
      </c>
      <c r="B792" s="18">
        <v>144.32000000000016</v>
      </c>
      <c r="C792" s="18">
        <v>56.609607999999994</v>
      </c>
      <c r="D792" s="18">
        <v>165.89721048027729</v>
      </c>
      <c r="E792" s="18">
        <v>62.314583732312407</v>
      </c>
      <c r="F792" s="18">
        <v>200.92960800000014</v>
      </c>
      <c r="G792" s="18">
        <v>228.21179421258969</v>
      </c>
    </row>
    <row r="793" spans="1:7" ht="11.25" customHeight="1" x14ac:dyDescent="0.2">
      <c r="A793" s="28">
        <v>44409</v>
      </c>
      <c r="B793" s="18">
        <v>144.32000000000016</v>
      </c>
      <c r="C793" s="18">
        <v>56.609607999999994</v>
      </c>
      <c r="D793" s="18">
        <v>165.89721048027729</v>
      </c>
      <c r="E793" s="18">
        <v>62.314583732312407</v>
      </c>
      <c r="F793" s="18">
        <v>200.92960800000014</v>
      </c>
      <c r="G793" s="18">
        <v>228.21179421258969</v>
      </c>
    </row>
    <row r="794" spans="1:7" ht="11.25" customHeight="1" x14ac:dyDescent="0.2">
      <c r="A794" s="28">
        <v>44440</v>
      </c>
      <c r="B794" s="18">
        <v>144.32000000000016</v>
      </c>
      <c r="C794" s="18">
        <v>48.890115999999807</v>
      </c>
      <c r="D794" s="18">
        <v>165.89721048027729</v>
      </c>
      <c r="E794" s="18">
        <v>53.817140496087774</v>
      </c>
      <c r="F794" s="18">
        <v>193.21011599999997</v>
      </c>
      <c r="G794" s="18">
        <v>219.71435097636507</v>
      </c>
    </row>
    <row r="795" spans="1:7" ht="11.25" customHeight="1" x14ac:dyDescent="0.2">
      <c r="A795" s="28">
        <v>44470</v>
      </c>
      <c r="B795" s="18">
        <v>157.43999999999988</v>
      </c>
      <c r="C795" s="18">
        <v>46.316951999999965</v>
      </c>
      <c r="D795" s="18">
        <v>180.97877506939307</v>
      </c>
      <c r="E795" s="18">
        <v>50.984659417346478</v>
      </c>
      <c r="F795" s="18">
        <v>203.75695199999984</v>
      </c>
      <c r="G795" s="18">
        <v>231.96343448673954</v>
      </c>
    </row>
    <row r="796" spans="1:7" ht="11.25" customHeight="1" x14ac:dyDescent="0.2">
      <c r="A796" s="28">
        <v>44501</v>
      </c>
      <c r="B796" s="18">
        <v>15.744000000000012</v>
      </c>
      <c r="C796" s="18">
        <v>46.316951999999965</v>
      </c>
      <c r="D796" s="18">
        <v>18.097877506939334</v>
      </c>
      <c r="E796" s="18">
        <v>50.984659417346478</v>
      </c>
      <c r="F796" s="18">
        <v>62.060951999999979</v>
      </c>
      <c r="G796" s="18">
        <v>69.082536924285819</v>
      </c>
    </row>
    <row r="797" spans="1:7" ht="11.25" customHeight="1" x14ac:dyDescent="0.2">
      <c r="A797" s="28">
        <v>44531</v>
      </c>
      <c r="B797" s="18">
        <v>15.744000000000012</v>
      </c>
      <c r="C797" s="18">
        <v>46.316951999999965</v>
      </c>
      <c r="D797" s="18">
        <v>18.097877506939334</v>
      </c>
      <c r="E797" s="18">
        <v>50.984659417346478</v>
      </c>
      <c r="F797" s="18">
        <v>62.060951999999979</v>
      </c>
      <c r="G797" s="18">
        <v>69.082536924285819</v>
      </c>
    </row>
    <row r="798" spans="1:7" ht="11.25" customHeight="1" x14ac:dyDescent="0.2">
      <c r="A798" s="28">
        <v>44562</v>
      </c>
      <c r="B798" s="18">
        <v>15.744000000000012</v>
      </c>
      <c r="C798" s="18">
        <v>47.15907840000002</v>
      </c>
      <c r="D798" s="18">
        <v>18.097877506939334</v>
      </c>
      <c r="E798" s="18">
        <v>51.911653224934668</v>
      </c>
      <c r="F798" s="18">
        <v>62.903078400000034</v>
      </c>
      <c r="G798" s="18">
        <v>70.009530731874008</v>
      </c>
    </row>
    <row r="799" spans="1:7" ht="11.25" customHeight="1" x14ac:dyDescent="0.2">
      <c r="A799" s="28">
        <v>44593</v>
      </c>
      <c r="B799" s="18">
        <v>15.744000000000012</v>
      </c>
      <c r="C799" s="18">
        <v>49.170824799999828</v>
      </c>
      <c r="D799" s="18">
        <v>18.097877506939334</v>
      </c>
      <c r="E799" s="18">
        <v>54.126138431950508</v>
      </c>
      <c r="F799" s="18">
        <v>64.914824799999835</v>
      </c>
      <c r="G799" s="18">
        <v>72.224015938889835</v>
      </c>
    </row>
    <row r="800" spans="1:7" ht="11.25" customHeight="1" x14ac:dyDescent="0.2">
      <c r="A800" s="28">
        <v>44621</v>
      </c>
      <c r="B800" s="18">
        <v>131.19999999999999</v>
      </c>
      <c r="C800" s="18">
        <v>64.1185684000001</v>
      </c>
      <c r="D800" s="18">
        <v>150.81564589116098</v>
      </c>
      <c r="E800" s="18">
        <v>70.580278516639908</v>
      </c>
      <c r="F800" s="18">
        <v>195.31856840000009</v>
      </c>
      <c r="G800" s="18">
        <v>221.39592440780089</v>
      </c>
    </row>
    <row r="801" spans="1:7" ht="11.25" customHeight="1" x14ac:dyDescent="0.2">
      <c r="A801" s="28">
        <v>44652</v>
      </c>
      <c r="B801" s="18">
        <v>125.9520000000001</v>
      </c>
      <c r="C801" s="18">
        <v>50.200090399999823</v>
      </c>
      <c r="D801" s="18">
        <v>144.78302005551467</v>
      </c>
      <c r="E801" s="18">
        <v>55.259130863447091</v>
      </c>
      <c r="F801" s="18">
        <v>176.15209039999991</v>
      </c>
      <c r="G801" s="18">
        <v>200.04215091896177</v>
      </c>
    </row>
    <row r="802" spans="1:7" ht="11.25" customHeight="1" x14ac:dyDescent="0.2">
      <c r="A802" s="28">
        <v>44682</v>
      </c>
      <c r="B802" s="18">
        <v>125.9520000000001</v>
      </c>
      <c r="C802" s="18">
        <v>50.200090399999823</v>
      </c>
      <c r="D802" s="18">
        <v>144.78302005551467</v>
      </c>
      <c r="E802" s="18">
        <v>55.259130863447091</v>
      </c>
      <c r="F802" s="18">
        <v>176.15209039999991</v>
      </c>
      <c r="G802" s="18">
        <v>200.04215091896177</v>
      </c>
    </row>
    <row r="803" spans="1:7" ht="11.25" customHeight="1" x14ac:dyDescent="0.2">
      <c r="A803" s="22" t="s">
        <v>42</v>
      </c>
      <c r="B803" s="18">
        <v>11259.093600000004</v>
      </c>
      <c r="C803" s="18">
        <v>55759.038308799987</v>
      </c>
      <c r="D803" s="18">
        <v>13153.969833911156</v>
      </c>
      <c r="E803" s="18">
        <v>62770.293829838607</v>
      </c>
      <c r="F803" s="18">
        <v>67018.131908799987</v>
      </c>
      <c r="G803" s="18">
        <v>75924.263663749764</v>
      </c>
    </row>
    <row r="804" spans="1:7" ht="11.25" customHeight="1" x14ac:dyDescent="0.2">
      <c r="A804" s="23" t="s">
        <v>45</v>
      </c>
      <c r="B804" s="18">
        <v>11259.093600000004</v>
      </c>
      <c r="C804" s="18">
        <v>55759.038308799987</v>
      </c>
      <c r="D804" s="18">
        <v>13153.969833911156</v>
      </c>
      <c r="E804" s="18">
        <v>62770.293829838607</v>
      </c>
      <c r="F804" s="18">
        <v>67018.131908799987</v>
      </c>
      <c r="G804" s="18">
        <v>75924.263663749764</v>
      </c>
    </row>
    <row r="805" spans="1:7" ht="11.25" customHeight="1" x14ac:dyDescent="0.2">
      <c r="A805" s="24" t="s">
        <v>25</v>
      </c>
      <c r="B805" s="18">
        <v>11259.093600000004</v>
      </c>
      <c r="C805" s="18">
        <v>55759.038308799987</v>
      </c>
      <c r="D805" s="18">
        <v>13153.969833911156</v>
      </c>
      <c r="E805" s="18">
        <v>62770.293829838607</v>
      </c>
      <c r="F805" s="18">
        <v>67018.131908799987</v>
      </c>
      <c r="G805" s="18">
        <v>75924.263663749764</v>
      </c>
    </row>
    <row r="806" spans="1:7" ht="11.25" customHeight="1" x14ac:dyDescent="0.2">
      <c r="A806" s="25" t="s">
        <v>25</v>
      </c>
      <c r="B806" s="18">
        <v>11259.093600000004</v>
      </c>
      <c r="C806" s="18">
        <v>55759.038308799987</v>
      </c>
      <c r="D806" s="18">
        <v>13153.969833911156</v>
      </c>
      <c r="E806" s="18">
        <v>62770.293829838607</v>
      </c>
      <c r="F806" s="18">
        <v>67018.131908799987</v>
      </c>
      <c r="G806" s="18">
        <v>75924.263663749764</v>
      </c>
    </row>
    <row r="807" spans="1:7" ht="11.25" customHeight="1" x14ac:dyDescent="0.2">
      <c r="A807" s="26" t="s">
        <v>25</v>
      </c>
      <c r="B807" s="18">
        <v>11259.093600000004</v>
      </c>
      <c r="C807" s="18">
        <v>55759.038308799987</v>
      </c>
      <c r="D807" s="18">
        <v>13153.969833911156</v>
      </c>
      <c r="E807" s="18">
        <v>62770.293829838607</v>
      </c>
      <c r="F807" s="18">
        <v>67018.131908799987</v>
      </c>
      <c r="G807" s="18">
        <v>75924.263663749764</v>
      </c>
    </row>
    <row r="808" spans="1:7" ht="11.25" customHeight="1" x14ac:dyDescent="0.2">
      <c r="A808" s="27" t="s">
        <v>35</v>
      </c>
      <c r="B808" s="18">
        <v>0</v>
      </c>
      <c r="C808" s="18">
        <v>41227.712008000002</v>
      </c>
      <c r="D808" s="18">
        <v>0</v>
      </c>
      <c r="E808" s="18">
        <v>46251.777317451983</v>
      </c>
      <c r="F808" s="18">
        <v>41227.712008000002</v>
      </c>
      <c r="G808" s="18">
        <v>46251.777317451983</v>
      </c>
    </row>
    <row r="809" spans="1:7" ht="11.25" customHeight="1" x14ac:dyDescent="0.2">
      <c r="A809" s="28">
        <v>44348</v>
      </c>
      <c r="B809" s="18">
        <v>0</v>
      </c>
      <c r="C809" s="18">
        <v>3487.9260919999897</v>
      </c>
      <c r="D809" s="18">
        <v>0</v>
      </c>
      <c r="E809" s="18">
        <v>3912.9695306790313</v>
      </c>
      <c r="F809" s="18">
        <v>3487.9260919999897</v>
      </c>
      <c r="G809" s="18">
        <v>3912.9695306790313</v>
      </c>
    </row>
    <row r="810" spans="1:7" ht="11.25" customHeight="1" x14ac:dyDescent="0.2">
      <c r="A810" s="28">
        <v>44378</v>
      </c>
      <c r="B810" s="18">
        <v>0</v>
      </c>
      <c r="C810" s="18">
        <v>3728.305671999994</v>
      </c>
      <c r="D810" s="18">
        <v>0</v>
      </c>
      <c r="E810" s="18">
        <v>4182.6420946977532</v>
      </c>
      <c r="F810" s="18">
        <v>3728.305671999994</v>
      </c>
      <c r="G810" s="18">
        <v>4182.6420946977532</v>
      </c>
    </row>
    <row r="811" spans="1:7" ht="11.25" customHeight="1" x14ac:dyDescent="0.2">
      <c r="A811" s="28">
        <v>44409</v>
      </c>
      <c r="B811" s="18">
        <v>0</v>
      </c>
      <c r="C811" s="18">
        <v>3462.5371479999958</v>
      </c>
      <c r="D811" s="18">
        <v>0</v>
      </c>
      <c r="E811" s="18">
        <v>3884.486655277527</v>
      </c>
      <c r="F811" s="18">
        <v>3462.5371479999958</v>
      </c>
      <c r="G811" s="18">
        <v>3884.486655277527</v>
      </c>
    </row>
    <row r="812" spans="1:7" ht="11.25" customHeight="1" x14ac:dyDescent="0.2">
      <c r="A812" s="28">
        <v>44440</v>
      </c>
      <c r="B812" s="18">
        <v>0</v>
      </c>
      <c r="C812" s="18">
        <v>3553.2530600000036</v>
      </c>
      <c r="D812" s="18">
        <v>0</v>
      </c>
      <c r="E812" s="18">
        <v>3986.2573322474191</v>
      </c>
      <c r="F812" s="18">
        <v>3553.2530600000036</v>
      </c>
      <c r="G812" s="18">
        <v>3986.2573322474191</v>
      </c>
    </row>
    <row r="813" spans="1:7" ht="11.25" customHeight="1" x14ac:dyDescent="0.2">
      <c r="A813" s="28">
        <v>44470</v>
      </c>
      <c r="B813" s="18">
        <v>0</v>
      </c>
      <c r="C813" s="18">
        <v>3739.2094880000013</v>
      </c>
      <c r="D813" s="18">
        <v>0</v>
      </c>
      <c r="E813" s="18">
        <v>4194.8746646120135</v>
      </c>
      <c r="F813" s="18">
        <v>3739.2094880000013</v>
      </c>
      <c r="G813" s="18">
        <v>4194.8746646120135</v>
      </c>
    </row>
    <row r="814" spans="1:7" ht="11.25" customHeight="1" x14ac:dyDescent="0.2">
      <c r="A814" s="28">
        <v>44501</v>
      </c>
      <c r="B814" s="18">
        <v>0</v>
      </c>
      <c r="C814" s="18">
        <v>3559.8081400000051</v>
      </c>
      <c r="D814" s="18">
        <v>0</v>
      </c>
      <c r="E814" s="18">
        <v>3993.6112232515898</v>
      </c>
      <c r="F814" s="18">
        <v>3559.8081400000051</v>
      </c>
      <c r="G814" s="18">
        <v>3993.6112232515898</v>
      </c>
    </row>
    <row r="815" spans="1:7" ht="11.25" customHeight="1" x14ac:dyDescent="0.2">
      <c r="A815" s="28">
        <v>44531</v>
      </c>
      <c r="B815" s="18">
        <v>0</v>
      </c>
      <c r="C815" s="18">
        <v>3914.757728000001</v>
      </c>
      <c r="D815" s="18">
        <v>0</v>
      </c>
      <c r="E815" s="18">
        <v>4391.8154529675521</v>
      </c>
      <c r="F815" s="18">
        <v>3914.757728000001</v>
      </c>
      <c r="G815" s="18">
        <v>4391.8154529675521</v>
      </c>
    </row>
    <row r="816" spans="1:7" ht="11.25" customHeight="1" x14ac:dyDescent="0.2">
      <c r="A816" s="28">
        <v>44562</v>
      </c>
      <c r="B816" s="18">
        <v>0</v>
      </c>
      <c r="C816" s="18">
        <v>3372.5566840000056</v>
      </c>
      <c r="D816" s="18">
        <v>0</v>
      </c>
      <c r="E816" s="18">
        <v>3783.5410490056825</v>
      </c>
      <c r="F816" s="18">
        <v>3372.5566840000056</v>
      </c>
      <c r="G816" s="18">
        <v>3783.5410490056825</v>
      </c>
    </row>
    <row r="817" spans="1:7" ht="11.25" customHeight="1" x14ac:dyDescent="0.2">
      <c r="A817" s="28">
        <v>44593</v>
      </c>
      <c r="B817" s="18">
        <v>0</v>
      </c>
      <c r="C817" s="18">
        <v>3050.7821959999974</v>
      </c>
      <c r="D817" s="18">
        <v>0</v>
      </c>
      <c r="E817" s="18">
        <v>3422.5546822986094</v>
      </c>
      <c r="F817" s="18">
        <v>3050.7821959999974</v>
      </c>
      <c r="G817" s="18">
        <v>3422.5546822986094</v>
      </c>
    </row>
    <row r="818" spans="1:7" ht="11.25" customHeight="1" x14ac:dyDescent="0.2">
      <c r="A818" s="28">
        <v>44621</v>
      </c>
      <c r="B818" s="18">
        <v>0</v>
      </c>
      <c r="C818" s="18">
        <v>3205.0504080000019</v>
      </c>
      <c r="D818" s="18">
        <v>0</v>
      </c>
      <c r="E818" s="18">
        <v>3595.6222293698888</v>
      </c>
      <c r="F818" s="18">
        <v>3205.0504080000019</v>
      </c>
      <c r="G818" s="18">
        <v>3595.6222293698888</v>
      </c>
    </row>
    <row r="819" spans="1:7" ht="11.25" customHeight="1" x14ac:dyDescent="0.2">
      <c r="A819" s="28">
        <v>44652</v>
      </c>
      <c r="B819" s="18">
        <v>0</v>
      </c>
      <c r="C819" s="18">
        <v>3076.762696000008</v>
      </c>
      <c r="D819" s="18">
        <v>0</v>
      </c>
      <c r="E819" s="18">
        <v>3451.70120152246</v>
      </c>
      <c r="F819" s="18">
        <v>3076.762696000008</v>
      </c>
      <c r="G819" s="18">
        <v>3451.70120152246</v>
      </c>
    </row>
    <row r="820" spans="1:7" ht="11.25" customHeight="1" x14ac:dyDescent="0.2">
      <c r="A820" s="28">
        <v>44682</v>
      </c>
      <c r="B820" s="18">
        <v>0</v>
      </c>
      <c r="C820" s="18">
        <v>3076.762696000008</v>
      </c>
      <c r="D820" s="18">
        <v>0</v>
      </c>
      <c r="E820" s="18">
        <v>3451.70120152246</v>
      </c>
      <c r="F820" s="18">
        <v>3076.762696000008</v>
      </c>
      <c r="G820" s="18">
        <v>3451.70120152246</v>
      </c>
    </row>
    <row r="821" spans="1:7" ht="11.25" customHeight="1" x14ac:dyDescent="0.2">
      <c r="A821" s="27" t="s">
        <v>25</v>
      </c>
      <c r="B821" s="18">
        <v>11259.093600000004</v>
      </c>
      <c r="C821" s="18">
        <v>0</v>
      </c>
      <c r="D821" s="18">
        <v>13153.969833911156</v>
      </c>
      <c r="E821" s="18">
        <v>0</v>
      </c>
      <c r="F821" s="18">
        <v>11259.093600000004</v>
      </c>
      <c r="G821" s="18">
        <v>13153.969833911156</v>
      </c>
    </row>
    <row r="822" spans="1:7" ht="11.25" customHeight="1" x14ac:dyDescent="0.2">
      <c r="A822" s="28">
        <v>44348</v>
      </c>
      <c r="B822" s="18">
        <v>1439.7844</v>
      </c>
      <c r="C822" s="18">
        <v>0</v>
      </c>
      <c r="D822" s="18">
        <v>1682.0963780721979</v>
      </c>
      <c r="E822" s="18">
        <v>0</v>
      </c>
      <c r="F822" s="18">
        <v>1439.7844</v>
      </c>
      <c r="G822" s="18">
        <v>1682.0963780721979</v>
      </c>
    </row>
    <row r="823" spans="1:7" ht="11.25" customHeight="1" x14ac:dyDescent="0.2">
      <c r="A823" s="28">
        <v>44378</v>
      </c>
      <c r="B823" s="18">
        <v>1093.8688000000029</v>
      </c>
      <c r="C823" s="18">
        <v>0</v>
      </c>
      <c r="D823" s="18">
        <v>1277.9640802929844</v>
      </c>
      <c r="E823" s="18">
        <v>0</v>
      </c>
      <c r="F823" s="18">
        <v>1093.8688000000029</v>
      </c>
      <c r="G823" s="18">
        <v>1277.9640802929844</v>
      </c>
    </row>
    <row r="824" spans="1:7" ht="11.25" customHeight="1" x14ac:dyDescent="0.2">
      <c r="A824" s="28">
        <v>44409</v>
      </c>
      <c r="B824" s="18">
        <v>978.56360000000041</v>
      </c>
      <c r="C824" s="18">
        <v>0</v>
      </c>
      <c r="D824" s="18">
        <v>1143.2533143665758</v>
      </c>
      <c r="E824" s="18">
        <v>0</v>
      </c>
      <c r="F824" s="18">
        <v>978.56360000000041</v>
      </c>
      <c r="G824" s="18">
        <v>1143.2533143665758</v>
      </c>
    </row>
    <row r="825" spans="1:7" ht="11.25" customHeight="1" x14ac:dyDescent="0.2">
      <c r="A825" s="28">
        <v>44440</v>
      </c>
      <c r="B825" s="18">
        <v>943.87</v>
      </c>
      <c r="C825" s="18">
        <v>0</v>
      </c>
      <c r="D825" s="18">
        <v>1102.7208715214622</v>
      </c>
      <c r="E825" s="18">
        <v>0</v>
      </c>
      <c r="F825" s="18">
        <v>943.87</v>
      </c>
      <c r="G825" s="18">
        <v>1102.7208715214622</v>
      </c>
    </row>
    <row r="826" spans="1:7" ht="11.25" customHeight="1" x14ac:dyDescent="0.2">
      <c r="A826" s="28">
        <v>44470</v>
      </c>
      <c r="B826" s="18">
        <v>925.50279999999941</v>
      </c>
      <c r="C826" s="18">
        <v>0</v>
      </c>
      <c r="D826" s="18">
        <v>1081.2625194269897</v>
      </c>
      <c r="E826" s="18">
        <v>0</v>
      </c>
      <c r="F826" s="18">
        <v>925.50279999999941</v>
      </c>
      <c r="G826" s="18">
        <v>1081.2625194269897</v>
      </c>
    </row>
    <row r="827" spans="1:7" ht="11.25" customHeight="1" x14ac:dyDescent="0.2">
      <c r="A827" s="28">
        <v>44501</v>
      </c>
      <c r="B827" s="18">
        <v>898.97240000000033</v>
      </c>
      <c r="C827" s="18">
        <v>0</v>
      </c>
      <c r="D827" s="18">
        <v>1050.2671219571982</v>
      </c>
      <c r="E827" s="18">
        <v>0</v>
      </c>
      <c r="F827" s="18">
        <v>898.97240000000033</v>
      </c>
      <c r="G827" s="18">
        <v>1050.2671219571982</v>
      </c>
    </row>
    <row r="828" spans="1:7" ht="11.25" customHeight="1" x14ac:dyDescent="0.2">
      <c r="A828" s="28">
        <v>44531</v>
      </c>
      <c r="B828" s="18">
        <v>918.36</v>
      </c>
      <c r="C828" s="18">
        <v>0</v>
      </c>
      <c r="D828" s="18">
        <v>1072.9176047235849</v>
      </c>
      <c r="E828" s="18">
        <v>0</v>
      </c>
      <c r="F828" s="18">
        <v>918.36</v>
      </c>
      <c r="G828" s="18">
        <v>1072.9176047235849</v>
      </c>
    </row>
    <row r="829" spans="1:7" ht="11.25" customHeight="1" x14ac:dyDescent="0.2">
      <c r="A829" s="28">
        <v>44562</v>
      </c>
      <c r="B829" s="18">
        <v>789.78960000000097</v>
      </c>
      <c r="C829" s="18">
        <v>0</v>
      </c>
      <c r="D829" s="18">
        <v>922.70914006228406</v>
      </c>
      <c r="E829" s="18">
        <v>0</v>
      </c>
      <c r="F829" s="18">
        <v>789.78960000000097</v>
      </c>
      <c r="G829" s="18">
        <v>922.70914006228406</v>
      </c>
    </row>
    <row r="830" spans="1:7" ht="11.25" customHeight="1" x14ac:dyDescent="0.2">
      <c r="A830" s="28">
        <v>44593</v>
      </c>
      <c r="B830" s="18">
        <v>853.05440000000146</v>
      </c>
      <c r="C830" s="18">
        <v>0</v>
      </c>
      <c r="D830" s="18">
        <v>996.6212417210204</v>
      </c>
      <c r="E830" s="18">
        <v>0</v>
      </c>
      <c r="F830" s="18">
        <v>853.05440000000146</v>
      </c>
      <c r="G830" s="18">
        <v>996.6212417210204</v>
      </c>
    </row>
    <row r="831" spans="1:7" ht="11.25" customHeight="1" x14ac:dyDescent="0.2">
      <c r="A831" s="28">
        <v>44621</v>
      </c>
      <c r="B831" s="18">
        <v>805.09559999999863</v>
      </c>
      <c r="C831" s="18">
        <v>0</v>
      </c>
      <c r="D831" s="18">
        <v>940.5911001410077</v>
      </c>
      <c r="E831" s="18">
        <v>0</v>
      </c>
      <c r="F831" s="18">
        <v>805.09559999999863</v>
      </c>
      <c r="G831" s="18">
        <v>940.5911001410077</v>
      </c>
    </row>
    <row r="832" spans="1:7" ht="11.25" customHeight="1" x14ac:dyDescent="0.2">
      <c r="A832" s="28">
        <v>44652</v>
      </c>
      <c r="B832" s="18">
        <v>806.11600000000067</v>
      </c>
      <c r="C832" s="18">
        <v>0</v>
      </c>
      <c r="D832" s="18">
        <v>941.78323081292513</v>
      </c>
      <c r="E832" s="18">
        <v>0</v>
      </c>
      <c r="F832" s="18">
        <v>806.11600000000067</v>
      </c>
      <c r="G832" s="18">
        <v>941.78323081292513</v>
      </c>
    </row>
    <row r="833" spans="1:7" ht="11.25" customHeight="1" x14ac:dyDescent="0.2">
      <c r="A833" s="28">
        <v>44682</v>
      </c>
      <c r="B833" s="18">
        <v>806.11600000000067</v>
      </c>
      <c r="C833" s="18">
        <v>0</v>
      </c>
      <c r="D833" s="18">
        <v>941.78323081292513</v>
      </c>
      <c r="E833" s="18">
        <v>0</v>
      </c>
      <c r="F833" s="18">
        <v>806.11600000000067</v>
      </c>
      <c r="G833" s="18">
        <v>941.78323081292513</v>
      </c>
    </row>
    <row r="834" spans="1:7" ht="11.25" customHeight="1" x14ac:dyDescent="0.2">
      <c r="A834" s="27" t="s">
        <v>34</v>
      </c>
      <c r="B834" s="18">
        <v>0</v>
      </c>
      <c r="C834" s="18">
        <v>14531.32630079999</v>
      </c>
      <c r="D834" s="18">
        <v>0</v>
      </c>
      <c r="E834" s="18">
        <v>16518.516512386643</v>
      </c>
      <c r="F834" s="18">
        <v>14531.32630079999</v>
      </c>
      <c r="G834" s="18">
        <v>16518.516512386643</v>
      </c>
    </row>
    <row r="835" spans="1:7" ht="11.25" customHeight="1" x14ac:dyDescent="0.2">
      <c r="A835" s="28">
        <v>44348</v>
      </c>
      <c r="B835" s="18">
        <v>0</v>
      </c>
      <c r="C835" s="18">
        <v>1510.7609412000024</v>
      </c>
      <c r="D835" s="18">
        <v>0</v>
      </c>
      <c r="E835" s="18">
        <v>1717.3607581922615</v>
      </c>
      <c r="F835" s="18">
        <v>1510.7609412000024</v>
      </c>
      <c r="G835" s="18">
        <v>1717.3607581922615</v>
      </c>
    </row>
    <row r="836" spans="1:7" ht="11.25" customHeight="1" x14ac:dyDescent="0.2">
      <c r="A836" s="28">
        <v>44378</v>
      </c>
      <c r="B836" s="18">
        <v>0</v>
      </c>
      <c r="C836" s="18">
        <v>1602.4225427999925</v>
      </c>
      <c r="D836" s="18">
        <v>0</v>
      </c>
      <c r="E836" s="18">
        <v>1821.5572814991456</v>
      </c>
      <c r="F836" s="18">
        <v>1602.4225427999925</v>
      </c>
      <c r="G836" s="18">
        <v>1821.5572814991456</v>
      </c>
    </row>
    <row r="837" spans="1:7" ht="11.25" customHeight="1" x14ac:dyDescent="0.2">
      <c r="A837" s="28">
        <v>44409</v>
      </c>
      <c r="B837" s="18">
        <v>0</v>
      </c>
      <c r="C837" s="18">
        <v>1293.805249200002</v>
      </c>
      <c r="D837" s="18">
        <v>0</v>
      </c>
      <c r="E837" s="18">
        <v>1470.7359073993248</v>
      </c>
      <c r="F837" s="18">
        <v>1293.805249200002</v>
      </c>
      <c r="G837" s="18">
        <v>1470.7359073993248</v>
      </c>
    </row>
    <row r="838" spans="1:7" ht="11.25" customHeight="1" x14ac:dyDescent="0.2">
      <c r="A838" s="28">
        <v>44440</v>
      </c>
      <c r="B838" s="18">
        <v>0</v>
      </c>
      <c r="C838" s="18">
        <v>1267.4046167999991</v>
      </c>
      <c r="D838" s="18">
        <v>0</v>
      </c>
      <c r="E838" s="18">
        <v>1440.7249315799404</v>
      </c>
      <c r="F838" s="18">
        <v>1267.4046167999991</v>
      </c>
      <c r="G838" s="18">
        <v>1440.7249315799404</v>
      </c>
    </row>
    <row r="839" spans="1:7" ht="11.25" customHeight="1" x14ac:dyDescent="0.2">
      <c r="A839" s="28">
        <v>44470</v>
      </c>
      <c r="B839" s="18">
        <v>0</v>
      </c>
      <c r="C839" s="18">
        <v>1365.688159199997</v>
      </c>
      <c r="D839" s="18">
        <v>0</v>
      </c>
      <c r="E839" s="18">
        <v>1552.4489603728825</v>
      </c>
      <c r="F839" s="18">
        <v>1365.688159199997</v>
      </c>
      <c r="G839" s="18">
        <v>1552.4489603728825</v>
      </c>
    </row>
    <row r="840" spans="1:7" ht="11.25" customHeight="1" x14ac:dyDescent="0.2">
      <c r="A840" s="28">
        <v>44501</v>
      </c>
      <c r="B840" s="18">
        <v>0</v>
      </c>
      <c r="C840" s="18">
        <v>1261.2183299999974</v>
      </c>
      <c r="D840" s="18">
        <v>0</v>
      </c>
      <c r="E840" s="18">
        <v>1433.6926567179712</v>
      </c>
      <c r="F840" s="18">
        <v>1261.2183299999974</v>
      </c>
      <c r="G840" s="18">
        <v>1433.6926567179712</v>
      </c>
    </row>
    <row r="841" spans="1:7" ht="11.25" customHeight="1" x14ac:dyDescent="0.2">
      <c r="A841" s="28">
        <v>44531</v>
      </c>
      <c r="B841" s="18">
        <v>0</v>
      </c>
      <c r="C841" s="18">
        <v>1428.4223351999976</v>
      </c>
      <c r="D841" s="18">
        <v>0</v>
      </c>
      <c r="E841" s="18">
        <v>1623.7621702407203</v>
      </c>
      <c r="F841" s="18">
        <v>1428.4223351999976</v>
      </c>
      <c r="G841" s="18">
        <v>1623.7621702407203</v>
      </c>
    </row>
    <row r="842" spans="1:7" ht="11.25" customHeight="1" x14ac:dyDescent="0.2">
      <c r="A842" s="28">
        <v>44562</v>
      </c>
      <c r="B842" s="18">
        <v>0</v>
      </c>
      <c r="C842" s="18">
        <v>1040.5160135999988</v>
      </c>
      <c r="D842" s="18">
        <v>0</v>
      </c>
      <c r="E842" s="18">
        <v>1182.808822557929</v>
      </c>
      <c r="F842" s="18">
        <v>1040.5160135999988</v>
      </c>
      <c r="G842" s="18">
        <v>1182.808822557929</v>
      </c>
    </row>
    <row r="843" spans="1:7" ht="11.25" customHeight="1" x14ac:dyDescent="0.2">
      <c r="A843" s="28">
        <v>44593</v>
      </c>
      <c r="B843" s="18">
        <v>0</v>
      </c>
      <c r="C843" s="18">
        <v>1001.0457612000032</v>
      </c>
      <c r="D843" s="18">
        <v>0</v>
      </c>
      <c r="E843" s="18">
        <v>1137.9409280160867</v>
      </c>
      <c r="F843" s="18">
        <v>1001.0457612000032</v>
      </c>
      <c r="G843" s="18">
        <v>1137.9409280160867</v>
      </c>
    </row>
    <row r="844" spans="1:7" ht="11.25" customHeight="1" x14ac:dyDescent="0.2">
      <c r="A844" s="28">
        <v>44621</v>
      </c>
      <c r="B844" s="18">
        <v>0</v>
      </c>
      <c r="C844" s="18">
        <v>971.76981240000111</v>
      </c>
      <c r="D844" s="18">
        <v>0</v>
      </c>
      <c r="E844" s="18">
        <v>1104.6614300777603</v>
      </c>
      <c r="F844" s="18">
        <v>971.76981240000111</v>
      </c>
      <c r="G844" s="18">
        <v>1104.6614300777603</v>
      </c>
    </row>
    <row r="845" spans="1:7" ht="11.25" customHeight="1" x14ac:dyDescent="0.2">
      <c r="A845" s="28">
        <v>44652</v>
      </c>
      <c r="B845" s="18">
        <v>0</v>
      </c>
      <c r="C845" s="18">
        <v>894.13626959999931</v>
      </c>
      <c r="D845" s="18">
        <v>0</v>
      </c>
      <c r="E845" s="18">
        <v>1016.4113328663101</v>
      </c>
      <c r="F845" s="18">
        <v>894.13626959999931</v>
      </c>
      <c r="G845" s="18">
        <v>1016.4113328663101</v>
      </c>
    </row>
    <row r="846" spans="1:7" ht="11.25" customHeight="1" x14ac:dyDescent="0.2">
      <c r="A846" s="28">
        <v>44682</v>
      </c>
      <c r="B846" s="18">
        <v>0</v>
      </c>
      <c r="C846" s="18">
        <v>894.13626959999931</v>
      </c>
      <c r="D846" s="18">
        <v>0</v>
      </c>
      <c r="E846" s="18">
        <v>1016.4113328663101</v>
      </c>
      <c r="F846" s="18">
        <v>894.13626959999931</v>
      </c>
      <c r="G846" s="18">
        <v>1016.4113328663101</v>
      </c>
    </row>
    <row r="847" spans="1:7" ht="11.25" customHeight="1" x14ac:dyDescent="0.2">
      <c r="A847" s="21" t="s">
        <v>44</v>
      </c>
      <c r="B847" s="18">
        <v>0</v>
      </c>
      <c r="C847" s="18">
        <v>12852509.609059153</v>
      </c>
      <c r="D847" s="18">
        <v>0</v>
      </c>
      <c r="E847" s="18">
        <v>7337553.1305427505</v>
      </c>
      <c r="F847" s="18">
        <v>12852509.609059155</v>
      </c>
      <c r="G847" s="18">
        <v>7337553.1305427495</v>
      </c>
    </row>
    <row r="848" spans="1:7" ht="11.25" customHeight="1" x14ac:dyDescent="0.2">
      <c r="A848" s="22" t="s">
        <v>33</v>
      </c>
      <c r="B848" s="18">
        <v>0</v>
      </c>
      <c r="C848" s="18">
        <v>208.16557914893616</v>
      </c>
      <c r="D848" s="18">
        <v>0</v>
      </c>
      <c r="E848" s="18">
        <v>253.71865759558057</v>
      </c>
      <c r="F848" s="18">
        <v>208.16557914893619</v>
      </c>
      <c r="G848" s="18">
        <v>253.71865759558065</v>
      </c>
    </row>
    <row r="849" spans="1:7" ht="11.25" customHeight="1" x14ac:dyDescent="0.2">
      <c r="A849" s="23" t="s">
        <v>45</v>
      </c>
      <c r="B849" s="18">
        <v>0</v>
      </c>
      <c r="C849" s="18">
        <v>208.16557914893616</v>
      </c>
      <c r="D849" s="18">
        <v>0</v>
      </c>
      <c r="E849" s="18">
        <v>253.71865759558057</v>
      </c>
      <c r="F849" s="18">
        <v>208.16557914893619</v>
      </c>
      <c r="G849" s="18">
        <v>253.71865759558065</v>
      </c>
    </row>
    <row r="850" spans="1:7" ht="11.25" customHeight="1" x14ac:dyDescent="0.2">
      <c r="A850" s="24" t="s">
        <v>25</v>
      </c>
      <c r="B850" s="18">
        <v>0</v>
      </c>
      <c r="C850" s="18">
        <v>208.16557914893616</v>
      </c>
      <c r="D850" s="18">
        <v>0</v>
      </c>
      <c r="E850" s="18">
        <v>253.71865759558057</v>
      </c>
      <c r="F850" s="18">
        <v>208.16557914893619</v>
      </c>
      <c r="G850" s="18">
        <v>253.71865759558065</v>
      </c>
    </row>
    <row r="851" spans="1:7" ht="11.25" customHeight="1" x14ac:dyDescent="0.2">
      <c r="A851" s="25" t="s">
        <v>25</v>
      </c>
      <c r="B851" s="18">
        <v>0</v>
      </c>
      <c r="C851" s="18">
        <v>208.16557914893616</v>
      </c>
      <c r="D851" s="18">
        <v>0</v>
      </c>
      <c r="E851" s="18">
        <v>253.71865759558057</v>
      </c>
      <c r="F851" s="18">
        <v>208.16557914893619</v>
      </c>
      <c r="G851" s="18">
        <v>253.71865759558065</v>
      </c>
    </row>
    <row r="852" spans="1:7" ht="11.25" customHeight="1" x14ac:dyDescent="0.2">
      <c r="A852" s="26" t="s">
        <v>25</v>
      </c>
      <c r="B852" s="18">
        <v>0</v>
      </c>
      <c r="C852" s="18">
        <v>208.16557914893616</v>
      </c>
      <c r="D852" s="18">
        <v>0</v>
      </c>
      <c r="E852" s="18">
        <v>253.71865759558057</v>
      </c>
      <c r="F852" s="18">
        <v>208.16557914893619</v>
      </c>
      <c r="G852" s="18">
        <v>253.71865759558065</v>
      </c>
    </row>
    <row r="853" spans="1:7" ht="11.25" customHeight="1" x14ac:dyDescent="0.2">
      <c r="A853" s="27" t="s">
        <v>35</v>
      </c>
      <c r="B853" s="18">
        <v>0</v>
      </c>
      <c r="C853" s="18">
        <v>160.62975191489363</v>
      </c>
      <c r="D853" s="18">
        <v>0</v>
      </c>
      <c r="E853" s="18">
        <v>195.96826609396925</v>
      </c>
      <c r="F853" s="18">
        <v>160.62975191489363</v>
      </c>
      <c r="G853" s="18">
        <v>195.96826609396931</v>
      </c>
    </row>
    <row r="854" spans="1:7" ht="11.25" customHeight="1" x14ac:dyDescent="0.2">
      <c r="A854" s="28">
        <v>44348</v>
      </c>
      <c r="B854" s="18">
        <v>0</v>
      </c>
      <c r="C854" s="18">
        <v>6.1949144680851074</v>
      </c>
      <c r="D854" s="18">
        <v>0</v>
      </c>
      <c r="E854" s="18">
        <v>7.5577944461639888</v>
      </c>
      <c r="F854" s="18">
        <v>6.1949144680851074</v>
      </c>
      <c r="G854" s="18">
        <v>7.5577944461639888</v>
      </c>
    </row>
    <row r="855" spans="1:7" ht="11.25" customHeight="1" x14ac:dyDescent="0.2">
      <c r="A855" s="28">
        <v>44378</v>
      </c>
      <c r="B855" s="18">
        <v>0</v>
      </c>
      <c r="C855" s="18">
        <v>15.675010851063831</v>
      </c>
      <c r="D855" s="18">
        <v>0</v>
      </c>
      <c r="E855" s="18">
        <v>19.123510189536148</v>
      </c>
      <c r="F855" s="18">
        <v>15.675010851063831</v>
      </c>
      <c r="G855" s="18">
        <v>19.123510189536148</v>
      </c>
    </row>
    <row r="856" spans="1:7" ht="11.25" customHeight="1" x14ac:dyDescent="0.2">
      <c r="A856" s="28">
        <v>44409</v>
      </c>
      <c r="B856" s="18">
        <v>0</v>
      </c>
      <c r="C856" s="18">
        <v>7.8844365957446811</v>
      </c>
      <c r="D856" s="18">
        <v>0</v>
      </c>
      <c r="E856" s="18">
        <v>9.6190111132996208</v>
      </c>
      <c r="F856" s="18">
        <v>7.8844365957446811</v>
      </c>
      <c r="G856" s="18">
        <v>9.6190111132996208</v>
      </c>
    </row>
    <row r="857" spans="1:7" ht="11.25" customHeight="1" x14ac:dyDescent="0.2">
      <c r="A857" s="28">
        <v>44440</v>
      </c>
      <c r="B857" s="18">
        <v>0</v>
      </c>
      <c r="C857" s="18">
        <v>14.861537234042551</v>
      </c>
      <c r="D857" s="18">
        <v>0</v>
      </c>
      <c r="E857" s="18">
        <v>18.131072534989361</v>
      </c>
      <c r="F857" s="18">
        <v>14.861537234042551</v>
      </c>
      <c r="G857" s="18">
        <v>18.131072534989361</v>
      </c>
    </row>
    <row r="858" spans="1:7" ht="11.25" customHeight="1" x14ac:dyDescent="0.2">
      <c r="A858" s="28">
        <v>44470</v>
      </c>
      <c r="B858" s="18">
        <v>0</v>
      </c>
      <c r="C858" s="18">
        <v>19.898816170212765</v>
      </c>
      <c r="D858" s="18">
        <v>0</v>
      </c>
      <c r="E858" s="18">
        <v>24.276551857375235</v>
      </c>
      <c r="F858" s="18">
        <v>19.898816170212765</v>
      </c>
      <c r="G858" s="18">
        <v>24.276551857375235</v>
      </c>
    </row>
    <row r="859" spans="1:7" ht="11.25" customHeight="1" x14ac:dyDescent="0.2">
      <c r="A859" s="28">
        <v>44501</v>
      </c>
      <c r="B859" s="18">
        <v>0</v>
      </c>
      <c r="C859" s="18">
        <v>150.74291872340424</v>
      </c>
      <c r="D859" s="18">
        <v>0</v>
      </c>
      <c r="E859" s="18">
        <v>183.9063315233237</v>
      </c>
      <c r="F859" s="18">
        <v>150.74291872340424</v>
      </c>
      <c r="G859" s="18">
        <v>183.9063315233237</v>
      </c>
    </row>
    <row r="860" spans="1:7" ht="11.25" customHeight="1" x14ac:dyDescent="0.2">
      <c r="A860" s="28">
        <v>44531</v>
      </c>
      <c r="B860" s="18">
        <v>0</v>
      </c>
      <c r="C860" s="18">
        <v>65.828788085106396</v>
      </c>
      <c r="D860" s="18">
        <v>0</v>
      </c>
      <c r="E860" s="18">
        <v>80.311108660247641</v>
      </c>
      <c r="F860" s="18">
        <v>65.828788085106396</v>
      </c>
      <c r="G860" s="18">
        <v>80.311108660247641</v>
      </c>
    </row>
    <row r="861" spans="1:7" ht="11.25" customHeight="1" x14ac:dyDescent="0.2">
      <c r="A861" s="28">
        <v>44562</v>
      </c>
      <c r="B861" s="18">
        <v>0</v>
      </c>
      <c r="C861" s="18">
        <v>-170.01598595744682</v>
      </c>
      <c r="D861" s="18">
        <v>0</v>
      </c>
      <c r="E861" s="18">
        <v>-207.41946980027839</v>
      </c>
      <c r="F861" s="18">
        <v>-170.01598595744682</v>
      </c>
      <c r="G861" s="18">
        <v>-207.41946980027839</v>
      </c>
    </row>
    <row r="862" spans="1:7" ht="11.25" customHeight="1" x14ac:dyDescent="0.2">
      <c r="A862" s="28">
        <v>44593</v>
      </c>
      <c r="B862" s="18">
        <v>0</v>
      </c>
      <c r="C862" s="18">
        <v>8.3850357446808523</v>
      </c>
      <c r="D862" s="18">
        <v>0</v>
      </c>
      <c r="E862" s="18">
        <v>10.229741977636104</v>
      </c>
      <c r="F862" s="18">
        <v>8.3850357446808523</v>
      </c>
      <c r="G862" s="18">
        <v>10.229741977636104</v>
      </c>
    </row>
    <row r="863" spans="1:7" ht="11.25" customHeight="1" x14ac:dyDescent="0.2">
      <c r="A863" s="28">
        <v>44621</v>
      </c>
      <c r="B863" s="18">
        <v>0</v>
      </c>
      <c r="C863" s="18">
        <v>13.328452340425532</v>
      </c>
      <c r="D863" s="18">
        <v>0</v>
      </c>
      <c r="E863" s="18">
        <v>16.260709262958883</v>
      </c>
      <c r="F863" s="18">
        <v>13.328452340425532</v>
      </c>
      <c r="G863" s="18">
        <v>16.260709262958883</v>
      </c>
    </row>
    <row r="864" spans="1:7" ht="11.25" customHeight="1" x14ac:dyDescent="0.2">
      <c r="A864" s="28">
        <v>44652</v>
      </c>
      <c r="B864" s="18">
        <v>0</v>
      </c>
      <c r="C864" s="18">
        <v>13.922913829787234</v>
      </c>
      <c r="D864" s="18">
        <v>0</v>
      </c>
      <c r="E864" s="18">
        <v>16.985952164358459</v>
      </c>
      <c r="F864" s="18">
        <v>13.922913829787234</v>
      </c>
      <c r="G864" s="18">
        <v>16.985952164358459</v>
      </c>
    </row>
    <row r="865" spans="1:7" ht="11.25" customHeight="1" x14ac:dyDescent="0.2">
      <c r="A865" s="28">
        <v>44682</v>
      </c>
      <c r="B865" s="18">
        <v>0</v>
      </c>
      <c r="C865" s="18">
        <v>13.922913829787234</v>
      </c>
      <c r="D865" s="18">
        <v>0</v>
      </c>
      <c r="E865" s="18">
        <v>16.985952164358459</v>
      </c>
      <c r="F865" s="18">
        <v>13.922913829787234</v>
      </c>
      <c r="G865" s="18">
        <v>16.985952164358459</v>
      </c>
    </row>
    <row r="866" spans="1:7" ht="11.25" customHeight="1" x14ac:dyDescent="0.2">
      <c r="A866" s="27" t="s">
        <v>36</v>
      </c>
      <c r="B866" s="18">
        <v>0</v>
      </c>
      <c r="C866" s="18">
        <v>12.602336170212768</v>
      </c>
      <c r="D866" s="18">
        <v>0</v>
      </c>
      <c r="E866" s="18">
        <v>15.425918097691879</v>
      </c>
      <c r="F866" s="18">
        <v>12.602336170212768</v>
      </c>
      <c r="G866" s="18">
        <v>15.425918097691881</v>
      </c>
    </row>
    <row r="867" spans="1:7" ht="11.25" customHeight="1" x14ac:dyDescent="0.2">
      <c r="A867" s="28">
        <v>44348</v>
      </c>
      <c r="B867" s="18">
        <v>0</v>
      </c>
      <c r="C867" s="18">
        <v>0.13698191489361705</v>
      </c>
      <c r="D867" s="18">
        <v>0</v>
      </c>
      <c r="E867" s="18">
        <v>0.16767302280099872</v>
      </c>
      <c r="F867" s="18">
        <v>0.13698191489361705</v>
      </c>
      <c r="G867" s="18">
        <v>0.16767302280099872</v>
      </c>
    </row>
    <row r="868" spans="1:7" ht="11.25" customHeight="1" x14ac:dyDescent="0.2">
      <c r="A868" s="28">
        <v>44378</v>
      </c>
      <c r="B868" s="18">
        <v>0</v>
      </c>
      <c r="C868" s="18">
        <v>1.4611404255319149</v>
      </c>
      <c r="D868" s="18">
        <v>0</v>
      </c>
      <c r="E868" s="18">
        <v>1.7885122432106531</v>
      </c>
      <c r="F868" s="18">
        <v>1.4611404255319149</v>
      </c>
      <c r="G868" s="18">
        <v>1.7885122432106531</v>
      </c>
    </row>
    <row r="869" spans="1:7" ht="11.25" customHeight="1" x14ac:dyDescent="0.2">
      <c r="A869" s="28">
        <v>44409</v>
      </c>
      <c r="B869" s="18">
        <v>0</v>
      </c>
      <c r="C869" s="18">
        <v>0.31962446808510642</v>
      </c>
      <c r="D869" s="18">
        <v>0</v>
      </c>
      <c r="E869" s="18">
        <v>0.39123705320233026</v>
      </c>
      <c r="F869" s="18">
        <v>0.31962446808510642</v>
      </c>
      <c r="G869" s="18">
        <v>0.39123705320233026</v>
      </c>
    </row>
    <row r="870" spans="1:7" ht="11.25" customHeight="1" x14ac:dyDescent="0.2">
      <c r="A870" s="28">
        <v>44440</v>
      </c>
      <c r="B870" s="18">
        <v>0</v>
      </c>
      <c r="C870" s="18">
        <v>1.324158510638298</v>
      </c>
      <c r="D870" s="18">
        <v>0</v>
      </c>
      <c r="E870" s="18">
        <v>1.6208392204096544</v>
      </c>
      <c r="F870" s="18">
        <v>1.324158510638298</v>
      </c>
      <c r="G870" s="18">
        <v>1.6208392204096544</v>
      </c>
    </row>
    <row r="871" spans="1:7" ht="11.25" customHeight="1" x14ac:dyDescent="0.2">
      <c r="A871" s="28">
        <v>44470</v>
      </c>
      <c r="B871" s="18">
        <v>0</v>
      </c>
      <c r="C871" s="18">
        <v>1.598122340425532</v>
      </c>
      <c r="D871" s="18">
        <v>0</v>
      </c>
      <c r="E871" s="18">
        <v>1.9561852660116519</v>
      </c>
      <c r="F871" s="18">
        <v>1.598122340425532</v>
      </c>
      <c r="G871" s="18">
        <v>1.9561852660116519</v>
      </c>
    </row>
    <row r="872" spans="1:7" ht="11.25" customHeight="1" x14ac:dyDescent="0.2">
      <c r="A872" s="28">
        <v>44501</v>
      </c>
      <c r="B872" s="18">
        <v>0</v>
      </c>
      <c r="C872" s="18">
        <v>0.31962446808510642</v>
      </c>
      <c r="D872" s="18">
        <v>0</v>
      </c>
      <c r="E872" s="18">
        <v>0.39123705320233026</v>
      </c>
      <c r="F872" s="18">
        <v>0.31962446808510642</v>
      </c>
      <c r="G872" s="18">
        <v>0.39123705320233026</v>
      </c>
    </row>
    <row r="873" spans="1:7" ht="11.25" customHeight="1" x14ac:dyDescent="0.2">
      <c r="A873" s="28">
        <v>44531</v>
      </c>
      <c r="B873" s="18">
        <v>0</v>
      </c>
      <c r="C873" s="18">
        <v>0.45660638297872347</v>
      </c>
      <c r="D873" s="18">
        <v>0</v>
      </c>
      <c r="E873" s="18">
        <v>0.55891007600332898</v>
      </c>
      <c r="F873" s="18">
        <v>0.45660638297872347</v>
      </c>
      <c r="G873" s="18">
        <v>0.55891007600332898</v>
      </c>
    </row>
    <row r="874" spans="1:7" ht="11.25" customHeight="1" x14ac:dyDescent="0.2">
      <c r="A874" s="28">
        <v>44562</v>
      </c>
      <c r="B874" s="18">
        <v>0</v>
      </c>
      <c r="C874" s="18">
        <v>3.013602127659575</v>
      </c>
      <c r="D874" s="18">
        <v>0</v>
      </c>
      <c r="E874" s="18">
        <v>3.6888065016219711</v>
      </c>
      <c r="F874" s="18">
        <v>3.013602127659575</v>
      </c>
      <c r="G874" s="18">
        <v>3.6888065016219711</v>
      </c>
    </row>
    <row r="875" spans="1:7" ht="11.25" customHeight="1" x14ac:dyDescent="0.2">
      <c r="A875" s="28">
        <v>44593</v>
      </c>
      <c r="B875" s="18">
        <v>0</v>
      </c>
      <c r="C875" s="18">
        <v>0.63924893617021283</v>
      </c>
      <c r="D875" s="18">
        <v>0</v>
      </c>
      <c r="E875" s="18">
        <v>0.78247410640466053</v>
      </c>
      <c r="F875" s="18">
        <v>0.63924893617021283</v>
      </c>
      <c r="G875" s="18">
        <v>0.78247410640466053</v>
      </c>
    </row>
    <row r="876" spans="1:7" ht="11.25" customHeight="1" x14ac:dyDescent="0.2">
      <c r="A876" s="28">
        <v>44621</v>
      </c>
      <c r="B876" s="18">
        <v>0</v>
      </c>
      <c r="C876" s="18">
        <v>1.0501946808510638</v>
      </c>
      <c r="D876" s="18">
        <v>0</v>
      </c>
      <c r="E876" s="18">
        <v>1.285493174807657</v>
      </c>
      <c r="F876" s="18">
        <v>1.0501946808510638</v>
      </c>
      <c r="G876" s="18">
        <v>1.285493174807657</v>
      </c>
    </row>
    <row r="877" spans="1:7" ht="11.25" customHeight="1" x14ac:dyDescent="0.2">
      <c r="A877" s="28">
        <v>44652</v>
      </c>
      <c r="B877" s="18">
        <v>0</v>
      </c>
      <c r="C877" s="18">
        <v>1.1415159574468088</v>
      </c>
      <c r="D877" s="18">
        <v>0</v>
      </c>
      <c r="E877" s="18">
        <v>1.3972751900083227</v>
      </c>
      <c r="F877" s="18">
        <v>1.1415159574468088</v>
      </c>
      <c r="G877" s="18">
        <v>1.3972751900083227</v>
      </c>
    </row>
    <row r="878" spans="1:7" ht="11.25" customHeight="1" x14ac:dyDescent="0.2">
      <c r="A878" s="28">
        <v>44682</v>
      </c>
      <c r="B878" s="18">
        <v>0</v>
      </c>
      <c r="C878" s="18">
        <v>1.1415159574468088</v>
      </c>
      <c r="D878" s="18">
        <v>0</v>
      </c>
      <c r="E878" s="18">
        <v>1.3972751900083227</v>
      </c>
      <c r="F878" s="18">
        <v>1.1415159574468088</v>
      </c>
      <c r="G878" s="18">
        <v>1.3972751900083227</v>
      </c>
    </row>
    <row r="879" spans="1:7" ht="11.25" customHeight="1" x14ac:dyDescent="0.2">
      <c r="A879" s="27" t="s">
        <v>34</v>
      </c>
      <c r="B879" s="18">
        <v>0</v>
      </c>
      <c r="C879" s="18">
        <v>34.933491063829791</v>
      </c>
      <c r="D879" s="18">
        <v>0</v>
      </c>
      <c r="E879" s="18">
        <v>42.324473403919477</v>
      </c>
      <c r="F879" s="18">
        <v>34.933491063829791</v>
      </c>
      <c r="G879" s="18">
        <v>42.324473403919484</v>
      </c>
    </row>
    <row r="880" spans="1:7" ht="11.25" customHeight="1" x14ac:dyDescent="0.2">
      <c r="A880" s="28">
        <v>44378</v>
      </c>
      <c r="B880" s="18">
        <v>0</v>
      </c>
      <c r="C880" s="18">
        <v>4.225825531914893</v>
      </c>
      <c r="D880" s="18">
        <v>0</v>
      </c>
      <c r="E880" s="18">
        <v>5.119895976280584</v>
      </c>
      <c r="F880" s="18">
        <v>4.225825531914893</v>
      </c>
      <c r="G880" s="18">
        <v>5.119895976280584</v>
      </c>
    </row>
    <row r="881" spans="1:7" ht="11.25" customHeight="1" x14ac:dyDescent="0.2">
      <c r="A881" s="28">
        <v>44409</v>
      </c>
      <c r="B881" s="18">
        <v>0</v>
      </c>
      <c r="C881" s="18">
        <v>1.0564563829787232</v>
      </c>
      <c r="D881" s="18">
        <v>0</v>
      </c>
      <c r="E881" s="18">
        <v>1.279973994070146</v>
      </c>
      <c r="F881" s="18">
        <v>1.0564563829787232</v>
      </c>
      <c r="G881" s="18">
        <v>1.279973994070146</v>
      </c>
    </row>
    <row r="882" spans="1:7" ht="11.25" customHeight="1" x14ac:dyDescent="0.2">
      <c r="A882" s="28">
        <v>44440</v>
      </c>
      <c r="B882" s="18">
        <v>0</v>
      </c>
      <c r="C882" s="18">
        <v>3.8032429787234046</v>
      </c>
      <c r="D882" s="18">
        <v>0</v>
      </c>
      <c r="E882" s="18">
        <v>4.6079063786525252</v>
      </c>
      <c r="F882" s="18">
        <v>3.8032429787234046</v>
      </c>
      <c r="G882" s="18">
        <v>4.6079063786525252</v>
      </c>
    </row>
    <row r="883" spans="1:7" ht="11.25" customHeight="1" x14ac:dyDescent="0.2">
      <c r="A883" s="28">
        <v>44470</v>
      </c>
      <c r="B883" s="18">
        <v>0</v>
      </c>
      <c r="C883" s="18">
        <v>4.0849646808510647</v>
      </c>
      <c r="D883" s="18">
        <v>0</v>
      </c>
      <c r="E883" s="18">
        <v>4.9492327770712299</v>
      </c>
      <c r="F883" s="18">
        <v>4.0849646808510647</v>
      </c>
      <c r="G883" s="18">
        <v>4.9492327770712299</v>
      </c>
    </row>
    <row r="884" spans="1:7" ht="11.25" customHeight="1" x14ac:dyDescent="0.2">
      <c r="A884" s="28">
        <v>44501</v>
      </c>
      <c r="B884" s="18">
        <v>0</v>
      </c>
      <c r="C884" s="18">
        <v>45.286763617021272</v>
      </c>
      <c r="D884" s="18">
        <v>0</v>
      </c>
      <c r="E884" s="18">
        <v>54.868218545806926</v>
      </c>
      <c r="F884" s="18">
        <v>45.286763617021272</v>
      </c>
      <c r="G884" s="18">
        <v>54.868218545806926</v>
      </c>
    </row>
    <row r="885" spans="1:7" ht="11.25" customHeight="1" x14ac:dyDescent="0.2">
      <c r="A885" s="28">
        <v>44531</v>
      </c>
      <c r="B885" s="18">
        <v>0</v>
      </c>
      <c r="C885" s="18">
        <v>5.2822819148936171</v>
      </c>
      <c r="D885" s="18">
        <v>0</v>
      </c>
      <c r="E885" s="18">
        <v>6.3998699703507285</v>
      </c>
      <c r="F885" s="18">
        <v>5.2822819148936171</v>
      </c>
      <c r="G885" s="18">
        <v>6.3998699703507285</v>
      </c>
    </row>
    <row r="886" spans="1:7" ht="11.25" customHeight="1" x14ac:dyDescent="0.2">
      <c r="A886" s="28">
        <v>44562</v>
      </c>
      <c r="B886" s="18">
        <v>0</v>
      </c>
      <c r="C886" s="18">
        <v>-40.074912127659566</v>
      </c>
      <c r="D886" s="18">
        <v>0</v>
      </c>
      <c r="E886" s="18">
        <v>-48.553680175060876</v>
      </c>
      <c r="F886" s="18">
        <v>-40.074912127659566</v>
      </c>
      <c r="G886" s="18">
        <v>-48.553680175060876</v>
      </c>
    </row>
    <row r="887" spans="1:7" ht="11.25" customHeight="1" x14ac:dyDescent="0.2">
      <c r="A887" s="28">
        <v>44593</v>
      </c>
      <c r="B887" s="18">
        <v>0</v>
      </c>
      <c r="C887" s="18">
        <v>2.1833431914893615</v>
      </c>
      <c r="D887" s="18">
        <v>0</v>
      </c>
      <c r="E887" s="18">
        <v>2.6452795877449686</v>
      </c>
      <c r="F887" s="18">
        <v>2.1833431914893615</v>
      </c>
      <c r="G887" s="18">
        <v>2.6452795877449686</v>
      </c>
    </row>
    <row r="888" spans="1:7" ht="11.25" customHeight="1" x14ac:dyDescent="0.2">
      <c r="A888" s="28">
        <v>44621</v>
      </c>
      <c r="B888" s="18">
        <v>0</v>
      </c>
      <c r="C888" s="18">
        <v>2.8876474468085109</v>
      </c>
      <c r="D888" s="18">
        <v>0</v>
      </c>
      <c r="E888" s="18">
        <v>3.4985955837917322</v>
      </c>
      <c r="F888" s="18">
        <v>2.8876474468085109</v>
      </c>
      <c r="G888" s="18">
        <v>3.4985955837917322</v>
      </c>
    </row>
    <row r="889" spans="1:7" ht="11.25" customHeight="1" x14ac:dyDescent="0.2">
      <c r="A889" s="28">
        <v>44652</v>
      </c>
      <c r="B889" s="18">
        <v>0</v>
      </c>
      <c r="C889" s="18">
        <v>3.0989387234042551</v>
      </c>
      <c r="D889" s="18">
        <v>0</v>
      </c>
      <c r="E889" s="18">
        <v>3.7545903826057612</v>
      </c>
      <c r="F889" s="18">
        <v>3.0989387234042551</v>
      </c>
      <c r="G889" s="18">
        <v>3.7545903826057612</v>
      </c>
    </row>
    <row r="890" spans="1:7" ht="11.25" customHeight="1" x14ac:dyDescent="0.2">
      <c r="A890" s="28">
        <v>44682</v>
      </c>
      <c r="B890" s="18">
        <v>0</v>
      </c>
      <c r="C890" s="18">
        <v>3.0989387234042551</v>
      </c>
      <c r="D890" s="18">
        <v>0</v>
      </c>
      <c r="E890" s="18">
        <v>3.7545903826057612</v>
      </c>
      <c r="F890" s="18">
        <v>3.0989387234042551</v>
      </c>
      <c r="G890" s="18">
        <v>3.7545903826057612</v>
      </c>
    </row>
    <row r="891" spans="1:7" ht="11.25" customHeight="1" x14ac:dyDescent="0.2">
      <c r="A891" s="22" t="s">
        <v>23</v>
      </c>
      <c r="B891" s="18">
        <v>0</v>
      </c>
      <c r="C891" s="18">
        <v>12852301.443480005</v>
      </c>
      <c r="D891" s="18">
        <v>0</v>
      </c>
      <c r="E891" s="18">
        <v>7337299.4118851544</v>
      </c>
      <c r="F891" s="18">
        <v>12852301.443480007</v>
      </c>
      <c r="G891" s="18">
        <v>7337299.4118851535</v>
      </c>
    </row>
    <row r="892" spans="1:7" ht="11.25" customHeight="1" x14ac:dyDescent="0.2">
      <c r="A892" s="23" t="s">
        <v>45</v>
      </c>
      <c r="B892" s="18">
        <v>0</v>
      </c>
      <c r="C892" s="18">
        <v>12852301.443480005</v>
      </c>
      <c r="D892" s="18">
        <v>0</v>
      </c>
      <c r="E892" s="18">
        <v>7337299.4118851544</v>
      </c>
      <c r="F892" s="18">
        <v>12852301.443480007</v>
      </c>
      <c r="G892" s="18">
        <v>7337299.4118851535</v>
      </c>
    </row>
    <row r="893" spans="1:7" ht="11.25" customHeight="1" x14ac:dyDescent="0.2">
      <c r="A893" s="24" t="s">
        <v>54</v>
      </c>
      <c r="B893" s="18">
        <v>0</v>
      </c>
      <c r="C893" s="18">
        <v>37472.857560000011</v>
      </c>
      <c r="D893" s="18">
        <v>0</v>
      </c>
      <c r="E893" s="18">
        <v>21393.022638457231</v>
      </c>
      <c r="F893" s="18">
        <v>37472.857560000026</v>
      </c>
      <c r="G893" s="18">
        <v>21393.022638457231</v>
      </c>
    </row>
    <row r="894" spans="1:7" ht="11.25" customHeight="1" x14ac:dyDescent="0.2">
      <c r="A894" s="25" t="s">
        <v>55</v>
      </c>
      <c r="B894" s="18">
        <v>0</v>
      </c>
      <c r="C894" s="18">
        <v>37472.857560000011</v>
      </c>
      <c r="D894" s="18">
        <v>0</v>
      </c>
      <c r="E894" s="18">
        <v>21393.022638457231</v>
      </c>
      <c r="F894" s="18">
        <v>37472.857560000026</v>
      </c>
      <c r="G894" s="18">
        <v>21393.022638457231</v>
      </c>
    </row>
    <row r="895" spans="1:7" ht="11.25" customHeight="1" x14ac:dyDescent="0.2">
      <c r="A895" s="26" t="s">
        <v>25</v>
      </c>
      <c r="B895" s="18">
        <v>0</v>
      </c>
      <c r="C895" s="18">
        <v>37472.857560000011</v>
      </c>
      <c r="D895" s="18">
        <v>0</v>
      </c>
      <c r="E895" s="18">
        <v>21393.022638457231</v>
      </c>
      <c r="F895" s="18">
        <v>37472.857560000026</v>
      </c>
      <c r="G895" s="18">
        <v>21393.022638457231</v>
      </c>
    </row>
    <row r="896" spans="1:7" ht="11.25" customHeight="1" x14ac:dyDescent="0.2">
      <c r="A896" s="27" t="s">
        <v>25</v>
      </c>
      <c r="B896" s="18">
        <v>0</v>
      </c>
      <c r="C896" s="18">
        <v>37472.857560000011</v>
      </c>
      <c r="D896" s="18">
        <v>0</v>
      </c>
      <c r="E896" s="18">
        <v>21393.022638457231</v>
      </c>
      <c r="F896" s="18">
        <v>37472.857560000026</v>
      </c>
      <c r="G896" s="18">
        <v>21393.022638457231</v>
      </c>
    </row>
    <row r="897" spans="1:7" ht="11.25" customHeight="1" x14ac:dyDescent="0.2">
      <c r="A897" s="28">
        <v>44348</v>
      </c>
      <c r="B897" s="18">
        <v>0</v>
      </c>
      <c r="C897" s="18">
        <v>4839.1178400000026</v>
      </c>
      <c r="D897" s="18">
        <v>0</v>
      </c>
      <c r="E897" s="18">
        <v>2762.6224484088225</v>
      </c>
      <c r="F897" s="18">
        <v>4839.1178400000026</v>
      </c>
      <c r="G897" s="18">
        <v>2762.6224484088225</v>
      </c>
    </row>
    <row r="898" spans="1:7" ht="11.25" customHeight="1" x14ac:dyDescent="0.2">
      <c r="A898" s="28">
        <v>44378</v>
      </c>
      <c r="B898" s="18">
        <v>0</v>
      </c>
      <c r="C898" s="18">
        <v>-4286.3097600000019</v>
      </c>
      <c r="D898" s="18">
        <v>0</v>
      </c>
      <c r="E898" s="18">
        <v>-2447.0277342553468</v>
      </c>
      <c r="F898" s="18">
        <v>-4286.3097600000019</v>
      </c>
      <c r="G898" s="18">
        <v>-2447.0277342553468</v>
      </c>
    </row>
    <row r="899" spans="1:7" ht="11.25" customHeight="1" x14ac:dyDescent="0.2">
      <c r="A899" s="28">
        <v>44409</v>
      </c>
      <c r="B899" s="18">
        <v>0</v>
      </c>
      <c r="C899" s="18">
        <v>3959.1687600000014</v>
      </c>
      <c r="D899" s="18">
        <v>0</v>
      </c>
      <c r="E899" s="18">
        <v>2260.2649604860462</v>
      </c>
      <c r="F899" s="18">
        <v>3959.1687600000014</v>
      </c>
      <c r="G899" s="18">
        <v>2260.2649604860462</v>
      </c>
    </row>
    <row r="900" spans="1:7" ht="11.25" customHeight="1" x14ac:dyDescent="0.2">
      <c r="A900" s="28">
        <v>44440</v>
      </c>
      <c r="B900" s="18">
        <v>0</v>
      </c>
      <c r="C900" s="18">
        <v>6176.0206800000024</v>
      </c>
      <c r="D900" s="18">
        <v>0</v>
      </c>
      <c r="E900" s="18">
        <v>3525.8520119867799</v>
      </c>
      <c r="F900" s="18">
        <v>6176.0206800000024</v>
      </c>
      <c r="G900" s="18">
        <v>3525.8520119867799</v>
      </c>
    </row>
    <row r="901" spans="1:7" ht="11.25" customHeight="1" x14ac:dyDescent="0.2">
      <c r="A901" s="28">
        <v>44470</v>
      </c>
      <c r="B901" s="18">
        <v>0</v>
      </c>
      <c r="C901" s="18">
        <v>4183.952760000001</v>
      </c>
      <c r="D901" s="18">
        <v>0</v>
      </c>
      <c r="E901" s="18">
        <v>2388.5927559594315</v>
      </c>
      <c r="F901" s="18">
        <v>4183.952760000001</v>
      </c>
      <c r="G901" s="18">
        <v>2388.5927559594315</v>
      </c>
    </row>
    <row r="902" spans="1:7" ht="11.25" customHeight="1" x14ac:dyDescent="0.2">
      <c r="A902" s="28">
        <v>44501</v>
      </c>
      <c r="B902" s="18">
        <v>0</v>
      </c>
      <c r="C902" s="18">
        <v>3301.1938800000012</v>
      </c>
      <c r="D902" s="18">
        <v>0</v>
      </c>
      <c r="E902" s="18">
        <v>1884.6311705932378</v>
      </c>
      <c r="F902" s="18">
        <v>3301.1938800000012</v>
      </c>
      <c r="G902" s="18">
        <v>1884.6311705932378</v>
      </c>
    </row>
    <row r="903" spans="1:7" ht="11.25" customHeight="1" x14ac:dyDescent="0.2">
      <c r="A903" s="28">
        <v>44531</v>
      </c>
      <c r="B903" s="18">
        <v>0</v>
      </c>
      <c r="C903" s="18">
        <v>4188.2076000000015</v>
      </c>
      <c r="D903" s="18">
        <v>0</v>
      </c>
      <c r="E903" s="18">
        <v>2391.0218178023201</v>
      </c>
      <c r="F903" s="18">
        <v>4188.2076000000015</v>
      </c>
      <c r="G903" s="18">
        <v>2391.0218178023201</v>
      </c>
    </row>
    <row r="904" spans="1:7" ht="11.25" customHeight="1" x14ac:dyDescent="0.2">
      <c r="A904" s="28">
        <v>44562</v>
      </c>
      <c r="B904" s="18">
        <v>0</v>
      </c>
      <c r="C904" s="18">
        <v>2871.2142000000008</v>
      </c>
      <c r="D904" s="18">
        <v>0</v>
      </c>
      <c r="E904" s="18">
        <v>1639.1584303948628</v>
      </c>
      <c r="F904" s="18">
        <v>2871.2142000000008</v>
      </c>
      <c r="G904" s="18">
        <v>1639.1584303948628</v>
      </c>
    </row>
    <row r="905" spans="1:7" ht="11.25" customHeight="1" x14ac:dyDescent="0.2">
      <c r="A905" s="28">
        <v>44593</v>
      </c>
      <c r="B905" s="18">
        <v>0</v>
      </c>
      <c r="C905" s="18">
        <v>2869.929720000001</v>
      </c>
      <c r="D905" s="18">
        <v>0</v>
      </c>
      <c r="E905" s="18">
        <v>1638.4251287064433</v>
      </c>
      <c r="F905" s="18">
        <v>2869.929720000001</v>
      </c>
      <c r="G905" s="18">
        <v>1638.4251287064433</v>
      </c>
    </row>
    <row r="906" spans="1:7" ht="11.25" customHeight="1" x14ac:dyDescent="0.2">
      <c r="A906" s="28">
        <v>44621</v>
      </c>
      <c r="B906" s="18">
        <v>0</v>
      </c>
      <c r="C906" s="18">
        <v>2714.0259600000009</v>
      </c>
      <c r="D906" s="18">
        <v>0</v>
      </c>
      <c r="E906" s="18">
        <v>1549.4206362745456</v>
      </c>
      <c r="F906" s="18">
        <v>2714.0259600000009</v>
      </c>
      <c r="G906" s="18">
        <v>1549.4206362745456</v>
      </c>
    </row>
    <row r="907" spans="1:7" ht="11.25" customHeight="1" x14ac:dyDescent="0.2">
      <c r="A907" s="28">
        <v>44652</v>
      </c>
      <c r="B907" s="18">
        <v>0</v>
      </c>
      <c r="C907" s="18">
        <v>3328.1679600000016</v>
      </c>
      <c r="D907" s="18">
        <v>0</v>
      </c>
      <c r="E907" s="18">
        <v>1900.0305060500441</v>
      </c>
      <c r="F907" s="18">
        <v>3328.1679600000016</v>
      </c>
      <c r="G907" s="18">
        <v>1900.0305060500441</v>
      </c>
    </row>
    <row r="908" spans="1:7" ht="11.25" customHeight="1" x14ac:dyDescent="0.2">
      <c r="A908" s="28">
        <v>44682</v>
      </c>
      <c r="B908" s="18">
        <v>0</v>
      </c>
      <c r="C908" s="18">
        <v>3328.1679600000016</v>
      </c>
      <c r="D908" s="18">
        <v>0</v>
      </c>
      <c r="E908" s="18">
        <v>1900.0305060500441</v>
      </c>
      <c r="F908" s="18">
        <v>3328.1679600000016</v>
      </c>
      <c r="G908" s="18">
        <v>1900.0305060500441</v>
      </c>
    </row>
    <row r="909" spans="1:7" ht="11.25" customHeight="1" x14ac:dyDescent="0.2">
      <c r="A909" s="24" t="s">
        <v>57</v>
      </c>
      <c r="B909" s="18">
        <v>0</v>
      </c>
      <c r="C909" s="18">
        <v>1132.1888400000003</v>
      </c>
      <c r="D909" s="18">
        <v>0</v>
      </c>
      <c r="E909" s="18">
        <v>646.35960698612462</v>
      </c>
      <c r="F909" s="18">
        <v>1132.1888400000005</v>
      </c>
      <c r="G909" s="18">
        <v>646.35960698612473</v>
      </c>
    </row>
    <row r="910" spans="1:7" ht="11.25" customHeight="1" x14ac:dyDescent="0.2">
      <c r="A910" s="25" t="s">
        <v>55</v>
      </c>
      <c r="B910" s="18">
        <v>0</v>
      </c>
      <c r="C910" s="18">
        <v>1132.1888400000003</v>
      </c>
      <c r="D910" s="18">
        <v>0</v>
      </c>
      <c r="E910" s="18">
        <v>646.35960698612462</v>
      </c>
      <c r="F910" s="18">
        <v>1132.1888400000005</v>
      </c>
      <c r="G910" s="18">
        <v>646.35960698612473</v>
      </c>
    </row>
    <row r="911" spans="1:7" ht="11.25" customHeight="1" x14ac:dyDescent="0.2">
      <c r="A911" s="26" t="s">
        <v>25</v>
      </c>
      <c r="B911" s="18">
        <v>0</v>
      </c>
      <c r="C911" s="18">
        <v>1132.1888400000003</v>
      </c>
      <c r="D911" s="18">
        <v>0</v>
      </c>
      <c r="E911" s="18">
        <v>646.35960698612462</v>
      </c>
      <c r="F911" s="18">
        <v>1132.1888400000005</v>
      </c>
      <c r="G911" s="18">
        <v>646.35960698612473</v>
      </c>
    </row>
    <row r="912" spans="1:7" ht="11.25" customHeight="1" x14ac:dyDescent="0.2">
      <c r="A912" s="27" t="s">
        <v>25</v>
      </c>
      <c r="B912" s="18">
        <v>0</v>
      </c>
      <c r="C912" s="18">
        <v>1132.1888400000003</v>
      </c>
      <c r="D912" s="18">
        <v>0</v>
      </c>
      <c r="E912" s="18">
        <v>646.35960698612462</v>
      </c>
      <c r="F912" s="18">
        <v>1132.1888400000005</v>
      </c>
      <c r="G912" s="18">
        <v>646.35960698612473</v>
      </c>
    </row>
    <row r="913" spans="1:7" ht="11.25" customHeight="1" x14ac:dyDescent="0.2">
      <c r="A913" s="28">
        <v>44348</v>
      </c>
      <c r="B913" s="18">
        <v>0</v>
      </c>
      <c r="C913" s="18">
        <v>71.770320000000027</v>
      </c>
      <c r="D913" s="18">
        <v>0</v>
      </c>
      <c r="E913" s="18">
        <v>40.973231840430792</v>
      </c>
      <c r="F913" s="18">
        <v>71.770320000000027</v>
      </c>
      <c r="G913" s="18">
        <v>40.973231840430792</v>
      </c>
    </row>
    <row r="914" spans="1:7" ht="11.25" customHeight="1" x14ac:dyDescent="0.2">
      <c r="A914" s="28">
        <v>44378</v>
      </c>
      <c r="B914" s="18">
        <v>0</v>
      </c>
      <c r="C914" s="18">
        <v>108.85968000000004</v>
      </c>
      <c r="D914" s="18">
        <v>0</v>
      </c>
      <c r="E914" s="18">
        <v>62.147318093539326</v>
      </c>
      <c r="F914" s="18">
        <v>108.85968000000004</v>
      </c>
      <c r="G914" s="18">
        <v>62.147318093539326</v>
      </c>
    </row>
    <row r="915" spans="1:7" ht="11.25" customHeight="1" x14ac:dyDescent="0.2">
      <c r="A915" s="28">
        <v>44409</v>
      </c>
      <c r="B915" s="18">
        <v>0</v>
      </c>
      <c r="C915" s="18">
        <v>57.641040000000025</v>
      </c>
      <c r="D915" s="18">
        <v>0</v>
      </c>
      <c r="E915" s="18">
        <v>32.90691326781802</v>
      </c>
      <c r="F915" s="18">
        <v>57.641040000000025</v>
      </c>
      <c r="G915" s="18">
        <v>32.90691326781802</v>
      </c>
    </row>
    <row r="916" spans="1:7" ht="11.25" customHeight="1" x14ac:dyDescent="0.2">
      <c r="A916" s="28">
        <v>44440</v>
      </c>
      <c r="B916" s="18">
        <v>0</v>
      </c>
      <c r="C916" s="18">
        <v>79.075800000000029</v>
      </c>
      <c r="D916" s="18">
        <v>0</v>
      </c>
      <c r="E916" s="18">
        <v>45.143885193315803</v>
      </c>
      <c r="F916" s="18">
        <v>79.075800000000029</v>
      </c>
      <c r="G916" s="18">
        <v>45.143885193315803</v>
      </c>
    </row>
    <row r="917" spans="1:7" ht="11.25" customHeight="1" x14ac:dyDescent="0.2">
      <c r="A917" s="28">
        <v>44470</v>
      </c>
      <c r="B917" s="18">
        <v>0</v>
      </c>
      <c r="C917" s="18">
        <v>48.729960000000027</v>
      </c>
      <c r="D917" s="18">
        <v>0</v>
      </c>
      <c r="E917" s="18">
        <v>27.819632804408826</v>
      </c>
      <c r="F917" s="18">
        <v>48.729960000000027</v>
      </c>
      <c r="G917" s="18">
        <v>27.819632804408826</v>
      </c>
    </row>
    <row r="918" spans="1:7" ht="11.25" customHeight="1" x14ac:dyDescent="0.2">
      <c r="A918" s="28">
        <v>44501</v>
      </c>
      <c r="B918" s="18">
        <v>0</v>
      </c>
      <c r="C918" s="18">
        <v>113.83704000000003</v>
      </c>
      <c r="D918" s="18">
        <v>0</v>
      </c>
      <c r="E918" s="18">
        <v>64.988862136164272</v>
      </c>
      <c r="F918" s="18">
        <v>113.83704000000003</v>
      </c>
      <c r="G918" s="18">
        <v>64.988862136164272</v>
      </c>
    </row>
    <row r="919" spans="1:7" ht="11.25" customHeight="1" x14ac:dyDescent="0.2">
      <c r="A919" s="28">
        <v>44531</v>
      </c>
      <c r="B919" s="18">
        <v>0</v>
      </c>
      <c r="C919" s="18">
        <v>142.81812000000005</v>
      </c>
      <c r="D919" s="18">
        <v>0</v>
      </c>
      <c r="E919" s="18">
        <v>81.533981481125693</v>
      </c>
      <c r="F919" s="18">
        <v>142.81812000000005</v>
      </c>
      <c r="G919" s="18">
        <v>81.533981481125693</v>
      </c>
    </row>
    <row r="920" spans="1:7" ht="11.25" customHeight="1" x14ac:dyDescent="0.2">
      <c r="A920" s="28">
        <v>44562</v>
      </c>
      <c r="B920" s="18">
        <v>0</v>
      </c>
      <c r="C920" s="18">
        <v>158.31216000000006</v>
      </c>
      <c r="D920" s="18">
        <v>0</v>
      </c>
      <c r="E920" s="18">
        <v>90.379433097684029</v>
      </c>
      <c r="F920" s="18">
        <v>158.31216000000006</v>
      </c>
      <c r="G920" s="18">
        <v>90.379433097684029</v>
      </c>
    </row>
    <row r="921" spans="1:7" ht="11.25" customHeight="1" x14ac:dyDescent="0.2">
      <c r="A921" s="28">
        <v>44593</v>
      </c>
      <c r="B921" s="18">
        <v>0</v>
      </c>
      <c r="C921" s="18">
        <v>74.981520000000017</v>
      </c>
      <c r="D921" s="18">
        <v>0</v>
      </c>
      <c r="E921" s="18">
        <v>42.806486061479141</v>
      </c>
      <c r="F921" s="18">
        <v>74.981520000000017</v>
      </c>
      <c r="G921" s="18">
        <v>42.806486061479141</v>
      </c>
    </row>
    <row r="922" spans="1:7" ht="11.25" customHeight="1" x14ac:dyDescent="0.2">
      <c r="A922" s="28">
        <v>44621</v>
      </c>
      <c r="B922" s="18">
        <v>0</v>
      </c>
      <c r="C922" s="18">
        <v>128.28744000000006</v>
      </c>
      <c r="D922" s="18">
        <v>0</v>
      </c>
      <c r="E922" s="18">
        <v>73.238506130881888</v>
      </c>
      <c r="F922" s="18">
        <v>128.28744000000006</v>
      </c>
      <c r="G922" s="18">
        <v>73.238506130881888</v>
      </c>
    </row>
    <row r="923" spans="1:7" ht="11.25" customHeight="1" x14ac:dyDescent="0.2">
      <c r="A923" s="28">
        <v>44652</v>
      </c>
      <c r="B923" s="18">
        <v>0</v>
      </c>
      <c r="C923" s="18">
        <v>73.937880000000035</v>
      </c>
      <c r="D923" s="18">
        <v>0</v>
      </c>
      <c r="E923" s="18">
        <v>42.210678439638436</v>
      </c>
      <c r="F923" s="18">
        <v>73.937880000000035</v>
      </c>
      <c r="G923" s="18">
        <v>42.210678439638436</v>
      </c>
    </row>
    <row r="924" spans="1:7" ht="11.25" customHeight="1" x14ac:dyDescent="0.2">
      <c r="A924" s="28">
        <v>44682</v>
      </c>
      <c r="B924" s="18">
        <v>0</v>
      </c>
      <c r="C924" s="18">
        <v>73.937880000000035</v>
      </c>
      <c r="D924" s="18">
        <v>0</v>
      </c>
      <c r="E924" s="18">
        <v>42.210678439638436</v>
      </c>
      <c r="F924" s="18">
        <v>73.937880000000035</v>
      </c>
      <c r="G924" s="18">
        <v>42.210678439638436</v>
      </c>
    </row>
    <row r="925" spans="1:7" ht="11.25" customHeight="1" x14ac:dyDescent="0.2">
      <c r="A925" s="24" t="s">
        <v>25</v>
      </c>
      <c r="B925" s="18">
        <v>0</v>
      </c>
      <c r="C925" s="18">
        <v>12813696.397080004</v>
      </c>
      <c r="D925" s="18">
        <v>0</v>
      </c>
      <c r="E925" s="18">
        <v>7315260.0296397116</v>
      </c>
      <c r="F925" s="18">
        <v>12813696.397080006</v>
      </c>
      <c r="G925" s="18">
        <v>7315260.0296397116</v>
      </c>
    </row>
    <row r="926" spans="1:7" ht="11.25" customHeight="1" x14ac:dyDescent="0.2">
      <c r="A926" s="25" t="s">
        <v>25</v>
      </c>
      <c r="B926" s="18">
        <v>0</v>
      </c>
      <c r="C926" s="18">
        <v>12813696.397080004</v>
      </c>
      <c r="D926" s="18">
        <v>0</v>
      </c>
      <c r="E926" s="18">
        <v>7315260.0296397116</v>
      </c>
      <c r="F926" s="18">
        <v>12813696.397080006</v>
      </c>
      <c r="G926" s="18">
        <v>7315260.0296397116</v>
      </c>
    </row>
    <row r="927" spans="1:7" ht="11.25" customHeight="1" x14ac:dyDescent="0.2">
      <c r="A927" s="26" t="s">
        <v>25</v>
      </c>
      <c r="B927" s="18">
        <v>0</v>
      </c>
      <c r="C927" s="18">
        <v>12813696.397080004</v>
      </c>
      <c r="D927" s="18">
        <v>0</v>
      </c>
      <c r="E927" s="18">
        <v>7315260.0296397116</v>
      </c>
      <c r="F927" s="18">
        <v>12813696.397080006</v>
      </c>
      <c r="G927" s="18">
        <v>7315260.0296397116</v>
      </c>
    </row>
    <row r="928" spans="1:7" ht="11.25" customHeight="1" x14ac:dyDescent="0.2">
      <c r="A928" s="27" t="s">
        <v>25</v>
      </c>
      <c r="B928" s="18">
        <v>0</v>
      </c>
      <c r="C928" s="18">
        <v>12813696.397080004</v>
      </c>
      <c r="D928" s="18">
        <v>0</v>
      </c>
      <c r="E928" s="18">
        <v>7315260.0296397116</v>
      </c>
      <c r="F928" s="18">
        <v>12813696.397080006</v>
      </c>
      <c r="G928" s="18">
        <v>7315260.0296397116</v>
      </c>
    </row>
    <row r="929" spans="1:7" ht="11.25" customHeight="1" x14ac:dyDescent="0.2">
      <c r="A929" s="28">
        <v>44348</v>
      </c>
      <c r="B929" s="18">
        <v>0</v>
      </c>
      <c r="C929" s="18">
        <v>1236096.1270800005</v>
      </c>
      <c r="D929" s="18">
        <v>0</v>
      </c>
      <c r="E929" s="18">
        <v>705679.63458860759</v>
      </c>
      <c r="F929" s="18">
        <v>1236096.1270800005</v>
      </c>
      <c r="G929" s="18">
        <v>705679.63458860759</v>
      </c>
    </row>
    <row r="930" spans="1:7" ht="11.25" customHeight="1" x14ac:dyDescent="0.2">
      <c r="A930" s="28">
        <v>44378</v>
      </c>
      <c r="B930" s="18">
        <v>0</v>
      </c>
      <c r="C930" s="18">
        <v>1214368.1042400002</v>
      </c>
      <c r="D930" s="18">
        <v>0</v>
      </c>
      <c r="E930" s="18">
        <v>693275.24072137277</v>
      </c>
      <c r="F930" s="18">
        <v>1214368.1042400002</v>
      </c>
      <c r="G930" s="18">
        <v>693275.24072137277</v>
      </c>
    </row>
    <row r="931" spans="1:7" ht="11.25" customHeight="1" x14ac:dyDescent="0.2">
      <c r="A931" s="28">
        <v>44409</v>
      </c>
      <c r="B931" s="18">
        <v>0</v>
      </c>
      <c r="C931" s="18">
        <v>1179135.7009200002</v>
      </c>
      <c r="D931" s="18">
        <v>0</v>
      </c>
      <c r="E931" s="18">
        <v>673161.27955294086</v>
      </c>
      <c r="F931" s="18">
        <v>1179135.7009200002</v>
      </c>
      <c r="G931" s="18">
        <v>673161.27955294086</v>
      </c>
    </row>
    <row r="932" spans="1:7" ht="11.25" customHeight="1" x14ac:dyDescent="0.2">
      <c r="A932" s="28">
        <v>44440</v>
      </c>
      <c r="B932" s="18">
        <v>0</v>
      </c>
      <c r="C932" s="18">
        <v>1166381.6173200004</v>
      </c>
      <c r="D932" s="18">
        <v>0</v>
      </c>
      <c r="E932" s="18">
        <v>665880.05210049206</v>
      </c>
      <c r="F932" s="18">
        <v>1166381.6173200004</v>
      </c>
      <c r="G932" s="18">
        <v>665880.05210049206</v>
      </c>
    </row>
    <row r="933" spans="1:7" ht="11.25" customHeight="1" x14ac:dyDescent="0.2">
      <c r="A933" s="28">
        <v>44470</v>
      </c>
      <c r="B933" s="18">
        <v>0</v>
      </c>
      <c r="C933" s="18">
        <v>1150770.1276800004</v>
      </c>
      <c r="D933" s="18">
        <v>0</v>
      </c>
      <c r="E933" s="18">
        <v>656967.54921079869</v>
      </c>
      <c r="F933" s="18">
        <v>1150770.1276800004</v>
      </c>
      <c r="G933" s="18">
        <v>656967.54921079869</v>
      </c>
    </row>
    <row r="934" spans="1:7" ht="11.25" customHeight="1" x14ac:dyDescent="0.2">
      <c r="A934" s="28">
        <v>44501</v>
      </c>
      <c r="B934" s="18">
        <v>0</v>
      </c>
      <c r="C934" s="18">
        <v>1105034.6919600007</v>
      </c>
      <c r="D934" s="18">
        <v>0</v>
      </c>
      <c r="E934" s="18">
        <v>630857.47179887327</v>
      </c>
      <c r="F934" s="18">
        <v>1105034.6919600007</v>
      </c>
      <c r="G934" s="18">
        <v>630857.47179887327</v>
      </c>
    </row>
    <row r="935" spans="1:7" ht="11.25" customHeight="1" x14ac:dyDescent="0.2">
      <c r="A935" s="28">
        <v>44531</v>
      </c>
      <c r="B935" s="18">
        <v>0</v>
      </c>
      <c r="C935" s="18">
        <v>1106100.9709200005</v>
      </c>
      <c r="D935" s="18">
        <v>0</v>
      </c>
      <c r="E935" s="18">
        <v>631466.20386297232</v>
      </c>
      <c r="F935" s="18">
        <v>1106100.9709200005</v>
      </c>
      <c r="G935" s="18">
        <v>631466.20386297232</v>
      </c>
    </row>
    <row r="936" spans="1:7" ht="11.25" customHeight="1" x14ac:dyDescent="0.2">
      <c r="A936" s="28">
        <v>44562</v>
      </c>
      <c r="B936" s="18">
        <v>0</v>
      </c>
      <c r="C936" s="18">
        <v>1086353.4556800004</v>
      </c>
      <c r="D936" s="18">
        <v>0</v>
      </c>
      <c r="E936" s="18">
        <v>620192.46953656885</v>
      </c>
      <c r="F936" s="18">
        <v>1086353.4556800004</v>
      </c>
      <c r="G936" s="18">
        <v>620192.46953656885</v>
      </c>
    </row>
    <row r="937" spans="1:7" ht="11.25" customHeight="1" x14ac:dyDescent="0.2">
      <c r="A937" s="28">
        <v>44593</v>
      </c>
      <c r="B937" s="18">
        <v>0</v>
      </c>
      <c r="C937" s="18">
        <v>887180.94324000028</v>
      </c>
      <c r="D937" s="18">
        <v>0</v>
      </c>
      <c r="E937" s="18">
        <v>506486.11392264359</v>
      </c>
      <c r="F937" s="18">
        <v>887180.94324000028</v>
      </c>
      <c r="G937" s="18">
        <v>506486.11392264359</v>
      </c>
    </row>
    <row r="938" spans="1:7" ht="11.25" customHeight="1" x14ac:dyDescent="0.2">
      <c r="A938" s="28">
        <v>44621</v>
      </c>
      <c r="B938" s="18">
        <v>0</v>
      </c>
      <c r="C938" s="18">
        <v>886171.02084000036</v>
      </c>
      <c r="D938" s="18">
        <v>0</v>
      </c>
      <c r="E938" s="18">
        <v>505909.55547012395</v>
      </c>
      <c r="F938" s="18">
        <v>886171.02084000036</v>
      </c>
      <c r="G938" s="18">
        <v>505909.55547012395</v>
      </c>
    </row>
    <row r="939" spans="1:7" ht="11.25" customHeight="1" x14ac:dyDescent="0.2">
      <c r="A939" s="28">
        <v>44652</v>
      </c>
      <c r="B939" s="18">
        <v>0</v>
      </c>
      <c r="C939" s="18">
        <v>898051.81860000023</v>
      </c>
      <c r="D939" s="18">
        <v>0</v>
      </c>
      <c r="E939" s="18">
        <v>512692.22943715856</v>
      </c>
      <c r="F939" s="18">
        <v>898051.81860000023</v>
      </c>
      <c r="G939" s="18">
        <v>512692.22943715856</v>
      </c>
    </row>
    <row r="940" spans="1:7" ht="11.25" customHeight="1" x14ac:dyDescent="0.2">
      <c r="A940" s="28">
        <v>44682</v>
      </c>
      <c r="B940" s="18">
        <v>0</v>
      </c>
      <c r="C940" s="18">
        <v>898051.81860000023</v>
      </c>
      <c r="D940" s="18">
        <v>0</v>
      </c>
      <c r="E940" s="18">
        <v>512692.22943715856</v>
      </c>
      <c r="F940" s="18">
        <v>898051.81860000023</v>
      </c>
      <c r="G940" s="18">
        <v>512692.22943715856</v>
      </c>
    </row>
    <row r="941" spans="1:7" ht="11.25" customHeight="1" x14ac:dyDescent="0.2">
      <c r="A941" s="20" t="s">
        <v>1122</v>
      </c>
      <c r="B941" s="18">
        <v>0</v>
      </c>
      <c r="C941" s="18">
        <v>0</v>
      </c>
      <c r="D941" s="18">
        <v>0</v>
      </c>
      <c r="E941" s="18">
        <v>0</v>
      </c>
      <c r="F941" s="18">
        <v>0</v>
      </c>
      <c r="G941" s="18">
        <v>0</v>
      </c>
    </row>
    <row r="942" spans="1:7" ht="11.25" customHeight="1" x14ac:dyDescent="0.2">
      <c r="A942" s="21" t="s">
        <v>22</v>
      </c>
      <c r="B942" s="18">
        <v>0</v>
      </c>
      <c r="C942" s="18">
        <v>0</v>
      </c>
      <c r="D942" s="18">
        <v>0</v>
      </c>
      <c r="E942" s="18">
        <v>0</v>
      </c>
      <c r="F942" s="18">
        <v>0</v>
      </c>
      <c r="G942" s="18">
        <v>0</v>
      </c>
    </row>
    <row r="943" spans="1:7" ht="11.25" customHeight="1" x14ac:dyDescent="0.2">
      <c r="A943" s="22" t="s">
        <v>23</v>
      </c>
      <c r="B943" s="18">
        <v>0</v>
      </c>
      <c r="C943" s="18">
        <v>0</v>
      </c>
      <c r="D943" s="18">
        <v>0</v>
      </c>
      <c r="E943" s="18">
        <v>0</v>
      </c>
      <c r="F943" s="18">
        <v>0</v>
      </c>
      <c r="G943" s="18">
        <v>0</v>
      </c>
    </row>
    <row r="944" spans="1:7" ht="11.25" customHeight="1" x14ac:dyDescent="0.2">
      <c r="A944" s="23" t="s">
        <v>24</v>
      </c>
      <c r="B944" s="18">
        <v>0</v>
      </c>
      <c r="C944" s="18">
        <v>0</v>
      </c>
      <c r="D944" s="18">
        <v>0</v>
      </c>
      <c r="E944" s="18">
        <v>0</v>
      </c>
      <c r="F944" s="18">
        <v>0</v>
      </c>
      <c r="G944" s="18">
        <v>0</v>
      </c>
    </row>
    <row r="945" spans="1:7" ht="11.25" customHeight="1" x14ac:dyDescent="0.2">
      <c r="A945" s="24" t="s">
        <v>24</v>
      </c>
      <c r="B945" s="18">
        <v>0</v>
      </c>
      <c r="C945" s="18">
        <v>0</v>
      </c>
      <c r="D945" s="18">
        <v>0</v>
      </c>
      <c r="E945" s="18">
        <v>0</v>
      </c>
      <c r="F945" s="18">
        <v>0</v>
      </c>
      <c r="G945" s="18">
        <v>0</v>
      </c>
    </row>
    <row r="946" spans="1:7" ht="11.25" customHeight="1" x14ac:dyDescent="0.2">
      <c r="A946" s="25" t="s">
        <v>25</v>
      </c>
      <c r="B946" s="18">
        <v>0</v>
      </c>
      <c r="C946" s="18">
        <v>0</v>
      </c>
      <c r="D946" s="18">
        <v>0</v>
      </c>
      <c r="E946" s="18">
        <v>0</v>
      </c>
      <c r="F946" s="18">
        <v>0</v>
      </c>
      <c r="G946" s="18">
        <v>0</v>
      </c>
    </row>
    <row r="947" spans="1:7" ht="11.25" customHeight="1" x14ac:dyDescent="0.2">
      <c r="A947" s="26" t="s">
        <v>25</v>
      </c>
      <c r="B947" s="18">
        <v>0</v>
      </c>
      <c r="C947" s="18">
        <v>0</v>
      </c>
      <c r="D947" s="18">
        <v>0</v>
      </c>
      <c r="E947" s="18">
        <v>0</v>
      </c>
      <c r="F947" s="18">
        <v>0</v>
      </c>
      <c r="G947" s="18">
        <v>0</v>
      </c>
    </row>
    <row r="948" spans="1:7" ht="11.25" customHeight="1" x14ac:dyDescent="0.2">
      <c r="A948" s="27" t="s">
        <v>25</v>
      </c>
      <c r="B948" s="18">
        <v>0</v>
      </c>
      <c r="C948" s="18">
        <v>0</v>
      </c>
      <c r="D948" s="18">
        <v>0</v>
      </c>
      <c r="E948" s="18">
        <v>0</v>
      </c>
      <c r="F948" s="18">
        <v>0</v>
      </c>
      <c r="G948" s="18">
        <v>0</v>
      </c>
    </row>
    <row r="949" spans="1:7" ht="11.25" customHeight="1" x14ac:dyDescent="0.2">
      <c r="A949" s="28">
        <v>44348</v>
      </c>
      <c r="B949" s="18">
        <v>0</v>
      </c>
      <c r="C949" s="18">
        <v>0</v>
      </c>
      <c r="D949" s="18">
        <v>0</v>
      </c>
      <c r="E949" s="18">
        <v>0</v>
      </c>
      <c r="F949" s="18">
        <v>0</v>
      </c>
      <c r="G949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41AC2-A66C-463E-AEAB-52430D226527}">
  <dimension ref="A1:V38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8" bestFit="1" customWidth="1"/>
    <col min="2" max="2" width="11.140625" style="78" bestFit="1" customWidth="1"/>
    <col min="3" max="3" width="26.28515625" style="78" bestFit="1" customWidth="1"/>
    <col min="4" max="4" width="6.28515625" style="78" bestFit="1" customWidth="1"/>
    <col min="5" max="10" width="7.7109375" style="78" customWidth="1"/>
    <col min="11" max="12" width="9.140625" style="78"/>
    <col min="13" max="13" width="14.28515625" style="78" customWidth="1"/>
    <col min="14" max="14" width="16.7109375" style="78" customWidth="1"/>
    <col min="15" max="15" width="31.7109375" style="78" customWidth="1"/>
    <col min="16" max="22" width="7.7109375" style="78" customWidth="1"/>
    <col min="23" max="16384" width="9.140625" style="78"/>
  </cols>
  <sheetData>
    <row r="1" spans="1:22" ht="11.25" customHeight="1" x14ac:dyDescent="0.25">
      <c r="A1" s="114" t="s">
        <v>1193</v>
      </c>
      <c r="B1" s="131"/>
      <c r="C1" s="131"/>
      <c r="D1" s="131"/>
      <c r="E1" s="131"/>
      <c r="F1" s="131"/>
      <c r="G1" s="131"/>
      <c r="H1" s="131"/>
      <c r="I1" s="131"/>
      <c r="J1" s="131"/>
      <c r="L1" s="114" t="s">
        <v>1203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</row>
    <row r="2" spans="1:22" ht="11.25" customHeight="1" x14ac:dyDescent="0.25">
      <c r="A2" s="126" t="s">
        <v>107</v>
      </c>
      <c r="B2" s="126" t="s">
        <v>108</v>
      </c>
      <c r="C2" s="126" t="s">
        <v>1194</v>
      </c>
      <c r="D2" s="126" t="s">
        <v>113</v>
      </c>
      <c r="E2" s="126" t="s">
        <v>1195</v>
      </c>
      <c r="F2" s="128"/>
      <c r="G2" s="128"/>
      <c r="H2" s="126" t="s">
        <v>992</v>
      </c>
      <c r="I2" s="128"/>
      <c r="J2" s="128"/>
      <c r="L2" s="126" t="s">
        <v>107</v>
      </c>
      <c r="M2" s="126" t="s">
        <v>108</v>
      </c>
      <c r="N2" s="126" t="s">
        <v>109</v>
      </c>
      <c r="O2" s="126" t="s">
        <v>110</v>
      </c>
      <c r="P2" s="126" t="s">
        <v>113</v>
      </c>
      <c r="Q2" s="126" t="s">
        <v>1195</v>
      </c>
      <c r="R2" s="130"/>
      <c r="S2" s="130"/>
      <c r="T2" s="126" t="s">
        <v>992</v>
      </c>
      <c r="U2" s="130"/>
      <c r="V2" s="130"/>
    </row>
    <row r="3" spans="1:22" ht="11.25" customHeight="1" x14ac:dyDescent="0.25">
      <c r="A3" s="128"/>
      <c r="B3" s="128"/>
      <c r="C3" s="128"/>
      <c r="D3" s="128"/>
      <c r="E3" s="126" t="s">
        <v>951</v>
      </c>
      <c r="F3" s="128"/>
      <c r="G3" s="88" t="s">
        <v>979</v>
      </c>
      <c r="H3" s="126" t="s">
        <v>951</v>
      </c>
      <c r="I3" s="128"/>
      <c r="J3" s="88" t="s">
        <v>979</v>
      </c>
      <c r="L3" s="130"/>
      <c r="M3" s="130"/>
      <c r="N3" s="130"/>
      <c r="O3" s="130"/>
      <c r="P3" s="130"/>
      <c r="Q3" s="126" t="s">
        <v>951</v>
      </c>
      <c r="R3" s="130"/>
      <c r="S3" s="88" t="s">
        <v>979</v>
      </c>
      <c r="T3" s="126" t="s">
        <v>951</v>
      </c>
      <c r="U3" s="130"/>
      <c r="V3" s="88" t="s">
        <v>979</v>
      </c>
    </row>
    <row r="4" spans="1:22" ht="11.25" customHeight="1" x14ac:dyDescent="0.25">
      <c r="A4" s="128"/>
      <c r="B4" s="128"/>
      <c r="C4" s="128"/>
      <c r="D4" s="128"/>
      <c r="E4" s="88" t="s">
        <v>1196</v>
      </c>
      <c r="F4" s="88" t="s">
        <v>1197</v>
      </c>
      <c r="G4" s="88" t="s">
        <v>1197</v>
      </c>
      <c r="H4" s="88" t="s">
        <v>1196</v>
      </c>
      <c r="I4" s="88" t="s">
        <v>1197</v>
      </c>
      <c r="J4" s="88" t="s">
        <v>1197</v>
      </c>
      <c r="L4" s="130"/>
      <c r="M4" s="130"/>
      <c r="N4" s="130"/>
      <c r="O4" s="130"/>
      <c r="P4" s="130"/>
      <c r="Q4" s="88" t="s">
        <v>1196</v>
      </c>
      <c r="R4" s="88" t="s">
        <v>1197</v>
      </c>
      <c r="S4" s="88" t="s">
        <v>1197</v>
      </c>
      <c r="T4" s="88" t="s">
        <v>1196</v>
      </c>
      <c r="U4" s="88" t="s">
        <v>1197</v>
      </c>
      <c r="V4" s="88" t="s">
        <v>1197</v>
      </c>
    </row>
    <row r="5" spans="1:22" ht="11.25" customHeight="1" x14ac:dyDescent="0.25">
      <c r="A5" s="129" t="s">
        <v>59</v>
      </c>
      <c r="B5" s="129" t="s">
        <v>40</v>
      </c>
      <c r="C5" s="129" t="s">
        <v>25</v>
      </c>
      <c r="D5" s="89" t="s">
        <v>1198</v>
      </c>
      <c r="E5" s="57">
        <f ca="1">ROUND('TUSD BE'!$AM$5+'TUSD BF'!$AM$5+'TUSD CVA'!$AM$5,2)</f>
        <v>19.739999999999998</v>
      </c>
      <c r="F5" s="57">
        <f ca="1">ROUND('TUSD BE'!$AM$7+'TUSD BF'!$AM$7+'TUSD CVA'!$AM$7,2)</f>
        <v>97.22</v>
      </c>
      <c r="G5" s="57">
        <f>ROUND('TE BE'!$AB$5+'TE BF'!$AB$5+'TE CVA'!$AB$5,2)</f>
        <v>510.05</v>
      </c>
      <c r="H5" s="57">
        <f ca="1">ROUND('TUSD BE'!$AM$5,2)</f>
        <v>18.62</v>
      </c>
      <c r="I5" s="57">
        <f ca="1">ROUND('TUSD BE'!$AM$7,2)</f>
        <v>88.19</v>
      </c>
      <c r="J5" s="57">
        <f>ROUND('TE BE'!$AB$5,2)</f>
        <v>503.12</v>
      </c>
      <c r="L5" s="132" t="s">
        <v>22</v>
      </c>
      <c r="M5" s="132" t="s">
        <v>1204</v>
      </c>
      <c r="N5" s="132" t="s">
        <v>1205</v>
      </c>
      <c r="O5" s="132" t="s">
        <v>1205</v>
      </c>
      <c r="P5" s="89" t="s">
        <v>1198</v>
      </c>
      <c r="Q5" s="57">
        <v>0</v>
      </c>
      <c r="R5" s="57">
        <f ca="1">ROUND('TUSD BE'!$AM$40+'TUSD BF'!$AM$40+'TUSD CVA'!$AM$40,2)</f>
        <v>864.27</v>
      </c>
      <c r="S5" s="57">
        <f>ROUND('TE BE'!$AB$11+'TE BF'!$AB$11+'TE CVA'!$AB$11,2)</f>
        <v>510.05</v>
      </c>
      <c r="T5" s="57">
        <v>0</v>
      </c>
      <c r="U5" s="57">
        <f ca="1">ROUND('TUSD BE'!$AM$40,2)</f>
        <v>840.01</v>
      </c>
      <c r="V5" s="57">
        <f>ROUND('TE BE'!$AB$11,2)</f>
        <v>503.12</v>
      </c>
    </row>
    <row r="6" spans="1:22" ht="11.25" customHeight="1" x14ac:dyDescent="0.25">
      <c r="A6" s="128"/>
      <c r="B6" s="128"/>
      <c r="C6" s="128"/>
      <c r="D6" s="89" t="s">
        <v>1199</v>
      </c>
      <c r="E6" s="57">
        <f ca="1">ROUND('TUSD BE'!$AM$6+'TUSD BF'!$AM$6+'TUSD CVA'!$AM$6,2)</f>
        <v>8.1</v>
      </c>
      <c r="F6" s="57">
        <f ca="1">ROUND('TUSD BE'!$AM$7+'TUSD BF'!$AM$7+'TUSD CVA'!$AM$7,2)</f>
        <v>97.22</v>
      </c>
      <c r="G6" s="57">
        <f>ROUND('TE BE'!$AB$6+'TE BF'!$AB$6+'TE CVA'!$AB$6,2)</f>
        <v>313.23</v>
      </c>
      <c r="H6" s="57">
        <f ca="1">ROUND('TUSD BE'!$AM$6,2)</f>
        <v>7.8</v>
      </c>
      <c r="I6" s="57">
        <f ca="1">ROUND('TUSD BE'!$AM$7,2)</f>
        <v>88.19</v>
      </c>
      <c r="J6" s="57">
        <f>ROUND('TE BE'!$AB$6,2)</f>
        <v>300.99</v>
      </c>
      <c r="L6" s="133"/>
      <c r="M6" s="133"/>
      <c r="N6" s="133"/>
      <c r="O6" s="133"/>
      <c r="P6" s="89" t="s">
        <v>1206</v>
      </c>
      <c r="Q6" s="57">
        <v>0</v>
      </c>
      <c r="R6" s="57">
        <f ca="1">ROUND('TUSD BE'!$AM$41+'TUSD BF'!$AM$41+'TUSD CVA'!$AM$41,2)</f>
        <v>589.64</v>
      </c>
      <c r="S6" s="57">
        <f>ROUND('TE BE'!$AB$12+'TE BF'!$AB$12+'TE CVA'!$AB$12,2)</f>
        <v>313.23</v>
      </c>
      <c r="T6" s="57">
        <v>0</v>
      </c>
      <c r="U6" s="57">
        <f ca="1">ROUND('TUSD BE'!$AM$41,2)</f>
        <v>570.33000000000004</v>
      </c>
      <c r="V6" s="57">
        <f>ROUND('TE BE'!$AB$12,2)</f>
        <v>300.99</v>
      </c>
    </row>
    <row r="7" spans="1:22" ht="11.25" customHeight="1" x14ac:dyDescent="0.25">
      <c r="A7" s="128"/>
      <c r="B7" s="129" t="s">
        <v>1200</v>
      </c>
      <c r="C7" s="129" t="s">
        <v>25</v>
      </c>
      <c r="D7" s="89" t="s">
        <v>1198</v>
      </c>
      <c r="E7" s="57">
        <f ca="1">ROUND('TUSD BE'!$AM$5+'TUSD BF'!$AM$5+'TUSD CVA'!$AM$5,2)</f>
        <v>19.739999999999998</v>
      </c>
      <c r="F7" s="57">
        <f ca="1">ROUND('TUSD BE'!$AM$8+'TUSD BF'!$AM$8+'TUSD CVA'!$AM$8,2)</f>
        <v>11.36</v>
      </c>
      <c r="G7" s="57">
        <v>0</v>
      </c>
      <c r="H7" s="57">
        <f ca="1">ROUND('TUSD BE'!$AM$5,2)</f>
        <v>18.62</v>
      </c>
      <c r="I7" s="57">
        <f ca="1">ROUND('TUSD BE'!$AM$8,2)</f>
        <v>11.5</v>
      </c>
      <c r="J7" s="57">
        <v>0</v>
      </c>
      <c r="L7" s="133"/>
      <c r="M7" s="134"/>
      <c r="N7" s="134"/>
      <c r="O7" s="134"/>
      <c r="P7" s="89" t="s">
        <v>1199</v>
      </c>
      <c r="Q7" s="57">
        <v>0</v>
      </c>
      <c r="R7" s="57">
        <f ca="1">ROUND('TUSD BE'!$AM$42+'TUSD BF'!$AM$42+'TUSD CVA'!$AM$42,2)</f>
        <v>315.02</v>
      </c>
      <c r="S7" s="57">
        <f>ROUND('TE BE'!$AB$13+'TE BF'!$AB$13+'TE CVA'!$AB$13,2)</f>
        <v>313.23</v>
      </c>
      <c r="T7" s="57">
        <v>0</v>
      </c>
      <c r="U7" s="57">
        <f ca="1">ROUND('TUSD BE'!$AM$42,2)</f>
        <v>300.64</v>
      </c>
      <c r="V7" s="57">
        <f>ROUND('TE BE'!$AB$13,2)</f>
        <v>300.99</v>
      </c>
    </row>
    <row r="8" spans="1:22" ht="11.25" customHeight="1" x14ac:dyDescent="0.25">
      <c r="A8" s="128"/>
      <c r="B8" s="128"/>
      <c r="C8" s="128"/>
      <c r="D8" s="89" t="s">
        <v>1199</v>
      </c>
      <c r="E8" s="57">
        <f ca="1">ROUND('TUSD BE'!$AM$6+'TUSD BF'!$AM$6+'TUSD CVA'!$AM$6,2)</f>
        <v>8.1</v>
      </c>
      <c r="F8" s="57">
        <f ca="1">ROUND('TUSD BE'!$AM$8+'TUSD BF'!$AM$8+'TUSD CVA'!$AM$8,2)</f>
        <v>11.36</v>
      </c>
      <c r="G8" s="57">
        <v>0</v>
      </c>
      <c r="H8" s="57">
        <f ca="1">ROUND('TUSD BE'!$AM$6,2)</f>
        <v>7.8</v>
      </c>
      <c r="I8" s="57">
        <f ca="1">ROUND('TUSD BE'!$AM$8,2)</f>
        <v>11.5</v>
      </c>
      <c r="J8" s="57">
        <v>0</v>
      </c>
      <c r="L8" s="133"/>
      <c r="M8" s="89" t="s">
        <v>1207</v>
      </c>
      <c r="N8" s="89" t="s">
        <v>1205</v>
      </c>
      <c r="O8" s="89" t="s">
        <v>1205</v>
      </c>
      <c r="P8" s="89" t="s">
        <v>1201</v>
      </c>
      <c r="Q8" s="57">
        <v>0</v>
      </c>
      <c r="R8" s="57">
        <f ca="1">ROUND('TUSD BE'!$AM$48+'TUSD BF'!$AM$48+'TUSD CVA'!$AM$48,2)</f>
        <v>436.78</v>
      </c>
      <c r="S8" s="57">
        <f>ROUND('TE BE'!$AB$19+'TE BF'!$AB$19+'TE CVA'!$AB$19,2)</f>
        <v>329.63</v>
      </c>
      <c r="T8" s="57">
        <v>0</v>
      </c>
      <c r="U8" s="57">
        <f ca="1">ROUND('TUSD BE'!$AM$48,2)</f>
        <v>420.22</v>
      </c>
      <c r="V8" s="57">
        <f>ROUND('TE BE'!$AB$19,2)</f>
        <v>317.83999999999997</v>
      </c>
    </row>
    <row r="9" spans="1:22" ht="11.25" customHeight="1" x14ac:dyDescent="0.25">
      <c r="A9" s="128"/>
      <c r="B9" s="129" t="s">
        <v>64</v>
      </c>
      <c r="C9" s="89" t="s">
        <v>65</v>
      </c>
      <c r="D9" s="89" t="s">
        <v>1201</v>
      </c>
      <c r="E9" s="57">
        <f ca="1">ROUND('TUSD BE'!$AM$9+'TUSD BF'!$AM$9+'TUSD CVA'!$AM$9,2)</f>
        <v>5.35</v>
      </c>
      <c r="F9" s="57">
        <v>0</v>
      </c>
      <c r="G9" s="57">
        <v>0</v>
      </c>
      <c r="H9" s="57">
        <f>ROUND('TUSD BE'!$AM$9,2)</f>
        <v>5.26</v>
      </c>
      <c r="I9" s="57">
        <v>0</v>
      </c>
      <c r="J9" s="57">
        <v>0</v>
      </c>
      <c r="L9" s="133"/>
      <c r="M9" s="89" t="s">
        <v>1209</v>
      </c>
      <c r="N9" s="89" t="s">
        <v>1205</v>
      </c>
      <c r="O9" s="89" t="s">
        <v>1205</v>
      </c>
      <c r="P9" s="89" t="s">
        <v>1201</v>
      </c>
      <c r="Q9" s="57">
        <v>0</v>
      </c>
      <c r="R9" s="57">
        <f ca="1">ROUND('TUSD BE'!$AM$43+'TUSD BF'!$AM$43+'TUSD CVA'!$AM$43,2)</f>
        <v>436.78</v>
      </c>
      <c r="S9" s="57">
        <f>ROUND('TE BE'!$AB$14+'TE BF'!$AB$14+'TE CVA'!$AB$14,2)</f>
        <v>329.63</v>
      </c>
      <c r="T9" s="57">
        <v>0</v>
      </c>
      <c r="U9" s="57">
        <f ca="1">ROUND('TUSD BE'!$AM$43,2)</f>
        <v>420.22</v>
      </c>
      <c r="V9" s="57">
        <f>ROUND('TE BE'!$AB$14,2)</f>
        <v>317.83999999999997</v>
      </c>
    </row>
    <row r="10" spans="1:22" ht="11.25" customHeight="1" x14ac:dyDescent="0.25">
      <c r="A10" s="128"/>
      <c r="B10" s="128"/>
      <c r="C10" s="89" t="s">
        <v>67</v>
      </c>
      <c r="D10" s="89" t="s">
        <v>1201</v>
      </c>
      <c r="E10" s="57">
        <f ca="1">ROUND('TUSD BE'!$AM$10+'TUSD BF'!$AM$10+'TUSD CVA'!$AM$10,2)</f>
        <v>4.13</v>
      </c>
      <c r="F10" s="57">
        <v>0</v>
      </c>
      <c r="G10" s="57">
        <v>0</v>
      </c>
      <c r="H10" s="57">
        <f>ROUND('TUSD BE'!$AM$10,2)</f>
        <v>4.05</v>
      </c>
      <c r="I10" s="57">
        <v>0</v>
      </c>
      <c r="J10" s="57">
        <v>0</v>
      </c>
      <c r="L10" s="133"/>
      <c r="M10" s="89" t="s">
        <v>1207</v>
      </c>
      <c r="N10" s="89" t="s">
        <v>1205</v>
      </c>
      <c r="O10" s="89" t="s">
        <v>1208</v>
      </c>
      <c r="P10" s="89" t="s">
        <v>1201</v>
      </c>
      <c r="Q10" s="57">
        <v>0</v>
      </c>
      <c r="R10" s="57">
        <f ca="1">ROUND('TUSD BE'!$AM$49+'TUSD BF'!$AM$49+'TUSD CVA'!$AM$49,2)</f>
        <v>309.39999999999998</v>
      </c>
      <c r="S10" s="57">
        <f>ROUND('TE BE'!$AB$20+'TE BF'!$AB$20+'TE CVA'!$AB$20,2)</f>
        <v>329.63</v>
      </c>
      <c r="T10" s="57">
        <v>0</v>
      </c>
      <c r="U10" s="57">
        <f ca="1">ROUND('TUSD BE'!$AM$49,2)</f>
        <v>305.68</v>
      </c>
      <c r="V10" s="57">
        <f>ROUND('TE BE'!$AB$20,2)</f>
        <v>317.83999999999997</v>
      </c>
    </row>
    <row r="11" spans="1:22" ht="11.25" customHeight="1" x14ac:dyDescent="0.25">
      <c r="A11" s="128"/>
      <c r="B11" s="128"/>
      <c r="C11" s="89" t="s">
        <v>69</v>
      </c>
      <c r="D11" s="89" t="s">
        <v>1201</v>
      </c>
      <c r="E11" s="57">
        <f ca="1">ROUND('TUSD BE'!$AM$11+'TUSD BF'!$AM$11+'TUSD CVA'!$AM$11,2)</f>
        <v>5.97</v>
      </c>
      <c r="F11" s="57">
        <v>0</v>
      </c>
      <c r="G11" s="57">
        <v>0</v>
      </c>
      <c r="H11" s="57">
        <f>ROUND('TUSD BE'!$AM$11,2)</f>
        <v>5.87</v>
      </c>
      <c r="I11" s="57">
        <v>0</v>
      </c>
      <c r="J11" s="57">
        <v>0</v>
      </c>
      <c r="L11" s="134"/>
      <c r="M11" s="89" t="s">
        <v>1209</v>
      </c>
      <c r="N11" s="89" t="s">
        <v>1205</v>
      </c>
      <c r="O11" s="89" t="s">
        <v>1208</v>
      </c>
      <c r="P11" s="89" t="s">
        <v>1201</v>
      </c>
      <c r="Q11" s="57">
        <v>0</v>
      </c>
      <c r="R11" s="57">
        <f ca="1">ROUND('TUSD BE'!$AM$44+'TUSD BF'!$AM$44+'TUSD CVA'!$AM$44,2)</f>
        <v>309.39999999999998</v>
      </c>
      <c r="S11" s="57">
        <f>ROUND('TE BE'!$AB$15+'TE BF'!$AB$15+'TE CVA'!$AB$15,2)</f>
        <v>329.63</v>
      </c>
      <c r="T11" s="57">
        <v>0</v>
      </c>
      <c r="U11" s="57">
        <f ca="1">ROUND('TUSD BE'!$AM$44,2)</f>
        <v>305.68</v>
      </c>
      <c r="V11" s="57">
        <f>ROUND('TE BE'!$AB$15,2)</f>
        <v>317.83999999999997</v>
      </c>
    </row>
    <row r="12" spans="1:22" ht="11.25" customHeight="1" x14ac:dyDescent="0.25">
      <c r="A12" s="128"/>
      <c r="B12" s="128"/>
      <c r="C12" s="89" t="s">
        <v>72</v>
      </c>
      <c r="D12" s="89" t="s">
        <v>1201</v>
      </c>
      <c r="E12" s="57">
        <f ca="1">ROUND('TUSD BE'!$AM$12+'TUSD BF'!$AM$12+'TUSD CVA'!$AM$12,2)</f>
        <v>5.68</v>
      </c>
      <c r="F12" s="57">
        <v>0</v>
      </c>
      <c r="G12" s="57">
        <v>0</v>
      </c>
      <c r="H12" s="57">
        <f>ROUND('TUSD BE'!$AM$12,2)</f>
        <v>5.58</v>
      </c>
      <c r="I12" s="57">
        <v>0</v>
      </c>
      <c r="J12" s="57">
        <v>0</v>
      </c>
      <c r="L12" s="132" t="s">
        <v>44</v>
      </c>
      <c r="M12" s="132" t="s">
        <v>1204</v>
      </c>
      <c r="N12" s="132" t="s">
        <v>1210</v>
      </c>
      <c r="O12" s="132" t="s">
        <v>1211</v>
      </c>
      <c r="P12" s="89" t="s">
        <v>1198</v>
      </c>
      <c r="Q12" s="57">
        <v>0</v>
      </c>
      <c r="R12" s="57">
        <f ca="1">ROUND(('TUSD BE'!$AM$53+'TUSD BF'!$AM$53+'TUSD CVA'!$AM$53)*(1-CUSTOS!$M$38),2)</f>
        <v>861.12</v>
      </c>
      <c r="S12" s="57">
        <f>ROUND(('TE BE'!$AB$24+'TE BF'!$AB$24+'TE CVA'!$AB$24)*(1-CUSTOS!$M$38),2)</f>
        <v>479.45</v>
      </c>
      <c r="T12" s="57">
        <v>0</v>
      </c>
      <c r="U12" s="57">
        <f ca="1">ROUND('TUSD BE'!$AM$53*(1-CUSTOS!$M$38),2)</f>
        <v>837.44</v>
      </c>
      <c r="V12" s="57">
        <f>ROUND('TE BE'!$AB$24*(1-CUSTOS!$M$38),2)</f>
        <v>472.93</v>
      </c>
    </row>
    <row r="13" spans="1:22" ht="11.25" customHeight="1" x14ac:dyDescent="0.25">
      <c r="A13" s="128"/>
      <c r="B13" s="128"/>
      <c r="C13" s="89" t="s">
        <v>73</v>
      </c>
      <c r="D13" s="89" t="s">
        <v>1201</v>
      </c>
      <c r="E13" s="57">
        <f ca="1">ROUND('TUSD BE'!$AM$13+'TUSD BF'!$AM$13+'TUSD CVA'!$AM$13,2)</f>
        <v>5.35</v>
      </c>
      <c r="F13" s="57">
        <v>0</v>
      </c>
      <c r="G13" s="57">
        <v>0</v>
      </c>
      <c r="H13" s="57">
        <f>ROUND('TUSD BE'!$AM$13,2)</f>
        <v>5.26</v>
      </c>
      <c r="I13" s="57">
        <v>0</v>
      </c>
      <c r="J13" s="57">
        <v>0</v>
      </c>
      <c r="L13" s="133"/>
      <c r="M13" s="133"/>
      <c r="N13" s="133"/>
      <c r="O13" s="133"/>
      <c r="P13" s="89" t="s">
        <v>1206</v>
      </c>
      <c r="Q13" s="57">
        <v>0</v>
      </c>
      <c r="R13" s="57">
        <f ca="1">ROUND(('TUSD BE'!$AM$54+'TUSD BF'!$AM$54+'TUSD CVA'!$AM$54)*(1-CUSTOS!$M$38),2)</f>
        <v>583.49</v>
      </c>
      <c r="S13" s="57">
        <f>ROUND(('TE BE'!$AB$25+'TE BF'!$AB$25+'TE CVA'!$AB$25)*(1-CUSTOS!$M$38),2)</f>
        <v>294.44</v>
      </c>
      <c r="T13" s="57">
        <v>0</v>
      </c>
      <c r="U13" s="57">
        <f ca="1">ROUND('TUSD BE'!$AM$54*(1-CUSTOS!$M$38),2)</f>
        <v>564.80999999999995</v>
      </c>
      <c r="V13" s="57">
        <f>ROUND('TE BE'!$AB$25*(1-CUSTOS!$M$38),2)</f>
        <v>282.94</v>
      </c>
    </row>
    <row r="14" spans="1:22" ht="11.25" customHeight="1" x14ac:dyDescent="0.25">
      <c r="A14" s="128"/>
      <c r="B14" s="128"/>
      <c r="C14" s="89" t="s">
        <v>75</v>
      </c>
      <c r="D14" s="89" t="s">
        <v>1201</v>
      </c>
      <c r="E14" s="57">
        <f ca="1">ROUND('TUSD BE'!$AM$14+'TUSD BF'!$AM$14+'TUSD CVA'!$AM$14,2)</f>
        <v>5.35</v>
      </c>
      <c r="F14" s="57">
        <v>0</v>
      </c>
      <c r="G14" s="57">
        <v>0</v>
      </c>
      <c r="H14" s="57">
        <f>ROUND('TUSD BE'!$AM$14,2)</f>
        <v>5.26</v>
      </c>
      <c r="I14" s="57">
        <v>0</v>
      </c>
      <c r="J14" s="57">
        <v>0</v>
      </c>
      <c r="L14" s="133"/>
      <c r="M14" s="134"/>
      <c r="N14" s="134"/>
      <c r="O14" s="134"/>
      <c r="P14" s="89" t="s">
        <v>1199</v>
      </c>
      <c r="Q14" s="57">
        <v>0</v>
      </c>
      <c r="R14" s="57">
        <f ca="1">ROUND(('TUSD BE'!$AM$55+'TUSD BF'!$AM$55+'TUSD CVA'!$AM$55)*(1-CUSTOS!$M$38),2)</f>
        <v>305.86</v>
      </c>
      <c r="S14" s="57">
        <f>ROUND(('TE BE'!$AB$26+'TE BF'!$AB$26+'TE CVA'!$AB$26)*(1-CUSTOS!$M$38),2)</f>
        <v>294.44</v>
      </c>
      <c r="T14" s="57">
        <v>0</v>
      </c>
      <c r="U14" s="57">
        <f ca="1">ROUND('TUSD BE'!$AM$55*(1-CUSTOS!$M$38),2)</f>
        <v>292.17</v>
      </c>
      <c r="V14" s="57">
        <f>ROUND('TE BE'!$AB$26*(1-CUSTOS!$M$38),2)</f>
        <v>282.94</v>
      </c>
    </row>
    <row r="15" spans="1:22" ht="11.25" customHeight="1" x14ac:dyDescent="0.25">
      <c r="A15" s="128"/>
      <c r="B15" s="128"/>
      <c r="C15" s="89" t="s">
        <v>86</v>
      </c>
      <c r="D15" s="89" t="s">
        <v>1201</v>
      </c>
      <c r="E15" s="57">
        <f ca="1">ROUND('TUSD BE'!$AM$15+'TUSD BF'!$AM$15+'TUSD CVA'!$AM$15,2)</f>
        <v>4.8499999999999996</v>
      </c>
      <c r="F15" s="57">
        <v>0</v>
      </c>
      <c r="G15" s="57">
        <v>0</v>
      </c>
      <c r="H15" s="57">
        <f>ROUND('TUSD BE'!$AM$15,2)</f>
        <v>4.7699999999999996</v>
      </c>
      <c r="I15" s="57">
        <v>0</v>
      </c>
      <c r="J15" s="57">
        <v>0</v>
      </c>
      <c r="L15" s="133"/>
      <c r="M15" s="89" t="s">
        <v>1207</v>
      </c>
      <c r="N15" s="89" t="s">
        <v>1210</v>
      </c>
      <c r="O15" s="89" t="s">
        <v>1211</v>
      </c>
      <c r="P15" s="89" t="s">
        <v>1201</v>
      </c>
      <c r="Q15" s="57">
        <v>0</v>
      </c>
      <c r="R15" s="57">
        <f ca="1">ROUND(('TUSD BE'!$AM$65+'TUSD BF'!$AM$65+'TUSD CVA'!$AM$65)*(1-CUSTOS!$M$38),2)</f>
        <v>410.58</v>
      </c>
      <c r="S15" s="57">
        <f>ROUND(('TE BE'!$AB$36+'TE BF'!$AB$36+'TE CVA'!$AB$36)*(1-CUSTOS!$M$38),2)</f>
        <v>309.85000000000002</v>
      </c>
      <c r="T15" s="57">
        <v>0</v>
      </c>
      <c r="U15" s="57">
        <f ca="1">ROUND(('TUSD BE'!$AM$65)*(1-CUSTOS!$M$38),2)</f>
        <v>395.01</v>
      </c>
      <c r="V15" s="57">
        <f>ROUND(('TE BE'!$AB$36)*(1-CUSTOS!$M$38),2)</f>
        <v>298.77</v>
      </c>
    </row>
    <row r="16" spans="1:22" ht="11.25" customHeight="1" x14ac:dyDescent="0.25">
      <c r="A16" s="128"/>
      <c r="B16" s="128"/>
      <c r="C16" s="89" t="s">
        <v>87</v>
      </c>
      <c r="D16" s="89" t="s">
        <v>1201</v>
      </c>
      <c r="E16" s="57">
        <f ca="1">ROUND('TUSD BE'!$AM$16+'TUSD BF'!$AM$16+'TUSD CVA'!$AM$16,2)</f>
        <v>5.86</v>
      </c>
      <c r="F16" s="57">
        <v>0</v>
      </c>
      <c r="G16" s="57">
        <v>0</v>
      </c>
      <c r="H16" s="57">
        <f>ROUND('TUSD BE'!$AM$16,2)</f>
        <v>5.76</v>
      </c>
      <c r="I16" s="57">
        <v>0</v>
      </c>
      <c r="J16" s="57">
        <v>0</v>
      </c>
      <c r="L16" s="133"/>
      <c r="M16" s="89" t="s">
        <v>1209</v>
      </c>
      <c r="N16" s="89" t="s">
        <v>1210</v>
      </c>
      <c r="O16" s="89" t="s">
        <v>1211</v>
      </c>
      <c r="P16" s="89" t="s">
        <v>1201</v>
      </c>
      <c r="Q16" s="57">
        <v>0</v>
      </c>
      <c r="R16" s="57">
        <f ca="1">ROUND(('TUSD BE'!$AM$56+'TUSD BF'!$AM$56+'TUSD CVA'!$AM$56)*(1-CUSTOS!$M$38),2)</f>
        <v>410.58</v>
      </c>
      <c r="S16" s="57">
        <f>ROUND(('TE BE'!$AB$27+'TE BF'!$AB$27+'TE CVA'!$AB$27)*(1-CUSTOS!$M$38),2)</f>
        <v>309.85000000000002</v>
      </c>
      <c r="T16" s="57">
        <v>0</v>
      </c>
      <c r="U16" s="57">
        <f ca="1">ROUND(('TUSD BE'!$AM$56)*(1-CUSTOS!$M$38),2)</f>
        <v>395.01</v>
      </c>
      <c r="V16" s="57">
        <f>ROUND(('TE BE'!$AB$27)*(1-CUSTOS!$M$38),2)</f>
        <v>298.77</v>
      </c>
    </row>
    <row r="17" spans="1:22" ht="11.25" customHeight="1" x14ac:dyDescent="0.25">
      <c r="A17" s="128"/>
      <c r="B17" s="128"/>
      <c r="C17" s="89" t="s">
        <v>89</v>
      </c>
      <c r="D17" s="89" t="s">
        <v>1201</v>
      </c>
      <c r="E17" s="57">
        <f ca="1">ROUND('TUSD BE'!$AM$17+'TUSD BF'!$AM$17+'TUSD CVA'!$AM$17,2)</f>
        <v>5.63</v>
      </c>
      <c r="F17" s="57">
        <v>0</v>
      </c>
      <c r="G17" s="57">
        <v>0</v>
      </c>
      <c r="H17" s="57">
        <f>ROUND('TUSD BE'!$AM$17,2)</f>
        <v>5.54</v>
      </c>
      <c r="I17" s="57">
        <v>0</v>
      </c>
      <c r="J17" s="57">
        <v>0</v>
      </c>
      <c r="L17" s="133"/>
      <c r="M17" s="132" t="s">
        <v>1204</v>
      </c>
      <c r="N17" s="132" t="s">
        <v>1210</v>
      </c>
      <c r="O17" s="132" t="s">
        <v>1212</v>
      </c>
      <c r="P17" s="89" t="s">
        <v>1198</v>
      </c>
      <c r="Q17" s="57">
        <v>0</v>
      </c>
      <c r="R17" s="57">
        <f ca="1">ROUND(('TUSD BE'!$AM$57+'TUSD BF'!$AM$57+'TUSD CVA'!$AM$57)*(1-CUSTOS!$M$39),2)</f>
        <v>861.12</v>
      </c>
      <c r="S17" s="57">
        <f>ROUND(('TE BE'!$AB$28+'TE BF'!$AB$28+'TE CVA'!$AB$28)*(1-CUSTOS!$M$39),2)</f>
        <v>479.45</v>
      </c>
      <c r="T17" s="57">
        <v>0</v>
      </c>
      <c r="U17" s="57">
        <f ca="1">ROUND('TUSD BE'!$AM$57*(1-CUSTOS!$M$39),2)</f>
        <v>837.44</v>
      </c>
      <c r="V17" s="57">
        <f>ROUND('TE BE'!$AB$28*(1-CUSTOS!$M$39),2)</f>
        <v>472.93</v>
      </c>
    </row>
    <row r="18" spans="1:22" ht="11.25" customHeight="1" x14ac:dyDescent="0.25">
      <c r="A18" s="128"/>
      <c r="B18" s="128"/>
      <c r="C18" s="89" t="s">
        <v>92</v>
      </c>
      <c r="D18" s="89" t="s">
        <v>1201</v>
      </c>
      <c r="E18" s="57">
        <f ca="1">ROUND('TUSD BE'!$AM$18+'TUSD BF'!$AM$18+'TUSD CVA'!$AM$18,2)</f>
        <v>5.28</v>
      </c>
      <c r="F18" s="57">
        <v>0</v>
      </c>
      <c r="G18" s="57">
        <v>0</v>
      </c>
      <c r="H18" s="57">
        <f>ROUND('TUSD BE'!$AM$18,2)</f>
        <v>5.19</v>
      </c>
      <c r="I18" s="57">
        <v>0</v>
      </c>
      <c r="J18" s="57">
        <v>0</v>
      </c>
      <c r="L18" s="133"/>
      <c r="M18" s="133"/>
      <c r="N18" s="133"/>
      <c r="O18" s="133"/>
      <c r="P18" s="89" t="s">
        <v>1206</v>
      </c>
      <c r="Q18" s="57">
        <v>0</v>
      </c>
      <c r="R18" s="57">
        <f ca="1">ROUND(('TUSD BE'!$AM$58+'TUSD BF'!$AM$58+'TUSD CVA'!$AM$58)*(1-CUSTOS!$M$39),2)</f>
        <v>583.49</v>
      </c>
      <c r="S18" s="57">
        <f>ROUND(('TE BE'!$AB$29+'TE BF'!$AB$29+'TE CVA'!$AB$29)*(1-CUSTOS!$M$39),2)</f>
        <v>294.44</v>
      </c>
      <c r="T18" s="57">
        <v>0</v>
      </c>
      <c r="U18" s="57">
        <f ca="1">ROUND('TUSD BE'!$AM$58*(1-CUSTOS!$M$39),2)</f>
        <v>564.80999999999995</v>
      </c>
      <c r="V18" s="57">
        <f>ROUND('TE BE'!$AB$29*(1-CUSTOS!$M$39),2)</f>
        <v>282.94</v>
      </c>
    </row>
    <row r="19" spans="1:22" ht="11.25" customHeight="1" x14ac:dyDescent="0.25">
      <c r="A19" s="128"/>
      <c r="B19" s="128"/>
      <c r="C19" s="89" t="s">
        <v>124</v>
      </c>
      <c r="D19" s="89" t="s">
        <v>1201</v>
      </c>
      <c r="E19" s="57">
        <f ca="1">ROUND('TUSD BE'!$AM$19+'TUSD BF'!$AM$19+'TUSD CVA'!$AM$19,2)</f>
        <v>5.26</v>
      </c>
      <c r="F19" s="57">
        <v>0</v>
      </c>
      <c r="G19" s="57">
        <v>0</v>
      </c>
      <c r="H19" s="57">
        <f>ROUND('TUSD BE'!$AM$19,2)</f>
        <v>5.21</v>
      </c>
      <c r="I19" s="57">
        <v>0</v>
      </c>
      <c r="J19" s="57">
        <v>0</v>
      </c>
      <c r="L19" s="133"/>
      <c r="M19" s="134"/>
      <c r="N19" s="134"/>
      <c r="O19" s="134"/>
      <c r="P19" s="89" t="s">
        <v>1199</v>
      </c>
      <c r="Q19" s="57">
        <v>0</v>
      </c>
      <c r="R19" s="57">
        <f ca="1">ROUND(('TUSD BE'!$AM$59+'TUSD BF'!$AM$59+'TUSD CVA'!$AM$59)*(1-CUSTOS!$M$39),2)</f>
        <v>305.86</v>
      </c>
      <c r="S19" s="57">
        <f>ROUND(('TE BE'!$AB$30+'TE BF'!$AB$30+'TE CVA'!$AB$30)*(1-CUSTOS!$M$39),2)</f>
        <v>294.44</v>
      </c>
      <c r="T19" s="57">
        <v>0</v>
      </c>
      <c r="U19" s="57">
        <f ca="1">ROUND('TUSD BE'!$AM$59*(1-CUSTOS!$M$39),2)</f>
        <v>292.17</v>
      </c>
      <c r="V19" s="57">
        <f>ROUND('TE BE'!$AB$30*(1-CUSTOS!$M$39),2)</f>
        <v>282.94</v>
      </c>
    </row>
    <row r="20" spans="1:22" ht="11.25" customHeight="1" x14ac:dyDescent="0.25">
      <c r="A20" s="129" t="s">
        <v>39</v>
      </c>
      <c r="B20" s="129" t="s">
        <v>40</v>
      </c>
      <c r="C20" s="129" t="s">
        <v>25</v>
      </c>
      <c r="D20" s="89" t="s">
        <v>1198</v>
      </c>
      <c r="E20" s="57">
        <f ca="1">ROUND('TUSD BE'!$AM$20+'TUSD BF'!$AM$20+'TUSD CVA'!$AM$20,2)</f>
        <v>28.54</v>
      </c>
      <c r="F20" s="57">
        <f ca="1">ROUND('TUSD BE'!$AM$22+'TUSD BF'!$AM$22+'TUSD CVA'!$AM$22,2)</f>
        <v>101.24</v>
      </c>
      <c r="G20" s="57">
        <f>ROUND('TE BE'!$AB$7+'TE BF'!$AB$7+'TE CVA'!$AB$7,2)</f>
        <v>510.05</v>
      </c>
      <c r="H20" s="57">
        <f ca="1">ROUND('TUSD BE'!$AM$20,2)</f>
        <v>27.44</v>
      </c>
      <c r="I20" s="57">
        <f ca="1">ROUND('TUSD BE'!$AM$22,2)</f>
        <v>92.32</v>
      </c>
      <c r="J20" s="57">
        <f>ROUND('TE BE'!$AB$7,2)</f>
        <v>503.12</v>
      </c>
      <c r="L20" s="133"/>
      <c r="M20" s="89" t="s">
        <v>1207</v>
      </c>
      <c r="N20" s="89" t="s">
        <v>1210</v>
      </c>
      <c r="O20" s="89" t="s">
        <v>1212</v>
      </c>
      <c r="P20" s="89" t="s">
        <v>1201</v>
      </c>
      <c r="Q20" s="57">
        <v>0</v>
      </c>
      <c r="R20" s="57">
        <f ca="1">ROUND(('TUSD BE'!$AM$65+'TUSD BF'!$AM$65+'TUSD CVA'!$AM$65)*(1-CUSTOS!$M$39),2)</f>
        <v>410.58</v>
      </c>
      <c r="S20" s="57">
        <f>ROUND(('TE BE'!$AB$36+'TE BF'!$AB$36+'TE CVA'!$AB$36)*(1-CUSTOS!$M$39),2)</f>
        <v>309.85000000000002</v>
      </c>
      <c r="T20" s="57">
        <v>0</v>
      </c>
      <c r="U20" s="57">
        <f ca="1">ROUND(('TUSD BE'!$AM$65)*(1-CUSTOS!$M$39),2)</f>
        <v>395.01</v>
      </c>
      <c r="V20" s="57">
        <f>ROUND(('TE BE'!$AB$36)*(1-CUSTOS!$M$39),2)</f>
        <v>298.77</v>
      </c>
    </row>
    <row r="21" spans="1:22" ht="11.25" customHeight="1" x14ac:dyDescent="0.25">
      <c r="A21" s="128"/>
      <c r="B21" s="128"/>
      <c r="C21" s="128"/>
      <c r="D21" s="89" t="s">
        <v>1199</v>
      </c>
      <c r="E21" s="57">
        <f ca="1">ROUND('TUSD BE'!$AM$21+'TUSD BF'!$AM$21+'TUSD CVA'!$AM$21,2)</f>
        <v>11.68</v>
      </c>
      <c r="F21" s="57">
        <f ca="1">ROUND('TUSD BE'!$AM$22+'TUSD BF'!$AM$22+'TUSD CVA'!$AM$22,2)</f>
        <v>101.24</v>
      </c>
      <c r="G21" s="57">
        <f>ROUND('TE BE'!$AB$8+'TE BF'!$AB$8+'TE CVA'!$AB$8,2)</f>
        <v>313.23</v>
      </c>
      <c r="H21" s="57">
        <f ca="1">ROUND('TUSD BE'!$AM$21,2)</f>
        <v>10.76</v>
      </c>
      <c r="I21" s="57">
        <f ca="1">ROUND('TUSD BE'!$AM$22,2)</f>
        <v>92.32</v>
      </c>
      <c r="J21" s="57">
        <f>ROUND('TE BE'!$AB$8,2)</f>
        <v>300.99</v>
      </c>
      <c r="L21" s="133"/>
      <c r="M21" s="89" t="s">
        <v>1209</v>
      </c>
      <c r="N21" s="89" t="s">
        <v>1210</v>
      </c>
      <c r="O21" s="89" t="s">
        <v>1212</v>
      </c>
      <c r="P21" s="89" t="s">
        <v>1201</v>
      </c>
      <c r="Q21" s="57">
        <v>0</v>
      </c>
      <c r="R21" s="57">
        <f ca="1">ROUND(('TUSD BE'!$AM$56+'TUSD BF'!$AM$56+'TUSD CVA'!$AM$56)*(1-CUSTOS!$M$39),2)</f>
        <v>410.58</v>
      </c>
      <c r="S21" s="57">
        <f>ROUND(('TE BE'!$AB$27+'TE BF'!$AB$27+'TE CVA'!$AB$27)*(1-CUSTOS!$M$39),2)</f>
        <v>309.85000000000002</v>
      </c>
      <c r="T21" s="57">
        <v>0</v>
      </c>
      <c r="U21" s="57">
        <f ca="1">ROUND(('TUSD BE'!$AM$56)*(1-CUSTOS!$M$39),2)</f>
        <v>395.01</v>
      </c>
      <c r="V21" s="57">
        <f>ROUND(('TE BE'!$AB$27)*(1-CUSTOS!$M$39),2)</f>
        <v>298.77</v>
      </c>
    </row>
    <row r="22" spans="1:22" ht="11.25" customHeight="1" x14ac:dyDescent="0.25">
      <c r="A22" s="128"/>
      <c r="B22" s="129" t="s">
        <v>1200</v>
      </c>
      <c r="C22" s="129" t="s">
        <v>25</v>
      </c>
      <c r="D22" s="89" t="s">
        <v>1198</v>
      </c>
      <c r="E22" s="57">
        <f ca="1">ROUND('TUSD BE'!$AM$20+'TUSD BF'!$AM$20+'TUSD CVA'!$AM$20,2)</f>
        <v>28.54</v>
      </c>
      <c r="F22" s="57">
        <f ca="1">ROUND('TUSD BE'!$AM$23+'TUSD BF'!$AM$23+'TUSD CVA'!$AM$23,2)</f>
        <v>15.38</v>
      </c>
      <c r="G22" s="57">
        <v>0</v>
      </c>
      <c r="H22" s="57">
        <f ca="1">ROUND('TUSD BE'!$AM$20,2)</f>
        <v>27.44</v>
      </c>
      <c r="I22" s="57">
        <f ca="1">ROUND('TUSD BE'!$AM$23,2)</f>
        <v>15.64</v>
      </c>
      <c r="J22" s="57">
        <v>0</v>
      </c>
      <c r="L22" s="133"/>
      <c r="M22" s="132" t="s">
        <v>1204</v>
      </c>
      <c r="N22" s="132" t="s">
        <v>1210</v>
      </c>
      <c r="O22" s="132" t="s">
        <v>1213</v>
      </c>
      <c r="P22" s="89" t="s">
        <v>1198</v>
      </c>
      <c r="Q22" s="57">
        <v>0</v>
      </c>
      <c r="R22" s="57">
        <f ca="1">ROUND(('TUSD BE'!$AM$61+'TUSD BF'!$AM$61+'TUSD CVA'!$AM$61)*(1-CUSTOS!$M$40),2)</f>
        <v>842.8</v>
      </c>
      <c r="S22" s="57">
        <f>ROUND(('TE BE'!$AB$32+'TE BF'!$AB$32+'TE CVA'!$AB$32)*(1-CUSTOS!$M$40),2)</f>
        <v>469.25</v>
      </c>
      <c r="T22" s="57">
        <v>0</v>
      </c>
      <c r="U22" s="57">
        <f ca="1">ROUND('TUSD BE'!$AM$61*(1-CUSTOS!$M$40),2)</f>
        <v>819.63</v>
      </c>
      <c r="V22" s="57">
        <f>ROUND('TE BE'!$AB$32*(1-CUSTOS!$M$40),2)</f>
        <v>462.87</v>
      </c>
    </row>
    <row r="23" spans="1:22" ht="11.25" customHeight="1" x14ac:dyDescent="0.25">
      <c r="A23" s="128"/>
      <c r="B23" s="128"/>
      <c r="C23" s="128"/>
      <c r="D23" s="89" t="s">
        <v>1199</v>
      </c>
      <c r="E23" s="57">
        <f ca="1">ROUND('TUSD BE'!$AM$21+'TUSD BF'!$AM$21+'TUSD CVA'!$AM$21,2)</f>
        <v>11.68</v>
      </c>
      <c r="F23" s="57">
        <f ca="1">ROUND('TUSD BE'!$AM$23+'TUSD BF'!$AM$23+'TUSD CVA'!$AM$23,2)</f>
        <v>15.38</v>
      </c>
      <c r="G23" s="57">
        <v>0</v>
      </c>
      <c r="H23" s="57">
        <f ca="1">ROUND('TUSD BE'!$AM$21,2)</f>
        <v>10.76</v>
      </c>
      <c r="I23" s="57">
        <f ca="1">ROUND('TUSD BE'!$AM$23,2)</f>
        <v>15.64</v>
      </c>
      <c r="J23" s="57">
        <v>0</v>
      </c>
      <c r="L23" s="133"/>
      <c r="M23" s="133"/>
      <c r="N23" s="133"/>
      <c r="O23" s="133"/>
      <c r="P23" s="89" t="s">
        <v>1206</v>
      </c>
      <c r="Q23" s="57">
        <v>0</v>
      </c>
      <c r="R23" s="57">
        <f ca="1">ROUND(('TUSD BE'!$AM$62+'TUSD BF'!$AM$62+'TUSD CVA'!$AM$62)*(1-CUSTOS!$M$40),2)</f>
        <v>571.07000000000005</v>
      </c>
      <c r="S23" s="57">
        <f>ROUND(('TE BE'!$AB$33+'TE BF'!$AB$33+'TE CVA'!$AB$33)*(1-CUSTOS!$M$40),2)</f>
        <v>288.17</v>
      </c>
      <c r="T23" s="57">
        <v>0</v>
      </c>
      <c r="U23" s="57">
        <f ca="1">ROUND('TUSD BE'!$AM$62*(1-CUSTOS!$M$40),2)</f>
        <v>552.79</v>
      </c>
      <c r="V23" s="57">
        <f>ROUND('TE BE'!$AB$33*(1-CUSTOS!$M$40),2)</f>
        <v>276.92</v>
      </c>
    </row>
    <row r="24" spans="1:22" ht="11.25" customHeight="1" x14ac:dyDescent="0.25">
      <c r="A24" s="128"/>
      <c r="B24" s="89" t="s">
        <v>64</v>
      </c>
      <c r="C24" s="89" t="s">
        <v>25</v>
      </c>
      <c r="D24" s="89" t="s">
        <v>1201</v>
      </c>
      <c r="E24" s="57">
        <f ca="1">ROUND('TUSD BE'!$AM$24+'TUSD BF'!$AM$24+'TUSD CVA'!$AM$24,2)</f>
        <v>21.03</v>
      </c>
      <c r="F24" s="57">
        <v>0</v>
      </c>
      <c r="G24" s="57">
        <v>0</v>
      </c>
      <c r="H24" s="57">
        <f>ROUND('TUSD BE'!$AM$24,2)</f>
        <v>20.74</v>
      </c>
      <c r="I24" s="57">
        <v>0</v>
      </c>
      <c r="J24" s="57">
        <v>0</v>
      </c>
      <c r="L24" s="133"/>
      <c r="M24" s="134"/>
      <c r="N24" s="134"/>
      <c r="O24" s="134"/>
      <c r="P24" s="89" t="s">
        <v>1199</v>
      </c>
      <c r="Q24" s="57">
        <v>0</v>
      </c>
      <c r="R24" s="57">
        <f ca="1">ROUND(('TUSD BE'!$AM$63+'TUSD BF'!$AM$63+'TUSD CVA'!$AM$63)*(1-CUSTOS!$M$40),2)</f>
        <v>299.35000000000002</v>
      </c>
      <c r="S24" s="57">
        <f>ROUND(('TE BE'!$AB$34+'TE BF'!$AB$34+'TE CVA'!$AB$34)*(1-CUSTOS!$M$40),2)</f>
        <v>288.17</v>
      </c>
      <c r="T24" s="57">
        <v>0</v>
      </c>
      <c r="U24" s="57">
        <f ca="1">ROUND('TUSD BE'!$AM$63*(1-CUSTOS!$M$40),2)</f>
        <v>285.95</v>
      </c>
      <c r="V24" s="57">
        <f>ROUND('TE BE'!$AB$34*(1-CUSTOS!$M$40),2)</f>
        <v>276.92</v>
      </c>
    </row>
    <row r="25" spans="1:22" ht="11.25" customHeight="1" x14ac:dyDescent="0.25">
      <c r="A25" s="129" t="s">
        <v>41</v>
      </c>
      <c r="B25" s="129" t="s">
        <v>40</v>
      </c>
      <c r="C25" s="129" t="s">
        <v>25</v>
      </c>
      <c r="D25" s="89" t="s">
        <v>1198</v>
      </c>
      <c r="E25" s="57">
        <f ca="1">ROUND('TUSD BE'!$AM$25+'TUSD BF'!$AM$25+'TUSD CVA'!$AM$25,2)</f>
        <v>75.41</v>
      </c>
      <c r="F25" s="57">
        <f ca="1">ROUND('TUSD BE'!$AM$27+'TUSD BF'!$AM$27+'TUSD CVA'!$AM$27,2)</f>
        <v>137.44</v>
      </c>
      <c r="G25" s="57">
        <f>ROUND('TE BE'!$AB$9+'TE BF'!$AB$9+'TE CVA'!$AB$9,2)</f>
        <v>510.05</v>
      </c>
      <c r="H25" s="57">
        <f ca="1">ROUND('TUSD BE'!$AM$25,2)</f>
        <v>74.3</v>
      </c>
      <c r="I25" s="57">
        <f ca="1">ROUND('TUSD BE'!$AM$27,2)</f>
        <v>126.5</v>
      </c>
      <c r="J25" s="57">
        <f>ROUND('TE BE'!$AB$9,2)</f>
        <v>503.12</v>
      </c>
      <c r="L25" s="133"/>
      <c r="M25" s="89" t="s">
        <v>1207</v>
      </c>
      <c r="N25" s="89" t="s">
        <v>1210</v>
      </c>
      <c r="O25" s="89" t="s">
        <v>1213</v>
      </c>
      <c r="P25" s="89" t="s">
        <v>1201</v>
      </c>
      <c r="Q25" s="57">
        <v>0</v>
      </c>
      <c r="R25" s="57">
        <f ca="1">ROUND(('TUSD BE'!$AM$65+'TUSD BF'!$AM$65+'TUSD CVA'!$AM$65)*(1-CUSTOS!$M$40),2)</f>
        <v>401.84</v>
      </c>
      <c r="S25" s="57">
        <f>ROUND(('TE BE'!$AB$36+'TE BF'!$AB$36+'TE CVA'!$AB$36)*(1-CUSTOS!$M$40),2)</f>
        <v>303.26</v>
      </c>
      <c r="T25" s="57">
        <v>0</v>
      </c>
      <c r="U25" s="57">
        <f ca="1">ROUND(('TUSD BE'!$AM$65)*(1-CUSTOS!$M$40),2)</f>
        <v>386.6</v>
      </c>
      <c r="V25" s="57">
        <f>ROUND(('TE BE'!$AB$36)*(1-CUSTOS!$M$40),2)</f>
        <v>292.41000000000003</v>
      </c>
    </row>
    <row r="26" spans="1:22" ht="11.25" customHeight="1" x14ac:dyDescent="0.25">
      <c r="A26" s="128"/>
      <c r="B26" s="128"/>
      <c r="C26" s="128"/>
      <c r="D26" s="89" t="s">
        <v>1199</v>
      </c>
      <c r="E26" s="57">
        <f ca="1">ROUND('TUSD BE'!$AM$26+'TUSD BF'!$AM$26+'TUSD CVA'!$AM$26,2)</f>
        <v>29.8</v>
      </c>
      <c r="F26" s="57">
        <f ca="1">ROUND('TUSD BE'!$AM$27+'TUSD BF'!$AM$27+'TUSD CVA'!$AM$27,2)</f>
        <v>137.44</v>
      </c>
      <c r="G26" s="57">
        <f>ROUND('TE BE'!$AB$10+'TE BF'!$AB$10+'TE CVA'!$AB$10,2)</f>
        <v>313.23</v>
      </c>
      <c r="H26" s="57">
        <f ca="1">ROUND('TUSD BE'!$AM$26,2)</f>
        <v>28.94</v>
      </c>
      <c r="I26" s="57">
        <f ca="1">ROUND('TUSD BE'!$AM$27,2)</f>
        <v>126.5</v>
      </c>
      <c r="J26" s="57">
        <f>ROUND('TE BE'!$AB$10,2)</f>
        <v>300.99</v>
      </c>
      <c r="L26" s="134"/>
      <c r="M26" s="89" t="s">
        <v>1209</v>
      </c>
      <c r="N26" s="89" t="s">
        <v>1210</v>
      </c>
      <c r="O26" s="89" t="s">
        <v>1213</v>
      </c>
      <c r="P26" s="89" t="s">
        <v>1201</v>
      </c>
      <c r="Q26" s="57">
        <v>0</v>
      </c>
      <c r="R26" s="57">
        <f ca="1">ROUND(('TUSD BE'!$AM$56+'TUSD BF'!$AM$56+'TUSD CVA'!$AM$56)*(1-CUSTOS!$M$40),2)</f>
        <v>401.84</v>
      </c>
      <c r="S26" s="57">
        <f>ROUND(('TE BE'!$AB$27+'TE BF'!$AB$27+'TE CVA'!$AB$27)*(1-CUSTOS!$M$40),2)</f>
        <v>303.26</v>
      </c>
      <c r="T26" s="57">
        <v>0</v>
      </c>
      <c r="U26" s="57">
        <f ca="1">ROUND(('TUSD BE'!$AM$56)*(1-CUSTOS!$M$40),2)</f>
        <v>386.6</v>
      </c>
      <c r="V26" s="57">
        <f>ROUND(('TE BE'!$AB$27)*(1-CUSTOS!$M$40),2)</f>
        <v>292.41000000000003</v>
      </c>
    </row>
    <row r="27" spans="1:22" ht="11.25" customHeight="1" x14ac:dyDescent="0.25">
      <c r="A27" s="128"/>
      <c r="B27" s="129" t="s">
        <v>1200</v>
      </c>
      <c r="C27" s="129" t="s">
        <v>25</v>
      </c>
      <c r="D27" s="89" t="s">
        <v>1198</v>
      </c>
      <c r="E27" s="57">
        <f ca="1">ROUND('TUSD BE'!$AM$25+'TUSD BF'!$AM$25+'TUSD CVA'!$AM$25,2)</f>
        <v>75.41</v>
      </c>
      <c r="F27" s="57">
        <f ca="1">ROUND('TUSD BE'!$AM$28+'TUSD BF'!$AM$28+'TUSD CVA'!$AM$28,2)</f>
        <v>27.54</v>
      </c>
      <c r="G27" s="57">
        <v>0</v>
      </c>
      <c r="H27" s="57">
        <f ca="1">ROUND('TUSD BE'!$AM$25,2)</f>
        <v>74.3</v>
      </c>
      <c r="I27" s="57">
        <f ca="1">ROUND('TUSD BE'!$AM$28,2)</f>
        <v>27.89</v>
      </c>
      <c r="J27" s="57">
        <v>0</v>
      </c>
      <c r="L27" s="132" t="s">
        <v>37</v>
      </c>
      <c r="M27" s="132" t="s">
        <v>1204</v>
      </c>
      <c r="N27" s="132" t="s">
        <v>1201</v>
      </c>
      <c r="O27" s="132" t="s">
        <v>1201</v>
      </c>
      <c r="P27" s="89" t="s">
        <v>1198</v>
      </c>
      <c r="Q27" s="57">
        <v>0</v>
      </c>
      <c r="R27" s="57">
        <f ca="1">ROUND(('TUSD BE'!$AM$68+'TUSD BF'!$AM$68+'TUSD CVA'!$AM$68)*(1-CUSTOS!$M$31),2)</f>
        <v>1058.58</v>
      </c>
      <c r="S27" s="57">
        <f>ROUND(('TE BE'!$AB$39+'TE BF'!$AB$39+'TE CVA'!$AB$39)*(1-CUSTOS!$M$31),2)</f>
        <v>510.05</v>
      </c>
      <c r="T27" s="57">
        <v>0</v>
      </c>
      <c r="U27" s="57">
        <f ca="1">ROUND('TUSD BE'!$AM$68*(1-CUSTOS!$M$31),2)</f>
        <v>1030.83</v>
      </c>
      <c r="V27" s="57">
        <f>ROUND('TE BE'!$AB$39*(1-CUSTOS!$M$31),2)</f>
        <v>503.12</v>
      </c>
    </row>
    <row r="28" spans="1:22" ht="11.25" customHeight="1" x14ac:dyDescent="0.25">
      <c r="A28" s="128"/>
      <c r="B28" s="128"/>
      <c r="C28" s="128"/>
      <c r="D28" s="89" t="s">
        <v>1199</v>
      </c>
      <c r="E28" s="57">
        <f ca="1">ROUND('TUSD BE'!$AM$26+'TUSD BF'!$AM$26+'TUSD CVA'!$AM$26,2)</f>
        <v>29.8</v>
      </c>
      <c r="F28" s="57">
        <f ca="1">ROUND('TUSD BE'!$AM$28+'TUSD BF'!$AM$28+'TUSD CVA'!$AM$28,2)</f>
        <v>27.54</v>
      </c>
      <c r="G28" s="57">
        <v>0</v>
      </c>
      <c r="H28" s="57">
        <f ca="1">ROUND('TUSD BE'!$AM$26,2)</f>
        <v>28.94</v>
      </c>
      <c r="I28" s="57">
        <f ca="1">ROUND('TUSD BE'!$AM$28,2)</f>
        <v>27.89</v>
      </c>
      <c r="J28" s="57">
        <v>0</v>
      </c>
      <c r="L28" s="133"/>
      <c r="M28" s="133"/>
      <c r="N28" s="133"/>
      <c r="O28" s="133"/>
      <c r="P28" s="89" t="s">
        <v>1206</v>
      </c>
      <c r="Q28" s="57">
        <v>0</v>
      </c>
      <c r="R28" s="57">
        <f ca="1">ROUND(('TUSD BE'!$AM$69+'TUSD BF'!$AM$69+'TUSD CVA'!$AM$69)*(1-CUSTOS!$M$31),2)</f>
        <v>706.23</v>
      </c>
      <c r="S28" s="57">
        <f>ROUND(('TE BE'!$AB$40+'TE BF'!$AB$40+'TE CVA'!$AB$40)*(1-CUSTOS!$M$31),2)</f>
        <v>313.23</v>
      </c>
      <c r="T28" s="57">
        <v>0</v>
      </c>
      <c r="U28" s="57">
        <f ca="1">ROUND('TUSD BE'!$AM$69*(1-CUSTOS!$M$31),2)</f>
        <v>684.82</v>
      </c>
      <c r="V28" s="57">
        <f>ROUND('TE BE'!$AB$40*(1-CUSTOS!$M$31),2)</f>
        <v>300.99</v>
      </c>
    </row>
    <row r="29" spans="1:22" ht="11.25" customHeight="1" x14ac:dyDescent="0.25">
      <c r="A29" s="128"/>
      <c r="B29" s="129" t="s">
        <v>42</v>
      </c>
      <c r="C29" s="129" t="s">
        <v>25</v>
      </c>
      <c r="D29" s="89" t="s">
        <v>1201</v>
      </c>
      <c r="E29" s="57">
        <f ca="1">ROUND('TUSD BE'!$AM$33+'TUSD BF'!$AM$33+'TUSD CVA'!$AM$33,2)</f>
        <v>29.8</v>
      </c>
      <c r="F29" s="57">
        <v>0</v>
      </c>
      <c r="G29" s="57">
        <v>0</v>
      </c>
      <c r="H29" s="57">
        <f ca="1">ROUND('TUSD BE'!$AM$33,2)</f>
        <v>28.94</v>
      </c>
      <c r="I29" s="57">
        <v>0</v>
      </c>
      <c r="J29" s="57">
        <v>0</v>
      </c>
      <c r="L29" s="133"/>
      <c r="M29" s="134"/>
      <c r="N29" s="134"/>
      <c r="O29" s="134"/>
      <c r="P29" s="89" t="s">
        <v>1199</v>
      </c>
      <c r="Q29" s="57">
        <v>0</v>
      </c>
      <c r="R29" s="57">
        <f ca="1">ROUND(('TUSD BE'!$AM$70+'TUSD BF'!$AM$70+'TUSD CVA'!$AM$70)*(1-CUSTOS!$M$31),2)</f>
        <v>353.88</v>
      </c>
      <c r="S29" s="57">
        <f>ROUND(('TE BE'!$AB$41+'TE BF'!$AB$41+'TE CVA'!$AB$41)*(1-CUSTOS!$M$31),2)</f>
        <v>313.23</v>
      </c>
      <c r="T29" s="57">
        <v>0</v>
      </c>
      <c r="U29" s="57">
        <f ca="1">ROUND('TUSD BE'!$AM$70*(1-CUSTOS!$M$31),2)</f>
        <v>338.81</v>
      </c>
      <c r="V29" s="57">
        <f>ROUND('TE BE'!$AB$41*(1-CUSTOS!$M$31),2)</f>
        <v>300.99</v>
      </c>
    </row>
    <row r="30" spans="1:22" ht="11.25" customHeight="1" x14ac:dyDescent="0.25">
      <c r="A30" s="128"/>
      <c r="B30" s="128"/>
      <c r="C30" s="128"/>
      <c r="D30" s="89" t="s">
        <v>1198</v>
      </c>
      <c r="E30" s="57">
        <v>0</v>
      </c>
      <c r="F30" s="57">
        <f ca="1">ROUND('TUSD BE'!$AM$34+'TUSD BF'!$AM$34+'TUSD CVA'!$AM$34,2)</f>
        <v>1969.92</v>
      </c>
      <c r="G30" s="57">
        <f>ROUND('TE BE'!$AB$9+'TE BF'!$AB$9+'TE CVA'!$AB$9,2)</f>
        <v>510.05</v>
      </c>
      <c r="H30" s="57">
        <v>0</v>
      </c>
      <c r="I30" s="57">
        <f ca="1">ROUND('TUSD BE'!$AM$34,2)</f>
        <v>1932.27</v>
      </c>
      <c r="J30" s="57">
        <f>ROUND('TE BE'!$AB$9,2)</f>
        <v>503.12</v>
      </c>
      <c r="L30" s="133"/>
      <c r="M30" s="89" t="s">
        <v>1207</v>
      </c>
      <c r="N30" s="89" t="s">
        <v>1201</v>
      </c>
      <c r="O30" s="89" t="s">
        <v>1201</v>
      </c>
      <c r="P30" s="89" t="s">
        <v>1201</v>
      </c>
      <c r="Q30" s="57">
        <v>0</v>
      </c>
      <c r="R30" s="57">
        <f ca="1">ROUND(('TUSD BE'!$AM$72+'TUSD BF'!$AM$72+'TUSD CVA'!$AM$72)*(1-CUSTOS!$M$31),2)</f>
        <v>436.78</v>
      </c>
      <c r="S30" s="57">
        <f>ROUND(('TE BE'!$AB$43+'TE BF'!$AB$43+'TE CVA'!$AB$43)*(1-CUSTOS!$M$31),2)</f>
        <v>329.63</v>
      </c>
      <c r="T30" s="57">
        <v>0</v>
      </c>
      <c r="U30" s="57">
        <f ca="1">ROUND(('TUSD BE'!$AM$72)*(1-CUSTOS!$M$31),2)</f>
        <v>420.22</v>
      </c>
      <c r="V30" s="57">
        <f>ROUND(('TE BE'!$AB$43)*(1-CUSTOS!$M$31),2)</f>
        <v>317.83999999999997</v>
      </c>
    </row>
    <row r="31" spans="1:22" ht="11.25" customHeight="1" x14ac:dyDescent="0.25">
      <c r="A31" s="128"/>
      <c r="B31" s="128"/>
      <c r="C31" s="128"/>
      <c r="D31" s="89" t="s">
        <v>1199</v>
      </c>
      <c r="E31" s="57">
        <v>0</v>
      </c>
      <c r="F31" s="57">
        <f ca="1">ROUND('TUSD BE'!$AM$35+'TUSD BF'!$AM$35+'TUSD CVA'!$AM$35,2)</f>
        <v>137.44</v>
      </c>
      <c r="G31" s="57">
        <f>ROUND('TE BE'!$AB$10+'TE BF'!$AB$10+'TE CVA'!$AB$10,2)</f>
        <v>313.23</v>
      </c>
      <c r="H31" s="57">
        <v>0</v>
      </c>
      <c r="I31" s="57">
        <f ca="1">ROUND('TUSD BE'!$AM$35,2)</f>
        <v>126.5</v>
      </c>
      <c r="J31" s="57">
        <f>ROUND('TE BE'!$AB$10,2)</f>
        <v>300.99</v>
      </c>
      <c r="L31" s="134"/>
      <c r="M31" s="89" t="s">
        <v>1209</v>
      </c>
      <c r="N31" s="89" t="s">
        <v>1201</v>
      </c>
      <c r="O31" s="89" t="s">
        <v>1201</v>
      </c>
      <c r="P31" s="89" t="s">
        <v>1201</v>
      </c>
      <c r="Q31" s="57">
        <v>0</v>
      </c>
      <c r="R31" s="57">
        <f ca="1">ROUND(('TUSD BE'!$AM$71+'TUSD BF'!$AM$71+'TUSD CVA'!$AM$71)*(1-CUSTOS!$M$31),2)</f>
        <v>436.78</v>
      </c>
      <c r="S31" s="57">
        <f>ROUND(('TE BE'!$AB$42+'TE BF'!$AB$42+'TE CVA'!$AB$42)*(1-CUSTOS!$M$31),2)</f>
        <v>329.63</v>
      </c>
      <c r="T31" s="57">
        <v>0</v>
      </c>
      <c r="U31" s="57">
        <f ca="1">ROUND(('TUSD BE'!$AM$71)*(1-CUSTOS!$M$31),2)</f>
        <v>420.22</v>
      </c>
      <c r="V31" s="57">
        <f>ROUND(('TE BE'!$AB$42)*(1-CUSTOS!$M$31),2)</f>
        <v>317.83999999999997</v>
      </c>
    </row>
    <row r="32" spans="1:22" ht="11.25" customHeight="1" x14ac:dyDescent="0.25">
      <c r="A32" s="128"/>
      <c r="B32" s="129" t="s">
        <v>1202</v>
      </c>
      <c r="C32" s="129" t="s">
        <v>25</v>
      </c>
      <c r="D32" s="89" t="s">
        <v>1201</v>
      </c>
      <c r="E32" s="57">
        <f ca="1">ROUND('TUSD BE'!$AM$33+'TUSD BF'!$AM$33+'TUSD CVA'!$AM$33,2)</f>
        <v>29.8</v>
      </c>
      <c r="F32" s="57">
        <v>0</v>
      </c>
      <c r="G32" s="57">
        <v>0</v>
      </c>
      <c r="H32" s="57">
        <f ca="1">ROUND('TUSD BE'!$AM$33,2)</f>
        <v>28.94</v>
      </c>
      <c r="I32" s="57">
        <v>0</v>
      </c>
      <c r="J32" s="57">
        <v>0</v>
      </c>
      <c r="L32" s="132" t="s">
        <v>47</v>
      </c>
      <c r="M32" s="132" t="s">
        <v>1209</v>
      </c>
      <c r="N32" s="132" t="s">
        <v>1214</v>
      </c>
      <c r="O32" s="89" t="s">
        <v>1215</v>
      </c>
      <c r="P32" s="89" t="s">
        <v>1201</v>
      </c>
      <c r="Q32" s="57">
        <v>0</v>
      </c>
      <c r="R32" s="57">
        <f ca="1">ROUND(('TUSD BE'!$AM$73+'TUSD BF'!$AM$73+'TUSD CVA'!$AM$73),2)</f>
        <v>240.23</v>
      </c>
      <c r="S32" s="57">
        <f>ROUND(('TE BE'!$AB$44+'TE BF'!$AB$44+'TE CVA'!$AB$44),2)</f>
        <v>181.3</v>
      </c>
      <c r="T32" s="57">
        <v>0</v>
      </c>
      <c r="U32" s="57">
        <f ca="1">ROUND(('TUSD BE'!$AM$73),2)</f>
        <v>231.12</v>
      </c>
      <c r="V32" s="57">
        <f>ROUND(('TE BE'!$AB$44),2)</f>
        <v>174.81</v>
      </c>
    </row>
    <row r="33" spans="1:22" ht="11.25" customHeight="1" x14ac:dyDescent="0.25">
      <c r="A33" s="128"/>
      <c r="B33" s="128"/>
      <c r="C33" s="128"/>
      <c r="D33" s="89" t="s">
        <v>1198</v>
      </c>
      <c r="E33" s="57">
        <v>0</v>
      </c>
      <c r="F33" s="57">
        <f ca="1">ROUND('TUSD BE'!$AM$36+'TUSD BF'!$AM$36+'TUSD CVA'!$AM$36,2)</f>
        <v>1860.02</v>
      </c>
      <c r="G33" s="57">
        <v>0</v>
      </c>
      <c r="H33" s="57">
        <v>0</v>
      </c>
      <c r="I33" s="57">
        <f ca="1">ROUND('TUSD BE'!$AM$36,2)</f>
        <v>1833.67</v>
      </c>
      <c r="J33" s="57">
        <v>0</v>
      </c>
      <c r="L33" s="134"/>
      <c r="M33" s="134"/>
      <c r="N33" s="134"/>
      <c r="O33" s="89" t="s">
        <v>1216</v>
      </c>
      <c r="P33" s="89" t="s">
        <v>1201</v>
      </c>
      <c r="Q33" s="57">
        <v>0</v>
      </c>
      <c r="R33" s="57">
        <f ca="1">ROUND(('TUSD BE'!$AM$74+'TUSD BF'!$AM$74+'TUSD CVA'!$AM$74),2)</f>
        <v>262.07</v>
      </c>
      <c r="S33" s="57">
        <f>ROUND(('TE BE'!$AB$45+'TE BF'!$AB$45+'TE CVA'!$AB$45),2)</f>
        <v>197.78</v>
      </c>
      <c r="T33" s="57">
        <v>0</v>
      </c>
      <c r="U33" s="57">
        <f ca="1">ROUND(('TUSD BE'!$AM$74),2)</f>
        <v>252.13</v>
      </c>
      <c r="V33" s="57">
        <f>ROUND(('TE BE'!$AB$45),2)</f>
        <v>190.7</v>
      </c>
    </row>
    <row r="34" spans="1:22" ht="11.25" customHeight="1" x14ac:dyDescent="0.25">
      <c r="A34" s="128"/>
      <c r="B34" s="128"/>
      <c r="C34" s="128"/>
      <c r="D34" s="89" t="s">
        <v>1199</v>
      </c>
      <c r="E34" s="57">
        <v>0</v>
      </c>
      <c r="F34" s="57">
        <f ca="1">ROUND('TUSD BE'!$AM$37+'TUSD BF'!$AM$37+'TUSD CVA'!$AM$37,2)</f>
        <v>27.54</v>
      </c>
      <c r="G34" s="57">
        <v>0</v>
      </c>
      <c r="H34" s="57">
        <v>0</v>
      </c>
      <c r="I34" s="57">
        <f ca="1">ROUND('TUSD BE'!$AM$37,2)</f>
        <v>27.89</v>
      </c>
      <c r="J34" s="57">
        <v>0</v>
      </c>
      <c r="L34" s="132" t="s">
        <v>125</v>
      </c>
      <c r="M34" s="132" t="s">
        <v>66</v>
      </c>
      <c r="N34" s="89" t="s">
        <v>126</v>
      </c>
      <c r="O34" s="89" t="s">
        <v>1201</v>
      </c>
      <c r="P34" s="89" t="s">
        <v>1201</v>
      </c>
      <c r="Q34" s="57">
        <f ca="1">ROUND(('TUSD BE'!$AM$38+'TUSD BF'!$AM$38+'TUSD CVA'!$AM$38),2)</f>
        <v>1.17</v>
      </c>
      <c r="R34" s="57">
        <v>0</v>
      </c>
      <c r="S34" s="57">
        <v>0</v>
      </c>
      <c r="T34" s="57">
        <f ca="1">ROUND(('TUSD BE'!$AM$38),2)</f>
        <v>1.17</v>
      </c>
      <c r="U34" s="57">
        <v>0</v>
      </c>
      <c r="V34" s="57">
        <v>0</v>
      </c>
    </row>
    <row r="35" spans="1:22" ht="11.25" customHeight="1" x14ac:dyDescent="0.25">
      <c r="A35" s="128"/>
      <c r="B35" s="129" t="s">
        <v>81</v>
      </c>
      <c r="C35" s="129" t="s">
        <v>82</v>
      </c>
      <c r="D35" s="89" t="s">
        <v>1198</v>
      </c>
      <c r="E35" s="57">
        <f ca="1">ROUND('TUSD BE'!$AM$29+'TUSD BF'!$AM$29+'TUSD CVA'!$AM$29-0*('TUSD BE'!$AC$29+'TUSD BF'!$AC$29+'TUSD CVA'!$AC$29),2)</f>
        <v>33</v>
      </c>
      <c r="F35" s="57">
        <f ca="1">ROUND('TUSD BE'!$AM$31+'TUSD BF'!$AM$31+'TUSD CVA'!$AM$31,2)</f>
        <v>20.83</v>
      </c>
      <c r="G35" s="57">
        <v>0</v>
      </c>
      <c r="H35" s="57">
        <f ca="1">ROUND('TUSD BE'!$AM$29-0*('TUSD BE'!$AC$29),2)</f>
        <v>31.89</v>
      </c>
      <c r="I35" s="57">
        <f ca="1">ROUND('TUSD BE'!$AM$31,2)</f>
        <v>21.39</v>
      </c>
      <c r="J35" s="57">
        <v>0</v>
      </c>
      <c r="L35" s="134"/>
      <c r="M35" s="134"/>
      <c r="N35" s="89" t="s">
        <v>127</v>
      </c>
      <c r="O35" s="89" t="s">
        <v>1201</v>
      </c>
      <c r="P35" s="89" t="s">
        <v>1201</v>
      </c>
      <c r="Q35" s="57">
        <f ca="1">ROUND(('TUSD BE'!$AM$39+'TUSD BF'!$AM$39+'TUSD CVA'!$AM$39),2)</f>
        <v>11.07</v>
      </c>
      <c r="R35" s="57">
        <v>0</v>
      </c>
      <c r="S35" s="57">
        <v>0</v>
      </c>
      <c r="T35" s="57">
        <f ca="1">ROUND(('TUSD BE'!$AM$39),2)</f>
        <v>11.07</v>
      </c>
      <c r="U35" s="57">
        <v>0</v>
      </c>
      <c r="V35" s="57">
        <v>0</v>
      </c>
    </row>
    <row r="36" spans="1:22" ht="11.25" customHeight="1" x14ac:dyDescent="0.25">
      <c r="A36" s="128"/>
      <c r="B36" s="128"/>
      <c r="C36" s="128"/>
      <c r="D36" s="89" t="s">
        <v>1199</v>
      </c>
      <c r="E36" s="57">
        <f ca="1">ROUND('TUSD BE'!$AM$30+'TUSD BF'!$AM$30+'TUSD CVA'!$AM$30-0*('TUSD BE'!$AC$30+'TUSD BF'!$AC$30+'TUSD CVA'!$AC$30),2)</f>
        <v>15.73</v>
      </c>
      <c r="F36" s="57">
        <f ca="1">ROUND('TUSD BE'!$AM$31+'TUSD BF'!$AM$31+'TUSD CVA'!$AM$31,2)</f>
        <v>20.83</v>
      </c>
      <c r="G36" s="57">
        <v>0</v>
      </c>
      <c r="H36" s="57">
        <f ca="1">ROUND('TUSD BE'!$AM$30-0*('TUSD BE'!$AC$30),2)</f>
        <v>14.87</v>
      </c>
      <c r="I36" s="57">
        <f ca="1">ROUND('TUSD BE'!$AM$31,2)</f>
        <v>21.39</v>
      </c>
      <c r="J36" s="57">
        <v>0</v>
      </c>
    </row>
    <row r="37" spans="1:22" ht="11.25" customHeight="1" x14ac:dyDescent="0.25">
      <c r="A37" s="128"/>
      <c r="B37" s="128"/>
      <c r="C37" s="128"/>
      <c r="D37" s="89" t="s">
        <v>1201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</row>
    <row r="38" spans="1:22" ht="11.25" customHeight="1" x14ac:dyDescent="0.25">
      <c r="A38" s="128"/>
      <c r="B38" s="89" t="s">
        <v>64</v>
      </c>
      <c r="C38" s="89" t="s">
        <v>25</v>
      </c>
      <c r="D38" s="89" t="s">
        <v>1201</v>
      </c>
      <c r="E38" s="57">
        <f ca="1">ROUND('TUSD BE'!$AM$32+'TUSD BF'!$AM$32+'TUSD CVA'!$AM$32,2)</f>
        <v>17.14</v>
      </c>
      <c r="F38" s="57">
        <v>0</v>
      </c>
      <c r="G38" s="57">
        <v>0</v>
      </c>
      <c r="H38" s="57">
        <f ca="1">ROUND('TUSD BE'!$AM$32,2)</f>
        <v>17.14</v>
      </c>
      <c r="I38" s="57">
        <v>0</v>
      </c>
      <c r="J38" s="57">
        <v>0</v>
      </c>
    </row>
  </sheetData>
  <mergeCells count="64">
    <mergeCell ref="N32:N33"/>
    <mergeCell ref="O5:O7"/>
    <mergeCell ref="O12:O14"/>
    <mergeCell ref="O17:O19"/>
    <mergeCell ref="O22:O24"/>
    <mergeCell ref="O27:O29"/>
    <mergeCell ref="L34:L35"/>
    <mergeCell ref="M5:M7"/>
    <mergeCell ref="M12:M14"/>
    <mergeCell ref="M17:M19"/>
    <mergeCell ref="M22:M24"/>
    <mergeCell ref="M27:M29"/>
    <mergeCell ref="M32:M33"/>
    <mergeCell ref="M34:M35"/>
    <mergeCell ref="L32:L33"/>
    <mergeCell ref="L5:L11"/>
    <mergeCell ref="L12:L26"/>
    <mergeCell ref="L27:L31"/>
    <mergeCell ref="N5:N7"/>
    <mergeCell ref="N12:N14"/>
    <mergeCell ref="N17:N19"/>
    <mergeCell ref="N22:N24"/>
    <mergeCell ref="N27:N29"/>
    <mergeCell ref="A1:J1"/>
    <mergeCell ref="A2:A4"/>
    <mergeCell ref="B2:B4"/>
    <mergeCell ref="C2:C4"/>
    <mergeCell ref="D2:D4"/>
    <mergeCell ref="E2:G2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C25:C26"/>
    <mergeCell ref="C27:C28"/>
    <mergeCell ref="C29:C31"/>
    <mergeCell ref="C32:C34"/>
    <mergeCell ref="C35:C37"/>
    <mergeCell ref="A25:A38"/>
    <mergeCell ref="B5:B6"/>
    <mergeCell ref="B7:B8"/>
    <mergeCell ref="B9:B19"/>
    <mergeCell ref="B20:B21"/>
    <mergeCell ref="B22:B23"/>
    <mergeCell ref="B25:B26"/>
    <mergeCell ref="B27:B28"/>
    <mergeCell ref="B29:B31"/>
    <mergeCell ref="B32:B34"/>
    <mergeCell ref="B35:B37"/>
    <mergeCell ref="E3:F3"/>
    <mergeCell ref="H2:J2"/>
    <mergeCell ref="H3:I3"/>
    <mergeCell ref="A5:A19"/>
    <mergeCell ref="A20:A24"/>
    <mergeCell ref="C5:C6"/>
    <mergeCell ref="C7:C8"/>
    <mergeCell ref="C20:C21"/>
    <mergeCell ref="C22:C23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2C2EA-4092-4F98-943F-C0515E519316}">
  <dimension ref="A1:AN2022"/>
  <sheetViews>
    <sheetView showGridLines="0" workbookViewId="0">
      <selection sqref="A1:O2022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6.2851562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2" width="10.8554687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71093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61" t="s">
        <v>0</v>
      </c>
      <c r="B1" s="61" t="s">
        <v>1</v>
      </c>
      <c r="C1" s="61" t="s">
        <v>2</v>
      </c>
      <c r="D1" s="61" t="s">
        <v>3</v>
      </c>
      <c r="E1" s="61" t="s">
        <v>4</v>
      </c>
      <c r="F1" s="61" t="s">
        <v>5</v>
      </c>
      <c r="G1" s="61" t="s">
        <v>6</v>
      </c>
      <c r="H1" s="61" t="s">
        <v>7</v>
      </c>
      <c r="I1" s="74" t="s">
        <v>8</v>
      </c>
      <c r="J1" s="73" t="s">
        <v>1164</v>
      </c>
      <c r="K1" s="73" t="s">
        <v>1165</v>
      </c>
      <c r="L1" s="73" t="s">
        <v>1166</v>
      </c>
      <c r="M1" s="73" t="s">
        <v>1167</v>
      </c>
      <c r="N1" s="73" t="s">
        <v>1168</v>
      </c>
      <c r="O1" s="73" t="s">
        <v>1169</v>
      </c>
      <c r="P1" s="72"/>
      <c r="Q1" s="126" t="s">
        <v>1170</v>
      </c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L1" s="61" t="s">
        <v>1191</v>
      </c>
      <c r="AM1" s="61" t="s">
        <v>104</v>
      </c>
      <c r="AN1" s="61" t="s">
        <v>1192</v>
      </c>
    </row>
    <row r="2" spans="1:40" ht="11.25" customHeight="1" x14ac:dyDescent="0.2">
      <c r="A2" s="62" t="s">
        <v>27</v>
      </c>
      <c r="B2" s="62" t="s">
        <v>59</v>
      </c>
      <c r="C2" s="62" t="s">
        <v>40</v>
      </c>
      <c r="D2" s="62" t="s">
        <v>38</v>
      </c>
      <c r="E2" s="62" t="s">
        <v>25</v>
      </c>
      <c r="F2" s="62" t="s">
        <v>61</v>
      </c>
      <c r="G2" s="62" t="s">
        <v>25</v>
      </c>
      <c r="H2" s="62" t="s">
        <v>25</v>
      </c>
      <c r="I2" s="75">
        <v>44348</v>
      </c>
      <c r="J2" s="76">
        <f>EFEITO!$J$2*EFEITO!$Y$2</f>
        <v>0</v>
      </c>
      <c r="K2" s="76">
        <f ca="1">EFEITO!$L$2*EFEITO!$Z$2</f>
        <v>4181.7308620032127</v>
      </c>
      <c r="L2" s="76">
        <f>EFEITO!$N$2*EFEITO!$AA$2</f>
        <v>0</v>
      </c>
      <c r="M2" s="76">
        <f>$J$2-EFEITO!$K$2*EFEITO!$Y$2</f>
        <v>0</v>
      </c>
      <c r="N2" s="76">
        <f ca="1">$K$2-EFEITO!$M$2*EFEITO!$Z$2</f>
        <v>0</v>
      </c>
      <c r="O2" s="76">
        <f>$L$2-EFEITO!$O$2*EFEITO!$AA$2</f>
        <v>0</v>
      </c>
      <c r="P2" s="18"/>
      <c r="Q2" s="56" t="s">
        <v>107</v>
      </c>
      <c r="R2" s="56" t="s">
        <v>1172</v>
      </c>
      <c r="S2" s="56" t="s">
        <v>1173</v>
      </c>
      <c r="T2" s="56" t="s">
        <v>1174</v>
      </c>
      <c r="U2" s="56" t="s">
        <v>1175</v>
      </c>
      <c r="V2" s="56" t="s">
        <v>1176</v>
      </c>
      <c r="W2" s="56" t="s">
        <v>1177</v>
      </c>
      <c r="X2" s="77" t="s">
        <v>1178</v>
      </c>
      <c r="Y2" s="77" t="s">
        <v>1179</v>
      </c>
      <c r="Z2" s="77" t="s">
        <v>1180</v>
      </c>
      <c r="AA2" s="77" t="s">
        <v>1181</v>
      </c>
      <c r="AB2" s="77" t="s">
        <v>1182</v>
      </c>
      <c r="AC2" s="77" t="s">
        <v>1183</v>
      </c>
      <c r="AD2" s="77" t="s">
        <v>1184</v>
      </c>
      <c r="AE2" s="77" t="s">
        <v>1185</v>
      </c>
      <c r="AF2" s="77" t="s">
        <v>1186</v>
      </c>
      <c r="AG2" s="77" t="s">
        <v>1187</v>
      </c>
      <c r="AH2" s="77" t="s">
        <v>1188</v>
      </c>
      <c r="AI2" s="77" t="s">
        <v>1189</v>
      </c>
      <c r="AJ2" s="77" t="s">
        <v>1190</v>
      </c>
      <c r="AL2" s="62"/>
      <c r="AM2" s="62"/>
      <c r="AN2" s="62"/>
    </row>
    <row r="3" spans="1:40" ht="11.25" customHeight="1" x14ac:dyDescent="0.2">
      <c r="A3" s="62" t="s">
        <v>27</v>
      </c>
      <c r="B3" s="62" t="s">
        <v>59</v>
      </c>
      <c r="C3" s="62" t="s">
        <v>40</v>
      </c>
      <c r="D3" s="62" t="s">
        <v>38</v>
      </c>
      <c r="E3" s="62" t="s">
        <v>25</v>
      </c>
      <c r="F3" s="62" t="s">
        <v>61</v>
      </c>
      <c r="G3" s="62" t="s">
        <v>25</v>
      </c>
      <c r="H3" s="62" t="s">
        <v>25</v>
      </c>
      <c r="I3" s="75">
        <v>44378</v>
      </c>
      <c r="J3" s="76">
        <f>EFEITO!$J$3*EFEITO!$Y$3</f>
        <v>0</v>
      </c>
      <c r="K3" s="76">
        <f ca="1">EFEITO!$L$3*EFEITO!$Z$3</f>
        <v>4949.4386432245747</v>
      </c>
      <c r="L3" s="76">
        <f>EFEITO!$N$3*EFEITO!$AA$3</f>
        <v>0</v>
      </c>
      <c r="M3" s="76">
        <f>$J$3-EFEITO!$K$3*EFEITO!$Y$3</f>
        <v>0</v>
      </c>
      <c r="N3" s="76">
        <f ca="1">$K$3-EFEITO!$M$3*EFEITO!$Z$3</f>
        <v>0</v>
      </c>
      <c r="O3" s="76">
        <f>$L$3-EFEITO!$O$3*EFEITO!$AA$3</f>
        <v>0</v>
      </c>
      <c r="P3" s="18"/>
      <c r="Q3" s="76" t="s">
        <v>1171</v>
      </c>
      <c r="R3" s="76">
        <f>SUMIF($B$2:$B$2022,$Q$3,$J$2:$J$2022)</f>
        <v>0</v>
      </c>
      <c r="S3" s="76">
        <f>SUMIF($B$2:$B$2022,$Q$3,$K$2:$K$2022)</f>
        <v>0</v>
      </c>
      <c r="T3" s="76">
        <f>SUMIF($B$2:$B$2022,$Q$3,$L$2:$L$2022)</f>
        <v>0</v>
      </c>
      <c r="U3" s="76">
        <f>SUMIF($B$2:$B$2022,$Q$3,$M$2:$M$2022)</f>
        <v>0</v>
      </c>
      <c r="V3" s="76">
        <f>SUMIF($B$2:$B$2022,$Q$3,$N$2:$N$2022)</f>
        <v>0</v>
      </c>
      <c r="W3" s="76">
        <f>SUMIF($B$2:$B$2022,$Q$3,$O$2:$O$2022)</f>
        <v>0</v>
      </c>
      <c r="X3" s="63">
        <f>$R$3-$U$3</f>
        <v>0</v>
      </c>
      <c r="Y3" s="63">
        <f>$S$3-$V$3</f>
        <v>0</v>
      </c>
      <c r="Z3" s="63">
        <f>$T$3-$W$3</f>
        <v>0</v>
      </c>
      <c r="AA3" s="63">
        <f>SUMIF(EFEITO!$B$2:$B$2022,$Q$3,EFEITO!$AE$2:$AE$2022)</f>
        <v>0</v>
      </c>
      <c r="AB3" s="63">
        <f>SUMIF(EFEITO!$B$2:$B$2022,$Q$3,EFEITO!$AF$2:$AF$2022)</f>
        <v>0</v>
      </c>
      <c r="AC3" s="63">
        <f>SUMIF(EFEITO!$B$2:$B$2022,$Q$3,EFEITO!$AG$2:$AH$2022)</f>
        <v>0</v>
      </c>
      <c r="AD3" s="63">
        <f>SUMIF(SUBSIDIO!$B$2:$B$2022,$Q$3,SUBSIDIO!$AD$2:$AD$2022)</f>
        <v>0</v>
      </c>
      <c r="AE3" s="63">
        <f>SUMIF(SUBSIDIO!$B$2:$B$2022,$Q$3,SUBSIDIO!$AE$2:$AE$2022)</f>
        <v>0</v>
      </c>
      <c r="AF3" s="63" t="str">
        <f>IF(ABS($X$3-$AA$3)&lt;0.01,"OK","ERRO")</f>
        <v>OK</v>
      </c>
      <c r="AG3" s="63" t="str">
        <f>IF(ABS($Y$3-$AB$3)&lt;0.01,"OK","ERRO")</f>
        <v>OK</v>
      </c>
      <c r="AH3" s="63" t="str">
        <f>IF(ABS($Z$3-$AC$3)&lt;0.01,"OK","ERRO")</f>
        <v>OK</v>
      </c>
      <c r="AI3" s="63" t="str">
        <f>IF(ABS($U$3-$AD$3)&lt;0.01,"OK","ERRO")</f>
        <v>OK</v>
      </c>
      <c r="AJ3" s="63" t="str">
        <f>IF(ABS(($V$3+$W$3)-$AE$3)&lt;0.01,"OK","ERRO")</f>
        <v>OK</v>
      </c>
    </row>
    <row r="4" spans="1:40" ht="11.25" customHeight="1" x14ac:dyDescent="0.2">
      <c r="A4" s="62" t="s">
        <v>27</v>
      </c>
      <c r="B4" s="62" t="s">
        <v>59</v>
      </c>
      <c r="C4" s="62" t="s">
        <v>40</v>
      </c>
      <c r="D4" s="62" t="s">
        <v>38</v>
      </c>
      <c r="E4" s="62" t="s">
        <v>25</v>
      </c>
      <c r="F4" s="62" t="s">
        <v>61</v>
      </c>
      <c r="G4" s="62" t="s">
        <v>25</v>
      </c>
      <c r="H4" s="62" t="s">
        <v>25</v>
      </c>
      <c r="I4" s="75">
        <v>44409</v>
      </c>
      <c r="J4" s="76">
        <f>EFEITO!$J$4*EFEITO!$Y$4</f>
        <v>0</v>
      </c>
      <c r="K4" s="76">
        <f ca="1">EFEITO!$L$4*EFEITO!$Z$4</f>
        <v>4120.0647114668491</v>
      </c>
      <c r="L4" s="76">
        <f>EFEITO!$N$4*EFEITO!$AA$4</f>
        <v>0</v>
      </c>
      <c r="M4" s="76">
        <f>$J$4-EFEITO!$K$4*EFEITO!$Y$4</f>
        <v>0</v>
      </c>
      <c r="N4" s="76">
        <f ca="1">$K$4-EFEITO!$M$4*EFEITO!$Z$4</f>
        <v>0</v>
      </c>
      <c r="O4" s="76">
        <f>$L$4-EFEITO!$O$4*EFEITO!$AA$4</f>
        <v>0</v>
      </c>
      <c r="P4" s="18"/>
      <c r="Q4" s="76" t="s">
        <v>59</v>
      </c>
      <c r="R4" s="76">
        <f ca="1">SUMIF($B$2:$B$2022,$Q$4,$J$2:$J$2022)</f>
        <v>15661471.005506707</v>
      </c>
      <c r="S4" s="76">
        <f ca="1">SUMIF($B$2:$B$2022,$Q$4,$K$2:$K$2022)</f>
        <v>2989201.2223662948</v>
      </c>
      <c r="T4" s="76">
        <f>SUMIF($B$2:$B$2022,$Q$4,$L$2:$L$2022)</f>
        <v>0</v>
      </c>
      <c r="U4" s="76">
        <f ca="1">SUMIF($B$2:$B$2022,$Q$4,$M$2:$M$2022)</f>
        <v>5677789.7529828642</v>
      </c>
      <c r="V4" s="76">
        <f ca="1">SUMIF($B$2:$B$2022,$Q$4,$N$2:$N$2022)</f>
        <v>0</v>
      </c>
      <c r="W4" s="76">
        <f>SUMIF($B$2:$B$2022,$Q$4,$O$2:$O$2022)</f>
        <v>0</v>
      </c>
      <c r="X4" s="63">
        <f ca="1">$R$4-$U$4</f>
        <v>9983681.2525238432</v>
      </c>
      <c r="Y4" s="63">
        <f ca="1">$S$4-$V$4</f>
        <v>2989201.2223662948</v>
      </c>
      <c r="Z4" s="63">
        <f>$T$4-$W$4</f>
        <v>0</v>
      </c>
      <c r="AA4" s="63">
        <f ca="1">SUMIF(EFEITO!$B$2:$B$2022,$Q$4,EFEITO!$AE$2:$AE$2022)</f>
        <v>9983681.2525238488</v>
      </c>
      <c r="AB4" s="63">
        <f ca="1">SUMIF(EFEITO!$B$2:$B$2022,$Q$4,EFEITO!$AF$2:$AF$2022)</f>
        <v>2989201.2223662948</v>
      </c>
      <c r="AC4" s="63">
        <f>SUMIF(EFEITO!$B$2:$B$2022,$Q$4,EFEITO!$AG$2:$AH$2022)</f>
        <v>0</v>
      </c>
      <c r="AD4" s="63">
        <f ca="1">SUMIF(SUBSIDIO!$B$2:$B$2022,$Q$4,SUBSIDIO!$AD$2:$AD$2022)</f>
        <v>5677789.7529828642</v>
      </c>
      <c r="AE4" s="63">
        <f>SUMIF(SUBSIDIO!$B$2:$B$2022,$Q$4,SUBSIDIO!$AE$2:$AE$2022)</f>
        <v>0</v>
      </c>
      <c r="AF4" s="63" t="str">
        <f ca="1">IF(ABS($X$4-$AA$4)&lt;0.01,"OK","ERRO")</f>
        <v>OK</v>
      </c>
      <c r="AG4" s="63" t="str">
        <f ca="1">IF(ABS($Y$4-$AB$4)&lt;0.01,"OK","ERRO")</f>
        <v>OK</v>
      </c>
      <c r="AH4" s="63" t="str">
        <f>IF(ABS($Z$4-$AC$4)&lt;0.01,"OK","ERRO")</f>
        <v>OK</v>
      </c>
      <c r="AI4" s="63" t="str">
        <f ca="1">IF(ABS($U$4-$AD$4)&lt;0.01,"OK","ERRO")</f>
        <v>OK</v>
      </c>
      <c r="AJ4" s="63" t="str">
        <f ca="1">IF(ABS(($V$4+$W$4)-$AE$4)&lt;0.01,"OK","ERRO")</f>
        <v>OK</v>
      </c>
    </row>
    <row r="5" spans="1:40" ht="11.25" customHeight="1" x14ac:dyDescent="0.2">
      <c r="A5" s="62" t="s">
        <v>27</v>
      </c>
      <c r="B5" s="62" t="s">
        <v>59</v>
      </c>
      <c r="C5" s="62" t="s">
        <v>40</v>
      </c>
      <c r="D5" s="62" t="s">
        <v>38</v>
      </c>
      <c r="E5" s="62" t="s">
        <v>25</v>
      </c>
      <c r="F5" s="62" t="s">
        <v>61</v>
      </c>
      <c r="G5" s="62" t="s">
        <v>25</v>
      </c>
      <c r="H5" s="62" t="s">
        <v>25</v>
      </c>
      <c r="I5" s="75">
        <v>44440</v>
      </c>
      <c r="J5" s="76">
        <f>EFEITO!$J$5*EFEITO!$Y$5</f>
        <v>0</v>
      </c>
      <c r="K5" s="76">
        <f ca="1">EFEITO!$L$5*EFEITO!$Z$5</f>
        <v>4721.9090691799556</v>
      </c>
      <c r="L5" s="76">
        <f>EFEITO!$N$5*EFEITO!$AA$5</f>
        <v>0</v>
      </c>
      <c r="M5" s="76">
        <f>$J$5-EFEITO!$K$5*EFEITO!$Y$5</f>
        <v>0</v>
      </c>
      <c r="N5" s="76">
        <f ca="1">$K$5-EFEITO!$M$5*EFEITO!$Z$5</f>
        <v>0</v>
      </c>
      <c r="O5" s="76">
        <f>$L$5-EFEITO!$O$5*EFEITO!$AA$5</f>
        <v>0</v>
      </c>
      <c r="P5" s="18"/>
      <c r="Q5" s="76" t="s">
        <v>39</v>
      </c>
      <c r="R5" s="76">
        <f ca="1">SUMIF($B$2:$B$2022,$Q$5,$J$2:$J$2022)</f>
        <v>25516300.691912606</v>
      </c>
      <c r="S5" s="76">
        <f ca="1">SUMIF($B$2:$B$2022,$Q$5,$K$2:$K$2022)</f>
        <v>10111546.151401516</v>
      </c>
      <c r="T5" s="76">
        <f>SUMIF($B$2:$B$2022,$Q$5,$L$2:$L$2022)</f>
        <v>641161.46999465697</v>
      </c>
      <c r="U5" s="76">
        <f ca="1">SUMIF($B$2:$B$2022,$Q$5,$M$2:$M$2022)</f>
        <v>12270610.472944902</v>
      </c>
      <c r="V5" s="76">
        <f ca="1">SUMIF($B$2:$B$2022,$Q$5,$N$2:$N$2022)</f>
        <v>0</v>
      </c>
      <c r="W5" s="76">
        <f>SUMIF($B$2:$B$2022,$Q$5,$O$2:$O$2022)</f>
        <v>0</v>
      </c>
      <c r="X5" s="63">
        <f ca="1">$R$5-$U$5</f>
        <v>13245690.218967704</v>
      </c>
      <c r="Y5" s="63">
        <f ca="1">$S$5-$V$5</f>
        <v>10111546.151401516</v>
      </c>
      <c r="Z5" s="63">
        <f>$T$5-$W$5</f>
        <v>641161.46999465697</v>
      </c>
      <c r="AA5" s="63">
        <f ca="1">SUMIF(EFEITO!$B$2:$B$2022,$Q$5,EFEITO!$AE$2:$AE$2022)</f>
        <v>13245690.218967717</v>
      </c>
      <c r="AB5" s="63">
        <f ca="1">SUMIF(EFEITO!$B$2:$B$2022,$Q$5,EFEITO!$AF$2:$AF$2022)</f>
        <v>10111546.151401516</v>
      </c>
      <c r="AC5" s="63">
        <f>SUMIF(EFEITO!$B$2:$B$2022,$Q$5,EFEITO!$AG$2:$AH$2022)</f>
        <v>641161.46999465697</v>
      </c>
      <c r="AD5" s="63">
        <f ca="1">SUMIF(SUBSIDIO!$B$2:$B$2022,$Q$5,SUBSIDIO!$AD$2:$AD$2022)</f>
        <v>12270610.472944902</v>
      </c>
      <c r="AE5" s="63">
        <f>SUMIF(SUBSIDIO!$B$2:$B$2022,$Q$5,SUBSIDIO!$AE$2:$AE$2022)</f>
        <v>0</v>
      </c>
      <c r="AF5" s="63" t="str">
        <f ca="1">IF(ABS($X$5-$AA$5)&lt;0.01,"OK","ERRO")</f>
        <v>OK</v>
      </c>
      <c r="AG5" s="63" t="str">
        <f ca="1">IF(ABS($Y$5-$AB$5)&lt;0.01,"OK","ERRO")</f>
        <v>OK</v>
      </c>
      <c r="AH5" s="63" t="str">
        <f>IF(ABS($Z$5-$AC$5)&lt;0.01,"OK","ERRO")</f>
        <v>OK</v>
      </c>
      <c r="AI5" s="63" t="str">
        <f ca="1">IF(ABS($U$5-$AD$5)&lt;0.01,"OK","ERRO")</f>
        <v>OK</v>
      </c>
      <c r="AJ5" s="63" t="str">
        <f ca="1">IF(ABS(($V$5+$W$5)-$AE$5)&lt;0.01,"OK","ERRO")</f>
        <v>OK</v>
      </c>
    </row>
    <row r="6" spans="1:40" ht="11.25" customHeight="1" x14ac:dyDescent="0.2">
      <c r="A6" s="62" t="s">
        <v>27</v>
      </c>
      <c r="B6" s="62" t="s">
        <v>59</v>
      </c>
      <c r="C6" s="62" t="s">
        <v>40</v>
      </c>
      <c r="D6" s="62" t="s">
        <v>38</v>
      </c>
      <c r="E6" s="62" t="s">
        <v>25</v>
      </c>
      <c r="F6" s="62" t="s">
        <v>61</v>
      </c>
      <c r="G6" s="62" t="s">
        <v>25</v>
      </c>
      <c r="H6" s="62" t="s">
        <v>25</v>
      </c>
      <c r="I6" s="75">
        <v>44470</v>
      </c>
      <c r="J6" s="76">
        <f>EFEITO!$J$6*EFEITO!$Y$6</f>
        <v>0</v>
      </c>
      <c r="K6" s="76">
        <f ca="1">EFEITO!$L$6*EFEITO!$Z$6</f>
        <v>3368.1058310458188</v>
      </c>
      <c r="L6" s="76">
        <f>EFEITO!$N$6*EFEITO!$AA$6</f>
        <v>0</v>
      </c>
      <c r="M6" s="76">
        <f>$J$6-EFEITO!$K$6*EFEITO!$Y$6</f>
        <v>0</v>
      </c>
      <c r="N6" s="76">
        <f ca="1">$K$6-EFEITO!$M$6*EFEITO!$Z$6</f>
        <v>0</v>
      </c>
      <c r="O6" s="76">
        <f>$L$6-EFEITO!$O$6*EFEITO!$AA$6</f>
        <v>0</v>
      </c>
      <c r="P6" s="18"/>
      <c r="Q6" s="76" t="s">
        <v>1063</v>
      </c>
      <c r="R6" s="76">
        <f>SUMIF($B$2:$B$2022,$Q$6,$J$2:$J$2022)</f>
        <v>0</v>
      </c>
      <c r="S6" s="76">
        <f>SUMIF($B$2:$B$2022,$Q$6,$K$2:$K$2022)</f>
        <v>0</v>
      </c>
      <c r="T6" s="76">
        <f>SUMIF($B$2:$B$2022,$Q$6,$L$2:$L$2022)</f>
        <v>0</v>
      </c>
      <c r="U6" s="76">
        <f>SUMIF($B$2:$B$2022,$Q$6,$M$2:$M$2022)</f>
        <v>0</v>
      </c>
      <c r="V6" s="76">
        <f>SUMIF($B$2:$B$2022,$Q$6,$N$2:$N$2022)</f>
        <v>0</v>
      </c>
      <c r="W6" s="76">
        <f>SUMIF($B$2:$B$2022,$Q$6,$O$2:$O$2022)</f>
        <v>0</v>
      </c>
      <c r="X6" s="63">
        <f>$R$6-$U$6</f>
        <v>0</v>
      </c>
      <c r="Y6" s="63">
        <f>$S$6-$V$6</f>
        <v>0</v>
      </c>
      <c r="Z6" s="63">
        <f>$T$6-$W$6</f>
        <v>0</v>
      </c>
      <c r="AA6" s="63">
        <f>SUMIF(EFEITO!$B$2:$B$2022,$Q$6,EFEITO!$AE$2:$AE$2022)</f>
        <v>0</v>
      </c>
      <c r="AB6" s="63">
        <f>SUMIF(EFEITO!$B$2:$B$2022,$Q$6,EFEITO!$AF$2:$AF$2022)</f>
        <v>0</v>
      </c>
      <c r="AC6" s="63">
        <f>SUMIF(EFEITO!$B$2:$B$2022,$Q$6,EFEITO!$AG$2:$AH$2022)</f>
        <v>0</v>
      </c>
      <c r="AD6" s="63">
        <f>SUMIF(SUBSIDIO!$B$2:$B$2022,$Q$6,SUBSIDIO!$AD$2:$AD$2022)</f>
        <v>0</v>
      </c>
      <c r="AE6" s="63">
        <f>SUMIF(SUBSIDIO!$B$2:$B$2022,$Q$6,SUBSIDIO!$AE$2:$AE$2022)</f>
        <v>0</v>
      </c>
      <c r="AF6" s="63" t="str">
        <f>IF(ABS($X$6-$AA$6)&lt;0.01,"OK","ERRO")</f>
        <v>OK</v>
      </c>
      <c r="AG6" s="63" t="str">
        <f>IF(ABS($Y$6-$AB$6)&lt;0.01,"OK","ERRO")</f>
        <v>OK</v>
      </c>
      <c r="AH6" s="63" t="str">
        <f>IF(ABS($Z$6-$AC$6)&lt;0.01,"OK","ERRO")</f>
        <v>OK</v>
      </c>
      <c r="AI6" s="63" t="str">
        <f>IF(ABS($U$6-$AD$6)&lt;0.01,"OK","ERRO")</f>
        <v>OK</v>
      </c>
      <c r="AJ6" s="63" t="str">
        <f>IF(ABS(($V$6+$W$6)-$AE$6)&lt;0.01,"OK","ERRO")</f>
        <v>OK</v>
      </c>
    </row>
    <row r="7" spans="1:40" ht="11.25" customHeight="1" x14ac:dyDescent="0.2">
      <c r="A7" s="62" t="s">
        <v>27</v>
      </c>
      <c r="B7" s="62" t="s">
        <v>59</v>
      </c>
      <c r="C7" s="62" t="s">
        <v>40</v>
      </c>
      <c r="D7" s="62" t="s">
        <v>38</v>
      </c>
      <c r="E7" s="62" t="s">
        <v>25</v>
      </c>
      <c r="F7" s="62" t="s">
        <v>61</v>
      </c>
      <c r="G7" s="62" t="s">
        <v>25</v>
      </c>
      <c r="H7" s="62" t="s">
        <v>25</v>
      </c>
      <c r="I7" s="75">
        <v>44501</v>
      </c>
      <c r="J7" s="76">
        <f>EFEITO!$J$7*EFEITO!$Y$7</f>
        <v>0</v>
      </c>
      <c r="K7" s="76">
        <f ca="1">EFEITO!$L$7*EFEITO!$Z$7</f>
        <v>3929.6689092948741</v>
      </c>
      <c r="L7" s="76">
        <f>EFEITO!$N$7*EFEITO!$AA$7</f>
        <v>0</v>
      </c>
      <c r="M7" s="76">
        <f>$J$7-EFEITO!$K$7*EFEITO!$Y$7</f>
        <v>0</v>
      </c>
      <c r="N7" s="76">
        <f ca="1">$K$7-EFEITO!$M$7*EFEITO!$Z$7</f>
        <v>0</v>
      </c>
      <c r="O7" s="76">
        <f>$L$7-EFEITO!$O$7*EFEITO!$AA$7</f>
        <v>0</v>
      </c>
      <c r="P7" s="18"/>
      <c r="Q7" s="76" t="s">
        <v>41</v>
      </c>
      <c r="R7" s="76">
        <f ca="1">SUMIF($B$2:$B$2022,$Q$7,$J$2:$J$2022)</f>
        <v>78262499.173337102</v>
      </c>
      <c r="S7" s="76">
        <f ca="1">SUMIF($B$2:$B$2022,$Q$7,$K$2:$K$2022)</f>
        <v>77697293.285499871</v>
      </c>
      <c r="T7" s="76">
        <f>SUMIF($B$2:$B$2022,$Q$7,$L$2:$L$2022)</f>
        <v>44508498.413854018</v>
      </c>
      <c r="U7" s="76">
        <f ca="1">SUMIF($B$2:$B$2022,$Q$7,$M$2:$M$2022)</f>
        <v>19120849.63607971</v>
      </c>
      <c r="V7" s="76">
        <f ca="1">SUMIF($B$2:$B$2022,$Q$7,$N$2:$N$2022)</f>
        <v>8076923.0438389052</v>
      </c>
      <c r="W7" s="76">
        <f>SUMIF($B$2:$B$2022,$Q$7,$O$2:$O$2022)</f>
        <v>268166.01350541413</v>
      </c>
      <c r="X7" s="63">
        <f ca="1">$R$7-$U$7</f>
        <v>59141649.537257388</v>
      </c>
      <c r="Y7" s="63">
        <f ca="1">$S$7-$V$7</f>
        <v>69620370.241660967</v>
      </c>
      <c r="Z7" s="63">
        <f>$T$7-$W$7</f>
        <v>44240332.400348604</v>
      </c>
      <c r="AA7" s="63">
        <f ca="1">SUMIF(EFEITO!$B$2:$B$2022,$Q$7,EFEITO!$AE$2:$AE$2022)</f>
        <v>59141649.537257396</v>
      </c>
      <c r="AB7" s="63">
        <f ca="1">SUMIF(EFEITO!$B$2:$B$2022,$Q$7,EFEITO!$AF$2:$AF$2022)</f>
        <v>69620370.241661027</v>
      </c>
      <c r="AC7" s="63">
        <f>SUMIF(EFEITO!$B$2:$B$2022,$Q$7,EFEITO!$AG$2:$AH$2022)</f>
        <v>44240332.400348581</v>
      </c>
      <c r="AD7" s="63">
        <f ca="1">SUMIF(SUBSIDIO!$B$2:$B$2022,$Q$7,SUBSIDIO!$AD$2:$AD$2022)</f>
        <v>19120849.63607971</v>
      </c>
      <c r="AE7" s="63">
        <f ca="1">SUMIF(SUBSIDIO!$B$2:$B$2022,$Q$7,SUBSIDIO!$AE$2:$AE$2022)</f>
        <v>8345089.0573443174</v>
      </c>
      <c r="AF7" s="63" t="str">
        <f ca="1">IF(ABS($X$7-$AA$7)&lt;0.01,"OK","ERRO")</f>
        <v>OK</v>
      </c>
      <c r="AG7" s="63" t="str">
        <f ca="1">IF(ABS($Y$7-$AB$7)&lt;0.01,"OK","ERRO")</f>
        <v>OK</v>
      </c>
      <c r="AH7" s="63" t="str">
        <f>IF(ABS($Z$7-$AC$7)&lt;0.01,"OK","ERRO")</f>
        <v>OK</v>
      </c>
      <c r="AI7" s="63" t="str">
        <f ca="1">IF(ABS($U$7-$AD$7)&lt;0.01,"OK","ERRO")</f>
        <v>OK</v>
      </c>
      <c r="AJ7" s="63" t="str">
        <f ca="1">IF(ABS(($V$7+$W$7)-$AE$7)&lt;0.01,"OK","ERRO")</f>
        <v>OK</v>
      </c>
    </row>
    <row r="8" spans="1:40" ht="11.25" customHeight="1" x14ac:dyDescent="0.2">
      <c r="A8" s="62" t="s">
        <v>27</v>
      </c>
      <c r="B8" s="62" t="s">
        <v>59</v>
      </c>
      <c r="C8" s="62" t="s">
        <v>40</v>
      </c>
      <c r="D8" s="62" t="s">
        <v>38</v>
      </c>
      <c r="E8" s="62" t="s">
        <v>25</v>
      </c>
      <c r="F8" s="62" t="s">
        <v>61</v>
      </c>
      <c r="G8" s="62" t="s">
        <v>25</v>
      </c>
      <c r="H8" s="62" t="s">
        <v>25</v>
      </c>
      <c r="I8" s="75">
        <v>44531</v>
      </c>
      <c r="J8" s="76">
        <f>EFEITO!$J$8*EFEITO!$Y$8</f>
        <v>0</v>
      </c>
      <c r="K8" s="76">
        <f ca="1">EFEITO!$L$8*EFEITO!$Z$8</f>
        <v>4079.2493783681543</v>
      </c>
      <c r="L8" s="76">
        <f>EFEITO!$N$8*EFEITO!$AA$8</f>
        <v>0</v>
      </c>
      <c r="M8" s="76">
        <f>$J$8-EFEITO!$K$8*EFEITO!$Y$8</f>
        <v>0</v>
      </c>
      <c r="N8" s="76">
        <f ca="1">$K$8-EFEITO!$M$8*EFEITO!$Z$8</f>
        <v>0</v>
      </c>
      <c r="O8" s="76">
        <f>$L$8-EFEITO!$O$8*EFEITO!$AA$8</f>
        <v>0</v>
      </c>
      <c r="P8" s="18"/>
      <c r="Q8" s="76" t="s">
        <v>1064</v>
      </c>
      <c r="R8" s="76">
        <f>SUMIF($B$2:$B$2022,$Q$8,$J$2:$J$2022)</f>
        <v>0</v>
      </c>
      <c r="S8" s="76">
        <f>SUMIF($B$2:$B$2022,$Q$8,$K$2:$K$2022)</f>
        <v>0</v>
      </c>
      <c r="T8" s="76">
        <f>SUMIF($B$2:$B$2022,$Q$8,$L$2:$L$2022)</f>
        <v>0</v>
      </c>
      <c r="U8" s="76">
        <f>SUMIF($B$2:$B$2022,$Q$8,$M$2:$M$2022)</f>
        <v>0</v>
      </c>
      <c r="V8" s="76">
        <f>SUMIF($B$2:$B$2022,$Q$8,$N$2:$N$2022)</f>
        <v>0</v>
      </c>
      <c r="W8" s="76">
        <f>SUMIF($B$2:$B$2022,$Q$8,$O$2:$O$2022)</f>
        <v>0</v>
      </c>
      <c r="X8" s="63">
        <f>$R$8-$U$8</f>
        <v>0</v>
      </c>
      <c r="Y8" s="63">
        <f>$S$8-$V$8</f>
        <v>0</v>
      </c>
      <c r="Z8" s="63">
        <f>$T$8-$W$8</f>
        <v>0</v>
      </c>
      <c r="AA8" s="63">
        <f>SUMIF(EFEITO!$B$2:$B$2022,$Q$8,EFEITO!$AE$2:$AE$2022)</f>
        <v>0</v>
      </c>
      <c r="AB8" s="63">
        <f>SUMIF(EFEITO!$B$2:$B$2022,$Q$8,EFEITO!$AF$2:$AF$2022)</f>
        <v>0</v>
      </c>
      <c r="AC8" s="63">
        <f>SUMIF(EFEITO!$B$2:$B$2022,$Q$8,EFEITO!$AG$2:$AH$2022)</f>
        <v>0</v>
      </c>
      <c r="AD8" s="63">
        <f>SUMIF(SUBSIDIO!$B$2:$B$2022,$Q$8,SUBSIDIO!$AD$2:$AD$2022)</f>
        <v>0</v>
      </c>
      <c r="AE8" s="63">
        <f>SUMIF(SUBSIDIO!$B$2:$B$2022,$Q$8,SUBSIDIO!$AE$2:$AE$2022)</f>
        <v>0</v>
      </c>
      <c r="AF8" s="63" t="str">
        <f>IF(ABS($X$8-$AA$8)&lt;0.01,"OK","ERRO")</f>
        <v>OK</v>
      </c>
      <c r="AG8" s="63" t="str">
        <f>IF(ABS($Y$8-$AB$8)&lt;0.01,"OK","ERRO")</f>
        <v>OK</v>
      </c>
      <c r="AH8" s="63" t="str">
        <f>IF(ABS($Z$8-$AC$8)&lt;0.01,"OK","ERRO")</f>
        <v>OK</v>
      </c>
      <c r="AI8" s="63" t="str">
        <f>IF(ABS($U$8-$AD$8)&lt;0.01,"OK","ERRO")</f>
        <v>OK</v>
      </c>
      <c r="AJ8" s="63" t="str">
        <f>IF(ABS(($V$8+$W$8)-$AE$8)&lt;0.01,"OK","ERRO")</f>
        <v>OK</v>
      </c>
    </row>
    <row r="9" spans="1:40" ht="11.25" customHeight="1" x14ac:dyDescent="0.2">
      <c r="A9" s="62" t="s">
        <v>27</v>
      </c>
      <c r="B9" s="62" t="s">
        <v>59</v>
      </c>
      <c r="C9" s="62" t="s">
        <v>40</v>
      </c>
      <c r="D9" s="62" t="s">
        <v>38</v>
      </c>
      <c r="E9" s="62" t="s">
        <v>25</v>
      </c>
      <c r="F9" s="62" t="s">
        <v>61</v>
      </c>
      <c r="G9" s="62" t="s">
        <v>25</v>
      </c>
      <c r="H9" s="62" t="s">
        <v>25</v>
      </c>
      <c r="I9" s="75">
        <v>44562</v>
      </c>
      <c r="J9" s="76">
        <f>EFEITO!$J$9*EFEITO!$Y$9</f>
        <v>0</v>
      </c>
      <c r="K9" s="76">
        <f ca="1">EFEITO!$L$9*EFEITO!$Z$9</f>
        <v>3968.5752847208018</v>
      </c>
      <c r="L9" s="76">
        <f>EFEITO!$N$9*EFEITO!$AA$9</f>
        <v>0</v>
      </c>
      <c r="M9" s="76">
        <f>$J$9-EFEITO!$K$9*EFEITO!$Y$9</f>
        <v>0</v>
      </c>
      <c r="N9" s="76">
        <f ca="1">$K$9-EFEITO!$M$9*EFEITO!$Z$9</f>
        <v>0</v>
      </c>
      <c r="O9" s="76">
        <f>$L$9-EFEITO!$O$9*EFEITO!$AA$9</f>
        <v>0</v>
      </c>
      <c r="P9" s="18"/>
      <c r="Q9" s="76" t="s">
        <v>22</v>
      </c>
      <c r="R9" s="76">
        <f>SUMIF($B$2:$B$2022,$Q$9,$J$2:$J$2022)</f>
        <v>0</v>
      </c>
      <c r="S9" s="76">
        <f ca="1">SUMIF($B$2:$B$2022,$Q$9,$K$2:$K$2022)</f>
        <v>229831634.32396483</v>
      </c>
      <c r="T9" s="76">
        <f>SUMIF($B$2:$B$2022,$Q$9,$L$2:$L$2022)</f>
        <v>186971115.57353377</v>
      </c>
      <c r="U9" s="76">
        <f>SUMIF($B$2:$B$2022,$Q$9,$M$2:$M$2022)</f>
        <v>0</v>
      </c>
      <c r="V9" s="76">
        <f ca="1">SUMIF($B$2:$B$2022,$Q$9,$N$2:$N$2022)</f>
        <v>15206712.209162053</v>
      </c>
      <c r="W9" s="76">
        <f>SUMIF($B$2:$B$2022,$Q$9,$O$2:$O$2022)</f>
        <v>16200915.797088727</v>
      </c>
      <c r="X9" s="63">
        <f>$R$9-$U$9</f>
        <v>0</v>
      </c>
      <c r="Y9" s="63">
        <f ca="1">$S$9-$V$9</f>
        <v>214624922.11480278</v>
      </c>
      <c r="Z9" s="63">
        <f>$T$9-$W$9</f>
        <v>170770199.77644503</v>
      </c>
      <c r="AA9" s="63">
        <f>SUMIF(EFEITO!$B$2:$B$2022,$Q$9,EFEITO!$AE$2:$AE$2022)</f>
        <v>0</v>
      </c>
      <c r="AB9" s="63">
        <f ca="1">SUMIF(EFEITO!$B$2:$B$2022,$Q$9,EFEITO!$AF$2:$AF$2022)</f>
        <v>214624922.11480296</v>
      </c>
      <c r="AC9" s="63">
        <f>SUMIF(EFEITO!$B$2:$B$2022,$Q$9,EFEITO!$AG$2:$AH$2022)</f>
        <v>170770199.77644491</v>
      </c>
      <c r="AD9" s="63">
        <f>SUMIF(SUBSIDIO!$B$2:$B$2022,$Q$9,SUBSIDIO!$AD$2:$AD$2022)</f>
        <v>0</v>
      </c>
      <c r="AE9" s="63">
        <f ca="1">SUMIF(SUBSIDIO!$B$2:$B$2022,$Q$9,SUBSIDIO!$AE$2:$AE$2022)</f>
        <v>31407628.006250788</v>
      </c>
      <c r="AF9" s="63" t="str">
        <f>IF(ABS($X$9-$AA$9)&lt;0.01,"OK","ERRO")</f>
        <v>OK</v>
      </c>
      <c r="AG9" s="63" t="str">
        <f ca="1">IF(ABS($Y$9-$AB$9)&lt;0.01,"OK","ERRO")</f>
        <v>OK</v>
      </c>
      <c r="AH9" s="63" t="str">
        <f>IF(ABS($Z$9-$AC$9)&lt;0.01,"OK","ERRO")</f>
        <v>OK</v>
      </c>
      <c r="AI9" s="63" t="str">
        <f>IF(ABS($U$9-$AD$9)&lt;0.01,"OK","ERRO")</f>
        <v>OK</v>
      </c>
      <c r="AJ9" s="63" t="str">
        <f ca="1">IF(ABS(($V$9+$W$9)-$AE$9)&lt;0.01,"OK","ERRO")</f>
        <v>OK</v>
      </c>
    </row>
    <row r="10" spans="1:40" ht="11.25" customHeight="1" x14ac:dyDescent="0.2">
      <c r="A10" s="62" t="s">
        <v>27</v>
      </c>
      <c r="B10" s="62" t="s">
        <v>59</v>
      </c>
      <c r="C10" s="62" t="s">
        <v>40</v>
      </c>
      <c r="D10" s="62" t="s">
        <v>38</v>
      </c>
      <c r="E10" s="62" t="s">
        <v>25</v>
      </c>
      <c r="F10" s="62" t="s">
        <v>61</v>
      </c>
      <c r="G10" s="62" t="s">
        <v>25</v>
      </c>
      <c r="H10" s="62" t="s">
        <v>25</v>
      </c>
      <c r="I10" s="75">
        <v>44593</v>
      </c>
      <c r="J10" s="76">
        <f>EFEITO!$J$10*EFEITO!$Y$10</f>
        <v>0</v>
      </c>
      <c r="K10" s="76">
        <f ca="1">EFEITO!$L$10*EFEITO!$Z$10</f>
        <v>4945.0298600279448</v>
      </c>
      <c r="L10" s="76">
        <f>EFEITO!$N$10*EFEITO!$AA$10</f>
        <v>0</v>
      </c>
      <c r="M10" s="76">
        <f>$J$10-EFEITO!$K$10*EFEITO!$Y$10</f>
        <v>0</v>
      </c>
      <c r="N10" s="76">
        <f ca="1">$K$10-EFEITO!$M$10*EFEITO!$Z$10</f>
        <v>0</v>
      </c>
      <c r="O10" s="76">
        <f>$L$10-EFEITO!$O$10*EFEITO!$AA$10</f>
        <v>0</v>
      </c>
      <c r="P10" s="18"/>
      <c r="Q10" s="76" t="s">
        <v>44</v>
      </c>
      <c r="R10" s="76">
        <f>SUMIF($B$2:$B$2022,$Q$10,$J$2:$J$2022)</f>
        <v>0</v>
      </c>
      <c r="S10" s="76">
        <f ca="1">SUMIF($B$2:$B$2022,$Q$10,$K$2:$K$2022)</f>
        <v>70248948.469747931</v>
      </c>
      <c r="T10" s="76">
        <f>SUMIF($B$2:$B$2022,$Q$10,$L$2:$L$2022)</f>
        <v>53015365.944252945</v>
      </c>
      <c r="U10" s="76">
        <f>SUMIF($B$2:$B$2022,$Q$10,$M$2:$M$2022)</f>
        <v>0</v>
      </c>
      <c r="V10" s="76">
        <f ca="1">SUMIF($B$2:$B$2022,$Q$10,$N$2:$N$2022)</f>
        <v>4416632.7201197343</v>
      </c>
      <c r="W10" s="76">
        <f>SUMIF($B$2:$B$2022,$Q$10,$O$2:$O$2022)</f>
        <v>3333136.8184386105</v>
      </c>
      <c r="X10" s="63">
        <f>$R$10-$U$10</f>
        <v>0</v>
      </c>
      <c r="Y10" s="63">
        <f ca="1">$S$10-$V$10</f>
        <v>65832315.749628194</v>
      </c>
      <c r="Z10" s="63">
        <f>$T$10-$W$10</f>
        <v>49682229.125814334</v>
      </c>
      <c r="AA10" s="63">
        <f>SUMIF(EFEITO!$B$2:$B$2022,$Q$10,EFEITO!$AE$2:$AE$2022)</f>
        <v>0</v>
      </c>
      <c r="AB10" s="63">
        <f ca="1">SUMIF(EFEITO!$B$2:$B$2022,$Q$10,EFEITO!$AF$2:$AF$2022)</f>
        <v>65832315.749628194</v>
      </c>
      <c r="AC10" s="63">
        <f>SUMIF(EFEITO!$B$2:$B$2022,$Q$10,EFEITO!$AG$2:$AH$2022)</f>
        <v>49682229.125814326</v>
      </c>
      <c r="AD10" s="63">
        <f>SUMIF(SUBSIDIO!$B$2:$B$2022,$Q$10,SUBSIDIO!$AD$2:$AD$2022)</f>
        <v>0</v>
      </c>
      <c r="AE10" s="63">
        <f ca="1">SUMIF(SUBSIDIO!$B$2:$B$2022,$Q$10,SUBSIDIO!$AE$2:$AE$2022)</f>
        <v>7749769.5385583444</v>
      </c>
      <c r="AF10" s="63" t="str">
        <f>IF(ABS($X$10-$AA$10)&lt;0.01,"OK","ERRO")</f>
        <v>OK</v>
      </c>
      <c r="AG10" s="63" t="str">
        <f ca="1">IF(ABS($Y$10-$AB$10)&lt;0.01,"OK","ERRO")</f>
        <v>OK</v>
      </c>
      <c r="AH10" s="63" t="str">
        <f>IF(ABS($Z$10-$AC$10)&lt;0.01,"OK","ERRO")</f>
        <v>OK</v>
      </c>
      <c r="AI10" s="63" t="str">
        <f>IF(ABS($U$10-$AD$10)&lt;0.01,"OK","ERRO")</f>
        <v>OK</v>
      </c>
      <c r="AJ10" s="63" t="str">
        <f ca="1">IF(ABS(($V$10+$W$10)-$AE$10)&lt;0.01,"OK","ERRO")</f>
        <v>OK</v>
      </c>
    </row>
    <row r="11" spans="1:40" ht="11.25" customHeight="1" x14ac:dyDescent="0.2">
      <c r="A11" s="62" t="s">
        <v>27</v>
      </c>
      <c r="B11" s="62" t="s">
        <v>59</v>
      </c>
      <c r="C11" s="62" t="s">
        <v>40</v>
      </c>
      <c r="D11" s="62" t="s">
        <v>38</v>
      </c>
      <c r="E11" s="62" t="s">
        <v>25</v>
      </c>
      <c r="F11" s="62" t="s">
        <v>61</v>
      </c>
      <c r="G11" s="62" t="s">
        <v>25</v>
      </c>
      <c r="H11" s="62" t="s">
        <v>25</v>
      </c>
      <c r="I11" s="75">
        <v>44621</v>
      </c>
      <c r="J11" s="76">
        <f>EFEITO!$J$11*EFEITO!$Y$11</f>
        <v>0</v>
      </c>
      <c r="K11" s="76">
        <f ca="1">EFEITO!$L$11*EFEITO!$Z$11</f>
        <v>5885.5323991646328</v>
      </c>
      <c r="L11" s="76">
        <f>EFEITO!$N$11*EFEITO!$AA$11</f>
        <v>0</v>
      </c>
      <c r="M11" s="76">
        <f>$J$11-EFEITO!$K$11*EFEITO!$Y$11</f>
        <v>0</v>
      </c>
      <c r="N11" s="76">
        <f ca="1">$K$11-EFEITO!$M$11*EFEITO!$Z$11</f>
        <v>0</v>
      </c>
      <c r="O11" s="76">
        <f>$L$11-EFEITO!$O$11*EFEITO!$AA$11</f>
        <v>0</v>
      </c>
      <c r="P11" s="18"/>
      <c r="Q11" s="76" t="s">
        <v>37</v>
      </c>
      <c r="R11" s="76">
        <f>SUMIF($B$2:$B$2022,$Q$11,$J$2:$J$2022)</f>
        <v>0</v>
      </c>
      <c r="S11" s="76">
        <f ca="1">SUMIF($B$2:$B$2022,$Q$11,$K$2:$K$2022)</f>
        <v>99119281.101234317</v>
      </c>
      <c r="T11" s="76">
        <f>SUMIF($B$2:$B$2022,$Q$11,$L$2:$L$2022)</f>
        <v>74804430.71905753</v>
      </c>
      <c r="U11" s="76">
        <f>SUMIF($B$2:$B$2022,$Q$11,$M$2:$M$2022)</f>
        <v>0</v>
      </c>
      <c r="V11" s="76">
        <f ca="1">SUMIF($B$2:$B$2022,$Q$11,$N$2:$N$2022)</f>
        <v>231027.63115544477</v>
      </c>
      <c r="W11" s="76">
        <f>SUMIF($B$2:$B$2022,$Q$11,$O$2:$O$2022)</f>
        <v>174350.86334780889</v>
      </c>
      <c r="X11" s="63">
        <f>$R$11-$U$11</f>
        <v>0</v>
      </c>
      <c r="Y11" s="63">
        <f ca="1">$S$11-$V$11</f>
        <v>98888253.470078871</v>
      </c>
      <c r="Z11" s="63">
        <f>$T$11-$W$11</f>
        <v>74630079.855709717</v>
      </c>
      <c r="AA11" s="63">
        <f>SUMIF(EFEITO!$B$2:$B$2022,$Q$11,EFEITO!$AE$2:$AE$2022)</f>
        <v>0</v>
      </c>
      <c r="AB11" s="63">
        <f ca="1">SUMIF(EFEITO!$B$2:$B$2022,$Q$11,EFEITO!$AF$2:$AF$2022)</f>
        <v>98888253.470078886</v>
      </c>
      <c r="AC11" s="63">
        <f>SUMIF(EFEITO!$B$2:$B$2022,$Q$11,EFEITO!$AG$2:$AH$2022)</f>
        <v>74630079.855709702</v>
      </c>
      <c r="AD11" s="63">
        <f>SUMIF(SUBSIDIO!$B$2:$B$2022,$Q$11,SUBSIDIO!$AD$2:$AD$2022)</f>
        <v>0</v>
      </c>
      <c r="AE11" s="63">
        <f ca="1">SUMIF(SUBSIDIO!$B$2:$B$2022,$Q$11,SUBSIDIO!$AE$2:$AE$2022)</f>
        <v>405378.49450325326</v>
      </c>
      <c r="AF11" s="63" t="str">
        <f>IF(ABS($X$11-$AA$11)&lt;0.01,"OK","ERRO")</f>
        <v>OK</v>
      </c>
      <c r="AG11" s="63" t="str">
        <f ca="1">IF(ABS($Y$11-$AB$11)&lt;0.01,"OK","ERRO")</f>
        <v>OK</v>
      </c>
      <c r="AH11" s="63" t="str">
        <f>IF(ABS($Z$11-$AC$11)&lt;0.01,"OK","ERRO")</f>
        <v>OK</v>
      </c>
      <c r="AI11" s="63" t="str">
        <f>IF(ABS($U$11-$AD$11)&lt;0.01,"OK","ERRO")</f>
        <v>OK</v>
      </c>
      <c r="AJ11" s="63" t="str">
        <f ca="1">IF(ABS(($V$11+$W$11)-$AE$11)&lt;0.01,"OK","ERRO")</f>
        <v>OK</v>
      </c>
    </row>
    <row r="12" spans="1:40" ht="11.25" customHeight="1" x14ac:dyDescent="0.2">
      <c r="A12" s="62" t="s">
        <v>27</v>
      </c>
      <c r="B12" s="62" t="s">
        <v>59</v>
      </c>
      <c r="C12" s="62" t="s">
        <v>40</v>
      </c>
      <c r="D12" s="62" t="s">
        <v>38</v>
      </c>
      <c r="E12" s="62" t="s">
        <v>25</v>
      </c>
      <c r="F12" s="62" t="s">
        <v>61</v>
      </c>
      <c r="G12" s="62" t="s">
        <v>25</v>
      </c>
      <c r="H12" s="62" t="s">
        <v>25</v>
      </c>
      <c r="I12" s="75">
        <v>44652</v>
      </c>
      <c r="J12" s="76">
        <f>EFEITO!$J$12*EFEITO!$Y$12</f>
        <v>0</v>
      </c>
      <c r="K12" s="76">
        <f ca="1">EFEITO!$L$12*EFEITO!$Z$12</f>
        <v>4436.1676489592201</v>
      </c>
      <c r="L12" s="76">
        <f>EFEITO!$N$12*EFEITO!$AA$12</f>
        <v>0</v>
      </c>
      <c r="M12" s="76">
        <f>$J$12-EFEITO!$K$12*EFEITO!$Y$12</f>
        <v>0</v>
      </c>
      <c r="N12" s="76">
        <f ca="1">$K$12-EFEITO!$M$12*EFEITO!$Z$12</f>
        <v>0</v>
      </c>
      <c r="O12" s="76">
        <f>$L$12-EFEITO!$O$12*EFEITO!$AA$12</f>
        <v>0</v>
      </c>
      <c r="P12" s="18"/>
      <c r="Q12" s="76" t="s">
        <v>47</v>
      </c>
      <c r="R12" s="76">
        <f>SUMIF($B$2:$B$2022,$Q$12,$J$2:$J$2022)</f>
        <v>0</v>
      </c>
      <c r="S12" s="76">
        <f ca="1">SUMIF($B$2:$B$2022,$Q$12,$K$2:$K$2022)</f>
        <v>19946290.892448548</v>
      </c>
      <c r="T12" s="76">
        <f>SUMIF($B$2:$B$2022,$Q$12,$L$2:$L$2022)</f>
        <v>15052974.487476051</v>
      </c>
      <c r="U12" s="76">
        <f>SUMIF($B$2:$B$2022,$Q$12,$M$2:$M$2022)</f>
        <v>0</v>
      </c>
      <c r="V12" s="76">
        <f ca="1">SUMIF($B$2:$B$2022,$Q$12,$N$2:$N$2022)</f>
        <v>0</v>
      </c>
      <c r="W12" s="76">
        <f>SUMIF($B$2:$B$2022,$Q$12,$O$2:$O$2022)</f>
        <v>0</v>
      </c>
      <c r="X12" s="63">
        <f>$R$12-$U$12</f>
        <v>0</v>
      </c>
      <c r="Y12" s="63">
        <f ca="1">$S$12-$V$12</f>
        <v>19946290.892448548</v>
      </c>
      <c r="Z12" s="63">
        <f>$T$12-$W$12</f>
        <v>15052974.487476051</v>
      </c>
      <c r="AA12" s="63">
        <f>SUMIF(EFEITO!$B$2:$B$2022,$Q$12,EFEITO!$AE$2:$AE$2022)</f>
        <v>0</v>
      </c>
      <c r="AB12" s="63">
        <f ca="1">SUMIF(EFEITO!$B$2:$B$2022,$Q$12,EFEITO!$AF$2:$AF$2022)</f>
        <v>19946290.892448548</v>
      </c>
      <c r="AC12" s="63">
        <f>SUMIF(EFEITO!$B$2:$B$2022,$Q$12,EFEITO!$AG$2:$AH$2022)</f>
        <v>15052974.487476051</v>
      </c>
      <c r="AD12" s="63">
        <f>SUMIF(SUBSIDIO!$B$2:$B$2022,$Q$12,SUBSIDIO!$AD$2:$AD$2022)</f>
        <v>0</v>
      </c>
      <c r="AE12" s="63">
        <f>SUMIF(SUBSIDIO!$B$2:$B$2022,$Q$12,SUBSIDIO!$AE$2:$AE$2022)</f>
        <v>0</v>
      </c>
      <c r="AF12" s="63" t="str">
        <f>IF(ABS($X$12-$AA$12)&lt;0.01,"OK","ERRO")</f>
        <v>OK</v>
      </c>
      <c r="AG12" s="63" t="str">
        <f ca="1">IF(ABS($Y$12-$AB$12)&lt;0.01,"OK","ERRO")</f>
        <v>OK</v>
      </c>
      <c r="AH12" s="63" t="str">
        <f>IF(ABS($Z$12-$AC$12)&lt;0.01,"OK","ERRO")</f>
        <v>OK</v>
      </c>
      <c r="AI12" s="63" t="str">
        <f>IF(ABS($U$12-$AD$12)&lt;0.01,"OK","ERRO")</f>
        <v>OK</v>
      </c>
      <c r="AJ12" s="63" t="str">
        <f ca="1">IF(ABS(($V$12+$W$12)-$AE$12)&lt;0.01,"OK","ERRO")</f>
        <v>OK</v>
      </c>
    </row>
    <row r="13" spans="1:40" ht="11.25" customHeight="1" x14ac:dyDescent="0.2">
      <c r="A13" s="62" t="s">
        <v>58</v>
      </c>
      <c r="B13" s="62" t="s">
        <v>59</v>
      </c>
      <c r="C13" s="62" t="s">
        <v>40</v>
      </c>
      <c r="D13" s="62" t="s">
        <v>38</v>
      </c>
      <c r="E13" s="62" t="s">
        <v>25</v>
      </c>
      <c r="F13" s="62" t="s">
        <v>61</v>
      </c>
      <c r="G13" s="62" t="s">
        <v>25</v>
      </c>
      <c r="H13" s="62" t="s">
        <v>25</v>
      </c>
      <c r="I13" s="75">
        <v>44682</v>
      </c>
      <c r="J13" s="76">
        <f>EFEITO!$J$13*EFEITO!$Y$13</f>
        <v>0</v>
      </c>
      <c r="K13" s="76">
        <f ca="1">EFEITO!$L$13*EFEITO!$Z$13</f>
        <v>4436.1676489592201</v>
      </c>
      <c r="L13" s="76">
        <f>EFEITO!$N$13*EFEITO!$AA$13</f>
        <v>0</v>
      </c>
      <c r="M13" s="76">
        <f>$J$13-EFEITO!$K$13*EFEITO!$Y$13</f>
        <v>0</v>
      </c>
      <c r="N13" s="76">
        <f ca="1">$K$13-EFEITO!$M$13*EFEITO!$Z$13</f>
        <v>0</v>
      </c>
      <c r="O13" s="76">
        <f>$L$13-EFEITO!$O$13*EFEITO!$AA$13</f>
        <v>0</v>
      </c>
      <c r="P13" s="18"/>
      <c r="Q13" s="76" t="s">
        <v>125</v>
      </c>
      <c r="R13" s="76">
        <f>SUMIF($B$2:$B$2022,$Q$13,$J$2:$J$2022)</f>
        <v>0</v>
      </c>
      <c r="S13" s="76">
        <f>SUMIF($B$2:$B$2022,$Q$13,$K$2:$K$2022)</f>
        <v>0</v>
      </c>
      <c r="T13" s="76">
        <f>SUMIF($B$2:$B$2022,$Q$13,$L$2:$L$2022)</f>
        <v>0</v>
      </c>
      <c r="U13" s="76">
        <f>SUMIF($B$2:$B$2022,$Q$13,$M$2:$M$2022)</f>
        <v>0</v>
      </c>
      <c r="V13" s="76">
        <f>SUMIF($B$2:$B$2022,$Q$13,$N$2:$N$2022)</f>
        <v>0</v>
      </c>
      <c r="W13" s="76">
        <f>SUMIF($B$2:$B$2022,$Q$13,$O$2:$O$2022)</f>
        <v>0</v>
      </c>
      <c r="X13" s="63">
        <f>$R$13-$U$13</f>
        <v>0</v>
      </c>
      <c r="Y13" s="63">
        <f>$S$13-$V$13</f>
        <v>0</v>
      </c>
      <c r="Z13" s="63">
        <f>$T$13-$W$13</f>
        <v>0</v>
      </c>
      <c r="AA13" s="63">
        <f>SUMIF(EFEITO!$B$2:$B$2022,$Q$13,EFEITO!$AE$2:$AE$2022)</f>
        <v>0</v>
      </c>
      <c r="AB13" s="63">
        <f>SUMIF(EFEITO!$B$2:$B$2022,$Q$13,EFEITO!$AF$2:$AF$2022)</f>
        <v>0</v>
      </c>
      <c r="AC13" s="63">
        <f>SUMIF(EFEITO!$B$2:$B$2022,$Q$13,EFEITO!$AG$2:$AH$2022)</f>
        <v>0</v>
      </c>
      <c r="AD13" s="63">
        <f>SUMIF(SUBSIDIO!$B$2:$B$2022,$Q$13,SUBSIDIO!$AD$2:$AD$2022)</f>
        <v>0</v>
      </c>
      <c r="AE13" s="63">
        <f>SUMIF(SUBSIDIO!$B$2:$B$2022,$Q$13,SUBSIDIO!$AE$2:$AE$2022)</f>
        <v>0</v>
      </c>
      <c r="AF13" s="63" t="str">
        <f>IF(ABS($X$13-$AA$13)&lt;0.01,"OK","ERRO")</f>
        <v>OK</v>
      </c>
      <c r="AG13" s="63" t="str">
        <f>IF(ABS($Y$13-$AB$13)&lt;0.01,"OK","ERRO")</f>
        <v>OK</v>
      </c>
      <c r="AH13" s="63" t="str">
        <f>IF(ABS($Z$13-$AC$13)&lt;0.01,"OK","ERRO")</f>
        <v>OK</v>
      </c>
      <c r="AI13" s="63" t="str">
        <f>IF(ABS($U$13-$AD$13)&lt;0.01,"OK","ERRO")</f>
        <v>OK</v>
      </c>
      <c r="AJ13" s="63" t="str">
        <f>IF(ABS(($V$13+$W$13)-$AE$13)&lt;0.01,"OK","ERRO")</f>
        <v>OK</v>
      </c>
    </row>
    <row r="14" spans="1:40" ht="11.25" customHeight="1" x14ac:dyDescent="0.2">
      <c r="A14" s="62" t="s">
        <v>21</v>
      </c>
      <c r="B14" s="62" t="s">
        <v>59</v>
      </c>
      <c r="C14" s="62" t="s">
        <v>40</v>
      </c>
      <c r="D14" s="62" t="s">
        <v>38</v>
      </c>
      <c r="E14" s="62" t="s">
        <v>25</v>
      </c>
      <c r="F14" s="62" t="s">
        <v>25</v>
      </c>
      <c r="G14" s="62" t="s">
        <v>25</v>
      </c>
      <c r="H14" s="62" t="s">
        <v>35</v>
      </c>
      <c r="I14" s="75">
        <v>44348</v>
      </c>
      <c r="J14" s="76">
        <f ca="1">EFEITO!$J$14*EFEITO!$Y$14</f>
        <v>102119.66030752468</v>
      </c>
      <c r="K14" s="76">
        <f ca="1">EFEITO!$L$14*EFEITO!$Z$14</f>
        <v>0</v>
      </c>
      <c r="L14" s="76">
        <f>EFEITO!$N$14*EFEITO!$AA$14</f>
        <v>0</v>
      </c>
      <c r="M14" s="76">
        <f ca="1">$J$14-EFEITO!$K$14*EFEITO!$Y$14</f>
        <v>0</v>
      </c>
      <c r="N14" s="76">
        <f ca="1">$K$14-EFEITO!$M$14*EFEITO!$Z$14</f>
        <v>0</v>
      </c>
      <c r="O14" s="76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62" t="s">
        <v>21</v>
      </c>
      <c r="B15" s="62" t="s">
        <v>59</v>
      </c>
      <c r="C15" s="62" t="s">
        <v>40</v>
      </c>
      <c r="D15" s="62" t="s">
        <v>38</v>
      </c>
      <c r="E15" s="62" t="s">
        <v>25</v>
      </c>
      <c r="F15" s="62" t="s">
        <v>25</v>
      </c>
      <c r="G15" s="62" t="s">
        <v>25</v>
      </c>
      <c r="H15" s="62" t="s">
        <v>35</v>
      </c>
      <c r="I15" s="75">
        <v>44378</v>
      </c>
      <c r="J15" s="76">
        <f ca="1">EFEITO!$J$15*EFEITO!$Y$15</f>
        <v>102119.66030752468</v>
      </c>
      <c r="K15" s="76">
        <f ca="1">EFEITO!$L$15*EFEITO!$Z$15</f>
        <v>0</v>
      </c>
      <c r="L15" s="76">
        <f>EFEITO!$N$15*EFEITO!$AA$15</f>
        <v>0</v>
      </c>
      <c r="M15" s="76">
        <f ca="1">$J$15-EFEITO!$K$15*EFEITO!$Y$15</f>
        <v>0</v>
      </c>
      <c r="N15" s="76">
        <f ca="1">$K$15-EFEITO!$M$15*EFEITO!$Z$15</f>
        <v>0</v>
      </c>
      <c r="O15" s="76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62" t="s">
        <v>21</v>
      </c>
      <c r="B16" s="62" t="s">
        <v>59</v>
      </c>
      <c r="C16" s="62" t="s">
        <v>40</v>
      </c>
      <c r="D16" s="62" t="s">
        <v>38</v>
      </c>
      <c r="E16" s="62" t="s">
        <v>25</v>
      </c>
      <c r="F16" s="62" t="s">
        <v>25</v>
      </c>
      <c r="G16" s="62" t="s">
        <v>25</v>
      </c>
      <c r="H16" s="62" t="s">
        <v>35</v>
      </c>
      <c r="I16" s="75">
        <v>44409</v>
      </c>
      <c r="J16" s="76">
        <f ca="1">EFEITO!$J$16*EFEITO!$Y$16</f>
        <v>102119.66030752468</v>
      </c>
      <c r="K16" s="76">
        <f ca="1">EFEITO!$L$16*EFEITO!$Z$16</f>
        <v>0</v>
      </c>
      <c r="L16" s="76">
        <f>EFEITO!$N$16*EFEITO!$AA$16</f>
        <v>0</v>
      </c>
      <c r="M16" s="76">
        <f ca="1">$J$16-EFEITO!$K$16*EFEITO!$Y$16</f>
        <v>0</v>
      </c>
      <c r="N16" s="76">
        <f ca="1">$K$16-EFEITO!$M$16*EFEITO!$Z$16</f>
        <v>0</v>
      </c>
      <c r="O16" s="76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62" t="s">
        <v>21</v>
      </c>
      <c r="B17" s="62" t="s">
        <v>59</v>
      </c>
      <c r="C17" s="62" t="s">
        <v>40</v>
      </c>
      <c r="D17" s="62" t="s">
        <v>38</v>
      </c>
      <c r="E17" s="62" t="s">
        <v>25</v>
      </c>
      <c r="F17" s="62" t="s">
        <v>25</v>
      </c>
      <c r="G17" s="62" t="s">
        <v>25</v>
      </c>
      <c r="H17" s="62" t="s">
        <v>35</v>
      </c>
      <c r="I17" s="75">
        <v>44440</v>
      </c>
      <c r="J17" s="76">
        <f ca="1">EFEITO!$J$17*EFEITO!$Y$17</f>
        <v>102119.66030752468</v>
      </c>
      <c r="K17" s="76">
        <f ca="1">EFEITO!$L$17*EFEITO!$Z$17</f>
        <v>0</v>
      </c>
      <c r="L17" s="76">
        <f>EFEITO!$N$17*EFEITO!$AA$17</f>
        <v>0</v>
      </c>
      <c r="M17" s="76">
        <f ca="1">$J$17-EFEITO!$K$17*EFEITO!$Y$17</f>
        <v>0</v>
      </c>
      <c r="N17" s="76">
        <f ca="1">$K$17-EFEITO!$M$17*EFEITO!$Z$17</f>
        <v>0</v>
      </c>
      <c r="O17" s="76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62" t="s">
        <v>21</v>
      </c>
      <c r="B18" s="62" t="s">
        <v>59</v>
      </c>
      <c r="C18" s="62" t="s">
        <v>40</v>
      </c>
      <c r="D18" s="62" t="s">
        <v>38</v>
      </c>
      <c r="E18" s="62" t="s">
        <v>25</v>
      </c>
      <c r="F18" s="62" t="s">
        <v>25</v>
      </c>
      <c r="G18" s="62" t="s">
        <v>25</v>
      </c>
      <c r="H18" s="62" t="s">
        <v>35</v>
      </c>
      <c r="I18" s="75">
        <v>44470</v>
      </c>
      <c r="J18" s="76">
        <f ca="1">EFEITO!$J$18*EFEITO!$Y$18</f>
        <v>102119.66030752468</v>
      </c>
      <c r="K18" s="76">
        <f ca="1">EFEITO!$L$18*EFEITO!$Z$18</f>
        <v>0</v>
      </c>
      <c r="L18" s="76">
        <f>EFEITO!$N$18*EFEITO!$AA$18</f>
        <v>0</v>
      </c>
      <c r="M18" s="76">
        <f ca="1">$J$18-EFEITO!$K$18*EFEITO!$Y$18</f>
        <v>0</v>
      </c>
      <c r="N18" s="76">
        <f ca="1">$K$18-EFEITO!$M$18*EFEITO!$Z$18</f>
        <v>0</v>
      </c>
      <c r="O18" s="76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62" t="s">
        <v>21</v>
      </c>
      <c r="B19" s="62" t="s">
        <v>59</v>
      </c>
      <c r="C19" s="62" t="s">
        <v>40</v>
      </c>
      <c r="D19" s="62" t="s">
        <v>38</v>
      </c>
      <c r="E19" s="62" t="s">
        <v>25</v>
      </c>
      <c r="F19" s="62" t="s">
        <v>25</v>
      </c>
      <c r="G19" s="62" t="s">
        <v>25</v>
      </c>
      <c r="H19" s="62" t="s">
        <v>35</v>
      </c>
      <c r="I19" s="75">
        <v>44501</v>
      </c>
      <c r="J19" s="76">
        <f ca="1">EFEITO!$J$19*EFEITO!$Y$19</f>
        <v>102119.66030752468</v>
      </c>
      <c r="K19" s="76">
        <f ca="1">EFEITO!$L$19*EFEITO!$Z$19</f>
        <v>0</v>
      </c>
      <c r="L19" s="76">
        <f>EFEITO!$N$19*EFEITO!$AA$19</f>
        <v>0</v>
      </c>
      <c r="M19" s="76">
        <f ca="1">$J$19-EFEITO!$K$19*EFEITO!$Y$19</f>
        <v>0</v>
      </c>
      <c r="N19" s="76">
        <f ca="1">$K$19-EFEITO!$M$19*EFEITO!$Z$19</f>
        <v>0</v>
      </c>
      <c r="O19" s="76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62" t="s">
        <v>21</v>
      </c>
      <c r="B20" s="62" t="s">
        <v>59</v>
      </c>
      <c r="C20" s="62" t="s">
        <v>40</v>
      </c>
      <c r="D20" s="62" t="s">
        <v>38</v>
      </c>
      <c r="E20" s="62" t="s">
        <v>25</v>
      </c>
      <c r="F20" s="62" t="s">
        <v>25</v>
      </c>
      <c r="G20" s="62" t="s">
        <v>25</v>
      </c>
      <c r="H20" s="62" t="s">
        <v>35</v>
      </c>
      <c r="I20" s="75">
        <v>44531</v>
      </c>
      <c r="J20" s="76">
        <f ca="1">EFEITO!$J$20*EFEITO!$Y$20</f>
        <v>102119.66030752468</v>
      </c>
      <c r="K20" s="76">
        <f ca="1">EFEITO!$L$20*EFEITO!$Z$20</f>
        <v>0</v>
      </c>
      <c r="L20" s="76">
        <f>EFEITO!$N$20*EFEITO!$AA$20</f>
        <v>0</v>
      </c>
      <c r="M20" s="76">
        <f ca="1">$J$20-EFEITO!$K$20*EFEITO!$Y$20</f>
        <v>0</v>
      </c>
      <c r="N20" s="76">
        <f ca="1">$K$20-EFEITO!$M$20*EFEITO!$Z$20</f>
        <v>0</v>
      </c>
      <c r="O20" s="76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62" t="s">
        <v>21</v>
      </c>
      <c r="B21" s="62" t="s">
        <v>59</v>
      </c>
      <c r="C21" s="62" t="s">
        <v>40</v>
      </c>
      <c r="D21" s="62" t="s">
        <v>38</v>
      </c>
      <c r="E21" s="62" t="s">
        <v>25</v>
      </c>
      <c r="F21" s="62" t="s">
        <v>25</v>
      </c>
      <c r="G21" s="62" t="s">
        <v>25</v>
      </c>
      <c r="H21" s="62" t="s">
        <v>35</v>
      </c>
      <c r="I21" s="75">
        <v>44562</v>
      </c>
      <c r="J21" s="76">
        <f ca="1">EFEITO!$J$21*EFEITO!$Y$21</f>
        <v>102119.66030752468</v>
      </c>
      <c r="K21" s="76">
        <f ca="1">EFEITO!$L$21*EFEITO!$Z$21</f>
        <v>0</v>
      </c>
      <c r="L21" s="76">
        <f>EFEITO!$N$21*EFEITO!$AA$21</f>
        <v>0</v>
      </c>
      <c r="M21" s="76">
        <f ca="1">$J$21-EFEITO!$K$21*EFEITO!$Y$21</f>
        <v>0</v>
      </c>
      <c r="N21" s="76">
        <f ca="1">$K$21-EFEITO!$M$21*EFEITO!$Z$21</f>
        <v>0</v>
      </c>
      <c r="O21" s="76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62" t="s">
        <v>21</v>
      </c>
      <c r="B22" s="62" t="s">
        <v>59</v>
      </c>
      <c r="C22" s="62" t="s">
        <v>40</v>
      </c>
      <c r="D22" s="62" t="s">
        <v>38</v>
      </c>
      <c r="E22" s="62" t="s">
        <v>25</v>
      </c>
      <c r="F22" s="62" t="s">
        <v>25</v>
      </c>
      <c r="G22" s="62" t="s">
        <v>25</v>
      </c>
      <c r="H22" s="62" t="s">
        <v>35</v>
      </c>
      <c r="I22" s="75">
        <v>44593</v>
      </c>
      <c r="J22" s="76">
        <f ca="1">EFEITO!$J$22*EFEITO!$Y$22</f>
        <v>102119.66030752468</v>
      </c>
      <c r="K22" s="76">
        <f ca="1">EFEITO!$L$22*EFEITO!$Z$22</f>
        <v>0</v>
      </c>
      <c r="L22" s="76">
        <f>EFEITO!$N$22*EFEITO!$AA$22</f>
        <v>0</v>
      </c>
      <c r="M22" s="76">
        <f ca="1">$J$22-EFEITO!$K$22*EFEITO!$Y$22</f>
        <v>0</v>
      </c>
      <c r="N22" s="76">
        <f ca="1">$K$22-EFEITO!$M$22*EFEITO!$Z$22</f>
        <v>0</v>
      </c>
      <c r="O22" s="76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62" t="s">
        <v>21</v>
      </c>
      <c r="B23" s="62" t="s">
        <v>59</v>
      </c>
      <c r="C23" s="62" t="s">
        <v>40</v>
      </c>
      <c r="D23" s="62" t="s">
        <v>38</v>
      </c>
      <c r="E23" s="62" t="s">
        <v>25</v>
      </c>
      <c r="F23" s="62" t="s">
        <v>25</v>
      </c>
      <c r="G23" s="62" t="s">
        <v>25</v>
      </c>
      <c r="H23" s="62" t="s">
        <v>35</v>
      </c>
      <c r="I23" s="75">
        <v>44621</v>
      </c>
      <c r="J23" s="76">
        <f ca="1">EFEITO!$J$23*EFEITO!$Y$23</f>
        <v>102119.66030752468</v>
      </c>
      <c r="K23" s="76">
        <f ca="1">EFEITO!$L$23*EFEITO!$Z$23</f>
        <v>0</v>
      </c>
      <c r="L23" s="76">
        <f>EFEITO!$N$23*EFEITO!$AA$23</f>
        <v>0</v>
      </c>
      <c r="M23" s="76">
        <f ca="1">$J$23-EFEITO!$K$23*EFEITO!$Y$23</f>
        <v>0</v>
      </c>
      <c r="N23" s="76">
        <f ca="1">$K$23-EFEITO!$M$23*EFEITO!$Z$23</f>
        <v>0</v>
      </c>
      <c r="O23" s="76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62" t="s">
        <v>21</v>
      </c>
      <c r="B24" s="62" t="s">
        <v>59</v>
      </c>
      <c r="C24" s="62" t="s">
        <v>40</v>
      </c>
      <c r="D24" s="62" t="s">
        <v>38</v>
      </c>
      <c r="E24" s="62" t="s">
        <v>25</v>
      </c>
      <c r="F24" s="62" t="s">
        <v>25</v>
      </c>
      <c r="G24" s="62" t="s">
        <v>25</v>
      </c>
      <c r="H24" s="62" t="s">
        <v>35</v>
      </c>
      <c r="I24" s="75">
        <v>44652</v>
      </c>
      <c r="J24" s="76">
        <f ca="1">EFEITO!$J$24*EFEITO!$Y$24</f>
        <v>102119.66030752468</v>
      </c>
      <c r="K24" s="76">
        <f ca="1">EFEITO!$L$24*EFEITO!$Z$24</f>
        <v>0</v>
      </c>
      <c r="L24" s="76">
        <f>EFEITO!$N$24*EFEITO!$AA$24</f>
        <v>0</v>
      </c>
      <c r="M24" s="76">
        <f ca="1">$J$24-EFEITO!$K$24*EFEITO!$Y$24</f>
        <v>0</v>
      </c>
      <c r="N24" s="76">
        <f ca="1">$K$24-EFEITO!$M$24*EFEITO!$Z$24</f>
        <v>0</v>
      </c>
      <c r="O24" s="76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62" t="s">
        <v>58</v>
      </c>
      <c r="B25" s="62" t="s">
        <v>59</v>
      </c>
      <c r="C25" s="62" t="s">
        <v>40</v>
      </c>
      <c r="D25" s="62" t="s">
        <v>38</v>
      </c>
      <c r="E25" s="62" t="s">
        <v>25</v>
      </c>
      <c r="F25" s="62" t="s">
        <v>25</v>
      </c>
      <c r="G25" s="62" t="s">
        <v>25</v>
      </c>
      <c r="H25" s="62" t="s">
        <v>35</v>
      </c>
      <c r="I25" s="75">
        <v>44682</v>
      </c>
      <c r="J25" s="76">
        <f ca="1">EFEITO!$J$25*EFEITO!$Y$25</f>
        <v>102119.66030752468</v>
      </c>
      <c r="K25" s="76">
        <f ca="1">EFEITO!$L$25*EFEITO!$Z$25</f>
        <v>0</v>
      </c>
      <c r="L25" s="76">
        <f>EFEITO!$N$25*EFEITO!$AA$25</f>
        <v>0</v>
      </c>
      <c r="M25" s="76">
        <f ca="1">$J$25-EFEITO!$K$25*EFEITO!$Y$25</f>
        <v>0</v>
      </c>
      <c r="N25" s="76">
        <f ca="1">$K$25-EFEITO!$M$25*EFEITO!$Z$25</f>
        <v>0</v>
      </c>
      <c r="O25" s="76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62" t="s">
        <v>21</v>
      </c>
      <c r="B26" s="62" t="s">
        <v>59</v>
      </c>
      <c r="C26" s="62" t="s">
        <v>40</v>
      </c>
      <c r="D26" s="62" t="s">
        <v>38</v>
      </c>
      <c r="E26" s="62" t="s">
        <v>25</v>
      </c>
      <c r="F26" s="62" t="s">
        <v>25</v>
      </c>
      <c r="G26" s="62" t="s">
        <v>25</v>
      </c>
      <c r="H26" s="62" t="s">
        <v>25</v>
      </c>
      <c r="I26" s="75">
        <v>44348</v>
      </c>
      <c r="J26" s="76">
        <f>EFEITO!$J$26*EFEITO!$Y$26</f>
        <v>0</v>
      </c>
      <c r="K26" s="76">
        <f ca="1">EFEITO!$L$26*EFEITO!$Z$26</f>
        <v>286323.21653838048</v>
      </c>
      <c r="L26" s="76">
        <f>EFEITO!$N$26*EFEITO!$AA$26</f>
        <v>0</v>
      </c>
      <c r="M26" s="76">
        <f>$J$26-EFEITO!$K$26*EFEITO!$Y$26</f>
        <v>0</v>
      </c>
      <c r="N26" s="76">
        <f ca="1">$K$26-EFEITO!$M$26*EFEITO!$Z$26</f>
        <v>0</v>
      </c>
      <c r="O26" s="76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62" t="s">
        <v>27</v>
      </c>
      <c r="B27" s="62" t="s">
        <v>59</v>
      </c>
      <c r="C27" s="62" t="s">
        <v>40</v>
      </c>
      <c r="D27" s="62" t="s">
        <v>38</v>
      </c>
      <c r="E27" s="62" t="s">
        <v>25</v>
      </c>
      <c r="F27" s="62" t="s">
        <v>25</v>
      </c>
      <c r="G27" s="62" t="s">
        <v>25</v>
      </c>
      <c r="H27" s="62" t="s">
        <v>25</v>
      </c>
      <c r="I27" s="75">
        <v>44348</v>
      </c>
      <c r="J27" s="76">
        <f>EFEITO!$J$27*EFEITO!$Y$27</f>
        <v>0</v>
      </c>
      <c r="K27" s="76">
        <f ca="1">EFEITO!$L$27*EFEITO!$Z$27</f>
        <v>-35779.112267852688</v>
      </c>
      <c r="L27" s="76">
        <f>EFEITO!$N$27*EFEITO!$AA$27</f>
        <v>0</v>
      </c>
      <c r="M27" s="76">
        <f>$J$27-EFEITO!$K$27*EFEITO!$Y$27</f>
        <v>0</v>
      </c>
      <c r="N27" s="76">
        <f ca="1">$K$27-EFEITO!$M$27*EFEITO!$Z$27</f>
        <v>0</v>
      </c>
      <c r="O27" s="76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62" t="s">
        <v>21</v>
      </c>
      <c r="B28" s="62" t="s">
        <v>59</v>
      </c>
      <c r="C28" s="62" t="s">
        <v>40</v>
      </c>
      <c r="D28" s="62" t="s">
        <v>38</v>
      </c>
      <c r="E28" s="62" t="s">
        <v>25</v>
      </c>
      <c r="F28" s="62" t="s">
        <v>25</v>
      </c>
      <c r="G28" s="62" t="s">
        <v>25</v>
      </c>
      <c r="H28" s="62" t="s">
        <v>25</v>
      </c>
      <c r="I28" s="75">
        <v>44378</v>
      </c>
      <c r="J28" s="76">
        <f>EFEITO!$J$28*EFEITO!$Y$28</f>
        <v>0</v>
      </c>
      <c r="K28" s="76">
        <f ca="1">EFEITO!$L$28*EFEITO!$Z$28</f>
        <v>283813.84290245635</v>
      </c>
      <c r="L28" s="76">
        <f>EFEITO!$N$28*EFEITO!$AA$28</f>
        <v>0</v>
      </c>
      <c r="M28" s="76">
        <f>$J$28-EFEITO!$K$28*EFEITO!$Y$28</f>
        <v>0</v>
      </c>
      <c r="N28" s="76">
        <f ca="1">$K$28-EFEITO!$M$28*EFEITO!$Z$28</f>
        <v>0</v>
      </c>
      <c r="O28" s="76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62" t="s">
        <v>27</v>
      </c>
      <c r="B29" s="62" t="s">
        <v>59</v>
      </c>
      <c r="C29" s="62" t="s">
        <v>40</v>
      </c>
      <c r="D29" s="62" t="s">
        <v>38</v>
      </c>
      <c r="E29" s="62" t="s">
        <v>25</v>
      </c>
      <c r="F29" s="62" t="s">
        <v>25</v>
      </c>
      <c r="G29" s="62" t="s">
        <v>25</v>
      </c>
      <c r="H29" s="62" t="s">
        <v>25</v>
      </c>
      <c r="I29" s="75">
        <v>44378</v>
      </c>
      <c r="J29" s="76">
        <f>EFEITO!$J$29*EFEITO!$Y$29</f>
        <v>0</v>
      </c>
      <c r="K29" s="76">
        <f ca="1">EFEITO!$L$29*EFEITO!$Z$29</f>
        <v>-42347.660985994007</v>
      </c>
      <c r="L29" s="76">
        <f>EFEITO!$N$29*EFEITO!$AA$29</f>
        <v>0</v>
      </c>
      <c r="M29" s="76">
        <f>$J$29-EFEITO!$K$29*EFEITO!$Y$29</f>
        <v>0</v>
      </c>
      <c r="N29" s="76">
        <f ca="1">$K$29-EFEITO!$M$29*EFEITO!$Z$29</f>
        <v>0</v>
      </c>
      <c r="O29" s="76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62" t="s">
        <v>21</v>
      </c>
      <c r="B30" s="62" t="s">
        <v>59</v>
      </c>
      <c r="C30" s="62" t="s">
        <v>40</v>
      </c>
      <c r="D30" s="62" t="s">
        <v>38</v>
      </c>
      <c r="E30" s="62" t="s">
        <v>25</v>
      </c>
      <c r="F30" s="62" t="s">
        <v>25</v>
      </c>
      <c r="G30" s="62" t="s">
        <v>25</v>
      </c>
      <c r="H30" s="62" t="s">
        <v>25</v>
      </c>
      <c r="I30" s="75">
        <v>44409</v>
      </c>
      <c r="J30" s="76">
        <f>EFEITO!$J$30*EFEITO!$Y$30</f>
        <v>0</v>
      </c>
      <c r="K30" s="76">
        <f ca="1">EFEITO!$L$30*EFEITO!$Z$30</f>
        <v>289401.04190609534</v>
      </c>
      <c r="L30" s="76">
        <f>EFEITO!$N$30*EFEITO!$AA$30</f>
        <v>0</v>
      </c>
      <c r="M30" s="76">
        <f>$J$30-EFEITO!$K$30*EFEITO!$Y$30</f>
        <v>0</v>
      </c>
      <c r="N30" s="76">
        <f ca="1">$K$30-EFEITO!$M$30*EFEITO!$Z$30</f>
        <v>0</v>
      </c>
      <c r="O30" s="76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62" t="s">
        <v>27</v>
      </c>
      <c r="B31" s="62" t="s">
        <v>59</v>
      </c>
      <c r="C31" s="62" t="s">
        <v>40</v>
      </c>
      <c r="D31" s="62" t="s">
        <v>38</v>
      </c>
      <c r="E31" s="62" t="s">
        <v>25</v>
      </c>
      <c r="F31" s="62" t="s">
        <v>25</v>
      </c>
      <c r="G31" s="62" t="s">
        <v>25</v>
      </c>
      <c r="H31" s="62" t="s">
        <v>25</v>
      </c>
      <c r="I31" s="75">
        <v>44409</v>
      </c>
      <c r="J31" s="76">
        <f>EFEITO!$J$31*EFEITO!$Y$31</f>
        <v>0</v>
      </c>
      <c r="K31" s="76">
        <f ca="1">EFEITO!$L$31*EFEITO!$Z$31</f>
        <v>-35251.49339519527</v>
      </c>
      <c r="L31" s="76">
        <f>EFEITO!$N$31*EFEITO!$AA$31</f>
        <v>0</v>
      </c>
      <c r="M31" s="76">
        <f>$J$31-EFEITO!$K$31*EFEITO!$Y$31</f>
        <v>0</v>
      </c>
      <c r="N31" s="76">
        <f ca="1">$K$31-EFEITO!$M$31*EFEITO!$Z$31</f>
        <v>0</v>
      </c>
      <c r="O31" s="76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62" t="s">
        <v>21</v>
      </c>
      <c r="B32" s="62" t="s">
        <v>59</v>
      </c>
      <c r="C32" s="62" t="s">
        <v>40</v>
      </c>
      <c r="D32" s="62" t="s">
        <v>38</v>
      </c>
      <c r="E32" s="62" t="s">
        <v>25</v>
      </c>
      <c r="F32" s="62" t="s">
        <v>25</v>
      </c>
      <c r="G32" s="62" t="s">
        <v>25</v>
      </c>
      <c r="H32" s="62" t="s">
        <v>25</v>
      </c>
      <c r="I32" s="75">
        <v>44440</v>
      </c>
      <c r="J32" s="76">
        <f>EFEITO!$J$32*EFEITO!$Y$32</f>
        <v>0</v>
      </c>
      <c r="K32" s="76">
        <f ca="1">EFEITO!$L$32*EFEITO!$Z$32</f>
        <v>270897.7290109591</v>
      </c>
      <c r="L32" s="76">
        <f>EFEITO!$N$32*EFEITO!$AA$32</f>
        <v>0</v>
      </c>
      <c r="M32" s="76">
        <f>$J$32-EFEITO!$K$32*EFEITO!$Y$32</f>
        <v>0</v>
      </c>
      <c r="N32" s="76">
        <f ca="1">$K$32-EFEITO!$M$32*EFEITO!$Z$32</f>
        <v>0</v>
      </c>
      <c r="O32" s="76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62" t="s">
        <v>27</v>
      </c>
      <c r="B33" s="62" t="s">
        <v>59</v>
      </c>
      <c r="C33" s="62" t="s">
        <v>40</v>
      </c>
      <c r="D33" s="62" t="s">
        <v>38</v>
      </c>
      <c r="E33" s="62" t="s">
        <v>25</v>
      </c>
      <c r="F33" s="62" t="s">
        <v>25</v>
      </c>
      <c r="G33" s="62" t="s">
        <v>25</v>
      </c>
      <c r="H33" s="62" t="s">
        <v>25</v>
      </c>
      <c r="I33" s="75">
        <v>44440</v>
      </c>
      <c r="J33" s="76">
        <f>EFEITO!$J$33*EFEITO!$Y$33</f>
        <v>0</v>
      </c>
      <c r="K33" s="76">
        <f ca="1">EFEITO!$L$33*EFEITO!$Z$33</f>
        <v>-40400.905816270017</v>
      </c>
      <c r="L33" s="76">
        <f>EFEITO!$N$33*EFEITO!$AA$33</f>
        <v>0</v>
      </c>
      <c r="M33" s="76">
        <f>$J$33-EFEITO!$K$33*EFEITO!$Y$33</f>
        <v>0</v>
      </c>
      <c r="N33" s="76">
        <f ca="1">$K$33-EFEITO!$M$33*EFEITO!$Z$33</f>
        <v>0</v>
      </c>
      <c r="O33" s="76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62" t="s">
        <v>21</v>
      </c>
      <c r="B34" s="62" t="s">
        <v>59</v>
      </c>
      <c r="C34" s="62" t="s">
        <v>40</v>
      </c>
      <c r="D34" s="62" t="s">
        <v>38</v>
      </c>
      <c r="E34" s="62" t="s">
        <v>25</v>
      </c>
      <c r="F34" s="62" t="s">
        <v>25</v>
      </c>
      <c r="G34" s="62" t="s">
        <v>25</v>
      </c>
      <c r="H34" s="62" t="s">
        <v>25</v>
      </c>
      <c r="I34" s="75">
        <v>44470</v>
      </c>
      <c r="J34" s="76">
        <f>EFEITO!$J$34*EFEITO!$Y$34</f>
        <v>0</v>
      </c>
      <c r="K34" s="76">
        <f ca="1">EFEITO!$L$34*EFEITO!$Z$34</f>
        <v>249109.70426183287</v>
      </c>
      <c r="L34" s="76">
        <f>EFEITO!$N$34*EFEITO!$AA$34</f>
        <v>0</v>
      </c>
      <c r="M34" s="76">
        <f>$J$34-EFEITO!$K$34*EFEITO!$Y$34</f>
        <v>0</v>
      </c>
      <c r="N34" s="76">
        <f ca="1">$K$34-EFEITO!$M$34*EFEITO!$Z$34</f>
        <v>0</v>
      </c>
      <c r="O34" s="76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62" t="s">
        <v>27</v>
      </c>
      <c r="B35" s="62" t="s">
        <v>59</v>
      </c>
      <c r="C35" s="62" t="s">
        <v>40</v>
      </c>
      <c r="D35" s="62" t="s">
        <v>38</v>
      </c>
      <c r="E35" s="62" t="s">
        <v>25</v>
      </c>
      <c r="F35" s="62" t="s">
        <v>25</v>
      </c>
      <c r="G35" s="62" t="s">
        <v>25</v>
      </c>
      <c r="H35" s="62" t="s">
        <v>25</v>
      </c>
      <c r="I35" s="75">
        <v>44470</v>
      </c>
      <c r="J35" s="76">
        <f>EFEITO!$J$35*EFEITO!$Y$35</f>
        <v>0</v>
      </c>
      <c r="K35" s="76">
        <f ca="1">EFEITO!$L$35*EFEITO!$Z$35</f>
        <v>-28817.693112193658</v>
      </c>
      <c r="L35" s="76">
        <f>EFEITO!$N$35*EFEITO!$AA$35</f>
        <v>0</v>
      </c>
      <c r="M35" s="76">
        <f>$J$35-EFEITO!$K$35*EFEITO!$Y$35</f>
        <v>0</v>
      </c>
      <c r="N35" s="76">
        <f ca="1">$K$35-EFEITO!$M$35*EFEITO!$Z$35</f>
        <v>0</v>
      </c>
      <c r="O35" s="76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62" t="s">
        <v>21</v>
      </c>
      <c r="B36" s="62" t="s">
        <v>59</v>
      </c>
      <c r="C36" s="62" t="s">
        <v>40</v>
      </c>
      <c r="D36" s="62" t="s">
        <v>38</v>
      </c>
      <c r="E36" s="62" t="s">
        <v>25</v>
      </c>
      <c r="F36" s="62" t="s">
        <v>25</v>
      </c>
      <c r="G36" s="62" t="s">
        <v>25</v>
      </c>
      <c r="H36" s="62" t="s">
        <v>25</v>
      </c>
      <c r="I36" s="75">
        <v>44501</v>
      </c>
      <c r="J36" s="76">
        <f>EFEITO!$J$36*EFEITO!$Y$36</f>
        <v>0</v>
      </c>
      <c r="K36" s="76">
        <f ca="1">EFEITO!$L$36*EFEITO!$Z$36</f>
        <v>288641.16184184432</v>
      </c>
      <c r="L36" s="76">
        <f>EFEITO!$N$36*EFEITO!$AA$36</f>
        <v>0</v>
      </c>
      <c r="M36" s="76">
        <f>$J$36-EFEITO!$K$36*EFEITO!$Y$36</f>
        <v>0</v>
      </c>
      <c r="N36" s="76">
        <f ca="1">$K$36-EFEITO!$M$36*EFEITO!$Z$36</f>
        <v>0</v>
      </c>
      <c r="O36" s="76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62" t="s">
        <v>27</v>
      </c>
      <c r="B37" s="62" t="s">
        <v>59</v>
      </c>
      <c r="C37" s="62" t="s">
        <v>40</v>
      </c>
      <c r="D37" s="62" t="s">
        <v>38</v>
      </c>
      <c r="E37" s="62" t="s">
        <v>25</v>
      </c>
      <c r="F37" s="62" t="s">
        <v>25</v>
      </c>
      <c r="G37" s="62" t="s">
        <v>25</v>
      </c>
      <c r="H37" s="62" t="s">
        <v>25</v>
      </c>
      <c r="I37" s="75">
        <v>44501</v>
      </c>
      <c r="J37" s="76">
        <f>EFEITO!$J$37*EFEITO!$Y$37</f>
        <v>0</v>
      </c>
      <c r="K37" s="76">
        <f ca="1">EFEITO!$L$37*EFEITO!$Z$37</f>
        <v>-33622.456757965192</v>
      </c>
      <c r="L37" s="76">
        <f>EFEITO!$N$37*EFEITO!$AA$37</f>
        <v>0</v>
      </c>
      <c r="M37" s="76">
        <f>$J$37-EFEITO!$K$37*EFEITO!$Y$37</f>
        <v>0</v>
      </c>
      <c r="N37" s="76">
        <f ca="1">$K$37-EFEITO!$M$37*EFEITO!$Z$37</f>
        <v>0</v>
      </c>
      <c r="O37" s="76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62" t="s">
        <v>21</v>
      </c>
      <c r="B38" s="62" t="s">
        <v>59</v>
      </c>
      <c r="C38" s="62" t="s">
        <v>40</v>
      </c>
      <c r="D38" s="62" t="s">
        <v>38</v>
      </c>
      <c r="E38" s="62" t="s">
        <v>25</v>
      </c>
      <c r="F38" s="62" t="s">
        <v>25</v>
      </c>
      <c r="G38" s="62" t="s">
        <v>25</v>
      </c>
      <c r="H38" s="62" t="s">
        <v>25</v>
      </c>
      <c r="I38" s="75">
        <v>44531</v>
      </c>
      <c r="J38" s="76">
        <f>EFEITO!$J$38*EFEITO!$Y$38</f>
        <v>0</v>
      </c>
      <c r="K38" s="76">
        <f ca="1">EFEITO!$L$38*EFEITO!$Z$38</f>
        <v>304024.35819373484</v>
      </c>
      <c r="L38" s="76">
        <f>EFEITO!$N$38*EFEITO!$AA$38</f>
        <v>0</v>
      </c>
      <c r="M38" s="76">
        <f>$J$38-EFEITO!$K$38*EFEITO!$Y$38</f>
        <v>0</v>
      </c>
      <c r="N38" s="76">
        <f ca="1">$K$38-EFEITO!$M$38*EFEITO!$Z$38</f>
        <v>0</v>
      </c>
      <c r="O38" s="76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62" t="s">
        <v>27</v>
      </c>
      <c r="B39" s="62" t="s">
        <v>59</v>
      </c>
      <c r="C39" s="62" t="s">
        <v>40</v>
      </c>
      <c r="D39" s="62" t="s">
        <v>38</v>
      </c>
      <c r="E39" s="62" t="s">
        <v>25</v>
      </c>
      <c r="F39" s="62" t="s">
        <v>25</v>
      </c>
      <c r="G39" s="62" t="s">
        <v>25</v>
      </c>
      <c r="H39" s="62" t="s">
        <v>25</v>
      </c>
      <c r="I39" s="75">
        <v>44531</v>
      </c>
      <c r="J39" s="76">
        <f>EFEITO!$J$39*EFEITO!$Y$39</f>
        <v>0</v>
      </c>
      <c r="K39" s="76">
        <f ca="1">EFEITO!$L$39*EFEITO!$Z$39</f>
        <v>-34902.275228512866</v>
      </c>
      <c r="L39" s="76">
        <f>EFEITO!$N$39*EFEITO!$AA$39</f>
        <v>0</v>
      </c>
      <c r="M39" s="76">
        <f>$J$39-EFEITO!$K$39*EFEITO!$Y$39</f>
        <v>0</v>
      </c>
      <c r="N39" s="76">
        <f ca="1">$K$39-EFEITO!$M$39*EFEITO!$Z$39</f>
        <v>0</v>
      </c>
      <c r="O39" s="76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62" t="s">
        <v>21</v>
      </c>
      <c r="B40" s="62" t="s">
        <v>59</v>
      </c>
      <c r="C40" s="62" t="s">
        <v>40</v>
      </c>
      <c r="D40" s="62" t="s">
        <v>38</v>
      </c>
      <c r="E40" s="62" t="s">
        <v>25</v>
      </c>
      <c r="F40" s="62" t="s">
        <v>25</v>
      </c>
      <c r="G40" s="62" t="s">
        <v>25</v>
      </c>
      <c r="H40" s="62" t="s">
        <v>25</v>
      </c>
      <c r="I40" s="75">
        <v>44562</v>
      </c>
      <c r="J40" s="76">
        <f>EFEITO!$J$40*EFEITO!$Y$40</f>
        <v>0</v>
      </c>
      <c r="K40" s="76">
        <f ca="1">EFEITO!$L$40*EFEITO!$Z$40</f>
        <v>301935.27134360361</v>
      </c>
      <c r="L40" s="76">
        <f>EFEITO!$N$40*EFEITO!$AA$40</f>
        <v>0</v>
      </c>
      <c r="M40" s="76">
        <f>$J$40-EFEITO!$K$40*EFEITO!$Y$40</f>
        <v>0</v>
      </c>
      <c r="N40" s="76">
        <f ca="1">$K$40-EFEITO!$M$40*EFEITO!$Z$40</f>
        <v>0</v>
      </c>
      <c r="O40" s="76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62" t="s">
        <v>27</v>
      </c>
      <c r="B41" s="62" t="s">
        <v>59</v>
      </c>
      <c r="C41" s="62" t="s">
        <v>40</v>
      </c>
      <c r="D41" s="62" t="s">
        <v>38</v>
      </c>
      <c r="E41" s="62" t="s">
        <v>25</v>
      </c>
      <c r="F41" s="62" t="s">
        <v>25</v>
      </c>
      <c r="G41" s="62" t="s">
        <v>25</v>
      </c>
      <c r="H41" s="62" t="s">
        <v>25</v>
      </c>
      <c r="I41" s="75">
        <v>44562</v>
      </c>
      <c r="J41" s="76">
        <f>EFEITO!$J$41*EFEITO!$Y$41</f>
        <v>0</v>
      </c>
      <c r="K41" s="76">
        <f ca="1">EFEITO!$L$41*EFEITO!$Z$41</f>
        <v>-33955.341780994306</v>
      </c>
      <c r="L41" s="76">
        <f>EFEITO!$N$41*EFEITO!$AA$41</f>
        <v>0</v>
      </c>
      <c r="M41" s="76">
        <f>$J$41-EFEITO!$K$41*EFEITO!$Y$41</f>
        <v>0</v>
      </c>
      <c r="N41" s="76">
        <f ca="1">$K$41-EFEITO!$M$41*EFEITO!$Z$41</f>
        <v>0</v>
      </c>
      <c r="O41" s="76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62" t="s">
        <v>21</v>
      </c>
      <c r="B42" s="62" t="s">
        <v>59</v>
      </c>
      <c r="C42" s="62" t="s">
        <v>40</v>
      </c>
      <c r="D42" s="62" t="s">
        <v>38</v>
      </c>
      <c r="E42" s="62" t="s">
        <v>25</v>
      </c>
      <c r="F42" s="62" t="s">
        <v>25</v>
      </c>
      <c r="G42" s="62" t="s">
        <v>25</v>
      </c>
      <c r="H42" s="62" t="s">
        <v>25</v>
      </c>
      <c r="I42" s="75">
        <v>44593</v>
      </c>
      <c r="J42" s="76">
        <f>EFEITO!$J$42*EFEITO!$Y$42</f>
        <v>0</v>
      </c>
      <c r="K42" s="76">
        <f ca="1">EFEITO!$L$42*EFEITO!$Z$42</f>
        <v>279980.99852514919</v>
      </c>
      <c r="L42" s="76">
        <f>EFEITO!$N$42*EFEITO!$AA$42</f>
        <v>0</v>
      </c>
      <c r="M42" s="76">
        <f>$J$42-EFEITO!$K$42*EFEITO!$Y$42</f>
        <v>0</v>
      </c>
      <c r="N42" s="76">
        <f ca="1">$K$42-EFEITO!$M$42*EFEITO!$Z$42</f>
        <v>0</v>
      </c>
      <c r="O42" s="76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62" t="s">
        <v>27</v>
      </c>
      <c r="B43" s="62" t="s">
        <v>59</v>
      </c>
      <c r="C43" s="62" t="s">
        <v>40</v>
      </c>
      <c r="D43" s="62" t="s">
        <v>38</v>
      </c>
      <c r="E43" s="62" t="s">
        <v>25</v>
      </c>
      <c r="F43" s="62" t="s">
        <v>25</v>
      </c>
      <c r="G43" s="62" t="s">
        <v>25</v>
      </c>
      <c r="H43" s="62" t="s">
        <v>25</v>
      </c>
      <c r="I43" s="75">
        <v>44593</v>
      </c>
      <c r="J43" s="76">
        <f>EFEITO!$J$43*EFEITO!$Y$43</f>
        <v>0</v>
      </c>
      <c r="K43" s="76">
        <f ca="1">EFEITO!$L$43*EFEITO!$Z$43</f>
        <v>-42309.939201842339</v>
      </c>
      <c r="L43" s="76">
        <f>EFEITO!$N$43*EFEITO!$AA$43</f>
        <v>0</v>
      </c>
      <c r="M43" s="76">
        <f>$J$43-EFEITO!$K$43*EFEITO!$Y$43</f>
        <v>0</v>
      </c>
      <c r="N43" s="76">
        <f ca="1">$K$43-EFEITO!$M$43*EFEITO!$Z$43</f>
        <v>0</v>
      </c>
      <c r="O43" s="76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62" t="s">
        <v>21</v>
      </c>
      <c r="B44" s="62" t="s">
        <v>59</v>
      </c>
      <c r="C44" s="62" t="s">
        <v>40</v>
      </c>
      <c r="D44" s="62" t="s">
        <v>38</v>
      </c>
      <c r="E44" s="62" t="s">
        <v>25</v>
      </c>
      <c r="F44" s="62" t="s">
        <v>25</v>
      </c>
      <c r="G44" s="62" t="s">
        <v>25</v>
      </c>
      <c r="H44" s="62" t="s">
        <v>25</v>
      </c>
      <c r="I44" s="75">
        <v>44621</v>
      </c>
      <c r="J44" s="76">
        <f>EFEITO!$J$44*EFEITO!$Y$44</f>
        <v>0</v>
      </c>
      <c r="K44" s="76">
        <f ca="1">EFEITO!$L$44*EFEITO!$Z$44</f>
        <v>260474.75283282588</v>
      </c>
      <c r="L44" s="76">
        <f>EFEITO!$N$44*EFEITO!$AA$44</f>
        <v>0</v>
      </c>
      <c r="M44" s="76">
        <f>$J$44-EFEITO!$K$44*EFEITO!$Y$44</f>
        <v>0</v>
      </c>
      <c r="N44" s="76">
        <f ca="1">$K$44-EFEITO!$M$44*EFEITO!$Z$44</f>
        <v>0</v>
      </c>
      <c r="O44" s="76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62" t="s">
        <v>27</v>
      </c>
      <c r="B45" s="62" t="s">
        <v>59</v>
      </c>
      <c r="C45" s="62" t="s">
        <v>40</v>
      </c>
      <c r="D45" s="62" t="s">
        <v>38</v>
      </c>
      <c r="E45" s="62" t="s">
        <v>25</v>
      </c>
      <c r="F45" s="62" t="s">
        <v>25</v>
      </c>
      <c r="G45" s="62" t="s">
        <v>25</v>
      </c>
      <c r="H45" s="62" t="s">
        <v>25</v>
      </c>
      <c r="I45" s="75">
        <v>44621</v>
      </c>
      <c r="J45" s="76">
        <f>EFEITO!$J$45*EFEITO!$Y$45</f>
        <v>0</v>
      </c>
      <c r="K45" s="76">
        <f ca="1">EFEITO!$L$45*EFEITO!$Z$45</f>
        <v>-50356.929083886607</v>
      </c>
      <c r="L45" s="76">
        <f>EFEITO!$N$45*EFEITO!$AA$45</f>
        <v>0</v>
      </c>
      <c r="M45" s="76">
        <f>$J$45-EFEITO!$K$45*EFEITO!$Y$45</f>
        <v>0</v>
      </c>
      <c r="N45" s="76">
        <f ca="1">$K$45-EFEITO!$M$45*EFEITO!$Z$45</f>
        <v>0</v>
      </c>
      <c r="O45" s="76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62" t="s">
        <v>21</v>
      </c>
      <c r="B46" s="62" t="s">
        <v>59</v>
      </c>
      <c r="C46" s="62" t="s">
        <v>40</v>
      </c>
      <c r="D46" s="62" t="s">
        <v>38</v>
      </c>
      <c r="E46" s="62" t="s">
        <v>25</v>
      </c>
      <c r="F46" s="62" t="s">
        <v>25</v>
      </c>
      <c r="G46" s="62" t="s">
        <v>25</v>
      </c>
      <c r="H46" s="62" t="s">
        <v>25</v>
      </c>
      <c r="I46" s="75">
        <v>44652</v>
      </c>
      <c r="J46" s="76">
        <f>EFEITO!$J$46*EFEITO!$Y$46</f>
        <v>0</v>
      </c>
      <c r="K46" s="76">
        <f ca="1">EFEITO!$L$46*EFEITO!$Z$46</f>
        <v>287616.74318306579</v>
      </c>
      <c r="L46" s="76">
        <f>EFEITO!$N$46*EFEITO!$AA$46</f>
        <v>0</v>
      </c>
      <c r="M46" s="76">
        <f>$J$46-EFEITO!$K$46*EFEITO!$Y$46</f>
        <v>0</v>
      </c>
      <c r="N46" s="76">
        <f ca="1">$K$46-EFEITO!$M$46*EFEITO!$Z$46</f>
        <v>0</v>
      </c>
      <c r="O46" s="76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62" t="s">
        <v>27</v>
      </c>
      <c r="B47" s="62" t="s">
        <v>59</v>
      </c>
      <c r="C47" s="62" t="s">
        <v>40</v>
      </c>
      <c r="D47" s="62" t="s">
        <v>38</v>
      </c>
      <c r="E47" s="62" t="s">
        <v>25</v>
      </c>
      <c r="F47" s="62" t="s">
        <v>25</v>
      </c>
      <c r="G47" s="62" t="s">
        <v>25</v>
      </c>
      <c r="H47" s="62" t="s">
        <v>25</v>
      </c>
      <c r="I47" s="75">
        <v>44652</v>
      </c>
      <c r="J47" s="76">
        <f>EFEITO!$J$47*EFEITO!$Y$47</f>
        <v>0</v>
      </c>
      <c r="K47" s="76">
        <f ca="1">EFEITO!$L$47*EFEITO!$Z$47</f>
        <v>-37956.086986213631</v>
      </c>
      <c r="L47" s="76">
        <f>EFEITO!$N$47*EFEITO!$AA$47</f>
        <v>0</v>
      </c>
      <c r="M47" s="76">
        <f>$J$47-EFEITO!$K$47*EFEITO!$Y$47</f>
        <v>0</v>
      </c>
      <c r="N47" s="76">
        <f ca="1">$K$47-EFEITO!$M$47*EFEITO!$Z$47</f>
        <v>0</v>
      </c>
      <c r="O47" s="76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62" t="s">
        <v>58</v>
      </c>
      <c r="B48" s="62" t="s">
        <v>59</v>
      </c>
      <c r="C48" s="62" t="s">
        <v>40</v>
      </c>
      <c r="D48" s="62" t="s">
        <v>38</v>
      </c>
      <c r="E48" s="62" t="s">
        <v>25</v>
      </c>
      <c r="F48" s="62" t="s">
        <v>25</v>
      </c>
      <c r="G48" s="62" t="s">
        <v>25</v>
      </c>
      <c r="H48" s="62" t="s">
        <v>25</v>
      </c>
      <c r="I48" s="75">
        <v>44682</v>
      </c>
      <c r="J48" s="76">
        <f>EFEITO!$J$48*EFEITO!$Y$48</f>
        <v>0</v>
      </c>
      <c r="K48" s="76">
        <f ca="1">EFEITO!$L$48*EFEITO!$Z$48</f>
        <v>287616.74318306579</v>
      </c>
      <c r="L48" s="76">
        <f>EFEITO!$N$48*EFEITO!$AA$48</f>
        <v>0</v>
      </c>
      <c r="M48" s="76">
        <f>$J$48-EFEITO!$K$48*EFEITO!$Y$48</f>
        <v>0</v>
      </c>
      <c r="N48" s="76">
        <f ca="1">$K$48-EFEITO!$M$48*EFEITO!$Z$48</f>
        <v>0</v>
      </c>
      <c r="O48" s="76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62" t="s">
        <v>58</v>
      </c>
      <c r="B49" s="62" t="s">
        <v>59</v>
      </c>
      <c r="C49" s="62" t="s">
        <v>40</v>
      </c>
      <c r="D49" s="62" t="s">
        <v>38</v>
      </c>
      <c r="E49" s="62" t="s">
        <v>25</v>
      </c>
      <c r="F49" s="62" t="s">
        <v>25</v>
      </c>
      <c r="G49" s="62" t="s">
        <v>25</v>
      </c>
      <c r="H49" s="62" t="s">
        <v>25</v>
      </c>
      <c r="I49" s="75">
        <v>44682</v>
      </c>
      <c r="J49" s="76">
        <f>EFEITO!$J$49*EFEITO!$Y$49</f>
        <v>0</v>
      </c>
      <c r="K49" s="76">
        <f ca="1">EFEITO!$L$49*EFEITO!$Z$49</f>
        <v>-37956.086986213631</v>
      </c>
      <c r="L49" s="76">
        <f>EFEITO!$N$49*EFEITO!$AA$49</f>
        <v>0</v>
      </c>
      <c r="M49" s="76">
        <f>$J$49-EFEITO!$K$49*EFEITO!$Y$49</f>
        <v>0</v>
      </c>
      <c r="N49" s="76">
        <f ca="1">$K$49-EFEITO!$M$49*EFEITO!$Z$49</f>
        <v>0</v>
      </c>
      <c r="O49" s="76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62" t="s">
        <v>21</v>
      </c>
      <c r="B50" s="62" t="s">
        <v>59</v>
      </c>
      <c r="C50" s="62" t="s">
        <v>40</v>
      </c>
      <c r="D50" s="62" t="s">
        <v>38</v>
      </c>
      <c r="E50" s="62" t="s">
        <v>25</v>
      </c>
      <c r="F50" s="62" t="s">
        <v>25</v>
      </c>
      <c r="G50" s="62" t="s">
        <v>25</v>
      </c>
      <c r="H50" s="62" t="s">
        <v>34</v>
      </c>
      <c r="I50" s="75">
        <v>44348</v>
      </c>
      <c r="J50" s="76">
        <f ca="1">EFEITO!$J$50*EFEITO!$Y$50</f>
        <v>169801.46467797161</v>
      </c>
      <c r="K50" s="76">
        <f ca="1">EFEITO!$L$50*EFEITO!$Z$50</f>
        <v>0</v>
      </c>
      <c r="L50" s="76">
        <f>EFEITO!$N$50*EFEITO!$AA$50</f>
        <v>0</v>
      </c>
      <c r="M50" s="76">
        <f ca="1">$J$50-EFEITO!$K$50*EFEITO!$Y$50</f>
        <v>0</v>
      </c>
      <c r="N50" s="76">
        <f ca="1">$K$50-EFEITO!$M$50*EFEITO!$Z$50</f>
        <v>0</v>
      </c>
      <c r="O50" s="76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62" t="s">
        <v>21</v>
      </c>
      <c r="B51" s="62" t="s">
        <v>59</v>
      </c>
      <c r="C51" s="62" t="s">
        <v>40</v>
      </c>
      <c r="D51" s="62" t="s">
        <v>38</v>
      </c>
      <c r="E51" s="62" t="s">
        <v>25</v>
      </c>
      <c r="F51" s="62" t="s">
        <v>25</v>
      </c>
      <c r="G51" s="62" t="s">
        <v>25</v>
      </c>
      <c r="H51" s="62" t="s">
        <v>34</v>
      </c>
      <c r="I51" s="75">
        <v>44378</v>
      </c>
      <c r="J51" s="76">
        <f ca="1">EFEITO!$J$51*EFEITO!$Y$51</f>
        <v>169801.46467797161</v>
      </c>
      <c r="K51" s="76">
        <f ca="1">EFEITO!$L$51*EFEITO!$Z$51</f>
        <v>0</v>
      </c>
      <c r="L51" s="76">
        <f>EFEITO!$N$51*EFEITO!$AA$51</f>
        <v>0</v>
      </c>
      <c r="M51" s="76">
        <f ca="1">$J$51-EFEITO!$K$51*EFEITO!$Y$51</f>
        <v>0</v>
      </c>
      <c r="N51" s="76">
        <f ca="1">$K$51-EFEITO!$M$51*EFEITO!$Z$51</f>
        <v>0</v>
      </c>
      <c r="O51" s="76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62" t="s">
        <v>21</v>
      </c>
      <c r="B52" s="62" t="s">
        <v>59</v>
      </c>
      <c r="C52" s="62" t="s">
        <v>40</v>
      </c>
      <c r="D52" s="62" t="s">
        <v>38</v>
      </c>
      <c r="E52" s="62" t="s">
        <v>25</v>
      </c>
      <c r="F52" s="62" t="s">
        <v>25</v>
      </c>
      <c r="G52" s="62" t="s">
        <v>25</v>
      </c>
      <c r="H52" s="62" t="s">
        <v>34</v>
      </c>
      <c r="I52" s="75">
        <v>44409</v>
      </c>
      <c r="J52" s="76">
        <f ca="1">EFEITO!$J$52*EFEITO!$Y$52</f>
        <v>169801.46467797161</v>
      </c>
      <c r="K52" s="76">
        <f ca="1">EFEITO!$L$52*EFEITO!$Z$52</f>
        <v>0</v>
      </c>
      <c r="L52" s="76">
        <f>EFEITO!$N$52*EFEITO!$AA$52</f>
        <v>0</v>
      </c>
      <c r="M52" s="76">
        <f ca="1">$J$52-EFEITO!$K$52*EFEITO!$Y$52</f>
        <v>0</v>
      </c>
      <c r="N52" s="76">
        <f ca="1">$K$52-EFEITO!$M$52*EFEITO!$Z$52</f>
        <v>0</v>
      </c>
      <c r="O52" s="76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62" t="s">
        <v>21</v>
      </c>
      <c r="B53" s="62" t="s">
        <v>59</v>
      </c>
      <c r="C53" s="62" t="s">
        <v>40</v>
      </c>
      <c r="D53" s="62" t="s">
        <v>38</v>
      </c>
      <c r="E53" s="62" t="s">
        <v>25</v>
      </c>
      <c r="F53" s="62" t="s">
        <v>25</v>
      </c>
      <c r="G53" s="62" t="s">
        <v>25</v>
      </c>
      <c r="H53" s="62" t="s">
        <v>34</v>
      </c>
      <c r="I53" s="75">
        <v>44440</v>
      </c>
      <c r="J53" s="76">
        <f ca="1">EFEITO!$J$53*EFEITO!$Y$53</f>
        <v>169801.46467797161</v>
      </c>
      <c r="K53" s="76">
        <f ca="1">EFEITO!$L$53*EFEITO!$Z$53</f>
        <v>0</v>
      </c>
      <c r="L53" s="76">
        <f>EFEITO!$N$53*EFEITO!$AA$53</f>
        <v>0</v>
      </c>
      <c r="M53" s="76">
        <f ca="1">$J$53-EFEITO!$K$53*EFEITO!$Y$53</f>
        <v>0</v>
      </c>
      <c r="N53" s="76">
        <f ca="1">$K$53-EFEITO!$M$53*EFEITO!$Z$53</f>
        <v>0</v>
      </c>
      <c r="O53" s="76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62" t="s">
        <v>21</v>
      </c>
      <c r="B54" s="62" t="s">
        <v>59</v>
      </c>
      <c r="C54" s="62" t="s">
        <v>40</v>
      </c>
      <c r="D54" s="62" t="s">
        <v>38</v>
      </c>
      <c r="E54" s="62" t="s">
        <v>25</v>
      </c>
      <c r="F54" s="62" t="s">
        <v>25</v>
      </c>
      <c r="G54" s="62" t="s">
        <v>25</v>
      </c>
      <c r="H54" s="62" t="s">
        <v>34</v>
      </c>
      <c r="I54" s="75">
        <v>44470</v>
      </c>
      <c r="J54" s="76">
        <f ca="1">EFEITO!$J$54*EFEITO!$Y$54</f>
        <v>169801.46467797161</v>
      </c>
      <c r="K54" s="76">
        <f ca="1">EFEITO!$L$54*EFEITO!$Z$54</f>
        <v>0</v>
      </c>
      <c r="L54" s="76">
        <f>EFEITO!$N$54*EFEITO!$AA$54</f>
        <v>0</v>
      </c>
      <c r="M54" s="76">
        <f ca="1">$J$54-EFEITO!$K$54*EFEITO!$Y$54</f>
        <v>0</v>
      </c>
      <c r="N54" s="76">
        <f ca="1">$K$54-EFEITO!$M$54*EFEITO!$Z$54</f>
        <v>0</v>
      </c>
      <c r="O54" s="76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62" t="s">
        <v>21</v>
      </c>
      <c r="B55" s="62" t="s">
        <v>59</v>
      </c>
      <c r="C55" s="62" t="s">
        <v>40</v>
      </c>
      <c r="D55" s="62" t="s">
        <v>38</v>
      </c>
      <c r="E55" s="62" t="s">
        <v>25</v>
      </c>
      <c r="F55" s="62" t="s">
        <v>25</v>
      </c>
      <c r="G55" s="62" t="s">
        <v>25</v>
      </c>
      <c r="H55" s="62" t="s">
        <v>34</v>
      </c>
      <c r="I55" s="75">
        <v>44501</v>
      </c>
      <c r="J55" s="76">
        <f ca="1">EFEITO!$J$55*EFEITO!$Y$55</f>
        <v>169801.46467797161</v>
      </c>
      <c r="K55" s="76">
        <f ca="1">EFEITO!$L$55*EFEITO!$Z$55</f>
        <v>0</v>
      </c>
      <c r="L55" s="76">
        <f>EFEITO!$N$55*EFEITO!$AA$55</f>
        <v>0</v>
      </c>
      <c r="M55" s="76">
        <f ca="1">$J$55-EFEITO!$K$55*EFEITO!$Y$55</f>
        <v>0</v>
      </c>
      <c r="N55" s="76">
        <f ca="1">$K$55-EFEITO!$M$55*EFEITO!$Z$55</f>
        <v>0</v>
      </c>
      <c r="O55" s="76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62" t="s">
        <v>21</v>
      </c>
      <c r="B56" s="62" t="s">
        <v>59</v>
      </c>
      <c r="C56" s="62" t="s">
        <v>40</v>
      </c>
      <c r="D56" s="62" t="s">
        <v>38</v>
      </c>
      <c r="E56" s="62" t="s">
        <v>25</v>
      </c>
      <c r="F56" s="62" t="s">
        <v>25</v>
      </c>
      <c r="G56" s="62" t="s">
        <v>25</v>
      </c>
      <c r="H56" s="62" t="s">
        <v>34</v>
      </c>
      <c r="I56" s="75">
        <v>44531</v>
      </c>
      <c r="J56" s="76">
        <f ca="1">EFEITO!$J$56*EFEITO!$Y$56</f>
        <v>169801.46467797161</v>
      </c>
      <c r="K56" s="76">
        <f ca="1">EFEITO!$L$56*EFEITO!$Z$56</f>
        <v>0</v>
      </c>
      <c r="L56" s="76">
        <f>EFEITO!$N$56*EFEITO!$AA$56</f>
        <v>0</v>
      </c>
      <c r="M56" s="76">
        <f ca="1">$J$56-EFEITO!$K$56*EFEITO!$Y$56</f>
        <v>0</v>
      </c>
      <c r="N56" s="76">
        <f ca="1">$K$56-EFEITO!$M$56*EFEITO!$Z$56</f>
        <v>0</v>
      </c>
      <c r="O56" s="76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62" t="s">
        <v>21</v>
      </c>
      <c r="B57" s="62" t="s">
        <v>59</v>
      </c>
      <c r="C57" s="62" t="s">
        <v>40</v>
      </c>
      <c r="D57" s="62" t="s">
        <v>38</v>
      </c>
      <c r="E57" s="62" t="s">
        <v>25</v>
      </c>
      <c r="F57" s="62" t="s">
        <v>25</v>
      </c>
      <c r="G57" s="62" t="s">
        <v>25</v>
      </c>
      <c r="H57" s="62" t="s">
        <v>34</v>
      </c>
      <c r="I57" s="75">
        <v>44562</v>
      </c>
      <c r="J57" s="76">
        <f ca="1">EFEITO!$J$57*EFEITO!$Y$57</f>
        <v>169801.46467797161</v>
      </c>
      <c r="K57" s="76">
        <f ca="1">EFEITO!$L$57*EFEITO!$Z$57</f>
        <v>0</v>
      </c>
      <c r="L57" s="76">
        <f>EFEITO!$N$57*EFEITO!$AA$57</f>
        <v>0</v>
      </c>
      <c r="M57" s="76">
        <f ca="1">$J$57-EFEITO!$K$57*EFEITO!$Y$57</f>
        <v>0</v>
      </c>
      <c r="N57" s="76">
        <f ca="1">$K$57-EFEITO!$M$57*EFEITO!$Z$57</f>
        <v>0</v>
      </c>
      <c r="O57" s="76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62" t="s">
        <v>21</v>
      </c>
      <c r="B58" s="62" t="s">
        <v>59</v>
      </c>
      <c r="C58" s="62" t="s">
        <v>40</v>
      </c>
      <c r="D58" s="62" t="s">
        <v>38</v>
      </c>
      <c r="E58" s="62" t="s">
        <v>25</v>
      </c>
      <c r="F58" s="62" t="s">
        <v>25</v>
      </c>
      <c r="G58" s="62" t="s">
        <v>25</v>
      </c>
      <c r="H58" s="62" t="s">
        <v>34</v>
      </c>
      <c r="I58" s="75">
        <v>44593</v>
      </c>
      <c r="J58" s="76">
        <f ca="1">EFEITO!$J$58*EFEITO!$Y$58</f>
        <v>169801.46467797161</v>
      </c>
      <c r="K58" s="76">
        <f ca="1">EFEITO!$L$58*EFEITO!$Z$58</f>
        <v>0</v>
      </c>
      <c r="L58" s="76">
        <f>EFEITO!$N$58*EFEITO!$AA$58</f>
        <v>0</v>
      </c>
      <c r="M58" s="76">
        <f ca="1">$J$58-EFEITO!$K$58*EFEITO!$Y$58</f>
        <v>0</v>
      </c>
      <c r="N58" s="76">
        <f ca="1">$K$58-EFEITO!$M$58*EFEITO!$Z$58</f>
        <v>0</v>
      </c>
      <c r="O58" s="76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62" t="s">
        <v>21</v>
      </c>
      <c r="B59" s="62" t="s">
        <v>59</v>
      </c>
      <c r="C59" s="62" t="s">
        <v>40</v>
      </c>
      <c r="D59" s="62" t="s">
        <v>38</v>
      </c>
      <c r="E59" s="62" t="s">
        <v>25</v>
      </c>
      <c r="F59" s="62" t="s">
        <v>25</v>
      </c>
      <c r="G59" s="62" t="s">
        <v>25</v>
      </c>
      <c r="H59" s="62" t="s">
        <v>34</v>
      </c>
      <c r="I59" s="75">
        <v>44621</v>
      </c>
      <c r="J59" s="76">
        <f ca="1">EFEITO!$J$59*EFEITO!$Y$59</f>
        <v>169801.46467797161</v>
      </c>
      <c r="K59" s="76">
        <f ca="1">EFEITO!$L$59*EFEITO!$Z$59</f>
        <v>0</v>
      </c>
      <c r="L59" s="76">
        <f>EFEITO!$N$59*EFEITO!$AA$59</f>
        <v>0</v>
      </c>
      <c r="M59" s="76">
        <f ca="1">$J$59-EFEITO!$K$59*EFEITO!$Y$59</f>
        <v>0</v>
      </c>
      <c r="N59" s="76">
        <f ca="1">$K$59-EFEITO!$M$59*EFEITO!$Z$59</f>
        <v>0</v>
      </c>
      <c r="O59" s="76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62" t="s">
        <v>21</v>
      </c>
      <c r="B60" s="62" t="s">
        <v>59</v>
      </c>
      <c r="C60" s="62" t="s">
        <v>40</v>
      </c>
      <c r="D60" s="62" t="s">
        <v>38</v>
      </c>
      <c r="E60" s="62" t="s">
        <v>25</v>
      </c>
      <c r="F60" s="62" t="s">
        <v>25</v>
      </c>
      <c r="G60" s="62" t="s">
        <v>25</v>
      </c>
      <c r="H60" s="62" t="s">
        <v>34</v>
      </c>
      <c r="I60" s="75">
        <v>44652</v>
      </c>
      <c r="J60" s="76">
        <f ca="1">EFEITO!$J$60*EFEITO!$Y$60</f>
        <v>169801.46467797161</v>
      </c>
      <c r="K60" s="76">
        <f ca="1">EFEITO!$L$60*EFEITO!$Z$60</f>
        <v>0</v>
      </c>
      <c r="L60" s="76">
        <f>EFEITO!$N$60*EFEITO!$AA$60</f>
        <v>0</v>
      </c>
      <c r="M60" s="76">
        <f ca="1">$J$60-EFEITO!$K$60*EFEITO!$Y$60</f>
        <v>0</v>
      </c>
      <c r="N60" s="76">
        <f ca="1">$K$60-EFEITO!$M$60*EFEITO!$Z$60</f>
        <v>0</v>
      </c>
      <c r="O60" s="76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62" t="s">
        <v>58</v>
      </c>
      <c r="B61" s="62" t="s">
        <v>59</v>
      </c>
      <c r="C61" s="62" t="s">
        <v>40</v>
      </c>
      <c r="D61" s="62" t="s">
        <v>38</v>
      </c>
      <c r="E61" s="62" t="s">
        <v>25</v>
      </c>
      <c r="F61" s="62" t="s">
        <v>25</v>
      </c>
      <c r="G61" s="62" t="s">
        <v>25</v>
      </c>
      <c r="H61" s="62" t="s">
        <v>34</v>
      </c>
      <c r="I61" s="75">
        <v>44682</v>
      </c>
      <c r="J61" s="76">
        <f ca="1">EFEITO!$J$61*EFEITO!$Y$61</f>
        <v>169801.46467797161</v>
      </c>
      <c r="K61" s="76">
        <f ca="1">EFEITO!$L$61*EFEITO!$Z$61</f>
        <v>0</v>
      </c>
      <c r="L61" s="76">
        <f>EFEITO!$N$61*EFEITO!$AA$61</f>
        <v>0</v>
      </c>
      <c r="M61" s="76">
        <f ca="1">$J$61-EFEITO!$K$61*EFEITO!$Y$61</f>
        <v>0</v>
      </c>
      <c r="N61" s="76">
        <f ca="1">$K$61-EFEITO!$M$61*EFEITO!$Z$61</f>
        <v>0</v>
      </c>
      <c r="O61" s="76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62" t="s">
        <v>21</v>
      </c>
      <c r="B62" s="62" t="s">
        <v>59</v>
      </c>
      <c r="C62" s="62" t="s">
        <v>64</v>
      </c>
      <c r="D62" s="62" t="s">
        <v>25</v>
      </c>
      <c r="E62" s="62" t="s">
        <v>25</v>
      </c>
      <c r="F62" s="62" t="s">
        <v>25</v>
      </c>
      <c r="G62" s="62" t="s">
        <v>65</v>
      </c>
      <c r="H62" s="62" t="s">
        <v>25</v>
      </c>
      <c r="I62" s="75">
        <v>44348</v>
      </c>
      <c r="J62" s="76">
        <f ca="1">EFEITO!$J$62*EFEITO!$Y$62</f>
        <v>8776.9839480853552</v>
      </c>
      <c r="K62" s="76">
        <f>EFEITO!$L$62*EFEITO!$Z$62</f>
        <v>0</v>
      </c>
      <c r="L62" s="76">
        <f>EFEITO!$N$62*EFEITO!$AA$62</f>
        <v>0</v>
      </c>
      <c r="M62" s="76">
        <f ca="1">$J$62-EFEITO!$K$62*EFEITO!$Y$62</f>
        <v>4388.4919740426776</v>
      </c>
      <c r="N62" s="76">
        <f>$K$62-EFEITO!$M$62*EFEITO!$Z$62</f>
        <v>0</v>
      </c>
      <c r="O62" s="76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62" t="s">
        <v>21</v>
      </c>
      <c r="B63" s="62" t="s">
        <v>59</v>
      </c>
      <c r="C63" s="62" t="s">
        <v>64</v>
      </c>
      <c r="D63" s="62" t="s">
        <v>25</v>
      </c>
      <c r="E63" s="62" t="s">
        <v>25</v>
      </c>
      <c r="F63" s="62" t="s">
        <v>25</v>
      </c>
      <c r="G63" s="62" t="s">
        <v>67</v>
      </c>
      <c r="H63" s="62" t="s">
        <v>25</v>
      </c>
      <c r="I63" s="75">
        <v>44348</v>
      </c>
      <c r="J63" s="76">
        <f ca="1">EFEITO!$J$63*EFEITO!$Y$63</f>
        <v>162990.57043755925</v>
      </c>
      <c r="K63" s="76">
        <f>EFEITO!$L$63*EFEITO!$Z$63</f>
        <v>0</v>
      </c>
      <c r="L63" s="76">
        <f>EFEITO!$N$63*EFEITO!$AA$63</f>
        <v>0</v>
      </c>
      <c r="M63" s="76">
        <f ca="1">$J$63-EFEITO!$K$63*EFEITO!$Y$63</f>
        <v>62688.680185258607</v>
      </c>
      <c r="N63" s="76">
        <f>$K$63-EFEITO!$M$63*EFEITO!$Z$63</f>
        <v>0</v>
      </c>
      <c r="O63" s="76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62" t="s">
        <v>21</v>
      </c>
      <c r="B64" s="62" t="s">
        <v>59</v>
      </c>
      <c r="C64" s="62" t="s">
        <v>64</v>
      </c>
      <c r="D64" s="62" t="s">
        <v>25</v>
      </c>
      <c r="E64" s="62" t="s">
        <v>25</v>
      </c>
      <c r="F64" s="62" t="s">
        <v>25</v>
      </c>
      <c r="G64" s="62" t="s">
        <v>69</v>
      </c>
      <c r="H64" s="62" t="s">
        <v>25</v>
      </c>
      <c r="I64" s="75">
        <v>44348</v>
      </c>
      <c r="J64" s="76">
        <f ca="1">EFEITO!$J$64*EFEITO!$Y$64</f>
        <v>131396.92627848388</v>
      </c>
      <c r="K64" s="76">
        <f>EFEITO!$L$64*EFEITO!$Z$64</f>
        <v>0</v>
      </c>
      <c r="L64" s="76">
        <f>EFEITO!$N$64*EFEITO!$AA$64</f>
        <v>0</v>
      </c>
      <c r="M64" s="76">
        <f ca="1">$J$64-EFEITO!$K$64*EFEITO!$Y$64</f>
        <v>0</v>
      </c>
      <c r="N64" s="76">
        <f>$K$64-EFEITO!$M$64*EFEITO!$Z$64</f>
        <v>0</v>
      </c>
      <c r="O64" s="76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62" t="s">
        <v>21</v>
      </c>
      <c r="B65" s="62" t="s">
        <v>59</v>
      </c>
      <c r="C65" s="62" t="s">
        <v>64</v>
      </c>
      <c r="D65" s="62" t="s">
        <v>25</v>
      </c>
      <c r="E65" s="62" t="s">
        <v>25</v>
      </c>
      <c r="F65" s="62" t="s">
        <v>25</v>
      </c>
      <c r="G65" s="62" t="s">
        <v>72</v>
      </c>
      <c r="H65" s="62" t="s">
        <v>25</v>
      </c>
      <c r="I65" s="75">
        <v>44348</v>
      </c>
      <c r="J65" s="76">
        <f ca="1">EFEITO!$J$65*EFEITO!$Y$65</f>
        <v>93671.273797840127</v>
      </c>
      <c r="K65" s="76">
        <f>EFEITO!$L$65*EFEITO!$Z$65</f>
        <v>0</v>
      </c>
      <c r="L65" s="76">
        <f>EFEITO!$N$65*EFEITO!$AA$65</f>
        <v>0</v>
      </c>
      <c r="M65" s="76">
        <f ca="1">$J$65-EFEITO!$K$65*EFEITO!$Y$65</f>
        <v>93671.273797840127</v>
      </c>
      <c r="N65" s="76">
        <f>$K$65-EFEITO!$M$65*EFEITO!$Z$65</f>
        <v>0</v>
      </c>
      <c r="O65" s="76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62" t="s">
        <v>21</v>
      </c>
      <c r="B66" s="62" t="s">
        <v>59</v>
      </c>
      <c r="C66" s="62" t="s">
        <v>64</v>
      </c>
      <c r="D66" s="62" t="s">
        <v>25</v>
      </c>
      <c r="E66" s="62" t="s">
        <v>25</v>
      </c>
      <c r="F66" s="62" t="s">
        <v>25</v>
      </c>
      <c r="G66" s="62" t="s">
        <v>73</v>
      </c>
      <c r="H66" s="62" t="s">
        <v>25</v>
      </c>
      <c r="I66" s="75">
        <v>44348</v>
      </c>
      <c r="J66" s="76">
        <f ca="1">EFEITO!$J$66*EFEITO!$Y$66</f>
        <v>28471.679636472003</v>
      </c>
      <c r="K66" s="76">
        <f>EFEITO!$L$66*EFEITO!$Z$66</f>
        <v>0</v>
      </c>
      <c r="L66" s="76">
        <f>EFEITO!$N$66*EFEITO!$AA$66</f>
        <v>0</v>
      </c>
      <c r="M66" s="76">
        <f ca="1">$J$66-EFEITO!$K$66*EFEITO!$Y$66</f>
        <v>14235.839818236002</v>
      </c>
      <c r="N66" s="76">
        <f>$K$66-EFEITO!$M$66*EFEITO!$Z$66</f>
        <v>0</v>
      </c>
      <c r="O66" s="76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62" t="s">
        <v>21</v>
      </c>
      <c r="B67" s="62" t="s">
        <v>59</v>
      </c>
      <c r="C67" s="62" t="s">
        <v>64</v>
      </c>
      <c r="D67" s="62" t="s">
        <v>25</v>
      </c>
      <c r="E67" s="62" t="s">
        <v>25</v>
      </c>
      <c r="F67" s="62" t="s">
        <v>25</v>
      </c>
      <c r="G67" s="62" t="s">
        <v>75</v>
      </c>
      <c r="H67" s="62" t="s">
        <v>25</v>
      </c>
      <c r="I67" s="75">
        <v>44348</v>
      </c>
      <c r="J67" s="76">
        <f ca="1">EFEITO!$J$67*EFEITO!$Y$67</f>
        <v>228174.82355281652</v>
      </c>
      <c r="K67" s="76">
        <f>EFEITO!$L$67*EFEITO!$Z$67</f>
        <v>0</v>
      </c>
      <c r="L67" s="76">
        <f>EFEITO!$N$67*EFEITO!$AA$67</f>
        <v>0</v>
      </c>
      <c r="M67" s="76">
        <f ca="1">$J$67-EFEITO!$K$67*EFEITO!$Y$67</f>
        <v>0</v>
      </c>
      <c r="N67" s="76">
        <f>$K$67-EFEITO!$M$67*EFEITO!$Z$67</f>
        <v>0</v>
      </c>
      <c r="O67" s="76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62" t="s">
        <v>21</v>
      </c>
      <c r="B68" s="62" t="s">
        <v>59</v>
      </c>
      <c r="C68" s="62" t="s">
        <v>64</v>
      </c>
      <c r="D68" s="62" t="s">
        <v>25</v>
      </c>
      <c r="E68" s="62" t="s">
        <v>25</v>
      </c>
      <c r="F68" s="62" t="s">
        <v>25</v>
      </c>
      <c r="G68" s="62" t="s">
        <v>86</v>
      </c>
      <c r="H68" s="62" t="s">
        <v>25</v>
      </c>
      <c r="I68" s="75">
        <v>44348</v>
      </c>
      <c r="J68" s="76">
        <f ca="1">EFEITO!$J$68*EFEITO!$Y$68</f>
        <v>118389.58392442796</v>
      </c>
      <c r="K68" s="76">
        <f>EFEITO!$L$68*EFEITO!$Z$68</f>
        <v>0</v>
      </c>
      <c r="L68" s="76">
        <f>EFEITO!$N$68*EFEITO!$AA$68</f>
        <v>0</v>
      </c>
      <c r="M68" s="76">
        <f ca="1">$J$68-EFEITO!$K$68*EFEITO!$Y$68</f>
        <v>59194.791962213982</v>
      </c>
      <c r="N68" s="76">
        <f>$K$68-EFEITO!$M$68*EFEITO!$Z$68</f>
        <v>0</v>
      </c>
      <c r="O68" s="76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62" t="s">
        <v>21</v>
      </c>
      <c r="B69" s="62" t="s">
        <v>59</v>
      </c>
      <c r="C69" s="62" t="s">
        <v>64</v>
      </c>
      <c r="D69" s="62" t="s">
        <v>25</v>
      </c>
      <c r="E69" s="62" t="s">
        <v>25</v>
      </c>
      <c r="F69" s="62" t="s">
        <v>25</v>
      </c>
      <c r="G69" s="62" t="s">
        <v>87</v>
      </c>
      <c r="H69" s="62" t="s">
        <v>25</v>
      </c>
      <c r="I69" s="75">
        <v>44348</v>
      </c>
      <c r="J69" s="76">
        <f ca="1">EFEITO!$J$69*EFEITO!$Y$69</f>
        <v>146574.78021997074</v>
      </c>
      <c r="K69" s="76">
        <f>EFEITO!$L$69*EFEITO!$Z$69</f>
        <v>0</v>
      </c>
      <c r="L69" s="76">
        <f>EFEITO!$N$69*EFEITO!$AA$69</f>
        <v>0</v>
      </c>
      <c r="M69" s="76">
        <f ca="1">$J$69-EFEITO!$K$69*EFEITO!$Y$69</f>
        <v>146574.78021997074</v>
      </c>
      <c r="N69" s="76">
        <f>$K$69-EFEITO!$M$69*EFEITO!$Z$69</f>
        <v>0</v>
      </c>
      <c r="O69" s="76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62" t="s">
        <v>21</v>
      </c>
      <c r="B70" s="62" t="s">
        <v>59</v>
      </c>
      <c r="C70" s="62" t="s">
        <v>64</v>
      </c>
      <c r="D70" s="62" t="s">
        <v>25</v>
      </c>
      <c r="E70" s="62" t="s">
        <v>25</v>
      </c>
      <c r="F70" s="62" t="s">
        <v>25</v>
      </c>
      <c r="G70" s="62" t="s">
        <v>89</v>
      </c>
      <c r="H70" s="62" t="s">
        <v>25</v>
      </c>
      <c r="I70" s="75">
        <v>44348</v>
      </c>
      <c r="J70" s="76">
        <f ca="1">EFEITO!$J$70*EFEITO!$Y$70</f>
        <v>70997.935711932165</v>
      </c>
      <c r="K70" s="76">
        <f>EFEITO!$L$70*EFEITO!$Z$70</f>
        <v>0</v>
      </c>
      <c r="L70" s="76">
        <f>EFEITO!$N$70*EFEITO!$AA$70</f>
        <v>0</v>
      </c>
      <c r="M70" s="76">
        <f ca="1">$J$70-EFEITO!$K$70*EFEITO!$Y$70</f>
        <v>70997.935711932165</v>
      </c>
      <c r="N70" s="76">
        <f>$K$70-EFEITO!$M$70*EFEITO!$Z$70</f>
        <v>0</v>
      </c>
      <c r="O70" s="76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62" t="s">
        <v>21</v>
      </c>
      <c r="B71" s="62" t="s">
        <v>59</v>
      </c>
      <c r="C71" s="62" t="s">
        <v>64</v>
      </c>
      <c r="D71" s="62" t="s">
        <v>25</v>
      </c>
      <c r="E71" s="62" t="s">
        <v>25</v>
      </c>
      <c r="F71" s="62" t="s">
        <v>25</v>
      </c>
      <c r="G71" s="62" t="s">
        <v>92</v>
      </c>
      <c r="H71" s="62" t="s">
        <v>25</v>
      </c>
      <c r="I71" s="75">
        <v>44348</v>
      </c>
      <c r="J71" s="76">
        <f ca="1">EFEITO!$J$71*EFEITO!$Y$71</f>
        <v>42794.704824821754</v>
      </c>
      <c r="K71" s="76">
        <f>EFEITO!$L$71*EFEITO!$Z$71</f>
        <v>0</v>
      </c>
      <c r="L71" s="76">
        <f>EFEITO!$N$71*EFEITO!$AA$71</f>
        <v>0</v>
      </c>
      <c r="M71" s="76">
        <f ca="1">$J$71-EFEITO!$K$71*EFEITO!$Y$71</f>
        <v>21397.352412410877</v>
      </c>
      <c r="N71" s="76">
        <f>$K$71-EFEITO!$M$71*EFEITO!$Z$71</f>
        <v>0</v>
      </c>
      <c r="O71" s="76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62" t="s">
        <v>21</v>
      </c>
      <c r="B72" s="62" t="s">
        <v>59</v>
      </c>
      <c r="C72" s="62" t="s">
        <v>64</v>
      </c>
      <c r="D72" s="62" t="s">
        <v>25</v>
      </c>
      <c r="E72" s="62" t="s">
        <v>25</v>
      </c>
      <c r="F72" s="62" t="s">
        <v>25</v>
      </c>
      <c r="G72" s="62" t="s">
        <v>65</v>
      </c>
      <c r="H72" s="62" t="s">
        <v>25</v>
      </c>
      <c r="I72" s="75">
        <v>44378</v>
      </c>
      <c r="J72" s="76">
        <f ca="1">EFEITO!$J$72*EFEITO!$Y$72</f>
        <v>8776.9839480853552</v>
      </c>
      <c r="K72" s="76">
        <f>EFEITO!$L$72*EFEITO!$Z$72</f>
        <v>0</v>
      </c>
      <c r="L72" s="76">
        <f>EFEITO!$N$72*EFEITO!$AA$72</f>
        <v>0</v>
      </c>
      <c r="M72" s="76">
        <f ca="1">$J$72-EFEITO!$K$72*EFEITO!$Y$72</f>
        <v>4388.4919740426776</v>
      </c>
      <c r="N72" s="76">
        <f>$K$72-EFEITO!$M$72*EFEITO!$Z$72</f>
        <v>0</v>
      </c>
      <c r="O72" s="76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62" t="s">
        <v>21</v>
      </c>
      <c r="B73" s="62" t="s">
        <v>59</v>
      </c>
      <c r="C73" s="62" t="s">
        <v>64</v>
      </c>
      <c r="D73" s="62" t="s">
        <v>25</v>
      </c>
      <c r="E73" s="62" t="s">
        <v>25</v>
      </c>
      <c r="F73" s="62" t="s">
        <v>25</v>
      </c>
      <c r="G73" s="62" t="s">
        <v>67</v>
      </c>
      <c r="H73" s="62" t="s">
        <v>25</v>
      </c>
      <c r="I73" s="75">
        <v>44378</v>
      </c>
      <c r="J73" s="76">
        <f ca="1">EFEITO!$J$73*EFEITO!$Y$73</f>
        <v>162990.57043755925</v>
      </c>
      <c r="K73" s="76">
        <f>EFEITO!$L$73*EFEITO!$Z$73</f>
        <v>0</v>
      </c>
      <c r="L73" s="76">
        <f>EFEITO!$N$73*EFEITO!$AA$73</f>
        <v>0</v>
      </c>
      <c r="M73" s="76">
        <f ca="1">$J$73-EFEITO!$K$73*EFEITO!$Y$73</f>
        <v>62688.680185258607</v>
      </c>
      <c r="N73" s="76">
        <f>$K$73-EFEITO!$M$73*EFEITO!$Z$73</f>
        <v>0</v>
      </c>
      <c r="O73" s="76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62" t="s">
        <v>21</v>
      </c>
      <c r="B74" s="62" t="s">
        <v>59</v>
      </c>
      <c r="C74" s="62" t="s">
        <v>64</v>
      </c>
      <c r="D74" s="62" t="s">
        <v>25</v>
      </c>
      <c r="E74" s="62" t="s">
        <v>25</v>
      </c>
      <c r="F74" s="62" t="s">
        <v>25</v>
      </c>
      <c r="G74" s="62" t="s">
        <v>69</v>
      </c>
      <c r="H74" s="62" t="s">
        <v>25</v>
      </c>
      <c r="I74" s="75">
        <v>44378</v>
      </c>
      <c r="J74" s="76">
        <f ca="1">EFEITO!$J$74*EFEITO!$Y$74</f>
        <v>131396.92627848388</v>
      </c>
      <c r="K74" s="76">
        <f>EFEITO!$L$74*EFEITO!$Z$74</f>
        <v>0</v>
      </c>
      <c r="L74" s="76">
        <f>EFEITO!$N$74*EFEITO!$AA$74</f>
        <v>0</v>
      </c>
      <c r="M74" s="76">
        <f ca="1">$J$74-EFEITO!$K$74*EFEITO!$Y$74</f>
        <v>0</v>
      </c>
      <c r="N74" s="76">
        <f>$K$74-EFEITO!$M$74*EFEITO!$Z$74</f>
        <v>0</v>
      </c>
      <c r="O74" s="76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62" t="s">
        <v>21</v>
      </c>
      <c r="B75" s="62" t="s">
        <v>59</v>
      </c>
      <c r="C75" s="62" t="s">
        <v>64</v>
      </c>
      <c r="D75" s="62" t="s">
        <v>25</v>
      </c>
      <c r="E75" s="62" t="s">
        <v>25</v>
      </c>
      <c r="F75" s="62" t="s">
        <v>25</v>
      </c>
      <c r="G75" s="62" t="s">
        <v>72</v>
      </c>
      <c r="H75" s="62" t="s">
        <v>25</v>
      </c>
      <c r="I75" s="75">
        <v>44378</v>
      </c>
      <c r="J75" s="76">
        <f ca="1">EFEITO!$J$75*EFEITO!$Y$75</f>
        <v>93671.273797840127</v>
      </c>
      <c r="K75" s="76">
        <f>EFEITO!$L$75*EFEITO!$Z$75</f>
        <v>0</v>
      </c>
      <c r="L75" s="76">
        <f>EFEITO!$N$75*EFEITO!$AA$75</f>
        <v>0</v>
      </c>
      <c r="M75" s="76">
        <f ca="1">$J$75-EFEITO!$K$75*EFEITO!$Y$75</f>
        <v>93671.273797840127</v>
      </c>
      <c r="N75" s="76">
        <f>$K$75-EFEITO!$M$75*EFEITO!$Z$75</f>
        <v>0</v>
      </c>
      <c r="O75" s="76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62" t="s">
        <v>21</v>
      </c>
      <c r="B76" s="62" t="s">
        <v>59</v>
      </c>
      <c r="C76" s="62" t="s">
        <v>64</v>
      </c>
      <c r="D76" s="62" t="s">
        <v>25</v>
      </c>
      <c r="E76" s="62" t="s">
        <v>25</v>
      </c>
      <c r="F76" s="62" t="s">
        <v>25</v>
      </c>
      <c r="G76" s="62" t="s">
        <v>73</v>
      </c>
      <c r="H76" s="62" t="s">
        <v>25</v>
      </c>
      <c r="I76" s="75">
        <v>44378</v>
      </c>
      <c r="J76" s="76">
        <f ca="1">EFEITO!$J$76*EFEITO!$Y$76</f>
        <v>28471.679636472003</v>
      </c>
      <c r="K76" s="76">
        <f>EFEITO!$L$76*EFEITO!$Z$76</f>
        <v>0</v>
      </c>
      <c r="L76" s="76">
        <f>EFEITO!$N$76*EFEITO!$AA$76</f>
        <v>0</v>
      </c>
      <c r="M76" s="76">
        <f ca="1">$J$76-EFEITO!$K$76*EFEITO!$Y$76</f>
        <v>14235.839818236002</v>
      </c>
      <c r="N76" s="76">
        <f>$K$76-EFEITO!$M$76*EFEITO!$Z$76</f>
        <v>0</v>
      </c>
      <c r="O76" s="76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62" t="s">
        <v>21</v>
      </c>
      <c r="B77" s="62" t="s">
        <v>59</v>
      </c>
      <c r="C77" s="62" t="s">
        <v>64</v>
      </c>
      <c r="D77" s="62" t="s">
        <v>25</v>
      </c>
      <c r="E77" s="62" t="s">
        <v>25</v>
      </c>
      <c r="F77" s="62" t="s">
        <v>25</v>
      </c>
      <c r="G77" s="62" t="s">
        <v>75</v>
      </c>
      <c r="H77" s="62" t="s">
        <v>25</v>
      </c>
      <c r="I77" s="75">
        <v>44378</v>
      </c>
      <c r="J77" s="76">
        <f ca="1">EFEITO!$J$77*EFEITO!$Y$77</f>
        <v>232054.89267620791</v>
      </c>
      <c r="K77" s="76">
        <f>EFEITO!$L$77*EFEITO!$Z$77</f>
        <v>0</v>
      </c>
      <c r="L77" s="76">
        <f>EFEITO!$N$77*EFEITO!$AA$77</f>
        <v>0</v>
      </c>
      <c r="M77" s="76">
        <f ca="1">$J$77-EFEITO!$K$77*EFEITO!$Y$77</f>
        <v>0</v>
      </c>
      <c r="N77" s="76">
        <f>$K$77-EFEITO!$M$77*EFEITO!$Z$77</f>
        <v>0</v>
      </c>
      <c r="O77" s="76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62" t="s">
        <v>21</v>
      </c>
      <c r="B78" s="62" t="s">
        <v>59</v>
      </c>
      <c r="C78" s="62" t="s">
        <v>64</v>
      </c>
      <c r="D78" s="62" t="s">
        <v>25</v>
      </c>
      <c r="E78" s="62" t="s">
        <v>25</v>
      </c>
      <c r="F78" s="62" t="s">
        <v>25</v>
      </c>
      <c r="G78" s="62" t="s">
        <v>86</v>
      </c>
      <c r="H78" s="62" t="s">
        <v>25</v>
      </c>
      <c r="I78" s="75">
        <v>44378</v>
      </c>
      <c r="J78" s="76">
        <f ca="1">EFEITO!$J$78*EFEITO!$Y$78</f>
        <v>118389.58392442796</v>
      </c>
      <c r="K78" s="76">
        <f>EFEITO!$L$78*EFEITO!$Z$78</f>
        <v>0</v>
      </c>
      <c r="L78" s="76">
        <f>EFEITO!$N$78*EFEITO!$AA$78</f>
        <v>0</v>
      </c>
      <c r="M78" s="76">
        <f ca="1">$J$78-EFEITO!$K$78*EFEITO!$Y$78</f>
        <v>59194.791962213982</v>
      </c>
      <c r="N78" s="76">
        <f>$K$78-EFEITO!$M$78*EFEITO!$Z$78</f>
        <v>0</v>
      </c>
      <c r="O78" s="76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62" t="s">
        <v>21</v>
      </c>
      <c r="B79" s="62" t="s">
        <v>59</v>
      </c>
      <c r="C79" s="62" t="s">
        <v>64</v>
      </c>
      <c r="D79" s="62" t="s">
        <v>25</v>
      </c>
      <c r="E79" s="62" t="s">
        <v>25</v>
      </c>
      <c r="F79" s="62" t="s">
        <v>25</v>
      </c>
      <c r="G79" s="62" t="s">
        <v>87</v>
      </c>
      <c r="H79" s="62" t="s">
        <v>25</v>
      </c>
      <c r="I79" s="75">
        <v>44378</v>
      </c>
      <c r="J79" s="76">
        <f ca="1">EFEITO!$J$79*EFEITO!$Y$79</f>
        <v>146574.78021997074</v>
      </c>
      <c r="K79" s="76">
        <f>EFEITO!$L$79*EFEITO!$Z$79</f>
        <v>0</v>
      </c>
      <c r="L79" s="76">
        <f>EFEITO!$N$79*EFEITO!$AA$79</f>
        <v>0</v>
      </c>
      <c r="M79" s="76">
        <f ca="1">$J$79-EFEITO!$K$79*EFEITO!$Y$79</f>
        <v>146574.78021997074</v>
      </c>
      <c r="N79" s="76">
        <f>$K$79-EFEITO!$M$79*EFEITO!$Z$79</f>
        <v>0</v>
      </c>
      <c r="O79" s="76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62" t="s">
        <v>21</v>
      </c>
      <c r="B80" s="62" t="s">
        <v>59</v>
      </c>
      <c r="C80" s="62" t="s">
        <v>64</v>
      </c>
      <c r="D80" s="62" t="s">
        <v>25</v>
      </c>
      <c r="E80" s="62" t="s">
        <v>25</v>
      </c>
      <c r="F80" s="62" t="s">
        <v>25</v>
      </c>
      <c r="G80" s="62" t="s">
        <v>89</v>
      </c>
      <c r="H80" s="62" t="s">
        <v>25</v>
      </c>
      <c r="I80" s="75">
        <v>44378</v>
      </c>
      <c r="J80" s="76">
        <f ca="1">EFEITO!$J$80*EFEITO!$Y$80</f>
        <v>70997.935711932165</v>
      </c>
      <c r="K80" s="76">
        <f>EFEITO!$L$80*EFEITO!$Z$80</f>
        <v>0</v>
      </c>
      <c r="L80" s="76">
        <f>EFEITO!$N$80*EFEITO!$AA$80</f>
        <v>0</v>
      </c>
      <c r="M80" s="76">
        <f ca="1">$J$80-EFEITO!$K$80*EFEITO!$Y$80</f>
        <v>70997.935711932165</v>
      </c>
      <c r="N80" s="76">
        <f>$K$80-EFEITO!$M$80*EFEITO!$Z$80</f>
        <v>0</v>
      </c>
      <c r="O80" s="76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62" t="s">
        <v>21</v>
      </c>
      <c r="B81" s="62" t="s">
        <v>59</v>
      </c>
      <c r="C81" s="62" t="s">
        <v>64</v>
      </c>
      <c r="D81" s="62" t="s">
        <v>25</v>
      </c>
      <c r="E81" s="62" t="s">
        <v>25</v>
      </c>
      <c r="F81" s="62" t="s">
        <v>25</v>
      </c>
      <c r="G81" s="62" t="s">
        <v>92</v>
      </c>
      <c r="H81" s="62" t="s">
        <v>25</v>
      </c>
      <c r="I81" s="75">
        <v>44378</v>
      </c>
      <c r="J81" s="76">
        <f ca="1">EFEITO!$J$81*EFEITO!$Y$81</f>
        <v>42794.704824821754</v>
      </c>
      <c r="K81" s="76">
        <f>EFEITO!$L$81*EFEITO!$Z$81</f>
        <v>0</v>
      </c>
      <c r="L81" s="76">
        <f>EFEITO!$N$81*EFEITO!$AA$81</f>
        <v>0</v>
      </c>
      <c r="M81" s="76">
        <f ca="1">$J$81-EFEITO!$K$81*EFEITO!$Y$81</f>
        <v>21397.352412410877</v>
      </c>
      <c r="N81" s="76">
        <f>$K$81-EFEITO!$M$81*EFEITO!$Z$81</f>
        <v>0</v>
      </c>
      <c r="O81" s="76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62" t="s">
        <v>21</v>
      </c>
      <c r="B82" s="62" t="s">
        <v>59</v>
      </c>
      <c r="C82" s="62" t="s">
        <v>64</v>
      </c>
      <c r="D82" s="62" t="s">
        <v>25</v>
      </c>
      <c r="E82" s="62" t="s">
        <v>25</v>
      </c>
      <c r="F82" s="62" t="s">
        <v>25</v>
      </c>
      <c r="G82" s="62" t="s">
        <v>65</v>
      </c>
      <c r="H82" s="62" t="s">
        <v>25</v>
      </c>
      <c r="I82" s="75">
        <v>44409</v>
      </c>
      <c r="J82" s="76">
        <f ca="1">EFEITO!$J$82*EFEITO!$Y$82</f>
        <v>8776.9839480853552</v>
      </c>
      <c r="K82" s="76">
        <f>EFEITO!$L$82*EFEITO!$Z$82</f>
        <v>0</v>
      </c>
      <c r="L82" s="76">
        <f>EFEITO!$N$82*EFEITO!$AA$82</f>
        <v>0</v>
      </c>
      <c r="M82" s="76">
        <f ca="1">$J$82-EFEITO!$K$82*EFEITO!$Y$82</f>
        <v>4388.4919740426776</v>
      </c>
      <c r="N82" s="76">
        <f>$K$82-EFEITO!$M$82*EFEITO!$Z$82</f>
        <v>0</v>
      </c>
      <c r="O82" s="76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62" t="s">
        <v>21</v>
      </c>
      <c r="B83" s="62" t="s">
        <v>59</v>
      </c>
      <c r="C83" s="62" t="s">
        <v>64</v>
      </c>
      <c r="D83" s="62" t="s">
        <v>25</v>
      </c>
      <c r="E83" s="62" t="s">
        <v>25</v>
      </c>
      <c r="F83" s="62" t="s">
        <v>25</v>
      </c>
      <c r="G83" s="62" t="s">
        <v>67</v>
      </c>
      <c r="H83" s="62" t="s">
        <v>25</v>
      </c>
      <c r="I83" s="75">
        <v>44409</v>
      </c>
      <c r="J83" s="76">
        <f ca="1">EFEITO!$J$83*EFEITO!$Y$83</f>
        <v>162990.57043755925</v>
      </c>
      <c r="K83" s="76">
        <f>EFEITO!$L$83*EFEITO!$Z$83</f>
        <v>0</v>
      </c>
      <c r="L83" s="76">
        <f>EFEITO!$N$83*EFEITO!$AA$83</f>
        <v>0</v>
      </c>
      <c r="M83" s="76">
        <f ca="1">$J$83-EFEITO!$K$83*EFEITO!$Y$83</f>
        <v>62688.680185258607</v>
      </c>
      <c r="N83" s="76">
        <f>$K$83-EFEITO!$M$83*EFEITO!$Z$83</f>
        <v>0</v>
      </c>
      <c r="O83" s="76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62" t="s">
        <v>21</v>
      </c>
      <c r="B84" s="62" t="s">
        <v>59</v>
      </c>
      <c r="C84" s="62" t="s">
        <v>64</v>
      </c>
      <c r="D84" s="62" t="s">
        <v>25</v>
      </c>
      <c r="E84" s="62" t="s">
        <v>25</v>
      </c>
      <c r="F84" s="62" t="s">
        <v>25</v>
      </c>
      <c r="G84" s="62" t="s">
        <v>69</v>
      </c>
      <c r="H84" s="62" t="s">
        <v>25</v>
      </c>
      <c r="I84" s="75">
        <v>44409</v>
      </c>
      <c r="J84" s="76">
        <f ca="1">EFEITO!$J$84*EFEITO!$Y$84</f>
        <v>131396.92627848388</v>
      </c>
      <c r="K84" s="76">
        <f>EFEITO!$L$84*EFEITO!$Z$84</f>
        <v>0</v>
      </c>
      <c r="L84" s="76">
        <f>EFEITO!$N$84*EFEITO!$AA$84</f>
        <v>0</v>
      </c>
      <c r="M84" s="76">
        <f ca="1">$J$84-EFEITO!$K$84*EFEITO!$Y$84</f>
        <v>0</v>
      </c>
      <c r="N84" s="76">
        <f>$K$84-EFEITO!$M$84*EFEITO!$Z$84</f>
        <v>0</v>
      </c>
      <c r="O84" s="76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62" t="s">
        <v>21</v>
      </c>
      <c r="B85" s="62" t="s">
        <v>59</v>
      </c>
      <c r="C85" s="62" t="s">
        <v>64</v>
      </c>
      <c r="D85" s="62" t="s">
        <v>25</v>
      </c>
      <c r="E85" s="62" t="s">
        <v>25</v>
      </c>
      <c r="F85" s="62" t="s">
        <v>25</v>
      </c>
      <c r="G85" s="62" t="s">
        <v>72</v>
      </c>
      <c r="H85" s="62" t="s">
        <v>25</v>
      </c>
      <c r="I85" s="75">
        <v>44409</v>
      </c>
      <c r="J85" s="76">
        <f ca="1">EFEITO!$J$85*EFEITO!$Y$85</f>
        <v>93671.273797840127</v>
      </c>
      <c r="K85" s="76">
        <f>EFEITO!$L$85*EFEITO!$Z$85</f>
        <v>0</v>
      </c>
      <c r="L85" s="76">
        <f>EFEITO!$N$85*EFEITO!$AA$85</f>
        <v>0</v>
      </c>
      <c r="M85" s="76">
        <f ca="1">$J$85-EFEITO!$K$85*EFEITO!$Y$85</f>
        <v>93671.273797840127</v>
      </c>
      <c r="N85" s="76">
        <f>$K$85-EFEITO!$M$85*EFEITO!$Z$85</f>
        <v>0</v>
      </c>
      <c r="O85" s="76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62" t="s">
        <v>21</v>
      </c>
      <c r="B86" s="62" t="s">
        <v>59</v>
      </c>
      <c r="C86" s="62" t="s">
        <v>64</v>
      </c>
      <c r="D86" s="62" t="s">
        <v>25</v>
      </c>
      <c r="E86" s="62" t="s">
        <v>25</v>
      </c>
      <c r="F86" s="62" t="s">
        <v>25</v>
      </c>
      <c r="G86" s="62" t="s">
        <v>73</v>
      </c>
      <c r="H86" s="62" t="s">
        <v>25</v>
      </c>
      <c r="I86" s="75">
        <v>44409</v>
      </c>
      <c r="J86" s="76">
        <f ca="1">EFEITO!$J$86*EFEITO!$Y$86</f>
        <v>28471.679636472003</v>
      </c>
      <c r="K86" s="76">
        <f>EFEITO!$L$86*EFEITO!$Z$86</f>
        <v>0</v>
      </c>
      <c r="L86" s="76">
        <f>EFEITO!$N$86*EFEITO!$AA$86</f>
        <v>0</v>
      </c>
      <c r="M86" s="76">
        <f ca="1">$J$86-EFEITO!$K$86*EFEITO!$Y$86</f>
        <v>14235.839818236002</v>
      </c>
      <c r="N86" s="76">
        <f>$K$86-EFEITO!$M$86*EFEITO!$Z$86</f>
        <v>0</v>
      </c>
      <c r="O86" s="76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62" t="s">
        <v>21</v>
      </c>
      <c r="B87" s="62" t="s">
        <v>59</v>
      </c>
      <c r="C87" s="62" t="s">
        <v>64</v>
      </c>
      <c r="D87" s="62" t="s">
        <v>25</v>
      </c>
      <c r="E87" s="62" t="s">
        <v>25</v>
      </c>
      <c r="F87" s="62" t="s">
        <v>25</v>
      </c>
      <c r="G87" s="62" t="s">
        <v>75</v>
      </c>
      <c r="H87" s="62" t="s">
        <v>25</v>
      </c>
      <c r="I87" s="75">
        <v>44409</v>
      </c>
      <c r="J87" s="76">
        <f ca="1">EFEITO!$J$87*EFEITO!$Y$87</f>
        <v>233986.89950868281</v>
      </c>
      <c r="K87" s="76">
        <f>EFEITO!$L$87*EFEITO!$Z$87</f>
        <v>0</v>
      </c>
      <c r="L87" s="76">
        <f>EFEITO!$N$87*EFEITO!$AA$87</f>
        <v>0</v>
      </c>
      <c r="M87" s="76">
        <f ca="1">$J$87-EFEITO!$K$87*EFEITO!$Y$87</f>
        <v>0</v>
      </c>
      <c r="N87" s="76">
        <f>$K$87-EFEITO!$M$87*EFEITO!$Z$87</f>
        <v>0</v>
      </c>
      <c r="O87" s="76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62" t="s">
        <v>21</v>
      </c>
      <c r="B88" s="62" t="s">
        <v>59</v>
      </c>
      <c r="C88" s="62" t="s">
        <v>64</v>
      </c>
      <c r="D88" s="62" t="s">
        <v>25</v>
      </c>
      <c r="E88" s="62" t="s">
        <v>25</v>
      </c>
      <c r="F88" s="62" t="s">
        <v>25</v>
      </c>
      <c r="G88" s="62" t="s">
        <v>86</v>
      </c>
      <c r="H88" s="62" t="s">
        <v>25</v>
      </c>
      <c r="I88" s="75">
        <v>44409</v>
      </c>
      <c r="J88" s="76">
        <f ca="1">EFEITO!$J$88*EFEITO!$Y$88</f>
        <v>118389.58392442796</v>
      </c>
      <c r="K88" s="76">
        <f>EFEITO!$L$88*EFEITO!$Z$88</f>
        <v>0</v>
      </c>
      <c r="L88" s="76">
        <f>EFEITO!$N$88*EFEITO!$AA$88</f>
        <v>0</v>
      </c>
      <c r="M88" s="76">
        <f ca="1">$J$88-EFEITO!$K$88*EFEITO!$Y$88</f>
        <v>59194.791962213982</v>
      </c>
      <c r="N88" s="76">
        <f>$K$88-EFEITO!$M$88*EFEITO!$Z$88</f>
        <v>0</v>
      </c>
      <c r="O88" s="76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62" t="s">
        <v>21</v>
      </c>
      <c r="B89" s="62" t="s">
        <v>59</v>
      </c>
      <c r="C89" s="62" t="s">
        <v>64</v>
      </c>
      <c r="D89" s="62" t="s">
        <v>25</v>
      </c>
      <c r="E89" s="62" t="s">
        <v>25</v>
      </c>
      <c r="F89" s="62" t="s">
        <v>25</v>
      </c>
      <c r="G89" s="62" t="s">
        <v>87</v>
      </c>
      <c r="H89" s="62" t="s">
        <v>25</v>
      </c>
      <c r="I89" s="75">
        <v>44409</v>
      </c>
      <c r="J89" s="76">
        <f ca="1">EFEITO!$J$89*EFEITO!$Y$89</f>
        <v>146574.78021997074</v>
      </c>
      <c r="K89" s="76">
        <f>EFEITO!$L$89*EFEITO!$Z$89</f>
        <v>0</v>
      </c>
      <c r="L89" s="76">
        <f>EFEITO!$N$89*EFEITO!$AA$89</f>
        <v>0</v>
      </c>
      <c r="M89" s="76">
        <f ca="1">$J$89-EFEITO!$K$89*EFEITO!$Y$89</f>
        <v>146574.78021997074</v>
      </c>
      <c r="N89" s="76">
        <f>$K$89-EFEITO!$M$89*EFEITO!$Z$89</f>
        <v>0</v>
      </c>
      <c r="O89" s="76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62" t="s">
        <v>21</v>
      </c>
      <c r="B90" s="62" t="s">
        <v>59</v>
      </c>
      <c r="C90" s="62" t="s">
        <v>64</v>
      </c>
      <c r="D90" s="62" t="s">
        <v>25</v>
      </c>
      <c r="E90" s="62" t="s">
        <v>25</v>
      </c>
      <c r="F90" s="62" t="s">
        <v>25</v>
      </c>
      <c r="G90" s="62" t="s">
        <v>89</v>
      </c>
      <c r="H90" s="62" t="s">
        <v>25</v>
      </c>
      <c r="I90" s="75">
        <v>44409</v>
      </c>
      <c r="J90" s="76">
        <f ca="1">EFEITO!$J$90*EFEITO!$Y$90</f>
        <v>70997.935711932165</v>
      </c>
      <c r="K90" s="76">
        <f>EFEITO!$L$90*EFEITO!$Z$90</f>
        <v>0</v>
      </c>
      <c r="L90" s="76">
        <f>EFEITO!$N$90*EFEITO!$AA$90</f>
        <v>0</v>
      </c>
      <c r="M90" s="76">
        <f ca="1">$J$90-EFEITO!$K$90*EFEITO!$Y$90</f>
        <v>70997.935711932165</v>
      </c>
      <c r="N90" s="76">
        <f>$K$90-EFEITO!$M$90*EFEITO!$Z$90</f>
        <v>0</v>
      </c>
      <c r="O90" s="76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62" t="s">
        <v>21</v>
      </c>
      <c r="B91" s="62" t="s">
        <v>59</v>
      </c>
      <c r="C91" s="62" t="s">
        <v>64</v>
      </c>
      <c r="D91" s="62" t="s">
        <v>25</v>
      </c>
      <c r="E91" s="62" t="s">
        <v>25</v>
      </c>
      <c r="F91" s="62" t="s">
        <v>25</v>
      </c>
      <c r="G91" s="62" t="s">
        <v>92</v>
      </c>
      <c r="H91" s="62" t="s">
        <v>25</v>
      </c>
      <c r="I91" s="75">
        <v>44409</v>
      </c>
      <c r="J91" s="76">
        <f ca="1">EFEITO!$J$91*EFEITO!$Y$91</f>
        <v>42794.704824821754</v>
      </c>
      <c r="K91" s="76">
        <f>EFEITO!$L$91*EFEITO!$Z$91</f>
        <v>0</v>
      </c>
      <c r="L91" s="76">
        <f>EFEITO!$N$91*EFEITO!$AA$91</f>
        <v>0</v>
      </c>
      <c r="M91" s="76">
        <f ca="1">$J$91-EFEITO!$K$91*EFEITO!$Y$91</f>
        <v>21397.352412410877</v>
      </c>
      <c r="N91" s="76">
        <f>$K$91-EFEITO!$M$91*EFEITO!$Z$91</f>
        <v>0</v>
      </c>
      <c r="O91" s="76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62" t="s">
        <v>21</v>
      </c>
      <c r="B92" s="62" t="s">
        <v>59</v>
      </c>
      <c r="C92" s="62" t="s">
        <v>64</v>
      </c>
      <c r="D92" s="62" t="s">
        <v>25</v>
      </c>
      <c r="E92" s="62" t="s">
        <v>25</v>
      </c>
      <c r="F92" s="62" t="s">
        <v>25</v>
      </c>
      <c r="G92" s="62" t="s">
        <v>65</v>
      </c>
      <c r="H92" s="62" t="s">
        <v>25</v>
      </c>
      <c r="I92" s="75">
        <v>44440</v>
      </c>
      <c r="J92" s="76">
        <f ca="1">EFEITO!$J$92*EFEITO!$Y$92</f>
        <v>8776.9839480853552</v>
      </c>
      <c r="K92" s="76">
        <f>EFEITO!$L$92*EFEITO!$Z$92</f>
        <v>0</v>
      </c>
      <c r="L92" s="76">
        <f>EFEITO!$N$92*EFEITO!$AA$92</f>
        <v>0</v>
      </c>
      <c r="M92" s="76">
        <f ca="1">$J$92-EFEITO!$K$92*EFEITO!$Y$92</f>
        <v>4388.4919740426776</v>
      </c>
      <c r="N92" s="76">
        <f>$K$92-EFEITO!$M$92*EFEITO!$Z$92</f>
        <v>0</v>
      </c>
      <c r="O92" s="76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62" t="s">
        <v>21</v>
      </c>
      <c r="B93" s="62" t="s">
        <v>59</v>
      </c>
      <c r="C93" s="62" t="s">
        <v>64</v>
      </c>
      <c r="D93" s="62" t="s">
        <v>25</v>
      </c>
      <c r="E93" s="62" t="s">
        <v>25</v>
      </c>
      <c r="F93" s="62" t="s">
        <v>25</v>
      </c>
      <c r="G93" s="62" t="s">
        <v>67</v>
      </c>
      <c r="H93" s="62" t="s">
        <v>25</v>
      </c>
      <c r="I93" s="75">
        <v>44440</v>
      </c>
      <c r="J93" s="76">
        <f ca="1">EFEITO!$J$93*EFEITO!$Y$93</f>
        <v>162990.57043755925</v>
      </c>
      <c r="K93" s="76">
        <f>EFEITO!$L$93*EFEITO!$Z$93</f>
        <v>0</v>
      </c>
      <c r="L93" s="76">
        <f>EFEITO!$N$93*EFEITO!$AA$93</f>
        <v>0</v>
      </c>
      <c r="M93" s="76">
        <f ca="1">$J$93-EFEITO!$K$93*EFEITO!$Y$93</f>
        <v>62688.680185258607</v>
      </c>
      <c r="N93" s="76">
        <f>$K$93-EFEITO!$M$93*EFEITO!$Z$93</f>
        <v>0</v>
      </c>
      <c r="O93" s="76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62" t="s">
        <v>21</v>
      </c>
      <c r="B94" s="62" t="s">
        <v>59</v>
      </c>
      <c r="C94" s="62" t="s">
        <v>64</v>
      </c>
      <c r="D94" s="62" t="s">
        <v>25</v>
      </c>
      <c r="E94" s="62" t="s">
        <v>25</v>
      </c>
      <c r="F94" s="62" t="s">
        <v>25</v>
      </c>
      <c r="G94" s="62" t="s">
        <v>69</v>
      </c>
      <c r="H94" s="62" t="s">
        <v>25</v>
      </c>
      <c r="I94" s="75">
        <v>44440</v>
      </c>
      <c r="J94" s="76">
        <f ca="1">EFEITO!$J$94*EFEITO!$Y$94</f>
        <v>131396.92627848388</v>
      </c>
      <c r="K94" s="76">
        <f>EFEITO!$L$94*EFEITO!$Z$94</f>
        <v>0</v>
      </c>
      <c r="L94" s="76">
        <f>EFEITO!$N$94*EFEITO!$AA$94</f>
        <v>0</v>
      </c>
      <c r="M94" s="76">
        <f ca="1">$J$94-EFEITO!$K$94*EFEITO!$Y$94</f>
        <v>0</v>
      </c>
      <c r="N94" s="76">
        <f>$K$94-EFEITO!$M$94*EFEITO!$Z$94</f>
        <v>0</v>
      </c>
      <c r="O94" s="76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62" t="s">
        <v>21</v>
      </c>
      <c r="B95" s="62" t="s">
        <v>59</v>
      </c>
      <c r="C95" s="62" t="s">
        <v>64</v>
      </c>
      <c r="D95" s="62" t="s">
        <v>25</v>
      </c>
      <c r="E95" s="62" t="s">
        <v>25</v>
      </c>
      <c r="F95" s="62" t="s">
        <v>25</v>
      </c>
      <c r="G95" s="62" t="s">
        <v>72</v>
      </c>
      <c r="H95" s="62" t="s">
        <v>25</v>
      </c>
      <c r="I95" s="75">
        <v>44440</v>
      </c>
      <c r="J95" s="76">
        <f ca="1">EFEITO!$J$95*EFEITO!$Y$95</f>
        <v>93671.273797840127</v>
      </c>
      <c r="K95" s="76">
        <f>EFEITO!$L$95*EFEITO!$Z$95</f>
        <v>0</v>
      </c>
      <c r="L95" s="76">
        <f>EFEITO!$N$95*EFEITO!$AA$95</f>
        <v>0</v>
      </c>
      <c r="M95" s="76">
        <f ca="1">$J$95-EFEITO!$K$95*EFEITO!$Y$95</f>
        <v>93671.273797840127</v>
      </c>
      <c r="N95" s="76">
        <f>$K$95-EFEITO!$M$95*EFEITO!$Z$95</f>
        <v>0</v>
      </c>
      <c r="O95" s="76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62" t="s">
        <v>21</v>
      </c>
      <c r="B96" s="62" t="s">
        <v>59</v>
      </c>
      <c r="C96" s="62" t="s">
        <v>64</v>
      </c>
      <c r="D96" s="62" t="s">
        <v>25</v>
      </c>
      <c r="E96" s="62" t="s">
        <v>25</v>
      </c>
      <c r="F96" s="62" t="s">
        <v>25</v>
      </c>
      <c r="G96" s="62" t="s">
        <v>73</v>
      </c>
      <c r="H96" s="62" t="s">
        <v>25</v>
      </c>
      <c r="I96" s="75">
        <v>44440</v>
      </c>
      <c r="J96" s="76">
        <f ca="1">EFEITO!$J$96*EFEITO!$Y$96</f>
        <v>28471.679636472003</v>
      </c>
      <c r="K96" s="76">
        <f>EFEITO!$L$96*EFEITO!$Z$96</f>
        <v>0</v>
      </c>
      <c r="L96" s="76">
        <f>EFEITO!$N$96*EFEITO!$AA$96</f>
        <v>0</v>
      </c>
      <c r="M96" s="76">
        <f ca="1">$J$96-EFEITO!$K$96*EFEITO!$Y$96</f>
        <v>14235.839818236002</v>
      </c>
      <c r="N96" s="76">
        <f>$K$96-EFEITO!$M$96*EFEITO!$Z$96</f>
        <v>0</v>
      </c>
      <c r="O96" s="76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62" t="s">
        <v>21</v>
      </c>
      <c r="B97" s="62" t="s">
        <v>59</v>
      </c>
      <c r="C97" s="62" t="s">
        <v>64</v>
      </c>
      <c r="D97" s="62" t="s">
        <v>25</v>
      </c>
      <c r="E97" s="62" t="s">
        <v>25</v>
      </c>
      <c r="F97" s="62" t="s">
        <v>25</v>
      </c>
      <c r="G97" s="62" t="s">
        <v>75</v>
      </c>
      <c r="H97" s="62" t="s">
        <v>25</v>
      </c>
      <c r="I97" s="75">
        <v>44440</v>
      </c>
      <c r="J97" s="76">
        <f ca="1">EFEITO!$J$97*EFEITO!$Y$97</f>
        <v>235785.11085414418</v>
      </c>
      <c r="K97" s="76">
        <f>EFEITO!$L$97*EFEITO!$Z$97</f>
        <v>0</v>
      </c>
      <c r="L97" s="76">
        <f>EFEITO!$N$97*EFEITO!$AA$97</f>
        <v>0</v>
      </c>
      <c r="M97" s="76">
        <f ca="1">$J$97-EFEITO!$K$97*EFEITO!$Y$97</f>
        <v>0</v>
      </c>
      <c r="N97" s="76">
        <f>$K$97-EFEITO!$M$97*EFEITO!$Z$97</f>
        <v>0</v>
      </c>
      <c r="O97" s="76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62" t="s">
        <v>21</v>
      </c>
      <c r="B98" s="62" t="s">
        <v>59</v>
      </c>
      <c r="C98" s="62" t="s">
        <v>64</v>
      </c>
      <c r="D98" s="62" t="s">
        <v>25</v>
      </c>
      <c r="E98" s="62" t="s">
        <v>25</v>
      </c>
      <c r="F98" s="62" t="s">
        <v>25</v>
      </c>
      <c r="G98" s="62" t="s">
        <v>86</v>
      </c>
      <c r="H98" s="62" t="s">
        <v>25</v>
      </c>
      <c r="I98" s="75">
        <v>44440</v>
      </c>
      <c r="J98" s="76">
        <f ca="1">EFEITO!$J$98*EFEITO!$Y$98</f>
        <v>118389.58392442796</v>
      </c>
      <c r="K98" s="76">
        <f>EFEITO!$L$98*EFEITO!$Z$98</f>
        <v>0</v>
      </c>
      <c r="L98" s="76">
        <f>EFEITO!$N$98*EFEITO!$AA$98</f>
        <v>0</v>
      </c>
      <c r="M98" s="76">
        <f ca="1">$J$98-EFEITO!$K$98*EFEITO!$Y$98</f>
        <v>59194.791962213982</v>
      </c>
      <c r="N98" s="76">
        <f>$K$98-EFEITO!$M$98*EFEITO!$Z$98</f>
        <v>0</v>
      </c>
      <c r="O98" s="76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62" t="s">
        <v>21</v>
      </c>
      <c r="B99" s="62" t="s">
        <v>59</v>
      </c>
      <c r="C99" s="62" t="s">
        <v>64</v>
      </c>
      <c r="D99" s="62" t="s">
        <v>25</v>
      </c>
      <c r="E99" s="62" t="s">
        <v>25</v>
      </c>
      <c r="F99" s="62" t="s">
        <v>25</v>
      </c>
      <c r="G99" s="62" t="s">
        <v>87</v>
      </c>
      <c r="H99" s="62" t="s">
        <v>25</v>
      </c>
      <c r="I99" s="75">
        <v>44440</v>
      </c>
      <c r="J99" s="76">
        <f ca="1">EFEITO!$J$99*EFEITO!$Y$99</f>
        <v>146574.78021997074</v>
      </c>
      <c r="K99" s="76">
        <f>EFEITO!$L$99*EFEITO!$Z$99</f>
        <v>0</v>
      </c>
      <c r="L99" s="76">
        <f>EFEITO!$N$99*EFEITO!$AA$99</f>
        <v>0</v>
      </c>
      <c r="M99" s="76">
        <f ca="1">$J$99-EFEITO!$K$99*EFEITO!$Y$99</f>
        <v>146574.78021997074</v>
      </c>
      <c r="N99" s="76">
        <f>$K$99-EFEITO!$M$99*EFEITO!$Z$99</f>
        <v>0</v>
      </c>
      <c r="O99" s="76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62" t="s">
        <v>21</v>
      </c>
      <c r="B100" s="62" t="s">
        <v>59</v>
      </c>
      <c r="C100" s="62" t="s">
        <v>64</v>
      </c>
      <c r="D100" s="62" t="s">
        <v>25</v>
      </c>
      <c r="E100" s="62" t="s">
        <v>25</v>
      </c>
      <c r="F100" s="62" t="s">
        <v>25</v>
      </c>
      <c r="G100" s="62" t="s">
        <v>89</v>
      </c>
      <c r="H100" s="62" t="s">
        <v>25</v>
      </c>
      <c r="I100" s="75">
        <v>44440</v>
      </c>
      <c r="J100" s="76">
        <f ca="1">EFEITO!$J$100*EFEITO!$Y$100</f>
        <v>70997.935711932165</v>
      </c>
      <c r="K100" s="76">
        <f>EFEITO!$L$100*EFEITO!$Z$100</f>
        <v>0</v>
      </c>
      <c r="L100" s="76">
        <f>EFEITO!$N$100*EFEITO!$AA$100</f>
        <v>0</v>
      </c>
      <c r="M100" s="76">
        <f ca="1">$J$100-EFEITO!$K$100*EFEITO!$Y$100</f>
        <v>70997.935711932165</v>
      </c>
      <c r="N100" s="76">
        <f>$K$100-EFEITO!$M$100*EFEITO!$Z$100</f>
        <v>0</v>
      </c>
      <c r="O100" s="76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62" t="s">
        <v>21</v>
      </c>
      <c r="B101" s="62" t="s">
        <v>59</v>
      </c>
      <c r="C101" s="62" t="s">
        <v>64</v>
      </c>
      <c r="D101" s="62" t="s">
        <v>25</v>
      </c>
      <c r="E101" s="62" t="s">
        <v>25</v>
      </c>
      <c r="F101" s="62" t="s">
        <v>25</v>
      </c>
      <c r="G101" s="62" t="s">
        <v>92</v>
      </c>
      <c r="H101" s="62" t="s">
        <v>25</v>
      </c>
      <c r="I101" s="75">
        <v>44440</v>
      </c>
      <c r="J101" s="76">
        <f ca="1">EFEITO!$J$101*EFEITO!$Y$101</f>
        <v>42794.704824821754</v>
      </c>
      <c r="K101" s="76">
        <f>EFEITO!$L$101*EFEITO!$Z$101</f>
        <v>0</v>
      </c>
      <c r="L101" s="76">
        <f>EFEITO!$N$101*EFEITO!$AA$101</f>
        <v>0</v>
      </c>
      <c r="M101" s="76">
        <f ca="1">$J$101-EFEITO!$K$101*EFEITO!$Y$101</f>
        <v>21397.352412410877</v>
      </c>
      <c r="N101" s="76">
        <f>$K$101-EFEITO!$M$101*EFEITO!$Z$101</f>
        <v>0</v>
      </c>
      <c r="O101" s="76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62" t="s">
        <v>21</v>
      </c>
      <c r="B102" s="62" t="s">
        <v>59</v>
      </c>
      <c r="C102" s="62" t="s">
        <v>64</v>
      </c>
      <c r="D102" s="62" t="s">
        <v>25</v>
      </c>
      <c r="E102" s="62" t="s">
        <v>25</v>
      </c>
      <c r="F102" s="62" t="s">
        <v>25</v>
      </c>
      <c r="G102" s="62" t="s">
        <v>65</v>
      </c>
      <c r="H102" s="62" t="s">
        <v>25</v>
      </c>
      <c r="I102" s="75">
        <v>44470</v>
      </c>
      <c r="J102" s="76">
        <f ca="1">EFEITO!$J$102*EFEITO!$Y$102</f>
        <v>8776.9839480853552</v>
      </c>
      <c r="K102" s="76">
        <f>EFEITO!$L$102*EFEITO!$Z$102</f>
        <v>0</v>
      </c>
      <c r="L102" s="76">
        <f>EFEITO!$N$102*EFEITO!$AA$102</f>
        <v>0</v>
      </c>
      <c r="M102" s="76">
        <f ca="1">$J$102-EFEITO!$K$102*EFEITO!$Y$102</f>
        <v>4388.4919740426776</v>
      </c>
      <c r="N102" s="76">
        <f>$K$102-EFEITO!$M$102*EFEITO!$Z$102</f>
        <v>0</v>
      </c>
      <c r="O102" s="76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62" t="s">
        <v>21</v>
      </c>
      <c r="B103" s="62" t="s">
        <v>59</v>
      </c>
      <c r="C103" s="62" t="s">
        <v>64</v>
      </c>
      <c r="D103" s="62" t="s">
        <v>25</v>
      </c>
      <c r="E103" s="62" t="s">
        <v>25</v>
      </c>
      <c r="F103" s="62" t="s">
        <v>25</v>
      </c>
      <c r="G103" s="62" t="s">
        <v>67</v>
      </c>
      <c r="H103" s="62" t="s">
        <v>25</v>
      </c>
      <c r="I103" s="75">
        <v>44470</v>
      </c>
      <c r="J103" s="76">
        <f ca="1">EFEITO!$J$103*EFEITO!$Y$103</f>
        <v>162990.57043755925</v>
      </c>
      <c r="K103" s="76">
        <f>EFEITO!$L$103*EFEITO!$Z$103</f>
        <v>0</v>
      </c>
      <c r="L103" s="76">
        <f>EFEITO!$N$103*EFEITO!$AA$103</f>
        <v>0</v>
      </c>
      <c r="M103" s="76">
        <f ca="1">$J$103-EFEITO!$K$103*EFEITO!$Y$103</f>
        <v>62688.680185258607</v>
      </c>
      <c r="N103" s="76">
        <f>$K$103-EFEITO!$M$103*EFEITO!$Z$103</f>
        <v>0</v>
      </c>
      <c r="O103" s="76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62" t="s">
        <v>21</v>
      </c>
      <c r="B104" s="62" t="s">
        <v>59</v>
      </c>
      <c r="C104" s="62" t="s">
        <v>64</v>
      </c>
      <c r="D104" s="62" t="s">
        <v>25</v>
      </c>
      <c r="E104" s="62" t="s">
        <v>25</v>
      </c>
      <c r="F104" s="62" t="s">
        <v>25</v>
      </c>
      <c r="G104" s="62" t="s">
        <v>69</v>
      </c>
      <c r="H104" s="62" t="s">
        <v>25</v>
      </c>
      <c r="I104" s="75">
        <v>44470</v>
      </c>
      <c r="J104" s="76">
        <f ca="1">EFEITO!$J$104*EFEITO!$Y$104</f>
        <v>131396.92627848388</v>
      </c>
      <c r="K104" s="76">
        <f>EFEITO!$L$104*EFEITO!$Z$104</f>
        <v>0</v>
      </c>
      <c r="L104" s="76">
        <f>EFEITO!$N$104*EFEITO!$AA$104</f>
        <v>0</v>
      </c>
      <c r="M104" s="76">
        <f ca="1">$J$104-EFEITO!$K$104*EFEITO!$Y$104</f>
        <v>0</v>
      </c>
      <c r="N104" s="76">
        <f>$K$104-EFEITO!$M$104*EFEITO!$Z$104</f>
        <v>0</v>
      </c>
      <c r="O104" s="76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62" t="s">
        <v>21</v>
      </c>
      <c r="B105" s="62" t="s">
        <v>59</v>
      </c>
      <c r="C105" s="62" t="s">
        <v>64</v>
      </c>
      <c r="D105" s="62" t="s">
        <v>25</v>
      </c>
      <c r="E105" s="62" t="s">
        <v>25</v>
      </c>
      <c r="F105" s="62" t="s">
        <v>25</v>
      </c>
      <c r="G105" s="62" t="s">
        <v>72</v>
      </c>
      <c r="H105" s="62" t="s">
        <v>25</v>
      </c>
      <c r="I105" s="75">
        <v>44470</v>
      </c>
      <c r="J105" s="76">
        <f ca="1">EFEITO!$J$105*EFEITO!$Y$105</f>
        <v>93671.273797840127</v>
      </c>
      <c r="K105" s="76">
        <f>EFEITO!$L$105*EFEITO!$Z$105</f>
        <v>0</v>
      </c>
      <c r="L105" s="76">
        <f>EFEITO!$N$105*EFEITO!$AA$105</f>
        <v>0</v>
      </c>
      <c r="M105" s="76">
        <f ca="1">$J$105-EFEITO!$K$105*EFEITO!$Y$105</f>
        <v>93671.273797840127</v>
      </c>
      <c r="N105" s="76">
        <f>$K$105-EFEITO!$M$105*EFEITO!$Z$105</f>
        <v>0</v>
      </c>
      <c r="O105" s="76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62" t="s">
        <v>21</v>
      </c>
      <c r="B106" s="62" t="s">
        <v>59</v>
      </c>
      <c r="C106" s="62" t="s">
        <v>64</v>
      </c>
      <c r="D106" s="62" t="s">
        <v>25</v>
      </c>
      <c r="E106" s="62" t="s">
        <v>25</v>
      </c>
      <c r="F106" s="62" t="s">
        <v>25</v>
      </c>
      <c r="G106" s="62" t="s">
        <v>73</v>
      </c>
      <c r="H106" s="62" t="s">
        <v>25</v>
      </c>
      <c r="I106" s="75">
        <v>44470</v>
      </c>
      <c r="J106" s="76">
        <f ca="1">EFEITO!$J$106*EFEITO!$Y$106</f>
        <v>28471.679636472003</v>
      </c>
      <c r="K106" s="76">
        <f>EFEITO!$L$106*EFEITO!$Z$106</f>
        <v>0</v>
      </c>
      <c r="L106" s="76">
        <f>EFEITO!$N$106*EFEITO!$AA$106</f>
        <v>0</v>
      </c>
      <c r="M106" s="76">
        <f ca="1">$J$106-EFEITO!$K$106*EFEITO!$Y$106</f>
        <v>14235.839818236002</v>
      </c>
      <c r="N106" s="76">
        <f>$K$106-EFEITO!$M$106*EFEITO!$Z$106</f>
        <v>0</v>
      </c>
      <c r="O106" s="76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62" t="s">
        <v>21</v>
      </c>
      <c r="B107" s="62" t="s">
        <v>59</v>
      </c>
      <c r="C107" s="62" t="s">
        <v>64</v>
      </c>
      <c r="D107" s="62" t="s">
        <v>25</v>
      </c>
      <c r="E107" s="62" t="s">
        <v>25</v>
      </c>
      <c r="F107" s="62" t="s">
        <v>25</v>
      </c>
      <c r="G107" s="62" t="s">
        <v>75</v>
      </c>
      <c r="H107" s="62" t="s">
        <v>25</v>
      </c>
      <c r="I107" s="75">
        <v>44470</v>
      </c>
      <c r="J107" s="76">
        <f ca="1">EFEITO!$J$107*EFEITO!$Y$107</f>
        <v>227452.32792294363</v>
      </c>
      <c r="K107" s="76">
        <f>EFEITO!$L$107*EFEITO!$Z$107</f>
        <v>0</v>
      </c>
      <c r="L107" s="76">
        <f>EFEITO!$N$107*EFEITO!$AA$107</f>
        <v>0</v>
      </c>
      <c r="M107" s="76">
        <f ca="1">$J$107-EFEITO!$K$107*EFEITO!$Y$107</f>
        <v>0</v>
      </c>
      <c r="N107" s="76">
        <f>$K$107-EFEITO!$M$107*EFEITO!$Z$107</f>
        <v>0</v>
      </c>
      <c r="O107" s="76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62" t="s">
        <v>21</v>
      </c>
      <c r="B108" s="62" t="s">
        <v>59</v>
      </c>
      <c r="C108" s="62" t="s">
        <v>64</v>
      </c>
      <c r="D108" s="62" t="s">
        <v>25</v>
      </c>
      <c r="E108" s="62" t="s">
        <v>25</v>
      </c>
      <c r="F108" s="62" t="s">
        <v>25</v>
      </c>
      <c r="G108" s="62" t="s">
        <v>86</v>
      </c>
      <c r="H108" s="62" t="s">
        <v>25</v>
      </c>
      <c r="I108" s="75">
        <v>44470</v>
      </c>
      <c r="J108" s="76">
        <f ca="1">EFEITO!$J$108*EFEITO!$Y$108</f>
        <v>118389.58392442796</v>
      </c>
      <c r="K108" s="76">
        <f>EFEITO!$L$108*EFEITO!$Z$108</f>
        <v>0</v>
      </c>
      <c r="L108" s="76">
        <f>EFEITO!$N$108*EFEITO!$AA$108</f>
        <v>0</v>
      </c>
      <c r="M108" s="76">
        <f ca="1">$J$108-EFEITO!$K$108*EFEITO!$Y$108</f>
        <v>59194.791962213982</v>
      </c>
      <c r="N108" s="76">
        <f>$K$108-EFEITO!$M$108*EFEITO!$Z$108</f>
        <v>0</v>
      </c>
      <c r="O108" s="76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62" t="s">
        <v>21</v>
      </c>
      <c r="B109" s="62" t="s">
        <v>59</v>
      </c>
      <c r="C109" s="62" t="s">
        <v>64</v>
      </c>
      <c r="D109" s="62" t="s">
        <v>25</v>
      </c>
      <c r="E109" s="62" t="s">
        <v>25</v>
      </c>
      <c r="F109" s="62" t="s">
        <v>25</v>
      </c>
      <c r="G109" s="62" t="s">
        <v>87</v>
      </c>
      <c r="H109" s="62" t="s">
        <v>25</v>
      </c>
      <c r="I109" s="75">
        <v>44470</v>
      </c>
      <c r="J109" s="76">
        <f ca="1">EFEITO!$J$109*EFEITO!$Y$109</f>
        <v>146574.78021997074</v>
      </c>
      <c r="K109" s="76">
        <f>EFEITO!$L$109*EFEITO!$Z$109</f>
        <v>0</v>
      </c>
      <c r="L109" s="76">
        <f>EFEITO!$N$109*EFEITO!$AA$109</f>
        <v>0</v>
      </c>
      <c r="M109" s="76">
        <f ca="1">$J$109-EFEITO!$K$109*EFEITO!$Y$109</f>
        <v>146574.78021997074</v>
      </c>
      <c r="N109" s="76">
        <f>$K$109-EFEITO!$M$109*EFEITO!$Z$109</f>
        <v>0</v>
      </c>
      <c r="O109" s="76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62" t="s">
        <v>21</v>
      </c>
      <c r="B110" s="62" t="s">
        <v>59</v>
      </c>
      <c r="C110" s="62" t="s">
        <v>64</v>
      </c>
      <c r="D110" s="62" t="s">
        <v>25</v>
      </c>
      <c r="E110" s="62" t="s">
        <v>25</v>
      </c>
      <c r="F110" s="62" t="s">
        <v>25</v>
      </c>
      <c r="G110" s="62" t="s">
        <v>89</v>
      </c>
      <c r="H110" s="62" t="s">
        <v>25</v>
      </c>
      <c r="I110" s="75">
        <v>44470</v>
      </c>
      <c r="J110" s="76">
        <f ca="1">EFEITO!$J$110*EFEITO!$Y$110</f>
        <v>70997.935711932165</v>
      </c>
      <c r="K110" s="76">
        <f>EFEITO!$L$110*EFEITO!$Z$110</f>
        <v>0</v>
      </c>
      <c r="L110" s="76">
        <f>EFEITO!$N$110*EFEITO!$AA$110</f>
        <v>0</v>
      </c>
      <c r="M110" s="76">
        <f ca="1">$J$110-EFEITO!$K$110*EFEITO!$Y$110</f>
        <v>70997.935711932165</v>
      </c>
      <c r="N110" s="76">
        <f>$K$110-EFEITO!$M$110*EFEITO!$Z$110</f>
        <v>0</v>
      </c>
      <c r="O110" s="76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62" t="s">
        <v>21</v>
      </c>
      <c r="B111" s="62" t="s">
        <v>59</v>
      </c>
      <c r="C111" s="62" t="s">
        <v>64</v>
      </c>
      <c r="D111" s="62" t="s">
        <v>25</v>
      </c>
      <c r="E111" s="62" t="s">
        <v>25</v>
      </c>
      <c r="F111" s="62" t="s">
        <v>25</v>
      </c>
      <c r="G111" s="62" t="s">
        <v>92</v>
      </c>
      <c r="H111" s="62" t="s">
        <v>25</v>
      </c>
      <c r="I111" s="75">
        <v>44470</v>
      </c>
      <c r="J111" s="76">
        <f ca="1">EFEITO!$J$111*EFEITO!$Y$111</f>
        <v>42794.704824821754</v>
      </c>
      <c r="K111" s="76">
        <f>EFEITO!$L$111*EFEITO!$Z$111</f>
        <v>0</v>
      </c>
      <c r="L111" s="76">
        <f>EFEITO!$N$111*EFEITO!$AA$111</f>
        <v>0</v>
      </c>
      <c r="M111" s="76">
        <f ca="1">$J$111-EFEITO!$K$111*EFEITO!$Y$111</f>
        <v>21397.352412410877</v>
      </c>
      <c r="N111" s="76">
        <f>$K$111-EFEITO!$M$111*EFEITO!$Z$111</f>
        <v>0</v>
      </c>
      <c r="O111" s="76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62" t="s">
        <v>21</v>
      </c>
      <c r="B112" s="62" t="s">
        <v>59</v>
      </c>
      <c r="C112" s="62" t="s">
        <v>64</v>
      </c>
      <c r="D112" s="62" t="s">
        <v>25</v>
      </c>
      <c r="E112" s="62" t="s">
        <v>25</v>
      </c>
      <c r="F112" s="62" t="s">
        <v>25</v>
      </c>
      <c r="G112" s="62" t="s">
        <v>65</v>
      </c>
      <c r="H112" s="62" t="s">
        <v>25</v>
      </c>
      <c r="I112" s="75">
        <v>44501</v>
      </c>
      <c r="J112" s="76">
        <f ca="1">EFEITO!$J$112*EFEITO!$Y$112</f>
        <v>8776.9839480853552</v>
      </c>
      <c r="K112" s="76">
        <f>EFEITO!$L$112*EFEITO!$Z$112</f>
        <v>0</v>
      </c>
      <c r="L112" s="76">
        <f>EFEITO!$N$112*EFEITO!$AA$112</f>
        <v>0</v>
      </c>
      <c r="M112" s="76">
        <f ca="1">$J$112-EFEITO!$K$112*EFEITO!$Y$112</f>
        <v>4388.4919740426776</v>
      </c>
      <c r="N112" s="76">
        <f>$K$112-EFEITO!$M$112*EFEITO!$Z$112</f>
        <v>0</v>
      </c>
      <c r="O112" s="76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62" t="s">
        <v>21</v>
      </c>
      <c r="B113" s="62" t="s">
        <v>59</v>
      </c>
      <c r="C113" s="62" t="s">
        <v>64</v>
      </c>
      <c r="D113" s="62" t="s">
        <v>25</v>
      </c>
      <c r="E113" s="62" t="s">
        <v>25</v>
      </c>
      <c r="F113" s="62" t="s">
        <v>25</v>
      </c>
      <c r="G113" s="62" t="s">
        <v>67</v>
      </c>
      <c r="H113" s="62" t="s">
        <v>25</v>
      </c>
      <c r="I113" s="75">
        <v>44501</v>
      </c>
      <c r="J113" s="76">
        <f ca="1">EFEITO!$J$113*EFEITO!$Y$113</f>
        <v>162990.57043755925</v>
      </c>
      <c r="K113" s="76">
        <f>EFEITO!$L$113*EFEITO!$Z$113</f>
        <v>0</v>
      </c>
      <c r="L113" s="76">
        <f>EFEITO!$N$113*EFEITO!$AA$113</f>
        <v>0</v>
      </c>
      <c r="M113" s="76">
        <f ca="1">$J$113-EFEITO!$K$113*EFEITO!$Y$113</f>
        <v>62688.680185258607</v>
      </c>
      <c r="N113" s="76">
        <f>$K$113-EFEITO!$M$113*EFEITO!$Z$113</f>
        <v>0</v>
      </c>
      <c r="O113" s="76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62" t="s">
        <v>21</v>
      </c>
      <c r="B114" s="62" t="s">
        <v>59</v>
      </c>
      <c r="C114" s="62" t="s">
        <v>64</v>
      </c>
      <c r="D114" s="62" t="s">
        <v>25</v>
      </c>
      <c r="E114" s="62" t="s">
        <v>25</v>
      </c>
      <c r="F114" s="62" t="s">
        <v>25</v>
      </c>
      <c r="G114" s="62" t="s">
        <v>69</v>
      </c>
      <c r="H114" s="62" t="s">
        <v>25</v>
      </c>
      <c r="I114" s="75">
        <v>44501</v>
      </c>
      <c r="J114" s="76">
        <f ca="1">EFEITO!$J$114*EFEITO!$Y$114</f>
        <v>131396.92627848388</v>
      </c>
      <c r="K114" s="76">
        <f>EFEITO!$L$114*EFEITO!$Z$114</f>
        <v>0</v>
      </c>
      <c r="L114" s="76">
        <f>EFEITO!$N$114*EFEITO!$AA$114</f>
        <v>0</v>
      </c>
      <c r="M114" s="76">
        <f ca="1">$J$114-EFEITO!$K$114*EFEITO!$Y$114</f>
        <v>0</v>
      </c>
      <c r="N114" s="76">
        <f>$K$114-EFEITO!$M$114*EFEITO!$Z$114</f>
        <v>0</v>
      </c>
      <c r="O114" s="76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62" t="s">
        <v>21</v>
      </c>
      <c r="B115" s="62" t="s">
        <v>59</v>
      </c>
      <c r="C115" s="62" t="s">
        <v>64</v>
      </c>
      <c r="D115" s="62" t="s">
        <v>25</v>
      </c>
      <c r="E115" s="62" t="s">
        <v>25</v>
      </c>
      <c r="F115" s="62" t="s">
        <v>25</v>
      </c>
      <c r="G115" s="62" t="s">
        <v>72</v>
      </c>
      <c r="H115" s="62" t="s">
        <v>25</v>
      </c>
      <c r="I115" s="75">
        <v>44501</v>
      </c>
      <c r="J115" s="76">
        <f ca="1">EFEITO!$J$115*EFEITO!$Y$115</f>
        <v>93671.273797840127</v>
      </c>
      <c r="K115" s="76">
        <f>EFEITO!$L$115*EFEITO!$Z$115</f>
        <v>0</v>
      </c>
      <c r="L115" s="76">
        <f>EFEITO!$N$115*EFEITO!$AA$115</f>
        <v>0</v>
      </c>
      <c r="M115" s="76">
        <f ca="1">$J$115-EFEITO!$K$115*EFEITO!$Y$115</f>
        <v>93671.273797840127</v>
      </c>
      <c r="N115" s="76">
        <f>$K$115-EFEITO!$M$115*EFEITO!$Z$115</f>
        <v>0</v>
      </c>
      <c r="O115" s="76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62" t="s">
        <v>21</v>
      </c>
      <c r="B116" s="62" t="s">
        <v>59</v>
      </c>
      <c r="C116" s="62" t="s">
        <v>64</v>
      </c>
      <c r="D116" s="62" t="s">
        <v>25</v>
      </c>
      <c r="E116" s="62" t="s">
        <v>25</v>
      </c>
      <c r="F116" s="62" t="s">
        <v>25</v>
      </c>
      <c r="G116" s="62" t="s">
        <v>73</v>
      </c>
      <c r="H116" s="62" t="s">
        <v>25</v>
      </c>
      <c r="I116" s="75">
        <v>44501</v>
      </c>
      <c r="J116" s="76">
        <f ca="1">EFEITO!$J$116*EFEITO!$Y$116</f>
        <v>28471.679636472003</v>
      </c>
      <c r="K116" s="76">
        <f>EFEITO!$L$116*EFEITO!$Z$116</f>
        <v>0</v>
      </c>
      <c r="L116" s="76">
        <f>EFEITO!$N$116*EFEITO!$AA$116</f>
        <v>0</v>
      </c>
      <c r="M116" s="76">
        <f ca="1">$J$116-EFEITO!$K$116*EFEITO!$Y$116</f>
        <v>14235.839818236002</v>
      </c>
      <c r="N116" s="76">
        <f>$K$116-EFEITO!$M$116*EFEITO!$Z$116</f>
        <v>0</v>
      </c>
      <c r="O116" s="76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62" t="s">
        <v>21</v>
      </c>
      <c r="B117" s="62" t="s">
        <v>59</v>
      </c>
      <c r="C117" s="62" t="s">
        <v>64</v>
      </c>
      <c r="D117" s="62" t="s">
        <v>25</v>
      </c>
      <c r="E117" s="62" t="s">
        <v>25</v>
      </c>
      <c r="F117" s="62" t="s">
        <v>25</v>
      </c>
      <c r="G117" s="62" t="s">
        <v>75</v>
      </c>
      <c r="H117" s="62" t="s">
        <v>25</v>
      </c>
      <c r="I117" s="75">
        <v>44501</v>
      </c>
      <c r="J117" s="76">
        <f ca="1">EFEITO!$J$117*EFEITO!$Y$117</f>
        <v>227452.32792294363</v>
      </c>
      <c r="K117" s="76">
        <f>EFEITO!$L$117*EFEITO!$Z$117</f>
        <v>0</v>
      </c>
      <c r="L117" s="76">
        <f>EFEITO!$N$117*EFEITO!$AA$117</f>
        <v>0</v>
      </c>
      <c r="M117" s="76">
        <f ca="1">$J$117-EFEITO!$K$117*EFEITO!$Y$117</f>
        <v>0</v>
      </c>
      <c r="N117" s="76">
        <f>$K$117-EFEITO!$M$117*EFEITO!$Z$117</f>
        <v>0</v>
      </c>
      <c r="O117" s="76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62" t="s">
        <v>21</v>
      </c>
      <c r="B118" s="62" t="s">
        <v>59</v>
      </c>
      <c r="C118" s="62" t="s">
        <v>64</v>
      </c>
      <c r="D118" s="62" t="s">
        <v>25</v>
      </c>
      <c r="E118" s="62" t="s">
        <v>25</v>
      </c>
      <c r="F118" s="62" t="s">
        <v>25</v>
      </c>
      <c r="G118" s="62" t="s">
        <v>86</v>
      </c>
      <c r="H118" s="62" t="s">
        <v>25</v>
      </c>
      <c r="I118" s="75">
        <v>44501</v>
      </c>
      <c r="J118" s="76">
        <f ca="1">EFEITO!$J$118*EFEITO!$Y$118</f>
        <v>118389.58392442796</v>
      </c>
      <c r="K118" s="76">
        <f>EFEITO!$L$118*EFEITO!$Z$118</f>
        <v>0</v>
      </c>
      <c r="L118" s="76">
        <f>EFEITO!$N$118*EFEITO!$AA$118</f>
        <v>0</v>
      </c>
      <c r="M118" s="76">
        <f ca="1">$J$118-EFEITO!$K$118*EFEITO!$Y$118</f>
        <v>59194.791962213982</v>
      </c>
      <c r="N118" s="76">
        <f>$K$118-EFEITO!$M$118*EFEITO!$Z$118</f>
        <v>0</v>
      </c>
      <c r="O118" s="76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62" t="s">
        <v>21</v>
      </c>
      <c r="B119" s="62" t="s">
        <v>59</v>
      </c>
      <c r="C119" s="62" t="s">
        <v>64</v>
      </c>
      <c r="D119" s="62" t="s">
        <v>25</v>
      </c>
      <c r="E119" s="62" t="s">
        <v>25</v>
      </c>
      <c r="F119" s="62" t="s">
        <v>25</v>
      </c>
      <c r="G119" s="62" t="s">
        <v>87</v>
      </c>
      <c r="H119" s="62" t="s">
        <v>25</v>
      </c>
      <c r="I119" s="75">
        <v>44501</v>
      </c>
      <c r="J119" s="76">
        <f ca="1">EFEITO!$J$119*EFEITO!$Y$119</f>
        <v>146574.78021997074</v>
      </c>
      <c r="K119" s="76">
        <f>EFEITO!$L$119*EFEITO!$Z$119</f>
        <v>0</v>
      </c>
      <c r="L119" s="76">
        <f>EFEITO!$N$119*EFEITO!$AA$119</f>
        <v>0</v>
      </c>
      <c r="M119" s="76">
        <f ca="1">$J$119-EFEITO!$K$119*EFEITO!$Y$119</f>
        <v>146574.78021997074</v>
      </c>
      <c r="N119" s="76">
        <f>$K$119-EFEITO!$M$119*EFEITO!$Z$119</f>
        <v>0</v>
      </c>
      <c r="O119" s="76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62" t="s">
        <v>21</v>
      </c>
      <c r="B120" s="62" t="s">
        <v>59</v>
      </c>
      <c r="C120" s="62" t="s">
        <v>64</v>
      </c>
      <c r="D120" s="62" t="s">
        <v>25</v>
      </c>
      <c r="E120" s="62" t="s">
        <v>25</v>
      </c>
      <c r="F120" s="62" t="s">
        <v>25</v>
      </c>
      <c r="G120" s="62" t="s">
        <v>89</v>
      </c>
      <c r="H120" s="62" t="s">
        <v>25</v>
      </c>
      <c r="I120" s="75">
        <v>44501</v>
      </c>
      <c r="J120" s="76">
        <f ca="1">EFEITO!$J$120*EFEITO!$Y$120</f>
        <v>70997.935711932165</v>
      </c>
      <c r="K120" s="76">
        <f>EFEITO!$L$120*EFEITO!$Z$120</f>
        <v>0</v>
      </c>
      <c r="L120" s="76">
        <f>EFEITO!$N$120*EFEITO!$AA$120</f>
        <v>0</v>
      </c>
      <c r="M120" s="76">
        <f ca="1">$J$120-EFEITO!$K$120*EFEITO!$Y$120</f>
        <v>70997.935711932165</v>
      </c>
      <c r="N120" s="76">
        <f>$K$120-EFEITO!$M$120*EFEITO!$Z$120</f>
        <v>0</v>
      </c>
      <c r="O120" s="76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62" t="s">
        <v>21</v>
      </c>
      <c r="B121" s="62" t="s">
        <v>59</v>
      </c>
      <c r="C121" s="62" t="s">
        <v>64</v>
      </c>
      <c r="D121" s="62" t="s">
        <v>25</v>
      </c>
      <c r="E121" s="62" t="s">
        <v>25</v>
      </c>
      <c r="F121" s="62" t="s">
        <v>25</v>
      </c>
      <c r="G121" s="62" t="s">
        <v>92</v>
      </c>
      <c r="H121" s="62" t="s">
        <v>25</v>
      </c>
      <c r="I121" s="75">
        <v>44501</v>
      </c>
      <c r="J121" s="76">
        <f ca="1">EFEITO!$J$121*EFEITO!$Y$121</f>
        <v>42794.704824821754</v>
      </c>
      <c r="K121" s="76">
        <f>EFEITO!$L$121*EFEITO!$Z$121</f>
        <v>0</v>
      </c>
      <c r="L121" s="76">
        <f>EFEITO!$N$121*EFEITO!$AA$121</f>
        <v>0</v>
      </c>
      <c r="M121" s="76">
        <f ca="1">$J$121-EFEITO!$K$121*EFEITO!$Y$121</f>
        <v>21397.352412410877</v>
      </c>
      <c r="N121" s="76">
        <f>$K$121-EFEITO!$M$121*EFEITO!$Z$121</f>
        <v>0</v>
      </c>
      <c r="O121" s="76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62" t="s">
        <v>21</v>
      </c>
      <c r="B122" s="62" t="s">
        <v>59</v>
      </c>
      <c r="C122" s="62" t="s">
        <v>64</v>
      </c>
      <c r="D122" s="62" t="s">
        <v>25</v>
      </c>
      <c r="E122" s="62" t="s">
        <v>25</v>
      </c>
      <c r="F122" s="62" t="s">
        <v>25</v>
      </c>
      <c r="G122" s="62" t="s">
        <v>65</v>
      </c>
      <c r="H122" s="62" t="s">
        <v>25</v>
      </c>
      <c r="I122" s="75">
        <v>44531</v>
      </c>
      <c r="J122" s="76">
        <f ca="1">EFEITO!$J$122*EFEITO!$Y$122</f>
        <v>8776.9839480853552</v>
      </c>
      <c r="K122" s="76">
        <f>EFEITO!$L$122*EFEITO!$Z$122</f>
        <v>0</v>
      </c>
      <c r="L122" s="76">
        <f>EFEITO!$N$122*EFEITO!$AA$122</f>
        <v>0</v>
      </c>
      <c r="M122" s="76">
        <f ca="1">$J$122-EFEITO!$K$122*EFEITO!$Y$122</f>
        <v>4388.4919740426776</v>
      </c>
      <c r="N122" s="76">
        <f>$K$122-EFEITO!$M$122*EFEITO!$Z$122</f>
        <v>0</v>
      </c>
      <c r="O122" s="76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62" t="s">
        <v>21</v>
      </c>
      <c r="B123" s="62" t="s">
        <v>59</v>
      </c>
      <c r="C123" s="62" t="s">
        <v>64</v>
      </c>
      <c r="D123" s="62" t="s">
        <v>25</v>
      </c>
      <c r="E123" s="62" t="s">
        <v>25</v>
      </c>
      <c r="F123" s="62" t="s">
        <v>25</v>
      </c>
      <c r="G123" s="62" t="s">
        <v>67</v>
      </c>
      <c r="H123" s="62" t="s">
        <v>25</v>
      </c>
      <c r="I123" s="75">
        <v>44531</v>
      </c>
      <c r="J123" s="76">
        <f ca="1">EFEITO!$J$123*EFEITO!$Y$123</f>
        <v>162990.57043755925</v>
      </c>
      <c r="K123" s="76">
        <f>EFEITO!$L$123*EFEITO!$Z$123</f>
        <v>0</v>
      </c>
      <c r="L123" s="76">
        <f>EFEITO!$N$123*EFEITO!$AA$123</f>
        <v>0</v>
      </c>
      <c r="M123" s="76">
        <f ca="1">$J$123-EFEITO!$K$123*EFEITO!$Y$123</f>
        <v>62688.680185258607</v>
      </c>
      <c r="N123" s="76">
        <f>$K$123-EFEITO!$M$123*EFEITO!$Z$123</f>
        <v>0</v>
      </c>
      <c r="O123" s="76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62" t="s">
        <v>21</v>
      </c>
      <c r="B124" s="62" t="s">
        <v>59</v>
      </c>
      <c r="C124" s="62" t="s">
        <v>64</v>
      </c>
      <c r="D124" s="62" t="s">
        <v>25</v>
      </c>
      <c r="E124" s="62" t="s">
        <v>25</v>
      </c>
      <c r="F124" s="62" t="s">
        <v>25</v>
      </c>
      <c r="G124" s="62" t="s">
        <v>69</v>
      </c>
      <c r="H124" s="62" t="s">
        <v>25</v>
      </c>
      <c r="I124" s="75">
        <v>44531</v>
      </c>
      <c r="J124" s="76">
        <f ca="1">EFEITO!$J$124*EFEITO!$Y$124</f>
        <v>131396.92627848388</v>
      </c>
      <c r="K124" s="76">
        <f>EFEITO!$L$124*EFEITO!$Z$124</f>
        <v>0</v>
      </c>
      <c r="L124" s="76">
        <f>EFEITO!$N$124*EFEITO!$AA$124</f>
        <v>0</v>
      </c>
      <c r="M124" s="76">
        <f ca="1">$J$124-EFEITO!$K$124*EFEITO!$Y$124</f>
        <v>0</v>
      </c>
      <c r="N124" s="76">
        <f>$K$124-EFEITO!$M$124*EFEITO!$Z$124</f>
        <v>0</v>
      </c>
      <c r="O124" s="76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62" t="s">
        <v>21</v>
      </c>
      <c r="B125" s="62" t="s">
        <v>59</v>
      </c>
      <c r="C125" s="62" t="s">
        <v>64</v>
      </c>
      <c r="D125" s="62" t="s">
        <v>25</v>
      </c>
      <c r="E125" s="62" t="s">
        <v>25</v>
      </c>
      <c r="F125" s="62" t="s">
        <v>25</v>
      </c>
      <c r="G125" s="62" t="s">
        <v>72</v>
      </c>
      <c r="H125" s="62" t="s">
        <v>25</v>
      </c>
      <c r="I125" s="75">
        <v>44531</v>
      </c>
      <c r="J125" s="76">
        <f ca="1">EFEITO!$J$125*EFEITO!$Y$125</f>
        <v>93671.273797840127</v>
      </c>
      <c r="K125" s="76">
        <f>EFEITO!$L$125*EFEITO!$Z$125</f>
        <v>0</v>
      </c>
      <c r="L125" s="76">
        <f>EFEITO!$N$125*EFEITO!$AA$125</f>
        <v>0</v>
      </c>
      <c r="M125" s="76">
        <f ca="1">$J$125-EFEITO!$K$125*EFEITO!$Y$125</f>
        <v>93671.273797840127</v>
      </c>
      <c r="N125" s="76">
        <f>$K$125-EFEITO!$M$125*EFEITO!$Z$125</f>
        <v>0</v>
      </c>
      <c r="O125" s="76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62" t="s">
        <v>21</v>
      </c>
      <c r="B126" s="62" t="s">
        <v>59</v>
      </c>
      <c r="C126" s="62" t="s">
        <v>64</v>
      </c>
      <c r="D126" s="62" t="s">
        <v>25</v>
      </c>
      <c r="E126" s="62" t="s">
        <v>25</v>
      </c>
      <c r="F126" s="62" t="s">
        <v>25</v>
      </c>
      <c r="G126" s="62" t="s">
        <v>73</v>
      </c>
      <c r="H126" s="62" t="s">
        <v>25</v>
      </c>
      <c r="I126" s="75">
        <v>44531</v>
      </c>
      <c r="J126" s="76">
        <f ca="1">EFEITO!$J$126*EFEITO!$Y$126</f>
        <v>28471.679636472003</v>
      </c>
      <c r="K126" s="76">
        <f>EFEITO!$L$126*EFEITO!$Z$126</f>
        <v>0</v>
      </c>
      <c r="L126" s="76">
        <f>EFEITO!$N$126*EFEITO!$AA$126</f>
        <v>0</v>
      </c>
      <c r="M126" s="76">
        <f ca="1">$J$126-EFEITO!$K$126*EFEITO!$Y$126</f>
        <v>14235.839818236002</v>
      </c>
      <c r="N126" s="76">
        <f>$K$126-EFEITO!$M$126*EFEITO!$Z$126</f>
        <v>0</v>
      </c>
      <c r="O126" s="76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62" t="s">
        <v>21</v>
      </c>
      <c r="B127" s="62" t="s">
        <v>59</v>
      </c>
      <c r="C127" s="62" t="s">
        <v>64</v>
      </c>
      <c r="D127" s="62" t="s">
        <v>25</v>
      </c>
      <c r="E127" s="62" t="s">
        <v>25</v>
      </c>
      <c r="F127" s="62" t="s">
        <v>25</v>
      </c>
      <c r="G127" s="62" t="s">
        <v>75</v>
      </c>
      <c r="H127" s="62" t="s">
        <v>25</v>
      </c>
      <c r="I127" s="75">
        <v>44531</v>
      </c>
      <c r="J127" s="76">
        <f ca="1">EFEITO!$J$127*EFEITO!$Y$127</f>
        <v>227452.32792294363</v>
      </c>
      <c r="K127" s="76">
        <f>EFEITO!$L$127*EFEITO!$Z$127</f>
        <v>0</v>
      </c>
      <c r="L127" s="76">
        <f>EFEITO!$N$127*EFEITO!$AA$127</f>
        <v>0</v>
      </c>
      <c r="M127" s="76">
        <f ca="1">$J$127-EFEITO!$K$127*EFEITO!$Y$127</f>
        <v>0</v>
      </c>
      <c r="N127" s="76">
        <f>$K$127-EFEITO!$M$127*EFEITO!$Z$127</f>
        <v>0</v>
      </c>
      <c r="O127" s="76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62" t="s">
        <v>21</v>
      </c>
      <c r="B128" s="62" t="s">
        <v>59</v>
      </c>
      <c r="C128" s="62" t="s">
        <v>64</v>
      </c>
      <c r="D128" s="62" t="s">
        <v>25</v>
      </c>
      <c r="E128" s="62" t="s">
        <v>25</v>
      </c>
      <c r="F128" s="62" t="s">
        <v>25</v>
      </c>
      <c r="G128" s="62" t="s">
        <v>86</v>
      </c>
      <c r="H128" s="62" t="s">
        <v>25</v>
      </c>
      <c r="I128" s="75">
        <v>44531</v>
      </c>
      <c r="J128" s="76">
        <f ca="1">EFEITO!$J$128*EFEITO!$Y$128</f>
        <v>118389.58392442796</v>
      </c>
      <c r="K128" s="76">
        <f>EFEITO!$L$128*EFEITO!$Z$128</f>
        <v>0</v>
      </c>
      <c r="L128" s="76">
        <f>EFEITO!$N$128*EFEITO!$AA$128</f>
        <v>0</v>
      </c>
      <c r="M128" s="76">
        <f ca="1">$J$128-EFEITO!$K$128*EFEITO!$Y$128</f>
        <v>59194.791962213982</v>
      </c>
      <c r="N128" s="76">
        <f>$K$128-EFEITO!$M$128*EFEITO!$Z$128</f>
        <v>0</v>
      </c>
      <c r="O128" s="76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62" t="s">
        <v>21</v>
      </c>
      <c r="B129" s="62" t="s">
        <v>59</v>
      </c>
      <c r="C129" s="62" t="s">
        <v>64</v>
      </c>
      <c r="D129" s="62" t="s">
        <v>25</v>
      </c>
      <c r="E129" s="62" t="s">
        <v>25</v>
      </c>
      <c r="F129" s="62" t="s">
        <v>25</v>
      </c>
      <c r="G129" s="62" t="s">
        <v>87</v>
      </c>
      <c r="H129" s="62" t="s">
        <v>25</v>
      </c>
      <c r="I129" s="75">
        <v>44531</v>
      </c>
      <c r="J129" s="76">
        <f ca="1">EFEITO!$J$129*EFEITO!$Y$129</f>
        <v>146574.78021997074</v>
      </c>
      <c r="K129" s="76">
        <f>EFEITO!$L$129*EFEITO!$Z$129</f>
        <v>0</v>
      </c>
      <c r="L129" s="76">
        <f>EFEITO!$N$129*EFEITO!$AA$129</f>
        <v>0</v>
      </c>
      <c r="M129" s="76">
        <f ca="1">$J$129-EFEITO!$K$129*EFEITO!$Y$129</f>
        <v>146574.78021997074</v>
      </c>
      <c r="N129" s="76">
        <f>$K$129-EFEITO!$M$129*EFEITO!$Z$129</f>
        <v>0</v>
      </c>
      <c r="O129" s="76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62" t="s">
        <v>21</v>
      </c>
      <c r="B130" s="62" t="s">
        <v>59</v>
      </c>
      <c r="C130" s="62" t="s">
        <v>64</v>
      </c>
      <c r="D130" s="62" t="s">
        <v>25</v>
      </c>
      <c r="E130" s="62" t="s">
        <v>25</v>
      </c>
      <c r="F130" s="62" t="s">
        <v>25</v>
      </c>
      <c r="G130" s="62" t="s">
        <v>89</v>
      </c>
      <c r="H130" s="62" t="s">
        <v>25</v>
      </c>
      <c r="I130" s="75">
        <v>44531</v>
      </c>
      <c r="J130" s="76">
        <f ca="1">EFEITO!$J$130*EFEITO!$Y$130</f>
        <v>70997.935711932165</v>
      </c>
      <c r="K130" s="76">
        <f>EFEITO!$L$130*EFEITO!$Z$130</f>
        <v>0</v>
      </c>
      <c r="L130" s="76">
        <f>EFEITO!$N$130*EFEITO!$AA$130</f>
        <v>0</v>
      </c>
      <c r="M130" s="76">
        <f ca="1">$J$130-EFEITO!$K$130*EFEITO!$Y$130</f>
        <v>70997.935711932165</v>
      </c>
      <c r="N130" s="76">
        <f>$K$130-EFEITO!$M$130*EFEITO!$Z$130</f>
        <v>0</v>
      </c>
      <c r="O130" s="76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62" t="s">
        <v>21</v>
      </c>
      <c r="B131" s="62" t="s">
        <v>59</v>
      </c>
      <c r="C131" s="62" t="s">
        <v>64</v>
      </c>
      <c r="D131" s="62" t="s">
        <v>25</v>
      </c>
      <c r="E131" s="62" t="s">
        <v>25</v>
      </c>
      <c r="F131" s="62" t="s">
        <v>25</v>
      </c>
      <c r="G131" s="62" t="s">
        <v>92</v>
      </c>
      <c r="H131" s="62" t="s">
        <v>25</v>
      </c>
      <c r="I131" s="75">
        <v>44531</v>
      </c>
      <c r="J131" s="76">
        <f ca="1">EFEITO!$J$131*EFEITO!$Y$131</f>
        <v>42794.704824821754</v>
      </c>
      <c r="K131" s="76">
        <f>EFEITO!$L$131*EFEITO!$Z$131</f>
        <v>0</v>
      </c>
      <c r="L131" s="76">
        <f>EFEITO!$N$131*EFEITO!$AA$131</f>
        <v>0</v>
      </c>
      <c r="M131" s="76">
        <f ca="1">$J$131-EFEITO!$K$131*EFEITO!$Y$131</f>
        <v>21397.352412410877</v>
      </c>
      <c r="N131" s="76">
        <f>$K$131-EFEITO!$M$131*EFEITO!$Z$131</f>
        <v>0</v>
      </c>
      <c r="O131" s="76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62" t="s">
        <v>21</v>
      </c>
      <c r="B132" s="62" t="s">
        <v>59</v>
      </c>
      <c r="C132" s="62" t="s">
        <v>64</v>
      </c>
      <c r="D132" s="62" t="s">
        <v>25</v>
      </c>
      <c r="E132" s="62" t="s">
        <v>25</v>
      </c>
      <c r="F132" s="62" t="s">
        <v>25</v>
      </c>
      <c r="G132" s="62" t="s">
        <v>65</v>
      </c>
      <c r="H132" s="62" t="s">
        <v>25</v>
      </c>
      <c r="I132" s="75">
        <v>44562</v>
      </c>
      <c r="J132" s="76">
        <f ca="1">EFEITO!$J$132*EFEITO!$Y$132</f>
        <v>8776.9839480853552</v>
      </c>
      <c r="K132" s="76">
        <f>EFEITO!$L$132*EFEITO!$Z$132</f>
        <v>0</v>
      </c>
      <c r="L132" s="76">
        <f>EFEITO!$N$132*EFEITO!$AA$132</f>
        <v>0</v>
      </c>
      <c r="M132" s="76">
        <f ca="1">$J$132-EFEITO!$K$132*EFEITO!$Y$132</f>
        <v>4388.4919740426776</v>
      </c>
      <c r="N132" s="76">
        <f>$K$132-EFEITO!$M$132*EFEITO!$Z$132</f>
        <v>0</v>
      </c>
      <c r="O132" s="76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62" t="s">
        <v>21</v>
      </c>
      <c r="B133" s="62" t="s">
        <v>59</v>
      </c>
      <c r="C133" s="62" t="s">
        <v>64</v>
      </c>
      <c r="D133" s="62" t="s">
        <v>25</v>
      </c>
      <c r="E133" s="62" t="s">
        <v>25</v>
      </c>
      <c r="F133" s="62" t="s">
        <v>25</v>
      </c>
      <c r="G133" s="62" t="s">
        <v>67</v>
      </c>
      <c r="H133" s="62" t="s">
        <v>25</v>
      </c>
      <c r="I133" s="75">
        <v>44562</v>
      </c>
      <c r="J133" s="76">
        <f ca="1">EFEITO!$J$133*EFEITO!$Y$133</f>
        <v>162990.57043755925</v>
      </c>
      <c r="K133" s="76">
        <f>EFEITO!$L$133*EFEITO!$Z$133</f>
        <v>0</v>
      </c>
      <c r="L133" s="76">
        <f>EFEITO!$N$133*EFEITO!$AA$133</f>
        <v>0</v>
      </c>
      <c r="M133" s="76">
        <f ca="1">$J$133-EFEITO!$K$133*EFEITO!$Y$133</f>
        <v>62688.680185258607</v>
      </c>
      <c r="N133" s="76">
        <f>$K$133-EFEITO!$M$133*EFEITO!$Z$133</f>
        <v>0</v>
      </c>
      <c r="O133" s="76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62" t="s">
        <v>21</v>
      </c>
      <c r="B134" s="62" t="s">
        <v>59</v>
      </c>
      <c r="C134" s="62" t="s">
        <v>64</v>
      </c>
      <c r="D134" s="62" t="s">
        <v>25</v>
      </c>
      <c r="E134" s="62" t="s">
        <v>25</v>
      </c>
      <c r="F134" s="62" t="s">
        <v>25</v>
      </c>
      <c r="G134" s="62" t="s">
        <v>69</v>
      </c>
      <c r="H134" s="62" t="s">
        <v>25</v>
      </c>
      <c r="I134" s="75">
        <v>44562</v>
      </c>
      <c r="J134" s="76">
        <f ca="1">EFEITO!$J$134*EFEITO!$Y$134</f>
        <v>131396.92627848388</v>
      </c>
      <c r="K134" s="76">
        <f>EFEITO!$L$134*EFEITO!$Z$134</f>
        <v>0</v>
      </c>
      <c r="L134" s="76">
        <f>EFEITO!$N$134*EFEITO!$AA$134</f>
        <v>0</v>
      </c>
      <c r="M134" s="76">
        <f ca="1">$J$134-EFEITO!$K$134*EFEITO!$Y$134</f>
        <v>0</v>
      </c>
      <c r="N134" s="76">
        <f>$K$134-EFEITO!$M$134*EFEITO!$Z$134</f>
        <v>0</v>
      </c>
      <c r="O134" s="76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62" t="s">
        <v>21</v>
      </c>
      <c r="B135" s="62" t="s">
        <v>59</v>
      </c>
      <c r="C135" s="62" t="s">
        <v>64</v>
      </c>
      <c r="D135" s="62" t="s">
        <v>25</v>
      </c>
      <c r="E135" s="62" t="s">
        <v>25</v>
      </c>
      <c r="F135" s="62" t="s">
        <v>25</v>
      </c>
      <c r="G135" s="62" t="s">
        <v>72</v>
      </c>
      <c r="H135" s="62" t="s">
        <v>25</v>
      </c>
      <c r="I135" s="75">
        <v>44562</v>
      </c>
      <c r="J135" s="76">
        <f ca="1">EFEITO!$J$135*EFEITO!$Y$135</f>
        <v>93671.273797840127</v>
      </c>
      <c r="K135" s="76">
        <f>EFEITO!$L$135*EFEITO!$Z$135</f>
        <v>0</v>
      </c>
      <c r="L135" s="76">
        <f>EFEITO!$N$135*EFEITO!$AA$135</f>
        <v>0</v>
      </c>
      <c r="M135" s="76">
        <f ca="1">$J$135-EFEITO!$K$135*EFEITO!$Y$135</f>
        <v>93671.273797840127</v>
      </c>
      <c r="N135" s="76">
        <f>$K$135-EFEITO!$M$135*EFEITO!$Z$135</f>
        <v>0</v>
      </c>
      <c r="O135" s="76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62" t="s">
        <v>21</v>
      </c>
      <c r="B136" s="62" t="s">
        <v>59</v>
      </c>
      <c r="C136" s="62" t="s">
        <v>64</v>
      </c>
      <c r="D136" s="62" t="s">
        <v>25</v>
      </c>
      <c r="E136" s="62" t="s">
        <v>25</v>
      </c>
      <c r="F136" s="62" t="s">
        <v>25</v>
      </c>
      <c r="G136" s="62" t="s">
        <v>73</v>
      </c>
      <c r="H136" s="62" t="s">
        <v>25</v>
      </c>
      <c r="I136" s="75">
        <v>44562</v>
      </c>
      <c r="J136" s="76">
        <f ca="1">EFEITO!$J$136*EFEITO!$Y$136</f>
        <v>28471.679636472003</v>
      </c>
      <c r="K136" s="76">
        <f>EFEITO!$L$136*EFEITO!$Z$136</f>
        <v>0</v>
      </c>
      <c r="L136" s="76">
        <f>EFEITO!$N$136*EFEITO!$AA$136</f>
        <v>0</v>
      </c>
      <c r="M136" s="76">
        <f ca="1">$J$136-EFEITO!$K$136*EFEITO!$Y$136</f>
        <v>14235.839818236002</v>
      </c>
      <c r="N136" s="76">
        <f>$K$136-EFEITO!$M$136*EFEITO!$Z$136</f>
        <v>0</v>
      </c>
      <c r="O136" s="76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62" t="s">
        <v>21</v>
      </c>
      <c r="B137" s="62" t="s">
        <v>59</v>
      </c>
      <c r="C137" s="62" t="s">
        <v>64</v>
      </c>
      <c r="D137" s="62" t="s">
        <v>25</v>
      </c>
      <c r="E137" s="62" t="s">
        <v>25</v>
      </c>
      <c r="F137" s="62" t="s">
        <v>25</v>
      </c>
      <c r="G137" s="62" t="s">
        <v>75</v>
      </c>
      <c r="H137" s="62" t="s">
        <v>25</v>
      </c>
      <c r="I137" s="75">
        <v>44562</v>
      </c>
      <c r="J137" s="76">
        <f ca="1">EFEITO!$J$137*EFEITO!$Y$137</f>
        <v>227452.32792294363</v>
      </c>
      <c r="K137" s="76">
        <f>EFEITO!$L$137*EFEITO!$Z$137</f>
        <v>0</v>
      </c>
      <c r="L137" s="76">
        <f>EFEITO!$N$137*EFEITO!$AA$137</f>
        <v>0</v>
      </c>
      <c r="M137" s="76">
        <f ca="1">$J$137-EFEITO!$K$137*EFEITO!$Y$137</f>
        <v>0</v>
      </c>
      <c r="N137" s="76">
        <f>$K$137-EFEITO!$M$137*EFEITO!$Z$137</f>
        <v>0</v>
      </c>
      <c r="O137" s="76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62" t="s">
        <v>21</v>
      </c>
      <c r="B138" s="62" t="s">
        <v>59</v>
      </c>
      <c r="C138" s="62" t="s">
        <v>64</v>
      </c>
      <c r="D138" s="62" t="s">
        <v>25</v>
      </c>
      <c r="E138" s="62" t="s">
        <v>25</v>
      </c>
      <c r="F138" s="62" t="s">
        <v>25</v>
      </c>
      <c r="G138" s="62" t="s">
        <v>86</v>
      </c>
      <c r="H138" s="62" t="s">
        <v>25</v>
      </c>
      <c r="I138" s="75">
        <v>44562</v>
      </c>
      <c r="J138" s="76">
        <f ca="1">EFEITO!$J$138*EFEITO!$Y$138</f>
        <v>118389.58392442796</v>
      </c>
      <c r="K138" s="76">
        <f>EFEITO!$L$138*EFEITO!$Z$138</f>
        <v>0</v>
      </c>
      <c r="L138" s="76">
        <f>EFEITO!$N$138*EFEITO!$AA$138</f>
        <v>0</v>
      </c>
      <c r="M138" s="76">
        <f ca="1">$J$138-EFEITO!$K$138*EFEITO!$Y$138</f>
        <v>59194.791962213982</v>
      </c>
      <c r="N138" s="76">
        <f>$K$138-EFEITO!$M$138*EFEITO!$Z$138</f>
        <v>0</v>
      </c>
      <c r="O138" s="76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62" t="s">
        <v>21</v>
      </c>
      <c r="B139" s="62" t="s">
        <v>59</v>
      </c>
      <c r="C139" s="62" t="s">
        <v>64</v>
      </c>
      <c r="D139" s="62" t="s">
        <v>25</v>
      </c>
      <c r="E139" s="62" t="s">
        <v>25</v>
      </c>
      <c r="F139" s="62" t="s">
        <v>25</v>
      </c>
      <c r="G139" s="62" t="s">
        <v>87</v>
      </c>
      <c r="H139" s="62" t="s">
        <v>25</v>
      </c>
      <c r="I139" s="75">
        <v>44562</v>
      </c>
      <c r="J139" s="76">
        <f ca="1">EFEITO!$J$139*EFEITO!$Y$139</f>
        <v>146574.78021997074</v>
      </c>
      <c r="K139" s="76">
        <f>EFEITO!$L$139*EFEITO!$Z$139</f>
        <v>0</v>
      </c>
      <c r="L139" s="76">
        <f>EFEITO!$N$139*EFEITO!$AA$139</f>
        <v>0</v>
      </c>
      <c r="M139" s="76">
        <f ca="1">$J$139-EFEITO!$K$139*EFEITO!$Y$139</f>
        <v>146574.78021997074</v>
      </c>
      <c r="N139" s="76">
        <f>$K$139-EFEITO!$M$139*EFEITO!$Z$139</f>
        <v>0</v>
      </c>
      <c r="O139" s="76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62" t="s">
        <v>21</v>
      </c>
      <c r="B140" s="62" t="s">
        <v>59</v>
      </c>
      <c r="C140" s="62" t="s">
        <v>64</v>
      </c>
      <c r="D140" s="62" t="s">
        <v>25</v>
      </c>
      <c r="E140" s="62" t="s">
        <v>25</v>
      </c>
      <c r="F140" s="62" t="s">
        <v>25</v>
      </c>
      <c r="G140" s="62" t="s">
        <v>89</v>
      </c>
      <c r="H140" s="62" t="s">
        <v>25</v>
      </c>
      <c r="I140" s="75">
        <v>44562</v>
      </c>
      <c r="J140" s="76">
        <f ca="1">EFEITO!$J$140*EFEITO!$Y$140</f>
        <v>70997.935711932165</v>
      </c>
      <c r="K140" s="76">
        <f>EFEITO!$L$140*EFEITO!$Z$140</f>
        <v>0</v>
      </c>
      <c r="L140" s="76">
        <f>EFEITO!$N$140*EFEITO!$AA$140</f>
        <v>0</v>
      </c>
      <c r="M140" s="76">
        <f ca="1">$J$140-EFEITO!$K$140*EFEITO!$Y$140</f>
        <v>70997.935711932165</v>
      </c>
      <c r="N140" s="76">
        <f>$K$140-EFEITO!$M$140*EFEITO!$Z$140</f>
        <v>0</v>
      </c>
      <c r="O140" s="76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62" t="s">
        <v>21</v>
      </c>
      <c r="B141" s="62" t="s">
        <v>59</v>
      </c>
      <c r="C141" s="62" t="s">
        <v>64</v>
      </c>
      <c r="D141" s="62" t="s">
        <v>25</v>
      </c>
      <c r="E141" s="62" t="s">
        <v>25</v>
      </c>
      <c r="F141" s="62" t="s">
        <v>25</v>
      </c>
      <c r="G141" s="62" t="s">
        <v>92</v>
      </c>
      <c r="H141" s="62" t="s">
        <v>25</v>
      </c>
      <c r="I141" s="75">
        <v>44562</v>
      </c>
      <c r="J141" s="76">
        <f ca="1">EFEITO!$J$141*EFEITO!$Y$141</f>
        <v>42794.704824821754</v>
      </c>
      <c r="K141" s="76">
        <f>EFEITO!$L$141*EFEITO!$Z$141</f>
        <v>0</v>
      </c>
      <c r="L141" s="76">
        <f>EFEITO!$N$141*EFEITO!$AA$141</f>
        <v>0</v>
      </c>
      <c r="M141" s="76">
        <f ca="1">$J$141-EFEITO!$K$141*EFEITO!$Y$141</f>
        <v>21397.352412410877</v>
      </c>
      <c r="N141" s="76">
        <f>$K$141-EFEITO!$M$141*EFEITO!$Z$141</f>
        <v>0</v>
      </c>
      <c r="O141" s="76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62" t="s">
        <v>21</v>
      </c>
      <c r="B142" s="62" t="s">
        <v>59</v>
      </c>
      <c r="C142" s="62" t="s">
        <v>64</v>
      </c>
      <c r="D142" s="62" t="s">
        <v>25</v>
      </c>
      <c r="E142" s="62" t="s">
        <v>25</v>
      </c>
      <c r="F142" s="62" t="s">
        <v>25</v>
      </c>
      <c r="G142" s="62" t="s">
        <v>65</v>
      </c>
      <c r="H142" s="62" t="s">
        <v>25</v>
      </c>
      <c r="I142" s="75">
        <v>44593</v>
      </c>
      <c r="J142" s="76">
        <f ca="1">EFEITO!$J$142*EFEITO!$Y$142</f>
        <v>8776.9839480853552</v>
      </c>
      <c r="K142" s="76">
        <f>EFEITO!$L$142*EFEITO!$Z$142</f>
        <v>0</v>
      </c>
      <c r="L142" s="76">
        <f>EFEITO!$N$142*EFEITO!$AA$142</f>
        <v>0</v>
      </c>
      <c r="M142" s="76">
        <f ca="1">$J$142-EFEITO!$K$142*EFEITO!$Y$142</f>
        <v>4388.4919740426776</v>
      </c>
      <c r="N142" s="76">
        <f>$K$142-EFEITO!$M$142*EFEITO!$Z$142</f>
        <v>0</v>
      </c>
      <c r="O142" s="76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62" t="s">
        <v>21</v>
      </c>
      <c r="B143" s="62" t="s">
        <v>59</v>
      </c>
      <c r="C143" s="62" t="s">
        <v>64</v>
      </c>
      <c r="D143" s="62" t="s">
        <v>25</v>
      </c>
      <c r="E143" s="62" t="s">
        <v>25</v>
      </c>
      <c r="F143" s="62" t="s">
        <v>25</v>
      </c>
      <c r="G143" s="62" t="s">
        <v>67</v>
      </c>
      <c r="H143" s="62" t="s">
        <v>25</v>
      </c>
      <c r="I143" s="75">
        <v>44593</v>
      </c>
      <c r="J143" s="76">
        <f ca="1">EFEITO!$J$143*EFEITO!$Y$143</f>
        <v>162990.57043755925</v>
      </c>
      <c r="K143" s="76">
        <f>EFEITO!$L$143*EFEITO!$Z$143</f>
        <v>0</v>
      </c>
      <c r="L143" s="76">
        <f>EFEITO!$N$143*EFEITO!$AA$143</f>
        <v>0</v>
      </c>
      <c r="M143" s="76">
        <f ca="1">$J$143-EFEITO!$K$143*EFEITO!$Y$143</f>
        <v>62688.680185258607</v>
      </c>
      <c r="N143" s="76">
        <f>$K$143-EFEITO!$M$143*EFEITO!$Z$143</f>
        <v>0</v>
      </c>
      <c r="O143" s="76">
        <f>$L$143-EFEITO!$O$143*EFEITO!$AA$143</f>
        <v>0</v>
      </c>
      <c r="P143" s="18"/>
      <c r="Q143" s="18"/>
      <c r="R143" s="18"/>
      <c r="S143" s="18"/>
      <c r="T143" s="18"/>
      <c r="U143" s="18"/>
      <c r="V143" s="18"/>
      <c r="W143" s="1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62" t="s">
        <v>21</v>
      </c>
      <c r="B144" s="62" t="s">
        <v>59</v>
      </c>
      <c r="C144" s="62" t="s">
        <v>64</v>
      </c>
      <c r="D144" s="62" t="s">
        <v>25</v>
      </c>
      <c r="E144" s="62" t="s">
        <v>25</v>
      </c>
      <c r="F144" s="62" t="s">
        <v>25</v>
      </c>
      <c r="G144" s="62" t="s">
        <v>69</v>
      </c>
      <c r="H144" s="62" t="s">
        <v>25</v>
      </c>
      <c r="I144" s="75">
        <v>44593</v>
      </c>
      <c r="J144" s="76">
        <f ca="1">EFEITO!$J$144*EFEITO!$Y$144</f>
        <v>131420.81662871633</v>
      </c>
      <c r="K144" s="76">
        <f>EFEITO!$L$144*EFEITO!$Z$144</f>
        <v>0</v>
      </c>
      <c r="L144" s="76">
        <f>EFEITO!$N$144*EFEITO!$AA$144</f>
        <v>0</v>
      </c>
      <c r="M144" s="76">
        <f ca="1">$J$144-EFEITO!$K$144*EFEITO!$Y$144</f>
        <v>0</v>
      </c>
      <c r="N144" s="76">
        <f>$K$144-EFEITO!$M$144*EFEITO!$Z$144</f>
        <v>0</v>
      </c>
      <c r="O144" s="76">
        <f>$L$144-EFEITO!$O$144*EFEITO!$AA$144</f>
        <v>0</v>
      </c>
      <c r="P144" s="18"/>
      <c r="Q144" s="18"/>
      <c r="R144" s="18"/>
      <c r="S144" s="18"/>
      <c r="T144" s="18"/>
      <c r="U144" s="18"/>
      <c r="V144" s="18"/>
      <c r="W144" s="1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62" t="s">
        <v>21</v>
      </c>
      <c r="B145" s="62" t="s">
        <v>59</v>
      </c>
      <c r="C145" s="62" t="s">
        <v>64</v>
      </c>
      <c r="D145" s="62" t="s">
        <v>25</v>
      </c>
      <c r="E145" s="62" t="s">
        <v>25</v>
      </c>
      <c r="F145" s="62" t="s">
        <v>25</v>
      </c>
      <c r="G145" s="62" t="s">
        <v>72</v>
      </c>
      <c r="H145" s="62" t="s">
        <v>25</v>
      </c>
      <c r="I145" s="75">
        <v>44593</v>
      </c>
      <c r="J145" s="76">
        <f ca="1">EFEITO!$J$145*EFEITO!$Y$145</f>
        <v>93671.273797840127</v>
      </c>
      <c r="K145" s="76">
        <f>EFEITO!$L$145*EFEITO!$Z$145</f>
        <v>0</v>
      </c>
      <c r="L145" s="76">
        <f>EFEITO!$N$145*EFEITO!$AA$145</f>
        <v>0</v>
      </c>
      <c r="M145" s="76">
        <f ca="1">$J$145-EFEITO!$K$145*EFEITO!$Y$145</f>
        <v>93671.273797840127</v>
      </c>
      <c r="N145" s="76">
        <f>$K$145-EFEITO!$M$145*EFEITO!$Z$145</f>
        <v>0</v>
      </c>
      <c r="O145" s="76">
        <f>$L$145-EFEITO!$O$145*EFEITO!$AA$145</f>
        <v>0</v>
      </c>
      <c r="P145" s="18"/>
      <c r="Q145" s="18"/>
      <c r="R145" s="18"/>
      <c r="S145" s="18"/>
      <c r="T145" s="18"/>
      <c r="U145" s="18"/>
      <c r="V145" s="18"/>
      <c r="W145" s="1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62" t="s">
        <v>21</v>
      </c>
      <c r="B146" s="62" t="s">
        <v>59</v>
      </c>
      <c r="C146" s="62" t="s">
        <v>64</v>
      </c>
      <c r="D146" s="62" t="s">
        <v>25</v>
      </c>
      <c r="E146" s="62" t="s">
        <v>25</v>
      </c>
      <c r="F146" s="62" t="s">
        <v>25</v>
      </c>
      <c r="G146" s="62" t="s">
        <v>73</v>
      </c>
      <c r="H146" s="62" t="s">
        <v>25</v>
      </c>
      <c r="I146" s="75">
        <v>44593</v>
      </c>
      <c r="J146" s="76">
        <f ca="1">EFEITO!$J$146*EFEITO!$Y$146</f>
        <v>28471.679636472003</v>
      </c>
      <c r="K146" s="76">
        <f>EFEITO!$L$146*EFEITO!$Z$146</f>
        <v>0</v>
      </c>
      <c r="L146" s="76">
        <f>EFEITO!$N$146*EFEITO!$AA$146</f>
        <v>0</v>
      </c>
      <c r="M146" s="76">
        <f ca="1">$J$146-EFEITO!$K$146*EFEITO!$Y$146</f>
        <v>14235.839818236002</v>
      </c>
      <c r="N146" s="76">
        <f>$K$146-EFEITO!$M$146*EFEITO!$Z$146</f>
        <v>0</v>
      </c>
      <c r="O146" s="76">
        <f>$L$146-EFEITO!$O$146*EFEITO!$AA$146</f>
        <v>0</v>
      </c>
      <c r="P146" s="18"/>
      <c r="Q146" s="18"/>
      <c r="R146" s="18"/>
      <c r="S146" s="18"/>
      <c r="T146" s="18"/>
      <c r="U146" s="18"/>
      <c r="V146" s="18"/>
      <c r="W146" s="1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62" t="s">
        <v>21</v>
      </c>
      <c r="B147" s="62" t="s">
        <v>59</v>
      </c>
      <c r="C147" s="62" t="s">
        <v>64</v>
      </c>
      <c r="D147" s="62" t="s">
        <v>25</v>
      </c>
      <c r="E147" s="62" t="s">
        <v>25</v>
      </c>
      <c r="F147" s="62" t="s">
        <v>25</v>
      </c>
      <c r="G147" s="62" t="s">
        <v>75</v>
      </c>
      <c r="H147" s="62" t="s">
        <v>25</v>
      </c>
      <c r="I147" s="75">
        <v>44593</v>
      </c>
      <c r="J147" s="76">
        <f ca="1">EFEITO!$J$147*EFEITO!$Y$147</f>
        <v>227452.32792294363</v>
      </c>
      <c r="K147" s="76">
        <f>EFEITO!$L$147*EFEITO!$Z$147</f>
        <v>0</v>
      </c>
      <c r="L147" s="76">
        <f>EFEITO!$N$147*EFEITO!$AA$147</f>
        <v>0</v>
      </c>
      <c r="M147" s="76">
        <f ca="1">$J$147-EFEITO!$K$147*EFEITO!$Y$147</f>
        <v>0</v>
      </c>
      <c r="N147" s="76">
        <f>$K$147-EFEITO!$M$147*EFEITO!$Z$147</f>
        <v>0</v>
      </c>
      <c r="O147" s="76">
        <f>$L$147-EFEITO!$O$147*EFEITO!$AA$147</f>
        <v>0</v>
      </c>
      <c r="P147" s="18"/>
      <c r="Q147" s="18"/>
      <c r="R147" s="18"/>
      <c r="S147" s="18"/>
      <c r="T147" s="18"/>
      <c r="U147" s="18"/>
      <c r="V147" s="18"/>
      <c r="W147" s="1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62" t="s">
        <v>21</v>
      </c>
      <c r="B148" s="62" t="s">
        <v>59</v>
      </c>
      <c r="C148" s="62" t="s">
        <v>64</v>
      </c>
      <c r="D148" s="62" t="s">
        <v>25</v>
      </c>
      <c r="E148" s="62" t="s">
        <v>25</v>
      </c>
      <c r="F148" s="62" t="s">
        <v>25</v>
      </c>
      <c r="G148" s="62" t="s">
        <v>86</v>
      </c>
      <c r="H148" s="62" t="s">
        <v>25</v>
      </c>
      <c r="I148" s="75">
        <v>44593</v>
      </c>
      <c r="J148" s="76">
        <f ca="1">EFEITO!$J$148*EFEITO!$Y$148</f>
        <v>118389.58392442796</v>
      </c>
      <c r="K148" s="76">
        <f>EFEITO!$L$148*EFEITO!$Z$148</f>
        <v>0</v>
      </c>
      <c r="L148" s="76">
        <f>EFEITO!$N$148*EFEITO!$AA$148</f>
        <v>0</v>
      </c>
      <c r="M148" s="76">
        <f ca="1">$J$148-EFEITO!$K$148*EFEITO!$Y$148</f>
        <v>59194.791962213982</v>
      </c>
      <c r="N148" s="76">
        <f>$K$148-EFEITO!$M$148*EFEITO!$Z$148</f>
        <v>0</v>
      </c>
      <c r="O148" s="76">
        <f>$L$148-EFEITO!$O$148*EFEITO!$AA$148</f>
        <v>0</v>
      </c>
      <c r="P148" s="18"/>
      <c r="Q148" s="18"/>
      <c r="R148" s="18"/>
      <c r="S148" s="18"/>
      <c r="T148" s="18"/>
      <c r="U148" s="18"/>
      <c r="V148" s="18"/>
      <c r="W148" s="1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62" t="s">
        <v>21</v>
      </c>
      <c r="B149" s="62" t="s">
        <v>59</v>
      </c>
      <c r="C149" s="62" t="s">
        <v>64</v>
      </c>
      <c r="D149" s="62" t="s">
        <v>25</v>
      </c>
      <c r="E149" s="62" t="s">
        <v>25</v>
      </c>
      <c r="F149" s="62" t="s">
        <v>25</v>
      </c>
      <c r="G149" s="62" t="s">
        <v>87</v>
      </c>
      <c r="H149" s="62" t="s">
        <v>25</v>
      </c>
      <c r="I149" s="75">
        <v>44593</v>
      </c>
      <c r="J149" s="76">
        <f ca="1">EFEITO!$J$149*EFEITO!$Y$149</f>
        <v>146574.78021997074</v>
      </c>
      <c r="K149" s="76">
        <f>EFEITO!$L$149*EFEITO!$Z$149</f>
        <v>0</v>
      </c>
      <c r="L149" s="76">
        <f>EFEITO!$N$149*EFEITO!$AA$149</f>
        <v>0</v>
      </c>
      <c r="M149" s="76">
        <f ca="1">$J$149-EFEITO!$K$149*EFEITO!$Y$149</f>
        <v>146574.78021997074</v>
      </c>
      <c r="N149" s="76">
        <f>$K$149-EFEITO!$M$149*EFEITO!$Z$149</f>
        <v>0</v>
      </c>
      <c r="O149" s="76">
        <f>$L$149-EFEITO!$O$149*EFEITO!$AA$149</f>
        <v>0</v>
      </c>
      <c r="P149" s="18"/>
      <c r="Q149" s="18"/>
      <c r="R149" s="18"/>
      <c r="S149" s="18"/>
      <c r="T149" s="18"/>
      <c r="U149" s="18"/>
      <c r="V149" s="18"/>
      <c r="W149" s="1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62" t="s">
        <v>21</v>
      </c>
      <c r="B150" s="62" t="s">
        <v>59</v>
      </c>
      <c r="C150" s="62" t="s">
        <v>64</v>
      </c>
      <c r="D150" s="62" t="s">
        <v>25</v>
      </c>
      <c r="E150" s="62" t="s">
        <v>25</v>
      </c>
      <c r="F150" s="62" t="s">
        <v>25</v>
      </c>
      <c r="G150" s="62" t="s">
        <v>89</v>
      </c>
      <c r="H150" s="62" t="s">
        <v>25</v>
      </c>
      <c r="I150" s="75">
        <v>44593</v>
      </c>
      <c r="J150" s="76">
        <f ca="1">EFEITO!$J$150*EFEITO!$Y$150</f>
        <v>70997.935711932165</v>
      </c>
      <c r="K150" s="76">
        <f>EFEITO!$L$150*EFEITO!$Z$150</f>
        <v>0</v>
      </c>
      <c r="L150" s="76">
        <f>EFEITO!$N$150*EFEITO!$AA$150</f>
        <v>0</v>
      </c>
      <c r="M150" s="76">
        <f ca="1">$J$150-EFEITO!$K$150*EFEITO!$Y$150</f>
        <v>70997.935711932165</v>
      </c>
      <c r="N150" s="76">
        <f>$K$150-EFEITO!$M$150*EFEITO!$Z$150</f>
        <v>0</v>
      </c>
      <c r="O150" s="76">
        <f>$L$150-EFEITO!$O$150*EFEITO!$AA$150</f>
        <v>0</v>
      </c>
      <c r="P150" s="18"/>
      <c r="Q150" s="18"/>
      <c r="R150" s="18"/>
      <c r="S150" s="18"/>
      <c r="T150" s="18"/>
      <c r="U150" s="18"/>
      <c r="V150" s="18"/>
      <c r="W150" s="1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62" t="s">
        <v>21</v>
      </c>
      <c r="B151" s="62" t="s">
        <v>59</v>
      </c>
      <c r="C151" s="62" t="s">
        <v>64</v>
      </c>
      <c r="D151" s="62" t="s">
        <v>25</v>
      </c>
      <c r="E151" s="62" t="s">
        <v>25</v>
      </c>
      <c r="F151" s="62" t="s">
        <v>25</v>
      </c>
      <c r="G151" s="62" t="s">
        <v>92</v>
      </c>
      <c r="H151" s="62" t="s">
        <v>25</v>
      </c>
      <c r="I151" s="75">
        <v>44593</v>
      </c>
      <c r="J151" s="76">
        <f ca="1">EFEITO!$J$151*EFEITO!$Y$151</f>
        <v>42794.704824821754</v>
      </c>
      <c r="K151" s="76">
        <f>EFEITO!$L$151*EFEITO!$Z$151</f>
        <v>0</v>
      </c>
      <c r="L151" s="76">
        <f>EFEITO!$N$151*EFEITO!$AA$151</f>
        <v>0</v>
      </c>
      <c r="M151" s="76">
        <f ca="1">$J$151-EFEITO!$K$151*EFEITO!$Y$151</f>
        <v>21397.352412410877</v>
      </c>
      <c r="N151" s="76">
        <f>$K$151-EFEITO!$M$151*EFEITO!$Z$151</f>
        <v>0</v>
      </c>
      <c r="O151" s="76">
        <f>$L$151-EFEITO!$O$151*EFEITO!$AA$151</f>
        <v>0</v>
      </c>
      <c r="P151" s="18"/>
      <c r="Q151" s="18"/>
      <c r="R151" s="18"/>
      <c r="S151" s="18"/>
      <c r="T151" s="18"/>
      <c r="U151" s="18"/>
      <c r="V151" s="18"/>
      <c r="W151" s="1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62" t="s">
        <v>21</v>
      </c>
      <c r="B152" s="62" t="s">
        <v>59</v>
      </c>
      <c r="C152" s="62" t="s">
        <v>64</v>
      </c>
      <c r="D152" s="62" t="s">
        <v>25</v>
      </c>
      <c r="E152" s="62" t="s">
        <v>25</v>
      </c>
      <c r="F152" s="62" t="s">
        <v>25</v>
      </c>
      <c r="G152" s="62" t="s">
        <v>65</v>
      </c>
      <c r="H152" s="62" t="s">
        <v>25</v>
      </c>
      <c r="I152" s="75">
        <v>44621</v>
      </c>
      <c r="J152" s="76">
        <f ca="1">EFEITO!$J$152*EFEITO!$Y$152</f>
        <v>8776.9839480853552</v>
      </c>
      <c r="K152" s="76">
        <f>EFEITO!$L$152*EFEITO!$Z$152</f>
        <v>0</v>
      </c>
      <c r="L152" s="76">
        <f>EFEITO!$N$152*EFEITO!$AA$152</f>
        <v>0</v>
      </c>
      <c r="M152" s="76">
        <f ca="1">$J$152-EFEITO!$K$152*EFEITO!$Y$152</f>
        <v>4388.4919740426776</v>
      </c>
      <c r="N152" s="76">
        <f>$K$152-EFEITO!$M$152*EFEITO!$Z$152</f>
        <v>0</v>
      </c>
      <c r="O152" s="76">
        <f>$L$152-EFEITO!$O$152*EFEITO!$AA$152</f>
        <v>0</v>
      </c>
      <c r="P152" s="18"/>
      <c r="Q152" s="18"/>
      <c r="R152" s="18"/>
      <c r="S152" s="18"/>
      <c r="T152" s="18"/>
      <c r="U152" s="18"/>
      <c r="V152" s="18"/>
      <c r="W152" s="1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62" t="s">
        <v>21</v>
      </c>
      <c r="B153" s="62" t="s">
        <v>59</v>
      </c>
      <c r="C153" s="62" t="s">
        <v>64</v>
      </c>
      <c r="D153" s="62" t="s">
        <v>25</v>
      </c>
      <c r="E153" s="62" t="s">
        <v>25</v>
      </c>
      <c r="F153" s="62" t="s">
        <v>25</v>
      </c>
      <c r="G153" s="62" t="s">
        <v>67</v>
      </c>
      <c r="H153" s="62" t="s">
        <v>25</v>
      </c>
      <c r="I153" s="75">
        <v>44621</v>
      </c>
      <c r="J153" s="76">
        <f ca="1">EFEITO!$J$153*EFEITO!$Y$153</f>
        <v>162990.57043755925</v>
      </c>
      <c r="K153" s="76">
        <f>EFEITO!$L$153*EFEITO!$Z$153</f>
        <v>0</v>
      </c>
      <c r="L153" s="76">
        <f>EFEITO!$N$153*EFEITO!$AA$153</f>
        <v>0</v>
      </c>
      <c r="M153" s="76">
        <f ca="1">$J$153-EFEITO!$K$153*EFEITO!$Y$153</f>
        <v>62688.680185258607</v>
      </c>
      <c r="N153" s="76">
        <f>$K$153-EFEITO!$M$153*EFEITO!$Z$153</f>
        <v>0</v>
      </c>
      <c r="O153" s="76">
        <f>$L$153-EFEITO!$O$153*EFEITO!$AA$153</f>
        <v>0</v>
      </c>
      <c r="P153" s="18"/>
      <c r="Q153" s="18"/>
      <c r="R153" s="18"/>
      <c r="S153" s="18"/>
      <c r="T153" s="18"/>
      <c r="U153" s="18"/>
      <c r="V153" s="18"/>
      <c r="W153" s="1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62" t="s">
        <v>21</v>
      </c>
      <c r="B154" s="62" t="s">
        <v>59</v>
      </c>
      <c r="C154" s="62" t="s">
        <v>64</v>
      </c>
      <c r="D154" s="62" t="s">
        <v>25</v>
      </c>
      <c r="E154" s="62" t="s">
        <v>25</v>
      </c>
      <c r="F154" s="62" t="s">
        <v>25</v>
      </c>
      <c r="G154" s="62" t="s">
        <v>69</v>
      </c>
      <c r="H154" s="62" t="s">
        <v>25</v>
      </c>
      <c r="I154" s="75">
        <v>44621</v>
      </c>
      <c r="J154" s="76">
        <f ca="1">EFEITO!$J$154*EFEITO!$Y$154</f>
        <v>131396.92627848388</v>
      </c>
      <c r="K154" s="76">
        <f>EFEITO!$L$154*EFEITO!$Z$154</f>
        <v>0</v>
      </c>
      <c r="L154" s="76">
        <f>EFEITO!$N$154*EFEITO!$AA$154</f>
        <v>0</v>
      </c>
      <c r="M154" s="76">
        <f ca="1">$J$154-EFEITO!$K$154*EFEITO!$Y$154</f>
        <v>0</v>
      </c>
      <c r="N154" s="76">
        <f>$K$154-EFEITO!$M$154*EFEITO!$Z$154</f>
        <v>0</v>
      </c>
      <c r="O154" s="76">
        <f>$L$154-EFEITO!$O$154*EFEITO!$AA$154</f>
        <v>0</v>
      </c>
      <c r="P154" s="18"/>
      <c r="Q154" s="18"/>
      <c r="R154" s="18"/>
      <c r="S154" s="18"/>
      <c r="T154" s="18"/>
      <c r="U154" s="18"/>
      <c r="V154" s="18"/>
      <c r="W154" s="1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62" t="s">
        <v>21</v>
      </c>
      <c r="B155" s="62" t="s">
        <v>59</v>
      </c>
      <c r="C155" s="62" t="s">
        <v>64</v>
      </c>
      <c r="D155" s="62" t="s">
        <v>25</v>
      </c>
      <c r="E155" s="62" t="s">
        <v>25</v>
      </c>
      <c r="F155" s="62" t="s">
        <v>25</v>
      </c>
      <c r="G155" s="62" t="s">
        <v>72</v>
      </c>
      <c r="H155" s="62" t="s">
        <v>25</v>
      </c>
      <c r="I155" s="75">
        <v>44621</v>
      </c>
      <c r="J155" s="76">
        <f ca="1">EFEITO!$J$155*EFEITO!$Y$155</f>
        <v>93671.273797840127</v>
      </c>
      <c r="K155" s="76">
        <f>EFEITO!$L$155*EFEITO!$Z$155</f>
        <v>0</v>
      </c>
      <c r="L155" s="76">
        <f>EFEITO!$N$155*EFEITO!$AA$155</f>
        <v>0</v>
      </c>
      <c r="M155" s="76">
        <f ca="1">$J$155-EFEITO!$K$155*EFEITO!$Y$155</f>
        <v>93671.273797840127</v>
      </c>
      <c r="N155" s="76">
        <f>$K$155-EFEITO!$M$155*EFEITO!$Z$155</f>
        <v>0</v>
      </c>
      <c r="O155" s="76">
        <f>$L$155-EFEITO!$O$155*EFEITO!$AA$155</f>
        <v>0</v>
      </c>
      <c r="P155" s="18"/>
      <c r="Q155" s="18"/>
      <c r="R155" s="18"/>
      <c r="S155" s="18"/>
      <c r="T155" s="18"/>
      <c r="U155" s="18"/>
      <c r="V155" s="18"/>
      <c r="W155" s="1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62" t="s">
        <v>21</v>
      </c>
      <c r="B156" s="62" t="s">
        <v>59</v>
      </c>
      <c r="C156" s="62" t="s">
        <v>64</v>
      </c>
      <c r="D156" s="62" t="s">
        <v>25</v>
      </c>
      <c r="E156" s="62" t="s">
        <v>25</v>
      </c>
      <c r="F156" s="62" t="s">
        <v>25</v>
      </c>
      <c r="G156" s="62" t="s">
        <v>73</v>
      </c>
      <c r="H156" s="62" t="s">
        <v>25</v>
      </c>
      <c r="I156" s="75">
        <v>44621</v>
      </c>
      <c r="J156" s="76">
        <f ca="1">EFEITO!$J$156*EFEITO!$Y$156</f>
        <v>28471.679636472003</v>
      </c>
      <c r="K156" s="76">
        <f>EFEITO!$L$156*EFEITO!$Z$156</f>
        <v>0</v>
      </c>
      <c r="L156" s="76">
        <f>EFEITO!$N$156*EFEITO!$AA$156</f>
        <v>0</v>
      </c>
      <c r="M156" s="76">
        <f ca="1">$J$156-EFEITO!$K$156*EFEITO!$Y$156</f>
        <v>14235.839818236002</v>
      </c>
      <c r="N156" s="76">
        <f>$K$156-EFEITO!$M$156*EFEITO!$Z$156</f>
        <v>0</v>
      </c>
      <c r="O156" s="76">
        <f>$L$156-EFEITO!$O$156*EFEITO!$AA$156</f>
        <v>0</v>
      </c>
      <c r="P156" s="18"/>
      <c r="Q156" s="18"/>
      <c r="R156" s="18"/>
      <c r="S156" s="18"/>
      <c r="T156" s="18"/>
      <c r="U156" s="18"/>
      <c r="V156" s="18"/>
      <c r="W156" s="1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62" t="s">
        <v>21</v>
      </c>
      <c r="B157" s="62" t="s">
        <v>59</v>
      </c>
      <c r="C157" s="62" t="s">
        <v>64</v>
      </c>
      <c r="D157" s="62" t="s">
        <v>25</v>
      </c>
      <c r="E157" s="62" t="s">
        <v>25</v>
      </c>
      <c r="F157" s="62" t="s">
        <v>25</v>
      </c>
      <c r="G157" s="62" t="s">
        <v>75</v>
      </c>
      <c r="H157" s="62" t="s">
        <v>25</v>
      </c>
      <c r="I157" s="75">
        <v>44621</v>
      </c>
      <c r="J157" s="76">
        <f ca="1">EFEITO!$J$157*EFEITO!$Y$157</f>
        <v>227452.32792294363</v>
      </c>
      <c r="K157" s="76">
        <f>EFEITO!$L$157*EFEITO!$Z$157</f>
        <v>0</v>
      </c>
      <c r="L157" s="76">
        <f>EFEITO!$N$157*EFEITO!$AA$157</f>
        <v>0</v>
      </c>
      <c r="M157" s="76">
        <f ca="1">$J$157-EFEITO!$K$157*EFEITO!$Y$157</f>
        <v>0</v>
      </c>
      <c r="N157" s="76">
        <f>$K$157-EFEITO!$M$157*EFEITO!$Z$157</f>
        <v>0</v>
      </c>
      <c r="O157" s="76">
        <f>$L$157-EFEITO!$O$157*EFEITO!$AA$157</f>
        <v>0</v>
      </c>
      <c r="P157" s="18"/>
      <c r="Q157" s="18"/>
      <c r="R157" s="18"/>
      <c r="S157" s="18"/>
      <c r="T157" s="18"/>
      <c r="U157" s="18"/>
      <c r="V157" s="18"/>
      <c r="W157" s="1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62" t="s">
        <v>21</v>
      </c>
      <c r="B158" s="62" t="s">
        <v>59</v>
      </c>
      <c r="C158" s="62" t="s">
        <v>64</v>
      </c>
      <c r="D158" s="62" t="s">
        <v>25</v>
      </c>
      <c r="E158" s="62" t="s">
        <v>25</v>
      </c>
      <c r="F158" s="62" t="s">
        <v>25</v>
      </c>
      <c r="G158" s="62" t="s">
        <v>86</v>
      </c>
      <c r="H158" s="62" t="s">
        <v>25</v>
      </c>
      <c r="I158" s="75">
        <v>44621</v>
      </c>
      <c r="J158" s="76">
        <f ca="1">EFEITO!$J$158*EFEITO!$Y$158</f>
        <v>118389.58392442796</v>
      </c>
      <c r="K158" s="76">
        <f>EFEITO!$L$158*EFEITO!$Z$158</f>
        <v>0</v>
      </c>
      <c r="L158" s="76">
        <f>EFEITO!$N$158*EFEITO!$AA$158</f>
        <v>0</v>
      </c>
      <c r="M158" s="76">
        <f ca="1">$J$158-EFEITO!$K$158*EFEITO!$Y$158</f>
        <v>59194.791962213982</v>
      </c>
      <c r="N158" s="76">
        <f>$K$158-EFEITO!$M$158*EFEITO!$Z$158</f>
        <v>0</v>
      </c>
      <c r="O158" s="76">
        <f>$L$158-EFEITO!$O$158*EFEITO!$AA$158</f>
        <v>0</v>
      </c>
      <c r="P158" s="18"/>
      <c r="Q158" s="18"/>
      <c r="R158" s="18"/>
      <c r="S158" s="18"/>
      <c r="T158" s="18"/>
      <c r="U158" s="18"/>
      <c r="V158" s="18"/>
      <c r="W158" s="1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62" t="s">
        <v>21</v>
      </c>
      <c r="B159" s="62" t="s">
        <v>59</v>
      </c>
      <c r="C159" s="62" t="s">
        <v>64</v>
      </c>
      <c r="D159" s="62" t="s">
        <v>25</v>
      </c>
      <c r="E159" s="62" t="s">
        <v>25</v>
      </c>
      <c r="F159" s="62" t="s">
        <v>25</v>
      </c>
      <c r="G159" s="62" t="s">
        <v>87</v>
      </c>
      <c r="H159" s="62" t="s">
        <v>25</v>
      </c>
      <c r="I159" s="75">
        <v>44621</v>
      </c>
      <c r="J159" s="76">
        <f ca="1">EFEITO!$J$159*EFEITO!$Y$159</f>
        <v>146574.78021997074</v>
      </c>
      <c r="K159" s="76">
        <f>EFEITO!$L$159*EFEITO!$Z$159</f>
        <v>0</v>
      </c>
      <c r="L159" s="76">
        <f>EFEITO!$N$159*EFEITO!$AA$159</f>
        <v>0</v>
      </c>
      <c r="M159" s="76">
        <f ca="1">$J$159-EFEITO!$K$159*EFEITO!$Y$159</f>
        <v>146574.78021997074</v>
      </c>
      <c r="N159" s="76">
        <f>$K$159-EFEITO!$M$159*EFEITO!$Z$159</f>
        <v>0</v>
      </c>
      <c r="O159" s="76">
        <f>$L$159-EFEITO!$O$159*EFEITO!$AA$159</f>
        <v>0</v>
      </c>
      <c r="P159" s="18"/>
      <c r="Q159" s="18"/>
      <c r="R159" s="18"/>
      <c r="S159" s="18"/>
      <c r="T159" s="18"/>
      <c r="U159" s="18"/>
      <c r="V159" s="18"/>
      <c r="W159" s="1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62" t="s">
        <v>21</v>
      </c>
      <c r="B160" s="62" t="s">
        <v>59</v>
      </c>
      <c r="C160" s="62" t="s">
        <v>64</v>
      </c>
      <c r="D160" s="62" t="s">
        <v>25</v>
      </c>
      <c r="E160" s="62" t="s">
        <v>25</v>
      </c>
      <c r="F160" s="62" t="s">
        <v>25</v>
      </c>
      <c r="G160" s="62" t="s">
        <v>89</v>
      </c>
      <c r="H160" s="62" t="s">
        <v>25</v>
      </c>
      <c r="I160" s="75">
        <v>44621</v>
      </c>
      <c r="J160" s="76">
        <f ca="1">EFEITO!$J$160*EFEITO!$Y$160</f>
        <v>70997.935711932165</v>
      </c>
      <c r="K160" s="76">
        <f>EFEITO!$L$160*EFEITO!$Z$160</f>
        <v>0</v>
      </c>
      <c r="L160" s="76">
        <f>EFEITO!$N$160*EFEITO!$AA$160</f>
        <v>0</v>
      </c>
      <c r="M160" s="76">
        <f ca="1">$J$160-EFEITO!$K$160*EFEITO!$Y$160</f>
        <v>70997.935711932165</v>
      </c>
      <c r="N160" s="76">
        <f>$K$160-EFEITO!$M$160*EFEITO!$Z$160</f>
        <v>0</v>
      </c>
      <c r="O160" s="76">
        <f>$L$160-EFEITO!$O$160*EFEITO!$AA$160</f>
        <v>0</v>
      </c>
      <c r="P160" s="18"/>
      <c r="Q160" s="18"/>
      <c r="R160" s="18"/>
      <c r="S160" s="18"/>
      <c r="T160" s="18"/>
      <c r="U160" s="18"/>
      <c r="V160" s="18"/>
      <c r="W160" s="1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62" t="s">
        <v>21</v>
      </c>
      <c r="B161" s="62" t="s">
        <v>59</v>
      </c>
      <c r="C161" s="62" t="s">
        <v>64</v>
      </c>
      <c r="D161" s="62" t="s">
        <v>25</v>
      </c>
      <c r="E161" s="62" t="s">
        <v>25</v>
      </c>
      <c r="F161" s="62" t="s">
        <v>25</v>
      </c>
      <c r="G161" s="62" t="s">
        <v>92</v>
      </c>
      <c r="H161" s="62" t="s">
        <v>25</v>
      </c>
      <c r="I161" s="75">
        <v>44621</v>
      </c>
      <c r="J161" s="76">
        <f ca="1">EFEITO!$J$161*EFEITO!$Y$161</f>
        <v>42794.704824821754</v>
      </c>
      <c r="K161" s="76">
        <f>EFEITO!$L$161*EFEITO!$Z$161</f>
        <v>0</v>
      </c>
      <c r="L161" s="76">
        <f>EFEITO!$N$161*EFEITO!$AA$161</f>
        <v>0</v>
      </c>
      <c r="M161" s="76">
        <f ca="1">$J$161-EFEITO!$K$161*EFEITO!$Y$161</f>
        <v>21397.352412410877</v>
      </c>
      <c r="N161" s="76">
        <f>$K$161-EFEITO!$M$161*EFEITO!$Z$161</f>
        <v>0</v>
      </c>
      <c r="O161" s="76">
        <f>$L$161-EFEITO!$O$161*EFEITO!$AA$161</f>
        <v>0</v>
      </c>
      <c r="P161" s="18"/>
      <c r="Q161" s="18"/>
      <c r="R161" s="18"/>
      <c r="S161" s="18"/>
      <c r="T161" s="18"/>
      <c r="U161" s="18"/>
      <c r="V161" s="18"/>
      <c r="W161" s="1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62" t="s">
        <v>21</v>
      </c>
      <c r="B162" s="62" t="s">
        <v>59</v>
      </c>
      <c r="C162" s="62" t="s">
        <v>64</v>
      </c>
      <c r="D162" s="62" t="s">
        <v>25</v>
      </c>
      <c r="E162" s="62" t="s">
        <v>25</v>
      </c>
      <c r="F162" s="62" t="s">
        <v>25</v>
      </c>
      <c r="G162" s="62" t="s">
        <v>65</v>
      </c>
      <c r="H162" s="62" t="s">
        <v>25</v>
      </c>
      <c r="I162" s="75">
        <v>44652</v>
      </c>
      <c r="J162" s="76">
        <f ca="1">EFEITO!$J$162*EFEITO!$Y$162</f>
        <v>8776.9839480853552</v>
      </c>
      <c r="K162" s="76">
        <f>EFEITO!$L$162*EFEITO!$Z$162</f>
        <v>0</v>
      </c>
      <c r="L162" s="76">
        <f>EFEITO!$N$162*EFEITO!$AA$162</f>
        <v>0</v>
      </c>
      <c r="M162" s="76">
        <f ca="1">$J$162-EFEITO!$K$162*EFEITO!$Y$162</f>
        <v>4388.4919740426776</v>
      </c>
      <c r="N162" s="76">
        <f>$K$162-EFEITO!$M$162*EFEITO!$Z$162</f>
        <v>0</v>
      </c>
      <c r="O162" s="76">
        <f>$L$162-EFEITO!$O$162*EFEITO!$AA$162</f>
        <v>0</v>
      </c>
      <c r="P162" s="18"/>
      <c r="Q162" s="18"/>
      <c r="R162" s="18"/>
      <c r="S162" s="18"/>
      <c r="T162" s="18"/>
      <c r="U162" s="18"/>
      <c r="V162" s="18"/>
      <c r="W162" s="1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62" t="s">
        <v>21</v>
      </c>
      <c r="B163" s="62" t="s">
        <v>59</v>
      </c>
      <c r="C163" s="62" t="s">
        <v>64</v>
      </c>
      <c r="D163" s="62" t="s">
        <v>25</v>
      </c>
      <c r="E163" s="62" t="s">
        <v>25</v>
      </c>
      <c r="F163" s="62" t="s">
        <v>25</v>
      </c>
      <c r="G163" s="62" t="s">
        <v>67</v>
      </c>
      <c r="H163" s="62" t="s">
        <v>25</v>
      </c>
      <c r="I163" s="75">
        <v>44652</v>
      </c>
      <c r="J163" s="76">
        <f ca="1">EFEITO!$J$163*EFEITO!$Y$163</f>
        <v>162990.57043755925</v>
      </c>
      <c r="K163" s="76">
        <f>EFEITO!$L$163*EFEITO!$Z$163</f>
        <v>0</v>
      </c>
      <c r="L163" s="76">
        <f>EFEITO!$N$163*EFEITO!$AA$163</f>
        <v>0</v>
      </c>
      <c r="M163" s="76">
        <f ca="1">$J$163-EFEITO!$K$163*EFEITO!$Y$163</f>
        <v>62688.680185258607</v>
      </c>
      <c r="N163" s="76">
        <f>$K$163-EFEITO!$M$163*EFEITO!$Z$163</f>
        <v>0</v>
      </c>
      <c r="O163" s="76">
        <f>$L$163-EFEITO!$O$163*EFEITO!$AA$163</f>
        <v>0</v>
      </c>
      <c r="P163" s="18"/>
      <c r="Q163" s="18"/>
      <c r="R163" s="18"/>
      <c r="S163" s="18"/>
      <c r="T163" s="18"/>
      <c r="U163" s="18"/>
      <c r="V163" s="18"/>
      <c r="W163" s="1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62" t="s">
        <v>21</v>
      </c>
      <c r="B164" s="62" t="s">
        <v>59</v>
      </c>
      <c r="C164" s="62" t="s">
        <v>64</v>
      </c>
      <c r="D164" s="62" t="s">
        <v>25</v>
      </c>
      <c r="E164" s="62" t="s">
        <v>25</v>
      </c>
      <c r="F164" s="62" t="s">
        <v>25</v>
      </c>
      <c r="G164" s="62" t="s">
        <v>69</v>
      </c>
      <c r="H164" s="62" t="s">
        <v>25</v>
      </c>
      <c r="I164" s="75">
        <v>44652</v>
      </c>
      <c r="J164" s="76">
        <f ca="1">EFEITO!$J$164*EFEITO!$Y$164</f>
        <v>131396.92627848388</v>
      </c>
      <c r="K164" s="76">
        <f>EFEITO!$L$164*EFEITO!$Z$164</f>
        <v>0</v>
      </c>
      <c r="L164" s="76">
        <f>EFEITO!$N$164*EFEITO!$AA$164</f>
        <v>0</v>
      </c>
      <c r="M164" s="76">
        <f ca="1">$J$164-EFEITO!$K$164*EFEITO!$Y$164</f>
        <v>0</v>
      </c>
      <c r="N164" s="76">
        <f>$K$164-EFEITO!$M$164*EFEITO!$Z$164</f>
        <v>0</v>
      </c>
      <c r="O164" s="76">
        <f>$L$164-EFEITO!$O$164*EFEITO!$AA$164</f>
        <v>0</v>
      </c>
      <c r="P164" s="18"/>
      <c r="Q164" s="18"/>
      <c r="R164" s="18"/>
      <c r="S164" s="18"/>
      <c r="T164" s="18"/>
      <c r="U164" s="18"/>
      <c r="V164" s="18"/>
      <c r="W164" s="1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62" t="s">
        <v>21</v>
      </c>
      <c r="B165" s="62" t="s">
        <v>59</v>
      </c>
      <c r="C165" s="62" t="s">
        <v>64</v>
      </c>
      <c r="D165" s="62" t="s">
        <v>25</v>
      </c>
      <c r="E165" s="62" t="s">
        <v>25</v>
      </c>
      <c r="F165" s="62" t="s">
        <v>25</v>
      </c>
      <c r="G165" s="62" t="s">
        <v>72</v>
      </c>
      <c r="H165" s="62" t="s">
        <v>25</v>
      </c>
      <c r="I165" s="75">
        <v>44652</v>
      </c>
      <c r="J165" s="76">
        <f ca="1">EFEITO!$J$165*EFEITO!$Y$165</f>
        <v>93671.273797840127</v>
      </c>
      <c r="K165" s="76">
        <f>EFEITO!$L$165*EFEITO!$Z$165</f>
        <v>0</v>
      </c>
      <c r="L165" s="76">
        <f>EFEITO!$N$165*EFEITO!$AA$165</f>
        <v>0</v>
      </c>
      <c r="M165" s="76">
        <f ca="1">$J$165-EFEITO!$K$165*EFEITO!$Y$165</f>
        <v>93671.273797840127</v>
      </c>
      <c r="N165" s="76">
        <f>$K$165-EFEITO!$M$165*EFEITO!$Z$165</f>
        <v>0</v>
      </c>
      <c r="O165" s="76">
        <f>$L$165-EFEITO!$O$165*EFEITO!$AA$165</f>
        <v>0</v>
      </c>
      <c r="P165" s="18"/>
      <c r="Q165" s="18"/>
      <c r="R165" s="18"/>
      <c r="S165" s="18"/>
      <c r="T165" s="18"/>
      <c r="U165" s="18"/>
      <c r="V165" s="18"/>
      <c r="W165" s="1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62" t="s">
        <v>21</v>
      </c>
      <c r="B166" s="62" t="s">
        <v>59</v>
      </c>
      <c r="C166" s="62" t="s">
        <v>64</v>
      </c>
      <c r="D166" s="62" t="s">
        <v>25</v>
      </c>
      <c r="E166" s="62" t="s">
        <v>25</v>
      </c>
      <c r="F166" s="62" t="s">
        <v>25</v>
      </c>
      <c r="G166" s="62" t="s">
        <v>73</v>
      </c>
      <c r="H166" s="62" t="s">
        <v>25</v>
      </c>
      <c r="I166" s="75">
        <v>44652</v>
      </c>
      <c r="J166" s="76">
        <f ca="1">EFEITO!$J$166*EFEITO!$Y$166</f>
        <v>28471.679636472003</v>
      </c>
      <c r="K166" s="76">
        <f>EFEITO!$L$166*EFEITO!$Z$166</f>
        <v>0</v>
      </c>
      <c r="L166" s="76">
        <f>EFEITO!$N$166*EFEITO!$AA$166</f>
        <v>0</v>
      </c>
      <c r="M166" s="76">
        <f ca="1">$J$166-EFEITO!$K$166*EFEITO!$Y$166</f>
        <v>14235.839818236002</v>
      </c>
      <c r="N166" s="76">
        <f>$K$166-EFEITO!$M$166*EFEITO!$Z$166</f>
        <v>0</v>
      </c>
      <c r="O166" s="76">
        <f>$L$166-EFEITO!$O$166*EFEITO!$AA$166</f>
        <v>0</v>
      </c>
      <c r="P166" s="18"/>
      <c r="Q166" s="18"/>
      <c r="R166" s="18"/>
      <c r="S166" s="18"/>
      <c r="T166" s="18"/>
      <c r="U166" s="18"/>
      <c r="V166" s="18"/>
      <c r="W166" s="1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62" t="s">
        <v>21</v>
      </c>
      <c r="B167" s="62" t="s">
        <v>59</v>
      </c>
      <c r="C167" s="62" t="s">
        <v>64</v>
      </c>
      <c r="D167" s="62" t="s">
        <v>25</v>
      </c>
      <c r="E167" s="62" t="s">
        <v>25</v>
      </c>
      <c r="F167" s="62" t="s">
        <v>25</v>
      </c>
      <c r="G167" s="62" t="s">
        <v>75</v>
      </c>
      <c r="H167" s="62" t="s">
        <v>25</v>
      </c>
      <c r="I167" s="75">
        <v>44652</v>
      </c>
      <c r="J167" s="76">
        <f ca="1">EFEITO!$J$167*EFEITO!$Y$167</f>
        <v>227452.32792294363</v>
      </c>
      <c r="K167" s="76">
        <f>EFEITO!$L$167*EFEITO!$Z$167</f>
        <v>0</v>
      </c>
      <c r="L167" s="76">
        <f>EFEITO!$N$167*EFEITO!$AA$167</f>
        <v>0</v>
      </c>
      <c r="M167" s="76">
        <f ca="1">$J$167-EFEITO!$K$167*EFEITO!$Y$167</f>
        <v>0</v>
      </c>
      <c r="N167" s="76">
        <f>$K$167-EFEITO!$M$167*EFEITO!$Z$167</f>
        <v>0</v>
      </c>
      <c r="O167" s="76">
        <f>$L$167-EFEITO!$O$167*EFEITO!$AA$167</f>
        <v>0</v>
      </c>
      <c r="P167" s="18"/>
      <c r="Q167" s="18"/>
      <c r="R167" s="18"/>
      <c r="S167" s="18"/>
      <c r="T167" s="18"/>
      <c r="U167" s="18"/>
      <c r="V167" s="18"/>
      <c r="W167" s="1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62" t="s">
        <v>21</v>
      </c>
      <c r="B168" s="62" t="s">
        <v>59</v>
      </c>
      <c r="C168" s="62" t="s">
        <v>64</v>
      </c>
      <c r="D168" s="62" t="s">
        <v>25</v>
      </c>
      <c r="E168" s="62" t="s">
        <v>25</v>
      </c>
      <c r="F168" s="62" t="s">
        <v>25</v>
      </c>
      <c r="G168" s="62" t="s">
        <v>86</v>
      </c>
      <c r="H168" s="62" t="s">
        <v>25</v>
      </c>
      <c r="I168" s="75">
        <v>44652</v>
      </c>
      <c r="J168" s="76">
        <f ca="1">EFEITO!$J$168*EFEITO!$Y$168</f>
        <v>118389.58392442796</v>
      </c>
      <c r="K168" s="76">
        <f>EFEITO!$L$168*EFEITO!$Z$168</f>
        <v>0</v>
      </c>
      <c r="L168" s="76">
        <f>EFEITO!$N$168*EFEITO!$AA$168</f>
        <v>0</v>
      </c>
      <c r="M168" s="76">
        <f ca="1">$J$168-EFEITO!$K$168*EFEITO!$Y$168</f>
        <v>59194.791962213982</v>
      </c>
      <c r="N168" s="76">
        <f>$K$168-EFEITO!$M$168*EFEITO!$Z$168</f>
        <v>0</v>
      </c>
      <c r="O168" s="76">
        <f>$L$168-EFEITO!$O$168*EFEITO!$AA$168</f>
        <v>0</v>
      </c>
      <c r="P168" s="18"/>
      <c r="Q168" s="18"/>
      <c r="R168" s="18"/>
      <c r="S168" s="18"/>
      <c r="T168" s="18"/>
      <c r="U168" s="18"/>
      <c r="V168" s="18"/>
      <c r="W168" s="1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62" t="s">
        <v>21</v>
      </c>
      <c r="B169" s="62" t="s">
        <v>59</v>
      </c>
      <c r="C169" s="62" t="s">
        <v>64</v>
      </c>
      <c r="D169" s="62" t="s">
        <v>25</v>
      </c>
      <c r="E169" s="62" t="s">
        <v>25</v>
      </c>
      <c r="F169" s="62" t="s">
        <v>25</v>
      </c>
      <c r="G169" s="62" t="s">
        <v>87</v>
      </c>
      <c r="H169" s="62" t="s">
        <v>25</v>
      </c>
      <c r="I169" s="75">
        <v>44652</v>
      </c>
      <c r="J169" s="76">
        <f ca="1">EFEITO!$J$169*EFEITO!$Y$169</f>
        <v>146574.78021997074</v>
      </c>
      <c r="K169" s="76">
        <f>EFEITO!$L$169*EFEITO!$Z$169</f>
        <v>0</v>
      </c>
      <c r="L169" s="76">
        <f>EFEITO!$N$169*EFEITO!$AA$169</f>
        <v>0</v>
      </c>
      <c r="M169" s="76">
        <f ca="1">$J$169-EFEITO!$K$169*EFEITO!$Y$169</f>
        <v>146574.78021997074</v>
      </c>
      <c r="N169" s="76">
        <f>$K$169-EFEITO!$M$169*EFEITO!$Z$169</f>
        <v>0</v>
      </c>
      <c r="O169" s="76">
        <f>$L$169-EFEITO!$O$169*EFEITO!$AA$169</f>
        <v>0</v>
      </c>
      <c r="P169" s="18"/>
      <c r="Q169" s="18"/>
      <c r="R169" s="18"/>
      <c r="S169" s="18"/>
      <c r="T169" s="18"/>
      <c r="U169" s="18"/>
      <c r="V169" s="18"/>
      <c r="W169" s="1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62" t="s">
        <v>21</v>
      </c>
      <c r="B170" s="62" t="s">
        <v>59</v>
      </c>
      <c r="C170" s="62" t="s">
        <v>64</v>
      </c>
      <c r="D170" s="62" t="s">
        <v>25</v>
      </c>
      <c r="E170" s="62" t="s">
        <v>25</v>
      </c>
      <c r="F170" s="62" t="s">
        <v>25</v>
      </c>
      <c r="G170" s="62" t="s">
        <v>89</v>
      </c>
      <c r="H170" s="62" t="s">
        <v>25</v>
      </c>
      <c r="I170" s="75">
        <v>44652</v>
      </c>
      <c r="J170" s="76">
        <f ca="1">EFEITO!$J$170*EFEITO!$Y$170</f>
        <v>70997.935711932165</v>
      </c>
      <c r="K170" s="76">
        <f>EFEITO!$L$170*EFEITO!$Z$170</f>
        <v>0</v>
      </c>
      <c r="L170" s="76">
        <f>EFEITO!$N$170*EFEITO!$AA$170</f>
        <v>0</v>
      </c>
      <c r="M170" s="76">
        <f ca="1">$J$170-EFEITO!$K$170*EFEITO!$Y$170</f>
        <v>70997.935711932165</v>
      </c>
      <c r="N170" s="76">
        <f>$K$170-EFEITO!$M$170*EFEITO!$Z$170</f>
        <v>0</v>
      </c>
      <c r="O170" s="76">
        <f>$L$170-EFEITO!$O$170*EFEITO!$AA$170</f>
        <v>0</v>
      </c>
      <c r="P170" s="18"/>
      <c r="Q170" s="18"/>
      <c r="R170" s="18"/>
      <c r="S170" s="18"/>
      <c r="T170" s="18"/>
      <c r="U170" s="18"/>
      <c r="V170" s="18"/>
      <c r="W170" s="1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62" t="s">
        <v>21</v>
      </c>
      <c r="B171" s="62" t="s">
        <v>59</v>
      </c>
      <c r="C171" s="62" t="s">
        <v>64</v>
      </c>
      <c r="D171" s="62" t="s">
        <v>25</v>
      </c>
      <c r="E171" s="62" t="s">
        <v>25</v>
      </c>
      <c r="F171" s="62" t="s">
        <v>25</v>
      </c>
      <c r="G171" s="62" t="s">
        <v>92</v>
      </c>
      <c r="H171" s="62" t="s">
        <v>25</v>
      </c>
      <c r="I171" s="75">
        <v>44652</v>
      </c>
      <c r="J171" s="76">
        <f ca="1">EFEITO!$J$171*EFEITO!$Y$171</f>
        <v>42794.704824821754</v>
      </c>
      <c r="K171" s="76">
        <f>EFEITO!$L$171*EFEITO!$Z$171</f>
        <v>0</v>
      </c>
      <c r="L171" s="76">
        <f>EFEITO!$N$171*EFEITO!$AA$171</f>
        <v>0</v>
      </c>
      <c r="M171" s="76">
        <f ca="1">$J$171-EFEITO!$K$171*EFEITO!$Y$171</f>
        <v>21397.352412410877</v>
      </c>
      <c r="N171" s="76">
        <f>$K$171-EFEITO!$M$171*EFEITO!$Z$171</f>
        <v>0</v>
      </c>
      <c r="O171" s="76">
        <f>$L$171-EFEITO!$O$171*EFEITO!$AA$171</f>
        <v>0</v>
      </c>
      <c r="P171" s="18"/>
      <c r="Q171" s="18"/>
      <c r="R171" s="18"/>
      <c r="S171" s="18"/>
      <c r="T171" s="18"/>
      <c r="U171" s="18"/>
      <c r="V171" s="18"/>
      <c r="W171" s="1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62" t="s">
        <v>58</v>
      </c>
      <c r="B172" s="62" t="s">
        <v>59</v>
      </c>
      <c r="C172" s="62" t="s">
        <v>64</v>
      </c>
      <c r="D172" s="62" t="s">
        <v>25</v>
      </c>
      <c r="E172" s="62" t="s">
        <v>25</v>
      </c>
      <c r="F172" s="62" t="s">
        <v>25</v>
      </c>
      <c r="G172" s="62" t="s">
        <v>65</v>
      </c>
      <c r="H172" s="62" t="s">
        <v>25</v>
      </c>
      <c r="I172" s="75">
        <v>44682</v>
      </c>
      <c r="J172" s="76">
        <f ca="1">EFEITO!$J$172*EFEITO!$Y$172</f>
        <v>8776.9839480853552</v>
      </c>
      <c r="K172" s="76">
        <f>EFEITO!$L$172*EFEITO!$Z$172</f>
        <v>0</v>
      </c>
      <c r="L172" s="76">
        <f>EFEITO!$N$172*EFEITO!$AA$172</f>
        <v>0</v>
      </c>
      <c r="M172" s="76">
        <f ca="1">$J$172-EFEITO!$K$172*EFEITO!$Y$172</f>
        <v>4388.4919740426776</v>
      </c>
      <c r="N172" s="76">
        <f>$K$172-EFEITO!$M$172*EFEITO!$Z$172</f>
        <v>0</v>
      </c>
      <c r="O172" s="76">
        <f>$L$172-EFEITO!$O$172*EFEITO!$AA$172</f>
        <v>0</v>
      </c>
      <c r="P172" s="18"/>
      <c r="Q172" s="18"/>
      <c r="R172" s="18"/>
      <c r="S172" s="18"/>
      <c r="T172" s="18"/>
      <c r="U172" s="18"/>
      <c r="V172" s="18"/>
      <c r="W172" s="1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62" t="s">
        <v>58</v>
      </c>
      <c r="B173" s="62" t="s">
        <v>59</v>
      </c>
      <c r="C173" s="62" t="s">
        <v>64</v>
      </c>
      <c r="D173" s="62" t="s">
        <v>25</v>
      </c>
      <c r="E173" s="62" t="s">
        <v>25</v>
      </c>
      <c r="F173" s="62" t="s">
        <v>25</v>
      </c>
      <c r="G173" s="62" t="s">
        <v>67</v>
      </c>
      <c r="H173" s="62" t="s">
        <v>25</v>
      </c>
      <c r="I173" s="75">
        <v>44682</v>
      </c>
      <c r="J173" s="76">
        <f ca="1">EFEITO!$J$173*EFEITO!$Y$173</f>
        <v>162990.57043755925</v>
      </c>
      <c r="K173" s="76">
        <f>EFEITO!$L$173*EFEITO!$Z$173</f>
        <v>0</v>
      </c>
      <c r="L173" s="76">
        <f>EFEITO!$N$173*EFEITO!$AA$173</f>
        <v>0</v>
      </c>
      <c r="M173" s="76">
        <f ca="1">$J$173-EFEITO!$K$173*EFEITO!$Y$173</f>
        <v>62688.680185258607</v>
      </c>
      <c r="N173" s="76">
        <f>$K$173-EFEITO!$M$173*EFEITO!$Z$173</f>
        <v>0</v>
      </c>
      <c r="O173" s="76">
        <f>$L$173-EFEITO!$O$173*EFEITO!$AA$173</f>
        <v>0</v>
      </c>
      <c r="P173" s="18"/>
      <c r="Q173" s="18"/>
      <c r="R173" s="18"/>
      <c r="S173" s="18"/>
      <c r="T173" s="18"/>
      <c r="U173" s="18"/>
      <c r="V173" s="18"/>
      <c r="W173" s="1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62" t="s">
        <v>58</v>
      </c>
      <c r="B174" s="62" t="s">
        <v>59</v>
      </c>
      <c r="C174" s="62" t="s">
        <v>64</v>
      </c>
      <c r="D174" s="62" t="s">
        <v>25</v>
      </c>
      <c r="E174" s="62" t="s">
        <v>25</v>
      </c>
      <c r="F174" s="62" t="s">
        <v>25</v>
      </c>
      <c r="G174" s="62" t="s">
        <v>69</v>
      </c>
      <c r="H174" s="62" t="s">
        <v>25</v>
      </c>
      <c r="I174" s="75">
        <v>44682</v>
      </c>
      <c r="J174" s="76">
        <f ca="1">EFEITO!$J$174*EFEITO!$Y$174</f>
        <v>131396.92627848388</v>
      </c>
      <c r="K174" s="76">
        <f>EFEITO!$L$174*EFEITO!$Z$174</f>
        <v>0</v>
      </c>
      <c r="L174" s="76">
        <f>EFEITO!$N$174*EFEITO!$AA$174</f>
        <v>0</v>
      </c>
      <c r="M174" s="76">
        <f ca="1">$J$174-EFEITO!$K$174*EFEITO!$Y$174</f>
        <v>0</v>
      </c>
      <c r="N174" s="76">
        <f>$K$174-EFEITO!$M$174*EFEITO!$Z$174</f>
        <v>0</v>
      </c>
      <c r="O174" s="76">
        <f>$L$174-EFEITO!$O$174*EFEITO!$AA$174</f>
        <v>0</v>
      </c>
      <c r="P174" s="18"/>
      <c r="Q174" s="18"/>
      <c r="R174" s="18"/>
      <c r="S174" s="18"/>
      <c r="T174" s="18"/>
      <c r="U174" s="18"/>
      <c r="V174" s="18"/>
      <c r="W174" s="1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62" t="s">
        <v>58</v>
      </c>
      <c r="B175" s="62" t="s">
        <v>59</v>
      </c>
      <c r="C175" s="62" t="s">
        <v>64</v>
      </c>
      <c r="D175" s="62" t="s">
        <v>25</v>
      </c>
      <c r="E175" s="62" t="s">
        <v>25</v>
      </c>
      <c r="F175" s="62" t="s">
        <v>25</v>
      </c>
      <c r="G175" s="62" t="s">
        <v>72</v>
      </c>
      <c r="H175" s="62" t="s">
        <v>25</v>
      </c>
      <c r="I175" s="75">
        <v>44682</v>
      </c>
      <c r="J175" s="76">
        <f ca="1">EFEITO!$J$175*EFEITO!$Y$175</f>
        <v>93671.273797840127</v>
      </c>
      <c r="K175" s="76">
        <f>EFEITO!$L$175*EFEITO!$Z$175</f>
        <v>0</v>
      </c>
      <c r="L175" s="76">
        <f>EFEITO!$N$175*EFEITO!$AA$175</f>
        <v>0</v>
      </c>
      <c r="M175" s="76">
        <f ca="1">$J$175-EFEITO!$K$175*EFEITO!$Y$175</f>
        <v>93671.273797840127</v>
      </c>
      <c r="N175" s="76">
        <f>$K$175-EFEITO!$M$175*EFEITO!$Z$175</f>
        <v>0</v>
      </c>
      <c r="O175" s="76">
        <f>$L$175-EFEITO!$O$175*EFEITO!$AA$175</f>
        <v>0</v>
      </c>
      <c r="P175" s="18"/>
      <c r="Q175" s="18"/>
      <c r="R175" s="18"/>
      <c r="S175" s="18"/>
      <c r="T175" s="18"/>
      <c r="U175" s="18"/>
      <c r="V175" s="18"/>
      <c r="W175" s="1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62" t="s">
        <v>58</v>
      </c>
      <c r="B176" s="62" t="s">
        <v>59</v>
      </c>
      <c r="C176" s="62" t="s">
        <v>64</v>
      </c>
      <c r="D176" s="62" t="s">
        <v>25</v>
      </c>
      <c r="E176" s="62" t="s">
        <v>25</v>
      </c>
      <c r="F176" s="62" t="s">
        <v>25</v>
      </c>
      <c r="G176" s="62" t="s">
        <v>73</v>
      </c>
      <c r="H176" s="62" t="s">
        <v>25</v>
      </c>
      <c r="I176" s="75">
        <v>44682</v>
      </c>
      <c r="J176" s="76">
        <f ca="1">EFEITO!$J$176*EFEITO!$Y$176</f>
        <v>28471.679636472003</v>
      </c>
      <c r="K176" s="76">
        <f>EFEITO!$L$176*EFEITO!$Z$176</f>
        <v>0</v>
      </c>
      <c r="L176" s="76">
        <f>EFEITO!$N$176*EFEITO!$AA$176</f>
        <v>0</v>
      </c>
      <c r="M176" s="76">
        <f ca="1">$J$176-EFEITO!$K$176*EFEITO!$Y$176</f>
        <v>14235.839818236002</v>
      </c>
      <c r="N176" s="76">
        <f>$K$176-EFEITO!$M$176*EFEITO!$Z$176</f>
        <v>0</v>
      </c>
      <c r="O176" s="76">
        <f>$L$176-EFEITO!$O$176*EFEITO!$AA$176</f>
        <v>0</v>
      </c>
      <c r="P176" s="18"/>
      <c r="Q176" s="18"/>
      <c r="R176" s="18"/>
      <c r="S176" s="18"/>
      <c r="T176" s="18"/>
      <c r="U176" s="18"/>
      <c r="V176" s="18"/>
      <c r="W176" s="1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62" t="s">
        <v>58</v>
      </c>
      <c r="B177" s="62" t="s">
        <v>59</v>
      </c>
      <c r="C177" s="62" t="s">
        <v>64</v>
      </c>
      <c r="D177" s="62" t="s">
        <v>25</v>
      </c>
      <c r="E177" s="62" t="s">
        <v>25</v>
      </c>
      <c r="F177" s="62" t="s">
        <v>25</v>
      </c>
      <c r="G177" s="62" t="s">
        <v>75</v>
      </c>
      <c r="H177" s="62" t="s">
        <v>25</v>
      </c>
      <c r="I177" s="75">
        <v>44682</v>
      </c>
      <c r="J177" s="76">
        <f ca="1">EFEITO!$J$177*EFEITO!$Y$177</f>
        <v>227452.32792294363</v>
      </c>
      <c r="K177" s="76">
        <f>EFEITO!$L$177*EFEITO!$Z$177</f>
        <v>0</v>
      </c>
      <c r="L177" s="76">
        <f>EFEITO!$N$177*EFEITO!$AA$177</f>
        <v>0</v>
      </c>
      <c r="M177" s="76">
        <f ca="1">$J$177-EFEITO!$K$177*EFEITO!$Y$177</f>
        <v>0</v>
      </c>
      <c r="N177" s="76">
        <f>$K$177-EFEITO!$M$177*EFEITO!$Z$177</f>
        <v>0</v>
      </c>
      <c r="O177" s="76">
        <f>$L$177-EFEITO!$O$177*EFEITO!$AA$177</f>
        <v>0</v>
      </c>
      <c r="P177" s="18"/>
      <c r="Q177" s="18"/>
      <c r="R177" s="18"/>
      <c r="S177" s="18"/>
      <c r="T177" s="18"/>
      <c r="U177" s="18"/>
      <c r="V177" s="18"/>
      <c r="W177" s="1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62" t="s">
        <v>58</v>
      </c>
      <c r="B178" s="62" t="s">
        <v>59</v>
      </c>
      <c r="C178" s="62" t="s">
        <v>64</v>
      </c>
      <c r="D178" s="62" t="s">
        <v>25</v>
      </c>
      <c r="E178" s="62" t="s">
        <v>25</v>
      </c>
      <c r="F178" s="62" t="s">
        <v>25</v>
      </c>
      <c r="G178" s="62" t="s">
        <v>86</v>
      </c>
      <c r="H178" s="62" t="s">
        <v>25</v>
      </c>
      <c r="I178" s="75">
        <v>44682</v>
      </c>
      <c r="J178" s="76">
        <f ca="1">EFEITO!$J$178*EFEITO!$Y$178</f>
        <v>118389.58392442796</v>
      </c>
      <c r="K178" s="76">
        <f>EFEITO!$L$178*EFEITO!$Z$178</f>
        <v>0</v>
      </c>
      <c r="L178" s="76">
        <f>EFEITO!$N$178*EFEITO!$AA$178</f>
        <v>0</v>
      </c>
      <c r="M178" s="76">
        <f ca="1">$J$178-EFEITO!$K$178*EFEITO!$Y$178</f>
        <v>59194.791962213982</v>
      </c>
      <c r="N178" s="76">
        <f>$K$178-EFEITO!$M$178*EFEITO!$Z$178</f>
        <v>0</v>
      </c>
      <c r="O178" s="76">
        <f>$L$178-EFEITO!$O$178*EFEITO!$AA$178</f>
        <v>0</v>
      </c>
      <c r="P178" s="18"/>
      <c r="Q178" s="18"/>
      <c r="R178" s="18"/>
      <c r="S178" s="18"/>
      <c r="T178" s="18"/>
      <c r="U178" s="18"/>
      <c r="V178" s="18"/>
      <c r="W178" s="1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62" t="s">
        <v>58</v>
      </c>
      <c r="B179" s="62" t="s">
        <v>59</v>
      </c>
      <c r="C179" s="62" t="s">
        <v>64</v>
      </c>
      <c r="D179" s="62" t="s">
        <v>25</v>
      </c>
      <c r="E179" s="62" t="s">
        <v>25</v>
      </c>
      <c r="F179" s="62" t="s">
        <v>25</v>
      </c>
      <c r="G179" s="62" t="s">
        <v>87</v>
      </c>
      <c r="H179" s="62" t="s">
        <v>25</v>
      </c>
      <c r="I179" s="75">
        <v>44682</v>
      </c>
      <c r="J179" s="76">
        <f ca="1">EFEITO!$J$179*EFEITO!$Y$179</f>
        <v>146574.78021997074</v>
      </c>
      <c r="K179" s="76">
        <f>EFEITO!$L$179*EFEITO!$Z$179</f>
        <v>0</v>
      </c>
      <c r="L179" s="76">
        <f>EFEITO!$N$179*EFEITO!$AA$179</f>
        <v>0</v>
      </c>
      <c r="M179" s="76">
        <f ca="1">$J$179-EFEITO!$K$179*EFEITO!$Y$179</f>
        <v>146574.78021997074</v>
      </c>
      <c r="N179" s="76">
        <f>$K$179-EFEITO!$M$179*EFEITO!$Z$179</f>
        <v>0</v>
      </c>
      <c r="O179" s="76">
        <f>$L$179-EFEITO!$O$179*EFEITO!$AA$179</f>
        <v>0</v>
      </c>
      <c r="P179" s="18"/>
      <c r="Q179" s="18"/>
      <c r="R179" s="18"/>
      <c r="S179" s="18"/>
      <c r="T179" s="18"/>
      <c r="U179" s="18"/>
      <c r="V179" s="18"/>
      <c r="W179" s="1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62" t="s">
        <v>58</v>
      </c>
      <c r="B180" s="62" t="s">
        <v>59</v>
      </c>
      <c r="C180" s="62" t="s">
        <v>64</v>
      </c>
      <c r="D180" s="62" t="s">
        <v>25</v>
      </c>
      <c r="E180" s="62" t="s">
        <v>25</v>
      </c>
      <c r="F180" s="62" t="s">
        <v>25</v>
      </c>
      <c r="G180" s="62" t="s">
        <v>89</v>
      </c>
      <c r="H180" s="62" t="s">
        <v>25</v>
      </c>
      <c r="I180" s="75">
        <v>44682</v>
      </c>
      <c r="J180" s="76">
        <f ca="1">EFEITO!$J$180*EFEITO!$Y$180</f>
        <v>70997.935711932165</v>
      </c>
      <c r="K180" s="76">
        <f>EFEITO!$L$180*EFEITO!$Z$180</f>
        <v>0</v>
      </c>
      <c r="L180" s="76">
        <f>EFEITO!$N$180*EFEITO!$AA$180</f>
        <v>0</v>
      </c>
      <c r="M180" s="76">
        <f ca="1">$J$180-EFEITO!$K$180*EFEITO!$Y$180</f>
        <v>70997.935711932165</v>
      </c>
      <c r="N180" s="76">
        <f>$K$180-EFEITO!$M$180*EFEITO!$Z$180</f>
        <v>0</v>
      </c>
      <c r="O180" s="76">
        <f>$L$180-EFEITO!$O$180*EFEITO!$AA$180</f>
        <v>0</v>
      </c>
      <c r="P180" s="18"/>
      <c r="Q180" s="18"/>
      <c r="R180" s="18"/>
      <c r="S180" s="18"/>
      <c r="T180" s="18"/>
      <c r="U180" s="18"/>
      <c r="V180" s="18"/>
      <c r="W180" s="1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62" t="s">
        <v>58</v>
      </c>
      <c r="B181" s="62" t="s">
        <v>59</v>
      </c>
      <c r="C181" s="62" t="s">
        <v>64</v>
      </c>
      <c r="D181" s="62" t="s">
        <v>25</v>
      </c>
      <c r="E181" s="62" t="s">
        <v>25</v>
      </c>
      <c r="F181" s="62" t="s">
        <v>25</v>
      </c>
      <c r="G181" s="62" t="s">
        <v>92</v>
      </c>
      <c r="H181" s="62" t="s">
        <v>25</v>
      </c>
      <c r="I181" s="75">
        <v>44682</v>
      </c>
      <c r="J181" s="76">
        <f ca="1">EFEITO!$J$181*EFEITO!$Y$181</f>
        <v>42794.704824821754</v>
      </c>
      <c r="K181" s="76">
        <f>EFEITO!$L$181*EFEITO!$Z$181</f>
        <v>0</v>
      </c>
      <c r="L181" s="76">
        <f>EFEITO!$N$181*EFEITO!$AA$181</f>
        <v>0</v>
      </c>
      <c r="M181" s="76">
        <f ca="1">$J$181-EFEITO!$K$181*EFEITO!$Y$181</f>
        <v>21397.352412410877</v>
      </c>
      <c r="N181" s="76">
        <f>$K$181-EFEITO!$M$181*EFEITO!$Z$181</f>
        <v>0</v>
      </c>
      <c r="O181" s="76">
        <f>$L$181-EFEITO!$O$181*EFEITO!$AA$181</f>
        <v>0</v>
      </c>
      <c r="P181" s="18"/>
      <c r="Q181" s="18"/>
      <c r="R181" s="18"/>
      <c r="S181" s="18"/>
      <c r="T181" s="18"/>
      <c r="U181" s="18"/>
      <c r="V181" s="18"/>
      <c r="W181" s="1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62" t="s">
        <v>21</v>
      </c>
      <c r="B182" s="62" t="s">
        <v>39</v>
      </c>
      <c r="C182" s="62" t="s">
        <v>40</v>
      </c>
      <c r="D182" s="62" t="s">
        <v>38</v>
      </c>
      <c r="E182" s="62" t="s">
        <v>25</v>
      </c>
      <c r="F182" s="62" t="s">
        <v>25</v>
      </c>
      <c r="G182" s="62" t="s">
        <v>25</v>
      </c>
      <c r="H182" s="62" t="s">
        <v>35</v>
      </c>
      <c r="I182" s="75">
        <v>44348</v>
      </c>
      <c r="J182" s="76">
        <f ca="1">EFEITO!$J$182*EFEITO!$Y$182</f>
        <v>4087.0596542068115</v>
      </c>
      <c r="K182" s="76">
        <f ca="1">EFEITO!$L$182*EFEITO!$Z$182</f>
        <v>5669.5833263010236</v>
      </c>
      <c r="L182" s="76">
        <f>EFEITO!$N$182*EFEITO!$AA$182</f>
        <v>17540.828058280109</v>
      </c>
      <c r="M182" s="76">
        <f ca="1">$J$182-EFEITO!$K$182*EFEITO!$Y$182</f>
        <v>0</v>
      </c>
      <c r="N182" s="76">
        <f ca="1">$K$182-EFEITO!$M$182*EFEITO!$Z$182</f>
        <v>0</v>
      </c>
      <c r="O182" s="76">
        <f>$L$182-EFEITO!$O$182*EFEITO!$AA$182</f>
        <v>0</v>
      </c>
      <c r="P182" s="18"/>
      <c r="Q182" s="18"/>
      <c r="R182" s="18"/>
      <c r="S182" s="18"/>
      <c r="T182" s="18"/>
      <c r="U182" s="18"/>
      <c r="V182" s="18"/>
      <c r="W182" s="1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62" t="s">
        <v>21</v>
      </c>
      <c r="B183" s="62" t="s">
        <v>39</v>
      </c>
      <c r="C183" s="62" t="s">
        <v>40</v>
      </c>
      <c r="D183" s="62" t="s">
        <v>38</v>
      </c>
      <c r="E183" s="62" t="s">
        <v>25</v>
      </c>
      <c r="F183" s="62" t="s">
        <v>25</v>
      </c>
      <c r="G183" s="62" t="s">
        <v>25</v>
      </c>
      <c r="H183" s="62" t="s">
        <v>35</v>
      </c>
      <c r="I183" s="75">
        <v>44348</v>
      </c>
      <c r="J183" s="76">
        <f ca="1">EFEITO!$J$183*EFEITO!$Y$183</f>
        <v>154420.79104923108</v>
      </c>
      <c r="K183" s="76">
        <f ca="1">EFEITO!$L$183*EFEITO!$Z$183</f>
        <v>0</v>
      </c>
      <c r="L183" s="76">
        <f>EFEITO!$N$183*EFEITO!$AA$183</f>
        <v>0</v>
      </c>
      <c r="M183" s="76">
        <f ca="1">$J$183-EFEITO!$K$183*EFEITO!$Y$183</f>
        <v>0</v>
      </c>
      <c r="N183" s="76">
        <f ca="1">$K$183-EFEITO!$M$183*EFEITO!$Z$183</f>
        <v>0</v>
      </c>
      <c r="O183" s="76">
        <f>$L$183-EFEITO!$O$183*EFEITO!$AA$183</f>
        <v>0</v>
      </c>
      <c r="P183" s="18"/>
      <c r="Q183" s="18"/>
      <c r="R183" s="18"/>
      <c r="S183" s="18"/>
      <c r="T183" s="18"/>
      <c r="U183" s="18"/>
      <c r="V183" s="18"/>
      <c r="W183" s="1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62" t="s">
        <v>21</v>
      </c>
      <c r="B184" s="62" t="s">
        <v>39</v>
      </c>
      <c r="C184" s="62" t="s">
        <v>40</v>
      </c>
      <c r="D184" s="62" t="s">
        <v>38</v>
      </c>
      <c r="E184" s="62" t="s">
        <v>25</v>
      </c>
      <c r="F184" s="62" t="s">
        <v>25</v>
      </c>
      <c r="G184" s="62" t="s">
        <v>25</v>
      </c>
      <c r="H184" s="62" t="s">
        <v>35</v>
      </c>
      <c r="I184" s="75">
        <v>44378</v>
      </c>
      <c r="J184" s="76">
        <f ca="1">EFEITO!$J$184*EFEITO!$Y$184</f>
        <v>4087.0596542068115</v>
      </c>
      <c r="K184" s="76">
        <f ca="1">EFEITO!$L$184*EFEITO!$Z$184</f>
        <v>4960.8854105133951</v>
      </c>
      <c r="L184" s="76">
        <f>EFEITO!$N$184*EFEITO!$AA$184</f>
        <v>15348.224550995095</v>
      </c>
      <c r="M184" s="76">
        <f ca="1">$J$184-EFEITO!$K$184*EFEITO!$Y$184</f>
        <v>0</v>
      </c>
      <c r="N184" s="76">
        <f ca="1">$K$184-EFEITO!$M$184*EFEITO!$Z$184</f>
        <v>0</v>
      </c>
      <c r="O184" s="76">
        <f>$L$184-EFEITO!$O$184*EFEITO!$AA$184</f>
        <v>0</v>
      </c>
      <c r="P184" s="18"/>
      <c r="Q184" s="18"/>
      <c r="R184" s="18"/>
      <c r="S184" s="18"/>
      <c r="T184" s="18"/>
      <c r="U184" s="18"/>
      <c r="V184" s="18"/>
      <c r="W184" s="1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62" t="s">
        <v>21</v>
      </c>
      <c r="B185" s="62" t="s">
        <v>39</v>
      </c>
      <c r="C185" s="62" t="s">
        <v>40</v>
      </c>
      <c r="D185" s="62" t="s">
        <v>38</v>
      </c>
      <c r="E185" s="62" t="s">
        <v>25</v>
      </c>
      <c r="F185" s="62" t="s">
        <v>25</v>
      </c>
      <c r="G185" s="62" t="s">
        <v>25</v>
      </c>
      <c r="H185" s="62" t="s">
        <v>35</v>
      </c>
      <c r="I185" s="75">
        <v>44378</v>
      </c>
      <c r="J185" s="76">
        <f ca="1">EFEITO!$J$185*EFEITO!$Y$185</f>
        <v>154794.46507475854</v>
      </c>
      <c r="K185" s="76">
        <f ca="1">EFEITO!$L$185*EFEITO!$Z$185</f>
        <v>0</v>
      </c>
      <c r="L185" s="76">
        <f>EFEITO!$N$185*EFEITO!$AA$185</f>
        <v>0</v>
      </c>
      <c r="M185" s="76">
        <f ca="1">$J$185-EFEITO!$K$185*EFEITO!$Y$185</f>
        <v>0</v>
      </c>
      <c r="N185" s="76">
        <f ca="1">$K$185-EFEITO!$M$185*EFEITO!$Z$185</f>
        <v>0</v>
      </c>
      <c r="O185" s="76">
        <f>$L$185-EFEITO!$O$185*EFEITO!$AA$185</f>
        <v>0</v>
      </c>
      <c r="P185" s="18"/>
      <c r="Q185" s="18"/>
      <c r="R185" s="18"/>
      <c r="S185" s="18"/>
      <c r="T185" s="18"/>
      <c r="U185" s="18"/>
      <c r="V185" s="18"/>
      <c r="W185" s="1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62" t="s">
        <v>21</v>
      </c>
      <c r="B186" s="62" t="s">
        <v>39</v>
      </c>
      <c r="C186" s="62" t="s">
        <v>40</v>
      </c>
      <c r="D186" s="62" t="s">
        <v>38</v>
      </c>
      <c r="E186" s="62" t="s">
        <v>25</v>
      </c>
      <c r="F186" s="62" t="s">
        <v>25</v>
      </c>
      <c r="G186" s="62" t="s">
        <v>25</v>
      </c>
      <c r="H186" s="62" t="s">
        <v>35</v>
      </c>
      <c r="I186" s="75">
        <v>44409</v>
      </c>
      <c r="J186" s="76">
        <f ca="1">EFEITO!$J$186*EFEITO!$Y$186</f>
        <v>4087.0596542068115</v>
      </c>
      <c r="K186" s="76">
        <f ca="1">EFEITO!$L$186*EFEITO!$Z$186</f>
        <v>4252.1874947257675</v>
      </c>
      <c r="L186" s="76">
        <f>EFEITO!$N$186*EFEITO!$AA$186</f>
        <v>13155.621043710082</v>
      </c>
      <c r="M186" s="76">
        <f ca="1">$J$186-EFEITO!$K$186*EFEITO!$Y$186</f>
        <v>0</v>
      </c>
      <c r="N186" s="76">
        <f ca="1">$K$186-EFEITO!$M$186*EFEITO!$Z$186</f>
        <v>0</v>
      </c>
      <c r="O186" s="76">
        <f>$L$186-EFEITO!$O$186*EFEITO!$AA$186</f>
        <v>0</v>
      </c>
      <c r="P186" s="18"/>
      <c r="Q186" s="18"/>
      <c r="R186" s="18"/>
      <c r="S186" s="18"/>
      <c r="T186" s="18"/>
      <c r="U186" s="18"/>
      <c r="V186" s="18"/>
      <c r="W186" s="1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62" t="s">
        <v>21</v>
      </c>
      <c r="B187" s="62" t="s">
        <v>39</v>
      </c>
      <c r="C187" s="62" t="s">
        <v>40</v>
      </c>
      <c r="D187" s="62" t="s">
        <v>38</v>
      </c>
      <c r="E187" s="62" t="s">
        <v>25</v>
      </c>
      <c r="F187" s="62" t="s">
        <v>25</v>
      </c>
      <c r="G187" s="62" t="s">
        <v>25</v>
      </c>
      <c r="H187" s="62" t="s">
        <v>35</v>
      </c>
      <c r="I187" s="75">
        <v>44409</v>
      </c>
      <c r="J187" s="76">
        <f ca="1">EFEITO!$J$187*EFEITO!$Y$187</f>
        <v>155623.55431889763</v>
      </c>
      <c r="K187" s="76">
        <f ca="1">EFEITO!$L$187*EFEITO!$Z$187</f>
        <v>0</v>
      </c>
      <c r="L187" s="76">
        <f>EFEITO!$N$187*EFEITO!$AA$187</f>
        <v>0</v>
      </c>
      <c r="M187" s="76">
        <f ca="1">$J$187-EFEITO!$K$187*EFEITO!$Y$187</f>
        <v>0</v>
      </c>
      <c r="N187" s="76">
        <f ca="1">$K$187-EFEITO!$M$187*EFEITO!$Z$187</f>
        <v>0</v>
      </c>
      <c r="O187" s="76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62" t="s">
        <v>21</v>
      </c>
      <c r="B188" s="62" t="s">
        <v>39</v>
      </c>
      <c r="C188" s="62" t="s">
        <v>40</v>
      </c>
      <c r="D188" s="62" t="s">
        <v>38</v>
      </c>
      <c r="E188" s="62" t="s">
        <v>25</v>
      </c>
      <c r="F188" s="62" t="s">
        <v>25</v>
      </c>
      <c r="G188" s="62" t="s">
        <v>25</v>
      </c>
      <c r="H188" s="62" t="s">
        <v>35</v>
      </c>
      <c r="I188" s="75">
        <v>44440</v>
      </c>
      <c r="J188" s="76">
        <f ca="1">EFEITO!$J$188*EFEITO!$Y$188</f>
        <v>25339.769856082232</v>
      </c>
      <c r="K188" s="76">
        <f ca="1">EFEITO!$L$188*EFEITO!$Z$188</f>
        <v>31182.708294655629</v>
      </c>
      <c r="L188" s="76">
        <f>EFEITO!$N$188*EFEITO!$AA$188</f>
        <v>96474.554320540599</v>
      </c>
      <c r="M188" s="76">
        <f ca="1">$J$188-EFEITO!$K$188*EFEITO!$Y$188</f>
        <v>0</v>
      </c>
      <c r="N188" s="76">
        <f ca="1">$K$188-EFEITO!$M$188*EFEITO!$Z$188</f>
        <v>0</v>
      </c>
      <c r="O188" s="76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62" t="s">
        <v>21</v>
      </c>
      <c r="B189" s="62" t="s">
        <v>39</v>
      </c>
      <c r="C189" s="62" t="s">
        <v>40</v>
      </c>
      <c r="D189" s="62" t="s">
        <v>38</v>
      </c>
      <c r="E189" s="62" t="s">
        <v>25</v>
      </c>
      <c r="F189" s="62" t="s">
        <v>25</v>
      </c>
      <c r="G189" s="62" t="s">
        <v>25</v>
      </c>
      <c r="H189" s="62" t="s">
        <v>35</v>
      </c>
      <c r="I189" s="75">
        <v>44440</v>
      </c>
      <c r="J189" s="76">
        <f ca="1">EFEITO!$J$189*EFEITO!$Y$189</f>
        <v>156919.7360949461</v>
      </c>
      <c r="K189" s="76">
        <f ca="1">EFEITO!$L$189*EFEITO!$Z$189</f>
        <v>0</v>
      </c>
      <c r="L189" s="76">
        <f>EFEITO!$N$189*EFEITO!$AA$189</f>
        <v>0</v>
      </c>
      <c r="M189" s="76">
        <f ca="1">$J$189-EFEITO!$K$189*EFEITO!$Y$189</f>
        <v>0</v>
      </c>
      <c r="N189" s="76">
        <f ca="1">$K$189-EFEITO!$M$189*EFEITO!$Z$189</f>
        <v>0</v>
      </c>
      <c r="O189" s="76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62" t="s">
        <v>21</v>
      </c>
      <c r="B190" s="62" t="s">
        <v>39</v>
      </c>
      <c r="C190" s="62" t="s">
        <v>40</v>
      </c>
      <c r="D190" s="62" t="s">
        <v>38</v>
      </c>
      <c r="E190" s="62" t="s">
        <v>25</v>
      </c>
      <c r="F190" s="62" t="s">
        <v>25</v>
      </c>
      <c r="G190" s="62" t="s">
        <v>25</v>
      </c>
      <c r="H190" s="62" t="s">
        <v>35</v>
      </c>
      <c r="I190" s="75">
        <v>44470</v>
      </c>
      <c r="J190" s="76">
        <f ca="1">EFEITO!$J$190*EFEITO!$Y$190</f>
        <v>23704.945994399506</v>
      </c>
      <c r="K190" s="76">
        <f ca="1">EFEITO!$L$190*EFEITO!$Z$190</f>
        <v>79824.594714977051</v>
      </c>
      <c r="L190" s="76">
        <f>EFEITO!$N$190*EFEITO!$AA$190</f>
        <v>246965.14895933736</v>
      </c>
      <c r="M190" s="76">
        <f ca="1">$J$190-EFEITO!$K$190*EFEITO!$Y$190</f>
        <v>0</v>
      </c>
      <c r="N190" s="76">
        <f ca="1">$K$190-EFEITO!$M$190*EFEITO!$Z$190</f>
        <v>0</v>
      </c>
      <c r="O190" s="76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62" t="s">
        <v>21</v>
      </c>
      <c r="B191" s="62" t="s">
        <v>39</v>
      </c>
      <c r="C191" s="62" t="s">
        <v>40</v>
      </c>
      <c r="D191" s="62" t="s">
        <v>38</v>
      </c>
      <c r="E191" s="62" t="s">
        <v>25</v>
      </c>
      <c r="F191" s="62" t="s">
        <v>25</v>
      </c>
      <c r="G191" s="62" t="s">
        <v>25</v>
      </c>
      <c r="H191" s="62" t="s">
        <v>35</v>
      </c>
      <c r="I191" s="75">
        <v>44470</v>
      </c>
      <c r="J191" s="76">
        <f ca="1">EFEITO!$J$191*EFEITO!$Y$191</f>
        <v>156709.54445558687</v>
      </c>
      <c r="K191" s="76">
        <f ca="1">EFEITO!$L$191*EFEITO!$Z$191</f>
        <v>0</v>
      </c>
      <c r="L191" s="76">
        <f>EFEITO!$N$191*EFEITO!$AA$191</f>
        <v>0</v>
      </c>
      <c r="M191" s="76">
        <f ca="1">$J$191-EFEITO!$K$191*EFEITO!$Y$191</f>
        <v>0</v>
      </c>
      <c r="N191" s="76">
        <f ca="1">$K$191-EFEITO!$M$191*EFEITO!$Z$191</f>
        <v>0</v>
      </c>
      <c r="O191" s="76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62" t="s">
        <v>21</v>
      </c>
      <c r="B192" s="62" t="s">
        <v>39</v>
      </c>
      <c r="C192" s="62" t="s">
        <v>40</v>
      </c>
      <c r="D192" s="62" t="s">
        <v>38</v>
      </c>
      <c r="E192" s="62" t="s">
        <v>25</v>
      </c>
      <c r="F192" s="62" t="s">
        <v>25</v>
      </c>
      <c r="G192" s="62" t="s">
        <v>25</v>
      </c>
      <c r="H192" s="62" t="s">
        <v>35</v>
      </c>
      <c r="I192" s="75">
        <v>44501</v>
      </c>
      <c r="J192" s="76">
        <f ca="1">EFEITO!$J$192*EFEITO!$Y$192</f>
        <v>4087.0596542068115</v>
      </c>
      <c r="K192" s="76">
        <f ca="1">EFEITO!$L$192*EFEITO!$Z$192</f>
        <v>8504.3749894515349</v>
      </c>
      <c r="L192" s="76">
        <f>EFEITO!$N$192*EFEITO!$AA$192</f>
        <v>26311.242087420163</v>
      </c>
      <c r="M192" s="76">
        <f ca="1">$J$192-EFEITO!$K$192*EFEITO!$Y$192</f>
        <v>0</v>
      </c>
      <c r="N192" s="76">
        <f ca="1">$K$192-EFEITO!$M$192*EFEITO!$Z$192</f>
        <v>0</v>
      </c>
      <c r="O192" s="76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62" t="s">
        <v>21</v>
      </c>
      <c r="B193" s="62" t="s">
        <v>39</v>
      </c>
      <c r="C193" s="62" t="s">
        <v>40</v>
      </c>
      <c r="D193" s="62" t="s">
        <v>38</v>
      </c>
      <c r="E193" s="62" t="s">
        <v>25</v>
      </c>
      <c r="F193" s="62" t="s">
        <v>25</v>
      </c>
      <c r="G193" s="62" t="s">
        <v>25</v>
      </c>
      <c r="H193" s="62" t="s">
        <v>35</v>
      </c>
      <c r="I193" s="75">
        <v>44501</v>
      </c>
      <c r="J193" s="76">
        <f ca="1">EFEITO!$J$193*EFEITO!$Y$193</f>
        <v>159850.74173267727</v>
      </c>
      <c r="K193" s="76">
        <f ca="1">EFEITO!$L$193*EFEITO!$Z$193</f>
        <v>0</v>
      </c>
      <c r="L193" s="76">
        <f>EFEITO!$N$193*EFEITO!$AA$193</f>
        <v>0</v>
      </c>
      <c r="M193" s="76">
        <f ca="1">$J$193-EFEITO!$K$193*EFEITO!$Y$193</f>
        <v>0</v>
      </c>
      <c r="N193" s="76">
        <f ca="1">$K$193-EFEITO!$M$193*EFEITO!$Z$193</f>
        <v>0</v>
      </c>
      <c r="O193" s="76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62" t="s">
        <v>21</v>
      </c>
      <c r="B194" s="62" t="s">
        <v>39</v>
      </c>
      <c r="C194" s="62" t="s">
        <v>40</v>
      </c>
      <c r="D194" s="62" t="s">
        <v>38</v>
      </c>
      <c r="E194" s="62" t="s">
        <v>25</v>
      </c>
      <c r="F194" s="62" t="s">
        <v>25</v>
      </c>
      <c r="G194" s="62" t="s">
        <v>25</v>
      </c>
      <c r="H194" s="62" t="s">
        <v>35</v>
      </c>
      <c r="I194" s="75">
        <v>44531</v>
      </c>
      <c r="J194" s="76">
        <f ca="1">EFEITO!$J$194*EFEITO!$Y$194</f>
        <v>27792.005648606319</v>
      </c>
      <c r="K194" s="76">
        <f ca="1">EFEITO!$L$194*EFEITO!$Z$194</f>
        <v>19134.843726265954</v>
      </c>
      <c r="L194" s="76">
        <f>EFEITO!$N$194*EFEITO!$AA$194</f>
        <v>59200.294696695368</v>
      </c>
      <c r="M194" s="76">
        <f ca="1">$J$194-EFEITO!$K$194*EFEITO!$Y$194</f>
        <v>0</v>
      </c>
      <c r="N194" s="76">
        <f ca="1">$K$194-EFEITO!$M$194*EFEITO!$Z$194</f>
        <v>0</v>
      </c>
      <c r="O194" s="76">
        <f>$L$194-EFEITO!$O$194*EFEITO!$AA$194</f>
        <v>0</v>
      </c>
      <c r="P194" s="18"/>
      <c r="Q194" s="18"/>
      <c r="R194" s="18"/>
      <c r="S194" s="18"/>
      <c r="T194" s="18"/>
      <c r="U194" s="18"/>
      <c r="V194" s="18"/>
      <c r="W194" s="1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62" t="s">
        <v>21</v>
      </c>
      <c r="B195" s="62" t="s">
        <v>39</v>
      </c>
      <c r="C195" s="62" t="s">
        <v>40</v>
      </c>
      <c r="D195" s="62" t="s">
        <v>38</v>
      </c>
      <c r="E195" s="62" t="s">
        <v>25</v>
      </c>
      <c r="F195" s="62" t="s">
        <v>25</v>
      </c>
      <c r="G195" s="62" t="s">
        <v>25</v>
      </c>
      <c r="H195" s="62" t="s">
        <v>35</v>
      </c>
      <c r="I195" s="75">
        <v>44531</v>
      </c>
      <c r="J195" s="76">
        <f ca="1">EFEITO!$J$195*EFEITO!$Y$195</f>
        <v>157818.8892188716</v>
      </c>
      <c r="K195" s="76">
        <f ca="1">EFEITO!$L$195*EFEITO!$Z$195</f>
        <v>0</v>
      </c>
      <c r="L195" s="76">
        <f>EFEITO!$N$195*EFEITO!$AA$195</f>
        <v>0</v>
      </c>
      <c r="M195" s="76">
        <f ca="1">$J$195-EFEITO!$K$195*EFEITO!$Y$195</f>
        <v>0</v>
      </c>
      <c r="N195" s="76">
        <f ca="1">$K$195-EFEITO!$M$195*EFEITO!$Z$195</f>
        <v>0</v>
      </c>
      <c r="O195" s="76">
        <f>$L$195-EFEITO!$O$195*EFEITO!$AA$195</f>
        <v>0</v>
      </c>
      <c r="P195" s="18"/>
      <c r="Q195" s="18"/>
      <c r="R195" s="18"/>
      <c r="S195" s="18"/>
      <c r="T195" s="18"/>
      <c r="U195" s="18"/>
      <c r="V195" s="18"/>
      <c r="W195" s="1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62" t="s">
        <v>21</v>
      </c>
      <c r="B196" s="62" t="s">
        <v>39</v>
      </c>
      <c r="C196" s="62" t="s">
        <v>40</v>
      </c>
      <c r="D196" s="62" t="s">
        <v>38</v>
      </c>
      <c r="E196" s="62" t="s">
        <v>25</v>
      </c>
      <c r="F196" s="62" t="s">
        <v>25</v>
      </c>
      <c r="G196" s="62" t="s">
        <v>25</v>
      </c>
      <c r="H196" s="62" t="s">
        <v>35</v>
      </c>
      <c r="I196" s="75">
        <v>44562</v>
      </c>
      <c r="J196" s="76">
        <f ca="1">EFEITO!$J$196*EFEITO!$Y$196</f>
        <v>35031.939893201241</v>
      </c>
      <c r="K196" s="76">
        <f ca="1">EFEITO!$L$196*EFEITO!$Z$196</f>
        <v>24895.24162834719</v>
      </c>
      <c r="L196" s="76">
        <f>EFEITO!$N$196*EFEITO!$AA$196</f>
        <v>77022.089232980419</v>
      </c>
      <c r="M196" s="76">
        <f ca="1">$J$196-EFEITO!$K$196*EFEITO!$Y$196</f>
        <v>0</v>
      </c>
      <c r="N196" s="76">
        <f ca="1">$K$196-EFEITO!$M$196*EFEITO!$Z$196</f>
        <v>0</v>
      </c>
      <c r="O196" s="76">
        <f>$L$196-EFEITO!$O$196*EFEITO!$AA$196</f>
        <v>0</v>
      </c>
      <c r="P196" s="18"/>
      <c r="Q196" s="18"/>
      <c r="R196" s="18"/>
      <c r="S196" s="18"/>
      <c r="T196" s="18"/>
      <c r="U196" s="18"/>
      <c r="V196" s="18"/>
      <c r="W196" s="1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62" t="s">
        <v>21</v>
      </c>
      <c r="B197" s="62" t="s">
        <v>39</v>
      </c>
      <c r="C197" s="62" t="s">
        <v>40</v>
      </c>
      <c r="D197" s="62" t="s">
        <v>38</v>
      </c>
      <c r="E197" s="62" t="s">
        <v>25</v>
      </c>
      <c r="F197" s="62" t="s">
        <v>25</v>
      </c>
      <c r="G197" s="62" t="s">
        <v>25</v>
      </c>
      <c r="H197" s="62" t="s">
        <v>35</v>
      </c>
      <c r="I197" s="75">
        <v>44562</v>
      </c>
      <c r="J197" s="76">
        <f ca="1">EFEITO!$J$197*EFEITO!$Y$197</f>
        <v>157526.95638642824</v>
      </c>
      <c r="K197" s="76">
        <f ca="1">EFEITO!$L$197*EFEITO!$Z$197</f>
        <v>0</v>
      </c>
      <c r="L197" s="76">
        <f>EFEITO!$N$197*EFEITO!$AA$197</f>
        <v>0</v>
      </c>
      <c r="M197" s="76">
        <f ca="1">$J$197-EFEITO!$K$197*EFEITO!$Y$197</f>
        <v>0</v>
      </c>
      <c r="N197" s="76">
        <f ca="1">$K$197-EFEITO!$M$197*EFEITO!$Z$197</f>
        <v>0</v>
      </c>
      <c r="O197" s="76">
        <f>$L$197-EFEITO!$O$197*EFEITO!$AA$197</f>
        <v>0</v>
      </c>
      <c r="P197" s="18"/>
      <c r="Q197" s="18"/>
      <c r="R197" s="18"/>
      <c r="S197" s="18"/>
      <c r="T197" s="18"/>
      <c r="U197" s="18"/>
      <c r="V197" s="18"/>
      <c r="W197" s="1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62" t="s">
        <v>21</v>
      </c>
      <c r="B198" s="62" t="s">
        <v>39</v>
      </c>
      <c r="C198" s="62" t="s">
        <v>40</v>
      </c>
      <c r="D198" s="62" t="s">
        <v>38</v>
      </c>
      <c r="E198" s="62" t="s">
        <v>25</v>
      </c>
      <c r="F198" s="62" t="s">
        <v>25</v>
      </c>
      <c r="G198" s="62" t="s">
        <v>25</v>
      </c>
      <c r="H198" s="62" t="s">
        <v>35</v>
      </c>
      <c r="I198" s="75">
        <v>44593</v>
      </c>
      <c r="J198" s="76">
        <f ca="1">EFEITO!$J$198*EFEITO!$Y$198</f>
        <v>190141.6924269986</v>
      </c>
      <c r="K198" s="76">
        <f ca="1">EFEITO!$L$198*EFEITO!$Z$198</f>
        <v>0</v>
      </c>
      <c r="L198" s="76">
        <f>EFEITO!$N$198*EFEITO!$AA$198</f>
        <v>0</v>
      </c>
      <c r="M198" s="76">
        <f ca="1">$J$198-EFEITO!$K$198*EFEITO!$Y$198</f>
        <v>0</v>
      </c>
      <c r="N198" s="76">
        <f ca="1">$K$198-EFEITO!$M$198*EFEITO!$Z$198</f>
        <v>0</v>
      </c>
      <c r="O198" s="76">
        <f>$L$198-EFEITO!$O$198*EFEITO!$AA$198</f>
        <v>0</v>
      </c>
      <c r="P198" s="18"/>
      <c r="Q198" s="18"/>
      <c r="R198" s="18"/>
      <c r="S198" s="18"/>
      <c r="T198" s="18"/>
      <c r="U198" s="18"/>
      <c r="V198" s="18"/>
      <c r="W198" s="1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62" t="s">
        <v>21</v>
      </c>
      <c r="B199" s="62" t="s">
        <v>39</v>
      </c>
      <c r="C199" s="62" t="s">
        <v>40</v>
      </c>
      <c r="D199" s="62" t="s">
        <v>38</v>
      </c>
      <c r="E199" s="62" t="s">
        <v>25</v>
      </c>
      <c r="F199" s="62" t="s">
        <v>25</v>
      </c>
      <c r="G199" s="62" t="s">
        <v>25</v>
      </c>
      <c r="H199" s="62" t="s">
        <v>35</v>
      </c>
      <c r="I199" s="75">
        <v>44621</v>
      </c>
      <c r="J199" s="76">
        <f ca="1">EFEITO!$J$199*EFEITO!$Y$199</f>
        <v>191951.67598814733</v>
      </c>
      <c r="K199" s="76">
        <f ca="1">EFEITO!$L$199*EFEITO!$Z$199</f>
        <v>0</v>
      </c>
      <c r="L199" s="76">
        <f>EFEITO!$N$199*EFEITO!$AA$199</f>
        <v>0</v>
      </c>
      <c r="M199" s="76">
        <f ca="1">$J$199-EFEITO!$K$199*EFEITO!$Y$199</f>
        <v>0</v>
      </c>
      <c r="N199" s="76">
        <f ca="1">$K$199-EFEITO!$M$199*EFEITO!$Z$199</f>
        <v>0</v>
      </c>
      <c r="O199" s="76">
        <f>$L$199-EFEITO!$O$199*EFEITO!$AA$199</f>
        <v>0</v>
      </c>
      <c r="P199" s="18"/>
      <c r="Q199" s="18"/>
      <c r="R199" s="18"/>
      <c r="S199" s="18"/>
      <c r="T199" s="18"/>
      <c r="U199" s="18"/>
      <c r="V199" s="18"/>
      <c r="W199" s="1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62" t="s">
        <v>27</v>
      </c>
      <c r="B200" s="62" t="s">
        <v>39</v>
      </c>
      <c r="C200" s="62" t="s">
        <v>40</v>
      </c>
      <c r="D200" s="62" t="s">
        <v>38</v>
      </c>
      <c r="E200" s="62" t="s">
        <v>25</v>
      </c>
      <c r="F200" s="62" t="s">
        <v>25</v>
      </c>
      <c r="G200" s="62" t="s">
        <v>25</v>
      </c>
      <c r="H200" s="62" t="s">
        <v>35</v>
      </c>
      <c r="I200" s="75">
        <v>44652</v>
      </c>
      <c r="J200" s="76">
        <f ca="1">EFEITO!$J$200*EFEITO!$Y$200</f>
        <v>-4565.8294994138951</v>
      </c>
      <c r="K200" s="76">
        <f ca="1">EFEITO!$L$200*EFEITO!$Z$200</f>
        <v>0</v>
      </c>
      <c r="L200" s="76">
        <f>EFEITO!$N$200*EFEITO!$AA$200</f>
        <v>0</v>
      </c>
      <c r="M200" s="76">
        <f ca="1">$J$200-EFEITO!$K$200*EFEITO!$Y$200</f>
        <v>0</v>
      </c>
      <c r="N200" s="76">
        <f ca="1">$K$200-EFEITO!$M$200*EFEITO!$Z$200</f>
        <v>0</v>
      </c>
      <c r="O200" s="76">
        <f>$L$200-EFEITO!$O$200*EFEITO!$AA$200</f>
        <v>0</v>
      </c>
      <c r="P200" s="18"/>
      <c r="Q200" s="18"/>
      <c r="R200" s="18"/>
      <c r="S200" s="18"/>
      <c r="T200" s="18"/>
      <c r="U200" s="18"/>
      <c r="V200" s="18"/>
      <c r="W200" s="1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62" t="s">
        <v>21</v>
      </c>
      <c r="B201" s="62" t="s">
        <v>39</v>
      </c>
      <c r="C201" s="62" t="s">
        <v>40</v>
      </c>
      <c r="D201" s="62" t="s">
        <v>38</v>
      </c>
      <c r="E201" s="62" t="s">
        <v>25</v>
      </c>
      <c r="F201" s="62" t="s">
        <v>25</v>
      </c>
      <c r="G201" s="62" t="s">
        <v>25</v>
      </c>
      <c r="H201" s="62" t="s">
        <v>35</v>
      </c>
      <c r="I201" s="75">
        <v>44652</v>
      </c>
      <c r="J201" s="76">
        <f ca="1">EFEITO!$J$201*EFEITO!$Y$201</f>
        <v>193773.3368625938</v>
      </c>
      <c r="K201" s="76">
        <f ca="1">EFEITO!$L$201*EFEITO!$Z$201</f>
        <v>0</v>
      </c>
      <c r="L201" s="76">
        <f>EFEITO!$N$201*EFEITO!$AA$201</f>
        <v>0</v>
      </c>
      <c r="M201" s="76">
        <f ca="1">$J$201-EFEITO!$K$201*EFEITO!$Y$201</f>
        <v>0</v>
      </c>
      <c r="N201" s="76">
        <f ca="1">$K$201-EFEITO!$M$201*EFEITO!$Z$201</f>
        <v>0</v>
      </c>
      <c r="O201" s="76">
        <f>$L$201-EFEITO!$O$201*EFEITO!$AA$201</f>
        <v>0</v>
      </c>
      <c r="P201" s="18"/>
      <c r="Q201" s="18"/>
      <c r="R201" s="18"/>
      <c r="S201" s="18"/>
      <c r="T201" s="18"/>
      <c r="U201" s="18"/>
      <c r="V201" s="18"/>
      <c r="W201" s="1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62" t="s">
        <v>58</v>
      </c>
      <c r="B202" s="62" t="s">
        <v>39</v>
      </c>
      <c r="C202" s="62" t="s">
        <v>40</v>
      </c>
      <c r="D202" s="62" t="s">
        <v>38</v>
      </c>
      <c r="E202" s="62" t="s">
        <v>25</v>
      </c>
      <c r="F202" s="62" t="s">
        <v>25</v>
      </c>
      <c r="G202" s="62" t="s">
        <v>25</v>
      </c>
      <c r="H202" s="62" t="s">
        <v>35</v>
      </c>
      <c r="I202" s="75">
        <v>44682</v>
      </c>
      <c r="J202" s="76">
        <f ca="1">EFEITO!$J$202*EFEITO!$Y$202</f>
        <v>-4565.8294994138951</v>
      </c>
      <c r="K202" s="76">
        <f ca="1">EFEITO!$L$202*EFEITO!$Z$202</f>
        <v>0</v>
      </c>
      <c r="L202" s="76">
        <f>EFEITO!$N$202*EFEITO!$AA$202</f>
        <v>0</v>
      </c>
      <c r="M202" s="76">
        <f ca="1">$J$202-EFEITO!$K$202*EFEITO!$Y$202</f>
        <v>0</v>
      </c>
      <c r="N202" s="76">
        <f ca="1">$K$202-EFEITO!$M$202*EFEITO!$Z$202</f>
        <v>0</v>
      </c>
      <c r="O202" s="76">
        <f>$L$202-EFEITO!$O$202*EFEITO!$AA$202</f>
        <v>0</v>
      </c>
      <c r="P202" s="18"/>
      <c r="Q202" s="18"/>
      <c r="R202" s="18"/>
      <c r="S202" s="18"/>
      <c r="T202" s="18"/>
      <c r="U202" s="18"/>
      <c r="V202" s="18"/>
      <c r="W202" s="1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62" t="s">
        <v>58</v>
      </c>
      <c r="B203" s="62" t="s">
        <v>39</v>
      </c>
      <c r="C203" s="62" t="s">
        <v>40</v>
      </c>
      <c r="D203" s="62" t="s">
        <v>38</v>
      </c>
      <c r="E203" s="62" t="s">
        <v>25</v>
      </c>
      <c r="F203" s="62" t="s">
        <v>25</v>
      </c>
      <c r="G203" s="62" t="s">
        <v>25</v>
      </c>
      <c r="H203" s="62" t="s">
        <v>35</v>
      </c>
      <c r="I203" s="75">
        <v>44682</v>
      </c>
      <c r="J203" s="76">
        <f ca="1">EFEITO!$J$203*EFEITO!$Y$203</f>
        <v>193773.3368625938</v>
      </c>
      <c r="K203" s="76">
        <f ca="1">EFEITO!$L$203*EFEITO!$Z$203</f>
        <v>0</v>
      </c>
      <c r="L203" s="76">
        <f>EFEITO!$N$203*EFEITO!$AA$203</f>
        <v>0</v>
      </c>
      <c r="M203" s="76">
        <f ca="1">$J$203-EFEITO!$K$203*EFEITO!$Y$203</f>
        <v>0</v>
      </c>
      <c r="N203" s="76">
        <f ca="1">$K$203-EFEITO!$M$203*EFEITO!$Z$203</f>
        <v>0</v>
      </c>
      <c r="O203" s="76">
        <f>$L$203-EFEITO!$O$203*EFEITO!$AA$203</f>
        <v>0</v>
      </c>
      <c r="P203" s="18"/>
      <c r="Q203" s="18"/>
      <c r="R203" s="18"/>
      <c r="S203" s="18"/>
      <c r="T203" s="18"/>
      <c r="U203" s="18"/>
      <c r="V203" s="18"/>
      <c r="W203" s="1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62" t="s">
        <v>21</v>
      </c>
      <c r="B204" s="62" t="s">
        <v>39</v>
      </c>
      <c r="C204" s="62" t="s">
        <v>40</v>
      </c>
      <c r="D204" s="62" t="s">
        <v>38</v>
      </c>
      <c r="E204" s="62" t="s">
        <v>25</v>
      </c>
      <c r="F204" s="62" t="s">
        <v>25</v>
      </c>
      <c r="G204" s="62" t="s">
        <v>25</v>
      </c>
      <c r="H204" s="62" t="s">
        <v>25</v>
      </c>
      <c r="I204" s="75">
        <v>44348</v>
      </c>
      <c r="J204" s="76">
        <f>EFEITO!$J$204*EFEITO!$Y$204</f>
        <v>0</v>
      </c>
      <c r="K204" s="76">
        <f ca="1">EFEITO!$L$204*EFEITO!$Z$204</f>
        <v>804349.75981333072</v>
      </c>
      <c r="L204" s="76">
        <f>EFEITO!$N$204*EFEITO!$AA$204</f>
        <v>0</v>
      </c>
      <c r="M204" s="76">
        <f>$J$204-EFEITO!$K$204*EFEITO!$Y$204</f>
        <v>0</v>
      </c>
      <c r="N204" s="76">
        <f ca="1">$K$204-EFEITO!$M$204*EFEITO!$Z$204</f>
        <v>0</v>
      </c>
      <c r="O204" s="76">
        <f>$L$204-EFEITO!$O$204*EFEITO!$AA$204</f>
        <v>0</v>
      </c>
      <c r="P204" s="18"/>
      <c r="Q204" s="18"/>
      <c r="R204" s="18"/>
      <c r="S204" s="18"/>
      <c r="T204" s="18"/>
      <c r="U204" s="18"/>
      <c r="V204" s="18"/>
      <c r="W204" s="1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62" t="s">
        <v>21</v>
      </c>
      <c r="B205" s="62" t="s">
        <v>39</v>
      </c>
      <c r="C205" s="62" t="s">
        <v>40</v>
      </c>
      <c r="D205" s="62" t="s">
        <v>38</v>
      </c>
      <c r="E205" s="62" t="s">
        <v>25</v>
      </c>
      <c r="F205" s="62" t="s">
        <v>25</v>
      </c>
      <c r="G205" s="62" t="s">
        <v>25</v>
      </c>
      <c r="H205" s="62" t="s">
        <v>25</v>
      </c>
      <c r="I205" s="75">
        <v>44378</v>
      </c>
      <c r="J205" s="76">
        <f>EFEITO!$J$205*EFEITO!$Y$205</f>
        <v>0</v>
      </c>
      <c r="K205" s="76">
        <f ca="1">EFEITO!$L$205*EFEITO!$Z$205</f>
        <v>765709.82832107949</v>
      </c>
      <c r="L205" s="76">
        <f>EFEITO!$N$205*EFEITO!$AA$205</f>
        <v>0</v>
      </c>
      <c r="M205" s="76">
        <f>$J$205-EFEITO!$K$205*EFEITO!$Y$205</f>
        <v>0</v>
      </c>
      <c r="N205" s="76">
        <f ca="1">$K$205-EFEITO!$M$205*EFEITO!$Z$205</f>
        <v>0</v>
      </c>
      <c r="O205" s="76">
        <f>$L$205-EFEITO!$O$205*EFEITO!$AA$205</f>
        <v>0</v>
      </c>
      <c r="P205" s="18"/>
      <c r="Q205" s="18"/>
      <c r="R205" s="18"/>
      <c r="S205" s="18"/>
      <c r="T205" s="18"/>
      <c r="U205" s="18"/>
      <c r="V205" s="18"/>
      <c r="W205" s="1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62" t="s">
        <v>21</v>
      </c>
      <c r="B206" s="62" t="s">
        <v>39</v>
      </c>
      <c r="C206" s="62" t="s">
        <v>40</v>
      </c>
      <c r="D206" s="62" t="s">
        <v>38</v>
      </c>
      <c r="E206" s="62" t="s">
        <v>25</v>
      </c>
      <c r="F206" s="62" t="s">
        <v>25</v>
      </c>
      <c r="G206" s="62" t="s">
        <v>25</v>
      </c>
      <c r="H206" s="62" t="s">
        <v>25</v>
      </c>
      <c r="I206" s="75">
        <v>44409</v>
      </c>
      <c r="J206" s="76">
        <f>EFEITO!$J$206*EFEITO!$Y$206</f>
        <v>0</v>
      </c>
      <c r="K206" s="76">
        <f ca="1">EFEITO!$L$206*EFEITO!$Z$206</f>
        <v>832391.41770265624</v>
      </c>
      <c r="L206" s="76">
        <f>EFEITO!$N$206*EFEITO!$AA$206</f>
        <v>0</v>
      </c>
      <c r="M206" s="76">
        <f>$J$206-EFEITO!$K$206*EFEITO!$Y$206</f>
        <v>0</v>
      </c>
      <c r="N206" s="76">
        <f ca="1">$K$206-EFEITO!$M$206*EFEITO!$Z$206</f>
        <v>0</v>
      </c>
      <c r="O206" s="76">
        <f>$L$206-EFEITO!$O$206*EFEITO!$AA$206</f>
        <v>0</v>
      </c>
      <c r="P206" s="18"/>
      <c r="Q206" s="18"/>
      <c r="R206" s="18"/>
      <c r="S206" s="18"/>
      <c r="T206" s="18"/>
      <c r="U206" s="18"/>
      <c r="V206" s="18"/>
      <c r="W206" s="1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62" t="s">
        <v>21</v>
      </c>
      <c r="B207" s="62" t="s">
        <v>39</v>
      </c>
      <c r="C207" s="62" t="s">
        <v>40</v>
      </c>
      <c r="D207" s="62" t="s">
        <v>38</v>
      </c>
      <c r="E207" s="62" t="s">
        <v>25</v>
      </c>
      <c r="F207" s="62" t="s">
        <v>25</v>
      </c>
      <c r="G207" s="62" t="s">
        <v>25</v>
      </c>
      <c r="H207" s="62" t="s">
        <v>25</v>
      </c>
      <c r="I207" s="75">
        <v>44440</v>
      </c>
      <c r="J207" s="76">
        <f>EFEITO!$J$207*EFEITO!$Y$207</f>
        <v>0</v>
      </c>
      <c r="K207" s="76">
        <f ca="1">EFEITO!$L$207*EFEITO!$Z$207</f>
        <v>841427.21488638909</v>
      </c>
      <c r="L207" s="76">
        <f>EFEITO!$N$207*EFEITO!$AA$207</f>
        <v>0</v>
      </c>
      <c r="M207" s="76">
        <f>$J$207-EFEITO!$K$207*EFEITO!$Y$207</f>
        <v>0</v>
      </c>
      <c r="N207" s="76">
        <f ca="1">$K$207-EFEITO!$M$207*EFEITO!$Z$207</f>
        <v>0</v>
      </c>
      <c r="O207" s="76">
        <f>$L$207-EFEITO!$O$207*EFEITO!$AA$207</f>
        <v>0</v>
      </c>
      <c r="P207" s="18"/>
      <c r="Q207" s="18"/>
      <c r="R207" s="18"/>
      <c r="S207" s="18"/>
      <c r="T207" s="18"/>
      <c r="U207" s="18"/>
      <c r="V207" s="18"/>
      <c r="W207" s="1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62" t="s">
        <v>21</v>
      </c>
      <c r="B208" s="62" t="s">
        <v>39</v>
      </c>
      <c r="C208" s="62" t="s">
        <v>40</v>
      </c>
      <c r="D208" s="62" t="s">
        <v>38</v>
      </c>
      <c r="E208" s="62" t="s">
        <v>25</v>
      </c>
      <c r="F208" s="62" t="s">
        <v>25</v>
      </c>
      <c r="G208" s="62" t="s">
        <v>25</v>
      </c>
      <c r="H208" s="62" t="s">
        <v>25</v>
      </c>
      <c r="I208" s="75">
        <v>44470</v>
      </c>
      <c r="J208" s="76">
        <f>EFEITO!$J$208*EFEITO!$Y$208</f>
        <v>0</v>
      </c>
      <c r="K208" s="76">
        <f ca="1">EFEITO!$L$208*EFEITO!$Z$208</f>
        <v>780172.63165879517</v>
      </c>
      <c r="L208" s="76">
        <f>EFEITO!$N$208*EFEITO!$AA$208</f>
        <v>0</v>
      </c>
      <c r="M208" s="76">
        <f>$J$208-EFEITO!$K$208*EFEITO!$Y$208</f>
        <v>0</v>
      </c>
      <c r="N208" s="76">
        <f ca="1">$K$208-EFEITO!$M$208*EFEITO!$Z$208</f>
        <v>0</v>
      </c>
      <c r="O208" s="76">
        <f>$L$208-EFEITO!$O$208*EFEITO!$AA$208</f>
        <v>0</v>
      </c>
      <c r="P208" s="18"/>
      <c r="Q208" s="18"/>
      <c r="R208" s="18"/>
      <c r="S208" s="18"/>
      <c r="T208" s="18"/>
      <c r="U208" s="18"/>
      <c r="V208" s="18"/>
      <c r="W208" s="1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62" t="s">
        <v>21</v>
      </c>
      <c r="B209" s="62" t="s">
        <v>39</v>
      </c>
      <c r="C209" s="62" t="s">
        <v>40</v>
      </c>
      <c r="D209" s="62" t="s">
        <v>38</v>
      </c>
      <c r="E209" s="62" t="s">
        <v>25</v>
      </c>
      <c r="F209" s="62" t="s">
        <v>25</v>
      </c>
      <c r="G209" s="62" t="s">
        <v>25</v>
      </c>
      <c r="H209" s="62" t="s">
        <v>25</v>
      </c>
      <c r="I209" s="75">
        <v>44501</v>
      </c>
      <c r="J209" s="76">
        <f>EFEITO!$J$209*EFEITO!$Y$209</f>
        <v>0</v>
      </c>
      <c r="K209" s="76">
        <f ca="1">EFEITO!$L$209*EFEITO!$Z$209</f>
        <v>841412.12974503858</v>
      </c>
      <c r="L209" s="76">
        <f>EFEITO!$N$209*EFEITO!$AA$209</f>
        <v>0</v>
      </c>
      <c r="M209" s="76">
        <f>$J$209-EFEITO!$K$209*EFEITO!$Y$209</f>
        <v>0</v>
      </c>
      <c r="N209" s="76">
        <f ca="1">$K$209-EFEITO!$M$209*EFEITO!$Z$209</f>
        <v>0</v>
      </c>
      <c r="O209" s="76">
        <f>$L$209-EFEITO!$O$209*EFEITO!$AA$209</f>
        <v>0</v>
      </c>
      <c r="P209" s="18"/>
      <c r="Q209" s="18"/>
      <c r="R209" s="18"/>
      <c r="S209" s="18"/>
      <c r="T209" s="18"/>
      <c r="U209" s="18"/>
      <c r="V209" s="18"/>
      <c r="W209" s="1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62" t="s">
        <v>21</v>
      </c>
      <c r="B210" s="62" t="s">
        <v>39</v>
      </c>
      <c r="C210" s="62" t="s">
        <v>40</v>
      </c>
      <c r="D210" s="62" t="s">
        <v>38</v>
      </c>
      <c r="E210" s="62" t="s">
        <v>25</v>
      </c>
      <c r="F210" s="62" t="s">
        <v>25</v>
      </c>
      <c r="G210" s="62" t="s">
        <v>25</v>
      </c>
      <c r="H210" s="62" t="s">
        <v>25</v>
      </c>
      <c r="I210" s="75">
        <v>44531</v>
      </c>
      <c r="J210" s="76">
        <f>EFEITO!$J$210*EFEITO!$Y$210</f>
        <v>0</v>
      </c>
      <c r="K210" s="76">
        <f ca="1">EFEITO!$L$210*EFEITO!$Z$210</f>
        <v>815531.59552862786</v>
      </c>
      <c r="L210" s="76">
        <f>EFEITO!$N$210*EFEITO!$AA$210</f>
        <v>0</v>
      </c>
      <c r="M210" s="76">
        <f>$J$210-EFEITO!$K$210*EFEITO!$Y$210</f>
        <v>0</v>
      </c>
      <c r="N210" s="76">
        <f ca="1">$K$210-EFEITO!$M$210*EFEITO!$Z$210</f>
        <v>0</v>
      </c>
      <c r="O210" s="76">
        <f>$L$210-EFEITO!$O$210*EFEITO!$AA$210</f>
        <v>0</v>
      </c>
      <c r="P210" s="18"/>
      <c r="Q210" s="18"/>
      <c r="R210" s="18"/>
      <c r="S210" s="18"/>
      <c r="T210" s="18"/>
      <c r="U210" s="18"/>
      <c r="V210" s="18"/>
      <c r="W210" s="1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62" t="s">
        <v>21</v>
      </c>
      <c r="B211" s="62" t="s">
        <v>39</v>
      </c>
      <c r="C211" s="62" t="s">
        <v>40</v>
      </c>
      <c r="D211" s="62" t="s">
        <v>38</v>
      </c>
      <c r="E211" s="62" t="s">
        <v>25</v>
      </c>
      <c r="F211" s="62" t="s">
        <v>25</v>
      </c>
      <c r="G211" s="62" t="s">
        <v>25</v>
      </c>
      <c r="H211" s="62" t="s">
        <v>25</v>
      </c>
      <c r="I211" s="75">
        <v>44562</v>
      </c>
      <c r="J211" s="76">
        <f>EFEITO!$J$211*EFEITO!$Y$211</f>
        <v>0</v>
      </c>
      <c r="K211" s="76">
        <f ca="1">EFEITO!$L$211*EFEITO!$Z$211</f>
        <v>773065.10026136099</v>
      </c>
      <c r="L211" s="76">
        <f>EFEITO!$N$211*EFEITO!$AA$211</f>
        <v>0</v>
      </c>
      <c r="M211" s="76">
        <f>$J$211-EFEITO!$K$211*EFEITO!$Y$211</f>
        <v>0</v>
      </c>
      <c r="N211" s="76">
        <f ca="1">$K$211-EFEITO!$M$211*EFEITO!$Z$211</f>
        <v>0</v>
      </c>
      <c r="O211" s="76">
        <f>$L$211-EFEITO!$O$211*EFEITO!$AA$211</f>
        <v>0</v>
      </c>
      <c r="P211" s="18"/>
      <c r="Q211" s="18"/>
      <c r="R211" s="18"/>
      <c r="S211" s="18"/>
      <c r="T211" s="18"/>
      <c r="U211" s="18"/>
      <c r="V211" s="18"/>
      <c r="W211" s="1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62" t="s">
        <v>21</v>
      </c>
      <c r="B212" s="62" t="s">
        <v>39</v>
      </c>
      <c r="C212" s="62" t="s">
        <v>40</v>
      </c>
      <c r="D212" s="62" t="s">
        <v>38</v>
      </c>
      <c r="E212" s="62" t="s">
        <v>25</v>
      </c>
      <c r="F212" s="62" t="s">
        <v>25</v>
      </c>
      <c r="G212" s="62" t="s">
        <v>25</v>
      </c>
      <c r="H212" s="62" t="s">
        <v>25</v>
      </c>
      <c r="I212" s="75">
        <v>44593</v>
      </c>
      <c r="J212" s="76">
        <f>EFEITO!$J$212*EFEITO!$Y$212</f>
        <v>0</v>
      </c>
      <c r="K212" s="76">
        <f ca="1">EFEITO!$L$212*EFEITO!$Z$212</f>
        <v>801757.44407993893</v>
      </c>
      <c r="L212" s="76">
        <f>EFEITO!$N$212*EFEITO!$AA$212</f>
        <v>0</v>
      </c>
      <c r="M212" s="76">
        <f>$J$212-EFEITO!$K$212*EFEITO!$Y$212</f>
        <v>0</v>
      </c>
      <c r="N212" s="76">
        <f ca="1">$K$212-EFEITO!$M$212*EFEITO!$Z$212</f>
        <v>0</v>
      </c>
      <c r="O212" s="76">
        <f>$L$212-EFEITO!$O$212*EFEITO!$AA$212</f>
        <v>0</v>
      </c>
      <c r="P212" s="18"/>
      <c r="Q212" s="18"/>
      <c r="R212" s="18"/>
      <c r="S212" s="18"/>
      <c r="T212" s="18"/>
      <c r="U212" s="18"/>
      <c r="V212" s="18"/>
      <c r="W212" s="1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62" t="s">
        <v>21</v>
      </c>
      <c r="B213" s="62" t="s">
        <v>39</v>
      </c>
      <c r="C213" s="62" t="s">
        <v>40</v>
      </c>
      <c r="D213" s="62" t="s">
        <v>38</v>
      </c>
      <c r="E213" s="62" t="s">
        <v>25</v>
      </c>
      <c r="F213" s="62" t="s">
        <v>25</v>
      </c>
      <c r="G213" s="62" t="s">
        <v>25</v>
      </c>
      <c r="H213" s="62" t="s">
        <v>25</v>
      </c>
      <c r="I213" s="75">
        <v>44621</v>
      </c>
      <c r="J213" s="76">
        <f>EFEITO!$J$213*EFEITO!$Y$213</f>
        <v>0</v>
      </c>
      <c r="K213" s="76">
        <f ca="1">EFEITO!$L$213*EFEITO!$Z$213</f>
        <v>842394.18257120147</v>
      </c>
      <c r="L213" s="76">
        <f>EFEITO!$N$213*EFEITO!$AA$213</f>
        <v>0</v>
      </c>
      <c r="M213" s="76">
        <f>$J$213-EFEITO!$K$213*EFEITO!$Y$213</f>
        <v>0</v>
      </c>
      <c r="N213" s="76">
        <f ca="1">$K$213-EFEITO!$M$213*EFEITO!$Z$213</f>
        <v>0</v>
      </c>
      <c r="O213" s="76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62" t="s">
        <v>21</v>
      </c>
      <c r="B214" s="62" t="s">
        <v>39</v>
      </c>
      <c r="C214" s="62" t="s">
        <v>40</v>
      </c>
      <c r="D214" s="62" t="s">
        <v>38</v>
      </c>
      <c r="E214" s="62" t="s">
        <v>25</v>
      </c>
      <c r="F214" s="62" t="s">
        <v>25</v>
      </c>
      <c r="G214" s="62" t="s">
        <v>25</v>
      </c>
      <c r="H214" s="62" t="s">
        <v>25</v>
      </c>
      <c r="I214" s="75">
        <v>44652</v>
      </c>
      <c r="J214" s="76">
        <f>EFEITO!$J$214*EFEITO!$Y$214</f>
        <v>0</v>
      </c>
      <c r="K214" s="76">
        <f ca="1">EFEITO!$L$214*EFEITO!$Z$214</f>
        <v>908607.93008579907</v>
      </c>
      <c r="L214" s="76">
        <f>EFEITO!$N$214*EFEITO!$AA$214</f>
        <v>0</v>
      </c>
      <c r="M214" s="76">
        <f>$J$214-EFEITO!$K$214*EFEITO!$Y$214</f>
        <v>0</v>
      </c>
      <c r="N214" s="76">
        <f ca="1">$K$214-EFEITO!$M$214*EFEITO!$Z$214</f>
        <v>0</v>
      </c>
      <c r="O214" s="76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62" t="s">
        <v>58</v>
      </c>
      <c r="B215" s="62" t="s">
        <v>39</v>
      </c>
      <c r="C215" s="62" t="s">
        <v>40</v>
      </c>
      <c r="D215" s="62" t="s">
        <v>38</v>
      </c>
      <c r="E215" s="62" t="s">
        <v>25</v>
      </c>
      <c r="F215" s="62" t="s">
        <v>25</v>
      </c>
      <c r="G215" s="62" t="s">
        <v>25</v>
      </c>
      <c r="H215" s="62" t="s">
        <v>25</v>
      </c>
      <c r="I215" s="75">
        <v>44682</v>
      </c>
      <c r="J215" s="76">
        <f>EFEITO!$J$215*EFEITO!$Y$215</f>
        <v>0</v>
      </c>
      <c r="K215" s="76">
        <f ca="1">EFEITO!$L$215*EFEITO!$Z$215</f>
        <v>908607.93008579907</v>
      </c>
      <c r="L215" s="76">
        <f>EFEITO!$N$215*EFEITO!$AA$215</f>
        <v>0</v>
      </c>
      <c r="M215" s="76">
        <f>$J$215-EFEITO!$K$215*EFEITO!$Y$215</f>
        <v>0</v>
      </c>
      <c r="N215" s="76">
        <f ca="1">$K$215-EFEITO!$M$215*EFEITO!$Z$215</f>
        <v>0</v>
      </c>
      <c r="O215" s="76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62" t="s">
        <v>21</v>
      </c>
      <c r="B216" s="62" t="s">
        <v>39</v>
      </c>
      <c r="C216" s="62" t="s">
        <v>40</v>
      </c>
      <c r="D216" s="62" t="s">
        <v>38</v>
      </c>
      <c r="E216" s="62" t="s">
        <v>25</v>
      </c>
      <c r="F216" s="62" t="s">
        <v>25</v>
      </c>
      <c r="G216" s="62" t="s">
        <v>25</v>
      </c>
      <c r="H216" s="62" t="s">
        <v>34</v>
      </c>
      <c r="I216" s="75">
        <v>44348</v>
      </c>
      <c r="J216" s="76">
        <f ca="1">EFEITO!$J$216*EFEITO!$Y$216</f>
        <v>9989.5514549437303</v>
      </c>
      <c r="K216" s="76">
        <f ca="1">EFEITO!$L$216*EFEITO!$Z$216</f>
        <v>708.69791578762795</v>
      </c>
      <c r="L216" s="76">
        <f>EFEITO!$N$216*EFEITO!$AA$216</f>
        <v>3570.349533185059</v>
      </c>
      <c r="M216" s="76">
        <f ca="1">$J$216-EFEITO!$K$216*EFEITO!$Y$216</f>
        <v>0</v>
      </c>
      <c r="N216" s="76">
        <f ca="1">$K$216-EFEITO!$M$216*EFEITO!$Z$216</f>
        <v>0</v>
      </c>
      <c r="O216" s="76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62" t="s">
        <v>21</v>
      </c>
      <c r="B217" s="62" t="s">
        <v>39</v>
      </c>
      <c r="C217" s="62" t="s">
        <v>40</v>
      </c>
      <c r="D217" s="62" t="s">
        <v>38</v>
      </c>
      <c r="E217" s="62" t="s">
        <v>25</v>
      </c>
      <c r="F217" s="62" t="s">
        <v>25</v>
      </c>
      <c r="G217" s="62" t="s">
        <v>25</v>
      </c>
      <c r="H217" s="62" t="s">
        <v>34</v>
      </c>
      <c r="I217" s="75">
        <v>44348</v>
      </c>
      <c r="J217" s="76">
        <f ca="1">EFEITO!$J$217*EFEITO!$Y$217</f>
        <v>376748.79772930645</v>
      </c>
      <c r="K217" s="76">
        <f ca="1">EFEITO!$L$217*EFEITO!$Z$217</f>
        <v>0</v>
      </c>
      <c r="L217" s="76">
        <f>EFEITO!$N$217*EFEITO!$AA$217</f>
        <v>0</v>
      </c>
      <c r="M217" s="76">
        <f ca="1">$J$217-EFEITO!$K$217*EFEITO!$Y$217</f>
        <v>0</v>
      </c>
      <c r="N217" s="76">
        <f ca="1">$K$217-EFEITO!$M$217*EFEITO!$Z$217</f>
        <v>0</v>
      </c>
      <c r="O217" s="76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62" t="s">
        <v>21</v>
      </c>
      <c r="B218" s="62" t="s">
        <v>39</v>
      </c>
      <c r="C218" s="62" t="s">
        <v>40</v>
      </c>
      <c r="D218" s="62" t="s">
        <v>38</v>
      </c>
      <c r="E218" s="62" t="s">
        <v>25</v>
      </c>
      <c r="F218" s="62" t="s">
        <v>25</v>
      </c>
      <c r="G218" s="62" t="s">
        <v>25</v>
      </c>
      <c r="H218" s="62" t="s">
        <v>34</v>
      </c>
      <c r="I218" s="75">
        <v>44378</v>
      </c>
      <c r="J218" s="76">
        <f ca="1">EFEITO!$J$218*EFEITO!$Y$218</f>
        <v>9989.5514549437303</v>
      </c>
      <c r="K218" s="76">
        <f ca="1">EFEITO!$L$218*EFEITO!$Z$218</f>
        <v>708.69791578762795</v>
      </c>
      <c r="L218" s="76">
        <f>EFEITO!$N$218*EFEITO!$AA$218</f>
        <v>3570.349533185059</v>
      </c>
      <c r="M218" s="76">
        <f ca="1">$J$218-EFEITO!$K$218*EFEITO!$Y$218</f>
        <v>0</v>
      </c>
      <c r="N218" s="76">
        <f ca="1">$K$218-EFEITO!$M$218*EFEITO!$Z$218</f>
        <v>0</v>
      </c>
      <c r="O218" s="76">
        <f>$L$218-EFEITO!$O$218*EFEITO!$AA$218</f>
        <v>0</v>
      </c>
      <c r="P218" s="18"/>
      <c r="Q218" s="18"/>
      <c r="R218" s="18"/>
      <c r="S218" s="18"/>
      <c r="T218" s="18"/>
      <c r="U218" s="18"/>
      <c r="V218" s="18"/>
      <c r="W218" s="1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62" t="s">
        <v>21</v>
      </c>
      <c r="B219" s="62" t="s">
        <v>39</v>
      </c>
      <c r="C219" s="62" t="s">
        <v>40</v>
      </c>
      <c r="D219" s="62" t="s">
        <v>38</v>
      </c>
      <c r="E219" s="62" t="s">
        <v>25</v>
      </c>
      <c r="F219" s="62" t="s">
        <v>25</v>
      </c>
      <c r="G219" s="62" t="s">
        <v>25</v>
      </c>
      <c r="H219" s="62" t="s">
        <v>34</v>
      </c>
      <c r="I219" s="75">
        <v>44378</v>
      </c>
      <c r="J219" s="76">
        <f ca="1">EFEITO!$J$219*EFEITO!$Y$219</f>
        <v>377976.08547948522</v>
      </c>
      <c r="K219" s="76">
        <f ca="1">EFEITO!$L$219*EFEITO!$Z$219</f>
        <v>0</v>
      </c>
      <c r="L219" s="76">
        <f>EFEITO!$N$219*EFEITO!$AA$219</f>
        <v>0</v>
      </c>
      <c r="M219" s="76">
        <f ca="1">$J$219-EFEITO!$K$219*EFEITO!$Y$219</f>
        <v>0</v>
      </c>
      <c r="N219" s="76">
        <f ca="1">$K$219-EFEITO!$M$219*EFEITO!$Z$219</f>
        <v>0</v>
      </c>
      <c r="O219" s="76">
        <f>$L$219-EFEITO!$O$219*EFEITO!$AA$219</f>
        <v>0</v>
      </c>
      <c r="P219" s="18"/>
      <c r="Q219" s="18"/>
      <c r="R219" s="18"/>
      <c r="S219" s="18"/>
      <c r="T219" s="18"/>
      <c r="U219" s="18"/>
      <c r="V219" s="18"/>
      <c r="W219" s="1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62" t="s">
        <v>21</v>
      </c>
      <c r="B220" s="62" t="s">
        <v>39</v>
      </c>
      <c r="C220" s="62" t="s">
        <v>40</v>
      </c>
      <c r="D220" s="62" t="s">
        <v>38</v>
      </c>
      <c r="E220" s="62" t="s">
        <v>25</v>
      </c>
      <c r="F220" s="62" t="s">
        <v>25</v>
      </c>
      <c r="G220" s="62" t="s">
        <v>25</v>
      </c>
      <c r="H220" s="62" t="s">
        <v>34</v>
      </c>
      <c r="I220" s="75">
        <v>44409</v>
      </c>
      <c r="J220" s="76">
        <f ca="1">EFEITO!$J$220*EFEITO!$Y$220</f>
        <v>9989.5514549437303</v>
      </c>
      <c r="K220" s="76">
        <f ca="1">EFEITO!$L$220*EFEITO!$Z$220</f>
        <v>708.69791578762795</v>
      </c>
      <c r="L220" s="76">
        <f>EFEITO!$N$220*EFEITO!$AA$220</f>
        <v>3570.349533185059</v>
      </c>
      <c r="M220" s="76">
        <f ca="1">$J$220-EFEITO!$K$220*EFEITO!$Y$220</f>
        <v>0</v>
      </c>
      <c r="N220" s="76">
        <f ca="1">$K$220-EFEITO!$M$220*EFEITO!$Z$220</f>
        <v>0</v>
      </c>
      <c r="O220" s="76">
        <f>$L$220-EFEITO!$O$220*EFEITO!$AA$220</f>
        <v>0</v>
      </c>
      <c r="P220" s="18"/>
      <c r="Q220" s="18"/>
      <c r="R220" s="18"/>
      <c r="S220" s="18"/>
      <c r="T220" s="18"/>
      <c r="U220" s="18"/>
      <c r="V220" s="18"/>
      <c r="W220" s="1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62" t="s">
        <v>21</v>
      </c>
      <c r="B221" s="62" t="s">
        <v>39</v>
      </c>
      <c r="C221" s="62" t="s">
        <v>40</v>
      </c>
      <c r="D221" s="62" t="s">
        <v>38</v>
      </c>
      <c r="E221" s="62" t="s">
        <v>25</v>
      </c>
      <c r="F221" s="62" t="s">
        <v>25</v>
      </c>
      <c r="G221" s="62" t="s">
        <v>25</v>
      </c>
      <c r="H221" s="62" t="s">
        <v>34</v>
      </c>
      <c r="I221" s="75">
        <v>44409</v>
      </c>
      <c r="J221" s="76">
        <f ca="1">EFEITO!$J$221*EFEITO!$Y$221</f>
        <v>378004.62705507077</v>
      </c>
      <c r="K221" s="76">
        <f ca="1">EFEITO!$L$221*EFEITO!$Z$221</f>
        <v>0</v>
      </c>
      <c r="L221" s="76">
        <f>EFEITO!$N$221*EFEITO!$AA$221</f>
        <v>0</v>
      </c>
      <c r="M221" s="76">
        <f ca="1">$J$221-EFEITO!$K$221*EFEITO!$Y$221</f>
        <v>0</v>
      </c>
      <c r="N221" s="76">
        <f ca="1">$K$221-EFEITO!$M$221*EFEITO!$Z$221</f>
        <v>0</v>
      </c>
      <c r="O221" s="76">
        <f>$L$221-EFEITO!$O$221*EFEITO!$AA$221</f>
        <v>0</v>
      </c>
      <c r="P221" s="18"/>
      <c r="Q221" s="18"/>
      <c r="R221" s="18"/>
      <c r="S221" s="18"/>
      <c r="T221" s="18"/>
      <c r="U221" s="18"/>
      <c r="V221" s="18"/>
      <c r="W221" s="1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62" t="s">
        <v>21</v>
      </c>
      <c r="B222" s="62" t="s">
        <v>39</v>
      </c>
      <c r="C222" s="62" t="s">
        <v>40</v>
      </c>
      <c r="D222" s="62" t="s">
        <v>38</v>
      </c>
      <c r="E222" s="62" t="s">
        <v>25</v>
      </c>
      <c r="F222" s="62" t="s">
        <v>25</v>
      </c>
      <c r="G222" s="62" t="s">
        <v>25</v>
      </c>
      <c r="H222" s="62" t="s">
        <v>34</v>
      </c>
      <c r="I222" s="75">
        <v>44440</v>
      </c>
      <c r="J222" s="76">
        <f ca="1">EFEITO!$J$222*EFEITO!$Y$222</f>
        <v>59937.308729662385</v>
      </c>
      <c r="K222" s="76">
        <f ca="1">EFEITO!$L$222*EFEITO!$Z$222</f>
        <v>3543.4895789381394</v>
      </c>
      <c r="L222" s="76">
        <f>EFEITO!$N$222*EFEITO!$AA$222</f>
        <v>17851.747665925293</v>
      </c>
      <c r="M222" s="76">
        <f ca="1">$J$222-EFEITO!$K$222*EFEITO!$Y$222</f>
        <v>0</v>
      </c>
      <c r="N222" s="76">
        <f ca="1">$K$222-EFEITO!$M$222*EFEITO!$Z$222</f>
        <v>0</v>
      </c>
      <c r="O222" s="76">
        <f>$L$222-EFEITO!$O$222*EFEITO!$AA$222</f>
        <v>0</v>
      </c>
      <c r="P222" s="18"/>
      <c r="Q222" s="18"/>
      <c r="R222" s="18"/>
      <c r="S222" s="18"/>
      <c r="T222" s="18"/>
      <c r="U222" s="18"/>
      <c r="V222" s="18"/>
      <c r="W222" s="1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62" t="s">
        <v>21</v>
      </c>
      <c r="B223" s="62" t="s">
        <v>39</v>
      </c>
      <c r="C223" s="62" t="s">
        <v>40</v>
      </c>
      <c r="D223" s="62" t="s">
        <v>38</v>
      </c>
      <c r="E223" s="62" t="s">
        <v>25</v>
      </c>
      <c r="F223" s="62" t="s">
        <v>25</v>
      </c>
      <c r="G223" s="62" t="s">
        <v>25</v>
      </c>
      <c r="H223" s="62" t="s">
        <v>34</v>
      </c>
      <c r="I223" s="75">
        <v>44440</v>
      </c>
      <c r="J223" s="76">
        <f ca="1">EFEITO!$J$223*EFEITO!$Y$223</f>
        <v>381715.03188119276</v>
      </c>
      <c r="K223" s="76">
        <f ca="1">EFEITO!$L$223*EFEITO!$Z$223</f>
        <v>0</v>
      </c>
      <c r="L223" s="76">
        <f>EFEITO!$N$223*EFEITO!$AA$223</f>
        <v>0</v>
      </c>
      <c r="M223" s="76">
        <f ca="1">$J$223-EFEITO!$K$223*EFEITO!$Y$223</f>
        <v>0</v>
      </c>
      <c r="N223" s="76">
        <f ca="1">$K$223-EFEITO!$M$223*EFEITO!$Z$223</f>
        <v>0</v>
      </c>
      <c r="O223" s="76">
        <f>$L$223-EFEITO!$O$223*EFEITO!$AA$223</f>
        <v>0</v>
      </c>
      <c r="P223" s="18"/>
      <c r="Q223" s="18"/>
      <c r="R223" s="18"/>
      <c r="S223" s="18"/>
      <c r="T223" s="18"/>
      <c r="U223" s="18"/>
      <c r="V223" s="18"/>
      <c r="W223" s="1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62" t="s">
        <v>21</v>
      </c>
      <c r="B224" s="62" t="s">
        <v>39</v>
      </c>
      <c r="C224" s="62" t="s">
        <v>40</v>
      </c>
      <c r="D224" s="62" t="s">
        <v>38</v>
      </c>
      <c r="E224" s="62" t="s">
        <v>25</v>
      </c>
      <c r="F224" s="62" t="s">
        <v>25</v>
      </c>
      <c r="G224" s="62" t="s">
        <v>25</v>
      </c>
      <c r="H224" s="62" t="s">
        <v>34</v>
      </c>
      <c r="I224" s="75">
        <v>44470</v>
      </c>
      <c r="J224" s="76">
        <f ca="1">EFEITO!$J$224*EFEITO!$Y$224</f>
        <v>53943.577856696145</v>
      </c>
      <c r="K224" s="76">
        <f ca="1">EFEITO!$L$224*EFEITO!$Z$224</f>
        <v>3978.7313417911414</v>
      </c>
      <c r="L224" s="76">
        <f>EFEITO!$N$224*EFEITO!$AA$224</f>
        <v>20044.452329234231</v>
      </c>
      <c r="M224" s="76">
        <f ca="1">$J$224-EFEITO!$K$224*EFEITO!$Y$224</f>
        <v>0</v>
      </c>
      <c r="N224" s="76">
        <f ca="1">$K$224-EFEITO!$M$224*EFEITO!$Z$224</f>
        <v>0</v>
      </c>
      <c r="O224" s="76">
        <f>$L$224-EFEITO!$O$224*EFEITO!$AA$224</f>
        <v>0</v>
      </c>
      <c r="P224" s="18"/>
      <c r="Q224" s="18"/>
      <c r="R224" s="18"/>
      <c r="S224" s="18"/>
      <c r="T224" s="18"/>
      <c r="U224" s="18"/>
      <c r="V224" s="18"/>
      <c r="W224" s="1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62" t="s">
        <v>21</v>
      </c>
      <c r="B225" s="62" t="s">
        <v>39</v>
      </c>
      <c r="C225" s="62" t="s">
        <v>40</v>
      </c>
      <c r="D225" s="62" t="s">
        <v>38</v>
      </c>
      <c r="E225" s="62" t="s">
        <v>25</v>
      </c>
      <c r="F225" s="62" t="s">
        <v>25</v>
      </c>
      <c r="G225" s="62" t="s">
        <v>25</v>
      </c>
      <c r="H225" s="62" t="s">
        <v>34</v>
      </c>
      <c r="I225" s="75">
        <v>44470</v>
      </c>
      <c r="J225" s="76">
        <f ca="1">EFEITO!$J$225*EFEITO!$Y$225</f>
        <v>380744.61831128394</v>
      </c>
      <c r="K225" s="76">
        <f ca="1">EFEITO!$L$225*EFEITO!$Z$225</f>
        <v>0</v>
      </c>
      <c r="L225" s="76">
        <f>EFEITO!$N$225*EFEITO!$AA$225</f>
        <v>0</v>
      </c>
      <c r="M225" s="76">
        <f ca="1">$J$225-EFEITO!$K$225*EFEITO!$Y$225</f>
        <v>0</v>
      </c>
      <c r="N225" s="76">
        <f ca="1">$K$225-EFEITO!$M$225*EFEITO!$Z$225</f>
        <v>0</v>
      </c>
      <c r="O225" s="76">
        <f>$L$225-EFEITO!$O$225*EFEITO!$AA$225</f>
        <v>0</v>
      </c>
      <c r="P225" s="18"/>
      <c r="Q225" s="18"/>
      <c r="R225" s="18"/>
      <c r="S225" s="18"/>
      <c r="T225" s="18"/>
      <c r="U225" s="18"/>
      <c r="V225" s="18"/>
      <c r="W225" s="1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62" t="s">
        <v>21</v>
      </c>
      <c r="B226" s="62" t="s">
        <v>39</v>
      </c>
      <c r="C226" s="62" t="s">
        <v>40</v>
      </c>
      <c r="D226" s="62" t="s">
        <v>38</v>
      </c>
      <c r="E226" s="62" t="s">
        <v>25</v>
      </c>
      <c r="F226" s="62" t="s">
        <v>25</v>
      </c>
      <c r="G226" s="62" t="s">
        <v>25</v>
      </c>
      <c r="H226" s="62" t="s">
        <v>34</v>
      </c>
      <c r="I226" s="75">
        <v>44501</v>
      </c>
      <c r="J226" s="76">
        <f ca="1">EFEITO!$J$226*EFEITO!$Y$226</f>
        <v>7991.6411639549842</v>
      </c>
      <c r="K226" s="76">
        <f ca="1">EFEITO!$L$226*EFEITO!$Z$226</f>
        <v>708.69791578762795</v>
      </c>
      <c r="L226" s="76">
        <f>EFEITO!$N$226*EFEITO!$AA$226</f>
        <v>3570.349533185059</v>
      </c>
      <c r="M226" s="76">
        <f ca="1">$J$226-EFEITO!$K$226*EFEITO!$Y$226</f>
        <v>0</v>
      </c>
      <c r="N226" s="76">
        <f ca="1">$K$226-EFEITO!$M$226*EFEITO!$Z$226</f>
        <v>0</v>
      </c>
      <c r="O226" s="76">
        <f>$L$226-EFEITO!$O$226*EFEITO!$AA$226</f>
        <v>0</v>
      </c>
      <c r="P226" s="18"/>
      <c r="Q226" s="18"/>
      <c r="R226" s="18"/>
      <c r="S226" s="18"/>
      <c r="T226" s="18"/>
      <c r="U226" s="18"/>
      <c r="V226" s="18"/>
      <c r="W226" s="1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62" t="s">
        <v>21</v>
      </c>
      <c r="B227" s="62" t="s">
        <v>39</v>
      </c>
      <c r="C227" s="62" t="s">
        <v>40</v>
      </c>
      <c r="D227" s="62" t="s">
        <v>38</v>
      </c>
      <c r="E227" s="62" t="s">
        <v>25</v>
      </c>
      <c r="F227" s="62" t="s">
        <v>25</v>
      </c>
      <c r="G227" s="62" t="s">
        <v>25</v>
      </c>
      <c r="H227" s="62" t="s">
        <v>34</v>
      </c>
      <c r="I227" s="75">
        <v>44501</v>
      </c>
      <c r="J227" s="76">
        <f ca="1">EFEITO!$J$227*EFEITO!$Y$227</f>
        <v>380858.78461362614</v>
      </c>
      <c r="K227" s="76">
        <f ca="1">EFEITO!$L$227*EFEITO!$Z$227</f>
        <v>0</v>
      </c>
      <c r="L227" s="76">
        <f>EFEITO!$N$227*EFEITO!$AA$227</f>
        <v>0</v>
      </c>
      <c r="M227" s="76">
        <f ca="1">$J$227-EFEITO!$K$227*EFEITO!$Y$227</f>
        <v>0</v>
      </c>
      <c r="N227" s="76">
        <f ca="1">$K$227-EFEITO!$M$227*EFEITO!$Z$227</f>
        <v>0</v>
      </c>
      <c r="O227" s="76">
        <f>$L$227-EFEITO!$O$227*EFEITO!$AA$227</f>
        <v>0</v>
      </c>
      <c r="P227" s="18"/>
      <c r="Q227" s="18"/>
      <c r="R227" s="18"/>
      <c r="S227" s="18"/>
      <c r="T227" s="18"/>
      <c r="U227" s="18"/>
      <c r="V227" s="18"/>
      <c r="W227" s="1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62" t="s">
        <v>21</v>
      </c>
      <c r="B228" s="62" t="s">
        <v>39</v>
      </c>
      <c r="C228" s="62" t="s">
        <v>40</v>
      </c>
      <c r="D228" s="62" t="s">
        <v>38</v>
      </c>
      <c r="E228" s="62" t="s">
        <v>25</v>
      </c>
      <c r="F228" s="62" t="s">
        <v>25</v>
      </c>
      <c r="G228" s="62" t="s">
        <v>25</v>
      </c>
      <c r="H228" s="62" t="s">
        <v>34</v>
      </c>
      <c r="I228" s="75">
        <v>44531</v>
      </c>
      <c r="J228" s="76">
        <f ca="1">EFEITO!$J$228*EFEITO!$Y$228</f>
        <v>65931.039602628618</v>
      </c>
      <c r="K228" s="76">
        <f ca="1">EFEITO!$L$228*EFEITO!$Z$228</f>
        <v>2126.0937473628837</v>
      </c>
      <c r="L228" s="76">
        <f>EFEITO!$N$228*EFEITO!$AA$228</f>
        <v>10711.048599555177</v>
      </c>
      <c r="M228" s="76">
        <f ca="1">$J$228-EFEITO!$K$228*EFEITO!$Y$228</f>
        <v>0</v>
      </c>
      <c r="N228" s="76">
        <f ca="1">$K$228-EFEITO!$M$228*EFEITO!$Z$228</f>
        <v>0</v>
      </c>
      <c r="O228" s="76">
        <f>$L$228-EFEITO!$O$228*EFEITO!$AA$228</f>
        <v>0</v>
      </c>
      <c r="P228" s="18"/>
      <c r="Q228" s="18"/>
      <c r="R228" s="18"/>
      <c r="S228" s="18"/>
      <c r="T228" s="18"/>
      <c r="U228" s="18"/>
      <c r="V228" s="18"/>
      <c r="W228" s="1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62" t="s">
        <v>21</v>
      </c>
      <c r="B229" s="62" t="s">
        <v>39</v>
      </c>
      <c r="C229" s="62" t="s">
        <v>40</v>
      </c>
      <c r="D229" s="62" t="s">
        <v>38</v>
      </c>
      <c r="E229" s="62" t="s">
        <v>25</v>
      </c>
      <c r="F229" s="62" t="s">
        <v>25</v>
      </c>
      <c r="G229" s="62" t="s">
        <v>25</v>
      </c>
      <c r="H229" s="62" t="s">
        <v>34</v>
      </c>
      <c r="I229" s="75">
        <v>44531</v>
      </c>
      <c r="J229" s="76">
        <f ca="1">EFEITO!$J$229*EFEITO!$Y$229</f>
        <v>381857.73975912051</v>
      </c>
      <c r="K229" s="76">
        <f ca="1">EFEITO!$L$229*EFEITO!$Z$229</f>
        <v>0</v>
      </c>
      <c r="L229" s="76">
        <f>EFEITO!$N$229*EFEITO!$AA$229</f>
        <v>0</v>
      </c>
      <c r="M229" s="76">
        <f ca="1">$J$229-EFEITO!$K$229*EFEITO!$Y$229</f>
        <v>0</v>
      </c>
      <c r="N229" s="76">
        <f ca="1">$K$229-EFEITO!$M$229*EFEITO!$Z$229</f>
        <v>0</v>
      </c>
      <c r="O229" s="76">
        <f>$L$229-EFEITO!$O$229*EFEITO!$AA$229</f>
        <v>0</v>
      </c>
      <c r="P229" s="18"/>
      <c r="Q229" s="18"/>
      <c r="R229" s="18"/>
      <c r="S229" s="18"/>
      <c r="T229" s="18"/>
      <c r="U229" s="18"/>
      <c r="V229" s="18"/>
      <c r="W229" s="1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62" t="s">
        <v>21</v>
      </c>
      <c r="B230" s="62" t="s">
        <v>39</v>
      </c>
      <c r="C230" s="62" t="s">
        <v>40</v>
      </c>
      <c r="D230" s="62" t="s">
        <v>38</v>
      </c>
      <c r="E230" s="62" t="s">
        <v>25</v>
      </c>
      <c r="F230" s="62" t="s">
        <v>25</v>
      </c>
      <c r="G230" s="62" t="s">
        <v>25</v>
      </c>
      <c r="H230" s="62" t="s">
        <v>34</v>
      </c>
      <c r="I230" s="75">
        <v>44562</v>
      </c>
      <c r="J230" s="76">
        <f ca="1">EFEITO!$J$230*EFEITO!$Y$230</f>
        <v>85624.726756660544</v>
      </c>
      <c r="K230" s="76">
        <f ca="1">EFEITO!$L$230*EFEITO!$Z$230</f>
        <v>5211.460745024021</v>
      </c>
      <c r="L230" s="76">
        <f>EFEITO!$N$230*EFEITO!$AA$230</f>
        <v>26254.820317242986</v>
      </c>
      <c r="M230" s="76">
        <f ca="1">$J$230-EFEITO!$K$230*EFEITO!$Y$230</f>
        <v>0</v>
      </c>
      <c r="N230" s="76">
        <f ca="1">$K$230-EFEITO!$M$230*EFEITO!$Z$230</f>
        <v>0</v>
      </c>
      <c r="O230" s="76">
        <f>$L$230-EFEITO!$O$230*EFEITO!$AA$230</f>
        <v>0</v>
      </c>
      <c r="P230" s="18"/>
      <c r="Q230" s="18"/>
      <c r="R230" s="18"/>
      <c r="S230" s="18"/>
      <c r="T230" s="18"/>
      <c r="U230" s="18"/>
      <c r="V230" s="18"/>
      <c r="W230" s="1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62" t="s">
        <v>21</v>
      </c>
      <c r="B231" s="62" t="s">
        <v>39</v>
      </c>
      <c r="C231" s="62" t="s">
        <v>40</v>
      </c>
      <c r="D231" s="62" t="s">
        <v>38</v>
      </c>
      <c r="E231" s="62" t="s">
        <v>25</v>
      </c>
      <c r="F231" s="62" t="s">
        <v>25</v>
      </c>
      <c r="G231" s="62" t="s">
        <v>25</v>
      </c>
      <c r="H231" s="62" t="s">
        <v>34</v>
      </c>
      <c r="I231" s="75">
        <v>44562</v>
      </c>
      <c r="J231" s="76">
        <f ca="1">EFEITO!$J$231*EFEITO!$Y$231</f>
        <v>379403.1642587629</v>
      </c>
      <c r="K231" s="76">
        <f ca="1">EFEITO!$L$231*EFEITO!$Z$231</f>
        <v>0</v>
      </c>
      <c r="L231" s="76">
        <f>EFEITO!$N$231*EFEITO!$AA$231</f>
        <v>0</v>
      </c>
      <c r="M231" s="76">
        <f ca="1">$J$231-EFEITO!$K$231*EFEITO!$Y$231</f>
        <v>0</v>
      </c>
      <c r="N231" s="76">
        <f ca="1">$K$231-EFEITO!$M$231*EFEITO!$Z$231</f>
        <v>0</v>
      </c>
      <c r="O231" s="76">
        <f>$L$231-EFEITO!$O$231*EFEITO!$AA$231</f>
        <v>0</v>
      </c>
      <c r="P231" s="18"/>
      <c r="Q231" s="18"/>
      <c r="R231" s="18"/>
      <c r="S231" s="18"/>
      <c r="T231" s="18"/>
      <c r="U231" s="18"/>
      <c r="V231" s="18"/>
      <c r="W231" s="1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62" t="s">
        <v>21</v>
      </c>
      <c r="B232" s="62" t="s">
        <v>39</v>
      </c>
      <c r="C232" s="62" t="s">
        <v>40</v>
      </c>
      <c r="D232" s="62" t="s">
        <v>38</v>
      </c>
      <c r="E232" s="62" t="s">
        <v>25</v>
      </c>
      <c r="F232" s="62" t="s">
        <v>25</v>
      </c>
      <c r="G232" s="62" t="s">
        <v>25</v>
      </c>
      <c r="H232" s="62" t="s">
        <v>34</v>
      </c>
      <c r="I232" s="75">
        <v>44593</v>
      </c>
      <c r="J232" s="76">
        <f ca="1">EFEITO!$J$232*EFEITO!$Y$232</f>
        <v>456665.20936885627</v>
      </c>
      <c r="K232" s="76">
        <f ca="1">EFEITO!$L$232*EFEITO!$Z$232</f>
        <v>0</v>
      </c>
      <c r="L232" s="76">
        <f>EFEITO!$N$232*EFEITO!$AA$232</f>
        <v>0</v>
      </c>
      <c r="M232" s="76">
        <f ca="1">$J$232-EFEITO!$K$232*EFEITO!$Y$232</f>
        <v>0</v>
      </c>
      <c r="N232" s="76">
        <f ca="1">$K$232-EFEITO!$M$232*EFEITO!$Z$232</f>
        <v>0</v>
      </c>
      <c r="O232" s="76">
        <f>$L$232-EFEITO!$O$232*EFEITO!$AA$232</f>
        <v>0</v>
      </c>
      <c r="P232" s="18"/>
      <c r="Q232" s="18"/>
      <c r="R232" s="18"/>
      <c r="S232" s="18"/>
      <c r="T232" s="18"/>
      <c r="U232" s="18"/>
      <c r="V232" s="18"/>
      <c r="W232" s="1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62" t="s">
        <v>21</v>
      </c>
      <c r="B233" s="62" t="s">
        <v>39</v>
      </c>
      <c r="C233" s="62" t="s">
        <v>40</v>
      </c>
      <c r="D233" s="62" t="s">
        <v>38</v>
      </c>
      <c r="E233" s="62" t="s">
        <v>25</v>
      </c>
      <c r="F233" s="62" t="s">
        <v>25</v>
      </c>
      <c r="G233" s="62" t="s">
        <v>25</v>
      </c>
      <c r="H233" s="62" t="s">
        <v>34</v>
      </c>
      <c r="I233" s="75">
        <v>44621</v>
      </c>
      <c r="J233" s="76">
        <f ca="1">EFEITO!$J$233*EFEITO!$Y$233</f>
        <v>459176.86802038498</v>
      </c>
      <c r="K233" s="76">
        <f ca="1">EFEITO!$L$233*EFEITO!$Z$233</f>
        <v>0</v>
      </c>
      <c r="L233" s="76">
        <f>EFEITO!$N$233*EFEITO!$AA$233</f>
        <v>0</v>
      </c>
      <c r="M233" s="76">
        <f ca="1">$J$233-EFEITO!$K$233*EFEITO!$Y$233</f>
        <v>0</v>
      </c>
      <c r="N233" s="76">
        <f ca="1">$K$233-EFEITO!$M$233*EFEITO!$Z$233</f>
        <v>0</v>
      </c>
      <c r="O233" s="76">
        <f>$L$233-EFEITO!$O$233*EFEITO!$AA$233</f>
        <v>0</v>
      </c>
      <c r="P233" s="18"/>
      <c r="Q233" s="18"/>
      <c r="R233" s="18"/>
      <c r="S233" s="18"/>
      <c r="T233" s="18"/>
      <c r="U233" s="18"/>
      <c r="V233" s="18"/>
      <c r="W233" s="1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62" t="s">
        <v>27</v>
      </c>
      <c r="B234" s="62" t="s">
        <v>39</v>
      </c>
      <c r="C234" s="62" t="s">
        <v>40</v>
      </c>
      <c r="D234" s="62" t="s">
        <v>38</v>
      </c>
      <c r="E234" s="62" t="s">
        <v>25</v>
      </c>
      <c r="F234" s="62" t="s">
        <v>25</v>
      </c>
      <c r="G234" s="62" t="s">
        <v>25</v>
      </c>
      <c r="H234" s="62" t="s">
        <v>34</v>
      </c>
      <c r="I234" s="75">
        <v>44652</v>
      </c>
      <c r="J234" s="76">
        <f ca="1">EFEITO!$J$234*EFEITO!$Y$234</f>
        <v>-17010.779048989894</v>
      </c>
      <c r="K234" s="76">
        <f ca="1">EFEITO!$L$234*EFEITO!$Z$234</f>
        <v>0</v>
      </c>
      <c r="L234" s="76">
        <f>EFEITO!$N$234*EFEITO!$AA$234</f>
        <v>0</v>
      </c>
      <c r="M234" s="76">
        <f ca="1">$J$234-EFEITO!$K$234*EFEITO!$Y$234</f>
        <v>0</v>
      </c>
      <c r="N234" s="76">
        <f ca="1">$K$234-EFEITO!$M$234*EFEITO!$Z$234</f>
        <v>0</v>
      </c>
      <c r="O234" s="76">
        <f>$L$234-EFEITO!$O$234*EFEITO!$AA$234</f>
        <v>0</v>
      </c>
      <c r="P234" s="18"/>
      <c r="Q234" s="18"/>
      <c r="R234" s="18"/>
      <c r="S234" s="18"/>
      <c r="T234" s="18"/>
      <c r="U234" s="18"/>
      <c r="V234" s="18"/>
      <c r="W234" s="1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62" t="s">
        <v>21</v>
      </c>
      <c r="B235" s="62" t="s">
        <v>39</v>
      </c>
      <c r="C235" s="62" t="s">
        <v>40</v>
      </c>
      <c r="D235" s="62" t="s">
        <v>38</v>
      </c>
      <c r="E235" s="62" t="s">
        <v>25</v>
      </c>
      <c r="F235" s="62" t="s">
        <v>25</v>
      </c>
      <c r="G235" s="62" t="s">
        <v>25</v>
      </c>
      <c r="H235" s="62" t="s">
        <v>34</v>
      </c>
      <c r="I235" s="75">
        <v>44652</v>
      </c>
      <c r="J235" s="76">
        <f ca="1">EFEITO!$J$235*EFEITO!$Y$235</f>
        <v>464028.93586992909</v>
      </c>
      <c r="K235" s="76">
        <f ca="1">EFEITO!$L$235*EFEITO!$Z$235</f>
        <v>0</v>
      </c>
      <c r="L235" s="76">
        <f>EFEITO!$N$235*EFEITO!$AA$235</f>
        <v>0</v>
      </c>
      <c r="M235" s="76">
        <f ca="1">$J$235-EFEITO!$K$235*EFEITO!$Y$235</f>
        <v>0</v>
      </c>
      <c r="N235" s="76">
        <f ca="1">$K$235-EFEITO!$M$235*EFEITO!$Z$235</f>
        <v>0</v>
      </c>
      <c r="O235" s="76">
        <f>$L$235-EFEITO!$O$235*EFEITO!$AA$235</f>
        <v>0</v>
      </c>
      <c r="P235" s="18"/>
      <c r="Q235" s="18"/>
      <c r="R235" s="18"/>
      <c r="S235" s="18"/>
      <c r="T235" s="18"/>
      <c r="U235" s="18"/>
      <c r="V235" s="18"/>
      <c r="W235" s="1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62" t="s">
        <v>58</v>
      </c>
      <c r="B236" s="62" t="s">
        <v>39</v>
      </c>
      <c r="C236" s="62" t="s">
        <v>40</v>
      </c>
      <c r="D236" s="62" t="s">
        <v>38</v>
      </c>
      <c r="E236" s="62" t="s">
        <v>25</v>
      </c>
      <c r="F236" s="62" t="s">
        <v>25</v>
      </c>
      <c r="G236" s="62" t="s">
        <v>25</v>
      </c>
      <c r="H236" s="62" t="s">
        <v>34</v>
      </c>
      <c r="I236" s="75">
        <v>44682</v>
      </c>
      <c r="J236" s="76">
        <f ca="1">EFEITO!$J$236*EFEITO!$Y$236</f>
        <v>-17010.779048989894</v>
      </c>
      <c r="K236" s="76">
        <f ca="1">EFEITO!$L$236*EFEITO!$Z$236</f>
        <v>0</v>
      </c>
      <c r="L236" s="76">
        <f>EFEITO!$N$236*EFEITO!$AA$236</f>
        <v>0</v>
      </c>
      <c r="M236" s="76">
        <f ca="1">$J$236-EFEITO!$K$236*EFEITO!$Y$236</f>
        <v>0</v>
      </c>
      <c r="N236" s="76">
        <f ca="1">$K$236-EFEITO!$M$236*EFEITO!$Z$236</f>
        <v>0</v>
      </c>
      <c r="O236" s="76">
        <f>$L$236-EFEITO!$O$236*EFEITO!$AA$236</f>
        <v>0</v>
      </c>
      <c r="P236" s="18"/>
      <c r="Q236" s="18"/>
      <c r="R236" s="18"/>
      <c r="S236" s="18"/>
      <c r="T236" s="18"/>
      <c r="U236" s="18"/>
      <c r="V236" s="18"/>
      <c r="W236" s="1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62" t="s">
        <v>58</v>
      </c>
      <c r="B237" s="62" t="s">
        <v>39</v>
      </c>
      <c r="C237" s="62" t="s">
        <v>40</v>
      </c>
      <c r="D237" s="62" t="s">
        <v>38</v>
      </c>
      <c r="E237" s="62" t="s">
        <v>25</v>
      </c>
      <c r="F237" s="62" t="s">
        <v>25</v>
      </c>
      <c r="G237" s="62" t="s">
        <v>25</v>
      </c>
      <c r="H237" s="62" t="s">
        <v>34</v>
      </c>
      <c r="I237" s="75">
        <v>44682</v>
      </c>
      <c r="J237" s="76">
        <f ca="1">EFEITO!$J$237*EFEITO!$Y$237</f>
        <v>464028.93586992909</v>
      </c>
      <c r="K237" s="76">
        <f ca="1">EFEITO!$L$237*EFEITO!$Z$237</f>
        <v>0</v>
      </c>
      <c r="L237" s="76">
        <f>EFEITO!$N$237*EFEITO!$AA$237</f>
        <v>0</v>
      </c>
      <c r="M237" s="76">
        <f ca="1">$J$237-EFEITO!$K$237*EFEITO!$Y$237</f>
        <v>0</v>
      </c>
      <c r="N237" s="76">
        <f ca="1">$K$237-EFEITO!$M$237*EFEITO!$Z$237</f>
        <v>0</v>
      </c>
      <c r="O237" s="76">
        <f>$L$237-EFEITO!$O$237*EFEITO!$AA$237</f>
        <v>0</v>
      </c>
      <c r="P237" s="18"/>
      <c r="Q237" s="18"/>
      <c r="R237" s="18"/>
      <c r="S237" s="18"/>
      <c r="T237" s="18"/>
      <c r="U237" s="18"/>
      <c r="V237" s="18"/>
      <c r="W237" s="1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62" t="s">
        <v>21</v>
      </c>
      <c r="B238" s="62" t="s">
        <v>39</v>
      </c>
      <c r="C238" s="62" t="s">
        <v>64</v>
      </c>
      <c r="D238" s="62" t="s">
        <v>25</v>
      </c>
      <c r="E238" s="62" t="s">
        <v>25</v>
      </c>
      <c r="F238" s="62" t="s">
        <v>25</v>
      </c>
      <c r="G238" s="62" t="s">
        <v>71</v>
      </c>
      <c r="H238" s="62" t="s">
        <v>25</v>
      </c>
      <c r="I238" s="75">
        <v>44348</v>
      </c>
      <c r="J238" s="76">
        <f ca="1">EFEITO!$J$238*EFEITO!$Y$238</f>
        <v>288592.06027301215</v>
      </c>
      <c r="K238" s="76">
        <f>EFEITO!$L$238*EFEITO!$Z$238</f>
        <v>0</v>
      </c>
      <c r="L238" s="76">
        <f>EFEITO!$N$238*EFEITO!$AA$238</f>
        <v>0</v>
      </c>
      <c r="M238" s="76">
        <f ca="1">$J$238-EFEITO!$K$238*EFEITO!$Y$238</f>
        <v>144296.03013650607</v>
      </c>
      <c r="N238" s="76">
        <f>$K$238-EFEITO!$M$238*EFEITO!$Z$238</f>
        <v>0</v>
      </c>
      <c r="O238" s="76">
        <f>$L$238-EFEITO!$O$238*EFEITO!$AA$238</f>
        <v>0</v>
      </c>
      <c r="P238" s="18"/>
      <c r="Q238" s="18"/>
      <c r="R238" s="18"/>
      <c r="S238" s="18"/>
      <c r="T238" s="18"/>
      <c r="U238" s="18"/>
      <c r="V238" s="18"/>
      <c r="W238" s="1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62" t="s">
        <v>21</v>
      </c>
      <c r="B239" s="62" t="s">
        <v>39</v>
      </c>
      <c r="C239" s="62" t="s">
        <v>64</v>
      </c>
      <c r="D239" s="62" t="s">
        <v>25</v>
      </c>
      <c r="E239" s="62" t="s">
        <v>25</v>
      </c>
      <c r="F239" s="62" t="s">
        <v>25</v>
      </c>
      <c r="G239" s="62" t="s">
        <v>84</v>
      </c>
      <c r="H239" s="62" t="s">
        <v>25</v>
      </c>
      <c r="I239" s="75">
        <v>44348</v>
      </c>
      <c r="J239" s="76">
        <f ca="1">EFEITO!$J$239*EFEITO!$Y$239</f>
        <v>146609.81487630427</v>
      </c>
      <c r="K239" s="76">
        <f>EFEITO!$L$239*EFEITO!$Z$239</f>
        <v>0</v>
      </c>
      <c r="L239" s="76">
        <f>EFEITO!$N$239*EFEITO!$AA$239</f>
        <v>0</v>
      </c>
      <c r="M239" s="76">
        <f ca="1">$J$239-EFEITO!$K$239*EFEITO!$Y$239</f>
        <v>0</v>
      </c>
      <c r="N239" s="76">
        <f>$K$239-EFEITO!$M$239*EFEITO!$Z$239</f>
        <v>0</v>
      </c>
      <c r="O239" s="76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62" t="s">
        <v>21</v>
      </c>
      <c r="B240" s="62" t="s">
        <v>39</v>
      </c>
      <c r="C240" s="62" t="s">
        <v>64</v>
      </c>
      <c r="D240" s="62" t="s">
        <v>25</v>
      </c>
      <c r="E240" s="62" t="s">
        <v>25</v>
      </c>
      <c r="F240" s="62" t="s">
        <v>25</v>
      </c>
      <c r="G240" s="62" t="s">
        <v>85</v>
      </c>
      <c r="H240" s="62" t="s">
        <v>25</v>
      </c>
      <c r="I240" s="75">
        <v>44348</v>
      </c>
      <c r="J240" s="76">
        <f ca="1">EFEITO!$J$240*EFEITO!$Y$240</f>
        <v>201930.30456420674</v>
      </c>
      <c r="K240" s="76">
        <f>EFEITO!$L$240*EFEITO!$Z$240</f>
        <v>0</v>
      </c>
      <c r="L240" s="76">
        <f>EFEITO!$N$240*EFEITO!$AA$240</f>
        <v>0</v>
      </c>
      <c r="M240" s="76">
        <f ca="1">$J$240-EFEITO!$K$240*EFEITO!$Y$240</f>
        <v>201930.30456420674</v>
      </c>
      <c r="N240" s="76">
        <f>$K$240-EFEITO!$M$240*EFEITO!$Z$240</f>
        <v>0</v>
      </c>
      <c r="O240" s="76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62" t="s">
        <v>21</v>
      </c>
      <c r="B241" s="62" t="s">
        <v>39</v>
      </c>
      <c r="C241" s="62" t="s">
        <v>64</v>
      </c>
      <c r="D241" s="62" t="s">
        <v>25</v>
      </c>
      <c r="E241" s="62" t="s">
        <v>25</v>
      </c>
      <c r="F241" s="62" t="s">
        <v>25</v>
      </c>
      <c r="G241" s="62" t="s">
        <v>88</v>
      </c>
      <c r="H241" s="62" t="s">
        <v>25</v>
      </c>
      <c r="I241" s="75">
        <v>44348</v>
      </c>
      <c r="J241" s="76">
        <f ca="1">EFEITO!$J$241*EFEITO!$Y$241</f>
        <v>410170.93114604492</v>
      </c>
      <c r="K241" s="76">
        <f>EFEITO!$L$241*EFEITO!$Z$241</f>
        <v>0</v>
      </c>
      <c r="L241" s="76">
        <f>EFEITO!$N$241*EFEITO!$AA$241</f>
        <v>0</v>
      </c>
      <c r="M241" s="76">
        <f ca="1">$J$241-EFEITO!$K$241*EFEITO!$Y$241</f>
        <v>205085.46557302246</v>
      </c>
      <c r="N241" s="76">
        <f>$K$241-EFEITO!$M$241*EFEITO!$Z$241</f>
        <v>0</v>
      </c>
      <c r="O241" s="76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62" t="s">
        <v>21</v>
      </c>
      <c r="B242" s="62" t="s">
        <v>39</v>
      </c>
      <c r="C242" s="62" t="s">
        <v>64</v>
      </c>
      <c r="D242" s="62" t="s">
        <v>25</v>
      </c>
      <c r="E242" s="62" t="s">
        <v>25</v>
      </c>
      <c r="F242" s="62" t="s">
        <v>25</v>
      </c>
      <c r="G242" s="62" t="s">
        <v>91</v>
      </c>
      <c r="H242" s="62" t="s">
        <v>25</v>
      </c>
      <c r="I242" s="75">
        <v>44348</v>
      </c>
      <c r="J242" s="76">
        <f ca="1">EFEITO!$J$242*EFEITO!$Y$242</f>
        <v>471170.71064981574</v>
      </c>
      <c r="K242" s="76">
        <f>EFEITO!$L$242*EFEITO!$Z$242</f>
        <v>0</v>
      </c>
      <c r="L242" s="76">
        <f>EFEITO!$N$242*EFEITO!$AA$242</f>
        <v>0</v>
      </c>
      <c r="M242" s="76">
        <f ca="1">$J$242-EFEITO!$K$242*EFEITO!$Y$242</f>
        <v>471170.71064981574</v>
      </c>
      <c r="N242" s="76">
        <f>$K$242-EFEITO!$M$242*EFEITO!$Z$242</f>
        <v>0</v>
      </c>
      <c r="O242" s="76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62" t="s">
        <v>21</v>
      </c>
      <c r="B243" s="62" t="s">
        <v>39</v>
      </c>
      <c r="C243" s="62" t="s">
        <v>64</v>
      </c>
      <c r="D243" s="62" t="s">
        <v>25</v>
      </c>
      <c r="E243" s="62" t="s">
        <v>25</v>
      </c>
      <c r="F243" s="62" t="s">
        <v>25</v>
      </c>
      <c r="G243" s="62" t="s">
        <v>71</v>
      </c>
      <c r="H243" s="62" t="s">
        <v>25</v>
      </c>
      <c r="I243" s="75">
        <v>44378</v>
      </c>
      <c r="J243" s="76">
        <f ca="1">EFEITO!$J$243*EFEITO!$Y$243</f>
        <v>288592.06027301215</v>
      </c>
      <c r="K243" s="76">
        <f>EFEITO!$L$243*EFEITO!$Z$243</f>
        <v>0</v>
      </c>
      <c r="L243" s="76">
        <f>EFEITO!$N$243*EFEITO!$AA$243</f>
        <v>0</v>
      </c>
      <c r="M243" s="76">
        <f ca="1">$J$243-EFEITO!$K$243*EFEITO!$Y$243</f>
        <v>144296.03013650607</v>
      </c>
      <c r="N243" s="76">
        <f>$K$243-EFEITO!$M$243*EFEITO!$Z$243</f>
        <v>0</v>
      </c>
      <c r="O243" s="76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62" t="s">
        <v>21</v>
      </c>
      <c r="B244" s="62" t="s">
        <v>39</v>
      </c>
      <c r="C244" s="62" t="s">
        <v>64</v>
      </c>
      <c r="D244" s="62" t="s">
        <v>25</v>
      </c>
      <c r="E244" s="62" t="s">
        <v>25</v>
      </c>
      <c r="F244" s="62" t="s">
        <v>25</v>
      </c>
      <c r="G244" s="62" t="s">
        <v>84</v>
      </c>
      <c r="H244" s="62" t="s">
        <v>25</v>
      </c>
      <c r="I244" s="75">
        <v>44378</v>
      </c>
      <c r="J244" s="76">
        <f ca="1">EFEITO!$J$244*EFEITO!$Y$244</f>
        <v>146609.81487630427</v>
      </c>
      <c r="K244" s="76">
        <f>EFEITO!$L$244*EFEITO!$Z$244</f>
        <v>0</v>
      </c>
      <c r="L244" s="76">
        <f>EFEITO!$N$244*EFEITO!$AA$244</f>
        <v>0</v>
      </c>
      <c r="M244" s="76">
        <f ca="1">$J$244-EFEITO!$K$244*EFEITO!$Y$244</f>
        <v>0</v>
      </c>
      <c r="N244" s="76">
        <f>$K$244-EFEITO!$M$244*EFEITO!$Z$244</f>
        <v>0</v>
      </c>
      <c r="O244" s="76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62" t="s">
        <v>21</v>
      </c>
      <c r="B245" s="62" t="s">
        <v>39</v>
      </c>
      <c r="C245" s="62" t="s">
        <v>64</v>
      </c>
      <c r="D245" s="62" t="s">
        <v>25</v>
      </c>
      <c r="E245" s="62" t="s">
        <v>25</v>
      </c>
      <c r="F245" s="62" t="s">
        <v>25</v>
      </c>
      <c r="G245" s="62" t="s">
        <v>85</v>
      </c>
      <c r="H245" s="62" t="s">
        <v>25</v>
      </c>
      <c r="I245" s="75">
        <v>44378</v>
      </c>
      <c r="J245" s="76">
        <f ca="1">EFEITO!$J$245*EFEITO!$Y$245</f>
        <v>201930.30456420674</v>
      </c>
      <c r="K245" s="76">
        <f>EFEITO!$L$245*EFEITO!$Z$245</f>
        <v>0</v>
      </c>
      <c r="L245" s="76">
        <f>EFEITO!$N$245*EFEITO!$AA$245</f>
        <v>0</v>
      </c>
      <c r="M245" s="76">
        <f ca="1">$J$245-EFEITO!$K$245*EFEITO!$Y$245</f>
        <v>201930.30456420674</v>
      </c>
      <c r="N245" s="76">
        <f>$K$245-EFEITO!$M$245*EFEITO!$Z$245</f>
        <v>0</v>
      </c>
      <c r="O245" s="76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62" t="s">
        <v>21</v>
      </c>
      <c r="B246" s="62" t="s">
        <v>39</v>
      </c>
      <c r="C246" s="62" t="s">
        <v>64</v>
      </c>
      <c r="D246" s="62" t="s">
        <v>25</v>
      </c>
      <c r="E246" s="62" t="s">
        <v>25</v>
      </c>
      <c r="F246" s="62" t="s">
        <v>25</v>
      </c>
      <c r="G246" s="62" t="s">
        <v>88</v>
      </c>
      <c r="H246" s="62" t="s">
        <v>25</v>
      </c>
      <c r="I246" s="75">
        <v>44378</v>
      </c>
      <c r="J246" s="76">
        <f ca="1">EFEITO!$J$246*EFEITO!$Y$246</f>
        <v>410170.93114604492</v>
      </c>
      <c r="K246" s="76">
        <f>EFEITO!$L$246*EFEITO!$Z$246</f>
        <v>0</v>
      </c>
      <c r="L246" s="76">
        <f>EFEITO!$N$246*EFEITO!$AA$246</f>
        <v>0</v>
      </c>
      <c r="M246" s="76">
        <f ca="1">$J$246-EFEITO!$K$246*EFEITO!$Y$246</f>
        <v>205085.46557302246</v>
      </c>
      <c r="N246" s="76">
        <f>$K$246-EFEITO!$M$246*EFEITO!$Z$246</f>
        <v>0</v>
      </c>
      <c r="O246" s="76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62" t="s">
        <v>21</v>
      </c>
      <c r="B247" s="62" t="s">
        <v>39</v>
      </c>
      <c r="C247" s="62" t="s">
        <v>64</v>
      </c>
      <c r="D247" s="62" t="s">
        <v>25</v>
      </c>
      <c r="E247" s="62" t="s">
        <v>25</v>
      </c>
      <c r="F247" s="62" t="s">
        <v>25</v>
      </c>
      <c r="G247" s="62" t="s">
        <v>91</v>
      </c>
      <c r="H247" s="62" t="s">
        <v>25</v>
      </c>
      <c r="I247" s="75">
        <v>44378</v>
      </c>
      <c r="J247" s="76">
        <f ca="1">EFEITO!$J$247*EFEITO!$Y$247</f>
        <v>471170.71064981574</v>
      </c>
      <c r="K247" s="76">
        <f>EFEITO!$L$247*EFEITO!$Z$247</f>
        <v>0</v>
      </c>
      <c r="L247" s="76">
        <f>EFEITO!$N$247*EFEITO!$AA$247</f>
        <v>0</v>
      </c>
      <c r="M247" s="76">
        <f ca="1">$J$247-EFEITO!$K$247*EFEITO!$Y$247</f>
        <v>471170.71064981574</v>
      </c>
      <c r="N247" s="76">
        <f>$K$247-EFEITO!$M$247*EFEITO!$Z$247</f>
        <v>0</v>
      </c>
      <c r="O247" s="76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62" t="s">
        <v>21</v>
      </c>
      <c r="B248" s="62" t="s">
        <v>39</v>
      </c>
      <c r="C248" s="62" t="s">
        <v>64</v>
      </c>
      <c r="D248" s="62" t="s">
        <v>25</v>
      </c>
      <c r="E248" s="62" t="s">
        <v>25</v>
      </c>
      <c r="F248" s="62" t="s">
        <v>25</v>
      </c>
      <c r="G248" s="62" t="s">
        <v>71</v>
      </c>
      <c r="H248" s="62" t="s">
        <v>25</v>
      </c>
      <c r="I248" s="75">
        <v>44409</v>
      </c>
      <c r="J248" s="76">
        <f ca="1">EFEITO!$J$248*EFEITO!$Y$248</f>
        <v>288592.06027301215</v>
      </c>
      <c r="K248" s="76">
        <f>EFEITO!$L$248*EFEITO!$Z$248</f>
        <v>0</v>
      </c>
      <c r="L248" s="76">
        <f>EFEITO!$N$248*EFEITO!$AA$248</f>
        <v>0</v>
      </c>
      <c r="M248" s="76">
        <f ca="1">$J$248-EFEITO!$K$248*EFEITO!$Y$248</f>
        <v>144296.03013650607</v>
      </c>
      <c r="N248" s="76">
        <f>$K$248-EFEITO!$M$248*EFEITO!$Z$248</f>
        <v>0</v>
      </c>
      <c r="O248" s="76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62" t="s">
        <v>21</v>
      </c>
      <c r="B249" s="62" t="s">
        <v>39</v>
      </c>
      <c r="C249" s="62" t="s">
        <v>64</v>
      </c>
      <c r="D249" s="62" t="s">
        <v>25</v>
      </c>
      <c r="E249" s="62" t="s">
        <v>25</v>
      </c>
      <c r="F249" s="62" t="s">
        <v>25</v>
      </c>
      <c r="G249" s="62" t="s">
        <v>84</v>
      </c>
      <c r="H249" s="62" t="s">
        <v>25</v>
      </c>
      <c r="I249" s="75">
        <v>44409</v>
      </c>
      <c r="J249" s="76">
        <f ca="1">EFEITO!$J$249*EFEITO!$Y$249</f>
        <v>146609.81487630427</v>
      </c>
      <c r="K249" s="76">
        <f>EFEITO!$L$249*EFEITO!$Z$249</f>
        <v>0</v>
      </c>
      <c r="L249" s="76">
        <f>EFEITO!$N$249*EFEITO!$AA$249</f>
        <v>0</v>
      </c>
      <c r="M249" s="76">
        <f ca="1">$J$249-EFEITO!$K$249*EFEITO!$Y$249</f>
        <v>0</v>
      </c>
      <c r="N249" s="76">
        <f>$K$249-EFEITO!$M$249*EFEITO!$Z$249</f>
        <v>0</v>
      </c>
      <c r="O249" s="76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62" t="s">
        <v>21</v>
      </c>
      <c r="B250" s="62" t="s">
        <v>39</v>
      </c>
      <c r="C250" s="62" t="s">
        <v>64</v>
      </c>
      <c r="D250" s="62" t="s">
        <v>25</v>
      </c>
      <c r="E250" s="62" t="s">
        <v>25</v>
      </c>
      <c r="F250" s="62" t="s">
        <v>25</v>
      </c>
      <c r="G250" s="62" t="s">
        <v>85</v>
      </c>
      <c r="H250" s="62" t="s">
        <v>25</v>
      </c>
      <c r="I250" s="75">
        <v>44409</v>
      </c>
      <c r="J250" s="76">
        <f ca="1">EFEITO!$J$250*EFEITO!$Y$250</f>
        <v>201930.30456420674</v>
      </c>
      <c r="K250" s="76">
        <f>EFEITO!$L$250*EFEITO!$Z$250</f>
        <v>0</v>
      </c>
      <c r="L250" s="76">
        <f>EFEITO!$N$250*EFEITO!$AA$250</f>
        <v>0</v>
      </c>
      <c r="M250" s="76">
        <f ca="1">$J$250-EFEITO!$K$250*EFEITO!$Y$250</f>
        <v>201930.30456420674</v>
      </c>
      <c r="N250" s="76">
        <f>$K$250-EFEITO!$M$250*EFEITO!$Z$250</f>
        <v>0</v>
      </c>
      <c r="O250" s="76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62" t="s">
        <v>21</v>
      </c>
      <c r="B251" s="62" t="s">
        <v>39</v>
      </c>
      <c r="C251" s="62" t="s">
        <v>64</v>
      </c>
      <c r="D251" s="62" t="s">
        <v>25</v>
      </c>
      <c r="E251" s="62" t="s">
        <v>25</v>
      </c>
      <c r="F251" s="62" t="s">
        <v>25</v>
      </c>
      <c r="G251" s="62" t="s">
        <v>88</v>
      </c>
      <c r="H251" s="62" t="s">
        <v>25</v>
      </c>
      <c r="I251" s="75">
        <v>44409</v>
      </c>
      <c r="J251" s="76">
        <f ca="1">EFEITO!$J$251*EFEITO!$Y$251</f>
        <v>410170.93114604492</v>
      </c>
      <c r="K251" s="76">
        <f>EFEITO!$L$251*EFEITO!$Z$251</f>
        <v>0</v>
      </c>
      <c r="L251" s="76">
        <f>EFEITO!$N$251*EFEITO!$AA$251</f>
        <v>0</v>
      </c>
      <c r="M251" s="76">
        <f ca="1">$J$251-EFEITO!$K$251*EFEITO!$Y$251</f>
        <v>205085.46557302246</v>
      </c>
      <c r="N251" s="76">
        <f>$K$251-EFEITO!$M$251*EFEITO!$Z$251</f>
        <v>0</v>
      </c>
      <c r="O251" s="76">
        <f>$L$251-EFEITO!$O$251*EFEITO!$AA$251</f>
        <v>0</v>
      </c>
      <c r="P251" s="18"/>
      <c r="Q251" s="18"/>
      <c r="R251" s="18"/>
      <c r="S251" s="18"/>
      <c r="T251" s="18"/>
      <c r="U251" s="18"/>
      <c r="V251" s="18"/>
      <c r="W251" s="1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62" t="s">
        <v>21</v>
      </c>
      <c r="B252" s="62" t="s">
        <v>39</v>
      </c>
      <c r="C252" s="62" t="s">
        <v>64</v>
      </c>
      <c r="D252" s="62" t="s">
        <v>25</v>
      </c>
      <c r="E252" s="62" t="s">
        <v>25</v>
      </c>
      <c r="F252" s="62" t="s">
        <v>25</v>
      </c>
      <c r="G252" s="62" t="s">
        <v>91</v>
      </c>
      <c r="H252" s="62" t="s">
        <v>25</v>
      </c>
      <c r="I252" s="75">
        <v>44409</v>
      </c>
      <c r="J252" s="76">
        <f ca="1">EFEITO!$J$252*EFEITO!$Y$252</f>
        <v>471170.71064981574</v>
      </c>
      <c r="K252" s="76">
        <f>EFEITO!$L$252*EFEITO!$Z$252</f>
        <v>0</v>
      </c>
      <c r="L252" s="76">
        <f>EFEITO!$N$252*EFEITO!$AA$252</f>
        <v>0</v>
      </c>
      <c r="M252" s="76">
        <f ca="1">$J$252-EFEITO!$K$252*EFEITO!$Y$252</f>
        <v>471170.71064981574</v>
      </c>
      <c r="N252" s="76">
        <f>$K$252-EFEITO!$M$252*EFEITO!$Z$252</f>
        <v>0</v>
      </c>
      <c r="O252" s="76">
        <f>$L$252-EFEITO!$O$252*EFEITO!$AA$252</f>
        <v>0</v>
      </c>
      <c r="P252" s="18"/>
      <c r="Q252" s="18"/>
      <c r="R252" s="18"/>
      <c r="S252" s="18"/>
      <c r="T252" s="18"/>
      <c r="U252" s="18"/>
      <c r="V252" s="18"/>
      <c r="W252" s="1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62" t="s">
        <v>21</v>
      </c>
      <c r="B253" s="62" t="s">
        <v>39</v>
      </c>
      <c r="C253" s="62" t="s">
        <v>64</v>
      </c>
      <c r="D253" s="62" t="s">
        <v>25</v>
      </c>
      <c r="E253" s="62" t="s">
        <v>25</v>
      </c>
      <c r="F253" s="62" t="s">
        <v>25</v>
      </c>
      <c r="G253" s="62" t="s">
        <v>71</v>
      </c>
      <c r="H253" s="62" t="s">
        <v>25</v>
      </c>
      <c r="I253" s="75">
        <v>44440</v>
      </c>
      <c r="J253" s="76">
        <f ca="1">EFEITO!$J$253*EFEITO!$Y$253</f>
        <v>288592.06027301215</v>
      </c>
      <c r="K253" s="76">
        <f>EFEITO!$L$253*EFEITO!$Z$253</f>
        <v>0</v>
      </c>
      <c r="L253" s="76">
        <f>EFEITO!$N$253*EFEITO!$AA$253</f>
        <v>0</v>
      </c>
      <c r="M253" s="76">
        <f ca="1">$J$253-EFEITO!$K$253*EFEITO!$Y$253</f>
        <v>144296.03013650607</v>
      </c>
      <c r="N253" s="76">
        <f>$K$253-EFEITO!$M$253*EFEITO!$Z$253</f>
        <v>0</v>
      </c>
      <c r="O253" s="76">
        <f>$L$253-EFEITO!$O$253*EFEITO!$AA$253</f>
        <v>0</v>
      </c>
      <c r="P253" s="18"/>
      <c r="Q253" s="18"/>
      <c r="R253" s="18"/>
      <c r="S253" s="18"/>
      <c r="T253" s="18"/>
      <c r="U253" s="18"/>
      <c r="V253" s="18"/>
      <c r="W253" s="1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62" t="s">
        <v>21</v>
      </c>
      <c r="B254" s="62" t="s">
        <v>39</v>
      </c>
      <c r="C254" s="62" t="s">
        <v>64</v>
      </c>
      <c r="D254" s="62" t="s">
        <v>25</v>
      </c>
      <c r="E254" s="62" t="s">
        <v>25</v>
      </c>
      <c r="F254" s="62" t="s">
        <v>25</v>
      </c>
      <c r="G254" s="62" t="s">
        <v>84</v>
      </c>
      <c r="H254" s="62" t="s">
        <v>25</v>
      </c>
      <c r="I254" s="75">
        <v>44440</v>
      </c>
      <c r="J254" s="76">
        <f ca="1">EFEITO!$J$254*EFEITO!$Y$254</f>
        <v>146609.81487630427</v>
      </c>
      <c r="K254" s="76">
        <f>EFEITO!$L$254*EFEITO!$Z$254</f>
        <v>0</v>
      </c>
      <c r="L254" s="76">
        <f>EFEITO!$N$254*EFEITO!$AA$254</f>
        <v>0</v>
      </c>
      <c r="M254" s="76">
        <f ca="1">$J$254-EFEITO!$K$254*EFEITO!$Y$254</f>
        <v>0</v>
      </c>
      <c r="N254" s="76">
        <f>$K$254-EFEITO!$M$254*EFEITO!$Z$254</f>
        <v>0</v>
      </c>
      <c r="O254" s="76">
        <f>$L$254-EFEITO!$O$254*EFEITO!$AA$254</f>
        <v>0</v>
      </c>
      <c r="P254" s="18"/>
      <c r="Q254" s="18"/>
      <c r="R254" s="18"/>
      <c r="S254" s="18"/>
      <c r="T254" s="18"/>
      <c r="U254" s="18"/>
      <c r="V254" s="18"/>
      <c r="W254" s="1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62" t="s">
        <v>21</v>
      </c>
      <c r="B255" s="62" t="s">
        <v>39</v>
      </c>
      <c r="C255" s="62" t="s">
        <v>64</v>
      </c>
      <c r="D255" s="62" t="s">
        <v>25</v>
      </c>
      <c r="E255" s="62" t="s">
        <v>25</v>
      </c>
      <c r="F255" s="62" t="s">
        <v>25</v>
      </c>
      <c r="G255" s="62" t="s">
        <v>85</v>
      </c>
      <c r="H255" s="62" t="s">
        <v>25</v>
      </c>
      <c r="I255" s="75">
        <v>44440</v>
      </c>
      <c r="J255" s="76">
        <f ca="1">EFEITO!$J$255*EFEITO!$Y$255</f>
        <v>201930.30456420674</v>
      </c>
      <c r="K255" s="76">
        <f>EFEITO!$L$255*EFEITO!$Z$255</f>
        <v>0</v>
      </c>
      <c r="L255" s="76">
        <f>EFEITO!$N$255*EFEITO!$AA$255</f>
        <v>0</v>
      </c>
      <c r="M255" s="76">
        <f ca="1">$J$255-EFEITO!$K$255*EFEITO!$Y$255</f>
        <v>201930.30456420674</v>
      </c>
      <c r="N255" s="76">
        <f>$K$255-EFEITO!$M$255*EFEITO!$Z$255</f>
        <v>0</v>
      </c>
      <c r="O255" s="76">
        <f>$L$255-EFEITO!$O$255*EFEITO!$AA$255</f>
        <v>0</v>
      </c>
      <c r="P255" s="18"/>
      <c r="Q255" s="18"/>
      <c r="R255" s="18"/>
      <c r="S255" s="18"/>
      <c r="T255" s="18"/>
      <c r="U255" s="18"/>
      <c r="V255" s="18"/>
      <c r="W255" s="1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62" t="s">
        <v>21</v>
      </c>
      <c r="B256" s="62" t="s">
        <v>39</v>
      </c>
      <c r="C256" s="62" t="s">
        <v>64</v>
      </c>
      <c r="D256" s="62" t="s">
        <v>25</v>
      </c>
      <c r="E256" s="62" t="s">
        <v>25</v>
      </c>
      <c r="F256" s="62" t="s">
        <v>25</v>
      </c>
      <c r="G256" s="62" t="s">
        <v>88</v>
      </c>
      <c r="H256" s="62" t="s">
        <v>25</v>
      </c>
      <c r="I256" s="75">
        <v>44440</v>
      </c>
      <c r="J256" s="76">
        <f ca="1">EFEITO!$J$256*EFEITO!$Y$256</f>
        <v>410170.93114604492</v>
      </c>
      <c r="K256" s="76">
        <f>EFEITO!$L$256*EFEITO!$Z$256</f>
        <v>0</v>
      </c>
      <c r="L256" s="76">
        <f>EFEITO!$N$256*EFEITO!$AA$256</f>
        <v>0</v>
      </c>
      <c r="M256" s="76">
        <f ca="1">$J$256-EFEITO!$K$256*EFEITO!$Y$256</f>
        <v>205085.46557302246</v>
      </c>
      <c r="N256" s="76">
        <f>$K$256-EFEITO!$M$256*EFEITO!$Z$256</f>
        <v>0</v>
      </c>
      <c r="O256" s="76">
        <f>$L$256-EFEITO!$O$256*EFEITO!$AA$256</f>
        <v>0</v>
      </c>
      <c r="P256" s="18"/>
      <c r="Q256" s="18"/>
      <c r="R256" s="18"/>
      <c r="S256" s="18"/>
      <c r="T256" s="18"/>
      <c r="U256" s="18"/>
      <c r="V256" s="18"/>
      <c r="W256" s="1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62" t="s">
        <v>21</v>
      </c>
      <c r="B257" s="62" t="s">
        <v>39</v>
      </c>
      <c r="C257" s="62" t="s">
        <v>64</v>
      </c>
      <c r="D257" s="62" t="s">
        <v>25</v>
      </c>
      <c r="E257" s="62" t="s">
        <v>25</v>
      </c>
      <c r="F257" s="62" t="s">
        <v>25</v>
      </c>
      <c r="G257" s="62" t="s">
        <v>91</v>
      </c>
      <c r="H257" s="62" t="s">
        <v>25</v>
      </c>
      <c r="I257" s="75">
        <v>44440</v>
      </c>
      <c r="J257" s="76">
        <f ca="1">EFEITO!$J$257*EFEITO!$Y$257</f>
        <v>471170.71064981574</v>
      </c>
      <c r="K257" s="76">
        <f>EFEITO!$L$257*EFEITO!$Z$257</f>
        <v>0</v>
      </c>
      <c r="L257" s="76">
        <f>EFEITO!$N$257*EFEITO!$AA$257</f>
        <v>0</v>
      </c>
      <c r="M257" s="76">
        <f ca="1">$J$257-EFEITO!$K$257*EFEITO!$Y$257</f>
        <v>471170.71064981574</v>
      </c>
      <c r="N257" s="76">
        <f>$K$257-EFEITO!$M$257*EFEITO!$Z$257</f>
        <v>0</v>
      </c>
      <c r="O257" s="76">
        <f>$L$257-EFEITO!$O$257*EFEITO!$AA$257</f>
        <v>0</v>
      </c>
      <c r="P257" s="18"/>
      <c r="Q257" s="18"/>
      <c r="R257" s="18"/>
      <c r="S257" s="18"/>
      <c r="T257" s="18"/>
      <c r="U257" s="18"/>
      <c r="V257" s="18"/>
      <c r="W257" s="1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62" t="s">
        <v>21</v>
      </c>
      <c r="B258" s="62" t="s">
        <v>39</v>
      </c>
      <c r="C258" s="62" t="s">
        <v>64</v>
      </c>
      <c r="D258" s="62" t="s">
        <v>25</v>
      </c>
      <c r="E258" s="62" t="s">
        <v>25</v>
      </c>
      <c r="F258" s="62" t="s">
        <v>25</v>
      </c>
      <c r="G258" s="62" t="s">
        <v>71</v>
      </c>
      <c r="H258" s="62" t="s">
        <v>25</v>
      </c>
      <c r="I258" s="75">
        <v>44470</v>
      </c>
      <c r="J258" s="76">
        <f ca="1">EFEITO!$J$258*EFEITO!$Y$258</f>
        <v>288592.06027301215</v>
      </c>
      <c r="K258" s="76">
        <f>EFEITO!$L$258*EFEITO!$Z$258</f>
        <v>0</v>
      </c>
      <c r="L258" s="76">
        <f>EFEITO!$N$258*EFEITO!$AA$258</f>
        <v>0</v>
      </c>
      <c r="M258" s="76">
        <f ca="1">$J$258-EFEITO!$K$258*EFEITO!$Y$258</f>
        <v>144296.03013650607</v>
      </c>
      <c r="N258" s="76">
        <f>$K$258-EFEITO!$M$258*EFEITO!$Z$258</f>
        <v>0</v>
      </c>
      <c r="O258" s="76">
        <f>$L$258-EFEITO!$O$258*EFEITO!$AA$258</f>
        <v>0</v>
      </c>
      <c r="P258" s="18"/>
      <c r="Q258" s="18"/>
      <c r="R258" s="18"/>
      <c r="S258" s="18"/>
      <c r="T258" s="18"/>
      <c r="U258" s="18"/>
      <c r="V258" s="18"/>
      <c r="W258" s="1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62" t="s">
        <v>21</v>
      </c>
      <c r="B259" s="62" t="s">
        <v>39</v>
      </c>
      <c r="C259" s="62" t="s">
        <v>64</v>
      </c>
      <c r="D259" s="62" t="s">
        <v>25</v>
      </c>
      <c r="E259" s="62" t="s">
        <v>25</v>
      </c>
      <c r="F259" s="62" t="s">
        <v>25</v>
      </c>
      <c r="G259" s="62" t="s">
        <v>84</v>
      </c>
      <c r="H259" s="62" t="s">
        <v>25</v>
      </c>
      <c r="I259" s="75">
        <v>44470</v>
      </c>
      <c r="J259" s="76">
        <f ca="1">EFEITO!$J$259*EFEITO!$Y$259</f>
        <v>146609.81487630427</v>
      </c>
      <c r="K259" s="76">
        <f>EFEITO!$L$259*EFEITO!$Z$259</f>
        <v>0</v>
      </c>
      <c r="L259" s="76">
        <f>EFEITO!$N$259*EFEITO!$AA$259</f>
        <v>0</v>
      </c>
      <c r="M259" s="76">
        <f ca="1">$J$259-EFEITO!$K$259*EFEITO!$Y$259</f>
        <v>0</v>
      </c>
      <c r="N259" s="76">
        <f>$K$259-EFEITO!$M$259*EFEITO!$Z$259</f>
        <v>0</v>
      </c>
      <c r="O259" s="76">
        <f>$L$259-EFEITO!$O$259*EFEITO!$AA$259</f>
        <v>0</v>
      </c>
      <c r="P259" s="18"/>
      <c r="Q259" s="18"/>
      <c r="R259" s="18"/>
      <c r="S259" s="18"/>
      <c r="T259" s="18"/>
      <c r="U259" s="18"/>
      <c r="V259" s="18"/>
      <c r="W259" s="1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62" t="s">
        <v>21</v>
      </c>
      <c r="B260" s="62" t="s">
        <v>39</v>
      </c>
      <c r="C260" s="62" t="s">
        <v>64</v>
      </c>
      <c r="D260" s="62" t="s">
        <v>25</v>
      </c>
      <c r="E260" s="62" t="s">
        <v>25</v>
      </c>
      <c r="F260" s="62" t="s">
        <v>25</v>
      </c>
      <c r="G260" s="62" t="s">
        <v>85</v>
      </c>
      <c r="H260" s="62" t="s">
        <v>25</v>
      </c>
      <c r="I260" s="75">
        <v>44470</v>
      </c>
      <c r="J260" s="76">
        <f ca="1">EFEITO!$J$260*EFEITO!$Y$260</f>
        <v>201930.30456420674</v>
      </c>
      <c r="K260" s="76">
        <f>EFEITO!$L$260*EFEITO!$Z$260</f>
        <v>0</v>
      </c>
      <c r="L260" s="76">
        <f>EFEITO!$N$260*EFEITO!$AA$260</f>
        <v>0</v>
      </c>
      <c r="M260" s="76">
        <f ca="1">$J$260-EFEITO!$K$260*EFEITO!$Y$260</f>
        <v>201930.30456420674</v>
      </c>
      <c r="N260" s="76">
        <f>$K$260-EFEITO!$M$260*EFEITO!$Z$260</f>
        <v>0</v>
      </c>
      <c r="O260" s="76">
        <f>$L$260-EFEITO!$O$260*EFEITO!$AA$260</f>
        <v>0</v>
      </c>
      <c r="P260" s="18"/>
      <c r="Q260" s="18"/>
      <c r="R260" s="18"/>
      <c r="S260" s="18"/>
      <c r="T260" s="18"/>
      <c r="U260" s="18"/>
      <c r="V260" s="18"/>
      <c r="W260" s="1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62" t="s">
        <v>21</v>
      </c>
      <c r="B261" s="62" t="s">
        <v>39</v>
      </c>
      <c r="C261" s="62" t="s">
        <v>64</v>
      </c>
      <c r="D261" s="62" t="s">
        <v>25</v>
      </c>
      <c r="E261" s="62" t="s">
        <v>25</v>
      </c>
      <c r="F261" s="62" t="s">
        <v>25</v>
      </c>
      <c r="G261" s="62" t="s">
        <v>88</v>
      </c>
      <c r="H261" s="62" t="s">
        <v>25</v>
      </c>
      <c r="I261" s="75">
        <v>44470</v>
      </c>
      <c r="J261" s="76">
        <f ca="1">EFEITO!$J$261*EFEITO!$Y$261</f>
        <v>410170.93114604492</v>
      </c>
      <c r="K261" s="76">
        <f>EFEITO!$L$261*EFEITO!$Z$261</f>
        <v>0</v>
      </c>
      <c r="L261" s="76">
        <f>EFEITO!$N$261*EFEITO!$AA$261</f>
        <v>0</v>
      </c>
      <c r="M261" s="76">
        <f ca="1">$J$261-EFEITO!$K$261*EFEITO!$Y$261</f>
        <v>205085.46557302246</v>
      </c>
      <c r="N261" s="76">
        <f>$K$261-EFEITO!$M$261*EFEITO!$Z$261</f>
        <v>0</v>
      </c>
      <c r="O261" s="76">
        <f>$L$261-EFEITO!$O$261*EFEITO!$AA$261</f>
        <v>0</v>
      </c>
      <c r="P261" s="18"/>
      <c r="Q261" s="18"/>
      <c r="R261" s="18"/>
      <c r="S261" s="18"/>
      <c r="T261" s="18"/>
      <c r="U261" s="18"/>
      <c r="V261" s="18"/>
      <c r="W261" s="1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62" t="s">
        <v>21</v>
      </c>
      <c r="B262" s="62" t="s">
        <v>39</v>
      </c>
      <c r="C262" s="62" t="s">
        <v>64</v>
      </c>
      <c r="D262" s="62" t="s">
        <v>25</v>
      </c>
      <c r="E262" s="62" t="s">
        <v>25</v>
      </c>
      <c r="F262" s="62" t="s">
        <v>25</v>
      </c>
      <c r="G262" s="62" t="s">
        <v>91</v>
      </c>
      <c r="H262" s="62" t="s">
        <v>25</v>
      </c>
      <c r="I262" s="75">
        <v>44470</v>
      </c>
      <c r="J262" s="76">
        <f ca="1">EFEITO!$J$262*EFEITO!$Y$262</f>
        <v>471170.71064981574</v>
      </c>
      <c r="K262" s="76">
        <f>EFEITO!$L$262*EFEITO!$Z$262</f>
        <v>0</v>
      </c>
      <c r="L262" s="76">
        <f>EFEITO!$N$262*EFEITO!$AA$262</f>
        <v>0</v>
      </c>
      <c r="M262" s="76">
        <f ca="1">$J$262-EFEITO!$K$262*EFEITO!$Y$262</f>
        <v>471170.71064981574</v>
      </c>
      <c r="N262" s="76">
        <f>$K$262-EFEITO!$M$262*EFEITO!$Z$262</f>
        <v>0</v>
      </c>
      <c r="O262" s="76">
        <f>$L$262-EFEITO!$O$262*EFEITO!$AA$262</f>
        <v>0</v>
      </c>
      <c r="P262" s="18"/>
      <c r="Q262" s="18"/>
      <c r="R262" s="18"/>
      <c r="S262" s="18"/>
      <c r="T262" s="18"/>
      <c r="U262" s="18"/>
      <c r="V262" s="18"/>
      <c r="W262" s="1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62" t="s">
        <v>21</v>
      </c>
      <c r="B263" s="62" t="s">
        <v>39</v>
      </c>
      <c r="C263" s="62" t="s">
        <v>64</v>
      </c>
      <c r="D263" s="62" t="s">
        <v>25</v>
      </c>
      <c r="E263" s="62" t="s">
        <v>25</v>
      </c>
      <c r="F263" s="62" t="s">
        <v>25</v>
      </c>
      <c r="G263" s="62" t="s">
        <v>71</v>
      </c>
      <c r="H263" s="62" t="s">
        <v>25</v>
      </c>
      <c r="I263" s="75">
        <v>44501</v>
      </c>
      <c r="J263" s="76">
        <f ca="1">EFEITO!$J$263*EFEITO!$Y$263</f>
        <v>288592.06027301215</v>
      </c>
      <c r="K263" s="76">
        <f>EFEITO!$L$263*EFEITO!$Z$263</f>
        <v>0</v>
      </c>
      <c r="L263" s="76">
        <f>EFEITO!$N$263*EFEITO!$AA$263</f>
        <v>0</v>
      </c>
      <c r="M263" s="76">
        <f ca="1">$J$263-EFEITO!$K$263*EFEITO!$Y$263</f>
        <v>144296.03013650607</v>
      </c>
      <c r="N263" s="76">
        <f>$K$263-EFEITO!$M$263*EFEITO!$Z$263</f>
        <v>0</v>
      </c>
      <c r="O263" s="76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62" t="s">
        <v>21</v>
      </c>
      <c r="B264" s="62" t="s">
        <v>39</v>
      </c>
      <c r="C264" s="62" t="s">
        <v>64</v>
      </c>
      <c r="D264" s="62" t="s">
        <v>25</v>
      </c>
      <c r="E264" s="62" t="s">
        <v>25</v>
      </c>
      <c r="F264" s="62" t="s">
        <v>25</v>
      </c>
      <c r="G264" s="62" t="s">
        <v>84</v>
      </c>
      <c r="H264" s="62" t="s">
        <v>25</v>
      </c>
      <c r="I264" s="75">
        <v>44501</v>
      </c>
      <c r="J264" s="76">
        <f ca="1">EFEITO!$J$264*EFEITO!$Y$264</f>
        <v>146609.81487630427</v>
      </c>
      <c r="K264" s="76">
        <f>EFEITO!$L$264*EFEITO!$Z$264</f>
        <v>0</v>
      </c>
      <c r="L264" s="76">
        <f>EFEITO!$N$264*EFEITO!$AA$264</f>
        <v>0</v>
      </c>
      <c r="M264" s="76">
        <f ca="1">$J$264-EFEITO!$K$264*EFEITO!$Y$264</f>
        <v>0</v>
      </c>
      <c r="N264" s="76">
        <f>$K$264-EFEITO!$M$264*EFEITO!$Z$264</f>
        <v>0</v>
      </c>
      <c r="O264" s="76">
        <f>$L$264-EFEITO!$O$264*EFEITO!$AA$264</f>
        <v>0</v>
      </c>
      <c r="P264" s="18"/>
      <c r="Q264" s="18"/>
      <c r="R264" s="18"/>
      <c r="S264" s="18"/>
      <c r="T264" s="18"/>
      <c r="U264" s="18"/>
      <c r="V264" s="18"/>
      <c r="W264" s="1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62" t="s">
        <v>21</v>
      </c>
      <c r="B265" s="62" t="s">
        <v>39</v>
      </c>
      <c r="C265" s="62" t="s">
        <v>64</v>
      </c>
      <c r="D265" s="62" t="s">
        <v>25</v>
      </c>
      <c r="E265" s="62" t="s">
        <v>25</v>
      </c>
      <c r="F265" s="62" t="s">
        <v>25</v>
      </c>
      <c r="G265" s="62" t="s">
        <v>85</v>
      </c>
      <c r="H265" s="62" t="s">
        <v>25</v>
      </c>
      <c r="I265" s="75">
        <v>44501</v>
      </c>
      <c r="J265" s="76">
        <f ca="1">EFEITO!$J$265*EFEITO!$Y$265</f>
        <v>201930.30456420674</v>
      </c>
      <c r="K265" s="76">
        <f>EFEITO!$L$265*EFEITO!$Z$265</f>
        <v>0</v>
      </c>
      <c r="L265" s="76">
        <f>EFEITO!$N$265*EFEITO!$AA$265</f>
        <v>0</v>
      </c>
      <c r="M265" s="76">
        <f ca="1">$J$265-EFEITO!$K$265*EFEITO!$Y$265</f>
        <v>201930.30456420674</v>
      </c>
      <c r="N265" s="76">
        <f>$K$265-EFEITO!$M$265*EFEITO!$Z$265</f>
        <v>0</v>
      </c>
      <c r="O265" s="76">
        <f>$L$265-EFEITO!$O$265*EFEITO!$AA$265</f>
        <v>0</v>
      </c>
      <c r="P265" s="18"/>
      <c r="Q265" s="18"/>
      <c r="R265" s="18"/>
      <c r="S265" s="18"/>
      <c r="T265" s="18"/>
      <c r="U265" s="18"/>
      <c r="V265" s="18"/>
      <c r="W265" s="1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62" t="s">
        <v>21</v>
      </c>
      <c r="B266" s="62" t="s">
        <v>39</v>
      </c>
      <c r="C266" s="62" t="s">
        <v>64</v>
      </c>
      <c r="D266" s="62" t="s">
        <v>25</v>
      </c>
      <c r="E266" s="62" t="s">
        <v>25</v>
      </c>
      <c r="F266" s="62" t="s">
        <v>25</v>
      </c>
      <c r="G266" s="62" t="s">
        <v>88</v>
      </c>
      <c r="H266" s="62" t="s">
        <v>25</v>
      </c>
      <c r="I266" s="75">
        <v>44501</v>
      </c>
      <c r="J266" s="76">
        <f ca="1">EFEITO!$J$266*EFEITO!$Y$266</f>
        <v>410170.93114604492</v>
      </c>
      <c r="K266" s="76">
        <f>EFEITO!$L$266*EFEITO!$Z$266</f>
        <v>0</v>
      </c>
      <c r="L266" s="76">
        <f>EFEITO!$N$266*EFEITO!$AA$266</f>
        <v>0</v>
      </c>
      <c r="M266" s="76">
        <f ca="1">$J$266-EFEITO!$K$266*EFEITO!$Y$266</f>
        <v>205085.46557302246</v>
      </c>
      <c r="N266" s="76">
        <f>$K$266-EFEITO!$M$266*EFEITO!$Z$266</f>
        <v>0</v>
      </c>
      <c r="O266" s="76">
        <f>$L$266-EFEITO!$O$266*EFEITO!$AA$266</f>
        <v>0</v>
      </c>
      <c r="P266" s="18"/>
      <c r="Q266" s="18"/>
      <c r="R266" s="18"/>
      <c r="S266" s="18"/>
      <c r="T266" s="18"/>
      <c r="U266" s="18"/>
      <c r="V266" s="18"/>
      <c r="W266" s="1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62" t="s">
        <v>21</v>
      </c>
      <c r="B267" s="62" t="s">
        <v>39</v>
      </c>
      <c r="C267" s="62" t="s">
        <v>64</v>
      </c>
      <c r="D267" s="62" t="s">
        <v>25</v>
      </c>
      <c r="E267" s="62" t="s">
        <v>25</v>
      </c>
      <c r="F267" s="62" t="s">
        <v>25</v>
      </c>
      <c r="G267" s="62" t="s">
        <v>91</v>
      </c>
      <c r="H267" s="62" t="s">
        <v>25</v>
      </c>
      <c r="I267" s="75">
        <v>44501</v>
      </c>
      <c r="J267" s="76">
        <f ca="1">EFEITO!$J$267*EFEITO!$Y$267</f>
        <v>471170.71064981574</v>
      </c>
      <c r="K267" s="76">
        <f>EFEITO!$L$267*EFEITO!$Z$267</f>
        <v>0</v>
      </c>
      <c r="L267" s="76">
        <f>EFEITO!$N$267*EFEITO!$AA$267</f>
        <v>0</v>
      </c>
      <c r="M267" s="76">
        <f ca="1">$J$267-EFEITO!$K$267*EFEITO!$Y$267</f>
        <v>471170.71064981574</v>
      </c>
      <c r="N267" s="76">
        <f>$K$267-EFEITO!$M$267*EFEITO!$Z$267</f>
        <v>0</v>
      </c>
      <c r="O267" s="76">
        <f>$L$267-EFEITO!$O$267*EFEITO!$AA$267</f>
        <v>0</v>
      </c>
      <c r="P267" s="18"/>
      <c r="Q267" s="18"/>
      <c r="R267" s="18"/>
      <c r="S267" s="18"/>
      <c r="T267" s="18"/>
      <c r="U267" s="18"/>
      <c r="V267" s="18"/>
      <c r="W267" s="1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62" t="s">
        <v>21</v>
      </c>
      <c r="B268" s="62" t="s">
        <v>39</v>
      </c>
      <c r="C268" s="62" t="s">
        <v>64</v>
      </c>
      <c r="D268" s="62" t="s">
        <v>25</v>
      </c>
      <c r="E268" s="62" t="s">
        <v>25</v>
      </c>
      <c r="F268" s="62" t="s">
        <v>25</v>
      </c>
      <c r="G268" s="62" t="s">
        <v>71</v>
      </c>
      <c r="H268" s="62" t="s">
        <v>25</v>
      </c>
      <c r="I268" s="75">
        <v>44531</v>
      </c>
      <c r="J268" s="76">
        <f ca="1">EFEITO!$J$268*EFEITO!$Y$268</f>
        <v>288592.06027301215</v>
      </c>
      <c r="K268" s="76">
        <f>EFEITO!$L$268*EFEITO!$Z$268</f>
        <v>0</v>
      </c>
      <c r="L268" s="76">
        <f>EFEITO!$N$268*EFEITO!$AA$268</f>
        <v>0</v>
      </c>
      <c r="M268" s="76">
        <f ca="1">$J$268-EFEITO!$K$268*EFEITO!$Y$268</f>
        <v>144296.03013650607</v>
      </c>
      <c r="N268" s="76">
        <f>$K$268-EFEITO!$M$268*EFEITO!$Z$268</f>
        <v>0</v>
      </c>
      <c r="O268" s="76">
        <f>$L$268-EFEITO!$O$268*EFEITO!$AA$268</f>
        <v>0</v>
      </c>
      <c r="P268" s="18"/>
      <c r="Q268" s="18"/>
      <c r="R268" s="18"/>
      <c r="S268" s="18"/>
      <c r="T268" s="18"/>
      <c r="U268" s="18"/>
      <c r="V268" s="18"/>
      <c r="W268" s="1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62" t="s">
        <v>21</v>
      </c>
      <c r="B269" s="62" t="s">
        <v>39</v>
      </c>
      <c r="C269" s="62" t="s">
        <v>64</v>
      </c>
      <c r="D269" s="62" t="s">
        <v>25</v>
      </c>
      <c r="E269" s="62" t="s">
        <v>25</v>
      </c>
      <c r="F269" s="62" t="s">
        <v>25</v>
      </c>
      <c r="G269" s="62" t="s">
        <v>84</v>
      </c>
      <c r="H269" s="62" t="s">
        <v>25</v>
      </c>
      <c r="I269" s="75">
        <v>44531</v>
      </c>
      <c r="J269" s="76">
        <f ca="1">EFEITO!$J$269*EFEITO!$Y$269</f>
        <v>146609.81487630427</v>
      </c>
      <c r="K269" s="76">
        <f>EFEITO!$L$269*EFEITO!$Z$269</f>
        <v>0</v>
      </c>
      <c r="L269" s="76">
        <f>EFEITO!$N$269*EFEITO!$AA$269</f>
        <v>0</v>
      </c>
      <c r="M269" s="76">
        <f ca="1">$J$269-EFEITO!$K$269*EFEITO!$Y$269</f>
        <v>0</v>
      </c>
      <c r="N269" s="76">
        <f>$K$269-EFEITO!$M$269*EFEITO!$Z$269</f>
        <v>0</v>
      </c>
      <c r="O269" s="76">
        <f>$L$269-EFEITO!$O$269*EFEITO!$AA$269</f>
        <v>0</v>
      </c>
      <c r="P269" s="18"/>
      <c r="Q269" s="18"/>
      <c r="R269" s="18"/>
      <c r="S269" s="18"/>
      <c r="T269" s="18"/>
      <c r="U269" s="18"/>
      <c r="V269" s="18"/>
      <c r="W269" s="1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62" t="s">
        <v>21</v>
      </c>
      <c r="B270" s="62" t="s">
        <v>39</v>
      </c>
      <c r="C270" s="62" t="s">
        <v>64</v>
      </c>
      <c r="D270" s="62" t="s">
        <v>25</v>
      </c>
      <c r="E270" s="62" t="s">
        <v>25</v>
      </c>
      <c r="F270" s="62" t="s">
        <v>25</v>
      </c>
      <c r="G270" s="62" t="s">
        <v>85</v>
      </c>
      <c r="H270" s="62" t="s">
        <v>25</v>
      </c>
      <c r="I270" s="75">
        <v>44531</v>
      </c>
      <c r="J270" s="76">
        <f ca="1">EFEITO!$J$270*EFEITO!$Y$270</f>
        <v>201930.30456420674</v>
      </c>
      <c r="K270" s="76">
        <f>EFEITO!$L$270*EFEITO!$Z$270</f>
        <v>0</v>
      </c>
      <c r="L270" s="76">
        <f>EFEITO!$N$270*EFEITO!$AA$270</f>
        <v>0</v>
      </c>
      <c r="M270" s="76">
        <f ca="1">$J$270-EFEITO!$K$270*EFEITO!$Y$270</f>
        <v>201930.30456420674</v>
      </c>
      <c r="N270" s="76">
        <f>$K$270-EFEITO!$M$270*EFEITO!$Z$270</f>
        <v>0</v>
      </c>
      <c r="O270" s="76">
        <f>$L$270-EFEITO!$O$270*EFEITO!$AA$270</f>
        <v>0</v>
      </c>
      <c r="P270" s="18"/>
      <c r="Q270" s="18"/>
      <c r="R270" s="18"/>
      <c r="S270" s="18"/>
      <c r="T270" s="18"/>
      <c r="U270" s="18"/>
      <c r="V270" s="18"/>
      <c r="W270" s="1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62" t="s">
        <v>21</v>
      </c>
      <c r="B271" s="62" t="s">
        <v>39</v>
      </c>
      <c r="C271" s="62" t="s">
        <v>64</v>
      </c>
      <c r="D271" s="62" t="s">
        <v>25</v>
      </c>
      <c r="E271" s="62" t="s">
        <v>25</v>
      </c>
      <c r="F271" s="62" t="s">
        <v>25</v>
      </c>
      <c r="G271" s="62" t="s">
        <v>88</v>
      </c>
      <c r="H271" s="62" t="s">
        <v>25</v>
      </c>
      <c r="I271" s="75">
        <v>44531</v>
      </c>
      <c r="J271" s="76">
        <f ca="1">EFEITO!$J$271*EFEITO!$Y$271</f>
        <v>410170.93114604492</v>
      </c>
      <c r="K271" s="76">
        <f>EFEITO!$L$271*EFEITO!$Z$271</f>
        <v>0</v>
      </c>
      <c r="L271" s="76">
        <f>EFEITO!$N$271*EFEITO!$AA$271</f>
        <v>0</v>
      </c>
      <c r="M271" s="76">
        <f ca="1">$J$271-EFEITO!$K$271*EFEITO!$Y$271</f>
        <v>205085.46557302246</v>
      </c>
      <c r="N271" s="76">
        <f>$K$271-EFEITO!$M$271*EFEITO!$Z$271</f>
        <v>0</v>
      </c>
      <c r="O271" s="76">
        <f>$L$271-EFEITO!$O$271*EFEITO!$AA$271</f>
        <v>0</v>
      </c>
      <c r="P271" s="18"/>
      <c r="Q271" s="18"/>
      <c r="R271" s="18"/>
      <c r="S271" s="18"/>
      <c r="T271" s="18"/>
      <c r="U271" s="18"/>
      <c r="V271" s="18"/>
      <c r="W271" s="1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62" t="s">
        <v>21</v>
      </c>
      <c r="B272" s="62" t="s">
        <v>39</v>
      </c>
      <c r="C272" s="62" t="s">
        <v>64</v>
      </c>
      <c r="D272" s="62" t="s">
        <v>25</v>
      </c>
      <c r="E272" s="62" t="s">
        <v>25</v>
      </c>
      <c r="F272" s="62" t="s">
        <v>25</v>
      </c>
      <c r="G272" s="62" t="s">
        <v>91</v>
      </c>
      <c r="H272" s="62" t="s">
        <v>25</v>
      </c>
      <c r="I272" s="75">
        <v>44531</v>
      </c>
      <c r="J272" s="76">
        <f ca="1">EFEITO!$J$272*EFEITO!$Y$272</f>
        <v>471170.71064981574</v>
      </c>
      <c r="K272" s="76">
        <f>EFEITO!$L$272*EFEITO!$Z$272</f>
        <v>0</v>
      </c>
      <c r="L272" s="76">
        <f>EFEITO!$N$272*EFEITO!$AA$272</f>
        <v>0</v>
      </c>
      <c r="M272" s="76">
        <f ca="1">$J$272-EFEITO!$K$272*EFEITO!$Y$272</f>
        <v>471170.71064981574</v>
      </c>
      <c r="N272" s="76">
        <f>$K$272-EFEITO!$M$272*EFEITO!$Z$272</f>
        <v>0</v>
      </c>
      <c r="O272" s="76">
        <f>$L$272-EFEITO!$O$272*EFEITO!$AA$272</f>
        <v>0</v>
      </c>
      <c r="P272" s="18"/>
      <c r="Q272" s="18"/>
      <c r="R272" s="18"/>
      <c r="S272" s="18"/>
      <c r="T272" s="18"/>
      <c r="U272" s="18"/>
      <c r="V272" s="18"/>
      <c r="W272" s="1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62" t="s">
        <v>21</v>
      </c>
      <c r="B273" s="62" t="s">
        <v>39</v>
      </c>
      <c r="C273" s="62" t="s">
        <v>64</v>
      </c>
      <c r="D273" s="62" t="s">
        <v>25</v>
      </c>
      <c r="E273" s="62" t="s">
        <v>25</v>
      </c>
      <c r="F273" s="62" t="s">
        <v>25</v>
      </c>
      <c r="G273" s="62" t="s">
        <v>71</v>
      </c>
      <c r="H273" s="62" t="s">
        <v>25</v>
      </c>
      <c r="I273" s="75">
        <v>44562</v>
      </c>
      <c r="J273" s="76">
        <f ca="1">EFEITO!$J$273*EFEITO!$Y$273</f>
        <v>288592.06027301215</v>
      </c>
      <c r="K273" s="76">
        <f>EFEITO!$L$273*EFEITO!$Z$273</f>
        <v>0</v>
      </c>
      <c r="L273" s="76">
        <f>EFEITO!$N$273*EFEITO!$AA$273</f>
        <v>0</v>
      </c>
      <c r="M273" s="76">
        <f ca="1">$J$273-EFEITO!$K$273*EFEITO!$Y$273</f>
        <v>144296.03013650607</v>
      </c>
      <c r="N273" s="76">
        <f>$K$273-EFEITO!$M$273*EFEITO!$Z$273</f>
        <v>0</v>
      </c>
      <c r="O273" s="76">
        <f>$L$273-EFEITO!$O$273*EFEITO!$AA$273</f>
        <v>0</v>
      </c>
      <c r="P273" s="18"/>
      <c r="Q273" s="18"/>
      <c r="R273" s="18"/>
      <c r="S273" s="18"/>
      <c r="T273" s="18"/>
      <c r="U273" s="18"/>
      <c r="V273" s="18"/>
      <c r="W273" s="1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62" t="s">
        <v>21</v>
      </c>
      <c r="B274" s="62" t="s">
        <v>39</v>
      </c>
      <c r="C274" s="62" t="s">
        <v>64</v>
      </c>
      <c r="D274" s="62" t="s">
        <v>25</v>
      </c>
      <c r="E274" s="62" t="s">
        <v>25</v>
      </c>
      <c r="F274" s="62" t="s">
        <v>25</v>
      </c>
      <c r="G274" s="62" t="s">
        <v>84</v>
      </c>
      <c r="H274" s="62" t="s">
        <v>25</v>
      </c>
      <c r="I274" s="75">
        <v>44562</v>
      </c>
      <c r="J274" s="76">
        <f ca="1">EFEITO!$J$274*EFEITO!$Y$274</f>
        <v>146609.81487630427</v>
      </c>
      <c r="K274" s="76">
        <f>EFEITO!$L$274*EFEITO!$Z$274</f>
        <v>0</v>
      </c>
      <c r="L274" s="76">
        <f>EFEITO!$N$274*EFEITO!$AA$274</f>
        <v>0</v>
      </c>
      <c r="M274" s="76">
        <f ca="1">$J$274-EFEITO!$K$274*EFEITO!$Y$274</f>
        <v>0</v>
      </c>
      <c r="N274" s="76">
        <f>$K$274-EFEITO!$M$274*EFEITO!$Z$274</f>
        <v>0</v>
      </c>
      <c r="O274" s="76">
        <f>$L$274-EFEITO!$O$274*EFEITO!$AA$274</f>
        <v>0</v>
      </c>
      <c r="P274" s="18"/>
      <c r="Q274" s="18"/>
      <c r="R274" s="18"/>
      <c r="S274" s="18"/>
      <c r="T274" s="18"/>
      <c r="U274" s="18"/>
      <c r="V274" s="18"/>
      <c r="W274" s="1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62" t="s">
        <v>21</v>
      </c>
      <c r="B275" s="62" t="s">
        <v>39</v>
      </c>
      <c r="C275" s="62" t="s">
        <v>64</v>
      </c>
      <c r="D275" s="62" t="s">
        <v>25</v>
      </c>
      <c r="E275" s="62" t="s">
        <v>25</v>
      </c>
      <c r="F275" s="62" t="s">
        <v>25</v>
      </c>
      <c r="G275" s="62" t="s">
        <v>85</v>
      </c>
      <c r="H275" s="62" t="s">
        <v>25</v>
      </c>
      <c r="I275" s="75">
        <v>44562</v>
      </c>
      <c r="J275" s="76">
        <f ca="1">EFEITO!$J$275*EFEITO!$Y$275</f>
        <v>201930.30456420674</v>
      </c>
      <c r="K275" s="76">
        <f>EFEITO!$L$275*EFEITO!$Z$275</f>
        <v>0</v>
      </c>
      <c r="L275" s="76">
        <f>EFEITO!$N$275*EFEITO!$AA$275</f>
        <v>0</v>
      </c>
      <c r="M275" s="76">
        <f ca="1">$J$275-EFEITO!$K$275*EFEITO!$Y$275</f>
        <v>201930.30456420674</v>
      </c>
      <c r="N275" s="76">
        <f>$K$275-EFEITO!$M$275*EFEITO!$Z$275</f>
        <v>0</v>
      </c>
      <c r="O275" s="76">
        <f>$L$275-EFEITO!$O$275*EFEITO!$AA$275</f>
        <v>0</v>
      </c>
      <c r="P275" s="18"/>
      <c r="Q275" s="18"/>
      <c r="R275" s="18"/>
      <c r="S275" s="18"/>
      <c r="T275" s="18"/>
      <c r="U275" s="18"/>
      <c r="V275" s="18"/>
      <c r="W275" s="1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62" t="s">
        <v>21</v>
      </c>
      <c r="B276" s="62" t="s">
        <v>39</v>
      </c>
      <c r="C276" s="62" t="s">
        <v>64</v>
      </c>
      <c r="D276" s="62" t="s">
        <v>25</v>
      </c>
      <c r="E276" s="62" t="s">
        <v>25</v>
      </c>
      <c r="F276" s="62" t="s">
        <v>25</v>
      </c>
      <c r="G276" s="62" t="s">
        <v>88</v>
      </c>
      <c r="H276" s="62" t="s">
        <v>25</v>
      </c>
      <c r="I276" s="75">
        <v>44562</v>
      </c>
      <c r="J276" s="76">
        <f ca="1">EFEITO!$J$276*EFEITO!$Y$276</f>
        <v>410170.93114604492</v>
      </c>
      <c r="K276" s="76">
        <f>EFEITO!$L$276*EFEITO!$Z$276</f>
        <v>0</v>
      </c>
      <c r="L276" s="76">
        <f>EFEITO!$N$276*EFEITO!$AA$276</f>
        <v>0</v>
      </c>
      <c r="M276" s="76">
        <f ca="1">$J$276-EFEITO!$K$276*EFEITO!$Y$276</f>
        <v>205085.46557302246</v>
      </c>
      <c r="N276" s="76">
        <f>$K$276-EFEITO!$M$276*EFEITO!$Z$276</f>
        <v>0</v>
      </c>
      <c r="O276" s="76">
        <f>$L$276-EFEITO!$O$276*EFEITO!$AA$276</f>
        <v>0</v>
      </c>
      <c r="P276" s="18"/>
      <c r="Q276" s="18"/>
      <c r="R276" s="18"/>
      <c r="S276" s="18"/>
      <c r="T276" s="18"/>
      <c r="U276" s="18"/>
      <c r="V276" s="18"/>
      <c r="W276" s="1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62" t="s">
        <v>21</v>
      </c>
      <c r="B277" s="62" t="s">
        <v>39</v>
      </c>
      <c r="C277" s="62" t="s">
        <v>64</v>
      </c>
      <c r="D277" s="62" t="s">
        <v>25</v>
      </c>
      <c r="E277" s="62" t="s">
        <v>25</v>
      </c>
      <c r="F277" s="62" t="s">
        <v>25</v>
      </c>
      <c r="G277" s="62" t="s">
        <v>91</v>
      </c>
      <c r="H277" s="62" t="s">
        <v>25</v>
      </c>
      <c r="I277" s="75">
        <v>44562</v>
      </c>
      <c r="J277" s="76">
        <f ca="1">EFEITO!$J$277*EFEITO!$Y$277</f>
        <v>471170.71064981574</v>
      </c>
      <c r="K277" s="76">
        <f>EFEITO!$L$277*EFEITO!$Z$277</f>
        <v>0</v>
      </c>
      <c r="L277" s="76">
        <f>EFEITO!$N$277*EFEITO!$AA$277</f>
        <v>0</v>
      </c>
      <c r="M277" s="76">
        <f ca="1">$J$277-EFEITO!$K$277*EFEITO!$Y$277</f>
        <v>471170.71064981574</v>
      </c>
      <c r="N277" s="76">
        <f>$K$277-EFEITO!$M$277*EFEITO!$Z$277</f>
        <v>0</v>
      </c>
      <c r="O277" s="76">
        <f>$L$277-EFEITO!$O$277*EFEITO!$AA$277</f>
        <v>0</v>
      </c>
      <c r="P277" s="18"/>
      <c r="Q277" s="18"/>
      <c r="R277" s="18"/>
      <c r="S277" s="18"/>
      <c r="T277" s="18"/>
      <c r="U277" s="18"/>
      <c r="V277" s="18"/>
      <c r="W277" s="1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62" t="s">
        <v>21</v>
      </c>
      <c r="B278" s="62" t="s">
        <v>39</v>
      </c>
      <c r="C278" s="62" t="s">
        <v>64</v>
      </c>
      <c r="D278" s="62" t="s">
        <v>25</v>
      </c>
      <c r="E278" s="62" t="s">
        <v>25</v>
      </c>
      <c r="F278" s="62" t="s">
        <v>25</v>
      </c>
      <c r="G278" s="62" t="s">
        <v>71</v>
      </c>
      <c r="H278" s="62" t="s">
        <v>25</v>
      </c>
      <c r="I278" s="75">
        <v>44593</v>
      </c>
      <c r="J278" s="76">
        <f ca="1">EFEITO!$J$278*EFEITO!$Y$278</f>
        <v>288592.06027301215</v>
      </c>
      <c r="K278" s="76">
        <f>EFEITO!$L$278*EFEITO!$Z$278</f>
        <v>0</v>
      </c>
      <c r="L278" s="76">
        <f>EFEITO!$N$278*EFEITO!$AA$278</f>
        <v>0</v>
      </c>
      <c r="M278" s="76">
        <f ca="1">$J$278-EFEITO!$K$278*EFEITO!$Y$278</f>
        <v>144296.03013650607</v>
      </c>
      <c r="N278" s="76">
        <f>$K$278-EFEITO!$M$278*EFEITO!$Z$278</f>
        <v>0</v>
      </c>
      <c r="O278" s="76">
        <f>$L$278-EFEITO!$O$278*EFEITO!$AA$278</f>
        <v>0</v>
      </c>
      <c r="P278" s="18"/>
      <c r="Q278" s="18"/>
      <c r="R278" s="18"/>
      <c r="S278" s="18"/>
      <c r="T278" s="18"/>
      <c r="U278" s="18"/>
      <c r="V278" s="18"/>
      <c r="W278" s="1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62" t="s">
        <v>21</v>
      </c>
      <c r="B279" s="62" t="s">
        <v>39</v>
      </c>
      <c r="C279" s="62" t="s">
        <v>64</v>
      </c>
      <c r="D279" s="62" t="s">
        <v>25</v>
      </c>
      <c r="E279" s="62" t="s">
        <v>25</v>
      </c>
      <c r="F279" s="62" t="s">
        <v>25</v>
      </c>
      <c r="G279" s="62" t="s">
        <v>84</v>
      </c>
      <c r="H279" s="62" t="s">
        <v>25</v>
      </c>
      <c r="I279" s="75">
        <v>44593</v>
      </c>
      <c r="J279" s="76">
        <f ca="1">EFEITO!$J$279*EFEITO!$Y$279</f>
        <v>146609.81487630427</v>
      </c>
      <c r="K279" s="76">
        <f>EFEITO!$L$279*EFEITO!$Z$279</f>
        <v>0</v>
      </c>
      <c r="L279" s="76">
        <f>EFEITO!$N$279*EFEITO!$AA$279</f>
        <v>0</v>
      </c>
      <c r="M279" s="76">
        <f ca="1">$J$279-EFEITO!$K$279*EFEITO!$Y$279</f>
        <v>0</v>
      </c>
      <c r="N279" s="76">
        <f>$K$279-EFEITO!$M$279*EFEITO!$Z$279</f>
        <v>0</v>
      </c>
      <c r="O279" s="76">
        <f>$L$279-EFEITO!$O$279*EFEITO!$AA$279</f>
        <v>0</v>
      </c>
      <c r="P279" s="18"/>
      <c r="Q279" s="18"/>
      <c r="R279" s="18"/>
      <c r="S279" s="18"/>
      <c r="T279" s="18"/>
      <c r="U279" s="18"/>
      <c r="V279" s="18"/>
      <c r="W279" s="1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62" t="s">
        <v>21</v>
      </c>
      <c r="B280" s="62" t="s">
        <v>39</v>
      </c>
      <c r="C280" s="62" t="s">
        <v>64</v>
      </c>
      <c r="D280" s="62" t="s">
        <v>25</v>
      </c>
      <c r="E280" s="62" t="s">
        <v>25</v>
      </c>
      <c r="F280" s="62" t="s">
        <v>25</v>
      </c>
      <c r="G280" s="62" t="s">
        <v>85</v>
      </c>
      <c r="H280" s="62" t="s">
        <v>25</v>
      </c>
      <c r="I280" s="75">
        <v>44593</v>
      </c>
      <c r="J280" s="76">
        <f ca="1">EFEITO!$J$280*EFEITO!$Y$280</f>
        <v>201930.30456420674</v>
      </c>
      <c r="K280" s="76">
        <f>EFEITO!$L$280*EFEITO!$Z$280</f>
        <v>0</v>
      </c>
      <c r="L280" s="76">
        <f>EFEITO!$N$280*EFEITO!$AA$280</f>
        <v>0</v>
      </c>
      <c r="M280" s="76">
        <f ca="1">$J$280-EFEITO!$K$280*EFEITO!$Y$280</f>
        <v>201930.30456420674</v>
      </c>
      <c r="N280" s="76">
        <f>$K$280-EFEITO!$M$280*EFEITO!$Z$280</f>
        <v>0</v>
      </c>
      <c r="O280" s="76">
        <f>$L$280-EFEITO!$O$280*EFEITO!$AA$280</f>
        <v>0</v>
      </c>
      <c r="P280" s="18"/>
      <c r="Q280" s="18"/>
      <c r="R280" s="18"/>
      <c r="S280" s="18"/>
      <c r="T280" s="18"/>
      <c r="U280" s="18"/>
      <c r="V280" s="18"/>
      <c r="W280" s="1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62" t="s">
        <v>21</v>
      </c>
      <c r="B281" s="62" t="s">
        <v>39</v>
      </c>
      <c r="C281" s="62" t="s">
        <v>64</v>
      </c>
      <c r="D281" s="62" t="s">
        <v>25</v>
      </c>
      <c r="E281" s="62" t="s">
        <v>25</v>
      </c>
      <c r="F281" s="62" t="s">
        <v>25</v>
      </c>
      <c r="G281" s="62" t="s">
        <v>88</v>
      </c>
      <c r="H281" s="62" t="s">
        <v>25</v>
      </c>
      <c r="I281" s="75">
        <v>44593</v>
      </c>
      <c r="J281" s="76">
        <f ca="1">EFEITO!$J$281*EFEITO!$Y$281</f>
        <v>410170.93114604492</v>
      </c>
      <c r="K281" s="76">
        <f>EFEITO!$L$281*EFEITO!$Z$281</f>
        <v>0</v>
      </c>
      <c r="L281" s="76">
        <f>EFEITO!$N$281*EFEITO!$AA$281</f>
        <v>0</v>
      </c>
      <c r="M281" s="76">
        <f ca="1">$J$281-EFEITO!$K$281*EFEITO!$Y$281</f>
        <v>205085.46557302246</v>
      </c>
      <c r="N281" s="76">
        <f>$K$281-EFEITO!$M$281*EFEITO!$Z$281</f>
        <v>0</v>
      </c>
      <c r="O281" s="76">
        <f>$L$281-EFEITO!$O$281*EFEITO!$AA$281</f>
        <v>0</v>
      </c>
      <c r="P281" s="18"/>
      <c r="Q281" s="18"/>
      <c r="R281" s="18"/>
      <c r="S281" s="18"/>
      <c r="T281" s="18"/>
      <c r="U281" s="18"/>
      <c r="V281" s="18"/>
      <c r="W281" s="1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62" t="s">
        <v>21</v>
      </c>
      <c r="B282" s="62" t="s">
        <v>39</v>
      </c>
      <c r="C282" s="62" t="s">
        <v>64</v>
      </c>
      <c r="D282" s="62" t="s">
        <v>25</v>
      </c>
      <c r="E282" s="62" t="s">
        <v>25</v>
      </c>
      <c r="F282" s="62" t="s">
        <v>25</v>
      </c>
      <c r="G282" s="62" t="s">
        <v>91</v>
      </c>
      <c r="H282" s="62" t="s">
        <v>25</v>
      </c>
      <c r="I282" s="75">
        <v>44593</v>
      </c>
      <c r="J282" s="76">
        <f ca="1">EFEITO!$J$282*EFEITO!$Y$282</f>
        <v>471170.71064981574</v>
      </c>
      <c r="K282" s="76">
        <f>EFEITO!$L$282*EFEITO!$Z$282</f>
        <v>0</v>
      </c>
      <c r="L282" s="76">
        <f>EFEITO!$N$282*EFEITO!$AA$282</f>
        <v>0</v>
      </c>
      <c r="M282" s="76">
        <f ca="1">$J$282-EFEITO!$K$282*EFEITO!$Y$282</f>
        <v>471170.71064981574</v>
      </c>
      <c r="N282" s="76">
        <f>$K$282-EFEITO!$M$282*EFEITO!$Z$282</f>
        <v>0</v>
      </c>
      <c r="O282" s="76">
        <f>$L$282-EFEITO!$O$282*EFEITO!$AA$282</f>
        <v>0</v>
      </c>
      <c r="P282" s="18"/>
      <c r="Q282" s="18"/>
      <c r="R282" s="18"/>
      <c r="S282" s="18"/>
      <c r="T282" s="18"/>
      <c r="U282" s="18"/>
      <c r="V282" s="18"/>
      <c r="W282" s="1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62" t="s">
        <v>21</v>
      </c>
      <c r="B283" s="62" t="s">
        <v>39</v>
      </c>
      <c r="C283" s="62" t="s">
        <v>64</v>
      </c>
      <c r="D283" s="62" t="s">
        <v>25</v>
      </c>
      <c r="E283" s="62" t="s">
        <v>25</v>
      </c>
      <c r="F283" s="62" t="s">
        <v>25</v>
      </c>
      <c r="G283" s="62" t="s">
        <v>71</v>
      </c>
      <c r="H283" s="62" t="s">
        <v>25</v>
      </c>
      <c r="I283" s="75">
        <v>44621</v>
      </c>
      <c r="J283" s="76">
        <f ca="1">EFEITO!$J$283*EFEITO!$Y$283</f>
        <v>288592.06027301215</v>
      </c>
      <c r="K283" s="76">
        <f>EFEITO!$L$283*EFEITO!$Z$283</f>
        <v>0</v>
      </c>
      <c r="L283" s="76">
        <f>EFEITO!$N$283*EFEITO!$AA$283</f>
        <v>0</v>
      </c>
      <c r="M283" s="76">
        <f ca="1">$J$283-EFEITO!$K$283*EFEITO!$Y$283</f>
        <v>144296.03013650607</v>
      </c>
      <c r="N283" s="76">
        <f>$K$283-EFEITO!$M$283*EFEITO!$Z$283</f>
        <v>0</v>
      </c>
      <c r="O283" s="76">
        <f>$L$283-EFEITO!$O$283*EFEITO!$AA$283</f>
        <v>0</v>
      </c>
      <c r="P283" s="18"/>
      <c r="Q283" s="18"/>
      <c r="R283" s="18"/>
      <c r="S283" s="18"/>
      <c r="T283" s="18"/>
      <c r="U283" s="18"/>
      <c r="V283" s="18"/>
      <c r="W283" s="1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62" t="s">
        <v>21</v>
      </c>
      <c r="B284" s="62" t="s">
        <v>39</v>
      </c>
      <c r="C284" s="62" t="s">
        <v>64</v>
      </c>
      <c r="D284" s="62" t="s">
        <v>25</v>
      </c>
      <c r="E284" s="62" t="s">
        <v>25</v>
      </c>
      <c r="F284" s="62" t="s">
        <v>25</v>
      </c>
      <c r="G284" s="62" t="s">
        <v>84</v>
      </c>
      <c r="H284" s="62" t="s">
        <v>25</v>
      </c>
      <c r="I284" s="75">
        <v>44621</v>
      </c>
      <c r="J284" s="76">
        <f ca="1">EFEITO!$J$284*EFEITO!$Y$284</f>
        <v>146609.81487630427</v>
      </c>
      <c r="K284" s="76">
        <f>EFEITO!$L$284*EFEITO!$Z$284</f>
        <v>0</v>
      </c>
      <c r="L284" s="76">
        <f>EFEITO!$N$284*EFEITO!$AA$284</f>
        <v>0</v>
      </c>
      <c r="M284" s="76">
        <f ca="1">$J$284-EFEITO!$K$284*EFEITO!$Y$284</f>
        <v>0</v>
      </c>
      <c r="N284" s="76">
        <f>$K$284-EFEITO!$M$284*EFEITO!$Z$284</f>
        <v>0</v>
      </c>
      <c r="O284" s="76">
        <f>$L$284-EFEITO!$O$284*EFEITO!$AA$284</f>
        <v>0</v>
      </c>
      <c r="P284" s="18"/>
      <c r="Q284" s="18"/>
      <c r="R284" s="18"/>
      <c r="S284" s="18"/>
      <c r="T284" s="18"/>
      <c r="U284" s="18"/>
      <c r="V284" s="18"/>
      <c r="W284" s="1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62" t="s">
        <v>21</v>
      </c>
      <c r="B285" s="62" t="s">
        <v>39</v>
      </c>
      <c r="C285" s="62" t="s">
        <v>64</v>
      </c>
      <c r="D285" s="62" t="s">
        <v>25</v>
      </c>
      <c r="E285" s="62" t="s">
        <v>25</v>
      </c>
      <c r="F285" s="62" t="s">
        <v>25</v>
      </c>
      <c r="G285" s="62" t="s">
        <v>85</v>
      </c>
      <c r="H285" s="62" t="s">
        <v>25</v>
      </c>
      <c r="I285" s="75">
        <v>44621</v>
      </c>
      <c r="J285" s="76">
        <f ca="1">EFEITO!$J$285*EFEITO!$Y$285</f>
        <v>201930.30456420674</v>
      </c>
      <c r="K285" s="76">
        <f>EFEITO!$L$285*EFEITO!$Z$285</f>
        <v>0</v>
      </c>
      <c r="L285" s="76">
        <f>EFEITO!$N$285*EFEITO!$AA$285</f>
        <v>0</v>
      </c>
      <c r="M285" s="76">
        <f ca="1">$J$285-EFEITO!$K$285*EFEITO!$Y$285</f>
        <v>201930.30456420674</v>
      </c>
      <c r="N285" s="76">
        <f>$K$285-EFEITO!$M$285*EFEITO!$Z$285</f>
        <v>0</v>
      </c>
      <c r="O285" s="76">
        <f>$L$285-EFEITO!$O$285*EFEITO!$AA$285</f>
        <v>0</v>
      </c>
      <c r="P285" s="18"/>
      <c r="Q285" s="18"/>
      <c r="R285" s="18"/>
      <c r="S285" s="18"/>
      <c r="T285" s="18"/>
      <c r="U285" s="18"/>
      <c r="V285" s="18"/>
      <c r="W285" s="1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62" t="s">
        <v>21</v>
      </c>
      <c r="B286" s="62" t="s">
        <v>39</v>
      </c>
      <c r="C286" s="62" t="s">
        <v>64</v>
      </c>
      <c r="D286" s="62" t="s">
        <v>25</v>
      </c>
      <c r="E286" s="62" t="s">
        <v>25</v>
      </c>
      <c r="F286" s="62" t="s">
        <v>25</v>
      </c>
      <c r="G286" s="62" t="s">
        <v>88</v>
      </c>
      <c r="H286" s="62" t="s">
        <v>25</v>
      </c>
      <c r="I286" s="75">
        <v>44621</v>
      </c>
      <c r="J286" s="76">
        <f ca="1">EFEITO!$J$286*EFEITO!$Y$286</f>
        <v>410170.93114604492</v>
      </c>
      <c r="K286" s="76">
        <f>EFEITO!$L$286*EFEITO!$Z$286</f>
        <v>0</v>
      </c>
      <c r="L286" s="76">
        <f>EFEITO!$N$286*EFEITO!$AA$286</f>
        <v>0</v>
      </c>
      <c r="M286" s="76">
        <f ca="1">$J$286-EFEITO!$K$286*EFEITO!$Y$286</f>
        <v>205085.46557302246</v>
      </c>
      <c r="N286" s="76">
        <f>$K$286-EFEITO!$M$286*EFEITO!$Z$286</f>
        <v>0</v>
      </c>
      <c r="O286" s="76">
        <f>$L$286-EFEITO!$O$286*EFEITO!$AA$286</f>
        <v>0</v>
      </c>
      <c r="P286" s="18"/>
      <c r="Q286" s="18"/>
      <c r="R286" s="18"/>
      <c r="S286" s="18"/>
      <c r="T286" s="18"/>
      <c r="U286" s="18"/>
      <c r="V286" s="18"/>
      <c r="W286" s="1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62" t="s">
        <v>21</v>
      </c>
      <c r="B287" s="62" t="s">
        <v>39</v>
      </c>
      <c r="C287" s="62" t="s">
        <v>64</v>
      </c>
      <c r="D287" s="62" t="s">
        <v>25</v>
      </c>
      <c r="E287" s="62" t="s">
        <v>25</v>
      </c>
      <c r="F287" s="62" t="s">
        <v>25</v>
      </c>
      <c r="G287" s="62" t="s">
        <v>91</v>
      </c>
      <c r="H287" s="62" t="s">
        <v>25</v>
      </c>
      <c r="I287" s="75">
        <v>44621</v>
      </c>
      <c r="J287" s="76">
        <f ca="1">EFEITO!$J$287*EFEITO!$Y$287</f>
        <v>471170.71064981574</v>
      </c>
      <c r="K287" s="76">
        <f>EFEITO!$L$287*EFEITO!$Z$287</f>
        <v>0</v>
      </c>
      <c r="L287" s="76">
        <f>EFEITO!$N$287*EFEITO!$AA$287</f>
        <v>0</v>
      </c>
      <c r="M287" s="76">
        <f ca="1">$J$287-EFEITO!$K$287*EFEITO!$Y$287</f>
        <v>471170.71064981574</v>
      </c>
      <c r="N287" s="76">
        <f>$K$287-EFEITO!$M$287*EFEITO!$Z$287</f>
        <v>0</v>
      </c>
      <c r="O287" s="76">
        <f>$L$287-EFEITO!$O$287*EFEITO!$AA$287</f>
        <v>0</v>
      </c>
      <c r="P287" s="18"/>
      <c r="Q287" s="18"/>
      <c r="R287" s="18"/>
      <c r="S287" s="18"/>
      <c r="T287" s="18"/>
      <c r="U287" s="18"/>
      <c r="V287" s="18"/>
      <c r="W287" s="1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62" t="s">
        <v>21</v>
      </c>
      <c r="B288" s="62" t="s">
        <v>39</v>
      </c>
      <c r="C288" s="62" t="s">
        <v>64</v>
      </c>
      <c r="D288" s="62" t="s">
        <v>25</v>
      </c>
      <c r="E288" s="62" t="s">
        <v>25</v>
      </c>
      <c r="F288" s="62" t="s">
        <v>25</v>
      </c>
      <c r="G288" s="62" t="s">
        <v>71</v>
      </c>
      <c r="H288" s="62" t="s">
        <v>25</v>
      </c>
      <c r="I288" s="75">
        <v>44652</v>
      </c>
      <c r="J288" s="76">
        <f ca="1">EFEITO!$J$288*EFEITO!$Y$288</f>
        <v>289412.40213530423</v>
      </c>
      <c r="K288" s="76">
        <f>EFEITO!$L$288*EFEITO!$Z$288</f>
        <v>0</v>
      </c>
      <c r="L288" s="76">
        <f>EFEITO!$N$288*EFEITO!$AA$288</f>
        <v>0</v>
      </c>
      <c r="M288" s="76">
        <f ca="1">$J$288-EFEITO!$K$288*EFEITO!$Y$288</f>
        <v>144706.20106765212</v>
      </c>
      <c r="N288" s="76">
        <f>$K$288-EFEITO!$M$288*EFEITO!$Z$288</f>
        <v>0</v>
      </c>
      <c r="O288" s="76">
        <f>$L$288-EFEITO!$O$288*EFEITO!$AA$288</f>
        <v>0</v>
      </c>
      <c r="P288" s="18"/>
      <c r="Q288" s="18"/>
      <c r="R288" s="18"/>
      <c r="S288" s="18"/>
      <c r="T288" s="18"/>
      <c r="U288" s="18"/>
      <c r="V288" s="18"/>
      <c r="W288" s="1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62" t="s">
        <v>21</v>
      </c>
      <c r="B289" s="62" t="s">
        <v>39</v>
      </c>
      <c r="C289" s="62" t="s">
        <v>64</v>
      </c>
      <c r="D289" s="62" t="s">
        <v>25</v>
      </c>
      <c r="E289" s="62" t="s">
        <v>25</v>
      </c>
      <c r="F289" s="62" t="s">
        <v>25</v>
      </c>
      <c r="G289" s="62" t="s">
        <v>84</v>
      </c>
      <c r="H289" s="62" t="s">
        <v>25</v>
      </c>
      <c r="I289" s="75">
        <v>44652</v>
      </c>
      <c r="J289" s="76">
        <f ca="1">EFEITO!$J$289*EFEITO!$Y$289</f>
        <v>146609.81487630427</v>
      </c>
      <c r="K289" s="76">
        <f>EFEITO!$L$289*EFEITO!$Z$289</f>
        <v>0</v>
      </c>
      <c r="L289" s="76">
        <f>EFEITO!$N$289*EFEITO!$AA$289</f>
        <v>0</v>
      </c>
      <c r="M289" s="76">
        <f ca="1">$J$289-EFEITO!$K$289*EFEITO!$Y$289</f>
        <v>0</v>
      </c>
      <c r="N289" s="76">
        <f>$K$289-EFEITO!$M$289*EFEITO!$Z$289</f>
        <v>0</v>
      </c>
      <c r="O289" s="76">
        <f>$L$289-EFEITO!$O$289*EFEITO!$AA$289</f>
        <v>0</v>
      </c>
      <c r="P289" s="18"/>
      <c r="Q289" s="18"/>
      <c r="R289" s="18"/>
      <c r="S289" s="18"/>
      <c r="T289" s="18"/>
      <c r="U289" s="18"/>
      <c r="V289" s="18"/>
      <c r="W289" s="1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62" t="s">
        <v>21</v>
      </c>
      <c r="B290" s="62" t="s">
        <v>39</v>
      </c>
      <c r="C290" s="62" t="s">
        <v>64</v>
      </c>
      <c r="D290" s="62" t="s">
        <v>25</v>
      </c>
      <c r="E290" s="62" t="s">
        <v>25</v>
      </c>
      <c r="F290" s="62" t="s">
        <v>25</v>
      </c>
      <c r="G290" s="62" t="s">
        <v>85</v>
      </c>
      <c r="H290" s="62" t="s">
        <v>25</v>
      </c>
      <c r="I290" s="75">
        <v>44652</v>
      </c>
      <c r="J290" s="76">
        <f ca="1">EFEITO!$J$290*EFEITO!$Y$290</f>
        <v>201930.30456420674</v>
      </c>
      <c r="K290" s="76">
        <f>EFEITO!$L$290*EFEITO!$Z$290</f>
        <v>0</v>
      </c>
      <c r="L290" s="76">
        <f>EFEITO!$N$290*EFEITO!$AA$290</f>
        <v>0</v>
      </c>
      <c r="M290" s="76">
        <f ca="1">$J$290-EFEITO!$K$290*EFEITO!$Y$290</f>
        <v>201930.30456420674</v>
      </c>
      <c r="N290" s="76">
        <f>$K$290-EFEITO!$M$290*EFEITO!$Z$290</f>
        <v>0</v>
      </c>
      <c r="O290" s="76">
        <f>$L$290-EFEITO!$O$290*EFEITO!$AA$290</f>
        <v>0</v>
      </c>
      <c r="P290" s="18"/>
      <c r="Q290" s="18"/>
      <c r="R290" s="18"/>
      <c r="S290" s="18"/>
      <c r="T290" s="18"/>
      <c r="U290" s="18"/>
      <c r="V290" s="18"/>
      <c r="W290" s="1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62" t="s">
        <v>21</v>
      </c>
      <c r="B291" s="62" t="s">
        <v>39</v>
      </c>
      <c r="C291" s="62" t="s">
        <v>64</v>
      </c>
      <c r="D291" s="62" t="s">
        <v>25</v>
      </c>
      <c r="E291" s="62" t="s">
        <v>25</v>
      </c>
      <c r="F291" s="62" t="s">
        <v>25</v>
      </c>
      <c r="G291" s="62" t="s">
        <v>88</v>
      </c>
      <c r="H291" s="62" t="s">
        <v>25</v>
      </c>
      <c r="I291" s="75">
        <v>44652</v>
      </c>
      <c r="J291" s="76">
        <f ca="1">EFEITO!$J$291*EFEITO!$Y$291</f>
        <v>410170.93114604492</v>
      </c>
      <c r="K291" s="76">
        <f>EFEITO!$L$291*EFEITO!$Z$291</f>
        <v>0</v>
      </c>
      <c r="L291" s="76">
        <f>EFEITO!$N$291*EFEITO!$AA$291</f>
        <v>0</v>
      </c>
      <c r="M291" s="76">
        <f ca="1">$J$291-EFEITO!$K$291*EFEITO!$Y$291</f>
        <v>205085.46557302246</v>
      </c>
      <c r="N291" s="76">
        <f>$K$291-EFEITO!$M$291*EFEITO!$Z$291</f>
        <v>0</v>
      </c>
      <c r="O291" s="76">
        <f>$L$291-EFEITO!$O$291*EFEITO!$AA$291</f>
        <v>0</v>
      </c>
      <c r="P291" s="18"/>
      <c r="Q291" s="18"/>
      <c r="R291" s="18"/>
      <c r="S291" s="18"/>
      <c r="T291" s="18"/>
      <c r="U291" s="18"/>
      <c r="V291" s="18"/>
      <c r="W291" s="1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62" t="s">
        <v>21</v>
      </c>
      <c r="B292" s="62" t="s">
        <v>39</v>
      </c>
      <c r="C292" s="62" t="s">
        <v>64</v>
      </c>
      <c r="D292" s="62" t="s">
        <v>25</v>
      </c>
      <c r="E292" s="62" t="s">
        <v>25</v>
      </c>
      <c r="F292" s="62" t="s">
        <v>25</v>
      </c>
      <c r="G292" s="62" t="s">
        <v>91</v>
      </c>
      <c r="H292" s="62" t="s">
        <v>25</v>
      </c>
      <c r="I292" s="75">
        <v>44652</v>
      </c>
      <c r="J292" s="76">
        <f ca="1">EFEITO!$J$292*EFEITO!$Y$292</f>
        <v>471170.71064981574</v>
      </c>
      <c r="K292" s="76">
        <f>EFEITO!$L$292*EFEITO!$Z$292</f>
        <v>0</v>
      </c>
      <c r="L292" s="76">
        <f>EFEITO!$N$292*EFEITO!$AA$292</f>
        <v>0</v>
      </c>
      <c r="M292" s="76">
        <f ca="1">$J$292-EFEITO!$K$292*EFEITO!$Y$292</f>
        <v>471170.71064981574</v>
      </c>
      <c r="N292" s="76">
        <f>$K$292-EFEITO!$M$292*EFEITO!$Z$292</f>
        <v>0</v>
      </c>
      <c r="O292" s="76">
        <f>$L$292-EFEITO!$O$292*EFEITO!$AA$292</f>
        <v>0</v>
      </c>
      <c r="P292" s="18"/>
      <c r="Q292" s="18"/>
      <c r="R292" s="18"/>
      <c r="S292" s="18"/>
      <c r="T292" s="18"/>
      <c r="U292" s="18"/>
      <c r="V292" s="18"/>
      <c r="W292" s="1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62" t="s">
        <v>58</v>
      </c>
      <c r="B293" s="62" t="s">
        <v>39</v>
      </c>
      <c r="C293" s="62" t="s">
        <v>64</v>
      </c>
      <c r="D293" s="62" t="s">
        <v>25</v>
      </c>
      <c r="E293" s="62" t="s">
        <v>25</v>
      </c>
      <c r="F293" s="62" t="s">
        <v>25</v>
      </c>
      <c r="G293" s="62" t="s">
        <v>71</v>
      </c>
      <c r="H293" s="62" t="s">
        <v>25</v>
      </c>
      <c r="I293" s="75">
        <v>44682</v>
      </c>
      <c r="J293" s="76">
        <f ca="1">EFEITO!$J$293*EFEITO!$Y$293</f>
        <v>289412.40213530423</v>
      </c>
      <c r="K293" s="76">
        <f>EFEITO!$L$293*EFEITO!$Z$293</f>
        <v>0</v>
      </c>
      <c r="L293" s="76">
        <f>EFEITO!$N$293*EFEITO!$AA$293</f>
        <v>0</v>
      </c>
      <c r="M293" s="76">
        <f ca="1">$J$293-EFEITO!$K$293*EFEITO!$Y$293</f>
        <v>144706.20106765212</v>
      </c>
      <c r="N293" s="76">
        <f>$K$293-EFEITO!$M$293*EFEITO!$Z$293</f>
        <v>0</v>
      </c>
      <c r="O293" s="76">
        <f>$L$293-EFEITO!$O$293*EFEITO!$AA$293</f>
        <v>0</v>
      </c>
      <c r="P293" s="18"/>
      <c r="Q293" s="18"/>
      <c r="R293" s="18"/>
      <c r="S293" s="18"/>
      <c r="T293" s="18"/>
      <c r="U293" s="18"/>
      <c r="V293" s="18"/>
      <c r="W293" s="1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62" t="s">
        <v>58</v>
      </c>
      <c r="B294" s="62" t="s">
        <v>39</v>
      </c>
      <c r="C294" s="62" t="s">
        <v>64</v>
      </c>
      <c r="D294" s="62" t="s">
        <v>25</v>
      </c>
      <c r="E294" s="62" t="s">
        <v>25</v>
      </c>
      <c r="F294" s="62" t="s">
        <v>25</v>
      </c>
      <c r="G294" s="62" t="s">
        <v>84</v>
      </c>
      <c r="H294" s="62" t="s">
        <v>25</v>
      </c>
      <c r="I294" s="75">
        <v>44682</v>
      </c>
      <c r="J294" s="76">
        <f ca="1">EFEITO!$J$294*EFEITO!$Y$294</f>
        <v>146609.81487630427</v>
      </c>
      <c r="K294" s="76">
        <f>EFEITO!$L$294*EFEITO!$Z$294</f>
        <v>0</v>
      </c>
      <c r="L294" s="76">
        <f>EFEITO!$N$294*EFEITO!$AA$294</f>
        <v>0</v>
      </c>
      <c r="M294" s="76">
        <f ca="1">$J$294-EFEITO!$K$294*EFEITO!$Y$294</f>
        <v>0</v>
      </c>
      <c r="N294" s="76">
        <f>$K$294-EFEITO!$M$294*EFEITO!$Z$294</f>
        <v>0</v>
      </c>
      <c r="O294" s="76">
        <f>$L$294-EFEITO!$O$294*EFEITO!$AA$294</f>
        <v>0</v>
      </c>
      <c r="P294" s="18"/>
      <c r="Q294" s="18"/>
      <c r="R294" s="18"/>
      <c r="S294" s="18"/>
      <c r="T294" s="18"/>
      <c r="U294" s="18"/>
      <c r="V294" s="18"/>
      <c r="W294" s="1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62" t="s">
        <v>58</v>
      </c>
      <c r="B295" s="62" t="s">
        <v>39</v>
      </c>
      <c r="C295" s="62" t="s">
        <v>64</v>
      </c>
      <c r="D295" s="62" t="s">
        <v>25</v>
      </c>
      <c r="E295" s="62" t="s">
        <v>25</v>
      </c>
      <c r="F295" s="62" t="s">
        <v>25</v>
      </c>
      <c r="G295" s="62" t="s">
        <v>85</v>
      </c>
      <c r="H295" s="62" t="s">
        <v>25</v>
      </c>
      <c r="I295" s="75">
        <v>44682</v>
      </c>
      <c r="J295" s="76">
        <f ca="1">EFEITO!$J$295*EFEITO!$Y$295</f>
        <v>201930.30456420674</v>
      </c>
      <c r="K295" s="76">
        <f>EFEITO!$L$295*EFEITO!$Z$295</f>
        <v>0</v>
      </c>
      <c r="L295" s="76">
        <f>EFEITO!$N$295*EFEITO!$AA$295</f>
        <v>0</v>
      </c>
      <c r="M295" s="76">
        <f ca="1">$J$295-EFEITO!$K$295*EFEITO!$Y$295</f>
        <v>201930.30456420674</v>
      </c>
      <c r="N295" s="76">
        <f>$K$295-EFEITO!$M$295*EFEITO!$Z$295</f>
        <v>0</v>
      </c>
      <c r="O295" s="76">
        <f>$L$295-EFEITO!$O$295*EFEITO!$AA$295</f>
        <v>0</v>
      </c>
      <c r="P295" s="18"/>
      <c r="Q295" s="18"/>
      <c r="R295" s="18"/>
      <c r="S295" s="18"/>
      <c r="T295" s="18"/>
      <c r="U295" s="18"/>
      <c r="V295" s="18"/>
      <c r="W295" s="1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62" t="s">
        <v>58</v>
      </c>
      <c r="B296" s="62" t="s">
        <v>39</v>
      </c>
      <c r="C296" s="62" t="s">
        <v>64</v>
      </c>
      <c r="D296" s="62" t="s">
        <v>25</v>
      </c>
      <c r="E296" s="62" t="s">
        <v>25</v>
      </c>
      <c r="F296" s="62" t="s">
        <v>25</v>
      </c>
      <c r="G296" s="62" t="s">
        <v>88</v>
      </c>
      <c r="H296" s="62" t="s">
        <v>25</v>
      </c>
      <c r="I296" s="75">
        <v>44682</v>
      </c>
      <c r="J296" s="76">
        <f ca="1">EFEITO!$J$296*EFEITO!$Y$296</f>
        <v>410170.93114604492</v>
      </c>
      <c r="K296" s="76">
        <f>EFEITO!$L$296*EFEITO!$Z$296</f>
        <v>0</v>
      </c>
      <c r="L296" s="76">
        <f>EFEITO!$N$296*EFEITO!$AA$296</f>
        <v>0</v>
      </c>
      <c r="M296" s="76">
        <f ca="1">$J$296-EFEITO!$K$296*EFEITO!$Y$296</f>
        <v>205085.46557302246</v>
      </c>
      <c r="N296" s="76">
        <f>$K$296-EFEITO!$M$296*EFEITO!$Z$296</f>
        <v>0</v>
      </c>
      <c r="O296" s="76">
        <f>$L$296-EFEITO!$O$296*EFEITO!$AA$296</f>
        <v>0</v>
      </c>
      <c r="P296" s="18"/>
      <c r="Q296" s="18"/>
      <c r="R296" s="18"/>
      <c r="S296" s="18"/>
      <c r="T296" s="18"/>
      <c r="U296" s="18"/>
      <c r="V296" s="18"/>
      <c r="W296" s="1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62" t="s">
        <v>58</v>
      </c>
      <c r="B297" s="62" t="s">
        <v>39</v>
      </c>
      <c r="C297" s="62" t="s">
        <v>64</v>
      </c>
      <c r="D297" s="62" t="s">
        <v>25</v>
      </c>
      <c r="E297" s="62" t="s">
        <v>25</v>
      </c>
      <c r="F297" s="62" t="s">
        <v>25</v>
      </c>
      <c r="G297" s="62" t="s">
        <v>91</v>
      </c>
      <c r="H297" s="62" t="s">
        <v>25</v>
      </c>
      <c r="I297" s="75">
        <v>44682</v>
      </c>
      <c r="J297" s="76">
        <f ca="1">EFEITO!$J$297*EFEITO!$Y$297</f>
        <v>471170.71064981574</v>
      </c>
      <c r="K297" s="76">
        <f>EFEITO!$L$297*EFEITO!$Z$297</f>
        <v>0</v>
      </c>
      <c r="L297" s="76">
        <f>EFEITO!$N$297*EFEITO!$AA$297</f>
        <v>0</v>
      </c>
      <c r="M297" s="76">
        <f ca="1">$J$297-EFEITO!$K$297*EFEITO!$Y$297</f>
        <v>471170.71064981574</v>
      </c>
      <c r="N297" s="76">
        <f>$K$297-EFEITO!$M$297*EFEITO!$Z$297</f>
        <v>0</v>
      </c>
      <c r="O297" s="76">
        <f>$L$297-EFEITO!$O$297*EFEITO!$AA$297</f>
        <v>0</v>
      </c>
      <c r="P297" s="18"/>
      <c r="Q297" s="18"/>
      <c r="R297" s="18"/>
      <c r="S297" s="18"/>
      <c r="T297" s="18"/>
      <c r="U297" s="18"/>
      <c r="V297" s="18"/>
      <c r="W297" s="1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62" t="s">
        <v>21</v>
      </c>
      <c r="B298" s="62" t="s">
        <v>41</v>
      </c>
      <c r="C298" s="62" t="s">
        <v>40</v>
      </c>
      <c r="D298" s="62" t="s">
        <v>43</v>
      </c>
      <c r="E298" s="62" t="s">
        <v>25</v>
      </c>
      <c r="F298" s="62" t="s">
        <v>25</v>
      </c>
      <c r="G298" s="62" t="s">
        <v>25</v>
      </c>
      <c r="H298" s="62" t="s">
        <v>35</v>
      </c>
      <c r="I298" s="75">
        <v>44348</v>
      </c>
      <c r="J298" s="76">
        <f ca="1">EFEITO!$J$298*EFEITO!$Y$298</f>
        <v>39221.099106006601</v>
      </c>
      <c r="K298" s="76">
        <f ca="1">EFEITO!$L$298*EFEITO!$Z$298</f>
        <v>48382.643280520169</v>
      </c>
      <c r="L298" s="76">
        <f>EFEITO!$N$298*EFEITO!$AA$298</f>
        <v>110268.53621394308</v>
      </c>
      <c r="M298" s="76">
        <f ca="1">$J$298-EFEITO!$K$298*EFEITO!$Y$298</f>
        <v>0</v>
      </c>
      <c r="N298" s="76">
        <f ca="1">$K$298-EFEITO!$M$298*EFEITO!$Z$298</f>
        <v>0</v>
      </c>
      <c r="O298" s="76">
        <f>$L$298-EFEITO!$O$298*EFEITO!$AA$298</f>
        <v>0</v>
      </c>
      <c r="P298" s="18"/>
      <c r="Q298" s="18"/>
      <c r="R298" s="18"/>
      <c r="S298" s="18"/>
      <c r="T298" s="18"/>
      <c r="U298" s="18"/>
      <c r="V298" s="18"/>
      <c r="W298" s="1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62" t="s">
        <v>28</v>
      </c>
      <c r="B299" s="62" t="s">
        <v>41</v>
      </c>
      <c r="C299" s="62" t="s">
        <v>40</v>
      </c>
      <c r="D299" s="62" t="s">
        <v>43</v>
      </c>
      <c r="E299" s="62" t="s">
        <v>25</v>
      </c>
      <c r="F299" s="62" t="s">
        <v>25</v>
      </c>
      <c r="G299" s="62" t="s">
        <v>25</v>
      </c>
      <c r="H299" s="62" t="s">
        <v>35</v>
      </c>
      <c r="I299" s="75">
        <v>44348</v>
      </c>
      <c r="J299" s="76">
        <f ca="1">EFEITO!$J$299*EFEITO!$Y$299</f>
        <v>1668.9829406811318</v>
      </c>
      <c r="K299" s="76">
        <f ca="1">EFEITO!$L$299*EFEITO!$Z$299</f>
        <v>1801.6466141846586</v>
      </c>
      <c r="L299" s="76">
        <f>EFEITO!$N$299*EFEITO!$AA$299</f>
        <v>4106.1199109998915</v>
      </c>
      <c r="M299" s="76">
        <f ca="1">$J$299-EFEITO!$K$299*EFEITO!$Y$299</f>
        <v>0</v>
      </c>
      <c r="N299" s="76">
        <f ca="1">$K$299-EFEITO!$M$299*EFEITO!$Z$299</f>
        <v>0</v>
      </c>
      <c r="O299" s="76">
        <f>$L$299-EFEITO!$O$299*EFEITO!$AA$299</f>
        <v>0</v>
      </c>
      <c r="P299" s="18"/>
      <c r="Q299" s="18"/>
      <c r="R299" s="18"/>
      <c r="S299" s="18"/>
      <c r="T299" s="18"/>
      <c r="U299" s="18"/>
      <c r="V299" s="18"/>
      <c r="W299" s="1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62" t="s">
        <v>21</v>
      </c>
      <c r="B300" s="62" t="s">
        <v>41</v>
      </c>
      <c r="C300" s="62" t="s">
        <v>40</v>
      </c>
      <c r="D300" s="62" t="s">
        <v>43</v>
      </c>
      <c r="E300" s="62" t="s">
        <v>25</v>
      </c>
      <c r="F300" s="62" t="s">
        <v>25</v>
      </c>
      <c r="G300" s="62" t="s">
        <v>25</v>
      </c>
      <c r="H300" s="62" t="s">
        <v>35</v>
      </c>
      <c r="I300" s="75">
        <v>44378</v>
      </c>
      <c r="J300" s="76">
        <f ca="1">EFEITO!$J$300*EFEITO!$Y$300</f>
        <v>46016.243935922641</v>
      </c>
      <c r="K300" s="76">
        <f ca="1">EFEITO!$L$300*EFEITO!$Z$300</f>
        <v>59086.834793661685</v>
      </c>
      <c r="L300" s="76">
        <f>EFEITO!$N$300*EFEITO!$AA$300</f>
        <v>134664.38252321354</v>
      </c>
      <c r="M300" s="76">
        <f ca="1">$J$300-EFEITO!$K$300*EFEITO!$Y$300</f>
        <v>0</v>
      </c>
      <c r="N300" s="76">
        <f ca="1">$K$300-EFEITO!$M$300*EFEITO!$Z$300</f>
        <v>0</v>
      </c>
      <c r="O300" s="76">
        <f>$L$300-EFEITO!$O$300*EFEITO!$AA$300</f>
        <v>0</v>
      </c>
      <c r="P300" s="18"/>
      <c r="Q300" s="18"/>
      <c r="R300" s="18"/>
      <c r="S300" s="18"/>
      <c r="T300" s="18"/>
      <c r="U300" s="18"/>
      <c r="V300" s="18"/>
      <c r="W300" s="1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62" t="s">
        <v>28</v>
      </c>
      <c r="B301" s="62" t="s">
        <v>41</v>
      </c>
      <c r="C301" s="62" t="s">
        <v>40</v>
      </c>
      <c r="D301" s="62" t="s">
        <v>43</v>
      </c>
      <c r="E301" s="62" t="s">
        <v>25</v>
      </c>
      <c r="F301" s="62" t="s">
        <v>25</v>
      </c>
      <c r="G301" s="62" t="s">
        <v>25</v>
      </c>
      <c r="H301" s="62" t="s">
        <v>35</v>
      </c>
      <c r="I301" s="75">
        <v>44378</v>
      </c>
      <c r="J301" s="76">
        <f ca="1">EFEITO!$J$301*EFEITO!$Y$301</f>
        <v>1668.9829406811318</v>
      </c>
      <c r="K301" s="76">
        <f ca="1">EFEITO!$L$301*EFEITO!$Z$301</f>
        <v>31.885118200537097</v>
      </c>
      <c r="L301" s="76">
        <f>EFEITO!$N$301*EFEITO!$AA$301</f>
        <v>72.669144812874734</v>
      </c>
      <c r="M301" s="76">
        <f ca="1">$J$301-EFEITO!$K$301*EFEITO!$Y$301</f>
        <v>0</v>
      </c>
      <c r="N301" s="76">
        <f ca="1">$K$301-EFEITO!$M$301*EFEITO!$Z$301</f>
        <v>0</v>
      </c>
      <c r="O301" s="76">
        <f>$L$301-EFEITO!$O$301*EFEITO!$AA$301</f>
        <v>0</v>
      </c>
      <c r="P301" s="18"/>
      <c r="Q301" s="18"/>
      <c r="R301" s="18"/>
      <c r="S301" s="18"/>
      <c r="T301" s="18"/>
      <c r="U301" s="18"/>
      <c r="V301" s="18"/>
      <c r="W301" s="1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62" t="s">
        <v>21</v>
      </c>
      <c r="B302" s="62" t="s">
        <v>41</v>
      </c>
      <c r="C302" s="62" t="s">
        <v>40</v>
      </c>
      <c r="D302" s="62" t="s">
        <v>43</v>
      </c>
      <c r="E302" s="62" t="s">
        <v>25</v>
      </c>
      <c r="F302" s="62" t="s">
        <v>25</v>
      </c>
      <c r="G302" s="62" t="s">
        <v>25</v>
      </c>
      <c r="H302" s="62" t="s">
        <v>35</v>
      </c>
      <c r="I302" s="75">
        <v>44409</v>
      </c>
      <c r="J302" s="76">
        <f ca="1">EFEITO!$J$302*EFEITO!$Y$302</f>
        <v>36300.378959814618</v>
      </c>
      <c r="K302" s="76">
        <f ca="1">EFEITO!$L$302*EFEITO!$Z$302</f>
        <v>42987.873691185327</v>
      </c>
      <c r="L302" s="76">
        <f>EFEITO!$N$302*EFEITO!$AA$302</f>
        <v>97973.35543230614</v>
      </c>
      <c r="M302" s="76">
        <f ca="1">$J$302-EFEITO!$K$302*EFEITO!$Y$302</f>
        <v>0</v>
      </c>
      <c r="N302" s="76">
        <f ca="1">$K$302-EFEITO!$M$302*EFEITO!$Z$302</f>
        <v>0</v>
      </c>
      <c r="O302" s="76">
        <f>$L$302-EFEITO!$O$302*EFEITO!$AA$302</f>
        <v>0</v>
      </c>
      <c r="P302" s="18"/>
      <c r="Q302" s="18"/>
      <c r="R302" s="18"/>
      <c r="S302" s="18"/>
      <c r="T302" s="18"/>
      <c r="U302" s="18"/>
      <c r="V302" s="18"/>
      <c r="W302" s="1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62" t="s">
        <v>27</v>
      </c>
      <c r="B303" s="62" t="s">
        <v>41</v>
      </c>
      <c r="C303" s="62" t="s">
        <v>40</v>
      </c>
      <c r="D303" s="62" t="s">
        <v>43</v>
      </c>
      <c r="E303" s="62" t="s">
        <v>25</v>
      </c>
      <c r="F303" s="62" t="s">
        <v>25</v>
      </c>
      <c r="G303" s="62" t="s">
        <v>25</v>
      </c>
      <c r="H303" s="62" t="s">
        <v>35</v>
      </c>
      <c r="I303" s="75">
        <v>44409</v>
      </c>
      <c r="J303" s="76">
        <f ca="1">EFEITO!$J$303*EFEITO!$Y$303</f>
        <v>-2980.3266797877354</v>
      </c>
      <c r="K303" s="76">
        <f ca="1">EFEITO!$L$303*EFEITO!$Z$303</f>
        <v>-5993.0278631578476</v>
      </c>
      <c r="L303" s="76">
        <f>EFEITO!$N$303*EFEITO!$AA$303</f>
        <v>-13658.666934095758</v>
      </c>
      <c r="M303" s="76">
        <f ca="1">$J$303-EFEITO!$K$303*EFEITO!$Y$303</f>
        <v>0</v>
      </c>
      <c r="N303" s="76">
        <f ca="1">$K$303-EFEITO!$M$303*EFEITO!$Z$303</f>
        <v>0</v>
      </c>
      <c r="O303" s="76">
        <f>$L$303-EFEITO!$O$303*EFEITO!$AA$303</f>
        <v>0</v>
      </c>
      <c r="P303" s="18"/>
      <c r="Q303" s="18"/>
      <c r="R303" s="18"/>
      <c r="S303" s="18"/>
      <c r="T303" s="18"/>
      <c r="U303" s="18"/>
      <c r="V303" s="18"/>
      <c r="W303" s="1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62" t="s">
        <v>28</v>
      </c>
      <c r="B304" s="62" t="s">
        <v>41</v>
      </c>
      <c r="C304" s="62" t="s">
        <v>40</v>
      </c>
      <c r="D304" s="62" t="s">
        <v>43</v>
      </c>
      <c r="E304" s="62" t="s">
        <v>25</v>
      </c>
      <c r="F304" s="62" t="s">
        <v>25</v>
      </c>
      <c r="G304" s="62" t="s">
        <v>25</v>
      </c>
      <c r="H304" s="62" t="s">
        <v>35</v>
      </c>
      <c r="I304" s="75">
        <v>44409</v>
      </c>
      <c r="J304" s="76">
        <f ca="1">EFEITO!$J$304*EFEITO!$Y$304</f>
        <v>1668.9829406811318</v>
      </c>
      <c r="K304" s="76">
        <f ca="1">EFEITO!$L$304*EFEITO!$Z$304</f>
        <v>1521.4149072411451</v>
      </c>
      <c r="L304" s="76">
        <f>EFEITO!$N$304*EFEITO!$AA$304</f>
        <v>3467.4458322350142</v>
      </c>
      <c r="M304" s="76">
        <f ca="1">$J$304-EFEITO!$K$304*EFEITO!$Y$304</f>
        <v>0</v>
      </c>
      <c r="N304" s="76">
        <f ca="1">$K$304-EFEITO!$M$304*EFEITO!$Z$304</f>
        <v>0</v>
      </c>
      <c r="O304" s="76">
        <f>$L$304-EFEITO!$O$304*EFEITO!$AA$304</f>
        <v>0</v>
      </c>
      <c r="P304" s="18"/>
      <c r="Q304" s="18"/>
      <c r="R304" s="18"/>
      <c r="S304" s="18"/>
      <c r="T304" s="18"/>
      <c r="U304" s="18"/>
      <c r="V304" s="18"/>
      <c r="W304" s="1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62" t="s">
        <v>21</v>
      </c>
      <c r="B305" s="62" t="s">
        <v>41</v>
      </c>
      <c r="C305" s="62" t="s">
        <v>40</v>
      </c>
      <c r="D305" s="62" t="s">
        <v>43</v>
      </c>
      <c r="E305" s="62" t="s">
        <v>25</v>
      </c>
      <c r="F305" s="62" t="s">
        <v>25</v>
      </c>
      <c r="G305" s="62" t="s">
        <v>25</v>
      </c>
      <c r="H305" s="62" t="s">
        <v>35</v>
      </c>
      <c r="I305" s="75">
        <v>44440</v>
      </c>
      <c r="J305" s="76">
        <f ca="1">EFEITO!$J$305*EFEITO!$Y$305</f>
        <v>34154.543750367448</v>
      </c>
      <c r="K305" s="76">
        <f ca="1">EFEITO!$L$305*EFEITO!$Z$305</f>
        <v>45176.814542823056</v>
      </c>
      <c r="L305" s="76">
        <f>EFEITO!$N$305*EFEITO!$AA$305</f>
        <v>102962.15486952447</v>
      </c>
      <c r="M305" s="76">
        <f ca="1">$J$305-EFEITO!$K$305*EFEITO!$Y$305</f>
        <v>0</v>
      </c>
      <c r="N305" s="76">
        <f ca="1">$K$305-EFEITO!$M$305*EFEITO!$Z$305</f>
        <v>0</v>
      </c>
      <c r="O305" s="76">
        <f>$L$305-EFEITO!$O$305*EFEITO!$AA$305</f>
        <v>0</v>
      </c>
      <c r="P305" s="18"/>
      <c r="Q305" s="18"/>
      <c r="R305" s="18"/>
      <c r="S305" s="18"/>
      <c r="T305" s="18"/>
      <c r="U305" s="18"/>
      <c r="V305" s="18"/>
      <c r="W305" s="1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62" t="s">
        <v>28</v>
      </c>
      <c r="B306" s="62" t="s">
        <v>41</v>
      </c>
      <c r="C306" s="62" t="s">
        <v>40</v>
      </c>
      <c r="D306" s="62" t="s">
        <v>43</v>
      </c>
      <c r="E306" s="62" t="s">
        <v>25</v>
      </c>
      <c r="F306" s="62" t="s">
        <v>25</v>
      </c>
      <c r="G306" s="62" t="s">
        <v>25</v>
      </c>
      <c r="H306" s="62" t="s">
        <v>35</v>
      </c>
      <c r="I306" s="75">
        <v>44440</v>
      </c>
      <c r="J306" s="76">
        <f ca="1">EFEITO!$J$306*EFEITO!$Y$306</f>
        <v>1668.9829406811318</v>
      </c>
      <c r="K306" s="76">
        <f ca="1">EFEITO!$L$306*EFEITO!$Z$306</f>
        <v>1696.0958780725357</v>
      </c>
      <c r="L306" s="76">
        <f>EFEITO!$N$306*EFEITO!$AA$306</f>
        <v>3865.5599833434785</v>
      </c>
      <c r="M306" s="76">
        <f ca="1">$J$306-EFEITO!$K$306*EFEITO!$Y$306</f>
        <v>0</v>
      </c>
      <c r="N306" s="76">
        <f ca="1">$K$306-EFEITO!$M$306*EFEITO!$Z$306</f>
        <v>0</v>
      </c>
      <c r="O306" s="76">
        <f>$L$306-EFEITO!$O$306*EFEITO!$AA$306</f>
        <v>0</v>
      </c>
      <c r="P306" s="18"/>
      <c r="Q306" s="18"/>
      <c r="R306" s="18"/>
      <c r="S306" s="18"/>
      <c r="T306" s="18"/>
      <c r="U306" s="18"/>
      <c r="V306" s="18"/>
      <c r="W306" s="1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62" t="s">
        <v>21</v>
      </c>
      <c r="B307" s="62" t="s">
        <v>41</v>
      </c>
      <c r="C307" s="62" t="s">
        <v>40</v>
      </c>
      <c r="D307" s="62" t="s">
        <v>43</v>
      </c>
      <c r="E307" s="62" t="s">
        <v>25</v>
      </c>
      <c r="F307" s="62" t="s">
        <v>25</v>
      </c>
      <c r="G307" s="62" t="s">
        <v>25</v>
      </c>
      <c r="H307" s="62" t="s">
        <v>35</v>
      </c>
      <c r="I307" s="75">
        <v>44470</v>
      </c>
      <c r="J307" s="76">
        <f ca="1">EFEITO!$J$307*EFEITO!$Y$307</f>
        <v>31472.249738558487</v>
      </c>
      <c r="K307" s="76">
        <f ca="1">EFEITO!$L$307*EFEITO!$Z$307</f>
        <v>41764.007408531092</v>
      </c>
      <c r="L307" s="76">
        <f>EFEITO!$N$307*EFEITO!$AA$307</f>
        <v>95184.050541967124</v>
      </c>
      <c r="M307" s="76">
        <f ca="1">$J$307-EFEITO!$K$307*EFEITO!$Y$307</f>
        <v>0</v>
      </c>
      <c r="N307" s="76">
        <f ca="1">$K$307-EFEITO!$M$307*EFEITO!$Z$307</f>
        <v>0</v>
      </c>
      <c r="O307" s="76">
        <f>$L$307-EFEITO!$O$307*EFEITO!$AA$307</f>
        <v>0</v>
      </c>
      <c r="P307" s="18"/>
      <c r="Q307" s="18"/>
      <c r="R307" s="18"/>
      <c r="S307" s="18"/>
      <c r="T307" s="18"/>
      <c r="U307" s="18"/>
      <c r="V307" s="18"/>
      <c r="W307" s="1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62" t="s">
        <v>27</v>
      </c>
      <c r="B308" s="62" t="s">
        <v>41</v>
      </c>
      <c r="C308" s="62" t="s">
        <v>40</v>
      </c>
      <c r="D308" s="62" t="s">
        <v>43</v>
      </c>
      <c r="E308" s="62" t="s">
        <v>25</v>
      </c>
      <c r="F308" s="62" t="s">
        <v>25</v>
      </c>
      <c r="G308" s="62" t="s">
        <v>25</v>
      </c>
      <c r="H308" s="62" t="s">
        <v>35</v>
      </c>
      <c r="I308" s="75">
        <v>44470</v>
      </c>
      <c r="J308" s="76">
        <f ca="1">EFEITO!$J$308*EFEITO!$Y$308</f>
        <v>-4172.4573517028302</v>
      </c>
      <c r="K308" s="76">
        <f ca="1">EFEITO!$L$308*EFEITO!$Z$308</f>
        <v>-6581.5281913246572</v>
      </c>
      <c r="L308" s="76">
        <f>EFEITO!$N$308*EFEITO!$AA$308</f>
        <v>-14999.913822409246</v>
      </c>
      <c r="M308" s="76">
        <f ca="1">$J$308-EFEITO!$K$308*EFEITO!$Y$308</f>
        <v>0</v>
      </c>
      <c r="N308" s="76">
        <f ca="1">$K$308-EFEITO!$M$308*EFEITO!$Z$308</f>
        <v>0</v>
      </c>
      <c r="O308" s="76">
        <f>$L$308-EFEITO!$O$308*EFEITO!$AA$308</f>
        <v>0</v>
      </c>
      <c r="P308" s="18"/>
      <c r="Q308" s="18"/>
      <c r="R308" s="18"/>
      <c r="S308" s="18"/>
      <c r="T308" s="18"/>
      <c r="U308" s="18"/>
      <c r="V308" s="18"/>
      <c r="W308" s="1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62" t="s">
        <v>28</v>
      </c>
      <c r="B309" s="62" t="s">
        <v>41</v>
      </c>
      <c r="C309" s="62" t="s">
        <v>40</v>
      </c>
      <c r="D309" s="62" t="s">
        <v>43</v>
      </c>
      <c r="E309" s="62" t="s">
        <v>25</v>
      </c>
      <c r="F309" s="62" t="s">
        <v>25</v>
      </c>
      <c r="G309" s="62" t="s">
        <v>25</v>
      </c>
      <c r="H309" s="62" t="s">
        <v>35</v>
      </c>
      <c r="I309" s="75">
        <v>44470</v>
      </c>
      <c r="J309" s="76">
        <f ca="1">EFEITO!$J$309*EFEITO!$Y$309</f>
        <v>1668.9829406811318</v>
      </c>
      <c r="K309" s="76">
        <f ca="1">EFEITO!$L$309*EFEITO!$Z$309</f>
        <v>1927.1255491721172</v>
      </c>
      <c r="L309" s="76">
        <f>EFEITO!$N$309*EFEITO!$AA$309</f>
        <v>4392.0980541643512</v>
      </c>
      <c r="M309" s="76">
        <f ca="1">$J$309-EFEITO!$K$309*EFEITO!$Y$309</f>
        <v>0</v>
      </c>
      <c r="N309" s="76">
        <f ca="1">$K$309-EFEITO!$M$309*EFEITO!$Z$309</f>
        <v>0</v>
      </c>
      <c r="O309" s="76">
        <f>$L$309-EFEITO!$O$309*EFEITO!$AA$309</f>
        <v>0</v>
      </c>
      <c r="P309" s="18"/>
      <c r="Q309" s="18"/>
      <c r="R309" s="18"/>
      <c r="S309" s="18"/>
      <c r="T309" s="18"/>
      <c r="U309" s="18"/>
      <c r="V309" s="18"/>
      <c r="W309" s="1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62" t="s">
        <v>21</v>
      </c>
      <c r="B310" s="62" t="s">
        <v>41</v>
      </c>
      <c r="C310" s="62" t="s">
        <v>40</v>
      </c>
      <c r="D310" s="62" t="s">
        <v>43</v>
      </c>
      <c r="E310" s="62" t="s">
        <v>25</v>
      </c>
      <c r="F310" s="62" t="s">
        <v>25</v>
      </c>
      <c r="G310" s="62" t="s">
        <v>25</v>
      </c>
      <c r="H310" s="62" t="s">
        <v>35</v>
      </c>
      <c r="I310" s="75">
        <v>44501</v>
      </c>
      <c r="J310" s="76">
        <f ca="1">EFEITO!$J$310*EFEITO!$Y$310</f>
        <v>28968.77532753679</v>
      </c>
      <c r="K310" s="76">
        <f ca="1">EFEITO!$L$310*EFEITO!$Z$310</f>
        <v>36151.814297673627</v>
      </c>
      <c r="L310" s="76">
        <f>EFEITO!$N$310*EFEITO!$AA$310</f>
        <v>82393.341367683766</v>
      </c>
      <c r="M310" s="76">
        <f ca="1">$J$310-EFEITO!$K$310*EFEITO!$Y$310</f>
        <v>0</v>
      </c>
      <c r="N310" s="76">
        <f ca="1">$K$310-EFEITO!$M$310*EFEITO!$Z$310</f>
        <v>0</v>
      </c>
      <c r="O310" s="76">
        <f>$L$310-EFEITO!$O$310*EFEITO!$AA$310</f>
        <v>0</v>
      </c>
      <c r="P310" s="18"/>
      <c r="Q310" s="18"/>
      <c r="R310" s="18"/>
      <c r="S310" s="18"/>
      <c r="T310" s="18"/>
      <c r="U310" s="18"/>
      <c r="V310" s="18"/>
      <c r="W310" s="1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62" t="s">
        <v>28</v>
      </c>
      <c r="B311" s="62" t="s">
        <v>41</v>
      </c>
      <c r="C311" s="62" t="s">
        <v>40</v>
      </c>
      <c r="D311" s="62" t="s">
        <v>43</v>
      </c>
      <c r="E311" s="62" t="s">
        <v>25</v>
      </c>
      <c r="F311" s="62" t="s">
        <v>25</v>
      </c>
      <c r="G311" s="62" t="s">
        <v>25</v>
      </c>
      <c r="H311" s="62" t="s">
        <v>35</v>
      </c>
      <c r="I311" s="75">
        <v>44501</v>
      </c>
      <c r="J311" s="76">
        <f ca="1">EFEITO!$J$311*EFEITO!$Y$311</f>
        <v>1668.9829406811318</v>
      </c>
      <c r="K311" s="76">
        <f ca="1">EFEITO!$L$311*EFEITO!$Z$311</f>
        <v>1972.2045093866695</v>
      </c>
      <c r="L311" s="76">
        <f>EFEITO!$N$311*EFEITO!$AA$311</f>
        <v>4494.8371899342774</v>
      </c>
      <c r="M311" s="76">
        <f ca="1">$J$311-EFEITO!$K$311*EFEITO!$Y$311</f>
        <v>0</v>
      </c>
      <c r="N311" s="76">
        <f ca="1">$K$311-EFEITO!$M$311*EFEITO!$Z$311</f>
        <v>0</v>
      </c>
      <c r="O311" s="76">
        <f>$L$311-EFEITO!$O$311*EFEITO!$AA$311</f>
        <v>0</v>
      </c>
      <c r="P311" s="18"/>
      <c r="Q311" s="18"/>
      <c r="R311" s="18"/>
      <c r="S311" s="18"/>
      <c r="T311" s="18"/>
      <c r="U311" s="18"/>
      <c r="V311" s="18"/>
      <c r="W311" s="1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62" t="s">
        <v>21</v>
      </c>
      <c r="B312" s="62" t="s">
        <v>41</v>
      </c>
      <c r="C312" s="62" t="s">
        <v>40</v>
      </c>
      <c r="D312" s="62" t="s">
        <v>43</v>
      </c>
      <c r="E312" s="62" t="s">
        <v>25</v>
      </c>
      <c r="F312" s="62" t="s">
        <v>25</v>
      </c>
      <c r="G312" s="62" t="s">
        <v>25</v>
      </c>
      <c r="H312" s="62" t="s">
        <v>35</v>
      </c>
      <c r="I312" s="75">
        <v>44531</v>
      </c>
      <c r="J312" s="76">
        <f ca="1">EFEITO!$J$312*EFEITO!$Y$312</f>
        <v>37403.099831336083</v>
      </c>
      <c r="K312" s="76">
        <f ca="1">EFEITO!$L$312*EFEITO!$Z$312</f>
        <v>49195.988666342491</v>
      </c>
      <c r="L312" s="76">
        <f>EFEITO!$N$312*EFEITO!$AA$312</f>
        <v>112122.22586481633</v>
      </c>
      <c r="M312" s="76">
        <f ca="1">$J$312-EFEITO!$K$312*EFEITO!$Y$312</f>
        <v>0</v>
      </c>
      <c r="N312" s="76">
        <f ca="1">$K$312-EFEITO!$M$312*EFEITO!$Z$312</f>
        <v>0</v>
      </c>
      <c r="O312" s="76">
        <f>$L$312-EFEITO!$O$312*EFEITO!$AA$312</f>
        <v>0</v>
      </c>
      <c r="P312" s="18"/>
      <c r="Q312" s="18"/>
      <c r="R312" s="18"/>
      <c r="S312" s="18"/>
      <c r="T312" s="18"/>
      <c r="U312" s="18"/>
      <c r="V312" s="18"/>
      <c r="W312" s="1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62" t="s">
        <v>28</v>
      </c>
      <c r="B313" s="62" t="s">
        <v>41</v>
      </c>
      <c r="C313" s="62" t="s">
        <v>40</v>
      </c>
      <c r="D313" s="62" t="s">
        <v>43</v>
      </c>
      <c r="E313" s="62" t="s">
        <v>25</v>
      </c>
      <c r="F313" s="62" t="s">
        <v>25</v>
      </c>
      <c r="G313" s="62" t="s">
        <v>25</v>
      </c>
      <c r="H313" s="62" t="s">
        <v>35</v>
      </c>
      <c r="I313" s="75">
        <v>44531</v>
      </c>
      <c r="J313" s="76">
        <f ca="1">EFEITO!$J$313*EFEITO!$Y$313</f>
        <v>1668.9829406811318</v>
      </c>
      <c r="K313" s="76">
        <f ca="1">EFEITO!$L$313*EFEITO!$Z$313</f>
        <v>1944.0301592525743</v>
      </c>
      <c r="L313" s="76">
        <f>EFEITO!$N$313*EFEITO!$AA$313</f>
        <v>4430.6252300780734</v>
      </c>
      <c r="M313" s="76">
        <f ca="1">$J$313-EFEITO!$K$313*EFEITO!$Y$313</f>
        <v>0</v>
      </c>
      <c r="N313" s="76">
        <f ca="1">$K$313-EFEITO!$M$313*EFEITO!$Z$313</f>
        <v>0</v>
      </c>
      <c r="O313" s="76">
        <f>$L$313-EFEITO!$O$313*EFEITO!$AA$313</f>
        <v>0</v>
      </c>
      <c r="P313" s="18"/>
      <c r="Q313" s="18"/>
      <c r="R313" s="18"/>
      <c r="S313" s="18"/>
      <c r="T313" s="18"/>
      <c r="U313" s="18"/>
      <c r="V313" s="18"/>
      <c r="W313" s="1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62" t="s">
        <v>21</v>
      </c>
      <c r="B314" s="62" t="s">
        <v>41</v>
      </c>
      <c r="C314" s="62" t="s">
        <v>40</v>
      </c>
      <c r="D314" s="62" t="s">
        <v>43</v>
      </c>
      <c r="E314" s="62" t="s">
        <v>25</v>
      </c>
      <c r="F314" s="62" t="s">
        <v>25</v>
      </c>
      <c r="G314" s="62" t="s">
        <v>25</v>
      </c>
      <c r="H314" s="62" t="s">
        <v>35</v>
      </c>
      <c r="I314" s="75">
        <v>44562</v>
      </c>
      <c r="J314" s="76">
        <f ca="1">EFEITO!$J$314*EFEITO!$Y$314</f>
        <v>26763.333584493867</v>
      </c>
      <c r="K314" s="76">
        <f ca="1">EFEITO!$L$314*EFEITO!$Z$314</f>
        <v>38451.665883741676</v>
      </c>
      <c r="L314" s="76">
        <f>EFEITO!$N$314*EFEITO!$AA$314</f>
        <v>87634.91666638483</v>
      </c>
      <c r="M314" s="76">
        <f ca="1">$J$314-EFEITO!$K$314*EFEITO!$Y$314</f>
        <v>0</v>
      </c>
      <c r="N314" s="76">
        <f ca="1">$K$314-EFEITO!$M$314*EFEITO!$Z$314</f>
        <v>0</v>
      </c>
      <c r="O314" s="76">
        <f>$L$314-EFEITO!$O$314*EFEITO!$AA$314</f>
        <v>0</v>
      </c>
      <c r="P314" s="18"/>
      <c r="Q314" s="18"/>
      <c r="R314" s="18"/>
      <c r="S314" s="18"/>
      <c r="T314" s="18"/>
      <c r="U314" s="18"/>
      <c r="V314" s="18"/>
      <c r="W314" s="1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62" t="s">
        <v>28</v>
      </c>
      <c r="B315" s="62" t="s">
        <v>41</v>
      </c>
      <c r="C315" s="62" t="s">
        <v>40</v>
      </c>
      <c r="D315" s="62" t="s">
        <v>43</v>
      </c>
      <c r="E315" s="62" t="s">
        <v>25</v>
      </c>
      <c r="F315" s="62" t="s">
        <v>25</v>
      </c>
      <c r="G315" s="62" t="s">
        <v>25</v>
      </c>
      <c r="H315" s="62" t="s">
        <v>35</v>
      </c>
      <c r="I315" s="75">
        <v>44562</v>
      </c>
      <c r="J315" s="76">
        <f ca="1">EFEITO!$J$315*EFEITO!$Y$315</f>
        <v>1668.9829406811318</v>
      </c>
      <c r="K315" s="76">
        <f ca="1">EFEITO!$L$315*EFEITO!$Z$315</f>
        <v>2116.0998488520245</v>
      </c>
      <c r="L315" s="76">
        <f>EFEITO!$N$315*EFEITO!$AA$315</f>
        <v>4822.7880288096221</v>
      </c>
      <c r="M315" s="76">
        <f ca="1">$J$315-EFEITO!$K$315*EFEITO!$Y$315</f>
        <v>0</v>
      </c>
      <c r="N315" s="76">
        <f ca="1">$K$315-EFEITO!$M$315*EFEITO!$Z$315</f>
        <v>0</v>
      </c>
      <c r="O315" s="76">
        <f>$L$315-EFEITO!$O$315*EFEITO!$AA$315</f>
        <v>0</v>
      </c>
      <c r="P315" s="18"/>
      <c r="Q315" s="18"/>
      <c r="R315" s="18"/>
      <c r="S315" s="18"/>
      <c r="T315" s="18"/>
      <c r="U315" s="18"/>
      <c r="V315" s="18"/>
      <c r="W315" s="1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62" t="s">
        <v>21</v>
      </c>
      <c r="B316" s="62" t="s">
        <v>41</v>
      </c>
      <c r="C316" s="62" t="s">
        <v>40</v>
      </c>
      <c r="D316" s="62" t="s">
        <v>43</v>
      </c>
      <c r="E316" s="62" t="s">
        <v>25</v>
      </c>
      <c r="F316" s="62" t="s">
        <v>25</v>
      </c>
      <c r="G316" s="62" t="s">
        <v>25</v>
      </c>
      <c r="H316" s="62" t="s">
        <v>35</v>
      </c>
      <c r="I316" s="75">
        <v>44593</v>
      </c>
      <c r="J316" s="76">
        <f ca="1">EFEITO!$J$316*EFEITO!$Y$316</f>
        <v>26167.268248536318</v>
      </c>
      <c r="K316" s="76">
        <f ca="1">EFEITO!$L$316*EFEITO!$Z$316</f>
        <v>34387.275364153378</v>
      </c>
      <c r="L316" s="76">
        <f>EFEITO!$N$316*EFEITO!$AA$316</f>
        <v>78371.793306250576</v>
      </c>
      <c r="M316" s="76">
        <f ca="1">$J$316-EFEITO!$K$316*EFEITO!$Y$316</f>
        <v>0</v>
      </c>
      <c r="N316" s="76">
        <f ca="1">$K$316-EFEITO!$M$316*EFEITO!$Z$316</f>
        <v>0</v>
      </c>
      <c r="O316" s="76">
        <f>$L$316-EFEITO!$O$316*EFEITO!$AA$316</f>
        <v>0</v>
      </c>
      <c r="P316" s="18"/>
      <c r="Q316" s="18"/>
      <c r="R316" s="18"/>
      <c r="S316" s="18"/>
      <c r="T316" s="18"/>
      <c r="U316" s="18"/>
      <c r="V316" s="18"/>
      <c r="W316" s="1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62" t="s">
        <v>28</v>
      </c>
      <c r="B317" s="62" t="s">
        <v>41</v>
      </c>
      <c r="C317" s="62" t="s">
        <v>40</v>
      </c>
      <c r="D317" s="62" t="s">
        <v>43</v>
      </c>
      <c r="E317" s="62" t="s">
        <v>25</v>
      </c>
      <c r="F317" s="62" t="s">
        <v>25</v>
      </c>
      <c r="G317" s="62" t="s">
        <v>25</v>
      </c>
      <c r="H317" s="62" t="s">
        <v>35</v>
      </c>
      <c r="I317" s="75">
        <v>44593</v>
      </c>
      <c r="J317" s="76">
        <f ca="1">EFEITO!$J$317*EFEITO!$Y$317</f>
        <v>1668.9829406811318</v>
      </c>
      <c r="K317" s="76">
        <f ca="1">EFEITO!$L$317*EFEITO!$Z$317</f>
        <v>2163.1029110269542</v>
      </c>
      <c r="L317" s="76">
        <f>EFEITO!$N$317*EFEITO!$AA$317</f>
        <v>4929.9123715941187</v>
      </c>
      <c r="M317" s="76">
        <f ca="1">$J$317-EFEITO!$K$317*EFEITO!$Y$317</f>
        <v>0</v>
      </c>
      <c r="N317" s="76">
        <f ca="1">$K$317-EFEITO!$M$317*EFEITO!$Z$317</f>
        <v>0</v>
      </c>
      <c r="O317" s="76">
        <f>$L$317-EFEITO!$O$317*EFEITO!$AA$317</f>
        <v>0</v>
      </c>
      <c r="P317" s="18"/>
      <c r="Q317" s="18"/>
      <c r="R317" s="18"/>
      <c r="S317" s="18"/>
      <c r="T317" s="18"/>
      <c r="U317" s="18"/>
      <c r="V317" s="18"/>
      <c r="W317" s="1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62" t="s">
        <v>21</v>
      </c>
      <c r="B318" s="62" t="s">
        <v>41</v>
      </c>
      <c r="C318" s="62" t="s">
        <v>40</v>
      </c>
      <c r="D318" s="62" t="s">
        <v>43</v>
      </c>
      <c r="E318" s="62" t="s">
        <v>25</v>
      </c>
      <c r="F318" s="62" t="s">
        <v>25</v>
      </c>
      <c r="G318" s="62" t="s">
        <v>25</v>
      </c>
      <c r="H318" s="62" t="s">
        <v>35</v>
      </c>
      <c r="I318" s="75">
        <v>44621</v>
      </c>
      <c r="J318" s="76">
        <f ca="1">EFEITO!$J$318*EFEITO!$Y$318</f>
        <v>26733.53031769599</v>
      </c>
      <c r="K318" s="76">
        <f ca="1">EFEITO!$L$318*EFEITO!$Z$318</f>
        <v>37784.414811053706</v>
      </c>
      <c r="L318" s="76">
        <f>EFEITO!$N$318*EFEITO!$AA$318</f>
        <v>86114.189519546431</v>
      </c>
      <c r="M318" s="76">
        <f ca="1">$J$318-EFEITO!$K$318*EFEITO!$Y$318</f>
        <v>0</v>
      </c>
      <c r="N318" s="76">
        <f ca="1">$K$318-EFEITO!$M$318*EFEITO!$Z$318</f>
        <v>0</v>
      </c>
      <c r="O318" s="76">
        <f>$L$318-EFEITO!$O$318*EFEITO!$AA$318</f>
        <v>0</v>
      </c>
      <c r="P318" s="18"/>
      <c r="Q318" s="18"/>
      <c r="R318" s="18"/>
      <c r="S318" s="18"/>
      <c r="T318" s="18"/>
      <c r="U318" s="18"/>
      <c r="V318" s="18"/>
      <c r="W318" s="1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62" t="s">
        <v>27</v>
      </c>
      <c r="B319" s="62" t="s">
        <v>41</v>
      </c>
      <c r="C319" s="62" t="s">
        <v>40</v>
      </c>
      <c r="D319" s="62" t="s">
        <v>43</v>
      </c>
      <c r="E319" s="62" t="s">
        <v>25</v>
      </c>
      <c r="F319" s="62" t="s">
        <v>25</v>
      </c>
      <c r="G319" s="62" t="s">
        <v>25</v>
      </c>
      <c r="H319" s="62" t="s">
        <v>35</v>
      </c>
      <c r="I319" s="75">
        <v>44621</v>
      </c>
      <c r="J319" s="76">
        <f ca="1">EFEITO!$J$319*EFEITO!$Y$319</f>
        <v>149.01633398938679</v>
      </c>
      <c r="K319" s="76">
        <f ca="1">EFEITO!$L$319*EFEITO!$Z$319</f>
        <v>-69.267670573580588</v>
      </c>
      <c r="L319" s="76">
        <f>EFEITO!$N$319*EFEITO!$AA$319</f>
        <v>-157.86745252452098</v>
      </c>
      <c r="M319" s="76">
        <f ca="1">$J$319-EFEITO!$K$319*EFEITO!$Y$319</f>
        <v>0</v>
      </c>
      <c r="N319" s="76">
        <f ca="1">$K$319-EFEITO!$M$319*EFEITO!$Z$319</f>
        <v>0</v>
      </c>
      <c r="O319" s="76">
        <f>$L$319-EFEITO!$O$319*EFEITO!$AA$319</f>
        <v>0</v>
      </c>
      <c r="P319" s="18"/>
      <c r="Q319" s="18"/>
      <c r="R319" s="18"/>
      <c r="S319" s="18"/>
      <c r="T319" s="18"/>
      <c r="U319" s="18"/>
      <c r="V319" s="18"/>
      <c r="W319" s="1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62" t="s">
        <v>28</v>
      </c>
      <c r="B320" s="62" t="s">
        <v>41</v>
      </c>
      <c r="C320" s="62" t="s">
        <v>40</v>
      </c>
      <c r="D320" s="62" t="s">
        <v>43</v>
      </c>
      <c r="E320" s="62" t="s">
        <v>25</v>
      </c>
      <c r="F320" s="62" t="s">
        <v>25</v>
      </c>
      <c r="G320" s="62" t="s">
        <v>25</v>
      </c>
      <c r="H320" s="62" t="s">
        <v>35</v>
      </c>
      <c r="I320" s="75">
        <v>44621</v>
      </c>
      <c r="J320" s="76">
        <f ca="1">EFEITO!$J$320*EFEITO!$Y$320</f>
        <v>1668.9829406811318</v>
      </c>
      <c r="K320" s="76">
        <f ca="1">EFEITO!$L$320*EFEITO!$Z$320</f>
        <v>1982.2373267514938</v>
      </c>
      <c r="L320" s="76">
        <f>EFEITO!$N$320*EFEITO!$AA$320</f>
        <v>4517.7029122245358</v>
      </c>
      <c r="M320" s="76">
        <f ca="1">$J$320-EFEITO!$K$320*EFEITO!$Y$320</f>
        <v>0</v>
      </c>
      <c r="N320" s="76">
        <f ca="1">$K$320-EFEITO!$M$320*EFEITO!$Z$320</f>
        <v>0</v>
      </c>
      <c r="O320" s="76">
        <f>$L$320-EFEITO!$O$320*EFEITO!$AA$320</f>
        <v>0</v>
      </c>
      <c r="P320" s="18"/>
      <c r="Q320" s="18"/>
      <c r="R320" s="18"/>
      <c r="S320" s="18"/>
      <c r="T320" s="18"/>
      <c r="U320" s="18"/>
      <c r="V320" s="18"/>
      <c r="W320" s="1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62" t="s">
        <v>21</v>
      </c>
      <c r="B321" s="62" t="s">
        <v>41</v>
      </c>
      <c r="C321" s="62" t="s">
        <v>40</v>
      </c>
      <c r="D321" s="62" t="s">
        <v>43</v>
      </c>
      <c r="E321" s="62" t="s">
        <v>25</v>
      </c>
      <c r="F321" s="62" t="s">
        <v>25</v>
      </c>
      <c r="G321" s="62" t="s">
        <v>25</v>
      </c>
      <c r="H321" s="62" t="s">
        <v>35</v>
      </c>
      <c r="I321" s="75">
        <v>44652</v>
      </c>
      <c r="J321" s="76">
        <f ca="1">EFEITO!$J$321*EFEITO!$Y$321</f>
        <v>37820.345566506367</v>
      </c>
      <c r="K321" s="76">
        <f ca="1">EFEITO!$L$321*EFEITO!$Z$321</f>
        <v>54010.36664291496</v>
      </c>
      <c r="L321" s="76">
        <f>EFEITO!$N$321*EFEITO!$AA$321</f>
        <v>123094.64027341547</v>
      </c>
      <c r="M321" s="76">
        <f ca="1">$J$321-EFEITO!$K$321*EFEITO!$Y$321</f>
        <v>0</v>
      </c>
      <c r="N321" s="76">
        <f ca="1">$K$321-EFEITO!$M$321*EFEITO!$Z$321</f>
        <v>0</v>
      </c>
      <c r="O321" s="76">
        <f>$L$321-EFEITO!$O$321*EFEITO!$AA$321</f>
        <v>0</v>
      </c>
      <c r="P321" s="18"/>
      <c r="Q321" s="18"/>
      <c r="R321" s="18"/>
      <c r="S321" s="18"/>
      <c r="T321" s="18"/>
      <c r="U321" s="18"/>
      <c r="V321" s="18"/>
      <c r="W321" s="1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62" t="s">
        <v>28</v>
      </c>
      <c r="B322" s="62" t="s">
        <v>41</v>
      </c>
      <c r="C322" s="62" t="s">
        <v>40</v>
      </c>
      <c r="D322" s="62" t="s">
        <v>43</v>
      </c>
      <c r="E322" s="62" t="s">
        <v>25</v>
      </c>
      <c r="F322" s="62" t="s">
        <v>25</v>
      </c>
      <c r="G322" s="62" t="s">
        <v>25</v>
      </c>
      <c r="H322" s="62" t="s">
        <v>35</v>
      </c>
      <c r="I322" s="75">
        <v>44652</v>
      </c>
      <c r="J322" s="76">
        <f ca="1">EFEITO!$J$322*EFEITO!$Y$322</f>
        <v>1668.9829406811318</v>
      </c>
      <c r="K322" s="76">
        <f ca="1">EFEITO!$L$322*EFEITO!$Z$322</f>
        <v>2245.9767311774881</v>
      </c>
      <c r="L322" s="76">
        <f>EFEITO!$N$322*EFEITO!$AA$322</f>
        <v>5118.7895022930979</v>
      </c>
      <c r="M322" s="76">
        <f ca="1">$J$322-EFEITO!$K$322*EFEITO!$Y$322</f>
        <v>0</v>
      </c>
      <c r="N322" s="76">
        <f ca="1">$K$322-EFEITO!$M$322*EFEITO!$Z$322</f>
        <v>0</v>
      </c>
      <c r="O322" s="76">
        <f>$L$322-EFEITO!$O$322*EFEITO!$AA$322</f>
        <v>0</v>
      </c>
      <c r="P322" s="18"/>
      <c r="Q322" s="18"/>
      <c r="R322" s="18"/>
      <c r="S322" s="18"/>
      <c r="T322" s="18"/>
      <c r="U322" s="18"/>
      <c r="V322" s="18"/>
      <c r="W322" s="1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62" t="s">
        <v>58</v>
      </c>
      <c r="B323" s="62" t="s">
        <v>41</v>
      </c>
      <c r="C323" s="62" t="s">
        <v>40</v>
      </c>
      <c r="D323" s="62" t="s">
        <v>43</v>
      </c>
      <c r="E323" s="62" t="s">
        <v>25</v>
      </c>
      <c r="F323" s="62" t="s">
        <v>25</v>
      </c>
      <c r="G323" s="62" t="s">
        <v>25</v>
      </c>
      <c r="H323" s="62" t="s">
        <v>35</v>
      </c>
      <c r="I323" s="75">
        <v>44682</v>
      </c>
      <c r="J323" s="76">
        <f ca="1">EFEITO!$J$323*EFEITO!$Y$323</f>
        <v>37820.345566506367</v>
      </c>
      <c r="K323" s="76">
        <f ca="1">EFEITO!$L$323*EFEITO!$Z$323</f>
        <v>54010.36664291496</v>
      </c>
      <c r="L323" s="76">
        <f>EFEITO!$N$323*EFEITO!$AA$323</f>
        <v>123094.64027341547</v>
      </c>
      <c r="M323" s="76">
        <f ca="1">$J$323-EFEITO!$K$323*EFEITO!$Y$323</f>
        <v>0</v>
      </c>
      <c r="N323" s="76">
        <f ca="1">$K$323-EFEITO!$M$323*EFEITO!$Z$323</f>
        <v>0</v>
      </c>
      <c r="O323" s="76">
        <f>$L$323-EFEITO!$O$323*EFEITO!$AA$323</f>
        <v>0</v>
      </c>
      <c r="P323" s="18"/>
      <c r="Q323" s="18"/>
      <c r="R323" s="18"/>
      <c r="S323" s="18"/>
      <c r="T323" s="18"/>
      <c r="U323" s="18"/>
      <c r="V323" s="18"/>
      <c r="W323" s="1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62" t="s">
        <v>58</v>
      </c>
      <c r="B324" s="62" t="s">
        <v>41</v>
      </c>
      <c r="C324" s="62" t="s">
        <v>40</v>
      </c>
      <c r="D324" s="62" t="s">
        <v>43</v>
      </c>
      <c r="E324" s="62" t="s">
        <v>25</v>
      </c>
      <c r="F324" s="62" t="s">
        <v>25</v>
      </c>
      <c r="G324" s="62" t="s">
        <v>25</v>
      </c>
      <c r="H324" s="62" t="s">
        <v>35</v>
      </c>
      <c r="I324" s="75">
        <v>44682</v>
      </c>
      <c r="J324" s="76">
        <f ca="1">EFEITO!$J$324*EFEITO!$Y$324</f>
        <v>1668.9829406811318</v>
      </c>
      <c r="K324" s="76">
        <f ca="1">EFEITO!$L$324*EFEITO!$Z$324</f>
        <v>2245.9767311774881</v>
      </c>
      <c r="L324" s="76">
        <f>EFEITO!$N$324*EFEITO!$AA$324</f>
        <v>5118.7895022930979</v>
      </c>
      <c r="M324" s="76">
        <f ca="1">$J$324-EFEITO!$K$324*EFEITO!$Y$324</f>
        <v>0</v>
      </c>
      <c r="N324" s="76">
        <f ca="1">$K$324-EFEITO!$M$324*EFEITO!$Z$324</f>
        <v>0</v>
      </c>
      <c r="O324" s="76">
        <f>$L$324-EFEITO!$O$324*EFEITO!$AA$324</f>
        <v>0</v>
      </c>
      <c r="P324" s="18"/>
      <c r="Q324" s="18"/>
      <c r="R324" s="18"/>
      <c r="S324" s="18"/>
      <c r="T324" s="18"/>
      <c r="U324" s="18"/>
      <c r="V324" s="18"/>
      <c r="W324" s="1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62" t="s">
        <v>21</v>
      </c>
      <c r="B325" s="62" t="s">
        <v>41</v>
      </c>
      <c r="C325" s="62" t="s">
        <v>40</v>
      </c>
      <c r="D325" s="62" t="s">
        <v>43</v>
      </c>
      <c r="E325" s="62" t="s">
        <v>25</v>
      </c>
      <c r="F325" s="62" t="s">
        <v>25</v>
      </c>
      <c r="G325" s="62" t="s">
        <v>25</v>
      </c>
      <c r="H325" s="62" t="s">
        <v>34</v>
      </c>
      <c r="I325" s="75">
        <v>44348</v>
      </c>
      <c r="J325" s="76">
        <f ca="1">EFEITO!$J$325*EFEITO!$Y$325</f>
        <v>82420.750479519484</v>
      </c>
      <c r="K325" s="76">
        <f ca="1">EFEITO!$L$325*EFEITO!$Z$325</f>
        <v>5747.7048632097494</v>
      </c>
      <c r="L325" s="76">
        <f>EFEITO!$N$325*EFEITO!$AA$325</f>
        <v>21330.798261047476</v>
      </c>
      <c r="M325" s="76">
        <f ca="1">$J$325-EFEITO!$K$325*EFEITO!$Y$325</f>
        <v>0</v>
      </c>
      <c r="N325" s="76">
        <f ca="1">$K$325-EFEITO!$M$325*EFEITO!$Z$325</f>
        <v>0</v>
      </c>
      <c r="O325" s="76">
        <f>$L$325-EFEITO!$O$325*EFEITO!$AA$325</f>
        <v>0</v>
      </c>
      <c r="P325" s="18"/>
      <c r="Q325" s="18"/>
      <c r="R325" s="18"/>
      <c r="S325" s="18"/>
      <c r="T325" s="18"/>
      <c r="U325" s="18"/>
      <c r="V325" s="18"/>
      <c r="W325" s="1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62" t="s">
        <v>28</v>
      </c>
      <c r="B326" s="62" t="s">
        <v>41</v>
      </c>
      <c r="C326" s="62" t="s">
        <v>40</v>
      </c>
      <c r="D326" s="62" t="s">
        <v>43</v>
      </c>
      <c r="E326" s="62" t="s">
        <v>25</v>
      </c>
      <c r="F326" s="62" t="s">
        <v>25</v>
      </c>
      <c r="G326" s="62" t="s">
        <v>25</v>
      </c>
      <c r="H326" s="62" t="s">
        <v>34</v>
      </c>
      <c r="I326" s="75">
        <v>44348</v>
      </c>
      <c r="J326" s="76">
        <f ca="1">EFEITO!$J$326*EFEITO!$Y$326</f>
        <v>3619.5755013878634</v>
      </c>
      <c r="K326" s="76">
        <f ca="1">EFEITO!$L$326*EFEITO!$Z$326</f>
        <v>214.12506101912413</v>
      </c>
      <c r="L326" s="76">
        <f>EFEITO!$N$326*EFEITO!$AA$326</f>
        <v>794.65779610033167</v>
      </c>
      <c r="M326" s="76">
        <f ca="1">$J$326-EFEITO!$K$326*EFEITO!$Y$326</f>
        <v>0</v>
      </c>
      <c r="N326" s="76">
        <f ca="1">$K$326-EFEITO!$M$326*EFEITO!$Z$326</f>
        <v>0</v>
      </c>
      <c r="O326" s="76">
        <f>$L$326-EFEITO!$O$326*EFEITO!$AA$326</f>
        <v>0</v>
      </c>
      <c r="P326" s="18"/>
      <c r="Q326" s="18"/>
      <c r="R326" s="18"/>
      <c r="S326" s="18"/>
      <c r="T326" s="18"/>
      <c r="U326" s="18"/>
      <c r="V326" s="18"/>
      <c r="W326" s="1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62" t="s">
        <v>21</v>
      </c>
      <c r="B327" s="62" t="s">
        <v>41</v>
      </c>
      <c r="C327" s="62" t="s">
        <v>40</v>
      </c>
      <c r="D327" s="62" t="s">
        <v>43</v>
      </c>
      <c r="E327" s="62" t="s">
        <v>25</v>
      </c>
      <c r="F327" s="62" t="s">
        <v>25</v>
      </c>
      <c r="G327" s="62" t="s">
        <v>25</v>
      </c>
      <c r="H327" s="62" t="s">
        <v>34</v>
      </c>
      <c r="I327" s="75">
        <v>44378</v>
      </c>
      <c r="J327" s="76">
        <f ca="1">EFEITO!$J$327*EFEITO!$Y$327</f>
        <v>88227.152846329176</v>
      </c>
      <c r="K327" s="76">
        <f ca="1">EFEITO!$L$327*EFEITO!$Z$327</f>
        <v>5839.2371421819817</v>
      </c>
      <c r="L327" s="76">
        <f>EFEITO!$N$327*EFEITO!$AA$327</f>
        <v>21670.49151663337</v>
      </c>
      <c r="M327" s="76">
        <f ca="1">$J$327-EFEITO!$K$327*EFEITO!$Y$327</f>
        <v>0</v>
      </c>
      <c r="N327" s="76">
        <f ca="1">$K$327-EFEITO!$M$327*EFEITO!$Z$327</f>
        <v>0</v>
      </c>
      <c r="O327" s="76">
        <f>$L$327-EFEITO!$O$327*EFEITO!$AA$327</f>
        <v>0</v>
      </c>
      <c r="P327" s="18"/>
      <c r="Q327" s="18"/>
      <c r="R327" s="18"/>
      <c r="S327" s="18"/>
      <c r="T327" s="18"/>
      <c r="U327" s="18"/>
      <c r="V327" s="18"/>
      <c r="W327" s="1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62" t="s">
        <v>28</v>
      </c>
      <c r="B328" s="62" t="s">
        <v>41</v>
      </c>
      <c r="C328" s="62" t="s">
        <v>40</v>
      </c>
      <c r="D328" s="62" t="s">
        <v>43</v>
      </c>
      <c r="E328" s="62" t="s">
        <v>25</v>
      </c>
      <c r="F328" s="62" t="s">
        <v>25</v>
      </c>
      <c r="G328" s="62" t="s">
        <v>25</v>
      </c>
      <c r="H328" s="62" t="s">
        <v>34</v>
      </c>
      <c r="I328" s="75">
        <v>44378</v>
      </c>
      <c r="J328" s="76">
        <f ca="1">EFEITO!$J$328*EFEITO!$Y$328</f>
        <v>3619.5755013878634</v>
      </c>
      <c r="K328" s="76">
        <f ca="1">EFEITO!$L$328*EFEITO!$Z$328</f>
        <v>140.59687896185108</v>
      </c>
      <c r="L328" s="76">
        <f>EFEITO!$N$328*EFEITO!$AA$328</f>
        <v>521.78108177833064</v>
      </c>
      <c r="M328" s="76">
        <f ca="1">$J$328-EFEITO!$K$328*EFEITO!$Y$328</f>
        <v>0</v>
      </c>
      <c r="N328" s="76">
        <f ca="1">$K$328-EFEITO!$M$328*EFEITO!$Z$328</f>
        <v>0</v>
      </c>
      <c r="O328" s="76">
        <f>$L$328-EFEITO!$O$328*EFEITO!$AA$328</f>
        <v>0</v>
      </c>
      <c r="P328" s="18"/>
      <c r="Q328" s="18"/>
      <c r="R328" s="18"/>
      <c r="S328" s="18"/>
      <c r="T328" s="18"/>
      <c r="U328" s="18"/>
      <c r="V328" s="18"/>
      <c r="W328" s="1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62" t="s">
        <v>21</v>
      </c>
      <c r="B329" s="62" t="s">
        <v>41</v>
      </c>
      <c r="C329" s="62" t="s">
        <v>40</v>
      </c>
      <c r="D329" s="62" t="s">
        <v>43</v>
      </c>
      <c r="E329" s="62" t="s">
        <v>25</v>
      </c>
      <c r="F329" s="62" t="s">
        <v>25</v>
      </c>
      <c r="G329" s="62" t="s">
        <v>25</v>
      </c>
      <c r="H329" s="62" t="s">
        <v>34</v>
      </c>
      <c r="I329" s="75">
        <v>44409</v>
      </c>
      <c r="J329" s="76">
        <f ca="1">EFEITO!$J$329*EFEITO!$Y$329</f>
        <v>76011.08552914513</v>
      </c>
      <c r="K329" s="76">
        <f ca="1">EFEITO!$L$329*EFEITO!$Z$329</f>
        <v>5392.4331798115236</v>
      </c>
      <c r="L329" s="76">
        <f>EFEITO!$N$329*EFEITO!$AA$329</f>
        <v>20012.319183435564</v>
      </c>
      <c r="M329" s="76">
        <f ca="1">$J$329-EFEITO!$K$329*EFEITO!$Y$329</f>
        <v>0</v>
      </c>
      <c r="N329" s="76">
        <f ca="1">$K$329-EFEITO!$M$329*EFEITO!$Z$329</f>
        <v>0</v>
      </c>
      <c r="O329" s="76">
        <f>$L$329-EFEITO!$O$329*EFEITO!$AA$329</f>
        <v>0</v>
      </c>
      <c r="P329" s="18"/>
      <c r="Q329" s="18"/>
      <c r="R329" s="18"/>
      <c r="S329" s="18"/>
      <c r="T329" s="18"/>
      <c r="U329" s="18"/>
      <c r="V329" s="18"/>
      <c r="W329" s="1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62" t="s">
        <v>27</v>
      </c>
      <c r="B330" s="62" t="s">
        <v>41</v>
      </c>
      <c r="C330" s="62" t="s">
        <v>40</v>
      </c>
      <c r="D330" s="62" t="s">
        <v>43</v>
      </c>
      <c r="E330" s="62" t="s">
        <v>25</v>
      </c>
      <c r="F330" s="62" t="s">
        <v>25</v>
      </c>
      <c r="G330" s="62" t="s">
        <v>25</v>
      </c>
      <c r="H330" s="62" t="s">
        <v>34</v>
      </c>
      <c r="I330" s="75">
        <v>44409</v>
      </c>
      <c r="J330" s="76">
        <f ca="1">EFEITO!$J$330*EFEITO!$Y$330</f>
        <v>-7389.9666486668884</v>
      </c>
      <c r="K330" s="76">
        <f ca="1">EFEITO!$L$330*EFEITO!$Z$330</f>
        <v>-573.10751248379177</v>
      </c>
      <c r="L330" s="76">
        <f>EFEITO!$N$330*EFEITO!$AA$330</f>
        <v>-2126.9082219116708</v>
      </c>
      <c r="M330" s="76">
        <f ca="1">$J$330-EFEITO!$K$330*EFEITO!$Y$330</f>
        <v>0</v>
      </c>
      <c r="N330" s="76">
        <f ca="1">$K$330-EFEITO!$M$330*EFEITO!$Z$330</f>
        <v>0</v>
      </c>
      <c r="O330" s="76">
        <f>$L$330-EFEITO!$O$330*EFEITO!$AA$330</f>
        <v>0</v>
      </c>
      <c r="P330" s="18"/>
      <c r="Q330" s="18"/>
      <c r="R330" s="18"/>
      <c r="S330" s="18"/>
      <c r="T330" s="18"/>
      <c r="U330" s="18"/>
      <c r="V330" s="18"/>
      <c r="W330" s="1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62" t="s">
        <v>28</v>
      </c>
      <c r="B331" s="62" t="s">
        <v>41</v>
      </c>
      <c r="C331" s="62" t="s">
        <v>40</v>
      </c>
      <c r="D331" s="62" t="s">
        <v>43</v>
      </c>
      <c r="E331" s="62" t="s">
        <v>25</v>
      </c>
      <c r="F331" s="62" t="s">
        <v>25</v>
      </c>
      <c r="G331" s="62" t="s">
        <v>25</v>
      </c>
      <c r="H331" s="62" t="s">
        <v>34</v>
      </c>
      <c r="I331" s="75">
        <v>44409</v>
      </c>
      <c r="J331" s="76">
        <f ca="1">EFEITO!$J$331*EFEITO!$Y$331</f>
        <v>3619.5755013878634</v>
      </c>
      <c r="K331" s="76">
        <f ca="1">EFEITO!$L$331*EFEITO!$Z$331</f>
        <v>169.04610080457167</v>
      </c>
      <c r="L331" s="76">
        <f>EFEITO!$N$331*EFEITO!$AA$331</f>
        <v>627.361417973946</v>
      </c>
      <c r="M331" s="76">
        <f ca="1">$J$331-EFEITO!$K$331*EFEITO!$Y$331</f>
        <v>0</v>
      </c>
      <c r="N331" s="76">
        <f ca="1">$K$331-EFEITO!$M$331*EFEITO!$Z$331</f>
        <v>0</v>
      </c>
      <c r="O331" s="76">
        <f>$L$331-EFEITO!$O$331*EFEITO!$AA$331</f>
        <v>0</v>
      </c>
      <c r="P331" s="18"/>
      <c r="Q331" s="18"/>
      <c r="R331" s="18"/>
      <c r="S331" s="18"/>
      <c r="T331" s="18"/>
      <c r="U331" s="18"/>
      <c r="V331" s="18"/>
      <c r="W331" s="1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62" t="s">
        <v>21</v>
      </c>
      <c r="B332" s="62" t="s">
        <v>41</v>
      </c>
      <c r="C332" s="62" t="s">
        <v>40</v>
      </c>
      <c r="D332" s="62" t="s">
        <v>43</v>
      </c>
      <c r="E332" s="62" t="s">
        <v>25</v>
      </c>
      <c r="F332" s="62" t="s">
        <v>25</v>
      </c>
      <c r="G332" s="62" t="s">
        <v>25</v>
      </c>
      <c r="H332" s="62" t="s">
        <v>34</v>
      </c>
      <c r="I332" s="75">
        <v>44440</v>
      </c>
      <c r="J332" s="76">
        <f ca="1">EFEITO!$J$332*EFEITO!$Y$332</f>
        <v>73598.035194886557</v>
      </c>
      <c r="K332" s="76">
        <f ca="1">EFEITO!$L$332*EFEITO!$Z$332</f>
        <v>5627.036183123234</v>
      </c>
      <c r="L332" s="76">
        <f>EFEITO!$N$332*EFEITO!$AA$332</f>
        <v>20882.97441959941</v>
      </c>
      <c r="M332" s="76">
        <f ca="1">$J$332-EFEITO!$K$332*EFEITO!$Y$332</f>
        <v>0</v>
      </c>
      <c r="N332" s="76">
        <f ca="1">$K$332-EFEITO!$M$332*EFEITO!$Z$332</f>
        <v>0</v>
      </c>
      <c r="O332" s="76">
        <f>$L$332-EFEITO!$O$332*EFEITO!$AA$332</f>
        <v>0</v>
      </c>
      <c r="P332" s="18"/>
      <c r="Q332" s="18"/>
      <c r="R332" s="18"/>
      <c r="S332" s="18"/>
      <c r="T332" s="18"/>
      <c r="U332" s="18"/>
      <c r="V332" s="18"/>
      <c r="W332" s="1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62" t="s">
        <v>28</v>
      </c>
      <c r="B333" s="62" t="s">
        <v>41</v>
      </c>
      <c r="C333" s="62" t="s">
        <v>40</v>
      </c>
      <c r="D333" s="62" t="s">
        <v>43</v>
      </c>
      <c r="E333" s="62" t="s">
        <v>25</v>
      </c>
      <c r="F333" s="62" t="s">
        <v>25</v>
      </c>
      <c r="G333" s="62" t="s">
        <v>25</v>
      </c>
      <c r="H333" s="62" t="s">
        <v>34</v>
      </c>
      <c r="I333" s="75">
        <v>44440</v>
      </c>
      <c r="J333" s="76">
        <f ca="1">EFEITO!$J$333*EFEITO!$Y$333</f>
        <v>3619.5755013878634</v>
      </c>
      <c r="K333" s="76">
        <f ca="1">EFEITO!$L$333*EFEITO!$Z$333</f>
        <v>202.85532096548602</v>
      </c>
      <c r="L333" s="76">
        <f>EFEITO!$N$333*EFEITO!$AA$333</f>
        <v>752.83370156873525</v>
      </c>
      <c r="M333" s="76">
        <f ca="1">$J$333-EFEITO!$K$333*EFEITO!$Y$333</f>
        <v>0</v>
      </c>
      <c r="N333" s="76">
        <f ca="1">$K$333-EFEITO!$M$333*EFEITO!$Z$333</f>
        <v>0</v>
      </c>
      <c r="O333" s="76">
        <f>$L$333-EFEITO!$O$333*EFEITO!$AA$333</f>
        <v>0</v>
      </c>
      <c r="P333" s="18"/>
      <c r="Q333" s="18"/>
      <c r="R333" s="18"/>
      <c r="S333" s="18"/>
      <c r="T333" s="18"/>
      <c r="U333" s="18"/>
      <c r="V333" s="18"/>
      <c r="W333" s="1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62" t="s">
        <v>21</v>
      </c>
      <c r="B334" s="62" t="s">
        <v>41</v>
      </c>
      <c r="C334" s="62" t="s">
        <v>40</v>
      </c>
      <c r="D334" s="62" t="s">
        <v>43</v>
      </c>
      <c r="E334" s="62" t="s">
        <v>25</v>
      </c>
      <c r="F334" s="62" t="s">
        <v>25</v>
      </c>
      <c r="G334" s="62" t="s">
        <v>25</v>
      </c>
      <c r="H334" s="62" t="s">
        <v>34</v>
      </c>
      <c r="I334" s="75">
        <v>44470</v>
      </c>
      <c r="J334" s="76">
        <f ca="1">EFEITO!$J$334*EFEITO!$Y$334</f>
        <v>66358.88419211084</v>
      </c>
      <c r="K334" s="76">
        <f ca="1">EFEITO!$L$334*EFEITO!$Z$334</f>
        <v>4576.0642051943241</v>
      </c>
      <c r="L334" s="76">
        <f>EFEITO!$N$334*EFEITO!$AA$334</f>
        <v>16982.62257956139</v>
      </c>
      <c r="M334" s="76">
        <f ca="1">$J$334-EFEITO!$K$334*EFEITO!$Y$334</f>
        <v>0</v>
      </c>
      <c r="N334" s="76">
        <f ca="1">$K$334-EFEITO!$M$334*EFEITO!$Z$334</f>
        <v>0</v>
      </c>
      <c r="O334" s="76">
        <f>$L$334-EFEITO!$O$334*EFEITO!$AA$334</f>
        <v>0</v>
      </c>
      <c r="P334" s="18"/>
      <c r="Q334" s="18"/>
      <c r="R334" s="18"/>
      <c r="S334" s="18"/>
      <c r="T334" s="18"/>
      <c r="U334" s="18"/>
      <c r="V334" s="18"/>
      <c r="W334" s="1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62" t="s">
        <v>27</v>
      </c>
      <c r="B335" s="62" t="s">
        <v>41</v>
      </c>
      <c r="C335" s="62" t="s">
        <v>40</v>
      </c>
      <c r="D335" s="62" t="s">
        <v>43</v>
      </c>
      <c r="E335" s="62" t="s">
        <v>25</v>
      </c>
      <c r="F335" s="62" t="s">
        <v>25</v>
      </c>
      <c r="G335" s="62" t="s">
        <v>25</v>
      </c>
      <c r="H335" s="62" t="s">
        <v>34</v>
      </c>
      <c r="I335" s="75">
        <v>44470</v>
      </c>
      <c r="J335" s="76">
        <f ca="1">EFEITO!$J$335*EFEITO!$Y$335</f>
        <v>-8747.3074616873364</v>
      </c>
      <c r="K335" s="76">
        <f ca="1">EFEITO!$L$335*EFEITO!$Z$335</f>
        <v>-749.43771356693446</v>
      </c>
      <c r="L335" s="76">
        <f>EFEITO!$N$335*EFEITO!$AA$335</f>
        <v>-2781.302286351161</v>
      </c>
      <c r="M335" s="76">
        <f ca="1">$J$335-EFEITO!$K$335*EFEITO!$Y$335</f>
        <v>0</v>
      </c>
      <c r="N335" s="76">
        <f ca="1">$K$335-EFEITO!$M$335*EFEITO!$Z$335</f>
        <v>0</v>
      </c>
      <c r="O335" s="76">
        <f>$L$335-EFEITO!$O$335*EFEITO!$AA$335</f>
        <v>0</v>
      </c>
      <c r="P335" s="18"/>
      <c r="Q335" s="18"/>
      <c r="R335" s="18"/>
      <c r="S335" s="18"/>
      <c r="T335" s="18"/>
      <c r="U335" s="18"/>
      <c r="V335" s="18"/>
      <c r="W335" s="1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62" t="s">
        <v>28</v>
      </c>
      <c r="B336" s="62" t="s">
        <v>41</v>
      </c>
      <c r="C336" s="62" t="s">
        <v>40</v>
      </c>
      <c r="D336" s="62" t="s">
        <v>43</v>
      </c>
      <c r="E336" s="62" t="s">
        <v>25</v>
      </c>
      <c r="F336" s="62" t="s">
        <v>25</v>
      </c>
      <c r="G336" s="62" t="s">
        <v>25</v>
      </c>
      <c r="H336" s="62" t="s">
        <v>34</v>
      </c>
      <c r="I336" s="75">
        <v>44470</v>
      </c>
      <c r="J336" s="76">
        <f ca="1">EFEITO!$J$336*EFEITO!$Y$336</f>
        <v>3619.5755013878634</v>
      </c>
      <c r="K336" s="76">
        <f ca="1">EFEITO!$L$336*EFEITO!$Z$336</f>
        <v>236.66454112640034</v>
      </c>
      <c r="L336" s="76">
        <f>EFEITO!$N$336*EFEITO!$AA$336</f>
        <v>878.3059851635245</v>
      </c>
      <c r="M336" s="76">
        <f ca="1">$J$336-EFEITO!$K$336*EFEITO!$Y$336</f>
        <v>0</v>
      </c>
      <c r="N336" s="76">
        <f ca="1">$K$336-EFEITO!$M$336*EFEITO!$Z$336</f>
        <v>0</v>
      </c>
      <c r="O336" s="76">
        <f>$L$336-EFEITO!$O$336*EFEITO!$AA$336</f>
        <v>0</v>
      </c>
      <c r="P336" s="18"/>
      <c r="Q336" s="18"/>
      <c r="R336" s="18"/>
      <c r="S336" s="18"/>
      <c r="T336" s="18"/>
      <c r="U336" s="18"/>
      <c r="V336" s="18"/>
      <c r="W336" s="1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62" t="s">
        <v>21</v>
      </c>
      <c r="B337" s="62" t="s">
        <v>41</v>
      </c>
      <c r="C337" s="62" t="s">
        <v>40</v>
      </c>
      <c r="D337" s="62" t="s">
        <v>43</v>
      </c>
      <c r="E337" s="62" t="s">
        <v>25</v>
      </c>
      <c r="F337" s="62" t="s">
        <v>25</v>
      </c>
      <c r="G337" s="62" t="s">
        <v>25</v>
      </c>
      <c r="H337" s="62" t="s">
        <v>34</v>
      </c>
      <c r="I337" s="75">
        <v>44501</v>
      </c>
      <c r="J337" s="76">
        <f ca="1">EFEITO!$J$337*EFEITO!$Y$337</f>
        <v>59119.733189335107</v>
      </c>
      <c r="K337" s="76">
        <f ca="1">EFEITO!$L$337*EFEITO!$Z$337</f>
        <v>4166.917666905535</v>
      </c>
      <c r="L337" s="76">
        <f>EFEITO!$N$337*EFEITO!$AA$337</f>
        <v>15464.203928091114</v>
      </c>
      <c r="M337" s="76">
        <f ca="1">$J$337-EFEITO!$K$337*EFEITO!$Y$337</f>
        <v>0</v>
      </c>
      <c r="N337" s="76">
        <f ca="1">$K$337-EFEITO!$M$337*EFEITO!$Z$337</f>
        <v>0</v>
      </c>
      <c r="O337" s="76">
        <f>$L$337-EFEITO!$O$337*EFEITO!$AA$337</f>
        <v>0</v>
      </c>
      <c r="P337" s="18"/>
      <c r="Q337" s="18"/>
      <c r="R337" s="18"/>
      <c r="S337" s="18"/>
      <c r="T337" s="18"/>
      <c r="U337" s="18"/>
      <c r="V337" s="18"/>
      <c r="W337" s="1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62" t="s">
        <v>28</v>
      </c>
      <c r="B338" s="62" t="s">
        <v>41</v>
      </c>
      <c r="C338" s="62" t="s">
        <v>40</v>
      </c>
      <c r="D338" s="62" t="s">
        <v>43</v>
      </c>
      <c r="E338" s="62" t="s">
        <v>25</v>
      </c>
      <c r="F338" s="62" t="s">
        <v>25</v>
      </c>
      <c r="G338" s="62" t="s">
        <v>25</v>
      </c>
      <c r="H338" s="62" t="s">
        <v>34</v>
      </c>
      <c r="I338" s="75">
        <v>44501</v>
      </c>
      <c r="J338" s="76">
        <f ca="1">EFEITO!$J$338*EFEITO!$Y$338</f>
        <v>3619.5755013878634</v>
      </c>
      <c r="K338" s="76">
        <f ca="1">EFEITO!$L$338*EFEITO!$Z$338</f>
        <v>185.95071088502885</v>
      </c>
      <c r="L338" s="76">
        <f>EFEITO!$N$338*EFEITO!$AA$338</f>
        <v>690.09755977134068</v>
      </c>
      <c r="M338" s="76">
        <f ca="1">$J$338-EFEITO!$K$338*EFEITO!$Y$338</f>
        <v>0</v>
      </c>
      <c r="N338" s="76">
        <f ca="1">$K$338-EFEITO!$M$338*EFEITO!$Z$338</f>
        <v>0</v>
      </c>
      <c r="O338" s="76">
        <f>$L$338-EFEITO!$O$338*EFEITO!$AA$338</f>
        <v>0</v>
      </c>
      <c r="P338" s="18"/>
      <c r="Q338" s="18"/>
      <c r="R338" s="18"/>
      <c r="S338" s="18"/>
      <c r="T338" s="18"/>
      <c r="U338" s="18"/>
      <c r="V338" s="18"/>
      <c r="W338" s="1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62" t="s">
        <v>21</v>
      </c>
      <c r="B339" s="62" t="s">
        <v>41</v>
      </c>
      <c r="C339" s="62" t="s">
        <v>40</v>
      </c>
      <c r="D339" s="62" t="s">
        <v>43</v>
      </c>
      <c r="E339" s="62" t="s">
        <v>25</v>
      </c>
      <c r="F339" s="62" t="s">
        <v>25</v>
      </c>
      <c r="G339" s="62" t="s">
        <v>25</v>
      </c>
      <c r="H339" s="62" t="s">
        <v>34</v>
      </c>
      <c r="I339" s="75">
        <v>44531</v>
      </c>
      <c r="J339" s="76">
        <f ca="1">EFEITO!$J$339*EFEITO!$Y$339</f>
        <v>81440.448781226936</v>
      </c>
      <c r="K339" s="76">
        <f ca="1">EFEITO!$L$339*EFEITO!$Z$339</f>
        <v>5919.499681100574</v>
      </c>
      <c r="L339" s="76">
        <f>EFEITO!$N$339*EFEITO!$AA$339</f>
        <v>21968.360677687666</v>
      </c>
      <c r="M339" s="76">
        <f ca="1">$J$339-EFEITO!$K$339*EFEITO!$Y$339</f>
        <v>0</v>
      </c>
      <c r="N339" s="76">
        <f ca="1">$K$339-EFEITO!$M$339*EFEITO!$Z$339</f>
        <v>0</v>
      </c>
      <c r="O339" s="76">
        <f>$L$339-EFEITO!$O$339*EFEITO!$AA$339</f>
        <v>0</v>
      </c>
      <c r="P339" s="18"/>
      <c r="Q339" s="18"/>
      <c r="R339" s="18"/>
      <c r="S339" s="18"/>
      <c r="T339" s="18"/>
      <c r="U339" s="18"/>
      <c r="V339" s="18"/>
      <c r="W339" s="1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62" t="s">
        <v>28</v>
      </c>
      <c r="B340" s="62" t="s">
        <v>41</v>
      </c>
      <c r="C340" s="62" t="s">
        <v>40</v>
      </c>
      <c r="D340" s="62" t="s">
        <v>43</v>
      </c>
      <c r="E340" s="62" t="s">
        <v>25</v>
      </c>
      <c r="F340" s="62" t="s">
        <v>25</v>
      </c>
      <c r="G340" s="62" t="s">
        <v>25</v>
      </c>
      <c r="H340" s="62" t="s">
        <v>34</v>
      </c>
      <c r="I340" s="75">
        <v>44531</v>
      </c>
      <c r="J340" s="76">
        <f ca="1">EFEITO!$J$340*EFEITO!$Y$340</f>
        <v>3619.5755013878634</v>
      </c>
      <c r="K340" s="76">
        <f ca="1">EFEITO!$L$340*EFEITO!$Z$340</f>
        <v>197.22045093866697</v>
      </c>
      <c r="L340" s="76">
        <f>EFEITO!$N$340*EFEITO!$AA$340</f>
        <v>731.9216543029371</v>
      </c>
      <c r="M340" s="76">
        <f ca="1">$J$340-EFEITO!$K$340*EFEITO!$Y$340</f>
        <v>0</v>
      </c>
      <c r="N340" s="76">
        <f ca="1">$K$340-EFEITO!$M$340*EFEITO!$Z$340</f>
        <v>0</v>
      </c>
      <c r="O340" s="76">
        <f>$L$340-EFEITO!$O$340*EFEITO!$AA$340</f>
        <v>0</v>
      </c>
      <c r="P340" s="18"/>
      <c r="Q340" s="18"/>
      <c r="R340" s="18"/>
      <c r="S340" s="18"/>
      <c r="T340" s="18"/>
      <c r="U340" s="18"/>
      <c r="V340" s="18"/>
      <c r="W340" s="1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62" t="s">
        <v>21</v>
      </c>
      <c r="B341" s="62" t="s">
        <v>41</v>
      </c>
      <c r="C341" s="62" t="s">
        <v>40</v>
      </c>
      <c r="D341" s="62" t="s">
        <v>43</v>
      </c>
      <c r="E341" s="62" t="s">
        <v>25</v>
      </c>
      <c r="F341" s="62" t="s">
        <v>25</v>
      </c>
      <c r="G341" s="62" t="s">
        <v>25</v>
      </c>
      <c r="H341" s="62" t="s">
        <v>34</v>
      </c>
      <c r="I341" s="75">
        <v>44562</v>
      </c>
      <c r="J341" s="76">
        <f ca="1">EFEITO!$J$341*EFEITO!$Y$341</f>
        <v>57686.984553369075</v>
      </c>
      <c r="K341" s="76">
        <f ca="1">EFEITO!$L$341*EFEITO!$Z$341</f>
        <v>4598.7411211559129</v>
      </c>
      <c r="L341" s="76">
        <f>EFEITO!$N$341*EFEITO!$AA$341</f>
        <v>17066.780818557894</v>
      </c>
      <c r="M341" s="76">
        <f ca="1">$J$341-EFEITO!$K$341*EFEITO!$Y$341</f>
        <v>0</v>
      </c>
      <c r="N341" s="76">
        <f ca="1">$K$341-EFEITO!$M$341*EFEITO!$Z$341</f>
        <v>0</v>
      </c>
      <c r="O341" s="76">
        <f>$L$341-EFEITO!$O$341*EFEITO!$AA$341</f>
        <v>0</v>
      </c>
      <c r="P341" s="18"/>
      <c r="Q341" s="18"/>
      <c r="R341" s="18"/>
      <c r="S341" s="18"/>
      <c r="T341" s="18"/>
      <c r="U341" s="18"/>
      <c r="V341" s="18"/>
      <c r="W341" s="1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62" t="s">
        <v>28</v>
      </c>
      <c r="B342" s="62" t="s">
        <v>41</v>
      </c>
      <c r="C342" s="62" t="s">
        <v>40</v>
      </c>
      <c r="D342" s="62" t="s">
        <v>43</v>
      </c>
      <c r="E342" s="62" t="s">
        <v>25</v>
      </c>
      <c r="F342" s="62" t="s">
        <v>25</v>
      </c>
      <c r="G342" s="62" t="s">
        <v>25</v>
      </c>
      <c r="H342" s="62" t="s">
        <v>34</v>
      </c>
      <c r="I342" s="75">
        <v>44562</v>
      </c>
      <c r="J342" s="76">
        <f ca="1">EFEITO!$J$342*EFEITO!$Y$342</f>
        <v>3619.5755013878634</v>
      </c>
      <c r="K342" s="76">
        <f ca="1">EFEITO!$L$342*EFEITO!$Z$342</f>
        <v>247.93428118003845</v>
      </c>
      <c r="L342" s="76">
        <f>EFEITO!$N$342*EFEITO!$AA$342</f>
        <v>920.13007969512091</v>
      </c>
      <c r="M342" s="76">
        <f ca="1">$J$342-EFEITO!$K$342*EFEITO!$Y$342</f>
        <v>0</v>
      </c>
      <c r="N342" s="76">
        <f ca="1">$K$342-EFEITO!$M$342*EFEITO!$Z$342</f>
        <v>0</v>
      </c>
      <c r="O342" s="76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62" t="s">
        <v>21</v>
      </c>
      <c r="B343" s="62" t="s">
        <v>41</v>
      </c>
      <c r="C343" s="62" t="s">
        <v>40</v>
      </c>
      <c r="D343" s="62" t="s">
        <v>43</v>
      </c>
      <c r="E343" s="62" t="s">
        <v>25</v>
      </c>
      <c r="F343" s="62" t="s">
        <v>25</v>
      </c>
      <c r="G343" s="62" t="s">
        <v>25</v>
      </c>
      <c r="H343" s="62" t="s">
        <v>34</v>
      </c>
      <c r="I343" s="75">
        <v>44593</v>
      </c>
      <c r="J343" s="76">
        <f ca="1">EFEITO!$J$343*EFEITO!$Y$343</f>
        <v>56254.23591740305</v>
      </c>
      <c r="K343" s="76">
        <f ca="1">EFEITO!$L$343*EFEITO!$Z$343</f>
        <v>4143.8284433810086</v>
      </c>
      <c r="L343" s="76">
        <f>EFEITO!$N$343*EFEITO!$AA$343</f>
        <v>15378.515539294673</v>
      </c>
      <c r="M343" s="76">
        <f ca="1">$J$343-EFEITO!$K$343*EFEITO!$Y$343</f>
        <v>0</v>
      </c>
      <c r="N343" s="76">
        <f ca="1">$K$343-EFEITO!$M$343*EFEITO!$Z$343</f>
        <v>0</v>
      </c>
      <c r="O343" s="76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62" t="s">
        <v>28</v>
      </c>
      <c r="B344" s="62" t="s">
        <v>41</v>
      </c>
      <c r="C344" s="62" t="s">
        <v>40</v>
      </c>
      <c r="D344" s="62" t="s">
        <v>43</v>
      </c>
      <c r="E344" s="62" t="s">
        <v>25</v>
      </c>
      <c r="F344" s="62" t="s">
        <v>25</v>
      </c>
      <c r="G344" s="62" t="s">
        <v>25</v>
      </c>
      <c r="H344" s="62" t="s">
        <v>34</v>
      </c>
      <c r="I344" s="75">
        <v>44593</v>
      </c>
      <c r="J344" s="76">
        <f ca="1">EFEITO!$J$344*EFEITO!$Y$344</f>
        <v>3619.5755013878634</v>
      </c>
      <c r="K344" s="76">
        <f ca="1">EFEITO!$L$344*EFEITO!$Z$344</f>
        <v>233.3660806228965</v>
      </c>
      <c r="L344" s="76">
        <f>EFEITO!$N$344*EFEITO!$AA$344</f>
        <v>866.06478676403287</v>
      </c>
      <c r="M344" s="76">
        <f ca="1">$J$344-EFEITO!$K$344*EFEITO!$Y$344</f>
        <v>0</v>
      </c>
      <c r="N344" s="76">
        <f ca="1">$K$344-EFEITO!$M$344*EFEITO!$Z$344</f>
        <v>0</v>
      </c>
      <c r="O344" s="76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62" t="s">
        <v>21</v>
      </c>
      <c r="B345" s="62" t="s">
        <v>41</v>
      </c>
      <c r="C345" s="62" t="s">
        <v>40</v>
      </c>
      <c r="D345" s="62" t="s">
        <v>43</v>
      </c>
      <c r="E345" s="62" t="s">
        <v>25</v>
      </c>
      <c r="F345" s="62" t="s">
        <v>25</v>
      </c>
      <c r="G345" s="62" t="s">
        <v>25</v>
      </c>
      <c r="H345" s="62" t="s">
        <v>34</v>
      </c>
      <c r="I345" s="75">
        <v>44621</v>
      </c>
      <c r="J345" s="76">
        <f ca="1">EFEITO!$J$345*EFEITO!$Y$345</f>
        <v>57460.761084532336</v>
      </c>
      <c r="K345" s="76">
        <f ca="1">EFEITO!$L$345*EFEITO!$Z$345</f>
        <v>4664.1605878087385</v>
      </c>
      <c r="L345" s="76">
        <f>EFEITO!$N$345*EFEITO!$AA$345</f>
        <v>17309.564586814475</v>
      </c>
      <c r="M345" s="76">
        <f ca="1">$J$345-EFEITO!$K$345*EFEITO!$Y$345</f>
        <v>0</v>
      </c>
      <c r="N345" s="76">
        <f ca="1">$K$345-EFEITO!$M$345*EFEITO!$Z$345</f>
        <v>0</v>
      </c>
      <c r="O345" s="76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62" t="s">
        <v>27</v>
      </c>
      <c r="B346" s="62" t="s">
        <v>41</v>
      </c>
      <c r="C346" s="62" t="s">
        <v>40</v>
      </c>
      <c r="D346" s="62" t="s">
        <v>43</v>
      </c>
      <c r="E346" s="62" t="s">
        <v>25</v>
      </c>
      <c r="F346" s="62" t="s">
        <v>25</v>
      </c>
      <c r="G346" s="62" t="s">
        <v>25</v>
      </c>
      <c r="H346" s="62" t="s">
        <v>34</v>
      </c>
      <c r="I346" s="75">
        <v>44621</v>
      </c>
      <c r="J346" s="76">
        <f ca="1">EFEITO!$J$346*EFEITO!$Y$346</f>
        <v>150.81564589116098</v>
      </c>
      <c r="K346" s="76">
        <f ca="1">EFEITO!$L$346*EFEITO!$Z$346</f>
        <v>-24.051274504715479</v>
      </c>
      <c r="L346" s="76">
        <f>EFEITO!$N$346*EFEITO!$AA$346</f>
        <v>-89.258738329626468</v>
      </c>
      <c r="M346" s="76">
        <f ca="1">$J$346-EFEITO!$K$346*EFEITO!$Y$346</f>
        <v>0</v>
      </c>
      <c r="N346" s="76">
        <f ca="1">$K$346-EFEITO!$M$346*EFEITO!$Z$346</f>
        <v>0</v>
      </c>
      <c r="O346" s="76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62" t="s">
        <v>28</v>
      </c>
      <c r="B347" s="62" t="s">
        <v>41</v>
      </c>
      <c r="C347" s="62" t="s">
        <v>40</v>
      </c>
      <c r="D347" s="62" t="s">
        <v>43</v>
      </c>
      <c r="E347" s="62" t="s">
        <v>25</v>
      </c>
      <c r="F347" s="62" t="s">
        <v>25</v>
      </c>
      <c r="G347" s="62" t="s">
        <v>25</v>
      </c>
      <c r="H347" s="62" t="s">
        <v>34</v>
      </c>
      <c r="I347" s="75">
        <v>44621</v>
      </c>
      <c r="J347" s="76">
        <f ca="1">EFEITO!$J$347*EFEITO!$Y$347</f>
        <v>3619.5755013878634</v>
      </c>
      <c r="K347" s="76">
        <f ca="1">EFEITO!$L$347*EFEITO!$Z$347</f>
        <v>213.57531760187348</v>
      </c>
      <c r="L347" s="76">
        <f>EFEITO!$N$347*EFEITO!$AA$347</f>
        <v>792.61759636708314</v>
      </c>
      <c r="M347" s="76">
        <f ca="1">$J$347-EFEITO!$K$347*EFEITO!$Y$347</f>
        <v>0</v>
      </c>
      <c r="N347" s="76">
        <f ca="1">$K$347-EFEITO!$M$347*EFEITO!$Z$347</f>
        <v>0</v>
      </c>
      <c r="O347" s="76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62" t="s">
        <v>21</v>
      </c>
      <c r="B348" s="62" t="s">
        <v>41</v>
      </c>
      <c r="C348" s="62" t="s">
        <v>40</v>
      </c>
      <c r="D348" s="62" t="s">
        <v>43</v>
      </c>
      <c r="E348" s="62" t="s">
        <v>25</v>
      </c>
      <c r="F348" s="62" t="s">
        <v>25</v>
      </c>
      <c r="G348" s="62" t="s">
        <v>25</v>
      </c>
      <c r="H348" s="62" t="s">
        <v>34</v>
      </c>
      <c r="I348" s="75">
        <v>44652</v>
      </c>
      <c r="J348" s="76">
        <f ca="1">EFEITO!$J$348*EFEITO!$Y$348</f>
        <v>77670.057633947901</v>
      </c>
      <c r="K348" s="76">
        <f ca="1">EFEITO!$L$348*EFEITO!$Z$348</f>
        <v>5921.6986547695778</v>
      </c>
      <c r="L348" s="76">
        <f>EFEITO!$N$348*EFEITO!$AA$348</f>
        <v>21976.521476620663</v>
      </c>
      <c r="M348" s="76">
        <f ca="1">$J$348-EFEITO!$K$348*EFEITO!$Y$348</f>
        <v>0</v>
      </c>
      <c r="N348" s="76">
        <f ca="1">$K$348-EFEITO!$M$348*EFEITO!$Z$348</f>
        <v>0</v>
      </c>
      <c r="O348" s="76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62" t="s">
        <v>28</v>
      </c>
      <c r="B349" s="62" t="s">
        <v>41</v>
      </c>
      <c r="C349" s="62" t="s">
        <v>40</v>
      </c>
      <c r="D349" s="62" t="s">
        <v>43</v>
      </c>
      <c r="E349" s="62" t="s">
        <v>25</v>
      </c>
      <c r="F349" s="62" t="s">
        <v>25</v>
      </c>
      <c r="G349" s="62" t="s">
        <v>25</v>
      </c>
      <c r="H349" s="62" t="s">
        <v>34</v>
      </c>
      <c r="I349" s="75">
        <v>44652</v>
      </c>
      <c r="J349" s="76">
        <f ca="1">EFEITO!$J$349*EFEITO!$Y$349</f>
        <v>3619.5755013878634</v>
      </c>
      <c r="K349" s="76">
        <f ca="1">EFEITO!$L$349*EFEITO!$Z$349</f>
        <v>252.19479266373091</v>
      </c>
      <c r="L349" s="76">
        <f>EFEITO!$N$349*EFEITO!$AA$349</f>
        <v>935.94162762779752</v>
      </c>
      <c r="M349" s="76">
        <f ca="1">$J$349-EFEITO!$K$349*EFEITO!$Y$349</f>
        <v>0</v>
      </c>
      <c r="N349" s="76">
        <f ca="1">$K$349-EFEITO!$M$349*EFEITO!$Z$349</f>
        <v>0</v>
      </c>
      <c r="O349" s="76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62" t="s">
        <v>58</v>
      </c>
      <c r="B350" s="62" t="s">
        <v>41</v>
      </c>
      <c r="C350" s="62" t="s">
        <v>40</v>
      </c>
      <c r="D350" s="62" t="s">
        <v>43</v>
      </c>
      <c r="E350" s="62" t="s">
        <v>25</v>
      </c>
      <c r="F350" s="62" t="s">
        <v>25</v>
      </c>
      <c r="G350" s="62" t="s">
        <v>25</v>
      </c>
      <c r="H350" s="62" t="s">
        <v>34</v>
      </c>
      <c r="I350" s="75">
        <v>44682</v>
      </c>
      <c r="J350" s="76">
        <f ca="1">EFEITO!$J$350*EFEITO!$Y$350</f>
        <v>77670.057633947901</v>
      </c>
      <c r="K350" s="76">
        <f ca="1">EFEITO!$L$350*EFEITO!$Z$350</f>
        <v>5921.6986547695778</v>
      </c>
      <c r="L350" s="76">
        <f>EFEITO!$N$350*EFEITO!$AA$350</f>
        <v>21976.521476620663</v>
      </c>
      <c r="M350" s="76">
        <f ca="1">$J$350-EFEITO!$K$350*EFEITO!$Y$350</f>
        <v>0</v>
      </c>
      <c r="N350" s="76">
        <f ca="1">$K$350-EFEITO!$M$350*EFEITO!$Z$350</f>
        <v>0</v>
      </c>
      <c r="O350" s="76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62" t="s">
        <v>58</v>
      </c>
      <c r="B351" s="62" t="s">
        <v>41</v>
      </c>
      <c r="C351" s="62" t="s">
        <v>40</v>
      </c>
      <c r="D351" s="62" t="s">
        <v>43</v>
      </c>
      <c r="E351" s="62" t="s">
        <v>25</v>
      </c>
      <c r="F351" s="62" t="s">
        <v>25</v>
      </c>
      <c r="G351" s="62" t="s">
        <v>25</v>
      </c>
      <c r="H351" s="62" t="s">
        <v>34</v>
      </c>
      <c r="I351" s="75">
        <v>44682</v>
      </c>
      <c r="J351" s="76">
        <f ca="1">EFEITO!$J$351*EFEITO!$Y$351</f>
        <v>3619.5755013878634</v>
      </c>
      <c r="K351" s="76">
        <f ca="1">EFEITO!$L$351*EFEITO!$Z$351</f>
        <v>252.19479266373091</v>
      </c>
      <c r="L351" s="76">
        <f>EFEITO!$N$351*EFEITO!$AA$351</f>
        <v>935.94162762779752</v>
      </c>
      <c r="M351" s="76">
        <f ca="1">$J$351-EFEITO!$K$351*EFEITO!$Y$351</f>
        <v>0</v>
      </c>
      <c r="N351" s="76">
        <f ca="1">$K$351-EFEITO!$M$351*EFEITO!$Z$351</f>
        <v>0</v>
      </c>
      <c r="O351" s="76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62" t="s">
        <v>21</v>
      </c>
      <c r="B352" s="62" t="s">
        <v>41</v>
      </c>
      <c r="C352" s="62" t="s">
        <v>40</v>
      </c>
      <c r="D352" s="62" t="s">
        <v>38</v>
      </c>
      <c r="E352" s="62" t="s">
        <v>25</v>
      </c>
      <c r="F352" s="62" t="s">
        <v>63</v>
      </c>
      <c r="G352" s="62" t="s">
        <v>25</v>
      </c>
      <c r="H352" s="62" t="s">
        <v>35</v>
      </c>
      <c r="I352" s="75">
        <v>44348</v>
      </c>
      <c r="J352" s="76">
        <f ca="1">EFEITO!$J$352*EFEITO!$Y$352</f>
        <v>524626.90544303507</v>
      </c>
      <c r="K352" s="76">
        <f ca="1">EFEITO!$L$352*EFEITO!$Z$352</f>
        <v>0</v>
      </c>
      <c r="L352" s="76">
        <f>EFEITO!$N$352*EFEITO!$AA$352</f>
        <v>0</v>
      </c>
      <c r="M352" s="76">
        <f ca="1">$J$352-EFEITO!$K$352*EFEITO!$Y$352</f>
        <v>128835.53035643318</v>
      </c>
      <c r="N352" s="76">
        <f ca="1">$K$352-EFEITO!$M$352*EFEITO!$Z$352</f>
        <v>0</v>
      </c>
      <c r="O352" s="76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62" t="s">
        <v>21</v>
      </c>
      <c r="B353" s="62" t="s">
        <v>41</v>
      </c>
      <c r="C353" s="62" t="s">
        <v>40</v>
      </c>
      <c r="D353" s="62" t="s">
        <v>38</v>
      </c>
      <c r="E353" s="62" t="s">
        <v>25</v>
      </c>
      <c r="F353" s="62" t="s">
        <v>63</v>
      </c>
      <c r="G353" s="62" t="s">
        <v>25</v>
      </c>
      <c r="H353" s="62" t="s">
        <v>35</v>
      </c>
      <c r="I353" s="75">
        <v>44378</v>
      </c>
      <c r="J353" s="76">
        <f ca="1">EFEITO!$J$353*EFEITO!$Y$353</f>
        <v>525371.98711298208</v>
      </c>
      <c r="K353" s="76">
        <f ca="1">EFEITO!$L$353*EFEITO!$Z$353</f>
        <v>0</v>
      </c>
      <c r="L353" s="76">
        <f>EFEITO!$N$353*EFEITO!$AA$353</f>
        <v>0</v>
      </c>
      <c r="M353" s="76">
        <f ca="1">$J$353-EFEITO!$K$353*EFEITO!$Y$353</f>
        <v>161667.33653141011</v>
      </c>
      <c r="N353" s="76">
        <f ca="1">$K$353-EFEITO!$M$353*EFEITO!$Z$353</f>
        <v>0</v>
      </c>
      <c r="O353" s="76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62" t="s">
        <v>21</v>
      </c>
      <c r="B354" s="62" t="s">
        <v>41</v>
      </c>
      <c r="C354" s="62" t="s">
        <v>40</v>
      </c>
      <c r="D354" s="62" t="s">
        <v>38</v>
      </c>
      <c r="E354" s="62" t="s">
        <v>25</v>
      </c>
      <c r="F354" s="62" t="s">
        <v>63</v>
      </c>
      <c r="G354" s="62" t="s">
        <v>25</v>
      </c>
      <c r="H354" s="62" t="s">
        <v>35</v>
      </c>
      <c r="I354" s="75">
        <v>44409</v>
      </c>
      <c r="J354" s="76">
        <f ca="1">EFEITO!$J$354*EFEITO!$Y$354</f>
        <v>375372.14531926531</v>
      </c>
      <c r="K354" s="76">
        <f ca="1">EFEITO!$L$354*EFEITO!$Z$354</f>
        <v>0</v>
      </c>
      <c r="L354" s="76">
        <f>EFEITO!$N$354*EFEITO!$AA$354</f>
        <v>0</v>
      </c>
      <c r="M354" s="76">
        <f ca="1">$J$354-EFEITO!$K$354*EFEITO!$Y$354</f>
        <v>206397.17291293302</v>
      </c>
      <c r="N354" s="76">
        <f ca="1">$K$354-EFEITO!$M$354*EFEITO!$Z$354</f>
        <v>0</v>
      </c>
      <c r="O354" s="76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62" t="s">
        <v>21</v>
      </c>
      <c r="B355" s="62" t="s">
        <v>41</v>
      </c>
      <c r="C355" s="62" t="s">
        <v>40</v>
      </c>
      <c r="D355" s="62" t="s">
        <v>38</v>
      </c>
      <c r="E355" s="62" t="s">
        <v>25</v>
      </c>
      <c r="F355" s="62" t="s">
        <v>63</v>
      </c>
      <c r="G355" s="62" t="s">
        <v>25</v>
      </c>
      <c r="H355" s="62" t="s">
        <v>35</v>
      </c>
      <c r="I355" s="75">
        <v>44440</v>
      </c>
      <c r="J355" s="76">
        <f ca="1">EFEITO!$J$355*EFEITO!$Y$355</f>
        <v>404400.52718039782</v>
      </c>
      <c r="K355" s="76">
        <f ca="1">EFEITO!$L$355*EFEITO!$Z$355</f>
        <v>0</v>
      </c>
      <c r="L355" s="76">
        <f>EFEITO!$N$355*EFEITO!$AA$355</f>
        <v>0</v>
      </c>
      <c r="M355" s="76">
        <f ca="1">$J$355-EFEITO!$K$355*EFEITO!$Y$355</f>
        <v>220803.30252929853</v>
      </c>
      <c r="N355" s="76">
        <f ca="1">$K$355-EFEITO!$M$355*EFEITO!$Z$355</f>
        <v>0</v>
      </c>
      <c r="O355" s="76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62" t="s">
        <v>21</v>
      </c>
      <c r="B356" s="62" t="s">
        <v>41</v>
      </c>
      <c r="C356" s="62" t="s">
        <v>40</v>
      </c>
      <c r="D356" s="62" t="s">
        <v>38</v>
      </c>
      <c r="E356" s="62" t="s">
        <v>25</v>
      </c>
      <c r="F356" s="62" t="s">
        <v>63</v>
      </c>
      <c r="G356" s="62" t="s">
        <v>25</v>
      </c>
      <c r="H356" s="62" t="s">
        <v>35</v>
      </c>
      <c r="I356" s="75">
        <v>44470</v>
      </c>
      <c r="J356" s="76">
        <f ca="1">EFEITO!$J$356*EFEITO!$Y$356</f>
        <v>405205.21538394055</v>
      </c>
      <c r="K356" s="76">
        <f ca="1">EFEITO!$L$356*EFEITO!$Z$356</f>
        <v>0</v>
      </c>
      <c r="L356" s="76">
        <f>EFEITO!$N$356*EFEITO!$AA$356</f>
        <v>0</v>
      </c>
      <c r="M356" s="76">
        <f ca="1">$J$356-EFEITO!$K$356*EFEITO!$Y$356</f>
        <v>218430.76217966285</v>
      </c>
      <c r="N356" s="76">
        <f ca="1">$K$356-EFEITO!$M$356*EFEITO!$Z$356</f>
        <v>0</v>
      </c>
      <c r="O356" s="76">
        <f>$L$356-EFEITO!$O$356*EFEITO!$AA$356</f>
        <v>0</v>
      </c>
      <c r="P356" s="18"/>
      <c r="Q356" s="18"/>
      <c r="R356" s="18"/>
      <c r="S356" s="18"/>
      <c r="T356" s="18"/>
      <c r="U356" s="18"/>
      <c r="V356" s="18"/>
      <c r="W356" s="1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62" t="s">
        <v>21</v>
      </c>
      <c r="B357" s="62" t="s">
        <v>41</v>
      </c>
      <c r="C357" s="62" t="s">
        <v>40</v>
      </c>
      <c r="D357" s="62" t="s">
        <v>38</v>
      </c>
      <c r="E357" s="62" t="s">
        <v>25</v>
      </c>
      <c r="F357" s="62" t="s">
        <v>63</v>
      </c>
      <c r="G357" s="62" t="s">
        <v>25</v>
      </c>
      <c r="H357" s="62" t="s">
        <v>35</v>
      </c>
      <c r="I357" s="75">
        <v>44501</v>
      </c>
      <c r="J357" s="76">
        <f ca="1">EFEITO!$J$357*EFEITO!$Y$357</f>
        <v>406188.72318827047</v>
      </c>
      <c r="K357" s="76">
        <f ca="1">EFEITO!$L$357*EFEITO!$Z$357</f>
        <v>0</v>
      </c>
      <c r="L357" s="76">
        <f>EFEITO!$N$357*EFEITO!$AA$357</f>
        <v>0</v>
      </c>
      <c r="M357" s="76">
        <f ca="1">$J$357-EFEITO!$K$357*EFEITO!$Y$357</f>
        <v>219731.02713281871</v>
      </c>
      <c r="N357" s="76">
        <f ca="1">$K$357-EFEITO!$M$357*EFEITO!$Z$357</f>
        <v>0</v>
      </c>
      <c r="O357" s="76">
        <f>$L$357-EFEITO!$O$357*EFEITO!$AA$357</f>
        <v>0</v>
      </c>
      <c r="P357" s="18"/>
      <c r="Q357" s="18"/>
      <c r="R357" s="18"/>
      <c r="S357" s="18"/>
      <c r="T357" s="18"/>
      <c r="U357" s="18"/>
      <c r="V357" s="18"/>
      <c r="W357" s="1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62" t="s">
        <v>21</v>
      </c>
      <c r="B358" s="62" t="s">
        <v>41</v>
      </c>
      <c r="C358" s="62" t="s">
        <v>40</v>
      </c>
      <c r="D358" s="62" t="s">
        <v>38</v>
      </c>
      <c r="E358" s="62" t="s">
        <v>25</v>
      </c>
      <c r="F358" s="62" t="s">
        <v>63</v>
      </c>
      <c r="G358" s="62" t="s">
        <v>25</v>
      </c>
      <c r="H358" s="62" t="s">
        <v>35</v>
      </c>
      <c r="I358" s="75">
        <v>44531</v>
      </c>
      <c r="J358" s="76">
        <f ca="1">EFEITO!$J$358*EFEITO!$Y$358</f>
        <v>406129.11665467476</v>
      </c>
      <c r="K358" s="76">
        <f ca="1">EFEITO!$L$358*EFEITO!$Z$358</f>
        <v>0</v>
      </c>
      <c r="L358" s="76">
        <f>EFEITO!$N$358*EFEITO!$AA$358</f>
        <v>0</v>
      </c>
      <c r="M358" s="76">
        <f ca="1">$J$358-EFEITO!$K$358*EFEITO!$Y$358</f>
        <v>220023.90104516162</v>
      </c>
      <c r="N358" s="76">
        <f ca="1">$K$358-EFEITO!$M$358*EFEITO!$Z$358</f>
        <v>0</v>
      </c>
      <c r="O358" s="76">
        <f>$L$358-EFEITO!$O$358*EFEITO!$AA$358</f>
        <v>0</v>
      </c>
      <c r="P358" s="18"/>
      <c r="Q358" s="18"/>
      <c r="R358" s="18"/>
      <c r="S358" s="18"/>
      <c r="T358" s="18"/>
      <c r="U358" s="18"/>
      <c r="V358" s="18"/>
      <c r="W358" s="1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62" t="s">
        <v>21</v>
      </c>
      <c r="B359" s="62" t="s">
        <v>41</v>
      </c>
      <c r="C359" s="62" t="s">
        <v>40</v>
      </c>
      <c r="D359" s="62" t="s">
        <v>38</v>
      </c>
      <c r="E359" s="62" t="s">
        <v>25</v>
      </c>
      <c r="F359" s="62" t="s">
        <v>63</v>
      </c>
      <c r="G359" s="62" t="s">
        <v>25</v>
      </c>
      <c r="H359" s="62" t="s">
        <v>35</v>
      </c>
      <c r="I359" s="75">
        <v>44562</v>
      </c>
      <c r="J359" s="76">
        <f ca="1">EFEITO!$J$359*EFEITO!$Y$359</f>
        <v>415993.99796477216</v>
      </c>
      <c r="K359" s="76">
        <f ca="1">EFEITO!$L$359*EFEITO!$Z$359</f>
        <v>0</v>
      </c>
      <c r="L359" s="76">
        <f>EFEITO!$N$359*EFEITO!$AA$359</f>
        <v>0</v>
      </c>
      <c r="M359" s="76">
        <f ca="1">$J$359-EFEITO!$K$359*EFEITO!$Y$359</f>
        <v>224471.28896840653</v>
      </c>
      <c r="N359" s="76">
        <f ca="1">$K$359-EFEITO!$M$359*EFEITO!$Z$359</f>
        <v>0</v>
      </c>
      <c r="O359" s="76">
        <f>$L$359-EFEITO!$O$359*EFEITO!$AA$359</f>
        <v>0</v>
      </c>
      <c r="P359" s="18"/>
      <c r="Q359" s="18"/>
      <c r="R359" s="18"/>
      <c r="S359" s="18"/>
      <c r="T359" s="18"/>
      <c r="U359" s="18"/>
      <c r="V359" s="18"/>
      <c r="W359" s="1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62" t="s">
        <v>21</v>
      </c>
      <c r="B360" s="62" t="s">
        <v>41</v>
      </c>
      <c r="C360" s="62" t="s">
        <v>40</v>
      </c>
      <c r="D360" s="62" t="s">
        <v>38</v>
      </c>
      <c r="E360" s="62" t="s">
        <v>25</v>
      </c>
      <c r="F360" s="62" t="s">
        <v>63</v>
      </c>
      <c r="G360" s="62" t="s">
        <v>25</v>
      </c>
      <c r="H360" s="62" t="s">
        <v>35</v>
      </c>
      <c r="I360" s="75">
        <v>44593</v>
      </c>
      <c r="J360" s="76">
        <f ca="1">EFEITO!$J$360*EFEITO!$Y$360</f>
        <v>389886.3362498316</v>
      </c>
      <c r="K360" s="76">
        <f ca="1">EFEITO!$L$360*EFEITO!$Z$360</f>
        <v>0</v>
      </c>
      <c r="L360" s="76">
        <f>EFEITO!$N$360*EFEITO!$AA$360</f>
        <v>0</v>
      </c>
      <c r="M360" s="76">
        <f ca="1">$J$360-EFEITO!$K$360*EFEITO!$Y$360</f>
        <v>211133.98190922593</v>
      </c>
      <c r="N360" s="76">
        <f ca="1">$K$360-EFEITO!$M$360*EFEITO!$Z$360</f>
        <v>0</v>
      </c>
      <c r="O360" s="76">
        <f>$L$360-EFEITO!$O$360*EFEITO!$AA$360</f>
        <v>0</v>
      </c>
      <c r="P360" s="18"/>
      <c r="Q360" s="18"/>
      <c r="R360" s="18"/>
      <c r="S360" s="18"/>
      <c r="T360" s="18"/>
      <c r="U360" s="18"/>
      <c r="V360" s="18"/>
      <c r="W360" s="1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62" t="s">
        <v>21</v>
      </c>
      <c r="B361" s="62" t="s">
        <v>41</v>
      </c>
      <c r="C361" s="62" t="s">
        <v>40</v>
      </c>
      <c r="D361" s="62" t="s">
        <v>38</v>
      </c>
      <c r="E361" s="62" t="s">
        <v>25</v>
      </c>
      <c r="F361" s="62" t="s">
        <v>63</v>
      </c>
      <c r="G361" s="62" t="s">
        <v>25</v>
      </c>
      <c r="H361" s="62" t="s">
        <v>35</v>
      </c>
      <c r="I361" s="75">
        <v>44621</v>
      </c>
      <c r="J361" s="76">
        <f ca="1">EFEITO!$J$361*EFEITO!$Y$361</f>
        <v>389290.27091387403</v>
      </c>
      <c r="K361" s="76">
        <f ca="1">EFEITO!$L$361*EFEITO!$Z$361</f>
        <v>0</v>
      </c>
      <c r="L361" s="76">
        <f>EFEITO!$N$361*EFEITO!$AA$361</f>
        <v>0</v>
      </c>
      <c r="M361" s="76">
        <f ca="1">$J$361-EFEITO!$K$361*EFEITO!$Y$361</f>
        <v>212106.89459617907</v>
      </c>
      <c r="N361" s="76">
        <f ca="1">$K$361-EFEITO!$M$361*EFEITO!$Z$361</f>
        <v>0</v>
      </c>
      <c r="O361" s="76">
        <f>$L$361-EFEITO!$O$361*EFEITO!$AA$361</f>
        <v>0</v>
      </c>
      <c r="P361" s="18"/>
      <c r="Q361" s="18"/>
      <c r="R361" s="18"/>
      <c r="S361" s="18"/>
      <c r="T361" s="18"/>
      <c r="U361" s="18"/>
      <c r="V361" s="18"/>
      <c r="W361" s="1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62" t="s">
        <v>21</v>
      </c>
      <c r="B362" s="62" t="s">
        <v>41</v>
      </c>
      <c r="C362" s="62" t="s">
        <v>40</v>
      </c>
      <c r="D362" s="62" t="s">
        <v>38</v>
      </c>
      <c r="E362" s="62" t="s">
        <v>25</v>
      </c>
      <c r="F362" s="62" t="s">
        <v>63</v>
      </c>
      <c r="G362" s="62" t="s">
        <v>25</v>
      </c>
      <c r="H362" s="62" t="s">
        <v>35</v>
      </c>
      <c r="I362" s="75">
        <v>44652</v>
      </c>
      <c r="J362" s="76">
        <f ca="1">EFEITO!$J$362*EFEITO!$Y$362</f>
        <v>389409.48398106551</v>
      </c>
      <c r="K362" s="76">
        <f ca="1">EFEITO!$L$362*EFEITO!$Z$362</f>
        <v>0</v>
      </c>
      <c r="L362" s="76">
        <f>EFEITO!$N$362*EFEITO!$AA$362</f>
        <v>0</v>
      </c>
      <c r="M362" s="76">
        <f ca="1">$J$362-EFEITO!$K$362*EFEITO!$Y$362</f>
        <v>212720.85354290839</v>
      </c>
      <c r="N362" s="76">
        <f ca="1">$K$362-EFEITO!$M$362*EFEITO!$Z$362</f>
        <v>0</v>
      </c>
      <c r="O362" s="76">
        <f>$L$362-EFEITO!$O$362*EFEITO!$AA$362</f>
        <v>0</v>
      </c>
      <c r="P362" s="18"/>
      <c r="Q362" s="18"/>
      <c r="R362" s="18"/>
      <c r="S362" s="18"/>
      <c r="T362" s="18"/>
      <c r="U362" s="18"/>
      <c r="V362" s="18"/>
      <c r="W362" s="1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62" t="s">
        <v>58</v>
      </c>
      <c r="B363" s="62" t="s">
        <v>41</v>
      </c>
      <c r="C363" s="62" t="s">
        <v>40</v>
      </c>
      <c r="D363" s="62" t="s">
        <v>38</v>
      </c>
      <c r="E363" s="62" t="s">
        <v>25</v>
      </c>
      <c r="F363" s="62" t="s">
        <v>63</v>
      </c>
      <c r="G363" s="62" t="s">
        <v>25</v>
      </c>
      <c r="H363" s="62" t="s">
        <v>35</v>
      </c>
      <c r="I363" s="75">
        <v>44682</v>
      </c>
      <c r="J363" s="76">
        <f ca="1">EFEITO!$J$363*EFEITO!$Y$363</f>
        <v>389409.48398106551</v>
      </c>
      <c r="K363" s="76">
        <f ca="1">EFEITO!$L$363*EFEITO!$Z$363</f>
        <v>0</v>
      </c>
      <c r="L363" s="76">
        <f>EFEITO!$N$363*EFEITO!$AA$363</f>
        <v>0</v>
      </c>
      <c r="M363" s="76">
        <f ca="1">$J$363-EFEITO!$K$363*EFEITO!$Y$363</f>
        <v>212720.85354290839</v>
      </c>
      <c r="N363" s="76">
        <f ca="1">$K$363-EFEITO!$M$363*EFEITO!$Z$363</f>
        <v>0</v>
      </c>
      <c r="O363" s="76">
        <f>$L$363-EFEITO!$O$363*EFEITO!$AA$363</f>
        <v>0</v>
      </c>
      <c r="P363" s="18"/>
      <c r="Q363" s="18"/>
      <c r="R363" s="18"/>
      <c r="S363" s="18"/>
      <c r="T363" s="18"/>
      <c r="U363" s="18"/>
      <c r="V363" s="18"/>
      <c r="W363" s="1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62" t="s">
        <v>21</v>
      </c>
      <c r="B364" s="62" t="s">
        <v>41</v>
      </c>
      <c r="C364" s="62" t="s">
        <v>40</v>
      </c>
      <c r="D364" s="62" t="s">
        <v>38</v>
      </c>
      <c r="E364" s="62" t="s">
        <v>25</v>
      </c>
      <c r="F364" s="62" t="s">
        <v>63</v>
      </c>
      <c r="G364" s="62" t="s">
        <v>25</v>
      </c>
      <c r="H364" s="62" t="s">
        <v>25</v>
      </c>
      <c r="I364" s="75">
        <v>44348</v>
      </c>
      <c r="J364" s="76">
        <f>EFEITO!$J$364*EFEITO!$Y$364</f>
        <v>0</v>
      </c>
      <c r="K364" s="76">
        <f ca="1">EFEITO!$L$364*EFEITO!$Z$364</f>
        <v>895905.16504575079</v>
      </c>
      <c r="L364" s="76">
        <f>EFEITO!$N$364*EFEITO!$AA$364</f>
        <v>0</v>
      </c>
      <c r="M364" s="76">
        <f>$J$364-EFEITO!$K$364*EFEITO!$Y$364</f>
        <v>0</v>
      </c>
      <c r="N364" s="76">
        <f ca="1">$K$364-EFEITO!$M$364*EFEITO!$Z$364</f>
        <v>0</v>
      </c>
      <c r="O364" s="76">
        <f>$L$364-EFEITO!$O$364*EFEITO!$AA$364</f>
        <v>0</v>
      </c>
      <c r="P364" s="18"/>
      <c r="Q364" s="18"/>
      <c r="R364" s="18"/>
      <c r="S364" s="18"/>
      <c r="T364" s="18"/>
      <c r="U364" s="18"/>
      <c r="V364" s="18"/>
      <c r="W364" s="1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62" t="s">
        <v>21</v>
      </c>
      <c r="B365" s="62" t="s">
        <v>41</v>
      </c>
      <c r="C365" s="62" t="s">
        <v>40</v>
      </c>
      <c r="D365" s="62" t="s">
        <v>38</v>
      </c>
      <c r="E365" s="62" t="s">
        <v>25</v>
      </c>
      <c r="F365" s="62" t="s">
        <v>63</v>
      </c>
      <c r="G365" s="62" t="s">
        <v>25</v>
      </c>
      <c r="H365" s="62" t="s">
        <v>25</v>
      </c>
      <c r="I365" s="75">
        <v>44378</v>
      </c>
      <c r="J365" s="76">
        <f>EFEITO!$J$365*EFEITO!$Y$365</f>
        <v>0</v>
      </c>
      <c r="K365" s="76">
        <f ca="1">EFEITO!$L$365*EFEITO!$Z$365</f>
        <v>828270.50729311316</v>
      </c>
      <c r="L365" s="76">
        <f>EFEITO!$N$365*EFEITO!$AA$365</f>
        <v>0</v>
      </c>
      <c r="M365" s="76">
        <f>$J$365-EFEITO!$K$365*EFEITO!$Y$365</f>
        <v>0</v>
      </c>
      <c r="N365" s="76">
        <f ca="1">$K$365-EFEITO!$M$365*EFEITO!$Z$365</f>
        <v>0</v>
      </c>
      <c r="O365" s="76">
        <f>$L$365-EFEITO!$O$365*EFEITO!$AA$365</f>
        <v>0</v>
      </c>
      <c r="P365" s="18"/>
      <c r="Q365" s="18"/>
      <c r="R365" s="18"/>
      <c r="S365" s="18"/>
      <c r="T365" s="18"/>
      <c r="U365" s="18"/>
      <c r="V365" s="18"/>
      <c r="W365" s="1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62" t="s">
        <v>21</v>
      </c>
      <c r="B366" s="62" t="s">
        <v>41</v>
      </c>
      <c r="C366" s="62" t="s">
        <v>40</v>
      </c>
      <c r="D366" s="62" t="s">
        <v>38</v>
      </c>
      <c r="E366" s="62" t="s">
        <v>25</v>
      </c>
      <c r="F366" s="62" t="s">
        <v>63</v>
      </c>
      <c r="G366" s="62" t="s">
        <v>25</v>
      </c>
      <c r="H366" s="62" t="s">
        <v>25</v>
      </c>
      <c r="I366" s="75">
        <v>44409</v>
      </c>
      <c r="J366" s="76">
        <f>EFEITO!$J$366*EFEITO!$Y$366</f>
        <v>0</v>
      </c>
      <c r="K366" s="76">
        <f ca="1">EFEITO!$L$366*EFEITO!$Z$366</f>
        <v>583779.81887873274</v>
      </c>
      <c r="L366" s="76">
        <f>EFEITO!$N$366*EFEITO!$AA$366</f>
        <v>0</v>
      </c>
      <c r="M366" s="76">
        <f>$J$366-EFEITO!$K$366*EFEITO!$Y$366</f>
        <v>0</v>
      </c>
      <c r="N366" s="76">
        <f ca="1">$K$366-EFEITO!$M$366*EFEITO!$Z$366</f>
        <v>0</v>
      </c>
      <c r="O366" s="76">
        <f>$L$366-EFEITO!$O$366*EFEITO!$AA$366</f>
        <v>0</v>
      </c>
      <c r="P366" s="18"/>
      <c r="Q366" s="18"/>
      <c r="R366" s="18"/>
      <c r="S366" s="18"/>
      <c r="T366" s="18"/>
      <c r="U366" s="18"/>
      <c r="V366" s="18"/>
      <c r="W366" s="1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62" t="s">
        <v>21</v>
      </c>
      <c r="B367" s="62" t="s">
        <v>41</v>
      </c>
      <c r="C367" s="62" t="s">
        <v>40</v>
      </c>
      <c r="D367" s="62" t="s">
        <v>38</v>
      </c>
      <c r="E367" s="62" t="s">
        <v>25</v>
      </c>
      <c r="F367" s="62" t="s">
        <v>63</v>
      </c>
      <c r="G367" s="62" t="s">
        <v>25</v>
      </c>
      <c r="H367" s="62" t="s">
        <v>25</v>
      </c>
      <c r="I367" s="75">
        <v>44440</v>
      </c>
      <c r="J367" s="76">
        <f>EFEITO!$J$367*EFEITO!$Y$367</f>
        <v>0</v>
      </c>
      <c r="K367" s="76">
        <f ca="1">EFEITO!$L$367*EFEITO!$Z$367</f>
        <v>629285.10511336313</v>
      </c>
      <c r="L367" s="76">
        <f>EFEITO!$N$367*EFEITO!$AA$367</f>
        <v>0</v>
      </c>
      <c r="M367" s="76">
        <f>$J$367-EFEITO!$K$367*EFEITO!$Y$367</f>
        <v>0</v>
      </c>
      <c r="N367" s="76">
        <f ca="1">$K$367-EFEITO!$M$367*EFEITO!$Z$367</f>
        <v>0</v>
      </c>
      <c r="O367" s="76">
        <f>$L$367-EFEITO!$O$367*EFEITO!$AA$367</f>
        <v>0</v>
      </c>
      <c r="P367" s="18"/>
      <c r="Q367" s="18"/>
      <c r="R367" s="18"/>
      <c r="S367" s="18"/>
      <c r="T367" s="18"/>
      <c r="U367" s="18"/>
      <c r="V367" s="18"/>
      <c r="W367" s="1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62" t="s">
        <v>21</v>
      </c>
      <c r="B368" s="62" t="s">
        <v>41</v>
      </c>
      <c r="C368" s="62" t="s">
        <v>40</v>
      </c>
      <c r="D368" s="62" t="s">
        <v>38</v>
      </c>
      <c r="E368" s="62" t="s">
        <v>25</v>
      </c>
      <c r="F368" s="62" t="s">
        <v>63</v>
      </c>
      <c r="G368" s="62" t="s">
        <v>25</v>
      </c>
      <c r="H368" s="62" t="s">
        <v>25</v>
      </c>
      <c r="I368" s="75">
        <v>44470</v>
      </c>
      <c r="J368" s="76">
        <f>EFEITO!$J$368*EFEITO!$Y$368</f>
        <v>0</v>
      </c>
      <c r="K368" s="76">
        <f ca="1">EFEITO!$L$368*EFEITO!$Z$368</f>
        <v>564636.92847493966</v>
      </c>
      <c r="L368" s="76">
        <f>EFEITO!$N$368*EFEITO!$AA$368</f>
        <v>0</v>
      </c>
      <c r="M368" s="76">
        <f>$J$368-EFEITO!$K$368*EFEITO!$Y$368</f>
        <v>0</v>
      </c>
      <c r="N368" s="76">
        <f ca="1">$K$368-EFEITO!$M$368*EFEITO!$Z$368</f>
        <v>0</v>
      </c>
      <c r="O368" s="76">
        <f>$L$368-EFEITO!$O$368*EFEITO!$AA$368</f>
        <v>0</v>
      </c>
      <c r="P368" s="18"/>
      <c r="Q368" s="18"/>
      <c r="R368" s="18"/>
      <c r="S368" s="18"/>
      <c r="T368" s="18"/>
      <c r="U368" s="18"/>
      <c r="V368" s="18"/>
      <c r="W368" s="1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62" t="s">
        <v>21</v>
      </c>
      <c r="B369" s="62" t="s">
        <v>41</v>
      </c>
      <c r="C369" s="62" t="s">
        <v>40</v>
      </c>
      <c r="D369" s="62" t="s">
        <v>38</v>
      </c>
      <c r="E369" s="62" t="s">
        <v>25</v>
      </c>
      <c r="F369" s="62" t="s">
        <v>63</v>
      </c>
      <c r="G369" s="62" t="s">
        <v>25</v>
      </c>
      <c r="H369" s="62" t="s">
        <v>25</v>
      </c>
      <c r="I369" s="75">
        <v>44501</v>
      </c>
      <c r="J369" s="76">
        <f>EFEITO!$J$369*EFEITO!$Y$369</f>
        <v>0</v>
      </c>
      <c r="K369" s="76">
        <f ca="1">EFEITO!$L$369*EFEITO!$Z$369</f>
        <v>603773.02491315838</v>
      </c>
      <c r="L369" s="76">
        <f>EFEITO!$N$369*EFEITO!$AA$369</f>
        <v>0</v>
      </c>
      <c r="M369" s="76">
        <f>$J$369-EFEITO!$K$369*EFEITO!$Y$369</f>
        <v>0</v>
      </c>
      <c r="N369" s="76">
        <f ca="1">$K$369-EFEITO!$M$369*EFEITO!$Z$369</f>
        <v>0</v>
      </c>
      <c r="O369" s="76">
        <f>$L$369-EFEITO!$O$369*EFEITO!$AA$369</f>
        <v>0</v>
      </c>
      <c r="P369" s="18"/>
      <c r="Q369" s="18"/>
      <c r="R369" s="18"/>
      <c r="S369" s="18"/>
      <c r="T369" s="18"/>
      <c r="U369" s="18"/>
      <c r="V369" s="18"/>
      <c r="W369" s="1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62" t="s">
        <v>21</v>
      </c>
      <c r="B370" s="62" t="s">
        <v>41</v>
      </c>
      <c r="C370" s="62" t="s">
        <v>40</v>
      </c>
      <c r="D370" s="62" t="s">
        <v>38</v>
      </c>
      <c r="E370" s="62" t="s">
        <v>25</v>
      </c>
      <c r="F370" s="62" t="s">
        <v>63</v>
      </c>
      <c r="G370" s="62" t="s">
        <v>25</v>
      </c>
      <c r="H370" s="62" t="s">
        <v>25</v>
      </c>
      <c r="I370" s="75">
        <v>44531</v>
      </c>
      <c r="J370" s="76">
        <f>EFEITO!$J$370*EFEITO!$Y$370</f>
        <v>0</v>
      </c>
      <c r="K370" s="76">
        <f ca="1">EFEITO!$L$370*EFEITO!$Z$370</f>
        <v>598051.02055470506</v>
      </c>
      <c r="L370" s="76">
        <f>EFEITO!$N$370*EFEITO!$AA$370</f>
        <v>0</v>
      </c>
      <c r="M370" s="76">
        <f>$J$370-EFEITO!$K$370*EFEITO!$Y$370</f>
        <v>0</v>
      </c>
      <c r="N370" s="76">
        <f ca="1">$K$370-EFEITO!$M$370*EFEITO!$Z$370</f>
        <v>0</v>
      </c>
      <c r="O370" s="76">
        <f>$L$370-EFEITO!$O$370*EFEITO!$AA$370</f>
        <v>0</v>
      </c>
      <c r="P370" s="18"/>
      <c r="Q370" s="18"/>
      <c r="R370" s="18"/>
      <c r="S370" s="18"/>
      <c r="T370" s="18"/>
      <c r="U370" s="18"/>
      <c r="V370" s="18"/>
      <c r="W370" s="1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62" t="s">
        <v>21</v>
      </c>
      <c r="B371" s="62" t="s">
        <v>41</v>
      </c>
      <c r="C371" s="62" t="s">
        <v>40</v>
      </c>
      <c r="D371" s="62" t="s">
        <v>38</v>
      </c>
      <c r="E371" s="62" t="s">
        <v>25</v>
      </c>
      <c r="F371" s="62" t="s">
        <v>63</v>
      </c>
      <c r="G371" s="62" t="s">
        <v>25</v>
      </c>
      <c r="H371" s="62" t="s">
        <v>25</v>
      </c>
      <c r="I371" s="75">
        <v>44562</v>
      </c>
      <c r="J371" s="76">
        <f>EFEITO!$J$371*EFEITO!$Y$371</f>
        <v>0</v>
      </c>
      <c r="K371" s="76">
        <f ca="1">EFEITO!$L$371*EFEITO!$Z$371</f>
        <v>602204.60694374226</v>
      </c>
      <c r="L371" s="76">
        <f>EFEITO!$N$371*EFEITO!$AA$371</f>
        <v>0</v>
      </c>
      <c r="M371" s="76">
        <f>$J$371-EFEITO!$K$371*EFEITO!$Y$371</f>
        <v>0</v>
      </c>
      <c r="N371" s="76">
        <f ca="1">$K$371-EFEITO!$M$371*EFEITO!$Z$371</f>
        <v>0</v>
      </c>
      <c r="O371" s="76">
        <f>$L$371-EFEITO!$O$371*EFEITO!$AA$371</f>
        <v>0</v>
      </c>
      <c r="P371" s="18"/>
      <c r="Q371" s="18"/>
      <c r="R371" s="18"/>
      <c r="S371" s="18"/>
      <c r="T371" s="18"/>
      <c r="U371" s="18"/>
      <c r="V371" s="18"/>
      <c r="W371" s="1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62" t="s">
        <v>21</v>
      </c>
      <c r="B372" s="62" t="s">
        <v>41</v>
      </c>
      <c r="C372" s="62" t="s">
        <v>40</v>
      </c>
      <c r="D372" s="62" t="s">
        <v>38</v>
      </c>
      <c r="E372" s="62" t="s">
        <v>25</v>
      </c>
      <c r="F372" s="62" t="s">
        <v>63</v>
      </c>
      <c r="G372" s="62" t="s">
        <v>25</v>
      </c>
      <c r="H372" s="62" t="s">
        <v>25</v>
      </c>
      <c r="I372" s="75">
        <v>44593</v>
      </c>
      <c r="J372" s="76">
        <f>EFEITO!$J$372*EFEITO!$Y$372</f>
        <v>0</v>
      </c>
      <c r="K372" s="76">
        <f ca="1">EFEITO!$L$372*EFEITO!$Z$372</f>
        <v>561085.86087120906</v>
      </c>
      <c r="L372" s="76">
        <f>EFEITO!$N$372*EFEITO!$AA$372</f>
        <v>0</v>
      </c>
      <c r="M372" s="76">
        <f>$J$372-EFEITO!$K$372*EFEITO!$Y$372</f>
        <v>0</v>
      </c>
      <c r="N372" s="76">
        <f ca="1">$K$372-EFEITO!$M$372*EFEITO!$Z$372</f>
        <v>0</v>
      </c>
      <c r="O372" s="76">
        <f>$L$372-EFEITO!$O$372*EFEITO!$AA$372</f>
        <v>0</v>
      </c>
      <c r="P372" s="18"/>
      <c r="Q372" s="18"/>
      <c r="R372" s="18"/>
      <c r="S372" s="18"/>
      <c r="T372" s="18"/>
      <c r="U372" s="18"/>
      <c r="V372" s="18"/>
      <c r="W372" s="1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62" t="s">
        <v>21</v>
      </c>
      <c r="B373" s="62" t="s">
        <v>41</v>
      </c>
      <c r="C373" s="62" t="s">
        <v>40</v>
      </c>
      <c r="D373" s="62" t="s">
        <v>38</v>
      </c>
      <c r="E373" s="62" t="s">
        <v>25</v>
      </c>
      <c r="F373" s="62" t="s">
        <v>63</v>
      </c>
      <c r="G373" s="62" t="s">
        <v>25</v>
      </c>
      <c r="H373" s="62" t="s">
        <v>25</v>
      </c>
      <c r="I373" s="75">
        <v>44621</v>
      </c>
      <c r="J373" s="76">
        <f>EFEITO!$J$373*EFEITO!$Y$373</f>
        <v>0</v>
      </c>
      <c r="K373" s="76">
        <f ca="1">EFEITO!$L$373*EFEITO!$Z$373</f>
        <v>473025.48645062407</v>
      </c>
      <c r="L373" s="76">
        <f>EFEITO!$N$373*EFEITO!$AA$373</f>
        <v>0</v>
      </c>
      <c r="M373" s="76">
        <f>$J$373-EFEITO!$K$373*EFEITO!$Y$373</f>
        <v>0</v>
      </c>
      <c r="N373" s="76">
        <f ca="1">$K$373-EFEITO!$M$373*EFEITO!$Z$373</f>
        <v>0</v>
      </c>
      <c r="O373" s="76">
        <f>$L$373-EFEITO!$O$373*EFEITO!$AA$373</f>
        <v>0</v>
      </c>
      <c r="P373" s="18"/>
      <c r="Q373" s="18"/>
      <c r="R373" s="18"/>
      <c r="S373" s="18"/>
      <c r="T373" s="18"/>
      <c r="U373" s="18"/>
      <c r="V373" s="18"/>
      <c r="W373" s="1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62" t="s">
        <v>21</v>
      </c>
      <c r="B374" s="62" t="s">
        <v>41</v>
      </c>
      <c r="C374" s="62" t="s">
        <v>40</v>
      </c>
      <c r="D374" s="62" t="s">
        <v>38</v>
      </c>
      <c r="E374" s="62" t="s">
        <v>25</v>
      </c>
      <c r="F374" s="62" t="s">
        <v>63</v>
      </c>
      <c r="G374" s="62" t="s">
        <v>25</v>
      </c>
      <c r="H374" s="62" t="s">
        <v>25</v>
      </c>
      <c r="I374" s="75">
        <v>44652</v>
      </c>
      <c r="J374" s="76">
        <f>EFEITO!$J$374*EFEITO!$Y$374</f>
        <v>0</v>
      </c>
      <c r="K374" s="76">
        <f ca="1">EFEITO!$L$374*EFEITO!$Z$374</f>
        <v>518986.64741400944</v>
      </c>
      <c r="L374" s="76">
        <f>EFEITO!$N$374*EFEITO!$AA$374</f>
        <v>0</v>
      </c>
      <c r="M374" s="76">
        <f>$J$374-EFEITO!$K$374*EFEITO!$Y$374</f>
        <v>0</v>
      </c>
      <c r="N374" s="76">
        <f ca="1">$K$374-EFEITO!$M$374*EFEITO!$Z$374</f>
        <v>0</v>
      </c>
      <c r="O374" s="76">
        <f>$L$374-EFEITO!$O$374*EFEITO!$AA$374</f>
        <v>0</v>
      </c>
      <c r="P374" s="18"/>
      <c r="Q374" s="18"/>
      <c r="R374" s="18"/>
      <c r="S374" s="18"/>
      <c r="T374" s="18"/>
      <c r="U374" s="18"/>
      <c r="V374" s="18"/>
      <c r="W374" s="1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62" t="s">
        <v>58</v>
      </c>
      <c r="B375" s="62" t="s">
        <v>41</v>
      </c>
      <c r="C375" s="62" t="s">
        <v>40</v>
      </c>
      <c r="D375" s="62" t="s">
        <v>38</v>
      </c>
      <c r="E375" s="62" t="s">
        <v>25</v>
      </c>
      <c r="F375" s="62" t="s">
        <v>63</v>
      </c>
      <c r="G375" s="62" t="s">
        <v>25</v>
      </c>
      <c r="H375" s="62" t="s">
        <v>25</v>
      </c>
      <c r="I375" s="75">
        <v>44682</v>
      </c>
      <c r="J375" s="76">
        <f>EFEITO!$J$375*EFEITO!$Y$375</f>
        <v>0</v>
      </c>
      <c r="K375" s="76">
        <f ca="1">EFEITO!$L$375*EFEITO!$Z$375</f>
        <v>518986.64741400944</v>
      </c>
      <c r="L375" s="76">
        <f>EFEITO!$N$375*EFEITO!$AA$375</f>
        <v>0</v>
      </c>
      <c r="M375" s="76">
        <f>$J$375-EFEITO!$K$375*EFEITO!$Y$375</f>
        <v>0</v>
      </c>
      <c r="N375" s="76">
        <f ca="1">$K$375-EFEITO!$M$375*EFEITO!$Z$375</f>
        <v>0</v>
      </c>
      <c r="O375" s="76">
        <f>$L$375-EFEITO!$O$375*EFEITO!$AA$375</f>
        <v>0</v>
      </c>
      <c r="P375" s="18"/>
      <c r="Q375" s="18"/>
      <c r="R375" s="18"/>
      <c r="S375" s="18"/>
      <c r="T375" s="18"/>
      <c r="U375" s="18"/>
      <c r="V375" s="18"/>
      <c r="W375" s="1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62" t="s">
        <v>21</v>
      </c>
      <c r="B376" s="62" t="s">
        <v>41</v>
      </c>
      <c r="C376" s="62" t="s">
        <v>40</v>
      </c>
      <c r="D376" s="62" t="s">
        <v>38</v>
      </c>
      <c r="E376" s="62" t="s">
        <v>25</v>
      </c>
      <c r="F376" s="62" t="s">
        <v>63</v>
      </c>
      <c r="G376" s="62" t="s">
        <v>25</v>
      </c>
      <c r="H376" s="62" t="s">
        <v>34</v>
      </c>
      <c r="I376" s="75">
        <v>44348</v>
      </c>
      <c r="J376" s="76">
        <f ca="1">EFEITO!$J$376*EFEITO!$Y$376</f>
        <v>1173647.3563250147</v>
      </c>
      <c r="K376" s="76">
        <f ca="1">EFEITO!$L$376*EFEITO!$Z$376</f>
        <v>0</v>
      </c>
      <c r="L376" s="76">
        <f>EFEITO!$N$376*EFEITO!$AA$376</f>
        <v>0</v>
      </c>
      <c r="M376" s="76">
        <f ca="1">$J$376-EFEITO!$K$376*EFEITO!$Y$376</f>
        <v>263815.26950839197</v>
      </c>
      <c r="N376" s="76">
        <f ca="1">$K$376-EFEITO!$M$376*EFEITO!$Z$376</f>
        <v>0</v>
      </c>
      <c r="O376" s="76">
        <f>$L$376-EFEITO!$O$376*EFEITO!$AA$376</f>
        <v>0</v>
      </c>
      <c r="P376" s="18"/>
      <c r="Q376" s="18"/>
      <c r="R376" s="18"/>
      <c r="S376" s="18"/>
      <c r="T376" s="18"/>
      <c r="U376" s="18"/>
      <c r="V376" s="18"/>
      <c r="W376" s="1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62" t="s">
        <v>21</v>
      </c>
      <c r="B377" s="62" t="s">
        <v>41</v>
      </c>
      <c r="C377" s="62" t="s">
        <v>40</v>
      </c>
      <c r="D377" s="62" t="s">
        <v>38</v>
      </c>
      <c r="E377" s="62" t="s">
        <v>25</v>
      </c>
      <c r="F377" s="62" t="s">
        <v>63</v>
      </c>
      <c r="G377" s="62" t="s">
        <v>25</v>
      </c>
      <c r="H377" s="62" t="s">
        <v>34</v>
      </c>
      <c r="I377" s="75">
        <v>44378</v>
      </c>
      <c r="J377" s="76">
        <f ca="1">EFEITO!$J$377*EFEITO!$Y$377</f>
        <v>1174326.0267315251</v>
      </c>
      <c r="K377" s="76">
        <f ca="1">EFEITO!$L$377*EFEITO!$Z$377</f>
        <v>0</v>
      </c>
      <c r="L377" s="76">
        <f>EFEITO!$N$377*EFEITO!$AA$377</f>
        <v>0</v>
      </c>
      <c r="M377" s="76">
        <f ca="1">$J$377-EFEITO!$K$377*EFEITO!$Y$377</f>
        <v>347739.4853977951</v>
      </c>
      <c r="N377" s="76">
        <f ca="1">$K$377-EFEITO!$M$377*EFEITO!$Z$377</f>
        <v>0</v>
      </c>
      <c r="O377" s="76">
        <f>$L$377-EFEITO!$O$377*EFEITO!$AA$377</f>
        <v>0</v>
      </c>
      <c r="P377" s="18"/>
      <c r="Q377" s="18"/>
      <c r="R377" s="18"/>
      <c r="S377" s="18"/>
      <c r="T377" s="18"/>
      <c r="U377" s="18"/>
      <c r="V377" s="18"/>
      <c r="W377" s="1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62" t="s">
        <v>21</v>
      </c>
      <c r="B378" s="62" t="s">
        <v>41</v>
      </c>
      <c r="C378" s="62" t="s">
        <v>40</v>
      </c>
      <c r="D378" s="62" t="s">
        <v>38</v>
      </c>
      <c r="E378" s="62" t="s">
        <v>25</v>
      </c>
      <c r="F378" s="62" t="s">
        <v>63</v>
      </c>
      <c r="G378" s="62" t="s">
        <v>25</v>
      </c>
      <c r="H378" s="62" t="s">
        <v>34</v>
      </c>
      <c r="I378" s="75">
        <v>44409</v>
      </c>
      <c r="J378" s="76">
        <f ca="1">EFEITO!$J$378*EFEITO!$Y$378</f>
        <v>745330.92199411755</v>
      </c>
      <c r="K378" s="76">
        <f ca="1">EFEITO!$L$378*EFEITO!$Z$378</f>
        <v>0</v>
      </c>
      <c r="L378" s="76">
        <f>EFEITO!$N$378*EFEITO!$AA$378</f>
        <v>0</v>
      </c>
      <c r="M378" s="76">
        <f ca="1">$J$378-EFEITO!$K$378*EFEITO!$Y$378</f>
        <v>420209.09195439116</v>
      </c>
      <c r="N378" s="76">
        <f ca="1">$K$378-EFEITO!$M$378*EFEITO!$Z$378</f>
        <v>0</v>
      </c>
      <c r="O378" s="76">
        <f>$L$378-EFEITO!$O$378*EFEITO!$AA$378</f>
        <v>0</v>
      </c>
      <c r="P378" s="18"/>
      <c r="Q378" s="18"/>
      <c r="R378" s="18"/>
      <c r="S378" s="18"/>
      <c r="T378" s="18"/>
      <c r="U378" s="18"/>
      <c r="V378" s="18"/>
      <c r="W378" s="1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62" t="s">
        <v>21</v>
      </c>
      <c r="B379" s="62" t="s">
        <v>41</v>
      </c>
      <c r="C379" s="62" t="s">
        <v>40</v>
      </c>
      <c r="D379" s="62" t="s">
        <v>38</v>
      </c>
      <c r="E379" s="62" t="s">
        <v>25</v>
      </c>
      <c r="F379" s="62" t="s">
        <v>63</v>
      </c>
      <c r="G379" s="62" t="s">
        <v>25</v>
      </c>
      <c r="H379" s="62" t="s">
        <v>34</v>
      </c>
      <c r="I379" s="75">
        <v>44440</v>
      </c>
      <c r="J379" s="76">
        <f ca="1">EFEITO!$J$379*EFEITO!$Y$379</f>
        <v>788615.01236488076</v>
      </c>
      <c r="K379" s="76">
        <f ca="1">EFEITO!$L$379*EFEITO!$Z$379</f>
        <v>0</v>
      </c>
      <c r="L379" s="76">
        <f>EFEITO!$N$379*EFEITO!$AA$379</f>
        <v>0</v>
      </c>
      <c r="M379" s="76">
        <f ca="1">$J$379-EFEITO!$K$379*EFEITO!$Y$379</f>
        <v>441939.12740346778</v>
      </c>
      <c r="N379" s="76">
        <f ca="1">$K$379-EFEITO!$M$379*EFEITO!$Z$379</f>
        <v>0</v>
      </c>
      <c r="O379" s="76">
        <f>$L$379-EFEITO!$O$379*EFEITO!$AA$379</f>
        <v>0</v>
      </c>
      <c r="P379" s="18"/>
      <c r="Q379" s="18"/>
      <c r="R379" s="18"/>
      <c r="S379" s="18"/>
      <c r="T379" s="18"/>
      <c r="U379" s="18"/>
      <c r="V379" s="18"/>
      <c r="W379" s="1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62" t="s">
        <v>21</v>
      </c>
      <c r="B380" s="62" t="s">
        <v>41</v>
      </c>
      <c r="C380" s="62" t="s">
        <v>40</v>
      </c>
      <c r="D380" s="62" t="s">
        <v>38</v>
      </c>
      <c r="E380" s="62" t="s">
        <v>25</v>
      </c>
      <c r="F380" s="62" t="s">
        <v>63</v>
      </c>
      <c r="G380" s="62" t="s">
        <v>25</v>
      </c>
      <c r="H380" s="62" t="s">
        <v>34</v>
      </c>
      <c r="I380" s="75">
        <v>44470</v>
      </c>
      <c r="J380" s="76">
        <f ca="1">EFEITO!$J$380*EFEITO!$Y$380</f>
        <v>808447.26979956846</v>
      </c>
      <c r="K380" s="76">
        <f ca="1">EFEITO!$L$380*EFEITO!$Z$380</f>
        <v>0</v>
      </c>
      <c r="L380" s="76">
        <f>EFEITO!$N$380*EFEITO!$AA$380</f>
        <v>0</v>
      </c>
      <c r="M380" s="76">
        <f ca="1">$J$380-EFEITO!$K$380*EFEITO!$Y$380</f>
        <v>446619.19181010785</v>
      </c>
      <c r="N380" s="76">
        <f ca="1">$K$380-EFEITO!$M$380*EFEITO!$Z$380</f>
        <v>0</v>
      </c>
      <c r="O380" s="76">
        <f>$L$380-EFEITO!$O$380*EFEITO!$AA$380</f>
        <v>0</v>
      </c>
      <c r="P380" s="18"/>
      <c r="Q380" s="18"/>
      <c r="R380" s="18"/>
      <c r="S380" s="18"/>
      <c r="T380" s="18"/>
      <c r="U380" s="18"/>
      <c r="V380" s="18"/>
      <c r="W380" s="1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62" t="s">
        <v>21</v>
      </c>
      <c r="B381" s="62" t="s">
        <v>41</v>
      </c>
      <c r="C381" s="62" t="s">
        <v>40</v>
      </c>
      <c r="D381" s="62" t="s">
        <v>38</v>
      </c>
      <c r="E381" s="62" t="s">
        <v>25</v>
      </c>
      <c r="F381" s="62" t="s">
        <v>63</v>
      </c>
      <c r="G381" s="62" t="s">
        <v>25</v>
      </c>
      <c r="H381" s="62" t="s">
        <v>34</v>
      </c>
      <c r="I381" s="75">
        <v>44501</v>
      </c>
      <c r="J381" s="76">
        <f ca="1">EFEITO!$J$381*EFEITO!$Y$381</f>
        <v>815912.64427118097</v>
      </c>
      <c r="K381" s="76">
        <f ca="1">EFEITO!$L$381*EFEITO!$Z$381</f>
        <v>0</v>
      </c>
      <c r="L381" s="76">
        <f>EFEITO!$N$381*EFEITO!$AA$381</f>
        <v>0</v>
      </c>
      <c r="M381" s="76">
        <f ca="1">$J$381-EFEITO!$K$381*EFEITO!$Y$381</f>
        <v>451315.31526278274</v>
      </c>
      <c r="N381" s="76">
        <f ca="1">$K$381-EFEITO!$M$381*EFEITO!$Z$381</f>
        <v>0</v>
      </c>
      <c r="O381" s="76">
        <f>$L$381-EFEITO!$O$381*EFEITO!$AA$381</f>
        <v>0</v>
      </c>
      <c r="P381" s="18"/>
      <c r="Q381" s="18"/>
      <c r="R381" s="18"/>
      <c r="S381" s="18"/>
      <c r="T381" s="18"/>
      <c r="U381" s="18"/>
      <c r="V381" s="18"/>
      <c r="W381" s="1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62" t="s">
        <v>21</v>
      </c>
      <c r="B382" s="62" t="s">
        <v>41</v>
      </c>
      <c r="C382" s="62" t="s">
        <v>40</v>
      </c>
      <c r="D382" s="62" t="s">
        <v>38</v>
      </c>
      <c r="E382" s="62" t="s">
        <v>25</v>
      </c>
      <c r="F382" s="62" t="s">
        <v>63</v>
      </c>
      <c r="G382" s="62" t="s">
        <v>25</v>
      </c>
      <c r="H382" s="62" t="s">
        <v>34</v>
      </c>
      <c r="I382" s="75">
        <v>44531</v>
      </c>
      <c r="J382" s="76">
        <f ca="1">EFEITO!$J$382*EFEITO!$Y$382</f>
        <v>822096.0857527185</v>
      </c>
      <c r="K382" s="76">
        <f ca="1">EFEITO!$L$382*EFEITO!$Z$382</f>
        <v>0</v>
      </c>
      <c r="L382" s="76">
        <f>EFEITO!$N$382*EFEITO!$AA$382</f>
        <v>0</v>
      </c>
      <c r="M382" s="76">
        <f ca="1">$J$382-EFEITO!$K$382*EFEITO!$Y$382</f>
        <v>455175.89177436853</v>
      </c>
      <c r="N382" s="76">
        <f ca="1">$K$382-EFEITO!$M$382*EFEITO!$Z$382</f>
        <v>0</v>
      </c>
      <c r="O382" s="76">
        <f>$L$382-EFEITO!$O$382*EFEITO!$AA$382</f>
        <v>0</v>
      </c>
      <c r="P382" s="18"/>
      <c r="Q382" s="18"/>
      <c r="R382" s="18"/>
      <c r="S382" s="18"/>
      <c r="T382" s="18"/>
      <c r="U382" s="18"/>
      <c r="V382" s="18"/>
      <c r="W382" s="1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62" t="s">
        <v>21</v>
      </c>
      <c r="B383" s="62" t="s">
        <v>41</v>
      </c>
      <c r="C383" s="62" t="s">
        <v>40</v>
      </c>
      <c r="D383" s="62" t="s">
        <v>38</v>
      </c>
      <c r="E383" s="62" t="s">
        <v>25</v>
      </c>
      <c r="F383" s="62" t="s">
        <v>63</v>
      </c>
      <c r="G383" s="62" t="s">
        <v>25</v>
      </c>
      <c r="H383" s="62" t="s">
        <v>34</v>
      </c>
      <c r="I383" s="75">
        <v>44562</v>
      </c>
      <c r="J383" s="76">
        <f ca="1">EFEITO!$J$383*EFEITO!$Y$383</f>
        <v>842682.42141686194</v>
      </c>
      <c r="K383" s="76">
        <f ca="1">EFEITO!$L$383*EFEITO!$Z$383</f>
        <v>0</v>
      </c>
      <c r="L383" s="76">
        <f>EFEITO!$N$383*EFEITO!$AA$383</f>
        <v>0</v>
      </c>
      <c r="M383" s="76">
        <f ca="1">$J$383-EFEITO!$K$383*EFEITO!$Y$383</f>
        <v>464190.7523014085</v>
      </c>
      <c r="N383" s="76">
        <f ca="1">$K$383-EFEITO!$M$383*EFEITO!$Z$383</f>
        <v>0</v>
      </c>
      <c r="O383" s="76">
        <f>$L$383-EFEITO!$O$383*EFEITO!$AA$383</f>
        <v>0</v>
      </c>
      <c r="P383" s="18"/>
      <c r="Q383" s="18"/>
      <c r="R383" s="18"/>
      <c r="S383" s="18"/>
      <c r="T383" s="18"/>
      <c r="U383" s="18"/>
      <c r="V383" s="18"/>
      <c r="W383" s="1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62" t="s">
        <v>21</v>
      </c>
      <c r="B384" s="62" t="s">
        <v>41</v>
      </c>
      <c r="C384" s="62" t="s">
        <v>40</v>
      </c>
      <c r="D384" s="62" t="s">
        <v>38</v>
      </c>
      <c r="E384" s="62" t="s">
        <v>25</v>
      </c>
      <c r="F384" s="62" t="s">
        <v>63</v>
      </c>
      <c r="G384" s="62" t="s">
        <v>25</v>
      </c>
      <c r="H384" s="62" t="s">
        <v>34</v>
      </c>
      <c r="I384" s="75">
        <v>44593</v>
      </c>
      <c r="J384" s="76">
        <f ca="1">EFEITO!$J$384*EFEITO!$Y$384</f>
        <v>789595.31406317337</v>
      </c>
      <c r="K384" s="76">
        <f ca="1">EFEITO!$L$384*EFEITO!$Z$384</f>
        <v>0</v>
      </c>
      <c r="L384" s="76">
        <f>EFEITO!$N$384*EFEITO!$AA$384</f>
        <v>0</v>
      </c>
      <c r="M384" s="76">
        <f ca="1">$J$384-EFEITO!$K$384*EFEITO!$Y$384</f>
        <v>437088.22413374746</v>
      </c>
      <c r="N384" s="76">
        <f ca="1">$K$384-EFEITO!$M$384*EFEITO!$Z$384</f>
        <v>0</v>
      </c>
      <c r="O384" s="76">
        <f>$L$384-EFEITO!$O$384*EFEITO!$AA$384</f>
        <v>0</v>
      </c>
      <c r="P384" s="18"/>
      <c r="Q384" s="18"/>
      <c r="R384" s="18"/>
      <c r="S384" s="18"/>
      <c r="T384" s="18"/>
      <c r="U384" s="18"/>
      <c r="V384" s="18"/>
      <c r="W384" s="1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62" t="s">
        <v>21</v>
      </c>
      <c r="B385" s="62" t="s">
        <v>41</v>
      </c>
      <c r="C385" s="62" t="s">
        <v>40</v>
      </c>
      <c r="D385" s="62" t="s">
        <v>38</v>
      </c>
      <c r="E385" s="62" t="s">
        <v>25</v>
      </c>
      <c r="F385" s="62" t="s">
        <v>63</v>
      </c>
      <c r="G385" s="62" t="s">
        <v>25</v>
      </c>
      <c r="H385" s="62" t="s">
        <v>34</v>
      </c>
      <c r="I385" s="75">
        <v>44621</v>
      </c>
      <c r="J385" s="76">
        <f ca="1">EFEITO!$J$385*EFEITO!$Y$385</f>
        <v>790877.24705324823</v>
      </c>
      <c r="K385" s="76">
        <f ca="1">EFEITO!$L$385*EFEITO!$Z$385</f>
        <v>0</v>
      </c>
      <c r="L385" s="76">
        <f>EFEITO!$N$385*EFEITO!$AA$385</f>
        <v>0</v>
      </c>
      <c r="M385" s="76">
        <f ca="1">$J$385-EFEITO!$K$385*EFEITO!$Y$385</f>
        <v>440211.267984137</v>
      </c>
      <c r="N385" s="76">
        <f ca="1">$K$385-EFEITO!$M$385*EFEITO!$Z$385</f>
        <v>0</v>
      </c>
      <c r="O385" s="76">
        <f>$L$385-EFEITO!$O$385*EFEITO!$AA$385</f>
        <v>0</v>
      </c>
      <c r="P385" s="18"/>
      <c r="Q385" s="18"/>
      <c r="R385" s="18"/>
      <c r="S385" s="18"/>
      <c r="T385" s="18"/>
      <c r="U385" s="18"/>
      <c r="V385" s="18"/>
      <c r="W385" s="1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62" t="s">
        <v>21</v>
      </c>
      <c r="B386" s="62" t="s">
        <v>41</v>
      </c>
      <c r="C386" s="62" t="s">
        <v>40</v>
      </c>
      <c r="D386" s="62" t="s">
        <v>38</v>
      </c>
      <c r="E386" s="62" t="s">
        <v>25</v>
      </c>
      <c r="F386" s="62" t="s">
        <v>63</v>
      </c>
      <c r="G386" s="62" t="s">
        <v>25</v>
      </c>
      <c r="H386" s="62" t="s">
        <v>34</v>
      </c>
      <c r="I386" s="75">
        <v>44652</v>
      </c>
      <c r="J386" s="76">
        <f ca="1">EFEITO!$J$386*EFEITO!$Y$386</f>
        <v>789293.682771391</v>
      </c>
      <c r="K386" s="76">
        <f ca="1">EFEITO!$L$386*EFEITO!$Z$386</f>
        <v>0</v>
      </c>
      <c r="L386" s="76">
        <f>EFEITO!$N$386*EFEITO!$AA$386</f>
        <v>0</v>
      </c>
      <c r="M386" s="76">
        <f ca="1">$J$386-EFEITO!$K$386*EFEITO!$Y$386</f>
        <v>440622.44068519358</v>
      </c>
      <c r="N386" s="76">
        <f ca="1">$K$386-EFEITO!$M$386*EFEITO!$Z$386</f>
        <v>0</v>
      </c>
      <c r="O386" s="76">
        <f>$L$386-EFEITO!$O$386*EFEITO!$AA$386</f>
        <v>0</v>
      </c>
      <c r="P386" s="18"/>
      <c r="Q386" s="18"/>
      <c r="R386" s="18"/>
      <c r="S386" s="18"/>
      <c r="T386" s="18"/>
      <c r="U386" s="18"/>
      <c r="V386" s="18"/>
      <c r="W386" s="1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62" t="s">
        <v>58</v>
      </c>
      <c r="B387" s="62" t="s">
        <v>41</v>
      </c>
      <c r="C387" s="62" t="s">
        <v>40</v>
      </c>
      <c r="D387" s="62" t="s">
        <v>38</v>
      </c>
      <c r="E387" s="62" t="s">
        <v>25</v>
      </c>
      <c r="F387" s="62" t="s">
        <v>63</v>
      </c>
      <c r="G387" s="62" t="s">
        <v>25</v>
      </c>
      <c r="H387" s="62" t="s">
        <v>34</v>
      </c>
      <c r="I387" s="75">
        <v>44682</v>
      </c>
      <c r="J387" s="76">
        <f ca="1">EFEITO!$J$387*EFEITO!$Y$387</f>
        <v>789293.682771391</v>
      </c>
      <c r="K387" s="76">
        <f ca="1">EFEITO!$L$387*EFEITO!$Z$387</f>
        <v>0</v>
      </c>
      <c r="L387" s="76">
        <f>EFEITO!$N$387*EFEITO!$AA$387</f>
        <v>0</v>
      </c>
      <c r="M387" s="76">
        <f ca="1">$J$387-EFEITO!$K$387*EFEITO!$Y$387</f>
        <v>440622.44068519358</v>
      </c>
      <c r="N387" s="76">
        <f ca="1">$K$387-EFEITO!$M$387*EFEITO!$Z$387</f>
        <v>0</v>
      </c>
      <c r="O387" s="76">
        <f>$L$387-EFEITO!$O$387*EFEITO!$AA$387</f>
        <v>0</v>
      </c>
      <c r="P387" s="18"/>
      <c r="Q387" s="18"/>
      <c r="R387" s="18"/>
      <c r="S387" s="18"/>
      <c r="T387" s="18"/>
      <c r="U387" s="18"/>
      <c r="V387" s="18"/>
      <c r="W387" s="1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62" t="s">
        <v>21</v>
      </c>
      <c r="B388" s="62" t="s">
        <v>41</v>
      </c>
      <c r="C388" s="62" t="s">
        <v>40</v>
      </c>
      <c r="D388" s="62" t="s">
        <v>38</v>
      </c>
      <c r="E388" s="62" t="s">
        <v>25</v>
      </c>
      <c r="F388" s="62" t="s">
        <v>25</v>
      </c>
      <c r="G388" s="62" t="s">
        <v>25</v>
      </c>
      <c r="H388" s="62" t="s">
        <v>35</v>
      </c>
      <c r="I388" s="75">
        <v>44348</v>
      </c>
      <c r="J388" s="76">
        <f ca="1">EFEITO!$J$388*EFEITO!$Y$388</f>
        <v>29743.6602642816</v>
      </c>
      <c r="K388" s="76">
        <f ca="1">EFEITO!$L$388*EFEITO!$Z$388</f>
        <v>20563.152522260174</v>
      </c>
      <c r="L388" s="76">
        <f>EFEITO!$N$388*EFEITO!$AA$388</f>
        <v>46865.333822854816</v>
      </c>
      <c r="M388" s="76">
        <f ca="1">$J$388-EFEITO!$K$388*EFEITO!$Y$388</f>
        <v>0</v>
      </c>
      <c r="N388" s="76">
        <f ca="1">$K$388-EFEITO!$M$388*EFEITO!$Z$388</f>
        <v>0</v>
      </c>
      <c r="O388" s="76">
        <f>$L$388-EFEITO!$O$388*EFEITO!$AA$388</f>
        <v>0</v>
      </c>
      <c r="P388" s="18"/>
      <c r="Q388" s="18"/>
      <c r="R388" s="18"/>
      <c r="S388" s="18"/>
      <c r="T388" s="18"/>
      <c r="U388" s="18"/>
      <c r="V388" s="18"/>
      <c r="W388" s="1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62" t="s">
        <v>28</v>
      </c>
      <c r="B389" s="62" t="s">
        <v>41</v>
      </c>
      <c r="C389" s="62" t="s">
        <v>40</v>
      </c>
      <c r="D389" s="62" t="s">
        <v>38</v>
      </c>
      <c r="E389" s="62" t="s">
        <v>25</v>
      </c>
      <c r="F389" s="62" t="s">
        <v>25</v>
      </c>
      <c r="G389" s="62" t="s">
        <v>25</v>
      </c>
      <c r="H389" s="62" t="s">
        <v>35</v>
      </c>
      <c r="I389" s="75">
        <v>44348</v>
      </c>
      <c r="J389" s="76">
        <f ca="1">EFEITO!$J$389*EFEITO!$Y$389</f>
        <v>3278.359347766509</v>
      </c>
      <c r="K389" s="76">
        <f ca="1">EFEITO!$L$389*EFEITO!$Z$389</f>
        <v>5905.343788106371</v>
      </c>
      <c r="L389" s="76">
        <f>EFEITO!$N$389*EFEITO!$AA$389</f>
        <v>13458.826785860352</v>
      </c>
      <c r="M389" s="76">
        <f ca="1">$J$389-EFEITO!$K$389*EFEITO!$Y$389</f>
        <v>0</v>
      </c>
      <c r="N389" s="76">
        <f ca="1">$K$389-EFEITO!$M$389*EFEITO!$Z$389</f>
        <v>0</v>
      </c>
      <c r="O389" s="76">
        <f>$L$389-EFEITO!$O$389*EFEITO!$AA$389</f>
        <v>0</v>
      </c>
      <c r="P389" s="18"/>
      <c r="Q389" s="18"/>
      <c r="R389" s="18"/>
      <c r="S389" s="18"/>
      <c r="T389" s="18"/>
      <c r="U389" s="18"/>
      <c r="V389" s="18"/>
      <c r="W389" s="1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62" t="s">
        <v>21</v>
      </c>
      <c r="B390" s="62" t="s">
        <v>41</v>
      </c>
      <c r="C390" s="62" t="s">
        <v>40</v>
      </c>
      <c r="D390" s="62" t="s">
        <v>38</v>
      </c>
      <c r="E390" s="62" t="s">
        <v>25</v>
      </c>
      <c r="F390" s="62" t="s">
        <v>25</v>
      </c>
      <c r="G390" s="62" t="s">
        <v>25</v>
      </c>
      <c r="H390" s="62" t="s">
        <v>35</v>
      </c>
      <c r="I390" s="75">
        <v>44348</v>
      </c>
      <c r="J390" s="76">
        <f ca="1">EFEITO!$J$390*EFEITO!$Y$390</f>
        <v>119213.06719150943</v>
      </c>
      <c r="K390" s="76">
        <f ca="1">EFEITO!$L$390*EFEITO!$Z$390</f>
        <v>0</v>
      </c>
      <c r="L390" s="76">
        <f>EFEITO!$N$390*EFEITO!$AA$390</f>
        <v>0</v>
      </c>
      <c r="M390" s="76">
        <f ca="1">$J$390-EFEITO!$K$390*EFEITO!$Y$390</f>
        <v>0</v>
      </c>
      <c r="N390" s="76">
        <f ca="1">$K$390-EFEITO!$M$390*EFEITO!$Z$390</f>
        <v>0</v>
      </c>
      <c r="O390" s="76">
        <f>$L$390-EFEITO!$O$390*EFEITO!$AA$390</f>
        <v>0</v>
      </c>
      <c r="P390" s="18"/>
      <c r="Q390" s="18"/>
      <c r="R390" s="18"/>
      <c r="S390" s="18"/>
      <c r="T390" s="18"/>
      <c r="U390" s="18"/>
      <c r="V390" s="18"/>
      <c r="W390" s="1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62" t="s">
        <v>21</v>
      </c>
      <c r="B391" s="62" t="s">
        <v>41</v>
      </c>
      <c r="C391" s="62" t="s">
        <v>40</v>
      </c>
      <c r="D391" s="62" t="s">
        <v>38</v>
      </c>
      <c r="E391" s="62" t="s">
        <v>25</v>
      </c>
      <c r="F391" s="62" t="s">
        <v>25</v>
      </c>
      <c r="G391" s="62" t="s">
        <v>25</v>
      </c>
      <c r="H391" s="62" t="s">
        <v>35</v>
      </c>
      <c r="I391" s="75">
        <v>44378</v>
      </c>
      <c r="J391" s="76">
        <f ca="1">EFEITO!$J$391*EFEITO!$Y$391</f>
        <v>3427.375681755896</v>
      </c>
      <c r="K391" s="76">
        <f ca="1">EFEITO!$L$391*EFEITO!$Z$391</f>
        <v>4902.3369233325784</v>
      </c>
      <c r="L391" s="76">
        <f>EFEITO!$N$391*EFEITO!$AA$391</f>
        <v>11172.88101497949</v>
      </c>
      <c r="M391" s="76">
        <f ca="1">$J$391-EFEITO!$K$391*EFEITO!$Y$391</f>
        <v>0</v>
      </c>
      <c r="N391" s="76">
        <f ca="1">$K$391-EFEITO!$M$391*EFEITO!$Z$391</f>
        <v>0</v>
      </c>
      <c r="O391" s="76">
        <f>$L$391-EFEITO!$O$391*EFEITO!$AA$391</f>
        <v>0</v>
      </c>
      <c r="P391" s="18"/>
      <c r="Q391" s="18"/>
      <c r="R391" s="18"/>
      <c r="S391" s="18"/>
      <c r="T391" s="18"/>
      <c r="U391" s="18"/>
      <c r="V391" s="18"/>
      <c r="W391" s="1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62" t="s">
        <v>28</v>
      </c>
      <c r="B392" s="62" t="s">
        <v>41</v>
      </c>
      <c r="C392" s="62" t="s">
        <v>40</v>
      </c>
      <c r="D392" s="62" t="s">
        <v>38</v>
      </c>
      <c r="E392" s="62" t="s">
        <v>25</v>
      </c>
      <c r="F392" s="62" t="s">
        <v>25</v>
      </c>
      <c r="G392" s="62" t="s">
        <v>25</v>
      </c>
      <c r="H392" s="62" t="s">
        <v>35</v>
      </c>
      <c r="I392" s="75">
        <v>44378</v>
      </c>
      <c r="J392" s="76">
        <f ca="1">EFEITO!$J$392*EFEITO!$Y$392</f>
        <v>3457.1789485537734</v>
      </c>
      <c r="K392" s="76">
        <f ca="1">EFEITO!$L$392*EFEITO!$Z$392</f>
        <v>6823.827602477877</v>
      </c>
      <c r="L392" s="76">
        <f>EFEITO!$N$392*EFEITO!$AA$392</f>
        <v>15552.136677172603</v>
      </c>
      <c r="M392" s="76">
        <f ca="1">$J$392-EFEITO!$K$392*EFEITO!$Y$392</f>
        <v>0</v>
      </c>
      <c r="N392" s="76">
        <f ca="1">$K$392-EFEITO!$M$392*EFEITO!$Z$392</f>
        <v>0</v>
      </c>
      <c r="O392" s="76">
        <f>$L$392-EFEITO!$O$392*EFEITO!$AA$392</f>
        <v>0</v>
      </c>
      <c r="P392" s="18"/>
      <c r="Q392" s="18"/>
      <c r="R392" s="18"/>
      <c r="S392" s="18"/>
      <c r="T392" s="18"/>
      <c r="U392" s="18"/>
      <c r="V392" s="18"/>
      <c r="W392" s="1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62" t="s">
        <v>21</v>
      </c>
      <c r="B393" s="62" t="s">
        <v>41</v>
      </c>
      <c r="C393" s="62" t="s">
        <v>40</v>
      </c>
      <c r="D393" s="62" t="s">
        <v>38</v>
      </c>
      <c r="E393" s="62" t="s">
        <v>25</v>
      </c>
      <c r="F393" s="62" t="s">
        <v>25</v>
      </c>
      <c r="G393" s="62" t="s">
        <v>25</v>
      </c>
      <c r="H393" s="62" t="s">
        <v>35</v>
      </c>
      <c r="I393" s="75">
        <v>44378</v>
      </c>
      <c r="J393" s="76">
        <f ca="1">EFEITO!$J$393*EFEITO!$Y$393</f>
        <v>119213.06719150943</v>
      </c>
      <c r="K393" s="76">
        <f ca="1">EFEITO!$L$393*EFEITO!$Z$393</f>
        <v>0</v>
      </c>
      <c r="L393" s="76">
        <f>EFEITO!$N$393*EFEITO!$AA$393</f>
        <v>0</v>
      </c>
      <c r="M393" s="76">
        <f ca="1">$J$393-EFEITO!$K$393*EFEITO!$Y$393</f>
        <v>0</v>
      </c>
      <c r="N393" s="76">
        <f ca="1">$K$393-EFEITO!$M$393*EFEITO!$Z$393</f>
        <v>0</v>
      </c>
      <c r="O393" s="76">
        <f>$L$393-EFEITO!$O$393*EFEITO!$AA$393</f>
        <v>0</v>
      </c>
      <c r="P393" s="18"/>
      <c r="Q393" s="18"/>
      <c r="R393" s="18"/>
      <c r="S393" s="18"/>
      <c r="T393" s="18"/>
      <c r="U393" s="18"/>
      <c r="V393" s="18"/>
      <c r="W393" s="1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62" t="s">
        <v>21</v>
      </c>
      <c r="B394" s="62" t="s">
        <v>41</v>
      </c>
      <c r="C394" s="62" t="s">
        <v>40</v>
      </c>
      <c r="D394" s="62" t="s">
        <v>38</v>
      </c>
      <c r="E394" s="62" t="s">
        <v>25</v>
      </c>
      <c r="F394" s="62" t="s">
        <v>25</v>
      </c>
      <c r="G394" s="62" t="s">
        <v>25</v>
      </c>
      <c r="H394" s="62" t="s">
        <v>35</v>
      </c>
      <c r="I394" s="75">
        <v>44409</v>
      </c>
      <c r="J394" s="76">
        <f ca="1">EFEITO!$J$394*EFEITO!$Y$394</f>
        <v>3427.375681755896</v>
      </c>
      <c r="K394" s="76">
        <f ca="1">EFEITO!$L$394*EFEITO!$Z$394</f>
        <v>5482.7285360949418</v>
      </c>
      <c r="L394" s="76">
        <f>EFEITO!$N$394*EFEITO!$AA$394</f>
        <v>12495.647388017293</v>
      </c>
      <c r="M394" s="76">
        <f ca="1">$J$394-EFEITO!$K$394*EFEITO!$Y$394</f>
        <v>0</v>
      </c>
      <c r="N394" s="76">
        <f ca="1">$K$394-EFEITO!$M$394*EFEITO!$Z$394</f>
        <v>0</v>
      </c>
      <c r="O394" s="76">
        <f>$L$394-EFEITO!$O$394*EFEITO!$AA$394</f>
        <v>0</v>
      </c>
      <c r="P394" s="18"/>
      <c r="Q394" s="18"/>
      <c r="R394" s="18"/>
      <c r="S394" s="18"/>
      <c r="T394" s="18"/>
      <c r="U394" s="18"/>
      <c r="V394" s="18"/>
      <c r="W394" s="1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62" t="s">
        <v>28</v>
      </c>
      <c r="B395" s="62" t="s">
        <v>41</v>
      </c>
      <c r="C395" s="62" t="s">
        <v>40</v>
      </c>
      <c r="D395" s="62" t="s">
        <v>38</v>
      </c>
      <c r="E395" s="62" t="s">
        <v>25</v>
      </c>
      <c r="F395" s="62" t="s">
        <v>25</v>
      </c>
      <c r="G395" s="62" t="s">
        <v>25</v>
      </c>
      <c r="H395" s="62" t="s">
        <v>35</v>
      </c>
      <c r="I395" s="75">
        <v>44409</v>
      </c>
      <c r="J395" s="76">
        <f ca="1">EFEITO!$J$395*EFEITO!$Y$395</f>
        <v>3367.7691481601414</v>
      </c>
      <c r="K395" s="76">
        <f ca="1">EFEITO!$L$395*EFEITO!$Z$395</f>
        <v>6615.3374114855715</v>
      </c>
      <c r="L395" s="76">
        <f>EFEITO!$N$395*EFEITO!$AA$395</f>
        <v>15076.968174236692</v>
      </c>
      <c r="M395" s="76">
        <f ca="1">$J$395-EFEITO!$K$395*EFEITO!$Y$395</f>
        <v>0</v>
      </c>
      <c r="N395" s="76">
        <f ca="1">$K$395-EFEITO!$M$395*EFEITO!$Z$395</f>
        <v>0</v>
      </c>
      <c r="O395" s="76">
        <f>$L$395-EFEITO!$O$395*EFEITO!$AA$395</f>
        <v>0</v>
      </c>
      <c r="P395" s="18"/>
      <c r="Q395" s="18"/>
      <c r="R395" s="18"/>
      <c r="S395" s="18"/>
      <c r="T395" s="18"/>
      <c r="U395" s="18"/>
      <c r="V395" s="18"/>
      <c r="W395" s="1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62" t="s">
        <v>21</v>
      </c>
      <c r="B396" s="62" t="s">
        <v>41</v>
      </c>
      <c r="C396" s="62" t="s">
        <v>40</v>
      </c>
      <c r="D396" s="62" t="s">
        <v>38</v>
      </c>
      <c r="E396" s="62" t="s">
        <v>25</v>
      </c>
      <c r="F396" s="62" t="s">
        <v>25</v>
      </c>
      <c r="G396" s="62" t="s">
        <v>25</v>
      </c>
      <c r="H396" s="62" t="s">
        <v>35</v>
      </c>
      <c r="I396" s="75">
        <v>44409</v>
      </c>
      <c r="J396" s="76">
        <f ca="1">EFEITO!$J$396*EFEITO!$Y$396</f>
        <v>297436.60264281603</v>
      </c>
      <c r="K396" s="76">
        <f ca="1">EFEITO!$L$396*EFEITO!$Z$396</f>
        <v>0</v>
      </c>
      <c r="L396" s="76">
        <f>EFEITO!$N$396*EFEITO!$AA$396</f>
        <v>0</v>
      </c>
      <c r="M396" s="76">
        <f ca="1">$J$396-EFEITO!$K$396*EFEITO!$Y$396</f>
        <v>0</v>
      </c>
      <c r="N396" s="76">
        <f ca="1">$K$396-EFEITO!$M$396*EFEITO!$Z$396</f>
        <v>0</v>
      </c>
      <c r="O396" s="76">
        <f>$L$396-EFEITO!$O$396*EFEITO!$AA$396</f>
        <v>0</v>
      </c>
      <c r="P396" s="18"/>
      <c r="Q396" s="18"/>
      <c r="R396" s="18"/>
      <c r="S396" s="18"/>
      <c r="T396" s="18"/>
      <c r="U396" s="18"/>
      <c r="V396" s="18"/>
      <c r="W396" s="1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62" t="s">
        <v>28</v>
      </c>
      <c r="B397" s="62" t="s">
        <v>41</v>
      </c>
      <c r="C397" s="62" t="s">
        <v>40</v>
      </c>
      <c r="D397" s="62" t="s">
        <v>38</v>
      </c>
      <c r="E397" s="62" t="s">
        <v>25</v>
      </c>
      <c r="F397" s="62" t="s">
        <v>25</v>
      </c>
      <c r="G397" s="62" t="s">
        <v>25</v>
      </c>
      <c r="H397" s="62" t="s">
        <v>35</v>
      </c>
      <c r="I397" s="75">
        <v>44440</v>
      </c>
      <c r="J397" s="76">
        <f ca="1">EFEITO!$J$397*EFEITO!$Y$397</f>
        <v>6407.7023615436319</v>
      </c>
      <c r="K397" s="76">
        <f ca="1">EFEITO!$L$397*EFEITO!$Z$397</f>
        <v>9263.588888236216</v>
      </c>
      <c r="L397" s="76">
        <f>EFEITO!$N$397*EFEITO!$AA$397</f>
        <v>21112.579171647398</v>
      </c>
      <c r="M397" s="76">
        <f ca="1">$J$397-EFEITO!$K$397*EFEITO!$Y$397</f>
        <v>0</v>
      </c>
      <c r="N397" s="76">
        <f ca="1">$K$397-EFEITO!$M$397*EFEITO!$Z$397</f>
        <v>0</v>
      </c>
      <c r="O397" s="76">
        <f>$L$397-EFEITO!$O$397*EFEITO!$AA$397</f>
        <v>0</v>
      </c>
      <c r="P397" s="18"/>
      <c r="Q397" s="18"/>
      <c r="R397" s="18"/>
      <c r="S397" s="18"/>
      <c r="T397" s="18"/>
      <c r="U397" s="18"/>
      <c r="V397" s="18"/>
      <c r="W397" s="1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62" t="s">
        <v>21</v>
      </c>
      <c r="B398" s="62" t="s">
        <v>41</v>
      </c>
      <c r="C398" s="62" t="s">
        <v>40</v>
      </c>
      <c r="D398" s="62" t="s">
        <v>38</v>
      </c>
      <c r="E398" s="62" t="s">
        <v>25</v>
      </c>
      <c r="F398" s="62" t="s">
        <v>25</v>
      </c>
      <c r="G398" s="62" t="s">
        <v>25</v>
      </c>
      <c r="H398" s="62" t="s">
        <v>35</v>
      </c>
      <c r="I398" s="75">
        <v>44440</v>
      </c>
      <c r="J398" s="76">
        <f ca="1">EFEITO!$J$398*EFEITO!$Y$398</f>
        <v>299224.79865068867</v>
      </c>
      <c r="K398" s="76">
        <f ca="1">EFEITO!$L$398*EFEITO!$Z$398</f>
        <v>0</v>
      </c>
      <c r="L398" s="76">
        <f>EFEITO!$N$398*EFEITO!$AA$398</f>
        <v>0</v>
      </c>
      <c r="M398" s="76">
        <f ca="1">$J$398-EFEITO!$K$398*EFEITO!$Y$398</f>
        <v>0</v>
      </c>
      <c r="N398" s="76">
        <f ca="1">$K$398-EFEITO!$M$398*EFEITO!$Z$398</f>
        <v>0</v>
      </c>
      <c r="O398" s="76">
        <f>$L$398-EFEITO!$O$398*EFEITO!$AA$398</f>
        <v>0</v>
      </c>
      <c r="P398" s="18"/>
      <c r="Q398" s="18"/>
      <c r="R398" s="18"/>
      <c r="S398" s="18"/>
      <c r="T398" s="18"/>
      <c r="U398" s="18"/>
      <c r="V398" s="18"/>
      <c r="W398" s="1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62" t="s">
        <v>28</v>
      </c>
      <c r="B399" s="62" t="s">
        <v>41</v>
      </c>
      <c r="C399" s="62" t="s">
        <v>40</v>
      </c>
      <c r="D399" s="62" t="s">
        <v>38</v>
      </c>
      <c r="E399" s="62" t="s">
        <v>25</v>
      </c>
      <c r="F399" s="62" t="s">
        <v>25</v>
      </c>
      <c r="G399" s="62" t="s">
        <v>25</v>
      </c>
      <c r="H399" s="62" t="s">
        <v>35</v>
      </c>
      <c r="I399" s="75">
        <v>44470</v>
      </c>
      <c r="J399" s="76">
        <f ca="1">EFEITO!$J$399*EFEITO!$Y$399</f>
        <v>6467.3088951393865</v>
      </c>
      <c r="K399" s="76">
        <f ca="1">EFEITO!$L$399*EFEITO!$Z$399</f>
        <v>9045.2033157333972</v>
      </c>
      <c r="L399" s="76">
        <f>EFEITO!$N$399*EFEITO!$AA$399</f>
        <v>20614.858175493693</v>
      </c>
      <c r="M399" s="76">
        <f ca="1">$J$399-EFEITO!$K$399*EFEITO!$Y$399</f>
        <v>0</v>
      </c>
      <c r="N399" s="76">
        <f ca="1">$K$399-EFEITO!$M$399*EFEITO!$Z$399</f>
        <v>0</v>
      </c>
      <c r="O399" s="76">
        <f>$L$399-EFEITO!$O$399*EFEITO!$AA$399</f>
        <v>0</v>
      </c>
      <c r="P399" s="18"/>
      <c r="Q399" s="18"/>
      <c r="R399" s="18"/>
      <c r="S399" s="18"/>
      <c r="T399" s="18"/>
      <c r="U399" s="18"/>
      <c r="V399" s="18"/>
      <c r="W399" s="1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62" t="s">
        <v>21</v>
      </c>
      <c r="B400" s="62" t="s">
        <v>41</v>
      </c>
      <c r="C400" s="62" t="s">
        <v>40</v>
      </c>
      <c r="D400" s="62" t="s">
        <v>38</v>
      </c>
      <c r="E400" s="62" t="s">
        <v>25</v>
      </c>
      <c r="F400" s="62" t="s">
        <v>25</v>
      </c>
      <c r="G400" s="62" t="s">
        <v>25</v>
      </c>
      <c r="H400" s="62" t="s">
        <v>35</v>
      </c>
      <c r="I400" s="75">
        <v>44470</v>
      </c>
      <c r="J400" s="76">
        <f ca="1">EFEITO!$J$400*EFEITO!$Y$400</f>
        <v>299612.24111906107</v>
      </c>
      <c r="K400" s="76">
        <f ca="1">EFEITO!$L$400*EFEITO!$Z$400</f>
        <v>0</v>
      </c>
      <c r="L400" s="76">
        <f>EFEITO!$N$400*EFEITO!$AA$400</f>
        <v>0</v>
      </c>
      <c r="M400" s="76">
        <f ca="1">$J$400-EFEITO!$K$400*EFEITO!$Y$400</f>
        <v>0</v>
      </c>
      <c r="N400" s="76">
        <f ca="1">$K$400-EFEITO!$M$400*EFEITO!$Z$400</f>
        <v>0</v>
      </c>
      <c r="O400" s="76">
        <f>$L$400-EFEITO!$O$400*EFEITO!$AA$400</f>
        <v>0</v>
      </c>
      <c r="P400" s="18"/>
      <c r="Q400" s="18"/>
      <c r="R400" s="18"/>
      <c r="S400" s="18"/>
      <c r="T400" s="18"/>
      <c r="U400" s="18"/>
      <c r="V400" s="18"/>
      <c r="W400" s="1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62" t="s">
        <v>28</v>
      </c>
      <c r="B401" s="62" t="s">
        <v>41</v>
      </c>
      <c r="C401" s="62" t="s">
        <v>40</v>
      </c>
      <c r="D401" s="62" t="s">
        <v>38</v>
      </c>
      <c r="E401" s="62" t="s">
        <v>25</v>
      </c>
      <c r="F401" s="62" t="s">
        <v>25</v>
      </c>
      <c r="G401" s="62" t="s">
        <v>25</v>
      </c>
      <c r="H401" s="62" t="s">
        <v>35</v>
      </c>
      <c r="I401" s="75">
        <v>44501</v>
      </c>
      <c r="J401" s="76">
        <f ca="1">EFEITO!$J$401*EFEITO!$Y$401</f>
        <v>6407.7023615436319</v>
      </c>
      <c r="K401" s="76">
        <f ca="1">EFEITO!$L$401*EFEITO!$Z$401</f>
        <v>9415.5929431060176</v>
      </c>
      <c r="L401" s="76">
        <f>EFEITO!$N$401*EFEITO!$AA$401</f>
        <v>21459.010525798429</v>
      </c>
      <c r="M401" s="76">
        <f ca="1">$J$401-EFEITO!$K$401*EFEITO!$Y$401</f>
        <v>0</v>
      </c>
      <c r="N401" s="76">
        <f ca="1">$K$401-EFEITO!$M$401*EFEITO!$Z$401</f>
        <v>0</v>
      </c>
      <c r="O401" s="76">
        <f>$L$401-EFEITO!$O$401*EFEITO!$AA$401</f>
        <v>0</v>
      </c>
      <c r="P401" s="18"/>
      <c r="Q401" s="18"/>
      <c r="R401" s="18"/>
      <c r="S401" s="18"/>
      <c r="T401" s="18"/>
      <c r="U401" s="18"/>
      <c r="V401" s="18"/>
      <c r="W401" s="1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62" t="s">
        <v>21</v>
      </c>
      <c r="B402" s="62" t="s">
        <v>41</v>
      </c>
      <c r="C402" s="62" t="s">
        <v>40</v>
      </c>
      <c r="D402" s="62" t="s">
        <v>38</v>
      </c>
      <c r="E402" s="62" t="s">
        <v>25</v>
      </c>
      <c r="F402" s="62" t="s">
        <v>25</v>
      </c>
      <c r="G402" s="62" t="s">
        <v>25</v>
      </c>
      <c r="H402" s="62" t="s">
        <v>35</v>
      </c>
      <c r="I402" s="75">
        <v>44501</v>
      </c>
      <c r="J402" s="76">
        <f ca="1">EFEITO!$J$402*EFEITO!$Y$402</f>
        <v>298718.14311512472</v>
      </c>
      <c r="K402" s="76">
        <f ca="1">EFEITO!$L$402*EFEITO!$Z$402</f>
        <v>0</v>
      </c>
      <c r="L402" s="76">
        <f>EFEITO!$N$402*EFEITO!$AA$402</f>
        <v>0</v>
      </c>
      <c r="M402" s="76">
        <f ca="1">$J$402-EFEITO!$K$402*EFEITO!$Y$402</f>
        <v>0</v>
      </c>
      <c r="N402" s="76">
        <f ca="1">$K$402-EFEITO!$M$402*EFEITO!$Z$402</f>
        <v>0</v>
      </c>
      <c r="O402" s="76">
        <f>$L$402-EFEITO!$O$402*EFEITO!$AA$402</f>
        <v>0</v>
      </c>
      <c r="P402" s="18"/>
      <c r="Q402" s="18"/>
      <c r="R402" s="18"/>
      <c r="S402" s="18"/>
      <c r="T402" s="18"/>
      <c r="U402" s="18"/>
      <c r="V402" s="18"/>
      <c r="W402" s="1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62" t="s">
        <v>28</v>
      </c>
      <c r="B403" s="62" t="s">
        <v>41</v>
      </c>
      <c r="C403" s="62" t="s">
        <v>40</v>
      </c>
      <c r="D403" s="62" t="s">
        <v>38</v>
      </c>
      <c r="E403" s="62" t="s">
        <v>25</v>
      </c>
      <c r="F403" s="62" t="s">
        <v>25</v>
      </c>
      <c r="G403" s="62" t="s">
        <v>25</v>
      </c>
      <c r="H403" s="62" t="s">
        <v>35</v>
      </c>
      <c r="I403" s="75">
        <v>44531</v>
      </c>
      <c r="J403" s="76">
        <f ca="1">EFEITO!$J$403*EFEITO!$Y$403</f>
        <v>6407.7023615436319</v>
      </c>
      <c r="K403" s="76">
        <f ca="1">EFEITO!$L$403*EFEITO!$Z$403</f>
        <v>9131.9253398046858</v>
      </c>
      <c r="L403" s="76">
        <f>EFEITO!$N$403*EFEITO!$AA$403</f>
        <v>20812.505720221816</v>
      </c>
      <c r="M403" s="76">
        <f ca="1">$J$403-EFEITO!$K$403*EFEITO!$Y$403</f>
        <v>0</v>
      </c>
      <c r="N403" s="76">
        <f ca="1">$K$403-EFEITO!$M$403*EFEITO!$Z$403</f>
        <v>0</v>
      </c>
      <c r="O403" s="76">
        <f>$L$403-EFEITO!$O$403*EFEITO!$AA$403</f>
        <v>0</v>
      </c>
      <c r="P403" s="18"/>
      <c r="Q403" s="18"/>
      <c r="R403" s="18"/>
      <c r="S403" s="18"/>
      <c r="T403" s="18"/>
      <c r="U403" s="18"/>
      <c r="V403" s="18"/>
      <c r="W403" s="1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62" t="s">
        <v>21</v>
      </c>
      <c r="B404" s="62" t="s">
        <v>41</v>
      </c>
      <c r="C404" s="62" t="s">
        <v>40</v>
      </c>
      <c r="D404" s="62" t="s">
        <v>38</v>
      </c>
      <c r="E404" s="62" t="s">
        <v>25</v>
      </c>
      <c r="F404" s="62" t="s">
        <v>25</v>
      </c>
      <c r="G404" s="62" t="s">
        <v>25</v>
      </c>
      <c r="H404" s="62" t="s">
        <v>35</v>
      </c>
      <c r="I404" s="75">
        <v>44531</v>
      </c>
      <c r="J404" s="76">
        <f ca="1">EFEITO!$J$404*EFEITO!$Y$404</f>
        <v>299075.78231669927</v>
      </c>
      <c r="K404" s="76">
        <f ca="1">EFEITO!$L$404*EFEITO!$Z$404</f>
        <v>0</v>
      </c>
      <c r="L404" s="76">
        <f>EFEITO!$N$404*EFEITO!$AA$404</f>
        <v>0</v>
      </c>
      <c r="M404" s="76">
        <f ca="1">$J$404-EFEITO!$K$404*EFEITO!$Y$404</f>
        <v>0</v>
      </c>
      <c r="N404" s="76">
        <f ca="1">$K$404-EFEITO!$M$404*EFEITO!$Z$404</f>
        <v>0</v>
      </c>
      <c r="O404" s="76">
        <f>$L$404-EFEITO!$O$404*EFEITO!$AA$404</f>
        <v>0</v>
      </c>
      <c r="P404" s="18"/>
      <c r="Q404" s="18"/>
      <c r="R404" s="18"/>
      <c r="S404" s="18"/>
      <c r="T404" s="18"/>
      <c r="U404" s="18"/>
      <c r="V404" s="18"/>
      <c r="W404" s="1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62" t="s">
        <v>28</v>
      </c>
      <c r="B405" s="62" t="s">
        <v>41</v>
      </c>
      <c r="C405" s="62" t="s">
        <v>40</v>
      </c>
      <c r="D405" s="62" t="s">
        <v>38</v>
      </c>
      <c r="E405" s="62" t="s">
        <v>25</v>
      </c>
      <c r="F405" s="62" t="s">
        <v>25</v>
      </c>
      <c r="G405" s="62" t="s">
        <v>25</v>
      </c>
      <c r="H405" s="62" t="s">
        <v>35</v>
      </c>
      <c r="I405" s="75">
        <v>44562</v>
      </c>
      <c r="J405" s="76">
        <f ca="1">EFEITO!$J$405*EFEITO!$Y$405</f>
        <v>6407.7023615436319</v>
      </c>
      <c r="K405" s="76">
        <f ca="1">EFEITO!$L$405*EFEITO!$Z$405</f>
        <v>9596.7333990901025</v>
      </c>
      <c r="L405" s="76">
        <f>EFEITO!$N$405*EFEITO!$AA$405</f>
        <v>21871.846443312948</v>
      </c>
      <c r="M405" s="76">
        <f ca="1">$J$405-EFEITO!$K$405*EFEITO!$Y$405</f>
        <v>0</v>
      </c>
      <c r="N405" s="76">
        <f ca="1">$K$405-EFEITO!$M$405*EFEITO!$Z$405</f>
        <v>0</v>
      </c>
      <c r="O405" s="76">
        <f>$L$405-EFEITO!$O$405*EFEITO!$AA$405</f>
        <v>0</v>
      </c>
      <c r="P405" s="18"/>
      <c r="Q405" s="18"/>
      <c r="R405" s="18"/>
      <c r="S405" s="18"/>
      <c r="T405" s="18"/>
      <c r="U405" s="18"/>
      <c r="V405" s="18"/>
      <c r="W405" s="1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62" t="s">
        <v>21</v>
      </c>
      <c r="B406" s="62" t="s">
        <v>41</v>
      </c>
      <c r="C406" s="62" t="s">
        <v>40</v>
      </c>
      <c r="D406" s="62" t="s">
        <v>38</v>
      </c>
      <c r="E406" s="62" t="s">
        <v>25</v>
      </c>
      <c r="F406" s="62" t="s">
        <v>25</v>
      </c>
      <c r="G406" s="62" t="s">
        <v>25</v>
      </c>
      <c r="H406" s="62" t="s">
        <v>35</v>
      </c>
      <c r="I406" s="75">
        <v>44562</v>
      </c>
      <c r="J406" s="76">
        <f ca="1">EFEITO!$J$406*EFEITO!$Y$406</f>
        <v>300983.19139176339</v>
      </c>
      <c r="K406" s="76">
        <f ca="1">EFEITO!$L$406*EFEITO!$Z$406</f>
        <v>0</v>
      </c>
      <c r="L406" s="76">
        <f>EFEITO!$N$406*EFEITO!$AA$406</f>
        <v>0</v>
      </c>
      <c r="M406" s="76">
        <f ca="1">$J$406-EFEITO!$K$406*EFEITO!$Y$406</f>
        <v>0</v>
      </c>
      <c r="N406" s="76">
        <f ca="1">$K$406-EFEITO!$M$406*EFEITO!$Z$406</f>
        <v>0</v>
      </c>
      <c r="O406" s="76">
        <f>$L$406-EFEITO!$O$406*EFEITO!$AA$406</f>
        <v>0</v>
      </c>
      <c r="P406" s="18"/>
      <c r="Q406" s="18"/>
      <c r="R406" s="18"/>
      <c r="S406" s="18"/>
      <c r="T406" s="18"/>
      <c r="U406" s="18"/>
      <c r="V406" s="18"/>
      <c r="W406" s="1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62" t="s">
        <v>28</v>
      </c>
      <c r="B407" s="62" t="s">
        <v>41</v>
      </c>
      <c r="C407" s="62" t="s">
        <v>40</v>
      </c>
      <c r="D407" s="62" t="s">
        <v>38</v>
      </c>
      <c r="E407" s="62" t="s">
        <v>25</v>
      </c>
      <c r="F407" s="62" t="s">
        <v>25</v>
      </c>
      <c r="G407" s="62" t="s">
        <v>25</v>
      </c>
      <c r="H407" s="62" t="s">
        <v>35</v>
      </c>
      <c r="I407" s="75">
        <v>44593</v>
      </c>
      <c r="J407" s="76">
        <f ca="1">EFEITO!$J$407*EFEITO!$Y$407</f>
        <v>6526.9154287351412</v>
      </c>
      <c r="K407" s="76">
        <f ca="1">EFEITO!$L$407*EFEITO!$Z$407</f>
        <v>8598.674225071567</v>
      </c>
      <c r="L407" s="76">
        <f>EFEITO!$N$407*EFEITO!$AA$407</f>
        <v>19597.17691904098</v>
      </c>
      <c r="M407" s="76">
        <f ca="1">$J$407-EFEITO!$K$407*EFEITO!$Y$407</f>
        <v>0</v>
      </c>
      <c r="N407" s="76">
        <f ca="1">$K$407-EFEITO!$M$407*EFEITO!$Z$407</f>
        <v>0</v>
      </c>
      <c r="O407" s="76">
        <f>$L$407-EFEITO!$O$407*EFEITO!$AA$407</f>
        <v>0</v>
      </c>
      <c r="P407" s="18"/>
      <c r="Q407" s="18"/>
      <c r="R407" s="18"/>
      <c r="S407" s="18"/>
      <c r="T407" s="18"/>
      <c r="U407" s="18"/>
      <c r="V407" s="18"/>
      <c r="W407" s="1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62" t="s">
        <v>21</v>
      </c>
      <c r="B408" s="62" t="s">
        <v>41</v>
      </c>
      <c r="C408" s="62" t="s">
        <v>40</v>
      </c>
      <c r="D408" s="62" t="s">
        <v>38</v>
      </c>
      <c r="E408" s="62" t="s">
        <v>25</v>
      </c>
      <c r="F408" s="62" t="s">
        <v>25</v>
      </c>
      <c r="G408" s="62" t="s">
        <v>25</v>
      </c>
      <c r="H408" s="62" t="s">
        <v>35</v>
      </c>
      <c r="I408" s="75">
        <v>44593</v>
      </c>
      <c r="J408" s="76">
        <f ca="1">EFEITO!$J$408*EFEITO!$Y$408</f>
        <v>302026.30572968913</v>
      </c>
      <c r="K408" s="76">
        <f ca="1">EFEITO!$L$408*EFEITO!$Z$408</f>
        <v>0</v>
      </c>
      <c r="L408" s="76">
        <f>EFEITO!$N$408*EFEITO!$AA$408</f>
        <v>0</v>
      </c>
      <c r="M408" s="76">
        <f ca="1">$J$408-EFEITO!$K$408*EFEITO!$Y$408</f>
        <v>0</v>
      </c>
      <c r="N408" s="76">
        <f ca="1">$K$408-EFEITO!$M$408*EFEITO!$Z$408</f>
        <v>0</v>
      </c>
      <c r="O408" s="76">
        <f>$L$408-EFEITO!$O$408*EFEITO!$AA$408</f>
        <v>0</v>
      </c>
      <c r="P408" s="18"/>
      <c r="Q408" s="18"/>
      <c r="R408" s="18"/>
      <c r="S408" s="18"/>
      <c r="T408" s="18"/>
      <c r="U408" s="18"/>
      <c r="V408" s="18"/>
      <c r="W408" s="1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62" t="s">
        <v>28</v>
      </c>
      <c r="B409" s="62" t="s">
        <v>41</v>
      </c>
      <c r="C409" s="62" t="s">
        <v>40</v>
      </c>
      <c r="D409" s="62" t="s">
        <v>38</v>
      </c>
      <c r="E409" s="62" t="s">
        <v>25</v>
      </c>
      <c r="F409" s="62" t="s">
        <v>25</v>
      </c>
      <c r="G409" s="62" t="s">
        <v>25</v>
      </c>
      <c r="H409" s="62" t="s">
        <v>35</v>
      </c>
      <c r="I409" s="75">
        <v>44621</v>
      </c>
      <c r="J409" s="76">
        <f ca="1">EFEITO!$J$409*EFEITO!$Y$409</f>
        <v>6616.3252291287727</v>
      </c>
      <c r="K409" s="76">
        <f ca="1">EFEITO!$L$409*EFEITO!$Z$409</f>
        <v>12647.534493122528</v>
      </c>
      <c r="L409" s="76">
        <f>EFEITO!$N$409*EFEITO!$AA$409</f>
        <v>28824.905393986199</v>
      </c>
      <c r="M409" s="76">
        <f ca="1">$J$409-EFEITO!$K$409*EFEITO!$Y$409</f>
        <v>0</v>
      </c>
      <c r="N409" s="76">
        <f ca="1">$K$409-EFEITO!$M$409*EFEITO!$Z$409</f>
        <v>0</v>
      </c>
      <c r="O409" s="76">
        <f>$L$409-EFEITO!$O$409*EFEITO!$AA$409</f>
        <v>0</v>
      </c>
      <c r="P409" s="18"/>
      <c r="Q409" s="18"/>
      <c r="R409" s="18"/>
      <c r="S409" s="18"/>
      <c r="T409" s="18"/>
      <c r="U409" s="18"/>
      <c r="V409" s="18"/>
      <c r="W409" s="1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62" t="s">
        <v>21</v>
      </c>
      <c r="B410" s="62" t="s">
        <v>41</v>
      </c>
      <c r="C410" s="62" t="s">
        <v>40</v>
      </c>
      <c r="D410" s="62" t="s">
        <v>38</v>
      </c>
      <c r="E410" s="62" t="s">
        <v>25</v>
      </c>
      <c r="F410" s="62" t="s">
        <v>25</v>
      </c>
      <c r="G410" s="62" t="s">
        <v>25</v>
      </c>
      <c r="H410" s="62" t="s">
        <v>35</v>
      </c>
      <c r="I410" s="75">
        <v>44621</v>
      </c>
      <c r="J410" s="76">
        <f ca="1">EFEITO!$J$410*EFEITO!$Y$410</f>
        <v>308851.25382640306</v>
      </c>
      <c r="K410" s="76">
        <f ca="1">EFEITO!$L$410*EFEITO!$Z$410</f>
        <v>0</v>
      </c>
      <c r="L410" s="76">
        <f>EFEITO!$N$410*EFEITO!$AA$410</f>
        <v>0</v>
      </c>
      <c r="M410" s="76">
        <f ca="1">$J$410-EFEITO!$K$410*EFEITO!$Y$410</f>
        <v>0</v>
      </c>
      <c r="N410" s="76">
        <f ca="1">$K$410-EFEITO!$M$410*EFEITO!$Z$410</f>
        <v>0</v>
      </c>
      <c r="O410" s="76">
        <f>$L$410-EFEITO!$O$410*EFEITO!$AA$410</f>
        <v>0</v>
      </c>
      <c r="P410" s="18"/>
      <c r="Q410" s="18"/>
      <c r="R410" s="18"/>
      <c r="S410" s="18"/>
      <c r="T410" s="18"/>
      <c r="U410" s="18"/>
      <c r="V410" s="18"/>
      <c r="W410" s="1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62" t="s">
        <v>28</v>
      </c>
      <c r="B411" s="62" t="s">
        <v>41</v>
      </c>
      <c r="C411" s="62" t="s">
        <v>40</v>
      </c>
      <c r="D411" s="62" t="s">
        <v>38</v>
      </c>
      <c r="E411" s="62" t="s">
        <v>25</v>
      </c>
      <c r="F411" s="62" t="s">
        <v>25</v>
      </c>
      <c r="G411" s="62" t="s">
        <v>25</v>
      </c>
      <c r="H411" s="62" t="s">
        <v>35</v>
      </c>
      <c r="I411" s="75">
        <v>44652</v>
      </c>
      <c r="J411" s="76">
        <f ca="1">EFEITO!$J$411*EFEITO!$Y$411</f>
        <v>6705.7350295224051</v>
      </c>
      <c r="K411" s="76">
        <f ca="1">EFEITO!$L$411*EFEITO!$Z$411</f>
        <v>8609.3942217079548</v>
      </c>
      <c r="L411" s="76">
        <f>EFEITO!$N$411*EFEITO!$AA$411</f>
        <v>19621.608786693585</v>
      </c>
      <c r="M411" s="76">
        <f ca="1">$J$411-EFEITO!$K$411*EFEITO!$Y$411</f>
        <v>0</v>
      </c>
      <c r="N411" s="76">
        <f ca="1">$K$411-EFEITO!$M$411*EFEITO!$Z$411</f>
        <v>0</v>
      </c>
      <c r="O411" s="76">
        <f>$L$411-EFEITO!$O$411*EFEITO!$AA$411</f>
        <v>0</v>
      </c>
      <c r="P411" s="18"/>
      <c r="Q411" s="18"/>
      <c r="R411" s="18"/>
      <c r="S411" s="18"/>
      <c r="T411" s="18"/>
      <c r="U411" s="18"/>
      <c r="V411" s="18"/>
      <c r="W411" s="1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62" t="s">
        <v>21</v>
      </c>
      <c r="B412" s="62" t="s">
        <v>41</v>
      </c>
      <c r="C412" s="62" t="s">
        <v>40</v>
      </c>
      <c r="D412" s="62" t="s">
        <v>38</v>
      </c>
      <c r="E412" s="62" t="s">
        <v>25</v>
      </c>
      <c r="F412" s="62" t="s">
        <v>25</v>
      </c>
      <c r="G412" s="62" t="s">
        <v>25</v>
      </c>
      <c r="H412" s="62" t="s">
        <v>35</v>
      </c>
      <c r="I412" s="75">
        <v>44652</v>
      </c>
      <c r="J412" s="76">
        <f ca="1">EFEITO!$J$412*EFEITO!$Y$412</f>
        <v>303456.86253598722</v>
      </c>
      <c r="K412" s="76">
        <f ca="1">EFEITO!$L$412*EFEITO!$Z$412</f>
        <v>0</v>
      </c>
      <c r="L412" s="76">
        <f>EFEITO!$N$412*EFEITO!$AA$412</f>
        <v>0</v>
      </c>
      <c r="M412" s="76">
        <f ca="1">$J$412-EFEITO!$K$412*EFEITO!$Y$412</f>
        <v>0</v>
      </c>
      <c r="N412" s="76">
        <f ca="1">$K$412-EFEITO!$M$412*EFEITO!$Z$412</f>
        <v>0</v>
      </c>
      <c r="O412" s="76">
        <f>$L$412-EFEITO!$O$412*EFEITO!$AA$412</f>
        <v>0</v>
      </c>
      <c r="P412" s="18"/>
      <c r="Q412" s="18"/>
      <c r="R412" s="18"/>
      <c r="S412" s="18"/>
      <c r="T412" s="18"/>
      <c r="U412" s="18"/>
      <c r="V412" s="18"/>
      <c r="W412" s="1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62" t="s">
        <v>58</v>
      </c>
      <c r="B413" s="62" t="s">
        <v>41</v>
      </c>
      <c r="C413" s="62" t="s">
        <v>40</v>
      </c>
      <c r="D413" s="62" t="s">
        <v>38</v>
      </c>
      <c r="E413" s="62" t="s">
        <v>25</v>
      </c>
      <c r="F413" s="62" t="s">
        <v>25</v>
      </c>
      <c r="G413" s="62" t="s">
        <v>25</v>
      </c>
      <c r="H413" s="62" t="s">
        <v>35</v>
      </c>
      <c r="I413" s="75">
        <v>44682</v>
      </c>
      <c r="J413" s="76">
        <f ca="1">EFEITO!$J$413*EFEITO!$Y$413</f>
        <v>6705.7350295224051</v>
      </c>
      <c r="K413" s="76">
        <f ca="1">EFEITO!$L$413*EFEITO!$Z$413</f>
        <v>8609.3942217079548</v>
      </c>
      <c r="L413" s="76">
        <f>EFEITO!$N$413*EFEITO!$AA$413</f>
        <v>19621.608786693585</v>
      </c>
      <c r="M413" s="76">
        <f ca="1">$J$413-EFEITO!$K$413*EFEITO!$Y$413</f>
        <v>0</v>
      </c>
      <c r="N413" s="76">
        <f ca="1">$K$413-EFEITO!$M$413*EFEITO!$Z$413</f>
        <v>0</v>
      </c>
      <c r="O413" s="76">
        <f>$L$413-EFEITO!$O$413*EFEITO!$AA$413</f>
        <v>0</v>
      </c>
      <c r="P413" s="18"/>
      <c r="Q413" s="18"/>
      <c r="R413" s="18"/>
      <c r="S413" s="18"/>
      <c r="T413" s="18"/>
      <c r="U413" s="18"/>
      <c r="V413" s="18"/>
      <c r="W413" s="1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62" t="s">
        <v>58</v>
      </c>
      <c r="B414" s="62" t="s">
        <v>41</v>
      </c>
      <c r="C414" s="62" t="s">
        <v>40</v>
      </c>
      <c r="D414" s="62" t="s">
        <v>38</v>
      </c>
      <c r="E414" s="62" t="s">
        <v>25</v>
      </c>
      <c r="F414" s="62" t="s">
        <v>25</v>
      </c>
      <c r="G414" s="62" t="s">
        <v>25</v>
      </c>
      <c r="H414" s="62" t="s">
        <v>35</v>
      </c>
      <c r="I414" s="75">
        <v>44682</v>
      </c>
      <c r="J414" s="76">
        <f ca="1">EFEITO!$J$414*EFEITO!$Y$414</f>
        <v>303456.86253598722</v>
      </c>
      <c r="K414" s="76">
        <f ca="1">EFEITO!$L$414*EFEITO!$Z$414</f>
        <v>0</v>
      </c>
      <c r="L414" s="76">
        <f>EFEITO!$N$414*EFEITO!$AA$414</f>
        <v>0</v>
      </c>
      <c r="M414" s="76">
        <f ca="1">$J$414-EFEITO!$K$414*EFEITO!$Y$414</f>
        <v>0</v>
      </c>
      <c r="N414" s="76">
        <f ca="1">$K$414-EFEITO!$M$414*EFEITO!$Z$414</f>
        <v>0</v>
      </c>
      <c r="O414" s="76">
        <f>$L$414-EFEITO!$O$414*EFEITO!$AA$414</f>
        <v>0</v>
      </c>
      <c r="P414" s="18"/>
      <c r="Q414" s="18"/>
      <c r="R414" s="18"/>
      <c r="S414" s="18"/>
      <c r="T414" s="18"/>
      <c r="U414" s="18"/>
      <c r="V414" s="18"/>
      <c r="W414" s="1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62" t="s">
        <v>21</v>
      </c>
      <c r="B415" s="62" t="s">
        <v>41</v>
      </c>
      <c r="C415" s="62" t="s">
        <v>40</v>
      </c>
      <c r="D415" s="62" t="s">
        <v>38</v>
      </c>
      <c r="E415" s="62" t="s">
        <v>25</v>
      </c>
      <c r="F415" s="62" t="s">
        <v>25</v>
      </c>
      <c r="G415" s="62" t="s">
        <v>25</v>
      </c>
      <c r="H415" s="62" t="s">
        <v>25</v>
      </c>
      <c r="I415" s="75">
        <v>44348</v>
      </c>
      <c r="J415" s="76">
        <f>EFEITO!$J$415*EFEITO!$Y$415</f>
        <v>0</v>
      </c>
      <c r="K415" s="76">
        <f ca="1">EFEITO!$L$415*EFEITO!$Z$415</f>
        <v>361676.33164505014</v>
      </c>
      <c r="L415" s="76">
        <f>EFEITO!$N$415*EFEITO!$AA$415</f>
        <v>0</v>
      </c>
      <c r="M415" s="76">
        <f>$J$415-EFEITO!$K$415*EFEITO!$Y$415</f>
        <v>0</v>
      </c>
      <c r="N415" s="76">
        <f ca="1">$K$415-EFEITO!$M$415*EFEITO!$Z$415</f>
        <v>0</v>
      </c>
      <c r="O415" s="76">
        <f>$L$415-EFEITO!$O$415*EFEITO!$AA$415</f>
        <v>0</v>
      </c>
      <c r="P415" s="18"/>
      <c r="Q415" s="18"/>
      <c r="R415" s="18"/>
      <c r="S415" s="18"/>
      <c r="T415" s="18"/>
      <c r="U415" s="18"/>
      <c r="V415" s="18"/>
      <c r="W415" s="1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62" t="s">
        <v>21</v>
      </c>
      <c r="B416" s="62" t="s">
        <v>41</v>
      </c>
      <c r="C416" s="62" t="s">
        <v>40</v>
      </c>
      <c r="D416" s="62" t="s">
        <v>38</v>
      </c>
      <c r="E416" s="62" t="s">
        <v>25</v>
      </c>
      <c r="F416" s="62" t="s">
        <v>25</v>
      </c>
      <c r="G416" s="62" t="s">
        <v>25</v>
      </c>
      <c r="H416" s="62" t="s">
        <v>25</v>
      </c>
      <c r="I416" s="75">
        <v>44378</v>
      </c>
      <c r="J416" s="76">
        <f>EFEITO!$J$416*EFEITO!$Y$416</f>
        <v>0</v>
      </c>
      <c r="K416" s="76">
        <f ca="1">EFEITO!$L$416*EFEITO!$Z$416</f>
        <v>351034.67344562081</v>
      </c>
      <c r="L416" s="76">
        <f>EFEITO!$N$416*EFEITO!$AA$416</f>
        <v>0</v>
      </c>
      <c r="M416" s="76">
        <f>$J$416-EFEITO!$K$416*EFEITO!$Y$416</f>
        <v>0</v>
      </c>
      <c r="N416" s="76">
        <f ca="1">$K$416-EFEITO!$M$416*EFEITO!$Z$416</f>
        <v>0</v>
      </c>
      <c r="O416" s="76">
        <f>$L$416-EFEITO!$O$416*EFEITO!$AA$416</f>
        <v>0</v>
      </c>
      <c r="P416" s="18"/>
      <c r="Q416" s="18"/>
      <c r="R416" s="18"/>
      <c r="S416" s="18"/>
      <c r="T416" s="18"/>
      <c r="U416" s="18"/>
      <c r="V416" s="18"/>
      <c r="W416" s="1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62" t="s">
        <v>21</v>
      </c>
      <c r="B417" s="62" t="s">
        <v>41</v>
      </c>
      <c r="C417" s="62" t="s">
        <v>40</v>
      </c>
      <c r="D417" s="62" t="s">
        <v>38</v>
      </c>
      <c r="E417" s="62" t="s">
        <v>25</v>
      </c>
      <c r="F417" s="62" t="s">
        <v>25</v>
      </c>
      <c r="G417" s="62" t="s">
        <v>25</v>
      </c>
      <c r="H417" s="62" t="s">
        <v>25</v>
      </c>
      <c r="I417" s="75">
        <v>44409</v>
      </c>
      <c r="J417" s="76">
        <f>EFEITO!$J$417*EFEITO!$Y$417</f>
        <v>0</v>
      </c>
      <c r="K417" s="76">
        <f ca="1">EFEITO!$L$417*EFEITO!$Z$417</f>
        <v>682239.13978003094</v>
      </c>
      <c r="L417" s="76">
        <f>EFEITO!$N$417*EFEITO!$AA$417</f>
        <v>0</v>
      </c>
      <c r="M417" s="76">
        <f>$J$417-EFEITO!$K$417*EFEITO!$Y$417</f>
        <v>0</v>
      </c>
      <c r="N417" s="76">
        <f ca="1">$K$417-EFEITO!$M$417*EFEITO!$Z$417</f>
        <v>0</v>
      </c>
      <c r="O417" s="76">
        <f>$L$417-EFEITO!$O$417*EFEITO!$AA$417</f>
        <v>0</v>
      </c>
      <c r="P417" s="18"/>
      <c r="Q417" s="18"/>
      <c r="R417" s="18"/>
      <c r="S417" s="18"/>
      <c r="T417" s="18"/>
      <c r="U417" s="18"/>
      <c r="V417" s="18"/>
      <c r="W417" s="1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62" t="s">
        <v>21</v>
      </c>
      <c r="B418" s="62" t="s">
        <v>41</v>
      </c>
      <c r="C418" s="62" t="s">
        <v>40</v>
      </c>
      <c r="D418" s="62" t="s">
        <v>38</v>
      </c>
      <c r="E418" s="62" t="s">
        <v>25</v>
      </c>
      <c r="F418" s="62" t="s">
        <v>25</v>
      </c>
      <c r="G418" s="62" t="s">
        <v>25</v>
      </c>
      <c r="H418" s="62" t="s">
        <v>25</v>
      </c>
      <c r="I418" s="75">
        <v>44440</v>
      </c>
      <c r="J418" s="76">
        <f>EFEITO!$J$418*EFEITO!$Y$418</f>
        <v>0</v>
      </c>
      <c r="K418" s="76">
        <f ca="1">EFEITO!$L$418*EFEITO!$Z$418</f>
        <v>717717.38095571811</v>
      </c>
      <c r="L418" s="76">
        <f>EFEITO!$N$418*EFEITO!$AA$418</f>
        <v>0</v>
      </c>
      <c r="M418" s="76">
        <f>$J$418-EFEITO!$K$418*EFEITO!$Y$418</f>
        <v>0</v>
      </c>
      <c r="N418" s="76">
        <f ca="1">$K$418-EFEITO!$M$418*EFEITO!$Z$418</f>
        <v>0</v>
      </c>
      <c r="O418" s="76">
        <f>$L$418-EFEITO!$O$418*EFEITO!$AA$418</f>
        <v>0</v>
      </c>
      <c r="P418" s="18"/>
      <c r="Q418" s="18"/>
      <c r="R418" s="18"/>
      <c r="S418" s="18"/>
      <c r="T418" s="18"/>
      <c r="U418" s="18"/>
      <c r="V418" s="18"/>
      <c r="W418" s="1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62" t="s">
        <v>21</v>
      </c>
      <c r="B419" s="62" t="s">
        <v>41</v>
      </c>
      <c r="C419" s="62" t="s">
        <v>40</v>
      </c>
      <c r="D419" s="62" t="s">
        <v>38</v>
      </c>
      <c r="E419" s="62" t="s">
        <v>25</v>
      </c>
      <c r="F419" s="62" t="s">
        <v>25</v>
      </c>
      <c r="G419" s="62" t="s">
        <v>25</v>
      </c>
      <c r="H419" s="62" t="s">
        <v>25</v>
      </c>
      <c r="I419" s="75">
        <v>44470</v>
      </c>
      <c r="J419" s="76">
        <f>EFEITO!$J$419*EFEITO!$Y$419</f>
        <v>0</v>
      </c>
      <c r="K419" s="76">
        <f ca="1">EFEITO!$L$419*EFEITO!$Z$419</f>
        <v>703334.03162262682</v>
      </c>
      <c r="L419" s="76">
        <f>EFEITO!$N$419*EFEITO!$AA$419</f>
        <v>0</v>
      </c>
      <c r="M419" s="76">
        <f>$J$419-EFEITO!$K$419*EFEITO!$Y$419</f>
        <v>0</v>
      </c>
      <c r="N419" s="76">
        <f ca="1">$K$419-EFEITO!$M$419*EFEITO!$Z$419</f>
        <v>0</v>
      </c>
      <c r="O419" s="76">
        <f>$L$419-EFEITO!$O$419*EFEITO!$AA$419</f>
        <v>0</v>
      </c>
      <c r="P419" s="18"/>
      <c r="Q419" s="18"/>
      <c r="R419" s="18"/>
      <c r="S419" s="18"/>
      <c r="T419" s="18"/>
      <c r="U419" s="18"/>
      <c r="V419" s="18"/>
      <c r="W419" s="1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62" t="s">
        <v>21</v>
      </c>
      <c r="B420" s="62" t="s">
        <v>41</v>
      </c>
      <c r="C420" s="62" t="s">
        <v>40</v>
      </c>
      <c r="D420" s="62" t="s">
        <v>38</v>
      </c>
      <c r="E420" s="62" t="s">
        <v>25</v>
      </c>
      <c r="F420" s="62" t="s">
        <v>25</v>
      </c>
      <c r="G420" s="62" t="s">
        <v>25</v>
      </c>
      <c r="H420" s="62" t="s">
        <v>25</v>
      </c>
      <c r="I420" s="75">
        <v>44501</v>
      </c>
      <c r="J420" s="76">
        <f>EFEITO!$J$420*EFEITO!$Y$420</f>
        <v>0</v>
      </c>
      <c r="K420" s="76">
        <f ca="1">EFEITO!$L$420*EFEITO!$Z$420</f>
        <v>744888.17448162241</v>
      </c>
      <c r="L420" s="76">
        <f>EFEITO!$N$420*EFEITO!$AA$420</f>
        <v>0</v>
      </c>
      <c r="M420" s="76">
        <f>$J$420-EFEITO!$K$420*EFEITO!$Y$420</f>
        <v>0</v>
      </c>
      <c r="N420" s="76">
        <f ca="1">$K$420-EFEITO!$M$420*EFEITO!$Z$420</f>
        <v>0</v>
      </c>
      <c r="O420" s="76">
        <f>$L$420-EFEITO!$O$420*EFEITO!$AA$420</f>
        <v>0</v>
      </c>
      <c r="P420" s="18"/>
      <c r="Q420" s="18"/>
      <c r="R420" s="18"/>
      <c r="S420" s="18"/>
      <c r="T420" s="18"/>
      <c r="U420" s="18"/>
      <c r="V420" s="18"/>
      <c r="W420" s="1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62" t="s">
        <v>21</v>
      </c>
      <c r="B421" s="62" t="s">
        <v>41</v>
      </c>
      <c r="C421" s="62" t="s">
        <v>40</v>
      </c>
      <c r="D421" s="62" t="s">
        <v>38</v>
      </c>
      <c r="E421" s="62" t="s">
        <v>25</v>
      </c>
      <c r="F421" s="62" t="s">
        <v>25</v>
      </c>
      <c r="G421" s="62" t="s">
        <v>25</v>
      </c>
      <c r="H421" s="62" t="s">
        <v>25</v>
      </c>
      <c r="I421" s="75">
        <v>44531</v>
      </c>
      <c r="J421" s="76">
        <f>EFEITO!$J$421*EFEITO!$Y$421</f>
        <v>0</v>
      </c>
      <c r="K421" s="76">
        <f ca="1">EFEITO!$L$421*EFEITO!$Z$421</f>
        <v>762191.48597544059</v>
      </c>
      <c r="L421" s="76">
        <f>EFEITO!$N$421*EFEITO!$AA$421</f>
        <v>0</v>
      </c>
      <c r="M421" s="76">
        <f>$J$421-EFEITO!$K$421*EFEITO!$Y$421</f>
        <v>0</v>
      </c>
      <c r="N421" s="76">
        <f ca="1">$K$421-EFEITO!$M$421*EFEITO!$Z$421</f>
        <v>0</v>
      </c>
      <c r="O421" s="76">
        <f>$L$421-EFEITO!$O$421*EFEITO!$AA$421</f>
        <v>0</v>
      </c>
      <c r="P421" s="18"/>
      <c r="Q421" s="18"/>
      <c r="R421" s="18"/>
      <c r="S421" s="18"/>
      <c r="T421" s="18"/>
      <c r="U421" s="18"/>
      <c r="V421" s="18"/>
      <c r="W421" s="1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62" t="s">
        <v>21</v>
      </c>
      <c r="B422" s="62" t="s">
        <v>41</v>
      </c>
      <c r="C422" s="62" t="s">
        <v>40</v>
      </c>
      <c r="D422" s="62" t="s">
        <v>38</v>
      </c>
      <c r="E422" s="62" t="s">
        <v>25</v>
      </c>
      <c r="F422" s="62" t="s">
        <v>25</v>
      </c>
      <c r="G422" s="62" t="s">
        <v>25</v>
      </c>
      <c r="H422" s="62" t="s">
        <v>25</v>
      </c>
      <c r="I422" s="75">
        <v>44562</v>
      </c>
      <c r="J422" s="76">
        <f>EFEITO!$J$422*EFEITO!$Y$422</f>
        <v>0</v>
      </c>
      <c r="K422" s="76">
        <f ca="1">EFEITO!$L$422*EFEITO!$Z$422</f>
        <v>671845.5532976361</v>
      </c>
      <c r="L422" s="76">
        <f>EFEITO!$N$422*EFEITO!$AA$422</f>
        <v>0</v>
      </c>
      <c r="M422" s="76">
        <f>$J$422-EFEITO!$K$422*EFEITO!$Y$422</f>
        <v>0</v>
      </c>
      <c r="N422" s="76">
        <f ca="1">$K$422-EFEITO!$M$422*EFEITO!$Z$422</f>
        <v>0</v>
      </c>
      <c r="O422" s="76">
        <f>$L$422-EFEITO!$O$422*EFEITO!$AA$422</f>
        <v>0</v>
      </c>
      <c r="P422" s="18"/>
      <c r="Q422" s="18"/>
      <c r="R422" s="18"/>
      <c r="S422" s="18"/>
      <c r="T422" s="18"/>
      <c r="U422" s="18"/>
      <c r="V422" s="18"/>
      <c r="W422" s="1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62" t="s">
        <v>21</v>
      </c>
      <c r="B423" s="62" t="s">
        <v>41</v>
      </c>
      <c r="C423" s="62" t="s">
        <v>40</v>
      </c>
      <c r="D423" s="62" t="s">
        <v>38</v>
      </c>
      <c r="E423" s="62" t="s">
        <v>25</v>
      </c>
      <c r="F423" s="62" t="s">
        <v>25</v>
      </c>
      <c r="G423" s="62" t="s">
        <v>25</v>
      </c>
      <c r="H423" s="62" t="s">
        <v>25</v>
      </c>
      <c r="I423" s="75">
        <v>44593</v>
      </c>
      <c r="J423" s="76">
        <f>EFEITO!$J$423*EFEITO!$Y$423</f>
        <v>0</v>
      </c>
      <c r="K423" s="76">
        <f ca="1">EFEITO!$L$423*EFEITO!$Z$423</f>
        <v>659185.92444933404</v>
      </c>
      <c r="L423" s="76">
        <f>EFEITO!$N$423*EFEITO!$AA$423</f>
        <v>0</v>
      </c>
      <c r="M423" s="76">
        <f>$J$423-EFEITO!$K$423*EFEITO!$Y$423</f>
        <v>0</v>
      </c>
      <c r="N423" s="76">
        <f ca="1">$K$423-EFEITO!$M$423*EFEITO!$Z$423</f>
        <v>0</v>
      </c>
      <c r="O423" s="76">
        <f>$L$423-EFEITO!$O$423*EFEITO!$AA$423</f>
        <v>0</v>
      </c>
      <c r="P423" s="18"/>
      <c r="Q423" s="18"/>
      <c r="R423" s="18"/>
      <c r="S423" s="18"/>
      <c r="T423" s="18"/>
      <c r="U423" s="18"/>
      <c r="V423" s="18"/>
      <c r="W423" s="1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62" t="s">
        <v>21</v>
      </c>
      <c r="B424" s="62" t="s">
        <v>41</v>
      </c>
      <c r="C424" s="62" t="s">
        <v>40</v>
      </c>
      <c r="D424" s="62" t="s">
        <v>38</v>
      </c>
      <c r="E424" s="62" t="s">
        <v>25</v>
      </c>
      <c r="F424" s="62" t="s">
        <v>25</v>
      </c>
      <c r="G424" s="62" t="s">
        <v>25</v>
      </c>
      <c r="H424" s="62" t="s">
        <v>25</v>
      </c>
      <c r="I424" s="75">
        <v>44621</v>
      </c>
      <c r="J424" s="76">
        <f>EFEITO!$J$424*EFEITO!$Y$424</f>
        <v>0</v>
      </c>
      <c r="K424" s="76">
        <f ca="1">EFEITO!$L$424*EFEITO!$Z$424</f>
        <v>680299.370132262</v>
      </c>
      <c r="L424" s="76">
        <f>EFEITO!$N$424*EFEITO!$AA$424</f>
        <v>0</v>
      </c>
      <c r="M424" s="76">
        <f>$J$424-EFEITO!$K$424*EFEITO!$Y$424</f>
        <v>0</v>
      </c>
      <c r="N424" s="76">
        <f ca="1">$K$424-EFEITO!$M$424*EFEITO!$Z$424</f>
        <v>0</v>
      </c>
      <c r="O424" s="76">
        <f>$L$424-EFEITO!$O$424*EFEITO!$AA$424</f>
        <v>0</v>
      </c>
      <c r="P424" s="18"/>
      <c r="Q424" s="18"/>
      <c r="R424" s="18"/>
      <c r="S424" s="18"/>
      <c r="T424" s="18"/>
      <c r="U424" s="18"/>
      <c r="V424" s="18"/>
      <c r="W424" s="1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62" t="s">
        <v>21</v>
      </c>
      <c r="B425" s="62" t="s">
        <v>41</v>
      </c>
      <c r="C425" s="62" t="s">
        <v>40</v>
      </c>
      <c r="D425" s="62" t="s">
        <v>38</v>
      </c>
      <c r="E425" s="62" t="s">
        <v>25</v>
      </c>
      <c r="F425" s="62" t="s">
        <v>25</v>
      </c>
      <c r="G425" s="62" t="s">
        <v>25</v>
      </c>
      <c r="H425" s="62" t="s">
        <v>25</v>
      </c>
      <c r="I425" s="75">
        <v>44652</v>
      </c>
      <c r="J425" s="76">
        <f>EFEITO!$J$425*EFEITO!$Y$425</f>
        <v>0</v>
      </c>
      <c r="K425" s="76">
        <f ca="1">EFEITO!$L$425*EFEITO!$Z$425</f>
        <v>795172.65511412127</v>
      </c>
      <c r="L425" s="76">
        <f>EFEITO!$N$425*EFEITO!$AA$425</f>
        <v>0</v>
      </c>
      <c r="M425" s="76">
        <f>$J$425-EFEITO!$K$425*EFEITO!$Y$425</f>
        <v>0</v>
      </c>
      <c r="N425" s="76">
        <f ca="1">$K$425-EFEITO!$M$425*EFEITO!$Z$425</f>
        <v>0</v>
      </c>
      <c r="O425" s="76">
        <f>$L$425-EFEITO!$O$425*EFEITO!$AA$425</f>
        <v>0</v>
      </c>
      <c r="P425" s="18"/>
      <c r="Q425" s="18"/>
      <c r="R425" s="18"/>
      <c r="S425" s="18"/>
      <c r="T425" s="18"/>
      <c r="U425" s="18"/>
      <c r="V425" s="18"/>
      <c r="W425" s="1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62" t="s">
        <v>58</v>
      </c>
      <c r="B426" s="62" t="s">
        <v>41</v>
      </c>
      <c r="C426" s="62" t="s">
        <v>40</v>
      </c>
      <c r="D426" s="62" t="s">
        <v>38</v>
      </c>
      <c r="E426" s="62" t="s">
        <v>25</v>
      </c>
      <c r="F426" s="62" t="s">
        <v>25</v>
      </c>
      <c r="G426" s="62" t="s">
        <v>25</v>
      </c>
      <c r="H426" s="62" t="s">
        <v>25</v>
      </c>
      <c r="I426" s="75">
        <v>44682</v>
      </c>
      <c r="J426" s="76">
        <f>EFEITO!$J$426*EFEITO!$Y$426</f>
        <v>0</v>
      </c>
      <c r="K426" s="76">
        <f ca="1">EFEITO!$L$426*EFEITO!$Z$426</f>
        <v>795172.65511412127</v>
      </c>
      <c r="L426" s="76">
        <f>EFEITO!$N$426*EFEITO!$AA$426</f>
        <v>0</v>
      </c>
      <c r="M426" s="76">
        <f>$J$426-EFEITO!$K$426*EFEITO!$Y$426</f>
        <v>0</v>
      </c>
      <c r="N426" s="76">
        <f ca="1">$K$426-EFEITO!$M$426*EFEITO!$Z$426</f>
        <v>0</v>
      </c>
      <c r="O426" s="76">
        <f>$L$426-EFEITO!$O$426*EFEITO!$AA$426</f>
        <v>0</v>
      </c>
      <c r="P426" s="18"/>
      <c r="Q426" s="18"/>
      <c r="R426" s="18"/>
      <c r="S426" s="18"/>
      <c r="T426" s="18"/>
      <c r="U426" s="18"/>
      <c r="V426" s="18"/>
      <c r="W426" s="1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62" t="s">
        <v>21</v>
      </c>
      <c r="B427" s="62" t="s">
        <v>41</v>
      </c>
      <c r="C427" s="62" t="s">
        <v>40</v>
      </c>
      <c r="D427" s="62" t="s">
        <v>38</v>
      </c>
      <c r="E427" s="62" t="s">
        <v>25</v>
      </c>
      <c r="F427" s="62" t="s">
        <v>25</v>
      </c>
      <c r="G427" s="62" t="s">
        <v>25</v>
      </c>
      <c r="H427" s="62" t="s">
        <v>34</v>
      </c>
      <c r="I427" s="75">
        <v>44348</v>
      </c>
      <c r="J427" s="76">
        <f ca="1">EFEITO!$J$427*EFEITO!$Y$427</f>
        <v>13950.447244932391</v>
      </c>
      <c r="K427" s="76">
        <f ca="1">EFEITO!$L$427*EFEITO!$Z$427</f>
        <v>699.54849845143883</v>
      </c>
      <c r="L427" s="76">
        <f>EFEITO!$N$427*EFEITO!$AA$427</f>
        <v>2596.15416055885</v>
      </c>
      <c r="M427" s="76">
        <f ca="1">$J$427-EFEITO!$K$427*EFEITO!$Y$427</f>
        <v>0</v>
      </c>
      <c r="N427" s="76">
        <f ca="1">$K$427-EFEITO!$M$427*EFEITO!$Z$427</f>
        <v>0</v>
      </c>
      <c r="O427" s="76">
        <f>$L$427-EFEITO!$O$427*EFEITO!$AA$427</f>
        <v>0</v>
      </c>
      <c r="P427" s="18"/>
      <c r="Q427" s="18"/>
      <c r="R427" s="18"/>
      <c r="S427" s="18"/>
      <c r="T427" s="18"/>
      <c r="U427" s="18"/>
      <c r="V427" s="18"/>
      <c r="W427" s="1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62" t="s">
        <v>28</v>
      </c>
      <c r="B428" s="62" t="s">
        <v>41</v>
      </c>
      <c r="C428" s="62" t="s">
        <v>40</v>
      </c>
      <c r="D428" s="62" t="s">
        <v>38</v>
      </c>
      <c r="E428" s="62" t="s">
        <v>25</v>
      </c>
      <c r="F428" s="62" t="s">
        <v>25</v>
      </c>
      <c r="G428" s="62" t="s">
        <v>25</v>
      </c>
      <c r="H428" s="62" t="s">
        <v>34</v>
      </c>
      <c r="I428" s="75">
        <v>44348</v>
      </c>
      <c r="J428" s="76">
        <f ca="1">EFEITO!$J$428*EFEITO!$Y$428</f>
        <v>8294.860524013855</v>
      </c>
      <c r="K428" s="76">
        <f ca="1">EFEITO!$L$428*EFEITO!$Z$428</f>
        <v>676.18440321828666</v>
      </c>
      <c r="L428" s="76">
        <f>EFEITO!$N$428*EFEITO!$AA$428</f>
        <v>2509.445671895784</v>
      </c>
      <c r="M428" s="76">
        <f ca="1">$J$428-EFEITO!$K$428*EFEITO!$Y$428</f>
        <v>0</v>
      </c>
      <c r="N428" s="76">
        <f ca="1">$K$428-EFEITO!$M$428*EFEITO!$Z$428</f>
        <v>0</v>
      </c>
      <c r="O428" s="76">
        <f>$L$428-EFEITO!$O$428*EFEITO!$AA$428</f>
        <v>0</v>
      </c>
      <c r="P428" s="18"/>
      <c r="Q428" s="18"/>
      <c r="R428" s="18"/>
      <c r="S428" s="18"/>
      <c r="T428" s="18"/>
      <c r="U428" s="18"/>
      <c r="V428" s="18"/>
      <c r="W428" s="1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62" t="s">
        <v>21</v>
      </c>
      <c r="B429" s="62" t="s">
        <v>41</v>
      </c>
      <c r="C429" s="62" t="s">
        <v>40</v>
      </c>
      <c r="D429" s="62" t="s">
        <v>38</v>
      </c>
      <c r="E429" s="62" t="s">
        <v>25</v>
      </c>
      <c r="F429" s="62" t="s">
        <v>25</v>
      </c>
      <c r="G429" s="62" t="s">
        <v>25</v>
      </c>
      <c r="H429" s="62" t="s">
        <v>34</v>
      </c>
      <c r="I429" s="75">
        <v>44348</v>
      </c>
      <c r="J429" s="76">
        <f ca="1">EFEITO!$J$429*EFEITO!$Y$429</f>
        <v>301631.29178232199</v>
      </c>
      <c r="K429" s="76">
        <f ca="1">EFEITO!$L$429*EFEITO!$Z$429</f>
        <v>0</v>
      </c>
      <c r="L429" s="76">
        <f>EFEITO!$N$429*EFEITO!$AA$429</f>
        <v>0</v>
      </c>
      <c r="M429" s="76">
        <f ca="1">$J$429-EFEITO!$K$429*EFEITO!$Y$429</f>
        <v>0</v>
      </c>
      <c r="N429" s="76">
        <f ca="1">$K$429-EFEITO!$M$429*EFEITO!$Z$429</f>
        <v>0</v>
      </c>
      <c r="O429" s="76">
        <f>$L$429-EFEITO!$O$429*EFEITO!$AA$429</f>
        <v>0</v>
      </c>
      <c r="P429" s="18"/>
      <c r="Q429" s="18"/>
      <c r="R429" s="18"/>
      <c r="S429" s="18"/>
      <c r="T429" s="18"/>
      <c r="U429" s="18"/>
      <c r="V429" s="18"/>
      <c r="W429" s="1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62" t="s">
        <v>21</v>
      </c>
      <c r="B430" s="62" t="s">
        <v>41</v>
      </c>
      <c r="C430" s="62" t="s">
        <v>40</v>
      </c>
      <c r="D430" s="62" t="s">
        <v>38</v>
      </c>
      <c r="E430" s="62" t="s">
        <v>25</v>
      </c>
      <c r="F430" s="62" t="s">
        <v>25</v>
      </c>
      <c r="G430" s="62" t="s">
        <v>25</v>
      </c>
      <c r="H430" s="62" t="s">
        <v>34</v>
      </c>
      <c r="I430" s="75">
        <v>44378</v>
      </c>
      <c r="J430" s="76">
        <f ca="1">EFEITO!$J$430*EFEITO!$Y$430</f>
        <v>8671.8996387417574</v>
      </c>
      <c r="K430" s="76">
        <f ca="1">EFEITO!$L$430*EFEITO!$Z$430</f>
        <v>586.02648278918184</v>
      </c>
      <c r="L430" s="76">
        <f>EFEITO!$N$430*EFEITO!$AA$430</f>
        <v>2174.8529156430131</v>
      </c>
      <c r="M430" s="76">
        <f ca="1">$J$430-EFEITO!$K$430*EFEITO!$Y$430</f>
        <v>0</v>
      </c>
      <c r="N430" s="76">
        <f ca="1">$K$430-EFEITO!$M$430*EFEITO!$Z$430</f>
        <v>0</v>
      </c>
      <c r="O430" s="76">
        <f>$L$430-EFEITO!$O$430*EFEITO!$AA$430</f>
        <v>0</v>
      </c>
      <c r="P430" s="18"/>
      <c r="Q430" s="18"/>
      <c r="R430" s="18"/>
      <c r="S430" s="18"/>
      <c r="T430" s="18"/>
      <c r="U430" s="18"/>
      <c r="V430" s="18"/>
      <c r="W430" s="1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62" t="s">
        <v>28</v>
      </c>
      <c r="B431" s="62" t="s">
        <v>41</v>
      </c>
      <c r="C431" s="62" t="s">
        <v>40</v>
      </c>
      <c r="D431" s="62" t="s">
        <v>38</v>
      </c>
      <c r="E431" s="62" t="s">
        <v>25</v>
      </c>
      <c r="F431" s="62" t="s">
        <v>25</v>
      </c>
      <c r="G431" s="62" t="s">
        <v>25</v>
      </c>
      <c r="H431" s="62" t="s">
        <v>34</v>
      </c>
      <c r="I431" s="75">
        <v>44378</v>
      </c>
      <c r="J431" s="76">
        <f ca="1">EFEITO!$J$431*EFEITO!$Y$431</f>
        <v>7993.2292322315325</v>
      </c>
      <c r="K431" s="76">
        <f ca="1">EFEITO!$L$431*EFEITO!$Z$431</f>
        <v>777.6120637010298</v>
      </c>
      <c r="L431" s="76">
        <f>EFEITO!$N$431*EFEITO!$AA$431</f>
        <v>2885.8625226801519</v>
      </c>
      <c r="M431" s="76">
        <f ca="1">$J$431-EFEITO!$K$431*EFEITO!$Y$431</f>
        <v>0</v>
      </c>
      <c r="N431" s="76">
        <f ca="1">$K$431-EFEITO!$M$431*EFEITO!$Z$431</f>
        <v>0</v>
      </c>
      <c r="O431" s="76">
        <f>$L$431-EFEITO!$O$431*EFEITO!$AA$431</f>
        <v>0</v>
      </c>
      <c r="P431" s="18"/>
      <c r="Q431" s="18"/>
      <c r="R431" s="18"/>
      <c r="S431" s="18"/>
      <c r="T431" s="18"/>
      <c r="U431" s="18"/>
      <c r="V431" s="18"/>
      <c r="W431" s="1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62" t="s">
        <v>21</v>
      </c>
      <c r="B432" s="62" t="s">
        <v>41</v>
      </c>
      <c r="C432" s="62" t="s">
        <v>40</v>
      </c>
      <c r="D432" s="62" t="s">
        <v>38</v>
      </c>
      <c r="E432" s="62" t="s">
        <v>25</v>
      </c>
      <c r="F432" s="62" t="s">
        <v>25</v>
      </c>
      <c r="G432" s="62" t="s">
        <v>25</v>
      </c>
      <c r="H432" s="62" t="s">
        <v>34</v>
      </c>
      <c r="I432" s="75">
        <v>44378</v>
      </c>
      <c r="J432" s="76">
        <f ca="1">EFEITO!$J$432*EFEITO!$Y$432</f>
        <v>301631.29178232199</v>
      </c>
      <c r="K432" s="76">
        <f ca="1">EFEITO!$L$432*EFEITO!$Z$432</f>
        <v>0</v>
      </c>
      <c r="L432" s="76">
        <f>EFEITO!$N$432*EFEITO!$AA$432</f>
        <v>0</v>
      </c>
      <c r="M432" s="76">
        <f ca="1">$J$432-EFEITO!$K$432*EFEITO!$Y$432</f>
        <v>0</v>
      </c>
      <c r="N432" s="76">
        <f ca="1">$K$432-EFEITO!$M$432*EFEITO!$Z$432</f>
        <v>0</v>
      </c>
      <c r="O432" s="76">
        <f>$L$432-EFEITO!$O$432*EFEITO!$AA$432</f>
        <v>0</v>
      </c>
      <c r="P432" s="18"/>
      <c r="Q432" s="18"/>
      <c r="R432" s="18"/>
      <c r="S432" s="18"/>
      <c r="T432" s="18"/>
      <c r="U432" s="18"/>
      <c r="V432" s="18"/>
      <c r="W432" s="1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62" t="s">
        <v>21</v>
      </c>
      <c r="B433" s="62" t="s">
        <v>41</v>
      </c>
      <c r="C433" s="62" t="s">
        <v>40</v>
      </c>
      <c r="D433" s="62" t="s">
        <v>38</v>
      </c>
      <c r="E433" s="62" t="s">
        <v>25</v>
      </c>
      <c r="F433" s="62" t="s">
        <v>25</v>
      </c>
      <c r="G433" s="62" t="s">
        <v>25</v>
      </c>
      <c r="H433" s="62" t="s">
        <v>34</v>
      </c>
      <c r="I433" s="75">
        <v>44409</v>
      </c>
      <c r="J433" s="76">
        <f ca="1">EFEITO!$J$433*EFEITO!$Y$433</f>
        <v>8671.8996387417574</v>
      </c>
      <c r="K433" s="76">
        <f ca="1">EFEITO!$L$433*EFEITO!$Z$433</f>
        <v>557.85213265508651</v>
      </c>
      <c r="L433" s="76">
        <f>EFEITO!$N$433*EFEITO!$AA$433</f>
        <v>2070.2926793140223</v>
      </c>
      <c r="M433" s="76">
        <f ca="1">$J$433-EFEITO!$K$433*EFEITO!$Y$433</f>
        <v>0</v>
      </c>
      <c r="N433" s="76">
        <f ca="1">$K$433-EFEITO!$M$433*EFEITO!$Z$433</f>
        <v>0</v>
      </c>
      <c r="O433" s="76">
        <f>$L$433-EFEITO!$O$433*EFEITO!$AA$433</f>
        <v>0</v>
      </c>
      <c r="P433" s="18"/>
      <c r="Q433" s="18"/>
      <c r="R433" s="18"/>
      <c r="S433" s="18"/>
      <c r="T433" s="18"/>
      <c r="U433" s="18"/>
      <c r="V433" s="18"/>
      <c r="W433" s="1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62" t="s">
        <v>28</v>
      </c>
      <c r="B434" s="62" t="s">
        <v>41</v>
      </c>
      <c r="C434" s="62" t="s">
        <v>40</v>
      </c>
      <c r="D434" s="62" t="s">
        <v>38</v>
      </c>
      <c r="E434" s="62" t="s">
        <v>25</v>
      </c>
      <c r="F434" s="62" t="s">
        <v>25</v>
      </c>
      <c r="G434" s="62" t="s">
        <v>25</v>
      </c>
      <c r="H434" s="62" t="s">
        <v>34</v>
      </c>
      <c r="I434" s="75">
        <v>44409</v>
      </c>
      <c r="J434" s="76">
        <f ca="1">EFEITO!$J$434*EFEITO!$Y$434</f>
        <v>7993.2292322315325</v>
      </c>
      <c r="K434" s="76">
        <f ca="1">EFEITO!$L$434*EFEITO!$Z$434</f>
        <v>794.51667378148682</v>
      </c>
      <c r="L434" s="76">
        <f>EFEITO!$N$434*EFEITO!$AA$434</f>
        <v>2948.5986644775462</v>
      </c>
      <c r="M434" s="76">
        <f ca="1">$J$434-EFEITO!$K$434*EFEITO!$Y$434</f>
        <v>0</v>
      </c>
      <c r="N434" s="76">
        <f ca="1">$K$434-EFEITO!$M$434*EFEITO!$Z$434</f>
        <v>0</v>
      </c>
      <c r="O434" s="76">
        <f>$L$434-EFEITO!$O$434*EFEITO!$AA$434</f>
        <v>0</v>
      </c>
      <c r="P434" s="18"/>
      <c r="Q434" s="18"/>
      <c r="R434" s="18"/>
      <c r="S434" s="18"/>
      <c r="T434" s="18"/>
      <c r="U434" s="18"/>
      <c r="V434" s="18"/>
      <c r="W434" s="1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62" t="s">
        <v>21</v>
      </c>
      <c r="B435" s="62" t="s">
        <v>41</v>
      </c>
      <c r="C435" s="62" t="s">
        <v>40</v>
      </c>
      <c r="D435" s="62" t="s">
        <v>38</v>
      </c>
      <c r="E435" s="62" t="s">
        <v>25</v>
      </c>
      <c r="F435" s="62" t="s">
        <v>25</v>
      </c>
      <c r="G435" s="62" t="s">
        <v>25</v>
      </c>
      <c r="H435" s="62" t="s">
        <v>34</v>
      </c>
      <c r="I435" s="75">
        <v>44409</v>
      </c>
      <c r="J435" s="76">
        <f ca="1">EFEITO!$J$435*EFEITO!$Y$435</f>
        <v>742767.05601396784</v>
      </c>
      <c r="K435" s="76">
        <f ca="1">EFEITO!$L$435*EFEITO!$Z$435</f>
        <v>0</v>
      </c>
      <c r="L435" s="76">
        <f>EFEITO!$N$435*EFEITO!$AA$435</f>
        <v>0</v>
      </c>
      <c r="M435" s="76">
        <f ca="1">$J$435-EFEITO!$K$435*EFEITO!$Y$435</f>
        <v>0</v>
      </c>
      <c r="N435" s="76">
        <f ca="1">$K$435-EFEITO!$M$435*EFEITO!$Z$435</f>
        <v>0</v>
      </c>
      <c r="O435" s="76">
        <f>$L$435-EFEITO!$O$435*EFEITO!$AA$435</f>
        <v>0</v>
      </c>
      <c r="P435" s="18"/>
      <c r="Q435" s="18"/>
      <c r="R435" s="18"/>
      <c r="S435" s="18"/>
      <c r="T435" s="18"/>
      <c r="U435" s="18"/>
      <c r="V435" s="18"/>
      <c r="W435" s="1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62" t="s">
        <v>28</v>
      </c>
      <c r="B436" s="62" t="s">
        <v>41</v>
      </c>
      <c r="C436" s="62" t="s">
        <v>40</v>
      </c>
      <c r="D436" s="62" t="s">
        <v>38</v>
      </c>
      <c r="E436" s="62" t="s">
        <v>25</v>
      </c>
      <c r="F436" s="62" t="s">
        <v>25</v>
      </c>
      <c r="G436" s="62" t="s">
        <v>25</v>
      </c>
      <c r="H436" s="62" t="s">
        <v>34</v>
      </c>
      <c r="I436" s="75">
        <v>44440</v>
      </c>
      <c r="J436" s="76">
        <f ca="1">EFEITO!$J$436*EFEITO!$Y$436</f>
        <v>16212.681933299806</v>
      </c>
      <c r="K436" s="76">
        <f ca="1">EFEITO!$L$436*EFEITO!$Z$436</f>
        <v>1177.6878356051827</v>
      </c>
      <c r="L436" s="76">
        <f>EFEITO!$N$436*EFEITO!$AA$436</f>
        <v>4370.617878551825</v>
      </c>
      <c r="M436" s="76">
        <f ca="1">$J$436-EFEITO!$K$436*EFEITO!$Y$436</f>
        <v>0</v>
      </c>
      <c r="N436" s="76">
        <f ca="1">$K$436-EFEITO!$M$436*EFEITO!$Z$436</f>
        <v>0</v>
      </c>
      <c r="O436" s="76">
        <f>$L$436-EFEITO!$O$436*EFEITO!$AA$436</f>
        <v>0</v>
      </c>
      <c r="P436" s="18"/>
      <c r="Q436" s="18"/>
      <c r="R436" s="18"/>
      <c r="S436" s="18"/>
      <c r="T436" s="18"/>
      <c r="U436" s="18"/>
      <c r="V436" s="18"/>
      <c r="W436" s="1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62" t="s">
        <v>21</v>
      </c>
      <c r="B437" s="62" t="s">
        <v>41</v>
      </c>
      <c r="C437" s="62" t="s">
        <v>40</v>
      </c>
      <c r="D437" s="62" t="s">
        <v>38</v>
      </c>
      <c r="E437" s="62" t="s">
        <v>25</v>
      </c>
      <c r="F437" s="62" t="s">
        <v>25</v>
      </c>
      <c r="G437" s="62" t="s">
        <v>25</v>
      </c>
      <c r="H437" s="62" t="s">
        <v>34</v>
      </c>
      <c r="I437" s="75">
        <v>44440</v>
      </c>
      <c r="J437" s="76">
        <f ca="1">EFEITO!$J$437*EFEITO!$Y$437</f>
        <v>743973.58118109708</v>
      </c>
      <c r="K437" s="76">
        <f ca="1">EFEITO!$L$437*EFEITO!$Z$437</f>
        <v>0</v>
      </c>
      <c r="L437" s="76">
        <f>EFEITO!$N$437*EFEITO!$AA$437</f>
        <v>0</v>
      </c>
      <c r="M437" s="76">
        <f ca="1">$J$437-EFEITO!$K$437*EFEITO!$Y$437</f>
        <v>0</v>
      </c>
      <c r="N437" s="76">
        <f ca="1">$K$437-EFEITO!$M$437*EFEITO!$Z$437</f>
        <v>0</v>
      </c>
      <c r="O437" s="76">
        <f>$L$437-EFEITO!$O$437*EFEITO!$AA$437</f>
        <v>0</v>
      </c>
      <c r="P437" s="18"/>
      <c r="Q437" s="18"/>
      <c r="R437" s="18"/>
      <c r="S437" s="18"/>
      <c r="T437" s="18"/>
      <c r="U437" s="18"/>
      <c r="V437" s="18"/>
      <c r="W437" s="1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62" t="s">
        <v>28</v>
      </c>
      <c r="B438" s="62" t="s">
        <v>41</v>
      </c>
      <c r="C438" s="62" t="s">
        <v>40</v>
      </c>
      <c r="D438" s="62" t="s">
        <v>38</v>
      </c>
      <c r="E438" s="62" t="s">
        <v>25</v>
      </c>
      <c r="F438" s="62" t="s">
        <v>25</v>
      </c>
      <c r="G438" s="62" t="s">
        <v>25</v>
      </c>
      <c r="H438" s="62" t="s">
        <v>34</v>
      </c>
      <c r="I438" s="75">
        <v>44470</v>
      </c>
      <c r="J438" s="76">
        <f ca="1">EFEITO!$J$438*EFEITO!$Y$438</f>
        <v>16212.681933299806</v>
      </c>
      <c r="K438" s="76">
        <f ca="1">EFEITO!$L$438*EFEITO!$Z$438</f>
        <v>1059.3555650419826</v>
      </c>
      <c r="L438" s="76">
        <f>EFEITO!$N$438*EFEITO!$AA$438</f>
        <v>3931.4648859700619</v>
      </c>
      <c r="M438" s="76">
        <f ca="1">$J$438-EFEITO!$K$438*EFEITO!$Y$438</f>
        <v>0</v>
      </c>
      <c r="N438" s="76">
        <f ca="1">$K$438-EFEITO!$M$438*EFEITO!$Z$438</f>
        <v>0</v>
      </c>
      <c r="O438" s="76">
        <f>$L$438-EFEITO!$O$438*EFEITO!$AA$438</f>
        <v>0</v>
      </c>
      <c r="P438" s="18"/>
      <c r="Q438" s="18"/>
      <c r="R438" s="18"/>
      <c r="S438" s="18"/>
      <c r="T438" s="18"/>
      <c r="U438" s="18"/>
      <c r="V438" s="18"/>
      <c r="W438" s="1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62" t="s">
        <v>21</v>
      </c>
      <c r="B439" s="62" t="s">
        <v>41</v>
      </c>
      <c r="C439" s="62" t="s">
        <v>40</v>
      </c>
      <c r="D439" s="62" t="s">
        <v>38</v>
      </c>
      <c r="E439" s="62" t="s">
        <v>25</v>
      </c>
      <c r="F439" s="62" t="s">
        <v>25</v>
      </c>
      <c r="G439" s="62" t="s">
        <v>25</v>
      </c>
      <c r="H439" s="62" t="s">
        <v>34</v>
      </c>
      <c r="I439" s="75">
        <v>44470</v>
      </c>
      <c r="J439" s="76">
        <f ca="1">EFEITO!$J$439*EFEITO!$Y$439</f>
        <v>747894.78797426727</v>
      </c>
      <c r="K439" s="76">
        <f ca="1">EFEITO!$L$439*EFEITO!$Z$439</f>
        <v>0</v>
      </c>
      <c r="L439" s="76">
        <f>EFEITO!$N$439*EFEITO!$AA$439</f>
        <v>0</v>
      </c>
      <c r="M439" s="76">
        <f ca="1">$J$439-EFEITO!$K$439*EFEITO!$Y$439</f>
        <v>0</v>
      </c>
      <c r="N439" s="76">
        <f ca="1">$K$439-EFEITO!$M$439*EFEITO!$Z$439</f>
        <v>0</v>
      </c>
      <c r="O439" s="76">
        <f>$L$439-EFEITO!$O$439*EFEITO!$AA$439</f>
        <v>0</v>
      </c>
      <c r="P439" s="18"/>
      <c r="Q439" s="18"/>
      <c r="R439" s="18"/>
      <c r="S439" s="18"/>
      <c r="T439" s="18"/>
      <c r="U439" s="18"/>
      <c r="V439" s="18"/>
      <c r="W439" s="1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62" t="s">
        <v>28</v>
      </c>
      <c r="B440" s="62" t="s">
        <v>41</v>
      </c>
      <c r="C440" s="62" t="s">
        <v>40</v>
      </c>
      <c r="D440" s="62" t="s">
        <v>38</v>
      </c>
      <c r="E440" s="62" t="s">
        <v>25</v>
      </c>
      <c r="F440" s="62" t="s">
        <v>25</v>
      </c>
      <c r="G440" s="62" t="s">
        <v>25</v>
      </c>
      <c r="H440" s="62" t="s">
        <v>34</v>
      </c>
      <c r="I440" s="75">
        <v>44501</v>
      </c>
      <c r="J440" s="76">
        <f ca="1">EFEITO!$J$440*EFEITO!$Y$440</f>
        <v>16212.681933299806</v>
      </c>
      <c r="K440" s="76">
        <f ca="1">EFEITO!$L$440*EFEITO!$Z$440</f>
        <v>1143.8786154442685</v>
      </c>
      <c r="L440" s="76">
        <f>EFEITO!$N$440*EFEITO!$AA$440</f>
        <v>4245.1455949570354</v>
      </c>
      <c r="M440" s="76">
        <f ca="1">$J$440-EFEITO!$K$440*EFEITO!$Y$440</f>
        <v>0</v>
      </c>
      <c r="N440" s="76">
        <f ca="1">$K$440-EFEITO!$M$440*EFEITO!$Z$440</f>
        <v>0</v>
      </c>
      <c r="O440" s="76">
        <f>$L$440-EFEITO!$O$440*EFEITO!$AA$440</f>
        <v>0</v>
      </c>
      <c r="P440" s="18"/>
      <c r="Q440" s="18"/>
      <c r="R440" s="18"/>
      <c r="S440" s="18"/>
      <c r="T440" s="18"/>
      <c r="U440" s="18"/>
      <c r="V440" s="18"/>
      <c r="W440" s="1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62" t="s">
        <v>21</v>
      </c>
      <c r="B441" s="62" t="s">
        <v>41</v>
      </c>
      <c r="C441" s="62" t="s">
        <v>40</v>
      </c>
      <c r="D441" s="62" t="s">
        <v>38</v>
      </c>
      <c r="E441" s="62" t="s">
        <v>25</v>
      </c>
      <c r="F441" s="62" t="s">
        <v>25</v>
      </c>
      <c r="G441" s="62" t="s">
        <v>25</v>
      </c>
      <c r="H441" s="62" t="s">
        <v>34</v>
      </c>
      <c r="I441" s="75">
        <v>44501</v>
      </c>
      <c r="J441" s="76">
        <f ca="1">EFEITO!$J$441*EFEITO!$Y$441</f>
        <v>742767.05601396784</v>
      </c>
      <c r="K441" s="76">
        <f ca="1">EFEITO!$L$441*EFEITO!$Z$441</f>
        <v>0</v>
      </c>
      <c r="L441" s="76">
        <f>EFEITO!$N$441*EFEITO!$AA$441</f>
        <v>0</v>
      </c>
      <c r="M441" s="76">
        <f ca="1">$J$441-EFEITO!$K$441*EFEITO!$Y$441</f>
        <v>0</v>
      </c>
      <c r="N441" s="76">
        <f ca="1">$K$441-EFEITO!$M$441*EFEITO!$Z$441</f>
        <v>0</v>
      </c>
      <c r="O441" s="76">
        <f>$L$441-EFEITO!$O$441*EFEITO!$AA$441</f>
        <v>0</v>
      </c>
      <c r="P441" s="18"/>
      <c r="Q441" s="18"/>
      <c r="R441" s="18"/>
      <c r="S441" s="18"/>
      <c r="T441" s="18"/>
      <c r="U441" s="18"/>
      <c r="V441" s="18"/>
      <c r="W441" s="1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62" t="s">
        <v>28</v>
      </c>
      <c r="B442" s="62" t="s">
        <v>41</v>
      </c>
      <c r="C442" s="62" t="s">
        <v>40</v>
      </c>
      <c r="D442" s="62" t="s">
        <v>38</v>
      </c>
      <c r="E442" s="62" t="s">
        <v>25</v>
      </c>
      <c r="F442" s="62" t="s">
        <v>25</v>
      </c>
      <c r="G442" s="62" t="s">
        <v>25</v>
      </c>
      <c r="H442" s="62" t="s">
        <v>34</v>
      </c>
      <c r="I442" s="75">
        <v>44531</v>
      </c>
      <c r="J442" s="76">
        <f ca="1">EFEITO!$J$442*EFEITO!$Y$442</f>
        <v>16212.681933299806</v>
      </c>
      <c r="K442" s="76">
        <f ca="1">EFEITO!$L$442*EFEITO!$Z$442</f>
        <v>1087.5299151760778</v>
      </c>
      <c r="L442" s="76">
        <f>EFEITO!$N$442*EFEITO!$AA$442</f>
        <v>4036.0251222990532</v>
      </c>
      <c r="M442" s="76">
        <f ca="1">$J$442-EFEITO!$K$442*EFEITO!$Y$442</f>
        <v>0</v>
      </c>
      <c r="N442" s="76">
        <f ca="1">$K$442-EFEITO!$M$442*EFEITO!$Z$442</f>
        <v>0</v>
      </c>
      <c r="O442" s="76">
        <f>$L$442-EFEITO!$O$442*EFEITO!$AA$442</f>
        <v>0</v>
      </c>
      <c r="P442" s="18"/>
      <c r="Q442" s="18"/>
      <c r="R442" s="18"/>
      <c r="S442" s="18"/>
      <c r="T442" s="18"/>
      <c r="U442" s="18"/>
      <c r="V442" s="18"/>
      <c r="W442" s="1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62" t="s">
        <v>21</v>
      </c>
      <c r="B443" s="62" t="s">
        <v>41</v>
      </c>
      <c r="C443" s="62" t="s">
        <v>40</v>
      </c>
      <c r="D443" s="62" t="s">
        <v>38</v>
      </c>
      <c r="E443" s="62" t="s">
        <v>25</v>
      </c>
      <c r="F443" s="62" t="s">
        <v>25</v>
      </c>
      <c r="G443" s="62" t="s">
        <v>25</v>
      </c>
      <c r="H443" s="62" t="s">
        <v>34</v>
      </c>
      <c r="I443" s="75">
        <v>44531</v>
      </c>
      <c r="J443" s="76">
        <f ca="1">EFEITO!$J$443*EFEITO!$Y$443</f>
        <v>742767.05601396784</v>
      </c>
      <c r="K443" s="76">
        <f ca="1">EFEITO!$L$443*EFEITO!$Z$443</f>
        <v>0</v>
      </c>
      <c r="L443" s="76">
        <f>EFEITO!$N$443*EFEITO!$AA$443</f>
        <v>0</v>
      </c>
      <c r="M443" s="76">
        <f ca="1">$J$443-EFEITO!$K$443*EFEITO!$Y$443</f>
        <v>0</v>
      </c>
      <c r="N443" s="76">
        <f ca="1">$K$443-EFEITO!$M$443*EFEITO!$Z$443</f>
        <v>0</v>
      </c>
      <c r="O443" s="76">
        <f>$L$443-EFEITO!$O$443*EFEITO!$AA$443</f>
        <v>0</v>
      </c>
      <c r="P443" s="18"/>
      <c r="Q443" s="18"/>
      <c r="R443" s="18"/>
      <c r="S443" s="18"/>
      <c r="T443" s="18"/>
      <c r="U443" s="18"/>
      <c r="V443" s="18"/>
      <c r="W443" s="1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62" t="s">
        <v>28</v>
      </c>
      <c r="B444" s="62" t="s">
        <v>41</v>
      </c>
      <c r="C444" s="62" t="s">
        <v>40</v>
      </c>
      <c r="D444" s="62" t="s">
        <v>38</v>
      </c>
      <c r="E444" s="62" t="s">
        <v>25</v>
      </c>
      <c r="F444" s="62" t="s">
        <v>25</v>
      </c>
      <c r="G444" s="62" t="s">
        <v>25</v>
      </c>
      <c r="H444" s="62" t="s">
        <v>34</v>
      </c>
      <c r="I444" s="75">
        <v>44562</v>
      </c>
      <c r="J444" s="76">
        <f ca="1">EFEITO!$J$444*EFEITO!$Y$444</f>
        <v>16212.681933299806</v>
      </c>
      <c r="K444" s="76">
        <f ca="1">EFEITO!$L$444*EFEITO!$Z$444</f>
        <v>1282.8262641543674</v>
      </c>
      <c r="L444" s="76">
        <f>EFEITO!$N$444*EFEITO!$AA$444</f>
        <v>4760.8060775356198</v>
      </c>
      <c r="M444" s="76">
        <f ca="1">$J$444-EFEITO!$K$444*EFEITO!$Y$444</f>
        <v>0</v>
      </c>
      <c r="N444" s="76">
        <f ca="1">$K$444-EFEITO!$M$444*EFEITO!$Z$444</f>
        <v>0</v>
      </c>
      <c r="O444" s="76">
        <f>$L$444-EFEITO!$O$444*EFEITO!$AA$444</f>
        <v>0</v>
      </c>
      <c r="P444" s="18"/>
      <c r="Q444" s="18"/>
      <c r="R444" s="18"/>
      <c r="S444" s="18"/>
      <c r="T444" s="18"/>
      <c r="U444" s="18"/>
      <c r="V444" s="18"/>
      <c r="W444" s="1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62" t="s">
        <v>21</v>
      </c>
      <c r="B445" s="62" t="s">
        <v>41</v>
      </c>
      <c r="C445" s="62" t="s">
        <v>40</v>
      </c>
      <c r="D445" s="62" t="s">
        <v>38</v>
      </c>
      <c r="E445" s="62" t="s">
        <v>25</v>
      </c>
      <c r="F445" s="62" t="s">
        <v>25</v>
      </c>
      <c r="G445" s="62" t="s">
        <v>25</v>
      </c>
      <c r="H445" s="62" t="s">
        <v>34</v>
      </c>
      <c r="I445" s="75">
        <v>44562</v>
      </c>
      <c r="J445" s="76">
        <f ca="1">EFEITO!$J$445*EFEITO!$Y$445</f>
        <v>745858.77675473667</v>
      </c>
      <c r="K445" s="76">
        <f ca="1">EFEITO!$L$445*EFEITO!$Z$445</f>
        <v>0</v>
      </c>
      <c r="L445" s="76">
        <f>EFEITO!$N$445*EFEITO!$AA$445</f>
        <v>0</v>
      </c>
      <c r="M445" s="76">
        <f ca="1">$J$445-EFEITO!$K$445*EFEITO!$Y$445</f>
        <v>0</v>
      </c>
      <c r="N445" s="76">
        <f ca="1">$K$445-EFEITO!$M$445*EFEITO!$Z$445</f>
        <v>0</v>
      </c>
      <c r="O445" s="76">
        <f>$L$445-EFEITO!$O$445*EFEITO!$AA$445</f>
        <v>0</v>
      </c>
      <c r="P445" s="18"/>
      <c r="Q445" s="18"/>
      <c r="R445" s="18"/>
      <c r="S445" s="18"/>
      <c r="T445" s="18"/>
      <c r="U445" s="18"/>
      <c r="V445" s="18"/>
      <c r="W445" s="1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62" t="s">
        <v>28</v>
      </c>
      <c r="B446" s="62" t="s">
        <v>41</v>
      </c>
      <c r="C446" s="62" t="s">
        <v>40</v>
      </c>
      <c r="D446" s="62" t="s">
        <v>38</v>
      </c>
      <c r="E446" s="62" t="s">
        <v>25</v>
      </c>
      <c r="F446" s="62" t="s">
        <v>25</v>
      </c>
      <c r="G446" s="62" t="s">
        <v>25</v>
      </c>
      <c r="H446" s="62" t="s">
        <v>34</v>
      </c>
      <c r="I446" s="75">
        <v>44593</v>
      </c>
      <c r="J446" s="76">
        <f ca="1">EFEITO!$J$446*EFEITO!$Y$446</f>
        <v>16212.681933299806</v>
      </c>
      <c r="K446" s="76">
        <f ca="1">EFEITO!$L$446*EFEITO!$Z$446</f>
        <v>1073.6488938904993</v>
      </c>
      <c r="L446" s="76">
        <f>EFEITO!$N$446*EFEITO!$AA$446</f>
        <v>3984.5100790345259</v>
      </c>
      <c r="M446" s="76">
        <f ca="1">$J$446-EFEITO!$K$446*EFEITO!$Y$446</f>
        <v>0</v>
      </c>
      <c r="N446" s="76">
        <f ca="1">$K$446-EFEITO!$M$446*EFEITO!$Z$446</f>
        <v>0</v>
      </c>
      <c r="O446" s="76">
        <f>$L$446-EFEITO!$O$446*EFEITO!$AA$446</f>
        <v>0</v>
      </c>
      <c r="P446" s="18"/>
      <c r="Q446" s="18"/>
      <c r="R446" s="18"/>
      <c r="S446" s="18"/>
      <c r="T446" s="18"/>
      <c r="U446" s="18"/>
      <c r="V446" s="18"/>
      <c r="W446" s="1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62" t="s">
        <v>21</v>
      </c>
      <c r="B447" s="62" t="s">
        <v>41</v>
      </c>
      <c r="C447" s="62" t="s">
        <v>40</v>
      </c>
      <c r="D447" s="62" t="s">
        <v>38</v>
      </c>
      <c r="E447" s="62" t="s">
        <v>25</v>
      </c>
      <c r="F447" s="62" t="s">
        <v>25</v>
      </c>
      <c r="G447" s="62" t="s">
        <v>25</v>
      </c>
      <c r="H447" s="62" t="s">
        <v>34</v>
      </c>
      <c r="I447" s="75">
        <v>44593</v>
      </c>
      <c r="J447" s="76">
        <f ca="1">EFEITO!$J$447*EFEITO!$Y$447</f>
        <v>751740.58694449195</v>
      </c>
      <c r="K447" s="76">
        <f ca="1">EFEITO!$L$447*EFEITO!$Z$447</f>
        <v>0</v>
      </c>
      <c r="L447" s="76">
        <f>EFEITO!$N$447*EFEITO!$AA$447</f>
        <v>0</v>
      </c>
      <c r="M447" s="76">
        <f ca="1">$J$447-EFEITO!$K$447*EFEITO!$Y$447</f>
        <v>0</v>
      </c>
      <c r="N447" s="76">
        <f ca="1">$K$447-EFEITO!$M$447*EFEITO!$Z$447</f>
        <v>0</v>
      </c>
      <c r="O447" s="76">
        <f>$L$447-EFEITO!$O$447*EFEITO!$AA$447</f>
        <v>0</v>
      </c>
      <c r="P447" s="18"/>
      <c r="Q447" s="18"/>
      <c r="R447" s="18"/>
      <c r="S447" s="18"/>
      <c r="T447" s="18"/>
      <c r="U447" s="18"/>
      <c r="V447" s="18"/>
      <c r="W447" s="1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62" t="s">
        <v>28</v>
      </c>
      <c r="B448" s="62" t="s">
        <v>41</v>
      </c>
      <c r="C448" s="62" t="s">
        <v>40</v>
      </c>
      <c r="D448" s="62" t="s">
        <v>38</v>
      </c>
      <c r="E448" s="62" t="s">
        <v>25</v>
      </c>
      <c r="F448" s="62" t="s">
        <v>25</v>
      </c>
      <c r="G448" s="62" t="s">
        <v>25</v>
      </c>
      <c r="H448" s="62" t="s">
        <v>34</v>
      </c>
      <c r="I448" s="75">
        <v>44621</v>
      </c>
      <c r="J448" s="76">
        <f ca="1">EFEITO!$J$448*EFEITO!$Y$448</f>
        <v>16288.089756245387</v>
      </c>
      <c r="K448" s="76">
        <f ca="1">EFEITO!$L$448*EFEITO!$Z$448</f>
        <v>1420.811861884278</v>
      </c>
      <c r="L448" s="76">
        <f>EFEITO!$N$448*EFEITO!$AA$448</f>
        <v>5272.8962105810197</v>
      </c>
      <c r="M448" s="76">
        <f ca="1">$J$448-EFEITO!$K$448*EFEITO!$Y$448</f>
        <v>0</v>
      </c>
      <c r="N448" s="76">
        <f ca="1">$K$448-EFEITO!$M$448*EFEITO!$Z$448</f>
        <v>0</v>
      </c>
      <c r="O448" s="76">
        <f>$L$448-EFEITO!$O$448*EFEITO!$AA$448</f>
        <v>0</v>
      </c>
      <c r="P448" s="18"/>
      <c r="Q448" s="18"/>
      <c r="R448" s="18"/>
      <c r="S448" s="18"/>
      <c r="T448" s="18"/>
      <c r="U448" s="18"/>
      <c r="V448" s="18"/>
      <c r="W448" s="1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62" t="s">
        <v>21</v>
      </c>
      <c r="B449" s="62" t="s">
        <v>41</v>
      </c>
      <c r="C449" s="62" t="s">
        <v>40</v>
      </c>
      <c r="D449" s="62" t="s">
        <v>38</v>
      </c>
      <c r="E449" s="62" t="s">
        <v>25</v>
      </c>
      <c r="F449" s="62" t="s">
        <v>25</v>
      </c>
      <c r="G449" s="62" t="s">
        <v>25</v>
      </c>
      <c r="H449" s="62" t="s">
        <v>34</v>
      </c>
      <c r="I449" s="75">
        <v>44621</v>
      </c>
      <c r="J449" s="76">
        <f ca="1">EFEITO!$J$449*EFEITO!$Y$449</f>
        <v>771422.0287332884</v>
      </c>
      <c r="K449" s="76">
        <f ca="1">EFEITO!$L$449*EFEITO!$Z$449</f>
        <v>0</v>
      </c>
      <c r="L449" s="76">
        <f>EFEITO!$N$449*EFEITO!$AA$449</f>
        <v>0</v>
      </c>
      <c r="M449" s="76">
        <f ca="1">$J$449-EFEITO!$K$449*EFEITO!$Y$449</f>
        <v>0</v>
      </c>
      <c r="N449" s="76">
        <f ca="1">$K$449-EFEITO!$M$449*EFEITO!$Z$449</f>
        <v>0</v>
      </c>
      <c r="O449" s="76">
        <f>$L$449-EFEITO!$O$449*EFEITO!$AA$449</f>
        <v>0</v>
      </c>
      <c r="P449" s="18"/>
      <c r="Q449" s="18"/>
      <c r="R449" s="18"/>
      <c r="S449" s="18"/>
      <c r="T449" s="18"/>
      <c r="U449" s="18"/>
      <c r="V449" s="18"/>
      <c r="W449" s="1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62" t="s">
        <v>28</v>
      </c>
      <c r="B450" s="62" t="s">
        <v>41</v>
      </c>
      <c r="C450" s="62" t="s">
        <v>40</v>
      </c>
      <c r="D450" s="62" t="s">
        <v>38</v>
      </c>
      <c r="E450" s="62" t="s">
        <v>25</v>
      </c>
      <c r="F450" s="62" t="s">
        <v>25</v>
      </c>
      <c r="G450" s="62" t="s">
        <v>25</v>
      </c>
      <c r="H450" s="62" t="s">
        <v>34</v>
      </c>
      <c r="I450" s="75">
        <v>44652</v>
      </c>
      <c r="J450" s="76">
        <f ca="1">EFEITO!$J$450*EFEITO!$Y$450</f>
        <v>16589.72104802771</v>
      </c>
      <c r="K450" s="76">
        <f ca="1">EFEITO!$L$450*EFEITO!$Z$450</f>
        <v>1184.422192466503</v>
      </c>
      <c r="L450" s="76">
        <f>EFEITO!$N$450*EFEITO!$AA$450</f>
        <v>4395.6103252841194</v>
      </c>
      <c r="M450" s="76">
        <f ca="1">$J$450-EFEITO!$K$450*EFEITO!$Y$450</f>
        <v>0</v>
      </c>
      <c r="N450" s="76">
        <f ca="1">$K$450-EFEITO!$M$450*EFEITO!$Z$450</f>
        <v>0</v>
      </c>
      <c r="O450" s="76">
        <f>$L$450-EFEITO!$O$450*EFEITO!$AA$450</f>
        <v>0</v>
      </c>
      <c r="P450" s="18"/>
      <c r="Q450" s="18"/>
      <c r="R450" s="18"/>
      <c r="S450" s="18"/>
      <c r="T450" s="18"/>
      <c r="U450" s="18"/>
      <c r="V450" s="18"/>
      <c r="W450" s="1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62" t="s">
        <v>21</v>
      </c>
      <c r="B451" s="62" t="s">
        <v>41</v>
      </c>
      <c r="C451" s="62" t="s">
        <v>40</v>
      </c>
      <c r="D451" s="62" t="s">
        <v>38</v>
      </c>
      <c r="E451" s="62" t="s">
        <v>25</v>
      </c>
      <c r="F451" s="62" t="s">
        <v>25</v>
      </c>
      <c r="G451" s="62" t="s">
        <v>25</v>
      </c>
      <c r="H451" s="62" t="s">
        <v>34</v>
      </c>
      <c r="I451" s="75">
        <v>44652</v>
      </c>
      <c r="J451" s="76">
        <f ca="1">EFEITO!$J$451*EFEITO!$Y$451</f>
        <v>755737.20156060765</v>
      </c>
      <c r="K451" s="76">
        <f ca="1">EFEITO!$L$451*EFEITO!$Z$451</f>
        <v>0</v>
      </c>
      <c r="L451" s="76">
        <f>EFEITO!$N$451*EFEITO!$AA$451</f>
        <v>0</v>
      </c>
      <c r="M451" s="76">
        <f ca="1">$J$451-EFEITO!$K$451*EFEITO!$Y$451</f>
        <v>0</v>
      </c>
      <c r="N451" s="76">
        <f ca="1">$K$451-EFEITO!$M$451*EFEITO!$Z$451</f>
        <v>0</v>
      </c>
      <c r="O451" s="76">
        <f>$L$451-EFEITO!$O$451*EFEITO!$AA$451</f>
        <v>0</v>
      </c>
      <c r="P451" s="18"/>
      <c r="Q451" s="18"/>
      <c r="R451" s="18"/>
      <c r="S451" s="18"/>
      <c r="T451" s="18"/>
      <c r="U451" s="18"/>
      <c r="V451" s="18"/>
      <c r="W451" s="1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62" t="s">
        <v>58</v>
      </c>
      <c r="B452" s="62" t="s">
        <v>41</v>
      </c>
      <c r="C452" s="62" t="s">
        <v>40</v>
      </c>
      <c r="D452" s="62" t="s">
        <v>38</v>
      </c>
      <c r="E452" s="62" t="s">
        <v>25</v>
      </c>
      <c r="F452" s="62" t="s">
        <v>25</v>
      </c>
      <c r="G452" s="62" t="s">
        <v>25</v>
      </c>
      <c r="H452" s="62" t="s">
        <v>34</v>
      </c>
      <c r="I452" s="75">
        <v>44682</v>
      </c>
      <c r="J452" s="76">
        <f ca="1">EFEITO!$J$452*EFEITO!$Y$452</f>
        <v>16589.72104802771</v>
      </c>
      <c r="K452" s="76">
        <f ca="1">EFEITO!$L$452*EFEITO!$Z$452</f>
        <v>1184.422192466503</v>
      </c>
      <c r="L452" s="76">
        <f>EFEITO!$N$452*EFEITO!$AA$452</f>
        <v>4395.6103252841194</v>
      </c>
      <c r="M452" s="76">
        <f ca="1">$J$452-EFEITO!$K$452*EFEITO!$Y$452</f>
        <v>0</v>
      </c>
      <c r="N452" s="76">
        <f ca="1">$K$452-EFEITO!$M$452*EFEITO!$Z$452</f>
        <v>0</v>
      </c>
      <c r="O452" s="76">
        <f>$L$452-EFEITO!$O$452*EFEITO!$AA$452</f>
        <v>0</v>
      </c>
      <c r="P452" s="18"/>
      <c r="Q452" s="18"/>
      <c r="R452" s="18"/>
      <c r="S452" s="18"/>
      <c r="T452" s="18"/>
      <c r="U452" s="18"/>
      <c r="V452" s="18"/>
      <c r="W452" s="1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62" t="s">
        <v>58</v>
      </c>
      <c r="B453" s="62" t="s">
        <v>41</v>
      </c>
      <c r="C453" s="62" t="s">
        <v>40</v>
      </c>
      <c r="D453" s="62" t="s">
        <v>38</v>
      </c>
      <c r="E453" s="62" t="s">
        <v>25</v>
      </c>
      <c r="F453" s="62" t="s">
        <v>25</v>
      </c>
      <c r="G453" s="62" t="s">
        <v>25</v>
      </c>
      <c r="H453" s="62" t="s">
        <v>34</v>
      </c>
      <c r="I453" s="75">
        <v>44682</v>
      </c>
      <c r="J453" s="76">
        <f ca="1">EFEITO!$J$453*EFEITO!$Y$453</f>
        <v>755737.20156060765</v>
      </c>
      <c r="K453" s="76">
        <f ca="1">EFEITO!$L$453*EFEITO!$Z$453</f>
        <v>0</v>
      </c>
      <c r="L453" s="76">
        <f>EFEITO!$N$453*EFEITO!$AA$453</f>
        <v>0</v>
      </c>
      <c r="M453" s="76">
        <f ca="1">$J$453-EFEITO!$K$453*EFEITO!$Y$453</f>
        <v>0</v>
      </c>
      <c r="N453" s="76">
        <f ca="1">$K$453-EFEITO!$M$453*EFEITO!$Z$453</f>
        <v>0</v>
      </c>
      <c r="O453" s="76">
        <f>$L$453-EFEITO!$O$453*EFEITO!$AA$453</f>
        <v>0</v>
      </c>
      <c r="P453" s="18"/>
      <c r="Q453" s="18"/>
      <c r="R453" s="18"/>
      <c r="S453" s="18"/>
      <c r="T453" s="18"/>
      <c r="U453" s="18"/>
      <c r="V453" s="18"/>
      <c r="W453" s="1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62" t="s">
        <v>21</v>
      </c>
      <c r="B454" s="62" t="s">
        <v>41</v>
      </c>
      <c r="C454" s="62" t="s">
        <v>40</v>
      </c>
      <c r="D454" s="62" t="s">
        <v>46</v>
      </c>
      <c r="E454" s="62" t="s">
        <v>25</v>
      </c>
      <c r="F454" s="62" t="s">
        <v>25</v>
      </c>
      <c r="G454" s="62" t="s">
        <v>25</v>
      </c>
      <c r="H454" s="62" t="s">
        <v>35</v>
      </c>
      <c r="I454" s="75">
        <v>44348</v>
      </c>
      <c r="J454" s="76">
        <f ca="1">EFEITO!$J$454*EFEITO!$Y$454</f>
        <v>6824.9480967139143</v>
      </c>
      <c r="K454" s="76">
        <f ca="1">EFEITO!$L$454*EFEITO!$Z$454</f>
        <v>5081.6907132105998</v>
      </c>
      <c r="L454" s="76">
        <f>EFEITO!$N$454*EFEITO!$AA$454</f>
        <v>11581.644954551912</v>
      </c>
      <c r="M454" s="76">
        <f ca="1">$J$454-EFEITO!$K$454*EFEITO!$Y$454</f>
        <v>0</v>
      </c>
      <c r="N454" s="76">
        <f ca="1">$K$454-EFEITO!$M$454*EFEITO!$Z$454</f>
        <v>0</v>
      </c>
      <c r="O454" s="76">
        <f>$L$454-EFEITO!$O$454*EFEITO!$AA$454</f>
        <v>0</v>
      </c>
      <c r="P454" s="18"/>
      <c r="Q454" s="18"/>
      <c r="R454" s="18"/>
      <c r="S454" s="18"/>
      <c r="T454" s="18"/>
      <c r="U454" s="18"/>
      <c r="V454" s="18"/>
      <c r="W454" s="1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62" t="s">
        <v>28</v>
      </c>
      <c r="B455" s="62" t="s">
        <v>41</v>
      </c>
      <c r="C455" s="62" t="s">
        <v>40</v>
      </c>
      <c r="D455" s="62" t="s">
        <v>46</v>
      </c>
      <c r="E455" s="62" t="s">
        <v>25</v>
      </c>
      <c r="F455" s="62" t="s">
        <v>25</v>
      </c>
      <c r="G455" s="62" t="s">
        <v>25</v>
      </c>
      <c r="H455" s="62" t="s">
        <v>35</v>
      </c>
      <c r="I455" s="75">
        <v>44348</v>
      </c>
      <c r="J455" s="76">
        <f ca="1">EFEITO!$J$455*EFEITO!$Y$455</f>
        <v>8642.9473713844327</v>
      </c>
      <c r="K455" s="76">
        <f ca="1">EFEITO!$L$455*EFEITO!$Z$455</f>
        <v>10216.981409603137</v>
      </c>
      <c r="L455" s="76">
        <f>EFEITO!$N$455*EFEITO!$AA$455</f>
        <v>23285.449247366843</v>
      </c>
      <c r="M455" s="76">
        <f ca="1">$J$455-EFEITO!$K$455*EFEITO!$Y$455</f>
        <v>0</v>
      </c>
      <c r="N455" s="76">
        <f ca="1">$K$455-EFEITO!$M$455*EFEITO!$Z$455</f>
        <v>0</v>
      </c>
      <c r="O455" s="76">
        <f>$L$455-EFEITO!$O$455*EFEITO!$AA$455</f>
        <v>0</v>
      </c>
      <c r="P455" s="18"/>
      <c r="Q455" s="18"/>
      <c r="R455" s="18"/>
      <c r="S455" s="18"/>
      <c r="T455" s="18"/>
      <c r="U455" s="18"/>
      <c r="V455" s="18"/>
      <c r="W455" s="1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62" t="s">
        <v>28</v>
      </c>
      <c r="B456" s="62" t="s">
        <v>41</v>
      </c>
      <c r="C456" s="62" t="s">
        <v>40</v>
      </c>
      <c r="D456" s="62" t="s">
        <v>46</v>
      </c>
      <c r="E456" s="62" t="s">
        <v>25</v>
      </c>
      <c r="F456" s="62" t="s">
        <v>25</v>
      </c>
      <c r="G456" s="62" t="s">
        <v>25</v>
      </c>
      <c r="H456" s="62" t="s">
        <v>35</v>
      </c>
      <c r="I456" s="75">
        <v>44348</v>
      </c>
      <c r="J456" s="76">
        <f ca="1">EFEITO!$J$456*EFEITO!$Y$456</f>
        <v>0</v>
      </c>
      <c r="K456" s="76">
        <f ca="1">EFEITO!$L$456*EFEITO!$Z$456</f>
        <v>-1855.3840332209086</v>
      </c>
      <c r="L456" s="76">
        <f>EFEITO!$N$456*EFEITO!$AA$456</f>
        <v>-4228.592478335383</v>
      </c>
      <c r="M456" s="76">
        <f ca="1">$J$456-EFEITO!$K$456*EFEITO!$Y$456</f>
        <v>0</v>
      </c>
      <c r="N456" s="76">
        <f ca="1">$K$456-EFEITO!$M$456*EFEITO!$Z$456</f>
        <v>0</v>
      </c>
      <c r="O456" s="76">
        <f>$L$456-EFEITO!$O$456*EFEITO!$AA$456</f>
        <v>0</v>
      </c>
      <c r="P456" s="18"/>
      <c r="Q456" s="18"/>
      <c r="R456" s="18"/>
      <c r="S456" s="18"/>
      <c r="T456" s="18"/>
      <c r="U456" s="18"/>
      <c r="V456" s="18"/>
      <c r="W456" s="1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62" t="s">
        <v>21</v>
      </c>
      <c r="B457" s="62" t="s">
        <v>41</v>
      </c>
      <c r="C457" s="62" t="s">
        <v>40</v>
      </c>
      <c r="D457" s="62" t="s">
        <v>46</v>
      </c>
      <c r="E457" s="62" t="s">
        <v>25</v>
      </c>
      <c r="F457" s="62" t="s">
        <v>25</v>
      </c>
      <c r="G457" s="62" t="s">
        <v>25</v>
      </c>
      <c r="H457" s="62" t="s">
        <v>35</v>
      </c>
      <c r="I457" s="75">
        <v>44378</v>
      </c>
      <c r="J457" s="76">
        <f ca="1">EFEITO!$J$457*EFEITO!$Y$457</f>
        <v>6824.9480967139143</v>
      </c>
      <c r="K457" s="76">
        <f ca="1">EFEITO!$L$457*EFEITO!$Z$457</f>
        <v>5055.1655933282564</v>
      </c>
      <c r="L457" s="76">
        <f>EFEITO!$N$457*EFEITO!$AA$457</f>
        <v>11521.191743565338</v>
      </c>
      <c r="M457" s="76">
        <f ca="1">$J$457-EFEITO!$K$457*EFEITO!$Y$457</f>
        <v>0</v>
      </c>
      <c r="N457" s="76">
        <f ca="1">$K$457-EFEITO!$M$457*EFEITO!$Z$457</f>
        <v>0</v>
      </c>
      <c r="O457" s="76">
        <f>$L$457-EFEITO!$O$457*EFEITO!$AA$457</f>
        <v>0</v>
      </c>
      <c r="P457" s="18"/>
      <c r="Q457" s="18"/>
      <c r="R457" s="18"/>
      <c r="S457" s="18"/>
      <c r="T457" s="18"/>
      <c r="U457" s="18"/>
      <c r="V457" s="18"/>
      <c r="W457" s="1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62" t="s">
        <v>28</v>
      </c>
      <c r="B458" s="62" t="s">
        <v>41</v>
      </c>
      <c r="C458" s="62" t="s">
        <v>40</v>
      </c>
      <c r="D458" s="62" t="s">
        <v>46</v>
      </c>
      <c r="E458" s="62" t="s">
        <v>25</v>
      </c>
      <c r="F458" s="62" t="s">
        <v>25</v>
      </c>
      <c r="G458" s="62" t="s">
        <v>25</v>
      </c>
      <c r="H458" s="62" t="s">
        <v>35</v>
      </c>
      <c r="I458" s="75">
        <v>44378</v>
      </c>
      <c r="J458" s="76">
        <f ca="1">EFEITO!$J$458*EFEITO!$Y$458</f>
        <v>8642.9473713844327</v>
      </c>
      <c r="K458" s="76">
        <f ca="1">EFEITO!$L$458*EFEITO!$Z$458</f>
        <v>10216.981409603137</v>
      </c>
      <c r="L458" s="76">
        <f>EFEITO!$N$458*EFEITO!$AA$458</f>
        <v>23285.449247366843</v>
      </c>
      <c r="M458" s="76">
        <f ca="1">$J$458-EFEITO!$K$458*EFEITO!$Y$458</f>
        <v>0</v>
      </c>
      <c r="N458" s="76">
        <f ca="1">$K$458-EFEITO!$M$458*EFEITO!$Z$458</f>
        <v>0</v>
      </c>
      <c r="O458" s="76">
        <f>$L$458-EFEITO!$O$458*EFEITO!$AA$458</f>
        <v>0</v>
      </c>
      <c r="P458" s="18"/>
      <c r="Q458" s="18"/>
      <c r="R458" s="18"/>
      <c r="S458" s="18"/>
      <c r="T458" s="18"/>
      <c r="U458" s="18"/>
      <c r="V458" s="18"/>
      <c r="W458" s="1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62" t="s">
        <v>21</v>
      </c>
      <c r="B459" s="62" t="s">
        <v>41</v>
      </c>
      <c r="C459" s="62" t="s">
        <v>40</v>
      </c>
      <c r="D459" s="62" t="s">
        <v>46</v>
      </c>
      <c r="E459" s="62" t="s">
        <v>25</v>
      </c>
      <c r="F459" s="62" t="s">
        <v>25</v>
      </c>
      <c r="G459" s="62" t="s">
        <v>25</v>
      </c>
      <c r="H459" s="62" t="s">
        <v>35</v>
      </c>
      <c r="I459" s="75">
        <v>44409</v>
      </c>
      <c r="J459" s="76">
        <f ca="1">EFEITO!$J$459*EFEITO!$Y$459</f>
        <v>6824.9480967139143</v>
      </c>
      <c r="K459" s="76">
        <f ca="1">EFEITO!$L$459*EFEITO!$Z$459</f>
        <v>5339.1080683382115</v>
      </c>
      <c r="L459" s="76">
        <f>EFEITO!$N$459*EFEITO!$AA$459</f>
        <v>12168.323007286886</v>
      </c>
      <c r="M459" s="76">
        <f ca="1">$J$459-EFEITO!$K$459*EFEITO!$Y$459</f>
        <v>0</v>
      </c>
      <c r="N459" s="76">
        <f ca="1">$K$459-EFEITO!$M$459*EFEITO!$Z$459</f>
        <v>0</v>
      </c>
      <c r="O459" s="76">
        <f>$L$459-EFEITO!$O$459*EFEITO!$AA$459</f>
        <v>0</v>
      </c>
      <c r="P459" s="18"/>
      <c r="Q459" s="18"/>
      <c r="R459" s="18"/>
      <c r="S459" s="18"/>
      <c r="T459" s="18"/>
      <c r="U459" s="18"/>
      <c r="V459" s="18"/>
      <c r="W459" s="1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62" t="s">
        <v>28</v>
      </c>
      <c r="B460" s="62" t="s">
        <v>41</v>
      </c>
      <c r="C460" s="62" t="s">
        <v>40</v>
      </c>
      <c r="D460" s="62" t="s">
        <v>46</v>
      </c>
      <c r="E460" s="62" t="s">
        <v>25</v>
      </c>
      <c r="F460" s="62" t="s">
        <v>25</v>
      </c>
      <c r="G460" s="62" t="s">
        <v>25</v>
      </c>
      <c r="H460" s="62" t="s">
        <v>35</v>
      </c>
      <c r="I460" s="75">
        <v>44409</v>
      </c>
      <c r="J460" s="76">
        <f ca="1">EFEITO!$J$460*EFEITO!$Y$460</f>
        <v>8642.9473713844327</v>
      </c>
      <c r="K460" s="76">
        <f ca="1">EFEITO!$L$460*EFEITO!$Z$460</f>
        <v>10983.873476667779</v>
      </c>
      <c r="L460" s="76">
        <f>EFEITO!$N$460*EFEITO!$AA$460</f>
        <v>25033.267471745468</v>
      </c>
      <c r="M460" s="76">
        <f ca="1">$J$460-EFEITO!$K$460*EFEITO!$Y$460</f>
        <v>0</v>
      </c>
      <c r="N460" s="76">
        <f ca="1">$K$460-EFEITO!$M$460*EFEITO!$Z$460</f>
        <v>0</v>
      </c>
      <c r="O460" s="76">
        <f>$L$460-EFEITO!$O$460*EFEITO!$AA$460</f>
        <v>0</v>
      </c>
      <c r="P460" s="18"/>
      <c r="Q460" s="18"/>
      <c r="R460" s="18"/>
      <c r="S460" s="18"/>
      <c r="T460" s="18"/>
      <c r="U460" s="18"/>
      <c r="V460" s="18"/>
      <c r="W460" s="1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62" t="s">
        <v>21</v>
      </c>
      <c r="B461" s="62" t="s">
        <v>41</v>
      </c>
      <c r="C461" s="62" t="s">
        <v>40</v>
      </c>
      <c r="D461" s="62" t="s">
        <v>46</v>
      </c>
      <c r="E461" s="62" t="s">
        <v>25</v>
      </c>
      <c r="F461" s="62" t="s">
        <v>25</v>
      </c>
      <c r="G461" s="62" t="s">
        <v>25</v>
      </c>
      <c r="H461" s="62" t="s">
        <v>35</v>
      </c>
      <c r="I461" s="75">
        <v>44440</v>
      </c>
      <c r="J461" s="76">
        <f ca="1">EFEITO!$J$461*EFEITO!$Y$461</f>
        <v>6824.9480967139143</v>
      </c>
      <c r="K461" s="76">
        <f ca="1">EFEITO!$L$461*EFEITO!$Z$461</f>
        <v>5751.6905029848167</v>
      </c>
      <c r="L461" s="76">
        <f>EFEITO!$N$461*EFEITO!$AA$461</f>
        <v>13108.636682839688</v>
      </c>
      <c r="M461" s="76">
        <f ca="1">$J$461-EFEITO!$K$461*EFEITO!$Y$461</f>
        <v>0</v>
      </c>
      <c r="N461" s="76">
        <f ca="1">$K$461-EFEITO!$M$461*EFEITO!$Z$461</f>
        <v>0</v>
      </c>
      <c r="O461" s="76">
        <f>$L$461-EFEITO!$O$461*EFEITO!$AA$461</f>
        <v>0</v>
      </c>
      <c r="P461" s="18"/>
      <c r="Q461" s="18"/>
      <c r="R461" s="18"/>
      <c r="S461" s="18"/>
      <c r="T461" s="18"/>
      <c r="U461" s="18"/>
      <c r="V461" s="18"/>
      <c r="W461" s="1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62" t="s">
        <v>28</v>
      </c>
      <c r="B462" s="62" t="s">
        <v>41</v>
      </c>
      <c r="C462" s="62" t="s">
        <v>40</v>
      </c>
      <c r="D462" s="62" t="s">
        <v>46</v>
      </c>
      <c r="E462" s="62" t="s">
        <v>25</v>
      </c>
      <c r="F462" s="62" t="s">
        <v>25</v>
      </c>
      <c r="G462" s="62" t="s">
        <v>25</v>
      </c>
      <c r="H462" s="62" t="s">
        <v>35</v>
      </c>
      <c r="I462" s="75">
        <v>44440</v>
      </c>
      <c r="J462" s="76">
        <f ca="1">EFEITO!$J$462*EFEITO!$Y$462</f>
        <v>8642.9473713844327</v>
      </c>
      <c r="K462" s="76">
        <f ca="1">EFEITO!$L$462*EFEITO!$Z$462</f>
        <v>12567.134518349621</v>
      </c>
      <c r="L462" s="76">
        <f>EFEITO!$N$462*EFEITO!$AA$462</f>
        <v>28641.66638659166</v>
      </c>
      <c r="M462" s="76">
        <f ca="1">$J$462-EFEITO!$K$462*EFEITO!$Y$462</f>
        <v>0</v>
      </c>
      <c r="N462" s="76">
        <f ca="1">$K$462-EFEITO!$M$462*EFEITO!$Z$462</f>
        <v>0</v>
      </c>
      <c r="O462" s="76">
        <f>$L$462-EFEITO!$O$462*EFEITO!$AA$462</f>
        <v>0</v>
      </c>
      <c r="P462" s="18"/>
      <c r="Q462" s="18"/>
      <c r="R462" s="18"/>
      <c r="S462" s="18"/>
      <c r="T462" s="18"/>
      <c r="U462" s="18"/>
      <c r="V462" s="18"/>
      <c r="W462" s="1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62" t="s">
        <v>21</v>
      </c>
      <c r="B463" s="62" t="s">
        <v>41</v>
      </c>
      <c r="C463" s="62" t="s">
        <v>40</v>
      </c>
      <c r="D463" s="62" t="s">
        <v>46</v>
      </c>
      <c r="E463" s="62" t="s">
        <v>25</v>
      </c>
      <c r="F463" s="62" t="s">
        <v>25</v>
      </c>
      <c r="G463" s="62" t="s">
        <v>25</v>
      </c>
      <c r="H463" s="62" t="s">
        <v>35</v>
      </c>
      <c r="I463" s="75">
        <v>44470</v>
      </c>
      <c r="J463" s="76">
        <f ca="1">EFEITO!$J$463*EFEITO!$Y$463</f>
        <v>6824.9480967139143</v>
      </c>
      <c r="K463" s="76">
        <f ca="1">EFEITO!$L$463*EFEITO!$Z$463</f>
        <v>5494.6854554201427</v>
      </c>
      <c r="L463" s="76">
        <f>EFEITO!$N$463*EFEITO!$AA$463</f>
        <v>12522.898317322119</v>
      </c>
      <c r="M463" s="76">
        <f ca="1">$J$463-EFEITO!$K$463*EFEITO!$Y$463</f>
        <v>0</v>
      </c>
      <c r="N463" s="76">
        <f ca="1">$K$463-EFEITO!$M$463*EFEITO!$Z$463</f>
        <v>0</v>
      </c>
      <c r="O463" s="76">
        <f>$L$463-EFEITO!$O$463*EFEITO!$AA$463</f>
        <v>0</v>
      </c>
      <c r="P463" s="18"/>
      <c r="Q463" s="18"/>
      <c r="R463" s="18"/>
      <c r="S463" s="18"/>
      <c r="T463" s="18"/>
      <c r="U463" s="18"/>
      <c r="V463" s="18"/>
      <c r="W463" s="1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62" t="s">
        <v>28</v>
      </c>
      <c r="B464" s="62" t="s">
        <v>41</v>
      </c>
      <c r="C464" s="62" t="s">
        <v>40</v>
      </c>
      <c r="D464" s="62" t="s">
        <v>46</v>
      </c>
      <c r="E464" s="62" t="s">
        <v>25</v>
      </c>
      <c r="F464" s="62" t="s">
        <v>25</v>
      </c>
      <c r="G464" s="62" t="s">
        <v>25</v>
      </c>
      <c r="H464" s="62" t="s">
        <v>35</v>
      </c>
      <c r="I464" s="75">
        <v>44470</v>
      </c>
      <c r="J464" s="76">
        <f ca="1">EFEITO!$J$464*EFEITO!$Y$464</f>
        <v>8642.9473713844327</v>
      </c>
      <c r="K464" s="76">
        <f ca="1">EFEITO!$L$464*EFEITO!$Z$464</f>
        <v>13408.241946743101</v>
      </c>
      <c r="L464" s="76">
        <f>EFEITO!$N$464*EFEITO!$AA$464</f>
        <v>30558.628310103704</v>
      </c>
      <c r="M464" s="76">
        <f ca="1">$J$464-EFEITO!$K$464*EFEITO!$Y$464</f>
        <v>0</v>
      </c>
      <c r="N464" s="76">
        <f ca="1">$K$464-EFEITO!$M$464*EFEITO!$Z$464</f>
        <v>0</v>
      </c>
      <c r="O464" s="76">
        <f>$L$464-EFEITO!$O$464*EFEITO!$AA$464</f>
        <v>0</v>
      </c>
      <c r="P464" s="18"/>
      <c r="Q464" s="18"/>
      <c r="R464" s="18"/>
      <c r="S464" s="18"/>
      <c r="T464" s="18"/>
      <c r="U464" s="18"/>
      <c r="V464" s="18"/>
      <c r="W464" s="1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62" t="s">
        <v>21</v>
      </c>
      <c r="B465" s="62" t="s">
        <v>41</v>
      </c>
      <c r="C465" s="62" t="s">
        <v>40</v>
      </c>
      <c r="D465" s="62" t="s">
        <v>46</v>
      </c>
      <c r="E465" s="62" t="s">
        <v>25</v>
      </c>
      <c r="F465" s="62" t="s">
        <v>25</v>
      </c>
      <c r="G465" s="62" t="s">
        <v>25</v>
      </c>
      <c r="H465" s="62" t="s">
        <v>35</v>
      </c>
      <c r="I465" s="75">
        <v>44501</v>
      </c>
      <c r="J465" s="76">
        <f ca="1">EFEITO!$J$465*EFEITO!$Y$465</f>
        <v>6824.9480967139143</v>
      </c>
      <c r="K465" s="76">
        <f ca="1">EFEITO!$L$465*EFEITO!$Z$465</f>
        <v>5406.1767652427898</v>
      </c>
      <c r="L465" s="76">
        <f>EFEITO!$N$465*EFEITO!$AA$465</f>
        <v>12321.178794651898</v>
      </c>
      <c r="M465" s="76">
        <f ca="1">$J$465-EFEITO!$K$465*EFEITO!$Y$465</f>
        <v>0</v>
      </c>
      <c r="N465" s="76">
        <f ca="1">$K$465-EFEITO!$M$465*EFEITO!$Z$465</f>
        <v>0</v>
      </c>
      <c r="O465" s="76">
        <f>$L$465-EFEITO!$O$465*EFEITO!$AA$465</f>
        <v>0</v>
      </c>
      <c r="P465" s="18"/>
      <c r="Q465" s="18"/>
      <c r="R465" s="18"/>
      <c r="S465" s="18"/>
      <c r="T465" s="18"/>
      <c r="U465" s="18"/>
      <c r="V465" s="18"/>
      <c r="W465" s="1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62" t="s">
        <v>28</v>
      </c>
      <c r="B466" s="62" t="s">
        <v>41</v>
      </c>
      <c r="C466" s="62" t="s">
        <v>40</v>
      </c>
      <c r="D466" s="62" t="s">
        <v>46</v>
      </c>
      <c r="E466" s="62" t="s">
        <v>25</v>
      </c>
      <c r="F466" s="62" t="s">
        <v>25</v>
      </c>
      <c r="G466" s="62" t="s">
        <v>25</v>
      </c>
      <c r="H466" s="62" t="s">
        <v>35</v>
      </c>
      <c r="I466" s="75">
        <v>44501</v>
      </c>
      <c r="J466" s="76">
        <f ca="1">EFEITO!$J$466*EFEITO!$Y$466</f>
        <v>8642.9473713844327</v>
      </c>
      <c r="K466" s="76">
        <f ca="1">EFEITO!$L$466*EFEITO!$Z$466</f>
        <v>13111.380501427755</v>
      </c>
      <c r="L466" s="76">
        <f>EFEITO!$N$466*EFEITO!$AA$466</f>
        <v>29882.053513570045</v>
      </c>
      <c r="M466" s="76">
        <f ca="1">$J$466-EFEITO!$K$466*EFEITO!$Y$466</f>
        <v>0</v>
      </c>
      <c r="N466" s="76">
        <f ca="1">$K$466-EFEITO!$M$466*EFEITO!$Z$466</f>
        <v>0</v>
      </c>
      <c r="O466" s="76">
        <f>$L$466-EFEITO!$O$466*EFEITO!$AA$466</f>
        <v>0</v>
      </c>
      <c r="P466" s="18"/>
      <c r="Q466" s="18"/>
      <c r="R466" s="18"/>
      <c r="S466" s="18"/>
      <c r="T466" s="18"/>
      <c r="U466" s="18"/>
      <c r="V466" s="18"/>
      <c r="W466" s="1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62" t="s">
        <v>21</v>
      </c>
      <c r="B467" s="62" t="s">
        <v>41</v>
      </c>
      <c r="C467" s="62" t="s">
        <v>40</v>
      </c>
      <c r="D467" s="62" t="s">
        <v>46</v>
      </c>
      <c r="E467" s="62" t="s">
        <v>25</v>
      </c>
      <c r="F467" s="62" t="s">
        <v>25</v>
      </c>
      <c r="G467" s="62" t="s">
        <v>25</v>
      </c>
      <c r="H467" s="62" t="s">
        <v>35</v>
      </c>
      <c r="I467" s="75">
        <v>44531</v>
      </c>
      <c r="J467" s="76">
        <f ca="1">EFEITO!$J$467*EFEITO!$Y$467</f>
        <v>6824.9480967139143</v>
      </c>
      <c r="K467" s="76">
        <f ca="1">EFEITO!$L$467*EFEITO!$Z$467</f>
        <v>6515.0092378373301</v>
      </c>
      <c r="L467" s="76">
        <f>EFEITO!$N$467*EFEITO!$AA$467</f>
        <v>14848.310951334113</v>
      </c>
      <c r="M467" s="76">
        <f ca="1">$J$467-EFEITO!$K$467*EFEITO!$Y$467</f>
        <v>0</v>
      </c>
      <c r="N467" s="76">
        <f ca="1">$K$467-EFEITO!$M$467*EFEITO!$Z$467</f>
        <v>0</v>
      </c>
      <c r="O467" s="76">
        <f>$L$467-EFEITO!$O$467*EFEITO!$AA$467</f>
        <v>0</v>
      </c>
      <c r="P467" s="18"/>
      <c r="Q467" s="18"/>
      <c r="R467" s="18"/>
      <c r="S467" s="18"/>
      <c r="T467" s="18"/>
      <c r="U467" s="18"/>
      <c r="V467" s="18"/>
      <c r="W467" s="1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62" t="s">
        <v>28</v>
      </c>
      <c r="B468" s="62" t="s">
        <v>41</v>
      </c>
      <c r="C468" s="62" t="s">
        <v>40</v>
      </c>
      <c r="D468" s="62" t="s">
        <v>46</v>
      </c>
      <c r="E468" s="62" t="s">
        <v>25</v>
      </c>
      <c r="F468" s="62" t="s">
        <v>25</v>
      </c>
      <c r="G468" s="62" t="s">
        <v>25</v>
      </c>
      <c r="H468" s="62" t="s">
        <v>35</v>
      </c>
      <c r="I468" s="75">
        <v>44531</v>
      </c>
      <c r="J468" s="76">
        <f ca="1">EFEITO!$J$468*EFEITO!$Y$468</f>
        <v>8642.9473713844327</v>
      </c>
      <c r="K468" s="76">
        <f ca="1">EFEITO!$L$468*EFEITO!$Z$468</f>
        <v>14298.826282689137</v>
      </c>
      <c r="L468" s="76">
        <f>EFEITO!$N$468*EFEITO!$AA$468</f>
        <v>32588.35269970469</v>
      </c>
      <c r="M468" s="76">
        <f ca="1">$J$468-EFEITO!$K$468*EFEITO!$Y$468</f>
        <v>0</v>
      </c>
      <c r="N468" s="76">
        <f ca="1">$K$468-EFEITO!$M$468*EFEITO!$Z$468</f>
        <v>0</v>
      </c>
      <c r="O468" s="76">
        <f>$L$468-EFEITO!$O$468*EFEITO!$AA$468</f>
        <v>0</v>
      </c>
      <c r="P468" s="18"/>
      <c r="Q468" s="18"/>
      <c r="R468" s="18"/>
      <c r="S468" s="18"/>
      <c r="T468" s="18"/>
      <c r="U468" s="18"/>
      <c r="V468" s="18"/>
      <c r="W468" s="1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62" t="s">
        <v>21</v>
      </c>
      <c r="B469" s="62" t="s">
        <v>41</v>
      </c>
      <c r="C469" s="62" t="s">
        <v>40</v>
      </c>
      <c r="D469" s="62" t="s">
        <v>46</v>
      </c>
      <c r="E469" s="62" t="s">
        <v>25</v>
      </c>
      <c r="F469" s="62" t="s">
        <v>25</v>
      </c>
      <c r="G469" s="62" t="s">
        <v>25</v>
      </c>
      <c r="H469" s="62" t="s">
        <v>35</v>
      </c>
      <c r="I469" s="75">
        <v>44562</v>
      </c>
      <c r="J469" s="76">
        <f ca="1">EFEITO!$J$469*EFEITO!$Y$469</f>
        <v>6824.9480967139143</v>
      </c>
      <c r="K469" s="76">
        <f ca="1">EFEITO!$L$469*EFEITO!$Z$469</f>
        <v>6245.2226558215789</v>
      </c>
      <c r="L469" s="76">
        <f>EFEITO!$N$469*EFEITO!$AA$469</f>
        <v>14233.442282076901</v>
      </c>
      <c r="M469" s="76">
        <f ca="1">$J$469-EFEITO!$K$469*EFEITO!$Y$469</f>
        <v>0</v>
      </c>
      <c r="N469" s="76">
        <f ca="1">$K$469-EFEITO!$M$469*EFEITO!$Z$469</f>
        <v>0</v>
      </c>
      <c r="O469" s="76">
        <f>$L$469-EFEITO!$O$469*EFEITO!$AA$469</f>
        <v>0</v>
      </c>
      <c r="P469" s="18"/>
      <c r="Q469" s="18"/>
      <c r="R469" s="18"/>
      <c r="S469" s="18"/>
      <c r="T469" s="18"/>
      <c r="U469" s="18"/>
      <c r="V469" s="18"/>
      <c r="W469" s="1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62" t="s">
        <v>28</v>
      </c>
      <c r="B470" s="62" t="s">
        <v>41</v>
      </c>
      <c r="C470" s="62" t="s">
        <v>40</v>
      </c>
      <c r="D470" s="62" t="s">
        <v>46</v>
      </c>
      <c r="E470" s="62" t="s">
        <v>25</v>
      </c>
      <c r="F470" s="62" t="s">
        <v>25</v>
      </c>
      <c r="G470" s="62" t="s">
        <v>25</v>
      </c>
      <c r="H470" s="62" t="s">
        <v>35</v>
      </c>
      <c r="I470" s="75">
        <v>44562</v>
      </c>
      <c r="J470" s="76">
        <f ca="1">EFEITO!$J$470*EFEITO!$Y$470</f>
        <v>8642.9473713844327</v>
      </c>
      <c r="K470" s="76">
        <f ca="1">EFEITO!$L$470*EFEITO!$Z$470</f>
        <v>15636.626888568568</v>
      </c>
      <c r="L470" s="76">
        <f>EFEITO!$N$470*EFEITO!$AA$470</f>
        <v>35637.324491120729</v>
      </c>
      <c r="M470" s="76">
        <f ca="1">$J$470-EFEITO!$K$470*EFEITO!$Y$470</f>
        <v>0</v>
      </c>
      <c r="N470" s="76">
        <f ca="1">$K$470-EFEITO!$M$470*EFEITO!$Z$470</f>
        <v>0</v>
      </c>
      <c r="O470" s="76">
        <f>$L$470-EFEITO!$O$470*EFEITO!$AA$470</f>
        <v>0</v>
      </c>
      <c r="P470" s="18"/>
      <c r="Q470" s="18"/>
      <c r="R470" s="18"/>
      <c r="S470" s="18"/>
      <c r="T470" s="18"/>
      <c r="U470" s="18"/>
      <c r="V470" s="18"/>
      <c r="W470" s="1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62" t="s">
        <v>21</v>
      </c>
      <c r="B471" s="62" t="s">
        <v>41</v>
      </c>
      <c r="C471" s="62" t="s">
        <v>40</v>
      </c>
      <c r="D471" s="62" t="s">
        <v>46</v>
      </c>
      <c r="E471" s="62" t="s">
        <v>25</v>
      </c>
      <c r="F471" s="62" t="s">
        <v>25</v>
      </c>
      <c r="G471" s="62" t="s">
        <v>25</v>
      </c>
      <c r="H471" s="62" t="s">
        <v>35</v>
      </c>
      <c r="I471" s="75">
        <v>44593</v>
      </c>
      <c r="J471" s="76">
        <f ca="1">EFEITO!$J$471*EFEITO!$Y$471</f>
        <v>6824.9480967139143</v>
      </c>
      <c r="K471" s="76">
        <f ca="1">EFEITO!$L$471*EFEITO!$Z$471</f>
        <v>5687.3705231664917</v>
      </c>
      <c r="L471" s="76">
        <f>EFEITO!$N$471*EFEITO!$AA$471</f>
        <v>12962.04547692406</v>
      </c>
      <c r="M471" s="76">
        <f ca="1">$J$471-EFEITO!$K$471*EFEITO!$Y$471</f>
        <v>0</v>
      </c>
      <c r="N471" s="76">
        <f ca="1">$K$471-EFEITO!$M$471*EFEITO!$Z$471</f>
        <v>0</v>
      </c>
      <c r="O471" s="76">
        <f>$L$471-EFEITO!$O$471*EFEITO!$AA$471</f>
        <v>0</v>
      </c>
      <c r="P471" s="18"/>
      <c r="Q471" s="18"/>
      <c r="R471" s="18"/>
      <c r="S471" s="18"/>
      <c r="T471" s="18"/>
      <c r="U471" s="18"/>
      <c r="V471" s="18"/>
      <c r="W471" s="1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62" t="s">
        <v>28</v>
      </c>
      <c r="B472" s="62" t="s">
        <v>41</v>
      </c>
      <c r="C472" s="62" t="s">
        <v>40</v>
      </c>
      <c r="D472" s="62" t="s">
        <v>46</v>
      </c>
      <c r="E472" s="62" t="s">
        <v>25</v>
      </c>
      <c r="F472" s="62" t="s">
        <v>25</v>
      </c>
      <c r="G472" s="62" t="s">
        <v>25</v>
      </c>
      <c r="H472" s="62" t="s">
        <v>35</v>
      </c>
      <c r="I472" s="75">
        <v>44593</v>
      </c>
      <c r="J472" s="76">
        <f ca="1">EFEITO!$J$472*EFEITO!$Y$472</f>
        <v>8642.9473713844327</v>
      </c>
      <c r="K472" s="76">
        <f ca="1">EFEITO!$L$472*EFEITO!$Z$472</f>
        <v>13736.713638550358</v>
      </c>
      <c r="L472" s="76">
        <f>EFEITO!$N$472*EFEITO!$AA$472</f>
        <v>31307.245793305301</v>
      </c>
      <c r="M472" s="76">
        <f ca="1">$J$472-EFEITO!$K$472*EFEITO!$Y$472</f>
        <v>0</v>
      </c>
      <c r="N472" s="76">
        <f ca="1">$K$472-EFEITO!$M$472*EFEITO!$Z$472</f>
        <v>0</v>
      </c>
      <c r="O472" s="76">
        <f>$L$472-EFEITO!$O$472*EFEITO!$AA$472</f>
        <v>0</v>
      </c>
      <c r="P472" s="18"/>
      <c r="Q472" s="18"/>
      <c r="R472" s="18"/>
      <c r="S472" s="18"/>
      <c r="T472" s="18"/>
      <c r="U472" s="18"/>
      <c r="V472" s="18"/>
      <c r="W472" s="1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62" t="s">
        <v>21</v>
      </c>
      <c r="B473" s="62" t="s">
        <v>41</v>
      </c>
      <c r="C473" s="62" t="s">
        <v>40</v>
      </c>
      <c r="D473" s="62" t="s">
        <v>46</v>
      </c>
      <c r="E473" s="62" t="s">
        <v>25</v>
      </c>
      <c r="F473" s="62" t="s">
        <v>25</v>
      </c>
      <c r="G473" s="62" t="s">
        <v>25</v>
      </c>
      <c r="H473" s="62" t="s">
        <v>35</v>
      </c>
      <c r="I473" s="75">
        <v>44621</v>
      </c>
      <c r="J473" s="76">
        <f ca="1">EFEITO!$J$473*EFEITO!$Y$473</f>
        <v>6824.9480967139143</v>
      </c>
      <c r="K473" s="76">
        <f ca="1">EFEITO!$L$473*EFEITO!$Z$473</f>
        <v>6465.9446378477096</v>
      </c>
      <c r="L473" s="76">
        <f>EFEITO!$N$473*EFEITO!$AA$473</f>
        <v>14736.488172462576</v>
      </c>
      <c r="M473" s="76">
        <f ca="1">$J$473-EFEITO!$K$473*EFEITO!$Y$473</f>
        <v>0</v>
      </c>
      <c r="N473" s="76">
        <f ca="1">$K$473-EFEITO!$M$473*EFEITO!$Z$473</f>
        <v>0</v>
      </c>
      <c r="O473" s="76">
        <f>$L$473-EFEITO!$O$473*EFEITO!$AA$473</f>
        <v>0</v>
      </c>
      <c r="P473" s="18"/>
      <c r="Q473" s="18"/>
      <c r="R473" s="18"/>
      <c r="S473" s="18"/>
      <c r="T473" s="18"/>
      <c r="U473" s="18"/>
      <c r="V473" s="18"/>
      <c r="W473" s="1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62" t="s">
        <v>28</v>
      </c>
      <c r="B474" s="62" t="s">
        <v>41</v>
      </c>
      <c r="C474" s="62" t="s">
        <v>40</v>
      </c>
      <c r="D474" s="62" t="s">
        <v>46</v>
      </c>
      <c r="E474" s="62" t="s">
        <v>25</v>
      </c>
      <c r="F474" s="62" t="s">
        <v>25</v>
      </c>
      <c r="G474" s="62" t="s">
        <v>25</v>
      </c>
      <c r="H474" s="62" t="s">
        <v>35</v>
      </c>
      <c r="I474" s="75">
        <v>44621</v>
      </c>
      <c r="J474" s="76">
        <f ca="1">EFEITO!$J$474*EFEITO!$Y$474</f>
        <v>8642.9473713844327</v>
      </c>
      <c r="K474" s="76">
        <f ca="1">EFEITO!$L$474*EFEITO!$Z$474</f>
        <v>16837.129075989651</v>
      </c>
      <c r="L474" s="76">
        <f>EFEITO!$N$474*EFEITO!$AA$474</f>
        <v>38373.380439139961</v>
      </c>
      <c r="M474" s="76">
        <f ca="1">$J$474-EFEITO!$K$474*EFEITO!$Y$474</f>
        <v>0</v>
      </c>
      <c r="N474" s="76">
        <f ca="1">$K$474-EFEITO!$M$474*EFEITO!$Z$474</f>
        <v>0</v>
      </c>
      <c r="O474" s="76">
        <f>$L$474-EFEITO!$O$474*EFEITO!$AA$474</f>
        <v>0</v>
      </c>
      <c r="P474" s="18"/>
      <c r="Q474" s="18"/>
      <c r="R474" s="18"/>
      <c r="S474" s="18"/>
      <c r="T474" s="18"/>
      <c r="U474" s="18"/>
      <c r="V474" s="18"/>
      <c r="W474" s="1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62" t="s">
        <v>21</v>
      </c>
      <c r="B475" s="62" t="s">
        <v>41</v>
      </c>
      <c r="C475" s="62" t="s">
        <v>40</v>
      </c>
      <c r="D475" s="62" t="s">
        <v>46</v>
      </c>
      <c r="E475" s="62" t="s">
        <v>25</v>
      </c>
      <c r="F475" s="62" t="s">
        <v>25</v>
      </c>
      <c r="G475" s="62" t="s">
        <v>25</v>
      </c>
      <c r="H475" s="62" t="s">
        <v>35</v>
      </c>
      <c r="I475" s="75">
        <v>44652</v>
      </c>
      <c r="J475" s="76">
        <f ca="1">EFEITO!$J$475*EFEITO!$Y$475</f>
        <v>7629.6363002566031</v>
      </c>
      <c r="K475" s="76">
        <f ca="1">EFEITO!$L$475*EFEITO!$Z$475</f>
        <v>6976.7937083278675</v>
      </c>
      <c r="L475" s="76">
        <f>EFEITO!$N$475*EFEITO!$AA$475</f>
        <v>15900.760634830918</v>
      </c>
      <c r="M475" s="76">
        <f ca="1">$J$475-EFEITO!$K$475*EFEITO!$Y$475</f>
        <v>0</v>
      </c>
      <c r="N475" s="76">
        <f ca="1">$K$475-EFEITO!$M$475*EFEITO!$Z$475</f>
        <v>0</v>
      </c>
      <c r="O475" s="76">
        <f>$L$475-EFEITO!$O$475*EFEITO!$AA$475</f>
        <v>0</v>
      </c>
      <c r="P475" s="18"/>
      <c r="Q475" s="18"/>
      <c r="R475" s="18"/>
      <c r="S475" s="18"/>
      <c r="T475" s="18"/>
      <c r="U475" s="18"/>
      <c r="V475" s="18"/>
      <c r="W475" s="1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62" t="s">
        <v>28</v>
      </c>
      <c r="B476" s="62" t="s">
        <v>41</v>
      </c>
      <c r="C476" s="62" t="s">
        <v>40</v>
      </c>
      <c r="D476" s="62" t="s">
        <v>46</v>
      </c>
      <c r="E476" s="62" t="s">
        <v>25</v>
      </c>
      <c r="F476" s="62" t="s">
        <v>25</v>
      </c>
      <c r="G476" s="62" t="s">
        <v>25</v>
      </c>
      <c r="H476" s="62" t="s">
        <v>35</v>
      </c>
      <c r="I476" s="75">
        <v>44652</v>
      </c>
      <c r="J476" s="76">
        <f ca="1">EFEITO!$J$476*EFEITO!$Y$476</f>
        <v>8642.9473713844327</v>
      </c>
      <c r="K476" s="76">
        <f ca="1">EFEITO!$L$476*EFEITO!$Z$476</f>
        <v>14238.629378500191</v>
      </c>
      <c r="L476" s="76">
        <f>EFEITO!$N$476*EFEITO!$AA$476</f>
        <v>32451.15836596314</v>
      </c>
      <c r="M476" s="76">
        <f ca="1">$J$476-EFEITO!$K$476*EFEITO!$Y$476</f>
        <v>0</v>
      </c>
      <c r="N476" s="76">
        <f ca="1">$K$476-EFEITO!$M$476*EFEITO!$Z$476</f>
        <v>0</v>
      </c>
      <c r="O476" s="76">
        <f>$L$476-EFEITO!$O$476*EFEITO!$AA$476</f>
        <v>0</v>
      </c>
      <c r="P476" s="18"/>
      <c r="Q476" s="18"/>
      <c r="R476" s="18"/>
      <c r="S476" s="18"/>
      <c r="T476" s="18"/>
      <c r="U476" s="18"/>
      <c r="V476" s="18"/>
      <c r="W476" s="1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62" t="s">
        <v>58</v>
      </c>
      <c r="B477" s="62" t="s">
        <v>41</v>
      </c>
      <c r="C477" s="62" t="s">
        <v>40</v>
      </c>
      <c r="D477" s="62" t="s">
        <v>46</v>
      </c>
      <c r="E477" s="62" t="s">
        <v>25</v>
      </c>
      <c r="F477" s="62" t="s">
        <v>25</v>
      </c>
      <c r="G477" s="62" t="s">
        <v>25</v>
      </c>
      <c r="H477" s="62" t="s">
        <v>35</v>
      </c>
      <c r="I477" s="75">
        <v>44682</v>
      </c>
      <c r="J477" s="76">
        <f ca="1">EFEITO!$J$477*EFEITO!$Y$477</f>
        <v>7629.6363002566031</v>
      </c>
      <c r="K477" s="76">
        <f ca="1">EFEITO!$L$477*EFEITO!$Z$477</f>
        <v>6976.7937083278675</v>
      </c>
      <c r="L477" s="76">
        <f>EFEITO!$N$477*EFEITO!$AA$477</f>
        <v>15900.760634830918</v>
      </c>
      <c r="M477" s="76">
        <f ca="1">$J$477-EFEITO!$K$477*EFEITO!$Y$477</f>
        <v>0</v>
      </c>
      <c r="N477" s="76">
        <f ca="1">$K$477-EFEITO!$M$477*EFEITO!$Z$477</f>
        <v>0</v>
      </c>
      <c r="O477" s="76">
        <f>$L$477-EFEITO!$O$477*EFEITO!$AA$477</f>
        <v>0</v>
      </c>
      <c r="P477" s="18"/>
      <c r="Q477" s="18"/>
      <c r="R477" s="18"/>
      <c r="S477" s="18"/>
      <c r="T477" s="18"/>
      <c r="U477" s="18"/>
      <c r="V477" s="18"/>
      <c r="W477" s="18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62" t="s">
        <v>58</v>
      </c>
      <c r="B478" s="62" t="s">
        <v>41</v>
      </c>
      <c r="C478" s="62" t="s">
        <v>40</v>
      </c>
      <c r="D478" s="62" t="s">
        <v>46</v>
      </c>
      <c r="E478" s="62" t="s">
        <v>25</v>
      </c>
      <c r="F478" s="62" t="s">
        <v>25</v>
      </c>
      <c r="G478" s="62" t="s">
        <v>25</v>
      </c>
      <c r="H478" s="62" t="s">
        <v>35</v>
      </c>
      <c r="I478" s="75">
        <v>44682</v>
      </c>
      <c r="J478" s="76">
        <f ca="1">EFEITO!$J$478*EFEITO!$Y$478</f>
        <v>8642.9473713844327</v>
      </c>
      <c r="K478" s="76">
        <f ca="1">EFEITO!$L$478*EFEITO!$Z$478</f>
        <v>14238.629378500191</v>
      </c>
      <c r="L478" s="76">
        <f>EFEITO!$N$478*EFEITO!$AA$478</f>
        <v>32451.15836596314</v>
      </c>
      <c r="M478" s="76">
        <f ca="1">$J$478-EFEITO!$K$478*EFEITO!$Y$478</f>
        <v>0</v>
      </c>
      <c r="N478" s="76">
        <f ca="1">$K$478-EFEITO!$M$478*EFEITO!$Z$478</f>
        <v>0</v>
      </c>
      <c r="O478" s="76">
        <f>$L$478-EFEITO!$O$478*EFEITO!$AA$478</f>
        <v>0</v>
      </c>
      <c r="P478" s="18"/>
      <c r="Q478" s="18"/>
      <c r="R478" s="18"/>
      <c r="S478" s="18"/>
      <c r="T478" s="18"/>
      <c r="U478" s="18"/>
      <c r="V478" s="18"/>
      <c r="W478" s="18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62" t="s">
        <v>21</v>
      </c>
      <c r="B479" s="62" t="s">
        <v>41</v>
      </c>
      <c r="C479" s="62" t="s">
        <v>40</v>
      </c>
      <c r="D479" s="62" t="s">
        <v>46</v>
      </c>
      <c r="E479" s="62" t="s">
        <v>25</v>
      </c>
      <c r="F479" s="62" t="s">
        <v>25</v>
      </c>
      <c r="G479" s="62" t="s">
        <v>25</v>
      </c>
      <c r="H479" s="62" t="s">
        <v>34</v>
      </c>
      <c r="I479" s="75">
        <v>44348</v>
      </c>
      <c r="J479" s="76">
        <f ca="1">EFEITO!$J$479*EFEITO!$Y$479</f>
        <v>13875.03942198681</v>
      </c>
      <c r="K479" s="76">
        <f ca="1">EFEITO!$L$479*EFEITO!$Z$479</f>
        <v>698.17413990831233</v>
      </c>
      <c r="L479" s="76">
        <f>EFEITO!$N$479*EFEITO!$AA$479</f>
        <v>2591.0536612257283</v>
      </c>
      <c r="M479" s="76">
        <f ca="1">$J$479-EFEITO!$K$479*EFEITO!$Y$479</f>
        <v>0</v>
      </c>
      <c r="N479" s="76">
        <f ca="1">$K$479-EFEITO!$M$479*EFEITO!$Z$479</f>
        <v>0</v>
      </c>
      <c r="O479" s="76">
        <f>$L$479-EFEITO!$O$479*EFEITO!$AA$479</f>
        <v>0</v>
      </c>
      <c r="P479" s="18"/>
      <c r="Q479" s="18"/>
      <c r="R479" s="18"/>
      <c r="S479" s="18"/>
      <c r="T479" s="18"/>
      <c r="U479" s="18"/>
      <c r="V479" s="18"/>
      <c r="W479" s="18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62" t="s">
        <v>28</v>
      </c>
      <c r="B480" s="62" t="s">
        <v>41</v>
      </c>
      <c r="C480" s="62" t="s">
        <v>40</v>
      </c>
      <c r="D480" s="62" t="s">
        <v>46</v>
      </c>
      <c r="E480" s="62" t="s">
        <v>25</v>
      </c>
      <c r="F480" s="62" t="s">
        <v>25</v>
      </c>
      <c r="G480" s="62" t="s">
        <v>25</v>
      </c>
      <c r="H480" s="62" t="s">
        <v>34</v>
      </c>
      <c r="I480" s="75">
        <v>44348</v>
      </c>
      <c r="J480" s="76">
        <f ca="1">EFEITO!$J$480*EFEITO!$Y$480</f>
        <v>21868.268654218344</v>
      </c>
      <c r="K480" s="76">
        <f ca="1">EFEITO!$L$480*EFEITO!$Z$480</f>
        <v>1781.1686718920723</v>
      </c>
      <c r="L480" s="76">
        <f>EFEITO!$N$480*EFEITO!$AA$480</f>
        <v>6610.2471357254808</v>
      </c>
      <c r="M480" s="76">
        <f ca="1">$J$480-EFEITO!$K$480*EFEITO!$Y$480</f>
        <v>0</v>
      </c>
      <c r="N480" s="76">
        <f ca="1">$K$480-EFEITO!$M$480*EFEITO!$Z$480</f>
        <v>0</v>
      </c>
      <c r="O480" s="76">
        <f>$L$480-EFEITO!$O$480*EFEITO!$AA$480</f>
        <v>0</v>
      </c>
      <c r="P480" s="18"/>
      <c r="Q480" s="18"/>
      <c r="R480" s="18"/>
      <c r="S480" s="18"/>
      <c r="T480" s="18"/>
      <c r="U480" s="18"/>
      <c r="V480" s="18"/>
      <c r="W480" s="18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62" t="s">
        <v>28</v>
      </c>
      <c r="B481" s="62" t="s">
        <v>41</v>
      </c>
      <c r="C481" s="62" t="s">
        <v>40</v>
      </c>
      <c r="D481" s="62" t="s">
        <v>46</v>
      </c>
      <c r="E481" s="62" t="s">
        <v>25</v>
      </c>
      <c r="F481" s="62" t="s">
        <v>25</v>
      </c>
      <c r="G481" s="62" t="s">
        <v>25</v>
      </c>
      <c r="H481" s="62" t="s">
        <v>34</v>
      </c>
      <c r="I481" s="75">
        <v>44348</v>
      </c>
      <c r="J481" s="76">
        <f ca="1">EFEITO!$J$481*EFEITO!$Y$481</f>
        <v>0</v>
      </c>
      <c r="K481" s="76">
        <f ca="1">EFEITO!$L$481*EFEITO!$Z$481</f>
        <v>-74.215361328836352</v>
      </c>
      <c r="L481" s="76">
        <f>EFEITO!$N$481*EFEITO!$AA$481</f>
        <v>-275.42696398856168</v>
      </c>
      <c r="M481" s="76">
        <f ca="1">$J$481-EFEITO!$K$481*EFEITO!$Y$481</f>
        <v>0</v>
      </c>
      <c r="N481" s="76">
        <f ca="1">$K$481-EFEITO!$M$481*EFEITO!$Z$481</f>
        <v>0</v>
      </c>
      <c r="O481" s="76">
        <f>$L$481-EFEITO!$O$481*EFEITO!$AA$481</f>
        <v>0</v>
      </c>
      <c r="P481" s="18"/>
      <c r="Q481" s="18"/>
      <c r="R481" s="18"/>
      <c r="S481" s="18"/>
      <c r="T481" s="18"/>
      <c r="U481" s="18"/>
      <c r="V481" s="18"/>
      <c r="W481" s="18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62" t="s">
        <v>21</v>
      </c>
      <c r="B482" s="62" t="s">
        <v>41</v>
      </c>
      <c r="C482" s="62" t="s">
        <v>40</v>
      </c>
      <c r="D482" s="62" t="s">
        <v>46</v>
      </c>
      <c r="E482" s="62" t="s">
        <v>25</v>
      </c>
      <c r="F482" s="62" t="s">
        <v>25</v>
      </c>
      <c r="G482" s="62" t="s">
        <v>25</v>
      </c>
      <c r="H482" s="62" t="s">
        <v>34</v>
      </c>
      <c r="I482" s="75">
        <v>44378</v>
      </c>
      <c r="J482" s="76">
        <f ca="1">EFEITO!$J$482*EFEITO!$Y$482</f>
        <v>14327.486359660294</v>
      </c>
      <c r="K482" s="76">
        <f ca="1">EFEITO!$L$482*EFEITO!$Z$482</f>
        <v>741.19156230817475</v>
      </c>
      <c r="L482" s="76">
        <f>EFEITO!$N$482*EFEITO!$AA$482</f>
        <v>2750.6992903524315</v>
      </c>
      <c r="M482" s="76">
        <f ca="1">$J$482-EFEITO!$K$482*EFEITO!$Y$482</f>
        <v>0</v>
      </c>
      <c r="N482" s="76">
        <f ca="1">$K$482-EFEITO!$M$482*EFEITO!$Z$482</f>
        <v>0</v>
      </c>
      <c r="O482" s="76">
        <f>$L$482-EFEITO!$O$482*EFEITO!$AA$482</f>
        <v>0</v>
      </c>
      <c r="P482" s="18"/>
      <c r="Q482" s="18"/>
      <c r="R482" s="18"/>
      <c r="S482" s="18"/>
      <c r="T482" s="18"/>
      <c r="U482" s="18"/>
      <c r="V482" s="18"/>
      <c r="W482" s="18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62" t="s">
        <v>28</v>
      </c>
      <c r="B483" s="62" t="s">
        <v>41</v>
      </c>
      <c r="C483" s="62" t="s">
        <v>40</v>
      </c>
      <c r="D483" s="62" t="s">
        <v>46</v>
      </c>
      <c r="E483" s="62" t="s">
        <v>25</v>
      </c>
      <c r="F483" s="62" t="s">
        <v>25</v>
      </c>
      <c r="G483" s="62" t="s">
        <v>25</v>
      </c>
      <c r="H483" s="62" t="s">
        <v>34</v>
      </c>
      <c r="I483" s="75">
        <v>44378</v>
      </c>
      <c r="J483" s="76">
        <f ca="1">EFEITO!$J$483*EFEITO!$Y$483</f>
        <v>21868.268654218344</v>
      </c>
      <c r="K483" s="76">
        <f ca="1">EFEITO!$L$483*EFEITO!$Z$483</f>
        <v>1904.8609407734662</v>
      </c>
      <c r="L483" s="76">
        <f>EFEITO!$N$483*EFEITO!$AA$483</f>
        <v>7069.2920757064167</v>
      </c>
      <c r="M483" s="76">
        <f ca="1">$J$483-EFEITO!$K$483*EFEITO!$Y$483</f>
        <v>0</v>
      </c>
      <c r="N483" s="76">
        <f ca="1">$K$483-EFEITO!$M$483*EFEITO!$Z$483</f>
        <v>0</v>
      </c>
      <c r="O483" s="76">
        <f>$L$483-EFEITO!$O$483*EFEITO!$AA$483</f>
        <v>0</v>
      </c>
      <c r="P483" s="18"/>
      <c r="Q483" s="18"/>
      <c r="R483" s="18"/>
      <c r="S483" s="18"/>
      <c r="T483" s="18"/>
      <c r="U483" s="18"/>
      <c r="V483" s="18"/>
      <c r="W483" s="18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62" t="s">
        <v>21</v>
      </c>
      <c r="B484" s="62" t="s">
        <v>41</v>
      </c>
      <c r="C484" s="62" t="s">
        <v>40</v>
      </c>
      <c r="D484" s="62" t="s">
        <v>46</v>
      </c>
      <c r="E484" s="62" t="s">
        <v>25</v>
      </c>
      <c r="F484" s="62" t="s">
        <v>25</v>
      </c>
      <c r="G484" s="62" t="s">
        <v>25</v>
      </c>
      <c r="H484" s="62" t="s">
        <v>34</v>
      </c>
      <c r="I484" s="75">
        <v>44409</v>
      </c>
      <c r="J484" s="76">
        <f ca="1">EFEITO!$J$484*EFEITO!$Y$484</f>
        <v>15006.156766170518</v>
      </c>
      <c r="K484" s="76">
        <f ca="1">EFEITO!$L$484*EFEITO!$Z$484</f>
        <v>748.61309844105847</v>
      </c>
      <c r="L484" s="76">
        <f>EFEITO!$N$484*EFEITO!$AA$484</f>
        <v>2778.2419867512881</v>
      </c>
      <c r="M484" s="76">
        <f ca="1">$J$484-EFEITO!$K$484*EFEITO!$Y$484</f>
        <v>0</v>
      </c>
      <c r="N484" s="76">
        <f ca="1">$K$484-EFEITO!$M$484*EFEITO!$Z$484</f>
        <v>0</v>
      </c>
      <c r="O484" s="76">
        <f>$L$484-EFEITO!$O$484*EFEITO!$AA$484</f>
        <v>0</v>
      </c>
      <c r="P484" s="18"/>
      <c r="Q484" s="18"/>
      <c r="R484" s="18"/>
      <c r="S484" s="18"/>
      <c r="T484" s="18"/>
      <c r="U484" s="18"/>
      <c r="V484" s="18"/>
      <c r="W484" s="18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62" t="s">
        <v>28</v>
      </c>
      <c r="B485" s="62" t="s">
        <v>41</v>
      </c>
      <c r="C485" s="62" t="s">
        <v>40</v>
      </c>
      <c r="D485" s="62" t="s">
        <v>46</v>
      </c>
      <c r="E485" s="62" t="s">
        <v>25</v>
      </c>
      <c r="F485" s="62" t="s">
        <v>25</v>
      </c>
      <c r="G485" s="62" t="s">
        <v>25</v>
      </c>
      <c r="H485" s="62" t="s">
        <v>34</v>
      </c>
      <c r="I485" s="75">
        <v>44409</v>
      </c>
      <c r="J485" s="76">
        <f ca="1">EFEITO!$J$485*EFEITO!$Y$485</f>
        <v>21868.268654218344</v>
      </c>
      <c r="K485" s="76">
        <f ca="1">EFEITO!$L$485*EFEITO!$Z$485</f>
        <v>1904.8609407734662</v>
      </c>
      <c r="L485" s="76">
        <f>EFEITO!$N$485*EFEITO!$AA$485</f>
        <v>7069.2920757064167</v>
      </c>
      <c r="M485" s="76">
        <f ca="1">$J$485-EFEITO!$K$485*EFEITO!$Y$485</f>
        <v>0</v>
      </c>
      <c r="N485" s="76">
        <f ca="1">$K$485-EFEITO!$M$485*EFEITO!$Z$485</f>
        <v>0</v>
      </c>
      <c r="O485" s="76">
        <f>$L$485-EFEITO!$O$485*EFEITO!$AA$485</f>
        <v>0</v>
      </c>
      <c r="P485" s="18"/>
      <c r="Q485" s="18"/>
      <c r="R485" s="18"/>
      <c r="S485" s="18"/>
      <c r="T485" s="18"/>
      <c r="U485" s="18"/>
      <c r="V485" s="18"/>
      <c r="W485" s="18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62" t="s">
        <v>21</v>
      </c>
      <c r="B486" s="62" t="s">
        <v>41</v>
      </c>
      <c r="C486" s="62" t="s">
        <v>40</v>
      </c>
      <c r="D486" s="62" t="s">
        <v>46</v>
      </c>
      <c r="E486" s="62" t="s">
        <v>25</v>
      </c>
      <c r="F486" s="62" t="s">
        <v>25</v>
      </c>
      <c r="G486" s="62" t="s">
        <v>25</v>
      </c>
      <c r="H486" s="62" t="s">
        <v>34</v>
      </c>
      <c r="I486" s="75">
        <v>44440</v>
      </c>
      <c r="J486" s="76">
        <f ca="1">EFEITO!$J$486*EFEITO!$Y$486</f>
        <v>14478.302005551453</v>
      </c>
      <c r="K486" s="76">
        <f ca="1">EFEITO!$L$486*EFEITO!$Z$486</f>
        <v>737.06848667879513</v>
      </c>
      <c r="L486" s="76">
        <f>EFEITO!$N$486*EFEITO!$AA$486</f>
        <v>2735.3977923530674</v>
      </c>
      <c r="M486" s="76">
        <f ca="1">$J$486-EFEITO!$K$486*EFEITO!$Y$486</f>
        <v>0</v>
      </c>
      <c r="N486" s="76">
        <f ca="1">$K$486-EFEITO!$M$486*EFEITO!$Z$486</f>
        <v>0</v>
      </c>
      <c r="O486" s="76">
        <f>$L$486-EFEITO!$O$486*EFEITO!$AA$486</f>
        <v>0</v>
      </c>
      <c r="P486" s="18"/>
      <c r="Q486" s="18"/>
      <c r="R486" s="18"/>
      <c r="S486" s="18"/>
      <c r="T486" s="18"/>
      <c r="U486" s="18"/>
      <c r="V486" s="18"/>
      <c r="W486" s="18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62" t="s">
        <v>28</v>
      </c>
      <c r="B487" s="62" t="s">
        <v>41</v>
      </c>
      <c r="C487" s="62" t="s">
        <v>40</v>
      </c>
      <c r="D487" s="62" t="s">
        <v>46</v>
      </c>
      <c r="E487" s="62" t="s">
        <v>25</v>
      </c>
      <c r="F487" s="62" t="s">
        <v>25</v>
      </c>
      <c r="G487" s="62" t="s">
        <v>25</v>
      </c>
      <c r="H487" s="62" t="s">
        <v>34</v>
      </c>
      <c r="I487" s="75">
        <v>44440</v>
      </c>
      <c r="J487" s="76">
        <f ca="1">EFEITO!$J$487*EFEITO!$Y$487</f>
        <v>21868.268654218344</v>
      </c>
      <c r="K487" s="76">
        <f ca="1">EFEITO!$L$487*EFEITO!$Z$487</f>
        <v>1805.9071256683512</v>
      </c>
      <c r="L487" s="76">
        <f>EFEITO!$N$487*EFEITO!$AA$487</f>
        <v>6702.056123721668</v>
      </c>
      <c r="M487" s="76">
        <f ca="1">$J$487-EFEITO!$K$487*EFEITO!$Y$487</f>
        <v>0</v>
      </c>
      <c r="N487" s="76">
        <f ca="1">$K$487-EFEITO!$M$487*EFEITO!$Z$487</f>
        <v>0</v>
      </c>
      <c r="O487" s="76">
        <f>$L$487-EFEITO!$O$487*EFEITO!$AA$487</f>
        <v>0</v>
      </c>
      <c r="P487" s="18"/>
      <c r="Q487" s="18"/>
      <c r="R487" s="18"/>
      <c r="S487" s="18"/>
      <c r="T487" s="18"/>
      <c r="U487" s="18"/>
      <c r="V487" s="18"/>
      <c r="W487" s="18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62" t="s">
        <v>21</v>
      </c>
      <c r="B488" s="62" t="s">
        <v>41</v>
      </c>
      <c r="C488" s="62" t="s">
        <v>40</v>
      </c>
      <c r="D488" s="62" t="s">
        <v>46</v>
      </c>
      <c r="E488" s="62" t="s">
        <v>25</v>
      </c>
      <c r="F488" s="62" t="s">
        <v>25</v>
      </c>
      <c r="G488" s="62" t="s">
        <v>25</v>
      </c>
      <c r="H488" s="62" t="s">
        <v>34</v>
      </c>
      <c r="I488" s="75">
        <v>44470</v>
      </c>
      <c r="J488" s="76">
        <f ca="1">EFEITO!$J$488*EFEITO!$Y$488</f>
        <v>14101.262890823551</v>
      </c>
      <c r="K488" s="76">
        <f ca="1">EFEITO!$L$488*EFEITO!$Z$488</f>
        <v>669.175174648341</v>
      </c>
      <c r="L488" s="76">
        <f>EFEITO!$N$488*EFEITO!$AA$488</f>
        <v>2483.4331252968645</v>
      </c>
      <c r="M488" s="76">
        <f ca="1">$J$488-EFEITO!$K$488*EFEITO!$Y$488</f>
        <v>0</v>
      </c>
      <c r="N488" s="76">
        <f ca="1">$K$488-EFEITO!$M$488*EFEITO!$Z$488</f>
        <v>0</v>
      </c>
      <c r="O488" s="76">
        <f>$L$488-EFEITO!$O$488*EFEITO!$AA$488</f>
        <v>0</v>
      </c>
      <c r="P488" s="18"/>
      <c r="Q488" s="18"/>
      <c r="R488" s="18"/>
      <c r="S488" s="18"/>
      <c r="T488" s="18"/>
      <c r="U488" s="18"/>
      <c r="V488" s="18"/>
      <c r="W488" s="18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62" t="s">
        <v>28</v>
      </c>
      <c r="B489" s="62" t="s">
        <v>41</v>
      </c>
      <c r="C489" s="62" t="s">
        <v>40</v>
      </c>
      <c r="D489" s="62" t="s">
        <v>46</v>
      </c>
      <c r="E489" s="62" t="s">
        <v>25</v>
      </c>
      <c r="F489" s="62" t="s">
        <v>25</v>
      </c>
      <c r="G489" s="62" t="s">
        <v>25</v>
      </c>
      <c r="H489" s="62" t="s">
        <v>34</v>
      </c>
      <c r="I489" s="75">
        <v>44470</v>
      </c>
      <c r="J489" s="76">
        <f ca="1">EFEITO!$J$489*EFEITO!$Y$489</f>
        <v>21868.268654218344</v>
      </c>
      <c r="K489" s="76">
        <f ca="1">EFEITO!$L$489*EFEITO!$Z$489</f>
        <v>1855.3840332209086</v>
      </c>
      <c r="L489" s="76">
        <f>EFEITO!$N$489*EFEITO!$AA$489</f>
        <v>6885.6740997140423</v>
      </c>
      <c r="M489" s="76">
        <f ca="1">$J$489-EFEITO!$K$489*EFEITO!$Y$489</f>
        <v>0</v>
      </c>
      <c r="N489" s="76">
        <f ca="1">$K$489-EFEITO!$M$489*EFEITO!$Z$489</f>
        <v>0</v>
      </c>
      <c r="O489" s="76">
        <f>$L$489-EFEITO!$O$489*EFEITO!$AA$489</f>
        <v>0</v>
      </c>
      <c r="P489" s="18"/>
      <c r="Q489" s="18"/>
      <c r="R489" s="18"/>
      <c r="S489" s="18"/>
      <c r="T489" s="18"/>
      <c r="U489" s="18"/>
      <c r="V489" s="18"/>
      <c r="W489" s="18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62" t="s">
        <v>21</v>
      </c>
      <c r="B490" s="62" t="s">
        <v>41</v>
      </c>
      <c r="C490" s="62" t="s">
        <v>40</v>
      </c>
      <c r="D490" s="62" t="s">
        <v>46</v>
      </c>
      <c r="E490" s="62" t="s">
        <v>25</v>
      </c>
      <c r="F490" s="62" t="s">
        <v>25</v>
      </c>
      <c r="G490" s="62" t="s">
        <v>25</v>
      </c>
      <c r="H490" s="62" t="s">
        <v>34</v>
      </c>
      <c r="I490" s="75">
        <v>44501</v>
      </c>
      <c r="J490" s="76">
        <f ca="1">EFEITO!$J$490*EFEITO!$Y$490</f>
        <v>14553.709828497034</v>
      </c>
      <c r="K490" s="76">
        <f ca="1">EFEITO!$L$490*EFEITO!$Z$490</f>
        <v>678.65824859591453</v>
      </c>
      <c r="L490" s="76">
        <f>EFEITO!$N$490*EFEITO!$AA$490</f>
        <v>2518.6265706954027</v>
      </c>
      <c r="M490" s="76">
        <f ca="1">$J$490-EFEITO!$K$490*EFEITO!$Y$490</f>
        <v>0</v>
      </c>
      <c r="N490" s="76">
        <f ca="1">$K$490-EFEITO!$M$490*EFEITO!$Z$490</f>
        <v>0</v>
      </c>
      <c r="O490" s="76">
        <f>$L$490-EFEITO!$O$490*EFEITO!$AA$490</f>
        <v>0</v>
      </c>
      <c r="P490" s="18"/>
      <c r="Q490" s="18"/>
      <c r="R490" s="18"/>
      <c r="S490" s="18"/>
      <c r="T490" s="18"/>
      <c r="U490" s="18"/>
      <c r="V490" s="18"/>
      <c r="W490" s="18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62" t="s">
        <v>28</v>
      </c>
      <c r="B491" s="62" t="s">
        <v>41</v>
      </c>
      <c r="C491" s="62" t="s">
        <v>40</v>
      </c>
      <c r="D491" s="62" t="s">
        <v>46</v>
      </c>
      <c r="E491" s="62" t="s">
        <v>25</v>
      </c>
      <c r="F491" s="62" t="s">
        <v>25</v>
      </c>
      <c r="G491" s="62" t="s">
        <v>25</v>
      </c>
      <c r="H491" s="62" t="s">
        <v>34</v>
      </c>
      <c r="I491" s="75">
        <v>44501</v>
      </c>
      <c r="J491" s="76">
        <f ca="1">EFEITO!$J$491*EFEITO!$Y$491</f>
        <v>21868.268654218344</v>
      </c>
      <c r="K491" s="76">
        <f ca="1">EFEITO!$L$491*EFEITO!$Z$491</f>
        <v>1830.6455794446299</v>
      </c>
      <c r="L491" s="76">
        <f>EFEITO!$N$491*EFEITO!$AA$491</f>
        <v>6793.8651117178551</v>
      </c>
      <c r="M491" s="76">
        <f ca="1">$J$491-EFEITO!$K$491*EFEITO!$Y$491</f>
        <v>0</v>
      </c>
      <c r="N491" s="76">
        <f ca="1">$K$491-EFEITO!$M$491*EFEITO!$Z$491</f>
        <v>0</v>
      </c>
      <c r="O491" s="76">
        <f>$L$491-EFEITO!$O$491*EFEITO!$AA$491</f>
        <v>0</v>
      </c>
      <c r="P491" s="18"/>
      <c r="Q491" s="18"/>
      <c r="R491" s="18"/>
      <c r="S491" s="18"/>
      <c r="T491" s="18"/>
      <c r="U491" s="18"/>
      <c r="V491" s="18"/>
      <c r="W491" s="18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62" t="s">
        <v>21</v>
      </c>
      <c r="B492" s="62" t="s">
        <v>41</v>
      </c>
      <c r="C492" s="62" t="s">
        <v>40</v>
      </c>
      <c r="D492" s="62" t="s">
        <v>46</v>
      </c>
      <c r="E492" s="62" t="s">
        <v>25</v>
      </c>
      <c r="F492" s="62" t="s">
        <v>25</v>
      </c>
      <c r="G492" s="62" t="s">
        <v>25</v>
      </c>
      <c r="H492" s="62" t="s">
        <v>34</v>
      </c>
      <c r="I492" s="75">
        <v>44531</v>
      </c>
      <c r="J492" s="76">
        <f ca="1">EFEITO!$J$492*EFEITO!$Y$492</f>
        <v>14402.894182605874</v>
      </c>
      <c r="K492" s="76">
        <f ca="1">EFEITO!$L$492*EFEITO!$Z$492</f>
        <v>874.50434099145502</v>
      </c>
      <c r="L492" s="76">
        <f>EFEITO!$N$492*EFEITO!$AA$492</f>
        <v>3245.4477256652185</v>
      </c>
      <c r="M492" s="76">
        <f ca="1">$J$492-EFEITO!$K$492*EFEITO!$Y$492</f>
        <v>0</v>
      </c>
      <c r="N492" s="76">
        <f ca="1">$K$492-EFEITO!$M$492*EFEITO!$Z$492</f>
        <v>0</v>
      </c>
      <c r="O492" s="76">
        <f>$L$492-EFEITO!$O$492*EFEITO!$AA$492</f>
        <v>0</v>
      </c>
      <c r="P492" s="18"/>
      <c r="Q492" s="18"/>
      <c r="R492" s="18"/>
      <c r="S492" s="18"/>
      <c r="T492" s="18"/>
      <c r="U492" s="18"/>
      <c r="V492" s="18"/>
      <c r="W492" s="18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62" t="s">
        <v>28</v>
      </c>
      <c r="B493" s="62" t="s">
        <v>41</v>
      </c>
      <c r="C493" s="62" t="s">
        <v>40</v>
      </c>
      <c r="D493" s="62" t="s">
        <v>46</v>
      </c>
      <c r="E493" s="62" t="s">
        <v>25</v>
      </c>
      <c r="F493" s="62" t="s">
        <v>25</v>
      </c>
      <c r="G493" s="62" t="s">
        <v>25</v>
      </c>
      <c r="H493" s="62" t="s">
        <v>34</v>
      </c>
      <c r="I493" s="75">
        <v>44531</v>
      </c>
      <c r="J493" s="76">
        <f ca="1">EFEITO!$J$493*EFEITO!$Y$493</f>
        <v>21868.268654218344</v>
      </c>
      <c r="K493" s="76">
        <f ca="1">EFEITO!$L$493*EFEITO!$Z$493</f>
        <v>2078.0301172074178</v>
      </c>
      <c r="L493" s="76">
        <f>EFEITO!$N$493*EFEITO!$AA$493</f>
        <v>7711.9549916797268</v>
      </c>
      <c r="M493" s="76">
        <f ca="1">$J$493-EFEITO!$K$493*EFEITO!$Y$493</f>
        <v>0</v>
      </c>
      <c r="N493" s="76">
        <f ca="1">$K$493-EFEITO!$M$493*EFEITO!$Z$493</f>
        <v>0</v>
      </c>
      <c r="O493" s="76">
        <f>$L$493-EFEITO!$O$493*EFEITO!$AA$493</f>
        <v>0</v>
      </c>
      <c r="P493" s="18"/>
      <c r="Q493" s="18"/>
      <c r="R493" s="18"/>
      <c r="S493" s="18"/>
      <c r="T493" s="18"/>
      <c r="U493" s="18"/>
      <c r="V493" s="18"/>
      <c r="W493" s="18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62" t="s">
        <v>21</v>
      </c>
      <c r="B494" s="62" t="s">
        <v>41</v>
      </c>
      <c r="C494" s="62" t="s">
        <v>40</v>
      </c>
      <c r="D494" s="62" t="s">
        <v>46</v>
      </c>
      <c r="E494" s="62" t="s">
        <v>25</v>
      </c>
      <c r="F494" s="62" t="s">
        <v>25</v>
      </c>
      <c r="G494" s="62" t="s">
        <v>25</v>
      </c>
      <c r="H494" s="62" t="s">
        <v>34</v>
      </c>
      <c r="I494" s="75">
        <v>44562</v>
      </c>
      <c r="J494" s="76">
        <f ca="1">EFEITO!$J$494*EFEITO!$Y$494</f>
        <v>14176.670713769132</v>
      </c>
      <c r="K494" s="76">
        <f ca="1">EFEITO!$L$494*EFEITO!$Z$494</f>
        <v>749.71258527555972</v>
      </c>
      <c r="L494" s="76">
        <f>EFEITO!$N$494*EFEITO!$AA$494</f>
        <v>2782.3223862177852</v>
      </c>
      <c r="M494" s="76">
        <f ca="1">$J$494-EFEITO!$K$494*EFEITO!$Y$494</f>
        <v>0</v>
      </c>
      <c r="N494" s="76">
        <f ca="1">$K$494-EFEITO!$M$494*EFEITO!$Z$494</f>
        <v>0</v>
      </c>
      <c r="O494" s="76">
        <f>$L$494-EFEITO!$O$494*EFEITO!$AA$494</f>
        <v>0</v>
      </c>
      <c r="P494" s="18"/>
      <c r="Q494" s="18"/>
      <c r="R494" s="18"/>
      <c r="S494" s="18"/>
      <c r="T494" s="18"/>
      <c r="U494" s="18"/>
      <c r="V494" s="18"/>
      <c r="W494" s="18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62" t="s">
        <v>28</v>
      </c>
      <c r="B495" s="62" t="s">
        <v>41</v>
      </c>
      <c r="C495" s="62" t="s">
        <v>40</v>
      </c>
      <c r="D495" s="62" t="s">
        <v>46</v>
      </c>
      <c r="E495" s="62" t="s">
        <v>25</v>
      </c>
      <c r="F495" s="62" t="s">
        <v>25</v>
      </c>
      <c r="G495" s="62" t="s">
        <v>25</v>
      </c>
      <c r="H495" s="62" t="s">
        <v>34</v>
      </c>
      <c r="I495" s="75">
        <v>44562</v>
      </c>
      <c r="J495" s="76">
        <f ca="1">EFEITO!$J$495*EFEITO!$Y$495</f>
        <v>21868.268654218344</v>
      </c>
      <c r="K495" s="76">
        <f ca="1">EFEITO!$L$495*EFEITO!$Z$495</f>
        <v>1942.106057292197</v>
      </c>
      <c r="L495" s="76">
        <f>EFEITO!$N$495*EFEITO!$AA$495</f>
        <v>7207.5156076340099</v>
      </c>
      <c r="M495" s="76">
        <f ca="1">$J$495-EFEITO!$K$495*EFEITO!$Y$495</f>
        <v>0</v>
      </c>
      <c r="N495" s="76">
        <f ca="1">$K$495-EFEITO!$M$495*EFEITO!$Z$495</f>
        <v>0</v>
      </c>
      <c r="O495" s="76">
        <f>$L$495-EFEITO!$O$495*EFEITO!$AA$495</f>
        <v>0</v>
      </c>
      <c r="P495" s="18"/>
      <c r="Q495" s="18"/>
      <c r="R495" s="18"/>
      <c r="S495" s="18"/>
      <c r="T495" s="18"/>
      <c r="U495" s="18"/>
      <c r="V495" s="18"/>
      <c r="W495" s="18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62" t="s">
        <v>21</v>
      </c>
      <c r="B496" s="62" t="s">
        <v>41</v>
      </c>
      <c r="C496" s="62" t="s">
        <v>40</v>
      </c>
      <c r="D496" s="62" t="s">
        <v>46</v>
      </c>
      <c r="E496" s="62" t="s">
        <v>25</v>
      </c>
      <c r="F496" s="62" t="s">
        <v>25</v>
      </c>
      <c r="G496" s="62" t="s">
        <v>25</v>
      </c>
      <c r="H496" s="62" t="s">
        <v>34</v>
      </c>
      <c r="I496" s="75">
        <v>44593</v>
      </c>
      <c r="J496" s="76">
        <f ca="1">EFEITO!$J$496*EFEITO!$Y$496</f>
        <v>13950.447244932391</v>
      </c>
      <c r="K496" s="76">
        <f ca="1">EFEITO!$L$496*EFEITO!$Z$496</f>
        <v>699.8233701600642</v>
      </c>
      <c r="L496" s="76">
        <f>EFEITO!$N$496*EFEITO!$AA$496</f>
        <v>2597.1742604254741</v>
      </c>
      <c r="M496" s="76">
        <f ca="1">$J$496-EFEITO!$K$496*EFEITO!$Y$496</f>
        <v>0</v>
      </c>
      <c r="N496" s="76">
        <f ca="1">$K$496-EFEITO!$M$496*EFEITO!$Z$496</f>
        <v>0</v>
      </c>
      <c r="O496" s="76">
        <f>$L$496-EFEITO!$O$496*EFEITO!$AA$496</f>
        <v>0</v>
      </c>
      <c r="P496" s="18"/>
      <c r="Q496" s="18"/>
      <c r="R496" s="18"/>
      <c r="S496" s="18"/>
      <c r="T496" s="18"/>
      <c r="U496" s="18"/>
      <c r="V496" s="18"/>
      <c r="W496" s="18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62" t="s">
        <v>28</v>
      </c>
      <c r="B497" s="62" t="s">
        <v>41</v>
      </c>
      <c r="C497" s="62" t="s">
        <v>40</v>
      </c>
      <c r="D497" s="62" t="s">
        <v>46</v>
      </c>
      <c r="E497" s="62" t="s">
        <v>25</v>
      </c>
      <c r="F497" s="62" t="s">
        <v>25</v>
      </c>
      <c r="G497" s="62" t="s">
        <v>25</v>
      </c>
      <c r="H497" s="62" t="s">
        <v>34</v>
      </c>
      <c r="I497" s="75">
        <v>44593</v>
      </c>
      <c r="J497" s="76">
        <f ca="1">EFEITO!$J$497*EFEITO!$Y$497</f>
        <v>21868.268654218344</v>
      </c>
      <c r="K497" s="76">
        <f ca="1">EFEITO!$L$497*EFEITO!$Z$497</f>
        <v>1840.2660892465162</v>
      </c>
      <c r="L497" s="76">
        <f>EFEITO!$N$497*EFEITO!$AA$497</f>
        <v>6829.5686070497059</v>
      </c>
      <c r="M497" s="76">
        <f ca="1">$J$497-EFEITO!$K$497*EFEITO!$Y$497</f>
        <v>0</v>
      </c>
      <c r="N497" s="76">
        <f ca="1">$K$497-EFEITO!$M$497*EFEITO!$Z$497</f>
        <v>0</v>
      </c>
      <c r="O497" s="76">
        <f>$L$497-EFEITO!$O$497*EFEITO!$AA$497</f>
        <v>0</v>
      </c>
      <c r="P497" s="18"/>
      <c r="Q497" s="18"/>
      <c r="R497" s="18"/>
      <c r="S497" s="18"/>
      <c r="T497" s="18"/>
      <c r="U497" s="18"/>
      <c r="V497" s="18"/>
      <c r="W497" s="18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62" t="s">
        <v>21</v>
      </c>
      <c r="B498" s="62" t="s">
        <v>41</v>
      </c>
      <c r="C498" s="62" t="s">
        <v>40</v>
      </c>
      <c r="D498" s="62" t="s">
        <v>46</v>
      </c>
      <c r="E498" s="62" t="s">
        <v>25</v>
      </c>
      <c r="F498" s="62" t="s">
        <v>25</v>
      </c>
      <c r="G498" s="62" t="s">
        <v>25</v>
      </c>
      <c r="H498" s="62" t="s">
        <v>34</v>
      </c>
      <c r="I498" s="75">
        <v>44621</v>
      </c>
      <c r="J498" s="76">
        <f ca="1">EFEITO!$J$498*EFEITO!$Y$498</f>
        <v>14553.709828497034</v>
      </c>
      <c r="K498" s="76">
        <f ca="1">EFEITO!$L$498*EFEITO!$Z$498</f>
        <v>795.47872476167549</v>
      </c>
      <c r="L498" s="76">
        <f>EFEITO!$N$498*EFEITO!$AA$498</f>
        <v>2952.1690140107316</v>
      </c>
      <c r="M498" s="76">
        <f ca="1">$J$498-EFEITO!$K$498*EFEITO!$Y$498</f>
        <v>0</v>
      </c>
      <c r="N498" s="76">
        <f ca="1">$K$498-EFEITO!$M$498*EFEITO!$Z$498</f>
        <v>0</v>
      </c>
      <c r="O498" s="76">
        <f>$L$498-EFEITO!$O$498*EFEITO!$AA$498</f>
        <v>0</v>
      </c>
      <c r="P498" s="18"/>
      <c r="Q498" s="18"/>
      <c r="R498" s="18"/>
      <c r="S498" s="18"/>
      <c r="T498" s="18"/>
      <c r="U498" s="18"/>
      <c r="V498" s="18"/>
      <c r="W498" s="18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62" t="s">
        <v>28</v>
      </c>
      <c r="B499" s="62" t="s">
        <v>41</v>
      </c>
      <c r="C499" s="62" t="s">
        <v>40</v>
      </c>
      <c r="D499" s="62" t="s">
        <v>46</v>
      </c>
      <c r="E499" s="62" t="s">
        <v>25</v>
      </c>
      <c r="F499" s="62" t="s">
        <v>25</v>
      </c>
      <c r="G499" s="62" t="s">
        <v>25</v>
      </c>
      <c r="H499" s="62" t="s">
        <v>34</v>
      </c>
      <c r="I499" s="75">
        <v>44621</v>
      </c>
      <c r="J499" s="76">
        <f ca="1">EFEITO!$J$499*EFEITO!$Y$499</f>
        <v>21868.268654218344</v>
      </c>
      <c r="K499" s="76">
        <f ca="1">EFEITO!$L$499*EFEITO!$Z$499</f>
        <v>2155.8188107483834</v>
      </c>
      <c r="L499" s="76">
        <f>EFEITO!$N$499*EFEITO!$AA$499</f>
        <v>8000.643253934405</v>
      </c>
      <c r="M499" s="76">
        <f ca="1">$J$499-EFEITO!$K$499*EFEITO!$Y$499</f>
        <v>0</v>
      </c>
      <c r="N499" s="76">
        <f ca="1">$K$499-EFEITO!$M$499*EFEITO!$Z$499</f>
        <v>0</v>
      </c>
      <c r="O499" s="76">
        <f>$L$499-EFEITO!$O$499*EFEITO!$AA$499</f>
        <v>0</v>
      </c>
      <c r="P499" s="18"/>
      <c r="Q499" s="18"/>
      <c r="R499" s="18"/>
      <c r="S499" s="18"/>
      <c r="T499" s="18"/>
      <c r="U499" s="18"/>
      <c r="V499" s="18"/>
      <c r="W499" s="18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62" t="s">
        <v>21</v>
      </c>
      <c r="B500" s="62" t="s">
        <v>41</v>
      </c>
      <c r="C500" s="62" t="s">
        <v>40</v>
      </c>
      <c r="D500" s="62" t="s">
        <v>46</v>
      </c>
      <c r="E500" s="62" t="s">
        <v>25</v>
      </c>
      <c r="F500" s="62" t="s">
        <v>25</v>
      </c>
      <c r="G500" s="62" t="s">
        <v>25</v>
      </c>
      <c r="H500" s="62" t="s">
        <v>34</v>
      </c>
      <c r="I500" s="75">
        <v>44652</v>
      </c>
      <c r="J500" s="76">
        <f ca="1">EFEITO!$J$500*EFEITO!$Y$500</f>
        <v>14779.933297333777</v>
      </c>
      <c r="K500" s="76">
        <f ca="1">EFEITO!$L$500*EFEITO!$Z$500</f>
        <v>846.192555003047</v>
      </c>
      <c r="L500" s="76">
        <f>EFEITO!$N$500*EFEITO!$AA$500</f>
        <v>3140.3774394029156</v>
      </c>
      <c r="M500" s="76">
        <f ca="1">$J$500-EFEITO!$K$500*EFEITO!$Y$500</f>
        <v>0</v>
      </c>
      <c r="N500" s="76">
        <f ca="1">$K$500-EFEITO!$M$500*EFEITO!$Z$500</f>
        <v>0</v>
      </c>
      <c r="O500" s="76">
        <f>$L$500-EFEITO!$O$500*EFEITO!$AA$500</f>
        <v>0</v>
      </c>
      <c r="P500" s="18"/>
      <c r="Q500" s="18"/>
      <c r="R500" s="18"/>
      <c r="S500" s="18"/>
      <c r="T500" s="18"/>
      <c r="U500" s="18"/>
      <c r="V500" s="18"/>
      <c r="W500" s="18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62" t="s">
        <v>28</v>
      </c>
      <c r="B501" s="62" t="s">
        <v>41</v>
      </c>
      <c r="C501" s="62" t="s">
        <v>40</v>
      </c>
      <c r="D501" s="62" t="s">
        <v>46</v>
      </c>
      <c r="E501" s="62" t="s">
        <v>25</v>
      </c>
      <c r="F501" s="62" t="s">
        <v>25</v>
      </c>
      <c r="G501" s="62" t="s">
        <v>25</v>
      </c>
      <c r="H501" s="62" t="s">
        <v>34</v>
      </c>
      <c r="I501" s="75">
        <v>44652</v>
      </c>
      <c r="J501" s="76">
        <f ca="1">EFEITO!$J$501*EFEITO!$Y$501</f>
        <v>21868.268654218344</v>
      </c>
      <c r="K501" s="76">
        <f ca="1">EFEITO!$L$501*EFEITO!$Z$501</f>
        <v>1734.4404814257678</v>
      </c>
      <c r="L501" s="76">
        <f>EFEITO!$N$501*EFEITO!$AA$501</f>
        <v>6436.8301583993489</v>
      </c>
      <c r="M501" s="76">
        <f ca="1">$J$501-EFEITO!$K$501*EFEITO!$Y$501</f>
        <v>0</v>
      </c>
      <c r="N501" s="76">
        <f ca="1">$K$501-EFEITO!$M$501*EFEITO!$Z$501</f>
        <v>0</v>
      </c>
      <c r="O501" s="76">
        <f>$L$501-EFEITO!$O$501*EFEITO!$AA$501</f>
        <v>0</v>
      </c>
      <c r="P501" s="18"/>
      <c r="Q501" s="18"/>
      <c r="R501" s="18"/>
      <c r="S501" s="18"/>
      <c r="T501" s="18"/>
      <c r="U501" s="18"/>
      <c r="V501" s="18"/>
      <c r="W501" s="18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62" t="s">
        <v>58</v>
      </c>
      <c r="B502" s="62" t="s">
        <v>41</v>
      </c>
      <c r="C502" s="62" t="s">
        <v>40</v>
      </c>
      <c r="D502" s="62" t="s">
        <v>46</v>
      </c>
      <c r="E502" s="62" t="s">
        <v>25</v>
      </c>
      <c r="F502" s="62" t="s">
        <v>25</v>
      </c>
      <c r="G502" s="62" t="s">
        <v>25</v>
      </c>
      <c r="H502" s="62" t="s">
        <v>34</v>
      </c>
      <c r="I502" s="75">
        <v>44682</v>
      </c>
      <c r="J502" s="76">
        <f ca="1">EFEITO!$J$502*EFEITO!$Y$502</f>
        <v>14779.933297333777</v>
      </c>
      <c r="K502" s="76">
        <f ca="1">EFEITO!$L$502*EFEITO!$Z$502</f>
        <v>846.192555003047</v>
      </c>
      <c r="L502" s="76">
        <f>EFEITO!$N$502*EFEITO!$AA$502</f>
        <v>3140.3774394029156</v>
      </c>
      <c r="M502" s="76">
        <f ca="1">$J$502-EFEITO!$K$502*EFEITO!$Y$502</f>
        <v>0</v>
      </c>
      <c r="N502" s="76">
        <f ca="1">$K$502-EFEITO!$M$502*EFEITO!$Z$502</f>
        <v>0</v>
      </c>
      <c r="O502" s="76">
        <f>$L$502-EFEITO!$O$502*EFEITO!$AA$502</f>
        <v>0</v>
      </c>
      <c r="P502" s="18"/>
      <c r="Q502" s="18"/>
      <c r="R502" s="18"/>
      <c r="S502" s="18"/>
      <c r="T502" s="18"/>
      <c r="U502" s="18"/>
      <c r="V502" s="18"/>
      <c r="W502" s="18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62" t="s">
        <v>58</v>
      </c>
      <c r="B503" s="62" t="s">
        <v>41</v>
      </c>
      <c r="C503" s="62" t="s">
        <v>40</v>
      </c>
      <c r="D503" s="62" t="s">
        <v>46</v>
      </c>
      <c r="E503" s="62" t="s">
        <v>25</v>
      </c>
      <c r="F503" s="62" t="s">
        <v>25</v>
      </c>
      <c r="G503" s="62" t="s">
        <v>25</v>
      </c>
      <c r="H503" s="62" t="s">
        <v>34</v>
      </c>
      <c r="I503" s="75">
        <v>44682</v>
      </c>
      <c r="J503" s="76">
        <f ca="1">EFEITO!$J$503*EFEITO!$Y$503</f>
        <v>21868.268654218344</v>
      </c>
      <c r="K503" s="76">
        <f ca="1">EFEITO!$L$503*EFEITO!$Z$503</f>
        <v>1734.4404814257678</v>
      </c>
      <c r="L503" s="76">
        <f>EFEITO!$N$503*EFEITO!$AA$503</f>
        <v>6436.8301583993489</v>
      </c>
      <c r="M503" s="76">
        <f ca="1">$J$503-EFEITO!$K$503*EFEITO!$Y$503</f>
        <v>0</v>
      </c>
      <c r="N503" s="76">
        <f ca="1">$K$503-EFEITO!$M$503*EFEITO!$Z$503</f>
        <v>0</v>
      </c>
      <c r="O503" s="76">
        <f>$L$503-EFEITO!$O$503*EFEITO!$AA$503</f>
        <v>0</v>
      </c>
      <c r="P503" s="18"/>
      <c r="Q503" s="18"/>
      <c r="R503" s="18"/>
      <c r="S503" s="18"/>
      <c r="T503" s="18"/>
      <c r="U503" s="18"/>
      <c r="V503" s="18"/>
      <c r="W503" s="18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62" t="s">
        <v>21</v>
      </c>
      <c r="B504" s="62" t="s">
        <v>41</v>
      </c>
      <c r="C504" s="62" t="s">
        <v>40</v>
      </c>
      <c r="D504" s="62" t="s">
        <v>45</v>
      </c>
      <c r="E504" s="62" t="s">
        <v>25</v>
      </c>
      <c r="F504" s="62" t="s">
        <v>25</v>
      </c>
      <c r="G504" s="62" t="s">
        <v>25</v>
      </c>
      <c r="H504" s="62" t="s">
        <v>35</v>
      </c>
      <c r="I504" s="75">
        <v>44348</v>
      </c>
      <c r="J504" s="76">
        <f ca="1">EFEITO!$J$504*EFEITO!$Y$478</f>
        <v>3129.3430137771225</v>
      </c>
      <c r="K504" s="76">
        <f ca="1">EFEITO!$L$504*EFEITO!$Z$478</f>
        <v>3900.4295453932878</v>
      </c>
      <c r="L504" s="76">
        <f>EFEITO!$N$504*EFEITO!$AA$478</f>
        <v>8889.4410766783822</v>
      </c>
      <c r="M504" s="76">
        <f ca="1">$J$504-EFEITO!$K$504*EFEITO!$Y$504</f>
        <v>62.586860275542676</v>
      </c>
      <c r="N504" s="76">
        <f ca="1">$K$504-EFEITO!$M$504*EFEITO!$Z$504</f>
        <v>78.008590907866164</v>
      </c>
      <c r="O504" s="76">
        <f>$L$504-EFEITO!$O$504*EFEITO!$AA$504</f>
        <v>177.78882153356608</v>
      </c>
      <c r="P504" s="18"/>
      <c r="Q504" s="18"/>
      <c r="R504" s="18"/>
      <c r="S504" s="18"/>
      <c r="T504" s="18"/>
      <c r="U504" s="18"/>
      <c r="V504" s="18"/>
      <c r="W504" s="18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62" t="s">
        <v>21</v>
      </c>
      <c r="B505" s="62" t="s">
        <v>41</v>
      </c>
      <c r="C505" s="62" t="s">
        <v>40</v>
      </c>
      <c r="D505" s="62" t="s">
        <v>45</v>
      </c>
      <c r="E505" s="62" t="s">
        <v>25</v>
      </c>
      <c r="F505" s="62" t="s">
        <v>25</v>
      </c>
      <c r="G505" s="62" t="s">
        <v>25</v>
      </c>
      <c r="H505" s="62" t="s">
        <v>35</v>
      </c>
      <c r="I505" s="75">
        <v>44378</v>
      </c>
      <c r="J505" s="76">
        <f ca="1">EFEITO!$J$505*EFEITO!$Y$478</f>
        <v>3427.375681755896</v>
      </c>
      <c r="K505" s="76">
        <f ca="1">EFEITO!$L$505*EFEITO!$Z$478</f>
        <v>4943.567679626376</v>
      </c>
      <c r="L505" s="76">
        <f>EFEITO!$N$505*EFEITO!$AA$478</f>
        <v>11266.849736720276</v>
      </c>
      <c r="M505" s="76">
        <f ca="1">$J$505-EFEITO!$K$505*EFEITO!$Y$505</f>
        <v>68.547513635117866</v>
      </c>
      <c r="N505" s="76">
        <f ca="1">$K$505-EFEITO!$M$505*EFEITO!$Z$505</f>
        <v>98.871353592527157</v>
      </c>
      <c r="O505" s="76">
        <f>$L$505-EFEITO!$O$505*EFEITO!$AA$505</f>
        <v>225.33699473440538</v>
      </c>
      <c r="P505" s="18"/>
      <c r="Q505" s="18"/>
      <c r="R505" s="18"/>
      <c r="S505" s="18"/>
      <c r="T505" s="18"/>
      <c r="U505" s="18"/>
      <c r="V505" s="18"/>
      <c r="W505" s="18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62" t="s">
        <v>21</v>
      </c>
      <c r="B506" s="62" t="s">
        <v>41</v>
      </c>
      <c r="C506" s="62" t="s">
        <v>40</v>
      </c>
      <c r="D506" s="62" t="s">
        <v>45</v>
      </c>
      <c r="E506" s="62" t="s">
        <v>25</v>
      </c>
      <c r="F506" s="62" t="s">
        <v>25</v>
      </c>
      <c r="G506" s="62" t="s">
        <v>25</v>
      </c>
      <c r="H506" s="62" t="s">
        <v>35</v>
      </c>
      <c r="I506" s="75">
        <v>44409</v>
      </c>
      <c r="J506" s="76">
        <f ca="1">EFEITO!$J$506*EFEITO!$Y$478</f>
        <v>3546.5887489474053</v>
      </c>
      <c r="K506" s="76">
        <f ca="1">EFEITO!$L$506*EFEITO!$Z$478</f>
        <v>4762.1523519336652</v>
      </c>
      <c r="L506" s="76">
        <f>EFEITO!$N$506*EFEITO!$AA$478</f>
        <v>10853.387361060817</v>
      </c>
      <c r="M506" s="76">
        <f ca="1">$J$506-EFEITO!$K$506*EFEITO!$Y$506</f>
        <v>70.931774978947942</v>
      </c>
      <c r="N506" s="76">
        <f ca="1">$K$506-EFEITO!$M$506*EFEITO!$Z$506</f>
        <v>95.243047038673467</v>
      </c>
      <c r="O506" s="76">
        <f>$L$506-EFEITO!$O$506*EFEITO!$AA$506</f>
        <v>217.06774722121554</v>
      </c>
      <c r="P506" s="18"/>
      <c r="Q506" s="18"/>
      <c r="R506" s="18"/>
      <c r="S506" s="18"/>
      <c r="T506" s="18"/>
      <c r="U506" s="18"/>
      <c r="V506" s="18"/>
      <c r="W506" s="18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62" t="s">
        <v>21</v>
      </c>
      <c r="B507" s="62" t="s">
        <v>41</v>
      </c>
      <c r="C507" s="62" t="s">
        <v>40</v>
      </c>
      <c r="D507" s="62" t="s">
        <v>45</v>
      </c>
      <c r="E507" s="62" t="s">
        <v>25</v>
      </c>
      <c r="F507" s="62" t="s">
        <v>25</v>
      </c>
      <c r="G507" s="62" t="s">
        <v>25</v>
      </c>
      <c r="H507" s="62" t="s">
        <v>35</v>
      </c>
      <c r="I507" s="75">
        <v>44440</v>
      </c>
      <c r="J507" s="76">
        <f ca="1">EFEITO!$J$507*EFEITO!$Y$478</f>
        <v>3695.6050829367923</v>
      </c>
      <c r="K507" s="76">
        <f ca="1">EFEITO!$L$507*EFEITO!$Z$478</f>
        <v>4369.0858085994578</v>
      </c>
      <c r="L507" s="76">
        <f>EFEITO!$N$507*EFEITO!$AA$478</f>
        <v>9957.5522137986536</v>
      </c>
      <c r="M507" s="76">
        <f ca="1">$J$507-EFEITO!$K$507*EFEITO!$Y$507</f>
        <v>73.912101658735992</v>
      </c>
      <c r="N507" s="76">
        <f ca="1">$K$507-EFEITO!$M$507*EFEITO!$Z$507</f>
        <v>87.381716171988955</v>
      </c>
      <c r="O507" s="76">
        <f>$L$507-EFEITO!$O$507*EFEITO!$AA$507</f>
        <v>199.1510442759718</v>
      </c>
      <c r="P507" s="18"/>
      <c r="Q507" s="18"/>
      <c r="R507" s="18"/>
      <c r="S507" s="18"/>
      <c r="T507" s="18"/>
      <c r="U507" s="18"/>
      <c r="V507" s="18"/>
      <c r="W507" s="18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62" t="s">
        <v>21</v>
      </c>
      <c r="B508" s="62" t="s">
        <v>41</v>
      </c>
      <c r="C508" s="62" t="s">
        <v>40</v>
      </c>
      <c r="D508" s="62" t="s">
        <v>45</v>
      </c>
      <c r="E508" s="62" t="s">
        <v>25</v>
      </c>
      <c r="F508" s="62" t="s">
        <v>25</v>
      </c>
      <c r="G508" s="62" t="s">
        <v>25</v>
      </c>
      <c r="H508" s="62" t="s">
        <v>35</v>
      </c>
      <c r="I508" s="75">
        <v>44470</v>
      </c>
      <c r="J508" s="76">
        <f ca="1">EFEITO!$J$508*EFEITO!$Y$478</f>
        <v>3963.8344841176881</v>
      </c>
      <c r="K508" s="76">
        <f ca="1">EFEITO!$L$508*EFEITO!$Z$478</f>
        <v>4308.6140327018884</v>
      </c>
      <c r="L508" s="76">
        <f>EFEITO!$N$508*EFEITO!$AA$478</f>
        <v>9819.7314219121672</v>
      </c>
      <c r="M508" s="76">
        <f ca="1">$J$508-EFEITO!$K$508*EFEITO!$Y$508</f>
        <v>79.276689682353663</v>
      </c>
      <c r="N508" s="76">
        <f ca="1">$K$508-EFEITO!$M$508*EFEITO!$Z$508</f>
        <v>86.172280654038332</v>
      </c>
      <c r="O508" s="76">
        <f>$L$508-EFEITO!$O$508*EFEITO!$AA$508</f>
        <v>196.39462843824185</v>
      </c>
      <c r="P508" s="18"/>
      <c r="Q508" s="18"/>
      <c r="R508" s="18"/>
      <c r="S508" s="18"/>
      <c r="T508" s="18"/>
      <c r="U508" s="18"/>
      <c r="V508" s="18"/>
      <c r="W508" s="18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62" t="s">
        <v>21</v>
      </c>
      <c r="B509" s="62" t="s">
        <v>41</v>
      </c>
      <c r="C509" s="62" t="s">
        <v>40</v>
      </c>
      <c r="D509" s="62" t="s">
        <v>45</v>
      </c>
      <c r="E509" s="62" t="s">
        <v>25</v>
      </c>
      <c r="F509" s="62" t="s">
        <v>25</v>
      </c>
      <c r="G509" s="62" t="s">
        <v>25</v>
      </c>
      <c r="H509" s="62" t="s">
        <v>35</v>
      </c>
      <c r="I509" s="75">
        <v>44501</v>
      </c>
      <c r="J509" s="76">
        <f ca="1">EFEITO!$J$509*EFEITO!$Y$478</f>
        <v>387.44246837240564</v>
      </c>
      <c r="K509" s="76">
        <f ca="1">EFEITO!$L$509*EFEITO!$Z$478</f>
        <v>4263.26020077871</v>
      </c>
      <c r="L509" s="76">
        <f>EFEITO!$N$509*EFEITO!$AA$478</f>
        <v>9716.3658279973024</v>
      </c>
      <c r="M509" s="76">
        <f ca="1">$J$509-EFEITO!$K$509*EFEITO!$Y$509</f>
        <v>7.7488493674481447</v>
      </c>
      <c r="N509" s="76">
        <f ca="1">$K$509-EFEITO!$M$509*EFEITO!$Z$509</f>
        <v>85.265204015574454</v>
      </c>
      <c r="O509" s="76">
        <f>$L$509-EFEITO!$O$509*EFEITO!$AA$509</f>
        <v>194.32731655994576</v>
      </c>
      <c r="P509" s="18"/>
      <c r="Q509" s="18"/>
      <c r="R509" s="18"/>
      <c r="S509" s="18"/>
      <c r="T509" s="18"/>
      <c r="U509" s="18"/>
      <c r="V509" s="18"/>
      <c r="W509" s="18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62" t="s">
        <v>21</v>
      </c>
      <c r="B510" s="62" t="s">
        <v>41</v>
      </c>
      <c r="C510" s="62" t="s">
        <v>40</v>
      </c>
      <c r="D510" s="62" t="s">
        <v>45</v>
      </c>
      <c r="E510" s="62" t="s">
        <v>25</v>
      </c>
      <c r="F510" s="62" t="s">
        <v>25</v>
      </c>
      <c r="G510" s="62" t="s">
        <v>25</v>
      </c>
      <c r="H510" s="62" t="s">
        <v>35</v>
      </c>
      <c r="I510" s="75">
        <v>44531</v>
      </c>
      <c r="J510" s="76">
        <f ca="1">EFEITO!$J$510*EFEITO!$Y$478</f>
        <v>387.44246837240564</v>
      </c>
      <c r="K510" s="76">
        <f ca="1">EFEITO!$L$510*EFEITO!$Z$478</f>
        <v>4217.9063688555325</v>
      </c>
      <c r="L510" s="76">
        <f>EFEITO!$N$510*EFEITO!$AA$478</f>
        <v>9613.0002340824376</v>
      </c>
      <c r="M510" s="76">
        <f ca="1">$J$510-EFEITO!$K$510*EFEITO!$Y$510</f>
        <v>7.7488493674481447</v>
      </c>
      <c r="N510" s="76">
        <f ca="1">$K$510-EFEITO!$M$510*EFEITO!$Z$510</f>
        <v>84.358127377110577</v>
      </c>
      <c r="O510" s="76">
        <f>$L$510-EFEITO!$O$510*EFEITO!$AA$510</f>
        <v>192.26000468164784</v>
      </c>
      <c r="P510" s="18"/>
      <c r="Q510" s="18"/>
      <c r="R510" s="18"/>
      <c r="S510" s="18"/>
      <c r="T510" s="18"/>
      <c r="U510" s="18"/>
      <c r="V510" s="18"/>
      <c r="W510" s="18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62" t="s">
        <v>21</v>
      </c>
      <c r="B511" s="62" t="s">
        <v>41</v>
      </c>
      <c r="C511" s="62" t="s">
        <v>40</v>
      </c>
      <c r="D511" s="62" t="s">
        <v>45</v>
      </c>
      <c r="E511" s="62" t="s">
        <v>25</v>
      </c>
      <c r="F511" s="62" t="s">
        <v>25</v>
      </c>
      <c r="G511" s="62" t="s">
        <v>25</v>
      </c>
      <c r="H511" s="62" t="s">
        <v>35</v>
      </c>
      <c r="I511" s="75">
        <v>44562</v>
      </c>
      <c r="J511" s="76">
        <f ca="1">EFEITO!$J$511*EFEITO!$Y$478</f>
        <v>387.44246837240564</v>
      </c>
      <c r="K511" s="76">
        <f ca="1">EFEITO!$L$511*EFEITO!$Z$478</f>
        <v>4215.4325234779044</v>
      </c>
      <c r="L511" s="76">
        <f>EFEITO!$N$511*EFEITO!$AA$478</f>
        <v>9607.3621107779909</v>
      </c>
      <c r="M511" s="76">
        <f ca="1">$J$511-EFEITO!$K$511*EFEITO!$Y$511</f>
        <v>7.7488493674481447</v>
      </c>
      <c r="N511" s="76">
        <f ca="1">$K$511-EFEITO!$M$511*EFEITO!$Z$511</f>
        <v>84.308650469558415</v>
      </c>
      <c r="O511" s="76">
        <f>$L$511-EFEITO!$O$511*EFEITO!$AA$511</f>
        <v>192.14724221555844</v>
      </c>
      <c r="P511" s="18"/>
      <c r="Q511" s="18"/>
      <c r="R511" s="18"/>
      <c r="S511" s="18"/>
      <c r="T511" s="18"/>
      <c r="U511" s="18"/>
      <c r="V511" s="18"/>
      <c r="W511" s="18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62" t="s">
        <v>21</v>
      </c>
      <c r="B512" s="62" t="s">
        <v>41</v>
      </c>
      <c r="C512" s="62" t="s">
        <v>40</v>
      </c>
      <c r="D512" s="62" t="s">
        <v>45</v>
      </c>
      <c r="E512" s="62" t="s">
        <v>25</v>
      </c>
      <c r="F512" s="62" t="s">
        <v>25</v>
      </c>
      <c r="G512" s="62" t="s">
        <v>25</v>
      </c>
      <c r="H512" s="62" t="s">
        <v>35</v>
      </c>
      <c r="I512" s="75">
        <v>44593</v>
      </c>
      <c r="J512" s="76">
        <f ca="1">EFEITO!$J$512*EFEITO!$Y$478</f>
        <v>387.44246837240564</v>
      </c>
      <c r="K512" s="76">
        <f ca="1">EFEITO!$L$512*EFEITO!$Z$478</f>
        <v>4343.6601755516158</v>
      </c>
      <c r="L512" s="76">
        <f>EFEITO!$N$512*EFEITO!$AA$478</f>
        <v>9899.6048353918359</v>
      </c>
      <c r="M512" s="76">
        <f ca="1">$J$512-EFEITO!$K$512*EFEITO!$Y$512</f>
        <v>7.7488493674481447</v>
      </c>
      <c r="N512" s="76">
        <f ca="1">$K$512-EFEITO!$M$512*EFEITO!$Z$512</f>
        <v>86.873203511032443</v>
      </c>
      <c r="O512" s="76">
        <f>$L$512-EFEITO!$O$512*EFEITO!$AA$512</f>
        <v>197.99209670783603</v>
      </c>
      <c r="P512" s="18"/>
      <c r="Q512" s="18"/>
      <c r="R512" s="18"/>
      <c r="S512" s="18"/>
      <c r="T512" s="18"/>
      <c r="U512" s="18"/>
      <c r="V512" s="18"/>
      <c r="W512" s="18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62" t="s">
        <v>21</v>
      </c>
      <c r="B513" s="62" t="s">
        <v>41</v>
      </c>
      <c r="C513" s="62" t="s">
        <v>40</v>
      </c>
      <c r="D513" s="62" t="s">
        <v>45</v>
      </c>
      <c r="E513" s="62" t="s">
        <v>25</v>
      </c>
      <c r="F513" s="62" t="s">
        <v>25</v>
      </c>
      <c r="G513" s="62" t="s">
        <v>25</v>
      </c>
      <c r="H513" s="62" t="s">
        <v>35</v>
      </c>
      <c r="I513" s="75">
        <v>44621</v>
      </c>
      <c r="J513" s="76">
        <f ca="1">EFEITO!$J$513*EFEITO!$Y$478</f>
        <v>3457.1789485537734</v>
      </c>
      <c r="K513" s="76">
        <f ca="1">EFEITO!$L$513*EFEITO!$Z$478</f>
        <v>5024.7922695251582</v>
      </c>
      <c r="L513" s="76">
        <f>EFEITO!$N$513*EFEITO!$AA$478</f>
        <v>11451.968118549625</v>
      </c>
      <c r="M513" s="76">
        <f ca="1">$J$513-EFEITO!$K$513*EFEITO!$Y$513</f>
        <v>69.143578971075385</v>
      </c>
      <c r="N513" s="76">
        <f ca="1">$K$513-EFEITO!$M$513*EFEITO!$Z$513</f>
        <v>100.49584539050284</v>
      </c>
      <c r="O513" s="76">
        <f>$L$513-EFEITO!$O$513*EFEITO!$AA$513</f>
        <v>229.03936237099151</v>
      </c>
      <c r="P513" s="18"/>
      <c r="Q513" s="18"/>
      <c r="R513" s="18"/>
      <c r="S513" s="18"/>
      <c r="T513" s="18"/>
      <c r="U513" s="18"/>
      <c r="V513" s="18"/>
      <c r="W513" s="18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62" t="s">
        <v>21</v>
      </c>
      <c r="B514" s="62" t="s">
        <v>41</v>
      </c>
      <c r="C514" s="62" t="s">
        <v>40</v>
      </c>
      <c r="D514" s="62" t="s">
        <v>45</v>
      </c>
      <c r="E514" s="62" t="s">
        <v>25</v>
      </c>
      <c r="F514" s="62" t="s">
        <v>25</v>
      </c>
      <c r="G514" s="62" t="s">
        <v>25</v>
      </c>
      <c r="H514" s="62" t="s">
        <v>35</v>
      </c>
      <c r="I514" s="75">
        <v>44652</v>
      </c>
      <c r="J514" s="76">
        <f ca="1">EFEITO!$J$514*EFEITO!$Y$478</f>
        <v>3725.4083497346696</v>
      </c>
      <c r="K514" s="76">
        <f ca="1">EFEITO!$L$514*EFEITO!$Z$478</f>
        <v>4364.9627329700788</v>
      </c>
      <c r="L514" s="76">
        <f>EFEITO!$N$514*EFEITO!$AA$478</f>
        <v>9948.1553416245752</v>
      </c>
      <c r="M514" s="76">
        <f ca="1">$J$514-EFEITO!$K$514*EFEITO!$Y$514</f>
        <v>74.508166994693511</v>
      </c>
      <c r="N514" s="76">
        <f ca="1">$K$514-EFEITO!$M$514*EFEITO!$Z$514</f>
        <v>87.299254659402322</v>
      </c>
      <c r="O514" s="76">
        <f>$L$514-EFEITO!$O$514*EFEITO!$AA$514</f>
        <v>198.96310683249067</v>
      </c>
      <c r="P514" s="18"/>
      <c r="Q514" s="18"/>
      <c r="R514" s="18"/>
      <c r="S514" s="18"/>
      <c r="T514" s="18"/>
      <c r="U514" s="18"/>
      <c r="V514" s="18"/>
      <c r="W514" s="18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62" t="s">
        <v>58</v>
      </c>
      <c r="B515" s="62" t="s">
        <v>41</v>
      </c>
      <c r="C515" s="62" t="s">
        <v>40</v>
      </c>
      <c r="D515" s="62" t="s">
        <v>45</v>
      </c>
      <c r="E515" s="62" t="s">
        <v>25</v>
      </c>
      <c r="F515" s="62" t="s">
        <v>25</v>
      </c>
      <c r="G515" s="62" t="s">
        <v>25</v>
      </c>
      <c r="H515" s="62" t="s">
        <v>35</v>
      </c>
      <c r="I515" s="75">
        <v>44682</v>
      </c>
      <c r="J515" s="76">
        <f ca="1">EFEITO!$J$515*EFEITO!$Y$478</f>
        <v>3725.4083497346696</v>
      </c>
      <c r="K515" s="76">
        <f ca="1">EFEITO!$L$515*EFEITO!$Z$478</f>
        <v>4364.9627329700788</v>
      </c>
      <c r="L515" s="76">
        <f>EFEITO!$N$515*EFEITO!$AA$478</f>
        <v>9948.1553416245752</v>
      </c>
      <c r="M515" s="76">
        <f ca="1">$J$515-EFEITO!$K$515*EFEITO!$Y$515</f>
        <v>74.508166994693511</v>
      </c>
      <c r="N515" s="76">
        <f ca="1">$K$515-EFEITO!$M$515*EFEITO!$Z$515</f>
        <v>87.299254659402322</v>
      </c>
      <c r="O515" s="76">
        <f>$L$515-EFEITO!$O$515*EFEITO!$AA$515</f>
        <v>198.96310683249067</v>
      </c>
      <c r="P515" s="18"/>
      <c r="Q515" s="18"/>
      <c r="R515" s="18"/>
      <c r="S515" s="18"/>
      <c r="T515" s="18"/>
      <c r="U515" s="18"/>
      <c r="V515" s="18"/>
      <c r="W515" s="18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62" t="s">
        <v>21</v>
      </c>
      <c r="B516" s="62" t="s">
        <v>41</v>
      </c>
      <c r="C516" s="62" t="s">
        <v>40</v>
      </c>
      <c r="D516" s="62" t="s">
        <v>45</v>
      </c>
      <c r="E516" s="62" t="s">
        <v>25</v>
      </c>
      <c r="F516" s="62" t="s">
        <v>25</v>
      </c>
      <c r="G516" s="62" t="s">
        <v>25</v>
      </c>
      <c r="H516" s="62" t="s">
        <v>34</v>
      </c>
      <c r="I516" s="75">
        <v>44348</v>
      </c>
      <c r="J516" s="76">
        <f ca="1">EFEITO!$J$516*EFEITO!$Y$503</f>
        <v>3921.2067931701854</v>
      </c>
      <c r="K516" s="76">
        <f ca="1">EFEITO!$L$516*EFEITO!$Z$503</f>
        <v>408.1844873085999</v>
      </c>
      <c r="L516" s="76">
        <f>EFEITO!$N$516*EFEITO!$AA$503</f>
        <v>1514.8483019370894</v>
      </c>
      <c r="M516" s="76">
        <f ca="1">$J$516-EFEITO!$K$516*EFEITO!$Y$516</f>
        <v>78.42413586340399</v>
      </c>
      <c r="N516" s="76">
        <f ca="1">$K$516-EFEITO!$M$516*EFEITO!$Z$516</f>
        <v>8.1636897461719968</v>
      </c>
      <c r="O516" s="76">
        <f>$L$516-EFEITO!$O$516*EFEITO!$AA$516</f>
        <v>30.296966038741857</v>
      </c>
      <c r="P516" s="18"/>
      <c r="Q516" s="18"/>
      <c r="R516" s="18"/>
      <c r="S516" s="18"/>
      <c r="T516" s="18"/>
      <c r="U516" s="18"/>
      <c r="V516" s="18"/>
      <c r="W516" s="18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62" t="s">
        <v>21</v>
      </c>
      <c r="B517" s="62" t="s">
        <v>41</v>
      </c>
      <c r="C517" s="62" t="s">
        <v>40</v>
      </c>
      <c r="D517" s="62" t="s">
        <v>45</v>
      </c>
      <c r="E517" s="62" t="s">
        <v>25</v>
      </c>
      <c r="F517" s="62" t="s">
        <v>25</v>
      </c>
      <c r="G517" s="62" t="s">
        <v>25</v>
      </c>
      <c r="H517" s="62" t="s">
        <v>34</v>
      </c>
      <c r="I517" s="75">
        <v>44378</v>
      </c>
      <c r="J517" s="76">
        <f ca="1">EFEITO!$J$517*EFEITO!$Y$503</f>
        <v>4147.4302620069275</v>
      </c>
      <c r="K517" s="76">
        <f ca="1">EFEITO!$L$517*EFEITO!$Z$503</f>
        <v>332.59476743663697</v>
      </c>
      <c r="L517" s="76">
        <f>EFEITO!$N$517*EFEITO!$AA$503</f>
        <v>1234.320838615406</v>
      </c>
      <c r="M517" s="76">
        <f ca="1">$J$517-EFEITO!$K$517*EFEITO!$Y$517</f>
        <v>82.948605240139386</v>
      </c>
      <c r="N517" s="76">
        <f ca="1">$K$517-EFEITO!$M$517*EFEITO!$Z$517</f>
        <v>6.6518953487328076</v>
      </c>
      <c r="O517" s="76">
        <f>$L$517-EFEITO!$O$517*EFEITO!$AA$517</f>
        <v>24.686416772308121</v>
      </c>
      <c r="P517" s="18"/>
      <c r="Q517" s="18"/>
      <c r="R517" s="18"/>
      <c r="S517" s="18"/>
      <c r="T517" s="18"/>
      <c r="U517" s="18"/>
      <c r="V517" s="18"/>
      <c r="W517" s="18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62" t="s">
        <v>21</v>
      </c>
      <c r="B518" s="62" t="s">
        <v>41</v>
      </c>
      <c r="C518" s="62" t="s">
        <v>40</v>
      </c>
      <c r="D518" s="62" t="s">
        <v>45</v>
      </c>
      <c r="E518" s="62" t="s">
        <v>25</v>
      </c>
      <c r="F518" s="62" t="s">
        <v>25</v>
      </c>
      <c r="G518" s="62" t="s">
        <v>25</v>
      </c>
      <c r="H518" s="62" t="s">
        <v>34</v>
      </c>
      <c r="I518" s="75">
        <v>44409</v>
      </c>
      <c r="J518" s="76">
        <f ca="1">EFEITO!$J$518*EFEITO!$Y$503</f>
        <v>4147.4302620069275</v>
      </c>
      <c r="K518" s="76">
        <f ca="1">EFEITO!$L$518*EFEITO!$Z$503</f>
        <v>332.59476743663697</v>
      </c>
      <c r="L518" s="76">
        <f>EFEITO!$N$518*EFEITO!$AA$503</f>
        <v>1234.320838615406</v>
      </c>
      <c r="M518" s="76">
        <f ca="1">$J$518-EFEITO!$K$518*EFEITO!$Y$518</f>
        <v>82.948605240139386</v>
      </c>
      <c r="N518" s="76">
        <f ca="1">$K$518-EFEITO!$M$518*EFEITO!$Z$518</f>
        <v>6.6518953487328076</v>
      </c>
      <c r="O518" s="76">
        <f>$L$518-EFEITO!$O$518*EFEITO!$AA$518</f>
        <v>24.686416772308121</v>
      </c>
      <c r="P518" s="18"/>
      <c r="Q518" s="18"/>
      <c r="R518" s="18"/>
      <c r="S518" s="18"/>
      <c r="T518" s="18"/>
      <c r="U518" s="18"/>
      <c r="V518" s="18"/>
      <c r="W518" s="18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62" t="s">
        <v>21</v>
      </c>
      <c r="B519" s="62" t="s">
        <v>41</v>
      </c>
      <c r="C519" s="62" t="s">
        <v>40</v>
      </c>
      <c r="D519" s="62" t="s">
        <v>45</v>
      </c>
      <c r="E519" s="62" t="s">
        <v>25</v>
      </c>
      <c r="F519" s="62" t="s">
        <v>25</v>
      </c>
      <c r="G519" s="62" t="s">
        <v>25</v>
      </c>
      <c r="H519" s="62" t="s">
        <v>34</v>
      </c>
      <c r="I519" s="75">
        <v>44440</v>
      </c>
      <c r="J519" s="76">
        <f ca="1">EFEITO!$J$519*EFEITO!$Y$503</f>
        <v>4147.4302620069275</v>
      </c>
      <c r="K519" s="76">
        <f ca="1">EFEITO!$L$519*EFEITO!$Z$503</f>
        <v>287.24093551345919</v>
      </c>
      <c r="L519" s="76">
        <f>EFEITO!$N$519*EFEITO!$AA$503</f>
        <v>1066.004360622396</v>
      </c>
      <c r="M519" s="76">
        <f ca="1">$J$519-EFEITO!$K$519*EFEITO!$Y$519</f>
        <v>82.948605240139386</v>
      </c>
      <c r="N519" s="76">
        <f ca="1">$K$519-EFEITO!$M$519*EFEITO!$Z$519</f>
        <v>5.7448187102692145</v>
      </c>
      <c r="O519" s="76">
        <f>$L$519-EFEITO!$O$519*EFEITO!$AA$519</f>
        <v>21.320087212447788</v>
      </c>
      <c r="P519" s="18"/>
      <c r="Q519" s="18"/>
      <c r="R519" s="18"/>
      <c r="S519" s="18"/>
      <c r="T519" s="18"/>
      <c r="U519" s="18"/>
      <c r="V519" s="18"/>
      <c r="W519" s="18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62" t="s">
        <v>21</v>
      </c>
      <c r="B520" s="62" t="s">
        <v>41</v>
      </c>
      <c r="C520" s="62" t="s">
        <v>40</v>
      </c>
      <c r="D520" s="62" t="s">
        <v>45</v>
      </c>
      <c r="E520" s="62" t="s">
        <v>25</v>
      </c>
      <c r="F520" s="62" t="s">
        <v>25</v>
      </c>
      <c r="G520" s="62" t="s">
        <v>25</v>
      </c>
      <c r="H520" s="62" t="s">
        <v>34</v>
      </c>
      <c r="I520" s="75">
        <v>44470</v>
      </c>
      <c r="J520" s="76">
        <f ca="1">EFEITO!$J$520*EFEITO!$Y$503</f>
        <v>4524.4693767348299</v>
      </c>
      <c r="K520" s="76">
        <f ca="1">EFEITO!$L$520*EFEITO!$Z$503</f>
        <v>272.12299153906662</v>
      </c>
      <c r="L520" s="76">
        <f>EFEITO!$N$520*EFEITO!$AA$503</f>
        <v>1009.8988679580596</v>
      </c>
      <c r="M520" s="76">
        <f ca="1">$J$520-EFEITO!$K$520*EFEITO!$Y$520</f>
        <v>90.489387534697016</v>
      </c>
      <c r="N520" s="76">
        <f ca="1">$K$520-EFEITO!$M$520*EFEITO!$Z$520</f>
        <v>5.4424598307813881</v>
      </c>
      <c r="O520" s="76">
        <f>$L$520-EFEITO!$O$520*EFEITO!$AA$520</f>
        <v>20.197977359161314</v>
      </c>
      <c r="P520" s="18"/>
      <c r="Q520" s="18"/>
      <c r="R520" s="18"/>
      <c r="S520" s="18"/>
      <c r="T520" s="18"/>
      <c r="U520" s="18"/>
      <c r="V520" s="18"/>
      <c r="W520" s="18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62" t="s">
        <v>21</v>
      </c>
      <c r="B521" s="62" t="s">
        <v>41</v>
      </c>
      <c r="C521" s="62" t="s">
        <v>40</v>
      </c>
      <c r="D521" s="62" t="s">
        <v>45</v>
      </c>
      <c r="E521" s="62" t="s">
        <v>25</v>
      </c>
      <c r="F521" s="62" t="s">
        <v>25</v>
      </c>
      <c r="G521" s="62" t="s">
        <v>25</v>
      </c>
      <c r="H521" s="62" t="s">
        <v>34</v>
      </c>
      <c r="I521" s="75">
        <v>44501</v>
      </c>
      <c r="J521" s="76">
        <f ca="1">EFEITO!$J$521*EFEITO!$Y$503</f>
        <v>452.44693767348292</v>
      </c>
      <c r="K521" s="76">
        <f ca="1">EFEITO!$L$521*EFEITO!$Z$503</f>
        <v>272.12299153906662</v>
      </c>
      <c r="L521" s="76">
        <f>EFEITO!$N$521*EFEITO!$AA$503</f>
        <v>1009.8988679580596</v>
      </c>
      <c r="M521" s="76">
        <f ca="1">$J$521-EFEITO!$K$521*EFEITO!$Y$521</f>
        <v>9.0489387534696561</v>
      </c>
      <c r="N521" s="76">
        <f ca="1">$K$521-EFEITO!$M$521*EFEITO!$Z$521</f>
        <v>5.4424598307813881</v>
      </c>
      <c r="O521" s="76">
        <f>$L$521-EFEITO!$O$521*EFEITO!$AA$521</f>
        <v>20.197977359161314</v>
      </c>
      <c r="P521" s="18"/>
      <c r="Q521" s="18"/>
      <c r="R521" s="18"/>
      <c r="S521" s="18"/>
      <c r="T521" s="18"/>
      <c r="U521" s="18"/>
      <c r="V521" s="18"/>
      <c r="W521" s="18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62" t="s">
        <v>21</v>
      </c>
      <c r="B522" s="62" t="s">
        <v>41</v>
      </c>
      <c r="C522" s="62" t="s">
        <v>40</v>
      </c>
      <c r="D522" s="62" t="s">
        <v>45</v>
      </c>
      <c r="E522" s="62" t="s">
        <v>25</v>
      </c>
      <c r="F522" s="62" t="s">
        <v>25</v>
      </c>
      <c r="G522" s="62" t="s">
        <v>25</v>
      </c>
      <c r="H522" s="62" t="s">
        <v>34</v>
      </c>
      <c r="I522" s="75">
        <v>44531</v>
      </c>
      <c r="J522" s="76">
        <f ca="1">EFEITO!$J$522*EFEITO!$Y$503</f>
        <v>452.44693767348292</v>
      </c>
      <c r="K522" s="76">
        <f ca="1">EFEITO!$L$522*EFEITO!$Z$503</f>
        <v>272.12299153906662</v>
      </c>
      <c r="L522" s="76">
        <f>EFEITO!$N$522*EFEITO!$AA$503</f>
        <v>1009.8988679580596</v>
      </c>
      <c r="M522" s="76">
        <f ca="1">$J$522-EFEITO!$K$522*EFEITO!$Y$522</f>
        <v>9.0489387534696561</v>
      </c>
      <c r="N522" s="76">
        <f ca="1">$K$522-EFEITO!$M$522*EFEITO!$Z$522</f>
        <v>5.4424598307813881</v>
      </c>
      <c r="O522" s="76">
        <f>$L$522-EFEITO!$O$522*EFEITO!$AA$522</f>
        <v>20.197977359161314</v>
      </c>
      <c r="P522" s="18"/>
      <c r="Q522" s="18"/>
      <c r="R522" s="18"/>
      <c r="S522" s="18"/>
      <c r="T522" s="18"/>
      <c r="U522" s="18"/>
      <c r="V522" s="18"/>
      <c r="W522" s="18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62" t="s">
        <v>21</v>
      </c>
      <c r="B523" s="62" t="s">
        <v>41</v>
      </c>
      <c r="C523" s="62" t="s">
        <v>40</v>
      </c>
      <c r="D523" s="62" t="s">
        <v>45</v>
      </c>
      <c r="E523" s="62" t="s">
        <v>25</v>
      </c>
      <c r="F523" s="62" t="s">
        <v>25</v>
      </c>
      <c r="G523" s="62" t="s">
        <v>25</v>
      </c>
      <c r="H523" s="62" t="s">
        <v>34</v>
      </c>
      <c r="I523" s="75">
        <v>44562</v>
      </c>
      <c r="J523" s="76">
        <f ca="1">EFEITO!$J$523*EFEITO!$Y$503</f>
        <v>452.44693767348292</v>
      </c>
      <c r="K523" s="76">
        <f ca="1">EFEITO!$L$523*EFEITO!$Z$503</f>
        <v>277.07068229432235</v>
      </c>
      <c r="L523" s="76">
        <f>EFEITO!$N$523*EFEITO!$AA$503</f>
        <v>1028.260665557297</v>
      </c>
      <c r="M523" s="76">
        <f ca="1">$J$523-EFEITO!$K$523*EFEITO!$Y$523</f>
        <v>9.0489387534696561</v>
      </c>
      <c r="N523" s="76">
        <f ca="1">$K$523-EFEITO!$M$523*EFEITO!$Z$523</f>
        <v>5.5414136458864505</v>
      </c>
      <c r="O523" s="76">
        <f>$L$523-EFEITO!$O$523*EFEITO!$AA$523</f>
        <v>20.565213311145953</v>
      </c>
      <c r="P523" s="18"/>
      <c r="Q523" s="18"/>
      <c r="R523" s="18"/>
      <c r="S523" s="18"/>
      <c r="T523" s="18"/>
      <c r="U523" s="18"/>
      <c r="V523" s="18"/>
      <c r="W523" s="18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62" t="s">
        <v>21</v>
      </c>
      <c r="B524" s="62" t="s">
        <v>41</v>
      </c>
      <c r="C524" s="62" t="s">
        <v>40</v>
      </c>
      <c r="D524" s="62" t="s">
        <v>45</v>
      </c>
      <c r="E524" s="62" t="s">
        <v>25</v>
      </c>
      <c r="F524" s="62" t="s">
        <v>25</v>
      </c>
      <c r="G524" s="62" t="s">
        <v>25</v>
      </c>
      <c r="H524" s="62" t="s">
        <v>34</v>
      </c>
      <c r="I524" s="75">
        <v>44593</v>
      </c>
      <c r="J524" s="76">
        <f ca="1">EFEITO!$J$524*EFEITO!$Y$503</f>
        <v>452.44693767348292</v>
      </c>
      <c r="K524" s="76">
        <f ca="1">EFEITO!$L$524*EFEITO!$Z$503</f>
        <v>288.89016576521107</v>
      </c>
      <c r="L524" s="76">
        <f>EFEITO!$N$524*EFEITO!$AA$503</f>
        <v>1072.1249598221418</v>
      </c>
      <c r="M524" s="76">
        <f ca="1">$J$524-EFEITO!$K$524*EFEITO!$Y$524</f>
        <v>9.0489387534696561</v>
      </c>
      <c r="N524" s="76">
        <f ca="1">$K$524-EFEITO!$M$524*EFEITO!$Z$524</f>
        <v>5.7778033153041974</v>
      </c>
      <c r="O524" s="76">
        <f>$L$524-EFEITO!$O$524*EFEITO!$AA$524</f>
        <v>21.442499196442895</v>
      </c>
      <c r="P524" s="18"/>
      <c r="Q524" s="18"/>
      <c r="R524" s="18"/>
      <c r="S524" s="18"/>
      <c r="T524" s="18"/>
      <c r="U524" s="18"/>
      <c r="V524" s="18"/>
      <c r="W524" s="18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62" t="s">
        <v>21</v>
      </c>
      <c r="B525" s="62" t="s">
        <v>41</v>
      </c>
      <c r="C525" s="62" t="s">
        <v>40</v>
      </c>
      <c r="D525" s="62" t="s">
        <v>45</v>
      </c>
      <c r="E525" s="62" t="s">
        <v>25</v>
      </c>
      <c r="F525" s="62" t="s">
        <v>25</v>
      </c>
      <c r="G525" s="62" t="s">
        <v>25</v>
      </c>
      <c r="H525" s="62" t="s">
        <v>34</v>
      </c>
      <c r="I525" s="75">
        <v>44621</v>
      </c>
      <c r="J525" s="76">
        <f ca="1">EFEITO!$J$525*EFEITO!$Y$503</f>
        <v>3770.3911472790246</v>
      </c>
      <c r="K525" s="76">
        <f ca="1">EFEITO!$L$525*EFEITO!$Z$503</f>
        <v>376.71167667100082</v>
      </c>
      <c r="L525" s="76">
        <f>EFEITO!$N$525*EFEITO!$AA$503</f>
        <v>1398.0468672086067</v>
      </c>
      <c r="M525" s="76">
        <f ca="1">$J$525-EFEITO!$K$525*EFEITO!$Y$525</f>
        <v>75.407822945580847</v>
      </c>
      <c r="N525" s="76">
        <f ca="1">$K$525-EFEITO!$M$525*EFEITO!$Z$525</f>
        <v>7.5342335334200357</v>
      </c>
      <c r="O525" s="76">
        <f>$L$525-EFEITO!$O$525*EFEITO!$AA$525</f>
        <v>27.96093734417218</v>
      </c>
      <c r="P525" s="18"/>
      <c r="Q525" s="18"/>
      <c r="R525" s="18"/>
      <c r="S525" s="18"/>
      <c r="T525" s="18"/>
      <c r="U525" s="18"/>
      <c r="V525" s="18"/>
      <c r="W525" s="18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62" t="s">
        <v>21</v>
      </c>
      <c r="B526" s="62" t="s">
        <v>41</v>
      </c>
      <c r="C526" s="62" t="s">
        <v>40</v>
      </c>
      <c r="D526" s="62" t="s">
        <v>45</v>
      </c>
      <c r="E526" s="62" t="s">
        <v>25</v>
      </c>
      <c r="F526" s="62" t="s">
        <v>25</v>
      </c>
      <c r="G526" s="62" t="s">
        <v>25</v>
      </c>
      <c r="H526" s="62" t="s">
        <v>34</v>
      </c>
      <c r="I526" s="75">
        <v>44652</v>
      </c>
      <c r="J526" s="76">
        <f ca="1">EFEITO!$J$526*EFEITO!$Y$503</f>
        <v>3619.5755013878634</v>
      </c>
      <c r="K526" s="76">
        <f ca="1">EFEITO!$L$526*EFEITO!$Z$503</f>
        <v>294.93734335496811</v>
      </c>
      <c r="L526" s="76">
        <f>EFEITO!$N$526*EFEITO!$AA$503</f>
        <v>1094.5671568878765</v>
      </c>
      <c r="M526" s="76">
        <f ca="1">$J$526-EFEITO!$K$526*EFEITO!$Y$526</f>
        <v>72.391510027757249</v>
      </c>
      <c r="N526" s="76">
        <f ca="1">$K$526-EFEITO!$M$526*EFEITO!$Z$526</f>
        <v>5.8987468670993621</v>
      </c>
      <c r="O526" s="76">
        <f>$L$526-EFEITO!$O$526*EFEITO!$AA$526</f>
        <v>21.891343137757531</v>
      </c>
      <c r="P526" s="18"/>
      <c r="Q526" s="18"/>
      <c r="R526" s="18"/>
      <c r="S526" s="18"/>
      <c r="T526" s="18"/>
      <c r="U526" s="18"/>
      <c r="V526" s="18"/>
      <c r="W526" s="18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62" t="s">
        <v>58</v>
      </c>
      <c r="B527" s="62" t="s">
        <v>41</v>
      </c>
      <c r="C527" s="62" t="s">
        <v>40</v>
      </c>
      <c r="D527" s="62" t="s">
        <v>45</v>
      </c>
      <c r="E527" s="62" t="s">
        <v>25</v>
      </c>
      <c r="F527" s="62" t="s">
        <v>25</v>
      </c>
      <c r="G527" s="62" t="s">
        <v>25</v>
      </c>
      <c r="H527" s="62" t="s">
        <v>34</v>
      </c>
      <c r="I527" s="75">
        <v>44682</v>
      </c>
      <c r="J527" s="76">
        <f ca="1">EFEITO!$J$527*EFEITO!$Y$503</f>
        <v>3619.5755013878634</v>
      </c>
      <c r="K527" s="76">
        <f ca="1">EFEITO!$L$527*EFEITO!$Z$503</f>
        <v>294.93734335496811</v>
      </c>
      <c r="L527" s="76">
        <f>EFEITO!$N$527*EFEITO!$AA$503</f>
        <v>1094.5671568878765</v>
      </c>
      <c r="M527" s="76">
        <f ca="1">$J$527-EFEITO!$K$527*EFEITO!$Y$527</f>
        <v>72.391510027757249</v>
      </c>
      <c r="N527" s="76">
        <f ca="1">$K$527-EFEITO!$M$527*EFEITO!$Z$527</f>
        <v>5.8987468670993621</v>
      </c>
      <c r="O527" s="76">
        <f>$L$527-EFEITO!$O$527*EFEITO!$AA$527</f>
        <v>21.891343137757531</v>
      </c>
      <c r="P527" s="18"/>
      <c r="Q527" s="18"/>
      <c r="R527" s="18"/>
      <c r="S527" s="18"/>
      <c r="T527" s="18"/>
      <c r="U527" s="18"/>
      <c r="V527" s="18"/>
      <c r="W527" s="18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62" t="s">
        <v>21</v>
      </c>
      <c r="B528" s="62" t="s">
        <v>41</v>
      </c>
      <c r="C528" s="62" t="s">
        <v>40</v>
      </c>
      <c r="D528" s="62" t="s">
        <v>51</v>
      </c>
      <c r="E528" s="62" t="s">
        <v>52</v>
      </c>
      <c r="F528" s="62" t="s">
        <v>25</v>
      </c>
      <c r="G528" s="62" t="s">
        <v>25</v>
      </c>
      <c r="H528" s="62" t="s">
        <v>35</v>
      </c>
      <c r="I528" s="75">
        <v>44348</v>
      </c>
      <c r="J528" s="76">
        <f ca="1">EFEITO!$J$528*EFEITO!$Y$478</f>
        <v>16689.829406811321</v>
      </c>
      <c r="K528" s="76">
        <f ca="1">EFEITO!$L$528*EFEITO!$Z$478</f>
        <v>30057.358774033033</v>
      </c>
      <c r="L528" s="76">
        <f>EFEITO!$N$528*EFEITO!$AA$478</f>
        <v>68503.511378105672</v>
      </c>
      <c r="M528" s="76">
        <f ca="1">$J$528-EFEITO!$K$528*EFEITO!$Y$528</f>
        <v>500.69488220434141</v>
      </c>
      <c r="N528" s="76">
        <f ca="1">$K$528-EFEITO!$M$528*EFEITO!$Z$528</f>
        <v>901.72076322099383</v>
      </c>
      <c r="O528" s="76">
        <f>$L$528-EFEITO!$O$528*EFEITO!$AA$528</f>
        <v>2055.1053413431655</v>
      </c>
      <c r="P528" s="18"/>
      <c r="Q528" s="18"/>
      <c r="R528" s="18"/>
      <c r="S528" s="18"/>
      <c r="T528" s="18"/>
      <c r="U528" s="18"/>
      <c r="V528" s="18"/>
      <c r="W528" s="18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62" t="s">
        <v>27</v>
      </c>
      <c r="B529" s="62" t="s">
        <v>41</v>
      </c>
      <c r="C529" s="62" t="s">
        <v>40</v>
      </c>
      <c r="D529" s="62" t="s">
        <v>51</v>
      </c>
      <c r="E529" s="62" t="s">
        <v>52</v>
      </c>
      <c r="F529" s="62" t="s">
        <v>25</v>
      </c>
      <c r="G529" s="62" t="s">
        <v>25</v>
      </c>
      <c r="H529" s="62" t="s">
        <v>35</v>
      </c>
      <c r="I529" s="75">
        <v>44348</v>
      </c>
      <c r="J529" s="76">
        <f ca="1">EFEITO!$J$529*EFEITO!$Y$478</f>
        <v>1072.9176047235849</v>
      </c>
      <c r="K529" s="76">
        <f ca="1">EFEITO!$L$529*EFEITO!$Z$478</f>
        <v>-296.86144531534541</v>
      </c>
      <c r="L529" s="76">
        <f>EFEITO!$N$529*EFEITO!$AA$478</f>
        <v>-676.57479653366136</v>
      </c>
      <c r="M529" s="76">
        <f ca="1">$J$529-EFEITO!$K$529*EFEITO!$Y$529</f>
        <v>32.187528141707617</v>
      </c>
      <c r="N529" s="76">
        <f ca="1">$K$529-EFEITO!$M$529*EFEITO!$Z$529</f>
        <v>-8.9058433594603912</v>
      </c>
      <c r="O529" s="76">
        <f>$L$529-EFEITO!$O$529*EFEITO!$AA$529</f>
        <v>-20.297243896009832</v>
      </c>
      <c r="P529" s="18"/>
      <c r="Q529" s="18"/>
      <c r="R529" s="18"/>
      <c r="S529" s="18"/>
      <c r="T529" s="18"/>
      <c r="U529" s="18"/>
      <c r="V529" s="18"/>
      <c r="W529" s="18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62" t="s">
        <v>21</v>
      </c>
      <c r="B530" s="62" t="s">
        <v>41</v>
      </c>
      <c r="C530" s="62" t="s">
        <v>40</v>
      </c>
      <c r="D530" s="62" t="s">
        <v>51</v>
      </c>
      <c r="E530" s="62" t="s">
        <v>52</v>
      </c>
      <c r="F530" s="62" t="s">
        <v>25</v>
      </c>
      <c r="G530" s="62" t="s">
        <v>25</v>
      </c>
      <c r="H530" s="62" t="s">
        <v>35</v>
      </c>
      <c r="I530" s="75">
        <v>44378</v>
      </c>
      <c r="J530" s="76">
        <f ca="1">EFEITO!$J$530*EFEITO!$Y$478</f>
        <v>17196.484942375235</v>
      </c>
      <c r="K530" s="76">
        <f ca="1">EFEITO!$L$530*EFEITO!$Z$478</f>
        <v>29531.391759578484</v>
      </c>
      <c r="L530" s="76">
        <f>EFEITO!$N$530*EFEITO!$AA$478</f>
        <v>67304.783717765706</v>
      </c>
      <c r="M530" s="76">
        <f ca="1">$J$530-EFEITO!$K$530*EFEITO!$Y$530</f>
        <v>515.89454827125883</v>
      </c>
      <c r="N530" s="76">
        <f ca="1">$K$530-EFEITO!$M$530*EFEITO!$Z$530</f>
        <v>885.94175278735565</v>
      </c>
      <c r="O530" s="76">
        <f>$L$530-EFEITO!$O$530*EFEITO!$AA$530</f>
        <v>2019.1435115329659</v>
      </c>
      <c r="P530" s="18"/>
      <c r="Q530" s="18"/>
      <c r="R530" s="18"/>
      <c r="S530" s="18"/>
      <c r="T530" s="18"/>
      <c r="U530" s="18"/>
      <c r="V530" s="18"/>
      <c r="W530" s="18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62" t="s">
        <v>27</v>
      </c>
      <c r="B531" s="62" t="s">
        <v>41</v>
      </c>
      <c r="C531" s="62" t="s">
        <v>40</v>
      </c>
      <c r="D531" s="62" t="s">
        <v>51</v>
      </c>
      <c r="E531" s="62" t="s">
        <v>52</v>
      </c>
      <c r="F531" s="62" t="s">
        <v>25</v>
      </c>
      <c r="G531" s="62" t="s">
        <v>25</v>
      </c>
      <c r="H531" s="62" t="s">
        <v>35</v>
      </c>
      <c r="I531" s="75">
        <v>44378</v>
      </c>
      <c r="J531" s="76">
        <f ca="1">EFEITO!$J$531*EFEITO!$Y$478</f>
        <v>447.04900196816033</v>
      </c>
      <c r="K531" s="76">
        <f ca="1">EFEITO!$L$531*EFEITO!$Z$478</f>
        <v>-876.56587880614484</v>
      </c>
      <c r="L531" s="76">
        <f>EFEITO!$N$531*EFEITO!$AA$478</f>
        <v>-1997.7750242091167</v>
      </c>
      <c r="M531" s="76">
        <f ca="1">$J$531-EFEITO!$K$531*EFEITO!$Y$531</f>
        <v>13.411470059044802</v>
      </c>
      <c r="N531" s="76">
        <f ca="1">$K$531-EFEITO!$M$531*EFEITO!$Z$531</f>
        <v>-26.296976364184388</v>
      </c>
      <c r="O531" s="76">
        <f>$L$531-EFEITO!$O$531*EFEITO!$AA$531</f>
        <v>-59.933250726273627</v>
      </c>
      <c r="P531" s="18"/>
      <c r="Q531" s="18"/>
      <c r="R531" s="18"/>
      <c r="S531" s="18"/>
      <c r="T531" s="18"/>
      <c r="U531" s="18"/>
      <c r="V531" s="18"/>
      <c r="W531" s="18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62" t="s">
        <v>21</v>
      </c>
      <c r="B532" s="62" t="s">
        <v>41</v>
      </c>
      <c r="C532" s="62" t="s">
        <v>40</v>
      </c>
      <c r="D532" s="62" t="s">
        <v>51</v>
      </c>
      <c r="E532" s="62" t="s">
        <v>52</v>
      </c>
      <c r="F532" s="62" t="s">
        <v>25</v>
      </c>
      <c r="G532" s="62" t="s">
        <v>25</v>
      </c>
      <c r="H532" s="62" t="s">
        <v>35</v>
      </c>
      <c r="I532" s="75">
        <v>44409</v>
      </c>
      <c r="J532" s="76">
        <f ca="1">EFEITO!$J$532*EFEITO!$Y$478</f>
        <v>17047.468608385847</v>
      </c>
      <c r="K532" s="76">
        <f ca="1">EFEITO!$L$532*EFEITO!$Z$478</f>
        <v>30099.963888869956</v>
      </c>
      <c r="L532" s="76">
        <f>EFEITO!$N$532*EFEITO!$AA$478</f>
        <v>68600.612390571157</v>
      </c>
      <c r="M532" s="76">
        <f ca="1">$J$532-EFEITO!$K$532*EFEITO!$Y$532</f>
        <v>511.42405825157402</v>
      </c>
      <c r="N532" s="76">
        <f ca="1">$K$532-EFEITO!$M$532*EFEITO!$Z$532</f>
        <v>902.99891666609619</v>
      </c>
      <c r="O532" s="76">
        <f>$L$532-EFEITO!$O$532*EFEITO!$AA$532</f>
        <v>2058.0183717171312</v>
      </c>
      <c r="P532" s="18"/>
      <c r="Q532" s="18"/>
      <c r="R532" s="18"/>
      <c r="S532" s="18"/>
      <c r="T532" s="18"/>
      <c r="U532" s="18"/>
      <c r="V532" s="18"/>
      <c r="W532" s="18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62" t="s">
        <v>21</v>
      </c>
      <c r="B533" s="62" t="s">
        <v>41</v>
      </c>
      <c r="C533" s="62" t="s">
        <v>40</v>
      </c>
      <c r="D533" s="62" t="s">
        <v>51</v>
      </c>
      <c r="E533" s="62" t="s">
        <v>52</v>
      </c>
      <c r="F533" s="62" t="s">
        <v>25</v>
      </c>
      <c r="G533" s="62" t="s">
        <v>25</v>
      </c>
      <c r="H533" s="62" t="s">
        <v>35</v>
      </c>
      <c r="I533" s="75">
        <v>44440</v>
      </c>
      <c r="J533" s="76">
        <f ca="1">EFEITO!$J$533*EFEITO!$Y$478</f>
        <v>17226.288209173112</v>
      </c>
      <c r="K533" s="76">
        <f ca="1">EFEITO!$L$533*EFEITO!$Z$478</f>
        <v>30325.083818234096</v>
      </c>
      <c r="L533" s="76">
        <f>EFEITO!$N$533*EFEITO!$AA$478</f>
        <v>69113.681611275853</v>
      </c>
      <c r="M533" s="76">
        <f ca="1">$J$533-EFEITO!$K$533*EFEITO!$Y$533</f>
        <v>516.78864627519215</v>
      </c>
      <c r="N533" s="76">
        <f ca="1">$K$533-EFEITO!$M$533*EFEITO!$Z$533</f>
        <v>909.75251454702448</v>
      </c>
      <c r="O533" s="76">
        <f>$L$533-EFEITO!$O$533*EFEITO!$AA$533</f>
        <v>2073.4104483382835</v>
      </c>
      <c r="P533" s="18"/>
      <c r="Q533" s="18"/>
      <c r="R533" s="18"/>
      <c r="S533" s="18"/>
      <c r="T533" s="18"/>
      <c r="U533" s="18"/>
      <c r="V533" s="18"/>
      <c r="W533" s="18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62" t="s">
        <v>21</v>
      </c>
      <c r="B534" s="62" t="s">
        <v>41</v>
      </c>
      <c r="C534" s="62" t="s">
        <v>40</v>
      </c>
      <c r="D534" s="62" t="s">
        <v>51</v>
      </c>
      <c r="E534" s="62" t="s">
        <v>52</v>
      </c>
      <c r="F534" s="62" t="s">
        <v>25</v>
      </c>
      <c r="G534" s="62" t="s">
        <v>25</v>
      </c>
      <c r="H534" s="62" t="s">
        <v>35</v>
      </c>
      <c r="I534" s="75">
        <v>44470</v>
      </c>
      <c r="J534" s="76">
        <f ca="1">EFEITO!$J$534*EFEITO!$Y$478</f>
        <v>8285.3081698099049</v>
      </c>
      <c r="K534" s="76">
        <f ca="1">EFEITO!$L$534*EFEITO!$Z$478</f>
        <v>15696.136613485949</v>
      </c>
      <c r="L534" s="76">
        <f>EFEITO!$N$534*EFEITO!$AA$478</f>
        <v>35772.952679499933</v>
      </c>
      <c r="M534" s="76">
        <f ca="1">$J$534-EFEITO!$K$534*EFEITO!$Y$534</f>
        <v>248.55924509429678</v>
      </c>
      <c r="N534" s="76">
        <f ca="1">$K$534-EFEITO!$M$534*EFEITO!$Z$534</f>
        <v>470.88409840458007</v>
      </c>
      <c r="O534" s="76">
        <f>$L$534-EFEITO!$O$534*EFEITO!$AA$534</f>
        <v>1073.1885803850018</v>
      </c>
      <c r="P534" s="18"/>
      <c r="Q534" s="18"/>
      <c r="R534" s="18"/>
      <c r="S534" s="18"/>
      <c r="T534" s="18"/>
      <c r="U534" s="18"/>
      <c r="V534" s="18"/>
      <c r="W534" s="18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62" t="s">
        <v>21</v>
      </c>
      <c r="B535" s="62" t="s">
        <v>41</v>
      </c>
      <c r="C535" s="62" t="s">
        <v>40</v>
      </c>
      <c r="D535" s="62" t="s">
        <v>51</v>
      </c>
      <c r="E535" s="62" t="s">
        <v>52</v>
      </c>
      <c r="F535" s="62" t="s">
        <v>25</v>
      </c>
      <c r="G535" s="62" t="s">
        <v>25</v>
      </c>
      <c r="H535" s="62" t="s">
        <v>35</v>
      </c>
      <c r="I535" s="75">
        <v>44501</v>
      </c>
      <c r="J535" s="76">
        <f ca="1">EFEITO!$J$535*EFEITO!$Y$478</f>
        <v>7629.6363002566031</v>
      </c>
      <c r="K535" s="76">
        <f ca="1">EFEITO!$L$535*EFEITO!$Z$478</f>
        <v>12602.180661199349</v>
      </c>
      <c r="L535" s="76">
        <f>EFEITO!$N$535*EFEITO!$AA$478</f>
        <v>28721.539800071329</v>
      </c>
      <c r="M535" s="76">
        <f ca="1">$J$535-EFEITO!$K$535*EFEITO!$Y$535</f>
        <v>228.8890890076982</v>
      </c>
      <c r="N535" s="76">
        <f ca="1">$K$535-EFEITO!$M$535*EFEITO!$Z$535</f>
        <v>378.06541983598072</v>
      </c>
      <c r="O535" s="76">
        <f>$L$535-EFEITO!$O$535*EFEITO!$AA$535</f>
        <v>861.64619400213996</v>
      </c>
      <c r="P535" s="18"/>
      <c r="Q535" s="18"/>
      <c r="R535" s="18"/>
      <c r="S535" s="18"/>
      <c r="T535" s="18"/>
      <c r="U535" s="18"/>
      <c r="V535" s="18"/>
      <c r="W535" s="18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62" t="s">
        <v>21</v>
      </c>
      <c r="B536" s="62" t="s">
        <v>41</v>
      </c>
      <c r="C536" s="62" t="s">
        <v>40</v>
      </c>
      <c r="D536" s="62" t="s">
        <v>51</v>
      </c>
      <c r="E536" s="62" t="s">
        <v>52</v>
      </c>
      <c r="F536" s="62" t="s">
        <v>25</v>
      </c>
      <c r="G536" s="62" t="s">
        <v>25</v>
      </c>
      <c r="H536" s="62" t="s">
        <v>35</v>
      </c>
      <c r="I536" s="75">
        <v>44531</v>
      </c>
      <c r="J536" s="76">
        <f ca="1">EFEITO!$J$536*EFEITO!$Y$478</f>
        <v>7659.4395670544809</v>
      </c>
      <c r="K536" s="76">
        <f ca="1">EFEITO!$L$536*EFEITO!$Z$478</f>
        <v>13254.863533330172</v>
      </c>
      <c r="L536" s="76">
        <f>EFEITO!$N$536*EFEITO!$AA$478</f>
        <v>30209.064665227979</v>
      </c>
      <c r="M536" s="76">
        <f ca="1">$J$536-EFEITO!$K$536*EFEITO!$Y$536</f>
        <v>229.78318701163516</v>
      </c>
      <c r="N536" s="76">
        <f ca="1">$K$536-EFEITO!$M$536*EFEITO!$Z$536</f>
        <v>397.64590599990515</v>
      </c>
      <c r="O536" s="76">
        <f>$L$536-EFEITO!$O$536*EFEITO!$AA$536</f>
        <v>906.27193995684138</v>
      </c>
      <c r="P536" s="18"/>
      <c r="Q536" s="18"/>
      <c r="R536" s="18"/>
      <c r="S536" s="18"/>
      <c r="T536" s="18"/>
      <c r="U536" s="18"/>
      <c r="V536" s="18"/>
      <c r="W536" s="18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62" t="s">
        <v>21</v>
      </c>
      <c r="B537" s="62" t="s">
        <v>41</v>
      </c>
      <c r="C537" s="62" t="s">
        <v>40</v>
      </c>
      <c r="D537" s="62" t="s">
        <v>51</v>
      </c>
      <c r="E537" s="62" t="s">
        <v>52</v>
      </c>
      <c r="F537" s="62" t="s">
        <v>25</v>
      </c>
      <c r="G537" s="62" t="s">
        <v>25</v>
      </c>
      <c r="H537" s="62" t="s">
        <v>35</v>
      </c>
      <c r="I537" s="75">
        <v>44562</v>
      </c>
      <c r="J537" s="76">
        <f ca="1">EFEITO!$J$537*EFEITO!$Y$478</f>
        <v>7659.4395670544809</v>
      </c>
      <c r="K537" s="76">
        <f ca="1">EFEITO!$L$537*EFEITO!$Z$478</f>
        <v>13729.429538271786</v>
      </c>
      <c r="L537" s="76">
        <f>EFEITO!$N$537*EFEITO!$AA$478</f>
        <v>31290.644652464431</v>
      </c>
      <c r="M537" s="76">
        <f ca="1">$J$537-EFEITO!$K$537*EFEITO!$Y$537</f>
        <v>229.78318701163516</v>
      </c>
      <c r="N537" s="76">
        <f ca="1">$K$537-EFEITO!$M$537*EFEITO!$Z$537</f>
        <v>411.88288614815428</v>
      </c>
      <c r="O537" s="76">
        <f>$L$537-EFEITO!$O$537*EFEITO!$AA$537</f>
        <v>938.71933957393412</v>
      </c>
      <c r="P537" s="18"/>
      <c r="Q537" s="18"/>
      <c r="R537" s="18"/>
      <c r="S537" s="18"/>
      <c r="T537" s="18"/>
      <c r="U537" s="18"/>
      <c r="V537" s="18"/>
      <c r="W537" s="18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62" t="s">
        <v>21</v>
      </c>
      <c r="B538" s="62" t="s">
        <v>41</v>
      </c>
      <c r="C538" s="62" t="s">
        <v>40</v>
      </c>
      <c r="D538" s="62" t="s">
        <v>51</v>
      </c>
      <c r="E538" s="62" t="s">
        <v>52</v>
      </c>
      <c r="F538" s="62" t="s">
        <v>25</v>
      </c>
      <c r="G538" s="62" t="s">
        <v>25</v>
      </c>
      <c r="H538" s="62" t="s">
        <v>35</v>
      </c>
      <c r="I538" s="75">
        <v>44593</v>
      </c>
      <c r="J538" s="76">
        <f ca="1">EFEITO!$J$538*EFEITO!$Y$478</f>
        <v>7897.8657014374994</v>
      </c>
      <c r="K538" s="76">
        <f ca="1">EFEITO!$L$538*EFEITO!$Z$478</f>
        <v>13078.670768101341</v>
      </c>
      <c r="L538" s="76">
        <f>EFEITO!$N$538*EFEITO!$AA$478</f>
        <v>29807.504994322353</v>
      </c>
      <c r="M538" s="76">
        <f ca="1">$J$538-EFEITO!$K$538*EFEITO!$Y$538</f>
        <v>236.93597104312539</v>
      </c>
      <c r="N538" s="76">
        <f ca="1">$K$538-EFEITO!$M$538*EFEITO!$Z$538</f>
        <v>392.36012304303949</v>
      </c>
      <c r="O538" s="76">
        <f>$L$538-EFEITO!$O$538*EFEITO!$AA$538</f>
        <v>894.22514982967186</v>
      </c>
      <c r="P538" s="18"/>
      <c r="Q538" s="18"/>
      <c r="R538" s="18"/>
      <c r="S538" s="18"/>
      <c r="T538" s="18"/>
      <c r="U538" s="18"/>
      <c r="V538" s="18"/>
      <c r="W538" s="18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62" t="s">
        <v>21</v>
      </c>
      <c r="B539" s="62" t="s">
        <v>41</v>
      </c>
      <c r="C539" s="62" t="s">
        <v>40</v>
      </c>
      <c r="D539" s="62" t="s">
        <v>51</v>
      </c>
      <c r="E539" s="62" t="s">
        <v>52</v>
      </c>
      <c r="F539" s="62" t="s">
        <v>25</v>
      </c>
      <c r="G539" s="62" t="s">
        <v>25</v>
      </c>
      <c r="H539" s="62" t="s">
        <v>35</v>
      </c>
      <c r="I539" s="75">
        <v>44621</v>
      </c>
      <c r="J539" s="76">
        <f ca="1">EFEITO!$J$539*EFEITO!$Y$478</f>
        <v>7748.8493674481124</v>
      </c>
      <c r="K539" s="76">
        <f ca="1">EFEITO!$L$539*EFEITO!$Z$478</f>
        <v>13344.884017904964</v>
      </c>
      <c r="L539" s="76">
        <f>EFEITO!$N$539*EFEITO!$AA$478</f>
        <v>30414.229707695362</v>
      </c>
      <c r="M539" s="76">
        <f ca="1">$J$539-EFEITO!$K$539*EFEITO!$Y$539</f>
        <v>232.46548102344332</v>
      </c>
      <c r="N539" s="76">
        <f ca="1">$K$539-EFEITO!$M$539*EFEITO!$Z$539</f>
        <v>400.34652053714854</v>
      </c>
      <c r="O539" s="76">
        <f>$L$539-EFEITO!$O$539*EFEITO!$AA$539</f>
        <v>912.42689123086166</v>
      </c>
      <c r="P539" s="18"/>
      <c r="Q539" s="18"/>
      <c r="R539" s="18"/>
      <c r="S539" s="18"/>
      <c r="T539" s="18"/>
      <c r="U539" s="18"/>
      <c r="V539" s="18"/>
      <c r="W539" s="18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62" t="s">
        <v>21</v>
      </c>
      <c r="B540" s="62" t="s">
        <v>41</v>
      </c>
      <c r="C540" s="62" t="s">
        <v>40</v>
      </c>
      <c r="D540" s="62" t="s">
        <v>51</v>
      </c>
      <c r="E540" s="62" t="s">
        <v>52</v>
      </c>
      <c r="F540" s="62" t="s">
        <v>25</v>
      </c>
      <c r="G540" s="62" t="s">
        <v>25</v>
      </c>
      <c r="H540" s="62" t="s">
        <v>35</v>
      </c>
      <c r="I540" s="75">
        <v>44652</v>
      </c>
      <c r="J540" s="76">
        <f ca="1">EFEITO!$J$540*EFEITO!$Y$478</f>
        <v>7689.2428338523578</v>
      </c>
      <c r="K540" s="76">
        <f ca="1">EFEITO!$L$540*EFEITO!$Z$478</f>
        <v>14002.514580791041</v>
      </c>
      <c r="L540" s="76">
        <f>EFEITO!$N$540*EFEITO!$AA$478</f>
        <v>31913.030819460902</v>
      </c>
      <c r="M540" s="76">
        <f ca="1">$J$540-EFEITO!$K$540*EFEITO!$Y$540</f>
        <v>230.67728501557121</v>
      </c>
      <c r="N540" s="76">
        <f ca="1">$K$540-EFEITO!$M$540*EFEITO!$Z$540</f>
        <v>420.07543742373127</v>
      </c>
      <c r="O540" s="76">
        <f>$L$540-EFEITO!$O$540*EFEITO!$AA$540</f>
        <v>957.39092458382584</v>
      </c>
      <c r="P540" s="18"/>
      <c r="Q540" s="18"/>
      <c r="R540" s="18"/>
      <c r="S540" s="18"/>
      <c r="T540" s="18"/>
      <c r="U540" s="18"/>
      <c r="V540" s="18"/>
      <c r="W540" s="18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62" t="s">
        <v>58</v>
      </c>
      <c r="B541" s="62" t="s">
        <v>41</v>
      </c>
      <c r="C541" s="62" t="s">
        <v>40</v>
      </c>
      <c r="D541" s="62" t="s">
        <v>51</v>
      </c>
      <c r="E541" s="62" t="s">
        <v>52</v>
      </c>
      <c r="F541" s="62" t="s">
        <v>25</v>
      </c>
      <c r="G541" s="62" t="s">
        <v>25</v>
      </c>
      <c r="H541" s="62" t="s">
        <v>35</v>
      </c>
      <c r="I541" s="75">
        <v>44682</v>
      </c>
      <c r="J541" s="76">
        <f ca="1">EFEITO!$J$541*EFEITO!$Y$478</f>
        <v>7689.2428338523578</v>
      </c>
      <c r="K541" s="76">
        <f ca="1">EFEITO!$L$541*EFEITO!$Z$478</f>
        <v>14002.514580791041</v>
      </c>
      <c r="L541" s="76">
        <f>EFEITO!$N$541*EFEITO!$AA$478</f>
        <v>31913.030819460902</v>
      </c>
      <c r="M541" s="76">
        <f ca="1">$J$541-EFEITO!$K$541*EFEITO!$Y$541</f>
        <v>230.67728501557121</v>
      </c>
      <c r="N541" s="76">
        <f ca="1">$K$541-EFEITO!$M$541*EFEITO!$Z$541</f>
        <v>420.07543742373127</v>
      </c>
      <c r="O541" s="76">
        <f>$L$541-EFEITO!$O$541*EFEITO!$AA$541</f>
        <v>957.39092458382584</v>
      </c>
      <c r="P541" s="18"/>
      <c r="Q541" s="18"/>
      <c r="R541" s="18"/>
      <c r="S541" s="18"/>
      <c r="T541" s="18"/>
      <c r="U541" s="18"/>
      <c r="V541" s="18"/>
      <c r="W541" s="18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62" t="s">
        <v>21</v>
      </c>
      <c r="B542" s="62" t="s">
        <v>41</v>
      </c>
      <c r="C542" s="62" t="s">
        <v>40</v>
      </c>
      <c r="D542" s="62" t="s">
        <v>51</v>
      </c>
      <c r="E542" s="62" t="s">
        <v>52</v>
      </c>
      <c r="F542" s="62" t="s">
        <v>25</v>
      </c>
      <c r="G542" s="62" t="s">
        <v>25</v>
      </c>
      <c r="H542" s="62" t="s">
        <v>34</v>
      </c>
      <c r="I542" s="75">
        <v>44348</v>
      </c>
      <c r="J542" s="76">
        <f ca="1">EFEITO!$J$542*EFEITO!$Y$503</f>
        <v>40494.000921776722</v>
      </c>
      <c r="K542" s="76">
        <f ca="1">EFEITO!$L$542*EFEITO!$Z$503</f>
        <v>3242.79898250721</v>
      </c>
      <c r="L542" s="76">
        <f>EFEITO!$N$542*EFEITO!$AA$503</f>
        <v>12034.628176500208</v>
      </c>
      <c r="M542" s="76">
        <f ca="1">$J$542-EFEITO!$K$542*EFEITO!$Y$542</f>
        <v>1214.8200276533025</v>
      </c>
      <c r="N542" s="76">
        <f ca="1">$K$542-EFEITO!$M$542*EFEITO!$Z$542</f>
        <v>97.283969475216054</v>
      </c>
      <c r="O542" s="76">
        <f>$L$542-EFEITO!$O$542*EFEITO!$AA$542</f>
        <v>361.03884529500465</v>
      </c>
      <c r="P542" s="18"/>
      <c r="Q542" s="18"/>
      <c r="R542" s="18"/>
      <c r="S542" s="18"/>
      <c r="T542" s="18"/>
      <c r="U542" s="18"/>
      <c r="V542" s="18"/>
      <c r="W542" s="18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62" t="s">
        <v>27</v>
      </c>
      <c r="B543" s="62" t="s">
        <v>41</v>
      </c>
      <c r="C543" s="62" t="s">
        <v>40</v>
      </c>
      <c r="D543" s="62" t="s">
        <v>51</v>
      </c>
      <c r="E543" s="62" t="s">
        <v>52</v>
      </c>
      <c r="F543" s="62" t="s">
        <v>25</v>
      </c>
      <c r="G543" s="62" t="s">
        <v>25</v>
      </c>
      <c r="H543" s="62" t="s">
        <v>34</v>
      </c>
      <c r="I543" s="75">
        <v>44348</v>
      </c>
      <c r="J543" s="76">
        <f ca="1">EFEITO!$J$543*EFEITO!$Y$503</f>
        <v>2413.0503342585757</v>
      </c>
      <c r="K543" s="76">
        <f ca="1">EFEITO!$L$543*EFEITO!$Z$503</f>
        <v>0</v>
      </c>
      <c r="L543" s="76">
        <f>EFEITO!$N$543*EFEITO!$AA$503</f>
        <v>0</v>
      </c>
      <c r="M543" s="76">
        <f ca="1">$J$543-EFEITO!$K$543*EFEITO!$Y$543</f>
        <v>72.391510027757249</v>
      </c>
      <c r="N543" s="76">
        <f ca="1">$K$543-EFEITO!$M$543*EFEITO!$Z$543</f>
        <v>0</v>
      </c>
      <c r="O543" s="76">
        <f>$L$543-EFEITO!$O$543*EFEITO!$AA$543</f>
        <v>0</v>
      </c>
      <c r="P543" s="18"/>
      <c r="Q543" s="18"/>
      <c r="R543" s="18"/>
      <c r="S543" s="18"/>
      <c r="T543" s="18"/>
      <c r="U543" s="18"/>
      <c r="V543" s="18"/>
      <c r="W543" s="18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62" t="s">
        <v>21</v>
      </c>
      <c r="B544" s="62" t="s">
        <v>41</v>
      </c>
      <c r="C544" s="62" t="s">
        <v>40</v>
      </c>
      <c r="D544" s="62" t="s">
        <v>51</v>
      </c>
      <c r="E544" s="62" t="s">
        <v>52</v>
      </c>
      <c r="F544" s="62" t="s">
        <v>25</v>
      </c>
      <c r="G544" s="62" t="s">
        <v>25</v>
      </c>
      <c r="H544" s="62" t="s">
        <v>34</v>
      </c>
      <c r="I544" s="75">
        <v>44378</v>
      </c>
      <c r="J544" s="76">
        <f ca="1">EFEITO!$J$544*EFEITO!$Y$503</f>
        <v>41474.302620069269</v>
      </c>
      <c r="K544" s="76">
        <f ca="1">EFEITO!$L$544*EFEITO!$Z$503</f>
        <v>3185.7631029674562</v>
      </c>
      <c r="L544" s="76">
        <f>EFEITO!$N$544*EFEITO!$AA$503</f>
        <v>11822.957454175666</v>
      </c>
      <c r="M544" s="76">
        <f ca="1">$J$544-EFEITO!$K$544*EFEITO!$Y$544</f>
        <v>1244.2290786020749</v>
      </c>
      <c r="N544" s="76">
        <f ca="1">$K$544-EFEITO!$M$544*EFEITO!$Z$544</f>
        <v>95.572893089023637</v>
      </c>
      <c r="O544" s="76">
        <f>$L$544-EFEITO!$O$544*EFEITO!$AA$544</f>
        <v>354.68872362526963</v>
      </c>
      <c r="P544" s="18"/>
      <c r="Q544" s="18"/>
      <c r="R544" s="18"/>
      <c r="S544" s="18"/>
      <c r="T544" s="18"/>
      <c r="U544" s="18"/>
      <c r="V544" s="18"/>
      <c r="W544" s="18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62" t="s">
        <v>27</v>
      </c>
      <c r="B545" s="62" t="s">
        <v>41</v>
      </c>
      <c r="C545" s="62" t="s">
        <v>40</v>
      </c>
      <c r="D545" s="62" t="s">
        <v>51</v>
      </c>
      <c r="E545" s="62" t="s">
        <v>52</v>
      </c>
      <c r="F545" s="62" t="s">
        <v>25</v>
      </c>
      <c r="G545" s="62" t="s">
        <v>25</v>
      </c>
      <c r="H545" s="62" t="s">
        <v>34</v>
      </c>
      <c r="I545" s="75">
        <v>44378</v>
      </c>
      <c r="J545" s="76">
        <f ca="1">EFEITO!$J$545*EFEITO!$Y$503</f>
        <v>1055.7095212381269</v>
      </c>
      <c r="K545" s="76">
        <f ca="1">EFEITO!$L$545*EFEITO!$Z$503</f>
        <v>-60.196904188945034</v>
      </c>
      <c r="L545" s="76">
        <f>EFEITO!$N$545*EFEITO!$AA$503</f>
        <v>-223.40187079072226</v>
      </c>
      <c r="M545" s="76">
        <f ca="1">$J$545-EFEITO!$K$545*EFEITO!$Y$545</f>
        <v>31.671285637143683</v>
      </c>
      <c r="N545" s="76">
        <f ca="1">$K$545-EFEITO!$M$545*EFEITO!$Z$545</f>
        <v>-1.8059071256683481</v>
      </c>
      <c r="O545" s="76">
        <f>$L$545-EFEITO!$O$545*EFEITO!$AA$545</f>
        <v>-6.7020561237216612</v>
      </c>
      <c r="P545" s="18"/>
      <c r="Q545" s="18"/>
      <c r="R545" s="18"/>
      <c r="S545" s="18"/>
      <c r="T545" s="18"/>
      <c r="U545" s="18"/>
      <c r="V545" s="18"/>
      <c r="W545" s="18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62" t="s">
        <v>21</v>
      </c>
      <c r="B546" s="62" t="s">
        <v>41</v>
      </c>
      <c r="C546" s="62" t="s">
        <v>40</v>
      </c>
      <c r="D546" s="62" t="s">
        <v>51</v>
      </c>
      <c r="E546" s="62" t="s">
        <v>52</v>
      </c>
      <c r="F546" s="62" t="s">
        <v>25</v>
      </c>
      <c r="G546" s="62" t="s">
        <v>25</v>
      </c>
      <c r="H546" s="62" t="s">
        <v>34</v>
      </c>
      <c r="I546" s="75">
        <v>44409</v>
      </c>
      <c r="J546" s="76">
        <f ca="1">EFEITO!$J$546*EFEITO!$Y$503</f>
        <v>41172.671328286946</v>
      </c>
      <c r="K546" s="76">
        <f ca="1">EFEITO!$L$546*EFEITO!$Z$503</f>
        <v>3116.4954323938755</v>
      </c>
      <c r="L546" s="76">
        <f>EFEITO!$N$546*EFEITO!$AA$503</f>
        <v>11565.892287786341</v>
      </c>
      <c r="M546" s="76">
        <f ca="1">$J$546-EFEITO!$K$546*EFEITO!$Y$546</f>
        <v>1235.1801398486059</v>
      </c>
      <c r="N546" s="76">
        <f ca="1">$K$546-EFEITO!$M$546*EFEITO!$Z$546</f>
        <v>93.494862971816019</v>
      </c>
      <c r="O546" s="76">
        <f>$L$546-EFEITO!$O$546*EFEITO!$AA$546</f>
        <v>346.97676863358902</v>
      </c>
      <c r="P546" s="18"/>
      <c r="Q546" s="18"/>
      <c r="R546" s="18"/>
      <c r="S546" s="18"/>
      <c r="T546" s="18"/>
      <c r="U546" s="18"/>
      <c r="V546" s="18"/>
      <c r="W546" s="18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62" t="s">
        <v>21</v>
      </c>
      <c r="B547" s="62" t="s">
        <v>41</v>
      </c>
      <c r="C547" s="62" t="s">
        <v>40</v>
      </c>
      <c r="D547" s="62" t="s">
        <v>51</v>
      </c>
      <c r="E547" s="62" t="s">
        <v>52</v>
      </c>
      <c r="F547" s="62" t="s">
        <v>25</v>
      </c>
      <c r="G547" s="62" t="s">
        <v>25</v>
      </c>
      <c r="H547" s="62" t="s">
        <v>34</v>
      </c>
      <c r="I547" s="75">
        <v>44440</v>
      </c>
      <c r="J547" s="76">
        <f ca="1">EFEITO!$J$547*EFEITO!$Y$503</f>
        <v>41097.263505341369</v>
      </c>
      <c r="K547" s="76">
        <f ca="1">EFEITO!$L$547*EFEITO!$Z$503</f>
        <v>3050.8010940324243</v>
      </c>
      <c r="L547" s="76">
        <f>EFEITO!$N$547*EFEITO!$AA$503</f>
        <v>11322.088419663134</v>
      </c>
      <c r="M547" s="76">
        <f ca="1">$J$547-EFEITO!$K$547*EFEITO!$Y$547</f>
        <v>1232.9179051602405</v>
      </c>
      <c r="N547" s="76">
        <f ca="1">$K$547-EFEITO!$M$547*EFEITO!$Z$547</f>
        <v>91.524032820972479</v>
      </c>
      <c r="O547" s="76">
        <f>$L$547-EFEITO!$O$547*EFEITO!$AA$547</f>
        <v>339.6626525898937</v>
      </c>
      <c r="P547" s="18"/>
      <c r="Q547" s="18"/>
      <c r="R547" s="18"/>
      <c r="S547" s="18"/>
      <c r="T547" s="18"/>
      <c r="U547" s="18"/>
      <c r="V547" s="18"/>
      <c r="W547" s="18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62" t="s">
        <v>21</v>
      </c>
      <c r="B548" s="62" t="s">
        <v>41</v>
      </c>
      <c r="C548" s="62" t="s">
        <v>40</v>
      </c>
      <c r="D548" s="62" t="s">
        <v>51</v>
      </c>
      <c r="E548" s="62" t="s">
        <v>52</v>
      </c>
      <c r="F548" s="62" t="s">
        <v>25</v>
      </c>
      <c r="G548" s="62" t="s">
        <v>25</v>
      </c>
      <c r="H548" s="62" t="s">
        <v>34</v>
      </c>
      <c r="I548" s="75">
        <v>44470</v>
      </c>
      <c r="J548" s="76">
        <f ca="1">EFEITO!$J$548*EFEITO!$Y$503</f>
        <v>19153.587028177444</v>
      </c>
      <c r="K548" s="76">
        <f ca="1">EFEITO!$L$548*EFEITO!$Z$503</f>
        <v>1190.3319342019474</v>
      </c>
      <c r="L548" s="76">
        <f>EFEITO!$N$548*EFEITO!$AA$503</f>
        <v>4417.5424724165423</v>
      </c>
      <c r="M548" s="76">
        <f ca="1">$J$548-EFEITO!$K$548*EFEITO!$Y$548</f>
        <v>574.60761084532351</v>
      </c>
      <c r="N548" s="76">
        <f ca="1">$K$548-EFEITO!$M$548*EFEITO!$Z$548</f>
        <v>35.70995802605853</v>
      </c>
      <c r="O548" s="76">
        <f>$L$548-EFEITO!$O$548*EFEITO!$AA$548</f>
        <v>132.52627417249641</v>
      </c>
      <c r="P548" s="18"/>
      <c r="Q548" s="18"/>
      <c r="R548" s="18"/>
      <c r="S548" s="18"/>
      <c r="T548" s="18"/>
      <c r="U548" s="18"/>
      <c r="V548" s="18"/>
      <c r="W548" s="18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62" t="s">
        <v>21</v>
      </c>
      <c r="B549" s="62" t="s">
        <v>41</v>
      </c>
      <c r="C549" s="62" t="s">
        <v>40</v>
      </c>
      <c r="D549" s="62" t="s">
        <v>51</v>
      </c>
      <c r="E549" s="62" t="s">
        <v>52</v>
      </c>
      <c r="F549" s="62" t="s">
        <v>25</v>
      </c>
      <c r="G549" s="62" t="s">
        <v>25</v>
      </c>
      <c r="H549" s="62" t="s">
        <v>34</v>
      </c>
      <c r="I549" s="75">
        <v>44501</v>
      </c>
      <c r="J549" s="76">
        <f ca="1">EFEITO!$J$549*EFEITO!$Y$503</f>
        <v>16891.35233981003</v>
      </c>
      <c r="K549" s="76">
        <f ca="1">EFEITO!$L$549*EFEITO!$Z$503</f>
        <v>976.48174489144867</v>
      </c>
      <c r="L549" s="76">
        <f>EFEITO!$N$549*EFEITO!$AA$503</f>
        <v>3623.9047761828351</v>
      </c>
      <c r="M549" s="76">
        <f ca="1">$J$549-EFEITO!$K$549*EFEITO!$Y$549</f>
        <v>506.74057019429893</v>
      </c>
      <c r="N549" s="76">
        <f ca="1">$K$549-EFEITO!$M$549*EFEITO!$Z$549</f>
        <v>29.294452346743469</v>
      </c>
      <c r="O549" s="76">
        <f>$L$549-EFEITO!$O$549*EFEITO!$AA$549</f>
        <v>108.71714328548524</v>
      </c>
      <c r="P549" s="18"/>
      <c r="Q549" s="18"/>
      <c r="R549" s="18"/>
      <c r="S549" s="18"/>
      <c r="T549" s="18"/>
      <c r="U549" s="18"/>
      <c r="V549" s="18"/>
      <c r="W549" s="18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62" t="s">
        <v>21</v>
      </c>
      <c r="B550" s="62" t="s">
        <v>41</v>
      </c>
      <c r="C550" s="62" t="s">
        <v>40</v>
      </c>
      <c r="D550" s="62" t="s">
        <v>51</v>
      </c>
      <c r="E550" s="62" t="s">
        <v>52</v>
      </c>
      <c r="F550" s="62" t="s">
        <v>25</v>
      </c>
      <c r="G550" s="62" t="s">
        <v>25</v>
      </c>
      <c r="H550" s="62" t="s">
        <v>34</v>
      </c>
      <c r="I550" s="75">
        <v>44531</v>
      </c>
      <c r="J550" s="76">
        <f ca="1">EFEITO!$J$550*EFEITO!$Y$503</f>
        <v>16966.760162755611</v>
      </c>
      <c r="K550" s="76">
        <f ca="1">EFEITO!$L$550*EFEITO!$Z$503</f>
        <v>1156.1104064780952</v>
      </c>
      <c r="L550" s="76">
        <f>EFEITO!$N$550*EFEITO!$AA$503</f>
        <v>4290.5400390218165</v>
      </c>
      <c r="M550" s="76">
        <f ca="1">$J$550-EFEITO!$K$550*EFEITO!$Y$550</f>
        <v>509.00280488266799</v>
      </c>
      <c r="N550" s="76">
        <f ca="1">$K$550-EFEITO!$M$550*EFEITO!$Z$550</f>
        <v>34.683312194342989</v>
      </c>
      <c r="O550" s="76">
        <f>$L$550-EFEITO!$O$550*EFEITO!$AA$550</f>
        <v>128.71620117065413</v>
      </c>
      <c r="P550" s="18"/>
      <c r="Q550" s="18"/>
      <c r="R550" s="18"/>
      <c r="S550" s="18"/>
      <c r="T550" s="18"/>
      <c r="U550" s="18"/>
      <c r="V550" s="18"/>
      <c r="W550" s="18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62" t="s">
        <v>21</v>
      </c>
      <c r="B551" s="62" t="s">
        <v>41</v>
      </c>
      <c r="C551" s="62" t="s">
        <v>40</v>
      </c>
      <c r="D551" s="62" t="s">
        <v>51</v>
      </c>
      <c r="E551" s="62" t="s">
        <v>52</v>
      </c>
      <c r="F551" s="62" t="s">
        <v>25</v>
      </c>
      <c r="G551" s="62" t="s">
        <v>25</v>
      </c>
      <c r="H551" s="62" t="s">
        <v>34</v>
      </c>
      <c r="I551" s="75">
        <v>44562</v>
      </c>
      <c r="J551" s="76">
        <f ca="1">EFEITO!$J$551*EFEITO!$Y$503</f>
        <v>17419.207100429092</v>
      </c>
      <c r="K551" s="76">
        <f ca="1">EFEITO!$L$551*EFEITO!$Z$503</f>
        <v>1192.8057795795753</v>
      </c>
      <c r="L551" s="76">
        <f>EFEITO!$N$551*EFEITO!$AA$503</f>
        <v>4426.7233712161606</v>
      </c>
      <c r="M551" s="76">
        <f ca="1">$J$551-EFEITO!$K$551*EFEITO!$Y$551</f>
        <v>522.57621301287145</v>
      </c>
      <c r="N551" s="76">
        <f ca="1">$K$551-EFEITO!$M$551*EFEITO!$Z$551</f>
        <v>35.784173387387227</v>
      </c>
      <c r="O551" s="76">
        <f>$L$551-EFEITO!$O$551*EFEITO!$AA$551</f>
        <v>132.80170113648455</v>
      </c>
      <c r="P551" s="18"/>
      <c r="Q551" s="18"/>
      <c r="R551" s="18"/>
      <c r="S551" s="18"/>
      <c r="T551" s="18"/>
      <c r="U551" s="18"/>
      <c r="V551" s="18"/>
      <c r="W551" s="18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62" t="s">
        <v>21</v>
      </c>
      <c r="B552" s="62" t="s">
        <v>41</v>
      </c>
      <c r="C552" s="62" t="s">
        <v>40</v>
      </c>
      <c r="D552" s="62" t="s">
        <v>51</v>
      </c>
      <c r="E552" s="62" t="s">
        <v>52</v>
      </c>
      <c r="F552" s="62" t="s">
        <v>25</v>
      </c>
      <c r="G552" s="62" t="s">
        <v>25</v>
      </c>
      <c r="H552" s="62" t="s">
        <v>34</v>
      </c>
      <c r="I552" s="75">
        <v>44593</v>
      </c>
      <c r="J552" s="76">
        <f ca="1">EFEITO!$J$552*EFEITO!$Y$503</f>
        <v>17796.246215156996</v>
      </c>
      <c r="K552" s="76">
        <f ca="1">EFEITO!$L$552*EFEITO!$Z$503</f>
        <v>1306.4652310961451</v>
      </c>
      <c r="L552" s="76">
        <f>EFEITO!$N$552*EFEITO!$AA$503</f>
        <v>4848.5346660653104</v>
      </c>
      <c r="M552" s="76">
        <f ca="1">$J$552-EFEITO!$K$552*EFEITO!$Y$552</f>
        <v>533.88738645470949</v>
      </c>
      <c r="N552" s="76">
        <f ca="1">$K$552-EFEITO!$M$552*EFEITO!$Z$552</f>
        <v>39.193956932884475</v>
      </c>
      <c r="O552" s="76">
        <f>$L$552-EFEITO!$O$552*EFEITO!$AA$552</f>
        <v>145.45603998195929</v>
      </c>
      <c r="P552" s="18"/>
      <c r="Q552" s="18"/>
      <c r="R552" s="18"/>
      <c r="S552" s="18"/>
      <c r="T552" s="18"/>
      <c r="U552" s="18"/>
      <c r="V552" s="18"/>
      <c r="W552" s="18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62" t="s">
        <v>21</v>
      </c>
      <c r="B553" s="62" t="s">
        <v>41</v>
      </c>
      <c r="C553" s="62" t="s">
        <v>40</v>
      </c>
      <c r="D553" s="62" t="s">
        <v>51</v>
      </c>
      <c r="E553" s="62" t="s">
        <v>52</v>
      </c>
      <c r="F553" s="62" t="s">
        <v>25</v>
      </c>
      <c r="G553" s="62" t="s">
        <v>25</v>
      </c>
      <c r="H553" s="62" t="s">
        <v>34</v>
      </c>
      <c r="I553" s="75">
        <v>44621</v>
      </c>
      <c r="J553" s="76">
        <f ca="1">EFEITO!$J$553*EFEITO!$Y$503</f>
        <v>17720.838392211415</v>
      </c>
      <c r="K553" s="76">
        <f ca="1">EFEITO!$L$553*EFEITO!$Z$503</f>
        <v>1384.5287963457358</v>
      </c>
      <c r="L553" s="76">
        <f>EFEITO!$N$553*EFEITO!$AA$503</f>
        <v>5138.2430281866118</v>
      </c>
      <c r="M553" s="76">
        <f ca="1">$J$553-EFEITO!$K$553*EFEITO!$Y$553</f>
        <v>531.62515176634042</v>
      </c>
      <c r="N553" s="76">
        <f ca="1">$K$553-EFEITO!$M$553*EFEITO!$Z$553</f>
        <v>41.535863890372184</v>
      </c>
      <c r="O553" s="76">
        <f>$L$553-EFEITO!$O$553*EFEITO!$AA$553</f>
        <v>154.14729084559804</v>
      </c>
      <c r="P553" s="18"/>
      <c r="Q553" s="18"/>
      <c r="R553" s="18"/>
      <c r="S553" s="18"/>
      <c r="T553" s="18"/>
      <c r="U553" s="18"/>
      <c r="V553" s="18"/>
      <c r="W553" s="18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62" t="s">
        <v>21</v>
      </c>
      <c r="B554" s="62" t="s">
        <v>41</v>
      </c>
      <c r="C554" s="62" t="s">
        <v>40</v>
      </c>
      <c r="D554" s="62" t="s">
        <v>51</v>
      </c>
      <c r="E554" s="62" t="s">
        <v>52</v>
      </c>
      <c r="F554" s="62" t="s">
        <v>25</v>
      </c>
      <c r="G554" s="62" t="s">
        <v>25</v>
      </c>
      <c r="H554" s="62" t="s">
        <v>34</v>
      </c>
      <c r="I554" s="75">
        <v>44652</v>
      </c>
      <c r="J554" s="76">
        <f ca="1">EFEITO!$J$554*EFEITO!$Y$503</f>
        <v>17268.391454537934</v>
      </c>
      <c r="K554" s="76">
        <f ca="1">EFEITO!$L$554*EFEITO!$Z$503</f>
        <v>1528.4241358110908</v>
      </c>
      <c r="L554" s="76">
        <f>EFEITO!$N$554*EFEITO!$AA$503</f>
        <v>5672.2653083644345</v>
      </c>
      <c r="M554" s="76">
        <f ca="1">$J$554-EFEITO!$K$554*EFEITO!$Y$554</f>
        <v>518.0517436361406</v>
      </c>
      <c r="N554" s="76">
        <f ca="1">$K$554-EFEITO!$M$554*EFEITO!$Z$554</f>
        <v>45.852724074332627</v>
      </c>
      <c r="O554" s="76">
        <f>$L$554-EFEITO!$O$554*EFEITO!$AA$554</f>
        <v>170.16795925093265</v>
      </c>
      <c r="P554" s="18"/>
      <c r="Q554" s="18"/>
      <c r="R554" s="18"/>
      <c r="S554" s="18"/>
      <c r="T554" s="18"/>
      <c r="U554" s="18"/>
      <c r="V554" s="18"/>
      <c r="W554" s="18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62" t="s">
        <v>58</v>
      </c>
      <c r="B555" s="62" t="s">
        <v>41</v>
      </c>
      <c r="C555" s="62" t="s">
        <v>40</v>
      </c>
      <c r="D555" s="62" t="s">
        <v>51</v>
      </c>
      <c r="E555" s="62" t="s">
        <v>52</v>
      </c>
      <c r="F555" s="62" t="s">
        <v>25</v>
      </c>
      <c r="G555" s="62" t="s">
        <v>25</v>
      </c>
      <c r="H555" s="62" t="s">
        <v>34</v>
      </c>
      <c r="I555" s="75">
        <v>44682</v>
      </c>
      <c r="J555" s="76">
        <f ca="1">EFEITO!$J$555*EFEITO!$Y$503</f>
        <v>17268.391454537934</v>
      </c>
      <c r="K555" s="76">
        <f ca="1">EFEITO!$L$555*EFEITO!$Z$503</f>
        <v>1528.4241358110908</v>
      </c>
      <c r="L555" s="76">
        <f>EFEITO!$N$555*EFEITO!$AA$503</f>
        <v>5672.2653083644345</v>
      </c>
      <c r="M555" s="76">
        <f ca="1">$J$555-EFEITO!$K$555*EFEITO!$Y$555</f>
        <v>518.0517436361406</v>
      </c>
      <c r="N555" s="76">
        <f ca="1">$K$555-EFEITO!$M$555*EFEITO!$Z$555</f>
        <v>45.852724074332627</v>
      </c>
      <c r="O555" s="76">
        <f>$L$555-EFEITO!$O$555*EFEITO!$AA$555</f>
        <v>170.16795925093265</v>
      </c>
      <c r="P555" s="18"/>
      <c r="Q555" s="18"/>
      <c r="R555" s="18"/>
      <c r="S555" s="18"/>
      <c r="T555" s="18"/>
      <c r="U555" s="18"/>
      <c r="V555" s="18"/>
      <c r="W555" s="18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62" t="s">
        <v>21</v>
      </c>
      <c r="B556" s="62" t="s">
        <v>41</v>
      </c>
      <c r="C556" s="62" t="s">
        <v>81</v>
      </c>
      <c r="D556" s="62" t="s">
        <v>25</v>
      </c>
      <c r="E556" s="62" t="s">
        <v>25</v>
      </c>
      <c r="F556" s="62" t="s">
        <v>25</v>
      </c>
      <c r="G556" s="62" t="s">
        <v>82</v>
      </c>
      <c r="H556" s="62" t="s">
        <v>35</v>
      </c>
      <c r="I556" s="75">
        <v>44348</v>
      </c>
      <c r="J556" s="76">
        <f ca="1">EFEITO!$J$556*EFEITO!$Y$556</f>
        <v>55059.948558627642</v>
      </c>
      <c r="K556" s="76">
        <f ca="1">EFEITO!$L$556*EFEITO!$Z$556</f>
        <v>0</v>
      </c>
      <c r="L556" s="76">
        <f>EFEITO!$N$556*EFEITO!$AA$556</f>
        <v>0</v>
      </c>
      <c r="M556" s="76">
        <f ca="1">$J$556-EFEITO!$K$556*EFEITO!$Y$556</f>
        <v>0</v>
      </c>
      <c r="N556" s="76">
        <f ca="1">$K$556-EFEITO!$M$556*EFEITO!$Z$556</f>
        <v>0</v>
      </c>
      <c r="O556" s="76">
        <f>$L$556-EFEITO!$O$556*EFEITO!$AA$556</f>
        <v>0</v>
      </c>
      <c r="P556" s="18"/>
      <c r="Q556" s="18"/>
      <c r="R556" s="18"/>
      <c r="S556" s="18"/>
      <c r="T556" s="18"/>
      <c r="U556" s="18"/>
      <c r="V556" s="18"/>
      <c r="W556" s="18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62" t="s">
        <v>21</v>
      </c>
      <c r="B557" s="62" t="s">
        <v>41</v>
      </c>
      <c r="C557" s="62" t="s">
        <v>81</v>
      </c>
      <c r="D557" s="62" t="s">
        <v>25</v>
      </c>
      <c r="E557" s="62" t="s">
        <v>25</v>
      </c>
      <c r="F557" s="62" t="s">
        <v>25</v>
      </c>
      <c r="G557" s="62" t="s">
        <v>82</v>
      </c>
      <c r="H557" s="62" t="s">
        <v>35</v>
      </c>
      <c r="I557" s="75">
        <v>44378</v>
      </c>
      <c r="J557" s="76">
        <f ca="1">EFEITO!$J$557*EFEITO!$Y$557</f>
        <v>55059.948558627642</v>
      </c>
      <c r="K557" s="76">
        <f ca="1">EFEITO!$L$557*EFEITO!$Z$557</f>
        <v>0</v>
      </c>
      <c r="L557" s="76">
        <f>EFEITO!$N$557*EFEITO!$AA$557</f>
        <v>0</v>
      </c>
      <c r="M557" s="76">
        <f ca="1">$J$557-EFEITO!$K$557*EFEITO!$Y$557</f>
        <v>0</v>
      </c>
      <c r="N557" s="76">
        <f ca="1">$K$557-EFEITO!$M$557*EFEITO!$Z$557</f>
        <v>0</v>
      </c>
      <c r="O557" s="76">
        <f>$L$557-EFEITO!$O$557*EFEITO!$AA$557</f>
        <v>0</v>
      </c>
      <c r="P557" s="18"/>
      <c r="Q557" s="18"/>
      <c r="R557" s="18"/>
      <c r="S557" s="18"/>
      <c r="T557" s="18"/>
      <c r="U557" s="18"/>
      <c r="V557" s="18"/>
      <c r="W557" s="18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62" t="s">
        <v>21</v>
      </c>
      <c r="B558" s="62" t="s">
        <v>41</v>
      </c>
      <c r="C558" s="62" t="s">
        <v>81</v>
      </c>
      <c r="D558" s="62" t="s">
        <v>25</v>
      </c>
      <c r="E558" s="62" t="s">
        <v>25</v>
      </c>
      <c r="F558" s="62" t="s">
        <v>25</v>
      </c>
      <c r="G558" s="62" t="s">
        <v>82</v>
      </c>
      <c r="H558" s="62" t="s">
        <v>35</v>
      </c>
      <c r="I558" s="75">
        <v>44409</v>
      </c>
      <c r="J558" s="76">
        <f ca="1">EFEITO!$J$558*EFEITO!$Y$558</f>
        <v>55059.948558627642</v>
      </c>
      <c r="K558" s="76">
        <f ca="1">EFEITO!$L$558*EFEITO!$Z$558</f>
        <v>0</v>
      </c>
      <c r="L558" s="76">
        <f>EFEITO!$N$558*EFEITO!$AA$558</f>
        <v>0</v>
      </c>
      <c r="M558" s="76">
        <f ca="1">$J$558-EFEITO!$K$558*EFEITO!$Y$558</f>
        <v>0</v>
      </c>
      <c r="N558" s="76">
        <f ca="1">$K$558-EFEITO!$M$558*EFEITO!$Z$558</f>
        <v>0</v>
      </c>
      <c r="O558" s="76">
        <f>$L$558-EFEITO!$O$558*EFEITO!$AA$558</f>
        <v>0</v>
      </c>
      <c r="P558" s="18"/>
      <c r="Q558" s="18"/>
      <c r="R558" s="18"/>
      <c r="S558" s="18"/>
      <c r="T558" s="18"/>
      <c r="U558" s="18"/>
      <c r="V558" s="18"/>
      <c r="W558" s="1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62" t="s">
        <v>21</v>
      </c>
      <c r="B559" s="62" t="s">
        <v>41</v>
      </c>
      <c r="C559" s="62" t="s">
        <v>81</v>
      </c>
      <c r="D559" s="62" t="s">
        <v>25</v>
      </c>
      <c r="E559" s="62" t="s">
        <v>25</v>
      </c>
      <c r="F559" s="62" t="s">
        <v>25</v>
      </c>
      <c r="G559" s="62" t="s">
        <v>82</v>
      </c>
      <c r="H559" s="62" t="s">
        <v>35</v>
      </c>
      <c r="I559" s="75">
        <v>44440</v>
      </c>
      <c r="J559" s="76">
        <f ca="1">EFEITO!$J$559*EFEITO!$Y$559</f>
        <v>55059.948558627642</v>
      </c>
      <c r="K559" s="76">
        <f ca="1">EFEITO!$L$559*EFEITO!$Z$559</f>
        <v>0</v>
      </c>
      <c r="L559" s="76">
        <f>EFEITO!$N$559*EFEITO!$AA$559</f>
        <v>0</v>
      </c>
      <c r="M559" s="76">
        <f ca="1">$J$559-EFEITO!$K$559*EFEITO!$Y$559</f>
        <v>0</v>
      </c>
      <c r="N559" s="76">
        <f ca="1">$K$559-EFEITO!$M$559*EFEITO!$Z$559</f>
        <v>0</v>
      </c>
      <c r="O559" s="76">
        <f>$L$559-EFEITO!$O$559*EFEITO!$AA$559</f>
        <v>0</v>
      </c>
      <c r="P559" s="18"/>
      <c r="Q559" s="18"/>
      <c r="R559" s="18"/>
      <c r="S559" s="18"/>
      <c r="T559" s="18"/>
      <c r="U559" s="18"/>
      <c r="V559" s="18"/>
      <c r="W559" s="18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62" t="s">
        <v>21</v>
      </c>
      <c r="B560" s="62" t="s">
        <v>41</v>
      </c>
      <c r="C560" s="62" t="s">
        <v>81</v>
      </c>
      <c r="D560" s="62" t="s">
        <v>25</v>
      </c>
      <c r="E560" s="62" t="s">
        <v>25</v>
      </c>
      <c r="F560" s="62" t="s">
        <v>25</v>
      </c>
      <c r="G560" s="62" t="s">
        <v>82</v>
      </c>
      <c r="H560" s="62" t="s">
        <v>35</v>
      </c>
      <c r="I560" s="75">
        <v>44470</v>
      </c>
      <c r="J560" s="76">
        <f ca="1">EFEITO!$J$560*EFEITO!$Y$560</f>
        <v>55059.948558627642</v>
      </c>
      <c r="K560" s="76">
        <f ca="1">EFEITO!$L$560*EFEITO!$Z$560</f>
        <v>0</v>
      </c>
      <c r="L560" s="76">
        <f>EFEITO!$N$560*EFEITO!$AA$560</f>
        <v>0</v>
      </c>
      <c r="M560" s="76">
        <f ca="1">$J$560-EFEITO!$K$560*EFEITO!$Y$560</f>
        <v>0</v>
      </c>
      <c r="N560" s="76">
        <f ca="1">$K$560-EFEITO!$M$560*EFEITO!$Z$560</f>
        <v>0</v>
      </c>
      <c r="O560" s="76">
        <f>$L$560-EFEITO!$O$560*EFEITO!$AA$560</f>
        <v>0</v>
      </c>
      <c r="P560" s="18"/>
      <c r="Q560" s="18"/>
      <c r="R560" s="18"/>
      <c r="S560" s="18"/>
      <c r="T560" s="18"/>
      <c r="U560" s="18"/>
      <c r="V560" s="18"/>
      <c r="W560" s="18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62" t="s">
        <v>21</v>
      </c>
      <c r="B561" s="62" t="s">
        <v>41</v>
      </c>
      <c r="C561" s="62" t="s">
        <v>81</v>
      </c>
      <c r="D561" s="62" t="s">
        <v>25</v>
      </c>
      <c r="E561" s="62" t="s">
        <v>25</v>
      </c>
      <c r="F561" s="62" t="s">
        <v>25</v>
      </c>
      <c r="G561" s="62" t="s">
        <v>82</v>
      </c>
      <c r="H561" s="62" t="s">
        <v>35</v>
      </c>
      <c r="I561" s="75">
        <v>44501</v>
      </c>
      <c r="J561" s="76">
        <f ca="1">EFEITO!$J$561*EFEITO!$Y$561</f>
        <v>55059.948558627642</v>
      </c>
      <c r="K561" s="76">
        <f ca="1">EFEITO!$L$561*EFEITO!$Z$561</f>
        <v>0</v>
      </c>
      <c r="L561" s="76">
        <f>EFEITO!$N$561*EFEITO!$AA$561</f>
        <v>0</v>
      </c>
      <c r="M561" s="76">
        <f ca="1">$J$561-EFEITO!$K$561*EFEITO!$Y$561</f>
        <v>0</v>
      </c>
      <c r="N561" s="76">
        <f ca="1">$K$561-EFEITO!$M$561*EFEITO!$Z$561</f>
        <v>0</v>
      </c>
      <c r="O561" s="76">
        <f>$L$561-EFEITO!$O$561*EFEITO!$AA$561</f>
        <v>0</v>
      </c>
      <c r="P561" s="18"/>
      <c r="Q561" s="18"/>
      <c r="R561" s="18"/>
      <c r="S561" s="18"/>
      <c r="T561" s="18"/>
      <c r="U561" s="18"/>
      <c r="V561" s="18"/>
      <c r="W561" s="18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62" t="s">
        <v>21</v>
      </c>
      <c r="B562" s="62" t="s">
        <v>41</v>
      </c>
      <c r="C562" s="62" t="s">
        <v>81</v>
      </c>
      <c r="D562" s="62" t="s">
        <v>25</v>
      </c>
      <c r="E562" s="62" t="s">
        <v>25</v>
      </c>
      <c r="F562" s="62" t="s">
        <v>25</v>
      </c>
      <c r="G562" s="62" t="s">
        <v>82</v>
      </c>
      <c r="H562" s="62" t="s">
        <v>35</v>
      </c>
      <c r="I562" s="75">
        <v>44531</v>
      </c>
      <c r="J562" s="76">
        <f ca="1">EFEITO!$J$562*EFEITO!$Y$562</f>
        <v>55059.948558627642</v>
      </c>
      <c r="K562" s="76">
        <f ca="1">EFEITO!$L$562*EFEITO!$Z$562</f>
        <v>0</v>
      </c>
      <c r="L562" s="76">
        <f>EFEITO!$N$562*EFEITO!$AA$562</f>
        <v>0</v>
      </c>
      <c r="M562" s="76">
        <f ca="1">$J$562-EFEITO!$K$562*EFEITO!$Y$562</f>
        <v>0</v>
      </c>
      <c r="N562" s="76">
        <f ca="1">$K$562-EFEITO!$M$562*EFEITO!$Z$562</f>
        <v>0</v>
      </c>
      <c r="O562" s="76">
        <f>$L$562-EFEITO!$O$562*EFEITO!$AA$562</f>
        <v>0</v>
      </c>
      <c r="P562" s="18"/>
      <c r="Q562" s="18"/>
      <c r="R562" s="18"/>
      <c r="S562" s="18"/>
      <c r="T562" s="18"/>
      <c r="U562" s="18"/>
      <c r="V562" s="18"/>
      <c r="W562" s="18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62" t="s">
        <v>21</v>
      </c>
      <c r="B563" s="62" t="s">
        <v>41</v>
      </c>
      <c r="C563" s="62" t="s">
        <v>81</v>
      </c>
      <c r="D563" s="62" t="s">
        <v>25</v>
      </c>
      <c r="E563" s="62" t="s">
        <v>25</v>
      </c>
      <c r="F563" s="62" t="s">
        <v>25</v>
      </c>
      <c r="G563" s="62" t="s">
        <v>82</v>
      </c>
      <c r="H563" s="62" t="s">
        <v>35</v>
      </c>
      <c r="I563" s="75">
        <v>44562</v>
      </c>
      <c r="J563" s="76">
        <f ca="1">EFEITO!$J$563*EFEITO!$Y$563</f>
        <v>55059.948558627642</v>
      </c>
      <c r="K563" s="76">
        <f ca="1">EFEITO!$L$563*EFEITO!$Z$563</f>
        <v>0</v>
      </c>
      <c r="L563" s="76">
        <f>EFEITO!$N$563*EFEITO!$AA$563</f>
        <v>0</v>
      </c>
      <c r="M563" s="76">
        <f ca="1">$J$563-EFEITO!$K$563*EFEITO!$Y$563</f>
        <v>0</v>
      </c>
      <c r="N563" s="76">
        <f ca="1">$K$563-EFEITO!$M$563*EFEITO!$Z$563</f>
        <v>0</v>
      </c>
      <c r="O563" s="76">
        <f>$L$563-EFEITO!$O$563*EFEITO!$AA$563</f>
        <v>0</v>
      </c>
      <c r="P563" s="18"/>
      <c r="Q563" s="18"/>
      <c r="R563" s="18"/>
      <c r="S563" s="18"/>
      <c r="T563" s="18"/>
      <c r="U563" s="18"/>
      <c r="V563" s="18"/>
      <c r="W563" s="18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62" t="s">
        <v>21</v>
      </c>
      <c r="B564" s="62" t="s">
        <v>41</v>
      </c>
      <c r="C564" s="62" t="s">
        <v>81</v>
      </c>
      <c r="D564" s="62" t="s">
        <v>25</v>
      </c>
      <c r="E564" s="62" t="s">
        <v>25</v>
      </c>
      <c r="F564" s="62" t="s">
        <v>25</v>
      </c>
      <c r="G564" s="62" t="s">
        <v>82</v>
      </c>
      <c r="H564" s="62" t="s">
        <v>35</v>
      </c>
      <c r="I564" s="75">
        <v>44593</v>
      </c>
      <c r="J564" s="76">
        <f ca="1">EFEITO!$J$564*EFEITO!$Y$564</f>
        <v>55059.948558627642</v>
      </c>
      <c r="K564" s="76">
        <f ca="1">EFEITO!$L$564*EFEITO!$Z$564</f>
        <v>0</v>
      </c>
      <c r="L564" s="76">
        <f>EFEITO!$N$564*EFEITO!$AA$564</f>
        <v>0</v>
      </c>
      <c r="M564" s="76">
        <f ca="1">$J$564-EFEITO!$K$564*EFEITO!$Y$564</f>
        <v>0</v>
      </c>
      <c r="N564" s="76">
        <f ca="1">$K$564-EFEITO!$M$564*EFEITO!$Z$564</f>
        <v>0</v>
      </c>
      <c r="O564" s="76">
        <f>$L$564-EFEITO!$O$564*EFEITO!$AA$564</f>
        <v>0</v>
      </c>
      <c r="P564" s="18"/>
      <c r="Q564" s="18"/>
      <c r="R564" s="18"/>
      <c r="S564" s="18"/>
      <c r="T564" s="18"/>
      <c r="U564" s="18"/>
      <c r="V564" s="18"/>
      <c r="W564" s="18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62" t="s">
        <v>21</v>
      </c>
      <c r="B565" s="62" t="s">
        <v>41</v>
      </c>
      <c r="C565" s="62" t="s">
        <v>81</v>
      </c>
      <c r="D565" s="62" t="s">
        <v>25</v>
      </c>
      <c r="E565" s="62" t="s">
        <v>25</v>
      </c>
      <c r="F565" s="62" t="s">
        <v>25</v>
      </c>
      <c r="G565" s="62" t="s">
        <v>82</v>
      </c>
      <c r="H565" s="62" t="s">
        <v>35</v>
      </c>
      <c r="I565" s="75">
        <v>44621</v>
      </c>
      <c r="J565" s="76">
        <f ca="1">EFEITO!$J$565*EFEITO!$Y$565</f>
        <v>55059.948558627642</v>
      </c>
      <c r="K565" s="76">
        <f ca="1">EFEITO!$L$565*EFEITO!$Z$565</f>
        <v>0</v>
      </c>
      <c r="L565" s="76">
        <f>EFEITO!$N$565*EFEITO!$AA$565</f>
        <v>0</v>
      </c>
      <c r="M565" s="76">
        <f ca="1">$J$565-EFEITO!$K$565*EFEITO!$Y$565</f>
        <v>0</v>
      </c>
      <c r="N565" s="76">
        <f ca="1">$K$565-EFEITO!$M$565*EFEITO!$Z$565</f>
        <v>0</v>
      </c>
      <c r="O565" s="76">
        <f>$L$565-EFEITO!$O$565*EFEITO!$AA$565</f>
        <v>0</v>
      </c>
      <c r="P565" s="18"/>
      <c r="Q565" s="18"/>
      <c r="R565" s="18"/>
      <c r="S565" s="18"/>
      <c r="T565" s="18"/>
      <c r="U565" s="18"/>
      <c r="V565" s="18"/>
      <c r="W565" s="18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62" t="s">
        <v>21</v>
      </c>
      <c r="B566" s="62" t="s">
        <v>41</v>
      </c>
      <c r="C566" s="62" t="s">
        <v>81</v>
      </c>
      <c r="D566" s="62" t="s">
        <v>25</v>
      </c>
      <c r="E566" s="62" t="s">
        <v>25</v>
      </c>
      <c r="F566" s="62" t="s">
        <v>25</v>
      </c>
      <c r="G566" s="62" t="s">
        <v>82</v>
      </c>
      <c r="H566" s="62" t="s">
        <v>35</v>
      </c>
      <c r="I566" s="75">
        <v>44652</v>
      </c>
      <c r="J566" s="76">
        <f ca="1">EFEITO!$J$566*EFEITO!$Y$566</f>
        <v>55059.948558627642</v>
      </c>
      <c r="K566" s="76">
        <f ca="1">EFEITO!$L$566*EFEITO!$Z$566</f>
        <v>0</v>
      </c>
      <c r="L566" s="76">
        <f>EFEITO!$N$566*EFEITO!$AA$566</f>
        <v>0</v>
      </c>
      <c r="M566" s="76">
        <f ca="1">$J$566-EFEITO!$K$566*EFEITO!$Y$566</f>
        <v>0</v>
      </c>
      <c r="N566" s="76">
        <f ca="1">$K$566-EFEITO!$M$566*EFEITO!$Z$566</f>
        <v>0</v>
      </c>
      <c r="O566" s="76">
        <f>$L$566-EFEITO!$O$566*EFEITO!$AA$566</f>
        <v>0</v>
      </c>
      <c r="P566" s="18"/>
      <c r="Q566" s="18"/>
      <c r="R566" s="18"/>
      <c r="S566" s="18"/>
      <c r="T566" s="18"/>
      <c r="U566" s="18"/>
      <c r="V566" s="18"/>
      <c r="W566" s="18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62" t="s">
        <v>58</v>
      </c>
      <c r="B567" s="62" t="s">
        <v>41</v>
      </c>
      <c r="C567" s="62" t="s">
        <v>81</v>
      </c>
      <c r="D567" s="62" t="s">
        <v>25</v>
      </c>
      <c r="E567" s="62" t="s">
        <v>25</v>
      </c>
      <c r="F567" s="62" t="s">
        <v>25</v>
      </c>
      <c r="G567" s="62" t="s">
        <v>82</v>
      </c>
      <c r="H567" s="62" t="s">
        <v>35</v>
      </c>
      <c r="I567" s="75">
        <v>44682</v>
      </c>
      <c r="J567" s="76">
        <f ca="1">EFEITO!$J$567*EFEITO!$Y$567</f>
        <v>55059.948558627642</v>
      </c>
      <c r="K567" s="76">
        <f ca="1">EFEITO!$L$567*EFEITO!$Z$567</f>
        <v>0</v>
      </c>
      <c r="L567" s="76">
        <f>EFEITO!$N$567*EFEITO!$AA$567</f>
        <v>0</v>
      </c>
      <c r="M567" s="76">
        <f ca="1">$J$567-EFEITO!$K$567*EFEITO!$Y$567</f>
        <v>0</v>
      </c>
      <c r="N567" s="76">
        <f ca="1">$K$567-EFEITO!$M$567*EFEITO!$Z$567</f>
        <v>0</v>
      </c>
      <c r="O567" s="76">
        <f>$L$567-EFEITO!$O$567*EFEITO!$AA$567</f>
        <v>0</v>
      </c>
      <c r="P567" s="18"/>
      <c r="Q567" s="18"/>
      <c r="R567" s="18"/>
      <c r="S567" s="18"/>
      <c r="T567" s="18"/>
      <c r="U567" s="18"/>
      <c r="V567" s="18"/>
      <c r="W567" s="18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62" t="s">
        <v>21</v>
      </c>
      <c r="B568" s="62" t="s">
        <v>41</v>
      </c>
      <c r="C568" s="62" t="s">
        <v>81</v>
      </c>
      <c r="D568" s="62" t="s">
        <v>25</v>
      </c>
      <c r="E568" s="62" t="s">
        <v>25</v>
      </c>
      <c r="F568" s="62" t="s">
        <v>25</v>
      </c>
      <c r="G568" s="62" t="s">
        <v>82</v>
      </c>
      <c r="H568" s="62" t="s">
        <v>25</v>
      </c>
      <c r="I568" s="75">
        <v>44348</v>
      </c>
      <c r="J568" s="76">
        <f ca="1">EFEITO!$J$568*EFEITO!$Y$568</f>
        <v>0</v>
      </c>
      <c r="K568" s="76">
        <f ca="1">EFEITO!$L$568*EFEITO!$Z$568</f>
        <v>17165.682495809091</v>
      </c>
      <c r="L568" s="76">
        <f>EFEITO!$N$568*EFEITO!$AA$568</f>
        <v>0</v>
      </c>
      <c r="M568" s="76">
        <f ca="1">$J$568-EFEITO!$K$568*EFEITO!$Y$568</f>
        <v>0</v>
      </c>
      <c r="N568" s="76">
        <f ca="1">$K$568-EFEITO!$M$568*EFEITO!$Z$568</f>
        <v>0</v>
      </c>
      <c r="O568" s="76">
        <f>$L$568-EFEITO!$O$568*EFEITO!$AA$568</f>
        <v>0</v>
      </c>
      <c r="P568" s="18"/>
      <c r="Q568" s="18"/>
      <c r="R568" s="18"/>
      <c r="S568" s="18"/>
      <c r="T568" s="18"/>
      <c r="U568" s="18"/>
      <c r="V568" s="18"/>
      <c r="W568" s="1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62" t="s">
        <v>21</v>
      </c>
      <c r="B569" s="62" t="s">
        <v>41</v>
      </c>
      <c r="C569" s="62" t="s">
        <v>81</v>
      </c>
      <c r="D569" s="62" t="s">
        <v>25</v>
      </c>
      <c r="E569" s="62" t="s">
        <v>25</v>
      </c>
      <c r="F569" s="62" t="s">
        <v>25</v>
      </c>
      <c r="G569" s="62" t="s">
        <v>82</v>
      </c>
      <c r="H569" s="62" t="s">
        <v>25</v>
      </c>
      <c r="I569" s="75">
        <v>44378</v>
      </c>
      <c r="J569" s="76">
        <f ca="1">EFEITO!$J$569*EFEITO!$Y$569</f>
        <v>0</v>
      </c>
      <c r="K569" s="76">
        <f ca="1">EFEITO!$L$569*EFEITO!$Z$569</f>
        <v>15965.435896914385</v>
      </c>
      <c r="L569" s="76">
        <f>EFEITO!$N$569*EFEITO!$AA$569</f>
        <v>0</v>
      </c>
      <c r="M569" s="76">
        <f ca="1">$J$569-EFEITO!$K$569*EFEITO!$Y$569</f>
        <v>0</v>
      </c>
      <c r="N569" s="76">
        <f ca="1">$K$569-EFEITO!$M$569*EFEITO!$Z$569</f>
        <v>0</v>
      </c>
      <c r="O569" s="76">
        <f>$L$569-EFEITO!$O$569*EFEITO!$AA$569</f>
        <v>0</v>
      </c>
      <c r="P569" s="18"/>
      <c r="Q569" s="18"/>
      <c r="R569" s="18"/>
      <c r="S569" s="18"/>
      <c r="T569" s="18"/>
      <c r="U569" s="18"/>
      <c r="V569" s="18"/>
      <c r="W569" s="18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62" t="s">
        <v>21</v>
      </c>
      <c r="B570" s="62" t="s">
        <v>41</v>
      </c>
      <c r="C570" s="62" t="s">
        <v>81</v>
      </c>
      <c r="D570" s="62" t="s">
        <v>25</v>
      </c>
      <c r="E570" s="62" t="s">
        <v>25</v>
      </c>
      <c r="F570" s="62" t="s">
        <v>25</v>
      </c>
      <c r="G570" s="62" t="s">
        <v>82</v>
      </c>
      <c r="H570" s="62" t="s">
        <v>25</v>
      </c>
      <c r="I570" s="75">
        <v>44409</v>
      </c>
      <c r="J570" s="76">
        <f ca="1">EFEITO!$J$570*EFEITO!$Y$570</f>
        <v>0</v>
      </c>
      <c r="K570" s="76">
        <f ca="1">EFEITO!$L$570*EFEITO!$Z$570</f>
        <v>15851.650477784595</v>
      </c>
      <c r="L570" s="76">
        <f>EFEITO!$N$570*EFEITO!$AA$570</f>
        <v>0</v>
      </c>
      <c r="M570" s="76">
        <f ca="1">$J$570-EFEITO!$K$570*EFEITO!$Y$570</f>
        <v>0</v>
      </c>
      <c r="N570" s="76">
        <f ca="1">$K$570-EFEITO!$M$570*EFEITO!$Z$570</f>
        <v>0</v>
      </c>
      <c r="O570" s="76">
        <f>$L$570-EFEITO!$O$570*EFEITO!$AA$570</f>
        <v>0</v>
      </c>
      <c r="P570" s="18"/>
      <c r="Q570" s="18"/>
      <c r="R570" s="18"/>
      <c r="S570" s="18"/>
      <c r="T570" s="18"/>
      <c r="U570" s="18"/>
      <c r="V570" s="18"/>
      <c r="W570" s="18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62" t="s">
        <v>21</v>
      </c>
      <c r="B571" s="62" t="s">
        <v>41</v>
      </c>
      <c r="C571" s="62" t="s">
        <v>81</v>
      </c>
      <c r="D571" s="62" t="s">
        <v>25</v>
      </c>
      <c r="E571" s="62" t="s">
        <v>25</v>
      </c>
      <c r="F571" s="62" t="s">
        <v>25</v>
      </c>
      <c r="G571" s="62" t="s">
        <v>82</v>
      </c>
      <c r="H571" s="62" t="s">
        <v>25</v>
      </c>
      <c r="I571" s="75">
        <v>44440</v>
      </c>
      <c r="J571" s="76">
        <f ca="1">EFEITO!$J$571*EFEITO!$Y$571</f>
        <v>0</v>
      </c>
      <c r="K571" s="76">
        <f ca="1">EFEITO!$L$571*EFEITO!$Z$571</f>
        <v>16558.049192041657</v>
      </c>
      <c r="L571" s="76">
        <f>EFEITO!$N$571*EFEITO!$AA$571</f>
        <v>0</v>
      </c>
      <c r="M571" s="76">
        <f ca="1">$J$571-EFEITO!$K$571*EFEITO!$Y$571</f>
        <v>0</v>
      </c>
      <c r="N571" s="76">
        <f ca="1">$K$571-EFEITO!$M$571*EFEITO!$Z$571</f>
        <v>0</v>
      </c>
      <c r="O571" s="76">
        <f>$L$571-EFEITO!$O$571*EFEITO!$AA$571</f>
        <v>0</v>
      </c>
      <c r="P571" s="18"/>
      <c r="Q571" s="18"/>
      <c r="R571" s="18"/>
      <c r="S571" s="18"/>
      <c r="T571" s="18"/>
      <c r="U571" s="18"/>
      <c r="V571" s="18"/>
      <c r="W571" s="18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62" t="s">
        <v>21</v>
      </c>
      <c r="B572" s="62" t="s">
        <v>41</v>
      </c>
      <c r="C572" s="62" t="s">
        <v>81</v>
      </c>
      <c r="D572" s="62" t="s">
        <v>25</v>
      </c>
      <c r="E572" s="62" t="s">
        <v>25</v>
      </c>
      <c r="F572" s="62" t="s">
        <v>25</v>
      </c>
      <c r="G572" s="62" t="s">
        <v>82</v>
      </c>
      <c r="H572" s="62" t="s">
        <v>25</v>
      </c>
      <c r="I572" s="75">
        <v>44470</v>
      </c>
      <c r="J572" s="76">
        <f ca="1">EFEITO!$J$572*EFEITO!$Y$572</f>
        <v>0</v>
      </c>
      <c r="K572" s="76">
        <f ca="1">EFEITO!$L$572*EFEITO!$Z$572</f>
        <v>17812.438651485307</v>
      </c>
      <c r="L572" s="76">
        <f>EFEITO!$N$572*EFEITO!$AA$572</f>
        <v>0</v>
      </c>
      <c r="M572" s="76">
        <f ca="1">$J$572-EFEITO!$K$572*EFEITO!$Y$572</f>
        <v>0</v>
      </c>
      <c r="N572" s="76">
        <f ca="1">$K$572-EFEITO!$M$572*EFEITO!$Z$572</f>
        <v>0</v>
      </c>
      <c r="O572" s="76">
        <f>$L$572-EFEITO!$O$572*EFEITO!$AA$572</f>
        <v>0</v>
      </c>
      <c r="P572" s="18"/>
      <c r="Q572" s="18"/>
      <c r="R572" s="18"/>
      <c r="S572" s="18"/>
      <c r="T572" s="18"/>
      <c r="U572" s="18"/>
      <c r="V572" s="18"/>
      <c r="W572" s="18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62" t="s">
        <v>21</v>
      </c>
      <c r="B573" s="62" t="s">
        <v>41</v>
      </c>
      <c r="C573" s="62" t="s">
        <v>81</v>
      </c>
      <c r="D573" s="62" t="s">
        <v>25</v>
      </c>
      <c r="E573" s="62" t="s">
        <v>25</v>
      </c>
      <c r="F573" s="62" t="s">
        <v>25</v>
      </c>
      <c r="G573" s="62" t="s">
        <v>82</v>
      </c>
      <c r="H573" s="62" t="s">
        <v>25</v>
      </c>
      <c r="I573" s="75">
        <v>44501</v>
      </c>
      <c r="J573" s="76">
        <f ca="1">EFEITO!$J$573*EFEITO!$Y$573</f>
        <v>0</v>
      </c>
      <c r="K573" s="76">
        <f ca="1">EFEITO!$L$573*EFEITO!$Z$573</f>
        <v>17242.469946360612</v>
      </c>
      <c r="L573" s="76">
        <f>EFEITO!$N$573*EFEITO!$AA$573</f>
        <v>0</v>
      </c>
      <c r="M573" s="76">
        <f ca="1">$J$573-EFEITO!$K$573*EFEITO!$Y$573</f>
        <v>0</v>
      </c>
      <c r="N573" s="76">
        <f ca="1">$K$573-EFEITO!$M$573*EFEITO!$Z$573</f>
        <v>0</v>
      </c>
      <c r="O573" s="76">
        <f>$L$573-EFEITO!$O$573*EFEITO!$AA$573</f>
        <v>0</v>
      </c>
      <c r="P573" s="18"/>
      <c r="Q573" s="18"/>
      <c r="R573" s="18"/>
      <c r="S573" s="18"/>
      <c r="T573" s="18"/>
      <c r="U573" s="18"/>
      <c r="V573" s="18"/>
      <c r="W573" s="18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62" t="s">
        <v>21</v>
      </c>
      <c r="B574" s="62" t="s">
        <v>41</v>
      </c>
      <c r="C574" s="62" t="s">
        <v>81</v>
      </c>
      <c r="D574" s="62" t="s">
        <v>25</v>
      </c>
      <c r="E574" s="62" t="s">
        <v>25</v>
      </c>
      <c r="F574" s="62" t="s">
        <v>25</v>
      </c>
      <c r="G574" s="62" t="s">
        <v>82</v>
      </c>
      <c r="H574" s="62" t="s">
        <v>25</v>
      </c>
      <c r="I574" s="75">
        <v>44531</v>
      </c>
      <c r="J574" s="76">
        <f ca="1">EFEITO!$J$574*EFEITO!$Y$574</f>
        <v>0</v>
      </c>
      <c r="K574" s="76">
        <f ca="1">EFEITO!$L$574*EFEITO!$Z$574</f>
        <v>16912.529728825346</v>
      </c>
      <c r="L574" s="76">
        <f>EFEITO!$N$574*EFEITO!$AA$574</f>
        <v>0</v>
      </c>
      <c r="M574" s="76">
        <f ca="1">$J$574-EFEITO!$K$574*EFEITO!$Y$574</f>
        <v>0</v>
      </c>
      <c r="N574" s="76">
        <f ca="1">$K$574-EFEITO!$M$574*EFEITO!$Z$574</f>
        <v>0</v>
      </c>
      <c r="O574" s="76">
        <f>$L$574-EFEITO!$O$574*EFEITO!$AA$574</f>
        <v>0</v>
      </c>
      <c r="P574" s="18"/>
      <c r="Q574" s="18"/>
      <c r="R574" s="18"/>
      <c r="S574" s="18"/>
      <c r="T574" s="18"/>
      <c r="U574" s="18"/>
      <c r="V574" s="18"/>
      <c r="W574" s="18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62" t="s">
        <v>21</v>
      </c>
      <c r="B575" s="62" t="s">
        <v>41</v>
      </c>
      <c r="C575" s="62" t="s">
        <v>81</v>
      </c>
      <c r="D575" s="62" t="s">
        <v>25</v>
      </c>
      <c r="E575" s="62" t="s">
        <v>25</v>
      </c>
      <c r="F575" s="62" t="s">
        <v>25</v>
      </c>
      <c r="G575" s="62" t="s">
        <v>82</v>
      </c>
      <c r="H575" s="62" t="s">
        <v>25</v>
      </c>
      <c r="I575" s="75">
        <v>44562</v>
      </c>
      <c r="J575" s="76">
        <f ca="1">EFEITO!$J$575*EFEITO!$Y$575</f>
        <v>0</v>
      </c>
      <c r="K575" s="76">
        <f ca="1">EFEITO!$L$575*EFEITO!$Z$575</f>
        <v>18711.660111891277</v>
      </c>
      <c r="L575" s="76">
        <f>EFEITO!$N$575*EFEITO!$AA$575</f>
        <v>0</v>
      </c>
      <c r="M575" s="76">
        <f ca="1">$J$575-EFEITO!$K$575*EFEITO!$Y$575</f>
        <v>0</v>
      </c>
      <c r="N575" s="76">
        <f ca="1">$K$575-EFEITO!$M$575*EFEITO!$Z$575</f>
        <v>0</v>
      </c>
      <c r="O575" s="76">
        <f>$L$575-EFEITO!$O$575*EFEITO!$AA$575</f>
        <v>0</v>
      </c>
      <c r="P575" s="18"/>
      <c r="Q575" s="18"/>
      <c r="R575" s="18"/>
      <c r="S575" s="18"/>
      <c r="T575" s="18"/>
      <c r="U575" s="18"/>
      <c r="V575" s="18"/>
      <c r="W575" s="18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62" t="s">
        <v>21</v>
      </c>
      <c r="B576" s="62" t="s">
        <v>41</v>
      </c>
      <c r="C576" s="62" t="s">
        <v>81</v>
      </c>
      <c r="D576" s="62" t="s">
        <v>25</v>
      </c>
      <c r="E576" s="62" t="s">
        <v>25</v>
      </c>
      <c r="F576" s="62" t="s">
        <v>25</v>
      </c>
      <c r="G576" s="62" t="s">
        <v>82</v>
      </c>
      <c r="H576" s="62" t="s">
        <v>25</v>
      </c>
      <c r="I576" s="75">
        <v>44593</v>
      </c>
      <c r="J576" s="76">
        <f ca="1">EFEITO!$J$576*EFEITO!$Y$576</f>
        <v>0</v>
      </c>
      <c r="K576" s="76">
        <f ca="1">EFEITO!$L$576*EFEITO!$Z$576</f>
        <v>19467.014471508097</v>
      </c>
      <c r="L576" s="76">
        <f>EFEITO!$N$576*EFEITO!$AA$576</f>
        <v>0</v>
      </c>
      <c r="M576" s="76">
        <f ca="1">$J$576-EFEITO!$K$576*EFEITO!$Y$576</f>
        <v>0</v>
      </c>
      <c r="N576" s="76">
        <f ca="1">$K$576-EFEITO!$M$576*EFEITO!$Z$576</f>
        <v>0</v>
      </c>
      <c r="O576" s="76">
        <f>$L$576-EFEITO!$O$576*EFEITO!$AA$576</f>
        <v>0</v>
      </c>
      <c r="P576" s="18"/>
      <c r="Q576" s="18"/>
      <c r="R576" s="18"/>
      <c r="S576" s="18"/>
      <c r="T576" s="18"/>
      <c r="U576" s="18"/>
      <c r="V576" s="18"/>
      <c r="W576" s="18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62" t="s">
        <v>21</v>
      </c>
      <c r="B577" s="62" t="s">
        <v>41</v>
      </c>
      <c r="C577" s="62" t="s">
        <v>81</v>
      </c>
      <c r="D577" s="62" t="s">
        <v>25</v>
      </c>
      <c r="E577" s="62" t="s">
        <v>25</v>
      </c>
      <c r="F577" s="62" t="s">
        <v>25</v>
      </c>
      <c r="G577" s="62" t="s">
        <v>82</v>
      </c>
      <c r="H577" s="62" t="s">
        <v>25</v>
      </c>
      <c r="I577" s="75">
        <v>44621</v>
      </c>
      <c r="J577" s="76">
        <f ca="1">EFEITO!$J$577*EFEITO!$Y$577</f>
        <v>0</v>
      </c>
      <c r="K577" s="76">
        <f ca="1">EFEITO!$L$577*EFEITO!$Z$577</f>
        <v>17334.694049342594</v>
      </c>
      <c r="L577" s="76">
        <f>EFEITO!$N$577*EFEITO!$AA$577</f>
        <v>0</v>
      </c>
      <c r="M577" s="76">
        <f ca="1">$J$577-EFEITO!$K$577*EFEITO!$Y$577</f>
        <v>0</v>
      </c>
      <c r="N577" s="76">
        <f ca="1">$K$577-EFEITO!$M$577*EFEITO!$Z$577</f>
        <v>0</v>
      </c>
      <c r="O577" s="76">
        <f>$L$577-EFEITO!$O$577*EFEITO!$AA$577</f>
        <v>0</v>
      </c>
      <c r="P577" s="18"/>
      <c r="Q577" s="18"/>
      <c r="R577" s="18"/>
      <c r="S577" s="18"/>
      <c r="T577" s="18"/>
      <c r="U577" s="18"/>
      <c r="V577" s="18"/>
      <c r="W577" s="18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62" t="s">
        <v>21</v>
      </c>
      <c r="B578" s="62" t="s">
        <v>41</v>
      </c>
      <c r="C578" s="62" t="s">
        <v>81</v>
      </c>
      <c r="D578" s="62" t="s">
        <v>25</v>
      </c>
      <c r="E578" s="62" t="s">
        <v>25</v>
      </c>
      <c r="F578" s="62" t="s">
        <v>25</v>
      </c>
      <c r="G578" s="62" t="s">
        <v>82</v>
      </c>
      <c r="H578" s="62" t="s">
        <v>25</v>
      </c>
      <c r="I578" s="75">
        <v>44652</v>
      </c>
      <c r="J578" s="76">
        <f ca="1">EFEITO!$J$578*EFEITO!$Y$578</f>
        <v>0</v>
      </c>
      <c r="K578" s="76">
        <f ca="1">EFEITO!$L$578*EFEITO!$Z$578</f>
        <v>20652.261893952156</v>
      </c>
      <c r="L578" s="76">
        <f>EFEITO!$N$578*EFEITO!$AA$578</f>
        <v>0</v>
      </c>
      <c r="M578" s="76">
        <f ca="1">$J$578-EFEITO!$K$578*EFEITO!$Y$578</f>
        <v>0</v>
      </c>
      <c r="N578" s="76">
        <f ca="1">$K$578-EFEITO!$M$578*EFEITO!$Z$578</f>
        <v>0</v>
      </c>
      <c r="O578" s="76">
        <f>$L$578-EFEITO!$O$578*EFEITO!$AA$578</f>
        <v>0</v>
      </c>
      <c r="P578" s="18"/>
      <c r="Q578" s="18"/>
      <c r="R578" s="18"/>
      <c r="S578" s="18"/>
      <c r="T578" s="18"/>
      <c r="U578" s="18"/>
      <c r="V578" s="18"/>
      <c r="W578" s="18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62" t="s">
        <v>58</v>
      </c>
      <c r="B579" s="62" t="s">
        <v>41</v>
      </c>
      <c r="C579" s="62" t="s">
        <v>81</v>
      </c>
      <c r="D579" s="62" t="s">
        <v>25</v>
      </c>
      <c r="E579" s="62" t="s">
        <v>25</v>
      </c>
      <c r="F579" s="62" t="s">
        <v>25</v>
      </c>
      <c r="G579" s="62" t="s">
        <v>82</v>
      </c>
      <c r="H579" s="62" t="s">
        <v>25</v>
      </c>
      <c r="I579" s="75">
        <v>44682</v>
      </c>
      <c r="J579" s="76">
        <f ca="1">EFEITO!$J$579*EFEITO!$Y$579</f>
        <v>0</v>
      </c>
      <c r="K579" s="76">
        <f ca="1">EFEITO!$L$579*EFEITO!$Z$579</f>
        <v>20652.261893952156</v>
      </c>
      <c r="L579" s="76">
        <f>EFEITO!$N$579*EFEITO!$AA$579</f>
        <v>0</v>
      </c>
      <c r="M579" s="76">
        <f ca="1">$J$579-EFEITO!$K$579*EFEITO!$Y$579</f>
        <v>0</v>
      </c>
      <c r="N579" s="76">
        <f ca="1">$K$579-EFEITO!$M$579*EFEITO!$Z$579</f>
        <v>0</v>
      </c>
      <c r="O579" s="76">
        <f>$L$579-EFEITO!$O$579*EFEITO!$AA$579</f>
        <v>0</v>
      </c>
      <c r="P579" s="18"/>
      <c r="Q579" s="18"/>
      <c r="R579" s="18"/>
      <c r="S579" s="18"/>
      <c r="T579" s="18"/>
      <c r="U579" s="18"/>
      <c r="V579" s="18"/>
      <c r="W579" s="18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62" t="s">
        <v>21</v>
      </c>
      <c r="B580" s="62" t="s">
        <v>41</v>
      </c>
      <c r="C580" s="62" t="s">
        <v>81</v>
      </c>
      <c r="D580" s="62" t="s">
        <v>25</v>
      </c>
      <c r="E580" s="62" t="s">
        <v>25</v>
      </c>
      <c r="F580" s="62" t="s">
        <v>25</v>
      </c>
      <c r="G580" s="62" t="s">
        <v>82</v>
      </c>
      <c r="H580" s="62" t="s">
        <v>34</v>
      </c>
      <c r="I580" s="75">
        <v>44348</v>
      </c>
      <c r="J580" s="76">
        <f ca="1">EFEITO!$J$580*EFEITO!$Y$580</f>
        <v>115514.85792314741</v>
      </c>
      <c r="K580" s="76">
        <f ca="1">EFEITO!$L$580*EFEITO!$Z$580</f>
        <v>0</v>
      </c>
      <c r="L580" s="76">
        <f>EFEITO!$N$580*EFEITO!$AA$580</f>
        <v>0</v>
      </c>
      <c r="M580" s="76">
        <f ca="1">$J$580-EFEITO!$K$580*EFEITO!$Y$580</f>
        <v>0</v>
      </c>
      <c r="N580" s="76">
        <f ca="1">$K$580-EFEITO!$M$580*EFEITO!$Z$580</f>
        <v>0</v>
      </c>
      <c r="O580" s="76">
        <f>$L$580-EFEITO!$O$580*EFEITO!$AA$580</f>
        <v>0</v>
      </c>
      <c r="P580" s="18"/>
      <c r="Q580" s="18"/>
      <c r="R580" s="18"/>
      <c r="S580" s="18"/>
      <c r="T580" s="18"/>
      <c r="U580" s="18"/>
      <c r="V580" s="18"/>
      <c r="W580" s="18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62" t="s">
        <v>21</v>
      </c>
      <c r="B581" s="62" t="s">
        <v>41</v>
      </c>
      <c r="C581" s="62" t="s">
        <v>81</v>
      </c>
      <c r="D581" s="62" t="s">
        <v>25</v>
      </c>
      <c r="E581" s="62" t="s">
        <v>25</v>
      </c>
      <c r="F581" s="62" t="s">
        <v>25</v>
      </c>
      <c r="G581" s="62" t="s">
        <v>82</v>
      </c>
      <c r="H581" s="62" t="s">
        <v>34</v>
      </c>
      <c r="I581" s="75">
        <v>44378</v>
      </c>
      <c r="J581" s="76">
        <f ca="1">EFEITO!$J$581*EFEITO!$Y$581</f>
        <v>115514.85792314741</v>
      </c>
      <c r="K581" s="76">
        <f ca="1">EFEITO!$L$581*EFEITO!$Z$581</f>
        <v>0</v>
      </c>
      <c r="L581" s="76">
        <f>EFEITO!$N$581*EFEITO!$AA$581</f>
        <v>0</v>
      </c>
      <c r="M581" s="76">
        <f ca="1">$J$581-EFEITO!$K$581*EFEITO!$Y$581</f>
        <v>0</v>
      </c>
      <c r="N581" s="76">
        <f ca="1">$K$581-EFEITO!$M$581*EFEITO!$Z$581</f>
        <v>0</v>
      </c>
      <c r="O581" s="76">
        <f>$L$581-EFEITO!$O$581*EFEITO!$AA$581</f>
        <v>0</v>
      </c>
      <c r="P581" s="18"/>
      <c r="Q581" s="18"/>
      <c r="R581" s="18"/>
      <c r="S581" s="18"/>
      <c r="T581" s="18"/>
      <c r="U581" s="18"/>
      <c r="V581" s="18"/>
      <c r="W581" s="18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62" t="s">
        <v>21</v>
      </c>
      <c r="B582" s="62" t="s">
        <v>41</v>
      </c>
      <c r="C582" s="62" t="s">
        <v>81</v>
      </c>
      <c r="D582" s="62" t="s">
        <v>25</v>
      </c>
      <c r="E582" s="62" t="s">
        <v>25</v>
      </c>
      <c r="F582" s="62" t="s">
        <v>25</v>
      </c>
      <c r="G582" s="62" t="s">
        <v>82</v>
      </c>
      <c r="H582" s="62" t="s">
        <v>34</v>
      </c>
      <c r="I582" s="75">
        <v>44409</v>
      </c>
      <c r="J582" s="76">
        <f ca="1">EFEITO!$J$582*EFEITO!$Y$582</f>
        <v>115514.85792314741</v>
      </c>
      <c r="K582" s="76">
        <f ca="1">EFEITO!$L$582*EFEITO!$Z$582</f>
        <v>0</v>
      </c>
      <c r="L582" s="76">
        <f>EFEITO!$N$582*EFEITO!$AA$582</f>
        <v>0</v>
      </c>
      <c r="M582" s="76">
        <f ca="1">$J$582-EFEITO!$K$582*EFEITO!$Y$582</f>
        <v>0</v>
      </c>
      <c r="N582" s="76">
        <f ca="1">$K$582-EFEITO!$M$582*EFEITO!$Z$582</f>
        <v>0</v>
      </c>
      <c r="O582" s="76">
        <f>$L$582-EFEITO!$O$582*EFEITO!$AA$582</f>
        <v>0</v>
      </c>
      <c r="P582" s="18"/>
      <c r="Q582" s="18"/>
      <c r="R582" s="18"/>
      <c r="S582" s="18"/>
      <c r="T582" s="18"/>
      <c r="U582" s="18"/>
      <c r="V582" s="18"/>
      <c r="W582" s="18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62" t="s">
        <v>21</v>
      </c>
      <c r="B583" s="62" t="s">
        <v>41</v>
      </c>
      <c r="C583" s="62" t="s">
        <v>81</v>
      </c>
      <c r="D583" s="62" t="s">
        <v>25</v>
      </c>
      <c r="E583" s="62" t="s">
        <v>25</v>
      </c>
      <c r="F583" s="62" t="s">
        <v>25</v>
      </c>
      <c r="G583" s="62" t="s">
        <v>82</v>
      </c>
      <c r="H583" s="62" t="s">
        <v>34</v>
      </c>
      <c r="I583" s="75">
        <v>44440</v>
      </c>
      <c r="J583" s="76">
        <f ca="1">EFEITO!$J$583*EFEITO!$Y$583</f>
        <v>115514.85792314741</v>
      </c>
      <c r="K583" s="76">
        <f ca="1">EFEITO!$L$583*EFEITO!$Z$583</f>
        <v>0</v>
      </c>
      <c r="L583" s="76">
        <f>EFEITO!$N$583*EFEITO!$AA$583</f>
        <v>0</v>
      </c>
      <c r="M583" s="76">
        <f ca="1">$J$583-EFEITO!$K$583*EFEITO!$Y$583</f>
        <v>0</v>
      </c>
      <c r="N583" s="76">
        <f ca="1">$K$583-EFEITO!$M$583*EFEITO!$Z$583</f>
        <v>0</v>
      </c>
      <c r="O583" s="76">
        <f>$L$583-EFEITO!$O$583*EFEITO!$AA$583</f>
        <v>0</v>
      </c>
      <c r="P583" s="18"/>
      <c r="Q583" s="18"/>
      <c r="R583" s="18"/>
      <c r="S583" s="18"/>
      <c r="T583" s="18"/>
      <c r="U583" s="18"/>
      <c r="V583" s="18"/>
      <c r="W583" s="18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62" t="s">
        <v>21</v>
      </c>
      <c r="B584" s="62" t="s">
        <v>41</v>
      </c>
      <c r="C584" s="62" t="s">
        <v>81</v>
      </c>
      <c r="D584" s="62" t="s">
        <v>25</v>
      </c>
      <c r="E584" s="62" t="s">
        <v>25</v>
      </c>
      <c r="F584" s="62" t="s">
        <v>25</v>
      </c>
      <c r="G584" s="62" t="s">
        <v>82</v>
      </c>
      <c r="H584" s="62" t="s">
        <v>34</v>
      </c>
      <c r="I584" s="75">
        <v>44470</v>
      </c>
      <c r="J584" s="76">
        <f ca="1">EFEITO!$J$584*EFEITO!$Y$584</f>
        <v>115514.85792314741</v>
      </c>
      <c r="K584" s="76">
        <f ca="1">EFEITO!$L$584*EFEITO!$Z$584</f>
        <v>0</v>
      </c>
      <c r="L584" s="76">
        <f>EFEITO!$N$584*EFEITO!$AA$584</f>
        <v>0</v>
      </c>
      <c r="M584" s="76">
        <f ca="1">$J$584-EFEITO!$K$584*EFEITO!$Y$584</f>
        <v>0</v>
      </c>
      <c r="N584" s="76">
        <f ca="1">$K$584-EFEITO!$M$584*EFEITO!$Z$584</f>
        <v>0</v>
      </c>
      <c r="O584" s="76">
        <f>$L$584-EFEITO!$O$584*EFEITO!$AA$584</f>
        <v>0</v>
      </c>
      <c r="P584" s="18"/>
      <c r="Q584" s="18"/>
      <c r="R584" s="18"/>
      <c r="S584" s="18"/>
      <c r="T584" s="18"/>
      <c r="U584" s="18"/>
      <c r="V584" s="18"/>
      <c r="W584" s="18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62" t="s">
        <v>21</v>
      </c>
      <c r="B585" s="62" t="s">
        <v>41</v>
      </c>
      <c r="C585" s="62" t="s">
        <v>81</v>
      </c>
      <c r="D585" s="62" t="s">
        <v>25</v>
      </c>
      <c r="E585" s="62" t="s">
        <v>25</v>
      </c>
      <c r="F585" s="62" t="s">
        <v>25</v>
      </c>
      <c r="G585" s="62" t="s">
        <v>82</v>
      </c>
      <c r="H585" s="62" t="s">
        <v>34</v>
      </c>
      <c r="I585" s="75">
        <v>44501</v>
      </c>
      <c r="J585" s="76">
        <f ca="1">EFEITO!$J$585*EFEITO!$Y$585</f>
        <v>115514.85792314741</v>
      </c>
      <c r="K585" s="76">
        <f ca="1">EFEITO!$L$585*EFEITO!$Z$585</f>
        <v>0</v>
      </c>
      <c r="L585" s="76">
        <f>EFEITO!$N$585*EFEITO!$AA$585</f>
        <v>0</v>
      </c>
      <c r="M585" s="76">
        <f ca="1">$J$585-EFEITO!$K$585*EFEITO!$Y$585</f>
        <v>0</v>
      </c>
      <c r="N585" s="76">
        <f ca="1">$K$585-EFEITO!$M$585*EFEITO!$Z$585</f>
        <v>0</v>
      </c>
      <c r="O585" s="76">
        <f>$L$585-EFEITO!$O$585*EFEITO!$AA$585</f>
        <v>0</v>
      </c>
      <c r="P585" s="18"/>
      <c r="Q585" s="18"/>
      <c r="R585" s="18"/>
      <c r="S585" s="18"/>
      <c r="T585" s="18"/>
      <c r="U585" s="18"/>
      <c r="V585" s="18"/>
      <c r="W585" s="18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62" t="s">
        <v>21</v>
      </c>
      <c r="B586" s="62" t="s">
        <v>41</v>
      </c>
      <c r="C586" s="62" t="s">
        <v>81</v>
      </c>
      <c r="D586" s="62" t="s">
        <v>25</v>
      </c>
      <c r="E586" s="62" t="s">
        <v>25</v>
      </c>
      <c r="F586" s="62" t="s">
        <v>25</v>
      </c>
      <c r="G586" s="62" t="s">
        <v>82</v>
      </c>
      <c r="H586" s="62" t="s">
        <v>34</v>
      </c>
      <c r="I586" s="75">
        <v>44531</v>
      </c>
      <c r="J586" s="76">
        <f ca="1">EFEITO!$J$586*EFEITO!$Y$586</f>
        <v>115514.85792314741</v>
      </c>
      <c r="K586" s="76">
        <f ca="1">EFEITO!$L$586*EFEITO!$Z$586</f>
        <v>0</v>
      </c>
      <c r="L586" s="76">
        <f>EFEITO!$N$586*EFEITO!$AA$586</f>
        <v>0</v>
      </c>
      <c r="M586" s="76">
        <f ca="1">$J$586-EFEITO!$K$586*EFEITO!$Y$586</f>
        <v>0</v>
      </c>
      <c r="N586" s="76">
        <f ca="1">$K$586-EFEITO!$M$586*EFEITO!$Z$586</f>
        <v>0</v>
      </c>
      <c r="O586" s="76">
        <f>$L$586-EFEITO!$O$586*EFEITO!$AA$586</f>
        <v>0</v>
      </c>
      <c r="P586" s="18"/>
      <c r="Q586" s="18"/>
      <c r="R586" s="18"/>
      <c r="S586" s="18"/>
      <c r="T586" s="18"/>
      <c r="U586" s="18"/>
      <c r="V586" s="18"/>
      <c r="W586" s="18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62" t="s">
        <v>21</v>
      </c>
      <c r="B587" s="62" t="s">
        <v>41</v>
      </c>
      <c r="C587" s="62" t="s">
        <v>81</v>
      </c>
      <c r="D587" s="62" t="s">
        <v>25</v>
      </c>
      <c r="E587" s="62" t="s">
        <v>25</v>
      </c>
      <c r="F587" s="62" t="s">
        <v>25</v>
      </c>
      <c r="G587" s="62" t="s">
        <v>82</v>
      </c>
      <c r="H587" s="62" t="s">
        <v>34</v>
      </c>
      <c r="I587" s="75">
        <v>44562</v>
      </c>
      <c r="J587" s="76">
        <f ca="1">EFEITO!$J$587*EFEITO!$Y$587</f>
        <v>115514.85792314741</v>
      </c>
      <c r="K587" s="76">
        <f ca="1">EFEITO!$L$587*EFEITO!$Z$587</f>
        <v>0</v>
      </c>
      <c r="L587" s="76">
        <f>EFEITO!$N$587*EFEITO!$AA$587</f>
        <v>0</v>
      </c>
      <c r="M587" s="76">
        <f ca="1">$J$587-EFEITO!$K$587*EFEITO!$Y$587</f>
        <v>0</v>
      </c>
      <c r="N587" s="76">
        <f ca="1">$K$587-EFEITO!$M$587*EFEITO!$Z$587</f>
        <v>0</v>
      </c>
      <c r="O587" s="76">
        <f>$L$587-EFEITO!$O$587*EFEITO!$AA$587</f>
        <v>0</v>
      </c>
      <c r="P587" s="18"/>
      <c r="Q587" s="18"/>
      <c r="R587" s="18"/>
      <c r="S587" s="18"/>
      <c r="T587" s="18"/>
      <c r="U587" s="18"/>
      <c r="V587" s="18"/>
      <c r="W587" s="18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62" t="s">
        <v>21</v>
      </c>
      <c r="B588" s="62" t="s">
        <v>41</v>
      </c>
      <c r="C588" s="62" t="s">
        <v>81</v>
      </c>
      <c r="D588" s="62" t="s">
        <v>25</v>
      </c>
      <c r="E588" s="62" t="s">
        <v>25</v>
      </c>
      <c r="F588" s="62" t="s">
        <v>25</v>
      </c>
      <c r="G588" s="62" t="s">
        <v>82</v>
      </c>
      <c r="H588" s="62" t="s">
        <v>34</v>
      </c>
      <c r="I588" s="75">
        <v>44593</v>
      </c>
      <c r="J588" s="76">
        <f ca="1">EFEITO!$J$588*EFEITO!$Y$588</f>
        <v>115514.85792314741</v>
      </c>
      <c r="K588" s="76">
        <f ca="1">EFEITO!$L$588*EFEITO!$Z$588</f>
        <v>0</v>
      </c>
      <c r="L588" s="76">
        <f>EFEITO!$N$588*EFEITO!$AA$588</f>
        <v>0</v>
      </c>
      <c r="M588" s="76">
        <f ca="1">$J$588-EFEITO!$K$588*EFEITO!$Y$588</f>
        <v>0</v>
      </c>
      <c r="N588" s="76">
        <f ca="1">$K$588-EFEITO!$M$588*EFEITO!$Z$588</f>
        <v>0</v>
      </c>
      <c r="O588" s="76">
        <f>$L$588-EFEITO!$O$588*EFEITO!$AA$588</f>
        <v>0</v>
      </c>
      <c r="P588" s="18"/>
      <c r="Q588" s="18"/>
      <c r="R588" s="18"/>
      <c r="S588" s="18"/>
      <c r="T588" s="18"/>
      <c r="U588" s="18"/>
      <c r="V588" s="18"/>
      <c r="W588" s="18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62" t="s">
        <v>21</v>
      </c>
      <c r="B589" s="62" t="s">
        <v>41</v>
      </c>
      <c r="C589" s="62" t="s">
        <v>81</v>
      </c>
      <c r="D589" s="62" t="s">
        <v>25</v>
      </c>
      <c r="E589" s="62" t="s">
        <v>25</v>
      </c>
      <c r="F589" s="62" t="s">
        <v>25</v>
      </c>
      <c r="G589" s="62" t="s">
        <v>82</v>
      </c>
      <c r="H589" s="62" t="s">
        <v>34</v>
      </c>
      <c r="I589" s="75">
        <v>44621</v>
      </c>
      <c r="J589" s="76">
        <f ca="1">EFEITO!$J$589*EFEITO!$Y$589</f>
        <v>115514.85792314741</v>
      </c>
      <c r="K589" s="76">
        <f ca="1">EFEITO!$L$589*EFEITO!$Z$589</f>
        <v>0</v>
      </c>
      <c r="L589" s="76">
        <f>EFEITO!$N$589*EFEITO!$AA$589</f>
        <v>0</v>
      </c>
      <c r="M589" s="76">
        <f ca="1">$J$589-EFEITO!$K$589*EFEITO!$Y$589</f>
        <v>0</v>
      </c>
      <c r="N589" s="76">
        <f ca="1">$K$589-EFEITO!$M$589*EFEITO!$Z$589</f>
        <v>0</v>
      </c>
      <c r="O589" s="76">
        <f>$L$589-EFEITO!$O$589*EFEITO!$AA$589</f>
        <v>0</v>
      </c>
      <c r="P589" s="18"/>
      <c r="Q589" s="18"/>
      <c r="R589" s="18"/>
      <c r="S589" s="18"/>
      <c r="T589" s="18"/>
      <c r="U589" s="18"/>
      <c r="V589" s="18"/>
      <c r="W589" s="18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62" t="s">
        <v>21</v>
      </c>
      <c r="B590" s="62" t="s">
        <v>41</v>
      </c>
      <c r="C590" s="62" t="s">
        <v>81</v>
      </c>
      <c r="D590" s="62" t="s">
        <v>25</v>
      </c>
      <c r="E590" s="62" t="s">
        <v>25</v>
      </c>
      <c r="F590" s="62" t="s">
        <v>25</v>
      </c>
      <c r="G590" s="62" t="s">
        <v>82</v>
      </c>
      <c r="H590" s="62" t="s">
        <v>34</v>
      </c>
      <c r="I590" s="75">
        <v>44652</v>
      </c>
      <c r="J590" s="76">
        <f ca="1">EFEITO!$J$590*EFEITO!$Y$590</f>
        <v>115514.85792314741</v>
      </c>
      <c r="K590" s="76">
        <f ca="1">EFEITO!$L$590*EFEITO!$Z$590</f>
        <v>0</v>
      </c>
      <c r="L590" s="76">
        <f>EFEITO!$N$590*EFEITO!$AA$590</f>
        <v>0</v>
      </c>
      <c r="M590" s="76">
        <f ca="1">$J$590-EFEITO!$K$590*EFEITO!$Y$590</f>
        <v>0</v>
      </c>
      <c r="N590" s="76">
        <f ca="1">$K$590-EFEITO!$M$590*EFEITO!$Z$590</f>
        <v>0</v>
      </c>
      <c r="O590" s="76">
        <f>$L$590-EFEITO!$O$590*EFEITO!$AA$590</f>
        <v>0</v>
      </c>
      <c r="P590" s="18"/>
      <c r="Q590" s="18"/>
      <c r="R590" s="18"/>
      <c r="S590" s="18"/>
      <c r="T590" s="18"/>
      <c r="U590" s="18"/>
      <c r="V590" s="18"/>
      <c r="W590" s="18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62" t="s">
        <v>58</v>
      </c>
      <c r="B591" s="62" t="s">
        <v>41</v>
      </c>
      <c r="C591" s="62" t="s">
        <v>81</v>
      </c>
      <c r="D591" s="62" t="s">
        <v>25</v>
      </c>
      <c r="E591" s="62" t="s">
        <v>25</v>
      </c>
      <c r="F591" s="62" t="s">
        <v>25</v>
      </c>
      <c r="G591" s="62" t="s">
        <v>82</v>
      </c>
      <c r="H591" s="62" t="s">
        <v>34</v>
      </c>
      <c r="I591" s="75">
        <v>44682</v>
      </c>
      <c r="J591" s="76">
        <f ca="1">EFEITO!$J$591*EFEITO!$Y$591</f>
        <v>115514.85792314741</v>
      </c>
      <c r="K591" s="76">
        <f ca="1">EFEITO!$L$591*EFEITO!$Z$591</f>
        <v>0</v>
      </c>
      <c r="L591" s="76">
        <f>EFEITO!$N$591*EFEITO!$AA$591</f>
        <v>0</v>
      </c>
      <c r="M591" s="76">
        <f ca="1">$J$591-EFEITO!$K$591*EFEITO!$Y$591</f>
        <v>0</v>
      </c>
      <c r="N591" s="76">
        <f ca="1">$K$591-EFEITO!$M$591*EFEITO!$Z$591</f>
        <v>0</v>
      </c>
      <c r="O591" s="76">
        <f>$L$591-EFEITO!$O$591*EFEITO!$AA$591</f>
        <v>0</v>
      </c>
      <c r="P591" s="18"/>
      <c r="Q591" s="18"/>
      <c r="R591" s="18"/>
      <c r="S591" s="18"/>
      <c r="T591" s="18"/>
      <c r="U591" s="18"/>
      <c r="V591" s="18"/>
      <c r="W591" s="18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62" t="s">
        <v>21</v>
      </c>
      <c r="B592" s="62" t="s">
        <v>41</v>
      </c>
      <c r="C592" s="62" t="s">
        <v>64</v>
      </c>
      <c r="D592" s="62" t="s">
        <v>25</v>
      </c>
      <c r="E592" s="62" t="s">
        <v>25</v>
      </c>
      <c r="F592" s="62" t="s">
        <v>25</v>
      </c>
      <c r="G592" s="62" t="s">
        <v>68</v>
      </c>
      <c r="H592" s="62" t="s">
        <v>25</v>
      </c>
      <c r="I592" s="75">
        <v>44348</v>
      </c>
      <c r="J592" s="76">
        <f ca="1">EFEITO!$J$592*EFEITO!$Y$592</f>
        <v>5175.9399706874538</v>
      </c>
      <c r="K592" s="76">
        <f>EFEITO!$L$592*EFEITO!$Z$592</f>
        <v>0</v>
      </c>
      <c r="L592" s="76">
        <f>EFEITO!$N$592*EFEITO!$AA$592</f>
        <v>0</v>
      </c>
      <c r="M592" s="76">
        <f ca="1">$J$592-EFEITO!$K$592*EFEITO!$Y$592</f>
        <v>0</v>
      </c>
      <c r="N592" s="76">
        <f>$K$592-EFEITO!$M$592*EFEITO!$Z$592</f>
        <v>0</v>
      </c>
      <c r="O592" s="76">
        <f>$L$592-EFEITO!$O$592*EFEITO!$AA$592</f>
        <v>0</v>
      </c>
      <c r="P592" s="18"/>
      <c r="Q592" s="18"/>
      <c r="R592" s="18"/>
      <c r="S592" s="18"/>
      <c r="T592" s="18"/>
      <c r="U592" s="18"/>
      <c r="V592" s="18"/>
      <c r="W592" s="18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62" t="s">
        <v>21</v>
      </c>
      <c r="B593" s="62" t="s">
        <v>41</v>
      </c>
      <c r="C593" s="62" t="s">
        <v>64</v>
      </c>
      <c r="D593" s="62" t="s">
        <v>25</v>
      </c>
      <c r="E593" s="62" t="s">
        <v>25</v>
      </c>
      <c r="F593" s="62" t="s">
        <v>25</v>
      </c>
      <c r="G593" s="62" t="s">
        <v>70</v>
      </c>
      <c r="H593" s="62" t="s">
        <v>25</v>
      </c>
      <c r="I593" s="75">
        <v>44348</v>
      </c>
      <c r="J593" s="76">
        <f ca="1">EFEITO!$J$593*EFEITO!$Y$593</f>
        <v>86379.925338625049</v>
      </c>
      <c r="K593" s="76">
        <f>EFEITO!$L$593*EFEITO!$Z$593</f>
        <v>0</v>
      </c>
      <c r="L593" s="76">
        <f>EFEITO!$N$593*EFEITO!$AA$593</f>
        <v>0</v>
      </c>
      <c r="M593" s="76">
        <f ca="1">$J$593-EFEITO!$K$593*EFEITO!$Y$593</f>
        <v>0</v>
      </c>
      <c r="N593" s="76">
        <f>$K$593-EFEITO!$M$593*EFEITO!$Z$593</f>
        <v>0</v>
      </c>
      <c r="O593" s="76">
        <f>$L$593-EFEITO!$O$593*EFEITO!$AA$593</f>
        <v>0</v>
      </c>
      <c r="P593" s="18"/>
      <c r="Q593" s="18"/>
      <c r="R593" s="18"/>
      <c r="S593" s="18"/>
      <c r="T593" s="18"/>
      <c r="U593" s="18"/>
      <c r="V593" s="18"/>
      <c r="W593" s="18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62" t="s">
        <v>21</v>
      </c>
      <c r="B594" s="62" t="s">
        <v>41</v>
      </c>
      <c r="C594" s="62" t="s">
        <v>64</v>
      </c>
      <c r="D594" s="62" t="s">
        <v>25</v>
      </c>
      <c r="E594" s="62" t="s">
        <v>25</v>
      </c>
      <c r="F594" s="62" t="s">
        <v>25</v>
      </c>
      <c r="G594" s="62" t="s">
        <v>74</v>
      </c>
      <c r="H594" s="62" t="s">
        <v>25</v>
      </c>
      <c r="I594" s="75">
        <v>44348</v>
      </c>
      <c r="J594" s="76">
        <f ca="1">EFEITO!$J$594*EFEITO!$Y$594</f>
        <v>65127.721485471273</v>
      </c>
      <c r="K594" s="76">
        <f>EFEITO!$L$594*EFEITO!$Z$594</f>
        <v>0</v>
      </c>
      <c r="L594" s="76">
        <f>EFEITO!$N$594*EFEITO!$AA$594</f>
        <v>0</v>
      </c>
      <c r="M594" s="76">
        <f ca="1">$J$594-EFEITO!$K$594*EFEITO!$Y$594</f>
        <v>32563.860742735636</v>
      </c>
      <c r="N594" s="76">
        <f>$K$594-EFEITO!$M$594*EFEITO!$Z$594</f>
        <v>0</v>
      </c>
      <c r="O594" s="76">
        <f>$L$594-EFEITO!$O$594*EFEITO!$AA$594</f>
        <v>0</v>
      </c>
      <c r="P594" s="18"/>
      <c r="Q594" s="18"/>
      <c r="R594" s="18"/>
      <c r="S594" s="18"/>
      <c r="T594" s="18"/>
      <c r="U594" s="18"/>
      <c r="V594" s="18"/>
      <c r="W594" s="18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62" t="s">
        <v>21</v>
      </c>
      <c r="B595" s="62" t="s">
        <v>41</v>
      </c>
      <c r="C595" s="62" t="s">
        <v>64</v>
      </c>
      <c r="D595" s="62" t="s">
        <v>25</v>
      </c>
      <c r="E595" s="62" t="s">
        <v>25</v>
      </c>
      <c r="F595" s="62" t="s">
        <v>25</v>
      </c>
      <c r="G595" s="62" t="s">
        <v>76</v>
      </c>
      <c r="H595" s="62" t="s">
        <v>25</v>
      </c>
      <c r="I595" s="75">
        <v>44348</v>
      </c>
      <c r="J595" s="76">
        <f ca="1">EFEITO!$J$595*EFEITO!$Y$595</f>
        <v>8226.6595560595288</v>
      </c>
      <c r="K595" s="76">
        <f>EFEITO!$L$595*EFEITO!$Z$595</f>
        <v>0</v>
      </c>
      <c r="L595" s="76">
        <f>EFEITO!$N$595*EFEITO!$AA$595</f>
        <v>0</v>
      </c>
      <c r="M595" s="76">
        <f ca="1">$J$595-EFEITO!$K$595*EFEITO!$Y$595</f>
        <v>0</v>
      </c>
      <c r="N595" s="76">
        <f>$K$595-EFEITO!$M$595*EFEITO!$Z$595</f>
        <v>0</v>
      </c>
      <c r="O595" s="76">
        <f>$L$595-EFEITO!$O$595*EFEITO!$AA$595</f>
        <v>0</v>
      </c>
      <c r="P595" s="18"/>
      <c r="Q595" s="18"/>
      <c r="R595" s="18"/>
      <c r="S595" s="18"/>
      <c r="T595" s="18"/>
      <c r="U595" s="18"/>
      <c r="V595" s="18"/>
      <c r="W595" s="18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62" t="s">
        <v>21</v>
      </c>
      <c r="B596" s="62" t="s">
        <v>41</v>
      </c>
      <c r="C596" s="62" t="s">
        <v>64</v>
      </c>
      <c r="D596" s="62" t="s">
        <v>25</v>
      </c>
      <c r="E596" s="62" t="s">
        <v>25</v>
      </c>
      <c r="F596" s="62" t="s">
        <v>25</v>
      </c>
      <c r="G596" s="62" t="s">
        <v>77</v>
      </c>
      <c r="H596" s="62" t="s">
        <v>25</v>
      </c>
      <c r="I596" s="75">
        <v>44348</v>
      </c>
      <c r="J596" s="76">
        <f ca="1">EFEITO!$J$596*EFEITO!$Y$596</f>
        <v>12614.211319291278</v>
      </c>
      <c r="K596" s="76">
        <f>EFEITO!$L$596*EFEITO!$Z$596</f>
        <v>0</v>
      </c>
      <c r="L596" s="76">
        <f>EFEITO!$N$596*EFEITO!$AA$596</f>
        <v>0</v>
      </c>
      <c r="M596" s="76">
        <f ca="1">$J$596-EFEITO!$K$596*EFEITO!$Y$596</f>
        <v>0</v>
      </c>
      <c r="N596" s="76">
        <f>$K$596-EFEITO!$M$596*EFEITO!$Z$596</f>
        <v>0</v>
      </c>
      <c r="O596" s="76">
        <f>$L$596-EFEITO!$O$596*EFEITO!$AA$596</f>
        <v>0</v>
      </c>
      <c r="P596" s="18"/>
      <c r="Q596" s="18"/>
      <c r="R596" s="18"/>
      <c r="S596" s="18"/>
      <c r="T596" s="18"/>
      <c r="U596" s="18"/>
      <c r="V596" s="18"/>
      <c r="W596" s="18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62" t="s">
        <v>21</v>
      </c>
      <c r="B597" s="62" t="s">
        <v>41</v>
      </c>
      <c r="C597" s="62" t="s">
        <v>64</v>
      </c>
      <c r="D597" s="62" t="s">
        <v>25</v>
      </c>
      <c r="E597" s="62" t="s">
        <v>25</v>
      </c>
      <c r="F597" s="62" t="s">
        <v>25</v>
      </c>
      <c r="G597" s="62" t="s">
        <v>78</v>
      </c>
      <c r="H597" s="62" t="s">
        <v>25</v>
      </c>
      <c r="I597" s="75">
        <v>44348</v>
      </c>
      <c r="J597" s="76">
        <f ca="1">EFEITO!$J$597*EFEITO!$Y$597</f>
        <v>110717.12652530117</v>
      </c>
      <c r="K597" s="76">
        <f>EFEITO!$L$597*EFEITO!$Z$597</f>
        <v>0</v>
      </c>
      <c r="L597" s="76">
        <f>EFEITO!$N$597*EFEITO!$AA$597</f>
        <v>0</v>
      </c>
      <c r="M597" s="76">
        <f ca="1">$J$597-EFEITO!$K$597*EFEITO!$Y$597</f>
        <v>0</v>
      </c>
      <c r="N597" s="76">
        <f>$K$597-EFEITO!$M$597*EFEITO!$Z$597</f>
        <v>0</v>
      </c>
      <c r="O597" s="76">
        <f>$L$597-EFEITO!$O$597*EFEITO!$AA$597</f>
        <v>0</v>
      </c>
      <c r="P597" s="18"/>
      <c r="Q597" s="18"/>
      <c r="R597" s="18"/>
      <c r="S597" s="18"/>
      <c r="T597" s="18"/>
      <c r="U597" s="18"/>
      <c r="V597" s="18"/>
      <c r="W597" s="18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62" t="s">
        <v>21</v>
      </c>
      <c r="B598" s="62" t="s">
        <v>41</v>
      </c>
      <c r="C598" s="62" t="s">
        <v>64</v>
      </c>
      <c r="D598" s="62" t="s">
        <v>25</v>
      </c>
      <c r="E598" s="62" t="s">
        <v>25</v>
      </c>
      <c r="F598" s="62" t="s">
        <v>25</v>
      </c>
      <c r="G598" s="62" t="s">
        <v>79</v>
      </c>
      <c r="H598" s="62" t="s">
        <v>25</v>
      </c>
      <c r="I598" s="75">
        <v>44348</v>
      </c>
      <c r="J598" s="76">
        <f ca="1">EFEITO!$J$598*EFEITO!$Y$598</f>
        <v>13196.933037845494</v>
      </c>
      <c r="K598" s="76">
        <f>EFEITO!$L$598*EFEITO!$Z$598</f>
        <v>0</v>
      </c>
      <c r="L598" s="76">
        <f>EFEITO!$N$598*EFEITO!$AA$598</f>
        <v>0</v>
      </c>
      <c r="M598" s="76">
        <f ca="1">$J$598-EFEITO!$K$598*EFEITO!$Y$598</f>
        <v>0</v>
      </c>
      <c r="N598" s="76">
        <f>$K$598-EFEITO!$M$598*EFEITO!$Z$598</f>
        <v>0</v>
      </c>
      <c r="O598" s="76">
        <f>$L$598-EFEITO!$O$598*EFEITO!$AA$598</f>
        <v>0</v>
      </c>
      <c r="P598" s="18"/>
      <c r="Q598" s="18"/>
      <c r="R598" s="18"/>
      <c r="S598" s="18"/>
      <c r="T598" s="18"/>
      <c r="U598" s="18"/>
      <c r="V598" s="18"/>
      <c r="W598" s="18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62" t="s">
        <v>21</v>
      </c>
      <c r="B599" s="62" t="s">
        <v>41</v>
      </c>
      <c r="C599" s="62" t="s">
        <v>64</v>
      </c>
      <c r="D599" s="62" t="s">
        <v>25</v>
      </c>
      <c r="E599" s="62" t="s">
        <v>25</v>
      </c>
      <c r="F599" s="62" t="s">
        <v>25</v>
      </c>
      <c r="G599" s="62" t="s">
        <v>80</v>
      </c>
      <c r="H599" s="62" t="s">
        <v>25</v>
      </c>
      <c r="I599" s="75">
        <v>44348</v>
      </c>
      <c r="J599" s="76">
        <f ca="1">EFEITO!$J$599*EFEITO!$Y$599</f>
        <v>24268.645690375612</v>
      </c>
      <c r="K599" s="76">
        <f>EFEITO!$L$599*EFEITO!$Z$599</f>
        <v>0</v>
      </c>
      <c r="L599" s="76">
        <f>EFEITO!$N$599*EFEITO!$AA$599</f>
        <v>0</v>
      </c>
      <c r="M599" s="76">
        <f ca="1">$J$599-EFEITO!$K$599*EFEITO!$Y$599</f>
        <v>0</v>
      </c>
      <c r="N599" s="76">
        <f>$K$599-EFEITO!$M$599*EFEITO!$Z$599</f>
        <v>0</v>
      </c>
      <c r="O599" s="76">
        <f>$L$599-EFEITO!$O$599*EFEITO!$AA$599</f>
        <v>0</v>
      </c>
      <c r="P599" s="18"/>
      <c r="Q599" s="18"/>
      <c r="R599" s="18"/>
      <c r="S599" s="18"/>
      <c r="T599" s="18"/>
      <c r="U599" s="18"/>
      <c r="V599" s="18"/>
      <c r="W599" s="18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62" t="s">
        <v>21</v>
      </c>
      <c r="B600" s="62" t="s">
        <v>41</v>
      </c>
      <c r="C600" s="62" t="s">
        <v>64</v>
      </c>
      <c r="D600" s="62" t="s">
        <v>25</v>
      </c>
      <c r="E600" s="62" t="s">
        <v>25</v>
      </c>
      <c r="F600" s="62" t="s">
        <v>25</v>
      </c>
      <c r="G600" s="62" t="s">
        <v>88</v>
      </c>
      <c r="H600" s="62" t="s">
        <v>25</v>
      </c>
      <c r="I600" s="75">
        <v>44348</v>
      </c>
      <c r="J600" s="76">
        <f ca="1">EFEITO!$J$600*EFEITO!$Y$600</f>
        <v>162819.30371367818</v>
      </c>
      <c r="K600" s="76">
        <f>EFEITO!$L$600*EFEITO!$Z$600</f>
        <v>0</v>
      </c>
      <c r="L600" s="76">
        <f>EFEITO!$N$600*EFEITO!$AA$600</f>
        <v>0</v>
      </c>
      <c r="M600" s="76">
        <f ca="1">$J$600-EFEITO!$K$600*EFEITO!$Y$600</f>
        <v>81409.651856839089</v>
      </c>
      <c r="N600" s="76">
        <f>$K$600-EFEITO!$M$600*EFEITO!$Z$600</f>
        <v>0</v>
      </c>
      <c r="O600" s="76">
        <f>$L$600-EFEITO!$O$600*EFEITO!$AA$600</f>
        <v>0</v>
      </c>
      <c r="P600" s="18"/>
      <c r="Q600" s="18"/>
      <c r="R600" s="18"/>
      <c r="S600" s="18"/>
      <c r="T600" s="18"/>
      <c r="U600" s="18"/>
      <c r="V600" s="18"/>
      <c r="W600" s="18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62" t="s">
        <v>21</v>
      </c>
      <c r="B601" s="62" t="s">
        <v>41</v>
      </c>
      <c r="C601" s="62" t="s">
        <v>64</v>
      </c>
      <c r="D601" s="62" t="s">
        <v>25</v>
      </c>
      <c r="E601" s="62" t="s">
        <v>25</v>
      </c>
      <c r="F601" s="62" t="s">
        <v>25</v>
      </c>
      <c r="G601" s="62" t="s">
        <v>90</v>
      </c>
      <c r="H601" s="62" t="s">
        <v>25</v>
      </c>
      <c r="I601" s="75">
        <v>44348</v>
      </c>
      <c r="J601" s="76">
        <f ca="1">EFEITO!$J$601*EFEITO!$Y$601</f>
        <v>7198.3271115520874</v>
      </c>
      <c r="K601" s="76">
        <f>EFEITO!$L$601*EFEITO!$Z$601</f>
        <v>0</v>
      </c>
      <c r="L601" s="76">
        <f>EFEITO!$N$601*EFEITO!$AA$601</f>
        <v>0</v>
      </c>
      <c r="M601" s="76">
        <f ca="1">$J$601-EFEITO!$K$601*EFEITO!$Y$601</f>
        <v>0</v>
      </c>
      <c r="N601" s="76">
        <f>$K$601-EFEITO!$M$601*EFEITO!$Z$601</f>
        <v>0</v>
      </c>
      <c r="O601" s="76">
        <f>$L$601-EFEITO!$O$601*EFEITO!$AA$601</f>
        <v>0</v>
      </c>
      <c r="P601" s="18"/>
      <c r="Q601" s="18"/>
      <c r="R601" s="18"/>
      <c r="S601" s="18"/>
      <c r="T601" s="18"/>
      <c r="U601" s="18"/>
      <c r="V601" s="18"/>
      <c r="W601" s="18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62" t="s">
        <v>21</v>
      </c>
      <c r="B602" s="62" t="s">
        <v>41</v>
      </c>
      <c r="C602" s="62" t="s">
        <v>64</v>
      </c>
      <c r="D602" s="62" t="s">
        <v>25</v>
      </c>
      <c r="E602" s="62" t="s">
        <v>25</v>
      </c>
      <c r="F602" s="62" t="s">
        <v>25</v>
      </c>
      <c r="G602" s="62" t="s">
        <v>93</v>
      </c>
      <c r="H602" s="62" t="s">
        <v>25</v>
      </c>
      <c r="I602" s="75">
        <v>44348</v>
      </c>
      <c r="J602" s="76">
        <f ca="1">EFEITO!$J$602*EFEITO!$Y$602</f>
        <v>22280.536297661223</v>
      </c>
      <c r="K602" s="76">
        <f>EFEITO!$L$602*EFEITO!$Z$602</f>
        <v>0</v>
      </c>
      <c r="L602" s="76">
        <f>EFEITO!$N$602*EFEITO!$AA$602</f>
        <v>0</v>
      </c>
      <c r="M602" s="76">
        <f ca="1">$J$602-EFEITO!$K$602*EFEITO!$Y$602</f>
        <v>11140.268148830612</v>
      </c>
      <c r="N602" s="76">
        <f>$K$602-EFEITO!$M$602*EFEITO!$Z$602</f>
        <v>0</v>
      </c>
      <c r="O602" s="76">
        <f>$L$602-EFEITO!$O$602*EFEITO!$AA$602</f>
        <v>0</v>
      </c>
      <c r="P602" s="18"/>
      <c r="Q602" s="18"/>
      <c r="R602" s="18"/>
      <c r="S602" s="18"/>
      <c r="T602" s="18"/>
      <c r="U602" s="18"/>
      <c r="V602" s="18"/>
      <c r="W602" s="18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62" t="s">
        <v>21</v>
      </c>
      <c r="B603" s="62" t="s">
        <v>41</v>
      </c>
      <c r="C603" s="62" t="s">
        <v>64</v>
      </c>
      <c r="D603" s="62" t="s">
        <v>25</v>
      </c>
      <c r="E603" s="62" t="s">
        <v>25</v>
      </c>
      <c r="F603" s="62" t="s">
        <v>25</v>
      </c>
      <c r="G603" s="62" t="s">
        <v>94</v>
      </c>
      <c r="H603" s="62" t="s">
        <v>25</v>
      </c>
      <c r="I603" s="75">
        <v>44348</v>
      </c>
      <c r="J603" s="76">
        <f ca="1">EFEITO!$J$603*EFEITO!$Y$603</f>
        <v>20223.871408646341</v>
      </c>
      <c r="K603" s="76">
        <f>EFEITO!$L$603*EFEITO!$Z$603</f>
        <v>0</v>
      </c>
      <c r="L603" s="76">
        <f>EFEITO!$N$603*EFEITO!$AA$603</f>
        <v>0</v>
      </c>
      <c r="M603" s="76">
        <f ca="1">$J$603-EFEITO!$K$603*EFEITO!$Y$603</f>
        <v>10111.93570432317</v>
      </c>
      <c r="N603" s="76">
        <f>$K$603-EFEITO!$M$603*EFEITO!$Z$603</f>
        <v>0</v>
      </c>
      <c r="O603" s="76">
        <f>$L$603-EFEITO!$O$603*EFEITO!$AA$603</f>
        <v>0</v>
      </c>
      <c r="P603" s="18"/>
      <c r="Q603" s="18"/>
      <c r="R603" s="18"/>
      <c r="S603" s="18"/>
      <c r="T603" s="18"/>
      <c r="U603" s="18"/>
      <c r="V603" s="18"/>
      <c r="W603" s="18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62" t="s">
        <v>21</v>
      </c>
      <c r="B604" s="62" t="s">
        <v>41</v>
      </c>
      <c r="C604" s="62" t="s">
        <v>64</v>
      </c>
      <c r="D604" s="62" t="s">
        <v>25</v>
      </c>
      <c r="E604" s="62" t="s">
        <v>25</v>
      </c>
      <c r="F604" s="62" t="s">
        <v>25</v>
      </c>
      <c r="G604" s="62" t="s">
        <v>95</v>
      </c>
      <c r="H604" s="62" t="s">
        <v>25</v>
      </c>
      <c r="I604" s="75">
        <v>44348</v>
      </c>
      <c r="J604" s="76">
        <f ca="1">EFEITO!$J$604*EFEITO!$Y$604</f>
        <v>20223.871408646341</v>
      </c>
      <c r="K604" s="76">
        <f>EFEITO!$L$604*EFEITO!$Z$604</f>
        <v>0</v>
      </c>
      <c r="L604" s="76">
        <f>EFEITO!$N$604*EFEITO!$AA$604</f>
        <v>0</v>
      </c>
      <c r="M604" s="76">
        <f ca="1">$J$604-EFEITO!$K$604*EFEITO!$Y$604</f>
        <v>10111.93570432317</v>
      </c>
      <c r="N604" s="76">
        <f>$K$604-EFEITO!$M$604*EFEITO!$Z$604</f>
        <v>0</v>
      </c>
      <c r="O604" s="76">
        <f>$L$604-EFEITO!$O$604*EFEITO!$AA$604</f>
        <v>0</v>
      </c>
      <c r="P604" s="18"/>
      <c r="Q604" s="18"/>
      <c r="R604" s="18"/>
      <c r="S604" s="18"/>
      <c r="T604" s="18"/>
      <c r="U604" s="18"/>
      <c r="V604" s="18"/>
      <c r="W604" s="18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62" t="s">
        <v>21</v>
      </c>
      <c r="B605" s="62" t="s">
        <v>41</v>
      </c>
      <c r="C605" s="62" t="s">
        <v>64</v>
      </c>
      <c r="D605" s="62" t="s">
        <v>25</v>
      </c>
      <c r="E605" s="62" t="s">
        <v>25</v>
      </c>
      <c r="F605" s="62" t="s">
        <v>25</v>
      </c>
      <c r="G605" s="62" t="s">
        <v>96</v>
      </c>
      <c r="H605" s="62" t="s">
        <v>25</v>
      </c>
      <c r="I605" s="75">
        <v>44348</v>
      </c>
      <c r="J605" s="76">
        <f ca="1">EFEITO!$J$605*EFEITO!$Y$605</f>
        <v>17138.874075124018</v>
      </c>
      <c r="K605" s="76">
        <f>EFEITO!$L$605*EFEITO!$Z$605</f>
        <v>0</v>
      </c>
      <c r="L605" s="76">
        <f>EFEITO!$N$605*EFEITO!$AA$605</f>
        <v>0</v>
      </c>
      <c r="M605" s="76">
        <f ca="1">$J$605-EFEITO!$K$605*EFEITO!$Y$605</f>
        <v>8569.4370375620092</v>
      </c>
      <c r="N605" s="76">
        <f>$K$605-EFEITO!$M$605*EFEITO!$Z$605</f>
        <v>0</v>
      </c>
      <c r="O605" s="76">
        <f>$L$605-EFEITO!$O$605*EFEITO!$AA$605</f>
        <v>0</v>
      </c>
      <c r="P605" s="18"/>
      <c r="Q605" s="18"/>
      <c r="R605" s="18"/>
      <c r="S605" s="18"/>
      <c r="T605" s="18"/>
      <c r="U605" s="18"/>
      <c r="V605" s="18"/>
      <c r="W605" s="18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62" t="s">
        <v>21</v>
      </c>
      <c r="B606" s="62" t="s">
        <v>41</v>
      </c>
      <c r="C606" s="62" t="s">
        <v>64</v>
      </c>
      <c r="D606" s="62" t="s">
        <v>25</v>
      </c>
      <c r="E606" s="62" t="s">
        <v>25</v>
      </c>
      <c r="F606" s="62" t="s">
        <v>25</v>
      </c>
      <c r="G606" s="62" t="s">
        <v>97</v>
      </c>
      <c r="H606" s="62" t="s">
        <v>25</v>
      </c>
      <c r="I606" s="75">
        <v>44348</v>
      </c>
      <c r="J606" s="76">
        <f ca="1">EFEITO!$J$606*EFEITO!$Y$606</f>
        <v>20223.871408646341</v>
      </c>
      <c r="K606" s="76">
        <f>EFEITO!$L$606*EFEITO!$Z$606</f>
        <v>0</v>
      </c>
      <c r="L606" s="76">
        <f>EFEITO!$N$606*EFEITO!$AA$606</f>
        <v>0</v>
      </c>
      <c r="M606" s="76">
        <f ca="1">$J$606-EFEITO!$K$606*EFEITO!$Y$606</f>
        <v>10111.93570432317</v>
      </c>
      <c r="N606" s="76">
        <f>$K$606-EFEITO!$M$606*EFEITO!$Z$606</f>
        <v>0</v>
      </c>
      <c r="O606" s="76">
        <f>$L$606-EFEITO!$O$606*EFEITO!$AA$606</f>
        <v>0</v>
      </c>
      <c r="P606" s="18"/>
      <c r="Q606" s="18"/>
      <c r="R606" s="18"/>
      <c r="S606" s="18"/>
      <c r="T606" s="18"/>
      <c r="U606" s="18"/>
      <c r="V606" s="18"/>
      <c r="W606" s="18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62" t="s">
        <v>21</v>
      </c>
      <c r="B607" s="62" t="s">
        <v>41</v>
      </c>
      <c r="C607" s="62" t="s">
        <v>64</v>
      </c>
      <c r="D607" s="62" t="s">
        <v>25</v>
      </c>
      <c r="E607" s="62" t="s">
        <v>25</v>
      </c>
      <c r="F607" s="62" t="s">
        <v>25</v>
      </c>
      <c r="G607" s="62" t="s">
        <v>98</v>
      </c>
      <c r="H607" s="62" t="s">
        <v>25</v>
      </c>
      <c r="I607" s="75">
        <v>44348</v>
      </c>
      <c r="J607" s="76">
        <f ca="1">EFEITO!$J$607*EFEITO!$Y$607</f>
        <v>51416.622225372055</v>
      </c>
      <c r="K607" s="76">
        <f>EFEITO!$L$607*EFEITO!$Z$607</f>
        <v>0</v>
      </c>
      <c r="L607" s="76">
        <f>EFEITO!$N$607*EFEITO!$AA$607</f>
        <v>0</v>
      </c>
      <c r="M607" s="76">
        <f ca="1">$J$607-EFEITO!$K$607*EFEITO!$Y$607</f>
        <v>25708.311112686028</v>
      </c>
      <c r="N607" s="76">
        <f>$K$607-EFEITO!$M$607*EFEITO!$Z$607</f>
        <v>0</v>
      </c>
      <c r="O607" s="76">
        <f>$L$607-EFEITO!$O$607*EFEITO!$AA$607</f>
        <v>0</v>
      </c>
      <c r="P607" s="18"/>
      <c r="Q607" s="18"/>
      <c r="R607" s="18"/>
      <c r="S607" s="18"/>
      <c r="T607" s="18"/>
      <c r="U607" s="18"/>
      <c r="V607" s="18"/>
      <c r="W607" s="18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62" t="s">
        <v>21</v>
      </c>
      <c r="B608" s="62" t="s">
        <v>41</v>
      </c>
      <c r="C608" s="62" t="s">
        <v>64</v>
      </c>
      <c r="D608" s="62" t="s">
        <v>25</v>
      </c>
      <c r="E608" s="62" t="s">
        <v>25</v>
      </c>
      <c r="F608" s="62" t="s">
        <v>25</v>
      </c>
      <c r="G608" s="62" t="s">
        <v>99</v>
      </c>
      <c r="H608" s="62" t="s">
        <v>25</v>
      </c>
      <c r="I608" s="75">
        <v>44348</v>
      </c>
      <c r="J608" s="76">
        <f ca="1">EFEITO!$J$608*EFEITO!$Y$608</f>
        <v>20223.871408646341</v>
      </c>
      <c r="K608" s="76">
        <f>EFEITO!$L$608*EFEITO!$Z$608</f>
        <v>0</v>
      </c>
      <c r="L608" s="76">
        <f>EFEITO!$N$608*EFEITO!$AA$608</f>
        <v>0</v>
      </c>
      <c r="M608" s="76">
        <f ca="1">$J$608-EFEITO!$K$608*EFEITO!$Y$608</f>
        <v>10111.93570432317</v>
      </c>
      <c r="N608" s="76">
        <f>$K$608-EFEITO!$M$608*EFEITO!$Z$608</f>
        <v>0</v>
      </c>
      <c r="O608" s="76">
        <f>$L$608-EFEITO!$O$608*EFEITO!$AA$608</f>
        <v>0</v>
      </c>
      <c r="P608" s="18"/>
      <c r="Q608" s="18"/>
      <c r="R608" s="18"/>
      <c r="S608" s="18"/>
      <c r="T608" s="18"/>
      <c r="U608" s="18"/>
      <c r="V608" s="18"/>
      <c r="W608" s="18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62" t="s">
        <v>21</v>
      </c>
      <c r="B609" s="62" t="s">
        <v>41</v>
      </c>
      <c r="C609" s="62" t="s">
        <v>64</v>
      </c>
      <c r="D609" s="62" t="s">
        <v>25</v>
      </c>
      <c r="E609" s="62" t="s">
        <v>25</v>
      </c>
      <c r="F609" s="62" t="s">
        <v>25</v>
      </c>
      <c r="G609" s="62" t="s">
        <v>100</v>
      </c>
      <c r="H609" s="62" t="s">
        <v>25</v>
      </c>
      <c r="I609" s="75">
        <v>44348</v>
      </c>
      <c r="J609" s="76">
        <f ca="1">EFEITO!$J$609*EFEITO!$Y$609</f>
        <v>20223.871408646341</v>
      </c>
      <c r="K609" s="76">
        <f>EFEITO!$L$609*EFEITO!$Z$609</f>
        <v>0</v>
      </c>
      <c r="L609" s="76">
        <f>EFEITO!$N$609*EFEITO!$AA$609</f>
        <v>0</v>
      </c>
      <c r="M609" s="76">
        <f ca="1">$J$609-EFEITO!$K$609*EFEITO!$Y$609</f>
        <v>10111.93570432317</v>
      </c>
      <c r="N609" s="76">
        <f>$K$609-EFEITO!$M$609*EFEITO!$Z$609</f>
        <v>0</v>
      </c>
      <c r="O609" s="76">
        <f>$L$609-EFEITO!$O$609*EFEITO!$AA$609</f>
        <v>0</v>
      </c>
      <c r="P609" s="18"/>
      <c r="Q609" s="18"/>
      <c r="R609" s="18"/>
      <c r="S609" s="18"/>
      <c r="T609" s="18"/>
      <c r="U609" s="18"/>
      <c r="V609" s="18"/>
      <c r="W609" s="18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62" t="s">
        <v>21</v>
      </c>
      <c r="B610" s="62" t="s">
        <v>41</v>
      </c>
      <c r="C610" s="62" t="s">
        <v>64</v>
      </c>
      <c r="D610" s="62" t="s">
        <v>25</v>
      </c>
      <c r="E610" s="62" t="s">
        <v>25</v>
      </c>
      <c r="F610" s="62" t="s">
        <v>25</v>
      </c>
      <c r="G610" s="62" t="s">
        <v>68</v>
      </c>
      <c r="H610" s="62" t="s">
        <v>25</v>
      </c>
      <c r="I610" s="75">
        <v>44378</v>
      </c>
      <c r="J610" s="76">
        <f ca="1">EFEITO!$J$610*EFEITO!$Y$610</f>
        <v>5175.9399706874538</v>
      </c>
      <c r="K610" s="76">
        <f>EFEITO!$L$610*EFEITO!$Z$610</f>
        <v>0</v>
      </c>
      <c r="L610" s="76">
        <f>EFEITO!$N$610*EFEITO!$AA$610</f>
        <v>0</v>
      </c>
      <c r="M610" s="76">
        <f ca="1">$J$610-EFEITO!$K$610*EFEITO!$Y$610</f>
        <v>0</v>
      </c>
      <c r="N610" s="76">
        <f>$K$610-EFEITO!$M$610*EFEITO!$Z$610</f>
        <v>0</v>
      </c>
      <c r="O610" s="76">
        <f>$L$610-EFEITO!$O$610*EFEITO!$AA$610</f>
        <v>0</v>
      </c>
      <c r="P610" s="18"/>
      <c r="Q610" s="18"/>
      <c r="R610" s="18"/>
      <c r="S610" s="18"/>
      <c r="T610" s="18"/>
      <c r="U610" s="18"/>
      <c r="V610" s="18"/>
      <c r="W610" s="18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62" t="s">
        <v>21</v>
      </c>
      <c r="B611" s="62" t="s">
        <v>41</v>
      </c>
      <c r="C611" s="62" t="s">
        <v>64</v>
      </c>
      <c r="D611" s="62" t="s">
        <v>25</v>
      </c>
      <c r="E611" s="62" t="s">
        <v>25</v>
      </c>
      <c r="F611" s="62" t="s">
        <v>25</v>
      </c>
      <c r="G611" s="62" t="s">
        <v>70</v>
      </c>
      <c r="H611" s="62" t="s">
        <v>25</v>
      </c>
      <c r="I611" s="75">
        <v>44378</v>
      </c>
      <c r="J611" s="76">
        <f ca="1">EFEITO!$J$611*EFEITO!$Y$611</f>
        <v>86379.925338625049</v>
      </c>
      <c r="K611" s="76">
        <f>EFEITO!$L$611*EFEITO!$Z$611</f>
        <v>0</v>
      </c>
      <c r="L611" s="76">
        <f>EFEITO!$N$611*EFEITO!$AA$611</f>
        <v>0</v>
      </c>
      <c r="M611" s="76">
        <f ca="1">$J$611-EFEITO!$K$611*EFEITO!$Y$611</f>
        <v>0</v>
      </c>
      <c r="N611" s="76">
        <f>$K$611-EFEITO!$M$611*EFEITO!$Z$611</f>
        <v>0</v>
      </c>
      <c r="O611" s="76">
        <f>$L$611-EFEITO!$O$611*EFEITO!$AA$611</f>
        <v>0</v>
      </c>
      <c r="P611" s="18"/>
      <c r="Q611" s="18"/>
      <c r="R611" s="18"/>
      <c r="S611" s="18"/>
      <c r="T611" s="18"/>
      <c r="U611" s="18"/>
      <c r="V611" s="18"/>
      <c r="W611" s="18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62" t="s">
        <v>21</v>
      </c>
      <c r="B612" s="62" t="s">
        <v>41</v>
      </c>
      <c r="C612" s="62" t="s">
        <v>64</v>
      </c>
      <c r="D612" s="62" t="s">
        <v>25</v>
      </c>
      <c r="E612" s="62" t="s">
        <v>25</v>
      </c>
      <c r="F612" s="62" t="s">
        <v>25</v>
      </c>
      <c r="G612" s="62" t="s">
        <v>74</v>
      </c>
      <c r="H612" s="62" t="s">
        <v>25</v>
      </c>
      <c r="I612" s="75">
        <v>44378</v>
      </c>
      <c r="J612" s="76">
        <f ca="1">EFEITO!$J$612*EFEITO!$Y$612</f>
        <v>65127.721485471273</v>
      </c>
      <c r="K612" s="76">
        <f>EFEITO!$L$612*EFEITO!$Z$612</f>
        <v>0</v>
      </c>
      <c r="L612" s="76">
        <f>EFEITO!$N$612*EFEITO!$AA$612</f>
        <v>0</v>
      </c>
      <c r="M612" s="76">
        <f ca="1">$J$612-EFEITO!$K$612*EFEITO!$Y$612</f>
        <v>32563.860742735636</v>
      </c>
      <c r="N612" s="76">
        <f>$K$612-EFEITO!$M$612*EFEITO!$Z$612</f>
        <v>0</v>
      </c>
      <c r="O612" s="76">
        <f>$L$612-EFEITO!$O$612*EFEITO!$AA$612</f>
        <v>0</v>
      </c>
      <c r="P612" s="18"/>
      <c r="Q612" s="18"/>
      <c r="R612" s="18"/>
      <c r="S612" s="18"/>
      <c r="T612" s="18"/>
      <c r="U612" s="18"/>
      <c r="V612" s="18"/>
      <c r="W612" s="18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62" t="s">
        <v>21</v>
      </c>
      <c r="B613" s="62" t="s">
        <v>41</v>
      </c>
      <c r="C613" s="62" t="s">
        <v>64</v>
      </c>
      <c r="D613" s="62" t="s">
        <v>25</v>
      </c>
      <c r="E613" s="62" t="s">
        <v>25</v>
      </c>
      <c r="F613" s="62" t="s">
        <v>25</v>
      </c>
      <c r="G613" s="62" t="s">
        <v>76</v>
      </c>
      <c r="H613" s="62" t="s">
        <v>25</v>
      </c>
      <c r="I613" s="75">
        <v>44378</v>
      </c>
      <c r="J613" s="76">
        <f ca="1">EFEITO!$J$613*EFEITO!$Y$613</f>
        <v>8226.6595560595288</v>
      </c>
      <c r="K613" s="76">
        <f>EFEITO!$L$613*EFEITO!$Z$613</f>
        <v>0</v>
      </c>
      <c r="L613" s="76">
        <f>EFEITO!$N$613*EFEITO!$AA$613</f>
        <v>0</v>
      </c>
      <c r="M613" s="76">
        <f ca="1">$J$613-EFEITO!$K$613*EFEITO!$Y$613</f>
        <v>0</v>
      </c>
      <c r="N613" s="76">
        <f>$K$613-EFEITO!$M$613*EFEITO!$Z$613</f>
        <v>0</v>
      </c>
      <c r="O613" s="76">
        <f>$L$613-EFEITO!$O$613*EFEITO!$AA$613</f>
        <v>0</v>
      </c>
      <c r="P613" s="18"/>
      <c r="Q613" s="18"/>
      <c r="R613" s="18"/>
      <c r="S613" s="18"/>
      <c r="T613" s="18"/>
      <c r="U613" s="18"/>
      <c r="V613" s="18"/>
      <c r="W613" s="18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62" t="s">
        <v>21</v>
      </c>
      <c r="B614" s="62" t="s">
        <v>41</v>
      </c>
      <c r="C614" s="62" t="s">
        <v>64</v>
      </c>
      <c r="D614" s="62" t="s">
        <v>25</v>
      </c>
      <c r="E614" s="62" t="s">
        <v>25</v>
      </c>
      <c r="F614" s="62" t="s">
        <v>25</v>
      </c>
      <c r="G614" s="62" t="s">
        <v>77</v>
      </c>
      <c r="H614" s="62" t="s">
        <v>25</v>
      </c>
      <c r="I614" s="75">
        <v>44378</v>
      </c>
      <c r="J614" s="76">
        <f ca="1">EFEITO!$J$614*EFEITO!$Y$614</f>
        <v>12614.211319291278</v>
      </c>
      <c r="K614" s="76">
        <f>EFEITO!$L$614*EFEITO!$Z$614</f>
        <v>0</v>
      </c>
      <c r="L614" s="76">
        <f>EFEITO!$N$614*EFEITO!$AA$614</f>
        <v>0</v>
      </c>
      <c r="M614" s="76">
        <f ca="1">$J$614-EFEITO!$K$614*EFEITO!$Y$614</f>
        <v>0</v>
      </c>
      <c r="N614" s="76">
        <f>$K$614-EFEITO!$M$614*EFEITO!$Z$614</f>
        <v>0</v>
      </c>
      <c r="O614" s="76">
        <f>$L$614-EFEITO!$O$614*EFEITO!$AA$614</f>
        <v>0</v>
      </c>
      <c r="P614" s="18"/>
      <c r="Q614" s="18"/>
      <c r="R614" s="18"/>
      <c r="S614" s="18"/>
      <c r="T614" s="18"/>
      <c r="U614" s="18"/>
      <c r="V614" s="18"/>
      <c r="W614" s="18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62" t="s">
        <v>21</v>
      </c>
      <c r="B615" s="62" t="s">
        <v>41</v>
      </c>
      <c r="C615" s="62" t="s">
        <v>64</v>
      </c>
      <c r="D615" s="62" t="s">
        <v>25</v>
      </c>
      <c r="E615" s="62" t="s">
        <v>25</v>
      </c>
      <c r="F615" s="62" t="s">
        <v>25</v>
      </c>
      <c r="G615" s="62" t="s">
        <v>78</v>
      </c>
      <c r="H615" s="62" t="s">
        <v>25</v>
      </c>
      <c r="I615" s="75">
        <v>44378</v>
      </c>
      <c r="J615" s="76">
        <f ca="1">EFEITO!$J$615*EFEITO!$Y$615</f>
        <v>110717.12652530117</v>
      </c>
      <c r="K615" s="76">
        <f>EFEITO!$L$615*EFEITO!$Z$615</f>
        <v>0</v>
      </c>
      <c r="L615" s="76">
        <f>EFEITO!$N$615*EFEITO!$AA$615</f>
        <v>0</v>
      </c>
      <c r="M615" s="76">
        <f ca="1">$J$615-EFEITO!$K$615*EFEITO!$Y$615</f>
        <v>0</v>
      </c>
      <c r="N615" s="76">
        <f>$K$615-EFEITO!$M$615*EFEITO!$Z$615</f>
        <v>0</v>
      </c>
      <c r="O615" s="76">
        <f>$L$615-EFEITO!$O$615*EFEITO!$AA$615</f>
        <v>0</v>
      </c>
      <c r="P615" s="18"/>
      <c r="Q615" s="18"/>
      <c r="R615" s="18"/>
      <c r="S615" s="18"/>
      <c r="T615" s="18"/>
      <c r="U615" s="18"/>
      <c r="V615" s="18"/>
      <c r="W615" s="18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62" t="s">
        <v>21</v>
      </c>
      <c r="B616" s="62" t="s">
        <v>41</v>
      </c>
      <c r="C616" s="62" t="s">
        <v>64</v>
      </c>
      <c r="D616" s="62" t="s">
        <v>25</v>
      </c>
      <c r="E616" s="62" t="s">
        <v>25</v>
      </c>
      <c r="F616" s="62" t="s">
        <v>25</v>
      </c>
      <c r="G616" s="62" t="s">
        <v>79</v>
      </c>
      <c r="H616" s="62" t="s">
        <v>25</v>
      </c>
      <c r="I616" s="75">
        <v>44378</v>
      </c>
      <c r="J616" s="76">
        <f ca="1">EFEITO!$J$616*EFEITO!$Y$616</f>
        <v>13196.933037845494</v>
      </c>
      <c r="K616" s="76">
        <f>EFEITO!$L$616*EFEITO!$Z$616</f>
        <v>0</v>
      </c>
      <c r="L616" s="76">
        <f>EFEITO!$N$616*EFEITO!$AA$616</f>
        <v>0</v>
      </c>
      <c r="M616" s="76">
        <f ca="1">$J$616-EFEITO!$K$616*EFEITO!$Y$616</f>
        <v>0</v>
      </c>
      <c r="N616" s="76">
        <f>$K$616-EFEITO!$M$616*EFEITO!$Z$616</f>
        <v>0</v>
      </c>
      <c r="O616" s="76">
        <f>$L$616-EFEITO!$O$616*EFEITO!$AA$616</f>
        <v>0</v>
      </c>
      <c r="P616" s="18"/>
      <c r="Q616" s="18"/>
      <c r="R616" s="18"/>
      <c r="S616" s="18"/>
      <c r="T616" s="18"/>
      <c r="U616" s="18"/>
      <c r="V616" s="18"/>
      <c r="W616" s="18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62" t="s">
        <v>21</v>
      </c>
      <c r="B617" s="62" t="s">
        <v>41</v>
      </c>
      <c r="C617" s="62" t="s">
        <v>64</v>
      </c>
      <c r="D617" s="62" t="s">
        <v>25</v>
      </c>
      <c r="E617" s="62" t="s">
        <v>25</v>
      </c>
      <c r="F617" s="62" t="s">
        <v>25</v>
      </c>
      <c r="G617" s="62" t="s">
        <v>80</v>
      </c>
      <c r="H617" s="62" t="s">
        <v>25</v>
      </c>
      <c r="I617" s="75">
        <v>44378</v>
      </c>
      <c r="J617" s="76">
        <f ca="1">EFEITO!$J$617*EFEITO!$Y$617</f>
        <v>24268.645690375612</v>
      </c>
      <c r="K617" s="76">
        <f>EFEITO!$L$617*EFEITO!$Z$617</f>
        <v>0</v>
      </c>
      <c r="L617" s="76">
        <f>EFEITO!$N$617*EFEITO!$AA$617</f>
        <v>0</v>
      </c>
      <c r="M617" s="76">
        <f ca="1">$J$617-EFEITO!$K$617*EFEITO!$Y$617</f>
        <v>0</v>
      </c>
      <c r="N617" s="76">
        <f>$K$617-EFEITO!$M$617*EFEITO!$Z$617</f>
        <v>0</v>
      </c>
      <c r="O617" s="76">
        <f>$L$617-EFEITO!$O$617*EFEITO!$AA$617</f>
        <v>0</v>
      </c>
      <c r="P617" s="18"/>
      <c r="Q617" s="18"/>
      <c r="R617" s="18"/>
      <c r="S617" s="18"/>
      <c r="T617" s="18"/>
      <c r="U617" s="18"/>
      <c r="V617" s="18"/>
      <c r="W617" s="18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62" t="s">
        <v>21</v>
      </c>
      <c r="B618" s="62" t="s">
        <v>41</v>
      </c>
      <c r="C618" s="62" t="s">
        <v>64</v>
      </c>
      <c r="D618" s="62" t="s">
        <v>25</v>
      </c>
      <c r="E618" s="62" t="s">
        <v>25</v>
      </c>
      <c r="F618" s="62" t="s">
        <v>25</v>
      </c>
      <c r="G618" s="62" t="s">
        <v>88</v>
      </c>
      <c r="H618" s="62" t="s">
        <v>25</v>
      </c>
      <c r="I618" s="75">
        <v>44378</v>
      </c>
      <c r="J618" s="76">
        <f ca="1">EFEITO!$J$618*EFEITO!$Y$618</f>
        <v>162819.30371367818</v>
      </c>
      <c r="K618" s="76">
        <f>EFEITO!$L$618*EFEITO!$Z$618</f>
        <v>0</v>
      </c>
      <c r="L618" s="76">
        <f>EFEITO!$N$618*EFEITO!$AA$618</f>
        <v>0</v>
      </c>
      <c r="M618" s="76">
        <f ca="1">$J$618-EFEITO!$K$618*EFEITO!$Y$618</f>
        <v>81409.651856839089</v>
      </c>
      <c r="N618" s="76">
        <f>$K$618-EFEITO!$M$618*EFEITO!$Z$618</f>
        <v>0</v>
      </c>
      <c r="O618" s="76">
        <f>$L$618-EFEITO!$O$618*EFEITO!$AA$618</f>
        <v>0</v>
      </c>
      <c r="P618" s="18"/>
      <c r="Q618" s="18"/>
      <c r="R618" s="18"/>
      <c r="S618" s="18"/>
      <c r="T618" s="18"/>
      <c r="U618" s="18"/>
      <c r="V618" s="18"/>
      <c r="W618" s="18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62" t="s">
        <v>21</v>
      </c>
      <c r="B619" s="62" t="s">
        <v>41</v>
      </c>
      <c r="C619" s="62" t="s">
        <v>64</v>
      </c>
      <c r="D619" s="62" t="s">
        <v>25</v>
      </c>
      <c r="E619" s="62" t="s">
        <v>25</v>
      </c>
      <c r="F619" s="62" t="s">
        <v>25</v>
      </c>
      <c r="G619" s="62" t="s">
        <v>90</v>
      </c>
      <c r="H619" s="62" t="s">
        <v>25</v>
      </c>
      <c r="I619" s="75">
        <v>44378</v>
      </c>
      <c r="J619" s="76">
        <f ca="1">EFEITO!$J$619*EFEITO!$Y$619</f>
        <v>7198.3271115520874</v>
      </c>
      <c r="K619" s="76">
        <f>EFEITO!$L$619*EFEITO!$Z$619</f>
        <v>0</v>
      </c>
      <c r="L619" s="76">
        <f>EFEITO!$N$619*EFEITO!$AA$619</f>
        <v>0</v>
      </c>
      <c r="M619" s="76">
        <f ca="1">$J$619-EFEITO!$K$619*EFEITO!$Y$619</f>
        <v>0</v>
      </c>
      <c r="N619" s="76">
        <f>$K$619-EFEITO!$M$619*EFEITO!$Z$619</f>
        <v>0</v>
      </c>
      <c r="O619" s="76">
        <f>$L$619-EFEITO!$O$619*EFEITO!$AA$619</f>
        <v>0</v>
      </c>
      <c r="P619" s="18"/>
      <c r="Q619" s="18"/>
      <c r="R619" s="18"/>
      <c r="S619" s="18"/>
      <c r="T619" s="18"/>
      <c r="U619" s="18"/>
      <c r="V619" s="18"/>
      <c r="W619" s="18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62" t="s">
        <v>21</v>
      </c>
      <c r="B620" s="62" t="s">
        <v>41</v>
      </c>
      <c r="C620" s="62" t="s">
        <v>64</v>
      </c>
      <c r="D620" s="62" t="s">
        <v>25</v>
      </c>
      <c r="E620" s="62" t="s">
        <v>25</v>
      </c>
      <c r="F620" s="62" t="s">
        <v>25</v>
      </c>
      <c r="G620" s="62" t="s">
        <v>93</v>
      </c>
      <c r="H620" s="62" t="s">
        <v>25</v>
      </c>
      <c r="I620" s="75">
        <v>44378</v>
      </c>
      <c r="J620" s="76">
        <f ca="1">EFEITO!$J$620*EFEITO!$Y$620</f>
        <v>22280.536297661223</v>
      </c>
      <c r="K620" s="76">
        <f>EFEITO!$L$620*EFEITO!$Z$620</f>
        <v>0</v>
      </c>
      <c r="L620" s="76">
        <f>EFEITO!$N$620*EFEITO!$AA$620</f>
        <v>0</v>
      </c>
      <c r="M620" s="76">
        <f ca="1">$J$620-EFEITO!$K$620*EFEITO!$Y$620</f>
        <v>11140.268148830612</v>
      </c>
      <c r="N620" s="76">
        <f>$K$620-EFEITO!$M$620*EFEITO!$Z$620</f>
        <v>0</v>
      </c>
      <c r="O620" s="76">
        <f>$L$620-EFEITO!$O$620*EFEITO!$AA$620</f>
        <v>0</v>
      </c>
      <c r="P620" s="18"/>
      <c r="Q620" s="18"/>
      <c r="R620" s="18"/>
      <c r="S620" s="18"/>
      <c r="T620" s="18"/>
      <c r="U620" s="18"/>
      <c r="V620" s="18"/>
      <c r="W620" s="18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62" t="s">
        <v>21</v>
      </c>
      <c r="B621" s="62" t="s">
        <v>41</v>
      </c>
      <c r="C621" s="62" t="s">
        <v>64</v>
      </c>
      <c r="D621" s="62" t="s">
        <v>25</v>
      </c>
      <c r="E621" s="62" t="s">
        <v>25</v>
      </c>
      <c r="F621" s="62" t="s">
        <v>25</v>
      </c>
      <c r="G621" s="62" t="s">
        <v>94</v>
      </c>
      <c r="H621" s="62" t="s">
        <v>25</v>
      </c>
      <c r="I621" s="75">
        <v>44378</v>
      </c>
      <c r="J621" s="76">
        <f ca="1">EFEITO!$J$621*EFEITO!$Y$621</f>
        <v>20223.871408646341</v>
      </c>
      <c r="K621" s="76">
        <f>EFEITO!$L$621*EFEITO!$Z$621</f>
        <v>0</v>
      </c>
      <c r="L621" s="76">
        <f>EFEITO!$N$621*EFEITO!$AA$621</f>
        <v>0</v>
      </c>
      <c r="M621" s="76">
        <f ca="1">$J$621-EFEITO!$K$621*EFEITO!$Y$621</f>
        <v>10111.93570432317</v>
      </c>
      <c r="N621" s="76">
        <f>$K$621-EFEITO!$M$621*EFEITO!$Z$621</f>
        <v>0</v>
      </c>
      <c r="O621" s="76">
        <f>$L$621-EFEITO!$O$621*EFEITO!$AA$621</f>
        <v>0</v>
      </c>
      <c r="P621" s="18"/>
      <c r="Q621" s="18"/>
      <c r="R621" s="18"/>
      <c r="S621" s="18"/>
      <c r="T621" s="18"/>
      <c r="U621" s="18"/>
      <c r="V621" s="18"/>
      <c r="W621" s="18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62" t="s">
        <v>21</v>
      </c>
      <c r="B622" s="62" t="s">
        <v>41</v>
      </c>
      <c r="C622" s="62" t="s">
        <v>64</v>
      </c>
      <c r="D622" s="62" t="s">
        <v>25</v>
      </c>
      <c r="E622" s="62" t="s">
        <v>25</v>
      </c>
      <c r="F622" s="62" t="s">
        <v>25</v>
      </c>
      <c r="G622" s="62" t="s">
        <v>95</v>
      </c>
      <c r="H622" s="62" t="s">
        <v>25</v>
      </c>
      <c r="I622" s="75">
        <v>44378</v>
      </c>
      <c r="J622" s="76">
        <f ca="1">EFEITO!$J$622*EFEITO!$Y$622</f>
        <v>20223.871408646341</v>
      </c>
      <c r="K622" s="76">
        <f>EFEITO!$L$622*EFEITO!$Z$622</f>
        <v>0</v>
      </c>
      <c r="L622" s="76">
        <f>EFEITO!$N$622*EFEITO!$AA$622</f>
        <v>0</v>
      </c>
      <c r="M622" s="76">
        <f ca="1">$J$622-EFEITO!$K$622*EFEITO!$Y$622</f>
        <v>10111.93570432317</v>
      </c>
      <c r="N622" s="76">
        <f>$K$622-EFEITO!$M$622*EFEITO!$Z$622</f>
        <v>0</v>
      </c>
      <c r="O622" s="76">
        <f>$L$622-EFEITO!$O$622*EFEITO!$AA$622</f>
        <v>0</v>
      </c>
      <c r="P622" s="18"/>
      <c r="Q622" s="18"/>
      <c r="R622" s="18"/>
      <c r="S622" s="18"/>
      <c r="T622" s="18"/>
      <c r="U622" s="18"/>
      <c r="V622" s="18"/>
      <c r="W622" s="18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62" t="s">
        <v>21</v>
      </c>
      <c r="B623" s="62" t="s">
        <v>41</v>
      </c>
      <c r="C623" s="62" t="s">
        <v>64</v>
      </c>
      <c r="D623" s="62" t="s">
        <v>25</v>
      </c>
      <c r="E623" s="62" t="s">
        <v>25</v>
      </c>
      <c r="F623" s="62" t="s">
        <v>25</v>
      </c>
      <c r="G623" s="62" t="s">
        <v>96</v>
      </c>
      <c r="H623" s="62" t="s">
        <v>25</v>
      </c>
      <c r="I623" s="75">
        <v>44378</v>
      </c>
      <c r="J623" s="76">
        <f ca="1">EFEITO!$J$623*EFEITO!$Y$623</f>
        <v>17138.874075124018</v>
      </c>
      <c r="K623" s="76">
        <f>EFEITO!$L$623*EFEITO!$Z$623</f>
        <v>0</v>
      </c>
      <c r="L623" s="76">
        <f>EFEITO!$N$623*EFEITO!$AA$623</f>
        <v>0</v>
      </c>
      <c r="M623" s="76">
        <f ca="1">$J$623-EFEITO!$K$623*EFEITO!$Y$623</f>
        <v>8569.4370375620092</v>
      </c>
      <c r="N623" s="76">
        <f>$K$623-EFEITO!$M$623*EFEITO!$Z$623</f>
        <v>0</v>
      </c>
      <c r="O623" s="76">
        <f>$L$623-EFEITO!$O$623*EFEITO!$AA$623</f>
        <v>0</v>
      </c>
      <c r="P623" s="18"/>
      <c r="Q623" s="18"/>
      <c r="R623" s="18"/>
      <c r="S623" s="18"/>
      <c r="T623" s="18"/>
      <c r="U623" s="18"/>
      <c r="V623" s="18"/>
      <c r="W623" s="18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62" t="s">
        <v>21</v>
      </c>
      <c r="B624" s="62" t="s">
        <v>41</v>
      </c>
      <c r="C624" s="62" t="s">
        <v>64</v>
      </c>
      <c r="D624" s="62" t="s">
        <v>25</v>
      </c>
      <c r="E624" s="62" t="s">
        <v>25</v>
      </c>
      <c r="F624" s="62" t="s">
        <v>25</v>
      </c>
      <c r="G624" s="62" t="s">
        <v>97</v>
      </c>
      <c r="H624" s="62" t="s">
        <v>25</v>
      </c>
      <c r="I624" s="75">
        <v>44378</v>
      </c>
      <c r="J624" s="76">
        <f ca="1">EFEITO!$J$624*EFEITO!$Y$624</f>
        <v>20223.871408646341</v>
      </c>
      <c r="K624" s="76">
        <f>EFEITO!$L$624*EFEITO!$Z$624</f>
        <v>0</v>
      </c>
      <c r="L624" s="76">
        <f>EFEITO!$N$624*EFEITO!$AA$624</f>
        <v>0</v>
      </c>
      <c r="M624" s="76">
        <f ca="1">$J$624-EFEITO!$K$624*EFEITO!$Y$624</f>
        <v>10111.93570432317</v>
      </c>
      <c r="N624" s="76">
        <f>$K$624-EFEITO!$M$624*EFEITO!$Z$624</f>
        <v>0</v>
      </c>
      <c r="O624" s="76">
        <f>$L$624-EFEITO!$O$624*EFEITO!$AA$624</f>
        <v>0</v>
      </c>
      <c r="P624" s="18"/>
      <c r="Q624" s="18"/>
      <c r="R624" s="18"/>
      <c r="S624" s="18"/>
      <c r="T624" s="18"/>
      <c r="U624" s="18"/>
      <c r="V624" s="18"/>
      <c r="W624" s="18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62" t="s">
        <v>21</v>
      </c>
      <c r="B625" s="62" t="s">
        <v>41</v>
      </c>
      <c r="C625" s="62" t="s">
        <v>64</v>
      </c>
      <c r="D625" s="62" t="s">
        <v>25</v>
      </c>
      <c r="E625" s="62" t="s">
        <v>25</v>
      </c>
      <c r="F625" s="62" t="s">
        <v>25</v>
      </c>
      <c r="G625" s="62" t="s">
        <v>98</v>
      </c>
      <c r="H625" s="62" t="s">
        <v>25</v>
      </c>
      <c r="I625" s="75">
        <v>44378</v>
      </c>
      <c r="J625" s="76">
        <f ca="1">EFEITO!$J$625*EFEITO!$Y$625</f>
        <v>51416.622225372055</v>
      </c>
      <c r="K625" s="76">
        <f>EFEITO!$L$625*EFEITO!$Z$625</f>
        <v>0</v>
      </c>
      <c r="L625" s="76">
        <f>EFEITO!$N$625*EFEITO!$AA$625</f>
        <v>0</v>
      </c>
      <c r="M625" s="76">
        <f ca="1">$J$625-EFEITO!$K$625*EFEITO!$Y$625</f>
        <v>25708.311112686028</v>
      </c>
      <c r="N625" s="76">
        <f>$K$625-EFEITO!$M$625*EFEITO!$Z$625</f>
        <v>0</v>
      </c>
      <c r="O625" s="76">
        <f>$L$625-EFEITO!$O$625*EFEITO!$AA$625</f>
        <v>0</v>
      </c>
      <c r="P625" s="18"/>
      <c r="Q625" s="18"/>
      <c r="R625" s="18"/>
      <c r="S625" s="18"/>
      <c r="T625" s="18"/>
      <c r="U625" s="18"/>
      <c r="V625" s="18"/>
      <c r="W625" s="18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62" t="s">
        <v>21</v>
      </c>
      <c r="B626" s="62" t="s">
        <v>41</v>
      </c>
      <c r="C626" s="62" t="s">
        <v>64</v>
      </c>
      <c r="D626" s="62" t="s">
        <v>25</v>
      </c>
      <c r="E626" s="62" t="s">
        <v>25</v>
      </c>
      <c r="F626" s="62" t="s">
        <v>25</v>
      </c>
      <c r="G626" s="62" t="s">
        <v>99</v>
      </c>
      <c r="H626" s="62" t="s">
        <v>25</v>
      </c>
      <c r="I626" s="75">
        <v>44378</v>
      </c>
      <c r="J626" s="76">
        <f ca="1">EFEITO!$J$626*EFEITO!$Y$626</f>
        <v>20223.871408646341</v>
      </c>
      <c r="K626" s="76">
        <f>EFEITO!$L$626*EFEITO!$Z$626</f>
        <v>0</v>
      </c>
      <c r="L626" s="76">
        <f>EFEITO!$N$626*EFEITO!$AA$626</f>
        <v>0</v>
      </c>
      <c r="M626" s="76">
        <f ca="1">$J$626-EFEITO!$K$626*EFEITO!$Y$626</f>
        <v>10111.93570432317</v>
      </c>
      <c r="N626" s="76">
        <f>$K$626-EFEITO!$M$626*EFEITO!$Z$626</f>
        <v>0</v>
      </c>
      <c r="O626" s="76">
        <f>$L$626-EFEITO!$O$626*EFEITO!$AA$626</f>
        <v>0</v>
      </c>
      <c r="P626" s="18"/>
      <c r="Q626" s="18"/>
      <c r="R626" s="18"/>
      <c r="S626" s="18"/>
      <c r="T626" s="18"/>
      <c r="U626" s="18"/>
      <c r="V626" s="18"/>
      <c r="W626" s="18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62" t="s">
        <v>21</v>
      </c>
      <c r="B627" s="62" t="s">
        <v>41</v>
      </c>
      <c r="C627" s="62" t="s">
        <v>64</v>
      </c>
      <c r="D627" s="62" t="s">
        <v>25</v>
      </c>
      <c r="E627" s="62" t="s">
        <v>25</v>
      </c>
      <c r="F627" s="62" t="s">
        <v>25</v>
      </c>
      <c r="G627" s="62" t="s">
        <v>100</v>
      </c>
      <c r="H627" s="62" t="s">
        <v>25</v>
      </c>
      <c r="I627" s="75">
        <v>44378</v>
      </c>
      <c r="J627" s="76">
        <f ca="1">EFEITO!$J$627*EFEITO!$Y$627</f>
        <v>20223.871408646341</v>
      </c>
      <c r="K627" s="76">
        <f>EFEITO!$L$627*EFEITO!$Z$627</f>
        <v>0</v>
      </c>
      <c r="L627" s="76">
        <f>EFEITO!$N$627*EFEITO!$AA$627</f>
        <v>0</v>
      </c>
      <c r="M627" s="76">
        <f ca="1">$J$627-EFEITO!$K$627*EFEITO!$Y$627</f>
        <v>10111.93570432317</v>
      </c>
      <c r="N627" s="76">
        <f>$K$627-EFEITO!$M$627*EFEITO!$Z$627</f>
        <v>0</v>
      </c>
      <c r="O627" s="76">
        <f>$L$627-EFEITO!$O$627*EFEITO!$AA$627</f>
        <v>0</v>
      </c>
      <c r="P627" s="18"/>
      <c r="Q627" s="18"/>
      <c r="R627" s="18"/>
      <c r="S627" s="18"/>
      <c r="T627" s="18"/>
      <c r="U627" s="18"/>
      <c r="V627" s="18"/>
      <c r="W627" s="18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62" t="s">
        <v>21</v>
      </c>
      <c r="B628" s="62" t="s">
        <v>41</v>
      </c>
      <c r="C628" s="62" t="s">
        <v>64</v>
      </c>
      <c r="D628" s="62" t="s">
        <v>25</v>
      </c>
      <c r="E628" s="62" t="s">
        <v>25</v>
      </c>
      <c r="F628" s="62" t="s">
        <v>25</v>
      </c>
      <c r="G628" s="62" t="s">
        <v>68</v>
      </c>
      <c r="H628" s="62" t="s">
        <v>25</v>
      </c>
      <c r="I628" s="75">
        <v>44409</v>
      </c>
      <c r="J628" s="76">
        <f ca="1">EFEITO!$J$628*EFEITO!$Y$628</f>
        <v>5175.9399706874538</v>
      </c>
      <c r="K628" s="76">
        <f>EFEITO!$L$628*EFEITO!$Z$628</f>
        <v>0</v>
      </c>
      <c r="L628" s="76">
        <f>EFEITO!$N$628*EFEITO!$AA$628</f>
        <v>0</v>
      </c>
      <c r="M628" s="76">
        <f ca="1">$J$628-EFEITO!$K$628*EFEITO!$Y$628</f>
        <v>0</v>
      </c>
      <c r="N628" s="76">
        <f>$K$628-EFEITO!$M$628*EFEITO!$Z$628</f>
        <v>0</v>
      </c>
      <c r="O628" s="76">
        <f>$L$628-EFEITO!$O$628*EFEITO!$AA$628</f>
        <v>0</v>
      </c>
      <c r="P628" s="18"/>
      <c r="Q628" s="18"/>
      <c r="R628" s="18"/>
      <c r="S628" s="18"/>
      <c r="T628" s="18"/>
      <c r="U628" s="18"/>
      <c r="V628" s="18"/>
      <c r="W628" s="18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62" t="s">
        <v>21</v>
      </c>
      <c r="B629" s="62" t="s">
        <v>41</v>
      </c>
      <c r="C629" s="62" t="s">
        <v>64</v>
      </c>
      <c r="D629" s="62" t="s">
        <v>25</v>
      </c>
      <c r="E629" s="62" t="s">
        <v>25</v>
      </c>
      <c r="F629" s="62" t="s">
        <v>25</v>
      </c>
      <c r="G629" s="62" t="s">
        <v>70</v>
      </c>
      <c r="H629" s="62" t="s">
        <v>25</v>
      </c>
      <c r="I629" s="75">
        <v>44409</v>
      </c>
      <c r="J629" s="76">
        <f ca="1">EFEITO!$J$629*EFEITO!$Y$629</f>
        <v>86379.925338625049</v>
      </c>
      <c r="K629" s="76">
        <f>EFEITO!$L$629*EFEITO!$Z$629</f>
        <v>0</v>
      </c>
      <c r="L629" s="76">
        <f>EFEITO!$N$629*EFEITO!$AA$629</f>
        <v>0</v>
      </c>
      <c r="M629" s="76">
        <f ca="1">$J$629-EFEITO!$K$629*EFEITO!$Y$629</f>
        <v>0</v>
      </c>
      <c r="N629" s="76">
        <f>$K$629-EFEITO!$M$629*EFEITO!$Z$629</f>
        <v>0</v>
      </c>
      <c r="O629" s="76">
        <f>$L$629-EFEITO!$O$629*EFEITO!$AA$629</f>
        <v>0</v>
      </c>
      <c r="P629" s="18"/>
      <c r="Q629" s="18"/>
      <c r="R629" s="18"/>
      <c r="S629" s="18"/>
      <c r="T629" s="18"/>
      <c r="U629" s="18"/>
      <c r="V629" s="18"/>
      <c r="W629" s="18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62" t="s">
        <v>21</v>
      </c>
      <c r="B630" s="62" t="s">
        <v>41</v>
      </c>
      <c r="C630" s="62" t="s">
        <v>64</v>
      </c>
      <c r="D630" s="62" t="s">
        <v>25</v>
      </c>
      <c r="E630" s="62" t="s">
        <v>25</v>
      </c>
      <c r="F630" s="62" t="s">
        <v>25</v>
      </c>
      <c r="G630" s="62" t="s">
        <v>74</v>
      </c>
      <c r="H630" s="62" t="s">
        <v>25</v>
      </c>
      <c r="I630" s="75">
        <v>44409</v>
      </c>
      <c r="J630" s="76">
        <f ca="1">EFEITO!$J$630*EFEITO!$Y$630</f>
        <v>65127.721485471273</v>
      </c>
      <c r="K630" s="76">
        <f>EFEITO!$L$630*EFEITO!$Z$630</f>
        <v>0</v>
      </c>
      <c r="L630" s="76">
        <f>EFEITO!$N$630*EFEITO!$AA$630</f>
        <v>0</v>
      </c>
      <c r="M630" s="76">
        <f ca="1">$J$630-EFEITO!$K$630*EFEITO!$Y$630</f>
        <v>32563.860742735636</v>
      </c>
      <c r="N630" s="76">
        <f>$K$630-EFEITO!$M$630*EFEITO!$Z$630</f>
        <v>0</v>
      </c>
      <c r="O630" s="76">
        <f>$L$630-EFEITO!$O$630*EFEITO!$AA$630</f>
        <v>0</v>
      </c>
      <c r="P630" s="18"/>
      <c r="Q630" s="18"/>
      <c r="R630" s="18"/>
      <c r="S630" s="18"/>
      <c r="T630" s="18"/>
      <c r="U630" s="18"/>
      <c r="V630" s="18"/>
      <c r="W630" s="18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62" t="s">
        <v>21</v>
      </c>
      <c r="B631" s="62" t="s">
        <v>41</v>
      </c>
      <c r="C631" s="62" t="s">
        <v>64</v>
      </c>
      <c r="D631" s="62" t="s">
        <v>25</v>
      </c>
      <c r="E631" s="62" t="s">
        <v>25</v>
      </c>
      <c r="F631" s="62" t="s">
        <v>25</v>
      </c>
      <c r="G631" s="62" t="s">
        <v>76</v>
      </c>
      <c r="H631" s="62" t="s">
        <v>25</v>
      </c>
      <c r="I631" s="75">
        <v>44409</v>
      </c>
      <c r="J631" s="76">
        <f ca="1">EFEITO!$J$631*EFEITO!$Y$631</f>
        <v>8226.6595560595288</v>
      </c>
      <c r="K631" s="76">
        <f>EFEITO!$L$631*EFEITO!$Z$631</f>
        <v>0</v>
      </c>
      <c r="L631" s="76">
        <f>EFEITO!$N$631*EFEITO!$AA$631</f>
        <v>0</v>
      </c>
      <c r="M631" s="76">
        <f ca="1">$J$631-EFEITO!$K$631*EFEITO!$Y$631</f>
        <v>0</v>
      </c>
      <c r="N631" s="76">
        <f>$K$631-EFEITO!$M$631*EFEITO!$Z$631</f>
        <v>0</v>
      </c>
      <c r="O631" s="76">
        <f>$L$631-EFEITO!$O$631*EFEITO!$AA$631</f>
        <v>0</v>
      </c>
      <c r="P631" s="18"/>
      <c r="Q631" s="18"/>
      <c r="R631" s="18"/>
      <c r="S631" s="18"/>
      <c r="T631" s="18"/>
      <c r="U631" s="18"/>
      <c r="V631" s="18"/>
      <c r="W631" s="18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62" t="s">
        <v>21</v>
      </c>
      <c r="B632" s="62" t="s">
        <v>41</v>
      </c>
      <c r="C632" s="62" t="s">
        <v>64</v>
      </c>
      <c r="D632" s="62" t="s">
        <v>25</v>
      </c>
      <c r="E632" s="62" t="s">
        <v>25</v>
      </c>
      <c r="F632" s="62" t="s">
        <v>25</v>
      </c>
      <c r="G632" s="62" t="s">
        <v>77</v>
      </c>
      <c r="H632" s="62" t="s">
        <v>25</v>
      </c>
      <c r="I632" s="75">
        <v>44409</v>
      </c>
      <c r="J632" s="76">
        <f ca="1">EFEITO!$J$632*EFEITO!$Y$632</f>
        <v>12614.211319291278</v>
      </c>
      <c r="K632" s="76">
        <f>EFEITO!$L$632*EFEITO!$Z$632</f>
        <v>0</v>
      </c>
      <c r="L632" s="76">
        <f>EFEITO!$N$632*EFEITO!$AA$632</f>
        <v>0</v>
      </c>
      <c r="M632" s="76">
        <f ca="1">$J$632-EFEITO!$K$632*EFEITO!$Y$632</f>
        <v>0</v>
      </c>
      <c r="N632" s="76">
        <f>$K$632-EFEITO!$M$632*EFEITO!$Z$632</f>
        <v>0</v>
      </c>
      <c r="O632" s="76">
        <f>$L$632-EFEITO!$O$632*EFEITO!$AA$632</f>
        <v>0</v>
      </c>
      <c r="P632" s="18"/>
      <c r="Q632" s="18"/>
      <c r="R632" s="18"/>
      <c r="S632" s="18"/>
      <c r="T632" s="18"/>
      <c r="U632" s="18"/>
      <c r="V632" s="18"/>
      <c r="W632" s="18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62" t="s">
        <v>21</v>
      </c>
      <c r="B633" s="62" t="s">
        <v>41</v>
      </c>
      <c r="C633" s="62" t="s">
        <v>64</v>
      </c>
      <c r="D633" s="62" t="s">
        <v>25</v>
      </c>
      <c r="E633" s="62" t="s">
        <v>25</v>
      </c>
      <c r="F633" s="62" t="s">
        <v>25</v>
      </c>
      <c r="G633" s="62" t="s">
        <v>78</v>
      </c>
      <c r="H633" s="62" t="s">
        <v>25</v>
      </c>
      <c r="I633" s="75">
        <v>44409</v>
      </c>
      <c r="J633" s="76">
        <f ca="1">EFEITO!$J$633*EFEITO!$Y$633</f>
        <v>110717.12652530117</v>
      </c>
      <c r="K633" s="76">
        <f>EFEITO!$L$633*EFEITO!$Z$633</f>
        <v>0</v>
      </c>
      <c r="L633" s="76">
        <f>EFEITO!$N$633*EFEITO!$AA$633</f>
        <v>0</v>
      </c>
      <c r="M633" s="76">
        <f ca="1">$J$633-EFEITO!$K$633*EFEITO!$Y$633</f>
        <v>0</v>
      </c>
      <c r="N633" s="76">
        <f>$K$633-EFEITO!$M$633*EFEITO!$Z$633</f>
        <v>0</v>
      </c>
      <c r="O633" s="76">
        <f>$L$633-EFEITO!$O$633*EFEITO!$AA$633</f>
        <v>0</v>
      </c>
      <c r="P633" s="18"/>
      <c r="Q633" s="18"/>
      <c r="R633" s="18"/>
      <c r="S633" s="18"/>
      <c r="T633" s="18"/>
      <c r="U633" s="18"/>
      <c r="V633" s="18"/>
      <c r="W633" s="18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62" t="s">
        <v>21</v>
      </c>
      <c r="B634" s="62" t="s">
        <v>41</v>
      </c>
      <c r="C634" s="62" t="s">
        <v>64</v>
      </c>
      <c r="D634" s="62" t="s">
        <v>25</v>
      </c>
      <c r="E634" s="62" t="s">
        <v>25</v>
      </c>
      <c r="F634" s="62" t="s">
        <v>25</v>
      </c>
      <c r="G634" s="62" t="s">
        <v>79</v>
      </c>
      <c r="H634" s="62" t="s">
        <v>25</v>
      </c>
      <c r="I634" s="75">
        <v>44409</v>
      </c>
      <c r="J634" s="76">
        <f ca="1">EFEITO!$J$634*EFEITO!$Y$634</f>
        <v>13196.933037845494</v>
      </c>
      <c r="K634" s="76">
        <f>EFEITO!$L$634*EFEITO!$Z$634</f>
        <v>0</v>
      </c>
      <c r="L634" s="76">
        <f>EFEITO!$N$634*EFEITO!$AA$634</f>
        <v>0</v>
      </c>
      <c r="M634" s="76">
        <f ca="1">$J$634-EFEITO!$K$634*EFEITO!$Y$634</f>
        <v>0</v>
      </c>
      <c r="N634" s="76">
        <f>$K$634-EFEITO!$M$634*EFEITO!$Z$634</f>
        <v>0</v>
      </c>
      <c r="O634" s="76">
        <f>$L$634-EFEITO!$O$634*EFEITO!$AA$634</f>
        <v>0</v>
      </c>
      <c r="P634" s="18"/>
      <c r="Q634" s="18"/>
      <c r="R634" s="18"/>
      <c r="S634" s="18"/>
      <c r="T634" s="18"/>
      <c r="U634" s="18"/>
      <c r="V634" s="18"/>
      <c r="W634" s="18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62" t="s">
        <v>21</v>
      </c>
      <c r="B635" s="62" t="s">
        <v>41</v>
      </c>
      <c r="C635" s="62" t="s">
        <v>64</v>
      </c>
      <c r="D635" s="62" t="s">
        <v>25</v>
      </c>
      <c r="E635" s="62" t="s">
        <v>25</v>
      </c>
      <c r="F635" s="62" t="s">
        <v>25</v>
      </c>
      <c r="G635" s="62" t="s">
        <v>80</v>
      </c>
      <c r="H635" s="62" t="s">
        <v>25</v>
      </c>
      <c r="I635" s="75">
        <v>44409</v>
      </c>
      <c r="J635" s="76">
        <f ca="1">EFEITO!$J$635*EFEITO!$Y$635</f>
        <v>24268.645690375612</v>
      </c>
      <c r="K635" s="76">
        <f>EFEITO!$L$635*EFEITO!$Z$635</f>
        <v>0</v>
      </c>
      <c r="L635" s="76">
        <f>EFEITO!$N$635*EFEITO!$AA$635</f>
        <v>0</v>
      </c>
      <c r="M635" s="76">
        <f ca="1">$J$635-EFEITO!$K$635*EFEITO!$Y$635</f>
        <v>0</v>
      </c>
      <c r="N635" s="76">
        <f>$K$635-EFEITO!$M$635*EFEITO!$Z$635</f>
        <v>0</v>
      </c>
      <c r="O635" s="76">
        <f>$L$635-EFEITO!$O$635*EFEITO!$AA$635</f>
        <v>0</v>
      </c>
      <c r="P635" s="18"/>
      <c r="Q635" s="18"/>
      <c r="R635" s="18"/>
      <c r="S635" s="18"/>
      <c r="T635" s="18"/>
      <c r="U635" s="18"/>
      <c r="V635" s="18"/>
      <c r="W635" s="18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62" t="s">
        <v>21</v>
      </c>
      <c r="B636" s="62" t="s">
        <v>41</v>
      </c>
      <c r="C636" s="62" t="s">
        <v>64</v>
      </c>
      <c r="D636" s="62" t="s">
        <v>25</v>
      </c>
      <c r="E636" s="62" t="s">
        <v>25</v>
      </c>
      <c r="F636" s="62" t="s">
        <v>25</v>
      </c>
      <c r="G636" s="62" t="s">
        <v>88</v>
      </c>
      <c r="H636" s="62" t="s">
        <v>25</v>
      </c>
      <c r="I636" s="75">
        <v>44409</v>
      </c>
      <c r="J636" s="76">
        <f ca="1">EFEITO!$J$636*EFEITO!$Y$636</f>
        <v>162819.30371367818</v>
      </c>
      <c r="K636" s="76">
        <f>EFEITO!$L$636*EFEITO!$Z$636</f>
        <v>0</v>
      </c>
      <c r="L636" s="76">
        <f>EFEITO!$N$636*EFEITO!$AA$636</f>
        <v>0</v>
      </c>
      <c r="M636" s="76">
        <f ca="1">$J$636-EFEITO!$K$636*EFEITO!$Y$636</f>
        <v>81409.651856839089</v>
      </c>
      <c r="N636" s="76">
        <f>$K$636-EFEITO!$M$636*EFEITO!$Z$636</f>
        <v>0</v>
      </c>
      <c r="O636" s="76">
        <f>$L$636-EFEITO!$O$636*EFEITO!$AA$636</f>
        <v>0</v>
      </c>
      <c r="P636" s="18"/>
      <c r="Q636" s="18"/>
      <c r="R636" s="18"/>
      <c r="S636" s="18"/>
      <c r="T636" s="18"/>
      <c r="U636" s="18"/>
      <c r="V636" s="18"/>
      <c r="W636" s="18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62" t="s">
        <v>21</v>
      </c>
      <c r="B637" s="62" t="s">
        <v>41</v>
      </c>
      <c r="C637" s="62" t="s">
        <v>64</v>
      </c>
      <c r="D637" s="62" t="s">
        <v>25</v>
      </c>
      <c r="E637" s="62" t="s">
        <v>25</v>
      </c>
      <c r="F637" s="62" t="s">
        <v>25</v>
      </c>
      <c r="G637" s="62" t="s">
        <v>90</v>
      </c>
      <c r="H637" s="62" t="s">
        <v>25</v>
      </c>
      <c r="I637" s="75">
        <v>44409</v>
      </c>
      <c r="J637" s="76">
        <f ca="1">EFEITO!$J$637*EFEITO!$Y$637</f>
        <v>7198.3271115520874</v>
      </c>
      <c r="K637" s="76">
        <f>EFEITO!$L$637*EFEITO!$Z$637</f>
        <v>0</v>
      </c>
      <c r="L637" s="76">
        <f>EFEITO!$N$637*EFEITO!$AA$637</f>
        <v>0</v>
      </c>
      <c r="M637" s="76">
        <f ca="1">$J$637-EFEITO!$K$637*EFEITO!$Y$637</f>
        <v>0</v>
      </c>
      <c r="N637" s="76">
        <f>$K$637-EFEITO!$M$637*EFEITO!$Z$637</f>
        <v>0</v>
      </c>
      <c r="O637" s="76">
        <f>$L$637-EFEITO!$O$637*EFEITO!$AA$637</f>
        <v>0</v>
      </c>
      <c r="P637" s="18"/>
      <c r="Q637" s="18"/>
      <c r="R637" s="18"/>
      <c r="S637" s="18"/>
      <c r="T637" s="18"/>
      <c r="U637" s="18"/>
      <c r="V637" s="18"/>
      <c r="W637" s="18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62" t="s">
        <v>21</v>
      </c>
      <c r="B638" s="62" t="s">
        <v>41</v>
      </c>
      <c r="C638" s="62" t="s">
        <v>64</v>
      </c>
      <c r="D638" s="62" t="s">
        <v>25</v>
      </c>
      <c r="E638" s="62" t="s">
        <v>25</v>
      </c>
      <c r="F638" s="62" t="s">
        <v>25</v>
      </c>
      <c r="G638" s="62" t="s">
        <v>93</v>
      </c>
      <c r="H638" s="62" t="s">
        <v>25</v>
      </c>
      <c r="I638" s="75">
        <v>44409</v>
      </c>
      <c r="J638" s="76">
        <f ca="1">EFEITO!$J$638*EFEITO!$Y$638</f>
        <v>22280.536297661223</v>
      </c>
      <c r="K638" s="76">
        <f>EFEITO!$L$638*EFEITO!$Z$638</f>
        <v>0</v>
      </c>
      <c r="L638" s="76">
        <f>EFEITO!$N$638*EFEITO!$AA$638</f>
        <v>0</v>
      </c>
      <c r="M638" s="76">
        <f ca="1">$J$638-EFEITO!$K$638*EFEITO!$Y$638</f>
        <v>11140.268148830612</v>
      </c>
      <c r="N638" s="76">
        <f>$K$638-EFEITO!$M$638*EFEITO!$Z$638</f>
        <v>0</v>
      </c>
      <c r="O638" s="76">
        <f>$L$638-EFEITO!$O$638*EFEITO!$AA$638</f>
        <v>0</v>
      </c>
      <c r="P638" s="18"/>
      <c r="Q638" s="18"/>
      <c r="R638" s="18"/>
      <c r="S638" s="18"/>
      <c r="T638" s="18"/>
      <c r="U638" s="18"/>
      <c r="V638" s="18"/>
      <c r="W638" s="18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62" t="s">
        <v>21</v>
      </c>
      <c r="B639" s="62" t="s">
        <v>41</v>
      </c>
      <c r="C639" s="62" t="s">
        <v>64</v>
      </c>
      <c r="D639" s="62" t="s">
        <v>25</v>
      </c>
      <c r="E639" s="62" t="s">
        <v>25</v>
      </c>
      <c r="F639" s="62" t="s">
        <v>25</v>
      </c>
      <c r="G639" s="62" t="s">
        <v>94</v>
      </c>
      <c r="H639" s="62" t="s">
        <v>25</v>
      </c>
      <c r="I639" s="75">
        <v>44409</v>
      </c>
      <c r="J639" s="76">
        <f ca="1">EFEITO!$J$639*EFEITO!$Y$639</f>
        <v>20223.871408646341</v>
      </c>
      <c r="K639" s="76">
        <f>EFEITO!$L$639*EFEITO!$Z$639</f>
        <v>0</v>
      </c>
      <c r="L639" s="76">
        <f>EFEITO!$N$639*EFEITO!$AA$639</f>
        <v>0</v>
      </c>
      <c r="M639" s="76">
        <f ca="1">$J$639-EFEITO!$K$639*EFEITO!$Y$639</f>
        <v>10111.93570432317</v>
      </c>
      <c r="N639" s="76">
        <f>$K$639-EFEITO!$M$639*EFEITO!$Z$639</f>
        <v>0</v>
      </c>
      <c r="O639" s="76">
        <f>$L$639-EFEITO!$O$639*EFEITO!$AA$639</f>
        <v>0</v>
      </c>
      <c r="P639" s="18"/>
      <c r="Q639" s="18"/>
      <c r="R639" s="18"/>
      <c r="S639" s="18"/>
      <c r="T639" s="18"/>
      <c r="U639" s="18"/>
      <c r="V639" s="18"/>
      <c r="W639" s="18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62" t="s">
        <v>21</v>
      </c>
      <c r="B640" s="62" t="s">
        <v>41</v>
      </c>
      <c r="C640" s="62" t="s">
        <v>64</v>
      </c>
      <c r="D640" s="62" t="s">
        <v>25</v>
      </c>
      <c r="E640" s="62" t="s">
        <v>25</v>
      </c>
      <c r="F640" s="62" t="s">
        <v>25</v>
      </c>
      <c r="G640" s="62" t="s">
        <v>95</v>
      </c>
      <c r="H640" s="62" t="s">
        <v>25</v>
      </c>
      <c r="I640" s="75">
        <v>44409</v>
      </c>
      <c r="J640" s="76">
        <f ca="1">EFEITO!$J$640*EFEITO!$Y$640</f>
        <v>20223.871408646341</v>
      </c>
      <c r="K640" s="76">
        <f>EFEITO!$L$640*EFEITO!$Z$640</f>
        <v>0</v>
      </c>
      <c r="L640" s="76">
        <f>EFEITO!$N$640*EFEITO!$AA$640</f>
        <v>0</v>
      </c>
      <c r="M640" s="76">
        <f ca="1">$J$640-EFEITO!$K$640*EFEITO!$Y$640</f>
        <v>10111.93570432317</v>
      </c>
      <c r="N640" s="76">
        <f>$K$640-EFEITO!$M$640*EFEITO!$Z$640</f>
        <v>0</v>
      </c>
      <c r="O640" s="76">
        <f>$L$640-EFEITO!$O$640*EFEITO!$AA$640</f>
        <v>0</v>
      </c>
      <c r="P640" s="18"/>
      <c r="Q640" s="18"/>
      <c r="R640" s="18"/>
      <c r="S640" s="18"/>
      <c r="T640" s="18"/>
      <c r="U640" s="18"/>
      <c r="V640" s="18"/>
      <c r="W640" s="18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62" t="s">
        <v>21</v>
      </c>
      <c r="B641" s="62" t="s">
        <v>41</v>
      </c>
      <c r="C641" s="62" t="s">
        <v>64</v>
      </c>
      <c r="D641" s="62" t="s">
        <v>25</v>
      </c>
      <c r="E641" s="62" t="s">
        <v>25</v>
      </c>
      <c r="F641" s="62" t="s">
        <v>25</v>
      </c>
      <c r="G641" s="62" t="s">
        <v>96</v>
      </c>
      <c r="H641" s="62" t="s">
        <v>25</v>
      </c>
      <c r="I641" s="75">
        <v>44409</v>
      </c>
      <c r="J641" s="76">
        <f ca="1">EFEITO!$J$641*EFEITO!$Y$641</f>
        <v>17138.874075124018</v>
      </c>
      <c r="K641" s="76">
        <f>EFEITO!$L$641*EFEITO!$Z$641</f>
        <v>0</v>
      </c>
      <c r="L641" s="76">
        <f>EFEITO!$N$641*EFEITO!$AA$641</f>
        <v>0</v>
      </c>
      <c r="M641" s="76">
        <f ca="1">$J$641-EFEITO!$K$641*EFEITO!$Y$641</f>
        <v>8569.4370375620092</v>
      </c>
      <c r="N641" s="76">
        <f>$K$641-EFEITO!$M$641*EFEITO!$Z$641</f>
        <v>0</v>
      </c>
      <c r="O641" s="76">
        <f>$L$641-EFEITO!$O$641*EFEITO!$AA$641</f>
        <v>0</v>
      </c>
      <c r="P641" s="18"/>
      <c r="Q641" s="18"/>
      <c r="R641" s="18"/>
      <c r="S641" s="18"/>
      <c r="T641" s="18"/>
      <c r="U641" s="18"/>
      <c r="V641" s="18"/>
      <c r="W641" s="18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62" t="s">
        <v>21</v>
      </c>
      <c r="B642" s="62" t="s">
        <v>41</v>
      </c>
      <c r="C642" s="62" t="s">
        <v>64</v>
      </c>
      <c r="D642" s="62" t="s">
        <v>25</v>
      </c>
      <c r="E642" s="62" t="s">
        <v>25</v>
      </c>
      <c r="F642" s="62" t="s">
        <v>25</v>
      </c>
      <c r="G642" s="62" t="s">
        <v>97</v>
      </c>
      <c r="H642" s="62" t="s">
        <v>25</v>
      </c>
      <c r="I642" s="75">
        <v>44409</v>
      </c>
      <c r="J642" s="76">
        <f ca="1">EFEITO!$J$642*EFEITO!$Y$642</f>
        <v>20223.871408646341</v>
      </c>
      <c r="K642" s="76">
        <f>EFEITO!$L$642*EFEITO!$Z$642</f>
        <v>0</v>
      </c>
      <c r="L642" s="76">
        <f>EFEITO!$N$642*EFEITO!$AA$642</f>
        <v>0</v>
      </c>
      <c r="M642" s="76">
        <f ca="1">$J$642-EFEITO!$K$642*EFEITO!$Y$642</f>
        <v>10111.93570432317</v>
      </c>
      <c r="N642" s="76">
        <f>$K$642-EFEITO!$M$642*EFEITO!$Z$642</f>
        <v>0</v>
      </c>
      <c r="O642" s="76">
        <f>$L$642-EFEITO!$O$642*EFEITO!$AA$642</f>
        <v>0</v>
      </c>
      <c r="P642" s="18"/>
      <c r="Q642" s="18"/>
      <c r="R642" s="18"/>
      <c r="S642" s="18"/>
      <c r="T642" s="18"/>
      <c r="U642" s="18"/>
      <c r="V642" s="18"/>
      <c r="W642" s="18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62" t="s">
        <v>21</v>
      </c>
      <c r="B643" s="62" t="s">
        <v>41</v>
      </c>
      <c r="C643" s="62" t="s">
        <v>64</v>
      </c>
      <c r="D643" s="62" t="s">
        <v>25</v>
      </c>
      <c r="E643" s="62" t="s">
        <v>25</v>
      </c>
      <c r="F643" s="62" t="s">
        <v>25</v>
      </c>
      <c r="G643" s="62" t="s">
        <v>98</v>
      </c>
      <c r="H643" s="62" t="s">
        <v>25</v>
      </c>
      <c r="I643" s="75">
        <v>44409</v>
      </c>
      <c r="J643" s="76">
        <f ca="1">EFEITO!$J$643*EFEITO!$Y$643</f>
        <v>51416.622225372055</v>
      </c>
      <c r="K643" s="76">
        <f>EFEITO!$L$643*EFEITO!$Z$643</f>
        <v>0</v>
      </c>
      <c r="L643" s="76">
        <f>EFEITO!$N$643*EFEITO!$AA$643</f>
        <v>0</v>
      </c>
      <c r="M643" s="76">
        <f ca="1">$J$643-EFEITO!$K$643*EFEITO!$Y$643</f>
        <v>25708.311112686028</v>
      </c>
      <c r="N643" s="76">
        <f>$K$643-EFEITO!$M$643*EFEITO!$Z$643</f>
        <v>0</v>
      </c>
      <c r="O643" s="76">
        <f>$L$643-EFEITO!$O$643*EFEITO!$AA$643</f>
        <v>0</v>
      </c>
      <c r="P643" s="18"/>
      <c r="Q643" s="18"/>
      <c r="R643" s="18"/>
      <c r="S643" s="18"/>
      <c r="T643" s="18"/>
      <c r="U643" s="18"/>
      <c r="V643" s="18"/>
      <c r="W643" s="18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62" t="s">
        <v>21</v>
      </c>
      <c r="B644" s="62" t="s">
        <v>41</v>
      </c>
      <c r="C644" s="62" t="s">
        <v>64</v>
      </c>
      <c r="D644" s="62" t="s">
        <v>25</v>
      </c>
      <c r="E644" s="62" t="s">
        <v>25</v>
      </c>
      <c r="F644" s="62" t="s">
        <v>25</v>
      </c>
      <c r="G644" s="62" t="s">
        <v>99</v>
      </c>
      <c r="H644" s="62" t="s">
        <v>25</v>
      </c>
      <c r="I644" s="75">
        <v>44409</v>
      </c>
      <c r="J644" s="76">
        <f ca="1">EFEITO!$J$644*EFEITO!$Y$644</f>
        <v>20223.871408646341</v>
      </c>
      <c r="K644" s="76">
        <f>EFEITO!$L$644*EFEITO!$Z$644</f>
        <v>0</v>
      </c>
      <c r="L644" s="76">
        <f>EFEITO!$N$644*EFEITO!$AA$644</f>
        <v>0</v>
      </c>
      <c r="M644" s="76">
        <f ca="1">$J$644-EFEITO!$K$644*EFEITO!$Y$644</f>
        <v>10111.93570432317</v>
      </c>
      <c r="N644" s="76">
        <f>$K$644-EFEITO!$M$644*EFEITO!$Z$644</f>
        <v>0</v>
      </c>
      <c r="O644" s="76">
        <f>$L$644-EFEITO!$O$644*EFEITO!$AA$644</f>
        <v>0</v>
      </c>
      <c r="P644" s="18"/>
      <c r="Q644" s="18"/>
      <c r="R644" s="18"/>
      <c r="S644" s="18"/>
      <c r="T644" s="18"/>
      <c r="U644" s="18"/>
      <c r="V644" s="18"/>
      <c r="W644" s="18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62" t="s">
        <v>21</v>
      </c>
      <c r="B645" s="62" t="s">
        <v>41</v>
      </c>
      <c r="C645" s="62" t="s">
        <v>64</v>
      </c>
      <c r="D645" s="62" t="s">
        <v>25</v>
      </c>
      <c r="E645" s="62" t="s">
        <v>25</v>
      </c>
      <c r="F645" s="62" t="s">
        <v>25</v>
      </c>
      <c r="G645" s="62" t="s">
        <v>100</v>
      </c>
      <c r="H645" s="62" t="s">
        <v>25</v>
      </c>
      <c r="I645" s="75">
        <v>44409</v>
      </c>
      <c r="J645" s="76">
        <f ca="1">EFEITO!$J$645*EFEITO!$Y$645</f>
        <v>20223.871408646341</v>
      </c>
      <c r="K645" s="76">
        <f>EFEITO!$L$645*EFEITO!$Z$645</f>
        <v>0</v>
      </c>
      <c r="L645" s="76">
        <f>EFEITO!$N$645*EFEITO!$AA$645</f>
        <v>0</v>
      </c>
      <c r="M645" s="76">
        <f ca="1">$J$645-EFEITO!$K$645*EFEITO!$Y$645</f>
        <v>10111.93570432317</v>
      </c>
      <c r="N645" s="76">
        <f>$K$645-EFEITO!$M$645*EFEITO!$Z$645</f>
        <v>0</v>
      </c>
      <c r="O645" s="76">
        <f>$L$645-EFEITO!$O$645*EFEITO!$AA$645</f>
        <v>0</v>
      </c>
      <c r="P645" s="18"/>
      <c r="Q645" s="18"/>
      <c r="R645" s="18"/>
      <c r="S645" s="18"/>
      <c r="T645" s="18"/>
      <c r="U645" s="18"/>
      <c r="V645" s="18"/>
      <c r="W645" s="18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62" t="s">
        <v>21</v>
      </c>
      <c r="B646" s="62" t="s">
        <v>41</v>
      </c>
      <c r="C646" s="62" t="s">
        <v>64</v>
      </c>
      <c r="D646" s="62" t="s">
        <v>25</v>
      </c>
      <c r="E646" s="62" t="s">
        <v>25</v>
      </c>
      <c r="F646" s="62" t="s">
        <v>25</v>
      </c>
      <c r="G646" s="62" t="s">
        <v>68</v>
      </c>
      <c r="H646" s="62" t="s">
        <v>25</v>
      </c>
      <c r="I646" s="75">
        <v>44440</v>
      </c>
      <c r="J646" s="76">
        <f ca="1">EFEITO!$J$646*EFEITO!$Y$646</f>
        <v>5175.9399706874538</v>
      </c>
      <c r="K646" s="76">
        <f>EFEITO!$L$646*EFEITO!$Z$646</f>
        <v>0</v>
      </c>
      <c r="L646" s="76">
        <f>EFEITO!$N$646*EFEITO!$AA$646</f>
        <v>0</v>
      </c>
      <c r="M646" s="76">
        <f ca="1">$J$646-EFEITO!$K$646*EFEITO!$Y$646</f>
        <v>0</v>
      </c>
      <c r="N646" s="76">
        <f>$K$646-EFEITO!$M$646*EFEITO!$Z$646</f>
        <v>0</v>
      </c>
      <c r="O646" s="76">
        <f>$L$646-EFEITO!$O$646*EFEITO!$AA$646</f>
        <v>0</v>
      </c>
      <c r="P646" s="18"/>
      <c r="Q646" s="18"/>
      <c r="R646" s="18"/>
      <c r="S646" s="18"/>
      <c r="T646" s="18"/>
      <c r="U646" s="18"/>
      <c r="V646" s="18"/>
      <c r="W646" s="18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62" t="s">
        <v>21</v>
      </c>
      <c r="B647" s="62" t="s">
        <v>41</v>
      </c>
      <c r="C647" s="62" t="s">
        <v>64</v>
      </c>
      <c r="D647" s="62" t="s">
        <v>25</v>
      </c>
      <c r="E647" s="62" t="s">
        <v>25</v>
      </c>
      <c r="F647" s="62" t="s">
        <v>25</v>
      </c>
      <c r="G647" s="62" t="s">
        <v>70</v>
      </c>
      <c r="H647" s="62" t="s">
        <v>25</v>
      </c>
      <c r="I647" s="75">
        <v>44440</v>
      </c>
      <c r="J647" s="76">
        <f ca="1">EFEITO!$J$647*EFEITO!$Y$647</f>
        <v>86379.925338625049</v>
      </c>
      <c r="K647" s="76">
        <f>EFEITO!$L$647*EFEITO!$Z$647</f>
        <v>0</v>
      </c>
      <c r="L647" s="76">
        <f>EFEITO!$N$647*EFEITO!$AA$647</f>
        <v>0</v>
      </c>
      <c r="M647" s="76">
        <f ca="1">$J$647-EFEITO!$K$647*EFEITO!$Y$647</f>
        <v>0</v>
      </c>
      <c r="N647" s="76">
        <f>$K$647-EFEITO!$M$647*EFEITO!$Z$647</f>
        <v>0</v>
      </c>
      <c r="O647" s="76">
        <f>$L$647-EFEITO!$O$647*EFEITO!$AA$647</f>
        <v>0</v>
      </c>
      <c r="P647" s="18"/>
      <c r="Q647" s="18"/>
      <c r="R647" s="18"/>
      <c r="S647" s="18"/>
      <c r="T647" s="18"/>
      <c r="U647" s="18"/>
      <c r="V647" s="18"/>
      <c r="W647" s="18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62" t="s">
        <v>21</v>
      </c>
      <c r="B648" s="62" t="s">
        <v>41</v>
      </c>
      <c r="C648" s="62" t="s">
        <v>64</v>
      </c>
      <c r="D648" s="62" t="s">
        <v>25</v>
      </c>
      <c r="E648" s="62" t="s">
        <v>25</v>
      </c>
      <c r="F648" s="62" t="s">
        <v>25</v>
      </c>
      <c r="G648" s="62" t="s">
        <v>74</v>
      </c>
      <c r="H648" s="62" t="s">
        <v>25</v>
      </c>
      <c r="I648" s="75">
        <v>44440</v>
      </c>
      <c r="J648" s="76">
        <f ca="1">EFEITO!$J$648*EFEITO!$Y$648</f>
        <v>65127.721485471273</v>
      </c>
      <c r="K648" s="76">
        <f>EFEITO!$L$648*EFEITO!$Z$648</f>
        <v>0</v>
      </c>
      <c r="L648" s="76">
        <f>EFEITO!$N$648*EFEITO!$AA$648</f>
        <v>0</v>
      </c>
      <c r="M648" s="76">
        <f ca="1">$J$648-EFEITO!$K$648*EFEITO!$Y$648</f>
        <v>32563.860742735636</v>
      </c>
      <c r="N648" s="76">
        <f>$K$648-EFEITO!$M$648*EFEITO!$Z$648</f>
        <v>0</v>
      </c>
      <c r="O648" s="76">
        <f>$L$648-EFEITO!$O$648*EFEITO!$AA$648</f>
        <v>0</v>
      </c>
      <c r="P648" s="18"/>
      <c r="Q648" s="18"/>
      <c r="R648" s="18"/>
      <c r="S648" s="18"/>
      <c r="T648" s="18"/>
      <c r="U648" s="18"/>
      <c r="V648" s="18"/>
      <c r="W648" s="18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62" t="s">
        <v>21</v>
      </c>
      <c r="B649" s="62" t="s">
        <v>41</v>
      </c>
      <c r="C649" s="62" t="s">
        <v>64</v>
      </c>
      <c r="D649" s="62" t="s">
        <v>25</v>
      </c>
      <c r="E649" s="62" t="s">
        <v>25</v>
      </c>
      <c r="F649" s="62" t="s">
        <v>25</v>
      </c>
      <c r="G649" s="62" t="s">
        <v>76</v>
      </c>
      <c r="H649" s="62" t="s">
        <v>25</v>
      </c>
      <c r="I649" s="75">
        <v>44440</v>
      </c>
      <c r="J649" s="76">
        <f ca="1">EFEITO!$J$649*EFEITO!$Y$649</f>
        <v>8226.6595560595288</v>
      </c>
      <c r="K649" s="76">
        <f>EFEITO!$L$649*EFEITO!$Z$649</f>
        <v>0</v>
      </c>
      <c r="L649" s="76">
        <f>EFEITO!$N$649*EFEITO!$AA$649</f>
        <v>0</v>
      </c>
      <c r="M649" s="76">
        <f ca="1">$J$649-EFEITO!$K$649*EFEITO!$Y$649</f>
        <v>0</v>
      </c>
      <c r="N649" s="76">
        <f>$K$649-EFEITO!$M$649*EFEITO!$Z$649</f>
        <v>0</v>
      </c>
      <c r="O649" s="76">
        <f>$L$649-EFEITO!$O$649*EFEITO!$AA$649</f>
        <v>0</v>
      </c>
      <c r="P649" s="18"/>
      <c r="Q649" s="18"/>
      <c r="R649" s="18"/>
      <c r="S649" s="18"/>
      <c r="T649" s="18"/>
      <c r="U649" s="18"/>
      <c r="V649" s="18"/>
      <c r="W649" s="18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62" t="s">
        <v>21</v>
      </c>
      <c r="B650" s="62" t="s">
        <v>41</v>
      </c>
      <c r="C650" s="62" t="s">
        <v>64</v>
      </c>
      <c r="D650" s="62" t="s">
        <v>25</v>
      </c>
      <c r="E650" s="62" t="s">
        <v>25</v>
      </c>
      <c r="F650" s="62" t="s">
        <v>25</v>
      </c>
      <c r="G650" s="62" t="s">
        <v>77</v>
      </c>
      <c r="H650" s="62" t="s">
        <v>25</v>
      </c>
      <c r="I650" s="75">
        <v>44440</v>
      </c>
      <c r="J650" s="76">
        <f ca="1">EFEITO!$J$650*EFEITO!$Y$650</f>
        <v>12614.211319291278</v>
      </c>
      <c r="K650" s="76">
        <f>EFEITO!$L$650*EFEITO!$Z$650</f>
        <v>0</v>
      </c>
      <c r="L650" s="76">
        <f>EFEITO!$N$650*EFEITO!$AA$650</f>
        <v>0</v>
      </c>
      <c r="M650" s="76">
        <f ca="1">$J$650-EFEITO!$K$650*EFEITO!$Y$650</f>
        <v>0</v>
      </c>
      <c r="N650" s="76">
        <f>$K$650-EFEITO!$M$650*EFEITO!$Z$650</f>
        <v>0</v>
      </c>
      <c r="O650" s="76">
        <f>$L$650-EFEITO!$O$650*EFEITO!$AA$650</f>
        <v>0</v>
      </c>
      <c r="P650" s="18"/>
      <c r="Q650" s="18"/>
      <c r="R650" s="18"/>
      <c r="S650" s="18"/>
      <c r="T650" s="18"/>
      <c r="U650" s="18"/>
      <c r="V650" s="18"/>
      <c r="W650" s="18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62" t="s">
        <v>21</v>
      </c>
      <c r="B651" s="62" t="s">
        <v>41</v>
      </c>
      <c r="C651" s="62" t="s">
        <v>64</v>
      </c>
      <c r="D651" s="62" t="s">
        <v>25</v>
      </c>
      <c r="E651" s="62" t="s">
        <v>25</v>
      </c>
      <c r="F651" s="62" t="s">
        <v>25</v>
      </c>
      <c r="G651" s="62" t="s">
        <v>78</v>
      </c>
      <c r="H651" s="62" t="s">
        <v>25</v>
      </c>
      <c r="I651" s="75">
        <v>44440</v>
      </c>
      <c r="J651" s="76">
        <f ca="1">EFEITO!$J$651*EFEITO!$Y$651</f>
        <v>110717.12652530117</v>
      </c>
      <c r="K651" s="76">
        <f>EFEITO!$L$651*EFEITO!$Z$651</f>
        <v>0</v>
      </c>
      <c r="L651" s="76">
        <f>EFEITO!$N$651*EFEITO!$AA$651</f>
        <v>0</v>
      </c>
      <c r="M651" s="76">
        <f ca="1">$J$651-EFEITO!$K$651*EFEITO!$Y$651</f>
        <v>0</v>
      </c>
      <c r="N651" s="76">
        <f>$K$651-EFEITO!$M$651*EFEITO!$Z$651</f>
        <v>0</v>
      </c>
      <c r="O651" s="76">
        <f>$L$651-EFEITO!$O$651*EFEITO!$AA$651</f>
        <v>0</v>
      </c>
      <c r="P651" s="18"/>
      <c r="Q651" s="18"/>
      <c r="R651" s="18"/>
      <c r="S651" s="18"/>
      <c r="T651" s="18"/>
      <c r="U651" s="18"/>
      <c r="V651" s="18"/>
      <c r="W651" s="18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62" t="s">
        <v>21</v>
      </c>
      <c r="B652" s="62" t="s">
        <v>41</v>
      </c>
      <c r="C652" s="62" t="s">
        <v>64</v>
      </c>
      <c r="D652" s="62" t="s">
        <v>25</v>
      </c>
      <c r="E652" s="62" t="s">
        <v>25</v>
      </c>
      <c r="F652" s="62" t="s">
        <v>25</v>
      </c>
      <c r="G652" s="62" t="s">
        <v>79</v>
      </c>
      <c r="H652" s="62" t="s">
        <v>25</v>
      </c>
      <c r="I652" s="75">
        <v>44440</v>
      </c>
      <c r="J652" s="76">
        <f ca="1">EFEITO!$J$652*EFEITO!$Y$652</f>
        <v>13196.933037845494</v>
      </c>
      <c r="K652" s="76">
        <f>EFEITO!$L$652*EFEITO!$Z$652</f>
        <v>0</v>
      </c>
      <c r="L652" s="76">
        <f>EFEITO!$N$652*EFEITO!$AA$652</f>
        <v>0</v>
      </c>
      <c r="M652" s="76">
        <f ca="1">$J$652-EFEITO!$K$652*EFEITO!$Y$652</f>
        <v>0</v>
      </c>
      <c r="N652" s="76">
        <f>$K$652-EFEITO!$M$652*EFEITO!$Z$652</f>
        <v>0</v>
      </c>
      <c r="O652" s="76">
        <f>$L$652-EFEITO!$O$652*EFEITO!$AA$652</f>
        <v>0</v>
      </c>
      <c r="P652" s="18"/>
      <c r="Q652" s="18"/>
      <c r="R652" s="18"/>
      <c r="S652" s="18"/>
      <c r="T652" s="18"/>
      <c r="U652" s="18"/>
      <c r="V652" s="18"/>
      <c r="W652" s="18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62" t="s">
        <v>21</v>
      </c>
      <c r="B653" s="62" t="s">
        <v>41</v>
      </c>
      <c r="C653" s="62" t="s">
        <v>64</v>
      </c>
      <c r="D653" s="62" t="s">
        <v>25</v>
      </c>
      <c r="E653" s="62" t="s">
        <v>25</v>
      </c>
      <c r="F653" s="62" t="s">
        <v>25</v>
      </c>
      <c r="G653" s="62" t="s">
        <v>80</v>
      </c>
      <c r="H653" s="62" t="s">
        <v>25</v>
      </c>
      <c r="I653" s="75">
        <v>44440</v>
      </c>
      <c r="J653" s="76">
        <f ca="1">EFEITO!$J$653*EFEITO!$Y$653</f>
        <v>24268.645690375612</v>
      </c>
      <c r="K653" s="76">
        <f>EFEITO!$L$653*EFEITO!$Z$653</f>
        <v>0</v>
      </c>
      <c r="L653" s="76">
        <f>EFEITO!$N$653*EFEITO!$AA$653</f>
        <v>0</v>
      </c>
      <c r="M653" s="76">
        <f ca="1">$J$653-EFEITO!$K$653*EFEITO!$Y$653</f>
        <v>0</v>
      </c>
      <c r="N653" s="76">
        <f>$K$653-EFEITO!$M$653*EFEITO!$Z$653</f>
        <v>0</v>
      </c>
      <c r="O653" s="76">
        <f>$L$653-EFEITO!$O$653*EFEITO!$AA$653</f>
        <v>0</v>
      </c>
      <c r="P653" s="18"/>
      <c r="Q653" s="18"/>
      <c r="R653" s="18"/>
      <c r="S653" s="18"/>
      <c r="T653" s="18"/>
      <c r="U653" s="18"/>
      <c r="V653" s="18"/>
      <c r="W653" s="18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62" t="s">
        <v>21</v>
      </c>
      <c r="B654" s="62" t="s">
        <v>41</v>
      </c>
      <c r="C654" s="62" t="s">
        <v>64</v>
      </c>
      <c r="D654" s="62" t="s">
        <v>25</v>
      </c>
      <c r="E654" s="62" t="s">
        <v>25</v>
      </c>
      <c r="F654" s="62" t="s">
        <v>25</v>
      </c>
      <c r="G654" s="62" t="s">
        <v>88</v>
      </c>
      <c r="H654" s="62" t="s">
        <v>25</v>
      </c>
      <c r="I654" s="75">
        <v>44440</v>
      </c>
      <c r="J654" s="76">
        <f ca="1">EFEITO!$J$654*EFEITO!$Y$654</f>
        <v>162819.30371367818</v>
      </c>
      <c r="K654" s="76">
        <f>EFEITO!$L$654*EFEITO!$Z$654</f>
        <v>0</v>
      </c>
      <c r="L654" s="76">
        <f>EFEITO!$N$654*EFEITO!$AA$654</f>
        <v>0</v>
      </c>
      <c r="M654" s="76">
        <f ca="1">$J$654-EFEITO!$K$654*EFEITO!$Y$654</f>
        <v>81409.651856839089</v>
      </c>
      <c r="N654" s="76">
        <f>$K$654-EFEITO!$M$654*EFEITO!$Z$654</f>
        <v>0</v>
      </c>
      <c r="O654" s="76">
        <f>$L$654-EFEITO!$O$654*EFEITO!$AA$654</f>
        <v>0</v>
      </c>
      <c r="P654" s="18"/>
      <c r="Q654" s="18"/>
      <c r="R654" s="18"/>
      <c r="S654" s="18"/>
      <c r="T654" s="18"/>
      <c r="U654" s="18"/>
      <c r="V654" s="18"/>
      <c r="W654" s="18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62" t="s">
        <v>21</v>
      </c>
      <c r="B655" s="62" t="s">
        <v>41</v>
      </c>
      <c r="C655" s="62" t="s">
        <v>64</v>
      </c>
      <c r="D655" s="62" t="s">
        <v>25</v>
      </c>
      <c r="E655" s="62" t="s">
        <v>25</v>
      </c>
      <c r="F655" s="62" t="s">
        <v>25</v>
      </c>
      <c r="G655" s="62" t="s">
        <v>90</v>
      </c>
      <c r="H655" s="62" t="s">
        <v>25</v>
      </c>
      <c r="I655" s="75">
        <v>44440</v>
      </c>
      <c r="J655" s="76">
        <f ca="1">EFEITO!$J$655*EFEITO!$Y$655</f>
        <v>7198.3271115520874</v>
      </c>
      <c r="K655" s="76">
        <f>EFEITO!$L$655*EFEITO!$Z$655</f>
        <v>0</v>
      </c>
      <c r="L655" s="76">
        <f>EFEITO!$N$655*EFEITO!$AA$655</f>
        <v>0</v>
      </c>
      <c r="M655" s="76">
        <f ca="1">$J$655-EFEITO!$K$655*EFEITO!$Y$655</f>
        <v>0</v>
      </c>
      <c r="N655" s="76">
        <f>$K$655-EFEITO!$M$655*EFEITO!$Z$655</f>
        <v>0</v>
      </c>
      <c r="O655" s="76">
        <f>$L$655-EFEITO!$O$655*EFEITO!$AA$655</f>
        <v>0</v>
      </c>
      <c r="P655" s="18"/>
      <c r="Q655" s="18"/>
      <c r="R655" s="18"/>
      <c r="S655" s="18"/>
      <c r="T655" s="18"/>
      <c r="U655" s="18"/>
      <c r="V655" s="18"/>
      <c r="W655" s="18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62" t="s">
        <v>21</v>
      </c>
      <c r="B656" s="62" t="s">
        <v>41</v>
      </c>
      <c r="C656" s="62" t="s">
        <v>64</v>
      </c>
      <c r="D656" s="62" t="s">
        <v>25</v>
      </c>
      <c r="E656" s="62" t="s">
        <v>25</v>
      </c>
      <c r="F656" s="62" t="s">
        <v>25</v>
      </c>
      <c r="G656" s="62" t="s">
        <v>93</v>
      </c>
      <c r="H656" s="62" t="s">
        <v>25</v>
      </c>
      <c r="I656" s="75">
        <v>44440</v>
      </c>
      <c r="J656" s="76">
        <f ca="1">EFEITO!$J$656*EFEITO!$Y$656</f>
        <v>22280.536297661223</v>
      </c>
      <c r="K656" s="76">
        <f>EFEITO!$L$656*EFEITO!$Z$656</f>
        <v>0</v>
      </c>
      <c r="L656" s="76">
        <f>EFEITO!$N$656*EFEITO!$AA$656</f>
        <v>0</v>
      </c>
      <c r="M656" s="76">
        <f ca="1">$J$656-EFEITO!$K$656*EFEITO!$Y$656</f>
        <v>11140.268148830612</v>
      </c>
      <c r="N656" s="76">
        <f>$K$656-EFEITO!$M$656*EFEITO!$Z$656</f>
        <v>0</v>
      </c>
      <c r="O656" s="76">
        <f>$L$656-EFEITO!$O$656*EFEITO!$AA$656</f>
        <v>0</v>
      </c>
      <c r="P656" s="18"/>
      <c r="Q656" s="18"/>
      <c r="R656" s="18"/>
      <c r="S656" s="18"/>
      <c r="T656" s="18"/>
      <c r="U656" s="18"/>
      <c r="V656" s="18"/>
      <c r="W656" s="18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62" t="s">
        <v>21</v>
      </c>
      <c r="B657" s="62" t="s">
        <v>41</v>
      </c>
      <c r="C657" s="62" t="s">
        <v>64</v>
      </c>
      <c r="D657" s="62" t="s">
        <v>25</v>
      </c>
      <c r="E657" s="62" t="s">
        <v>25</v>
      </c>
      <c r="F657" s="62" t="s">
        <v>25</v>
      </c>
      <c r="G657" s="62" t="s">
        <v>94</v>
      </c>
      <c r="H657" s="62" t="s">
        <v>25</v>
      </c>
      <c r="I657" s="75">
        <v>44440</v>
      </c>
      <c r="J657" s="76">
        <f ca="1">EFEITO!$J$657*EFEITO!$Y$657</f>
        <v>20223.871408646341</v>
      </c>
      <c r="K657" s="76">
        <f>EFEITO!$L$657*EFEITO!$Z$657</f>
        <v>0</v>
      </c>
      <c r="L657" s="76">
        <f>EFEITO!$N$657*EFEITO!$AA$657</f>
        <v>0</v>
      </c>
      <c r="M657" s="76">
        <f ca="1">$J$657-EFEITO!$K$657*EFEITO!$Y$657</f>
        <v>10111.93570432317</v>
      </c>
      <c r="N657" s="76">
        <f>$K$657-EFEITO!$M$657*EFEITO!$Z$657</f>
        <v>0</v>
      </c>
      <c r="O657" s="76">
        <f>$L$657-EFEITO!$O$657*EFEITO!$AA$657</f>
        <v>0</v>
      </c>
      <c r="P657" s="18"/>
      <c r="Q657" s="18"/>
      <c r="R657" s="18"/>
      <c r="S657" s="18"/>
      <c r="T657" s="18"/>
      <c r="U657" s="18"/>
      <c r="V657" s="18"/>
      <c r="W657" s="18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62" t="s">
        <v>21</v>
      </c>
      <c r="B658" s="62" t="s">
        <v>41</v>
      </c>
      <c r="C658" s="62" t="s">
        <v>64</v>
      </c>
      <c r="D658" s="62" t="s">
        <v>25</v>
      </c>
      <c r="E658" s="62" t="s">
        <v>25</v>
      </c>
      <c r="F658" s="62" t="s">
        <v>25</v>
      </c>
      <c r="G658" s="62" t="s">
        <v>95</v>
      </c>
      <c r="H658" s="62" t="s">
        <v>25</v>
      </c>
      <c r="I658" s="75">
        <v>44440</v>
      </c>
      <c r="J658" s="76">
        <f ca="1">EFEITO!$J$658*EFEITO!$Y$658</f>
        <v>20223.871408646341</v>
      </c>
      <c r="K658" s="76">
        <f>EFEITO!$L$658*EFEITO!$Z$658</f>
        <v>0</v>
      </c>
      <c r="L658" s="76">
        <f>EFEITO!$N$658*EFEITO!$AA$658</f>
        <v>0</v>
      </c>
      <c r="M658" s="76">
        <f ca="1">$J$658-EFEITO!$K$658*EFEITO!$Y$658</f>
        <v>10111.93570432317</v>
      </c>
      <c r="N658" s="76">
        <f>$K$658-EFEITO!$M$658*EFEITO!$Z$658</f>
        <v>0</v>
      </c>
      <c r="O658" s="76">
        <f>$L$658-EFEITO!$O$658*EFEITO!$AA$658</f>
        <v>0</v>
      </c>
      <c r="P658" s="18"/>
      <c r="Q658" s="18"/>
      <c r="R658" s="18"/>
      <c r="S658" s="18"/>
      <c r="T658" s="18"/>
      <c r="U658" s="18"/>
      <c r="V658" s="18"/>
      <c r="W658" s="18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62" t="s">
        <v>21</v>
      </c>
      <c r="B659" s="62" t="s">
        <v>41</v>
      </c>
      <c r="C659" s="62" t="s">
        <v>64</v>
      </c>
      <c r="D659" s="62" t="s">
        <v>25</v>
      </c>
      <c r="E659" s="62" t="s">
        <v>25</v>
      </c>
      <c r="F659" s="62" t="s">
        <v>25</v>
      </c>
      <c r="G659" s="62" t="s">
        <v>96</v>
      </c>
      <c r="H659" s="62" t="s">
        <v>25</v>
      </c>
      <c r="I659" s="75">
        <v>44440</v>
      </c>
      <c r="J659" s="76">
        <f ca="1">EFEITO!$J$659*EFEITO!$Y$659</f>
        <v>17138.874075124018</v>
      </c>
      <c r="K659" s="76">
        <f>EFEITO!$L$659*EFEITO!$Z$659</f>
        <v>0</v>
      </c>
      <c r="L659" s="76">
        <f>EFEITO!$N$659*EFEITO!$AA$659</f>
        <v>0</v>
      </c>
      <c r="M659" s="76">
        <f ca="1">$J$659-EFEITO!$K$659*EFEITO!$Y$659</f>
        <v>8569.4370375620092</v>
      </c>
      <c r="N659" s="76">
        <f>$K$659-EFEITO!$M$659*EFEITO!$Z$659</f>
        <v>0</v>
      </c>
      <c r="O659" s="76">
        <f>$L$659-EFEITO!$O$659*EFEITO!$AA$659</f>
        <v>0</v>
      </c>
      <c r="P659" s="18"/>
      <c r="Q659" s="18"/>
      <c r="R659" s="18"/>
      <c r="S659" s="18"/>
      <c r="T659" s="18"/>
      <c r="U659" s="18"/>
      <c r="V659" s="18"/>
      <c r="W659" s="18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62" t="s">
        <v>21</v>
      </c>
      <c r="B660" s="62" t="s">
        <v>41</v>
      </c>
      <c r="C660" s="62" t="s">
        <v>64</v>
      </c>
      <c r="D660" s="62" t="s">
        <v>25</v>
      </c>
      <c r="E660" s="62" t="s">
        <v>25</v>
      </c>
      <c r="F660" s="62" t="s">
        <v>25</v>
      </c>
      <c r="G660" s="62" t="s">
        <v>97</v>
      </c>
      <c r="H660" s="62" t="s">
        <v>25</v>
      </c>
      <c r="I660" s="75">
        <v>44440</v>
      </c>
      <c r="J660" s="76">
        <f ca="1">EFEITO!$J$660*EFEITO!$Y$660</f>
        <v>20223.871408646341</v>
      </c>
      <c r="K660" s="76">
        <f>EFEITO!$L$660*EFEITO!$Z$660</f>
        <v>0</v>
      </c>
      <c r="L660" s="76">
        <f>EFEITO!$N$660*EFEITO!$AA$660</f>
        <v>0</v>
      </c>
      <c r="M660" s="76">
        <f ca="1">$J$660-EFEITO!$K$660*EFEITO!$Y$660</f>
        <v>10111.93570432317</v>
      </c>
      <c r="N660" s="76">
        <f>$K$660-EFEITO!$M$660*EFEITO!$Z$660</f>
        <v>0</v>
      </c>
      <c r="O660" s="76">
        <f>$L$660-EFEITO!$O$660*EFEITO!$AA$660</f>
        <v>0</v>
      </c>
      <c r="P660" s="18"/>
      <c r="Q660" s="18"/>
      <c r="R660" s="18"/>
      <c r="S660" s="18"/>
      <c r="T660" s="18"/>
      <c r="U660" s="18"/>
      <c r="V660" s="18"/>
      <c r="W660" s="18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62" t="s">
        <v>21</v>
      </c>
      <c r="B661" s="62" t="s">
        <v>41</v>
      </c>
      <c r="C661" s="62" t="s">
        <v>64</v>
      </c>
      <c r="D661" s="62" t="s">
        <v>25</v>
      </c>
      <c r="E661" s="62" t="s">
        <v>25</v>
      </c>
      <c r="F661" s="62" t="s">
        <v>25</v>
      </c>
      <c r="G661" s="62" t="s">
        <v>98</v>
      </c>
      <c r="H661" s="62" t="s">
        <v>25</v>
      </c>
      <c r="I661" s="75">
        <v>44440</v>
      </c>
      <c r="J661" s="76">
        <f ca="1">EFEITO!$J$661*EFEITO!$Y$661</f>
        <v>51416.622225372055</v>
      </c>
      <c r="K661" s="76">
        <f>EFEITO!$L$661*EFEITO!$Z$661</f>
        <v>0</v>
      </c>
      <c r="L661" s="76">
        <f>EFEITO!$N$661*EFEITO!$AA$661</f>
        <v>0</v>
      </c>
      <c r="M661" s="76">
        <f ca="1">$J$661-EFEITO!$K$661*EFEITO!$Y$661</f>
        <v>25708.311112686028</v>
      </c>
      <c r="N661" s="76">
        <f>$K$661-EFEITO!$M$661*EFEITO!$Z$661</f>
        <v>0</v>
      </c>
      <c r="O661" s="76">
        <f>$L$661-EFEITO!$O$661*EFEITO!$AA$661</f>
        <v>0</v>
      </c>
      <c r="P661" s="18"/>
      <c r="Q661" s="18"/>
      <c r="R661" s="18"/>
      <c r="S661" s="18"/>
      <c r="T661" s="18"/>
      <c r="U661" s="18"/>
      <c r="V661" s="18"/>
      <c r="W661" s="18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62" t="s">
        <v>21</v>
      </c>
      <c r="B662" s="62" t="s">
        <v>41</v>
      </c>
      <c r="C662" s="62" t="s">
        <v>64</v>
      </c>
      <c r="D662" s="62" t="s">
        <v>25</v>
      </c>
      <c r="E662" s="62" t="s">
        <v>25</v>
      </c>
      <c r="F662" s="62" t="s">
        <v>25</v>
      </c>
      <c r="G662" s="62" t="s">
        <v>99</v>
      </c>
      <c r="H662" s="62" t="s">
        <v>25</v>
      </c>
      <c r="I662" s="75">
        <v>44440</v>
      </c>
      <c r="J662" s="76">
        <f ca="1">EFEITO!$J$662*EFEITO!$Y$662</f>
        <v>20223.871408646341</v>
      </c>
      <c r="K662" s="76">
        <f>EFEITO!$L$662*EFEITO!$Z$662</f>
        <v>0</v>
      </c>
      <c r="L662" s="76">
        <f>EFEITO!$N$662*EFEITO!$AA$662</f>
        <v>0</v>
      </c>
      <c r="M662" s="76">
        <f ca="1">$J$662-EFEITO!$K$662*EFEITO!$Y$662</f>
        <v>10111.93570432317</v>
      </c>
      <c r="N662" s="76">
        <f>$K$662-EFEITO!$M$662*EFEITO!$Z$662</f>
        <v>0</v>
      </c>
      <c r="O662" s="76">
        <f>$L$662-EFEITO!$O$662*EFEITO!$AA$662</f>
        <v>0</v>
      </c>
      <c r="P662" s="18"/>
      <c r="Q662" s="18"/>
      <c r="R662" s="18"/>
      <c r="S662" s="18"/>
      <c r="T662" s="18"/>
      <c r="U662" s="18"/>
      <c r="V662" s="18"/>
      <c r="W662" s="18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62" t="s">
        <v>21</v>
      </c>
      <c r="B663" s="62" t="s">
        <v>41</v>
      </c>
      <c r="C663" s="62" t="s">
        <v>64</v>
      </c>
      <c r="D663" s="62" t="s">
        <v>25</v>
      </c>
      <c r="E663" s="62" t="s">
        <v>25</v>
      </c>
      <c r="F663" s="62" t="s">
        <v>25</v>
      </c>
      <c r="G663" s="62" t="s">
        <v>100</v>
      </c>
      <c r="H663" s="62" t="s">
        <v>25</v>
      </c>
      <c r="I663" s="75">
        <v>44440</v>
      </c>
      <c r="J663" s="76">
        <f ca="1">EFEITO!$J$663*EFEITO!$Y$663</f>
        <v>20223.871408646341</v>
      </c>
      <c r="K663" s="76">
        <f>EFEITO!$L$663*EFEITO!$Z$663</f>
        <v>0</v>
      </c>
      <c r="L663" s="76">
        <f>EFEITO!$N$663*EFEITO!$AA$663</f>
        <v>0</v>
      </c>
      <c r="M663" s="76">
        <f ca="1">$J$663-EFEITO!$K$663*EFEITO!$Y$663</f>
        <v>10111.93570432317</v>
      </c>
      <c r="N663" s="76">
        <f>$K$663-EFEITO!$M$663*EFEITO!$Z$663</f>
        <v>0</v>
      </c>
      <c r="O663" s="76">
        <f>$L$663-EFEITO!$O$663*EFEITO!$AA$663</f>
        <v>0</v>
      </c>
      <c r="P663" s="18"/>
      <c r="Q663" s="18"/>
      <c r="R663" s="18"/>
      <c r="S663" s="18"/>
      <c r="T663" s="18"/>
      <c r="U663" s="18"/>
      <c r="V663" s="18"/>
      <c r="W663" s="18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62" t="s">
        <v>21</v>
      </c>
      <c r="B664" s="62" t="s">
        <v>41</v>
      </c>
      <c r="C664" s="62" t="s">
        <v>64</v>
      </c>
      <c r="D664" s="62" t="s">
        <v>25</v>
      </c>
      <c r="E664" s="62" t="s">
        <v>25</v>
      </c>
      <c r="F664" s="62" t="s">
        <v>25</v>
      </c>
      <c r="G664" s="62" t="s">
        <v>68</v>
      </c>
      <c r="H664" s="62" t="s">
        <v>25</v>
      </c>
      <c r="I664" s="75">
        <v>44470</v>
      </c>
      <c r="J664" s="76">
        <f ca="1">EFEITO!$J$664*EFEITO!$Y$664</f>
        <v>5175.9399706874538</v>
      </c>
      <c r="K664" s="76">
        <f>EFEITO!$L$664*EFEITO!$Z$664</f>
        <v>0</v>
      </c>
      <c r="L664" s="76">
        <f>EFEITO!$N$664*EFEITO!$AA$664</f>
        <v>0</v>
      </c>
      <c r="M664" s="76">
        <f ca="1">$J$664-EFEITO!$K$664*EFEITO!$Y$664</f>
        <v>0</v>
      </c>
      <c r="N664" s="76">
        <f>$K$664-EFEITO!$M$664*EFEITO!$Z$664</f>
        <v>0</v>
      </c>
      <c r="O664" s="76">
        <f>$L$664-EFEITO!$O$664*EFEITO!$AA$664</f>
        <v>0</v>
      </c>
      <c r="P664" s="18"/>
      <c r="Q664" s="18"/>
      <c r="R664" s="18"/>
      <c r="S664" s="18"/>
      <c r="T664" s="18"/>
      <c r="U664" s="18"/>
      <c r="V664" s="18"/>
      <c r="W664" s="18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62" t="s">
        <v>21</v>
      </c>
      <c r="B665" s="62" t="s">
        <v>41</v>
      </c>
      <c r="C665" s="62" t="s">
        <v>64</v>
      </c>
      <c r="D665" s="62" t="s">
        <v>25</v>
      </c>
      <c r="E665" s="62" t="s">
        <v>25</v>
      </c>
      <c r="F665" s="62" t="s">
        <v>25</v>
      </c>
      <c r="G665" s="62" t="s">
        <v>70</v>
      </c>
      <c r="H665" s="62" t="s">
        <v>25</v>
      </c>
      <c r="I665" s="75">
        <v>44470</v>
      </c>
      <c r="J665" s="76">
        <f ca="1">EFEITO!$J$665*EFEITO!$Y$665</f>
        <v>86379.925338625049</v>
      </c>
      <c r="K665" s="76">
        <f>EFEITO!$L$665*EFEITO!$Z$665</f>
        <v>0</v>
      </c>
      <c r="L665" s="76">
        <f>EFEITO!$N$665*EFEITO!$AA$665</f>
        <v>0</v>
      </c>
      <c r="M665" s="76">
        <f ca="1">$J$665-EFEITO!$K$665*EFEITO!$Y$665</f>
        <v>0</v>
      </c>
      <c r="N665" s="76">
        <f>$K$665-EFEITO!$M$665*EFEITO!$Z$665</f>
        <v>0</v>
      </c>
      <c r="O665" s="76">
        <f>$L$665-EFEITO!$O$665*EFEITO!$AA$665</f>
        <v>0</v>
      </c>
      <c r="P665" s="18"/>
      <c r="Q665" s="18"/>
      <c r="R665" s="18"/>
      <c r="S665" s="18"/>
      <c r="T665" s="18"/>
      <c r="U665" s="18"/>
      <c r="V665" s="18"/>
      <c r="W665" s="18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62" t="s">
        <v>21</v>
      </c>
      <c r="B666" s="62" t="s">
        <v>41</v>
      </c>
      <c r="C666" s="62" t="s">
        <v>64</v>
      </c>
      <c r="D666" s="62" t="s">
        <v>25</v>
      </c>
      <c r="E666" s="62" t="s">
        <v>25</v>
      </c>
      <c r="F666" s="62" t="s">
        <v>25</v>
      </c>
      <c r="G666" s="62" t="s">
        <v>74</v>
      </c>
      <c r="H666" s="62" t="s">
        <v>25</v>
      </c>
      <c r="I666" s="75">
        <v>44470</v>
      </c>
      <c r="J666" s="76">
        <f ca="1">EFEITO!$J$666*EFEITO!$Y$666</f>
        <v>65127.721485471273</v>
      </c>
      <c r="K666" s="76">
        <f>EFEITO!$L$666*EFEITO!$Z$666</f>
        <v>0</v>
      </c>
      <c r="L666" s="76">
        <f>EFEITO!$N$666*EFEITO!$AA$666</f>
        <v>0</v>
      </c>
      <c r="M666" s="76">
        <f ca="1">$J$666-EFEITO!$K$666*EFEITO!$Y$666</f>
        <v>32563.860742735636</v>
      </c>
      <c r="N666" s="76">
        <f>$K$666-EFEITO!$M$666*EFEITO!$Z$666</f>
        <v>0</v>
      </c>
      <c r="O666" s="76">
        <f>$L$666-EFEITO!$O$666*EFEITO!$AA$666</f>
        <v>0</v>
      </c>
      <c r="P666" s="18"/>
      <c r="Q666" s="18"/>
      <c r="R666" s="18"/>
      <c r="S666" s="18"/>
      <c r="T666" s="18"/>
      <c r="U666" s="18"/>
      <c r="V666" s="18"/>
      <c r="W666" s="18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62" t="s">
        <v>21</v>
      </c>
      <c r="B667" s="62" t="s">
        <v>41</v>
      </c>
      <c r="C667" s="62" t="s">
        <v>64</v>
      </c>
      <c r="D667" s="62" t="s">
        <v>25</v>
      </c>
      <c r="E667" s="62" t="s">
        <v>25</v>
      </c>
      <c r="F667" s="62" t="s">
        <v>25</v>
      </c>
      <c r="G667" s="62" t="s">
        <v>76</v>
      </c>
      <c r="H667" s="62" t="s">
        <v>25</v>
      </c>
      <c r="I667" s="75">
        <v>44470</v>
      </c>
      <c r="J667" s="76">
        <f ca="1">EFEITO!$J$667*EFEITO!$Y$667</f>
        <v>8226.6595560595288</v>
      </c>
      <c r="K667" s="76">
        <f>EFEITO!$L$667*EFEITO!$Z$667</f>
        <v>0</v>
      </c>
      <c r="L667" s="76">
        <f>EFEITO!$N$667*EFEITO!$AA$667</f>
        <v>0</v>
      </c>
      <c r="M667" s="76">
        <f ca="1">$J$667-EFEITO!$K$667*EFEITO!$Y$667</f>
        <v>0</v>
      </c>
      <c r="N667" s="76">
        <f>$K$667-EFEITO!$M$667*EFEITO!$Z$667</f>
        <v>0</v>
      </c>
      <c r="O667" s="76">
        <f>$L$667-EFEITO!$O$667*EFEITO!$AA$667</f>
        <v>0</v>
      </c>
      <c r="P667" s="18"/>
      <c r="Q667" s="18"/>
      <c r="R667" s="18"/>
      <c r="S667" s="18"/>
      <c r="T667" s="18"/>
      <c r="U667" s="18"/>
      <c r="V667" s="18"/>
      <c r="W667" s="18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62" t="s">
        <v>21</v>
      </c>
      <c r="B668" s="62" t="s">
        <v>41</v>
      </c>
      <c r="C668" s="62" t="s">
        <v>64</v>
      </c>
      <c r="D668" s="62" t="s">
        <v>25</v>
      </c>
      <c r="E668" s="62" t="s">
        <v>25</v>
      </c>
      <c r="F668" s="62" t="s">
        <v>25</v>
      </c>
      <c r="G668" s="62" t="s">
        <v>77</v>
      </c>
      <c r="H668" s="62" t="s">
        <v>25</v>
      </c>
      <c r="I668" s="75">
        <v>44470</v>
      </c>
      <c r="J668" s="76">
        <f ca="1">EFEITO!$J$668*EFEITO!$Y$668</f>
        <v>12614.211319291278</v>
      </c>
      <c r="K668" s="76">
        <f>EFEITO!$L$668*EFEITO!$Z$668</f>
        <v>0</v>
      </c>
      <c r="L668" s="76">
        <f>EFEITO!$N$668*EFEITO!$AA$668</f>
        <v>0</v>
      </c>
      <c r="M668" s="76">
        <f ca="1">$J$668-EFEITO!$K$668*EFEITO!$Y$668</f>
        <v>0</v>
      </c>
      <c r="N668" s="76">
        <f>$K$668-EFEITO!$M$668*EFEITO!$Z$668</f>
        <v>0</v>
      </c>
      <c r="O668" s="76">
        <f>$L$668-EFEITO!$O$668*EFEITO!$AA$668</f>
        <v>0</v>
      </c>
      <c r="P668" s="18"/>
      <c r="Q668" s="18"/>
      <c r="R668" s="18"/>
      <c r="S668" s="18"/>
      <c r="T668" s="18"/>
      <c r="U668" s="18"/>
      <c r="V668" s="18"/>
      <c r="W668" s="18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62" t="s">
        <v>21</v>
      </c>
      <c r="B669" s="62" t="s">
        <v>41</v>
      </c>
      <c r="C669" s="62" t="s">
        <v>64</v>
      </c>
      <c r="D669" s="62" t="s">
        <v>25</v>
      </c>
      <c r="E669" s="62" t="s">
        <v>25</v>
      </c>
      <c r="F669" s="62" t="s">
        <v>25</v>
      </c>
      <c r="G669" s="62" t="s">
        <v>78</v>
      </c>
      <c r="H669" s="62" t="s">
        <v>25</v>
      </c>
      <c r="I669" s="75">
        <v>44470</v>
      </c>
      <c r="J669" s="76">
        <f ca="1">EFEITO!$J$669*EFEITO!$Y$669</f>
        <v>110717.12652530117</v>
      </c>
      <c r="K669" s="76">
        <f>EFEITO!$L$669*EFEITO!$Z$669</f>
        <v>0</v>
      </c>
      <c r="L669" s="76">
        <f>EFEITO!$N$669*EFEITO!$AA$669</f>
        <v>0</v>
      </c>
      <c r="M669" s="76">
        <f ca="1">$J$669-EFEITO!$K$669*EFEITO!$Y$669</f>
        <v>0</v>
      </c>
      <c r="N669" s="76">
        <f>$K$669-EFEITO!$M$669*EFEITO!$Z$669</f>
        <v>0</v>
      </c>
      <c r="O669" s="76">
        <f>$L$669-EFEITO!$O$669*EFEITO!$AA$669</f>
        <v>0</v>
      </c>
      <c r="P669" s="18"/>
      <c r="Q669" s="18"/>
      <c r="R669" s="18"/>
      <c r="S669" s="18"/>
      <c r="T669" s="18"/>
      <c r="U669" s="18"/>
      <c r="V669" s="18"/>
      <c r="W669" s="18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62" t="s">
        <v>21</v>
      </c>
      <c r="B670" s="62" t="s">
        <v>41</v>
      </c>
      <c r="C670" s="62" t="s">
        <v>64</v>
      </c>
      <c r="D670" s="62" t="s">
        <v>25</v>
      </c>
      <c r="E670" s="62" t="s">
        <v>25</v>
      </c>
      <c r="F670" s="62" t="s">
        <v>25</v>
      </c>
      <c r="G670" s="62" t="s">
        <v>79</v>
      </c>
      <c r="H670" s="62" t="s">
        <v>25</v>
      </c>
      <c r="I670" s="75">
        <v>44470</v>
      </c>
      <c r="J670" s="76">
        <f ca="1">EFEITO!$J$670*EFEITO!$Y$670</f>
        <v>13196.933037845494</v>
      </c>
      <c r="K670" s="76">
        <f>EFEITO!$L$670*EFEITO!$Z$670</f>
        <v>0</v>
      </c>
      <c r="L670" s="76">
        <f>EFEITO!$N$670*EFEITO!$AA$670</f>
        <v>0</v>
      </c>
      <c r="M670" s="76">
        <f ca="1">$J$670-EFEITO!$K$670*EFEITO!$Y$670</f>
        <v>0</v>
      </c>
      <c r="N670" s="76">
        <f>$K$670-EFEITO!$M$670*EFEITO!$Z$670</f>
        <v>0</v>
      </c>
      <c r="O670" s="76">
        <f>$L$670-EFEITO!$O$670*EFEITO!$AA$670</f>
        <v>0</v>
      </c>
      <c r="P670" s="18"/>
      <c r="Q670" s="18"/>
      <c r="R670" s="18"/>
      <c r="S670" s="18"/>
      <c r="T670" s="18"/>
      <c r="U670" s="18"/>
      <c r="V670" s="18"/>
      <c r="W670" s="18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62" t="s">
        <v>21</v>
      </c>
      <c r="B671" s="62" t="s">
        <v>41</v>
      </c>
      <c r="C671" s="62" t="s">
        <v>64</v>
      </c>
      <c r="D671" s="62" t="s">
        <v>25</v>
      </c>
      <c r="E671" s="62" t="s">
        <v>25</v>
      </c>
      <c r="F671" s="62" t="s">
        <v>25</v>
      </c>
      <c r="G671" s="62" t="s">
        <v>80</v>
      </c>
      <c r="H671" s="62" t="s">
        <v>25</v>
      </c>
      <c r="I671" s="75">
        <v>44470</v>
      </c>
      <c r="J671" s="76">
        <f ca="1">EFEITO!$J$671*EFEITO!$Y$671</f>
        <v>24268.645690375612</v>
      </c>
      <c r="K671" s="76">
        <f>EFEITO!$L$671*EFEITO!$Z$671</f>
        <v>0</v>
      </c>
      <c r="L671" s="76">
        <f>EFEITO!$N$671*EFEITO!$AA$671</f>
        <v>0</v>
      </c>
      <c r="M671" s="76">
        <f ca="1">$J$671-EFEITO!$K$671*EFEITO!$Y$671</f>
        <v>0</v>
      </c>
      <c r="N671" s="76">
        <f>$K$671-EFEITO!$M$671*EFEITO!$Z$671</f>
        <v>0</v>
      </c>
      <c r="O671" s="76">
        <f>$L$671-EFEITO!$O$671*EFEITO!$AA$671</f>
        <v>0</v>
      </c>
      <c r="P671" s="18"/>
      <c r="Q671" s="18"/>
      <c r="R671" s="18"/>
      <c r="S671" s="18"/>
      <c r="T671" s="18"/>
      <c r="U671" s="18"/>
      <c r="V671" s="18"/>
      <c r="W671" s="18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62" t="s">
        <v>21</v>
      </c>
      <c r="B672" s="62" t="s">
        <v>41</v>
      </c>
      <c r="C672" s="62" t="s">
        <v>64</v>
      </c>
      <c r="D672" s="62" t="s">
        <v>25</v>
      </c>
      <c r="E672" s="62" t="s">
        <v>25</v>
      </c>
      <c r="F672" s="62" t="s">
        <v>25</v>
      </c>
      <c r="G672" s="62" t="s">
        <v>88</v>
      </c>
      <c r="H672" s="62" t="s">
        <v>25</v>
      </c>
      <c r="I672" s="75">
        <v>44470</v>
      </c>
      <c r="J672" s="76">
        <f ca="1">EFEITO!$J$672*EFEITO!$Y$672</f>
        <v>162819.30371367818</v>
      </c>
      <c r="K672" s="76">
        <f>EFEITO!$L$672*EFEITO!$Z$672</f>
        <v>0</v>
      </c>
      <c r="L672" s="76">
        <f>EFEITO!$N$672*EFEITO!$AA$672</f>
        <v>0</v>
      </c>
      <c r="M672" s="76">
        <f ca="1">$J$672-EFEITO!$K$672*EFEITO!$Y$672</f>
        <v>81409.651856839089</v>
      </c>
      <c r="N672" s="76">
        <f>$K$672-EFEITO!$M$672*EFEITO!$Z$672</f>
        <v>0</v>
      </c>
      <c r="O672" s="76">
        <f>$L$672-EFEITO!$O$672*EFEITO!$AA$672</f>
        <v>0</v>
      </c>
      <c r="P672" s="18"/>
      <c r="Q672" s="18"/>
      <c r="R672" s="18"/>
      <c r="S672" s="18"/>
      <c r="T672" s="18"/>
      <c r="U672" s="18"/>
      <c r="V672" s="18"/>
      <c r="W672" s="18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62" t="s">
        <v>21</v>
      </c>
      <c r="B673" s="62" t="s">
        <v>41</v>
      </c>
      <c r="C673" s="62" t="s">
        <v>64</v>
      </c>
      <c r="D673" s="62" t="s">
        <v>25</v>
      </c>
      <c r="E673" s="62" t="s">
        <v>25</v>
      </c>
      <c r="F673" s="62" t="s">
        <v>25</v>
      </c>
      <c r="G673" s="62" t="s">
        <v>90</v>
      </c>
      <c r="H673" s="62" t="s">
        <v>25</v>
      </c>
      <c r="I673" s="75">
        <v>44470</v>
      </c>
      <c r="J673" s="76">
        <f ca="1">EFEITO!$J$673*EFEITO!$Y$673</f>
        <v>7198.3271115520874</v>
      </c>
      <c r="K673" s="76">
        <f>EFEITO!$L$673*EFEITO!$Z$673</f>
        <v>0</v>
      </c>
      <c r="L673" s="76">
        <f>EFEITO!$N$673*EFEITO!$AA$673</f>
        <v>0</v>
      </c>
      <c r="M673" s="76">
        <f ca="1">$J$673-EFEITO!$K$673*EFEITO!$Y$673</f>
        <v>0</v>
      </c>
      <c r="N673" s="76">
        <f>$K$673-EFEITO!$M$673*EFEITO!$Z$673</f>
        <v>0</v>
      </c>
      <c r="O673" s="76">
        <f>$L$673-EFEITO!$O$673*EFEITO!$AA$673</f>
        <v>0</v>
      </c>
      <c r="P673" s="18"/>
      <c r="Q673" s="18"/>
      <c r="R673" s="18"/>
      <c r="S673" s="18"/>
      <c r="T673" s="18"/>
      <c r="U673" s="18"/>
      <c r="V673" s="18"/>
      <c r="W673" s="18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62" t="s">
        <v>21</v>
      </c>
      <c r="B674" s="62" t="s">
        <v>41</v>
      </c>
      <c r="C674" s="62" t="s">
        <v>64</v>
      </c>
      <c r="D674" s="62" t="s">
        <v>25</v>
      </c>
      <c r="E674" s="62" t="s">
        <v>25</v>
      </c>
      <c r="F674" s="62" t="s">
        <v>25</v>
      </c>
      <c r="G674" s="62" t="s">
        <v>93</v>
      </c>
      <c r="H674" s="62" t="s">
        <v>25</v>
      </c>
      <c r="I674" s="75">
        <v>44470</v>
      </c>
      <c r="J674" s="76">
        <f ca="1">EFEITO!$J$674*EFEITO!$Y$674</f>
        <v>22280.536297661223</v>
      </c>
      <c r="K674" s="76">
        <f>EFEITO!$L$674*EFEITO!$Z$674</f>
        <v>0</v>
      </c>
      <c r="L674" s="76">
        <f>EFEITO!$N$674*EFEITO!$AA$674</f>
        <v>0</v>
      </c>
      <c r="M674" s="76">
        <f ca="1">$J$674-EFEITO!$K$674*EFEITO!$Y$674</f>
        <v>11140.268148830612</v>
      </c>
      <c r="N674" s="76">
        <f>$K$674-EFEITO!$M$674*EFEITO!$Z$674</f>
        <v>0</v>
      </c>
      <c r="O674" s="76">
        <f>$L$674-EFEITO!$O$674*EFEITO!$AA$674</f>
        <v>0</v>
      </c>
      <c r="P674" s="18"/>
      <c r="Q674" s="18"/>
      <c r="R674" s="18"/>
      <c r="S674" s="18"/>
      <c r="T674" s="18"/>
      <c r="U674" s="18"/>
      <c r="V674" s="18"/>
      <c r="W674" s="18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62" t="s">
        <v>21</v>
      </c>
      <c r="B675" s="62" t="s">
        <v>41</v>
      </c>
      <c r="C675" s="62" t="s">
        <v>64</v>
      </c>
      <c r="D675" s="62" t="s">
        <v>25</v>
      </c>
      <c r="E675" s="62" t="s">
        <v>25</v>
      </c>
      <c r="F675" s="62" t="s">
        <v>25</v>
      </c>
      <c r="G675" s="62" t="s">
        <v>94</v>
      </c>
      <c r="H675" s="62" t="s">
        <v>25</v>
      </c>
      <c r="I675" s="75">
        <v>44470</v>
      </c>
      <c r="J675" s="76">
        <f ca="1">EFEITO!$J$675*EFEITO!$Y$675</f>
        <v>20223.871408646341</v>
      </c>
      <c r="K675" s="76">
        <f>EFEITO!$L$675*EFEITO!$Z$675</f>
        <v>0</v>
      </c>
      <c r="L675" s="76">
        <f>EFEITO!$N$675*EFEITO!$AA$675</f>
        <v>0</v>
      </c>
      <c r="M675" s="76">
        <f ca="1">$J$675-EFEITO!$K$675*EFEITO!$Y$675</f>
        <v>10111.93570432317</v>
      </c>
      <c r="N675" s="76">
        <f>$K$675-EFEITO!$M$675*EFEITO!$Z$675</f>
        <v>0</v>
      </c>
      <c r="O675" s="76">
        <f>$L$675-EFEITO!$O$675*EFEITO!$AA$675</f>
        <v>0</v>
      </c>
      <c r="P675" s="18"/>
      <c r="Q675" s="18"/>
      <c r="R675" s="18"/>
      <c r="S675" s="18"/>
      <c r="T675" s="18"/>
      <c r="U675" s="18"/>
      <c r="V675" s="18"/>
      <c r="W675" s="18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62" t="s">
        <v>21</v>
      </c>
      <c r="B676" s="62" t="s">
        <v>41</v>
      </c>
      <c r="C676" s="62" t="s">
        <v>64</v>
      </c>
      <c r="D676" s="62" t="s">
        <v>25</v>
      </c>
      <c r="E676" s="62" t="s">
        <v>25</v>
      </c>
      <c r="F676" s="62" t="s">
        <v>25</v>
      </c>
      <c r="G676" s="62" t="s">
        <v>95</v>
      </c>
      <c r="H676" s="62" t="s">
        <v>25</v>
      </c>
      <c r="I676" s="75">
        <v>44470</v>
      </c>
      <c r="J676" s="76">
        <f ca="1">EFEITO!$J$676*EFEITO!$Y$676</f>
        <v>20223.871408646341</v>
      </c>
      <c r="K676" s="76">
        <f>EFEITO!$L$676*EFEITO!$Z$676</f>
        <v>0</v>
      </c>
      <c r="L676" s="76">
        <f>EFEITO!$N$676*EFEITO!$AA$676</f>
        <v>0</v>
      </c>
      <c r="M676" s="76">
        <f ca="1">$J$676-EFEITO!$K$676*EFEITO!$Y$676</f>
        <v>10111.93570432317</v>
      </c>
      <c r="N676" s="76">
        <f>$K$676-EFEITO!$M$676*EFEITO!$Z$676</f>
        <v>0</v>
      </c>
      <c r="O676" s="76">
        <f>$L$676-EFEITO!$O$676*EFEITO!$AA$676</f>
        <v>0</v>
      </c>
      <c r="P676" s="18"/>
      <c r="Q676" s="18"/>
      <c r="R676" s="18"/>
      <c r="S676" s="18"/>
      <c r="T676" s="18"/>
      <c r="U676" s="18"/>
      <c r="V676" s="18"/>
      <c r="W676" s="18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62" t="s">
        <v>21</v>
      </c>
      <c r="B677" s="62" t="s">
        <v>41</v>
      </c>
      <c r="C677" s="62" t="s">
        <v>64</v>
      </c>
      <c r="D677" s="62" t="s">
        <v>25</v>
      </c>
      <c r="E677" s="62" t="s">
        <v>25</v>
      </c>
      <c r="F677" s="62" t="s">
        <v>25</v>
      </c>
      <c r="G677" s="62" t="s">
        <v>96</v>
      </c>
      <c r="H677" s="62" t="s">
        <v>25</v>
      </c>
      <c r="I677" s="75">
        <v>44470</v>
      </c>
      <c r="J677" s="76">
        <f ca="1">EFEITO!$J$677*EFEITO!$Y$677</f>
        <v>17138.874075124018</v>
      </c>
      <c r="K677" s="76">
        <f>EFEITO!$L$677*EFEITO!$Z$677</f>
        <v>0</v>
      </c>
      <c r="L677" s="76">
        <f>EFEITO!$N$677*EFEITO!$AA$677</f>
        <v>0</v>
      </c>
      <c r="M677" s="76">
        <f ca="1">$J$677-EFEITO!$K$677*EFEITO!$Y$677</f>
        <v>8569.4370375620092</v>
      </c>
      <c r="N677" s="76">
        <f>$K$677-EFEITO!$M$677*EFEITO!$Z$677</f>
        <v>0</v>
      </c>
      <c r="O677" s="76">
        <f>$L$677-EFEITO!$O$677*EFEITO!$AA$677</f>
        <v>0</v>
      </c>
      <c r="P677" s="18"/>
      <c r="Q677" s="18"/>
      <c r="R677" s="18"/>
      <c r="S677" s="18"/>
      <c r="T677" s="18"/>
      <c r="U677" s="18"/>
      <c r="V677" s="18"/>
      <c r="W677" s="18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62" t="s">
        <v>21</v>
      </c>
      <c r="B678" s="62" t="s">
        <v>41</v>
      </c>
      <c r="C678" s="62" t="s">
        <v>64</v>
      </c>
      <c r="D678" s="62" t="s">
        <v>25</v>
      </c>
      <c r="E678" s="62" t="s">
        <v>25</v>
      </c>
      <c r="F678" s="62" t="s">
        <v>25</v>
      </c>
      <c r="G678" s="62" t="s">
        <v>97</v>
      </c>
      <c r="H678" s="62" t="s">
        <v>25</v>
      </c>
      <c r="I678" s="75">
        <v>44470</v>
      </c>
      <c r="J678" s="76">
        <f ca="1">EFEITO!$J$678*EFEITO!$Y$678</f>
        <v>20223.871408646341</v>
      </c>
      <c r="K678" s="76">
        <f>EFEITO!$L$678*EFEITO!$Z$678</f>
        <v>0</v>
      </c>
      <c r="L678" s="76">
        <f>EFEITO!$N$678*EFEITO!$AA$678</f>
        <v>0</v>
      </c>
      <c r="M678" s="76">
        <f ca="1">$J$678-EFEITO!$K$678*EFEITO!$Y$678</f>
        <v>10111.93570432317</v>
      </c>
      <c r="N678" s="76">
        <f>$K$678-EFEITO!$M$678*EFEITO!$Z$678</f>
        <v>0</v>
      </c>
      <c r="O678" s="76">
        <f>$L$678-EFEITO!$O$678*EFEITO!$AA$678</f>
        <v>0</v>
      </c>
      <c r="P678" s="18"/>
      <c r="Q678" s="18"/>
      <c r="R678" s="18"/>
      <c r="S678" s="18"/>
      <c r="T678" s="18"/>
      <c r="U678" s="18"/>
      <c r="V678" s="18"/>
      <c r="W678" s="18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62" t="s">
        <v>21</v>
      </c>
      <c r="B679" s="62" t="s">
        <v>41</v>
      </c>
      <c r="C679" s="62" t="s">
        <v>64</v>
      </c>
      <c r="D679" s="62" t="s">
        <v>25</v>
      </c>
      <c r="E679" s="62" t="s">
        <v>25</v>
      </c>
      <c r="F679" s="62" t="s">
        <v>25</v>
      </c>
      <c r="G679" s="62" t="s">
        <v>98</v>
      </c>
      <c r="H679" s="62" t="s">
        <v>25</v>
      </c>
      <c r="I679" s="75">
        <v>44470</v>
      </c>
      <c r="J679" s="76">
        <f ca="1">EFEITO!$J$679*EFEITO!$Y$679</f>
        <v>51416.622225372055</v>
      </c>
      <c r="K679" s="76">
        <f>EFEITO!$L$679*EFEITO!$Z$679</f>
        <v>0</v>
      </c>
      <c r="L679" s="76">
        <f>EFEITO!$N$679*EFEITO!$AA$679</f>
        <v>0</v>
      </c>
      <c r="M679" s="76">
        <f ca="1">$J$679-EFEITO!$K$679*EFEITO!$Y$679</f>
        <v>25708.311112686028</v>
      </c>
      <c r="N679" s="76">
        <f>$K$679-EFEITO!$M$679*EFEITO!$Z$679</f>
        <v>0</v>
      </c>
      <c r="O679" s="76">
        <f>$L$679-EFEITO!$O$679*EFEITO!$AA$679</f>
        <v>0</v>
      </c>
      <c r="P679" s="18"/>
      <c r="Q679" s="18"/>
      <c r="R679" s="18"/>
      <c r="S679" s="18"/>
      <c r="T679" s="18"/>
      <c r="U679" s="18"/>
      <c r="V679" s="18"/>
      <c r="W679" s="18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62" t="s">
        <v>21</v>
      </c>
      <c r="B680" s="62" t="s">
        <v>41</v>
      </c>
      <c r="C680" s="62" t="s">
        <v>64</v>
      </c>
      <c r="D680" s="62" t="s">
        <v>25</v>
      </c>
      <c r="E680" s="62" t="s">
        <v>25</v>
      </c>
      <c r="F680" s="62" t="s">
        <v>25</v>
      </c>
      <c r="G680" s="62" t="s">
        <v>99</v>
      </c>
      <c r="H680" s="62" t="s">
        <v>25</v>
      </c>
      <c r="I680" s="75">
        <v>44470</v>
      </c>
      <c r="J680" s="76">
        <f ca="1">EFEITO!$J$680*EFEITO!$Y$680</f>
        <v>20223.871408646341</v>
      </c>
      <c r="K680" s="76">
        <f>EFEITO!$L$680*EFEITO!$Z$680</f>
        <v>0</v>
      </c>
      <c r="L680" s="76">
        <f>EFEITO!$N$680*EFEITO!$AA$680</f>
        <v>0</v>
      </c>
      <c r="M680" s="76">
        <f ca="1">$J$680-EFEITO!$K$680*EFEITO!$Y$680</f>
        <v>10111.93570432317</v>
      </c>
      <c r="N680" s="76">
        <f>$K$680-EFEITO!$M$680*EFEITO!$Z$680</f>
        <v>0</v>
      </c>
      <c r="O680" s="76">
        <f>$L$680-EFEITO!$O$680*EFEITO!$AA$680</f>
        <v>0</v>
      </c>
      <c r="P680" s="18"/>
      <c r="Q680" s="18"/>
      <c r="R680" s="18"/>
      <c r="S680" s="18"/>
      <c r="T680" s="18"/>
      <c r="U680" s="18"/>
      <c r="V680" s="18"/>
      <c r="W680" s="18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62" t="s">
        <v>21</v>
      </c>
      <c r="B681" s="62" t="s">
        <v>41</v>
      </c>
      <c r="C681" s="62" t="s">
        <v>64</v>
      </c>
      <c r="D681" s="62" t="s">
        <v>25</v>
      </c>
      <c r="E681" s="62" t="s">
        <v>25</v>
      </c>
      <c r="F681" s="62" t="s">
        <v>25</v>
      </c>
      <c r="G681" s="62" t="s">
        <v>100</v>
      </c>
      <c r="H681" s="62" t="s">
        <v>25</v>
      </c>
      <c r="I681" s="75">
        <v>44470</v>
      </c>
      <c r="J681" s="76">
        <f ca="1">EFEITO!$J$681*EFEITO!$Y$681</f>
        <v>20223.871408646341</v>
      </c>
      <c r="K681" s="76">
        <f>EFEITO!$L$681*EFEITO!$Z$681</f>
        <v>0</v>
      </c>
      <c r="L681" s="76">
        <f>EFEITO!$N$681*EFEITO!$AA$681</f>
        <v>0</v>
      </c>
      <c r="M681" s="76">
        <f ca="1">$J$681-EFEITO!$K$681*EFEITO!$Y$681</f>
        <v>10111.93570432317</v>
      </c>
      <c r="N681" s="76">
        <f>$K$681-EFEITO!$M$681*EFEITO!$Z$681</f>
        <v>0</v>
      </c>
      <c r="O681" s="76">
        <f>$L$681-EFEITO!$O$681*EFEITO!$AA$681</f>
        <v>0</v>
      </c>
      <c r="P681" s="18"/>
      <c r="Q681" s="18"/>
      <c r="R681" s="18"/>
      <c r="S681" s="18"/>
      <c r="T681" s="18"/>
      <c r="U681" s="18"/>
      <c r="V681" s="18"/>
      <c r="W681" s="18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62" t="s">
        <v>21</v>
      </c>
      <c r="B682" s="62" t="s">
        <v>41</v>
      </c>
      <c r="C682" s="62" t="s">
        <v>64</v>
      </c>
      <c r="D682" s="62" t="s">
        <v>25</v>
      </c>
      <c r="E682" s="62" t="s">
        <v>25</v>
      </c>
      <c r="F682" s="62" t="s">
        <v>25</v>
      </c>
      <c r="G682" s="62" t="s">
        <v>68</v>
      </c>
      <c r="H682" s="62" t="s">
        <v>25</v>
      </c>
      <c r="I682" s="75">
        <v>44501</v>
      </c>
      <c r="J682" s="76">
        <f ca="1">EFEITO!$J$682*EFEITO!$Y$682</f>
        <v>5175.9399706874538</v>
      </c>
      <c r="K682" s="76">
        <f>EFEITO!$L$682*EFEITO!$Z$682</f>
        <v>0</v>
      </c>
      <c r="L682" s="76">
        <f>EFEITO!$N$682*EFEITO!$AA$682</f>
        <v>0</v>
      </c>
      <c r="M682" s="76">
        <f ca="1">$J$682-EFEITO!$K$682*EFEITO!$Y$682</f>
        <v>0</v>
      </c>
      <c r="N682" s="76">
        <f>$K$682-EFEITO!$M$682*EFEITO!$Z$682</f>
        <v>0</v>
      </c>
      <c r="O682" s="76">
        <f>$L$682-EFEITO!$O$682*EFEITO!$AA$682</f>
        <v>0</v>
      </c>
      <c r="P682" s="18"/>
      <c r="Q682" s="18"/>
      <c r="R682" s="18"/>
      <c r="S682" s="18"/>
      <c r="T682" s="18"/>
      <c r="U682" s="18"/>
      <c r="V682" s="18"/>
      <c r="W682" s="18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62" t="s">
        <v>21</v>
      </c>
      <c r="B683" s="62" t="s">
        <v>41</v>
      </c>
      <c r="C683" s="62" t="s">
        <v>64</v>
      </c>
      <c r="D683" s="62" t="s">
        <v>25</v>
      </c>
      <c r="E683" s="62" t="s">
        <v>25</v>
      </c>
      <c r="F683" s="62" t="s">
        <v>25</v>
      </c>
      <c r="G683" s="62" t="s">
        <v>70</v>
      </c>
      <c r="H683" s="62" t="s">
        <v>25</v>
      </c>
      <c r="I683" s="75">
        <v>44501</v>
      </c>
      <c r="J683" s="76">
        <f ca="1">EFEITO!$J$683*EFEITO!$Y$683</f>
        <v>86379.925338625049</v>
      </c>
      <c r="K683" s="76">
        <f>EFEITO!$L$683*EFEITO!$Z$683</f>
        <v>0</v>
      </c>
      <c r="L683" s="76">
        <f>EFEITO!$N$683*EFEITO!$AA$683</f>
        <v>0</v>
      </c>
      <c r="M683" s="76">
        <f ca="1">$J$683-EFEITO!$K$683*EFEITO!$Y$683</f>
        <v>0</v>
      </c>
      <c r="N683" s="76">
        <f>$K$683-EFEITO!$M$683*EFEITO!$Z$683</f>
        <v>0</v>
      </c>
      <c r="O683" s="76">
        <f>$L$683-EFEITO!$O$683*EFEITO!$AA$683</f>
        <v>0</v>
      </c>
      <c r="P683" s="18"/>
      <c r="Q683" s="18"/>
      <c r="R683" s="18"/>
      <c r="S683" s="18"/>
      <c r="T683" s="18"/>
      <c r="U683" s="18"/>
      <c r="V683" s="18"/>
      <c r="W683" s="18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62" t="s">
        <v>21</v>
      </c>
      <c r="B684" s="62" t="s">
        <v>41</v>
      </c>
      <c r="C684" s="62" t="s">
        <v>64</v>
      </c>
      <c r="D684" s="62" t="s">
        <v>25</v>
      </c>
      <c r="E684" s="62" t="s">
        <v>25</v>
      </c>
      <c r="F684" s="62" t="s">
        <v>25</v>
      </c>
      <c r="G684" s="62" t="s">
        <v>74</v>
      </c>
      <c r="H684" s="62" t="s">
        <v>25</v>
      </c>
      <c r="I684" s="75">
        <v>44501</v>
      </c>
      <c r="J684" s="76">
        <f ca="1">EFEITO!$J$684*EFEITO!$Y$684</f>
        <v>65127.721485471273</v>
      </c>
      <c r="K684" s="76">
        <f>EFEITO!$L$684*EFEITO!$Z$684</f>
        <v>0</v>
      </c>
      <c r="L684" s="76">
        <f>EFEITO!$N$684*EFEITO!$AA$684</f>
        <v>0</v>
      </c>
      <c r="M684" s="76">
        <f ca="1">$J$684-EFEITO!$K$684*EFEITO!$Y$684</f>
        <v>32563.860742735636</v>
      </c>
      <c r="N684" s="76">
        <f>$K$684-EFEITO!$M$684*EFEITO!$Z$684</f>
        <v>0</v>
      </c>
      <c r="O684" s="76">
        <f>$L$684-EFEITO!$O$684*EFEITO!$AA$684</f>
        <v>0</v>
      </c>
      <c r="P684" s="18"/>
      <c r="Q684" s="18"/>
      <c r="R684" s="18"/>
      <c r="S684" s="18"/>
      <c r="T684" s="18"/>
      <c r="U684" s="18"/>
      <c r="V684" s="18"/>
      <c r="W684" s="18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62" t="s">
        <v>21</v>
      </c>
      <c r="B685" s="62" t="s">
        <v>41</v>
      </c>
      <c r="C685" s="62" t="s">
        <v>64</v>
      </c>
      <c r="D685" s="62" t="s">
        <v>25</v>
      </c>
      <c r="E685" s="62" t="s">
        <v>25</v>
      </c>
      <c r="F685" s="62" t="s">
        <v>25</v>
      </c>
      <c r="G685" s="62" t="s">
        <v>76</v>
      </c>
      <c r="H685" s="62" t="s">
        <v>25</v>
      </c>
      <c r="I685" s="75">
        <v>44501</v>
      </c>
      <c r="J685" s="76">
        <f ca="1">EFEITO!$J$685*EFEITO!$Y$685</f>
        <v>8226.6595560595288</v>
      </c>
      <c r="K685" s="76">
        <f>EFEITO!$L$685*EFEITO!$Z$685</f>
        <v>0</v>
      </c>
      <c r="L685" s="76">
        <f>EFEITO!$N$685*EFEITO!$AA$685</f>
        <v>0</v>
      </c>
      <c r="M685" s="76">
        <f ca="1">$J$685-EFEITO!$K$685*EFEITO!$Y$685</f>
        <v>0</v>
      </c>
      <c r="N685" s="76">
        <f>$K$685-EFEITO!$M$685*EFEITO!$Z$685</f>
        <v>0</v>
      </c>
      <c r="O685" s="76">
        <f>$L$685-EFEITO!$O$685*EFEITO!$AA$685</f>
        <v>0</v>
      </c>
      <c r="P685" s="18"/>
      <c r="Q685" s="18"/>
      <c r="R685" s="18"/>
      <c r="S685" s="18"/>
      <c r="T685" s="18"/>
      <c r="U685" s="18"/>
      <c r="V685" s="18"/>
      <c r="W685" s="18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62" t="s">
        <v>21</v>
      </c>
      <c r="B686" s="62" t="s">
        <v>41</v>
      </c>
      <c r="C686" s="62" t="s">
        <v>64</v>
      </c>
      <c r="D686" s="62" t="s">
        <v>25</v>
      </c>
      <c r="E686" s="62" t="s">
        <v>25</v>
      </c>
      <c r="F686" s="62" t="s">
        <v>25</v>
      </c>
      <c r="G686" s="62" t="s">
        <v>77</v>
      </c>
      <c r="H686" s="62" t="s">
        <v>25</v>
      </c>
      <c r="I686" s="75">
        <v>44501</v>
      </c>
      <c r="J686" s="76">
        <f ca="1">EFEITO!$J$686*EFEITO!$Y$686</f>
        <v>12614.211319291278</v>
      </c>
      <c r="K686" s="76">
        <f>EFEITO!$L$686*EFEITO!$Z$686</f>
        <v>0</v>
      </c>
      <c r="L686" s="76">
        <f>EFEITO!$N$686*EFEITO!$AA$686</f>
        <v>0</v>
      </c>
      <c r="M686" s="76">
        <f ca="1">$J$686-EFEITO!$K$686*EFEITO!$Y$686</f>
        <v>0</v>
      </c>
      <c r="N686" s="76">
        <f>$K$686-EFEITO!$M$686*EFEITO!$Z$686</f>
        <v>0</v>
      </c>
      <c r="O686" s="76">
        <f>$L$686-EFEITO!$O$686*EFEITO!$AA$686</f>
        <v>0</v>
      </c>
      <c r="P686" s="18"/>
      <c r="Q686" s="18"/>
      <c r="R686" s="18"/>
      <c r="S686" s="18"/>
      <c r="T686" s="18"/>
      <c r="U686" s="18"/>
      <c r="V686" s="18"/>
      <c r="W686" s="18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62" t="s">
        <v>21</v>
      </c>
      <c r="B687" s="62" t="s">
        <v>41</v>
      </c>
      <c r="C687" s="62" t="s">
        <v>64</v>
      </c>
      <c r="D687" s="62" t="s">
        <v>25</v>
      </c>
      <c r="E687" s="62" t="s">
        <v>25</v>
      </c>
      <c r="F687" s="62" t="s">
        <v>25</v>
      </c>
      <c r="G687" s="62" t="s">
        <v>78</v>
      </c>
      <c r="H687" s="62" t="s">
        <v>25</v>
      </c>
      <c r="I687" s="75">
        <v>44501</v>
      </c>
      <c r="J687" s="76">
        <f ca="1">EFEITO!$J$687*EFEITO!$Y$687</f>
        <v>110717.12652530117</v>
      </c>
      <c r="K687" s="76">
        <f>EFEITO!$L$687*EFEITO!$Z$687</f>
        <v>0</v>
      </c>
      <c r="L687" s="76">
        <f>EFEITO!$N$687*EFEITO!$AA$687</f>
        <v>0</v>
      </c>
      <c r="M687" s="76">
        <f ca="1">$J$687-EFEITO!$K$687*EFEITO!$Y$687</f>
        <v>0</v>
      </c>
      <c r="N687" s="76">
        <f>$K$687-EFEITO!$M$687*EFEITO!$Z$687</f>
        <v>0</v>
      </c>
      <c r="O687" s="76">
        <f>$L$687-EFEITO!$O$687*EFEITO!$AA$687</f>
        <v>0</v>
      </c>
      <c r="P687" s="18"/>
      <c r="Q687" s="18"/>
      <c r="R687" s="18"/>
      <c r="S687" s="18"/>
      <c r="T687" s="18"/>
      <c r="U687" s="18"/>
      <c r="V687" s="18"/>
      <c r="W687" s="18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62" t="s">
        <v>21</v>
      </c>
      <c r="B688" s="62" t="s">
        <v>41</v>
      </c>
      <c r="C688" s="62" t="s">
        <v>64</v>
      </c>
      <c r="D688" s="62" t="s">
        <v>25</v>
      </c>
      <c r="E688" s="62" t="s">
        <v>25</v>
      </c>
      <c r="F688" s="62" t="s">
        <v>25</v>
      </c>
      <c r="G688" s="62" t="s">
        <v>79</v>
      </c>
      <c r="H688" s="62" t="s">
        <v>25</v>
      </c>
      <c r="I688" s="75">
        <v>44501</v>
      </c>
      <c r="J688" s="76">
        <f ca="1">EFEITO!$J$688*EFEITO!$Y$688</f>
        <v>13196.933037845494</v>
      </c>
      <c r="K688" s="76">
        <f>EFEITO!$L$688*EFEITO!$Z$688</f>
        <v>0</v>
      </c>
      <c r="L688" s="76">
        <f>EFEITO!$N$688*EFEITO!$AA$688</f>
        <v>0</v>
      </c>
      <c r="M688" s="76">
        <f ca="1">$J$688-EFEITO!$K$688*EFEITO!$Y$688</f>
        <v>0</v>
      </c>
      <c r="N688" s="76">
        <f>$K$688-EFEITO!$M$688*EFEITO!$Z$688</f>
        <v>0</v>
      </c>
      <c r="O688" s="76">
        <f>$L$688-EFEITO!$O$688*EFEITO!$AA$688</f>
        <v>0</v>
      </c>
      <c r="P688" s="18"/>
      <c r="Q688" s="18"/>
      <c r="R688" s="18"/>
      <c r="S688" s="18"/>
      <c r="T688" s="18"/>
      <c r="U688" s="18"/>
      <c r="V688" s="18"/>
      <c r="W688" s="18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62" t="s">
        <v>21</v>
      </c>
      <c r="B689" s="62" t="s">
        <v>41</v>
      </c>
      <c r="C689" s="62" t="s">
        <v>64</v>
      </c>
      <c r="D689" s="62" t="s">
        <v>25</v>
      </c>
      <c r="E689" s="62" t="s">
        <v>25</v>
      </c>
      <c r="F689" s="62" t="s">
        <v>25</v>
      </c>
      <c r="G689" s="62" t="s">
        <v>80</v>
      </c>
      <c r="H689" s="62" t="s">
        <v>25</v>
      </c>
      <c r="I689" s="75">
        <v>44501</v>
      </c>
      <c r="J689" s="76">
        <f ca="1">EFEITO!$J$689*EFEITO!$Y$689</f>
        <v>24268.645690375612</v>
      </c>
      <c r="K689" s="76">
        <f>EFEITO!$L$689*EFEITO!$Z$689</f>
        <v>0</v>
      </c>
      <c r="L689" s="76">
        <f>EFEITO!$N$689*EFEITO!$AA$689</f>
        <v>0</v>
      </c>
      <c r="M689" s="76">
        <f ca="1">$J$689-EFEITO!$K$689*EFEITO!$Y$689</f>
        <v>0</v>
      </c>
      <c r="N689" s="76">
        <f>$K$689-EFEITO!$M$689*EFEITO!$Z$689</f>
        <v>0</v>
      </c>
      <c r="O689" s="76">
        <f>$L$689-EFEITO!$O$689*EFEITO!$AA$689</f>
        <v>0</v>
      </c>
      <c r="P689" s="18"/>
      <c r="Q689" s="18"/>
      <c r="R689" s="18"/>
      <c r="S689" s="18"/>
      <c r="T689" s="18"/>
      <c r="U689" s="18"/>
      <c r="V689" s="18"/>
      <c r="W689" s="18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62" t="s">
        <v>21</v>
      </c>
      <c r="B690" s="62" t="s">
        <v>41</v>
      </c>
      <c r="C690" s="62" t="s">
        <v>64</v>
      </c>
      <c r="D690" s="62" t="s">
        <v>25</v>
      </c>
      <c r="E690" s="62" t="s">
        <v>25</v>
      </c>
      <c r="F690" s="62" t="s">
        <v>25</v>
      </c>
      <c r="G690" s="62" t="s">
        <v>88</v>
      </c>
      <c r="H690" s="62" t="s">
        <v>25</v>
      </c>
      <c r="I690" s="75">
        <v>44501</v>
      </c>
      <c r="J690" s="76">
        <f ca="1">EFEITO!$J$690*EFEITO!$Y$690</f>
        <v>162819.30371367818</v>
      </c>
      <c r="K690" s="76">
        <f>EFEITO!$L$690*EFEITO!$Z$690</f>
        <v>0</v>
      </c>
      <c r="L690" s="76">
        <f>EFEITO!$N$690*EFEITO!$AA$690</f>
        <v>0</v>
      </c>
      <c r="M690" s="76">
        <f ca="1">$J$690-EFEITO!$K$690*EFEITO!$Y$690</f>
        <v>81409.651856839089</v>
      </c>
      <c r="N690" s="76">
        <f>$K$690-EFEITO!$M$690*EFEITO!$Z$690</f>
        <v>0</v>
      </c>
      <c r="O690" s="76">
        <f>$L$690-EFEITO!$O$690*EFEITO!$AA$690</f>
        <v>0</v>
      </c>
      <c r="P690" s="18"/>
      <c r="Q690" s="18"/>
      <c r="R690" s="18"/>
      <c r="S690" s="18"/>
      <c r="T690" s="18"/>
      <c r="U690" s="18"/>
      <c r="V690" s="18"/>
      <c r="W690" s="18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62" t="s">
        <v>21</v>
      </c>
      <c r="B691" s="62" t="s">
        <v>41</v>
      </c>
      <c r="C691" s="62" t="s">
        <v>64</v>
      </c>
      <c r="D691" s="62" t="s">
        <v>25</v>
      </c>
      <c r="E691" s="62" t="s">
        <v>25</v>
      </c>
      <c r="F691" s="62" t="s">
        <v>25</v>
      </c>
      <c r="G691" s="62" t="s">
        <v>90</v>
      </c>
      <c r="H691" s="62" t="s">
        <v>25</v>
      </c>
      <c r="I691" s="75">
        <v>44501</v>
      </c>
      <c r="J691" s="76">
        <f ca="1">EFEITO!$J$691*EFEITO!$Y$691</f>
        <v>7198.3271115520874</v>
      </c>
      <c r="K691" s="76">
        <f>EFEITO!$L$691*EFEITO!$Z$691</f>
        <v>0</v>
      </c>
      <c r="L691" s="76">
        <f>EFEITO!$N$691*EFEITO!$AA$691</f>
        <v>0</v>
      </c>
      <c r="M691" s="76">
        <f ca="1">$J$691-EFEITO!$K$691*EFEITO!$Y$691</f>
        <v>0</v>
      </c>
      <c r="N691" s="76">
        <f>$K$691-EFEITO!$M$691*EFEITO!$Z$691</f>
        <v>0</v>
      </c>
      <c r="O691" s="76">
        <f>$L$691-EFEITO!$O$691*EFEITO!$AA$691</f>
        <v>0</v>
      </c>
      <c r="P691" s="18"/>
      <c r="Q691" s="18"/>
      <c r="R691" s="18"/>
      <c r="S691" s="18"/>
      <c r="T691" s="18"/>
      <c r="U691" s="18"/>
      <c r="V691" s="18"/>
      <c r="W691" s="18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62" t="s">
        <v>21</v>
      </c>
      <c r="B692" s="62" t="s">
        <v>41</v>
      </c>
      <c r="C692" s="62" t="s">
        <v>64</v>
      </c>
      <c r="D692" s="62" t="s">
        <v>25</v>
      </c>
      <c r="E692" s="62" t="s">
        <v>25</v>
      </c>
      <c r="F692" s="62" t="s">
        <v>25</v>
      </c>
      <c r="G692" s="62" t="s">
        <v>93</v>
      </c>
      <c r="H692" s="62" t="s">
        <v>25</v>
      </c>
      <c r="I692" s="75">
        <v>44501</v>
      </c>
      <c r="J692" s="76">
        <f ca="1">EFEITO!$J$692*EFEITO!$Y$692</f>
        <v>22280.536297661223</v>
      </c>
      <c r="K692" s="76">
        <f>EFEITO!$L$692*EFEITO!$Z$692</f>
        <v>0</v>
      </c>
      <c r="L692" s="76">
        <f>EFEITO!$N$692*EFEITO!$AA$692</f>
        <v>0</v>
      </c>
      <c r="M692" s="76">
        <f ca="1">$J$692-EFEITO!$K$692*EFEITO!$Y$692</f>
        <v>11140.268148830612</v>
      </c>
      <c r="N692" s="76">
        <f>$K$692-EFEITO!$M$692*EFEITO!$Z$692</f>
        <v>0</v>
      </c>
      <c r="O692" s="76">
        <f>$L$692-EFEITO!$O$692*EFEITO!$AA$692</f>
        <v>0</v>
      </c>
      <c r="P692" s="18"/>
      <c r="Q692" s="18"/>
      <c r="R692" s="18"/>
      <c r="S692" s="18"/>
      <c r="T692" s="18"/>
      <c r="U692" s="18"/>
      <c r="V692" s="18"/>
      <c r="W692" s="18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62" t="s">
        <v>21</v>
      </c>
      <c r="B693" s="62" t="s">
        <v>41</v>
      </c>
      <c r="C693" s="62" t="s">
        <v>64</v>
      </c>
      <c r="D693" s="62" t="s">
        <v>25</v>
      </c>
      <c r="E693" s="62" t="s">
        <v>25</v>
      </c>
      <c r="F693" s="62" t="s">
        <v>25</v>
      </c>
      <c r="G693" s="62" t="s">
        <v>94</v>
      </c>
      <c r="H693" s="62" t="s">
        <v>25</v>
      </c>
      <c r="I693" s="75">
        <v>44501</v>
      </c>
      <c r="J693" s="76">
        <f ca="1">EFEITO!$J$693*EFEITO!$Y$693</f>
        <v>20223.871408646341</v>
      </c>
      <c r="K693" s="76">
        <f>EFEITO!$L$693*EFEITO!$Z$693</f>
        <v>0</v>
      </c>
      <c r="L693" s="76">
        <f>EFEITO!$N$693*EFEITO!$AA$693</f>
        <v>0</v>
      </c>
      <c r="M693" s="76">
        <f ca="1">$J$693-EFEITO!$K$693*EFEITO!$Y$693</f>
        <v>10111.93570432317</v>
      </c>
      <c r="N693" s="76">
        <f>$K$693-EFEITO!$M$693*EFEITO!$Z$693</f>
        <v>0</v>
      </c>
      <c r="O693" s="76">
        <f>$L$693-EFEITO!$O$693*EFEITO!$AA$693</f>
        <v>0</v>
      </c>
      <c r="P693" s="18"/>
      <c r="Q693" s="18"/>
      <c r="R693" s="18"/>
      <c r="S693" s="18"/>
      <c r="T693" s="18"/>
      <c r="U693" s="18"/>
      <c r="V693" s="18"/>
      <c r="W693" s="18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62" t="s">
        <v>21</v>
      </c>
      <c r="B694" s="62" t="s">
        <v>41</v>
      </c>
      <c r="C694" s="62" t="s">
        <v>64</v>
      </c>
      <c r="D694" s="62" t="s">
        <v>25</v>
      </c>
      <c r="E694" s="62" t="s">
        <v>25</v>
      </c>
      <c r="F694" s="62" t="s">
        <v>25</v>
      </c>
      <c r="G694" s="62" t="s">
        <v>95</v>
      </c>
      <c r="H694" s="62" t="s">
        <v>25</v>
      </c>
      <c r="I694" s="75">
        <v>44501</v>
      </c>
      <c r="J694" s="76">
        <f ca="1">EFEITO!$J$694*EFEITO!$Y$694</f>
        <v>20223.871408646341</v>
      </c>
      <c r="K694" s="76">
        <f>EFEITO!$L$694*EFEITO!$Z$694</f>
        <v>0</v>
      </c>
      <c r="L694" s="76">
        <f>EFEITO!$N$694*EFEITO!$AA$694</f>
        <v>0</v>
      </c>
      <c r="M694" s="76">
        <f ca="1">$J$694-EFEITO!$K$694*EFEITO!$Y$694</f>
        <v>10111.93570432317</v>
      </c>
      <c r="N694" s="76">
        <f>$K$694-EFEITO!$M$694*EFEITO!$Z$694</f>
        <v>0</v>
      </c>
      <c r="O694" s="76">
        <f>$L$694-EFEITO!$O$694*EFEITO!$AA$694</f>
        <v>0</v>
      </c>
      <c r="P694" s="18"/>
      <c r="Q694" s="18"/>
      <c r="R694" s="18"/>
      <c r="S694" s="18"/>
      <c r="T694" s="18"/>
      <c r="U694" s="18"/>
      <c r="V694" s="18"/>
      <c r="W694" s="18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62" t="s">
        <v>21</v>
      </c>
      <c r="B695" s="62" t="s">
        <v>41</v>
      </c>
      <c r="C695" s="62" t="s">
        <v>64</v>
      </c>
      <c r="D695" s="62" t="s">
        <v>25</v>
      </c>
      <c r="E695" s="62" t="s">
        <v>25</v>
      </c>
      <c r="F695" s="62" t="s">
        <v>25</v>
      </c>
      <c r="G695" s="62" t="s">
        <v>96</v>
      </c>
      <c r="H695" s="62" t="s">
        <v>25</v>
      </c>
      <c r="I695" s="75">
        <v>44501</v>
      </c>
      <c r="J695" s="76">
        <f ca="1">EFEITO!$J$695*EFEITO!$Y$695</f>
        <v>17138.874075124018</v>
      </c>
      <c r="K695" s="76">
        <f>EFEITO!$L$695*EFEITO!$Z$695</f>
        <v>0</v>
      </c>
      <c r="L695" s="76">
        <f>EFEITO!$N$695*EFEITO!$AA$695</f>
        <v>0</v>
      </c>
      <c r="M695" s="76">
        <f ca="1">$J$695-EFEITO!$K$695*EFEITO!$Y$695</f>
        <v>8569.4370375620092</v>
      </c>
      <c r="N695" s="76">
        <f>$K$695-EFEITO!$M$695*EFEITO!$Z$695</f>
        <v>0</v>
      </c>
      <c r="O695" s="76">
        <f>$L$695-EFEITO!$O$695*EFEITO!$AA$695</f>
        <v>0</v>
      </c>
      <c r="P695" s="18"/>
      <c r="Q695" s="18"/>
      <c r="R695" s="18"/>
      <c r="S695" s="18"/>
      <c r="T695" s="18"/>
      <c r="U695" s="18"/>
      <c r="V695" s="18"/>
      <c r="W695" s="18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62" t="s">
        <v>21</v>
      </c>
      <c r="B696" s="62" t="s">
        <v>41</v>
      </c>
      <c r="C696" s="62" t="s">
        <v>64</v>
      </c>
      <c r="D696" s="62" t="s">
        <v>25</v>
      </c>
      <c r="E696" s="62" t="s">
        <v>25</v>
      </c>
      <c r="F696" s="62" t="s">
        <v>25</v>
      </c>
      <c r="G696" s="62" t="s">
        <v>97</v>
      </c>
      <c r="H696" s="62" t="s">
        <v>25</v>
      </c>
      <c r="I696" s="75">
        <v>44501</v>
      </c>
      <c r="J696" s="76">
        <f ca="1">EFEITO!$J$696*EFEITO!$Y$696</f>
        <v>20223.871408646341</v>
      </c>
      <c r="K696" s="76">
        <f>EFEITO!$L$696*EFEITO!$Z$696</f>
        <v>0</v>
      </c>
      <c r="L696" s="76">
        <f>EFEITO!$N$696*EFEITO!$AA$696</f>
        <v>0</v>
      </c>
      <c r="M696" s="76">
        <f ca="1">$J$696-EFEITO!$K$696*EFEITO!$Y$696</f>
        <v>10111.93570432317</v>
      </c>
      <c r="N696" s="76">
        <f>$K$696-EFEITO!$M$696*EFEITO!$Z$696</f>
        <v>0</v>
      </c>
      <c r="O696" s="76">
        <f>$L$696-EFEITO!$O$696*EFEITO!$AA$696</f>
        <v>0</v>
      </c>
      <c r="P696" s="18"/>
      <c r="Q696" s="18"/>
      <c r="R696" s="18"/>
      <c r="S696" s="18"/>
      <c r="T696" s="18"/>
      <c r="U696" s="18"/>
      <c r="V696" s="18"/>
      <c r="W696" s="18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62" t="s">
        <v>21</v>
      </c>
      <c r="B697" s="62" t="s">
        <v>41</v>
      </c>
      <c r="C697" s="62" t="s">
        <v>64</v>
      </c>
      <c r="D697" s="62" t="s">
        <v>25</v>
      </c>
      <c r="E697" s="62" t="s">
        <v>25</v>
      </c>
      <c r="F697" s="62" t="s">
        <v>25</v>
      </c>
      <c r="G697" s="62" t="s">
        <v>98</v>
      </c>
      <c r="H697" s="62" t="s">
        <v>25</v>
      </c>
      <c r="I697" s="75">
        <v>44501</v>
      </c>
      <c r="J697" s="76">
        <f ca="1">EFEITO!$J$697*EFEITO!$Y$697</f>
        <v>51416.622225372055</v>
      </c>
      <c r="K697" s="76">
        <f>EFEITO!$L$697*EFEITO!$Z$697</f>
        <v>0</v>
      </c>
      <c r="L697" s="76">
        <f>EFEITO!$N$697*EFEITO!$AA$697</f>
        <v>0</v>
      </c>
      <c r="M697" s="76">
        <f ca="1">$J$697-EFEITO!$K$697*EFEITO!$Y$697</f>
        <v>25708.311112686028</v>
      </c>
      <c r="N697" s="76">
        <f>$K$697-EFEITO!$M$697*EFEITO!$Z$697</f>
        <v>0</v>
      </c>
      <c r="O697" s="76">
        <f>$L$697-EFEITO!$O$697*EFEITO!$AA$697</f>
        <v>0</v>
      </c>
      <c r="P697" s="18"/>
      <c r="Q697" s="18"/>
      <c r="R697" s="18"/>
      <c r="S697" s="18"/>
      <c r="T697" s="18"/>
      <c r="U697" s="18"/>
      <c r="V697" s="18"/>
      <c r="W697" s="18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62" t="s">
        <v>21</v>
      </c>
      <c r="B698" s="62" t="s">
        <v>41</v>
      </c>
      <c r="C698" s="62" t="s">
        <v>64</v>
      </c>
      <c r="D698" s="62" t="s">
        <v>25</v>
      </c>
      <c r="E698" s="62" t="s">
        <v>25</v>
      </c>
      <c r="F698" s="62" t="s">
        <v>25</v>
      </c>
      <c r="G698" s="62" t="s">
        <v>99</v>
      </c>
      <c r="H698" s="62" t="s">
        <v>25</v>
      </c>
      <c r="I698" s="75">
        <v>44501</v>
      </c>
      <c r="J698" s="76">
        <f ca="1">EFEITO!$J$698*EFEITO!$Y$698</f>
        <v>20223.871408646341</v>
      </c>
      <c r="K698" s="76">
        <f>EFEITO!$L$698*EFEITO!$Z$698</f>
        <v>0</v>
      </c>
      <c r="L698" s="76">
        <f>EFEITO!$N$698*EFEITO!$AA$698</f>
        <v>0</v>
      </c>
      <c r="M698" s="76">
        <f ca="1">$J$698-EFEITO!$K$698*EFEITO!$Y$698</f>
        <v>10111.93570432317</v>
      </c>
      <c r="N698" s="76">
        <f>$K$698-EFEITO!$M$698*EFEITO!$Z$698</f>
        <v>0</v>
      </c>
      <c r="O698" s="76">
        <f>$L$698-EFEITO!$O$698*EFEITO!$AA$698</f>
        <v>0</v>
      </c>
      <c r="P698" s="18"/>
      <c r="Q698" s="18"/>
      <c r="R698" s="18"/>
      <c r="S698" s="18"/>
      <c r="T698" s="18"/>
      <c r="U698" s="18"/>
      <c r="V698" s="18"/>
      <c r="W698" s="18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62" t="s">
        <v>21</v>
      </c>
      <c r="B699" s="62" t="s">
        <v>41</v>
      </c>
      <c r="C699" s="62" t="s">
        <v>64</v>
      </c>
      <c r="D699" s="62" t="s">
        <v>25</v>
      </c>
      <c r="E699" s="62" t="s">
        <v>25</v>
      </c>
      <c r="F699" s="62" t="s">
        <v>25</v>
      </c>
      <c r="G699" s="62" t="s">
        <v>100</v>
      </c>
      <c r="H699" s="62" t="s">
        <v>25</v>
      </c>
      <c r="I699" s="75">
        <v>44501</v>
      </c>
      <c r="J699" s="76">
        <f ca="1">EFEITO!$J$699*EFEITO!$Y$699</f>
        <v>20223.871408646341</v>
      </c>
      <c r="K699" s="76">
        <f>EFEITO!$L$699*EFEITO!$Z$699</f>
        <v>0</v>
      </c>
      <c r="L699" s="76">
        <f>EFEITO!$N$699*EFEITO!$AA$699</f>
        <v>0</v>
      </c>
      <c r="M699" s="76">
        <f ca="1">$J$699-EFEITO!$K$699*EFEITO!$Y$699</f>
        <v>10111.93570432317</v>
      </c>
      <c r="N699" s="76">
        <f>$K$699-EFEITO!$M$699*EFEITO!$Z$699</f>
        <v>0</v>
      </c>
      <c r="O699" s="76">
        <f>$L$699-EFEITO!$O$699*EFEITO!$AA$699</f>
        <v>0</v>
      </c>
      <c r="P699" s="18"/>
      <c r="Q699" s="18"/>
      <c r="R699" s="18"/>
      <c r="S699" s="18"/>
      <c r="T699" s="18"/>
      <c r="U699" s="18"/>
      <c r="V699" s="18"/>
      <c r="W699" s="18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62" t="s">
        <v>21</v>
      </c>
      <c r="B700" s="62" t="s">
        <v>41</v>
      </c>
      <c r="C700" s="62" t="s">
        <v>64</v>
      </c>
      <c r="D700" s="62" t="s">
        <v>25</v>
      </c>
      <c r="E700" s="62" t="s">
        <v>25</v>
      </c>
      <c r="F700" s="62" t="s">
        <v>25</v>
      </c>
      <c r="G700" s="62" t="s">
        <v>68</v>
      </c>
      <c r="H700" s="62" t="s">
        <v>25</v>
      </c>
      <c r="I700" s="75">
        <v>44531</v>
      </c>
      <c r="J700" s="76">
        <f ca="1">EFEITO!$J$700*EFEITO!$Y$700</f>
        <v>5175.9399706874538</v>
      </c>
      <c r="K700" s="76">
        <f>EFEITO!$L$700*EFEITO!$Z$700</f>
        <v>0</v>
      </c>
      <c r="L700" s="76">
        <f>EFEITO!$N$700*EFEITO!$AA$700</f>
        <v>0</v>
      </c>
      <c r="M700" s="76">
        <f ca="1">$J$700-EFEITO!$K$700*EFEITO!$Y$700</f>
        <v>0</v>
      </c>
      <c r="N700" s="76">
        <f>$K$700-EFEITO!$M$700*EFEITO!$Z$700</f>
        <v>0</v>
      </c>
      <c r="O700" s="76">
        <f>$L$700-EFEITO!$O$700*EFEITO!$AA$700</f>
        <v>0</v>
      </c>
      <c r="P700" s="18"/>
      <c r="Q700" s="18"/>
      <c r="R700" s="18"/>
      <c r="S700" s="18"/>
      <c r="T700" s="18"/>
      <c r="U700" s="18"/>
      <c r="V700" s="18"/>
      <c r="W700" s="18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62" t="s">
        <v>21</v>
      </c>
      <c r="B701" s="62" t="s">
        <v>41</v>
      </c>
      <c r="C701" s="62" t="s">
        <v>64</v>
      </c>
      <c r="D701" s="62" t="s">
        <v>25</v>
      </c>
      <c r="E701" s="62" t="s">
        <v>25</v>
      </c>
      <c r="F701" s="62" t="s">
        <v>25</v>
      </c>
      <c r="G701" s="62" t="s">
        <v>70</v>
      </c>
      <c r="H701" s="62" t="s">
        <v>25</v>
      </c>
      <c r="I701" s="75">
        <v>44531</v>
      </c>
      <c r="J701" s="76">
        <f ca="1">EFEITO!$J$701*EFEITO!$Y$701</f>
        <v>86379.925338625049</v>
      </c>
      <c r="K701" s="76">
        <f>EFEITO!$L$701*EFEITO!$Z$701</f>
        <v>0</v>
      </c>
      <c r="L701" s="76">
        <f>EFEITO!$N$701*EFEITO!$AA$701</f>
        <v>0</v>
      </c>
      <c r="M701" s="76">
        <f ca="1">$J$701-EFEITO!$K$701*EFEITO!$Y$701</f>
        <v>0</v>
      </c>
      <c r="N701" s="76">
        <f>$K$701-EFEITO!$M$701*EFEITO!$Z$701</f>
        <v>0</v>
      </c>
      <c r="O701" s="76">
        <f>$L$701-EFEITO!$O$701*EFEITO!$AA$701</f>
        <v>0</v>
      </c>
      <c r="P701" s="18"/>
      <c r="Q701" s="18"/>
      <c r="R701" s="18"/>
      <c r="S701" s="18"/>
      <c r="T701" s="18"/>
      <c r="U701" s="18"/>
      <c r="V701" s="18"/>
      <c r="W701" s="18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62" t="s">
        <v>21</v>
      </c>
      <c r="B702" s="62" t="s">
        <v>41</v>
      </c>
      <c r="C702" s="62" t="s">
        <v>64</v>
      </c>
      <c r="D702" s="62" t="s">
        <v>25</v>
      </c>
      <c r="E702" s="62" t="s">
        <v>25</v>
      </c>
      <c r="F702" s="62" t="s">
        <v>25</v>
      </c>
      <c r="G702" s="62" t="s">
        <v>74</v>
      </c>
      <c r="H702" s="62" t="s">
        <v>25</v>
      </c>
      <c r="I702" s="75">
        <v>44531</v>
      </c>
      <c r="J702" s="76">
        <f ca="1">EFEITO!$J$702*EFEITO!$Y$702</f>
        <v>65127.721485471273</v>
      </c>
      <c r="K702" s="76">
        <f>EFEITO!$L$702*EFEITO!$Z$702</f>
        <v>0</v>
      </c>
      <c r="L702" s="76">
        <f>EFEITO!$N$702*EFEITO!$AA$702</f>
        <v>0</v>
      </c>
      <c r="M702" s="76">
        <f ca="1">$J$702-EFEITO!$K$702*EFEITO!$Y$702</f>
        <v>32563.860742735636</v>
      </c>
      <c r="N702" s="76">
        <f>$K$702-EFEITO!$M$702*EFEITO!$Z$702</f>
        <v>0</v>
      </c>
      <c r="O702" s="76">
        <f>$L$702-EFEITO!$O$702*EFEITO!$AA$702</f>
        <v>0</v>
      </c>
      <c r="P702" s="18"/>
      <c r="Q702" s="18"/>
      <c r="R702" s="18"/>
      <c r="S702" s="18"/>
      <c r="T702" s="18"/>
      <c r="U702" s="18"/>
      <c r="V702" s="18"/>
      <c r="W702" s="18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62" t="s">
        <v>21</v>
      </c>
      <c r="B703" s="62" t="s">
        <v>41</v>
      </c>
      <c r="C703" s="62" t="s">
        <v>64</v>
      </c>
      <c r="D703" s="62" t="s">
        <v>25</v>
      </c>
      <c r="E703" s="62" t="s">
        <v>25</v>
      </c>
      <c r="F703" s="62" t="s">
        <v>25</v>
      </c>
      <c r="G703" s="62" t="s">
        <v>76</v>
      </c>
      <c r="H703" s="62" t="s">
        <v>25</v>
      </c>
      <c r="I703" s="75">
        <v>44531</v>
      </c>
      <c r="J703" s="76">
        <f ca="1">EFEITO!$J$703*EFEITO!$Y$703</f>
        <v>8226.6595560595288</v>
      </c>
      <c r="K703" s="76">
        <f>EFEITO!$L$703*EFEITO!$Z$703</f>
        <v>0</v>
      </c>
      <c r="L703" s="76">
        <f>EFEITO!$N$703*EFEITO!$AA$703</f>
        <v>0</v>
      </c>
      <c r="M703" s="76">
        <f ca="1">$J$703-EFEITO!$K$703*EFEITO!$Y$703</f>
        <v>0</v>
      </c>
      <c r="N703" s="76">
        <f>$K$703-EFEITO!$M$703*EFEITO!$Z$703</f>
        <v>0</v>
      </c>
      <c r="O703" s="76">
        <f>$L$703-EFEITO!$O$703*EFEITO!$AA$703</f>
        <v>0</v>
      </c>
      <c r="P703" s="18"/>
      <c r="Q703" s="18"/>
      <c r="R703" s="18"/>
      <c r="S703" s="18"/>
      <c r="T703" s="18"/>
      <c r="U703" s="18"/>
      <c r="V703" s="18"/>
      <c r="W703" s="18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62" t="s">
        <v>21</v>
      </c>
      <c r="B704" s="62" t="s">
        <v>41</v>
      </c>
      <c r="C704" s="62" t="s">
        <v>64</v>
      </c>
      <c r="D704" s="62" t="s">
        <v>25</v>
      </c>
      <c r="E704" s="62" t="s">
        <v>25</v>
      </c>
      <c r="F704" s="62" t="s">
        <v>25</v>
      </c>
      <c r="G704" s="62" t="s">
        <v>77</v>
      </c>
      <c r="H704" s="62" t="s">
        <v>25</v>
      </c>
      <c r="I704" s="75">
        <v>44531</v>
      </c>
      <c r="J704" s="76">
        <f ca="1">EFEITO!$J$704*EFEITO!$Y$704</f>
        <v>12614.211319291278</v>
      </c>
      <c r="K704" s="76">
        <f>EFEITO!$L$704*EFEITO!$Z$704</f>
        <v>0</v>
      </c>
      <c r="L704" s="76">
        <f>EFEITO!$N$704*EFEITO!$AA$704</f>
        <v>0</v>
      </c>
      <c r="M704" s="76">
        <f ca="1">$J$704-EFEITO!$K$704*EFEITO!$Y$704</f>
        <v>0</v>
      </c>
      <c r="N704" s="76">
        <f>$K$704-EFEITO!$M$704*EFEITO!$Z$704</f>
        <v>0</v>
      </c>
      <c r="O704" s="76">
        <f>$L$704-EFEITO!$O$704*EFEITO!$AA$704</f>
        <v>0</v>
      </c>
      <c r="P704" s="18"/>
      <c r="Q704" s="18"/>
      <c r="R704" s="18"/>
      <c r="S704" s="18"/>
      <c r="T704" s="18"/>
      <c r="U704" s="18"/>
      <c r="V704" s="18"/>
      <c r="W704" s="18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62" t="s">
        <v>21</v>
      </c>
      <c r="B705" s="62" t="s">
        <v>41</v>
      </c>
      <c r="C705" s="62" t="s">
        <v>64</v>
      </c>
      <c r="D705" s="62" t="s">
        <v>25</v>
      </c>
      <c r="E705" s="62" t="s">
        <v>25</v>
      </c>
      <c r="F705" s="62" t="s">
        <v>25</v>
      </c>
      <c r="G705" s="62" t="s">
        <v>78</v>
      </c>
      <c r="H705" s="62" t="s">
        <v>25</v>
      </c>
      <c r="I705" s="75">
        <v>44531</v>
      </c>
      <c r="J705" s="76">
        <f ca="1">EFEITO!$J$705*EFEITO!$Y$705</f>
        <v>110717.12652530117</v>
      </c>
      <c r="K705" s="76">
        <f>EFEITO!$L$705*EFEITO!$Z$705</f>
        <v>0</v>
      </c>
      <c r="L705" s="76">
        <f>EFEITO!$N$705*EFEITO!$AA$705</f>
        <v>0</v>
      </c>
      <c r="M705" s="76">
        <f ca="1">$J$705-EFEITO!$K$705*EFEITO!$Y$705</f>
        <v>0</v>
      </c>
      <c r="N705" s="76">
        <f>$K$705-EFEITO!$M$705*EFEITO!$Z$705</f>
        <v>0</v>
      </c>
      <c r="O705" s="76">
        <f>$L$705-EFEITO!$O$705*EFEITO!$AA$705</f>
        <v>0</v>
      </c>
      <c r="P705" s="18"/>
      <c r="Q705" s="18"/>
      <c r="R705" s="18"/>
      <c r="S705" s="18"/>
      <c r="T705" s="18"/>
      <c r="U705" s="18"/>
      <c r="V705" s="18"/>
      <c r="W705" s="18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62" t="s">
        <v>21</v>
      </c>
      <c r="B706" s="62" t="s">
        <v>41</v>
      </c>
      <c r="C706" s="62" t="s">
        <v>64</v>
      </c>
      <c r="D706" s="62" t="s">
        <v>25</v>
      </c>
      <c r="E706" s="62" t="s">
        <v>25</v>
      </c>
      <c r="F706" s="62" t="s">
        <v>25</v>
      </c>
      <c r="G706" s="62" t="s">
        <v>79</v>
      </c>
      <c r="H706" s="62" t="s">
        <v>25</v>
      </c>
      <c r="I706" s="75">
        <v>44531</v>
      </c>
      <c r="J706" s="76">
        <f ca="1">EFEITO!$J$706*EFEITO!$Y$706</f>
        <v>13196.933037845494</v>
      </c>
      <c r="K706" s="76">
        <f>EFEITO!$L$706*EFEITO!$Z$706</f>
        <v>0</v>
      </c>
      <c r="L706" s="76">
        <f>EFEITO!$N$706*EFEITO!$AA$706</f>
        <v>0</v>
      </c>
      <c r="M706" s="76">
        <f ca="1">$J$706-EFEITO!$K$706*EFEITO!$Y$706</f>
        <v>0</v>
      </c>
      <c r="N706" s="76">
        <f>$K$706-EFEITO!$M$706*EFEITO!$Z$706</f>
        <v>0</v>
      </c>
      <c r="O706" s="76">
        <f>$L$706-EFEITO!$O$706*EFEITO!$AA$706</f>
        <v>0</v>
      </c>
      <c r="P706" s="18"/>
      <c r="Q706" s="18"/>
      <c r="R706" s="18"/>
      <c r="S706" s="18"/>
      <c r="T706" s="18"/>
      <c r="U706" s="18"/>
      <c r="V706" s="18"/>
      <c r="W706" s="18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62" t="s">
        <v>21</v>
      </c>
      <c r="B707" s="62" t="s">
        <v>41</v>
      </c>
      <c r="C707" s="62" t="s">
        <v>64</v>
      </c>
      <c r="D707" s="62" t="s">
        <v>25</v>
      </c>
      <c r="E707" s="62" t="s">
        <v>25</v>
      </c>
      <c r="F707" s="62" t="s">
        <v>25</v>
      </c>
      <c r="G707" s="62" t="s">
        <v>80</v>
      </c>
      <c r="H707" s="62" t="s">
        <v>25</v>
      </c>
      <c r="I707" s="75">
        <v>44531</v>
      </c>
      <c r="J707" s="76">
        <f ca="1">EFEITO!$J$707*EFEITO!$Y$707</f>
        <v>24268.645690375612</v>
      </c>
      <c r="K707" s="76">
        <f>EFEITO!$L$707*EFEITO!$Z$707</f>
        <v>0</v>
      </c>
      <c r="L707" s="76">
        <f>EFEITO!$N$707*EFEITO!$AA$707</f>
        <v>0</v>
      </c>
      <c r="M707" s="76">
        <f ca="1">$J$707-EFEITO!$K$707*EFEITO!$Y$707</f>
        <v>0</v>
      </c>
      <c r="N707" s="76">
        <f>$K$707-EFEITO!$M$707*EFEITO!$Z$707</f>
        <v>0</v>
      </c>
      <c r="O707" s="76">
        <f>$L$707-EFEITO!$O$707*EFEITO!$AA$707</f>
        <v>0</v>
      </c>
      <c r="P707" s="18"/>
      <c r="Q707" s="18"/>
      <c r="R707" s="18"/>
      <c r="S707" s="18"/>
      <c r="T707" s="18"/>
      <c r="U707" s="18"/>
      <c r="V707" s="18"/>
      <c r="W707" s="18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62" t="s">
        <v>21</v>
      </c>
      <c r="B708" s="62" t="s">
        <v>41</v>
      </c>
      <c r="C708" s="62" t="s">
        <v>64</v>
      </c>
      <c r="D708" s="62" t="s">
        <v>25</v>
      </c>
      <c r="E708" s="62" t="s">
        <v>25</v>
      </c>
      <c r="F708" s="62" t="s">
        <v>25</v>
      </c>
      <c r="G708" s="62" t="s">
        <v>88</v>
      </c>
      <c r="H708" s="62" t="s">
        <v>25</v>
      </c>
      <c r="I708" s="75">
        <v>44531</v>
      </c>
      <c r="J708" s="76">
        <f ca="1">EFEITO!$J$708*EFEITO!$Y$708</f>
        <v>162819.30371367818</v>
      </c>
      <c r="K708" s="76">
        <f>EFEITO!$L$708*EFEITO!$Z$708</f>
        <v>0</v>
      </c>
      <c r="L708" s="76">
        <f>EFEITO!$N$708*EFEITO!$AA$708</f>
        <v>0</v>
      </c>
      <c r="M708" s="76">
        <f ca="1">$J$708-EFEITO!$K$708*EFEITO!$Y$708</f>
        <v>81409.651856839089</v>
      </c>
      <c r="N708" s="76">
        <f>$K$708-EFEITO!$M$708*EFEITO!$Z$708</f>
        <v>0</v>
      </c>
      <c r="O708" s="76">
        <f>$L$708-EFEITO!$O$708*EFEITO!$AA$708</f>
        <v>0</v>
      </c>
      <c r="P708" s="18"/>
      <c r="Q708" s="18"/>
      <c r="R708" s="18"/>
      <c r="S708" s="18"/>
      <c r="T708" s="18"/>
      <c r="U708" s="18"/>
      <c r="V708" s="18"/>
      <c r="W708" s="18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62" t="s">
        <v>21</v>
      </c>
      <c r="B709" s="62" t="s">
        <v>41</v>
      </c>
      <c r="C709" s="62" t="s">
        <v>64</v>
      </c>
      <c r="D709" s="62" t="s">
        <v>25</v>
      </c>
      <c r="E709" s="62" t="s">
        <v>25</v>
      </c>
      <c r="F709" s="62" t="s">
        <v>25</v>
      </c>
      <c r="G709" s="62" t="s">
        <v>90</v>
      </c>
      <c r="H709" s="62" t="s">
        <v>25</v>
      </c>
      <c r="I709" s="75">
        <v>44531</v>
      </c>
      <c r="J709" s="76">
        <f ca="1">EFEITO!$J$709*EFEITO!$Y$709</f>
        <v>7198.3271115520874</v>
      </c>
      <c r="K709" s="76">
        <f>EFEITO!$L$709*EFEITO!$Z$709</f>
        <v>0</v>
      </c>
      <c r="L709" s="76">
        <f>EFEITO!$N$709*EFEITO!$AA$709</f>
        <v>0</v>
      </c>
      <c r="M709" s="76">
        <f ca="1">$J$709-EFEITO!$K$709*EFEITO!$Y$709</f>
        <v>0</v>
      </c>
      <c r="N709" s="76">
        <f>$K$709-EFEITO!$M$709*EFEITO!$Z$709</f>
        <v>0</v>
      </c>
      <c r="O709" s="76">
        <f>$L$709-EFEITO!$O$709*EFEITO!$AA$709</f>
        <v>0</v>
      </c>
      <c r="P709" s="18"/>
      <c r="Q709" s="18"/>
      <c r="R709" s="18"/>
      <c r="S709" s="18"/>
      <c r="T709" s="18"/>
      <c r="U709" s="18"/>
      <c r="V709" s="18"/>
      <c r="W709" s="18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62" t="s">
        <v>21</v>
      </c>
      <c r="B710" s="62" t="s">
        <v>41</v>
      </c>
      <c r="C710" s="62" t="s">
        <v>64</v>
      </c>
      <c r="D710" s="62" t="s">
        <v>25</v>
      </c>
      <c r="E710" s="62" t="s">
        <v>25</v>
      </c>
      <c r="F710" s="62" t="s">
        <v>25</v>
      </c>
      <c r="G710" s="62" t="s">
        <v>93</v>
      </c>
      <c r="H710" s="62" t="s">
        <v>25</v>
      </c>
      <c r="I710" s="75">
        <v>44531</v>
      </c>
      <c r="J710" s="76">
        <f ca="1">EFEITO!$J$710*EFEITO!$Y$710</f>
        <v>22280.536297661223</v>
      </c>
      <c r="K710" s="76">
        <f>EFEITO!$L$710*EFEITO!$Z$710</f>
        <v>0</v>
      </c>
      <c r="L710" s="76">
        <f>EFEITO!$N$710*EFEITO!$AA$710</f>
        <v>0</v>
      </c>
      <c r="M710" s="76">
        <f ca="1">$J$710-EFEITO!$K$710*EFEITO!$Y$710</f>
        <v>11140.268148830612</v>
      </c>
      <c r="N710" s="76">
        <f>$K$710-EFEITO!$M$710*EFEITO!$Z$710</f>
        <v>0</v>
      </c>
      <c r="O710" s="76">
        <f>$L$710-EFEITO!$O$710*EFEITO!$AA$710</f>
        <v>0</v>
      </c>
      <c r="P710" s="18"/>
      <c r="Q710" s="18"/>
      <c r="R710" s="18"/>
      <c r="S710" s="18"/>
      <c r="T710" s="18"/>
      <c r="U710" s="18"/>
      <c r="V710" s="18"/>
      <c r="W710" s="18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62" t="s">
        <v>21</v>
      </c>
      <c r="B711" s="62" t="s">
        <v>41</v>
      </c>
      <c r="C711" s="62" t="s">
        <v>64</v>
      </c>
      <c r="D711" s="62" t="s">
        <v>25</v>
      </c>
      <c r="E711" s="62" t="s">
        <v>25</v>
      </c>
      <c r="F711" s="62" t="s">
        <v>25</v>
      </c>
      <c r="G711" s="62" t="s">
        <v>94</v>
      </c>
      <c r="H711" s="62" t="s">
        <v>25</v>
      </c>
      <c r="I711" s="75">
        <v>44531</v>
      </c>
      <c r="J711" s="76">
        <f ca="1">EFEITO!$J$711*EFEITO!$Y$711</f>
        <v>20223.871408646341</v>
      </c>
      <c r="K711" s="76">
        <f>EFEITO!$L$711*EFEITO!$Z$711</f>
        <v>0</v>
      </c>
      <c r="L711" s="76">
        <f>EFEITO!$N$711*EFEITO!$AA$711</f>
        <v>0</v>
      </c>
      <c r="M711" s="76">
        <f ca="1">$J$711-EFEITO!$K$711*EFEITO!$Y$711</f>
        <v>10111.93570432317</v>
      </c>
      <c r="N711" s="76">
        <f>$K$711-EFEITO!$M$711*EFEITO!$Z$711</f>
        <v>0</v>
      </c>
      <c r="O711" s="76">
        <f>$L$711-EFEITO!$O$711*EFEITO!$AA$711</f>
        <v>0</v>
      </c>
      <c r="P711" s="18"/>
      <c r="Q711" s="18"/>
      <c r="R711" s="18"/>
      <c r="S711" s="18"/>
      <c r="T711" s="18"/>
      <c r="U711" s="18"/>
      <c r="V711" s="18"/>
      <c r="W711" s="18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62" t="s">
        <v>21</v>
      </c>
      <c r="B712" s="62" t="s">
        <v>41</v>
      </c>
      <c r="C712" s="62" t="s">
        <v>64</v>
      </c>
      <c r="D712" s="62" t="s">
        <v>25</v>
      </c>
      <c r="E712" s="62" t="s">
        <v>25</v>
      </c>
      <c r="F712" s="62" t="s">
        <v>25</v>
      </c>
      <c r="G712" s="62" t="s">
        <v>95</v>
      </c>
      <c r="H712" s="62" t="s">
        <v>25</v>
      </c>
      <c r="I712" s="75">
        <v>44531</v>
      </c>
      <c r="J712" s="76">
        <f ca="1">EFEITO!$J$712*EFEITO!$Y$712</f>
        <v>20223.871408646341</v>
      </c>
      <c r="K712" s="76">
        <f>EFEITO!$L$712*EFEITO!$Z$712</f>
        <v>0</v>
      </c>
      <c r="L712" s="76">
        <f>EFEITO!$N$712*EFEITO!$AA$712</f>
        <v>0</v>
      </c>
      <c r="M712" s="76">
        <f ca="1">$J$712-EFEITO!$K$712*EFEITO!$Y$712</f>
        <v>10111.93570432317</v>
      </c>
      <c r="N712" s="76">
        <f>$K$712-EFEITO!$M$712*EFEITO!$Z$712</f>
        <v>0</v>
      </c>
      <c r="O712" s="76">
        <f>$L$712-EFEITO!$O$712*EFEITO!$AA$712</f>
        <v>0</v>
      </c>
      <c r="P712" s="18"/>
      <c r="Q712" s="18"/>
      <c r="R712" s="18"/>
      <c r="S712" s="18"/>
      <c r="T712" s="18"/>
      <c r="U712" s="18"/>
      <c r="V712" s="18"/>
      <c r="W712" s="18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62" t="s">
        <v>21</v>
      </c>
      <c r="B713" s="62" t="s">
        <v>41</v>
      </c>
      <c r="C713" s="62" t="s">
        <v>64</v>
      </c>
      <c r="D713" s="62" t="s">
        <v>25</v>
      </c>
      <c r="E713" s="62" t="s">
        <v>25</v>
      </c>
      <c r="F713" s="62" t="s">
        <v>25</v>
      </c>
      <c r="G713" s="62" t="s">
        <v>96</v>
      </c>
      <c r="H713" s="62" t="s">
        <v>25</v>
      </c>
      <c r="I713" s="75">
        <v>44531</v>
      </c>
      <c r="J713" s="76">
        <f ca="1">EFEITO!$J$713*EFEITO!$Y$713</f>
        <v>17138.874075124018</v>
      </c>
      <c r="K713" s="76">
        <f>EFEITO!$L$713*EFEITO!$Z$713</f>
        <v>0</v>
      </c>
      <c r="L713" s="76">
        <f>EFEITO!$N$713*EFEITO!$AA$713</f>
        <v>0</v>
      </c>
      <c r="M713" s="76">
        <f ca="1">$J$713-EFEITO!$K$713*EFEITO!$Y$713</f>
        <v>8569.4370375620092</v>
      </c>
      <c r="N713" s="76">
        <f>$K$713-EFEITO!$M$713*EFEITO!$Z$713</f>
        <v>0</v>
      </c>
      <c r="O713" s="76">
        <f>$L$713-EFEITO!$O$713*EFEITO!$AA$713</f>
        <v>0</v>
      </c>
      <c r="P713" s="18"/>
      <c r="Q713" s="18"/>
      <c r="R713" s="18"/>
      <c r="S713" s="18"/>
      <c r="T713" s="18"/>
      <c r="U713" s="18"/>
      <c r="V713" s="18"/>
      <c r="W713" s="18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62" t="s">
        <v>21</v>
      </c>
      <c r="B714" s="62" t="s">
        <v>41</v>
      </c>
      <c r="C714" s="62" t="s">
        <v>64</v>
      </c>
      <c r="D714" s="62" t="s">
        <v>25</v>
      </c>
      <c r="E714" s="62" t="s">
        <v>25</v>
      </c>
      <c r="F714" s="62" t="s">
        <v>25</v>
      </c>
      <c r="G714" s="62" t="s">
        <v>97</v>
      </c>
      <c r="H714" s="62" t="s">
        <v>25</v>
      </c>
      <c r="I714" s="75">
        <v>44531</v>
      </c>
      <c r="J714" s="76">
        <f ca="1">EFEITO!$J$714*EFEITO!$Y$714</f>
        <v>20223.871408646341</v>
      </c>
      <c r="K714" s="76">
        <f>EFEITO!$L$714*EFEITO!$Z$714</f>
        <v>0</v>
      </c>
      <c r="L714" s="76">
        <f>EFEITO!$N$714*EFEITO!$AA$714</f>
        <v>0</v>
      </c>
      <c r="M714" s="76">
        <f ca="1">$J$714-EFEITO!$K$714*EFEITO!$Y$714</f>
        <v>10111.93570432317</v>
      </c>
      <c r="N714" s="76">
        <f>$K$714-EFEITO!$M$714*EFEITO!$Z$714</f>
        <v>0</v>
      </c>
      <c r="O714" s="76">
        <f>$L$714-EFEITO!$O$714*EFEITO!$AA$714</f>
        <v>0</v>
      </c>
      <c r="P714" s="18"/>
      <c r="Q714" s="18"/>
      <c r="R714" s="18"/>
      <c r="S714" s="18"/>
      <c r="T714" s="18"/>
      <c r="U714" s="18"/>
      <c r="V714" s="18"/>
      <c r="W714" s="18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62" t="s">
        <v>21</v>
      </c>
      <c r="B715" s="62" t="s">
        <v>41</v>
      </c>
      <c r="C715" s="62" t="s">
        <v>64</v>
      </c>
      <c r="D715" s="62" t="s">
        <v>25</v>
      </c>
      <c r="E715" s="62" t="s">
        <v>25</v>
      </c>
      <c r="F715" s="62" t="s">
        <v>25</v>
      </c>
      <c r="G715" s="62" t="s">
        <v>98</v>
      </c>
      <c r="H715" s="62" t="s">
        <v>25</v>
      </c>
      <c r="I715" s="75">
        <v>44531</v>
      </c>
      <c r="J715" s="76">
        <f ca="1">EFEITO!$J$715*EFEITO!$Y$715</f>
        <v>51605.149840198421</v>
      </c>
      <c r="K715" s="76">
        <f>EFEITO!$L$715*EFEITO!$Z$715</f>
        <v>0</v>
      </c>
      <c r="L715" s="76">
        <f>EFEITO!$N$715*EFEITO!$AA$715</f>
        <v>0</v>
      </c>
      <c r="M715" s="76">
        <f ca="1">$J$715-EFEITO!$K$715*EFEITO!$Y$715</f>
        <v>25802.57492009921</v>
      </c>
      <c r="N715" s="76">
        <f>$K$715-EFEITO!$M$715*EFEITO!$Z$715</f>
        <v>0</v>
      </c>
      <c r="O715" s="76">
        <f>$L$715-EFEITO!$O$715*EFEITO!$AA$715</f>
        <v>0</v>
      </c>
      <c r="P715" s="18"/>
      <c r="Q715" s="18"/>
      <c r="R715" s="18"/>
      <c r="S715" s="18"/>
      <c r="T715" s="18"/>
      <c r="U715" s="18"/>
      <c r="V715" s="18"/>
      <c r="W715" s="18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62" t="s">
        <v>21</v>
      </c>
      <c r="B716" s="62" t="s">
        <v>41</v>
      </c>
      <c r="C716" s="62" t="s">
        <v>64</v>
      </c>
      <c r="D716" s="62" t="s">
        <v>25</v>
      </c>
      <c r="E716" s="62" t="s">
        <v>25</v>
      </c>
      <c r="F716" s="62" t="s">
        <v>25</v>
      </c>
      <c r="G716" s="62" t="s">
        <v>99</v>
      </c>
      <c r="H716" s="62" t="s">
        <v>25</v>
      </c>
      <c r="I716" s="75">
        <v>44531</v>
      </c>
      <c r="J716" s="76">
        <f ca="1">EFEITO!$J$716*EFEITO!$Y$716</f>
        <v>20223.871408646341</v>
      </c>
      <c r="K716" s="76">
        <f>EFEITO!$L$716*EFEITO!$Z$716</f>
        <v>0</v>
      </c>
      <c r="L716" s="76">
        <f>EFEITO!$N$716*EFEITO!$AA$716</f>
        <v>0</v>
      </c>
      <c r="M716" s="76">
        <f ca="1">$J$716-EFEITO!$K$716*EFEITO!$Y$716</f>
        <v>10111.93570432317</v>
      </c>
      <c r="N716" s="76">
        <f>$K$716-EFEITO!$M$716*EFEITO!$Z$716</f>
        <v>0</v>
      </c>
      <c r="O716" s="76">
        <f>$L$716-EFEITO!$O$716*EFEITO!$AA$716</f>
        <v>0</v>
      </c>
      <c r="P716" s="18"/>
      <c r="Q716" s="18"/>
      <c r="R716" s="18"/>
      <c r="S716" s="18"/>
      <c r="T716" s="18"/>
      <c r="U716" s="18"/>
      <c r="V716" s="18"/>
      <c r="W716" s="18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62" t="s">
        <v>21</v>
      </c>
      <c r="B717" s="62" t="s">
        <v>41</v>
      </c>
      <c r="C717" s="62" t="s">
        <v>64</v>
      </c>
      <c r="D717" s="62" t="s">
        <v>25</v>
      </c>
      <c r="E717" s="62" t="s">
        <v>25</v>
      </c>
      <c r="F717" s="62" t="s">
        <v>25</v>
      </c>
      <c r="G717" s="62" t="s">
        <v>100</v>
      </c>
      <c r="H717" s="62" t="s">
        <v>25</v>
      </c>
      <c r="I717" s="75">
        <v>44531</v>
      </c>
      <c r="J717" s="76">
        <f ca="1">EFEITO!$J$717*EFEITO!$Y$717</f>
        <v>20223.871408646341</v>
      </c>
      <c r="K717" s="76">
        <f>EFEITO!$L$717*EFEITO!$Z$717</f>
        <v>0</v>
      </c>
      <c r="L717" s="76">
        <f>EFEITO!$N$717*EFEITO!$AA$717</f>
        <v>0</v>
      </c>
      <c r="M717" s="76">
        <f ca="1">$J$717-EFEITO!$K$717*EFEITO!$Y$717</f>
        <v>10111.93570432317</v>
      </c>
      <c r="N717" s="76">
        <f>$K$717-EFEITO!$M$717*EFEITO!$Z$717</f>
        <v>0</v>
      </c>
      <c r="O717" s="76">
        <f>$L$717-EFEITO!$O$717*EFEITO!$AA$717</f>
        <v>0</v>
      </c>
      <c r="P717" s="18"/>
      <c r="Q717" s="18"/>
      <c r="R717" s="18"/>
      <c r="S717" s="18"/>
      <c r="T717" s="18"/>
      <c r="U717" s="18"/>
      <c r="V717" s="18"/>
      <c r="W717" s="18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62" t="s">
        <v>21</v>
      </c>
      <c r="B718" s="62" t="s">
        <v>41</v>
      </c>
      <c r="C718" s="62" t="s">
        <v>64</v>
      </c>
      <c r="D718" s="62" t="s">
        <v>25</v>
      </c>
      <c r="E718" s="62" t="s">
        <v>25</v>
      </c>
      <c r="F718" s="62" t="s">
        <v>25</v>
      </c>
      <c r="G718" s="62" t="s">
        <v>68</v>
      </c>
      <c r="H718" s="62" t="s">
        <v>25</v>
      </c>
      <c r="I718" s="75">
        <v>44562</v>
      </c>
      <c r="J718" s="76">
        <f ca="1">EFEITO!$J$718*EFEITO!$Y$718</f>
        <v>5175.9399706874538</v>
      </c>
      <c r="K718" s="76">
        <f>EFEITO!$L$718*EFEITO!$Z$718</f>
        <v>0</v>
      </c>
      <c r="L718" s="76">
        <f>EFEITO!$N$718*EFEITO!$AA$718</f>
        <v>0</v>
      </c>
      <c r="M718" s="76">
        <f ca="1">$J$718-EFEITO!$K$718*EFEITO!$Y$718</f>
        <v>0</v>
      </c>
      <c r="N718" s="76">
        <f>$K$718-EFEITO!$M$718*EFEITO!$Z$718</f>
        <v>0</v>
      </c>
      <c r="O718" s="76">
        <f>$L$718-EFEITO!$O$718*EFEITO!$AA$718</f>
        <v>0</v>
      </c>
      <c r="P718" s="18"/>
      <c r="Q718" s="18"/>
      <c r="R718" s="18"/>
      <c r="S718" s="18"/>
      <c r="T718" s="18"/>
      <c r="U718" s="18"/>
      <c r="V718" s="18"/>
      <c r="W718" s="18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62" t="s">
        <v>21</v>
      </c>
      <c r="B719" s="62" t="s">
        <v>41</v>
      </c>
      <c r="C719" s="62" t="s">
        <v>64</v>
      </c>
      <c r="D719" s="62" t="s">
        <v>25</v>
      </c>
      <c r="E719" s="62" t="s">
        <v>25</v>
      </c>
      <c r="F719" s="62" t="s">
        <v>25</v>
      </c>
      <c r="G719" s="62" t="s">
        <v>70</v>
      </c>
      <c r="H719" s="62" t="s">
        <v>25</v>
      </c>
      <c r="I719" s="75">
        <v>44562</v>
      </c>
      <c r="J719" s="76">
        <f ca="1">EFEITO!$J$719*EFEITO!$Y$719</f>
        <v>86379.925338625049</v>
      </c>
      <c r="K719" s="76">
        <f>EFEITO!$L$719*EFEITO!$Z$719</f>
        <v>0</v>
      </c>
      <c r="L719" s="76">
        <f>EFEITO!$N$719*EFEITO!$AA$719</f>
        <v>0</v>
      </c>
      <c r="M719" s="76">
        <f ca="1">$J$719-EFEITO!$K$719*EFEITO!$Y$719</f>
        <v>0</v>
      </c>
      <c r="N719" s="76">
        <f>$K$719-EFEITO!$M$719*EFEITO!$Z$719</f>
        <v>0</v>
      </c>
      <c r="O719" s="76">
        <f>$L$719-EFEITO!$O$719*EFEITO!$AA$719</f>
        <v>0</v>
      </c>
      <c r="P719" s="18"/>
      <c r="Q719" s="18"/>
      <c r="R719" s="18"/>
      <c r="S719" s="18"/>
      <c r="T719" s="18"/>
      <c r="U719" s="18"/>
      <c r="V719" s="18"/>
      <c r="W719" s="18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62" t="s">
        <v>21</v>
      </c>
      <c r="B720" s="62" t="s">
        <v>41</v>
      </c>
      <c r="C720" s="62" t="s">
        <v>64</v>
      </c>
      <c r="D720" s="62" t="s">
        <v>25</v>
      </c>
      <c r="E720" s="62" t="s">
        <v>25</v>
      </c>
      <c r="F720" s="62" t="s">
        <v>25</v>
      </c>
      <c r="G720" s="62" t="s">
        <v>74</v>
      </c>
      <c r="H720" s="62" t="s">
        <v>25</v>
      </c>
      <c r="I720" s="75">
        <v>44562</v>
      </c>
      <c r="J720" s="76">
        <f ca="1">EFEITO!$J$720*EFEITO!$Y$720</f>
        <v>66138.915055903592</v>
      </c>
      <c r="K720" s="76">
        <f>EFEITO!$L$720*EFEITO!$Z$720</f>
        <v>0</v>
      </c>
      <c r="L720" s="76">
        <f>EFEITO!$N$720*EFEITO!$AA$720</f>
        <v>0</v>
      </c>
      <c r="M720" s="76">
        <f ca="1">$J$720-EFEITO!$K$720*EFEITO!$Y$720</f>
        <v>33069.457527951796</v>
      </c>
      <c r="N720" s="76">
        <f>$K$720-EFEITO!$M$720*EFEITO!$Z$720</f>
        <v>0</v>
      </c>
      <c r="O720" s="76">
        <f>$L$720-EFEITO!$O$720*EFEITO!$AA$720</f>
        <v>0</v>
      </c>
      <c r="P720" s="18"/>
      <c r="Q720" s="18"/>
      <c r="R720" s="18"/>
      <c r="S720" s="18"/>
      <c r="T720" s="18"/>
      <c r="U720" s="18"/>
      <c r="V720" s="18"/>
      <c r="W720" s="18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62" t="s">
        <v>21</v>
      </c>
      <c r="B721" s="62" t="s">
        <v>41</v>
      </c>
      <c r="C721" s="62" t="s">
        <v>64</v>
      </c>
      <c r="D721" s="62" t="s">
        <v>25</v>
      </c>
      <c r="E721" s="62" t="s">
        <v>25</v>
      </c>
      <c r="F721" s="62" t="s">
        <v>25</v>
      </c>
      <c r="G721" s="62" t="s">
        <v>76</v>
      </c>
      <c r="H721" s="62" t="s">
        <v>25</v>
      </c>
      <c r="I721" s="75">
        <v>44562</v>
      </c>
      <c r="J721" s="76">
        <f ca="1">EFEITO!$J$721*EFEITO!$Y$721</f>
        <v>8226.6595560595288</v>
      </c>
      <c r="K721" s="76">
        <f>EFEITO!$L$721*EFEITO!$Z$721</f>
        <v>0</v>
      </c>
      <c r="L721" s="76">
        <f>EFEITO!$N$721*EFEITO!$AA$721</f>
        <v>0</v>
      </c>
      <c r="M721" s="76">
        <f ca="1">$J$721-EFEITO!$K$721*EFEITO!$Y$721</f>
        <v>0</v>
      </c>
      <c r="N721" s="76">
        <f>$K$721-EFEITO!$M$721*EFEITO!$Z$721</f>
        <v>0</v>
      </c>
      <c r="O721" s="76">
        <f>$L$721-EFEITO!$O$721*EFEITO!$AA$721</f>
        <v>0</v>
      </c>
      <c r="P721" s="18"/>
      <c r="Q721" s="18"/>
      <c r="R721" s="18"/>
      <c r="S721" s="18"/>
      <c r="T721" s="18"/>
      <c r="U721" s="18"/>
      <c r="V721" s="18"/>
      <c r="W721" s="18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62" t="s">
        <v>21</v>
      </c>
      <c r="B722" s="62" t="s">
        <v>41</v>
      </c>
      <c r="C722" s="62" t="s">
        <v>64</v>
      </c>
      <c r="D722" s="62" t="s">
        <v>25</v>
      </c>
      <c r="E722" s="62" t="s">
        <v>25</v>
      </c>
      <c r="F722" s="62" t="s">
        <v>25</v>
      </c>
      <c r="G722" s="62" t="s">
        <v>77</v>
      </c>
      <c r="H722" s="62" t="s">
        <v>25</v>
      </c>
      <c r="I722" s="75">
        <v>44562</v>
      </c>
      <c r="J722" s="76">
        <f ca="1">EFEITO!$J$722*EFEITO!$Y$722</f>
        <v>12614.211319291278</v>
      </c>
      <c r="K722" s="76">
        <f>EFEITO!$L$722*EFEITO!$Z$722</f>
        <v>0</v>
      </c>
      <c r="L722" s="76">
        <f>EFEITO!$N$722*EFEITO!$AA$722</f>
        <v>0</v>
      </c>
      <c r="M722" s="76">
        <f ca="1">$J$722-EFEITO!$K$722*EFEITO!$Y$722</f>
        <v>0</v>
      </c>
      <c r="N722" s="76">
        <f>$K$722-EFEITO!$M$722*EFEITO!$Z$722</f>
        <v>0</v>
      </c>
      <c r="O722" s="76">
        <f>$L$722-EFEITO!$O$722*EFEITO!$AA$722</f>
        <v>0</v>
      </c>
      <c r="P722" s="18"/>
      <c r="Q722" s="18"/>
      <c r="R722" s="18"/>
      <c r="S722" s="18"/>
      <c r="T722" s="18"/>
      <c r="U722" s="18"/>
      <c r="V722" s="18"/>
      <c r="W722" s="18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62" t="s">
        <v>21</v>
      </c>
      <c r="B723" s="62" t="s">
        <v>41</v>
      </c>
      <c r="C723" s="62" t="s">
        <v>64</v>
      </c>
      <c r="D723" s="62" t="s">
        <v>25</v>
      </c>
      <c r="E723" s="62" t="s">
        <v>25</v>
      </c>
      <c r="F723" s="62" t="s">
        <v>25</v>
      </c>
      <c r="G723" s="62" t="s">
        <v>78</v>
      </c>
      <c r="H723" s="62" t="s">
        <v>25</v>
      </c>
      <c r="I723" s="75">
        <v>44562</v>
      </c>
      <c r="J723" s="76">
        <f ca="1">EFEITO!$J$723*EFEITO!$Y$723</f>
        <v>110717.12652530117</v>
      </c>
      <c r="K723" s="76">
        <f>EFEITO!$L$723*EFEITO!$Z$723</f>
        <v>0</v>
      </c>
      <c r="L723" s="76">
        <f>EFEITO!$N$723*EFEITO!$AA$723</f>
        <v>0</v>
      </c>
      <c r="M723" s="76">
        <f ca="1">$J$723-EFEITO!$K$723*EFEITO!$Y$723</f>
        <v>0</v>
      </c>
      <c r="N723" s="76">
        <f>$K$723-EFEITO!$M$723*EFEITO!$Z$723</f>
        <v>0</v>
      </c>
      <c r="O723" s="76">
        <f>$L$723-EFEITO!$O$723*EFEITO!$AA$723</f>
        <v>0</v>
      </c>
      <c r="P723" s="18"/>
      <c r="Q723" s="18"/>
      <c r="R723" s="18"/>
      <c r="S723" s="18"/>
      <c r="T723" s="18"/>
      <c r="U723" s="18"/>
      <c r="V723" s="18"/>
      <c r="W723" s="18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62" t="s">
        <v>21</v>
      </c>
      <c r="B724" s="62" t="s">
        <v>41</v>
      </c>
      <c r="C724" s="62" t="s">
        <v>64</v>
      </c>
      <c r="D724" s="62" t="s">
        <v>25</v>
      </c>
      <c r="E724" s="62" t="s">
        <v>25</v>
      </c>
      <c r="F724" s="62" t="s">
        <v>25</v>
      </c>
      <c r="G724" s="62" t="s">
        <v>79</v>
      </c>
      <c r="H724" s="62" t="s">
        <v>25</v>
      </c>
      <c r="I724" s="75">
        <v>44562</v>
      </c>
      <c r="J724" s="76">
        <f ca="1">EFEITO!$J$724*EFEITO!$Y$724</f>
        <v>13196.933037845494</v>
      </c>
      <c r="K724" s="76">
        <f>EFEITO!$L$724*EFEITO!$Z$724</f>
        <v>0</v>
      </c>
      <c r="L724" s="76">
        <f>EFEITO!$N$724*EFEITO!$AA$724</f>
        <v>0</v>
      </c>
      <c r="M724" s="76">
        <f ca="1">$J$724-EFEITO!$K$724*EFEITO!$Y$724</f>
        <v>0</v>
      </c>
      <c r="N724" s="76">
        <f>$K$724-EFEITO!$M$724*EFEITO!$Z$724</f>
        <v>0</v>
      </c>
      <c r="O724" s="76">
        <f>$L$724-EFEITO!$O$724*EFEITO!$AA$724</f>
        <v>0</v>
      </c>
      <c r="P724" s="18"/>
      <c r="Q724" s="18"/>
      <c r="R724" s="18"/>
      <c r="S724" s="18"/>
      <c r="T724" s="18"/>
      <c r="U724" s="18"/>
      <c r="V724" s="18"/>
      <c r="W724" s="18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62" t="s">
        <v>21</v>
      </c>
      <c r="B725" s="62" t="s">
        <v>41</v>
      </c>
      <c r="C725" s="62" t="s">
        <v>64</v>
      </c>
      <c r="D725" s="62" t="s">
        <v>25</v>
      </c>
      <c r="E725" s="62" t="s">
        <v>25</v>
      </c>
      <c r="F725" s="62" t="s">
        <v>25</v>
      </c>
      <c r="G725" s="62" t="s">
        <v>80</v>
      </c>
      <c r="H725" s="62" t="s">
        <v>25</v>
      </c>
      <c r="I725" s="75">
        <v>44562</v>
      </c>
      <c r="J725" s="76">
        <f ca="1">EFEITO!$J$725*EFEITO!$Y$725</f>
        <v>24268.645690375612</v>
      </c>
      <c r="K725" s="76">
        <f>EFEITO!$L$725*EFEITO!$Z$725</f>
        <v>0</v>
      </c>
      <c r="L725" s="76">
        <f>EFEITO!$N$725*EFEITO!$AA$725</f>
        <v>0</v>
      </c>
      <c r="M725" s="76">
        <f ca="1">$J$725-EFEITO!$K$725*EFEITO!$Y$725</f>
        <v>0</v>
      </c>
      <c r="N725" s="76">
        <f>$K$725-EFEITO!$M$725*EFEITO!$Z$725</f>
        <v>0</v>
      </c>
      <c r="O725" s="76">
        <f>$L$725-EFEITO!$O$725*EFEITO!$AA$725</f>
        <v>0</v>
      </c>
      <c r="P725" s="18"/>
      <c r="Q725" s="18"/>
      <c r="R725" s="18"/>
      <c r="S725" s="18"/>
      <c r="T725" s="18"/>
      <c r="U725" s="18"/>
      <c r="V725" s="18"/>
      <c r="W725" s="18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62" t="s">
        <v>21</v>
      </c>
      <c r="B726" s="62" t="s">
        <v>41</v>
      </c>
      <c r="C726" s="62" t="s">
        <v>64</v>
      </c>
      <c r="D726" s="62" t="s">
        <v>25</v>
      </c>
      <c r="E726" s="62" t="s">
        <v>25</v>
      </c>
      <c r="F726" s="62" t="s">
        <v>25</v>
      </c>
      <c r="G726" s="62" t="s">
        <v>88</v>
      </c>
      <c r="H726" s="62" t="s">
        <v>25</v>
      </c>
      <c r="I726" s="75">
        <v>44562</v>
      </c>
      <c r="J726" s="76">
        <f ca="1">EFEITO!$J$726*EFEITO!$Y$726</f>
        <v>162819.30371367818</v>
      </c>
      <c r="K726" s="76">
        <f>EFEITO!$L$726*EFEITO!$Z$726</f>
        <v>0</v>
      </c>
      <c r="L726" s="76">
        <f>EFEITO!$N$726*EFEITO!$AA$726</f>
        <v>0</v>
      </c>
      <c r="M726" s="76">
        <f ca="1">$J$726-EFEITO!$K$726*EFEITO!$Y$726</f>
        <v>81409.651856839089</v>
      </c>
      <c r="N726" s="76">
        <f>$K$726-EFEITO!$M$726*EFEITO!$Z$726</f>
        <v>0</v>
      </c>
      <c r="O726" s="76">
        <f>$L$726-EFEITO!$O$726*EFEITO!$AA$726</f>
        <v>0</v>
      </c>
      <c r="P726" s="18"/>
      <c r="Q726" s="18"/>
      <c r="R726" s="18"/>
      <c r="S726" s="18"/>
      <c r="T726" s="18"/>
      <c r="U726" s="18"/>
      <c r="V726" s="18"/>
      <c r="W726" s="18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62" t="s">
        <v>21</v>
      </c>
      <c r="B727" s="62" t="s">
        <v>41</v>
      </c>
      <c r="C727" s="62" t="s">
        <v>64</v>
      </c>
      <c r="D727" s="62" t="s">
        <v>25</v>
      </c>
      <c r="E727" s="62" t="s">
        <v>25</v>
      </c>
      <c r="F727" s="62" t="s">
        <v>25</v>
      </c>
      <c r="G727" s="62" t="s">
        <v>90</v>
      </c>
      <c r="H727" s="62" t="s">
        <v>25</v>
      </c>
      <c r="I727" s="75">
        <v>44562</v>
      </c>
      <c r="J727" s="76">
        <f ca="1">EFEITO!$J$727*EFEITO!$Y$727</f>
        <v>7198.3271115520874</v>
      </c>
      <c r="K727" s="76">
        <f>EFEITO!$L$727*EFEITO!$Z$727</f>
        <v>0</v>
      </c>
      <c r="L727" s="76">
        <f>EFEITO!$N$727*EFEITO!$AA$727</f>
        <v>0</v>
      </c>
      <c r="M727" s="76">
        <f ca="1">$J$727-EFEITO!$K$727*EFEITO!$Y$727</f>
        <v>0</v>
      </c>
      <c r="N727" s="76">
        <f>$K$727-EFEITO!$M$727*EFEITO!$Z$727</f>
        <v>0</v>
      </c>
      <c r="O727" s="76">
        <f>$L$727-EFEITO!$O$727*EFEITO!$AA$727</f>
        <v>0</v>
      </c>
      <c r="P727" s="18"/>
      <c r="Q727" s="18"/>
      <c r="R727" s="18"/>
      <c r="S727" s="18"/>
      <c r="T727" s="18"/>
      <c r="U727" s="18"/>
      <c r="V727" s="18"/>
      <c r="W727" s="18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62" t="s">
        <v>21</v>
      </c>
      <c r="B728" s="62" t="s">
        <v>41</v>
      </c>
      <c r="C728" s="62" t="s">
        <v>64</v>
      </c>
      <c r="D728" s="62" t="s">
        <v>25</v>
      </c>
      <c r="E728" s="62" t="s">
        <v>25</v>
      </c>
      <c r="F728" s="62" t="s">
        <v>25</v>
      </c>
      <c r="G728" s="62" t="s">
        <v>93</v>
      </c>
      <c r="H728" s="62" t="s">
        <v>25</v>
      </c>
      <c r="I728" s="75">
        <v>44562</v>
      </c>
      <c r="J728" s="76">
        <f ca="1">EFEITO!$J$728*EFEITO!$Y$728</f>
        <v>22280.536297661223</v>
      </c>
      <c r="K728" s="76">
        <f>EFEITO!$L$728*EFEITO!$Z$728</f>
        <v>0</v>
      </c>
      <c r="L728" s="76">
        <f>EFEITO!$N$728*EFEITO!$AA$728</f>
        <v>0</v>
      </c>
      <c r="M728" s="76">
        <f ca="1">$J$728-EFEITO!$K$728*EFEITO!$Y$728</f>
        <v>11140.268148830612</v>
      </c>
      <c r="N728" s="76">
        <f>$K$728-EFEITO!$M$728*EFEITO!$Z$728</f>
        <v>0</v>
      </c>
      <c r="O728" s="76">
        <f>$L$728-EFEITO!$O$728*EFEITO!$AA$728</f>
        <v>0</v>
      </c>
      <c r="P728" s="18"/>
      <c r="Q728" s="18"/>
      <c r="R728" s="18"/>
      <c r="S728" s="18"/>
      <c r="T728" s="18"/>
      <c r="U728" s="18"/>
      <c r="V728" s="18"/>
      <c r="W728" s="18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62" t="s">
        <v>21</v>
      </c>
      <c r="B729" s="62" t="s">
        <v>41</v>
      </c>
      <c r="C729" s="62" t="s">
        <v>64</v>
      </c>
      <c r="D729" s="62" t="s">
        <v>25</v>
      </c>
      <c r="E729" s="62" t="s">
        <v>25</v>
      </c>
      <c r="F729" s="62" t="s">
        <v>25</v>
      </c>
      <c r="G729" s="62" t="s">
        <v>94</v>
      </c>
      <c r="H729" s="62" t="s">
        <v>25</v>
      </c>
      <c r="I729" s="75">
        <v>44562</v>
      </c>
      <c r="J729" s="76">
        <f ca="1">EFEITO!$J$729*EFEITO!$Y$729</f>
        <v>20223.871408646341</v>
      </c>
      <c r="K729" s="76">
        <f>EFEITO!$L$729*EFEITO!$Z$729</f>
        <v>0</v>
      </c>
      <c r="L729" s="76">
        <f>EFEITO!$N$729*EFEITO!$AA$729</f>
        <v>0</v>
      </c>
      <c r="M729" s="76">
        <f ca="1">$J$729-EFEITO!$K$729*EFEITO!$Y$729</f>
        <v>10111.93570432317</v>
      </c>
      <c r="N729" s="76">
        <f>$K$729-EFEITO!$M$729*EFEITO!$Z$729</f>
        <v>0</v>
      </c>
      <c r="O729" s="76">
        <f>$L$729-EFEITO!$O$729*EFEITO!$AA$729</f>
        <v>0</v>
      </c>
      <c r="P729" s="18"/>
      <c r="Q729" s="18"/>
      <c r="R729" s="18"/>
      <c r="S729" s="18"/>
      <c r="T729" s="18"/>
      <c r="U729" s="18"/>
      <c r="V729" s="18"/>
      <c r="W729" s="18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62" t="s">
        <v>21</v>
      </c>
      <c r="B730" s="62" t="s">
        <v>41</v>
      </c>
      <c r="C730" s="62" t="s">
        <v>64</v>
      </c>
      <c r="D730" s="62" t="s">
        <v>25</v>
      </c>
      <c r="E730" s="62" t="s">
        <v>25</v>
      </c>
      <c r="F730" s="62" t="s">
        <v>25</v>
      </c>
      <c r="G730" s="62" t="s">
        <v>95</v>
      </c>
      <c r="H730" s="62" t="s">
        <v>25</v>
      </c>
      <c r="I730" s="75">
        <v>44562</v>
      </c>
      <c r="J730" s="76">
        <f ca="1">EFEITO!$J$730*EFEITO!$Y$730</f>
        <v>20223.871408646341</v>
      </c>
      <c r="K730" s="76">
        <f>EFEITO!$L$730*EFEITO!$Z$730</f>
        <v>0</v>
      </c>
      <c r="L730" s="76">
        <f>EFEITO!$N$730*EFEITO!$AA$730</f>
        <v>0</v>
      </c>
      <c r="M730" s="76">
        <f ca="1">$J$730-EFEITO!$K$730*EFEITO!$Y$730</f>
        <v>10111.93570432317</v>
      </c>
      <c r="N730" s="76">
        <f>$K$730-EFEITO!$M$730*EFEITO!$Z$730</f>
        <v>0</v>
      </c>
      <c r="O730" s="76">
        <f>$L$730-EFEITO!$O$730*EFEITO!$AA$730</f>
        <v>0</v>
      </c>
      <c r="P730" s="18"/>
      <c r="Q730" s="18"/>
      <c r="R730" s="18"/>
      <c r="S730" s="18"/>
      <c r="T730" s="18"/>
      <c r="U730" s="18"/>
      <c r="V730" s="18"/>
      <c r="W730" s="18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62" t="s">
        <v>21</v>
      </c>
      <c r="B731" s="62" t="s">
        <v>41</v>
      </c>
      <c r="C731" s="62" t="s">
        <v>64</v>
      </c>
      <c r="D731" s="62" t="s">
        <v>25</v>
      </c>
      <c r="E731" s="62" t="s">
        <v>25</v>
      </c>
      <c r="F731" s="62" t="s">
        <v>25</v>
      </c>
      <c r="G731" s="62" t="s">
        <v>96</v>
      </c>
      <c r="H731" s="62" t="s">
        <v>25</v>
      </c>
      <c r="I731" s="75">
        <v>44562</v>
      </c>
      <c r="J731" s="76">
        <f ca="1">EFEITO!$J$731*EFEITO!$Y$731</f>
        <v>17138.874075124018</v>
      </c>
      <c r="K731" s="76">
        <f>EFEITO!$L$731*EFEITO!$Z$731</f>
        <v>0</v>
      </c>
      <c r="L731" s="76">
        <f>EFEITO!$N$731*EFEITO!$AA$731</f>
        <v>0</v>
      </c>
      <c r="M731" s="76">
        <f ca="1">$J$731-EFEITO!$K$731*EFEITO!$Y$731</f>
        <v>8569.4370375620092</v>
      </c>
      <c r="N731" s="76">
        <f>$K$731-EFEITO!$M$731*EFEITO!$Z$731</f>
        <v>0</v>
      </c>
      <c r="O731" s="76">
        <f>$L$731-EFEITO!$O$731*EFEITO!$AA$731</f>
        <v>0</v>
      </c>
      <c r="P731" s="18"/>
      <c r="Q731" s="18"/>
      <c r="R731" s="18"/>
      <c r="S731" s="18"/>
      <c r="T731" s="18"/>
      <c r="U731" s="18"/>
      <c r="V731" s="18"/>
      <c r="W731" s="18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62" t="s">
        <v>21</v>
      </c>
      <c r="B732" s="62" t="s">
        <v>41</v>
      </c>
      <c r="C732" s="62" t="s">
        <v>64</v>
      </c>
      <c r="D732" s="62" t="s">
        <v>25</v>
      </c>
      <c r="E732" s="62" t="s">
        <v>25</v>
      </c>
      <c r="F732" s="62" t="s">
        <v>25</v>
      </c>
      <c r="G732" s="62" t="s">
        <v>97</v>
      </c>
      <c r="H732" s="62" t="s">
        <v>25</v>
      </c>
      <c r="I732" s="75">
        <v>44562</v>
      </c>
      <c r="J732" s="76">
        <f ca="1">EFEITO!$J$732*EFEITO!$Y$732</f>
        <v>20223.871408646341</v>
      </c>
      <c r="K732" s="76">
        <f>EFEITO!$L$732*EFEITO!$Z$732</f>
        <v>0</v>
      </c>
      <c r="L732" s="76">
        <f>EFEITO!$N$732*EFEITO!$AA$732</f>
        <v>0</v>
      </c>
      <c r="M732" s="76">
        <f ca="1">$J$732-EFEITO!$K$732*EFEITO!$Y$732</f>
        <v>10111.93570432317</v>
      </c>
      <c r="N732" s="76">
        <f>$K$732-EFEITO!$M$732*EFEITO!$Z$732</f>
        <v>0</v>
      </c>
      <c r="O732" s="76">
        <f>$L$732-EFEITO!$O$732*EFEITO!$AA$732</f>
        <v>0</v>
      </c>
      <c r="P732" s="18"/>
      <c r="Q732" s="18"/>
      <c r="R732" s="18"/>
      <c r="S732" s="18"/>
      <c r="T732" s="18"/>
      <c r="U732" s="18"/>
      <c r="V732" s="18"/>
      <c r="W732" s="18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62" t="s">
        <v>21</v>
      </c>
      <c r="B733" s="62" t="s">
        <v>41</v>
      </c>
      <c r="C733" s="62" t="s">
        <v>64</v>
      </c>
      <c r="D733" s="62" t="s">
        <v>25</v>
      </c>
      <c r="E733" s="62" t="s">
        <v>25</v>
      </c>
      <c r="F733" s="62" t="s">
        <v>25</v>
      </c>
      <c r="G733" s="62" t="s">
        <v>98</v>
      </c>
      <c r="H733" s="62" t="s">
        <v>25</v>
      </c>
      <c r="I733" s="75">
        <v>44562</v>
      </c>
      <c r="J733" s="76">
        <f ca="1">EFEITO!$J$733*EFEITO!$Y$733</f>
        <v>51845.094077250156</v>
      </c>
      <c r="K733" s="76">
        <f>EFEITO!$L$733*EFEITO!$Z$733</f>
        <v>0</v>
      </c>
      <c r="L733" s="76">
        <f>EFEITO!$N$733*EFEITO!$AA$733</f>
        <v>0</v>
      </c>
      <c r="M733" s="76">
        <f ca="1">$J$733-EFEITO!$K$733*EFEITO!$Y$733</f>
        <v>25922.547038625078</v>
      </c>
      <c r="N733" s="76">
        <f>$K$733-EFEITO!$M$733*EFEITO!$Z$733</f>
        <v>0</v>
      </c>
      <c r="O733" s="76">
        <f>$L$733-EFEITO!$O$733*EFEITO!$AA$733</f>
        <v>0</v>
      </c>
      <c r="P733" s="18"/>
      <c r="Q733" s="18"/>
      <c r="R733" s="18"/>
      <c r="S733" s="18"/>
      <c r="T733" s="18"/>
      <c r="U733" s="18"/>
      <c r="V733" s="18"/>
      <c r="W733" s="18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62" t="s">
        <v>21</v>
      </c>
      <c r="B734" s="62" t="s">
        <v>41</v>
      </c>
      <c r="C734" s="62" t="s">
        <v>64</v>
      </c>
      <c r="D734" s="62" t="s">
        <v>25</v>
      </c>
      <c r="E734" s="62" t="s">
        <v>25</v>
      </c>
      <c r="F734" s="62" t="s">
        <v>25</v>
      </c>
      <c r="G734" s="62" t="s">
        <v>99</v>
      </c>
      <c r="H734" s="62" t="s">
        <v>25</v>
      </c>
      <c r="I734" s="75">
        <v>44562</v>
      </c>
      <c r="J734" s="76">
        <f ca="1">EFEITO!$J$734*EFEITO!$Y$734</f>
        <v>20223.871408646341</v>
      </c>
      <c r="K734" s="76">
        <f>EFEITO!$L$734*EFEITO!$Z$734</f>
        <v>0</v>
      </c>
      <c r="L734" s="76">
        <f>EFEITO!$N$734*EFEITO!$AA$734</f>
        <v>0</v>
      </c>
      <c r="M734" s="76">
        <f ca="1">$J$734-EFEITO!$K$734*EFEITO!$Y$734</f>
        <v>10111.93570432317</v>
      </c>
      <c r="N734" s="76">
        <f>$K$734-EFEITO!$M$734*EFEITO!$Z$734</f>
        <v>0</v>
      </c>
      <c r="O734" s="76">
        <f>$L$734-EFEITO!$O$734*EFEITO!$AA$734</f>
        <v>0</v>
      </c>
      <c r="P734" s="18"/>
      <c r="Q734" s="18"/>
      <c r="R734" s="18"/>
      <c r="S734" s="18"/>
      <c r="T734" s="18"/>
      <c r="U734" s="18"/>
      <c r="V734" s="18"/>
      <c r="W734" s="18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62" t="s">
        <v>21</v>
      </c>
      <c r="B735" s="62" t="s">
        <v>41</v>
      </c>
      <c r="C735" s="62" t="s">
        <v>64</v>
      </c>
      <c r="D735" s="62" t="s">
        <v>25</v>
      </c>
      <c r="E735" s="62" t="s">
        <v>25</v>
      </c>
      <c r="F735" s="62" t="s">
        <v>25</v>
      </c>
      <c r="G735" s="62" t="s">
        <v>100</v>
      </c>
      <c r="H735" s="62" t="s">
        <v>25</v>
      </c>
      <c r="I735" s="75">
        <v>44562</v>
      </c>
      <c r="J735" s="76">
        <f ca="1">EFEITO!$J$735*EFEITO!$Y$735</f>
        <v>20223.871408646341</v>
      </c>
      <c r="K735" s="76">
        <f>EFEITO!$L$735*EFEITO!$Z$735</f>
        <v>0</v>
      </c>
      <c r="L735" s="76">
        <f>EFEITO!$N$735*EFEITO!$AA$735</f>
        <v>0</v>
      </c>
      <c r="M735" s="76">
        <f ca="1">$J$735-EFEITO!$K$735*EFEITO!$Y$735</f>
        <v>10111.93570432317</v>
      </c>
      <c r="N735" s="76">
        <f>$K$735-EFEITO!$M$735*EFEITO!$Z$735</f>
        <v>0</v>
      </c>
      <c r="O735" s="76">
        <f>$L$735-EFEITO!$O$735*EFEITO!$AA$735</f>
        <v>0</v>
      </c>
      <c r="P735" s="18"/>
      <c r="Q735" s="18"/>
      <c r="R735" s="18"/>
      <c r="S735" s="18"/>
      <c r="T735" s="18"/>
      <c r="U735" s="18"/>
      <c r="V735" s="18"/>
      <c r="W735" s="18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62" t="s">
        <v>21</v>
      </c>
      <c r="B736" s="62" t="s">
        <v>41</v>
      </c>
      <c r="C736" s="62" t="s">
        <v>64</v>
      </c>
      <c r="D736" s="62" t="s">
        <v>25</v>
      </c>
      <c r="E736" s="62" t="s">
        <v>25</v>
      </c>
      <c r="F736" s="62" t="s">
        <v>25</v>
      </c>
      <c r="G736" s="62" t="s">
        <v>68</v>
      </c>
      <c r="H736" s="62" t="s">
        <v>25</v>
      </c>
      <c r="I736" s="75">
        <v>44593</v>
      </c>
      <c r="J736" s="76">
        <f ca="1">EFEITO!$J$736*EFEITO!$Y$736</f>
        <v>5175.9399706874538</v>
      </c>
      <c r="K736" s="76">
        <f>EFEITO!$L$736*EFEITO!$Z$736</f>
        <v>0</v>
      </c>
      <c r="L736" s="76">
        <f>EFEITO!$N$736*EFEITO!$AA$736</f>
        <v>0</v>
      </c>
      <c r="M736" s="76">
        <f ca="1">$J$736-EFEITO!$K$736*EFEITO!$Y$736</f>
        <v>0</v>
      </c>
      <c r="N736" s="76">
        <f>$K$736-EFEITO!$M$736*EFEITO!$Z$736</f>
        <v>0</v>
      </c>
      <c r="O736" s="76">
        <f>$L$736-EFEITO!$O$736*EFEITO!$AA$736</f>
        <v>0</v>
      </c>
      <c r="P736" s="18"/>
      <c r="Q736" s="18"/>
      <c r="R736" s="18"/>
      <c r="S736" s="18"/>
      <c r="T736" s="18"/>
      <c r="U736" s="18"/>
      <c r="V736" s="18"/>
      <c r="W736" s="18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62" t="s">
        <v>21</v>
      </c>
      <c r="B737" s="62" t="s">
        <v>41</v>
      </c>
      <c r="C737" s="62" t="s">
        <v>64</v>
      </c>
      <c r="D737" s="62" t="s">
        <v>25</v>
      </c>
      <c r="E737" s="62" t="s">
        <v>25</v>
      </c>
      <c r="F737" s="62" t="s">
        <v>25</v>
      </c>
      <c r="G737" s="62" t="s">
        <v>70</v>
      </c>
      <c r="H737" s="62" t="s">
        <v>25</v>
      </c>
      <c r="I737" s="75">
        <v>44593</v>
      </c>
      <c r="J737" s="76">
        <f ca="1">EFEITO!$J$737*EFEITO!$Y$737</f>
        <v>86379.925338625049</v>
      </c>
      <c r="K737" s="76">
        <f>EFEITO!$L$737*EFEITO!$Z$737</f>
        <v>0</v>
      </c>
      <c r="L737" s="76">
        <f>EFEITO!$N$737*EFEITO!$AA$737</f>
        <v>0</v>
      </c>
      <c r="M737" s="76">
        <f ca="1">$J$737-EFEITO!$K$737*EFEITO!$Y$737</f>
        <v>0</v>
      </c>
      <c r="N737" s="76">
        <f>$K$737-EFEITO!$M$737*EFEITO!$Z$737</f>
        <v>0</v>
      </c>
      <c r="O737" s="76">
        <f>$L$737-EFEITO!$O$737*EFEITO!$AA$737</f>
        <v>0</v>
      </c>
      <c r="P737" s="18"/>
      <c r="Q737" s="18"/>
      <c r="R737" s="18"/>
      <c r="S737" s="18"/>
      <c r="T737" s="18"/>
      <c r="U737" s="18"/>
      <c r="V737" s="18"/>
      <c r="W737" s="18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62" t="s">
        <v>21</v>
      </c>
      <c r="B738" s="62" t="s">
        <v>41</v>
      </c>
      <c r="C738" s="62" t="s">
        <v>64</v>
      </c>
      <c r="D738" s="62" t="s">
        <v>25</v>
      </c>
      <c r="E738" s="62" t="s">
        <v>25</v>
      </c>
      <c r="F738" s="62" t="s">
        <v>25</v>
      </c>
      <c r="G738" s="62" t="s">
        <v>74</v>
      </c>
      <c r="H738" s="62" t="s">
        <v>25</v>
      </c>
      <c r="I738" s="75">
        <v>44593</v>
      </c>
      <c r="J738" s="76">
        <f ca="1">EFEITO!$J$738*EFEITO!$Y$738</f>
        <v>65127.721485471273</v>
      </c>
      <c r="K738" s="76">
        <f>EFEITO!$L$738*EFEITO!$Z$738</f>
        <v>0</v>
      </c>
      <c r="L738" s="76">
        <f>EFEITO!$N$738*EFEITO!$AA$738</f>
        <v>0</v>
      </c>
      <c r="M738" s="76">
        <f ca="1">$J$738-EFEITO!$K$738*EFEITO!$Y$738</f>
        <v>32563.860742735636</v>
      </c>
      <c r="N738" s="76">
        <f>$K$738-EFEITO!$M$738*EFEITO!$Z$738</f>
        <v>0</v>
      </c>
      <c r="O738" s="76">
        <f>$L$738-EFEITO!$O$738*EFEITO!$AA$738</f>
        <v>0</v>
      </c>
      <c r="P738" s="18"/>
      <c r="Q738" s="18"/>
      <c r="R738" s="18"/>
      <c r="S738" s="18"/>
      <c r="T738" s="18"/>
      <c r="U738" s="18"/>
      <c r="V738" s="18"/>
      <c r="W738" s="18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62" t="s">
        <v>21</v>
      </c>
      <c r="B739" s="62" t="s">
        <v>41</v>
      </c>
      <c r="C739" s="62" t="s">
        <v>64</v>
      </c>
      <c r="D739" s="62" t="s">
        <v>25</v>
      </c>
      <c r="E739" s="62" t="s">
        <v>25</v>
      </c>
      <c r="F739" s="62" t="s">
        <v>25</v>
      </c>
      <c r="G739" s="62" t="s">
        <v>76</v>
      </c>
      <c r="H739" s="62" t="s">
        <v>25</v>
      </c>
      <c r="I739" s="75">
        <v>44593</v>
      </c>
      <c r="J739" s="76">
        <f ca="1">EFEITO!$J$739*EFEITO!$Y$739</f>
        <v>8226.6595560595288</v>
      </c>
      <c r="K739" s="76">
        <f>EFEITO!$L$739*EFEITO!$Z$739</f>
        <v>0</v>
      </c>
      <c r="L739" s="76">
        <f>EFEITO!$N$739*EFEITO!$AA$739</f>
        <v>0</v>
      </c>
      <c r="M739" s="76">
        <f ca="1">$J$739-EFEITO!$K$739*EFEITO!$Y$739</f>
        <v>0</v>
      </c>
      <c r="N739" s="76">
        <f>$K$739-EFEITO!$M$739*EFEITO!$Z$739</f>
        <v>0</v>
      </c>
      <c r="O739" s="76">
        <f>$L$739-EFEITO!$O$739*EFEITO!$AA$739</f>
        <v>0</v>
      </c>
      <c r="P739" s="18"/>
      <c r="Q739" s="18"/>
      <c r="R739" s="18"/>
      <c r="S739" s="18"/>
      <c r="T739" s="18"/>
      <c r="U739" s="18"/>
      <c r="V739" s="18"/>
      <c r="W739" s="18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62" t="s">
        <v>21</v>
      </c>
      <c r="B740" s="62" t="s">
        <v>41</v>
      </c>
      <c r="C740" s="62" t="s">
        <v>64</v>
      </c>
      <c r="D740" s="62" t="s">
        <v>25</v>
      </c>
      <c r="E740" s="62" t="s">
        <v>25</v>
      </c>
      <c r="F740" s="62" t="s">
        <v>25</v>
      </c>
      <c r="G740" s="62" t="s">
        <v>77</v>
      </c>
      <c r="H740" s="62" t="s">
        <v>25</v>
      </c>
      <c r="I740" s="75">
        <v>44593</v>
      </c>
      <c r="J740" s="76">
        <f ca="1">EFEITO!$J$740*EFEITO!$Y$740</f>
        <v>12614.211319291278</v>
      </c>
      <c r="K740" s="76">
        <f>EFEITO!$L$740*EFEITO!$Z$740</f>
        <v>0</v>
      </c>
      <c r="L740" s="76">
        <f>EFEITO!$N$740*EFEITO!$AA$740</f>
        <v>0</v>
      </c>
      <c r="M740" s="76">
        <f ca="1">$J$740-EFEITO!$K$740*EFEITO!$Y$740</f>
        <v>0</v>
      </c>
      <c r="N740" s="76">
        <f>$K$740-EFEITO!$M$740*EFEITO!$Z$740</f>
        <v>0</v>
      </c>
      <c r="O740" s="76">
        <f>$L$740-EFEITO!$O$740*EFEITO!$AA$740</f>
        <v>0</v>
      </c>
      <c r="P740" s="18"/>
      <c r="Q740" s="18"/>
      <c r="R740" s="18"/>
      <c r="S740" s="18"/>
      <c r="T740" s="18"/>
      <c r="U740" s="18"/>
      <c r="V740" s="18"/>
      <c r="W740" s="18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62" t="s">
        <v>21</v>
      </c>
      <c r="B741" s="62" t="s">
        <v>41</v>
      </c>
      <c r="C741" s="62" t="s">
        <v>64</v>
      </c>
      <c r="D741" s="62" t="s">
        <v>25</v>
      </c>
      <c r="E741" s="62" t="s">
        <v>25</v>
      </c>
      <c r="F741" s="62" t="s">
        <v>25</v>
      </c>
      <c r="G741" s="62" t="s">
        <v>78</v>
      </c>
      <c r="H741" s="62" t="s">
        <v>25</v>
      </c>
      <c r="I741" s="75">
        <v>44593</v>
      </c>
      <c r="J741" s="76">
        <f ca="1">EFEITO!$J$741*EFEITO!$Y$741</f>
        <v>110717.12652530117</v>
      </c>
      <c r="K741" s="76">
        <f>EFEITO!$L$741*EFEITO!$Z$741</f>
        <v>0</v>
      </c>
      <c r="L741" s="76">
        <f>EFEITO!$N$741*EFEITO!$AA$741</f>
        <v>0</v>
      </c>
      <c r="M741" s="76">
        <f ca="1">$J$741-EFEITO!$K$741*EFEITO!$Y$741</f>
        <v>0</v>
      </c>
      <c r="N741" s="76">
        <f>$K$741-EFEITO!$M$741*EFEITO!$Z$741</f>
        <v>0</v>
      </c>
      <c r="O741" s="76">
        <f>$L$741-EFEITO!$O$741*EFEITO!$AA$741</f>
        <v>0</v>
      </c>
      <c r="P741" s="18"/>
      <c r="Q741" s="18"/>
      <c r="R741" s="18"/>
      <c r="S741" s="18"/>
      <c r="T741" s="18"/>
      <c r="U741" s="18"/>
      <c r="V741" s="18"/>
      <c r="W741" s="18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62" t="s">
        <v>21</v>
      </c>
      <c r="B742" s="62" t="s">
        <v>41</v>
      </c>
      <c r="C742" s="62" t="s">
        <v>64</v>
      </c>
      <c r="D742" s="62" t="s">
        <v>25</v>
      </c>
      <c r="E742" s="62" t="s">
        <v>25</v>
      </c>
      <c r="F742" s="62" t="s">
        <v>25</v>
      </c>
      <c r="G742" s="62" t="s">
        <v>79</v>
      </c>
      <c r="H742" s="62" t="s">
        <v>25</v>
      </c>
      <c r="I742" s="75">
        <v>44593</v>
      </c>
      <c r="J742" s="76">
        <f ca="1">EFEITO!$J$742*EFEITO!$Y$742</f>
        <v>13196.933037845494</v>
      </c>
      <c r="K742" s="76">
        <f>EFEITO!$L$742*EFEITO!$Z$742</f>
        <v>0</v>
      </c>
      <c r="L742" s="76">
        <f>EFEITO!$N$742*EFEITO!$AA$742</f>
        <v>0</v>
      </c>
      <c r="M742" s="76">
        <f ca="1">$J$742-EFEITO!$K$742*EFEITO!$Y$742</f>
        <v>0</v>
      </c>
      <c r="N742" s="76">
        <f>$K$742-EFEITO!$M$742*EFEITO!$Z$742</f>
        <v>0</v>
      </c>
      <c r="O742" s="76">
        <f>$L$742-EFEITO!$O$742*EFEITO!$AA$742</f>
        <v>0</v>
      </c>
      <c r="P742" s="18"/>
      <c r="Q742" s="18"/>
      <c r="R742" s="18"/>
      <c r="S742" s="18"/>
      <c r="T742" s="18"/>
      <c r="U742" s="18"/>
      <c r="V742" s="18"/>
      <c r="W742" s="18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62" t="s">
        <v>21</v>
      </c>
      <c r="B743" s="62" t="s">
        <v>41</v>
      </c>
      <c r="C743" s="62" t="s">
        <v>64</v>
      </c>
      <c r="D743" s="62" t="s">
        <v>25</v>
      </c>
      <c r="E743" s="62" t="s">
        <v>25</v>
      </c>
      <c r="F743" s="62" t="s">
        <v>25</v>
      </c>
      <c r="G743" s="62" t="s">
        <v>80</v>
      </c>
      <c r="H743" s="62" t="s">
        <v>25</v>
      </c>
      <c r="I743" s="75">
        <v>44593</v>
      </c>
      <c r="J743" s="76">
        <f ca="1">EFEITO!$J$743*EFEITO!$Y$743</f>
        <v>24268.645690375612</v>
      </c>
      <c r="K743" s="76">
        <f>EFEITO!$L$743*EFEITO!$Z$743</f>
        <v>0</v>
      </c>
      <c r="L743" s="76">
        <f>EFEITO!$N$743*EFEITO!$AA$743</f>
        <v>0</v>
      </c>
      <c r="M743" s="76">
        <f ca="1">$J$743-EFEITO!$K$743*EFEITO!$Y$743</f>
        <v>0</v>
      </c>
      <c r="N743" s="76">
        <f>$K$743-EFEITO!$M$743*EFEITO!$Z$743</f>
        <v>0</v>
      </c>
      <c r="O743" s="76">
        <f>$L$743-EFEITO!$O$743*EFEITO!$AA$743</f>
        <v>0</v>
      </c>
      <c r="P743" s="18"/>
      <c r="Q743" s="18"/>
      <c r="R743" s="18"/>
      <c r="S743" s="18"/>
      <c r="T743" s="18"/>
      <c r="U743" s="18"/>
      <c r="V743" s="18"/>
      <c r="W743" s="18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62" t="s">
        <v>21</v>
      </c>
      <c r="B744" s="62" t="s">
        <v>41</v>
      </c>
      <c r="C744" s="62" t="s">
        <v>64</v>
      </c>
      <c r="D744" s="62" t="s">
        <v>25</v>
      </c>
      <c r="E744" s="62" t="s">
        <v>25</v>
      </c>
      <c r="F744" s="62" t="s">
        <v>25</v>
      </c>
      <c r="G744" s="62" t="s">
        <v>88</v>
      </c>
      <c r="H744" s="62" t="s">
        <v>25</v>
      </c>
      <c r="I744" s="75">
        <v>44593</v>
      </c>
      <c r="J744" s="76">
        <f ca="1">EFEITO!$J$744*EFEITO!$Y$744</f>
        <v>162819.30371367818</v>
      </c>
      <c r="K744" s="76">
        <f>EFEITO!$L$744*EFEITO!$Z$744</f>
        <v>0</v>
      </c>
      <c r="L744" s="76">
        <f>EFEITO!$N$744*EFEITO!$AA$744</f>
        <v>0</v>
      </c>
      <c r="M744" s="76">
        <f ca="1">$J$744-EFEITO!$K$744*EFEITO!$Y$744</f>
        <v>81409.651856839089</v>
      </c>
      <c r="N744" s="76">
        <f>$K$744-EFEITO!$M$744*EFEITO!$Z$744</f>
        <v>0</v>
      </c>
      <c r="O744" s="76">
        <f>$L$744-EFEITO!$O$744*EFEITO!$AA$744</f>
        <v>0</v>
      </c>
      <c r="P744" s="18"/>
      <c r="Q744" s="18"/>
      <c r="R744" s="18"/>
      <c r="S744" s="18"/>
      <c r="T744" s="18"/>
      <c r="U744" s="18"/>
      <c r="V744" s="18"/>
      <c r="W744" s="18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62" t="s">
        <v>21</v>
      </c>
      <c r="B745" s="62" t="s">
        <v>41</v>
      </c>
      <c r="C745" s="62" t="s">
        <v>64</v>
      </c>
      <c r="D745" s="62" t="s">
        <v>25</v>
      </c>
      <c r="E745" s="62" t="s">
        <v>25</v>
      </c>
      <c r="F745" s="62" t="s">
        <v>25</v>
      </c>
      <c r="G745" s="62" t="s">
        <v>90</v>
      </c>
      <c r="H745" s="62" t="s">
        <v>25</v>
      </c>
      <c r="I745" s="75">
        <v>44593</v>
      </c>
      <c r="J745" s="76">
        <f ca="1">EFEITO!$J$745*EFEITO!$Y$745</f>
        <v>7198.3271115520874</v>
      </c>
      <c r="K745" s="76">
        <f>EFEITO!$L$745*EFEITO!$Z$745</f>
        <v>0</v>
      </c>
      <c r="L745" s="76">
        <f>EFEITO!$N$745*EFEITO!$AA$745</f>
        <v>0</v>
      </c>
      <c r="M745" s="76">
        <f ca="1">$J$745-EFEITO!$K$745*EFEITO!$Y$745</f>
        <v>0</v>
      </c>
      <c r="N745" s="76">
        <f>$K$745-EFEITO!$M$745*EFEITO!$Z$745</f>
        <v>0</v>
      </c>
      <c r="O745" s="76">
        <f>$L$745-EFEITO!$O$745*EFEITO!$AA$745</f>
        <v>0</v>
      </c>
      <c r="P745" s="18"/>
      <c r="Q745" s="18"/>
      <c r="R745" s="18"/>
      <c r="S745" s="18"/>
      <c r="T745" s="18"/>
      <c r="U745" s="18"/>
      <c r="V745" s="18"/>
      <c r="W745" s="18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62" t="s">
        <v>21</v>
      </c>
      <c r="B746" s="62" t="s">
        <v>41</v>
      </c>
      <c r="C746" s="62" t="s">
        <v>64</v>
      </c>
      <c r="D746" s="62" t="s">
        <v>25</v>
      </c>
      <c r="E746" s="62" t="s">
        <v>25</v>
      </c>
      <c r="F746" s="62" t="s">
        <v>25</v>
      </c>
      <c r="G746" s="62" t="s">
        <v>93</v>
      </c>
      <c r="H746" s="62" t="s">
        <v>25</v>
      </c>
      <c r="I746" s="75">
        <v>44593</v>
      </c>
      <c r="J746" s="76">
        <f ca="1">EFEITO!$J$746*EFEITO!$Y$746</f>
        <v>22280.536297661223</v>
      </c>
      <c r="K746" s="76">
        <f>EFEITO!$L$746*EFEITO!$Z$746</f>
        <v>0</v>
      </c>
      <c r="L746" s="76">
        <f>EFEITO!$N$746*EFEITO!$AA$746</f>
        <v>0</v>
      </c>
      <c r="M746" s="76">
        <f ca="1">$J$746-EFEITO!$K$746*EFEITO!$Y$746</f>
        <v>11140.268148830612</v>
      </c>
      <c r="N746" s="76">
        <f>$K$746-EFEITO!$M$746*EFEITO!$Z$746</f>
        <v>0</v>
      </c>
      <c r="O746" s="76">
        <f>$L$746-EFEITO!$O$746*EFEITO!$AA$746</f>
        <v>0</v>
      </c>
      <c r="P746" s="18"/>
      <c r="Q746" s="18"/>
      <c r="R746" s="18"/>
      <c r="S746" s="18"/>
      <c r="T746" s="18"/>
      <c r="U746" s="18"/>
      <c r="V746" s="18"/>
      <c r="W746" s="18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62" t="s">
        <v>21</v>
      </c>
      <c r="B747" s="62" t="s">
        <v>41</v>
      </c>
      <c r="C747" s="62" t="s">
        <v>64</v>
      </c>
      <c r="D747" s="62" t="s">
        <v>25</v>
      </c>
      <c r="E747" s="62" t="s">
        <v>25</v>
      </c>
      <c r="F747" s="62" t="s">
        <v>25</v>
      </c>
      <c r="G747" s="62" t="s">
        <v>94</v>
      </c>
      <c r="H747" s="62" t="s">
        <v>25</v>
      </c>
      <c r="I747" s="75">
        <v>44593</v>
      </c>
      <c r="J747" s="76">
        <f ca="1">EFEITO!$J$747*EFEITO!$Y$747</f>
        <v>20223.871408646341</v>
      </c>
      <c r="K747" s="76">
        <f>EFEITO!$L$747*EFEITO!$Z$747</f>
        <v>0</v>
      </c>
      <c r="L747" s="76">
        <f>EFEITO!$N$747*EFEITO!$AA$747</f>
        <v>0</v>
      </c>
      <c r="M747" s="76">
        <f ca="1">$J$747-EFEITO!$K$747*EFEITO!$Y$747</f>
        <v>10111.93570432317</v>
      </c>
      <c r="N747" s="76">
        <f>$K$747-EFEITO!$M$747*EFEITO!$Z$747</f>
        <v>0</v>
      </c>
      <c r="O747" s="76">
        <f>$L$747-EFEITO!$O$747*EFEITO!$AA$747</f>
        <v>0</v>
      </c>
      <c r="P747" s="18"/>
      <c r="Q747" s="18"/>
      <c r="R747" s="18"/>
      <c r="S747" s="18"/>
      <c r="T747" s="18"/>
      <c r="U747" s="18"/>
      <c r="V747" s="18"/>
      <c r="W747" s="18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62" t="s">
        <v>21</v>
      </c>
      <c r="B748" s="62" t="s">
        <v>41</v>
      </c>
      <c r="C748" s="62" t="s">
        <v>64</v>
      </c>
      <c r="D748" s="62" t="s">
        <v>25</v>
      </c>
      <c r="E748" s="62" t="s">
        <v>25</v>
      </c>
      <c r="F748" s="62" t="s">
        <v>25</v>
      </c>
      <c r="G748" s="62" t="s">
        <v>95</v>
      </c>
      <c r="H748" s="62" t="s">
        <v>25</v>
      </c>
      <c r="I748" s="75">
        <v>44593</v>
      </c>
      <c r="J748" s="76">
        <f ca="1">EFEITO!$J$748*EFEITO!$Y$748</f>
        <v>20223.871408646341</v>
      </c>
      <c r="K748" s="76">
        <f>EFEITO!$L$748*EFEITO!$Z$748</f>
        <v>0</v>
      </c>
      <c r="L748" s="76">
        <f>EFEITO!$N$748*EFEITO!$AA$748</f>
        <v>0</v>
      </c>
      <c r="M748" s="76">
        <f ca="1">$J$748-EFEITO!$K$748*EFEITO!$Y$748</f>
        <v>10111.93570432317</v>
      </c>
      <c r="N748" s="76">
        <f>$K$748-EFEITO!$M$748*EFEITO!$Z$748</f>
        <v>0</v>
      </c>
      <c r="O748" s="76">
        <f>$L$748-EFEITO!$O$748*EFEITO!$AA$748</f>
        <v>0</v>
      </c>
      <c r="P748" s="18"/>
      <c r="Q748" s="18"/>
      <c r="R748" s="18"/>
      <c r="S748" s="18"/>
      <c r="T748" s="18"/>
      <c r="U748" s="18"/>
      <c r="V748" s="18"/>
      <c r="W748" s="18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62" t="s">
        <v>21</v>
      </c>
      <c r="B749" s="62" t="s">
        <v>41</v>
      </c>
      <c r="C749" s="62" t="s">
        <v>64</v>
      </c>
      <c r="D749" s="62" t="s">
        <v>25</v>
      </c>
      <c r="E749" s="62" t="s">
        <v>25</v>
      </c>
      <c r="F749" s="62" t="s">
        <v>25</v>
      </c>
      <c r="G749" s="62" t="s">
        <v>96</v>
      </c>
      <c r="H749" s="62" t="s">
        <v>25</v>
      </c>
      <c r="I749" s="75">
        <v>44593</v>
      </c>
      <c r="J749" s="76">
        <f ca="1">EFEITO!$J$749*EFEITO!$Y$749</f>
        <v>17138.874075124018</v>
      </c>
      <c r="K749" s="76">
        <f>EFEITO!$L$749*EFEITO!$Z$749</f>
        <v>0</v>
      </c>
      <c r="L749" s="76">
        <f>EFEITO!$N$749*EFEITO!$AA$749</f>
        <v>0</v>
      </c>
      <c r="M749" s="76">
        <f ca="1">$J$749-EFEITO!$K$749*EFEITO!$Y$749</f>
        <v>8569.4370375620092</v>
      </c>
      <c r="N749" s="76">
        <f>$K$749-EFEITO!$M$749*EFEITO!$Z$749</f>
        <v>0</v>
      </c>
      <c r="O749" s="76">
        <f>$L$749-EFEITO!$O$749*EFEITO!$AA$749</f>
        <v>0</v>
      </c>
      <c r="P749" s="18"/>
      <c r="Q749" s="18"/>
      <c r="R749" s="18"/>
      <c r="S749" s="18"/>
      <c r="T749" s="18"/>
      <c r="U749" s="18"/>
      <c r="V749" s="18"/>
      <c r="W749" s="18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62" t="s">
        <v>21</v>
      </c>
      <c r="B750" s="62" t="s">
        <v>41</v>
      </c>
      <c r="C750" s="62" t="s">
        <v>64</v>
      </c>
      <c r="D750" s="62" t="s">
        <v>25</v>
      </c>
      <c r="E750" s="62" t="s">
        <v>25</v>
      </c>
      <c r="F750" s="62" t="s">
        <v>25</v>
      </c>
      <c r="G750" s="62" t="s">
        <v>97</v>
      </c>
      <c r="H750" s="62" t="s">
        <v>25</v>
      </c>
      <c r="I750" s="75">
        <v>44593</v>
      </c>
      <c r="J750" s="76">
        <f ca="1">EFEITO!$J$750*EFEITO!$Y$750</f>
        <v>20223.871408646341</v>
      </c>
      <c r="K750" s="76">
        <f>EFEITO!$L$750*EFEITO!$Z$750</f>
        <v>0</v>
      </c>
      <c r="L750" s="76">
        <f>EFEITO!$N$750*EFEITO!$AA$750</f>
        <v>0</v>
      </c>
      <c r="M750" s="76">
        <f ca="1">$J$750-EFEITO!$K$750*EFEITO!$Y$750</f>
        <v>10111.93570432317</v>
      </c>
      <c r="N750" s="76">
        <f>$K$750-EFEITO!$M$750*EFEITO!$Z$750</f>
        <v>0</v>
      </c>
      <c r="O750" s="76">
        <f>$L$750-EFEITO!$O$750*EFEITO!$AA$750</f>
        <v>0</v>
      </c>
      <c r="P750" s="18"/>
      <c r="Q750" s="18"/>
      <c r="R750" s="18"/>
      <c r="S750" s="18"/>
      <c r="T750" s="18"/>
      <c r="U750" s="18"/>
      <c r="V750" s="18"/>
      <c r="W750" s="18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62" t="s">
        <v>21</v>
      </c>
      <c r="B751" s="62" t="s">
        <v>41</v>
      </c>
      <c r="C751" s="62" t="s">
        <v>64</v>
      </c>
      <c r="D751" s="62" t="s">
        <v>25</v>
      </c>
      <c r="E751" s="62" t="s">
        <v>25</v>
      </c>
      <c r="F751" s="62" t="s">
        <v>25</v>
      </c>
      <c r="G751" s="62" t="s">
        <v>98</v>
      </c>
      <c r="H751" s="62" t="s">
        <v>25</v>
      </c>
      <c r="I751" s="75">
        <v>44593</v>
      </c>
      <c r="J751" s="76">
        <f ca="1">EFEITO!$J$751*EFEITO!$Y$751</f>
        <v>51965.066195776024</v>
      </c>
      <c r="K751" s="76">
        <f>EFEITO!$L$751*EFEITO!$Z$751</f>
        <v>0</v>
      </c>
      <c r="L751" s="76">
        <f>EFEITO!$N$751*EFEITO!$AA$751</f>
        <v>0</v>
      </c>
      <c r="M751" s="76">
        <f ca="1">$J$751-EFEITO!$K$751*EFEITO!$Y$751</f>
        <v>25982.533097888012</v>
      </c>
      <c r="N751" s="76">
        <f>$K$751-EFEITO!$M$751*EFEITO!$Z$751</f>
        <v>0</v>
      </c>
      <c r="O751" s="76">
        <f>$L$751-EFEITO!$O$751*EFEITO!$AA$751</f>
        <v>0</v>
      </c>
      <c r="P751" s="18"/>
      <c r="Q751" s="18"/>
      <c r="R751" s="18"/>
      <c r="S751" s="18"/>
      <c r="T751" s="18"/>
      <c r="U751" s="18"/>
      <c r="V751" s="18"/>
      <c r="W751" s="18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62" t="s">
        <v>21</v>
      </c>
      <c r="B752" s="62" t="s">
        <v>41</v>
      </c>
      <c r="C752" s="62" t="s">
        <v>64</v>
      </c>
      <c r="D752" s="62" t="s">
        <v>25</v>
      </c>
      <c r="E752" s="62" t="s">
        <v>25</v>
      </c>
      <c r="F752" s="62" t="s">
        <v>25</v>
      </c>
      <c r="G752" s="62" t="s">
        <v>99</v>
      </c>
      <c r="H752" s="62" t="s">
        <v>25</v>
      </c>
      <c r="I752" s="75">
        <v>44593</v>
      </c>
      <c r="J752" s="76">
        <f ca="1">EFEITO!$J$752*EFEITO!$Y$752</f>
        <v>20223.871408646341</v>
      </c>
      <c r="K752" s="76">
        <f>EFEITO!$L$752*EFEITO!$Z$752</f>
        <v>0</v>
      </c>
      <c r="L752" s="76">
        <f>EFEITO!$N$752*EFEITO!$AA$752</f>
        <v>0</v>
      </c>
      <c r="M752" s="76">
        <f ca="1">$J$752-EFEITO!$K$752*EFEITO!$Y$752</f>
        <v>10111.93570432317</v>
      </c>
      <c r="N752" s="76">
        <f>$K$752-EFEITO!$M$752*EFEITO!$Z$752</f>
        <v>0</v>
      </c>
      <c r="O752" s="76">
        <f>$L$752-EFEITO!$O$752*EFEITO!$AA$752</f>
        <v>0</v>
      </c>
      <c r="P752" s="18"/>
      <c r="Q752" s="18"/>
      <c r="R752" s="18"/>
      <c r="S752" s="18"/>
      <c r="T752" s="18"/>
      <c r="U752" s="18"/>
      <c r="V752" s="18"/>
      <c r="W752" s="18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62" t="s">
        <v>21</v>
      </c>
      <c r="B753" s="62" t="s">
        <v>41</v>
      </c>
      <c r="C753" s="62" t="s">
        <v>64</v>
      </c>
      <c r="D753" s="62" t="s">
        <v>25</v>
      </c>
      <c r="E753" s="62" t="s">
        <v>25</v>
      </c>
      <c r="F753" s="62" t="s">
        <v>25</v>
      </c>
      <c r="G753" s="62" t="s">
        <v>100</v>
      </c>
      <c r="H753" s="62" t="s">
        <v>25</v>
      </c>
      <c r="I753" s="75">
        <v>44593</v>
      </c>
      <c r="J753" s="76">
        <f ca="1">EFEITO!$J$753*EFEITO!$Y$753</f>
        <v>20223.871408646341</v>
      </c>
      <c r="K753" s="76">
        <f>EFEITO!$L$753*EFEITO!$Z$753</f>
        <v>0</v>
      </c>
      <c r="L753" s="76">
        <f>EFEITO!$N$753*EFEITO!$AA$753</f>
        <v>0</v>
      </c>
      <c r="M753" s="76">
        <f ca="1">$J$753-EFEITO!$K$753*EFEITO!$Y$753</f>
        <v>10111.93570432317</v>
      </c>
      <c r="N753" s="76">
        <f>$K$753-EFEITO!$M$753*EFEITO!$Z$753</f>
        <v>0</v>
      </c>
      <c r="O753" s="76">
        <f>$L$753-EFEITO!$O$753*EFEITO!$AA$753</f>
        <v>0</v>
      </c>
      <c r="P753" s="18"/>
      <c r="Q753" s="18"/>
      <c r="R753" s="18"/>
      <c r="S753" s="18"/>
      <c r="T753" s="18"/>
      <c r="U753" s="18"/>
      <c r="V753" s="18"/>
      <c r="W753" s="18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62" t="s">
        <v>21</v>
      </c>
      <c r="B754" s="62" t="s">
        <v>41</v>
      </c>
      <c r="C754" s="62" t="s">
        <v>64</v>
      </c>
      <c r="D754" s="62" t="s">
        <v>25</v>
      </c>
      <c r="E754" s="62" t="s">
        <v>25</v>
      </c>
      <c r="F754" s="62" t="s">
        <v>25</v>
      </c>
      <c r="G754" s="62" t="s">
        <v>68</v>
      </c>
      <c r="H754" s="62" t="s">
        <v>25</v>
      </c>
      <c r="I754" s="75">
        <v>44621</v>
      </c>
      <c r="J754" s="76">
        <f ca="1">EFEITO!$J$754*EFEITO!$Y$754</f>
        <v>5175.9399706874538</v>
      </c>
      <c r="K754" s="76">
        <f>EFEITO!$L$754*EFEITO!$Z$754</f>
        <v>0</v>
      </c>
      <c r="L754" s="76">
        <f>EFEITO!$N$754*EFEITO!$AA$754</f>
        <v>0</v>
      </c>
      <c r="M754" s="76">
        <f ca="1">$J$754-EFEITO!$K$754*EFEITO!$Y$754</f>
        <v>0</v>
      </c>
      <c r="N754" s="76">
        <f>$K$754-EFEITO!$M$754*EFEITO!$Z$754</f>
        <v>0</v>
      </c>
      <c r="O754" s="76">
        <f>$L$754-EFEITO!$O$754*EFEITO!$AA$754</f>
        <v>0</v>
      </c>
      <c r="P754" s="18"/>
      <c r="Q754" s="18"/>
      <c r="R754" s="18"/>
      <c r="S754" s="18"/>
      <c r="T754" s="18"/>
      <c r="U754" s="18"/>
      <c r="V754" s="18"/>
      <c r="W754" s="18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62" t="s">
        <v>21</v>
      </c>
      <c r="B755" s="62" t="s">
        <v>41</v>
      </c>
      <c r="C755" s="62" t="s">
        <v>64</v>
      </c>
      <c r="D755" s="62" t="s">
        <v>25</v>
      </c>
      <c r="E755" s="62" t="s">
        <v>25</v>
      </c>
      <c r="F755" s="62" t="s">
        <v>25</v>
      </c>
      <c r="G755" s="62" t="s">
        <v>70</v>
      </c>
      <c r="H755" s="62" t="s">
        <v>25</v>
      </c>
      <c r="I755" s="75">
        <v>44621</v>
      </c>
      <c r="J755" s="76">
        <f ca="1">EFEITO!$J$755*EFEITO!$Y$755</f>
        <v>86379.925338625049</v>
      </c>
      <c r="K755" s="76">
        <f>EFEITO!$L$755*EFEITO!$Z$755</f>
        <v>0</v>
      </c>
      <c r="L755" s="76">
        <f>EFEITO!$N$755*EFEITO!$AA$755</f>
        <v>0</v>
      </c>
      <c r="M755" s="76">
        <f ca="1">$J$755-EFEITO!$K$755*EFEITO!$Y$755</f>
        <v>0</v>
      </c>
      <c r="N755" s="76">
        <f>$K$755-EFEITO!$M$755*EFEITO!$Z$755</f>
        <v>0</v>
      </c>
      <c r="O755" s="76">
        <f>$L$755-EFEITO!$O$755*EFEITO!$AA$755</f>
        <v>0</v>
      </c>
      <c r="P755" s="18"/>
      <c r="Q755" s="18"/>
      <c r="R755" s="18"/>
      <c r="S755" s="18"/>
      <c r="T755" s="18"/>
      <c r="U755" s="18"/>
      <c r="V755" s="18"/>
      <c r="W755" s="18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62" t="s">
        <v>21</v>
      </c>
      <c r="B756" s="62" t="s">
        <v>41</v>
      </c>
      <c r="C756" s="62" t="s">
        <v>64</v>
      </c>
      <c r="D756" s="62" t="s">
        <v>25</v>
      </c>
      <c r="E756" s="62" t="s">
        <v>25</v>
      </c>
      <c r="F756" s="62" t="s">
        <v>25</v>
      </c>
      <c r="G756" s="62" t="s">
        <v>74</v>
      </c>
      <c r="H756" s="62" t="s">
        <v>25</v>
      </c>
      <c r="I756" s="75">
        <v>44621</v>
      </c>
      <c r="J756" s="76">
        <f ca="1">EFEITO!$J$756*EFEITO!$Y$756</f>
        <v>65676.165455875234</v>
      </c>
      <c r="K756" s="76">
        <f>EFEITO!$L$756*EFEITO!$Z$756</f>
        <v>0</v>
      </c>
      <c r="L756" s="76">
        <f>EFEITO!$N$756*EFEITO!$AA$756</f>
        <v>0</v>
      </c>
      <c r="M756" s="76">
        <f ca="1">$J$756-EFEITO!$K$756*EFEITO!$Y$756</f>
        <v>32838.082727937617</v>
      </c>
      <c r="N756" s="76">
        <f>$K$756-EFEITO!$M$756*EFEITO!$Z$756</f>
        <v>0</v>
      </c>
      <c r="O756" s="76">
        <f>$L$756-EFEITO!$O$756*EFEITO!$AA$756</f>
        <v>0</v>
      </c>
      <c r="P756" s="18"/>
      <c r="Q756" s="18"/>
      <c r="R756" s="18"/>
      <c r="S756" s="18"/>
      <c r="T756" s="18"/>
      <c r="U756" s="18"/>
      <c r="V756" s="18"/>
      <c r="W756" s="18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62" t="s">
        <v>21</v>
      </c>
      <c r="B757" s="62" t="s">
        <v>41</v>
      </c>
      <c r="C757" s="62" t="s">
        <v>64</v>
      </c>
      <c r="D757" s="62" t="s">
        <v>25</v>
      </c>
      <c r="E757" s="62" t="s">
        <v>25</v>
      </c>
      <c r="F757" s="62" t="s">
        <v>25</v>
      </c>
      <c r="G757" s="62" t="s">
        <v>76</v>
      </c>
      <c r="H757" s="62" t="s">
        <v>25</v>
      </c>
      <c r="I757" s="75">
        <v>44621</v>
      </c>
      <c r="J757" s="76">
        <f ca="1">EFEITO!$J$757*EFEITO!$Y$757</f>
        <v>8226.6595560595288</v>
      </c>
      <c r="K757" s="76">
        <f>EFEITO!$L$757*EFEITO!$Z$757</f>
        <v>0</v>
      </c>
      <c r="L757" s="76">
        <f>EFEITO!$N$757*EFEITO!$AA$757</f>
        <v>0</v>
      </c>
      <c r="M757" s="76">
        <f ca="1">$J$757-EFEITO!$K$757*EFEITO!$Y$757</f>
        <v>0</v>
      </c>
      <c r="N757" s="76">
        <f>$K$757-EFEITO!$M$757*EFEITO!$Z$757</f>
        <v>0</v>
      </c>
      <c r="O757" s="76">
        <f>$L$757-EFEITO!$O$757*EFEITO!$AA$757</f>
        <v>0</v>
      </c>
      <c r="P757" s="18"/>
      <c r="Q757" s="18"/>
      <c r="R757" s="18"/>
      <c r="S757" s="18"/>
      <c r="T757" s="18"/>
      <c r="U757" s="18"/>
      <c r="V757" s="18"/>
      <c r="W757" s="18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62" t="s">
        <v>21</v>
      </c>
      <c r="B758" s="62" t="s">
        <v>41</v>
      </c>
      <c r="C758" s="62" t="s">
        <v>64</v>
      </c>
      <c r="D758" s="62" t="s">
        <v>25</v>
      </c>
      <c r="E758" s="62" t="s">
        <v>25</v>
      </c>
      <c r="F758" s="62" t="s">
        <v>25</v>
      </c>
      <c r="G758" s="62" t="s">
        <v>77</v>
      </c>
      <c r="H758" s="62" t="s">
        <v>25</v>
      </c>
      <c r="I758" s="75">
        <v>44621</v>
      </c>
      <c r="J758" s="76">
        <f ca="1">EFEITO!$J$758*EFEITO!$Y$758</f>
        <v>12614.211319291278</v>
      </c>
      <c r="K758" s="76">
        <f>EFEITO!$L$758*EFEITO!$Z$758</f>
        <v>0</v>
      </c>
      <c r="L758" s="76">
        <f>EFEITO!$N$758*EFEITO!$AA$758</f>
        <v>0</v>
      </c>
      <c r="M758" s="76">
        <f ca="1">$J$758-EFEITO!$K$758*EFEITO!$Y$758</f>
        <v>0</v>
      </c>
      <c r="N758" s="76">
        <f>$K$758-EFEITO!$M$758*EFEITO!$Z$758</f>
        <v>0</v>
      </c>
      <c r="O758" s="76">
        <f>$L$758-EFEITO!$O$758*EFEITO!$AA$758</f>
        <v>0</v>
      </c>
      <c r="P758" s="18"/>
      <c r="Q758" s="18"/>
      <c r="R758" s="18"/>
      <c r="S758" s="18"/>
      <c r="T758" s="18"/>
      <c r="U758" s="18"/>
      <c r="V758" s="18"/>
      <c r="W758" s="18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62" t="s">
        <v>21</v>
      </c>
      <c r="B759" s="62" t="s">
        <v>41</v>
      </c>
      <c r="C759" s="62" t="s">
        <v>64</v>
      </c>
      <c r="D759" s="62" t="s">
        <v>25</v>
      </c>
      <c r="E759" s="62" t="s">
        <v>25</v>
      </c>
      <c r="F759" s="62" t="s">
        <v>25</v>
      </c>
      <c r="G759" s="62" t="s">
        <v>78</v>
      </c>
      <c r="H759" s="62" t="s">
        <v>25</v>
      </c>
      <c r="I759" s="75">
        <v>44621</v>
      </c>
      <c r="J759" s="76">
        <f ca="1">EFEITO!$J$759*EFEITO!$Y$759</f>
        <v>110717.12652530117</v>
      </c>
      <c r="K759" s="76">
        <f>EFEITO!$L$759*EFEITO!$Z$759</f>
        <v>0</v>
      </c>
      <c r="L759" s="76">
        <f>EFEITO!$N$759*EFEITO!$AA$759</f>
        <v>0</v>
      </c>
      <c r="M759" s="76">
        <f ca="1">$J$759-EFEITO!$K$759*EFEITO!$Y$759</f>
        <v>0</v>
      </c>
      <c r="N759" s="76">
        <f>$K$759-EFEITO!$M$759*EFEITO!$Z$759</f>
        <v>0</v>
      </c>
      <c r="O759" s="76">
        <f>$L$759-EFEITO!$O$759*EFEITO!$AA$759</f>
        <v>0</v>
      </c>
      <c r="P759" s="18"/>
      <c r="Q759" s="18"/>
      <c r="R759" s="18"/>
      <c r="S759" s="18"/>
      <c r="T759" s="18"/>
      <c r="U759" s="18"/>
      <c r="V759" s="18"/>
      <c r="W759" s="18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62" t="s">
        <v>21</v>
      </c>
      <c r="B760" s="62" t="s">
        <v>41</v>
      </c>
      <c r="C760" s="62" t="s">
        <v>64</v>
      </c>
      <c r="D760" s="62" t="s">
        <v>25</v>
      </c>
      <c r="E760" s="62" t="s">
        <v>25</v>
      </c>
      <c r="F760" s="62" t="s">
        <v>25</v>
      </c>
      <c r="G760" s="62" t="s">
        <v>79</v>
      </c>
      <c r="H760" s="62" t="s">
        <v>25</v>
      </c>
      <c r="I760" s="75">
        <v>44621</v>
      </c>
      <c r="J760" s="76">
        <f ca="1">EFEITO!$J$760*EFEITO!$Y$760</f>
        <v>13196.933037845494</v>
      </c>
      <c r="K760" s="76">
        <f>EFEITO!$L$760*EFEITO!$Z$760</f>
        <v>0</v>
      </c>
      <c r="L760" s="76">
        <f>EFEITO!$N$760*EFEITO!$AA$760</f>
        <v>0</v>
      </c>
      <c r="M760" s="76">
        <f ca="1">$J$760-EFEITO!$K$760*EFEITO!$Y$760</f>
        <v>0</v>
      </c>
      <c r="N760" s="76">
        <f>$K$760-EFEITO!$M$760*EFEITO!$Z$760</f>
        <v>0</v>
      </c>
      <c r="O760" s="76">
        <f>$L$760-EFEITO!$O$760*EFEITO!$AA$760</f>
        <v>0</v>
      </c>
      <c r="P760" s="18"/>
      <c r="Q760" s="18"/>
      <c r="R760" s="18"/>
      <c r="S760" s="18"/>
      <c r="T760" s="18"/>
      <c r="U760" s="18"/>
      <c r="V760" s="18"/>
      <c r="W760" s="18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62" t="s">
        <v>21</v>
      </c>
      <c r="B761" s="62" t="s">
        <v>41</v>
      </c>
      <c r="C761" s="62" t="s">
        <v>64</v>
      </c>
      <c r="D761" s="62" t="s">
        <v>25</v>
      </c>
      <c r="E761" s="62" t="s">
        <v>25</v>
      </c>
      <c r="F761" s="62" t="s">
        <v>25</v>
      </c>
      <c r="G761" s="62" t="s">
        <v>80</v>
      </c>
      <c r="H761" s="62" t="s">
        <v>25</v>
      </c>
      <c r="I761" s="75">
        <v>44621</v>
      </c>
      <c r="J761" s="76">
        <f ca="1">EFEITO!$J$761*EFEITO!$Y$761</f>
        <v>24268.645690375612</v>
      </c>
      <c r="K761" s="76">
        <f>EFEITO!$L$761*EFEITO!$Z$761</f>
        <v>0</v>
      </c>
      <c r="L761" s="76">
        <f>EFEITO!$N$761*EFEITO!$AA$761</f>
        <v>0</v>
      </c>
      <c r="M761" s="76">
        <f ca="1">$J$761-EFEITO!$K$761*EFEITO!$Y$761</f>
        <v>0</v>
      </c>
      <c r="N761" s="76">
        <f>$K$761-EFEITO!$M$761*EFEITO!$Z$761</f>
        <v>0</v>
      </c>
      <c r="O761" s="76">
        <f>$L$761-EFEITO!$O$761*EFEITO!$AA$761</f>
        <v>0</v>
      </c>
      <c r="P761" s="18"/>
      <c r="Q761" s="18"/>
      <c r="R761" s="18"/>
      <c r="S761" s="18"/>
      <c r="T761" s="18"/>
      <c r="U761" s="18"/>
      <c r="V761" s="18"/>
      <c r="W761" s="18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62" t="s">
        <v>21</v>
      </c>
      <c r="B762" s="62" t="s">
        <v>41</v>
      </c>
      <c r="C762" s="62" t="s">
        <v>64</v>
      </c>
      <c r="D762" s="62" t="s">
        <v>25</v>
      </c>
      <c r="E762" s="62" t="s">
        <v>25</v>
      </c>
      <c r="F762" s="62" t="s">
        <v>25</v>
      </c>
      <c r="G762" s="62" t="s">
        <v>88</v>
      </c>
      <c r="H762" s="62" t="s">
        <v>25</v>
      </c>
      <c r="I762" s="75">
        <v>44621</v>
      </c>
      <c r="J762" s="76">
        <f ca="1">EFEITO!$J$762*EFEITO!$Y$762</f>
        <v>162819.30371367818</v>
      </c>
      <c r="K762" s="76">
        <f>EFEITO!$L$762*EFEITO!$Z$762</f>
        <v>0</v>
      </c>
      <c r="L762" s="76">
        <f>EFEITO!$N$762*EFEITO!$AA$762</f>
        <v>0</v>
      </c>
      <c r="M762" s="76">
        <f ca="1">$J$762-EFEITO!$K$762*EFEITO!$Y$762</f>
        <v>81409.651856839089</v>
      </c>
      <c r="N762" s="76">
        <f>$K$762-EFEITO!$M$762*EFEITO!$Z$762</f>
        <v>0</v>
      </c>
      <c r="O762" s="76">
        <f>$L$762-EFEITO!$O$762*EFEITO!$AA$762</f>
        <v>0</v>
      </c>
      <c r="P762" s="18"/>
      <c r="Q762" s="18"/>
      <c r="R762" s="18"/>
      <c r="S762" s="18"/>
      <c r="T762" s="18"/>
      <c r="U762" s="18"/>
      <c r="V762" s="18"/>
      <c r="W762" s="18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62" t="s">
        <v>21</v>
      </c>
      <c r="B763" s="62" t="s">
        <v>41</v>
      </c>
      <c r="C763" s="62" t="s">
        <v>64</v>
      </c>
      <c r="D763" s="62" t="s">
        <v>25</v>
      </c>
      <c r="E763" s="62" t="s">
        <v>25</v>
      </c>
      <c r="F763" s="62" t="s">
        <v>25</v>
      </c>
      <c r="G763" s="62" t="s">
        <v>90</v>
      </c>
      <c r="H763" s="62" t="s">
        <v>25</v>
      </c>
      <c r="I763" s="75">
        <v>44621</v>
      </c>
      <c r="J763" s="76">
        <f ca="1">EFEITO!$J$763*EFEITO!$Y$763</f>
        <v>7198.3271115520874</v>
      </c>
      <c r="K763" s="76">
        <f>EFEITO!$L$763*EFEITO!$Z$763</f>
        <v>0</v>
      </c>
      <c r="L763" s="76">
        <f>EFEITO!$N$763*EFEITO!$AA$763</f>
        <v>0</v>
      </c>
      <c r="M763" s="76">
        <f ca="1">$J$763-EFEITO!$K$763*EFEITO!$Y$763</f>
        <v>0</v>
      </c>
      <c r="N763" s="76">
        <f>$K$763-EFEITO!$M$763*EFEITO!$Z$763</f>
        <v>0</v>
      </c>
      <c r="O763" s="76">
        <f>$L$763-EFEITO!$O$763*EFEITO!$AA$763</f>
        <v>0</v>
      </c>
      <c r="P763" s="18"/>
      <c r="Q763" s="18"/>
      <c r="R763" s="18"/>
      <c r="S763" s="18"/>
      <c r="T763" s="18"/>
      <c r="U763" s="18"/>
      <c r="V763" s="18"/>
      <c r="W763" s="18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62" t="s">
        <v>21</v>
      </c>
      <c r="B764" s="62" t="s">
        <v>41</v>
      </c>
      <c r="C764" s="62" t="s">
        <v>64</v>
      </c>
      <c r="D764" s="62" t="s">
        <v>25</v>
      </c>
      <c r="E764" s="62" t="s">
        <v>25</v>
      </c>
      <c r="F764" s="62" t="s">
        <v>25</v>
      </c>
      <c r="G764" s="62" t="s">
        <v>93</v>
      </c>
      <c r="H764" s="62" t="s">
        <v>25</v>
      </c>
      <c r="I764" s="75">
        <v>44621</v>
      </c>
      <c r="J764" s="76">
        <f ca="1">EFEITO!$J$764*EFEITO!$Y$764</f>
        <v>22280.536297661223</v>
      </c>
      <c r="K764" s="76">
        <f>EFEITO!$L$764*EFEITO!$Z$764</f>
        <v>0</v>
      </c>
      <c r="L764" s="76">
        <f>EFEITO!$N$764*EFEITO!$AA$764</f>
        <v>0</v>
      </c>
      <c r="M764" s="76">
        <f ca="1">$J$764-EFEITO!$K$764*EFEITO!$Y$764</f>
        <v>11140.268148830612</v>
      </c>
      <c r="N764" s="76">
        <f>$K$764-EFEITO!$M$764*EFEITO!$Z$764</f>
        <v>0</v>
      </c>
      <c r="O764" s="76">
        <f>$L$764-EFEITO!$O$764*EFEITO!$AA$764</f>
        <v>0</v>
      </c>
      <c r="P764" s="18"/>
      <c r="Q764" s="18"/>
      <c r="R764" s="18"/>
      <c r="S764" s="18"/>
      <c r="T764" s="18"/>
      <c r="U764" s="18"/>
      <c r="V764" s="18"/>
      <c r="W764" s="18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62" t="s">
        <v>21</v>
      </c>
      <c r="B765" s="62" t="s">
        <v>41</v>
      </c>
      <c r="C765" s="62" t="s">
        <v>64</v>
      </c>
      <c r="D765" s="62" t="s">
        <v>25</v>
      </c>
      <c r="E765" s="62" t="s">
        <v>25</v>
      </c>
      <c r="F765" s="62" t="s">
        <v>25</v>
      </c>
      <c r="G765" s="62" t="s">
        <v>94</v>
      </c>
      <c r="H765" s="62" t="s">
        <v>25</v>
      </c>
      <c r="I765" s="75">
        <v>44621</v>
      </c>
      <c r="J765" s="76">
        <f ca="1">EFEITO!$J$765*EFEITO!$Y$765</f>
        <v>20223.871408646341</v>
      </c>
      <c r="K765" s="76">
        <f>EFEITO!$L$765*EFEITO!$Z$765</f>
        <v>0</v>
      </c>
      <c r="L765" s="76">
        <f>EFEITO!$N$765*EFEITO!$AA$765</f>
        <v>0</v>
      </c>
      <c r="M765" s="76">
        <f ca="1">$J$765-EFEITO!$K$765*EFEITO!$Y$765</f>
        <v>10111.93570432317</v>
      </c>
      <c r="N765" s="76">
        <f>$K$765-EFEITO!$M$765*EFEITO!$Z$765</f>
        <v>0</v>
      </c>
      <c r="O765" s="76">
        <f>$L$765-EFEITO!$O$765*EFEITO!$AA$765</f>
        <v>0</v>
      </c>
      <c r="P765" s="18"/>
      <c r="Q765" s="18"/>
      <c r="R765" s="18"/>
      <c r="S765" s="18"/>
      <c r="T765" s="18"/>
      <c r="U765" s="18"/>
      <c r="V765" s="18"/>
      <c r="W765" s="18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62" t="s">
        <v>21</v>
      </c>
      <c r="B766" s="62" t="s">
        <v>41</v>
      </c>
      <c r="C766" s="62" t="s">
        <v>64</v>
      </c>
      <c r="D766" s="62" t="s">
        <v>25</v>
      </c>
      <c r="E766" s="62" t="s">
        <v>25</v>
      </c>
      <c r="F766" s="62" t="s">
        <v>25</v>
      </c>
      <c r="G766" s="62" t="s">
        <v>95</v>
      </c>
      <c r="H766" s="62" t="s">
        <v>25</v>
      </c>
      <c r="I766" s="75">
        <v>44621</v>
      </c>
      <c r="J766" s="76">
        <f ca="1">EFEITO!$J$766*EFEITO!$Y$766</f>
        <v>20223.871408646341</v>
      </c>
      <c r="K766" s="76">
        <f>EFEITO!$L$766*EFEITO!$Z$766</f>
        <v>0</v>
      </c>
      <c r="L766" s="76">
        <f>EFEITO!$N$766*EFEITO!$AA$766</f>
        <v>0</v>
      </c>
      <c r="M766" s="76">
        <f ca="1">$J$766-EFEITO!$K$766*EFEITO!$Y$766</f>
        <v>10111.93570432317</v>
      </c>
      <c r="N766" s="76">
        <f>$K$766-EFEITO!$M$766*EFEITO!$Z$766</f>
        <v>0</v>
      </c>
      <c r="O766" s="76">
        <f>$L$766-EFEITO!$O$766*EFEITO!$AA$766</f>
        <v>0</v>
      </c>
      <c r="P766" s="18"/>
      <c r="Q766" s="18"/>
      <c r="R766" s="18"/>
      <c r="S766" s="18"/>
      <c r="T766" s="18"/>
      <c r="U766" s="18"/>
      <c r="V766" s="18"/>
      <c r="W766" s="18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62" t="s">
        <v>21</v>
      </c>
      <c r="B767" s="62" t="s">
        <v>41</v>
      </c>
      <c r="C767" s="62" t="s">
        <v>64</v>
      </c>
      <c r="D767" s="62" t="s">
        <v>25</v>
      </c>
      <c r="E767" s="62" t="s">
        <v>25</v>
      </c>
      <c r="F767" s="62" t="s">
        <v>25</v>
      </c>
      <c r="G767" s="62" t="s">
        <v>96</v>
      </c>
      <c r="H767" s="62" t="s">
        <v>25</v>
      </c>
      <c r="I767" s="75">
        <v>44621</v>
      </c>
      <c r="J767" s="76">
        <f ca="1">EFEITO!$J$767*EFEITO!$Y$767</f>
        <v>17138.874075124018</v>
      </c>
      <c r="K767" s="76">
        <f>EFEITO!$L$767*EFEITO!$Z$767</f>
        <v>0</v>
      </c>
      <c r="L767" s="76">
        <f>EFEITO!$N$767*EFEITO!$AA$767</f>
        <v>0</v>
      </c>
      <c r="M767" s="76">
        <f ca="1">$J$767-EFEITO!$K$767*EFEITO!$Y$767</f>
        <v>8569.4370375620092</v>
      </c>
      <c r="N767" s="76">
        <f>$K$767-EFEITO!$M$767*EFEITO!$Z$767</f>
        <v>0</v>
      </c>
      <c r="O767" s="76">
        <f>$L$767-EFEITO!$O$767*EFEITO!$AA$767</f>
        <v>0</v>
      </c>
      <c r="P767" s="18"/>
      <c r="Q767" s="18"/>
      <c r="R767" s="18"/>
      <c r="S767" s="18"/>
      <c r="T767" s="18"/>
      <c r="U767" s="18"/>
      <c r="V767" s="18"/>
      <c r="W767" s="18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62" t="s">
        <v>21</v>
      </c>
      <c r="B768" s="62" t="s">
        <v>41</v>
      </c>
      <c r="C768" s="62" t="s">
        <v>64</v>
      </c>
      <c r="D768" s="62" t="s">
        <v>25</v>
      </c>
      <c r="E768" s="62" t="s">
        <v>25</v>
      </c>
      <c r="F768" s="62" t="s">
        <v>25</v>
      </c>
      <c r="G768" s="62" t="s">
        <v>97</v>
      </c>
      <c r="H768" s="62" t="s">
        <v>25</v>
      </c>
      <c r="I768" s="75">
        <v>44621</v>
      </c>
      <c r="J768" s="76">
        <f ca="1">EFEITO!$J$768*EFEITO!$Y$768</f>
        <v>20223.871408646341</v>
      </c>
      <c r="K768" s="76">
        <f>EFEITO!$L$768*EFEITO!$Z$768</f>
        <v>0</v>
      </c>
      <c r="L768" s="76">
        <f>EFEITO!$N$768*EFEITO!$AA$768</f>
        <v>0</v>
      </c>
      <c r="M768" s="76">
        <f ca="1">$J$768-EFEITO!$K$768*EFEITO!$Y$768</f>
        <v>10111.93570432317</v>
      </c>
      <c r="N768" s="76">
        <f>$K$768-EFEITO!$M$768*EFEITO!$Z$768</f>
        <v>0</v>
      </c>
      <c r="O768" s="76">
        <f>$L$768-EFEITO!$O$768*EFEITO!$AA$768</f>
        <v>0</v>
      </c>
      <c r="P768" s="18"/>
      <c r="Q768" s="18"/>
      <c r="R768" s="18"/>
      <c r="S768" s="18"/>
      <c r="T768" s="18"/>
      <c r="U768" s="18"/>
      <c r="V768" s="18"/>
      <c r="W768" s="18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62" t="s">
        <v>21</v>
      </c>
      <c r="B769" s="62" t="s">
        <v>41</v>
      </c>
      <c r="C769" s="62" t="s">
        <v>64</v>
      </c>
      <c r="D769" s="62" t="s">
        <v>25</v>
      </c>
      <c r="E769" s="62" t="s">
        <v>25</v>
      </c>
      <c r="F769" s="62" t="s">
        <v>25</v>
      </c>
      <c r="G769" s="62" t="s">
        <v>98</v>
      </c>
      <c r="H769" s="62" t="s">
        <v>25</v>
      </c>
      <c r="I769" s="75">
        <v>44621</v>
      </c>
      <c r="J769" s="76">
        <f ca="1">EFEITO!$J$769*EFEITO!$Y$769</f>
        <v>51416.622225372055</v>
      </c>
      <c r="K769" s="76">
        <f>EFEITO!$L$769*EFEITO!$Z$769</f>
        <v>0</v>
      </c>
      <c r="L769" s="76">
        <f>EFEITO!$N$769*EFEITO!$AA$769</f>
        <v>0</v>
      </c>
      <c r="M769" s="76">
        <f ca="1">$J$769-EFEITO!$K$769*EFEITO!$Y$769</f>
        <v>25708.311112686028</v>
      </c>
      <c r="N769" s="76">
        <f>$K$769-EFEITO!$M$769*EFEITO!$Z$769</f>
        <v>0</v>
      </c>
      <c r="O769" s="76">
        <f>$L$769-EFEITO!$O$769*EFEITO!$AA$769</f>
        <v>0</v>
      </c>
      <c r="P769" s="18"/>
      <c r="Q769" s="18"/>
      <c r="R769" s="18"/>
      <c r="S769" s="18"/>
      <c r="T769" s="18"/>
      <c r="U769" s="18"/>
      <c r="V769" s="18"/>
      <c r="W769" s="18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62" t="s">
        <v>21</v>
      </c>
      <c r="B770" s="62" t="s">
        <v>41</v>
      </c>
      <c r="C770" s="62" t="s">
        <v>64</v>
      </c>
      <c r="D770" s="62" t="s">
        <v>25</v>
      </c>
      <c r="E770" s="62" t="s">
        <v>25</v>
      </c>
      <c r="F770" s="62" t="s">
        <v>25</v>
      </c>
      <c r="G770" s="62" t="s">
        <v>99</v>
      </c>
      <c r="H770" s="62" t="s">
        <v>25</v>
      </c>
      <c r="I770" s="75">
        <v>44621</v>
      </c>
      <c r="J770" s="76">
        <f ca="1">EFEITO!$J$770*EFEITO!$Y$770</f>
        <v>20703.759882749815</v>
      </c>
      <c r="K770" s="76">
        <f>EFEITO!$L$770*EFEITO!$Z$770</f>
        <v>0</v>
      </c>
      <c r="L770" s="76">
        <f>EFEITO!$N$770*EFEITO!$AA$770</f>
        <v>0</v>
      </c>
      <c r="M770" s="76">
        <f ca="1">$J$770-EFEITO!$K$770*EFEITO!$Y$770</f>
        <v>10351.879941374908</v>
      </c>
      <c r="N770" s="76">
        <f>$K$770-EFEITO!$M$770*EFEITO!$Z$770</f>
        <v>0</v>
      </c>
      <c r="O770" s="76">
        <f>$L$770-EFEITO!$O$770*EFEITO!$AA$770</f>
        <v>0</v>
      </c>
      <c r="P770" s="18"/>
      <c r="Q770" s="18"/>
      <c r="R770" s="18"/>
      <c r="S770" s="18"/>
      <c r="T770" s="18"/>
      <c r="U770" s="18"/>
      <c r="V770" s="18"/>
      <c r="W770" s="18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62" t="s">
        <v>21</v>
      </c>
      <c r="B771" s="62" t="s">
        <v>41</v>
      </c>
      <c r="C771" s="62" t="s">
        <v>64</v>
      </c>
      <c r="D771" s="62" t="s">
        <v>25</v>
      </c>
      <c r="E771" s="62" t="s">
        <v>25</v>
      </c>
      <c r="F771" s="62" t="s">
        <v>25</v>
      </c>
      <c r="G771" s="62" t="s">
        <v>100</v>
      </c>
      <c r="H771" s="62" t="s">
        <v>25</v>
      </c>
      <c r="I771" s="75">
        <v>44621</v>
      </c>
      <c r="J771" s="76">
        <f ca="1">EFEITO!$J$771*EFEITO!$Y$771</f>
        <v>20223.871408646341</v>
      </c>
      <c r="K771" s="76">
        <f>EFEITO!$L$771*EFEITO!$Z$771</f>
        <v>0</v>
      </c>
      <c r="L771" s="76">
        <f>EFEITO!$N$771*EFEITO!$AA$771</f>
        <v>0</v>
      </c>
      <c r="M771" s="76">
        <f ca="1">$J$771-EFEITO!$K$771*EFEITO!$Y$771</f>
        <v>10111.93570432317</v>
      </c>
      <c r="N771" s="76">
        <f>$K$771-EFEITO!$M$771*EFEITO!$Z$771</f>
        <v>0</v>
      </c>
      <c r="O771" s="76">
        <f>$L$771-EFEITO!$O$771*EFEITO!$AA$771</f>
        <v>0</v>
      </c>
      <c r="P771" s="18"/>
      <c r="Q771" s="18"/>
      <c r="R771" s="18"/>
      <c r="S771" s="18"/>
      <c r="T771" s="18"/>
      <c r="U771" s="18"/>
      <c r="V771" s="18"/>
      <c r="W771" s="18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62" t="s">
        <v>21</v>
      </c>
      <c r="B772" s="62" t="s">
        <v>41</v>
      </c>
      <c r="C772" s="62" t="s">
        <v>64</v>
      </c>
      <c r="D772" s="62" t="s">
        <v>25</v>
      </c>
      <c r="E772" s="62" t="s">
        <v>25</v>
      </c>
      <c r="F772" s="62" t="s">
        <v>25</v>
      </c>
      <c r="G772" s="62" t="s">
        <v>68</v>
      </c>
      <c r="H772" s="62" t="s">
        <v>25</v>
      </c>
      <c r="I772" s="75">
        <v>44652</v>
      </c>
      <c r="J772" s="76">
        <f ca="1">EFEITO!$J$772*EFEITO!$Y$772</f>
        <v>5175.9399706874538</v>
      </c>
      <c r="K772" s="76">
        <f>EFEITO!$L$772*EFEITO!$Z$772</f>
        <v>0</v>
      </c>
      <c r="L772" s="76">
        <f>EFEITO!$N$772*EFEITO!$AA$772</f>
        <v>0</v>
      </c>
      <c r="M772" s="76">
        <f ca="1">$J$772-EFEITO!$K$772*EFEITO!$Y$772</f>
        <v>0</v>
      </c>
      <c r="N772" s="76">
        <f>$K$772-EFEITO!$M$772*EFEITO!$Z$772</f>
        <v>0</v>
      </c>
      <c r="O772" s="76">
        <f>$L$772-EFEITO!$O$772*EFEITO!$AA$772</f>
        <v>0</v>
      </c>
      <c r="P772" s="18"/>
      <c r="Q772" s="18"/>
      <c r="R772" s="18"/>
      <c r="S772" s="18"/>
      <c r="T772" s="18"/>
      <c r="U772" s="18"/>
      <c r="V772" s="18"/>
      <c r="W772" s="18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62" t="s">
        <v>21</v>
      </c>
      <c r="B773" s="62" t="s">
        <v>41</v>
      </c>
      <c r="C773" s="62" t="s">
        <v>64</v>
      </c>
      <c r="D773" s="62" t="s">
        <v>25</v>
      </c>
      <c r="E773" s="62" t="s">
        <v>25</v>
      </c>
      <c r="F773" s="62" t="s">
        <v>25</v>
      </c>
      <c r="G773" s="62" t="s">
        <v>70</v>
      </c>
      <c r="H773" s="62" t="s">
        <v>25</v>
      </c>
      <c r="I773" s="75">
        <v>44652</v>
      </c>
      <c r="J773" s="76">
        <f ca="1">EFEITO!$J$773*EFEITO!$Y$773</f>
        <v>86379.925338625049</v>
      </c>
      <c r="K773" s="76">
        <f>EFEITO!$L$773*EFEITO!$Z$773</f>
        <v>0</v>
      </c>
      <c r="L773" s="76">
        <f>EFEITO!$N$773*EFEITO!$AA$773</f>
        <v>0</v>
      </c>
      <c r="M773" s="76">
        <f ca="1">$J$773-EFEITO!$K$773*EFEITO!$Y$773</f>
        <v>0</v>
      </c>
      <c r="N773" s="76">
        <f>$K$773-EFEITO!$M$773*EFEITO!$Z$773</f>
        <v>0</v>
      </c>
      <c r="O773" s="76">
        <f>$L$773-EFEITO!$O$773*EFEITO!$AA$773</f>
        <v>0</v>
      </c>
      <c r="P773" s="18"/>
      <c r="Q773" s="18"/>
      <c r="R773" s="18"/>
      <c r="S773" s="18"/>
      <c r="T773" s="18"/>
      <c r="U773" s="18"/>
      <c r="V773" s="18"/>
      <c r="W773" s="18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62" t="s">
        <v>21</v>
      </c>
      <c r="B774" s="62" t="s">
        <v>41</v>
      </c>
      <c r="C774" s="62" t="s">
        <v>64</v>
      </c>
      <c r="D774" s="62" t="s">
        <v>25</v>
      </c>
      <c r="E774" s="62" t="s">
        <v>25</v>
      </c>
      <c r="F774" s="62" t="s">
        <v>25</v>
      </c>
      <c r="G774" s="62" t="s">
        <v>74</v>
      </c>
      <c r="H774" s="62" t="s">
        <v>25</v>
      </c>
      <c r="I774" s="75">
        <v>44652</v>
      </c>
      <c r="J774" s="76">
        <f ca="1">EFEITO!$J$774*EFEITO!$Y$774</f>
        <v>65127.721485471273</v>
      </c>
      <c r="K774" s="76">
        <f>EFEITO!$L$774*EFEITO!$Z$774</f>
        <v>0</v>
      </c>
      <c r="L774" s="76">
        <f>EFEITO!$N$774*EFEITO!$AA$774</f>
        <v>0</v>
      </c>
      <c r="M774" s="76">
        <f ca="1">$J$774-EFEITO!$K$774*EFEITO!$Y$774</f>
        <v>32563.860742735636</v>
      </c>
      <c r="N774" s="76">
        <f>$K$774-EFEITO!$M$774*EFEITO!$Z$774</f>
        <v>0</v>
      </c>
      <c r="O774" s="76">
        <f>$L$774-EFEITO!$O$774*EFEITO!$AA$774</f>
        <v>0</v>
      </c>
      <c r="P774" s="18"/>
      <c r="Q774" s="18"/>
      <c r="R774" s="18"/>
      <c r="S774" s="18"/>
      <c r="T774" s="18"/>
      <c r="U774" s="18"/>
      <c r="V774" s="18"/>
      <c r="W774" s="18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62" t="s">
        <v>21</v>
      </c>
      <c r="B775" s="62" t="s">
        <v>41</v>
      </c>
      <c r="C775" s="62" t="s">
        <v>64</v>
      </c>
      <c r="D775" s="62" t="s">
        <v>25</v>
      </c>
      <c r="E775" s="62" t="s">
        <v>25</v>
      </c>
      <c r="F775" s="62" t="s">
        <v>25</v>
      </c>
      <c r="G775" s="62" t="s">
        <v>76</v>
      </c>
      <c r="H775" s="62" t="s">
        <v>25</v>
      </c>
      <c r="I775" s="75">
        <v>44652</v>
      </c>
      <c r="J775" s="76">
        <f ca="1">EFEITO!$J$775*EFEITO!$Y$775</f>
        <v>8226.6595560595288</v>
      </c>
      <c r="K775" s="76">
        <f>EFEITO!$L$775*EFEITO!$Z$775</f>
        <v>0</v>
      </c>
      <c r="L775" s="76">
        <f>EFEITO!$N$775*EFEITO!$AA$775</f>
        <v>0</v>
      </c>
      <c r="M775" s="76">
        <f ca="1">$J$775-EFEITO!$K$775*EFEITO!$Y$775</f>
        <v>0</v>
      </c>
      <c r="N775" s="76">
        <f>$K$775-EFEITO!$M$775*EFEITO!$Z$775</f>
        <v>0</v>
      </c>
      <c r="O775" s="76">
        <f>$L$775-EFEITO!$O$775*EFEITO!$AA$775</f>
        <v>0</v>
      </c>
      <c r="P775" s="18"/>
      <c r="Q775" s="18"/>
      <c r="R775" s="18"/>
      <c r="S775" s="18"/>
      <c r="T775" s="18"/>
      <c r="U775" s="18"/>
      <c r="V775" s="18"/>
      <c r="W775" s="18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62" t="s">
        <v>21</v>
      </c>
      <c r="B776" s="62" t="s">
        <v>41</v>
      </c>
      <c r="C776" s="62" t="s">
        <v>64</v>
      </c>
      <c r="D776" s="62" t="s">
        <v>25</v>
      </c>
      <c r="E776" s="62" t="s">
        <v>25</v>
      </c>
      <c r="F776" s="62" t="s">
        <v>25</v>
      </c>
      <c r="G776" s="62" t="s">
        <v>77</v>
      </c>
      <c r="H776" s="62" t="s">
        <v>25</v>
      </c>
      <c r="I776" s="75">
        <v>44652</v>
      </c>
      <c r="J776" s="76">
        <f ca="1">EFEITO!$J$776*EFEITO!$Y$776</f>
        <v>12614.211319291278</v>
      </c>
      <c r="K776" s="76">
        <f>EFEITO!$L$776*EFEITO!$Z$776</f>
        <v>0</v>
      </c>
      <c r="L776" s="76">
        <f>EFEITO!$N$776*EFEITO!$AA$776</f>
        <v>0</v>
      </c>
      <c r="M776" s="76">
        <f ca="1">$J$776-EFEITO!$K$776*EFEITO!$Y$776</f>
        <v>0</v>
      </c>
      <c r="N776" s="76">
        <f>$K$776-EFEITO!$M$776*EFEITO!$Z$776</f>
        <v>0</v>
      </c>
      <c r="O776" s="76">
        <f>$L$776-EFEITO!$O$776*EFEITO!$AA$776</f>
        <v>0</v>
      </c>
      <c r="P776" s="18"/>
      <c r="Q776" s="18"/>
      <c r="R776" s="18"/>
      <c r="S776" s="18"/>
      <c r="T776" s="18"/>
      <c r="U776" s="18"/>
      <c r="V776" s="18"/>
      <c r="W776" s="18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62" t="s">
        <v>21</v>
      </c>
      <c r="B777" s="62" t="s">
        <v>41</v>
      </c>
      <c r="C777" s="62" t="s">
        <v>64</v>
      </c>
      <c r="D777" s="62" t="s">
        <v>25</v>
      </c>
      <c r="E777" s="62" t="s">
        <v>25</v>
      </c>
      <c r="F777" s="62" t="s">
        <v>25</v>
      </c>
      <c r="G777" s="62" t="s">
        <v>78</v>
      </c>
      <c r="H777" s="62" t="s">
        <v>25</v>
      </c>
      <c r="I777" s="75">
        <v>44652</v>
      </c>
      <c r="J777" s="76">
        <f ca="1">EFEITO!$J$777*EFEITO!$Y$777</f>
        <v>110717.12652530117</v>
      </c>
      <c r="K777" s="76">
        <f>EFEITO!$L$777*EFEITO!$Z$777</f>
        <v>0</v>
      </c>
      <c r="L777" s="76">
        <f>EFEITO!$N$777*EFEITO!$AA$777</f>
        <v>0</v>
      </c>
      <c r="M777" s="76">
        <f ca="1">$J$777-EFEITO!$K$777*EFEITO!$Y$777</f>
        <v>0</v>
      </c>
      <c r="N777" s="76">
        <f>$K$777-EFEITO!$M$777*EFEITO!$Z$777</f>
        <v>0</v>
      </c>
      <c r="O777" s="76">
        <f>$L$777-EFEITO!$O$777*EFEITO!$AA$777</f>
        <v>0</v>
      </c>
      <c r="P777" s="18"/>
      <c r="Q777" s="18"/>
      <c r="R777" s="18"/>
      <c r="S777" s="18"/>
      <c r="T777" s="18"/>
      <c r="U777" s="18"/>
      <c r="V777" s="18"/>
      <c r="W777" s="18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62" t="s">
        <v>21</v>
      </c>
      <c r="B778" s="62" t="s">
        <v>41</v>
      </c>
      <c r="C778" s="62" t="s">
        <v>64</v>
      </c>
      <c r="D778" s="62" t="s">
        <v>25</v>
      </c>
      <c r="E778" s="62" t="s">
        <v>25</v>
      </c>
      <c r="F778" s="62" t="s">
        <v>25</v>
      </c>
      <c r="G778" s="62" t="s">
        <v>79</v>
      </c>
      <c r="H778" s="62" t="s">
        <v>25</v>
      </c>
      <c r="I778" s="75">
        <v>44652</v>
      </c>
      <c r="J778" s="76">
        <f ca="1">EFEITO!$J$778*EFEITO!$Y$778</f>
        <v>13196.933037845494</v>
      </c>
      <c r="K778" s="76">
        <f>EFEITO!$L$778*EFEITO!$Z$778</f>
        <v>0</v>
      </c>
      <c r="L778" s="76">
        <f>EFEITO!$N$778*EFEITO!$AA$778</f>
        <v>0</v>
      </c>
      <c r="M778" s="76">
        <f ca="1">$J$778-EFEITO!$K$778*EFEITO!$Y$778</f>
        <v>0</v>
      </c>
      <c r="N778" s="76">
        <f>$K$778-EFEITO!$M$778*EFEITO!$Z$778</f>
        <v>0</v>
      </c>
      <c r="O778" s="76">
        <f>$L$778-EFEITO!$O$778*EFEITO!$AA$778</f>
        <v>0</v>
      </c>
      <c r="P778" s="18"/>
      <c r="Q778" s="18"/>
      <c r="R778" s="18"/>
      <c r="S778" s="18"/>
      <c r="T778" s="18"/>
      <c r="U778" s="18"/>
      <c r="V778" s="18"/>
      <c r="W778" s="18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62" t="s">
        <v>21</v>
      </c>
      <c r="B779" s="62" t="s">
        <v>41</v>
      </c>
      <c r="C779" s="62" t="s">
        <v>64</v>
      </c>
      <c r="D779" s="62" t="s">
        <v>25</v>
      </c>
      <c r="E779" s="62" t="s">
        <v>25</v>
      </c>
      <c r="F779" s="62" t="s">
        <v>25</v>
      </c>
      <c r="G779" s="62" t="s">
        <v>80</v>
      </c>
      <c r="H779" s="62" t="s">
        <v>25</v>
      </c>
      <c r="I779" s="75">
        <v>44652</v>
      </c>
      <c r="J779" s="76">
        <f ca="1">EFEITO!$J$779*EFEITO!$Y$779</f>
        <v>24268.645690375612</v>
      </c>
      <c r="K779" s="76">
        <f>EFEITO!$L$779*EFEITO!$Z$779</f>
        <v>0</v>
      </c>
      <c r="L779" s="76">
        <f>EFEITO!$N$779*EFEITO!$AA$779</f>
        <v>0</v>
      </c>
      <c r="M779" s="76">
        <f ca="1">$J$779-EFEITO!$K$779*EFEITO!$Y$779</f>
        <v>0</v>
      </c>
      <c r="N779" s="76">
        <f>$K$779-EFEITO!$M$779*EFEITO!$Z$779</f>
        <v>0</v>
      </c>
      <c r="O779" s="76">
        <f>$L$779-EFEITO!$O$779*EFEITO!$AA$779</f>
        <v>0</v>
      </c>
      <c r="P779" s="18"/>
      <c r="Q779" s="18"/>
      <c r="R779" s="18"/>
      <c r="S779" s="18"/>
      <c r="T779" s="18"/>
      <c r="U779" s="18"/>
      <c r="V779" s="18"/>
      <c r="W779" s="18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62" t="s">
        <v>21</v>
      </c>
      <c r="B780" s="62" t="s">
        <v>41</v>
      </c>
      <c r="C780" s="62" t="s">
        <v>64</v>
      </c>
      <c r="D780" s="62" t="s">
        <v>25</v>
      </c>
      <c r="E780" s="62" t="s">
        <v>25</v>
      </c>
      <c r="F780" s="62" t="s">
        <v>25</v>
      </c>
      <c r="G780" s="62" t="s">
        <v>88</v>
      </c>
      <c r="H780" s="62" t="s">
        <v>25</v>
      </c>
      <c r="I780" s="75">
        <v>44652</v>
      </c>
      <c r="J780" s="76">
        <f ca="1">EFEITO!$J$780*EFEITO!$Y$780</f>
        <v>162819.30371367818</v>
      </c>
      <c r="K780" s="76">
        <f>EFEITO!$L$780*EFEITO!$Z$780</f>
        <v>0</v>
      </c>
      <c r="L780" s="76">
        <f>EFEITO!$N$780*EFEITO!$AA$780</f>
        <v>0</v>
      </c>
      <c r="M780" s="76">
        <f ca="1">$J$780-EFEITO!$K$780*EFEITO!$Y$780</f>
        <v>81409.651856839089</v>
      </c>
      <c r="N780" s="76">
        <f>$K$780-EFEITO!$M$780*EFEITO!$Z$780</f>
        <v>0</v>
      </c>
      <c r="O780" s="76">
        <f>$L$780-EFEITO!$O$780*EFEITO!$AA$780</f>
        <v>0</v>
      </c>
      <c r="P780" s="18"/>
      <c r="Q780" s="18"/>
      <c r="R780" s="18"/>
      <c r="S780" s="18"/>
      <c r="T780" s="18"/>
      <c r="U780" s="18"/>
      <c r="V780" s="18"/>
      <c r="W780" s="18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62" t="s">
        <v>21</v>
      </c>
      <c r="B781" s="62" t="s">
        <v>41</v>
      </c>
      <c r="C781" s="62" t="s">
        <v>64</v>
      </c>
      <c r="D781" s="62" t="s">
        <v>25</v>
      </c>
      <c r="E781" s="62" t="s">
        <v>25</v>
      </c>
      <c r="F781" s="62" t="s">
        <v>25</v>
      </c>
      <c r="G781" s="62" t="s">
        <v>90</v>
      </c>
      <c r="H781" s="62" t="s">
        <v>25</v>
      </c>
      <c r="I781" s="75">
        <v>44652</v>
      </c>
      <c r="J781" s="76">
        <f ca="1">EFEITO!$J$781*EFEITO!$Y$781</f>
        <v>7198.3271115520874</v>
      </c>
      <c r="K781" s="76">
        <f>EFEITO!$L$781*EFEITO!$Z$781</f>
        <v>0</v>
      </c>
      <c r="L781" s="76">
        <f>EFEITO!$N$781*EFEITO!$AA$781</f>
        <v>0</v>
      </c>
      <c r="M781" s="76">
        <f ca="1">$J$781-EFEITO!$K$781*EFEITO!$Y$781</f>
        <v>0</v>
      </c>
      <c r="N781" s="76">
        <f>$K$781-EFEITO!$M$781*EFEITO!$Z$781</f>
        <v>0</v>
      </c>
      <c r="O781" s="76">
        <f>$L$781-EFEITO!$O$781*EFEITO!$AA$781</f>
        <v>0</v>
      </c>
      <c r="P781" s="18"/>
      <c r="Q781" s="18"/>
      <c r="R781" s="18"/>
      <c r="S781" s="18"/>
      <c r="T781" s="18"/>
      <c r="U781" s="18"/>
      <c r="V781" s="18"/>
      <c r="W781" s="18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62" t="s">
        <v>21</v>
      </c>
      <c r="B782" s="62" t="s">
        <v>41</v>
      </c>
      <c r="C782" s="62" t="s">
        <v>64</v>
      </c>
      <c r="D782" s="62" t="s">
        <v>25</v>
      </c>
      <c r="E782" s="62" t="s">
        <v>25</v>
      </c>
      <c r="F782" s="62" t="s">
        <v>25</v>
      </c>
      <c r="G782" s="62" t="s">
        <v>93</v>
      </c>
      <c r="H782" s="62" t="s">
        <v>25</v>
      </c>
      <c r="I782" s="75">
        <v>44652</v>
      </c>
      <c r="J782" s="76">
        <f ca="1">EFEITO!$J$782*EFEITO!$Y$782</f>
        <v>22280.536297661223</v>
      </c>
      <c r="K782" s="76">
        <f>EFEITO!$L$782*EFEITO!$Z$782</f>
        <v>0</v>
      </c>
      <c r="L782" s="76">
        <f>EFEITO!$N$782*EFEITO!$AA$782</f>
        <v>0</v>
      </c>
      <c r="M782" s="76">
        <f ca="1">$J$782-EFEITO!$K$782*EFEITO!$Y$782</f>
        <v>11140.268148830612</v>
      </c>
      <c r="N782" s="76">
        <f>$K$782-EFEITO!$M$782*EFEITO!$Z$782</f>
        <v>0</v>
      </c>
      <c r="O782" s="76">
        <f>$L$782-EFEITO!$O$782*EFEITO!$AA$782</f>
        <v>0</v>
      </c>
      <c r="P782" s="18"/>
      <c r="Q782" s="18"/>
      <c r="R782" s="18"/>
      <c r="S782" s="18"/>
      <c r="T782" s="18"/>
      <c r="U782" s="18"/>
      <c r="V782" s="18"/>
      <c r="W782" s="18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62" t="s">
        <v>21</v>
      </c>
      <c r="B783" s="62" t="s">
        <v>41</v>
      </c>
      <c r="C783" s="62" t="s">
        <v>64</v>
      </c>
      <c r="D783" s="62" t="s">
        <v>25</v>
      </c>
      <c r="E783" s="62" t="s">
        <v>25</v>
      </c>
      <c r="F783" s="62" t="s">
        <v>25</v>
      </c>
      <c r="G783" s="62" t="s">
        <v>94</v>
      </c>
      <c r="H783" s="62" t="s">
        <v>25</v>
      </c>
      <c r="I783" s="75">
        <v>44652</v>
      </c>
      <c r="J783" s="76">
        <f ca="1">EFEITO!$J$783*EFEITO!$Y$783</f>
        <v>20223.871408646341</v>
      </c>
      <c r="K783" s="76">
        <f>EFEITO!$L$783*EFEITO!$Z$783</f>
        <v>0</v>
      </c>
      <c r="L783" s="76">
        <f>EFEITO!$N$783*EFEITO!$AA$783</f>
        <v>0</v>
      </c>
      <c r="M783" s="76">
        <f ca="1">$J$783-EFEITO!$K$783*EFEITO!$Y$783</f>
        <v>10111.93570432317</v>
      </c>
      <c r="N783" s="76">
        <f>$K$783-EFEITO!$M$783*EFEITO!$Z$783</f>
        <v>0</v>
      </c>
      <c r="O783" s="76">
        <f>$L$783-EFEITO!$O$783*EFEITO!$AA$783</f>
        <v>0</v>
      </c>
      <c r="P783" s="18"/>
      <c r="Q783" s="18"/>
      <c r="R783" s="18"/>
      <c r="S783" s="18"/>
      <c r="T783" s="18"/>
      <c r="U783" s="18"/>
      <c r="V783" s="18"/>
      <c r="W783" s="18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62" t="s">
        <v>21</v>
      </c>
      <c r="B784" s="62" t="s">
        <v>41</v>
      </c>
      <c r="C784" s="62" t="s">
        <v>64</v>
      </c>
      <c r="D784" s="62" t="s">
        <v>25</v>
      </c>
      <c r="E784" s="62" t="s">
        <v>25</v>
      </c>
      <c r="F784" s="62" t="s">
        <v>25</v>
      </c>
      <c r="G784" s="62" t="s">
        <v>95</v>
      </c>
      <c r="H784" s="62" t="s">
        <v>25</v>
      </c>
      <c r="I784" s="75">
        <v>44652</v>
      </c>
      <c r="J784" s="76">
        <f ca="1">EFEITO!$J$784*EFEITO!$Y$784</f>
        <v>20223.871408646341</v>
      </c>
      <c r="K784" s="76">
        <f>EFEITO!$L$784*EFEITO!$Z$784</f>
        <v>0</v>
      </c>
      <c r="L784" s="76">
        <f>EFEITO!$N$784*EFEITO!$AA$784</f>
        <v>0</v>
      </c>
      <c r="M784" s="76">
        <f ca="1">$J$784-EFEITO!$K$784*EFEITO!$Y$784</f>
        <v>10111.93570432317</v>
      </c>
      <c r="N784" s="76">
        <f>$K$784-EFEITO!$M$784*EFEITO!$Z$784</f>
        <v>0</v>
      </c>
      <c r="O784" s="76">
        <f>$L$784-EFEITO!$O$784*EFEITO!$AA$784</f>
        <v>0</v>
      </c>
      <c r="P784" s="18"/>
      <c r="Q784" s="18"/>
      <c r="R784" s="18"/>
      <c r="S784" s="18"/>
      <c r="T784" s="18"/>
      <c r="U784" s="18"/>
      <c r="V784" s="18"/>
      <c r="W784" s="18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62" t="s">
        <v>21</v>
      </c>
      <c r="B785" s="62" t="s">
        <v>41</v>
      </c>
      <c r="C785" s="62" t="s">
        <v>64</v>
      </c>
      <c r="D785" s="62" t="s">
        <v>25</v>
      </c>
      <c r="E785" s="62" t="s">
        <v>25</v>
      </c>
      <c r="F785" s="62" t="s">
        <v>25</v>
      </c>
      <c r="G785" s="62" t="s">
        <v>96</v>
      </c>
      <c r="H785" s="62" t="s">
        <v>25</v>
      </c>
      <c r="I785" s="75">
        <v>44652</v>
      </c>
      <c r="J785" s="76">
        <f ca="1">EFEITO!$J$785*EFEITO!$Y$785</f>
        <v>17138.874075124018</v>
      </c>
      <c r="K785" s="76">
        <f>EFEITO!$L$785*EFEITO!$Z$785</f>
        <v>0</v>
      </c>
      <c r="L785" s="76">
        <f>EFEITO!$N$785*EFEITO!$AA$785</f>
        <v>0</v>
      </c>
      <c r="M785" s="76">
        <f ca="1">$J$785-EFEITO!$K$785*EFEITO!$Y$785</f>
        <v>8569.4370375620092</v>
      </c>
      <c r="N785" s="76">
        <f>$K$785-EFEITO!$M$785*EFEITO!$Z$785</f>
        <v>0</v>
      </c>
      <c r="O785" s="76">
        <f>$L$785-EFEITO!$O$785*EFEITO!$AA$785</f>
        <v>0</v>
      </c>
      <c r="P785" s="18"/>
      <c r="Q785" s="18"/>
      <c r="R785" s="18"/>
      <c r="S785" s="18"/>
      <c r="T785" s="18"/>
      <c r="U785" s="18"/>
      <c r="V785" s="18"/>
      <c r="W785" s="18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62" t="s">
        <v>21</v>
      </c>
      <c r="B786" s="62" t="s">
        <v>41</v>
      </c>
      <c r="C786" s="62" t="s">
        <v>64</v>
      </c>
      <c r="D786" s="62" t="s">
        <v>25</v>
      </c>
      <c r="E786" s="62" t="s">
        <v>25</v>
      </c>
      <c r="F786" s="62" t="s">
        <v>25</v>
      </c>
      <c r="G786" s="62" t="s">
        <v>97</v>
      </c>
      <c r="H786" s="62" t="s">
        <v>25</v>
      </c>
      <c r="I786" s="75">
        <v>44652</v>
      </c>
      <c r="J786" s="76">
        <f ca="1">EFEITO!$J$786*EFEITO!$Y$786</f>
        <v>20223.871408646341</v>
      </c>
      <c r="K786" s="76">
        <f>EFEITO!$L$786*EFEITO!$Z$786</f>
        <v>0</v>
      </c>
      <c r="L786" s="76">
        <f>EFEITO!$N$786*EFEITO!$AA$786</f>
        <v>0</v>
      </c>
      <c r="M786" s="76">
        <f ca="1">$J$786-EFEITO!$K$786*EFEITO!$Y$786</f>
        <v>10111.93570432317</v>
      </c>
      <c r="N786" s="76">
        <f>$K$786-EFEITO!$M$786*EFEITO!$Z$786</f>
        <v>0</v>
      </c>
      <c r="O786" s="76">
        <f>$L$786-EFEITO!$O$786*EFEITO!$AA$786</f>
        <v>0</v>
      </c>
      <c r="P786" s="18"/>
      <c r="Q786" s="18"/>
      <c r="R786" s="18"/>
      <c r="S786" s="18"/>
      <c r="T786" s="18"/>
      <c r="U786" s="18"/>
      <c r="V786" s="18"/>
      <c r="W786" s="18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62" t="s">
        <v>21</v>
      </c>
      <c r="B787" s="62" t="s">
        <v>41</v>
      </c>
      <c r="C787" s="62" t="s">
        <v>64</v>
      </c>
      <c r="D787" s="62" t="s">
        <v>25</v>
      </c>
      <c r="E787" s="62" t="s">
        <v>25</v>
      </c>
      <c r="F787" s="62" t="s">
        <v>25</v>
      </c>
      <c r="G787" s="62" t="s">
        <v>98</v>
      </c>
      <c r="H787" s="62" t="s">
        <v>25</v>
      </c>
      <c r="I787" s="75">
        <v>44652</v>
      </c>
      <c r="J787" s="76">
        <f ca="1">EFEITO!$J$787*EFEITO!$Y$787</f>
        <v>51416.622225372055</v>
      </c>
      <c r="K787" s="76">
        <f>EFEITO!$L$787*EFEITO!$Z$787</f>
        <v>0</v>
      </c>
      <c r="L787" s="76">
        <f>EFEITO!$N$787*EFEITO!$AA$787</f>
        <v>0</v>
      </c>
      <c r="M787" s="76">
        <f ca="1">$J$787-EFEITO!$K$787*EFEITO!$Y$787</f>
        <v>25708.311112686028</v>
      </c>
      <c r="N787" s="76">
        <f>$K$787-EFEITO!$M$787*EFEITO!$Z$787</f>
        <v>0</v>
      </c>
      <c r="O787" s="76">
        <f>$L$787-EFEITO!$O$787*EFEITO!$AA$787</f>
        <v>0</v>
      </c>
      <c r="P787" s="18"/>
      <c r="Q787" s="18"/>
      <c r="R787" s="18"/>
      <c r="S787" s="18"/>
      <c r="T787" s="18"/>
      <c r="U787" s="18"/>
      <c r="V787" s="18"/>
      <c r="W787" s="18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62" t="s">
        <v>21</v>
      </c>
      <c r="B788" s="62" t="s">
        <v>41</v>
      </c>
      <c r="C788" s="62" t="s">
        <v>64</v>
      </c>
      <c r="D788" s="62" t="s">
        <v>25</v>
      </c>
      <c r="E788" s="62" t="s">
        <v>25</v>
      </c>
      <c r="F788" s="62" t="s">
        <v>25</v>
      </c>
      <c r="G788" s="62" t="s">
        <v>99</v>
      </c>
      <c r="H788" s="62" t="s">
        <v>25</v>
      </c>
      <c r="I788" s="75">
        <v>44652</v>
      </c>
      <c r="J788" s="76">
        <f ca="1">EFEITO!$J$788*EFEITO!$Y$788</f>
        <v>20223.871408646341</v>
      </c>
      <c r="K788" s="76">
        <f>EFEITO!$L$788*EFEITO!$Z$788</f>
        <v>0</v>
      </c>
      <c r="L788" s="76">
        <f>EFEITO!$N$788*EFEITO!$AA$788</f>
        <v>0</v>
      </c>
      <c r="M788" s="76">
        <f ca="1">$J$788-EFEITO!$K$788*EFEITO!$Y$788</f>
        <v>10111.93570432317</v>
      </c>
      <c r="N788" s="76">
        <f>$K$788-EFEITO!$M$788*EFEITO!$Z$788</f>
        <v>0</v>
      </c>
      <c r="O788" s="76">
        <f>$L$788-EFEITO!$O$788*EFEITO!$AA$788</f>
        <v>0</v>
      </c>
      <c r="P788" s="18"/>
      <c r="Q788" s="18"/>
      <c r="R788" s="18"/>
      <c r="S788" s="18"/>
      <c r="T788" s="18"/>
      <c r="U788" s="18"/>
      <c r="V788" s="18"/>
      <c r="W788" s="18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62" t="s">
        <v>21</v>
      </c>
      <c r="B789" s="62" t="s">
        <v>41</v>
      </c>
      <c r="C789" s="62" t="s">
        <v>64</v>
      </c>
      <c r="D789" s="62" t="s">
        <v>25</v>
      </c>
      <c r="E789" s="62" t="s">
        <v>25</v>
      </c>
      <c r="F789" s="62" t="s">
        <v>25</v>
      </c>
      <c r="G789" s="62" t="s">
        <v>100</v>
      </c>
      <c r="H789" s="62" t="s">
        <v>25</v>
      </c>
      <c r="I789" s="75">
        <v>44652</v>
      </c>
      <c r="J789" s="76">
        <f ca="1">EFEITO!$J$789*EFEITO!$Y$789</f>
        <v>20223.871408646341</v>
      </c>
      <c r="K789" s="76">
        <f>EFEITO!$L$789*EFEITO!$Z$789</f>
        <v>0</v>
      </c>
      <c r="L789" s="76">
        <f>EFEITO!$N$789*EFEITO!$AA$789</f>
        <v>0</v>
      </c>
      <c r="M789" s="76">
        <f ca="1">$J$789-EFEITO!$K$789*EFEITO!$Y$789</f>
        <v>10111.93570432317</v>
      </c>
      <c r="N789" s="76">
        <f>$K$789-EFEITO!$M$789*EFEITO!$Z$789</f>
        <v>0</v>
      </c>
      <c r="O789" s="76">
        <f>$L$789-EFEITO!$O$789*EFEITO!$AA$789</f>
        <v>0</v>
      </c>
      <c r="P789" s="18"/>
      <c r="Q789" s="18"/>
      <c r="R789" s="18"/>
      <c r="S789" s="18"/>
      <c r="T789" s="18"/>
      <c r="U789" s="18"/>
      <c r="V789" s="18"/>
      <c r="W789" s="18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62" t="s">
        <v>58</v>
      </c>
      <c r="B790" s="62" t="s">
        <v>41</v>
      </c>
      <c r="C790" s="62" t="s">
        <v>64</v>
      </c>
      <c r="D790" s="62" t="s">
        <v>25</v>
      </c>
      <c r="E790" s="62" t="s">
        <v>25</v>
      </c>
      <c r="F790" s="62" t="s">
        <v>25</v>
      </c>
      <c r="G790" s="62" t="s">
        <v>68</v>
      </c>
      <c r="H790" s="62" t="s">
        <v>25</v>
      </c>
      <c r="I790" s="75">
        <v>44682</v>
      </c>
      <c r="J790" s="76">
        <f ca="1">EFEITO!$J$790*EFEITO!$Y$790</f>
        <v>5175.9399706874538</v>
      </c>
      <c r="K790" s="76">
        <f>EFEITO!$L$790*EFEITO!$Z$790</f>
        <v>0</v>
      </c>
      <c r="L790" s="76">
        <f>EFEITO!$N$790*EFEITO!$AA$790</f>
        <v>0</v>
      </c>
      <c r="M790" s="76">
        <f ca="1">$J$790-EFEITO!$K$790*EFEITO!$Y$790</f>
        <v>0</v>
      </c>
      <c r="N790" s="76">
        <f>$K$790-EFEITO!$M$790*EFEITO!$Z$790</f>
        <v>0</v>
      </c>
      <c r="O790" s="76">
        <f>$L$790-EFEITO!$O$790*EFEITO!$AA$790</f>
        <v>0</v>
      </c>
      <c r="P790" s="18"/>
      <c r="Q790" s="18"/>
      <c r="R790" s="18"/>
      <c r="S790" s="18"/>
      <c r="T790" s="18"/>
      <c r="U790" s="18"/>
      <c r="V790" s="18"/>
      <c r="W790" s="18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62" t="s">
        <v>58</v>
      </c>
      <c r="B791" s="62" t="s">
        <v>41</v>
      </c>
      <c r="C791" s="62" t="s">
        <v>64</v>
      </c>
      <c r="D791" s="62" t="s">
        <v>25</v>
      </c>
      <c r="E791" s="62" t="s">
        <v>25</v>
      </c>
      <c r="F791" s="62" t="s">
        <v>25</v>
      </c>
      <c r="G791" s="62" t="s">
        <v>70</v>
      </c>
      <c r="H791" s="62" t="s">
        <v>25</v>
      </c>
      <c r="I791" s="75">
        <v>44682</v>
      </c>
      <c r="J791" s="76">
        <f ca="1">EFEITO!$J$791*EFEITO!$Y$791</f>
        <v>86379.925338625049</v>
      </c>
      <c r="K791" s="76">
        <f>EFEITO!$L$791*EFEITO!$Z$791</f>
        <v>0</v>
      </c>
      <c r="L791" s="76">
        <f>EFEITO!$N$791*EFEITO!$AA$791</f>
        <v>0</v>
      </c>
      <c r="M791" s="76">
        <f ca="1">$J$791-EFEITO!$K$791*EFEITO!$Y$791</f>
        <v>0</v>
      </c>
      <c r="N791" s="76">
        <f>$K$791-EFEITO!$M$791*EFEITO!$Z$791</f>
        <v>0</v>
      </c>
      <c r="O791" s="76">
        <f>$L$791-EFEITO!$O$791*EFEITO!$AA$791</f>
        <v>0</v>
      </c>
      <c r="P791" s="18"/>
      <c r="Q791" s="18"/>
      <c r="R791" s="18"/>
      <c r="S791" s="18"/>
      <c r="T791" s="18"/>
      <c r="U791" s="18"/>
      <c r="V791" s="18"/>
      <c r="W791" s="18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62" t="s">
        <v>58</v>
      </c>
      <c r="B792" s="62" t="s">
        <v>41</v>
      </c>
      <c r="C792" s="62" t="s">
        <v>64</v>
      </c>
      <c r="D792" s="62" t="s">
        <v>25</v>
      </c>
      <c r="E792" s="62" t="s">
        <v>25</v>
      </c>
      <c r="F792" s="62" t="s">
        <v>25</v>
      </c>
      <c r="G792" s="62" t="s">
        <v>74</v>
      </c>
      <c r="H792" s="62" t="s">
        <v>25</v>
      </c>
      <c r="I792" s="75">
        <v>44682</v>
      </c>
      <c r="J792" s="76">
        <f ca="1">EFEITO!$J$792*EFEITO!$Y$792</f>
        <v>65127.721485471273</v>
      </c>
      <c r="K792" s="76">
        <f>EFEITO!$L$792*EFEITO!$Z$792</f>
        <v>0</v>
      </c>
      <c r="L792" s="76">
        <f>EFEITO!$N$792*EFEITO!$AA$792</f>
        <v>0</v>
      </c>
      <c r="M792" s="76">
        <f ca="1">$J$792-EFEITO!$K$792*EFEITO!$Y$792</f>
        <v>32563.860742735636</v>
      </c>
      <c r="N792" s="76">
        <f>$K$792-EFEITO!$M$792*EFEITO!$Z$792</f>
        <v>0</v>
      </c>
      <c r="O792" s="76">
        <f>$L$792-EFEITO!$O$792*EFEITO!$AA$792</f>
        <v>0</v>
      </c>
      <c r="P792" s="18"/>
      <c r="Q792" s="18"/>
      <c r="R792" s="18"/>
      <c r="S792" s="18"/>
      <c r="T792" s="18"/>
      <c r="U792" s="18"/>
      <c r="V792" s="18"/>
      <c r="W792" s="18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62" t="s">
        <v>58</v>
      </c>
      <c r="B793" s="62" t="s">
        <v>41</v>
      </c>
      <c r="C793" s="62" t="s">
        <v>64</v>
      </c>
      <c r="D793" s="62" t="s">
        <v>25</v>
      </c>
      <c r="E793" s="62" t="s">
        <v>25</v>
      </c>
      <c r="F793" s="62" t="s">
        <v>25</v>
      </c>
      <c r="G793" s="62" t="s">
        <v>76</v>
      </c>
      <c r="H793" s="62" t="s">
        <v>25</v>
      </c>
      <c r="I793" s="75">
        <v>44682</v>
      </c>
      <c r="J793" s="76">
        <f ca="1">EFEITO!$J$793*EFEITO!$Y$793</f>
        <v>8226.6595560595288</v>
      </c>
      <c r="K793" s="76">
        <f>EFEITO!$L$793*EFEITO!$Z$793</f>
        <v>0</v>
      </c>
      <c r="L793" s="76">
        <f>EFEITO!$N$793*EFEITO!$AA$793</f>
        <v>0</v>
      </c>
      <c r="M793" s="76">
        <f ca="1">$J$793-EFEITO!$K$793*EFEITO!$Y$793</f>
        <v>0</v>
      </c>
      <c r="N793" s="76">
        <f>$K$793-EFEITO!$M$793*EFEITO!$Z$793</f>
        <v>0</v>
      </c>
      <c r="O793" s="76">
        <f>$L$793-EFEITO!$O$793*EFEITO!$AA$793</f>
        <v>0</v>
      </c>
      <c r="P793" s="18"/>
      <c r="Q793" s="18"/>
      <c r="R793" s="18"/>
      <c r="S793" s="18"/>
      <c r="T793" s="18"/>
      <c r="U793" s="18"/>
      <c r="V793" s="18"/>
      <c r="W793" s="18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62" t="s">
        <v>58</v>
      </c>
      <c r="B794" s="62" t="s">
        <v>41</v>
      </c>
      <c r="C794" s="62" t="s">
        <v>64</v>
      </c>
      <c r="D794" s="62" t="s">
        <v>25</v>
      </c>
      <c r="E794" s="62" t="s">
        <v>25</v>
      </c>
      <c r="F794" s="62" t="s">
        <v>25</v>
      </c>
      <c r="G794" s="62" t="s">
        <v>77</v>
      </c>
      <c r="H794" s="62" t="s">
        <v>25</v>
      </c>
      <c r="I794" s="75">
        <v>44682</v>
      </c>
      <c r="J794" s="76">
        <f ca="1">EFEITO!$J$794*EFEITO!$Y$794</f>
        <v>12614.211319291278</v>
      </c>
      <c r="K794" s="76">
        <f>EFEITO!$L$794*EFEITO!$Z$794</f>
        <v>0</v>
      </c>
      <c r="L794" s="76">
        <f>EFEITO!$N$794*EFEITO!$AA$794</f>
        <v>0</v>
      </c>
      <c r="M794" s="76">
        <f ca="1">$J$794-EFEITO!$K$794*EFEITO!$Y$794</f>
        <v>0</v>
      </c>
      <c r="N794" s="76">
        <f>$K$794-EFEITO!$M$794*EFEITO!$Z$794</f>
        <v>0</v>
      </c>
      <c r="O794" s="76">
        <f>$L$794-EFEITO!$O$794*EFEITO!$AA$794</f>
        <v>0</v>
      </c>
      <c r="P794" s="18"/>
      <c r="Q794" s="18"/>
      <c r="R794" s="18"/>
      <c r="S794" s="18"/>
      <c r="T794" s="18"/>
      <c r="U794" s="18"/>
      <c r="V794" s="18"/>
      <c r="W794" s="18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62" t="s">
        <v>58</v>
      </c>
      <c r="B795" s="62" t="s">
        <v>41</v>
      </c>
      <c r="C795" s="62" t="s">
        <v>64</v>
      </c>
      <c r="D795" s="62" t="s">
        <v>25</v>
      </c>
      <c r="E795" s="62" t="s">
        <v>25</v>
      </c>
      <c r="F795" s="62" t="s">
        <v>25</v>
      </c>
      <c r="G795" s="62" t="s">
        <v>78</v>
      </c>
      <c r="H795" s="62" t="s">
        <v>25</v>
      </c>
      <c r="I795" s="75">
        <v>44682</v>
      </c>
      <c r="J795" s="76">
        <f ca="1">EFEITO!$J$795*EFEITO!$Y$795</f>
        <v>110717.12652530117</v>
      </c>
      <c r="K795" s="76">
        <f>EFEITO!$L$795*EFEITO!$Z$795</f>
        <v>0</v>
      </c>
      <c r="L795" s="76">
        <f>EFEITO!$N$795*EFEITO!$AA$795</f>
        <v>0</v>
      </c>
      <c r="M795" s="76">
        <f ca="1">$J$795-EFEITO!$K$795*EFEITO!$Y$795</f>
        <v>0</v>
      </c>
      <c r="N795" s="76">
        <f>$K$795-EFEITO!$M$795*EFEITO!$Z$795</f>
        <v>0</v>
      </c>
      <c r="O795" s="76">
        <f>$L$795-EFEITO!$O$795*EFEITO!$AA$795</f>
        <v>0</v>
      </c>
      <c r="P795" s="18"/>
      <c r="Q795" s="18"/>
      <c r="R795" s="18"/>
      <c r="S795" s="18"/>
      <c r="T795" s="18"/>
      <c r="U795" s="18"/>
      <c r="V795" s="18"/>
      <c r="W795" s="18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62" t="s">
        <v>58</v>
      </c>
      <c r="B796" s="62" t="s">
        <v>41</v>
      </c>
      <c r="C796" s="62" t="s">
        <v>64</v>
      </c>
      <c r="D796" s="62" t="s">
        <v>25</v>
      </c>
      <c r="E796" s="62" t="s">
        <v>25</v>
      </c>
      <c r="F796" s="62" t="s">
        <v>25</v>
      </c>
      <c r="G796" s="62" t="s">
        <v>79</v>
      </c>
      <c r="H796" s="62" t="s">
        <v>25</v>
      </c>
      <c r="I796" s="75">
        <v>44682</v>
      </c>
      <c r="J796" s="76">
        <f ca="1">EFEITO!$J$796*EFEITO!$Y$796</f>
        <v>13196.933037845494</v>
      </c>
      <c r="K796" s="76">
        <f>EFEITO!$L$796*EFEITO!$Z$796</f>
        <v>0</v>
      </c>
      <c r="L796" s="76">
        <f>EFEITO!$N$796*EFEITO!$AA$796</f>
        <v>0</v>
      </c>
      <c r="M796" s="76">
        <f ca="1">$J$796-EFEITO!$K$796*EFEITO!$Y$796</f>
        <v>0</v>
      </c>
      <c r="N796" s="76">
        <f>$K$796-EFEITO!$M$796*EFEITO!$Z$796</f>
        <v>0</v>
      </c>
      <c r="O796" s="76">
        <f>$L$796-EFEITO!$O$796*EFEITO!$AA$796</f>
        <v>0</v>
      </c>
      <c r="P796" s="18"/>
      <c r="Q796" s="18"/>
      <c r="R796" s="18"/>
      <c r="S796" s="18"/>
      <c r="T796" s="18"/>
      <c r="U796" s="18"/>
      <c r="V796" s="18"/>
      <c r="W796" s="18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62" t="s">
        <v>58</v>
      </c>
      <c r="B797" s="62" t="s">
        <v>41</v>
      </c>
      <c r="C797" s="62" t="s">
        <v>64</v>
      </c>
      <c r="D797" s="62" t="s">
        <v>25</v>
      </c>
      <c r="E797" s="62" t="s">
        <v>25</v>
      </c>
      <c r="F797" s="62" t="s">
        <v>25</v>
      </c>
      <c r="G797" s="62" t="s">
        <v>80</v>
      </c>
      <c r="H797" s="62" t="s">
        <v>25</v>
      </c>
      <c r="I797" s="75">
        <v>44682</v>
      </c>
      <c r="J797" s="76">
        <f ca="1">EFEITO!$J$797*EFEITO!$Y$797</f>
        <v>24268.645690375612</v>
      </c>
      <c r="K797" s="76">
        <f>EFEITO!$L$797*EFEITO!$Z$797</f>
        <v>0</v>
      </c>
      <c r="L797" s="76">
        <f>EFEITO!$N$797*EFEITO!$AA$797</f>
        <v>0</v>
      </c>
      <c r="M797" s="76">
        <f ca="1">$J$797-EFEITO!$K$797*EFEITO!$Y$797</f>
        <v>0</v>
      </c>
      <c r="N797" s="76">
        <f>$K$797-EFEITO!$M$797*EFEITO!$Z$797</f>
        <v>0</v>
      </c>
      <c r="O797" s="76">
        <f>$L$797-EFEITO!$O$797*EFEITO!$AA$797</f>
        <v>0</v>
      </c>
      <c r="P797" s="18"/>
      <c r="Q797" s="18"/>
      <c r="R797" s="18"/>
      <c r="S797" s="18"/>
      <c r="T797" s="18"/>
      <c r="U797" s="18"/>
      <c r="V797" s="18"/>
      <c r="W797" s="18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62" t="s">
        <v>58</v>
      </c>
      <c r="B798" s="62" t="s">
        <v>41</v>
      </c>
      <c r="C798" s="62" t="s">
        <v>64</v>
      </c>
      <c r="D798" s="62" t="s">
        <v>25</v>
      </c>
      <c r="E798" s="62" t="s">
        <v>25</v>
      </c>
      <c r="F798" s="62" t="s">
        <v>25</v>
      </c>
      <c r="G798" s="62" t="s">
        <v>88</v>
      </c>
      <c r="H798" s="62" t="s">
        <v>25</v>
      </c>
      <c r="I798" s="75">
        <v>44682</v>
      </c>
      <c r="J798" s="76">
        <f ca="1">EFEITO!$J$798*EFEITO!$Y$798</f>
        <v>162819.30371367818</v>
      </c>
      <c r="K798" s="76">
        <f>EFEITO!$L$798*EFEITO!$Z$798</f>
        <v>0</v>
      </c>
      <c r="L798" s="76">
        <f>EFEITO!$N$798*EFEITO!$AA$798</f>
        <v>0</v>
      </c>
      <c r="M798" s="76">
        <f ca="1">$J$798-EFEITO!$K$798*EFEITO!$Y$798</f>
        <v>81409.651856839089</v>
      </c>
      <c r="N798" s="76">
        <f>$K$798-EFEITO!$M$798*EFEITO!$Z$798</f>
        <v>0</v>
      </c>
      <c r="O798" s="76">
        <f>$L$798-EFEITO!$O$798*EFEITO!$AA$798</f>
        <v>0</v>
      </c>
      <c r="P798" s="18"/>
      <c r="Q798" s="18"/>
      <c r="R798" s="18"/>
      <c r="S798" s="18"/>
      <c r="T798" s="18"/>
      <c r="U798" s="18"/>
      <c r="V798" s="18"/>
      <c r="W798" s="18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62" t="s">
        <v>58</v>
      </c>
      <c r="B799" s="62" t="s">
        <v>41</v>
      </c>
      <c r="C799" s="62" t="s">
        <v>64</v>
      </c>
      <c r="D799" s="62" t="s">
        <v>25</v>
      </c>
      <c r="E799" s="62" t="s">
        <v>25</v>
      </c>
      <c r="F799" s="62" t="s">
        <v>25</v>
      </c>
      <c r="G799" s="62" t="s">
        <v>90</v>
      </c>
      <c r="H799" s="62" t="s">
        <v>25</v>
      </c>
      <c r="I799" s="75">
        <v>44682</v>
      </c>
      <c r="J799" s="76">
        <f ca="1">EFEITO!$J$799*EFEITO!$Y$799</f>
        <v>7198.3271115520874</v>
      </c>
      <c r="K799" s="76">
        <f>EFEITO!$L$799*EFEITO!$Z$799</f>
        <v>0</v>
      </c>
      <c r="L799" s="76">
        <f>EFEITO!$N$799*EFEITO!$AA$799</f>
        <v>0</v>
      </c>
      <c r="M799" s="76">
        <f ca="1">$J$799-EFEITO!$K$799*EFEITO!$Y$799</f>
        <v>0</v>
      </c>
      <c r="N799" s="76">
        <f>$K$799-EFEITO!$M$799*EFEITO!$Z$799</f>
        <v>0</v>
      </c>
      <c r="O799" s="76">
        <f>$L$799-EFEITO!$O$799*EFEITO!$AA$799</f>
        <v>0</v>
      </c>
      <c r="P799" s="18"/>
      <c r="Q799" s="18"/>
      <c r="R799" s="18"/>
      <c r="S799" s="18"/>
      <c r="T799" s="18"/>
      <c r="U799" s="18"/>
      <c r="V799" s="18"/>
      <c r="W799" s="18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62" t="s">
        <v>58</v>
      </c>
      <c r="B800" s="62" t="s">
        <v>41</v>
      </c>
      <c r="C800" s="62" t="s">
        <v>64</v>
      </c>
      <c r="D800" s="62" t="s">
        <v>25</v>
      </c>
      <c r="E800" s="62" t="s">
        <v>25</v>
      </c>
      <c r="F800" s="62" t="s">
        <v>25</v>
      </c>
      <c r="G800" s="62" t="s">
        <v>93</v>
      </c>
      <c r="H800" s="62" t="s">
        <v>25</v>
      </c>
      <c r="I800" s="75">
        <v>44682</v>
      </c>
      <c r="J800" s="76">
        <f ca="1">EFEITO!$J$800*EFEITO!$Y$800</f>
        <v>22280.536297661223</v>
      </c>
      <c r="K800" s="76">
        <f>EFEITO!$L$800*EFEITO!$Z$800</f>
        <v>0</v>
      </c>
      <c r="L800" s="76">
        <f>EFEITO!$N$800*EFEITO!$AA$800</f>
        <v>0</v>
      </c>
      <c r="M800" s="76">
        <f ca="1">$J$800-EFEITO!$K$800*EFEITO!$Y$800</f>
        <v>11140.268148830612</v>
      </c>
      <c r="N800" s="76">
        <f>$K$800-EFEITO!$M$800*EFEITO!$Z$800</f>
        <v>0</v>
      </c>
      <c r="O800" s="76">
        <f>$L$800-EFEITO!$O$800*EFEITO!$AA$800</f>
        <v>0</v>
      </c>
      <c r="P800" s="18"/>
      <c r="Q800" s="18"/>
      <c r="R800" s="18"/>
      <c r="S800" s="18"/>
      <c r="T800" s="18"/>
      <c r="U800" s="18"/>
      <c r="V800" s="18"/>
      <c r="W800" s="18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62" t="s">
        <v>58</v>
      </c>
      <c r="B801" s="62" t="s">
        <v>41</v>
      </c>
      <c r="C801" s="62" t="s">
        <v>64</v>
      </c>
      <c r="D801" s="62" t="s">
        <v>25</v>
      </c>
      <c r="E801" s="62" t="s">
        <v>25</v>
      </c>
      <c r="F801" s="62" t="s">
        <v>25</v>
      </c>
      <c r="G801" s="62" t="s">
        <v>94</v>
      </c>
      <c r="H801" s="62" t="s">
        <v>25</v>
      </c>
      <c r="I801" s="75">
        <v>44682</v>
      </c>
      <c r="J801" s="76">
        <f ca="1">EFEITO!$J$801*EFEITO!$Y$801</f>
        <v>20223.871408646341</v>
      </c>
      <c r="K801" s="76">
        <f>EFEITO!$L$801*EFEITO!$Z$801</f>
        <v>0</v>
      </c>
      <c r="L801" s="76">
        <f>EFEITO!$N$801*EFEITO!$AA$801</f>
        <v>0</v>
      </c>
      <c r="M801" s="76">
        <f ca="1">$J$801-EFEITO!$K$801*EFEITO!$Y$801</f>
        <v>10111.93570432317</v>
      </c>
      <c r="N801" s="76">
        <f>$K$801-EFEITO!$M$801*EFEITO!$Z$801</f>
        <v>0</v>
      </c>
      <c r="O801" s="76">
        <f>$L$801-EFEITO!$O$801*EFEITO!$AA$801</f>
        <v>0</v>
      </c>
      <c r="P801" s="18"/>
      <c r="Q801" s="18"/>
      <c r="R801" s="18"/>
      <c r="S801" s="18"/>
      <c r="T801" s="18"/>
      <c r="U801" s="18"/>
      <c r="V801" s="18"/>
      <c r="W801" s="18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62" t="s">
        <v>58</v>
      </c>
      <c r="B802" s="62" t="s">
        <v>41</v>
      </c>
      <c r="C802" s="62" t="s">
        <v>64</v>
      </c>
      <c r="D802" s="62" t="s">
        <v>25</v>
      </c>
      <c r="E802" s="62" t="s">
        <v>25</v>
      </c>
      <c r="F802" s="62" t="s">
        <v>25</v>
      </c>
      <c r="G802" s="62" t="s">
        <v>95</v>
      </c>
      <c r="H802" s="62" t="s">
        <v>25</v>
      </c>
      <c r="I802" s="75">
        <v>44682</v>
      </c>
      <c r="J802" s="76">
        <f ca="1">EFEITO!$J$802*EFEITO!$Y$802</f>
        <v>20223.871408646341</v>
      </c>
      <c r="K802" s="76">
        <f>EFEITO!$L$802*EFEITO!$Z$802</f>
        <v>0</v>
      </c>
      <c r="L802" s="76">
        <f>EFEITO!$N$802*EFEITO!$AA$802</f>
        <v>0</v>
      </c>
      <c r="M802" s="76">
        <f ca="1">$J$802-EFEITO!$K$802*EFEITO!$Y$802</f>
        <v>10111.93570432317</v>
      </c>
      <c r="N802" s="76">
        <f>$K$802-EFEITO!$M$802*EFEITO!$Z$802</f>
        <v>0</v>
      </c>
      <c r="O802" s="76">
        <f>$L$802-EFEITO!$O$802*EFEITO!$AA$802</f>
        <v>0</v>
      </c>
      <c r="P802" s="18"/>
      <c r="Q802" s="18"/>
      <c r="R802" s="18"/>
      <c r="S802" s="18"/>
      <c r="T802" s="18"/>
      <c r="U802" s="18"/>
      <c r="V802" s="18"/>
      <c r="W802" s="18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62" t="s">
        <v>58</v>
      </c>
      <c r="B803" s="62" t="s">
        <v>41</v>
      </c>
      <c r="C803" s="62" t="s">
        <v>64</v>
      </c>
      <c r="D803" s="62" t="s">
        <v>25</v>
      </c>
      <c r="E803" s="62" t="s">
        <v>25</v>
      </c>
      <c r="F803" s="62" t="s">
        <v>25</v>
      </c>
      <c r="G803" s="62" t="s">
        <v>96</v>
      </c>
      <c r="H803" s="62" t="s">
        <v>25</v>
      </c>
      <c r="I803" s="75">
        <v>44682</v>
      </c>
      <c r="J803" s="76">
        <f ca="1">EFEITO!$J$803*EFEITO!$Y$803</f>
        <v>17138.874075124018</v>
      </c>
      <c r="K803" s="76">
        <f>EFEITO!$L$803*EFEITO!$Z$803</f>
        <v>0</v>
      </c>
      <c r="L803" s="76">
        <f>EFEITO!$N$803*EFEITO!$AA$803</f>
        <v>0</v>
      </c>
      <c r="M803" s="76">
        <f ca="1">$J$803-EFEITO!$K$803*EFEITO!$Y$803</f>
        <v>8569.4370375620092</v>
      </c>
      <c r="N803" s="76">
        <f>$K$803-EFEITO!$M$803*EFEITO!$Z$803</f>
        <v>0</v>
      </c>
      <c r="O803" s="76">
        <f>$L$803-EFEITO!$O$803*EFEITO!$AA$803</f>
        <v>0</v>
      </c>
      <c r="P803" s="18"/>
      <c r="Q803" s="18"/>
      <c r="R803" s="18"/>
      <c r="S803" s="18"/>
      <c r="T803" s="18"/>
      <c r="U803" s="18"/>
      <c r="V803" s="18"/>
      <c r="W803" s="18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62" t="s">
        <v>58</v>
      </c>
      <c r="B804" s="62" t="s">
        <v>41</v>
      </c>
      <c r="C804" s="62" t="s">
        <v>64</v>
      </c>
      <c r="D804" s="62" t="s">
        <v>25</v>
      </c>
      <c r="E804" s="62" t="s">
        <v>25</v>
      </c>
      <c r="F804" s="62" t="s">
        <v>25</v>
      </c>
      <c r="G804" s="62" t="s">
        <v>97</v>
      </c>
      <c r="H804" s="62" t="s">
        <v>25</v>
      </c>
      <c r="I804" s="75">
        <v>44682</v>
      </c>
      <c r="J804" s="76">
        <f ca="1">EFEITO!$J$804*EFEITO!$Y$804</f>
        <v>20223.871408646341</v>
      </c>
      <c r="K804" s="76">
        <f>EFEITO!$L$804*EFEITO!$Z$804</f>
        <v>0</v>
      </c>
      <c r="L804" s="76">
        <f>EFEITO!$N$804*EFEITO!$AA$804</f>
        <v>0</v>
      </c>
      <c r="M804" s="76">
        <f ca="1">$J$804-EFEITO!$K$804*EFEITO!$Y$804</f>
        <v>10111.93570432317</v>
      </c>
      <c r="N804" s="76">
        <f>$K$804-EFEITO!$M$804*EFEITO!$Z$804</f>
        <v>0</v>
      </c>
      <c r="O804" s="76">
        <f>$L$804-EFEITO!$O$804*EFEITO!$AA$804</f>
        <v>0</v>
      </c>
      <c r="P804" s="18"/>
      <c r="Q804" s="18"/>
      <c r="R804" s="18"/>
      <c r="S804" s="18"/>
      <c r="T804" s="18"/>
      <c r="U804" s="18"/>
      <c r="V804" s="18"/>
      <c r="W804" s="18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62" t="s">
        <v>58</v>
      </c>
      <c r="B805" s="62" t="s">
        <v>41</v>
      </c>
      <c r="C805" s="62" t="s">
        <v>64</v>
      </c>
      <c r="D805" s="62" t="s">
        <v>25</v>
      </c>
      <c r="E805" s="62" t="s">
        <v>25</v>
      </c>
      <c r="F805" s="62" t="s">
        <v>25</v>
      </c>
      <c r="G805" s="62" t="s">
        <v>98</v>
      </c>
      <c r="H805" s="62" t="s">
        <v>25</v>
      </c>
      <c r="I805" s="75">
        <v>44682</v>
      </c>
      <c r="J805" s="76">
        <f ca="1">EFEITO!$J$805*EFEITO!$Y$805</f>
        <v>51416.622225372055</v>
      </c>
      <c r="K805" s="76">
        <f>EFEITO!$L$805*EFEITO!$Z$805</f>
        <v>0</v>
      </c>
      <c r="L805" s="76">
        <f>EFEITO!$N$805*EFEITO!$AA$805</f>
        <v>0</v>
      </c>
      <c r="M805" s="76">
        <f ca="1">$J$805-EFEITO!$K$805*EFEITO!$Y$805</f>
        <v>25708.311112686028</v>
      </c>
      <c r="N805" s="76">
        <f>$K$805-EFEITO!$M$805*EFEITO!$Z$805</f>
        <v>0</v>
      </c>
      <c r="O805" s="76">
        <f>$L$805-EFEITO!$O$805*EFEITO!$AA$805</f>
        <v>0</v>
      </c>
      <c r="P805" s="18"/>
      <c r="Q805" s="18"/>
      <c r="R805" s="18"/>
      <c r="S805" s="18"/>
      <c r="T805" s="18"/>
      <c r="U805" s="18"/>
      <c r="V805" s="18"/>
      <c r="W805" s="18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62" t="s">
        <v>58</v>
      </c>
      <c r="B806" s="62" t="s">
        <v>41</v>
      </c>
      <c r="C806" s="62" t="s">
        <v>64</v>
      </c>
      <c r="D806" s="62" t="s">
        <v>25</v>
      </c>
      <c r="E806" s="62" t="s">
        <v>25</v>
      </c>
      <c r="F806" s="62" t="s">
        <v>25</v>
      </c>
      <c r="G806" s="62" t="s">
        <v>99</v>
      </c>
      <c r="H806" s="62" t="s">
        <v>25</v>
      </c>
      <c r="I806" s="75">
        <v>44682</v>
      </c>
      <c r="J806" s="76">
        <f ca="1">EFEITO!$J$806*EFEITO!$Y$806</f>
        <v>20223.871408646341</v>
      </c>
      <c r="K806" s="76">
        <f>EFEITO!$L$806*EFEITO!$Z$806</f>
        <v>0</v>
      </c>
      <c r="L806" s="76">
        <f>EFEITO!$N$806*EFEITO!$AA$806</f>
        <v>0</v>
      </c>
      <c r="M806" s="76">
        <f ca="1">$J$806-EFEITO!$K$806*EFEITO!$Y$806</f>
        <v>10111.93570432317</v>
      </c>
      <c r="N806" s="76">
        <f>$K$806-EFEITO!$M$806*EFEITO!$Z$806</f>
        <v>0</v>
      </c>
      <c r="O806" s="76">
        <f>$L$806-EFEITO!$O$806*EFEITO!$AA$806</f>
        <v>0</v>
      </c>
      <c r="P806" s="18"/>
      <c r="Q806" s="18"/>
      <c r="R806" s="18"/>
      <c r="S806" s="18"/>
      <c r="T806" s="18"/>
      <c r="U806" s="18"/>
      <c r="V806" s="18"/>
      <c r="W806" s="18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62" t="s">
        <v>58</v>
      </c>
      <c r="B807" s="62" t="s">
        <v>41</v>
      </c>
      <c r="C807" s="62" t="s">
        <v>64</v>
      </c>
      <c r="D807" s="62" t="s">
        <v>25</v>
      </c>
      <c r="E807" s="62" t="s">
        <v>25</v>
      </c>
      <c r="F807" s="62" t="s">
        <v>25</v>
      </c>
      <c r="G807" s="62" t="s">
        <v>100</v>
      </c>
      <c r="H807" s="62" t="s">
        <v>25</v>
      </c>
      <c r="I807" s="75">
        <v>44682</v>
      </c>
      <c r="J807" s="76">
        <f ca="1">EFEITO!$J$807*EFEITO!$Y$807</f>
        <v>20223.871408646341</v>
      </c>
      <c r="K807" s="76">
        <f>EFEITO!$L$807*EFEITO!$Z$807</f>
        <v>0</v>
      </c>
      <c r="L807" s="76">
        <f>EFEITO!$N$807*EFEITO!$AA$807</f>
        <v>0</v>
      </c>
      <c r="M807" s="76">
        <f ca="1">$J$807-EFEITO!$K$807*EFEITO!$Y$807</f>
        <v>10111.93570432317</v>
      </c>
      <c r="N807" s="76">
        <f>$K$807-EFEITO!$M$807*EFEITO!$Z$807</f>
        <v>0</v>
      </c>
      <c r="O807" s="76">
        <f>$L$807-EFEITO!$O$807*EFEITO!$AA$807</f>
        <v>0</v>
      </c>
      <c r="P807" s="18"/>
      <c r="Q807" s="18"/>
      <c r="R807" s="18"/>
      <c r="S807" s="18"/>
      <c r="T807" s="18"/>
      <c r="U807" s="18"/>
      <c r="V807" s="18"/>
      <c r="W807" s="18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62" t="s">
        <v>21</v>
      </c>
      <c r="B808" s="62" t="s">
        <v>41</v>
      </c>
      <c r="C808" s="62" t="s">
        <v>42</v>
      </c>
      <c r="D808" s="62" t="s">
        <v>43</v>
      </c>
      <c r="E808" s="62" t="s">
        <v>25</v>
      </c>
      <c r="F808" s="62" t="s">
        <v>25</v>
      </c>
      <c r="G808" s="62" t="s">
        <v>25</v>
      </c>
      <c r="H808" s="62" t="s">
        <v>35</v>
      </c>
      <c r="I808" s="75">
        <v>44348</v>
      </c>
      <c r="J808" s="76">
        <f>EFEITO!$J$808*EFEITO!$Y$808</f>
        <v>0</v>
      </c>
      <c r="K808" s="76">
        <f ca="1">EFEITO!$L$808*EFEITO!$Z$808</f>
        <v>349777.82255793153</v>
      </c>
      <c r="L808" s="76">
        <f>EFEITO!$N$808*EFEITO!$AA$808</f>
        <v>797176.13339022116</v>
      </c>
      <c r="M808" s="76">
        <f>$J$808-EFEITO!$K$808*EFEITO!$Y$808</f>
        <v>0</v>
      </c>
      <c r="N808" s="76">
        <f ca="1">$K$808-EFEITO!$M$808*EFEITO!$Z$808</f>
        <v>0</v>
      </c>
      <c r="O808" s="76">
        <f>$L$808-EFEITO!$O$808*EFEITO!$AA$808</f>
        <v>0</v>
      </c>
      <c r="P808" s="18"/>
      <c r="Q808" s="18"/>
      <c r="R808" s="18"/>
      <c r="S808" s="18"/>
      <c r="T808" s="18"/>
      <c r="U808" s="18"/>
      <c r="V808" s="18"/>
      <c r="W808" s="18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62" t="s">
        <v>27</v>
      </c>
      <c r="B809" s="62" t="s">
        <v>41</v>
      </c>
      <c r="C809" s="62" t="s">
        <v>42</v>
      </c>
      <c r="D809" s="62" t="s">
        <v>43</v>
      </c>
      <c r="E809" s="62" t="s">
        <v>25</v>
      </c>
      <c r="F809" s="62" t="s">
        <v>25</v>
      </c>
      <c r="G809" s="62" t="s">
        <v>25</v>
      </c>
      <c r="H809" s="62" t="s">
        <v>35</v>
      </c>
      <c r="I809" s="75">
        <v>44348</v>
      </c>
      <c r="J809" s="76">
        <f>EFEITO!$J$809*EFEITO!$Y$809</f>
        <v>0</v>
      </c>
      <c r="K809" s="76">
        <f ca="1">EFEITO!$L$809*EFEITO!$Z$809</f>
        <v>-3628.306553854221</v>
      </c>
      <c r="L809" s="76">
        <f>EFEITO!$N$809*EFEITO!$AA$809</f>
        <v>-8269.2475131891933</v>
      </c>
      <c r="M809" s="76">
        <f>$J$809-EFEITO!$K$809*EFEITO!$Y$809</f>
        <v>0</v>
      </c>
      <c r="N809" s="76">
        <f ca="1">$K$809-EFEITO!$M$809*EFEITO!$Z$809</f>
        <v>0</v>
      </c>
      <c r="O809" s="76">
        <f>$L$809-EFEITO!$O$809*EFEITO!$AA$809</f>
        <v>0</v>
      </c>
      <c r="P809" s="18"/>
      <c r="Q809" s="18"/>
      <c r="R809" s="18"/>
      <c r="S809" s="18"/>
      <c r="T809" s="18"/>
      <c r="U809" s="18"/>
      <c r="V809" s="18"/>
      <c r="W809" s="18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62" t="s">
        <v>28</v>
      </c>
      <c r="B810" s="62" t="s">
        <v>41</v>
      </c>
      <c r="C810" s="62" t="s">
        <v>42</v>
      </c>
      <c r="D810" s="62" t="s">
        <v>43</v>
      </c>
      <c r="E810" s="62" t="s">
        <v>25</v>
      </c>
      <c r="F810" s="62" t="s">
        <v>25</v>
      </c>
      <c r="G810" s="62" t="s">
        <v>25</v>
      </c>
      <c r="H810" s="62" t="s">
        <v>35</v>
      </c>
      <c r="I810" s="75">
        <v>44348</v>
      </c>
      <c r="J810" s="76">
        <f>EFEITO!$J$810*EFEITO!$Y$810</f>
        <v>0</v>
      </c>
      <c r="K810" s="76">
        <f ca="1">EFEITO!$L$810*EFEITO!$Z$810</f>
        <v>20394.106421455599</v>
      </c>
      <c r="L810" s="76">
        <f>EFEITO!$N$810*EFEITO!$AA$810</f>
        <v>46480.062063717589</v>
      </c>
      <c r="M810" s="76">
        <f>$J$810-EFEITO!$K$810*EFEITO!$Y$810</f>
        <v>0</v>
      </c>
      <c r="N810" s="76">
        <f ca="1">$K$810-EFEITO!$M$810*EFEITO!$Z$810</f>
        <v>0</v>
      </c>
      <c r="O810" s="76">
        <f>$L$810-EFEITO!$O$810*EFEITO!$AA$810</f>
        <v>0</v>
      </c>
      <c r="P810" s="18"/>
      <c r="Q810" s="18"/>
      <c r="R810" s="18"/>
      <c r="S810" s="18"/>
      <c r="T810" s="18"/>
      <c r="U810" s="18"/>
      <c r="V810" s="18"/>
      <c r="W810" s="18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62" t="s">
        <v>28</v>
      </c>
      <c r="B811" s="62" t="s">
        <v>41</v>
      </c>
      <c r="C811" s="62" t="s">
        <v>42</v>
      </c>
      <c r="D811" s="62" t="s">
        <v>43</v>
      </c>
      <c r="E811" s="62" t="s">
        <v>25</v>
      </c>
      <c r="F811" s="62" t="s">
        <v>25</v>
      </c>
      <c r="G811" s="62" t="s">
        <v>25</v>
      </c>
      <c r="H811" s="62" t="s">
        <v>35</v>
      </c>
      <c r="I811" s="75">
        <v>44348</v>
      </c>
      <c r="J811" s="76">
        <f>EFEITO!$J$811*EFEITO!$Y$811</f>
        <v>0</v>
      </c>
      <c r="K811" s="76">
        <f ca="1">EFEITO!$L$811*EFEITO!$Z$811</f>
        <v>2179.320341835848</v>
      </c>
      <c r="L811" s="76">
        <f>EFEITO!$N$811*EFEITO!$AA$811</f>
        <v>4966.8734021454939</v>
      </c>
      <c r="M811" s="76">
        <f>$J$811-EFEITO!$K$811*EFEITO!$Y$811</f>
        <v>0</v>
      </c>
      <c r="N811" s="76">
        <f ca="1">$K$811-EFEITO!$M$811*EFEITO!$Z$811</f>
        <v>0</v>
      </c>
      <c r="O811" s="76">
        <f>$L$811-EFEITO!$O$811*EFEITO!$AA$811</f>
        <v>0</v>
      </c>
      <c r="P811" s="18"/>
      <c r="Q811" s="18"/>
      <c r="R811" s="18"/>
      <c r="S811" s="18"/>
      <c r="T811" s="18"/>
      <c r="U811" s="18"/>
      <c r="V811" s="18"/>
      <c r="W811" s="18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62" t="s">
        <v>21</v>
      </c>
      <c r="B812" s="62" t="s">
        <v>41</v>
      </c>
      <c r="C812" s="62" t="s">
        <v>42</v>
      </c>
      <c r="D812" s="62" t="s">
        <v>43</v>
      </c>
      <c r="E812" s="62" t="s">
        <v>25</v>
      </c>
      <c r="F812" s="62" t="s">
        <v>25</v>
      </c>
      <c r="G812" s="62" t="s">
        <v>25</v>
      </c>
      <c r="H812" s="62" t="s">
        <v>35</v>
      </c>
      <c r="I812" s="75">
        <v>44378</v>
      </c>
      <c r="J812" s="76">
        <f>EFEITO!$J$812*EFEITO!$Y$812</f>
        <v>0</v>
      </c>
      <c r="K812" s="76">
        <f ca="1">EFEITO!$L$812*EFEITO!$Z$812</f>
        <v>317374.43375078146</v>
      </c>
      <c r="L812" s="76">
        <f>EFEITO!$N$812*EFEITO!$AA$812</f>
        <v>723325.80174506491</v>
      </c>
      <c r="M812" s="76">
        <f>$J$812-EFEITO!$K$812*EFEITO!$Y$812</f>
        <v>0</v>
      </c>
      <c r="N812" s="76">
        <f ca="1">$K$812-EFEITO!$M$812*EFEITO!$Z$812</f>
        <v>0</v>
      </c>
      <c r="O812" s="76">
        <f>$L$812-EFEITO!$O$812*EFEITO!$AA$812</f>
        <v>0</v>
      </c>
      <c r="P812" s="18"/>
      <c r="Q812" s="18"/>
      <c r="R812" s="18"/>
      <c r="S812" s="18"/>
      <c r="T812" s="18"/>
      <c r="U812" s="18"/>
      <c r="V812" s="18"/>
      <c r="W812" s="18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62" t="s">
        <v>27</v>
      </c>
      <c r="B813" s="62" t="s">
        <v>41</v>
      </c>
      <c r="C813" s="62" t="s">
        <v>42</v>
      </c>
      <c r="D813" s="62" t="s">
        <v>43</v>
      </c>
      <c r="E813" s="62" t="s">
        <v>25</v>
      </c>
      <c r="F813" s="62" t="s">
        <v>25</v>
      </c>
      <c r="G813" s="62" t="s">
        <v>25</v>
      </c>
      <c r="H813" s="62" t="s">
        <v>35</v>
      </c>
      <c r="I813" s="75">
        <v>44378</v>
      </c>
      <c r="J813" s="76">
        <f>EFEITO!$J$813*EFEITO!$Y$813</f>
        <v>0</v>
      </c>
      <c r="K813" s="76">
        <f ca="1">EFEITO!$L$813*EFEITO!$Z$813</f>
        <v>148.4307226576727</v>
      </c>
      <c r="L813" s="76">
        <f>EFEITO!$N$813*EFEITO!$AA$813</f>
        <v>338.28739826683068</v>
      </c>
      <c r="M813" s="76">
        <f>$J$813-EFEITO!$K$813*EFEITO!$Y$813</f>
        <v>0</v>
      </c>
      <c r="N813" s="76">
        <f ca="1">$K$813-EFEITO!$M$813*EFEITO!$Z$813</f>
        <v>0</v>
      </c>
      <c r="O813" s="76">
        <f>$L$813-EFEITO!$O$813*EFEITO!$AA$813</f>
        <v>0</v>
      </c>
      <c r="P813" s="18"/>
      <c r="Q813" s="18"/>
      <c r="R813" s="18"/>
      <c r="S813" s="18"/>
      <c r="T813" s="18"/>
      <c r="U813" s="18"/>
      <c r="V813" s="18"/>
      <c r="W813" s="18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62" t="s">
        <v>28</v>
      </c>
      <c r="B814" s="62" t="s">
        <v>41</v>
      </c>
      <c r="C814" s="62" t="s">
        <v>42</v>
      </c>
      <c r="D814" s="62" t="s">
        <v>43</v>
      </c>
      <c r="E814" s="62" t="s">
        <v>25</v>
      </c>
      <c r="F814" s="62" t="s">
        <v>25</v>
      </c>
      <c r="G814" s="62" t="s">
        <v>25</v>
      </c>
      <c r="H814" s="62" t="s">
        <v>35</v>
      </c>
      <c r="I814" s="75">
        <v>44378</v>
      </c>
      <c r="J814" s="76">
        <f>EFEITO!$J$814*EFEITO!$Y$814</f>
        <v>0</v>
      </c>
      <c r="K814" s="76">
        <f ca="1">EFEITO!$L$814*EFEITO!$Z$814</f>
        <v>29121.008298600882</v>
      </c>
      <c r="L814" s="76">
        <f>EFEITO!$N$814*EFEITO!$AA$814</f>
        <v>66369.481707372426</v>
      </c>
      <c r="M814" s="76">
        <f>$J$814-EFEITO!$K$814*EFEITO!$Y$814</f>
        <v>0</v>
      </c>
      <c r="N814" s="76">
        <f ca="1">$K$814-EFEITO!$M$814*EFEITO!$Z$814</f>
        <v>0</v>
      </c>
      <c r="O814" s="76">
        <f>$L$814-EFEITO!$O$814*EFEITO!$AA$814</f>
        <v>0</v>
      </c>
      <c r="P814" s="18"/>
      <c r="Q814" s="18"/>
      <c r="R814" s="18"/>
      <c r="S814" s="18"/>
      <c r="T814" s="18"/>
      <c r="U814" s="18"/>
      <c r="V814" s="18"/>
      <c r="W814" s="18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62" t="s">
        <v>21</v>
      </c>
      <c r="B815" s="62" t="s">
        <v>41</v>
      </c>
      <c r="C815" s="62" t="s">
        <v>42</v>
      </c>
      <c r="D815" s="62" t="s">
        <v>43</v>
      </c>
      <c r="E815" s="62" t="s">
        <v>25</v>
      </c>
      <c r="F815" s="62" t="s">
        <v>25</v>
      </c>
      <c r="G815" s="62" t="s">
        <v>25</v>
      </c>
      <c r="H815" s="62" t="s">
        <v>35</v>
      </c>
      <c r="I815" s="75">
        <v>44409</v>
      </c>
      <c r="J815" s="76">
        <f>EFEITO!$J$815*EFEITO!$Y$815</f>
        <v>0</v>
      </c>
      <c r="K815" s="76">
        <f ca="1">EFEITO!$L$815*EFEITO!$Z$815</f>
        <v>361699.69574028329</v>
      </c>
      <c r="L815" s="76">
        <f>EFEITO!$N$815*EFEITO!$AA$815</f>
        <v>824347.18928156968</v>
      </c>
      <c r="M815" s="76">
        <f>$J$815-EFEITO!$K$815*EFEITO!$Y$815</f>
        <v>0</v>
      </c>
      <c r="N815" s="76">
        <f ca="1">$K$815-EFEITO!$M$815*EFEITO!$Z$815</f>
        <v>0</v>
      </c>
      <c r="O815" s="76">
        <f>$L$815-EFEITO!$O$815*EFEITO!$AA$815</f>
        <v>0</v>
      </c>
      <c r="P815" s="18"/>
      <c r="Q815" s="18"/>
      <c r="R815" s="18"/>
      <c r="S815" s="18"/>
      <c r="T815" s="18"/>
      <c r="U815" s="18"/>
      <c r="V815" s="18"/>
      <c r="W815" s="18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62" t="s">
        <v>27</v>
      </c>
      <c r="B816" s="62" t="s">
        <v>41</v>
      </c>
      <c r="C816" s="62" t="s">
        <v>42</v>
      </c>
      <c r="D816" s="62" t="s">
        <v>43</v>
      </c>
      <c r="E816" s="62" t="s">
        <v>25</v>
      </c>
      <c r="F816" s="62" t="s">
        <v>25</v>
      </c>
      <c r="G816" s="62" t="s">
        <v>25</v>
      </c>
      <c r="H816" s="62" t="s">
        <v>35</v>
      </c>
      <c r="I816" s="75">
        <v>44409</v>
      </c>
      <c r="J816" s="76">
        <f>EFEITO!$J$816*EFEITO!$Y$816</f>
        <v>0</v>
      </c>
      <c r="K816" s="76">
        <f ca="1">EFEITO!$L$816*EFEITO!$Z$816</f>
        <v>-1360.614957695333</v>
      </c>
      <c r="L816" s="76">
        <f>EFEITO!$N$816*EFEITO!$AA$816</f>
        <v>-3100.9678174459477</v>
      </c>
      <c r="M816" s="76">
        <f>$J$816-EFEITO!$K$816*EFEITO!$Y$816</f>
        <v>0</v>
      </c>
      <c r="N816" s="76">
        <f ca="1">$K$816-EFEITO!$M$816*EFEITO!$Z$816</f>
        <v>0</v>
      </c>
      <c r="O816" s="76">
        <f>$L$816-EFEITO!$O$816*EFEITO!$AA$816</f>
        <v>0</v>
      </c>
      <c r="P816" s="18"/>
      <c r="Q816" s="18"/>
      <c r="R816" s="18"/>
      <c r="S816" s="18"/>
      <c r="T816" s="18"/>
      <c r="U816" s="18"/>
      <c r="V816" s="18"/>
      <c r="W816" s="18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62" t="s">
        <v>28</v>
      </c>
      <c r="B817" s="62" t="s">
        <v>41</v>
      </c>
      <c r="C817" s="62" t="s">
        <v>42</v>
      </c>
      <c r="D817" s="62" t="s">
        <v>43</v>
      </c>
      <c r="E817" s="62" t="s">
        <v>25</v>
      </c>
      <c r="F817" s="62" t="s">
        <v>25</v>
      </c>
      <c r="G817" s="62" t="s">
        <v>25</v>
      </c>
      <c r="H817" s="62" t="s">
        <v>35</v>
      </c>
      <c r="I817" s="75">
        <v>44409</v>
      </c>
      <c r="J817" s="76">
        <f>EFEITO!$J$817*EFEITO!$Y$817</f>
        <v>0</v>
      </c>
      <c r="K817" s="76">
        <f ca="1">EFEITO!$L$817*EFEITO!$Z$817</f>
        <v>28208.021918401882</v>
      </c>
      <c r="L817" s="76">
        <f>EFEITO!$N$817*EFEITO!$AA$817</f>
        <v>64288.700978958943</v>
      </c>
      <c r="M817" s="76">
        <f>$J$817-EFEITO!$K$817*EFEITO!$Y$817</f>
        <v>0</v>
      </c>
      <c r="N817" s="76">
        <f ca="1">$K$817-EFEITO!$M$817*EFEITO!$Z$817</f>
        <v>0</v>
      </c>
      <c r="O817" s="76">
        <f>$L$817-EFEITO!$O$817*EFEITO!$AA$817</f>
        <v>0</v>
      </c>
      <c r="P817" s="18"/>
      <c r="Q817" s="18"/>
      <c r="R817" s="18"/>
      <c r="S817" s="18"/>
      <c r="T817" s="18"/>
      <c r="U817" s="18"/>
      <c r="V817" s="18"/>
      <c r="W817" s="18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62" t="s">
        <v>21</v>
      </c>
      <c r="B818" s="62" t="s">
        <v>41</v>
      </c>
      <c r="C818" s="62" t="s">
        <v>42</v>
      </c>
      <c r="D818" s="62" t="s">
        <v>43</v>
      </c>
      <c r="E818" s="62" t="s">
        <v>25</v>
      </c>
      <c r="F818" s="62" t="s">
        <v>25</v>
      </c>
      <c r="G818" s="62" t="s">
        <v>25</v>
      </c>
      <c r="H818" s="62" t="s">
        <v>35</v>
      </c>
      <c r="I818" s="75">
        <v>44440</v>
      </c>
      <c r="J818" s="76">
        <f>EFEITO!$J$818*EFEITO!$Y$818</f>
        <v>0</v>
      </c>
      <c r="K818" s="76">
        <f ca="1">EFEITO!$L$818*EFEITO!$Z$818</f>
        <v>379730.86751854129</v>
      </c>
      <c r="L818" s="76">
        <f>EFEITO!$N$818*EFEITO!$AA$818</f>
        <v>865441.90390232275</v>
      </c>
      <c r="M818" s="76">
        <f>$J$818-EFEITO!$K$818*EFEITO!$Y$818</f>
        <v>0</v>
      </c>
      <c r="N818" s="76">
        <f ca="1">$K$818-EFEITO!$M$818*EFEITO!$Z$818</f>
        <v>0</v>
      </c>
      <c r="O818" s="76">
        <f>$L$818-EFEITO!$O$818*EFEITO!$AA$818</f>
        <v>0</v>
      </c>
      <c r="P818" s="18"/>
      <c r="Q818" s="18"/>
      <c r="R818" s="18"/>
      <c r="S818" s="18"/>
      <c r="T818" s="18"/>
      <c r="U818" s="18"/>
      <c r="V818" s="18"/>
      <c r="W818" s="18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62" t="s">
        <v>28</v>
      </c>
      <c r="B819" s="62" t="s">
        <v>41</v>
      </c>
      <c r="C819" s="62" t="s">
        <v>42</v>
      </c>
      <c r="D819" s="62" t="s">
        <v>43</v>
      </c>
      <c r="E819" s="62" t="s">
        <v>25</v>
      </c>
      <c r="F819" s="62" t="s">
        <v>25</v>
      </c>
      <c r="G819" s="62" t="s">
        <v>25</v>
      </c>
      <c r="H819" s="62" t="s">
        <v>35</v>
      </c>
      <c r="I819" s="75">
        <v>44440</v>
      </c>
      <c r="J819" s="76">
        <f>EFEITO!$J$819*EFEITO!$Y$819</f>
        <v>0</v>
      </c>
      <c r="K819" s="76">
        <f ca="1">EFEITO!$L$819*EFEITO!$Z$819</f>
        <v>34845.623938286102</v>
      </c>
      <c r="L819" s="76">
        <f>EFEITO!$N$819*EFEITO!$AA$819</f>
        <v>79416.412262935657</v>
      </c>
      <c r="M819" s="76">
        <f>$J$819-EFEITO!$K$819*EFEITO!$Y$819</f>
        <v>0</v>
      </c>
      <c r="N819" s="76">
        <f ca="1">$K$819-EFEITO!$M$819*EFEITO!$Z$819</f>
        <v>0</v>
      </c>
      <c r="O819" s="76">
        <f>$L$819-EFEITO!$O$819*EFEITO!$AA$819</f>
        <v>0</v>
      </c>
      <c r="P819" s="18"/>
      <c r="Q819" s="18"/>
      <c r="R819" s="18"/>
      <c r="S819" s="18"/>
      <c r="T819" s="18"/>
      <c r="U819" s="18"/>
      <c r="V819" s="18"/>
      <c r="W819" s="18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62" t="s">
        <v>21</v>
      </c>
      <c r="B820" s="62" t="s">
        <v>41</v>
      </c>
      <c r="C820" s="62" t="s">
        <v>42</v>
      </c>
      <c r="D820" s="62" t="s">
        <v>43</v>
      </c>
      <c r="E820" s="62" t="s">
        <v>25</v>
      </c>
      <c r="F820" s="62" t="s">
        <v>25</v>
      </c>
      <c r="G820" s="62" t="s">
        <v>25</v>
      </c>
      <c r="H820" s="62" t="s">
        <v>35</v>
      </c>
      <c r="I820" s="75">
        <v>44470</v>
      </c>
      <c r="J820" s="76">
        <f>EFEITO!$J$820*EFEITO!$Y$820</f>
        <v>0</v>
      </c>
      <c r="K820" s="76">
        <f ca="1">EFEITO!$L$820*EFEITO!$Z$820</f>
        <v>388122.01360360079</v>
      </c>
      <c r="L820" s="76">
        <f>EFEITO!$N$820*EFEITO!$AA$820</f>
        <v>884566.10492193513</v>
      </c>
      <c r="M820" s="76">
        <f>$J$820-EFEITO!$K$820*EFEITO!$Y$820</f>
        <v>0</v>
      </c>
      <c r="N820" s="76">
        <f ca="1">$K$820-EFEITO!$M$820*EFEITO!$Z$820</f>
        <v>0</v>
      </c>
      <c r="O820" s="76">
        <f>$L$820-EFEITO!$O$820*EFEITO!$AA$820</f>
        <v>0</v>
      </c>
      <c r="P820" s="18"/>
      <c r="Q820" s="18"/>
      <c r="R820" s="18"/>
      <c r="S820" s="18"/>
      <c r="T820" s="18"/>
      <c r="U820" s="18"/>
      <c r="V820" s="18"/>
      <c r="W820" s="18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62" t="s">
        <v>27</v>
      </c>
      <c r="B821" s="62" t="s">
        <v>41</v>
      </c>
      <c r="C821" s="62" t="s">
        <v>42</v>
      </c>
      <c r="D821" s="62" t="s">
        <v>43</v>
      </c>
      <c r="E821" s="62" t="s">
        <v>25</v>
      </c>
      <c r="F821" s="62" t="s">
        <v>25</v>
      </c>
      <c r="G821" s="62" t="s">
        <v>25</v>
      </c>
      <c r="H821" s="62" t="s">
        <v>35</v>
      </c>
      <c r="I821" s="75">
        <v>44470</v>
      </c>
      <c r="J821" s="76">
        <f>EFEITO!$J$821*EFEITO!$Y$821</f>
        <v>0</v>
      </c>
      <c r="K821" s="76">
        <f ca="1">EFEITO!$L$821*EFEITO!$Z$821</f>
        <v>6581.5281913246572</v>
      </c>
      <c r="L821" s="76">
        <f>EFEITO!$N$821*EFEITO!$AA$821</f>
        <v>14999.913822409246</v>
      </c>
      <c r="M821" s="76">
        <f>$J$821-EFEITO!$K$821*EFEITO!$Y$821</f>
        <v>0</v>
      </c>
      <c r="N821" s="76">
        <f ca="1">$K$821-EFEITO!$M$821*EFEITO!$Z$821</f>
        <v>0</v>
      </c>
      <c r="O821" s="76">
        <f>$L$821-EFEITO!$O$821*EFEITO!$AA$821</f>
        <v>0</v>
      </c>
      <c r="P821" s="18"/>
      <c r="Q821" s="18"/>
      <c r="R821" s="18"/>
      <c r="S821" s="18"/>
      <c r="T821" s="18"/>
      <c r="U821" s="18"/>
      <c r="V821" s="18"/>
      <c r="W821" s="18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62" t="s">
        <v>28</v>
      </c>
      <c r="B822" s="62" t="s">
        <v>41</v>
      </c>
      <c r="C822" s="62" t="s">
        <v>42</v>
      </c>
      <c r="D822" s="62" t="s">
        <v>43</v>
      </c>
      <c r="E822" s="62" t="s">
        <v>25</v>
      </c>
      <c r="F822" s="62" t="s">
        <v>25</v>
      </c>
      <c r="G822" s="62" t="s">
        <v>25</v>
      </c>
      <c r="H822" s="62" t="s">
        <v>35</v>
      </c>
      <c r="I822" s="75">
        <v>44470</v>
      </c>
      <c r="J822" s="76">
        <f>EFEITO!$J$822*EFEITO!$Y$822</f>
        <v>0</v>
      </c>
      <c r="K822" s="76">
        <f ca="1">EFEITO!$L$822*EFEITO!$Z$822</f>
        <v>28324.430087004705</v>
      </c>
      <c r="L822" s="76">
        <f>EFEITO!$N$822*EFEITO!$AA$822</f>
        <v>64554.00600334043</v>
      </c>
      <c r="M822" s="76">
        <f>$J$822-EFEITO!$K$822*EFEITO!$Y$822</f>
        <v>0</v>
      </c>
      <c r="N822" s="76">
        <f ca="1">$K$822-EFEITO!$M$822*EFEITO!$Z$822</f>
        <v>0</v>
      </c>
      <c r="O822" s="76">
        <f>$L$822-EFEITO!$O$822*EFEITO!$AA$822</f>
        <v>0</v>
      </c>
      <c r="P822" s="18"/>
      <c r="Q822" s="18"/>
      <c r="R822" s="18"/>
      <c r="S822" s="18"/>
      <c r="T822" s="18"/>
      <c r="U822" s="18"/>
      <c r="V822" s="18"/>
      <c r="W822" s="18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62" t="s">
        <v>21</v>
      </c>
      <c r="B823" s="62" t="s">
        <v>41</v>
      </c>
      <c r="C823" s="62" t="s">
        <v>42</v>
      </c>
      <c r="D823" s="62" t="s">
        <v>43</v>
      </c>
      <c r="E823" s="62" t="s">
        <v>25</v>
      </c>
      <c r="F823" s="62" t="s">
        <v>25</v>
      </c>
      <c r="G823" s="62" t="s">
        <v>25</v>
      </c>
      <c r="H823" s="62" t="s">
        <v>35</v>
      </c>
      <c r="I823" s="75">
        <v>44501</v>
      </c>
      <c r="J823" s="76">
        <f>EFEITO!$J$823*EFEITO!$Y$823</f>
        <v>0</v>
      </c>
      <c r="K823" s="76">
        <f ca="1">EFEITO!$L$823*EFEITO!$Z$823</f>
        <v>381444.0054425486</v>
      </c>
      <c r="L823" s="76">
        <f>EFEITO!$N$823*EFEITO!$AA$823</f>
        <v>869346.30429065239</v>
      </c>
      <c r="M823" s="76">
        <f>$J$823-EFEITO!$K$823*EFEITO!$Y$823</f>
        <v>0</v>
      </c>
      <c r="N823" s="76">
        <f ca="1">$K$823-EFEITO!$M$823*EFEITO!$Z$823</f>
        <v>0</v>
      </c>
      <c r="O823" s="76">
        <f>$L$823-EFEITO!$O$823*EFEITO!$AA$823</f>
        <v>0</v>
      </c>
      <c r="P823" s="18"/>
      <c r="Q823" s="18"/>
      <c r="R823" s="18"/>
      <c r="S823" s="18"/>
      <c r="T823" s="18"/>
      <c r="U823" s="18"/>
      <c r="V823" s="18"/>
      <c r="W823" s="18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62" t="s">
        <v>28</v>
      </c>
      <c r="B824" s="62" t="s">
        <v>41</v>
      </c>
      <c r="C824" s="62" t="s">
        <v>42</v>
      </c>
      <c r="D824" s="62" t="s">
        <v>43</v>
      </c>
      <c r="E824" s="62" t="s">
        <v>25</v>
      </c>
      <c r="F824" s="62" t="s">
        <v>25</v>
      </c>
      <c r="G824" s="62" t="s">
        <v>25</v>
      </c>
      <c r="H824" s="62" t="s">
        <v>35</v>
      </c>
      <c r="I824" s="75">
        <v>44501</v>
      </c>
      <c r="J824" s="76">
        <f>EFEITO!$J$824*EFEITO!$Y$824</f>
        <v>0</v>
      </c>
      <c r="K824" s="76">
        <f ca="1">EFEITO!$L$824*EFEITO!$Z$824</f>
        <v>32276.94782118249</v>
      </c>
      <c r="L824" s="76">
        <f>EFEITO!$N$824*EFEITO!$AA$824</f>
        <v>73562.160898484668</v>
      </c>
      <c r="M824" s="76">
        <f>$J$824-EFEITO!$K$824*EFEITO!$Y$824</f>
        <v>0</v>
      </c>
      <c r="N824" s="76">
        <f ca="1">$K$824-EFEITO!$M$824*EFEITO!$Z$824</f>
        <v>0</v>
      </c>
      <c r="O824" s="76">
        <f>$L$824-EFEITO!$O$824*EFEITO!$AA$824</f>
        <v>0</v>
      </c>
      <c r="P824" s="18"/>
      <c r="Q824" s="18"/>
      <c r="R824" s="18"/>
      <c r="S824" s="18"/>
      <c r="T824" s="18"/>
      <c r="U824" s="18"/>
      <c r="V824" s="18"/>
      <c r="W824" s="18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62" t="s">
        <v>21</v>
      </c>
      <c r="B825" s="62" t="s">
        <v>41</v>
      </c>
      <c r="C825" s="62" t="s">
        <v>42</v>
      </c>
      <c r="D825" s="62" t="s">
        <v>43</v>
      </c>
      <c r="E825" s="62" t="s">
        <v>25</v>
      </c>
      <c r="F825" s="62" t="s">
        <v>25</v>
      </c>
      <c r="G825" s="62" t="s">
        <v>25</v>
      </c>
      <c r="H825" s="62" t="s">
        <v>35</v>
      </c>
      <c r="I825" s="75">
        <v>44531</v>
      </c>
      <c r="J825" s="76">
        <f>EFEITO!$J$825*EFEITO!$Y$825</f>
        <v>0</v>
      </c>
      <c r="K825" s="76">
        <f ca="1">EFEITO!$L$825*EFEITO!$Z$825</f>
        <v>381607.82898088929</v>
      </c>
      <c r="L825" s="76">
        <f>EFEITO!$N$825*EFEITO!$AA$825</f>
        <v>869719.67334503576</v>
      </c>
      <c r="M825" s="76">
        <f>$J$825-EFEITO!$K$825*EFEITO!$Y$825</f>
        <v>0</v>
      </c>
      <c r="N825" s="76">
        <f ca="1">$K$825-EFEITO!$M$825*EFEITO!$Z$825</f>
        <v>0</v>
      </c>
      <c r="O825" s="76">
        <f>$L$825-EFEITO!$O$825*EFEITO!$AA$825</f>
        <v>0</v>
      </c>
      <c r="P825" s="18"/>
      <c r="Q825" s="18"/>
      <c r="R825" s="18"/>
      <c r="S825" s="18"/>
      <c r="T825" s="18"/>
      <c r="U825" s="18"/>
      <c r="V825" s="18"/>
      <c r="W825" s="18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62" t="s">
        <v>27</v>
      </c>
      <c r="B826" s="62" t="s">
        <v>41</v>
      </c>
      <c r="C826" s="62" t="s">
        <v>42</v>
      </c>
      <c r="D826" s="62" t="s">
        <v>43</v>
      </c>
      <c r="E826" s="62" t="s">
        <v>25</v>
      </c>
      <c r="F826" s="62" t="s">
        <v>25</v>
      </c>
      <c r="G826" s="62" t="s">
        <v>25</v>
      </c>
      <c r="H826" s="62" t="s">
        <v>35</v>
      </c>
      <c r="I826" s="75">
        <v>44531</v>
      </c>
      <c r="J826" s="76">
        <f>EFEITO!$J$826*EFEITO!$Y$826</f>
        <v>0</v>
      </c>
      <c r="K826" s="76">
        <f ca="1">EFEITO!$L$826*EFEITO!$Z$826</f>
        <v>560.73828559565243</v>
      </c>
      <c r="L826" s="76">
        <f>EFEITO!$N$826*EFEITO!$AA$826</f>
        <v>1277.9746156746935</v>
      </c>
      <c r="M826" s="76">
        <f>$J$826-EFEITO!$K$826*EFEITO!$Y$826</f>
        <v>0</v>
      </c>
      <c r="N826" s="76">
        <f ca="1">$K$826-EFEITO!$M$826*EFEITO!$Z$826</f>
        <v>0</v>
      </c>
      <c r="O826" s="76">
        <f>$L$826-EFEITO!$O$826*EFEITO!$AA$826</f>
        <v>0</v>
      </c>
      <c r="P826" s="18"/>
      <c r="Q826" s="18"/>
      <c r="R826" s="18"/>
      <c r="S826" s="18"/>
      <c r="T826" s="18"/>
      <c r="U826" s="18"/>
      <c r="V826" s="18"/>
      <c r="W826" s="18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62" t="s">
        <v>28</v>
      </c>
      <c r="B827" s="62" t="s">
        <v>41</v>
      </c>
      <c r="C827" s="62" t="s">
        <v>42</v>
      </c>
      <c r="D827" s="62" t="s">
        <v>43</v>
      </c>
      <c r="E827" s="62" t="s">
        <v>25</v>
      </c>
      <c r="F827" s="62" t="s">
        <v>25</v>
      </c>
      <c r="G827" s="62" t="s">
        <v>25</v>
      </c>
      <c r="H827" s="62" t="s">
        <v>35</v>
      </c>
      <c r="I827" s="75">
        <v>44531</v>
      </c>
      <c r="J827" s="76">
        <f>EFEITO!$J$827*EFEITO!$Y$827</f>
        <v>0</v>
      </c>
      <c r="K827" s="76">
        <f ca="1">EFEITO!$L$827*EFEITO!$Z$827</f>
        <v>39469.103513218295</v>
      </c>
      <c r="L827" s="76">
        <f>EFEITO!$N$827*EFEITO!$AA$827</f>
        <v>89953.751489874965</v>
      </c>
      <c r="M827" s="76">
        <f>$J$827-EFEITO!$K$827*EFEITO!$Y$827</f>
        <v>0</v>
      </c>
      <c r="N827" s="76">
        <f ca="1">$K$827-EFEITO!$M$827*EFEITO!$Z$827</f>
        <v>0</v>
      </c>
      <c r="O827" s="76">
        <f>$L$827-EFEITO!$O$827*EFEITO!$AA$827</f>
        <v>0</v>
      </c>
      <c r="P827" s="18"/>
      <c r="Q827" s="18"/>
      <c r="R827" s="18"/>
      <c r="S827" s="18"/>
      <c r="T827" s="18"/>
      <c r="U827" s="18"/>
      <c r="V827" s="18"/>
      <c r="W827" s="18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62" t="s">
        <v>21</v>
      </c>
      <c r="B828" s="62" t="s">
        <v>41</v>
      </c>
      <c r="C828" s="62" t="s">
        <v>42</v>
      </c>
      <c r="D828" s="62" t="s">
        <v>43</v>
      </c>
      <c r="E828" s="62" t="s">
        <v>25</v>
      </c>
      <c r="F828" s="62" t="s">
        <v>25</v>
      </c>
      <c r="G828" s="62" t="s">
        <v>25</v>
      </c>
      <c r="H828" s="62" t="s">
        <v>35</v>
      </c>
      <c r="I828" s="75">
        <v>44562</v>
      </c>
      <c r="J828" s="76">
        <f>EFEITO!$J$828*EFEITO!$Y$828</f>
        <v>0</v>
      </c>
      <c r="K828" s="76">
        <f ca="1">EFEITO!$L$828*EFEITO!$Z$828</f>
        <v>381371.16443976288</v>
      </c>
      <c r="L828" s="76">
        <f>EFEITO!$N$828*EFEITO!$AA$828</f>
        <v>869180.29288224364</v>
      </c>
      <c r="M828" s="76">
        <f>$J$828-EFEITO!$K$828*EFEITO!$Y$828</f>
        <v>0</v>
      </c>
      <c r="N828" s="76">
        <f ca="1">$K$828-EFEITO!$M$828*EFEITO!$Z$828</f>
        <v>0</v>
      </c>
      <c r="O828" s="76">
        <f>$L$828-EFEITO!$O$828*EFEITO!$AA$828</f>
        <v>0</v>
      </c>
      <c r="P828" s="18"/>
      <c r="Q828" s="18"/>
      <c r="R828" s="18"/>
      <c r="S828" s="18"/>
      <c r="T828" s="18"/>
      <c r="U828" s="18"/>
      <c r="V828" s="18"/>
      <c r="W828" s="18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62" t="s">
        <v>28</v>
      </c>
      <c r="B829" s="62" t="s">
        <v>41</v>
      </c>
      <c r="C829" s="62" t="s">
        <v>42</v>
      </c>
      <c r="D829" s="62" t="s">
        <v>43</v>
      </c>
      <c r="E829" s="62" t="s">
        <v>25</v>
      </c>
      <c r="F829" s="62" t="s">
        <v>25</v>
      </c>
      <c r="G829" s="62" t="s">
        <v>25</v>
      </c>
      <c r="H829" s="62" t="s">
        <v>35</v>
      </c>
      <c r="I829" s="75">
        <v>44562</v>
      </c>
      <c r="J829" s="76">
        <f>EFEITO!$J$829*EFEITO!$Y$829</f>
        <v>0</v>
      </c>
      <c r="K829" s="76">
        <f ca="1">EFEITO!$L$829*EFEITO!$Z$829</f>
        <v>29745.654256451919</v>
      </c>
      <c r="L829" s="76">
        <f>EFEITO!$N$829*EFEITO!$AA$829</f>
        <v>67793.107841745325</v>
      </c>
      <c r="M829" s="76">
        <f>$J$829-EFEITO!$K$829*EFEITO!$Y$829</f>
        <v>0</v>
      </c>
      <c r="N829" s="76">
        <f ca="1">$K$829-EFEITO!$M$829*EFEITO!$Z$829</f>
        <v>0</v>
      </c>
      <c r="O829" s="76">
        <f>$L$829-EFEITO!$O$829*EFEITO!$AA$829</f>
        <v>0</v>
      </c>
      <c r="P829" s="18"/>
      <c r="Q829" s="18"/>
      <c r="R829" s="18"/>
      <c r="S829" s="18"/>
      <c r="T829" s="18"/>
      <c r="U829" s="18"/>
      <c r="V829" s="18"/>
      <c r="W829" s="18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62" t="s">
        <v>21</v>
      </c>
      <c r="B830" s="62" t="s">
        <v>41</v>
      </c>
      <c r="C830" s="62" t="s">
        <v>42</v>
      </c>
      <c r="D830" s="62" t="s">
        <v>43</v>
      </c>
      <c r="E830" s="62" t="s">
        <v>25</v>
      </c>
      <c r="F830" s="62" t="s">
        <v>25</v>
      </c>
      <c r="G830" s="62" t="s">
        <v>25</v>
      </c>
      <c r="H830" s="62" t="s">
        <v>35</v>
      </c>
      <c r="I830" s="75">
        <v>44593</v>
      </c>
      <c r="J830" s="76">
        <f>EFEITO!$J$830*EFEITO!$Y$830</f>
        <v>0</v>
      </c>
      <c r="K830" s="76">
        <f ca="1">EFEITO!$L$830*EFEITO!$Z$830</f>
        <v>350777.53096220188</v>
      </c>
      <c r="L830" s="76">
        <f>EFEITO!$N$830*EFEITO!$AA$830</f>
        <v>799454.5616633629</v>
      </c>
      <c r="M830" s="76">
        <f>$J$830-EFEITO!$K$830*EFEITO!$Y$830</f>
        <v>0</v>
      </c>
      <c r="N830" s="76">
        <f ca="1">$K$830-EFEITO!$M$830*EFEITO!$Z$830</f>
        <v>0</v>
      </c>
      <c r="O830" s="76">
        <f>$L$830-EFEITO!$O$830*EFEITO!$AA$830</f>
        <v>0</v>
      </c>
      <c r="P830" s="18"/>
      <c r="Q830" s="18"/>
      <c r="R830" s="18"/>
      <c r="S830" s="18"/>
      <c r="T830" s="18"/>
      <c r="U830" s="18"/>
      <c r="V830" s="18"/>
      <c r="W830" s="18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62" t="s">
        <v>28</v>
      </c>
      <c r="B831" s="62" t="s">
        <v>41</v>
      </c>
      <c r="C831" s="62" t="s">
        <v>42</v>
      </c>
      <c r="D831" s="62" t="s">
        <v>43</v>
      </c>
      <c r="E831" s="62" t="s">
        <v>25</v>
      </c>
      <c r="F831" s="62" t="s">
        <v>25</v>
      </c>
      <c r="G831" s="62" t="s">
        <v>25</v>
      </c>
      <c r="H831" s="62" t="s">
        <v>35</v>
      </c>
      <c r="I831" s="75">
        <v>44593</v>
      </c>
      <c r="J831" s="76">
        <f>EFEITO!$J$831*EFEITO!$Y$831</f>
        <v>0</v>
      </c>
      <c r="K831" s="76">
        <f ca="1">EFEITO!$L$831*EFEITO!$Z$831</f>
        <v>30618.371931337308</v>
      </c>
      <c r="L831" s="76">
        <f>EFEITO!$N$831*EFEITO!$AA$831</f>
        <v>69782.112451925306</v>
      </c>
      <c r="M831" s="76">
        <f>$J$831-EFEITO!$K$831*EFEITO!$Y$831</f>
        <v>0</v>
      </c>
      <c r="N831" s="76">
        <f ca="1">$K$831-EFEITO!$M$831*EFEITO!$Z$831</f>
        <v>0</v>
      </c>
      <c r="O831" s="76">
        <f>$L$831-EFEITO!$O$831*EFEITO!$AA$831</f>
        <v>0</v>
      </c>
      <c r="P831" s="18"/>
      <c r="Q831" s="18"/>
      <c r="R831" s="18"/>
      <c r="S831" s="18"/>
      <c r="T831" s="18"/>
      <c r="U831" s="18"/>
      <c r="V831" s="18"/>
      <c r="W831" s="18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62" t="s">
        <v>21</v>
      </c>
      <c r="B832" s="62" t="s">
        <v>41</v>
      </c>
      <c r="C832" s="62" t="s">
        <v>42</v>
      </c>
      <c r="D832" s="62" t="s">
        <v>43</v>
      </c>
      <c r="E832" s="62" t="s">
        <v>25</v>
      </c>
      <c r="F832" s="62" t="s">
        <v>25</v>
      </c>
      <c r="G832" s="62" t="s">
        <v>25</v>
      </c>
      <c r="H832" s="62" t="s">
        <v>35</v>
      </c>
      <c r="I832" s="75">
        <v>44621</v>
      </c>
      <c r="J832" s="76">
        <f>EFEITO!$J$832*EFEITO!$Y$832</f>
        <v>0</v>
      </c>
      <c r="K832" s="76">
        <f ca="1">EFEITO!$L$832*EFEITO!$Z$832</f>
        <v>347023.88290921447</v>
      </c>
      <c r="L832" s="76">
        <f>EFEITO!$N$832*EFEITO!$AA$832</f>
        <v>790899.64923608163</v>
      </c>
      <c r="M832" s="76">
        <f>$J$832-EFEITO!$K$832*EFEITO!$Y$832</f>
        <v>0</v>
      </c>
      <c r="N832" s="76">
        <f ca="1">$K$832-EFEITO!$M$832*EFEITO!$Z$832</f>
        <v>0</v>
      </c>
      <c r="O832" s="76">
        <f>$L$832-EFEITO!$O$832*EFEITO!$AA$832</f>
        <v>0</v>
      </c>
      <c r="P832" s="18"/>
      <c r="Q832" s="18"/>
      <c r="R832" s="18"/>
      <c r="S832" s="18"/>
      <c r="T832" s="18"/>
      <c r="U832" s="18"/>
      <c r="V832" s="18"/>
      <c r="W832" s="18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62" t="s">
        <v>27</v>
      </c>
      <c r="B833" s="62" t="s">
        <v>41</v>
      </c>
      <c r="C833" s="62" t="s">
        <v>42</v>
      </c>
      <c r="D833" s="62" t="s">
        <v>43</v>
      </c>
      <c r="E833" s="62" t="s">
        <v>25</v>
      </c>
      <c r="F833" s="62" t="s">
        <v>25</v>
      </c>
      <c r="G833" s="62" t="s">
        <v>25</v>
      </c>
      <c r="H833" s="62" t="s">
        <v>35</v>
      </c>
      <c r="I833" s="75">
        <v>44621</v>
      </c>
      <c r="J833" s="76">
        <f>EFEITO!$J$833*EFEITO!$Y$833</f>
        <v>0</v>
      </c>
      <c r="K833" s="76">
        <f ca="1">EFEITO!$L$833*EFEITO!$Z$833</f>
        <v>-4981.225103708045</v>
      </c>
      <c r="L833" s="76">
        <f>EFEITO!$N$833*EFEITO!$AA$833</f>
        <v>-11352.674502576861</v>
      </c>
      <c r="M833" s="76">
        <f>$J$833-EFEITO!$K$833*EFEITO!$Y$833</f>
        <v>0</v>
      </c>
      <c r="N833" s="76">
        <f ca="1">$K$833-EFEITO!$M$833*EFEITO!$Z$833</f>
        <v>0</v>
      </c>
      <c r="O833" s="76">
        <f>$L$833-EFEITO!$O$833*EFEITO!$AA$833</f>
        <v>0</v>
      </c>
      <c r="P833" s="18"/>
      <c r="Q833" s="18"/>
      <c r="R833" s="18"/>
      <c r="S833" s="18"/>
      <c r="T833" s="18"/>
      <c r="U833" s="18"/>
      <c r="V833" s="18"/>
      <c r="W833" s="18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62" t="s">
        <v>28</v>
      </c>
      <c r="B834" s="62" t="s">
        <v>41</v>
      </c>
      <c r="C834" s="62" t="s">
        <v>42</v>
      </c>
      <c r="D834" s="62" t="s">
        <v>43</v>
      </c>
      <c r="E834" s="62" t="s">
        <v>25</v>
      </c>
      <c r="F834" s="62" t="s">
        <v>25</v>
      </c>
      <c r="G834" s="62" t="s">
        <v>25</v>
      </c>
      <c r="H834" s="62" t="s">
        <v>35</v>
      </c>
      <c r="I834" s="75">
        <v>44621</v>
      </c>
      <c r="J834" s="76">
        <f>EFEITO!$J$834*EFEITO!$Y$834</f>
        <v>0</v>
      </c>
      <c r="K834" s="76">
        <f ca="1">EFEITO!$L$834*EFEITO!$Z$834</f>
        <v>42434.831813431185</v>
      </c>
      <c r="L834" s="76">
        <f>EFEITO!$N$834*EFEITO!$AA$834</f>
        <v>96712.921644689734</v>
      </c>
      <c r="M834" s="76">
        <f>$J$834-EFEITO!$K$834*EFEITO!$Y$834</f>
        <v>0</v>
      </c>
      <c r="N834" s="76">
        <f ca="1">$K$834-EFEITO!$M$834*EFEITO!$Z$834</f>
        <v>0</v>
      </c>
      <c r="O834" s="76">
        <f>$L$834-EFEITO!$O$834*EFEITO!$AA$834</f>
        <v>0</v>
      </c>
      <c r="P834" s="18"/>
      <c r="Q834" s="18"/>
      <c r="R834" s="18"/>
      <c r="S834" s="18"/>
      <c r="T834" s="18"/>
      <c r="U834" s="18"/>
      <c r="V834" s="18"/>
      <c r="W834" s="18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62" t="s">
        <v>21</v>
      </c>
      <c r="B835" s="62" t="s">
        <v>41</v>
      </c>
      <c r="C835" s="62" t="s">
        <v>42</v>
      </c>
      <c r="D835" s="62" t="s">
        <v>43</v>
      </c>
      <c r="E835" s="62" t="s">
        <v>25</v>
      </c>
      <c r="F835" s="62" t="s">
        <v>25</v>
      </c>
      <c r="G835" s="62" t="s">
        <v>25</v>
      </c>
      <c r="H835" s="62" t="s">
        <v>35</v>
      </c>
      <c r="I835" s="75">
        <v>44652</v>
      </c>
      <c r="J835" s="76">
        <f>EFEITO!$J$835*EFEITO!$Y$835</f>
        <v>0</v>
      </c>
      <c r="K835" s="76">
        <f ca="1">EFEITO!$L$835*EFEITO!$Z$835</f>
        <v>331553.41596850991</v>
      </c>
      <c r="L835" s="76">
        <f>EFEITO!$N$835*EFEITO!$AA$835</f>
        <v>755641.01869357622</v>
      </c>
      <c r="M835" s="76">
        <f>$J$835-EFEITO!$K$835*EFEITO!$Y$835</f>
        <v>0</v>
      </c>
      <c r="N835" s="76">
        <f ca="1">$K$835-EFEITO!$M$835*EFEITO!$Z$835</f>
        <v>0</v>
      </c>
      <c r="O835" s="76">
        <f>$L$835-EFEITO!$O$835*EFEITO!$AA$835</f>
        <v>0</v>
      </c>
      <c r="P835" s="18"/>
      <c r="Q835" s="18"/>
      <c r="R835" s="18"/>
      <c r="S835" s="18"/>
      <c r="T835" s="18"/>
      <c r="U835" s="18"/>
      <c r="V835" s="18"/>
      <c r="W835" s="18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62" t="s">
        <v>27</v>
      </c>
      <c r="B836" s="62" t="s">
        <v>41</v>
      </c>
      <c r="C836" s="62" t="s">
        <v>42</v>
      </c>
      <c r="D836" s="62" t="s">
        <v>43</v>
      </c>
      <c r="E836" s="62" t="s">
        <v>25</v>
      </c>
      <c r="F836" s="62" t="s">
        <v>25</v>
      </c>
      <c r="G836" s="62" t="s">
        <v>25</v>
      </c>
      <c r="H836" s="62" t="s">
        <v>35</v>
      </c>
      <c r="I836" s="75">
        <v>44652</v>
      </c>
      <c r="J836" s="76">
        <f>EFEITO!$J$836*EFEITO!$Y$836</f>
        <v>0</v>
      </c>
      <c r="K836" s="76">
        <f ca="1">EFEITO!$L$836*EFEITO!$Z$836</f>
        <v>1599.7533441993612</v>
      </c>
      <c r="L836" s="76">
        <f>EFEITO!$N$836*EFEITO!$AA$836</f>
        <v>3645.9864035425085</v>
      </c>
      <c r="M836" s="76">
        <f>$J$836-EFEITO!$K$836*EFEITO!$Y$836</f>
        <v>0</v>
      </c>
      <c r="N836" s="76">
        <f ca="1">$K$836-EFEITO!$M$836*EFEITO!$Z$836</f>
        <v>0</v>
      </c>
      <c r="O836" s="76">
        <f>$L$836-EFEITO!$O$836*EFEITO!$AA$836</f>
        <v>0</v>
      </c>
      <c r="P836" s="18"/>
      <c r="Q836" s="18"/>
      <c r="R836" s="18"/>
      <c r="S836" s="18"/>
      <c r="T836" s="18"/>
      <c r="U836" s="18"/>
      <c r="V836" s="18"/>
      <c r="W836" s="18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62" t="s">
        <v>28</v>
      </c>
      <c r="B837" s="62" t="s">
        <v>41</v>
      </c>
      <c r="C837" s="62" t="s">
        <v>42</v>
      </c>
      <c r="D837" s="62" t="s">
        <v>43</v>
      </c>
      <c r="E837" s="62" t="s">
        <v>25</v>
      </c>
      <c r="F837" s="62" t="s">
        <v>25</v>
      </c>
      <c r="G837" s="62" t="s">
        <v>25</v>
      </c>
      <c r="H837" s="62" t="s">
        <v>35</v>
      </c>
      <c r="I837" s="75">
        <v>44652</v>
      </c>
      <c r="J837" s="76">
        <f>EFEITO!$J$837*EFEITO!$Y$837</f>
        <v>0</v>
      </c>
      <c r="K837" s="76">
        <f ca="1">EFEITO!$L$837*EFEITO!$Z$837</f>
        <v>36986.049933351467</v>
      </c>
      <c r="L837" s="76">
        <f>EFEITO!$N$837*EFEITO!$AA$837</f>
        <v>84294.641837572344</v>
      </c>
      <c r="M837" s="76">
        <f>$J$837-EFEITO!$K$837*EFEITO!$Y$837</f>
        <v>0</v>
      </c>
      <c r="N837" s="76">
        <f ca="1">$K$837-EFEITO!$M$837*EFEITO!$Z$837</f>
        <v>0</v>
      </c>
      <c r="O837" s="76">
        <f>$L$837-EFEITO!$O$837*EFEITO!$AA$837</f>
        <v>0</v>
      </c>
      <c r="P837" s="18"/>
      <c r="Q837" s="18"/>
      <c r="R837" s="18"/>
      <c r="S837" s="18"/>
      <c r="T837" s="18"/>
      <c r="U837" s="18"/>
      <c r="V837" s="18"/>
      <c r="W837" s="18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62" t="s">
        <v>58</v>
      </c>
      <c r="B838" s="62" t="s">
        <v>41</v>
      </c>
      <c r="C838" s="62" t="s">
        <v>42</v>
      </c>
      <c r="D838" s="62" t="s">
        <v>43</v>
      </c>
      <c r="E838" s="62" t="s">
        <v>25</v>
      </c>
      <c r="F838" s="62" t="s">
        <v>25</v>
      </c>
      <c r="G838" s="62" t="s">
        <v>25</v>
      </c>
      <c r="H838" s="62" t="s">
        <v>35</v>
      </c>
      <c r="I838" s="75">
        <v>44682</v>
      </c>
      <c r="J838" s="76">
        <f>EFEITO!$J$838*EFEITO!$Y$838</f>
        <v>0</v>
      </c>
      <c r="K838" s="76">
        <f ca="1">EFEITO!$L$838*EFEITO!$Z$838</f>
        <v>331553.41596850991</v>
      </c>
      <c r="L838" s="76">
        <f>EFEITO!$N$838*EFEITO!$AA$838</f>
        <v>755641.01869357622</v>
      </c>
      <c r="M838" s="76">
        <f>$J$838-EFEITO!$K$838*EFEITO!$Y$838</f>
        <v>0</v>
      </c>
      <c r="N838" s="76">
        <f ca="1">$K$838-EFEITO!$M$838*EFEITO!$Z$838</f>
        <v>0</v>
      </c>
      <c r="O838" s="76">
        <f>$L$838-EFEITO!$O$838*EFEITO!$AA$838</f>
        <v>0</v>
      </c>
      <c r="P838" s="18"/>
      <c r="Q838" s="18"/>
      <c r="R838" s="18"/>
      <c r="S838" s="18"/>
      <c r="T838" s="18"/>
      <c r="U838" s="18"/>
      <c r="V838" s="18"/>
      <c r="W838" s="18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62" t="s">
        <v>58</v>
      </c>
      <c r="B839" s="62" t="s">
        <v>41</v>
      </c>
      <c r="C839" s="62" t="s">
        <v>42</v>
      </c>
      <c r="D839" s="62" t="s">
        <v>43</v>
      </c>
      <c r="E839" s="62" t="s">
        <v>25</v>
      </c>
      <c r="F839" s="62" t="s">
        <v>25</v>
      </c>
      <c r="G839" s="62" t="s">
        <v>25</v>
      </c>
      <c r="H839" s="62" t="s">
        <v>35</v>
      </c>
      <c r="I839" s="75">
        <v>44682</v>
      </c>
      <c r="J839" s="76">
        <f>EFEITO!$J$839*EFEITO!$Y$839</f>
        <v>0</v>
      </c>
      <c r="K839" s="76">
        <f ca="1">EFEITO!$L$839*EFEITO!$Z$839</f>
        <v>1599.7533441993612</v>
      </c>
      <c r="L839" s="76">
        <f>EFEITO!$N$839*EFEITO!$AA$839</f>
        <v>3645.9864035425085</v>
      </c>
      <c r="M839" s="76">
        <f>$J$839-EFEITO!$K$839*EFEITO!$Y$839</f>
        <v>0</v>
      </c>
      <c r="N839" s="76">
        <f ca="1">$K$839-EFEITO!$M$839*EFEITO!$Z$839</f>
        <v>0</v>
      </c>
      <c r="O839" s="76">
        <f>$L$839-EFEITO!$O$839*EFEITO!$AA$839</f>
        <v>0</v>
      </c>
      <c r="P839" s="18"/>
      <c r="Q839" s="18"/>
      <c r="R839" s="18"/>
      <c r="S839" s="18"/>
      <c r="T839" s="18"/>
      <c r="U839" s="18"/>
      <c r="V839" s="18"/>
      <c r="W839" s="18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62" t="s">
        <v>58</v>
      </c>
      <c r="B840" s="62" t="s">
        <v>41</v>
      </c>
      <c r="C840" s="62" t="s">
        <v>42</v>
      </c>
      <c r="D840" s="62" t="s">
        <v>43</v>
      </c>
      <c r="E840" s="62" t="s">
        <v>25</v>
      </c>
      <c r="F840" s="62" t="s">
        <v>25</v>
      </c>
      <c r="G840" s="62" t="s">
        <v>25</v>
      </c>
      <c r="H840" s="62" t="s">
        <v>35</v>
      </c>
      <c r="I840" s="75">
        <v>44682</v>
      </c>
      <c r="J840" s="76">
        <f>EFEITO!$J$840*EFEITO!$Y$840</f>
        <v>0</v>
      </c>
      <c r="K840" s="76">
        <f ca="1">EFEITO!$L$840*EFEITO!$Z$840</f>
        <v>36986.049933351467</v>
      </c>
      <c r="L840" s="76">
        <f>EFEITO!$N$840*EFEITO!$AA$840</f>
        <v>84294.641837572344</v>
      </c>
      <c r="M840" s="76">
        <f>$J$840-EFEITO!$K$840*EFEITO!$Y$840</f>
        <v>0</v>
      </c>
      <c r="N840" s="76">
        <f ca="1">$K$840-EFEITO!$M$840*EFEITO!$Z$840</f>
        <v>0</v>
      </c>
      <c r="O840" s="76">
        <f>$L$840-EFEITO!$O$840*EFEITO!$AA$840</f>
        <v>0</v>
      </c>
      <c r="P840" s="18"/>
      <c r="Q840" s="18"/>
      <c r="R840" s="18"/>
      <c r="S840" s="18"/>
      <c r="T840" s="18"/>
      <c r="U840" s="18"/>
      <c r="V840" s="18"/>
      <c r="W840" s="18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62" t="s">
        <v>21</v>
      </c>
      <c r="B841" s="62" t="s">
        <v>41</v>
      </c>
      <c r="C841" s="62" t="s">
        <v>42</v>
      </c>
      <c r="D841" s="62" t="s">
        <v>43</v>
      </c>
      <c r="E841" s="62" t="s">
        <v>25</v>
      </c>
      <c r="F841" s="62" t="s">
        <v>25</v>
      </c>
      <c r="G841" s="62" t="s">
        <v>25</v>
      </c>
      <c r="H841" s="62" t="s">
        <v>25</v>
      </c>
      <c r="I841" s="75">
        <v>44348</v>
      </c>
      <c r="J841" s="76">
        <f ca="1">EFEITO!$J$841*EFEITO!$Y$841</f>
        <v>367831.91881940234</v>
      </c>
      <c r="K841" s="76">
        <f>EFEITO!$L$841*EFEITO!$Z$841</f>
        <v>0</v>
      </c>
      <c r="L841" s="76">
        <f>EFEITO!$N$841*EFEITO!$AA$841</f>
        <v>0</v>
      </c>
      <c r="M841" s="76">
        <f ca="1">$J$841-EFEITO!$K$841*EFEITO!$Y$841</f>
        <v>0</v>
      </c>
      <c r="N841" s="76">
        <f>$K$841-EFEITO!$M$841*EFEITO!$Z$841</f>
        <v>0</v>
      </c>
      <c r="O841" s="76">
        <f>$L$841-EFEITO!$O$841*EFEITO!$AA$841</f>
        <v>0</v>
      </c>
      <c r="P841" s="18"/>
      <c r="Q841" s="18"/>
      <c r="R841" s="18"/>
      <c r="S841" s="18"/>
      <c r="T841" s="18"/>
      <c r="U841" s="18"/>
      <c r="V841" s="18"/>
      <c r="W841" s="18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62" t="s">
        <v>28</v>
      </c>
      <c r="B842" s="62" t="s">
        <v>41</v>
      </c>
      <c r="C842" s="62" t="s">
        <v>42</v>
      </c>
      <c r="D842" s="62" t="s">
        <v>43</v>
      </c>
      <c r="E842" s="62" t="s">
        <v>25</v>
      </c>
      <c r="F842" s="62" t="s">
        <v>25</v>
      </c>
      <c r="G842" s="62" t="s">
        <v>25</v>
      </c>
      <c r="H842" s="62" t="s">
        <v>25</v>
      </c>
      <c r="I842" s="75">
        <v>44348</v>
      </c>
      <c r="J842" s="76">
        <f ca="1">EFEITO!$J$842*EFEITO!$Y$842</f>
        <v>69471.414905852114</v>
      </c>
      <c r="K842" s="76">
        <f>EFEITO!$L$842*EFEITO!$Z$842</f>
        <v>0</v>
      </c>
      <c r="L842" s="76">
        <f>EFEITO!$N$842*EFEITO!$AA$842</f>
        <v>0</v>
      </c>
      <c r="M842" s="76">
        <f ca="1">$J$842-EFEITO!$K$842*EFEITO!$Y$842</f>
        <v>0</v>
      </c>
      <c r="N842" s="76">
        <f>$K$842-EFEITO!$M$842*EFEITO!$Z$842</f>
        <v>0</v>
      </c>
      <c r="O842" s="76">
        <f>$L$842-EFEITO!$O$842*EFEITO!$AA$842</f>
        <v>0</v>
      </c>
      <c r="P842" s="18"/>
      <c r="Q842" s="18"/>
      <c r="R842" s="18"/>
      <c r="S842" s="18"/>
      <c r="T842" s="18"/>
      <c r="U842" s="18"/>
      <c r="V842" s="18"/>
      <c r="W842" s="18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62" t="s">
        <v>28</v>
      </c>
      <c r="B843" s="62" t="s">
        <v>41</v>
      </c>
      <c r="C843" s="62" t="s">
        <v>42</v>
      </c>
      <c r="D843" s="62" t="s">
        <v>43</v>
      </c>
      <c r="E843" s="62" t="s">
        <v>25</v>
      </c>
      <c r="F843" s="62" t="s">
        <v>25</v>
      </c>
      <c r="G843" s="62" t="s">
        <v>25</v>
      </c>
      <c r="H843" s="62" t="s">
        <v>25</v>
      </c>
      <c r="I843" s="75">
        <v>44348</v>
      </c>
      <c r="J843" s="76">
        <f ca="1">EFEITO!$J$843*EFEITO!$Y$843</f>
        <v>2265.048276638679</v>
      </c>
      <c r="K843" s="76">
        <f>EFEITO!$L$843*EFEITO!$Z$843</f>
        <v>0</v>
      </c>
      <c r="L843" s="76">
        <f>EFEITO!$N$843*EFEITO!$AA$843</f>
        <v>0</v>
      </c>
      <c r="M843" s="76">
        <f ca="1">$J$843-EFEITO!$K$843*EFEITO!$Y$843</f>
        <v>0</v>
      </c>
      <c r="N843" s="76">
        <f>$K$843-EFEITO!$M$843*EFEITO!$Z$843</f>
        <v>0</v>
      </c>
      <c r="O843" s="76">
        <f>$L$843-EFEITO!$O$843*EFEITO!$AA$843</f>
        <v>0</v>
      </c>
      <c r="P843" s="18"/>
      <c r="Q843" s="18"/>
      <c r="R843" s="18"/>
      <c r="S843" s="18"/>
      <c r="T843" s="18"/>
      <c r="U843" s="18"/>
      <c r="V843" s="18"/>
      <c r="W843" s="18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62" t="s">
        <v>21</v>
      </c>
      <c r="B844" s="62" t="s">
        <v>41</v>
      </c>
      <c r="C844" s="62" t="s">
        <v>42</v>
      </c>
      <c r="D844" s="62" t="s">
        <v>43</v>
      </c>
      <c r="E844" s="62" t="s">
        <v>25</v>
      </c>
      <c r="F844" s="62" t="s">
        <v>25</v>
      </c>
      <c r="G844" s="62" t="s">
        <v>25</v>
      </c>
      <c r="H844" s="62" t="s">
        <v>25</v>
      </c>
      <c r="I844" s="75">
        <v>44378</v>
      </c>
      <c r="J844" s="76">
        <f ca="1">EFEITO!$J$844*EFEITO!$Y$844</f>
        <v>359099.56164762424</v>
      </c>
      <c r="K844" s="76">
        <f>EFEITO!$L$844*EFEITO!$Z$844</f>
        <v>0</v>
      </c>
      <c r="L844" s="76">
        <f>EFEITO!$N$844*EFEITO!$AA$844</f>
        <v>0</v>
      </c>
      <c r="M844" s="76">
        <f ca="1">$J$844-EFEITO!$K$844*EFEITO!$Y$844</f>
        <v>0</v>
      </c>
      <c r="N844" s="76">
        <f>$K$844-EFEITO!$M$844*EFEITO!$Z$844</f>
        <v>0</v>
      </c>
      <c r="O844" s="76">
        <f>$L$844-EFEITO!$O$844*EFEITO!$AA$844</f>
        <v>0</v>
      </c>
      <c r="P844" s="18"/>
      <c r="Q844" s="18"/>
      <c r="R844" s="18"/>
      <c r="S844" s="18"/>
      <c r="T844" s="18"/>
      <c r="U844" s="18"/>
      <c r="V844" s="18"/>
      <c r="W844" s="18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62" t="s">
        <v>28</v>
      </c>
      <c r="B845" s="62" t="s">
        <v>41</v>
      </c>
      <c r="C845" s="62" t="s">
        <v>42</v>
      </c>
      <c r="D845" s="62" t="s">
        <v>43</v>
      </c>
      <c r="E845" s="62" t="s">
        <v>25</v>
      </c>
      <c r="F845" s="62" t="s">
        <v>25</v>
      </c>
      <c r="G845" s="62" t="s">
        <v>25</v>
      </c>
      <c r="H845" s="62" t="s">
        <v>25</v>
      </c>
      <c r="I845" s="75">
        <v>44378</v>
      </c>
      <c r="J845" s="76">
        <f ca="1">EFEITO!$J$845*EFEITO!$Y$845</f>
        <v>77577.903474874751</v>
      </c>
      <c r="K845" s="76">
        <f>EFEITO!$L$845*EFEITO!$Z$845</f>
        <v>0</v>
      </c>
      <c r="L845" s="76">
        <f>EFEITO!$N$845*EFEITO!$AA$845</f>
        <v>0</v>
      </c>
      <c r="M845" s="76">
        <f ca="1">$J$845-EFEITO!$K$845*EFEITO!$Y$845</f>
        <v>0</v>
      </c>
      <c r="N845" s="76">
        <f>$K$845-EFEITO!$M$845*EFEITO!$Z$845</f>
        <v>0</v>
      </c>
      <c r="O845" s="76">
        <f>$L$845-EFEITO!$O$845*EFEITO!$AA$845</f>
        <v>0</v>
      </c>
      <c r="P845" s="18"/>
      <c r="Q845" s="18"/>
      <c r="R845" s="18"/>
      <c r="S845" s="18"/>
      <c r="T845" s="18"/>
      <c r="U845" s="18"/>
      <c r="V845" s="18"/>
      <c r="W845" s="18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62" t="s">
        <v>21</v>
      </c>
      <c r="B846" s="62" t="s">
        <v>41</v>
      </c>
      <c r="C846" s="62" t="s">
        <v>42</v>
      </c>
      <c r="D846" s="62" t="s">
        <v>43</v>
      </c>
      <c r="E846" s="62" t="s">
        <v>25</v>
      </c>
      <c r="F846" s="62" t="s">
        <v>25</v>
      </c>
      <c r="G846" s="62" t="s">
        <v>25</v>
      </c>
      <c r="H846" s="62" t="s">
        <v>25</v>
      </c>
      <c r="I846" s="75">
        <v>44409</v>
      </c>
      <c r="J846" s="76">
        <f ca="1">EFEITO!$J$846*EFEITO!$Y$846</f>
        <v>358056.44730969856</v>
      </c>
      <c r="K846" s="76">
        <f>EFEITO!$L$846*EFEITO!$Z$846</f>
        <v>0</v>
      </c>
      <c r="L846" s="76">
        <f>EFEITO!$N$846*EFEITO!$AA$846</f>
        <v>0</v>
      </c>
      <c r="M846" s="76">
        <f ca="1">$J$846-EFEITO!$K$846*EFEITO!$Y$846</f>
        <v>0</v>
      </c>
      <c r="N846" s="76">
        <f>$K$846-EFEITO!$M$846*EFEITO!$Z$846</f>
        <v>0</v>
      </c>
      <c r="O846" s="76">
        <f>$L$846-EFEITO!$O$846*EFEITO!$AA$846</f>
        <v>0</v>
      </c>
      <c r="P846" s="18"/>
      <c r="Q846" s="18"/>
      <c r="R846" s="18"/>
      <c r="S846" s="18"/>
      <c r="T846" s="18"/>
      <c r="U846" s="18"/>
      <c r="V846" s="18"/>
      <c r="W846" s="18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62" t="s">
        <v>27</v>
      </c>
      <c r="B847" s="62" t="s">
        <v>41</v>
      </c>
      <c r="C847" s="62" t="s">
        <v>42</v>
      </c>
      <c r="D847" s="62" t="s">
        <v>43</v>
      </c>
      <c r="E847" s="62" t="s">
        <v>25</v>
      </c>
      <c r="F847" s="62" t="s">
        <v>25</v>
      </c>
      <c r="G847" s="62" t="s">
        <v>25</v>
      </c>
      <c r="H847" s="62" t="s">
        <v>25</v>
      </c>
      <c r="I847" s="75">
        <v>44409</v>
      </c>
      <c r="J847" s="76">
        <f ca="1">EFEITO!$J$847*EFEITO!$Y$847</f>
        <v>89.409800393632068</v>
      </c>
      <c r="K847" s="76">
        <f>EFEITO!$L$847*EFEITO!$Z$847</f>
        <v>0</v>
      </c>
      <c r="L847" s="76">
        <f>EFEITO!$N$847*EFEITO!$AA$847</f>
        <v>0</v>
      </c>
      <c r="M847" s="76">
        <f ca="1">$J$847-EFEITO!$K$847*EFEITO!$Y$847</f>
        <v>0</v>
      </c>
      <c r="N847" s="76">
        <f>$K$847-EFEITO!$M$847*EFEITO!$Z$847</f>
        <v>0</v>
      </c>
      <c r="O847" s="76">
        <f>$L$847-EFEITO!$O$847*EFEITO!$AA$847</f>
        <v>0</v>
      </c>
      <c r="P847" s="18"/>
      <c r="Q847" s="18"/>
      <c r="R847" s="18"/>
      <c r="S847" s="18"/>
      <c r="T847" s="18"/>
      <c r="U847" s="18"/>
      <c r="V847" s="18"/>
      <c r="W847" s="18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62" t="s">
        <v>28</v>
      </c>
      <c r="B848" s="62" t="s">
        <v>41</v>
      </c>
      <c r="C848" s="62" t="s">
        <v>42</v>
      </c>
      <c r="D848" s="62" t="s">
        <v>43</v>
      </c>
      <c r="E848" s="62" t="s">
        <v>25</v>
      </c>
      <c r="F848" s="62" t="s">
        <v>25</v>
      </c>
      <c r="G848" s="62" t="s">
        <v>25</v>
      </c>
      <c r="H848" s="62" t="s">
        <v>25</v>
      </c>
      <c r="I848" s="75">
        <v>44409</v>
      </c>
      <c r="J848" s="76">
        <f ca="1">EFEITO!$J$848*EFEITO!$Y$848</f>
        <v>79544.919083534667</v>
      </c>
      <c r="K848" s="76">
        <f>EFEITO!$L$848*EFEITO!$Z$848</f>
        <v>0</v>
      </c>
      <c r="L848" s="76">
        <f>EFEITO!$N$848*EFEITO!$AA$848</f>
        <v>0</v>
      </c>
      <c r="M848" s="76">
        <f ca="1">$J$848-EFEITO!$K$848*EFEITO!$Y$848</f>
        <v>0</v>
      </c>
      <c r="N848" s="76">
        <f>$K$848-EFEITO!$M$848*EFEITO!$Z$848</f>
        <v>0</v>
      </c>
      <c r="O848" s="76">
        <f>$L$848-EFEITO!$O$848*EFEITO!$AA$848</f>
        <v>0</v>
      </c>
      <c r="P848" s="18"/>
      <c r="Q848" s="18"/>
      <c r="R848" s="18"/>
      <c r="S848" s="18"/>
      <c r="T848" s="18"/>
      <c r="U848" s="18"/>
      <c r="V848" s="18"/>
      <c r="W848" s="18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62" t="s">
        <v>21</v>
      </c>
      <c r="B849" s="62" t="s">
        <v>41</v>
      </c>
      <c r="C849" s="62" t="s">
        <v>42</v>
      </c>
      <c r="D849" s="62" t="s">
        <v>43</v>
      </c>
      <c r="E849" s="62" t="s">
        <v>25</v>
      </c>
      <c r="F849" s="62" t="s">
        <v>25</v>
      </c>
      <c r="G849" s="62" t="s">
        <v>25</v>
      </c>
      <c r="H849" s="62" t="s">
        <v>25</v>
      </c>
      <c r="I849" s="75">
        <v>44440</v>
      </c>
      <c r="J849" s="76">
        <f ca="1">EFEITO!$J$849*EFEITO!$Y$849</f>
        <v>363331.62553292286</v>
      </c>
      <c r="K849" s="76">
        <f>EFEITO!$L$849*EFEITO!$Z$849</f>
        <v>0</v>
      </c>
      <c r="L849" s="76">
        <f>EFEITO!$N$849*EFEITO!$AA$849</f>
        <v>0</v>
      </c>
      <c r="M849" s="76">
        <f ca="1">$J$849-EFEITO!$K$849*EFEITO!$Y$849</f>
        <v>0</v>
      </c>
      <c r="N849" s="76">
        <f>$K$849-EFEITO!$M$849*EFEITO!$Z$849</f>
        <v>0</v>
      </c>
      <c r="O849" s="76">
        <f>$L$849-EFEITO!$O$849*EFEITO!$AA$849</f>
        <v>0</v>
      </c>
      <c r="P849" s="18"/>
      <c r="Q849" s="18"/>
      <c r="R849" s="18"/>
      <c r="S849" s="18"/>
      <c r="T849" s="18"/>
      <c r="U849" s="18"/>
      <c r="V849" s="18"/>
      <c r="W849" s="18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62" t="s">
        <v>28</v>
      </c>
      <c r="B850" s="62" t="s">
        <v>41</v>
      </c>
      <c r="C850" s="62" t="s">
        <v>42</v>
      </c>
      <c r="D850" s="62" t="s">
        <v>43</v>
      </c>
      <c r="E850" s="62" t="s">
        <v>25</v>
      </c>
      <c r="F850" s="62" t="s">
        <v>25</v>
      </c>
      <c r="G850" s="62" t="s">
        <v>25</v>
      </c>
      <c r="H850" s="62" t="s">
        <v>25</v>
      </c>
      <c r="I850" s="75">
        <v>44440</v>
      </c>
      <c r="J850" s="76">
        <f ca="1">EFEITO!$J$850*EFEITO!$Y$850</f>
        <v>88485.89912289787</v>
      </c>
      <c r="K850" s="76">
        <f>EFEITO!$L$850*EFEITO!$Z$850</f>
        <v>0</v>
      </c>
      <c r="L850" s="76">
        <f>EFEITO!$N$850*EFEITO!$AA$850</f>
        <v>0</v>
      </c>
      <c r="M850" s="76">
        <f ca="1">$J$850-EFEITO!$K$850*EFEITO!$Y$850</f>
        <v>0</v>
      </c>
      <c r="N850" s="76">
        <f>$K$850-EFEITO!$M$850*EFEITO!$Z$850</f>
        <v>0</v>
      </c>
      <c r="O850" s="76">
        <f>$L$850-EFEITO!$O$850*EFEITO!$AA$850</f>
        <v>0</v>
      </c>
      <c r="P850" s="18"/>
      <c r="Q850" s="18"/>
      <c r="R850" s="18"/>
      <c r="S850" s="18"/>
      <c r="T850" s="18"/>
      <c r="U850" s="18"/>
      <c r="V850" s="18"/>
      <c r="W850" s="18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62" t="s">
        <v>21</v>
      </c>
      <c r="B851" s="62" t="s">
        <v>41</v>
      </c>
      <c r="C851" s="62" t="s">
        <v>42</v>
      </c>
      <c r="D851" s="62" t="s">
        <v>43</v>
      </c>
      <c r="E851" s="62" t="s">
        <v>25</v>
      </c>
      <c r="F851" s="62" t="s">
        <v>25</v>
      </c>
      <c r="G851" s="62" t="s">
        <v>25</v>
      </c>
      <c r="H851" s="62" t="s">
        <v>25</v>
      </c>
      <c r="I851" s="75">
        <v>44470</v>
      </c>
      <c r="J851" s="76">
        <f ca="1">EFEITO!$J$851*EFEITO!$Y$851</f>
        <v>359188.97144801787</v>
      </c>
      <c r="K851" s="76">
        <f>EFEITO!$L$851*EFEITO!$Z$851</f>
        <v>0</v>
      </c>
      <c r="L851" s="76">
        <f>EFEITO!$N$851*EFEITO!$AA$851</f>
        <v>0</v>
      </c>
      <c r="M851" s="76">
        <f ca="1">$J$851-EFEITO!$K$851*EFEITO!$Y$851</f>
        <v>0</v>
      </c>
      <c r="N851" s="76">
        <f>$K$851-EFEITO!$M$851*EFEITO!$Z$851</f>
        <v>0</v>
      </c>
      <c r="O851" s="76">
        <f>$L$851-EFEITO!$O$851*EFEITO!$AA$851</f>
        <v>0</v>
      </c>
      <c r="P851" s="18"/>
      <c r="Q851" s="18"/>
      <c r="R851" s="18"/>
      <c r="S851" s="18"/>
      <c r="T851" s="18"/>
      <c r="U851" s="18"/>
      <c r="V851" s="18"/>
      <c r="W851" s="18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62" t="s">
        <v>27</v>
      </c>
      <c r="B852" s="62" t="s">
        <v>41</v>
      </c>
      <c r="C852" s="62" t="s">
        <v>42</v>
      </c>
      <c r="D852" s="62" t="s">
        <v>43</v>
      </c>
      <c r="E852" s="62" t="s">
        <v>25</v>
      </c>
      <c r="F852" s="62" t="s">
        <v>25</v>
      </c>
      <c r="G852" s="62" t="s">
        <v>25</v>
      </c>
      <c r="H852" s="62" t="s">
        <v>25</v>
      </c>
      <c r="I852" s="75">
        <v>44470</v>
      </c>
      <c r="J852" s="76">
        <f ca="1">EFEITO!$J$852*EFEITO!$Y$852</f>
        <v>4172.4573517028302</v>
      </c>
      <c r="K852" s="76">
        <f>EFEITO!$L$852*EFEITO!$Z$852</f>
        <v>0</v>
      </c>
      <c r="L852" s="76">
        <f>EFEITO!$N$852*EFEITO!$AA$852</f>
        <v>0</v>
      </c>
      <c r="M852" s="76">
        <f ca="1">$J$852-EFEITO!$K$852*EFEITO!$Y$852</f>
        <v>0</v>
      </c>
      <c r="N852" s="76">
        <f>$K$852-EFEITO!$M$852*EFEITO!$Z$852</f>
        <v>0</v>
      </c>
      <c r="O852" s="76">
        <f>$L$852-EFEITO!$O$852*EFEITO!$AA$852</f>
        <v>0</v>
      </c>
      <c r="P852" s="18"/>
      <c r="Q852" s="18"/>
      <c r="R852" s="18"/>
      <c r="S852" s="18"/>
      <c r="T852" s="18"/>
      <c r="U852" s="18"/>
      <c r="V852" s="18"/>
      <c r="W852" s="18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62" t="s">
        <v>28</v>
      </c>
      <c r="B853" s="62" t="s">
        <v>41</v>
      </c>
      <c r="C853" s="62" t="s">
        <v>42</v>
      </c>
      <c r="D853" s="62" t="s">
        <v>43</v>
      </c>
      <c r="E853" s="62" t="s">
        <v>25</v>
      </c>
      <c r="F853" s="62" t="s">
        <v>25</v>
      </c>
      <c r="G853" s="62" t="s">
        <v>25</v>
      </c>
      <c r="H853" s="62" t="s">
        <v>25</v>
      </c>
      <c r="I853" s="75">
        <v>44470</v>
      </c>
      <c r="J853" s="76">
        <f ca="1">EFEITO!$J$853*EFEITO!$Y$853</f>
        <v>89946.259195993858</v>
      </c>
      <c r="K853" s="76">
        <f>EFEITO!$L$853*EFEITO!$Z$853</f>
        <v>0</v>
      </c>
      <c r="L853" s="76">
        <f>EFEITO!$N$853*EFEITO!$AA$853</f>
        <v>0</v>
      </c>
      <c r="M853" s="76">
        <f ca="1">$J$853-EFEITO!$K$853*EFEITO!$Y$853</f>
        <v>0</v>
      </c>
      <c r="N853" s="76">
        <f>$K$853-EFEITO!$M$853*EFEITO!$Z$853</f>
        <v>0</v>
      </c>
      <c r="O853" s="76">
        <f>$L$853-EFEITO!$O$853*EFEITO!$AA$853</f>
        <v>0</v>
      </c>
      <c r="P853" s="18"/>
      <c r="Q853" s="18"/>
      <c r="R853" s="18"/>
      <c r="S853" s="18"/>
      <c r="T853" s="18"/>
      <c r="U853" s="18"/>
      <c r="V853" s="18"/>
      <c r="W853" s="18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62" t="s">
        <v>21</v>
      </c>
      <c r="B854" s="62" t="s">
        <v>41</v>
      </c>
      <c r="C854" s="62" t="s">
        <v>42</v>
      </c>
      <c r="D854" s="62" t="s">
        <v>43</v>
      </c>
      <c r="E854" s="62" t="s">
        <v>25</v>
      </c>
      <c r="F854" s="62" t="s">
        <v>25</v>
      </c>
      <c r="G854" s="62" t="s">
        <v>25</v>
      </c>
      <c r="H854" s="62" t="s">
        <v>25</v>
      </c>
      <c r="I854" s="75">
        <v>44501</v>
      </c>
      <c r="J854" s="76">
        <f ca="1">EFEITO!$J$854*EFEITO!$Y$854</f>
        <v>360023.46291835845</v>
      </c>
      <c r="K854" s="76">
        <f>EFEITO!$L$854*EFEITO!$Z$854</f>
        <v>0</v>
      </c>
      <c r="L854" s="76">
        <f>EFEITO!$N$854*EFEITO!$AA$854</f>
        <v>0</v>
      </c>
      <c r="M854" s="76">
        <f ca="1">$J$854-EFEITO!$K$854*EFEITO!$Y$854</f>
        <v>0</v>
      </c>
      <c r="N854" s="76">
        <f>$K$854-EFEITO!$M$854*EFEITO!$Z$854</f>
        <v>0</v>
      </c>
      <c r="O854" s="76">
        <f>$L$854-EFEITO!$O$854*EFEITO!$AA$854</f>
        <v>0</v>
      </c>
      <c r="P854" s="18"/>
      <c r="Q854" s="18"/>
      <c r="R854" s="18"/>
      <c r="S854" s="18"/>
      <c r="T854" s="18"/>
      <c r="U854" s="18"/>
      <c r="V854" s="18"/>
      <c r="W854" s="18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62" t="s">
        <v>28</v>
      </c>
      <c r="B855" s="62" t="s">
        <v>41</v>
      </c>
      <c r="C855" s="62" t="s">
        <v>42</v>
      </c>
      <c r="D855" s="62" t="s">
        <v>43</v>
      </c>
      <c r="E855" s="62" t="s">
        <v>25</v>
      </c>
      <c r="F855" s="62" t="s">
        <v>25</v>
      </c>
      <c r="G855" s="62" t="s">
        <v>25</v>
      </c>
      <c r="H855" s="62" t="s">
        <v>25</v>
      </c>
      <c r="I855" s="75">
        <v>44501</v>
      </c>
      <c r="J855" s="76">
        <f ca="1">EFEITO!$J$855*EFEITO!$Y$855</f>
        <v>90840.357199930178</v>
      </c>
      <c r="K855" s="76">
        <f>EFEITO!$L$855*EFEITO!$Z$855</f>
        <v>0</v>
      </c>
      <c r="L855" s="76">
        <f>EFEITO!$N$855*EFEITO!$AA$855</f>
        <v>0</v>
      </c>
      <c r="M855" s="76">
        <f ca="1">$J$855-EFEITO!$K$855*EFEITO!$Y$855</f>
        <v>0</v>
      </c>
      <c r="N855" s="76">
        <f>$K$855-EFEITO!$M$855*EFEITO!$Z$855</f>
        <v>0</v>
      </c>
      <c r="O855" s="76">
        <f>$L$855-EFEITO!$O$855*EFEITO!$AA$855</f>
        <v>0</v>
      </c>
      <c r="P855" s="18"/>
      <c r="Q855" s="18"/>
      <c r="R855" s="18"/>
      <c r="S855" s="18"/>
      <c r="T855" s="18"/>
      <c r="U855" s="18"/>
      <c r="V855" s="18"/>
      <c r="W855" s="18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62" t="s">
        <v>21</v>
      </c>
      <c r="B856" s="62" t="s">
        <v>41</v>
      </c>
      <c r="C856" s="62" t="s">
        <v>42</v>
      </c>
      <c r="D856" s="62" t="s">
        <v>43</v>
      </c>
      <c r="E856" s="62" t="s">
        <v>25</v>
      </c>
      <c r="F856" s="62" t="s">
        <v>25</v>
      </c>
      <c r="G856" s="62" t="s">
        <v>25</v>
      </c>
      <c r="H856" s="62" t="s">
        <v>25</v>
      </c>
      <c r="I856" s="75">
        <v>44531</v>
      </c>
      <c r="J856" s="76">
        <f ca="1">EFEITO!$J$856*EFEITO!$Y$856</f>
        <v>358175.66037689004</v>
      </c>
      <c r="K856" s="76">
        <f>EFEITO!$L$856*EFEITO!$Z$856</f>
        <v>0</v>
      </c>
      <c r="L856" s="76">
        <f>EFEITO!$N$856*EFEITO!$AA$856</f>
        <v>0</v>
      </c>
      <c r="M856" s="76">
        <f ca="1">$J$856-EFEITO!$K$856*EFEITO!$Y$856</f>
        <v>0</v>
      </c>
      <c r="N856" s="76">
        <f>$K$856-EFEITO!$M$856*EFEITO!$Z$856</f>
        <v>0</v>
      </c>
      <c r="O856" s="76">
        <f>$L$856-EFEITO!$O$856*EFEITO!$AA$856</f>
        <v>0</v>
      </c>
      <c r="P856" s="18"/>
      <c r="Q856" s="18"/>
      <c r="R856" s="18"/>
      <c r="S856" s="18"/>
      <c r="T856" s="18"/>
      <c r="U856" s="18"/>
      <c r="V856" s="18"/>
      <c r="W856" s="18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62" t="s">
        <v>28</v>
      </c>
      <c r="B857" s="62" t="s">
        <v>41</v>
      </c>
      <c r="C857" s="62" t="s">
        <v>42</v>
      </c>
      <c r="D857" s="62" t="s">
        <v>43</v>
      </c>
      <c r="E857" s="62" t="s">
        <v>25</v>
      </c>
      <c r="F857" s="62" t="s">
        <v>25</v>
      </c>
      <c r="G857" s="62" t="s">
        <v>25</v>
      </c>
      <c r="H857" s="62" t="s">
        <v>25</v>
      </c>
      <c r="I857" s="75">
        <v>44531</v>
      </c>
      <c r="J857" s="76">
        <f ca="1">EFEITO!$J$857*EFEITO!$Y$857</f>
        <v>99662.124172101874</v>
      </c>
      <c r="K857" s="76">
        <f>EFEITO!$L$857*EFEITO!$Z$857</f>
        <v>0</v>
      </c>
      <c r="L857" s="76">
        <f>EFEITO!$N$857*EFEITO!$AA$857</f>
        <v>0</v>
      </c>
      <c r="M857" s="76">
        <f ca="1">$J$857-EFEITO!$K$857*EFEITO!$Y$857</f>
        <v>0</v>
      </c>
      <c r="N857" s="76">
        <f>$K$857-EFEITO!$M$857*EFEITO!$Z$857</f>
        <v>0</v>
      </c>
      <c r="O857" s="76">
        <f>$L$857-EFEITO!$O$857*EFEITO!$AA$857</f>
        <v>0</v>
      </c>
      <c r="P857" s="18"/>
      <c r="Q857" s="18"/>
      <c r="R857" s="18"/>
      <c r="S857" s="18"/>
      <c r="T857" s="18"/>
      <c r="U857" s="18"/>
      <c r="V857" s="18"/>
      <c r="W857" s="18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62" t="s">
        <v>21</v>
      </c>
      <c r="B858" s="62" t="s">
        <v>41</v>
      </c>
      <c r="C858" s="62" t="s">
        <v>42</v>
      </c>
      <c r="D858" s="62" t="s">
        <v>43</v>
      </c>
      <c r="E858" s="62" t="s">
        <v>25</v>
      </c>
      <c r="F858" s="62" t="s">
        <v>25</v>
      </c>
      <c r="G858" s="62" t="s">
        <v>25</v>
      </c>
      <c r="H858" s="62" t="s">
        <v>25</v>
      </c>
      <c r="I858" s="75">
        <v>44562</v>
      </c>
      <c r="J858" s="76">
        <f ca="1">EFEITO!$J$858*EFEITO!$Y$858</f>
        <v>342469.33877440868</v>
      </c>
      <c r="K858" s="76">
        <f>EFEITO!$L$858*EFEITO!$Z$858</f>
        <v>0</v>
      </c>
      <c r="L858" s="76">
        <f>EFEITO!$N$858*EFEITO!$AA$858</f>
        <v>0</v>
      </c>
      <c r="M858" s="76">
        <f ca="1">$J$858-EFEITO!$K$858*EFEITO!$Y$858</f>
        <v>0</v>
      </c>
      <c r="N858" s="76">
        <f>$K$858-EFEITO!$M$858*EFEITO!$Z$858</f>
        <v>0</v>
      </c>
      <c r="O858" s="76">
        <f>$L$858-EFEITO!$O$858*EFEITO!$AA$858</f>
        <v>0</v>
      </c>
      <c r="P858" s="18"/>
      <c r="Q858" s="18"/>
      <c r="R858" s="18"/>
      <c r="S858" s="18"/>
      <c r="T858" s="18"/>
      <c r="U858" s="18"/>
      <c r="V858" s="18"/>
      <c r="W858" s="18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62" t="s">
        <v>28</v>
      </c>
      <c r="B859" s="62" t="s">
        <v>41</v>
      </c>
      <c r="C859" s="62" t="s">
        <v>42</v>
      </c>
      <c r="D859" s="62" t="s">
        <v>43</v>
      </c>
      <c r="E859" s="62" t="s">
        <v>25</v>
      </c>
      <c r="F859" s="62" t="s">
        <v>25</v>
      </c>
      <c r="G859" s="62" t="s">
        <v>25</v>
      </c>
      <c r="H859" s="62" t="s">
        <v>25</v>
      </c>
      <c r="I859" s="75">
        <v>44562</v>
      </c>
      <c r="J859" s="76">
        <f ca="1">EFEITO!$J$859*EFEITO!$Y$859</f>
        <v>99989.960106878527</v>
      </c>
      <c r="K859" s="76">
        <f>EFEITO!$L$859*EFEITO!$Z$859</f>
        <v>0</v>
      </c>
      <c r="L859" s="76">
        <f>EFEITO!$N$859*EFEITO!$AA$859</f>
        <v>0</v>
      </c>
      <c r="M859" s="76">
        <f ca="1">$J$859-EFEITO!$K$859*EFEITO!$Y$859</f>
        <v>0</v>
      </c>
      <c r="N859" s="76">
        <f>$K$859-EFEITO!$M$859*EFEITO!$Z$859</f>
        <v>0</v>
      </c>
      <c r="O859" s="76">
        <f>$L$859-EFEITO!$O$859*EFEITO!$AA$859</f>
        <v>0</v>
      </c>
      <c r="P859" s="18"/>
      <c r="Q859" s="18"/>
      <c r="R859" s="18"/>
      <c r="S859" s="18"/>
      <c r="T859" s="18"/>
      <c r="U859" s="18"/>
      <c r="V859" s="18"/>
      <c r="W859" s="18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62" t="s">
        <v>21</v>
      </c>
      <c r="B860" s="62" t="s">
        <v>41</v>
      </c>
      <c r="C860" s="62" t="s">
        <v>42</v>
      </c>
      <c r="D860" s="62" t="s">
        <v>43</v>
      </c>
      <c r="E860" s="62" t="s">
        <v>25</v>
      </c>
      <c r="F860" s="62" t="s">
        <v>25</v>
      </c>
      <c r="G860" s="62" t="s">
        <v>25</v>
      </c>
      <c r="H860" s="62" t="s">
        <v>25</v>
      </c>
      <c r="I860" s="75">
        <v>44593</v>
      </c>
      <c r="J860" s="76">
        <f ca="1">EFEITO!$J$860*EFEITO!$Y$860</f>
        <v>345688.09158857947</v>
      </c>
      <c r="K860" s="76">
        <f>EFEITO!$L$860*EFEITO!$Z$860</f>
        <v>0</v>
      </c>
      <c r="L860" s="76">
        <f>EFEITO!$N$860*EFEITO!$AA$860</f>
        <v>0</v>
      </c>
      <c r="M860" s="76">
        <f ca="1">$J$860-EFEITO!$K$860*EFEITO!$Y$860</f>
        <v>0</v>
      </c>
      <c r="N860" s="76">
        <f>$K$860-EFEITO!$M$860*EFEITO!$Z$860</f>
        <v>0</v>
      </c>
      <c r="O860" s="76">
        <f>$L$860-EFEITO!$O$860*EFEITO!$AA$860</f>
        <v>0</v>
      </c>
      <c r="P860" s="18"/>
      <c r="Q860" s="18"/>
      <c r="R860" s="18"/>
      <c r="S860" s="18"/>
      <c r="T860" s="18"/>
      <c r="U860" s="18"/>
      <c r="V860" s="18"/>
      <c r="W860" s="18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62" t="s">
        <v>28</v>
      </c>
      <c r="B861" s="62" t="s">
        <v>41</v>
      </c>
      <c r="C861" s="62" t="s">
        <v>42</v>
      </c>
      <c r="D861" s="62" t="s">
        <v>43</v>
      </c>
      <c r="E861" s="62" t="s">
        <v>25</v>
      </c>
      <c r="F861" s="62" t="s">
        <v>25</v>
      </c>
      <c r="G861" s="62" t="s">
        <v>25</v>
      </c>
      <c r="H861" s="62" t="s">
        <v>25</v>
      </c>
      <c r="I861" s="75">
        <v>44593</v>
      </c>
      <c r="J861" s="76">
        <f ca="1">EFEITO!$J$861*EFEITO!$Y$861</f>
        <v>101867.56591514481</v>
      </c>
      <c r="K861" s="76">
        <f>EFEITO!$L$861*EFEITO!$Z$861</f>
        <v>0</v>
      </c>
      <c r="L861" s="76">
        <f>EFEITO!$N$861*EFEITO!$AA$861</f>
        <v>0</v>
      </c>
      <c r="M861" s="76">
        <f ca="1">$J$861-EFEITO!$K$861*EFEITO!$Y$861</f>
        <v>0</v>
      </c>
      <c r="N861" s="76">
        <f>$K$861-EFEITO!$M$861*EFEITO!$Z$861</f>
        <v>0</v>
      </c>
      <c r="O861" s="76">
        <f>$L$861-EFEITO!$O$861*EFEITO!$AA$861</f>
        <v>0</v>
      </c>
      <c r="P861" s="18"/>
      <c r="Q861" s="18"/>
      <c r="R861" s="18"/>
      <c r="S861" s="18"/>
      <c r="T861" s="18"/>
      <c r="U861" s="18"/>
      <c r="V861" s="18"/>
      <c r="W861" s="18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62" t="s">
        <v>21</v>
      </c>
      <c r="B862" s="62" t="s">
        <v>41</v>
      </c>
      <c r="C862" s="62" t="s">
        <v>42</v>
      </c>
      <c r="D862" s="62" t="s">
        <v>43</v>
      </c>
      <c r="E862" s="62" t="s">
        <v>25</v>
      </c>
      <c r="F862" s="62" t="s">
        <v>25</v>
      </c>
      <c r="G862" s="62" t="s">
        <v>25</v>
      </c>
      <c r="H862" s="62" t="s">
        <v>25</v>
      </c>
      <c r="I862" s="75">
        <v>44621</v>
      </c>
      <c r="J862" s="76">
        <f ca="1">EFEITO!$J$862*EFEITO!$Y$862</f>
        <v>325213.24729843769</v>
      </c>
      <c r="K862" s="76">
        <f>EFEITO!$L$862*EFEITO!$Z$862</f>
        <v>0</v>
      </c>
      <c r="L862" s="76">
        <f>EFEITO!$N$862*EFEITO!$AA$862</f>
        <v>0</v>
      </c>
      <c r="M862" s="76">
        <f ca="1">$J$862-EFEITO!$K$862*EFEITO!$Y$862</f>
        <v>0</v>
      </c>
      <c r="N862" s="76">
        <f>$K$862-EFEITO!$M$862*EFEITO!$Z$862</f>
        <v>0</v>
      </c>
      <c r="O862" s="76">
        <f>$L$862-EFEITO!$O$862*EFEITO!$AA$862</f>
        <v>0</v>
      </c>
      <c r="P862" s="18"/>
      <c r="Q862" s="18"/>
      <c r="R862" s="18"/>
      <c r="S862" s="18"/>
      <c r="T862" s="18"/>
      <c r="U862" s="18"/>
      <c r="V862" s="18"/>
      <c r="W862" s="18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62" t="s">
        <v>27</v>
      </c>
      <c r="B863" s="62" t="s">
        <v>41</v>
      </c>
      <c r="C863" s="62" t="s">
        <v>42</v>
      </c>
      <c r="D863" s="62" t="s">
        <v>43</v>
      </c>
      <c r="E863" s="62" t="s">
        <v>25</v>
      </c>
      <c r="F863" s="62" t="s">
        <v>25</v>
      </c>
      <c r="G863" s="62" t="s">
        <v>25</v>
      </c>
      <c r="H863" s="62" t="s">
        <v>25</v>
      </c>
      <c r="I863" s="75">
        <v>44621</v>
      </c>
      <c r="J863" s="76">
        <f ca="1">EFEITO!$J$863*EFEITO!$Y$863</f>
        <v>-12994.224323874527</v>
      </c>
      <c r="K863" s="76">
        <f>EFEITO!$L$863*EFEITO!$Z$863</f>
        <v>0</v>
      </c>
      <c r="L863" s="76">
        <f>EFEITO!$N$863*EFEITO!$AA$863</f>
        <v>0</v>
      </c>
      <c r="M863" s="76">
        <f ca="1">$J$863-EFEITO!$K$863*EFEITO!$Y$863</f>
        <v>0</v>
      </c>
      <c r="N863" s="76">
        <f>$K$863-EFEITO!$M$863*EFEITO!$Z$863</f>
        <v>0</v>
      </c>
      <c r="O863" s="76">
        <f>$L$863-EFEITO!$O$863*EFEITO!$AA$863</f>
        <v>0</v>
      </c>
      <c r="P863" s="18"/>
      <c r="Q863" s="18"/>
      <c r="R863" s="18"/>
      <c r="S863" s="18"/>
      <c r="T863" s="18"/>
      <c r="U863" s="18"/>
      <c r="V863" s="18"/>
      <c r="W863" s="18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62" t="s">
        <v>28</v>
      </c>
      <c r="B864" s="62" t="s">
        <v>41</v>
      </c>
      <c r="C864" s="62" t="s">
        <v>42</v>
      </c>
      <c r="D864" s="62" t="s">
        <v>43</v>
      </c>
      <c r="E864" s="62" t="s">
        <v>25</v>
      </c>
      <c r="F864" s="62" t="s">
        <v>25</v>
      </c>
      <c r="G864" s="62" t="s">
        <v>25</v>
      </c>
      <c r="H864" s="62" t="s">
        <v>25</v>
      </c>
      <c r="I864" s="75">
        <v>44621</v>
      </c>
      <c r="J864" s="76">
        <f ca="1">EFEITO!$J$864*EFEITO!$Y$864</f>
        <v>106069.82653364551</v>
      </c>
      <c r="K864" s="76">
        <f>EFEITO!$L$864*EFEITO!$Z$864</f>
        <v>0</v>
      </c>
      <c r="L864" s="76">
        <f>EFEITO!$N$864*EFEITO!$AA$864</f>
        <v>0</v>
      </c>
      <c r="M864" s="76">
        <f ca="1">$J$864-EFEITO!$K$864*EFEITO!$Y$864</f>
        <v>0</v>
      </c>
      <c r="N864" s="76">
        <f>$K$864-EFEITO!$M$864*EFEITO!$Z$864</f>
        <v>0</v>
      </c>
      <c r="O864" s="76">
        <f>$L$864-EFEITO!$O$864*EFEITO!$AA$864</f>
        <v>0</v>
      </c>
      <c r="P864" s="18"/>
      <c r="Q864" s="18"/>
      <c r="R864" s="18"/>
      <c r="S864" s="18"/>
      <c r="T864" s="18"/>
      <c r="U864" s="18"/>
      <c r="V864" s="18"/>
      <c r="W864" s="18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62" t="s">
        <v>21</v>
      </c>
      <c r="B865" s="62" t="s">
        <v>41</v>
      </c>
      <c r="C865" s="62" t="s">
        <v>42</v>
      </c>
      <c r="D865" s="62" t="s">
        <v>43</v>
      </c>
      <c r="E865" s="62" t="s">
        <v>25</v>
      </c>
      <c r="F865" s="62" t="s">
        <v>25</v>
      </c>
      <c r="G865" s="62" t="s">
        <v>25</v>
      </c>
      <c r="H865" s="62" t="s">
        <v>25</v>
      </c>
      <c r="I865" s="75">
        <v>44652</v>
      </c>
      <c r="J865" s="76">
        <f ca="1">EFEITO!$J$865*EFEITO!$Y$865</f>
        <v>312278.62950815895</v>
      </c>
      <c r="K865" s="76">
        <f>EFEITO!$L$865*EFEITO!$Z$865</f>
        <v>0</v>
      </c>
      <c r="L865" s="76">
        <f>EFEITO!$N$865*EFEITO!$AA$865</f>
        <v>0</v>
      </c>
      <c r="M865" s="76">
        <f ca="1">$J$865-EFEITO!$K$865*EFEITO!$Y$865</f>
        <v>0</v>
      </c>
      <c r="N865" s="76">
        <f>$K$865-EFEITO!$M$865*EFEITO!$Z$865</f>
        <v>0</v>
      </c>
      <c r="O865" s="76">
        <f>$L$865-EFEITO!$O$865*EFEITO!$AA$865</f>
        <v>0</v>
      </c>
      <c r="P865" s="18"/>
      <c r="Q865" s="18"/>
      <c r="R865" s="18"/>
      <c r="S865" s="18"/>
      <c r="T865" s="18"/>
      <c r="U865" s="18"/>
      <c r="V865" s="18"/>
      <c r="W865" s="18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62" t="s">
        <v>28</v>
      </c>
      <c r="B866" s="62" t="s">
        <v>41</v>
      </c>
      <c r="C866" s="62" t="s">
        <v>42</v>
      </c>
      <c r="D866" s="62" t="s">
        <v>43</v>
      </c>
      <c r="E866" s="62" t="s">
        <v>25</v>
      </c>
      <c r="F866" s="62" t="s">
        <v>25</v>
      </c>
      <c r="G866" s="62" t="s">
        <v>25</v>
      </c>
      <c r="H866" s="62" t="s">
        <v>25</v>
      </c>
      <c r="I866" s="75">
        <v>44652</v>
      </c>
      <c r="J866" s="76">
        <f ca="1">EFEITO!$J$866*EFEITO!$Y$866</f>
        <v>102702.05738548537</v>
      </c>
      <c r="K866" s="76">
        <f>EFEITO!$L$866*EFEITO!$Z$866</f>
        <v>0</v>
      </c>
      <c r="L866" s="76">
        <f>EFEITO!$N$866*EFEITO!$AA$866</f>
        <v>0</v>
      </c>
      <c r="M866" s="76">
        <f ca="1">$J$866-EFEITO!$K$866*EFEITO!$Y$866</f>
        <v>0</v>
      </c>
      <c r="N866" s="76">
        <f>$K$866-EFEITO!$M$866*EFEITO!$Z$866</f>
        <v>0</v>
      </c>
      <c r="O866" s="76">
        <f>$L$866-EFEITO!$O$866*EFEITO!$AA$866</f>
        <v>0</v>
      </c>
      <c r="P866" s="18"/>
      <c r="Q866" s="18"/>
      <c r="R866" s="18"/>
      <c r="S866" s="18"/>
      <c r="T866" s="18"/>
      <c r="U866" s="18"/>
      <c r="V866" s="18"/>
      <c r="W866" s="18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62" t="s">
        <v>58</v>
      </c>
      <c r="B867" s="62" t="s">
        <v>41</v>
      </c>
      <c r="C867" s="62" t="s">
        <v>42</v>
      </c>
      <c r="D867" s="62" t="s">
        <v>43</v>
      </c>
      <c r="E867" s="62" t="s">
        <v>25</v>
      </c>
      <c r="F867" s="62" t="s">
        <v>25</v>
      </c>
      <c r="G867" s="62" t="s">
        <v>25</v>
      </c>
      <c r="H867" s="62" t="s">
        <v>25</v>
      </c>
      <c r="I867" s="75">
        <v>44682</v>
      </c>
      <c r="J867" s="76">
        <f ca="1">EFEITO!$J$867*EFEITO!$Y$867</f>
        <v>312278.62950815895</v>
      </c>
      <c r="K867" s="76">
        <f>EFEITO!$L$867*EFEITO!$Z$867</f>
        <v>0</v>
      </c>
      <c r="L867" s="76">
        <f>EFEITO!$N$867*EFEITO!$AA$867</f>
        <v>0</v>
      </c>
      <c r="M867" s="76">
        <f ca="1">$J$867-EFEITO!$K$867*EFEITO!$Y$867</f>
        <v>0</v>
      </c>
      <c r="N867" s="76">
        <f>$K$867-EFEITO!$M$867*EFEITO!$Z$867</f>
        <v>0</v>
      </c>
      <c r="O867" s="76">
        <f>$L$867-EFEITO!$O$867*EFEITO!$AA$867</f>
        <v>0</v>
      </c>
      <c r="P867" s="18"/>
      <c r="Q867" s="18"/>
      <c r="R867" s="18"/>
      <c r="S867" s="18"/>
      <c r="T867" s="18"/>
      <c r="U867" s="18"/>
      <c r="V867" s="18"/>
      <c r="W867" s="18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62" t="s">
        <v>58</v>
      </c>
      <c r="B868" s="62" t="s">
        <v>41</v>
      </c>
      <c r="C868" s="62" t="s">
        <v>42</v>
      </c>
      <c r="D868" s="62" t="s">
        <v>43</v>
      </c>
      <c r="E868" s="62" t="s">
        <v>25</v>
      </c>
      <c r="F868" s="62" t="s">
        <v>25</v>
      </c>
      <c r="G868" s="62" t="s">
        <v>25</v>
      </c>
      <c r="H868" s="62" t="s">
        <v>25</v>
      </c>
      <c r="I868" s="75">
        <v>44682</v>
      </c>
      <c r="J868" s="76">
        <f ca="1">EFEITO!$J$868*EFEITO!$Y$868</f>
        <v>102702.05738548537</v>
      </c>
      <c r="K868" s="76">
        <f>EFEITO!$L$868*EFEITO!$Z$868</f>
        <v>0</v>
      </c>
      <c r="L868" s="76">
        <f>EFEITO!$N$868*EFEITO!$AA$868</f>
        <v>0</v>
      </c>
      <c r="M868" s="76">
        <f ca="1">$J$868-EFEITO!$K$868*EFEITO!$Y$868</f>
        <v>0</v>
      </c>
      <c r="N868" s="76">
        <f>$K$868-EFEITO!$M$868*EFEITO!$Z$868</f>
        <v>0</v>
      </c>
      <c r="O868" s="76">
        <f>$L$868-EFEITO!$O$868*EFEITO!$AA$868</f>
        <v>0</v>
      </c>
      <c r="P868" s="18"/>
      <c r="Q868" s="18"/>
      <c r="R868" s="18"/>
      <c r="S868" s="18"/>
      <c r="T868" s="18"/>
      <c r="U868" s="18"/>
      <c r="V868" s="18"/>
      <c r="W868" s="18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62" t="s">
        <v>21</v>
      </c>
      <c r="B869" s="62" t="s">
        <v>41</v>
      </c>
      <c r="C869" s="62" t="s">
        <v>42</v>
      </c>
      <c r="D869" s="62" t="s">
        <v>43</v>
      </c>
      <c r="E869" s="62" t="s">
        <v>25</v>
      </c>
      <c r="F869" s="62" t="s">
        <v>25</v>
      </c>
      <c r="G869" s="62" t="s">
        <v>25</v>
      </c>
      <c r="H869" s="62" t="s">
        <v>34</v>
      </c>
      <c r="I869" s="75">
        <v>44348</v>
      </c>
      <c r="J869" s="76">
        <f>EFEITO!$J$869*EFEITO!$Y$869</f>
        <v>0</v>
      </c>
      <c r="K869" s="76">
        <f ca="1">EFEITO!$L$869*EFEITO!$Z$869</f>
        <v>302613.19369348529</v>
      </c>
      <c r="L869" s="76">
        <f>EFEITO!$N$869*EFEITO!$AA$869</f>
        <v>78352.340605612742</v>
      </c>
      <c r="M869" s="76">
        <f>$J$869-EFEITO!$K$869*EFEITO!$Y$869</f>
        <v>0</v>
      </c>
      <c r="N869" s="76">
        <f ca="1">$K$869-EFEITO!$M$869*EFEITO!$Z$869</f>
        <v>0</v>
      </c>
      <c r="O869" s="76">
        <f>$L$869-EFEITO!$O$869*EFEITO!$AA$869</f>
        <v>0</v>
      </c>
      <c r="P869" s="18"/>
      <c r="Q869" s="18"/>
      <c r="R869" s="18"/>
      <c r="S869" s="18"/>
      <c r="T869" s="18"/>
      <c r="U869" s="18"/>
      <c r="V869" s="18"/>
      <c r="W869" s="18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62" t="s">
        <v>27</v>
      </c>
      <c r="B870" s="62" t="s">
        <v>41</v>
      </c>
      <c r="C870" s="62" t="s">
        <v>42</v>
      </c>
      <c r="D870" s="62" t="s">
        <v>43</v>
      </c>
      <c r="E870" s="62" t="s">
        <v>25</v>
      </c>
      <c r="F870" s="62" t="s">
        <v>25</v>
      </c>
      <c r="G870" s="62" t="s">
        <v>25</v>
      </c>
      <c r="H870" s="62" t="s">
        <v>34</v>
      </c>
      <c r="I870" s="75">
        <v>44348</v>
      </c>
      <c r="J870" s="76">
        <f>EFEITO!$J$870*EFEITO!$Y$870</f>
        <v>0</v>
      </c>
      <c r="K870" s="76">
        <f ca="1">EFEITO!$L$870*EFEITO!$Z$870</f>
        <v>-2363.9039457363592</v>
      </c>
      <c r="L870" s="76">
        <f>EFEITO!$N$870*EFEITO!$AA$870</f>
        <v>-612.05991997458148</v>
      </c>
      <c r="M870" s="76">
        <f>$J$870-EFEITO!$K$870*EFEITO!$Y$870</f>
        <v>0</v>
      </c>
      <c r="N870" s="76">
        <f ca="1">$K$870-EFEITO!$M$870*EFEITO!$Z$870</f>
        <v>0</v>
      </c>
      <c r="O870" s="76">
        <f>$L$870-EFEITO!$O$870*EFEITO!$AA$870</f>
        <v>0</v>
      </c>
      <c r="P870" s="18"/>
      <c r="Q870" s="18"/>
      <c r="R870" s="18"/>
      <c r="S870" s="18"/>
      <c r="T870" s="18"/>
      <c r="U870" s="18"/>
      <c r="V870" s="18"/>
      <c r="W870" s="18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62" t="s">
        <v>28</v>
      </c>
      <c r="B871" s="62" t="s">
        <v>41</v>
      </c>
      <c r="C871" s="62" t="s">
        <v>42</v>
      </c>
      <c r="D871" s="62" t="s">
        <v>43</v>
      </c>
      <c r="E871" s="62" t="s">
        <v>25</v>
      </c>
      <c r="F871" s="62" t="s">
        <v>25</v>
      </c>
      <c r="G871" s="62" t="s">
        <v>25</v>
      </c>
      <c r="H871" s="62" t="s">
        <v>34</v>
      </c>
      <c r="I871" s="75">
        <v>44348</v>
      </c>
      <c r="J871" s="76">
        <f>EFEITO!$J$871*EFEITO!$Y$871</f>
        <v>0</v>
      </c>
      <c r="K871" s="76">
        <f ca="1">EFEITO!$L$871*EFEITO!$Z$871</f>
        <v>28445.644147027524</v>
      </c>
      <c r="L871" s="76">
        <f>EFEITO!$N$871*EFEITO!$AA$871</f>
        <v>7365.1210370274639</v>
      </c>
      <c r="M871" s="76">
        <f>$J$871-EFEITO!$K$871*EFEITO!$Y$871</f>
        <v>0</v>
      </c>
      <c r="N871" s="76">
        <f ca="1">$K$871-EFEITO!$M$871*EFEITO!$Z$871</f>
        <v>0</v>
      </c>
      <c r="O871" s="76">
        <f>$L$871-EFEITO!$O$871*EFEITO!$AA$871</f>
        <v>0</v>
      </c>
      <c r="P871" s="18"/>
      <c r="Q871" s="18"/>
      <c r="R871" s="18"/>
      <c r="S871" s="18"/>
      <c r="T871" s="18"/>
      <c r="U871" s="18"/>
      <c r="V871" s="18"/>
      <c r="W871" s="18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62" t="s">
        <v>28</v>
      </c>
      <c r="B872" s="62" t="s">
        <v>41</v>
      </c>
      <c r="C872" s="62" t="s">
        <v>42</v>
      </c>
      <c r="D872" s="62" t="s">
        <v>43</v>
      </c>
      <c r="E872" s="62" t="s">
        <v>25</v>
      </c>
      <c r="F872" s="62" t="s">
        <v>25</v>
      </c>
      <c r="G872" s="62" t="s">
        <v>25</v>
      </c>
      <c r="H872" s="62" t="s">
        <v>34</v>
      </c>
      <c r="I872" s="75">
        <v>44348</v>
      </c>
      <c r="J872" s="76">
        <f>EFEITO!$J$872*EFEITO!$Y$872</f>
        <v>0</v>
      </c>
      <c r="K872" s="76">
        <f ca="1">EFEITO!$L$872*EFEITO!$Z$872</f>
        <v>2718.4895375968131</v>
      </c>
      <c r="L872" s="76">
        <f>EFEITO!$N$872*EFEITO!$AA$872</f>
        <v>703.86890797076865</v>
      </c>
      <c r="M872" s="76">
        <f>$J$872-EFEITO!$K$872*EFEITO!$Y$872</f>
        <v>0</v>
      </c>
      <c r="N872" s="76">
        <f ca="1">$K$872-EFEITO!$M$872*EFEITO!$Z$872</f>
        <v>0</v>
      </c>
      <c r="O872" s="76">
        <f>$L$872-EFEITO!$O$872*EFEITO!$AA$872</f>
        <v>0</v>
      </c>
      <c r="P872" s="18"/>
      <c r="Q872" s="18"/>
      <c r="R872" s="18"/>
      <c r="S872" s="18"/>
      <c r="T872" s="18"/>
      <c r="U872" s="18"/>
      <c r="V872" s="18"/>
      <c r="W872" s="18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62" t="s">
        <v>21</v>
      </c>
      <c r="B873" s="62" t="s">
        <v>41</v>
      </c>
      <c r="C873" s="62" t="s">
        <v>42</v>
      </c>
      <c r="D873" s="62" t="s">
        <v>43</v>
      </c>
      <c r="E873" s="62" t="s">
        <v>25</v>
      </c>
      <c r="F873" s="62" t="s">
        <v>25</v>
      </c>
      <c r="G873" s="62" t="s">
        <v>25</v>
      </c>
      <c r="H873" s="62" t="s">
        <v>34</v>
      </c>
      <c r="I873" s="75">
        <v>44378</v>
      </c>
      <c r="J873" s="76">
        <f>EFEITO!$J$873*EFEITO!$Y$873</f>
        <v>0</v>
      </c>
      <c r="K873" s="76">
        <f ca="1">EFEITO!$L$873*EFEITO!$Z$873</f>
        <v>268182.93272383523</v>
      </c>
      <c r="L873" s="76">
        <f>EFEITO!$N$873*EFEITO!$AA$873</f>
        <v>69437.687871182963</v>
      </c>
      <c r="M873" s="76">
        <f>$J$873-EFEITO!$K$873*EFEITO!$Y$873</f>
        <v>0</v>
      </c>
      <c r="N873" s="76">
        <f ca="1">$K$873-EFEITO!$M$873*EFEITO!$Z$873</f>
        <v>0</v>
      </c>
      <c r="O873" s="76">
        <f>$L$873-EFEITO!$O$873*EFEITO!$AA$873</f>
        <v>0</v>
      </c>
      <c r="P873" s="18"/>
      <c r="Q873" s="18"/>
      <c r="R873" s="18"/>
      <c r="S873" s="18"/>
      <c r="T873" s="18"/>
      <c r="U873" s="18"/>
      <c r="V873" s="18"/>
      <c r="W873" s="18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62" t="s">
        <v>27</v>
      </c>
      <c r="B874" s="62" t="s">
        <v>41</v>
      </c>
      <c r="C874" s="62" t="s">
        <v>42</v>
      </c>
      <c r="D874" s="62" t="s">
        <v>43</v>
      </c>
      <c r="E874" s="62" t="s">
        <v>25</v>
      </c>
      <c r="F874" s="62" t="s">
        <v>25</v>
      </c>
      <c r="G874" s="62" t="s">
        <v>25</v>
      </c>
      <c r="H874" s="62" t="s">
        <v>34</v>
      </c>
      <c r="I874" s="75">
        <v>44378</v>
      </c>
      <c r="J874" s="76">
        <f>EFEITO!$J$874*EFEITO!$Y$874</f>
        <v>0</v>
      </c>
      <c r="K874" s="76">
        <f ca="1">EFEITO!$L$874*EFEITO!$Z$874</f>
        <v>709.17118372090783</v>
      </c>
      <c r="L874" s="76">
        <f>EFEITO!$N$874*EFEITO!$AA$874</f>
        <v>183.61797599237445</v>
      </c>
      <c r="M874" s="76">
        <f>$J$874-EFEITO!$K$874*EFEITO!$Y$874</f>
        <v>0</v>
      </c>
      <c r="N874" s="76">
        <f ca="1">$K$874-EFEITO!$M$874*EFEITO!$Z$874</f>
        <v>0</v>
      </c>
      <c r="O874" s="76">
        <f>$L$874-EFEITO!$O$874*EFEITO!$AA$874</f>
        <v>0</v>
      </c>
      <c r="P874" s="18"/>
      <c r="Q874" s="18"/>
      <c r="R874" s="18"/>
      <c r="S874" s="18"/>
      <c r="T874" s="18"/>
      <c r="U874" s="18"/>
      <c r="V874" s="18"/>
      <c r="W874" s="18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62" t="s">
        <v>28</v>
      </c>
      <c r="B875" s="62" t="s">
        <v>41</v>
      </c>
      <c r="C875" s="62" t="s">
        <v>42</v>
      </c>
      <c r="D875" s="62" t="s">
        <v>43</v>
      </c>
      <c r="E875" s="62" t="s">
        <v>25</v>
      </c>
      <c r="F875" s="62" t="s">
        <v>25</v>
      </c>
      <c r="G875" s="62" t="s">
        <v>25</v>
      </c>
      <c r="H875" s="62" t="s">
        <v>34</v>
      </c>
      <c r="I875" s="75">
        <v>44378</v>
      </c>
      <c r="J875" s="76">
        <f>EFEITO!$J$875*EFEITO!$Y$875</f>
        <v>0</v>
      </c>
      <c r="K875" s="76">
        <f ca="1">EFEITO!$L$875*EFEITO!$Z$875</f>
        <v>41529.852486678275</v>
      </c>
      <c r="L875" s="76">
        <f>EFEITO!$N$875*EFEITO!$AA$875</f>
        <v>10752.872694086773</v>
      </c>
      <c r="M875" s="76">
        <f>$J$875-EFEITO!$K$875*EFEITO!$Y$875</f>
        <v>0</v>
      </c>
      <c r="N875" s="76">
        <f ca="1">$K$875-EFEITO!$M$875*EFEITO!$Z$875</f>
        <v>0</v>
      </c>
      <c r="O875" s="76">
        <f>$L$875-EFEITO!$O$875*EFEITO!$AA$875</f>
        <v>0</v>
      </c>
      <c r="P875" s="18"/>
      <c r="Q875" s="18"/>
      <c r="R875" s="18"/>
      <c r="S875" s="18"/>
      <c r="T875" s="18"/>
      <c r="U875" s="18"/>
      <c r="V875" s="18"/>
      <c r="W875" s="18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62" t="s">
        <v>21</v>
      </c>
      <c r="B876" s="62" t="s">
        <v>41</v>
      </c>
      <c r="C876" s="62" t="s">
        <v>42</v>
      </c>
      <c r="D876" s="62" t="s">
        <v>43</v>
      </c>
      <c r="E876" s="62" t="s">
        <v>25</v>
      </c>
      <c r="F876" s="62" t="s">
        <v>25</v>
      </c>
      <c r="G876" s="62" t="s">
        <v>25</v>
      </c>
      <c r="H876" s="62" t="s">
        <v>34</v>
      </c>
      <c r="I876" s="75">
        <v>44409</v>
      </c>
      <c r="J876" s="76">
        <f>EFEITO!$J$876*EFEITO!$Y$876</f>
        <v>0</v>
      </c>
      <c r="K876" s="76">
        <f ca="1">EFEITO!$L$876*EFEITO!$Z$876</f>
        <v>337307.42393707595</v>
      </c>
      <c r="L876" s="76">
        <f>EFEITO!$N$876*EFEITO!$AA$876</f>
        <v>87335.34003110636</v>
      </c>
      <c r="M876" s="76">
        <f>$J$876-EFEITO!$K$876*EFEITO!$Y$876</f>
        <v>0</v>
      </c>
      <c r="N876" s="76">
        <f ca="1">$K$876-EFEITO!$M$876*EFEITO!$Z$876</f>
        <v>0</v>
      </c>
      <c r="O876" s="76">
        <f>$L$876-EFEITO!$O$876*EFEITO!$AA$876</f>
        <v>0</v>
      </c>
      <c r="P876" s="18"/>
      <c r="Q876" s="18"/>
      <c r="R876" s="18"/>
      <c r="S876" s="18"/>
      <c r="T876" s="18"/>
      <c r="U876" s="18"/>
      <c r="V876" s="18"/>
      <c r="W876" s="18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62" t="s">
        <v>28</v>
      </c>
      <c r="B877" s="62" t="s">
        <v>41</v>
      </c>
      <c r="C877" s="62" t="s">
        <v>42</v>
      </c>
      <c r="D877" s="62" t="s">
        <v>43</v>
      </c>
      <c r="E877" s="62" t="s">
        <v>25</v>
      </c>
      <c r="F877" s="62" t="s">
        <v>25</v>
      </c>
      <c r="G877" s="62" t="s">
        <v>25</v>
      </c>
      <c r="H877" s="62" t="s">
        <v>34</v>
      </c>
      <c r="I877" s="75">
        <v>44409</v>
      </c>
      <c r="J877" s="76">
        <f>EFEITO!$J$877*EFEITO!$Y$877</f>
        <v>0</v>
      </c>
      <c r="K877" s="76">
        <f ca="1">EFEITO!$L$877*EFEITO!$Z$877</f>
        <v>38283.424401200347</v>
      </c>
      <c r="L877" s="76">
        <f>EFEITO!$N$877*EFEITO!$AA$877</f>
        <v>9912.3104039883474</v>
      </c>
      <c r="M877" s="76">
        <f>$J$877-EFEITO!$K$877*EFEITO!$Y$877</f>
        <v>0</v>
      </c>
      <c r="N877" s="76">
        <f ca="1">$K$877-EFEITO!$M$877*EFEITO!$Z$877</f>
        <v>0</v>
      </c>
      <c r="O877" s="76">
        <f>$L$877-EFEITO!$O$877*EFEITO!$AA$877</f>
        <v>0</v>
      </c>
      <c r="P877" s="18"/>
      <c r="Q877" s="18"/>
      <c r="R877" s="18"/>
      <c r="S877" s="18"/>
      <c r="T877" s="18"/>
      <c r="U877" s="18"/>
      <c r="V877" s="18"/>
      <c r="W877" s="18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62" t="s">
        <v>21</v>
      </c>
      <c r="B878" s="62" t="s">
        <v>41</v>
      </c>
      <c r="C878" s="62" t="s">
        <v>42</v>
      </c>
      <c r="D878" s="62" t="s">
        <v>43</v>
      </c>
      <c r="E878" s="62" t="s">
        <v>25</v>
      </c>
      <c r="F878" s="62" t="s">
        <v>25</v>
      </c>
      <c r="G878" s="62" t="s">
        <v>25</v>
      </c>
      <c r="H878" s="62" t="s">
        <v>34</v>
      </c>
      <c r="I878" s="75">
        <v>44440</v>
      </c>
      <c r="J878" s="76">
        <f>EFEITO!$J$878*EFEITO!$Y$878</f>
        <v>0</v>
      </c>
      <c r="K878" s="76">
        <f ca="1">EFEITO!$L$878*EFEITO!$Z$878</f>
        <v>370872.89004657743</v>
      </c>
      <c r="L878" s="76">
        <f>EFEITO!$N$878*EFEITO!$AA$878</f>
        <v>96026.080844812095</v>
      </c>
      <c r="M878" s="76">
        <f>$J$878-EFEITO!$K$878*EFEITO!$Y$878</f>
        <v>0</v>
      </c>
      <c r="N878" s="76">
        <f ca="1">$K$878-EFEITO!$M$878*EFEITO!$Z$878</f>
        <v>0</v>
      </c>
      <c r="O878" s="76">
        <f>$L$878-EFEITO!$O$878*EFEITO!$AA$878</f>
        <v>0</v>
      </c>
      <c r="P878" s="18"/>
      <c r="Q878" s="18"/>
      <c r="R878" s="18"/>
      <c r="S878" s="18"/>
      <c r="T878" s="18"/>
      <c r="U878" s="18"/>
      <c r="V878" s="18"/>
      <c r="W878" s="18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62" t="s">
        <v>28</v>
      </c>
      <c r="B879" s="62" t="s">
        <v>41</v>
      </c>
      <c r="C879" s="62" t="s">
        <v>42</v>
      </c>
      <c r="D879" s="62" t="s">
        <v>43</v>
      </c>
      <c r="E879" s="62" t="s">
        <v>25</v>
      </c>
      <c r="F879" s="62" t="s">
        <v>25</v>
      </c>
      <c r="G879" s="62" t="s">
        <v>25</v>
      </c>
      <c r="H879" s="62" t="s">
        <v>34</v>
      </c>
      <c r="I879" s="75">
        <v>44440</v>
      </c>
      <c r="J879" s="76">
        <f>EFEITO!$J$879*EFEITO!$Y$879</f>
        <v>0</v>
      </c>
      <c r="K879" s="76">
        <f ca="1">EFEITO!$L$879*EFEITO!$Z$879</f>
        <v>51091.843947181849</v>
      </c>
      <c r="L879" s="76">
        <f>EFEITO!$N$879*EFEITO!$AA$879</f>
        <v>13228.655070383955</v>
      </c>
      <c r="M879" s="76">
        <f>$J$879-EFEITO!$K$879*EFEITO!$Y$879</f>
        <v>0</v>
      </c>
      <c r="N879" s="76">
        <f ca="1">$K$879-EFEITO!$M$879*EFEITO!$Z$879</f>
        <v>0</v>
      </c>
      <c r="O879" s="76">
        <f>$L$879-EFEITO!$O$879*EFEITO!$AA$879</f>
        <v>0</v>
      </c>
      <c r="P879" s="18"/>
      <c r="Q879" s="18"/>
      <c r="R879" s="18"/>
      <c r="S879" s="18"/>
      <c r="T879" s="18"/>
      <c r="U879" s="18"/>
      <c r="V879" s="18"/>
      <c r="W879" s="18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62" t="s">
        <v>21</v>
      </c>
      <c r="B880" s="62" t="s">
        <v>41</v>
      </c>
      <c r="C880" s="62" t="s">
        <v>42</v>
      </c>
      <c r="D880" s="62" t="s">
        <v>43</v>
      </c>
      <c r="E880" s="62" t="s">
        <v>25</v>
      </c>
      <c r="F880" s="62" t="s">
        <v>25</v>
      </c>
      <c r="G880" s="62" t="s">
        <v>25</v>
      </c>
      <c r="H880" s="62" t="s">
        <v>34</v>
      </c>
      <c r="I880" s="75">
        <v>44470</v>
      </c>
      <c r="J880" s="76">
        <f>EFEITO!$J$880*EFEITO!$Y$880</f>
        <v>0</v>
      </c>
      <c r="K880" s="76">
        <f ca="1">EFEITO!$L$880*EFEITO!$Z$880</f>
        <v>326971.25393434369</v>
      </c>
      <c r="L880" s="76">
        <f>EFEITO!$N$880*EFEITO!$AA$880</f>
        <v>84659.108031017488</v>
      </c>
      <c r="M880" s="76">
        <f>$J$880-EFEITO!$K$880*EFEITO!$Y$880</f>
        <v>0</v>
      </c>
      <c r="N880" s="76">
        <f ca="1">$K$880-EFEITO!$M$880*EFEITO!$Z$880</f>
        <v>0</v>
      </c>
      <c r="O880" s="76">
        <f>$L$880-EFEITO!$O$880*EFEITO!$AA$880</f>
        <v>0</v>
      </c>
      <c r="P880" s="18"/>
      <c r="Q880" s="18"/>
      <c r="R880" s="18"/>
      <c r="S880" s="18"/>
      <c r="T880" s="18"/>
      <c r="U880" s="18"/>
      <c r="V880" s="18"/>
      <c r="W880" s="18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62" t="s">
        <v>27</v>
      </c>
      <c r="B881" s="62" t="s">
        <v>41</v>
      </c>
      <c r="C881" s="62" t="s">
        <v>42</v>
      </c>
      <c r="D881" s="62" t="s">
        <v>43</v>
      </c>
      <c r="E881" s="62" t="s">
        <v>25</v>
      </c>
      <c r="F881" s="62" t="s">
        <v>25</v>
      </c>
      <c r="G881" s="62" t="s">
        <v>25</v>
      </c>
      <c r="H881" s="62" t="s">
        <v>34</v>
      </c>
      <c r="I881" s="75">
        <v>44470</v>
      </c>
      <c r="J881" s="76">
        <f>EFEITO!$J$881*EFEITO!$Y$881</f>
        <v>0</v>
      </c>
      <c r="K881" s="76">
        <f ca="1">EFEITO!$L$881*EFEITO!$Z$881</f>
        <v>10741.973513416975</v>
      </c>
      <c r="L881" s="76">
        <f>EFEITO!$N$881*EFEITO!$AA$881</f>
        <v>2781.302286351161</v>
      </c>
      <c r="M881" s="76">
        <f>$J$881-EFEITO!$K$881*EFEITO!$Y$881</f>
        <v>0</v>
      </c>
      <c r="N881" s="76">
        <f ca="1">$K$881-EFEITO!$M$881*EFEITO!$Z$881</f>
        <v>0</v>
      </c>
      <c r="O881" s="76">
        <f>$L$881-EFEITO!$O$881*EFEITO!$AA$881</f>
        <v>0</v>
      </c>
      <c r="P881" s="18"/>
      <c r="Q881" s="18"/>
      <c r="R881" s="18"/>
      <c r="S881" s="18"/>
      <c r="T881" s="18"/>
      <c r="U881" s="18"/>
      <c r="V881" s="18"/>
      <c r="W881" s="18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62" t="s">
        <v>28</v>
      </c>
      <c r="B882" s="62" t="s">
        <v>41</v>
      </c>
      <c r="C882" s="62" t="s">
        <v>42</v>
      </c>
      <c r="D882" s="62" t="s">
        <v>43</v>
      </c>
      <c r="E882" s="62" t="s">
        <v>25</v>
      </c>
      <c r="F882" s="62" t="s">
        <v>25</v>
      </c>
      <c r="G882" s="62" t="s">
        <v>25</v>
      </c>
      <c r="H882" s="62" t="s">
        <v>34</v>
      </c>
      <c r="I882" s="75">
        <v>44470</v>
      </c>
      <c r="J882" s="76">
        <f>EFEITO!$J$882*EFEITO!$Y$882</f>
        <v>0</v>
      </c>
      <c r="K882" s="76">
        <f ca="1">EFEITO!$L$882*EFEITO!$Z$882</f>
        <v>35391.581907582862</v>
      </c>
      <c r="L882" s="76">
        <f>EFEITO!$N$882*EFEITO!$AA$882</f>
        <v>9163.5571018861101</v>
      </c>
      <c r="M882" s="76">
        <f>$J$882-EFEITO!$K$882*EFEITO!$Y$882</f>
        <v>0</v>
      </c>
      <c r="N882" s="76">
        <f ca="1">$K$882-EFEITO!$M$882*EFEITO!$Z$882</f>
        <v>0</v>
      </c>
      <c r="O882" s="76">
        <f>$L$882-EFEITO!$O$882*EFEITO!$AA$882</f>
        <v>0</v>
      </c>
      <c r="P882" s="18"/>
      <c r="Q882" s="18"/>
      <c r="R882" s="18"/>
      <c r="S882" s="18"/>
      <c r="T882" s="18"/>
      <c r="U882" s="18"/>
      <c r="V882" s="18"/>
      <c r="W882" s="18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62" t="s">
        <v>21</v>
      </c>
      <c r="B883" s="62" t="s">
        <v>41</v>
      </c>
      <c r="C883" s="62" t="s">
        <v>42</v>
      </c>
      <c r="D883" s="62" t="s">
        <v>43</v>
      </c>
      <c r="E883" s="62" t="s">
        <v>25</v>
      </c>
      <c r="F883" s="62" t="s">
        <v>25</v>
      </c>
      <c r="G883" s="62" t="s">
        <v>25</v>
      </c>
      <c r="H883" s="62" t="s">
        <v>34</v>
      </c>
      <c r="I883" s="75">
        <v>44501</v>
      </c>
      <c r="J883" s="76">
        <f>EFEITO!$J$883*EFEITO!$Y$883</f>
        <v>0</v>
      </c>
      <c r="K883" s="76">
        <f ca="1">EFEITO!$L$883*EFEITO!$Z$883</f>
        <v>351646.47128792171</v>
      </c>
      <c r="L883" s="76">
        <f>EFEITO!$N$883*EFEITO!$AA$883</f>
        <v>91047.9934956855</v>
      </c>
      <c r="M883" s="76">
        <f>$J$883-EFEITO!$K$883*EFEITO!$Y$883</f>
        <v>0</v>
      </c>
      <c r="N883" s="76">
        <f ca="1">$K$883-EFEITO!$M$883*EFEITO!$Z$883</f>
        <v>0</v>
      </c>
      <c r="O883" s="76">
        <f>$L$883-EFEITO!$O$883*EFEITO!$AA$883</f>
        <v>0</v>
      </c>
      <c r="P883" s="18"/>
      <c r="Q883" s="18"/>
      <c r="R883" s="18"/>
      <c r="S883" s="18"/>
      <c r="T883" s="18"/>
      <c r="U883" s="18"/>
      <c r="V883" s="18"/>
      <c r="W883" s="18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62" t="s">
        <v>28</v>
      </c>
      <c r="B884" s="62" t="s">
        <v>41</v>
      </c>
      <c r="C884" s="62" t="s">
        <v>42</v>
      </c>
      <c r="D884" s="62" t="s">
        <v>43</v>
      </c>
      <c r="E884" s="62" t="s">
        <v>25</v>
      </c>
      <c r="F884" s="62" t="s">
        <v>25</v>
      </c>
      <c r="G884" s="62" t="s">
        <v>25</v>
      </c>
      <c r="H884" s="62" t="s">
        <v>34</v>
      </c>
      <c r="I884" s="75">
        <v>44501</v>
      </c>
      <c r="J884" s="76">
        <f>EFEITO!$J$884*EFEITO!$Y$884</f>
        <v>0</v>
      </c>
      <c r="K884" s="76">
        <f ca="1">EFEITO!$L$884*EFEITO!$Z$884</f>
        <v>37552.584097976847</v>
      </c>
      <c r="L884" s="76">
        <f>EFEITO!$N$884*EFEITO!$AA$884</f>
        <v>9723.0818787295393</v>
      </c>
      <c r="M884" s="76">
        <f>$J$884-EFEITO!$K$884*EFEITO!$Y$884</f>
        <v>0</v>
      </c>
      <c r="N884" s="76">
        <f ca="1">$K$884-EFEITO!$M$884*EFEITO!$Z$884</f>
        <v>0</v>
      </c>
      <c r="O884" s="76">
        <f>$L$884-EFEITO!$O$884*EFEITO!$AA$884</f>
        <v>0</v>
      </c>
      <c r="P884" s="18"/>
      <c r="Q884" s="18"/>
      <c r="R884" s="18"/>
      <c r="S884" s="18"/>
      <c r="T884" s="18"/>
      <c r="U884" s="18"/>
      <c r="V884" s="18"/>
      <c r="W884" s="18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62" t="s">
        <v>21</v>
      </c>
      <c r="B885" s="62" t="s">
        <v>41</v>
      </c>
      <c r="C885" s="62" t="s">
        <v>42</v>
      </c>
      <c r="D885" s="62" t="s">
        <v>43</v>
      </c>
      <c r="E885" s="62" t="s">
        <v>25</v>
      </c>
      <c r="F885" s="62" t="s">
        <v>25</v>
      </c>
      <c r="G885" s="62" t="s">
        <v>25</v>
      </c>
      <c r="H885" s="62" t="s">
        <v>34</v>
      </c>
      <c r="I885" s="75">
        <v>44531</v>
      </c>
      <c r="J885" s="76">
        <f>EFEITO!$J$885*EFEITO!$Y$885</f>
        <v>0</v>
      </c>
      <c r="K885" s="76">
        <f ca="1">EFEITO!$L$885*EFEITO!$Z$885</f>
        <v>357885.20778471098</v>
      </c>
      <c r="L885" s="76">
        <f>EFEITO!$N$885*EFEITO!$AA$885</f>
        <v>92663.321634485081</v>
      </c>
      <c r="M885" s="76">
        <f>$J$885-EFEITO!$K$885*EFEITO!$Y$885</f>
        <v>0</v>
      </c>
      <c r="N885" s="76">
        <f ca="1">$K$885-EFEITO!$M$885*EFEITO!$Z$885</f>
        <v>0</v>
      </c>
      <c r="O885" s="76">
        <f>$L$885-EFEITO!$O$885*EFEITO!$AA$885</f>
        <v>0</v>
      </c>
      <c r="P885" s="18"/>
      <c r="Q885" s="18"/>
      <c r="R885" s="18"/>
      <c r="S885" s="18"/>
      <c r="T885" s="18"/>
      <c r="U885" s="18"/>
      <c r="V885" s="18"/>
      <c r="W885" s="18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62" t="s">
        <v>27</v>
      </c>
      <c r="B886" s="62" t="s">
        <v>41</v>
      </c>
      <c r="C886" s="62" t="s">
        <v>42</v>
      </c>
      <c r="D886" s="62" t="s">
        <v>43</v>
      </c>
      <c r="E886" s="62" t="s">
        <v>25</v>
      </c>
      <c r="F886" s="62" t="s">
        <v>25</v>
      </c>
      <c r="G886" s="62" t="s">
        <v>25</v>
      </c>
      <c r="H886" s="62" t="s">
        <v>34</v>
      </c>
      <c r="I886" s="75">
        <v>44531</v>
      </c>
      <c r="J886" s="76">
        <f>EFEITO!$J$886*EFEITO!$Y$886</f>
        <v>0</v>
      </c>
      <c r="K886" s="76">
        <f ca="1">EFEITO!$L$886*EFEITO!$Z$886</f>
        <v>3782.2463131781751</v>
      </c>
      <c r="L886" s="76">
        <f>EFEITO!$N$886*EFEITO!$AA$886</f>
        <v>979.29587195933038</v>
      </c>
      <c r="M886" s="76">
        <f>$J$886-EFEITO!$K$886*EFEITO!$Y$886</f>
        <v>0</v>
      </c>
      <c r="N886" s="76">
        <f ca="1">$K$886-EFEITO!$M$886*EFEITO!$Z$886</f>
        <v>0</v>
      </c>
      <c r="O886" s="76">
        <f>$L$886-EFEITO!$O$886*EFEITO!$AA$886</f>
        <v>0</v>
      </c>
      <c r="P886" s="18"/>
      <c r="Q886" s="18"/>
      <c r="R886" s="18"/>
      <c r="S886" s="18"/>
      <c r="T886" s="18"/>
      <c r="U886" s="18"/>
      <c r="V886" s="18"/>
      <c r="W886" s="18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62" t="s">
        <v>28</v>
      </c>
      <c r="B887" s="62" t="s">
        <v>41</v>
      </c>
      <c r="C887" s="62" t="s">
        <v>42</v>
      </c>
      <c r="D887" s="62" t="s">
        <v>43</v>
      </c>
      <c r="E887" s="62" t="s">
        <v>25</v>
      </c>
      <c r="F887" s="62" t="s">
        <v>25</v>
      </c>
      <c r="G887" s="62" t="s">
        <v>25</v>
      </c>
      <c r="H887" s="62" t="s">
        <v>34</v>
      </c>
      <c r="I887" s="75">
        <v>44531</v>
      </c>
      <c r="J887" s="76">
        <f>EFEITO!$J$887*EFEITO!$Y$887</f>
        <v>0</v>
      </c>
      <c r="K887" s="76">
        <f ca="1">EFEITO!$L$887*EFEITO!$Z$887</f>
        <v>54092.032038312245</v>
      </c>
      <c r="L887" s="76">
        <f>EFEITO!$N$887*EFEITO!$AA$887</f>
        <v>14005.461118818361</v>
      </c>
      <c r="M887" s="76">
        <f>$J$887-EFEITO!$K$887*EFEITO!$Y$887</f>
        <v>0</v>
      </c>
      <c r="N887" s="76">
        <f ca="1">$K$887-EFEITO!$M$887*EFEITO!$Z$887</f>
        <v>0</v>
      </c>
      <c r="O887" s="76">
        <f>$L$887-EFEITO!$O$887*EFEITO!$AA$887</f>
        <v>0</v>
      </c>
      <c r="P887" s="18"/>
      <c r="Q887" s="18"/>
      <c r="R887" s="18"/>
      <c r="S887" s="18"/>
      <c r="T887" s="18"/>
      <c r="U887" s="18"/>
      <c r="V887" s="18"/>
      <c r="W887" s="18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62" t="s">
        <v>21</v>
      </c>
      <c r="B888" s="62" t="s">
        <v>41</v>
      </c>
      <c r="C888" s="62" t="s">
        <v>42</v>
      </c>
      <c r="D888" s="62" t="s">
        <v>43</v>
      </c>
      <c r="E888" s="62" t="s">
        <v>25</v>
      </c>
      <c r="F888" s="62" t="s">
        <v>25</v>
      </c>
      <c r="G888" s="62" t="s">
        <v>25</v>
      </c>
      <c r="H888" s="62" t="s">
        <v>34</v>
      </c>
      <c r="I888" s="75">
        <v>44562</v>
      </c>
      <c r="J888" s="76">
        <f>EFEITO!$J$888*EFEITO!$Y$888</f>
        <v>0</v>
      </c>
      <c r="K888" s="76">
        <f ca="1">EFEITO!$L$888*EFEITO!$Z$888</f>
        <v>348526.11807954975</v>
      </c>
      <c r="L888" s="76">
        <f>EFEITO!$N$888*EFEITO!$AA$888</f>
        <v>90240.074401319056</v>
      </c>
      <c r="M888" s="76">
        <f>$J$888-EFEITO!$K$888*EFEITO!$Y$888</f>
        <v>0</v>
      </c>
      <c r="N888" s="76">
        <f ca="1">$K$888-EFEITO!$M$888*EFEITO!$Z$888</f>
        <v>0</v>
      </c>
      <c r="O888" s="76">
        <f>$L$888-EFEITO!$O$888*EFEITO!$AA$888</f>
        <v>0</v>
      </c>
      <c r="P888" s="18"/>
      <c r="Q888" s="18"/>
      <c r="R888" s="18"/>
      <c r="S888" s="18"/>
      <c r="T888" s="18"/>
      <c r="U888" s="18"/>
      <c r="V888" s="18"/>
      <c r="W888" s="18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62" t="s">
        <v>28</v>
      </c>
      <c r="B889" s="62" t="s">
        <v>41</v>
      </c>
      <c r="C889" s="62" t="s">
        <v>42</v>
      </c>
      <c r="D889" s="62" t="s">
        <v>43</v>
      </c>
      <c r="E889" s="62" t="s">
        <v>25</v>
      </c>
      <c r="F889" s="62" t="s">
        <v>25</v>
      </c>
      <c r="G889" s="62" t="s">
        <v>25</v>
      </c>
      <c r="H889" s="62" t="s">
        <v>34</v>
      </c>
      <c r="I889" s="75">
        <v>44562</v>
      </c>
      <c r="J889" s="76">
        <f>EFEITO!$J$889*EFEITO!$Y$889</f>
        <v>0</v>
      </c>
      <c r="K889" s="76">
        <f ca="1">EFEITO!$L$889*EFEITO!$Z$889</f>
        <v>44045.440268932725</v>
      </c>
      <c r="L889" s="76">
        <f>EFEITO!$N$889*EFEITO!$AA$889</f>
        <v>11404.206458926392</v>
      </c>
      <c r="M889" s="76">
        <f>$J$889-EFEITO!$K$889*EFEITO!$Y$889</f>
        <v>0</v>
      </c>
      <c r="N889" s="76">
        <f ca="1">$K$889-EFEITO!$M$889*EFEITO!$Z$889</f>
        <v>0</v>
      </c>
      <c r="O889" s="76">
        <f>$L$889-EFEITO!$O$889*EFEITO!$AA$889</f>
        <v>0</v>
      </c>
      <c r="P889" s="18"/>
      <c r="Q889" s="18"/>
      <c r="R889" s="18"/>
      <c r="S889" s="18"/>
      <c r="T889" s="18"/>
      <c r="U889" s="18"/>
      <c r="V889" s="18"/>
      <c r="W889" s="18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62" t="s">
        <v>21</v>
      </c>
      <c r="B890" s="62" t="s">
        <v>41</v>
      </c>
      <c r="C890" s="62" t="s">
        <v>42</v>
      </c>
      <c r="D890" s="62" t="s">
        <v>43</v>
      </c>
      <c r="E890" s="62" t="s">
        <v>25</v>
      </c>
      <c r="F890" s="62" t="s">
        <v>25</v>
      </c>
      <c r="G890" s="62" t="s">
        <v>25</v>
      </c>
      <c r="H890" s="62" t="s">
        <v>34</v>
      </c>
      <c r="I890" s="75">
        <v>44593</v>
      </c>
      <c r="J890" s="76">
        <f>EFEITO!$J$890*EFEITO!$Y$890</f>
        <v>0</v>
      </c>
      <c r="K890" s="76">
        <f ca="1">EFEITO!$L$890*EFEITO!$Z$890</f>
        <v>321920.37917028699</v>
      </c>
      <c r="L890" s="76">
        <f>EFEITO!$N$890*EFEITO!$AA$890</f>
        <v>83351.340002005134</v>
      </c>
      <c r="M890" s="76">
        <f>$J$890-EFEITO!$K$890*EFEITO!$Y$890</f>
        <v>0</v>
      </c>
      <c r="N890" s="76">
        <f ca="1">$K$890-EFEITO!$M$890*EFEITO!$Z$890</f>
        <v>0</v>
      </c>
      <c r="O890" s="76">
        <f>$L$890-EFEITO!$O$890*EFEITO!$AA$890</f>
        <v>0</v>
      </c>
      <c r="P890" s="18"/>
      <c r="Q890" s="18"/>
      <c r="R890" s="18"/>
      <c r="S890" s="18"/>
      <c r="T890" s="18"/>
      <c r="U890" s="18"/>
      <c r="V890" s="18"/>
      <c r="W890" s="18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62" t="s">
        <v>28</v>
      </c>
      <c r="B891" s="62" t="s">
        <v>41</v>
      </c>
      <c r="C891" s="62" t="s">
        <v>42</v>
      </c>
      <c r="D891" s="62" t="s">
        <v>43</v>
      </c>
      <c r="E891" s="62" t="s">
        <v>25</v>
      </c>
      <c r="F891" s="62" t="s">
        <v>25</v>
      </c>
      <c r="G891" s="62" t="s">
        <v>25</v>
      </c>
      <c r="H891" s="62" t="s">
        <v>34</v>
      </c>
      <c r="I891" s="75">
        <v>44593</v>
      </c>
      <c r="J891" s="76">
        <f>EFEITO!$J$891*EFEITO!$Y$891</f>
        <v>0</v>
      </c>
      <c r="K891" s="76">
        <f ca="1">EFEITO!$L$891*EFEITO!$Z$891</f>
        <v>45369.226478545075</v>
      </c>
      <c r="L891" s="76">
        <f>EFEITO!$N$891*EFEITO!$AA$891</f>
        <v>11746.960014112155</v>
      </c>
      <c r="M891" s="76">
        <f>$J$891-EFEITO!$K$891*EFEITO!$Y$891</f>
        <v>0</v>
      </c>
      <c r="N891" s="76">
        <f ca="1">$K$891-EFEITO!$M$891*EFEITO!$Z$891</f>
        <v>0</v>
      </c>
      <c r="O891" s="76">
        <f>$L$891-EFEITO!$O$891*EFEITO!$AA$891</f>
        <v>0</v>
      </c>
      <c r="P891" s="18"/>
      <c r="Q891" s="18"/>
      <c r="R891" s="18"/>
      <c r="S891" s="18"/>
      <c r="T891" s="18"/>
      <c r="U891" s="18"/>
      <c r="V891" s="18"/>
      <c r="W891" s="18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62" t="s">
        <v>21</v>
      </c>
      <c r="B892" s="62" t="s">
        <v>41</v>
      </c>
      <c r="C892" s="62" t="s">
        <v>42</v>
      </c>
      <c r="D892" s="62" t="s">
        <v>43</v>
      </c>
      <c r="E892" s="62" t="s">
        <v>25</v>
      </c>
      <c r="F892" s="62" t="s">
        <v>25</v>
      </c>
      <c r="G892" s="62" t="s">
        <v>25</v>
      </c>
      <c r="H892" s="62" t="s">
        <v>34</v>
      </c>
      <c r="I892" s="75">
        <v>44621</v>
      </c>
      <c r="J892" s="76">
        <f>EFEITO!$J$892*EFEITO!$Y$892</f>
        <v>0</v>
      </c>
      <c r="K892" s="76">
        <f ca="1">EFEITO!$L$892*EFEITO!$Z$892</f>
        <v>314976.41132968647</v>
      </c>
      <c r="L892" s="76">
        <f>EFEITO!$N$892*EFEITO!$AA$892</f>
        <v>81553.41398707981</v>
      </c>
      <c r="M892" s="76">
        <f>$J$892-EFEITO!$K$892*EFEITO!$Y$892</f>
        <v>0</v>
      </c>
      <c r="N892" s="76">
        <f ca="1">$K$892-EFEITO!$M$892*EFEITO!$Z$892</f>
        <v>0</v>
      </c>
      <c r="O892" s="76">
        <f>$L$892-EFEITO!$O$892*EFEITO!$AA$892</f>
        <v>0</v>
      </c>
      <c r="P892" s="18"/>
      <c r="Q892" s="18"/>
      <c r="R892" s="18"/>
      <c r="S892" s="18"/>
      <c r="T892" s="18"/>
      <c r="U892" s="18"/>
      <c r="V892" s="18"/>
      <c r="W892" s="18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62" t="s">
        <v>27</v>
      </c>
      <c r="B893" s="62" t="s">
        <v>41</v>
      </c>
      <c r="C893" s="62" t="s">
        <v>42</v>
      </c>
      <c r="D893" s="62" t="s">
        <v>43</v>
      </c>
      <c r="E893" s="62" t="s">
        <v>25</v>
      </c>
      <c r="F893" s="62" t="s">
        <v>25</v>
      </c>
      <c r="G893" s="62" t="s">
        <v>25</v>
      </c>
      <c r="H893" s="62" t="s">
        <v>34</v>
      </c>
      <c r="I893" s="75">
        <v>44621</v>
      </c>
      <c r="J893" s="76">
        <f>EFEITO!$J$893*EFEITO!$Y$893</f>
        <v>0</v>
      </c>
      <c r="K893" s="76">
        <f ca="1">EFEITO!$L$893*EFEITO!$Z$893</f>
        <v>-7686.6276635527292</v>
      </c>
      <c r="L893" s="76">
        <f>EFEITO!$N$893*EFEITO!$AA$893</f>
        <v>-1990.2148397840142</v>
      </c>
      <c r="M893" s="76">
        <f>$J$893-EFEITO!$K$893*EFEITO!$Y$893</f>
        <v>0</v>
      </c>
      <c r="N893" s="76">
        <f ca="1">$K$893-EFEITO!$M$893*EFEITO!$Z$893</f>
        <v>0</v>
      </c>
      <c r="O893" s="76">
        <f>$L$893-EFEITO!$O$893*EFEITO!$AA$893</f>
        <v>0</v>
      </c>
      <c r="P893" s="18"/>
      <c r="Q893" s="18"/>
      <c r="R893" s="18"/>
      <c r="S893" s="18"/>
      <c r="T893" s="18"/>
      <c r="U893" s="18"/>
      <c r="V893" s="18"/>
      <c r="W893" s="18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62" t="s">
        <v>28</v>
      </c>
      <c r="B894" s="62" t="s">
        <v>41</v>
      </c>
      <c r="C894" s="62" t="s">
        <v>42</v>
      </c>
      <c r="D894" s="62" t="s">
        <v>43</v>
      </c>
      <c r="E894" s="62" t="s">
        <v>25</v>
      </c>
      <c r="F894" s="62" t="s">
        <v>25</v>
      </c>
      <c r="G894" s="62" t="s">
        <v>25</v>
      </c>
      <c r="H894" s="62" t="s">
        <v>34</v>
      </c>
      <c r="I894" s="75">
        <v>44621</v>
      </c>
      <c r="J894" s="76">
        <f>EFEITO!$J$894*EFEITO!$Y$894</f>
        <v>0</v>
      </c>
      <c r="K894" s="76">
        <f ca="1">EFEITO!$L$894*EFEITO!$Z$894</f>
        <v>55000.16513746597</v>
      </c>
      <c r="L894" s="76">
        <f>EFEITO!$N$894*EFEITO!$AA$894</f>
        <v>14240.594138075265</v>
      </c>
      <c r="M894" s="76">
        <f>$J$894-EFEITO!$K$894*EFEITO!$Y$894</f>
        <v>0</v>
      </c>
      <c r="N894" s="76">
        <f ca="1">$K$894-EFEITO!$M$894*EFEITO!$Z$894</f>
        <v>0</v>
      </c>
      <c r="O894" s="76">
        <f>$L$894-EFEITO!$O$894*EFEITO!$AA$894</f>
        <v>0</v>
      </c>
      <c r="P894" s="18"/>
      <c r="Q894" s="18"/>
      <c r="R894" s="18"/>
      <c r="S894" s="18"/>
      <c r="T894" s="18"/>
      <c r="U894" s="18"/>
      <c r="V894" s="18"/>
      <c r="W894" s="18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62" t="s">
        <v>21</v>
      </c>
      <c r="B895" s="62" t="s">
        <v>41</v>
      </c>
      <c r="C895" s="62" t="s">
        <v>42</v>
      </c>
      <c r="D895" s="62" t="s">
        <v>43</v>
      </c>
      <c r="E895" s="62" t="s">
        <v>25</v>
      </c>
      <c r="F895" s="62" t="s">
        <v>25</v>
      </c>
      <c r="G895" s="62" t="s">
        <v>25</v>
      </c>
      <c r="H895" s="62" t="s">
        <v>34</v>
      </c>
      <c r="I895" s="75">
        <v>44652</v>
      </c>
      <c r="J895" s="76">
        <f>EFEITO!$J$895*EFEITO!$Y$895</f>
        <v>0</v>
      </c>
      <c r="K895" s="76">
        <f ca="1">EFEITO!$L$895*EFEITO!$Z$895</f>
        <v>300434.46222349827</v>
      </c>
      <c r="L895" s="76">
        <f>EFEITO!$N$895*EFEITO!$AA$895</f>
        <v>77788.225379369498</v>
      </c>
      <c r="M895" s="76">
        <f>$J$895-EFEITO!$K$895*EFEITO!$Y$895</f>
        <v>0</v>
      </c>
      <c r="N895" s="76">
        <f ca="1">$K$895-EFEITO!$M$895*EFEITO!$Z$895</f>
        <v>0</v>
      </c>
      <c r="O895" s="76">
        <f>$L$895-EFEITO!$O$895*EFEITO!$AA$895</f>
        <v>0</v>
      </c>
      <c r="P895" s="18"/>
      <c r="Q895" s="18"/>
      <c r="R895" s="18"/>
      <c r="S895" s="18"/>
      <c r="T895" s="18"/>
      <c r="U895" s="18"/>
      <c r="V895" s="18"/>
      <c r="W895" s="18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62" t="s">
        <v>27</v>
      </c>
      <c r="B896" s="62" t="s">
        <v>41</v>
      </c>
      <c r="C896" s="62" t="s">
        <v>42</v>
      </c>
      <c r="D896" s="62" t="s">
        <v>43</v>
      </c>
      <c r="E896" s="62" t="s">
        <v>25</v>
      </c>
      <c r="F896" s="62" t="s">
        <v>25</v>
      </c>
      <c r="G896" s="62" t="s">
        <v>25</v>
      </c>
      <c r="H896" s="62" t="s">
        <v>34</v>
      </c>
      <c r="I896" s="75">
        <v>44652</v>
      </c>
      <c r="J896" s="76">
        <f>EFEITO!$J$896*EFEITO!$Y$896</f>
        <v>0</v>
      </c>
      <c r="K896" s="76">
        <f ca="1">EFEITO!$L$896*EFEITO!$Z$896</f>
        <v>-3317.3452038500245</v>
      </c>
      <c r="L896" s="76">
        <f>EFEITO!$N$896*EFEITO!$AA$896</f>
        <v>-858.92408769766269</v>
      </c>
      <c r="M896" s="76">
        <f>$J$896-EFEITO!$K$896*EFEITO!$Y$896</f>
        <v>0</v>
      </c>
      <c r="N896" s="76">
        <f ca="1">$K$896-EFEITO!$M$896*EFEITO!$Z$896</f>
        <v>0</v>
      </c>
      <c r="O896" s="76">
        <f>$L$896-EFEITO!$O$896*EFEITO!$AA$896</f>
        <v>0</v>
      </c>
      <c r="P896" s="18"/>
      <c r="Q896" s="18"/>
      <c r="R896" s="18"/>
      <c r="S896" s="18"/>
      <c r="T896" s="18"/>
      <c r="U896" s="18"/>
      <c r="V896" s="18"/>
      <c r="W896" s="18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62" t="s">
        <v>28</v>
      </c>
      <c r="B897" s="62" t="s">
        <v>41</v>
      </c>
      <c r="C897" s="62" t="s">
        <v>42</v>
      </c>
      <c r="D897" s="62" t="s">
        <v>43</v>
      </c>
      <c r="E897" s="62" t="s">
        <v>25</v>
      </c>
      <c r="F897" s="62" t="s">
        <v>25</v>
      </c>
      <c r="G897" s="62" t="s">
        <v>25</v>
      </c>
      <c r="H897" s="62" t="s">
        <v>34</v>
      </c>
      <c r="I897" s="75">
        <v>44652</v>
      </c>
      <c r="J897" s="76">
        <f>EFEITO!$J$897*EFEITO!$Y$897</f>
        <v>0</v>
      </c>
      <c r="K897" s="76">
        <f ca="1">EFEITO!$L$897*EFEITO!$Z$897</f>
        <v>45449.993196691074</v>
      </c>
      <c r="L897" s="76">
        <f>EFEITO!$N$897*EFEITO!$AA$897</f>
        <v>11767.872061377953</v>
      </c>
      <c r="M897" s="76">
        <f>$J$897-EFEITO!$K$897*EFEITO!$Y$897</f>
        <v>0</v>
      </c>
      <c r="N897" s="76">
        <f ca="1">$K$897-EFEITO!$M$897*EFEITO!$Z$897</f>
        <v>0</v>
      </c>
      <c r="O897" s="76">
        <f>$L$897-EFEITO!$O$897*EFEITO!$AA$897</f>
        <v>0</v>
      </c>
      <c r="P897" s="18"/>
      <c r="Q897" s="18"/>
      <c r="R897" s="18"/>
      <c r="S897" s="18"/>
      <c r="T897" s="18"/>
      <c r="U897" s="18"/>
      <c r="V897" s="18"/>
      <c r="W897" s="18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62" t="s">
        <v>58</v>
      </c>
      <c r="B898" s="62" t="s">
        <v>41</v>
      </c>
      <c r="C898" s="62" t="s">
        <v>42</v>
      </c>
      <c r="D898" s="62" t="s">
        <v>43</v>
      </c>
      <c r="E898" s="62" t="s">
        <v>25</v>
      </c>
      <c r="F898" s="62" t="s">
        <v>25</v>
      </c>
      <c r="G898" s="62" t="s">
        <v>25</v>
      </c>
      <c r="H898" s="62" t="s">
        <v>34</v>
      </c>
      <c r="I898" s="75">
        <v>44682</v>
      </c>
      <c r="J898" s="76">
        <f>EFEITO!$J$898*EFEITO!$Y$898</f>
        <v>0</v>
      </c>
      <c r="K898" s="76">
        <f ca="1">EFEITO!$L$898*EFEITO!$Z$898</f>
        <v>300434.46222349827</v>
      </c>
      <c r="L898" s="76">
        <f>EFEITO!$N$898*EFEITO!$AA$898</f>
        <v>77788.225379369498</v>
      </c>
      <c r="M898" s="76">
        <f>$J$898-EFEITO!$K$898*EFEITO!$Y$898</f>
        <v>0</v>
      </c>
      <c r="N898" s="76">
        <f ca="1">$K$898-EFEITO!$M$898*EFEITO!$Z$898</f>
        <v>0</v>
      </c>
      <c r="O898" s="76">
        <f>$L$898-EFEITO!$O$898*EFEITO!$AA$898</f>
        <v>0</v>
      </c>
      <c r="P898" s="18"/>
      <c r="Q898" s="18"/>
      <c r="R898" s="18"/>
      <c r="S898" s="18"/>
      <c r="T898" s="18"/>
      <c r="U898" s="18"/>
      <c r="V898" s="18"/>
      <c r="W898" s="18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62" t="s">
        <v>58</v>
      </c>
      <c r="B899" s="62" t="s">
        <v>41</v>
      </c>
      <c r="C899" s="62" t="s">
        <v>42</v>
      </c>
      <c r="D899" s="62" t="s">
        <v>43</v>
      </c>
      <c r="E899" s="62" t="s">
        <v>25</v>
      </c>
      <c r="F899" s="62" t="s">
        <v>25</v>
      </c>
      <c r="G899" s="62" t="s">
        <v>25</v>
      </c>
      <c r="H899" s="62" t="s">
        <v>34</v>
      </c>
      <c r="I899" s="75">
        <v>44682</v>
      </c>
      <c r="J899" s="76">
        <f>EFEITO!$J$899*EFEITO!$Y$899</f>
        <v>0</v>
      </c>
      <c r="K899" s="76">
        <f ca="1">EFEITO!$L$899*EFEITO!$Z$899</f>
        <v>-3317.3452038500245</v>
      </c>
      <c r="L899" s="76">
        <f>EFEITO!$N$899*EFEITO!$AA$899</f>
        <v>-858.92408769766269</v>
      </c>
      <c r="M899" s="76">
        <f>$J$899-EFEITO!$K$899*EFEITO!$Y$899</f>
        <v>0</v>
      </c>
      <c r="N899" s="76">
        <f ca="1">$K$899-EFEITO!$M$899*EFEITO!$Z$899</f>
        <v>0</v>
      </c>
      <c r="O899" s="76">
        <f>$L$899-EFEITO!$O$899*EFEITO!$AA$899</f>
        <v>0</v>
      </c>
      <c r="P899" s="18"/>
      <c r="Q899" s="18"/>
      <c r="R899" s="18"/>
      <c r="S899" s="18"/>
      <c r="T899" s="18"/>
      <c r="U899" s="18"/>
      <c r="V899" s="18"/>
      <c r="W899" s="18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62" t="s">
        <v>58</v>
      </c>
      <c r="B900" s="62" t="s">
        <v>41</v>
      </c>
      <c r="C900" s="62" t="s">
        <v>42</v>
      </c>
      <c r="D900" s="62" t="s">
        <v>43</v>
      </c>
      <c r="E900" s="62" t="s">
        <v>25</v>
      </c>
      <c r="F900" s="62" t="s">
        <v>25</v>
      </c>
      <c r="G900" s="62" t="s">
        <v>25</v>
      </c>
      <c r="H900" s="62" t="s">
        <v>34</v>
      </c>
      <c r="I900" s="75">
        <v>44682</v>
      </c>
      <c r="J900" s="76">
        <f>EFEITO!$J$900*EFEITO!$Y$900</f>
        <v>0</v>
      </c>
      <c r="K900" s="76">
        <f ca="1">EFEITO!$L$900*EFEITO!$Z$900</f>
        <v>45449.993196691074</v>
      </c>
      <c r="L900" s="76">
        <f>EFEITO!$N$900*EFEITO!$AA$900</f>
        <v>11767.872061377953</v>
      </c>
      <c r="M900" s="76">
        <f>$J$900-EFEITO!$K$900*EFEITO!$Y$900</f>
        <v>0</v>
      </c>
      <c r="N900" s="76">
        <f ca="1">$K$900-EFEITO!$M$900*EFEITO!$Z$900</f>
        <v>0</v>
      </c>
      <c r="O900" s="76">
        <f>$L$900-EFEITO!$O$900*EFEITO!$AA$900</f>
        <v>0</v>
      </c>
      <c r="P900" s="18"/>
      <c r="Q900" s="18"/>
      <c r="R900" s="18"/>
      <c r="S900" s="18"/>
      <c r="T900" s="18"/>
      <c r="U900" s="18"/>
      <c r="V900" s="18"/>
      <c r="W900" s="18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62" t="s">
        <v>21</v>
      </c>
      <c r="B901" s="62" t="s">
        <v>41</v>
      </c>
      <c r="C901" s="62" t="s">
        <v>42</v>
      </c>
      <c r="D901" s="62" t="s">
        <v>53</v>
      </c>
      <c r="E901" s="62" t="s">
        <v>25</v>
      </c>
      <c r="F901" s="62" t="s">
        <v>25</v>
      </c>
      <c r="G901" s="62" t="s">
        <v>25</v>
      </c>
      <c r="H901" s="62" t="s">
        <v>35</v>
      </c>
      <c r="I901" s="75">
        <v>44348</v>
      </c>
      <c r="J901" s="76">
        <f>EFEITO!$J$901*EFEITO!$Y$901</f>
        <v>0</v>
      </c>
      <c r="K901" s="76">
        <f ca="1">EFEITO!$L$901*EFEITO!$Z$901</f>
        <v>4782.7677300805644</v>
      </c>
      <c r="L901" s="76">
        <f>EFEITO!$N$901*EFEITO!$AA$901</f>
        <v>10900.371721931209</v>
      </c>
      <c r="M901" s="76">
        <f>$J$901-EFEITO!$K$901*EFEITO!$Y$901</f>
        <v>0</v>
      </c>
      <c r="N901" s="76">
        <f ca="1">$K$901-EFEITO!$M$901*EFEITO!$Z$901</f>
        <v>0</v>
      </c>
      <c r="O901" s="76">
        <f>$L$901-EFEITO!$O$901*EFEITO!$AA$901</f>
        <v>0</v>
      </c>
      <c r="P901" s="18"/>
      <c r="Q901" s="18"/>
      <c r="R901" s="18"/>
      <c r="S901" s="18"/>
      <c r="T901" s="18"/>
      <c r="U901" s="18"/>
      <c r="V901" s="18"/>
      <c r="W901" s="18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62" t="s">
        <v>21</v>
      </c>
      <c r="B902" s="62" t="s">
        <v>41</v>
      </c>
      <c r="C902" s="62" t="s">
        <v>42</v>
      </c>
      <c r="D902" s="62" t="s">
        <v>53</v>
      </c>
      <c r="E902" s="62" t="s">
        <v>25</v>
      </c>
      <c r="F902" s="62" t="s">
        <v>25</v>
      </c>
      <c r="G902" s="62" t="s">
        <v>25</v>
      </c>
      <c r="H902" s="62" t="s">
        <v>35</v>
      </c>
      <c r="I902" s="75">
        <v>44378</v>
      </c>
      <c r="J902" s="76">
        <f>EFEITO!$J$902*EFEITO!$Y$902</f>
        <v>0</v>
      </c>
      <c r="K902" s="76">
        <f ca="1">EFEITO!$L$902*EFEITO!$Z$902</f>
        <v>4617.844704905373</v>
      </c>
      <c r="L902" s="76">
        <f>EFEITO!$N$902*EFEITO!$AA$902</f>
        <v>10524.496834968066</v>
      </c>
      <c r="M902" s="76">
        <f>$J$902-EFEITO!$K$902*EFEITO!$Y$902</f>
        <v>0</v>
      </c>
      <c r="N902" s="76">
        <f ca="1">$K$902-EFEITO!$M$902*EFEITO!$Z$902</f>
        <v>0</v>
      </c>
      <c r="O902" s="76">
        <f>$L$902-EFEITO!$O$902*EFEITO!$AA$902</f>
        <v>0</v>
      </c>
      <c r="P902" s="18"/>
      <c r="Q902" s="18"/>
      <c r="R902" s="18"/>
      <c r="S902" s="18"/>
      <c r="T902" s="18"/>
      <c r="U902" s="18"/>
      <c r="V902" s="18"/>
      <c r="W902" s="18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62" t="s">
        <v>21</v>
      </c>
      <c r="B903" s="62" t="s">
        <v>41</v>
      </c>
      <c r="C903" s="62" t="s">
        <v>42</v>
      </c>
      <c r="D903" s="62" t="s">
        <v>53</v>
      </c>
      <c r="E903" s="62" t="s">
        <v>25</v>
      </c>
      <c r="F903" s="62" t="s">
        <v>25</v>
      </c>
      <c r="G903" s="62" t="s">
        <v>25</v>
      </c>
      <c r="H903" s="62" t="s">
        <v>35</v>
      </c>
      <c r="I903" s="75">
        <v>44409</v>
      </c>
      <c r="J903" s="76">
        <f>EFEITO!$J$903*EFEITO!$Y$903</f>
        <v>0</v>
      </c>
      <c r="K903" s="76">
        <f ca="1">EFEITO!$L$903*EFEITO!$Z$903</f>
        <v>5277.5368056061398</v>
      </c>
      <c r="L903" s="76">
        <f>EFEITO!$N$903*EFEITO!$AA$903</f>
        <v>12027.996382820646</v>
      </c>
      <c r="M903" s="76">
        <f>$J$903-EFEITO!$K$903*EFEITO!$Y$903</f>
        <v>0</v>
      </c>
      <c r="N903" s="76">
        <f ca="1">$K$903-EFEITO!$M$903*EFEITO!$Z$903</f>
        <v>0</v>
      </c>
      <c r="O903" s="76">
        <f>$L$903-EFEITO!$O$903*EFEITO!$AA$903</f>
        <v>0</v>
      </c>
      <c r="P903" s="18"/>
      <c r="Q903" s="18"/>
      <c r="R903" s="18"/>
      <c r="S903" s="18"/>
      <c r="T903" s="18"/>
      <c r="U903" s="18"/>
      <c r="V903" s="18"/>
      <c r="W903" s="18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62" t="s">
        <v>21</v>
      </c>
      <c r="B904" s="62" t="s">
        <v>41</v>
      </c>
      <c r="C904" s="62" t="s">
        <v>42</v>
      </c>
      <c r="D904" s="62" t="s">
        <v>53</v>
      </c>
      <c r="E904" s="62" t="s">
        <v>25</v>
      </c>
      <c r="F904" s="62" t="s">
        <v>25</v>
      </c>
      <c r="G904" s="62" t="s">
        <v>25</v>
      </c>
      <c r="H904" s="62" t="s">
        <v>35</v>
      </c>
      <c r="I904" s="75">
        <v>44440</v>
      </c>
      <c r="J904" s="76">
        <f>EFEITO!$J$904*EFEITO!$Y$904</f>
        <v>0</v>
      </c>
      <c r="K904" s="76">
        <f ca="1">EFEITO!$L$904*EFEITO!$Z$904</f>
        <v>7091.6900825332514</v>
      </c>
      <c r="L904" s="76">
        <f>EFEITO!$N$904*EFEITO!$AA$904</f>
        <v>16162.620139415243</v>
      </c>
      <c r="M904" s="76">
        <f>$J$904-EFEITO!$K$904*EFEITO!$Y$904</f>
        <v>0</v>
      </c>
      <c r="N904" s="76">
        <f ca="1">$K$904-EFEITO!$M$904*EFEITO!$Z$904</f>
        <v>0</v>
      </c>
      <c r="O904" s="76">
        <f>$L$904-EFEITO!$O$904*EFEITO!$AA$904</f>
        <v>0</v>
      </c>
      <c r="P904" s="18"/>
      <c r="Q904" s="18"/>
      <c r="R904" s="18"/>
      <c r="S904" s="18"/>
      <c r="T904" s="18"/>
      <c r="U904" s="18"/>
      <c r="V904" s="18"/>
      <c r="W904" s="18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62" t="s">
        <v>21</v>
      </c>
      <c r="B905" s="62" t="s">
        <v>41</v>
      </c>
      <c r="C905" s="62" t="s">
        <v>42</v>
      </c>
      <c r="D905" s="62" t="s">
        <v>53</v>
      </c>
      <c r="E905" s="62" t="s">
        <v>25</v>
      </c>
      <c r="F905" s="62" t="s">
        <v>25</v>
      </c>
      <c r="G905" s="62" t="s">
        <v>25</v>
      </c>
      <c r="H905" s="62" t="s">
        <v>35</v>
      </c>
      <c r="I905" s="75">
        <v>44470</v>
      </c>
      <c r="J905" s="76">
        <f>EFEITO!$J$905*EFEITO!$Y$905</f>
        <v>0</v>
      </c>
      <c r="K905" s="76">
        <f ca="1">EFEITO!$L$905*EFEITO!$Z$905</f>
        <v>6102.1519314820989</v>
      </c>
      <c r="L905" s="76">
        <f>EFEITO!$N$905*EFEITO!$AA$905</f>
        <v>13907.370817636371</v>
      </c>
      <c r="M905" s="76">
        <f>$J$905-EFEITO!$K$905*EFEITO!$Y$905</f>
        <v>0</v>
      </c>
      <c r="N905" s="76">
        <f ca="1">$K$905-EFEITO!$M$905*EFEITO!$Z$905</f>
        <v>0</v>
      </c>
      <c r="O905" s="76">
        <f>$L$905-EFEITO!$O$905*EFEITO!$AA$905</f>
        <v>0</v>
      </c>
      <c r="P905" s="18"/>
      <c r="Q905" s="18"/>
      <c r="R905" s="18"/>
      <c r="S905" s="18"/>
      <c r="T905" s="18"/>
      <c r="U905" s="18"/>
      <c r="V905" s="18"/>
      <c r="W905" s="18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62" t="s">
        <v>21</v>
      </c>
      <c r="B906" s="62" t="s">
        <v>41</v>
      </c>
      <c r="C906" s="62" t="s">
        <v>42</v>
      </c>
      <c r="D906" s="62" t="s">
        <v>53</v>
      </c>
      <c r="E906" s="62" t="s">
        <v>25</v>
      </c>
      <c r="F906" s="62" t="s">
        <v>25</v>
      </c>
      <c r="G906" s="62" t="s">
        <v>25</v>
      </c>
      <c r="H906" s="62" t="s">
        <v>35</v>
      </c>
      <c r="I906" s="75">
        <v>44501</v>
      </c>
      <c r="J906" s="76">
        <f>EFEITO!$J$906*EFEITO!$Y$906</f>
        <v>0</v>
      </c>
      <c r="K906" s="76">
        <f ca="1">EFEITO!$L$906*EFEITO!$Z$906</f>
        <v>6102.1519314820989</v>
      </c>
      <c r="L906" s="76">
        <f>EFEITO!$N$906*EFEITO!$AA$906</f>
        <v>13907.370817636371</v>
      </c>
      <c r="M906" s="76">
        <f>$J$906-EFEITO!$K$906*EFEITO!$Y$906</f>
        <v>0</v>
      </c>
      <c r="N906" s="76">
        <f ca="1">$K$906-EFEITO!$M$906*EFEITO!$Z$906</f>
        <v>0</v>
      </c>
      <c r="O906" s="76">
        <f>$L$906-EFEITO!$O$906*EFEITO!$AA$906</f>
        <v>0</v>
      </c>
      <c r="P906" s="18"/>
      <c r="Q906" s="18"/>
      <c r="R906" s="18"/>
      <c r="S906" s="18"/>
      <c r="T906" s="18"/>
      <c r="U906" s="18"/>
      <c r="V906" s="18"/>
      <c r="W906" s="18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62" t="s">
        <v>21</v>
      </c>
      <c r="B907" s="62" t="s">
        <v>41</v>
      </c>
      <c r="C907" s="62" t="s">
        <v>42</v>
      </c>
      <c r="D907" s="62" t="s">
        <v>53</v>
      </c>
      <c r="E907" s="62" t="s">
        <v>25</v>
      </c>
      <c r="F907" s="62" t="s">
        <v>25</v>
      </c>
      <c r="G907" s="62" t="s">
        <v>25</v>
      </c>
      <c r="H907" s="62" t="s">
        <v>35</v>
      </c>
      <c r="I907" s="75">
        <v>44531</v>
      </c>
      <c r="J907" s="76">
        <f>EFEITO!$J$907*EFEITO!$Y$907</f>
        <v>0</v>
      </c>
      <c r="K907" s="76">
        <f ca="1">EFEITO!$L$907*EFEITO!$Z$907</f>
        <v>6926.767057358059</v>
      </c>
      <c r="L907" s="76">
        <f>EFEITO!$N$907*EFEITO!$AA$907</f>
        <v>15786.745252452098</v>
      </c>
      <c r="M907" s="76">
        <f>$J$907-EFEITO!$K$907*EFEITO!$Y$907</f>
        <v>0</v>
      </c>
      <c r="N907" s="76">
        <f ca="1">$K$907-EFEITO!$M$907*EFEITO!$Z$907</f>
        <v>0</v>
      </c>
      <c r="O907" s="76">
        <f>$L$907-EFEITO!$O$907*EFEITO!$AA$907</f>
        <v>0</v>
      </c>
      <c r="P907" s="18"/>
      <c r="Q907" s="18"/>
      <c r="R907" s="18"/>
      <c r="S907" s="18"/>
      <c r="T907" s="18"/>
      <c r="U907" s="18"/>
      <c r="V907" s="18"/>
      <c r="W907" s="18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62" t="s">
        <v>21</v>
      </c>
      <c r="B908" s="62" t="s">
        <v>41</v>
      </c>
      <c r="C908" s="62" t="s">
        <v>42</v>
      </c>
      <c r="D908" s="62" t="s">
        <v>53</v>
      </c>
      <c r="E908" s="62" t="s">
        <v>25</v>
      </c>
      <c r="F908" s="62" t="s">
        <v>25</v>
      </c>
      <c r="G908" s="62" t="s">
        <v>25</v>
      </c>
      <c r="H908" s="62" t="s">
        <v>35</v>
      </c>
      <c r="I908" s="75">
        <v>44562</v>
      </c>
      <c r="J908" s="76">
        <f>EFEITO!$J$908*EFEITO!$Y$908</f>
        <v>0</v>
      </c>
      <c r="K908" s="76">
        <f ca="1">EFEITO!$L$908*EFEITO!$Z$908</f>
        <v>7123.7126365881004</v>
      </c>
      <c r="L908" s="76">
        <f>EFEITO!$N$908*EFEITO!$AA$908</f>
        <v>16235.602513300586</v>
      </c>
      <c r="M908" s="76">
        <f>$J$908-EFEITO!$K$908*EFEITO!$Y$908</f>
        <v>0</v>
      </c>
      <c r="N908" s="76">
        <f ca="1">$K$908-EFEITO!$M$908*EFEITO!$Z$908</f>
        <v>0</v>
      </c>
      <c r="O908" s="76">
        <f>$L$908-EFEITO!$O$908*EFEITO!$AA$908</f>
        <v>0</v>
      </c>
      <c r="P908" s="18"/>
      <c r="Q908" s="18"/>
      <c r="R908" s="18"/>
      <c r="S908" s="18"/>
      <c r="T908" s="18"/>
      <c r="U908" s="18"/>
      <c r="V908" s="18"/>
      <c r="W908" s="18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62" t="s">
        <v>21</v>
      </c>
      <c r="B909" s="62" t="s">
        <v>41</v>
      </c>
      <c r="C909" s="62" t="s">
        <v>42</v>
      </c>
      <c r="D909" s="62" t="s">
        <v>53</v>
      </c>
      <c r="E909" s="62" t="s">
        <v>25</v>
      </c>
      <c r="F909" s="62" t="s">
        <v>25</v>
      </c>
      <c r="G909" s="62" t="s">
        <v>25</v>
      </c>
      <c r="H909" s="62" t="s">
        <v>35</v>
      </c>
      <c r="I909" s="75">
        <v>44593</v>
      </c>
      <c r="J909" s="76">
        <f>EFEITO!$J$909*EFEITO!$Y$909</f>
        <v>0</v>
      </c>
      <c r="K909" s="76">
        <f ca="1">EFEITO!$L$909*EFEITO!$Z$909</f>
        <v>6616.1620266114478</v>
      </c>
      <c r="L909" s="76">
        <f>EFEITO!$N$909*EFEITO!$AA$909</f>
        <v>15078.847548671507</v>
      </c>
      <c r="M909" s="76">
        <f>$J$909-EFEITO!$K$909*EFEITO!$Y$909</f>
        <v>0</v>
      </c>
      <c r="N909" s="76">
        <f ca="1">$K$909-EFEITO!$M$909*EFEITO!$Z$909</f>
        <v>0</v>
      </c>
      <c r="O909" s="76">
        <f>$L$909-EFEITO!$O$909*EFEITO!$AA$909</f>
        <v>0</v>
      </c>
      <c r="P909" s="18"/>
      <c r="Q909" s="18"/>
      <c r="R909" s="18"/>
      <c r="S909" s="18"/>
      <c r="T909" s="18"/>
      <c r="U909" s="18"/>
      <c r="V909" s="18"/>
      <c r="W909" s="18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62" t="s">
        <v>21</v>
      </c>
      <c r="B910" s="62" t="s">
        <v>41</v>
      </c>
      <c r="C910" s="62" t="s">
        <v>42</v>
      </c>
      <c r="D910" s="62" t="s">
        <v>53</v>
      </c>
      <c r="E910" s="62" t="s">
        <v>25</v>
      </c>
      <c r="F910" s="62" t="s">
        <v>25</v>
      </c>
      <c r="G910" s="62" t="s">
        <v>25</v>
      </c>
      <c r="H910" s="62" t="s">
        <v>35</v>
      </c>
      <c r="I910" s="75">
        <v>44621</v>
      </c>
      <c r="J910" s="76">
        <f>EFEITO!$J$910*EFEITO!$Y$910</f>
        <v>0</v>
      </c>
      <c r="K910" s="76">
        <f ca="1">EFEITO!$L$910*EFEITO!$Z$910</f>
        <v>8292.6045775172734</v>
      </c>
      <c r="L910" s="76">
        <f>EFEITO!$N$910*EFEITO!$AA$910</f>
        <v>18899.615774651877</v>
      </c>
      <c r="M910" s="76">
        <f>$J$910-EFEITO!$K$910*EFEITO!$Y$910</f>
        <v>0</v>
      </c>
      <c r="N910" s="76">
        <f ca="1">$K$910-EFEITO!$M$910*EFEITO!$Z$910</f>
        <v>0</v>
      </c>
      <c r="O910" s="76">
        <f>$L$910-EFEITO!$O$910*EFEITO!$AA$910</f>
        <v>0</v>
      </c>
      <c r="P910" s="18"/>
      <c r="Q910" s="18"/>
      <c r="R910" s="18"/>
      <c r="S910" s="18"/>
      <c r="T910" s="18"/>
      <c r="U910" s="18"/>
      <c r="V910" s="18"/>
      <c r="W910" s="18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62" t="s">
        <v>28</v>
      </c>
      <c r="B911" s="62" t="s">
        <v>41</v>
      </c>
      <c r="C911" s="62" t="s">
        <v>42</v>
      </c>
      <c r="D911" s="62" t="s">
        <v>53</v>
      </c>
      <c r="E911" s="62" t="s">
        <v>25</v>
      </c>
      <c r="F911" s="62" t="s">
        <v>25</v>
      </c>
      <c r="G911" s="62" t="s">
        <v>25</v>
      </c>
      <c r="H911" s="62" t="s">
        <v>35</v>
      </c>
      <c r="I911" s="75">
        <v>44652</v>
      </c>
      <c r="J911" s="76">
        <f>EFEITO!$J$911*EFEITO!$Y$911</f>
        <v>0</v>
      </c>
      <c r="K911" s="76">
        <f ca="1">EFEITO!$L$911*EFEITO!$Z$911</f>
        <v>6620.2851022408277</v>
      </c>
      <c r="L911" s="76">
        <f>EFEITO!$N$911*EFEITO!$AA$911</f>
        <v>15088.244420845587</v>
      </c>
      <c r="M911" s="76">
        <f>$J$911-EFEITO!$K$911*EFEITO!$Y$911</f>
        <v>0</v>
      </c>
      <c r="N911" s="76">
        <f ca="1">$K$911-EFEITO!$M$911*EFEITO!$Z$911</f>
        <v>0</v>
      </c>
      <c r="O911" s="76">
        <f>$L$911-EFEITO!$O$911*EFEITO!$AA$911</f>
        <v>0</v>
      </c>
      <c r="P911" s="18"/>
      <c r="Q911" s="18"/>
      <c r="R911" s="18"/>
      <c r="S911" s="18"/>
      <c r="T911" s="18"/>
      <c r="U911" s="18"/>
      <c r="V911" s="18"/>
      <c r="W911" s="18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62" t="s">
        <v>58</v>
      </c>
      <c r="B912" s="62" t="s">
        <v>41</v>
      </c>
      <c r="C912" s="62" t="s">
        <v>42</v>
      </c>
      <c r="D912" s="62" t="s">
        <v>53</v>
      </c>
      <c r="E912" s="62" t="s">
        <v>25</v>
      </c>
      <c r="F912" s="62" t="s">
        <v>25</v>
      </c>
      <c r="G912" s="62" t="s">
        <v>25</v>
      </c>
      <c r="H912" s="62" t="s">
        <v>35</v>
      </c>
      <c r="I912" s="75">
        <v>44682</v>
      </c>
      <c r="J912" s="76">
        <f>EFEITO!$J$912*EFEITO!$Y$912</f>
        <v>0</v>
      </c>
      <c r="K912" s="76">
        <f ca="1">EFEITO!$L$912*EFEITO!$Z$912</f>
        <v>6620.2851022408277</v>
      </c>
      <c r="L912" s="76">
        <f>EFEITO!$N$912*EFEITO!$AA$912</f>
        <v>15088.244420845587</v>
      </c>
      <c r="M912" s="76">
        <f>$J$912-EFEITO!$K$912*EFEITO!$Y$912</f>
        <v>0</v>
      </c>
      <c r="N912" s="76">
        <f ca="1">$K$912-EFEITO!$M$912*EFEITO!$Z$912</f>
        <v>0</v>
      </c>
      <c r="O912" s="76">
        <f>$L$912-EFEITO!$O$912*EFEITO!$AA$912</f>
        <v>0</v>
      </c>
      <c r="P912" s="18"/>
      <c r="Q912" s="18"/>
      <c r="R912" s="18"/>
      <c r="S912" s="18"/>
      <c r="T912" s="18"/>
      <c r="U912" s="18"/>
      <c r="V912" s="18"/>
      <c r="W912" s="18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62" t="s">
        <v>21</v>
      </c>
      <c r="B913" s="62" t="s">
        <v>41</v>
      </c>
      <c r="C913" s="62" t="s">
        <v>42</v>
      </c>
      <c r="D913" s="62" t="s">
        <v>53</v>
      </c>
      <c r="E913" s="62" t="s">
        <v>25</v>
      </c>
      <c r="F913" s="62" t="s">
        <v>25</v>
      </c>
      <c r="G913" s="62" t="s">
        <v>25</v>
      </c>
      <c r="H913" s="62" t="s">
        <v>25</v>
      </c>
      <c r="I913" s="75">
        <v>44348</v>
      </c>
      <c r="J913" s="76">
        <f ca="1">EFEITO!$J$913*EFEITO!$Y$913</f>
        <v>4768.5226876603774</v>
      </c>
      <c r="K913" s="76">
        <f>EFEITO!$L$913*EFEITO!$Z$913</f>
        <v>0</v>
      </c>
      <c r="L913" s="76">
        <f>EFEITO!$N$913*EFEITO!$AA$913</f>
        <v>0</v>
      </c>
      <c r="M913" s="76">
        <f ca="1">$J$913-EFEITO!$K$913*EFEITO!$Y$913</f>
        <v>0</v>
      </c>
      <c r="N913" s="76">
        <f>$K$913-EFEITO!$M$913*EFEITO!$Z$913</f>
        <v>0</v>
      </c>
      <c r="O913" s="76">
        <f>$L$913-EFEITO!$O$913*EFEITO!$AA$913</f>
        <v>0</v>
      </c>
      <c r="P913" s="18"/>
      <c r="Q913" s="18"/>
      <c r="R913" s="18"/>
      <c r="S913" s="18"/>
      <c r="T913" s="18"/>
      <c r="U913" s="18"/>
      <c r="V913" s="18"/>
      <c r="W913" s="18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62" t="s">
        <v>21</v>
      </c>
      <c r="B914" s="62" t="s">
        <v>41</v>
      </c>
      <c r="C914" s="62" t="s">
        <v>42</v>
      </c>
      <c r="D914" s="62" t="s">
        <v>53</v>
      </c>
      <c r="E914" s="62" t="s">
        <v>25</v>
      </c>
      <c r="F914" s="62" t="s">
        <v>25</v>
      </c>
      <c r="G914" s="62" t="s">
        <v>25</v>
      </c>
      <c r="H914" s="62" t="s">
        <v>25</v>
      </c>
      <c r="I914" s="75">
        <v>44378</v>
      </c>
      <c r="J914" s="76">
        <f ca="1">EFEITO!$J$914*EFEITO!$Y$914</f>
        <v>4768.5226876603774</v>
      </c>
      <c r="K914" s="76">
        <f>EFEITO!$L$914*EFEITO!$Z$914</f>
        <v>0</v>
      </c>
      <c r="L914" s="76">
        <f>EFEITO!$N$914*EFEITO!$AA$914</f>
        <v>0</v>
      </c>
      <c r="M914" s="76">
        <f ca="1">$J$914-EFEITO!$K$914*EFEITO!$Y$914</f>
        <v>0</v>
      </c>
      <c r="N914" s="76">
        <f>$K$914-EFEITO!$M$914*EFEITO!$Z$914</f>
        <v>0</v>
      </c>
      <c r="O914" s="76">
        <f>$L$914-EFEITO!$O$914*EFEITO!$AA$914</f>
        <v>0</v>
      </c>
      <c r="P914" s="18"/>
      <c r="Q914" s="18"/>
      <c r="R914" s="18"/>
      <c r="S914" s="18"/>
      <c r="T914" s="18"/>
      <c r="U914" s="18"/>
      <c r="V914" s="18"/>
      <c r="W914" s="18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62" t="s">
        <v>21</v>
      </c>
      <c r="B915" s="62" t="s">
        <v>41</v>
      </c>
      <c r="C915" s="62" t="s">
        <v>42</v>
      </c>
      <c r="D915" s="62" t="s">
        <v>53</v>
      </c>
      <c r="E915" s="62" t="s">
        <v>25</v>
      </c>
      <c r="F915" s="62" t="s">
        <v>25</v>
      </c>
      <c r="G915" s="62" t="s">
        <v>25</v>
      </c>
      <c r="H915" s="62" t="s">
        <v>25</v>
      </c>
      <c r="I915" s="75">
        <v>44409</v>
      </c>
      <c r="J915" s="76">
        <f ca="1">EFEITO!$J$915*EFEITO!$Y$915</f>
        <v>4768.5226876603774</v>
      </c>
      <c r="K915" s="76">
        <f>EFEITO!$L$915*EFEITO!$Z$915</f>
        <v>0</v>
      </c>
      <c r="L915" s="76">
        <f>EFEITO!$N$915*EFEITO!$AA$915</f>
        <v>0</v>
      </c>
      <c r="M915" s="76">
        <f ca="1">$J$915-EFEITO!$K$915*EFEITO!$Y$915</f>
        <v>0</v>
      </c>
      <c r="N915" s="76">
        <f>$K$915-EFEITO!$M$915*EFEITO!$Z$915</f>
        <v>0</v>
      </c>
      <c r="O915" s="76">
        <f>$L$915-EFEITO!$O$915*EFEITO!$AA$915</f>
        <v>0</v>
      </c>
      <c r="P915" s="18"/>
      <c r="Q915" s="18"/>
      <c r="R915" s="18"/>
      <c r="S915" s="18"/>
      <c r="T915" s="18"/>
      <c r="U915" s="18"/>
      <c r="V915" s="18"/>
      <c r="W915" s="18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62" t="s">
        <v>21</v>
      </c>
      <c r="B916" s="62" t="s">
        <v>41</v>
      </c>
      <c r="C916" s="62" t="s">
        <v>42</v>
      </c>
      <c r="D916" s="62" t="s">
        <v>53</v>
      </c>
      <c r="E916" s="62" t="s">
        <v>25</v>
      </c>
      <c r="F916" s="62" t="s">
        <v>25</v>
      </c>
      <c r="G916" s="62" t="s">
        <v>25</v>
      </c>
      <c r="H916" s="62" t="s">
        <v>25</v>
      </c>
      <c r="I916" s="75">
        <v>44440</v>
      </c>
      <c r="J916" s="76">
        <f ca="1">EFEITO!$J$916*EFEITO!$Y$916</f>
        <v>7868.0624346396216</v>
      </c>
      <c r="K916" s="76">
        <f>EFEITO!$L$916*EFEITO!$Z$916</f>
        <v>0</v>
      </c>
      <c r="L916" s="76">
        <f>EFEITO!$N$916*EFEITO!$AA$916</f>
        <v>0</v>
      </c>
      <c r="M916" s="76">
        <f ca="1">$J$916-EFEITO!$K$916*EFEITO!$Y$916</f>
        <v>0</v>
      </c>
      <c r="N916" s="76">
        <f>$K$916-EFEITO!$M$916*EFEITO!$Z$916</f>
        <v>0</v>
      </c>
      <c r="O916" s="76">
        <f>$L$916-EFEITO!$O$916*EFEITO!$AA$916</f>
        <v>0</v>
      </c>
      <c r="P916" s="18"/>
      <c r="Q916" s="18"/>
      <c r="R916" s="18"/>
      <c r="S916" s="18"/>
      <c r="T916" s="18"/>
      <c r="U916" s="18"/>
      <c r="V916" s="18"/>
      <c r="W916" s="18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62" t="s">
        <v>21</v>
      </c>
      <c r="B917" s="62" t="s">
        <v>41</v>
      </c>
      <c r="C917" s="62" t="s">
        <v>42</v>
      </c>
      <c r="D917" s="62" t="s">
        <v>53</v>
      </c>
      <c r="E917" s="62" t="s">
        <v>25</v>
      </c>
      <c r="F917" s="62" t="s">
        <v>25</v>
      </c>
      <c r="G917" s="62" t="s">
        <v>25</v>
      </c>
      <c r="H917" s="62" t="s">
        <v>25</v>
      </c>
      <c r="I917" s="75">
        <v>44470</v>
      </c>
      <c r="J917" s="76">
        <f ca="1">EFEITO!$J$917*EFEITO!$Y$917</f>
        <v>6079.866426766981</v>
      </c>
      <c r="K917" s="76">
        <f>EFEITO!$L$917*EFEITO!$Z$917</f>
        <v>0</v>
      </c>
      <c r="L917" s="76">
        <f>EFEITO!$N$917*EFEITO!$AA$917</f>
        <v>0</v>
      </c>
      <c r="M917" s="76">
        <f ca="1">$J$917-EFEITO!$K$917*EFEITO!$Y$917</f>
        <v>0</v>
      </c>
      <c r="N917" s="76">
        <f>$K$917-EFEITO!$M$917*EFEITO!$Z$917</f>
        <v>0</v>
      </c>
      <c r="O917" s="76">
        <f>$L$917-EFEITO!$O$917*EFEITO!$AA$917</f>
        <v>0</v>
      </c>
      <c r="P917" s="18"/>
      <c r="Q917" s="18"/>
      <c r="R917" s="18"/>
      <c r="S917" s="18"/>
      <c r="T917" s="18"/>
      <c r="U917" s="18"/>
      <c r="V917" s="18"/>
      <c r="W917" s="18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62" t="s">
        <v>21</v>
      </c>
      <c r="B918" s="62" t="s">
        <v>41</v>
      </c>
      <c r="C918" s="62" t="s">
        <v>42</v>
      </c>
      <c r="D918" s="62" t="s">
        <v>53</v>
      </c>
      <c r="E918" s="62" t="s">
        <v>25</v>
      </c>
      <c r="F918" s="62" t="s">
        <v>25</v>
      </c>
      <c r="G918" s="62" t="s">
        <v>25</v>
      </c>
      <c r="H918" s="62" t="s">
        <v>25</v>
      </c>
      <c r="I918" s="75">
        <v>44501</v>
      </c>
      <c r="J918" s="76">
        <f ca="1">EFEITO!$J$918*EFEITO!$Y$918</f>
        <v>7152.7840314905652</v>
      </c>
      <c r="K918" s="76">
        <f>EFEITO!$L$918*EFEITO!$Z$918</f>
        <v>0</v>
      </c>
      <c r="L918" s="76">
        <f>EFEITO!$N$918*EFEITO!$AA$918</f>
        <v>0</v>
      </c>
      <c r="M918" s="76">
        <f ca="1">$J$918-EFEITO!$K$918*EFEITO!$Y$918</f>
        <v>0</v>
      </c>
      <c r="N918" s="76">
        <f>$K$918-EFEITO!$M$918*EFEITO!$Z$918</f>
        <v>0</v>
      </c>
      <c r="O918" s="76">
        <f>$L$918-EFEITO!$O$918*EFEITO!$AA$918</f>
        <v>0</v>
      </c>
      <c r="P918" s="18"/>
      <c r="Q918" s="18"/>
      <c r="R918" s="18"/>
      <c r="S918" s="18"/>
      <c r="T918" s="18"/>
      <c r="U918" s="18"/>
      <c r="V918" s="18"/>
      <c r="W918" s="18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62" t="s">
        <v>21</v>
      </c>
      <c r="B919" s="62" t="s">
        <v>41</v>
      </c>
      <c r="C919" s="62" t="s">
        <v>42</v>
      </c>
      <c r="D919" s="62" t="s">
        <v>53</v>
      </c>
      <c r="E919" s="62" t="s">
        <v>25</v>
      </c>
      <c r="F919" s="62" t="s">
        <v>25</v>
      </c>
      <c r="G919" s="62" t="s">
        <v>25</v>
      </c>
      <c r="H919" s="62" t="s">
        <v>25</v>
      </c>
      <c r="I919" s="75">
        <v>44531</v>
      </c>
      <c r="J919" s="76">
        <f ca="1">EFEITO!$J$919*EFEITO!$Y$919</f>
        <v>8225.7016362141494</v>
      </c>
      <c r="K919" s="76">
        <f>EFEITO!$L$919*EFEITO!$Z$919</f>
        <v>0</v>
      </c>
      <c r="L919" s="76">
        <f>EFEITO!$N$919*EFEITO!$AA$919</f>
        <v>0</v>
      </c>
      <c r="M919" s="76">
        <f ca="1">$J$919-EFEITO!$K$919*EFEITO!$Y$919</f>
        <v>0</v>
      </c>
      <c r="N919" s="76">
        <f>$K$919-EFEITO!$M$919*EFEITO!$Z$919</f>
        <v>0</v>
      </c>
      <c r="O919" s="76">
        <f>$L$919-EFEITO!$O$919*EFEITO!$AA$919</f>
        <v>0</v>
      </c>
      <c r="P919" s="18"/>
      <c r="Q919" s="18"/>
      <c r="R919" s="18"/>
      <c r="S919" s="18"/>
      <c r="T919" s="18"/>
      <c r="U919" s="18"/>
      <c r="V919" s="18"/>
      <c r="W919" s="18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62" t="s">
        <v>21</v>
      </c>
      <c r="B920" s="62" t="s">
        <v>41</v>
      </c>
      <c r="C920" s="62" t="s">
        <v>42</v>
      </c>
      <c r="D920" s="62" t="s">
        <v>53</v>
      </c>
      <c r="E920" s="62" t="s">
        <v>25</v>
      </c>
      <c r="F920" s="62" t="s">
        <v>25</v>
      </c>
      <c r="G920" s="62" t="s">
        <v>25</v>
      </c>
      <c r="H920" s="62" t="s">
        <v>25</v>
      </c>
      <c r="I920" s="75">
        <v>44562</v>
      </c>
      <c r="J920" s="76">
        <f ca="1">EFEITO!$J$920*EFEITO!$Y$920</f>
        <v>6199.0794939584903</v>
      </c>
      <c r="K920" s="76">
        <f>EFEITO!$L$920*EFEITO!$Z$920</f>
        <v>0</v>
      </c>
      <c r="L920" s="76">
        <f>EFEITO!$N$920*EFEITO!$AA$920</f>
        <v>0</v>
      </c>
      <c r="M920" s="76">
        <f ca="1">$J$920-EFEITO!$K$920*EFEITO!$Y$920</f>
        <v>0</v>
      </c>
      <c r="N920" s="76">
        <f>$K$920-EFEITO!$M$920*EFEITO!$Z$920</f>
        <v>0</v>
      </c>
      <c r="O920" s="76">
        <f>$L$920-EFEITO!$O$920*EFEITO!$AA$920</f>
        <v>0</v>
      </c>
      <c r="P920" s="18"/>
      <c r="Q920" s="18"/>
      <c r="R920" s="18"/>
      <c r="S920" s="18"/>
      <c r="T920" s="18"/>
      <c r="U920" s="18"/>
      <c r="V920" s="18"/>
      <c r="W920" s="18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62" t="s">
        <v>21</v>
      </c>
      <c r="B921" s="62" t="s">
        <v>41</v>
      </c>
      <c r="C921" s="62" t="s">
        <v>42</v>
      </c>
      <c r="D921" s="62" t="s">
        <v>53</v>
      </c>
      <c r="E921" s="62" t="s">
        <v>25</v>
      </c>
      <c r="F921" s="62" t="s">
        <v>25</v>
      </c>
      <c r="G921" s="62" t="s">
        <v>25</v>
      </c>
      <c r="H921" s="62" t="s">
        <v>25</v>
      </c>
      <c r="I921" s="75">
        <v>44593</v>
      </c>
      <c r="J921" s="76">
        <f ca="1">EFEITO!$J$921*EFEITO!$Y$921</f>
        <v>6497.1121619372634</v>
      </c>
      <c r="K921" s="76">
        <f>EFEITO!$L$921*EFEITO!$Z$921</f>
        <v>0</v>
      </c>
      <c r="L921" s="76">
        <f>EFEITO!$N$921*EFEITO!$AA$921</f>
        <v>0</v>
      </c>
      <c r="M921" s="76">
        <f ca="1">$J$921-EFEITO!$K$921*EFEITO!$Y$921</f>
        <v>0</v>
      </c>
      <c r="N921" s="76">
        <f>$K$921-EFEITO!$M$921*EFEITO!$Z$921</f>
        <v>0</v>
      </c>
      <c r="O921" s="76">
        <f>$L$921-EFEITO!$O$921*EFEITO!$AA$921</f>
        <v>0</v>
      </c>
      <c r="P921" s="18"/>
      <c r="Q921" s="18"/>
      <c r="R921" s="18"/>
      <c r="S921" s="18"/>
      <c r="T921" s="18"/>
      <c r="U921" s="18"/>
      <c r="V921" s="18"/>
      <c r="W921" s="18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62" t="s">
        <v>21</v>
      </c>
      <c r="B922" s="62" t="s">
        <v>41</v>
      </c>
      <c r="C922" s="62" t="s">
        <v>42</v>
      </c>
      <c r="D922" s="62" t="s">
        <v>53</v>
      </c>
      <c r="E922" s="62" t="s">
        <v>25</v>
      </c>
      <c r="F922" s="62" t="s">
        <v>25</v>
      </c>
      <c r="G922" s="62" t="s">
        <v>25</v>
      </c>
      <c r="H922" s="62" t="s">
        <v>25</v>
      </c>
      <c r="I922" s="75">
        <v>44621</v>
      </c>
      <c r="J922" s="76">
        <f ca="1">EFEITO!$J$922*EFEITO!$Y$922</f>
        <v>7182.587298288443</v>
      </c>
      <c r="K922" s="76">
        <f>EFEITO!$L$922*EFEITO!$Z$922</f>
        <v>0</v>
      </c>
      <c r="L922" s="76">
        <f>EFEITO!$N$922*EFEITO!$AA$922</f>
        <v>0</v>
      </c>
      <c r="M922" s="76">
        <f ca="1">$J$922-EFEITO!$K$922*EFEITO!$Y$922</f>
        <v>0</v>
      </c>
      <c r="N922" s="76">
        <f>$K$922-EFEITO!$M$922*EFEITO!$Z$922</f>
        <v>0</v>
      </c>
      <c r="O922" s="76">
        <f>$L$922-EFEITO!$O$922*EFEITO!$AA$922</f>
        <v>0</v>
      </c>
      <c r="P922" s="18"/>
      <c r="Q922" s="18"/>
      <c r="R922" s="18"/>
      <c r="S922" s="18"/>
      <c r="T922" s="18"/>
      <c r="U922" s="18"/>
      <c r="V922" s="18"/>
      <c r="W922" s="18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62" t="s">
        <v>28</v>
      </c>
      <c r="B923" s="62" t="s">
        <v>41</v>
      </c>
      <c r="C923" s="62" t="s">
        <v>42</v>
      </c>
      <c r="D923" s="62" t="s">
        <v>53</v>
      </c>
      <c r="E923" s="62" t="s">
        <v>25</v>
      </c>
      <c r="F923" s="62" t="s">
        <v>25</v>
      </c>
      <c r="G923" s="62" t="s">
        <v>25</v>
      </c>
      <c r="H923" s="62" t="s">
        <v>25</v>
      </c>
      <c r="I923" s="75">
        <v>44652</v>
      </c>
      <c r="J923" s="76">
        <f ca="1">EFEITO!$J$923*EFEITO!$Y$923</f>
        <v>6109.6696935648579</v>
      </c>
      <c r="K923" s="76">
        <f>EFEITO!$L$923*EFEITO!$Z$923</f>
        <v>0</v>
      </c>
      <c r="L923" s="76">
        <f>EFEITO!$N$923*EFEITO!$AA$923</f>
        <v>0</v>
      </c>
      <c r="M923" s="76">
        <f ca="1">$J$923-EFEITO!$K$923*EFEITO!$Y$923</f>
        <v>0</v>
      </c>
      <c r="N923" s="76">
        <f>$K$923-EFEITO!$M$923*EFEITO!$Z$923</f>
        <v>0</v>
      </c>
      <c r="O923" s="76">
        <f>$L$923-EFEITO!$O$923*EFEITO!$AA$923</f>
        <v>0</v>
      </c>
      <c r="P923" s="18"/>
      <c r="Q923" s="18"/>
      <c r="R923" s="18"/>
      <c r="S923" s="18"/>
      <c r="T923" s="18"/>
      <c r="U923" s="18"/>
      <c r="V923" s="18"/>
      <c r="W923" s="18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62" t="s">
        <v>58</v>
      </c>
      <c r="B924" s="62" t="s">
        <v>41</v>
      </c>
      <c r="C924" s="62" t="s">
        <v>42</v>
      </c>
      <c r="D924" s="62" t="s">
        <v>53</v>
      </c>
      <c r="E924" s="62" t="s">
        <v>25</v>
      </c>
      <c r="F924" s="62" t="s">
        <v>25</v>
      </c>
      <c r="G924" s="62" t="s">
        <v>25</v>
      </c>
      <c r="H924" s="62" t="s">
        <v>25</v>
      </c>
      <c r="I924" s="75">
        <v>44682</v>
      </c>
      <c r="J924" s="76">
        <f ca="1">EFEITO!$J$924*EFEITO!$Y$924</f>
        <v>6109.6696935648579</v>
      </c>
      <c r="K924" s="76">
        <f>EFEITO!$L$924*EFEITO!$Z$924</f>
        <v>0</v>
      </c>
      <c r="L924" s="76">
        <f>EFEITO!$N$924*EFEITO!$AA$924</f>
        <v>0</v>
      </c>
      <c r="M924" s="76">
        <f ca="1">$J$924-EFEITO!$K$924*EFEITO!$Y$924</f>
        <v>0</v>
      </c>
      <c r="N924" s="76">
        <f>$K$924-EFEITO!$M$924*EFEITO!$Z$924</f>
        <v>0</v>
      </c>
      <c r="O924" s="76">
        <f>$L$924-EFEITO!$O$924*EFEITO!$AA$924</f>
        <v>0</v>
      </c>
      <c r="P924" s="18"/>
      <c r="Q924" s="18"/>
      <c r="R924" s="18"/>
      <c r="S924" s="18"/>
      <c r="T924" s="18"/>
      <c r="U924" s="18"/>
      <c r="V924" s="18"/>
      <c r="W924" s="18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62" t="s">
        <v>21</v>
      </c>
      <c r="B925" s="62" t="s">
        <v>41</v>
      </c>
      <c r="C925" s="62" t="s">
        <v>42</v>
      </c>
      <c r="D925" s="62" t="s">
        <v>53</v>
      </c>
      <c r="E925" s="62" t="s">
        <v>25</v>
      </c>
      <c r="F925" s="62" t="s">
        <v>25</v>
      </c>
      <c r="G925" s="62" t="s">
        <v>25</v>
      </c>
      <c r="H925" s="62" t="s">
        <v>34</v>
      </c>
      <c r="I925" s="75">
        <v>44348</v>
      </c>
      <c r="J925" s="76">
        <f>EFEITO!$J$925*EFEITO!$Y$925</f>
        <v>0</v>
      </c>
      <c r="K925" s="76">
        <f ca="1">EFEITO!$L$925*EFEITO!$Z$925</f>
        <v>7091.711837209079</v>
      </c>
      <c r="L925" s="76">
        <f>EFEITO!$N$925*EFEITO!$AA$925</f>
        <v>1836.1797599237445</v>
      </c>
      <c r="M925" s="76">
        <f>$J$925-EFEITO!$K$925*EFEITO!$Y$925</f>
        <v>0</v>
      </c>
      <c r="N925" s="76">
        <f ca="1">$K$925-EFEITO!$M$925*EFEITO!$Z$925</f>
        <v>0</v>
      </c>
      <c r="O925" s="76">
        <f>$L$925-EFEITO!$O$925*EFEITO!$AA$925</f>
        <v>0</v>
      </c>
      <c r="P925" s="18"/>
      <c r="Q925" s="18"/>
      <c r="R925" s="18"/>
      <c r="S925" s="18"/>
      <c r="T925" s="18"/>
      <c r="U925" s="18"/>
      <c r="V925" s="18"/>
      <c r="W925" s="18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62" t="s">
        <v>21</v>
      </c>
      <c r="B926" s="62" t="s">
        <v>41</v>
      </c>
      <c r="C926" s="62" t="s">
        <v>42</v>
      </c>
      <c r="D926" s="62" t="s">
        <v>53</v>
      </c>
      <c r="E926" s="62" t="s">
        <v>25</v>
      </c>
      <c r="F926" s="62" t="s">
        <v>25</v>
      </c>
      <c r="G926" s="62" t="s">
        <v>25</v>
      </c>
      <c r="H926" s="62" t="s">
        <v>34</v>
      </c>
      <c r="I926" s="75">
        <v>44378</v>
      </c>
      <c r="J926" s="76">
        <f>EFEITO!$J$926*EFEITO!$Y$926</f>
        <v>0</v>
      </c>
      <c r="K926" s="76">
        <f ca="1">EFEITO!$L$926*EFEITO!$Z$926</f>
        <v>7091.711837209079</v>
      </c>
      <c r="L926" s="76">
        <f>EFEITO!$N$926*EFEITO!$AA$926</f>
        <v>1836.1797599237445</v>
      </c>
      <c r="M926" s="76">
        <f>$J$926-EFEITO!$K$926*EFEITO!$Y$926</f>
        <v>0</v>
      </c>
      <c r="N926" s="76">
        <f ca="1">$K$926-EFEITO!$M$926*EFEITO!$Z$926</f>
        <v>0</v>
      </c>
      <c r="O926" s="76">
        <f>$L$926-EFEITO!$O$926*EFEITO!$AA$926</f>
        <v>0</v>
      </c>
      <c r="P926" s="18"/>
      <c r="Q926" s="18"/>
      <c r="R926" s="18"/>
      <c r="S926" s="18"/>
      <c r="T926" s="18"/>
      <c r="U926" s="18"/>
      <c r="V926" s="18"/>
      <c r="W926" s="18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62" t="s">
        <v>21</v>
      </c>
      <c r="B927" s="62" t="s">
        <v>41</v>
      </c>
      <c r="C927" s="62" t="s">
        <v>42</v>
      </c>
      <c r="D927" s="62" t="s">
        <v>53</v>
      </c>
      <c r="E927" s="62" t="s">
        <v>25</v>
      </c>
      <c r="F927" s="62" t="s">
        <v>25</v>
      </c>
      <c r="G927" s="62" t="s">
        <v>25</v>
      </c>
      <c r="H927" s="62" t="s">
        <v>34</v>
      </c>
      <c r="I927" s="75">
        <v>44409</v>
      </c>
      <c r="J927" s="76">
        <f>EFEITO!$J$927*EFEITO!$Y$927</f>
        <v>0</v>
      </c>
      <c r="K927" s="76">
        <f ca="1">EFEITO!$L$927*EFEITO!$Z$927</f>
        <v>7091.711837209079</v>
      </c>
      <c r="L927" s="76">
        <f>EFEITO!$N$927*EFEITO!$AA$927</f>
        <v>1836.1797599237445</v>
      </c>
      <c r="M927" s="76">
        <f>$J$927-EFEITO!$K$927*EFEITO!$Y$927</f>
        <v>0</v>
      </c>
      <c r="N927" s="76">
        <f ca="1">$K$927-EFEITO!$M$927*EFEITO!$Z$927</f>
        <v>0</v>
      </c>
      <c r="O927" s="76">
        <f>$L$927-EFEITO!$O$927*EFEITO!$AA$927</f>
        <v>0</v>
      </c>
      <c r="P927" s="18"/>
      <c r="Q927" s="18"/>
      <c r="R927" s="18"/>
      <c r="S927" s="18"/>
      <c r="T927" s="18"/>
      <c r="U927" s="18"/>
      <c r="V927" s="18"/>
      <c r="W927" s="18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62" t="s">
        <v>21</v>
      </c>
      <c r="B928" s="62" t="s">
        <v>41</v>
      </c>
      <c r="C928" s="62" t="s">
        <v>42</v>
      </c>
      <c r="D928" s="62" t="s">
        <v>53</v>
      </c>
      <c r="E928" s="62" t="s">
        <v>25</v>
      </c>
      <c r="F928" s="62" t="s">
        <v>25</v>
      </c>
      <c r="G928" s="62" t="s">
        <v>25</v>
      </c>
      <c r="H928" s="62" t="s">
        <v>34</v>
      </c>
      <c r="I928" s="75">
        <v>44440</v>
      </c>
      <c r="J928" s="76">
        <f>EFEITO!$J$928*EFEITO!$Y$928</f>
        <v>0</v>
      </c>
      <c r="K928" s="76">
        <f ca="1">EFEITO!$L$928*EFEITO!$Z$928</f>
        <v>9455.6157829454369</v>
      </c>
      <c r="L928" s="76">
        <f>EFEITO!$N$928*EFEITO!$AA$928</f>
        <v>2448.2396798983259</v>
      </c>
      <c r="M928" s="76">
        <f>$J$928-EFEITO!$K$928*EFEITO!$Y$928</f>
        <v>0</v>
      </c>
      <c r="N928" s="76">
        <f ca="1">$K$928-EFEITO!$M$928*EFEITO!$Z$928</f>
        <v>0</v>
      </c>
      <c r="O928" s="76">
        <f>$L$928-EFEITO!$O$928*EFEITO!$AA$928</f>
        <v>0</v>
      </c>
      <c r="P928" s="18"/>
      <c r="Q928" s="18"/>
      <c r="R928" s="18"/>
      <c r="S928" s="18"/>
      <c r="T928" s="18"/>
      <c r="U928" s="18"/>
      <c r="V928" s="18"/>
      <c r="W928" s="18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62" t="s">
        <v>21</v>
      </c>
      <c r="B929" s="62" t="s">
        <v>41</v>
      </c>
      <c r="C929" s="62" t="s">
        <v>42</v>
      </c>
      <c r="D929" s="62" t="s">
        <v>53</v>
      </c>
      <c r="E929" s="62" t="s">
        <v>25</v>
      </c>
      <c r="F929" s="62" t="s">
        <v>25</v>
      </c>
      <c r="G929" s="62" t="s">
        <v>25</v>
      </c>
      <c r="H929" s="62" t="s">
        <v>34</v>
      </c>
      <c r="I929" s="75">
        <v>44470</v>
      </c>
      <c r="J929" s="76">
        <f>EFEITO!$J$929*EFEITO!$Y$929</f>
        <v>0</v>
      </c>
      <c r="K929" s="76">
        <f ca="1">EFEITO!$L$929*EFEITO!$Z$929</f>
        <v>7091.711837209079</v>
      </c>
      <c r="L929" s="76">
        <f>EFEITO!$N$929*EFEITO!$AA$929</f>
        <v>1836.1797599237445</v>
      </c>
      <c r="M929" s="76">
        <f>$J$929-EFEITO!$K$929*EFEITO!$Y$929</f>
        <v>0</v>
      </c>
      <c r="N929" s="76">
        <f ca="1">$K$929-EFEITO!$M$929*EFEITO!$Z$929</f>
        <v>0</v>
      </c>
      <c r="O929" s="76">
        <f>$L$929-EFEITO!$O$929*EFEITO!$AA$929</f>
        <v>0</v>
      </c>
      <c r="P929" s="18"/>
      <c r="Q929" s="18"/>
      <c r="R929" s="18"/>
      <c r="S929" s="18"/>
      <c r="T929" s="18"/>
      <c r="U929" s="18"/>
      <c r="V929" s="18"/>
      <c r="W929" s="18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62" t="s">
        <v>21</v>
      </c>
      <c r="B930" s="62" t="s">
        <v>41</v>
      </c>
      <c r="C930" s="62" t="s">
        <v>42</v>
      </c>
      <c r="D930" s="62" t="s">
        <v>53</v>
      </c>
      <c r="E930" s="62" t="s">
        <v>25</v>
      </c>
      <c r="F930" s="62" t="s">
        <v>25</v>
      </c>
      <c r="G930" s="62" t="s">
        <v>25</v>
      </c>
      <c r="H930" s="62" t="s">
        <v>34</v>
      </c>
      <c r="I930" s="75">
        <v>44501</v>
      </c>
      <c r="J930" s="76">
        <f>EFEITO!$J$930*EFEITO!$Y$930</f>
        <v>0</v>
      </c>
      <c r="K930" s="76">
        <f ca="1">EFEITO!$L$930*EFEITO!$Z$930</f>
        <v>7091.711837209079</v>
      </c>
      <c r="L930" s="76">
        <f>EFEITO!$N$930*EFEITO!$AA$930</f>
        <v>1836.1797599237445</v>
      </c>
      <c r="M930" s="76">
        <f>$J$930-EFEITO!$K$930*EFEITO!$Y$930</f>
        <v>0</v>
      </c>
      <c r="N930" s="76">
        <f ca="1">$K$930-EFEITO!$M$930*EFEITO!$Z$930</f>
        <v>0</v>
      </c>
      <c r="O930" s="76">
        <f>$L$930-EFEITO!$O$930*EFEITO!$AA$930</f>
        <v>0</v>
      </c>
      <c r="P930" s="18"/>
      <c r="Q930" s="18"/>
      <c r="R930" s="18"/>
      <c r="S930" s="18"/>
      <c r="T930" s="18"/>
      <c r="U930" s="18"/>
      <c r="V930" s="18"/>
      <c r="W930" s="18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62" t="s">
        <v>21</v>
      </c>
      <c r="B931" s="62" t="s">
        <v>41</v>
      </c>
      <c r="C931" s="62" t="s">
        <v>42</v>
      </c>
      <c r="D931" s="62" t="s">
        <v>53</v>
      </c>
      <c r="E931" s="62" t="s">
        <v>25</v>
      </c>
      <c r="F931" s="62" t="s">
        <v>25</v>
      </c>
      <c r="G931" s="62" t="s">
        <v>25</v>
      </c>
      <c r="H931" s="62" t="s">
        <v>34</v>
      </c>
      <c r="I931" s="75">
        <v>44531</v>
      </c>
      <c r="J931" s="76">
        <f>EFEITO!$J$931*EFEITO!$Y$931</f>
        <v>0</v>
      </c>
      <c r="K931" s="76">
        <f ca="1">EFEITO!$L$931*EFEITO!$Z$931</f>
        <v>7091.711837209079</v>
      </c>
      <c r="L931" s="76">
        <f>EFEITO!$N$931*EFEITO!$AA$931</f>
        <v>1836.1797599237445</v>
      </c>
      <c r="M931" s="76">
        <f>$J$931-EFEITO!$K$931*EFEITO!$Y$931</f>
        <v>0</v>
      </c>
      <c r="N931" s="76">
        <f ca="1">$K$931-EFEITO!$M$931*EFEITO!$Z$931</f>
        <v>0</v>
      </c>
      <c r="O931" s="76">
        <f>$L$931-EFEITO!$O$931*EFEITO!$AA$931</f>
        <v>0</v>
      </c>
      <c r="P931" s="18"/>
      <c r="Q931" s="18"/>
      <c r="R931" s="18"/>
      <c r="S931" s="18"/>
      <c r="T931" s="18"/>
      <c r="U931" s="18"/>
      <c r="V931" s="18"/>
      <c r="W931" s="18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62" t="s">
        <v>21</v>
      </c>
      <c r="B932" s="62" t="s">
        <v>41</v>
      </c>
      <c r="C932" s="62" t="s">
        <v>42</v>
      </c>
      <c r="D932" s="62" t="s">
        <v>53</v>
      </c>
      <c r="E932" s="62" t="s">
        <v>25</v>
      </c>
      <c r="F932" s="62" t="s">
        <v>25</v>
      </c>
      <c r="G932" s="62" t="s">
        <v>25</v>
      </c>
      <c r="H932" s="62" t="s">
        <v>34</v>
      </c>
      <c r="I932" s="75">
        <v>44562</v>
      </c>
      <c r="J932" s="76">
        <f>EFEITO!$J$932*EFEITO!$Y$932</f>
        <v>0</v>
      </c>
      <c r="K932" s="76">
        <f ca="1">EFEITO!$L$932*EFEITO!$Z$932</f>
        <v>8787.8129182749162</v>
      </c>
      <c r="L932" s="76">
        <f>EFEITO!$N$932*EFEITO!$AA$932</f>
        <v>2275.332752505507</v>
      </c>
      <c r="M932" s="76">
        <f>$J$932-EFEITO!$K$932*EFEITO!$Y$932</f>
        <v>0</v>
      </c>
      <c r="N932" s="76">
        <f ca="1">$K$932-EFEITO!$M$932*EFEITO!$Z$932</f>
        <v>0</v>
      </c>
      <c r="O932" s="76">
        <f>$L$932-EFEITO!$O$932*EFEITO!$AA$932</f>
        <v>0</v>
      </c>
      <c r="P932" s="18"/>
      <c r="Q932" s="18"/>
      <c r="R932" s="18"/>
      <c r="S932" s="18"/>
      <c r="T932" s="18"/>
      <c r="U932" s="18"/>
      <c r="V932" s="18"/>
      <c r="W932" s="18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62" t="s">
        <v>21</v>
      </c>
      <c r="B933" s="62" t="s">
        <v>41</v>
      </c>
      <c r="C933" s="62" t="s">
        <v>42</v>
      </c>
      <c r="D933" s="62" t="s">
        <v>53</v>
      </c>
      <c r="E933" s="62" t="s">
        <v>25</v>
      </c>
      <c r="F933" s="62" t="s">
        <v>25</v>
      </c>
      <c r="G933" s="62" t="s">
        <v>25</v>
      </c>
      <c r="H933" s="62" t="s">
        <v>34</v>
      </c>
      <c r="I933" s="75">
        <v>44593</v>
      </c>
      <c r="J933" s="76">
        <f>EFEITO!$J$933*EFEITO!$Y$933</f>
        <v>0</v>
      </c>
      <c r="K933" s="76">
        <f ca="1">EFEITO!$L$933*EFEITO!$Z$933</f>
        <v>7536.9137469894267</v>
      </c>
      <c r="L933" s="76">
        <f>EFEITO!$N$933*EFEITO!$AA$933</f>
        <v>1951.4510448522908</v>
      </c>
      <c r="M933" s="76">
        <f>$J$933-EFEITO!$K$933*EFEITO!$Y$933</f>
        <v>0</v>
      </c>
      <c r="N933" s="76">
        <f ca="1">$K$933-EFEITO!$M$933*EFEITO!$Z$933</f>
        <v>0</v>
      </c>
      <c r="O933" s="76">
        <f>$L$933-EFEITO!$O$933*EFEITO!$AA$933</f>
        <v>0</v>
      </c>
      <c r="P933" s="18"/>
      <c r="Q933" s="18"/>
      <c r="R933" s="18"/>
      <c r="S933" s="18"/>
      <c r="T933" s="18"/>
      <c r="U933" s="18"/>
      <c r="V933" s="18"/>
      <c r="W933" s="18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62" t="s">
        <v>21</v>
      </c>
      <c r="B934" s="62" t="s">
        <v>41</v>
      </c>
      <c r="C934" s="62" t="s">
        <v>42</v>
      </c>
      <c r="D934" s="62" t="s">
        <v>53</v>
      </c>
      <c r="E934" s="62" t="s">
        <v>25</v>
      </c>
      <c r="F934" s="62" t="s">
        <v>25</v>
      </c>
      <c r="G934" s="62" t="s">
        <v>25</v>
      </c>
      <c r="H934" s="62" t="s">
        <v>34</v>
      </c>
      <c r="I934" s="75">
        <v>44621</v>
      </c>
      <c r="J934" s="76">
        <f>EFEITO!$J$934*EFEITO!$Y$934</f>
        <v>0</v>
      </c>
      <c r="K934" s="76">
        <f ca="1">EFEITO!$L$934*EFEITO!$Z$934</f>
        <v>9528.5028212723082</v>
      </c>
      <c r="L934" s="76">
        <f>EFEITO!$N$934*EFEITO!$AA$934</f>
        <v>2467.1115274308754</v>
      </c>
      <c r="M934" s="76">
        <f>$J$934-EFEITO!$K$934*EFEITO!$Y$934</f>
        <v>0</v>
      </c>
      <c r="N934" s="76">
        <f ca="1">$K$934-EFEITO!$M$934*EFEITO!$Z$934</f>
        <v>0</v>
      </c>
      <c r="O934" s="76">
        <f>$L$934-EFEITO!$O$934*EFEITO!$AA$934</f>
        <v>0</v>
      </c>
      <c r="P934" s="18"/>
      <c r="Q934" s="18"/>
      <c r="R934" s="18"/>
      <c r="S934" s="18"/>
      <c r="T934" s="18"/>
      <c r="U934" s="18"/>
      <c r="V934" s="18"/>
      <c r="W934" s="18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62" t="s">
        <v>28</v>
      </c>
      <c r="B935" s="62" t="s">
        <v>41</v>
      </c>
      <c r="C935" s="62" t="s">
        <v>42</v>
      </c>
      <c r="D935" s="62" t="s">
        <v>53</v>
      </c>
      <c r="E935" s="62" t="s">
        <v>25</v>
      </c>
      <c r="F935" s="62" t="s">
        <v>25</v>
      </c>
      <c r="G935" s="62" t="s">
        <v>25</v>
      </c>
      <c r="H935" s="62" t="s">
        <v>34</v>
      </c>
      <c r="I935" s="75">
        <v>44652</v>
      </c>
      <c r="J935" s="76">
        <f>EFEITO!$J$935*EFEITO!$Y$935</f>
        <v>0</v>
      </c>
      <c r="K935" s="76">
        <f ca="1">EFEITO!$L$935*EFEITO!$Z$935</f>
        <v>6760.7652848059879</v>
      </c>
      <c r="L935" s="76">
        <f>EFEITO!$N$935*EFEITO!$AA$935</f>
        <v>1750.4913711273032</v>
      </c>
      <c r="M935" s="76">
        <f>$J$935-EFEITO!$K$935*EFEITO!$Y$935</f>
        <v>0</v>
      </c>
      <c r="N935" s="76">
        <f ca="1">$K$935-EFEITO!$M$935*EFEITO!$Z$935</f>
        <v>0</v>
      </c>
      <c r="O935" s="76">
        <f>$L$935-EFEITO!$O$935*EFEITO!$AA$935</f>
        <v>0</v>
      </c>
      <c r="P935" s="18"/>
      <c r="Q935" s="18"/>
      <c r="R935" s="18"/>
      <c r="S935" s="18"/>
      <c r="T935" s="18"/>
      <c r="U935" s="18"/>
      <c r="V935" s="18"/>
      <c r="W935" s="18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62" t="s">
        <v>58</v>
      </c>
      <c r="B936" s="62" t="s">
        <v>41</v>
      </c>
      <c r="C936" s="62" t="s">
        <v>42</v>
      </c>
      <c r="D936" s="62" t="s">
        <v>53</v>
      </c>
      <c r="E936" s="62" t="s">
        <v>25</v>
      </c>
      <c r="F936" s="62" t="s">
        <v>25</v>
      </c>
      <c r="G936" s="62" t="s">
        <v>25</v>
      </c>
      <c r="H936" s="62" t="s">
        <v>34</v>
      </c>
      <c r="I936" s="75">
        <v>44682</v>
      </c>
      <c r="J936" s="76">
        <f>EFEITO!$J$936*EFEITO!$Y$936</f>
        <v>0</v>
      </c>
      <c r="K936" s="76">
        <f ca="1">EFEITO!$L$936*EFEITO!$Z$936</f>
        <v>6760.7652848059879</v>
      </c>
      <c r="L936" s="76">
        <f>EFEITO!$N$936*EFEITO!$AA$936</f>
        <v>1750.4913711273032</v>
      </c>
      <c r="M936" s="76">
        <f>$J$936-EFEITO!$K$936*EFEITO!$Y$936</f>
        <v>0</v>
      </c>
      <c r="N936" s="76">
        <f ca="1">$K$936-EFEITO!$M$936*EFEITO!$Z$936</f>
        <v>0</v>
      </c>
      <c r="O936" s="76">
        <f>$L$936-EFEITO!$O$936*EFEITO!$AA$936</f>
        <v>0</v>
      </c>
      <c r="P936" s="18"/>
      <c r="Q936" s="18"/>
      <c r="R936" s="18"/>
      <c r="S936" s="18"/>
      <c r="T936" s="18"/>
      <c r="U936" s="18"/>
      <c r="V936" s="18"/>
      <c r="W936" s="18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62" t="s">
        <v>21</v>
      </c>
      <c r="B937" s="62" t="s">
        <v>41</v>
      </c>
      <c r="C937" s="62" t="s">
        <v>42</v>
      </c>
      <c r="D937" s="62" t="s">
        <v>38</v>
      </c>
      <c r="E937" s="62" t="s">
        <v>25</v>
      </c>
      <c r="F937" s="62" t="s">
        <v>63</v>
      </c>
      <c r="G937" s="62" t="s">
        <v>25</v>
      </c>
      <c r="H937" s="62" t="s">
        <v>35</v>
      </c>
      <c r="I937" s="75">
        <v>44348</v>
      </c>
      <c r="J937" s="76">
        <f>EFEITO!$J$937*EFEITO!$Y$937</f>
        <v>0</v>
      </c>
      <c r="K937" s="76">
        <f ca="1">EFEITO!$L$937*EFEITO!$Z$937</f>
        <v>1117627.4052195703</v>
      </c>
      <c r="L937" s="76">
        <f>EFEITO!$N$937*EFEITO!$AA$937</f>
        <v>0</v>
      </c>
      <c r="M937" s="76">
        <f>$J$937-EFEITO!$K$937*EFEITO!$Y$937</f>
        <v>0</v>
      </c>
      <c r="N937" s="76">
        <f ca="1">$K$937-EFEITO!$M$937*EFEITO!$Z$937</f>
        <v>0</v>
      </c>
      <c r="O937" s="76">
        <f>$L$937-EFEITO!$O$937*EFEITO!$AA$937</f>
        <v>0</v>
      </c>
      <c r="P937" s="18"/>
      <c r="Q937" s="18"/>
      <c r="R937" s="18"/>
      <c r="S937" s="18"/>
      <c r="T937" s="18"/>
      <c r="U937" s="18"/>
      <c r="V937" s="18"/>
      <c r="W937" s="18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62" t="s">
        <v>21</v>
      </c>
      <c r="B938" s="62" t="s">
        <v>41</v>
      </c>
      <c r="C938" s="62" t="s">
        <v>42</v>
      </c>
      <c r="D938" s="62" t="s">
        <v>38</v>
      </c>
      <c r="E938" s="62" t="s">
        <v>25</v>
      </c>
      <c r="F938" s="62" t="s">
        <v>63</v>
      </c>
      <c r="G938" s="62" t="s">
        <v>25</v>
      </c>
      <c r="H938" s="62" t="s">
        <v>35</v>
      </c>
      <c r="I938" s="75">
        <v>44378</v>
      </c>
      <c r="J938" s="76">
        <f>EFEITO!$J$938*EFEITO!$Y$938</f>
        <v>0</v>
      </c>
      <c r="K938" s="76">
        <f ca="1">EFEITO!$L$938*EFEITO!$Z$938</f>
        <v>1142815.9614187228</v>
      </c>
      <c r="L938" s="76">
        <f>EFEITO!$N$938*EFEITO!$AA$938</f>
        <v>0</v>
      </c>
      <c r="M938" s="76">
        <f>$J$938-EFEITO!$K$938*EFEITO!$Y$938</f>
        <v>0</v>
      </c>
      <c r="N938" s="76">
        <f ca="1">$K$938-EFEITO!$M$938*EFEITO!$Z$938</f>
        <v>0</v>
      </c>
      <c r="O938" s="76">
        <f>$L$938-EFEITO!$O$938*EFEITO!$AA$938</f>
        <v>0</v>
      </c>
      <c r="P938" s="18"/>
      <c r="Q938" s="18"/>
      <c r="R938" s="18"/>
      <c r="S938" s="18"/>
      <c r="T938" s="18"/>
      <c r="U938" s="18"/>
      <c r="V938" s="18"/>
      <c r="W938" s="18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62" t="s">
        <v>21</v>
      </c>
      <c r="B939" s="62" t="s">
        <v>41</v>
      </c>
      <c r="C939" s="62" t="s">
        <v>42</v>
      </c>
      <c r="D939" s="62" t="s">
        <v>38</v>
      </c>
      <c r="E939" s="62" t="s">
        <v>25</v>
      </c>
      <c r="F939" s="62" t="s">
        <v>63</v>
      </c>
      <c r="G939" s="62" t="s">
        <v>25</v>
      </c>
      <c r="H939" s="62" t="s">
        <v>35</v>
      </c>
      <c r="I939" s="75">
        <v>44409</v>
      </c>
      <c r="J939" s="76">
        <f>EFEITO!$J$939*EFEITO!$Y$939</f>
        <v>0</v>
      </c>
      <c r="K939" s="76">
        <f ca="1">EFEITO!$L$939*EFEITO!$Z$939</f>
        <v>1291226.8933133746</v>
      </c>
      <c r="L939" s="76">
        <f>EFEITO!$N$939*EFEITO!$AA$939</f>
        <v>0</v>
      </c>
      <c r="M939" s="76">
        <f>$J$939-EFEITO!$K$939*EFEITO!$Y$939</f>
        <v>0</v>
      </c>
      <c r="N939" s="76">
        <f ca="1">$K$939-EFEITO!$M$939*EFEITO!$Z$939</f>
        <v>0</v>
      </c>
      <c r="O939" s="76">
        <f>$L$939-EFEITO!$O$939*EFEITO!$AA$939</f>
        <v>0</v>
      </c>
      <c r="P939" s="18"/>
      <c r="Q939" s="18"/>
      <c r="R939" s="18"/>
      <c r="S939" s="18"/>
      <c r="T939" s="18"/>
      <c r="U939" s="18"/>
      <c r="V939" s="18"/>
      <c r="W939" s="18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62" t="s">
        <v>21</v>
      </c>
      <c r="B940" s="62" t="s">
        <v>41</v>
      </c>
      <c r="C940" s="62" t="s">
        <v>42</v>
      </c>
      <c r="D940" s="62" t="s">
        <v>38</v>
      </c>
      <c r="E940" s="62" t="s">
        <v>25</v>
      </c>
      <c r="F940" s="62" t="s">
        <v>63</v>
      </c>
      <c r="G940" s="62" t="s">
        <v>25</v>
      </c>
      <c r="H940" s="62" t="s">
        <v>35</v>
      </c>
      <c r="I940" s="75">
        <v>44440</v>
      </c>
      <c r="J940" s="76">
        <f>EFEITO!$J$940*EFEITO!$Y$940</f>
        <v>0</v>
      </c>
      <c r="K940" s="76">
        <f ca="1">EFEITO!$L$940*EFEITO!$Z$940</f>
        <v>1328765.4353810628</v>
      </c>
      <c r="L940" s="76">
        <f>EFEITO!$N$940*EFEITO!$AA$940</f>
        <v>0</v>
      </c>
      <c r="M940" s="76">
        <f>$J$940-EFEITO!$K$940*EFEITO!$Y$940</f>
        <v>0</v>
      </c>
      <c r="N940" s="76">
        <f ca="1">$K$940-EFEITO!$M$940*EFEITO!$Z$940</f>
        <v>0</v>
      </c>
      <c r="O940" s="76">
        <f>$L$940-EFEITO!$O$940*EFEITO!$AA$940</f>
        <v>0</v>
      </c>
      <c r="P940" s="18"/>
      <c r="Q940" s="18"/>
      <c r="R940" s="18"/>
      <c r="S940" s="18"/>
      <c r="T940" s="18"/>
      <c r="U940" s="18"/>
      <c r="V940" s="18"/>
      <c r="W940" s="18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62" t="s">
        <v>21</v>
      </c>
      <c r="B941" s="62" t="s">
        <v>41</v>
      </c>
      <c r="C941" s="62" t="s">
        <v>42</v>
      </c>
      <c r="D941" s="62" t="s">
        <v>38</v>
      </c>
      <c r="E941" s="62" t="s">
        <v>25</v>
      </c>
      <c r="F941" s="62" t="s">
        <v>63</v>
      </c>
      <c r="G941" s="62" t="s">
        <v>25</v>
      </c>
      <c r="H941" s="62" t="s">
        <v>35</v>
      </c>
      <c r="I941" s="75">
        <v>44470</v>
      </c>
      <c r="J941" s="76">
        <f>EFEITO!$J$941*EFEITO!$Y$941</f>
        <v>0</v>
      </c>
      <c r="K941" s="76">
        <f ca="1">EFEITO!$L$941*EFEITO!$Z$941</f>
        <v>1365360.8926164578</v>
      </c>
      <c r="L941" s="76">
        <f>EFEITO!$N$941*EFEITO!$AA$941</f>
        <v>0</v>
      </c>
      <c r="M941" s="76">
        <f>$J$941-EFEITO!$K$941*EFEITO!$Y$941</f>
        <v>0</v>
      </c>
      <c r="N941" s="76">
        <f ca="1">$K$941-EFEITO!$M$941*EFEITO!$Z$941</f>
        <v>0</v>
      </c>
      <c r="O941" s="76">
        <f>$L$941-EFEITO!$O$941*EFEITO!$AA$941</f>
        <v>0</v>
      </c>
      <c r="P941" s="18"/>
      <c r="Q941" s="18"/>
      <c r="R941" s="18"/>
      <c r="S941" s="18"/>
      <c r="T941" s="18"/>
      <c r="U941" s="18"/>
      <c r="V941" s="18"/>
      <c r="W941" s="18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62" t="s">
        <v>21</v>
      </c>
      <c r="B942" s="62" t="s">
        <v>41</v>
      </c>
      <c r="C942" s="62" t="s">
        <v>42</v>
      </c>
      <c r="D942" s="62" t="s">
        <v>38</v>
      </c>
      <c r="E942" s="62" t="s">
        <v>25</v>
      </c>
      <c r="F942" s="62" t="s">
        <v>63</v>
      </c>
      <c r="G942" s="62" t="s">
        <v>25</v>
      </c>
      <c r="H942" s="62" t="s">
        <v>35</v>
      </c>
      <c r="I942" s="75">
        <v>44501</v>
      </c>
      <c r="J942" s="76">
        <f>EFEITO!$J$942*EFEITO!$Y$942</f>
        <v>0</v>
      </c>
      <c r="K942" s="76">
        <f ca="1">EFEITO!$L$942*EFEITO!$Z$942</f>
        <v>1387945.7265556571</v>
      </c>
      <c r="L942" s="76">
        <f>EFEITO!$N$942*EFEITO!$AA$942</f>
        <v>0</v>
      </c>
      <c r="M942" s="76">
        <f>$J$942-EFEITO!$K$942*EFEITO!$Y$942</f>
        <v>0</v>
      </c>
      <c r="N942" s="76">
        <f ca="1">$K$942-EFEITO!$M$942*EFEITO!$Z$942</f>
        <v>0</v>
      </c>
      <c r="O942" s="76">
        <f>$L$942-EFEITO!$O$942*EFEITO!$AA$942</f>
        <v>0</v>
      </c>
      <c r="P942" s="18"/>
      <c r="Q942" s="18"/>
      <c r="R942" s="18"/>
      <c r="S942" s="18"/>
      <c r="T942" s="18"/>
      <c r="U942" s="18"/>
      <c r="V942" s="18"/>
      <c r="W942" s="18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62" t="s">
        <v>21</v>
      </c>
      <c r="B943" s="62" t="s">
        <v>41</v>
      </c>
      <c r="C943" s="62" t="s">
        <v>42</v>
      </c>
      <c r="D943" s="62" t="s">
        <v>38</v>
      </c>
      <c r="E943" s="62" t="s">
        <v>25</v>
      </c>
      <c r="F943" s="62" t="s">
        <v>63</v>
      </c>
      <c r="G943" s="62" t="s">
        <v>25</v>
      </c>
      <c r="H943" s="62" t="s">
        <v>35</v>
      </c>
      <c r="I943" s="75">
        <v>44531</v>
      </c>
      <c r="J943" s="76">
        <f>EFEITO!$J$943*EFEITO!$Y$943</f>
        <v>0</v>
      </c>
      <c r="K943" s="76">
        <f ca="1">EFEITO!$L$943*EFEITO!$Z$943</f>
        <v>1372095.3869136323</v>
      </c>
      <c r="L943" s="76">
        <f>EFEITO!$N$943*EFEITO!$AA$943</f>
        <v>0</v>
      </c>
      <c r="M943" s="76">
        <f>$J$943-EFEITO!$K$943*EFEITO!$Y$943</f>
        <v>0</v>
      </c>
      <c r="N943" s="76">
        <f ca="1">$K$943-EFEITO!$M$943*EFEITO!$Z$943</f>
        <v>0</v>
      </c>
      <c r="O943" s="76">
        <f>$L$943-EFEITO!$O$943*EFEITO!$AA$943</f>
        <v>0</v>
      </c>
      <c r="P943" s="18"/>
      <c r="Q943" s="18"/>
      <c r="R943" s="18"/>
      <c r="S943" s="18"/>
      <c r="T943" s="18"/>
      <c r="U943" s="18"/>
      <c r="V943" s="18"/>
      <c r="W943" s="18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62" t="s">
        <v>21</v>
      </c>
      <c r="B944" s="62" t="s">
        <v>41</v>
      </c>
      <c r="C944" s="62" t="s">
        <v>42</v>
      </c>
      <c r="D944" s="62" t="s">
        <v>38</v>
      </c>
      <c r="E944" s="62" t="s">
        <v>25</v>
      </c>
      <c r="F944" s="62" t="s">
        <v>63</v>
      </c>
      <c r="G944" s="62" t="s">
        <v>25</v>
      </c>
      <c r="H944" s="62" t="s">
        <v>35</v>
      </c>
      <c r="I944" s="75">
        <v>44562</v>
      </c>
      <c r="J944" s="76">
        <f>EFEITO!$J$944*EFEITO!$Y$944</f>
        <v>0</v>
      </c>
      <c r="K944" s="76">
        <f ca="1">EFEITO!$L$944*EFEITO!$Z$944</f>
        <v>1216086.0389415966</v>
      </c>
      <c r="L944" s="76">
        <f>EFEITO!$N$944*EFEITO!$AA$944</f>
        <v>0</v>
      </c>
      <c r="M944" s="76">
        <f>$J$944-EFEITO!$K$944*EFEITO!$Y$944</f>
        <v>0</v>
      </c>
      <c r="N944" s="76">
        <f ca="1">$K$944-EFEITO!$M$944*EFEITO!$Z$944</f>
        <v>0</v>
      </c>
      <c r="O944" s="76">
        <f>$L$944-EFEITO!$O$944*EFEITO!$AA$944</f>
        <v>0</v>
      </c>
      <c r="P944" s="18"/>
      <c r="Q944" s="18"/>
      <c r="R944" s="18"/>
      <c r="S944" s="18"/>
      <c r="T944" s="18"/>
      <c r="U944" s="18"/>
      <c r="V944" s="18"/>
      <c r="W944" s="18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62" t="s">
        <v>21</v>
      </c>
      <c r="B945" s="62" t="s">
        <v>41</v>
      </c>
      <c r="C945" s="62" t="s">
        <v>42</v>
      </c>
      <c r="D945" s="62" t="s">
        <v>38</v>
      </c>
      <c r="E945" s="62" t="s">
        <v>25</v>
      </c>
      <c r="F945" s="62" t="s">
        <v>63</v>
      </c>
      <c r="G945" s="62" t="s">
        <v>25</v>
      </c>
      <c r="H945" s="62" t="s">
        <v>35</v>
      </c>
      <c r="I945" s="75">
        <v>44593</v>
      </c>
      <c r="J945" s="76">
        <f>EFEITO!$J$945*EFEITO!$Y$945</f>
        <v>0</v>
      </c>
      <c r="K945" s="76">
        <f ca="1">EFEITO!$L$945*EFEITO!$Z$945</f>
        <v>1470421.9447796645</v>
      </c>
      <c r="L945" s="76">
        <f>EFEITO!$N$945*EFEITO!$AA$945</f>
        <v>0</v>
      </c>
      <c r="M945" s="76">
        <f>$J$945-EFEITO!$K$945*EFEITO!$Y$945</f>
        <v>0</v>
      </c>
      <c r="N945" s="76">
        <f ca="1">$K$945-EFEITO!$M$945*EFEITO!$Z$945</f>
        <v>0</v>
      </c>
      <c r="O945" s="76">
        <f>$L$945-EFEITO!$O$945*EFEITO!$AA$945</f>
        <v>0</v>
      </c>
      <c r="P945" s="18"/>
      <c r="Q945" s="18"/>
      <c r="R945" s="18"/>
      <c r="S945" s="18"/>
      <c r="T945" s="18"/>
      <c r="U945" s="18"/>
      <c r="V945" s="18"/>
      <c r="W945" s="18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62" t="s">
        <v>21</v>
      </c>
      <c r="B946" s="62" t="s">
        <v>41</v>
      </c>
      <c r="C946" s="62" t="s">
        <v>42</v>
      </c>
      <c r="D946" s="62" t="s">
        <v>38</v>
      </c>
      <c r="E946" s="62" t="s">
        <v>25</v>
      </c>
      <c r="F946" s="62" t="s">
        <v>63</v>
      </c>
      <c r="G946" s="62" t="s">
        <v>25</v>
      </c>
      <c r="H946" s="62" t="s">
        <v>35</v>
      </c>
      <c r="I946" s="75">
        <v>44621</v>
      </c>
      <c r="J946" s="76">
        <f>EFEITO!$J$946*EFEITO!$Y$946</f>
        <v>0</v>
      </c>
      <c r="K946" s="76">
        <f ca="1">EFEITO!$L$946*EFEITO!$Z$946</f>
        <v>1452953.4353889625</v>
      </c>
      <c r="L946" s="76">
        <f>EFEITO!$N$946*EFEITO!$AA$946</f>
        <v>0</v>
      </c>
      <c r="M946" s="76">
        <f>$J$946-EFEITO!$K$946*EFEITO!$Y$946</f>
        <v>0</v>
      </c>
      <c r="N946" s="76">
        <f ca="1">$K$946-EFEITO!$M$946*EFEITO!$Z$946</f>
        <v>0</v>
      </c>
      <c r="O946" s="76">
        <f>$L$946-EFEITO!$O$946*EFEITO!$AA$946</f>
        <v>0</v>
      </c>
      <c r="P946" s="18"/>
      <c r="Q946" s="18"/>
      <c r="R946" s="18"/>
      <c r="S946" s="18"/>
      <c r="T946" s="18"/>
      <c r="U946" s="18"/>
      <c r="V946" s="18"/>
      <c r="W946" s="18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62" t="s">
        <v>21</v>
      </c>
      <c r="B947" s="62" t="s">
        <v>41</v>
      </c>
      <c r="C947" s="62" t="s">
        <v>42</v>
      </c>
      <c r="D947" s="62" t="s">
        <v>38</v>
      </c>
      <c r="E947" s="62" t="s">
        <v>25</v>
      </c>
      <c r="F947" s="62" t="s">
        <v>63</v>
      </c>
      <c r="G947" s="62" t="s">
        <v>25</v>
      </c>
      <c r="H947" s="62" t="s">
        <v>35</v>
      </c>
      <c r="I947" s="75">
        <v>44652</v>
      </c>
      <c r="J947" s="76">
        <f>EFEITO!$J$947*EFEITO!$Y$947</f>
        <v>0</v>
      </c>
      <c r="K947" s="76">
        <f ca="1">EFEITO!$L$947*EFEITO!$Z$947</f>
        <v>1677705.8612786673</v>
      </c>
      <c r="L947" s="76">
        <f>EFEITO!$N$947*EFEITO!$AA$947</f>
        <v>0</v>
      </c>
      <c r="M947" s="76">
        <f>$J$947-EFEITO!$K$947*EFEITO!$Y$947</f>
        <v>0</v>
      </c>
      <c r="N947" s="76">
        <f ca="1">$K$947-EFEITO!$M$947*EFEITO!$Z$947</f>
        <v>0</v>
      </c>
      <c r="O947" s="76">
        <f>$L$947-EFEITO!$O$947*EFEITO!$AA$947</f>
        <v>0</v>
      </c>
      <c r="P947" s="18"/>
      <c r="Q947" s="18"/>
      <c r="R947" s="18"/>
      <c r="S947" s="18"/>
      <c r="T947" s="18"/>
      <c r="U947" s="18"/>
      <c r="V947" s="18"/>
      <c r="W947" s="18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62" t="s">
        <v>58</v>
      </c>
      <c r="B948" s="62" t="s">
        <v>41</v>
      </c>
      <c r="C948" s="62" t="s">
        <v>42</v>
      </c>
      <c r="D948" s="62" t="s">
        <v>38</v>
      </c>
      <c r="E948" s="62" t="s">
        <v>25</v>
      </c>
      <c r="F948" s="62" t="s">
        <v>63</v>
      </c>
      <c r="G948" s="62" t="s">
        <v>25</v>
      </c>
      <c r="H948" s="62" t="s">
        <v>35</v>
      </c>
      <c r="I948" s="75">
        <v>44682</v>
      </c>
      <c r="J948" s="76">
        <f>EFEITO!$J$948*EFEITO!$Y$948</f>
        <v>0</v>
      </c>
      <c r="K948" s="76">
        <f ca="1">EFEITO!$L$948*EFEITO!$Z$948</f>
        <v>1677705.8612786673</v>
      </c>
      <c r="L948" s="76">
        <f>EFEITO!$N$948*EFEITO!$AA$948</f>
        <v>0</v>
      </c>
      <c r="M948" s="76">
        <f>$J$948-EFEITO!$K$948*EFEITO!$Y$948</f>
        <v>0</v>
      </c>
      <c r="N948" s="76">
        <f ca="1">$K$948-EFEITO!$M$948*EFEITO!$Z$948</f>
        <v>0</v>
      </c>
      <c r="O948" s="76">
        <f>$L$948-EFEITO!$O$948*EFEITO!$AA$948</f>
        <v>0</v>
      </c>
      <c r="P948" s="18"/>
      <c r="Q948" s="18"/>
      <c r="R948" s="18"/>
      <c r="S948" s="18"/>
      <c r="T948" s="18"/>
      <c r="U948" s="18"/>
      <c r="V948" s="18"/>
      <c r="W948" s="18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62" t="s">
        <v>21</v>
      </c>
      <c r="B949" s="62" t="s">
        <v>41</v>
      </c>
      <c r="C949" s="62" t="s">
        <v>42</v>
      </c>
      <c r="D949" s="62" t="s">
        <v>38</v>
      </c>
      <c r="E949" s="62" t="s">
        <v>25</v>
      </c>
      <c r="F949" s="62" t="s">
        <v>63</v>
      </c>
      <c r="G949" s="62" t="s">
        <v>25</v>
      </c>
      <c r="H949" s="62" t="s">
        <v>25</v>
      </c>
      <c r="I949" s="75">
        <v>44348</v>
      </c>
      <c r="J949" s="76">
        <f ca="1">EFEITO!$J$949*EFEITO!$Y$949</f>
        <v>1227328.3300033873</v>
      </c>
      <c r="K949" s="76">
        <f>EFEITO!$L$949*EFEITO!$Z$949</f>
        <v>0</v>
      </c>
      <c r="L949" s="76">
        <f>EFEITO!$N$949*EFEITO!$AA$949</f>
        <v>0</v>
      </c>
      <c r="M949" s="76">
        <f ca="1">$J$949-EFEITO!$K$949*EFEITO!$Y$949</f>
        <v>654491.16825955641</v>
      </c>
      <c r="N949" s="76">
        <f>$K$949-EFEITO!$M$949*EFEITO!$Z$949</f>
        <v>0</v>
      </c>
      <c r="O949" s="76">
        <f>$L$949-EFEITO!$O$949*EFEITO!$AA$949</f>
        <v>0</v>
      </c>
      <c r="P949" s="18"/>
      <c r="Q949" s="18"/>
      <c r="R949" s="18"/>
      <c r="S949" s="18"/>
      <c r="T949" s="18"/>
      <c r="U949" s="18"/>
      <c r="V949" s="18"/>
      <c r="W949" s="18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62" t="s">
        <v>21</v>
      </c>
      <c r="B950" s="62" t="s">
        <v>41</v>
      </c>
      <c r="C950" s="62" t="s">
        <v>42</v>
      </c>
      <c r="D950" s="62" t="s">
        <v>38</v>
      </c>
      <c r="E950" s="62" t="s">
        <v>25</v>
      </c>
      <c r="F950" s="62" t="s">
        <v>63</v>
      </c>
      <c r="G950" s="62" t="s">
        <v>25</v>
      </c>
      <c r="H950" s="62" t="s">
        <v>25</v>
      </c>
      <c r="I950" s="75">
        <v>44378</v>
      </c>
      <c r="J950" s="76">
        <f ca="1">EFEITO!$J$950*EFEITO!$Y$950</f>
        <v>1227000.4940686107</v>
      </c>
      <c r="K950" s="76">
        <f>EFEITO!$L$950*EFEITO!$Z$950</f>
        <v>0</v>
      </c>
      <c r="L950" s="76">
        <f>EFEITO!$N$950*EFEITO!$AA$950</f>
        <v>0</v>
      </c>
      <c r="M950" s="76">
        <f ca="1">$J$950-EFEITO!$K$950*EFEITO!$Y$950</f>
        <v>723910.9171626789</v>
      </c>
      <c r="N950" s="76">
        <f>$K$950-EFEITO!$M$950*EFEITO!$Z$950</f>
        <v>0</v>
      </c>
      <c r="O950" s="76">
        <f>$L$950-EFEITO!$O$950*EFEITO!$AA$950</f>
        <v>0</v>
      </c>
      <c r="P950" s="18"/>
      <c r="Q950" s="18"/>
      <c r="R950" s="18"/>
      <c r="S950" s="18"/>
      <c r="T950" s="18"/>
      <c r="U950" s="18"/>
      <c r="V950" s="18"/>
      <c r="W950" s="18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62" t="s">
        <v>21</v>
      </c>
      <c r="B951" s="62" t="s">
        <v>41</v>
      </c>
      <c r="C951" s="62" t="s">
        <v>42</v>
      </c>
      <c r="D951" s="62" t="s">
        <v>38</v>
      </c>
      <c r="E951" s="62" t="s">
        <v>25</v>
      </c>
      <c r="F951" s="62" t="s">
        <v>63</v>
      </c>
      <c r="G951" s="62" t="s">
        <v>25</v>
      </c>
      <c r="H951" s="62" t="s">
        <v>25</v>
      </c>
      <c r="I951" s="75">
        <v>44409</v>
      </c>
      <c r="J951" s="76">
        <f ca="1">EFEITO!$J$951*EFEITO!$Y$951</f>
        <v>1273791.6229412782</v>
      </c>
      <c r="K951" s="76">
        <f>EFEITO!$L$951*EFEITO!$Z$951</f>
        <v>0</v>
      </c>
      <c r="L951" s="76">
        <f>EFEITO!$N$951*EFEITO!$AA$951</f>
        <v>0</v>
      </c>
      <c r="M951" s="76">
        <f ca="1">$J$951-EFEITO!$K$951*EFEITO!$Y$951</f>
        <v>696276.16829520883</v>
      </c>
      <c r="N951" s="76">
        <f>$K$951-EFEITO!$M$951*EFEITO!$Z$951</f>
        <v>0</v>
      </c>
      <c r="O951" s="76">
        <f>$L$951-EFEITO!$O$951*EFEITO!$AA$951</f>
        <v>0</v>
      </c>
      <c r="P951" s="18"/>
      <c r="Q951" s="18"/>
      <c r="R951" s="18"/>
      <c r="S951" s="18"/>
      <c r="T951" s="18"/>
      <c r="U951" s="18"/>
      <c r="V951" s="18"/>
      <c r="W951" s="18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62" t="s">
        <v>21</v>
      </c>
      <c r="B952" s="62" t="s">
        <v>41</v>
      </c>
      <c r="C952" s="62" t="s">
        <v>42</v>
      </c>
      <c r="D952" s="62" t="s">
        <v>38</v>
      </c>
      <c r="E952" s="62" t="s">
        <v>25</v>
      </c>
      <c r="F952" s="62" t="s">
        <v>63</v>
      </c>
      <c r="G952" s="62" t="s">
        <v>25</v>
      </c>
      <c r="H952" s="62" t="s">
        <v>25</v>
      </c>
      <c r="I952" s="75">
        <v>44440</v>
      </c>
      <c r="J952" s="76">
        <f ca="1">EFEITO!$J$952*EFEITO!$Y$952</f>
        <v>1300107.9075238039</v>
      </c>
      <c r="K952" s="76">
        <f>EFEITO!$L$952*EFEITO!$Z$952</f>
        <v>0</v>
      </c>
      <c r="L952" s="76">
        <f>EFEITO!$N$952*EFEITO!$AA$952</f>
        <v>0</v>
      </c>
      <c r="M952" s="76">
        <f ca="1">$J$952-EFEITO!$K$952*EFEITO!$Y$952</f>
        <v>724578.71323482331</v>
      </c>
      <c r="N952" s="76">
        <f>$K$952-EFEITO!$M$952*EFEITO!$Z$952</f>
        <v>0</v>
      </c>
      <c r="O952" s="76">
        <f>$L$952-EFEITO!$O$952*EFEITO!$AA$952</f>
        <v>0</v>
      </c>
      <c r="P952" s="18"/>
      <c r="Q952" s="18"/>
      <c r="R952" s="18"/>
      <c r="S952" s="18"/>
      <c r="T952" s="18"/>
      <c r="U952" s="18"/>
      <c r="V952" s="18"/>
      <c r="W952" s="18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62" t="s">
        <v>21</v>
      </c>
      <c r="B953" s="62" t="s">
        <v>41</v>
      </c>
      <c r="C953" s="62" t="s">
        <v>42</v>
      </c>
      <c r="D953" s="62" t="s">
        <v>38</v>
      </c>
      <c r="E953" s="62" t="s">
        <v>25</v>
      </c>
      <c r="F953" s="62" t="s">
        <v>63</v>
      </c>
      <c r="G953" s="62" t="s">
        <v>25</v>
      </c>
      <c r="H953" s="62" t="s">
        <v>25</v>
      </c>
      <c r="I953" s="75">
        <v>44470</v>
      </c>
      <c r="J953" s="76">
        <f ca="1">EFEITO!$J$953*EFEITO!$Y$953</f>
        <v>1327467.3064442554</v>
      </c>
      <c r="K953" s="76">
        <f>EFEITO!$L$953*EFEITO!$Z$953</f>
        <v>0</v>
      </c>
      <c r="L953" s="76">
        <f>EFEITO!$N$953*EFEITO!$AA$953</f>
        <v>0</v>
      </c>
      <c r="M953" s="76">
        <f ca="1">$J$953-EFEITO!$K$953*EFEITO!$Y$953</f>
        <v>715623.63339868817</v>
      </c>
      <c r="N953" s="76">
        <f>$K$953-EFEITO!$M$953*EFEITO!$Z$953</f>
        <v>0</v>
      </c>
      <c r="O953" s="76">
        <f>$L$953-EFEITO!$O$953*EFEITO!$AA$953</f>
        <v>0</v>
      </c>
      <c r="P953" s="18"/>
      <c r="Q953" s="18"/>
      <c r="R953" s="18"/>
      <c r="S953" s="18"/>
      <c r="T953" s="18"/>
      <c r="U953" s="18"/>
      <c r="V953" s="18"/>
      <c r="W953" s="18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62" t="s">
        <v>21</v>
      </c>
      <c r="B954" s="62" t="s">
        <v>41</v>
      </c>
      <c r="C954" s="62" t="s">
        <v>42</v>
      </c>
      <c r="D954" s="62" t="s">
        <v>38</v>
      </c>
      <c r="E954" s="62" t="s">
        <v>25</v>
      </c>
      <c r="F954" s="62" t="s">
        <v>63</v>
      </c>
      <c r="G954" s="62" t="s">
        <v>25</v>
      </c>
      <c r="H954" s="62" t="s">
        <v>25</v>
      </c>
      <c r="I954" s="75">
        <v>44501</v>
      </c>
      <c r="J954" s="76">
        <f ca="1">EFEITO!$J$954*EFEITO!$Y$954</f>
        <v>1367612.3068209961</v>
      </c>
      <c r="K954" s="76">
        <f>EFEITO!$L$954*EFEITO!$Z$954</f>
        <v>0</v>
      </c>
      <c r="L954" s="76">
        <f>EFEITO!$N$954*EFEITO!$AA$954</f>
        <v>0</v>
      </c>
      <c r="M954" s="76">
        <f ca="1">$J$954-EFEITO!$K$954*EFEITO!$Y$954</f>
        <v>762706.48364398419</v>
      </c>
      <c r="N954" s="76">
        <f>$K$954-EFEITO!$M$954*EFEITO!$Z$954</f>
        <v>0</v>
      </c>
      <c r="O954" s="76">
        <f>$L$954-EFEITO!$O$954*EFEITO!$AA$954</f>
        <v>0</v>
      </c>
      <c r="P954" s="18"/>
      <c r="Q954" s="18"/>
      <c r="R954" s="18"/>
      <c r="S954" s="18"/>
      <c r="T954" s="18"/>
      <c r="U954" s="18"/>
      <c r="V954" s="18"/>
      <c r="W954" s="18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62" t="s">
        <v>21</v>
      </c>
      <c r="B955" s="62" t="s">
        <v>41</v>
      </c>
      <c r="C955" s="62" t="s">
        <v>42</v>
      </c>
      <c r="D955" s="62" t="s">
        <v>38</v>
      </c>
      <c r="E955" s="62" t="s">
        <v>25</v>
      </c>
      <c r="F955" s="62" t="s">
        <v>63</v>
      </c>
      <c r="G955" s="62" t="s">
        <v>25</v>
      </c>
      <c r="H955" s="62" t="s">
        <v>25</v>
      </c>
      <c r="I955" s="75">
        <v>44531</v>
      </c>
      <c r="J955" s="76">
        <f ca="1">EFEITO!$J$955*EFEITO!$Y$955</f>
        <v>1389636.9209846274</v>
      </c>
      <c r="K955" s="76">
        <f>EFEITO!$L$955*EFEITO!$Z$955</f>
        <v>0</v>
      </c>
      <c r="L955" s="76">
        <f>EFEITO!$N$955*EFEITO!$AA$955</f>
        <v>0</v>
      </c>
      <c r="M955" s="76">
        <f ca="1">$J$955-EFEITO!$K$955*EFEITO!$Y$955</f>
        <v>767736.96202535531</v>
      </c>
      <c r="N955" s="76">
        <f>$K$955-EFEITO!$M$955*EFEITO!$Z$955</f>
        <v>0</v>
      </c>
      <c r="O955" s="76">
        <f>$L$955-EFEITO!$O$955*EFEITO!$AA$955</f>
        <v>0</v>
      </c>
      <c r="P955" s="18"/>
      <c r="Q955" s="18"/>
      <c r="R955" s="18"/>
      <c r="S955" s="18"/>
      <c r="T955" s="18"/>
      <c r="U955" s="18"/>
      <c r="V955" s="18"/>
      <c r="W955" s="18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62" t="s">
        <v>21</v>
      </c>
      <c r="B956" s="62" t="s">
        <v>41</v>
      </c>
      <c r="C956" s="62" t="s">
        <v>42</v>
      </c>
      <c r="D956" s="62" t="s">
        <v>38</v>
      </c>
      <c r="E956" s="62" t="s">
        <v>25</v>
      </c>
      <c r="F956" s="62" t="s">
        <v>63</v>
      </c>
      <c r="G956" s="62" t="s">
        <v>25</v>
      </c>
      <c r="H956" s="62" t="s">
        <v>25</v>
      </c>
      <c r="I956" s="75">
        <v>44562</v>
      </c>
      <c r="J956" s="76">
        <f ca="1">EFEITO!$J$956*EFEITO!$Y$956</f>
        <v>1387282.4629075951</v>
      </c>
      <c r="K956" s="76">
        <f>EFEITO!$L$956*EFEITO!$Z$956</f>
        <v>0</v>
      </c>
      <c r="L956" s="76">
        <f>EFEITO!$N$956*EFEITO!$AA$956</f>
        <v>0</v>
      </c>
      <c r="M956" s="76">
        <f ca="1">$J$956-EFEITO!$K$956*EFEITO!$Y$956</f>
        <v>761667.69522996794</v>
      </c>
      <c r="N956" s="76">
        <f>$K$956-EFEITO!$M$956*EFEITO!$Z$956</f>
        <v>0</v>
      </c>
      <c r="O956" s="76">
        <f>$L$956-EFEITO!$O$956*EFEITO!$AA$956</f>
        <v>0</v>
      </c>
      <c r="P956" s="18"/>
      <c r="Q956" s="18"/>
      <c r="R956" s="18"/>
      <c r="S956" s="18"/>
      <c r="T956" s="18"/>
      <c r="U956" s="18"/>
      <c r="V956" s="18"/>
      <c r="W956" s="18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62" t="s">
        <v>21</v>
      </c>
      <c r="B957" s="62" t="s">
        <v>41</v>
      </c>
      <c r="C957" s="62" t="s">
        <v>42</v>
      </c>
      <c r="D957" s="62" t="s">
        <v>38</v>
      </c>
      <c r="E957" s="62" t="s">
        <v>25</v>
      </c>
      <c r="F957" s="62" t="s">
        <v>63</v>
      </c>
      <c r="G957" s="62" t="s">
        <v>25</v>
      </c>
      <c r="H957" s="62" t="s">
        <v>25</v>
      </c>
      <c r="I957" s="75">
        <v>44593</v>
      </c>
      <c r="J957" s="76">
        <f ca="1">EFEITO!$J$957*EFEITO!$Y$957</f>
        <v>1489001.0124887505</v>
      </c>
      <c r="K957" s="76">
        <f>EFEITO!$L$957*EFEITO!$Z$957</f>
        <v>0</v>
      </c>
      <c r="L957" s="76">
        <f>EFEITO!$N$957*EFEITO!$AA$957</f>
        <v>0</v>
      </c>
      <c r="M957" s="76">
        <f ca="1">$J$957-EFEITO!$K$957*EFEITO!$Y$957</f>
        <v>817034.92728622572</v>
      </c>
      <c r="N957" s="76">
        <f>$K$957-EFEITO!$M$957*EFEITO!$Z$957</f>
        <v>0</v>
      </c>
      <c r="O957" s="76">
        <f>$L$957-EFEITO!$O$957*EFEITO!$AA$957</f>
        <v>0</v>
      </c>
      <c r="P957" s="18"/>
      <c r="Q957" s="18"/>
      <c r="R957" s="18"/>
      <c r="S957" s="18"/>
      <c r="T957" s="18"/>
      <c r="U957" s="18"/>
      <c r="V957" s="18"/>
      <c r="W957" s="18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62" t="s">
        <v>21</v>
      </c>
      <c r="B958" s="62" t="s">
        <v>41</v>
      </c>
      <c r="C958" s="62" t="s">
        <v>42</v>
      </c>
      <c r="D958" s="62" t="s">
        <v>38</v>
      </c>
      <c r="E958" s="62" t="s">
        <v>25</v>
      </c>
      <c r="F958" s="62" t="s">
        <v>63</v>
      </c>
      <c r="G958" s="62" t="s">
        <v>25</v>
      </c>
      <c r="H958" s="62" t="s">
        <v>25</v>
      </c>
      <c r="I958" s="75">
        <v>44621</v>
      </c>
      <c r="J958" s="76">
        <f ca="1">EFEITO!$J$958*EFEITO!$Y$958</f>
        <v>1506912.7758342749</v>
      </c>
      <c r="K958" s="76">
        <f>EFEITO!$L$958*EFEITO!$Z$958</f>
        <v>0</v>
      </c>
      <c r="L958" s="76">
        <f>EFEITO!$N$958*EFEITO!$AA$958</f>
        <v>0</v>
      </c>
      <c r="M958" s="76">
        <f ca="1">$J$958-EFEITO!$K$958*EFEITO!$Y$958</f>
        <v>825592.00111376913</v>
      </c>
      <c r="N958" s="76">
        <f>$K$958-EFEITO!$M$958*EFEITO!$Z$958</f>
        <v>0</v>
      </c>
      <c r="O958" s="76">
        <f>$L$958-EFEITO!$O$958*EFEITO!$AA$958</f>
        <v>0</v>
      </c>
      <c r="P958" s="18"/>
      <c r="Q958" s="18"/>
      <c r="R958" s="18"/>
      <c r="S958" s="18"/>
      <c r="T958" s="18"/>
      <c r="U958" s="18"/>
      <c r="V958" s="18"/>
      <c r="W958" s="18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62" t="s">
        <v>21</v>
      </c>
      <c r="B959" s="62" t="s">
        <v>41</v>
      </c>
      <c r="C959" s="62" t="s">
        <v>42</v>
      </c>
      <c r="D959" s="62" t="s">
        <v>38</v>
      </c>
      <c r="E959" s="62" t="s">
        <v>25</v>
      </c>
      <c r="F959" s="62" t="s">
        <v>63</v>
      </c>
      <c r="G959" s="62" t="s">
        <v>25</v>
      </c>
      <c r="H959" s="62" t="s">
        <v>25</v>
      </c>
      <c r="I959" s="75">
        <v>44652</v>
      </c>
      <c r="J959" s="76">
        <f ca="1">EFEITO!$J$959*EFEITO!$Y$959</f>
        <v>1532424.3722132579</v>
      </c>
      <c r="K959" s="76">
        <f>EFEITO!$L$959*EFEITO!$Z$959</f>
        <v>0</v>
      </c>
      <c r="L959" s="76">
        <f>EFEITO!$N$959*EFEITO!$AA$959</f>
        <v>0</v>
      </c>
      <c r="M959" s="76">
        <f ca="1">$J$959-EFEITO!$K$959*EFEITO!$Y$959</f>
        <v>792109.22321816604</v>
      </c>
      <c r="N959" s="76">
        <f>$K$959-EFEITO!$M$959*EFEITO!$Z$959</f>
        <v>0</v>
      </c>
      <c r="O959" s="76">
        <f>$L$959-EFEITO!$O$959*EFEITO!$AA$959</f>
        <v>0</v>
      </c>
      <c r="P959" s="18"/>
      <c r="Q959" s="18"/>
      <c r="R959" s="18"/>
      <c r="S959" s="18"/>
      <c r="T959" s="18"/>
      <c r="U959" s="18"/>
      <c r="V959" s="18"/>
      <c r="W959" s="18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62" t="s">
        <v>58</v>
      </c>
      <c r="B960" s="62" t="s">
        <v>41</v>
      </c>
      <c r="C960" s="62" t="s">
        <v>42</v>
      </c>
      <c r="D960" s="62" t="s">
        <v>38</v>
      </c>
      <c r="E960" s="62" t="s">
        <v>25</v>
      </c>
      <c r="F960" s="62" t="s">
        <v>63</v>
      </c>
      <c r="G960" s="62" t="s">
        <v>25</v>
      </c>
      <c r="H960" s="62" t="s">
        <v>25</v>
      </c>
      <c r="I960" s="75">
        <v>44682</v>
      </c>
      <c r="J960" s="76">
        <f ca="1">EFEITO!$J$960*EFEITO!$Y$960</f>
        <v>1532424.3722132579</v>
      </c>
      <c r="K960" s="76">
        <f>EFEITO!$L$960*EFEITO!$Z$960</f>
        <v>0</v>
      </c>
      <c r="L960" s="76">
        <f>EFEITO!$N$960*EFEITO!$AA$960</f>
        <v>0</v>
      </c>
      <c r="M960" s="76">
        <f ca="1">$J$960-EFEITO!$K$960*EFEITO!$Y$960</f>
        <v>792109.22321816604</v>
      </c>
      <c r="N960" s="76">
        <f>$K$960-EFEITO!$M$960*EFEITO!$Z$960</f>
        <v>0</v>
      </c>
      <c r="O960" s="76">
        <f>$L$960-EFEITO!$O$960*EFEITO!$AA$960</f>
        <v>0</v>
      </c>
      <c r="P960" s="18"/>
      <c r="Q960" s="18"/>
      <c r="R960" s="18"/>
      <c r="S960" s="18"/>
      <c r="T960" s="18"/>
      <c r="U960" s="18"/>
      <c r="V960" s="18"/>
      <c r="W960" s="18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62" t="s">
        <v>21</v>
      </c>
      <c r="B961" s="62" t="s">
        <v>41</v>
      </c>
      <c r="C961" s="62" t="s">
        <v>42</v>
      </c>
      <c r="D961" s="62" t="s">
        <v>38</v>
      </c>
      <c r="E961" s="62" t="s">
        <v>25</v>
      </c>
      <c r="F961" s="62" t="s">
        <v>63</v>
      </c>
      <c r="G961" s="62" t="s">
        <v>25</v>
      </c>
      <c r="H961" s="62" t="s">
        <v>34</v>
      </c>
      <c r="I961" s="75">
        <v>44348</v>
      </c>
      <c r="J961" s="76">
        <f>EFEITO!$J$961*EFEITO!$Y$961</f>
        <v>0</v>
      </c>
      <c r="K961" s="76">
        <f ca="1">EFEITO!$L$961*EFEITO!$Z$961</f>
        <v>1028274.5773558591</v>
      </c>
      <c r="L961" s="76">
        <f>EFEITO!$N$961*EFEITO!$AA$961</f>
        <v>0</v>
      </c>
      <c r="M961" s="76">
        <f>$J$961-EFEITO!$K$961*EFEITO!$Y$961</f>
        <v>0</v>
      </c>
      <c r="N961" s="76">
        <f ca="1">$K$961-EFEITO!$M$961*EFEITO!$Z$961</f>
        <v>468203.07050893363</v>
      </c>
      <c r="O961" s="76">
        <f>$L$961-EFEITO!$O$961*EFEITO!$AA$961</f>
        <v>0</v>
      </c>
      <c r="P961" s="18"/>
      <c r="Q961" s="18"/>
      <c r="R961" s="18"/>
      <c r="S961" s="18"/>
      <c r="T961" s="18"/>
      <c r="U961" s="18"/>
      <c r="V961" s="18"/>
      <c r="W961" s="18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62" t="s">
        <v>21</v>
      </c>
      <c r="B962" s="62" t="s">
        <v>41</v>
      </c>
      <c r="C962" s="62" t="s">
        <v>42</v>
      </c>
      <c r="D962" s="62" t="s">
        <v>38</v>
      </c>
      <c r="E962" s="62" t="s">
        <v>25</v>
      </c>
      <c r="F962" s="62" t="s">
        <v>63</v>
      </c>
      <c r="G962" s="62" t="s">
        <v>25</v>
      </c>
      <c r="H962" s="62" t="s">
        <v>34</v>
      </c>
      <c r="I962" s="75">
        <v>44378</v>
      </c>
      <c r="J962" s="76">
        <f>EFEITO!$J$962*EFEITO!$Y$962</f>
        <v>0</v>
      </c>
      <c r="K962" s="76">
        <f ca="1">EFEITO!$L$962*EFEITO!$Z$962</f>
        <v>1042461.9408701869</v>
      </c>
      <c r="L962" s="76">
        <f>EFEITO!$N$962*EFEITO!$AA$962</f>
        <v>0</v>
      </c>
      <c r="M962" s="76">
        <f>$J$962-EFEITO!$K$962*EFEITO!$Y$962</f>
        <v>0</v>
      </c>
      <c r="N962" s="76">
        <f ca="1">$K$962-EFEITO!$M$962*EFEITO!$Z$962</f>
        <v>580535.29589991411</v>
      </c>
      <c r="O962" s="76">
        <f>$L$962-EFEITO!$O$962*EFEITO!$AA$962</f>
        <v>0</v>
      </c>
      <c r="P962" s="18"/>
      <c r="Q962" s="18"/>
      <c r="R962" s="18"/>
      <c r="S962" s="18"/>
      <c r="T962" s="18"/>
      <c r="U962" s="18"/>
      <c r="V962" s="18"/>
      <c r="W962" s="18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62" t="s">
        <v>21</v>
      </c>
      <c r="B963" s="62" t="s">
        <v>41</v>
      </c>
      <c r="C963" s="62" t="s">
        <v>42</v>
      </c>
      <c r="D963" s="62" t="s">
        <v>38</v>
      </c>
      <c r="E963" s="62" t="s">
        <v>25</v>
      </c>
      <c r="F963" s="62" t="s">
        <v>63</v>
      </c>
      <c r="G963" s="62" t="s">
        <v>25</v>
      </c>
      <c r="H963" s="62" t="s">
        <v>34</v>
      </c>
      <c r="I963" s="75">
        <v>44409</v>
      </c>
      <c r="J963" s="76">
        <f>EFEITO!$J$963*EFEITO!$Y$963</f>
        <v>0</v>
      </c>
      <c r="K963" s="76">
        <f ca="1">EFEITO!$L$963*EFEITO!$Z$963</f>
        <v>1172257.9967707058</v>
      </c>
      <c r="L963" s="76">
        <f>EFEITO!$N$963*EFEITO!$AA$963</f>
        <v>0</v>
      </c>
      <c r="M963" s="76">
        <f>$J$963-EFEITO!$K$963*EFEITO!$Y$963</f>
        <v>0</v>
      </c>
      <c r="N963" s="76">
        <f ca="1">$K$963-EFEITO!$M$963*EFEITO!$Z$963</f>
        <v>615531.7492990552</v>
      </c>
      <c r="O963" s="76">
        <f>$L$963-EFEITO!$O$963*EFEITO!$AA$963</f>
        <v>0</v>
      </c>
      <c r="P963" s="18"/>
      <c r="Q963" s="18"/>
      <c r="R963" s="18"/>
      <c r="S963" s="18"/>
      <c r="T963" s="18"/>
      <c r="U963" s="18"/>
      <c r="V963" s="18"/>
      <c r="W963" s="18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62" t="s">
        <v>21</v>
      </c>
      <c r="B964" s="62" t="s">
        <v>41</v>
      </c>
      <c r="C964" s="62" t="s">
        <v>42</v>
      </c>
      <c r="D964" s="62" t="s">
        <v>38</v>
      </c>
      <c r="E964" s="62" t="s">
        <v>25</v>
      </c>
      <c r="F964" s="62" t="s">
        <v>63</v>
      </c>
      <c r="G964" s="62" t="s">
        <v>25</v>
      </c>
      <c r="H964" s="62" t="s">
        <v>34</v>
      </c>
      <c r="I964" s="75">
        <v>44440</v>
      </c>
      <c r="J964" s="76">
        <f>EFEITO!$J$964*EFEITO!$Y$964</f>
        <v>0</v>
      </c>
      <c r="K964" s="76">
        <f ca="1">EFEITO!$L$964*EFEITO!$Z$964</f>
        <v>1251230.1178378933</v>
      </c>
      <c r="L964" s="76">
        <f>EFEITO!$N$964*EFEITO!$AA$964</f>
        <v>0</v>
      </c>
      <c r="M964" s="76">
        <f>$J$964-EFEITO!$K$964*EFEITO!$Y$964</f>
        <v>0</v>
      </c>
      <c r="N964" s="76">
        <f ca="1">$K$964-EFEITO!$M$964*EFEITO!$Z$964</f>
        <v>679301.30180209002</v>
      </c>
      <c r="O964" s="76">
        <f>$L$964-EFEITO!$O$964*EFEITO!$AA$964</f>
        <v>0</v>
      </c>
      <c r="P964" s="18"/>
      <c r="Q964" s="18"/>
      <c r="R964" s="18"/>
      <c r="S964" s="18"/>
      <c r="T964" s="18"/>
      <c r="U964" s="18"/>
      <c r="V964" s="18"/>
      <c r="W964" s="18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62" t="s">
        <v>21</v>
      </c>
      <c r="B965" s="62" t="s">
        <v>41</v>
      </c>
      <c r="C965" s="62" t="s">
        <v>42</v>
      </c>
      <c r="D965" s="62" t="s">
        <v>38</v>
      </c>
      <c r="E965" s="62" t="s">
        <v>25</v>
      </c>
      <c r="F965" s="62" t="s">
        <v>63</v>
      </c>
      <c r="G965" s="62" t="s">
        <v>25</v>
      </c>
      <c r="H965" s="62" t="s">
        <v>34</v>
      </c>
      <c r="I965" s="75">
        <v>44470</v>
      </c>
      <c r="J965" s="76">
        <f>EFEITO!$J$965*EFEITO!$Y$965</f>
        <v>0</v>
      </c>
      <c r="K965" s="76">
        <f ca="1">EFEITO!$L$965*EFEITO!$Z$965</f>
        <v>1247471.5105641724</v>
      </c>
      <c r="L965" s="76">
        <f>EFEITO!$N$965*EFEITO!$AA$965</f>
        <v>0</v>
      </c>
      <c r="M965" s="76">
        <f>$J$965-EFEITO!$K$965*EFEITO!$Y$965</f>
        <v>0</v>
      </c>
      <c r="N965" s="76">
        <f ca="1">$K$965-EFEITO!$M$965*EFEITO!$Z$965</f>
        <v>634323.27053711622</v>
      </c>
      <c r="O965" s="76">
        <f>$L$965-EFEITO!$O$965*EFEITO!$AA$965</f>
        <v>0</v>
      </c>
      <c r="P965" s="18"/>
      <c r="Q965" s="18"/>
      <c r="R965" s="18"/>
      <c r="S965" s="18"/>
      <c r="T965" s="18"/>
      <c r="U965" s="18"/>
      <c r="V965" s="18"/>
      <c r="W965" s="18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62" t="s">
        <v>21</v>
      </c>
      <c r="B966" s="62" t="s">
        <v>41</v>
      </c>
      <c r="C966" s="62" t="s">
        <v>42</v>
      </c>
      <c r="D966" s="62" t="s">
        <v>38</v>
      </c>
      <c r="E966" s="62" t="s">
        <v>25</v>
      </c>
      <c r="F966" s="62" t="s">
        <v>63</v>
      </c>
      <c r="G966" s="62" t="s">
        <v>25</v>
      </c>
      <c r="H966" s="62" t="s">
        <v>34</v>
      </c>
      <c r="I966" s="75">
        <v>44501</v>
      </c>
      <c r="J966" s="76">
        <f>EFEITO!$J$966*EFEITO!$Y$966</f>
        <v>0</v>
      </c>
      <c r="K966" s="76">
        <f ca="1">EFEITO!$L$966*EFEITO!$Z$966</f>
        <v>1189382.5109376111</v>
      </c>
      <c r="L966" s="76">
        <f>EFEITO!$N$966*EFEITO!$AA$966</f>
        <v>0</v>
      </c>
      <c r="M966" s="76">
        <f>$J$966-EFEITO!$K$966*EFEITO!$Y$966</f>
        <v>0</v>
      </c>
      <c r="N966" s="76">
        <f ca="1">$K$966-EFEITO!$M$966*EFEITO!$Z$966</f>
        <v>651717.72236532345</v>
      </c>
      <c r="O966" s="76">
        <f>$L$966-EFEITO!$O$966*EFEITO!$AA$966</f>
        <v>0</v>
      </c>
      <c r="P966" s="18"/>
      <c r="Q966" s="18"/>
      <c r="R966" s="18"/>
      <c r="S966" s="18"/>
      <c r="T966" s="18"/>
      <c r="U966" s="18"/>
      <c r="V966" s="18"/>
      <c r="W966" s="18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62" t="s">
        <v>21</v>
      </c>
      <c r="B967" s="62" t="s">
        <v>41</v>
      </c>
      <c r="C967" s="62" t="s">
        <v>42</v>
      </c>
      <c r="D967" s="62" t="s">
        <v>38</v>
      </c>
      <c r="E967" s="62" t="s">
        <v>25</v>
      </c>
      <c r="F967" s="62" t="s">
        <v>63</v>
      </c>
      <c r="G967" s="62" t="s">
        <v>25</v>
      </c>
      <c r="H967" s="62" t="s">
        <v>34</v>
      </c>
      <c r="I967" s="75">
        <v>44531</v>
      </c>
      <c r="J967" s="76">
        <f>EFEITO!$J$967*EFEITO!$Y$967</f>
        <v>0</v>
      </c>
      <c r="K967" s="76">
        <f ca="1">EFEITO!$L$967*EFEITO!$Z$967</f>
        <v>1145705.4457002224</v>
      </c>
      <c r="L967" s="76">
        <f>EFEITO!$N$967*EFEITO!$AA$967</f>
        <v>0</v>
      </c>
      <c r="M967" s="76">
        <f>$J$967-EFEITO!$K$967*EFEITO!$Y$967</f>
        <v>0</v>
      </c>
      <c r="N967" s="76">
        <f ca="1">$K$967-EFEITO!$M$967*EFEITO!$Z$967</f>
        <v>628760.91447466309</v>
      </c>
      <c r="O967" s="76">
        <f>$L$967-EFEITO!$O$967*EFEITO!$AA$967</f>
        <v>0</v>
      </c>
      <c r="P967" s="18"/>
      <c r="Q967" s="18"/>
      <c r="R967" s="18"/>
      <c r="S967" s="18"/>
      <c r="T967" s="18"/>
      <c r="U967" s="18"/>
      <c r="V967" s="18"/>
      <c r="W967" s="18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62" t="s">
        <v>21</v>
      </c>
      <c r="B968" s="62" t="s">
        <v>41</v>
      </c>
      <c r="C968" s="62" t="s">
        <v>42</v>
      </c>
      <c r="D968" s="62" t="s">
        <v>38</v>
      </c>
      <c r="E968" s="62" t="s">
        <v>25</v>
      </c>
      <c r="F968" s="62" t="s">
        <v>63</v>
      </c>
      <c r="G968" s="62" t="s">
        <v>25</v>
      </c>
      <c r="H968" s="62" t="s">
        <v>34</v>
      </c>
      <c r="I968" s="75">
        <v>44562</v>
      </c>
      <c r="J968" s="76">
        <f>EFEITO!$J$968*EFEITO!$Y$968</f>
        <v>0</v>
      </c>
      <c r="K968" s="76">
        <f ca="1">EFEITO!$L$968*EFEITO!$Z$968</f>
        <v>1170333.3849748855</v>
      </c>
      <c r="L968" s="76">
        <f>EFEITO!$N$968*EFEITO!$AA$968</f>
        <v>0</v>
      </c>
      <c r="M968" s="76">
        <f>$J$968-EFEITO!$K$968*EFEITO!$Y$968</f>
        <v>0</v>
      </c>
      <c r="N968" s="76">
        <f ca="1">$K$968-EFEITO!$M$968*EFEITO!$Z$968</f>
        <v>614633.36986100813</v>
      </c>
      <c r="O968" s="76">
        <f>$L$968-EFEITO!$O$968*EFEITO!$AA$968</f>
        <v>0</v>
      </c>
      <c r="P968" s="18"/>
      <c r="Q968" s="18"/>
      <c r="R968" s="18"/>
      <c r="S968" s="18"/>
      <c r="T968" s="18"/>
      <c r="U968" s="18"/>
      <c r="V968" s="18"/>
      <c r="W968" s="18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62" t="s">
        <v>21</v>
      </c>
      <c r="B969" s="62" t="s">
        <v>41</v>
      </c>
      <c r="C969" s="62" t="s">
        <v>42</v>
      </c>
      <c r="D969" s="62" t="s">
        <v>38</v>
      </c>
      <c r="E969" s="62" t="s">
        <v>25</v>
      </c>
      <c r="F969" s="62" t="s">
        <v>63</v>
      </c>
      <c r="G969" s="62" t="s">
        <v>25</v>
      </c>
      <c r="H969" s="62" t="s">
        <v>34</v>
      </c>
      <c r="I969" s="75">
        <v>44593</v>
      </c>
      <c r="J969" s="76">
        <f>EFEITO!$J$969*EFEITO!$Y$969</f>
        <v>0</v>
      </c>
      <c r="K969" s="76">
        <f ca="1">EFEITO!$L$969*EFEITO!$Z$969</f>
        <v>1347519.8052275544</v>
      </c>
      <c r="L969" s="76">
        <f>EFEITO!$N$969*EFEITO!$AA$969</f>
        <v>0</v>
      </c>
      <c r="M969" s="76">
        <f>$J$969-EFEITO!$K$969*EFEITO!$Y$969</f>
        <v>0</v>
      </c>
      <c r="N969" s="76">
        <f ca="1">$K$969-EFEITO!$M$969*EFEITO!$Z$969</f>
        <v>692225.19558317726</v>
      </c>
      <c r="O969" s="76">
        <f>$L$969-EFEITO!$O$969*EFEITO!$AA$969</f>
        <v>0</v>
      </c>
      <c r="P969" s="18"/>
      <c r="Q969" s="18"/>
      <c r="R969" s="18"/>
      <c r="S969" s="18"/>
      <c r="T969" s="18"/>
      <c r="U969" s="18"/>
      <c r="V969" s="18"/>
      <c r="W969" s="18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62" t="s">
        <v>21</v>
      </c>
      <c r="B970" s="62" t="s">
        <v>41</v>
      </c>
      <c r="C970" s="62" t="s">
        <v>42</v>
      </c>
      <c r="D970" s="62" t="s">
        <v>38</v>
      </c>
      <c r="E970" s="62" t="s">
        <v>25</v>
      </c>
      <c r="F970" s="62" t="s">
        <v>63</v>
      </c>
      <c r="G970" s="62" t="s">
        <v>25</v>
      </c>
      <c r="H970" s="62" t="s">
        <v>34</v>
      </c>
      <c r="I970" s="75">
        <v>44621</v>
      </c>
      <c r="J970" s="76">
        <f>EFEITO!$J$970*EFEITO!$Y$970</f>
        <v>0</v>
      </c>
      <c r="K970" s="76">
        <f ca="1">EFEITO!$L$970*EFEITO!$Z$970</f>
        <v>1378404.2102786</v>
      </c>
      <c r="L970" s="76">
        <f>EFEITO!$N$970*EFEITO!$AA$970</f>
        <v>0</v>
      </c>
      <c r="M970" s="76">
        <f>$J$970-EFEITO!$K$970*EFEITO!$Y$970</f>
        <v>0</v>
      </c>
      <c r="N970" s="76">
        <f ca="1">$K$970-EFEITO!$M$970*EFEITO!$Z$970</f>
        <v>699253.8145938305</v>
      </c>
      <c r="O970" s="76">
        <f>$L$970-EFEITO!$O$970*EFEITO!$AA$970</f>
        <v>0</v>
      </c>
      <c r="P970" s="18"/>
      <c r="Q970" s="18"/>
      <c r="R970" s="18"/>
      <c r="S970" s="18"/>
      <c r="T970" s="18"/>
      <c r="U970" s="18"/>
      <c r="V970" s="18"/>
      <c r="W970" s="18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62" t="s">
        <v>21</v>
      </c>
      <c r="B971" s="62" t="s">
        <v>41</v>
      </c>
      <c r="C971" s="62" t="s">
        <v>42</v>
      </c>
      <c r="D971" s="62" t="s">
        <v>38</v>
      </c>
      <c r="E971" s="62" t="s">
        <v>25</v>
      </c>
      <c r="F971" s="62" t="s">
        <v>63</v>
      </c>
      <c r="G971" s="62" t="s">
        <v>25</v>
      </c>
      <c r="H971" s="62" t="s">
        <v>34</v>
      </c>
      <c r="I971" s="75">
        <v>44652</v>
      </c>
      <c r="J971" s="76">
        <f>EFEITO!$J$971*EFEITO!$Y$971</f>
        <v>0</v>
      </c>
      <c r="K971" s="76">
        <f ca="1">EFEITO!$L$971*EFEITO!$Z$971</f>
        <v>1618377.8892499811</v>
      </c>
      <c r="L971" s="76">
        <f>EFEITO!$N$971*EFEITO!$AA$971</f>
        <v>0</v>
      </c>
      <c r="M971" s="76">
        <f>$J$971-EFEITO!$K$971*EFEITO!$Y$971</f>
        <v>0</v>
      </c>
      <c r="N971" s="76">
        <f ca="1">$K$971-EFEITO!$M$971*EFEITO!$Z$971</f>
        <v>801288.16942368215</v>
      </c>
      <c r="O971" s="76">
        <f>$L$971-EFEITO!$O$971*EFEITO!$AA$971</f>
        <v>0</v>
      </c>
      <c r="P971" s="18"/>
      <c r="Q971" s="18"/>
      <c r="R971" s="18"/>
      <c r="S971" s="18"/>
      <c r="T971" s="18"/>
      <c r="U971" s="18"/>
      <c r="V971" s="18"/>
      <c r="W971" s="18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62" t="s">
        <v>58</v>
      </c>
      <c r="B972" s="62" t="s">
        <v>41</v>
      </c>
      <c r="C972" s="62" t="s">
        <v>42</v>
      </c>
      <c r="D972" s="62" t="s">
        <v>38</v>
      </c>
      <c r="E972" s="62" t="s">
        <v>25</v>
      </c>
      <c r="F972" s="62" t="s">
        <v>63</v>
      </c>
      <c r="G972" s="62" t="s">
        <v>25</v>
      </c>
      <c r="H972" s="62" t="s">
        <v>34</v>
      </c>
      <c r="I972" s="75">
        <v>44682</v>
      </c>
      <c r="J972" s="76">
        <f>EFEITO!$J$972*EFEITO!$Y$972</f>
        <v>0</v>
      </c>
      <c r="K972" s="76">
        <f ca="1">EFEITO!$L$972*EFEITO!$Z$972</f>
        <v>1618377.8892499811</v>
      </c>
      <c r="L972" s="76">
        <f>EFEITO!$N$972*EFEITO!$AA$972</f>
        <v>0</v>
      </c>
      <c r="M972" s="76">
        <f>$J$972-EFEITO!$K$972*EFEITO!$Y$972</f>
        <v>0</v>
      </c>
      <c r="N972" s="76">
        <f ca="1">$K$972-EFEITO!$M$972*EFEITO!$Z$972</f>
        <v>801288.16942368215</v>
      </c>
      <c r="O972" s="76">
        <f>$L$972-EFEITO!$O$972*EFEITO!$AA$972</f>
        <v>0</v>
      </c>
      <c r="P972" s="18"/>
      <c r="Q972" s="18"/>
      <c r="R972" s="18"/>
      <c r="S972" s="18"/>
      <c r="T972" s="18"/>
      <c r="U972" s="18"/>
      <c r="V972" s="18"/>
      <c r="W972" s="18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62" t="s">
        <v>21</v>
      </c>
      <c r="B973" s="62" t="s">
        <v>41</v>
      </c>
      <c r="C973" s="62" t="s">
        <v>42</v>
      </c>
      <c r="D973" s="62" t="s">
        <v>38</v>
      </c>
      <c r="E973" s="62" t="s">
        <v>25</v>
      </c>
      <c r="F973" s="62" t="s">
        <v>25</v>
      </c>
      <c r="G973" s="62" t="s">
        <v>25</v>
      </c>
      <c r="H973" s="62" t="s">
        <v>35</v>
      </c>
      <c r="I973" s="75">
        <v>44348</v>
      </c>
      <c r="J973" s="76">
        <f>EFEITO!$J$973*EFEITO!$Y$973</f>
        <v>0</v>
      </c>
      <c r="K973" s="76">
        <f ca="1">EFEITO!$L$973*EFEITO!$Z$973</f>
        <v>733790.22924587515</v>
      </c>
      <c r="L973" s="76">
        <f>EFEITO!$N$973*EFEITO!$AA$973</f>
        <v>1672376.0625871797</v>
      </c>
      <c r="M973" s="76">
        <f>$J$973-EFEITO!$K$973*EFEITO!$Y$973</f>
        <v>0</v>
      </c>
      <c r="N973" s="76">
        <f ca="1">$K$973-EFEITO!$M$973*EFEITO!$Z$973</f>
        <v>0</v>
      </c>
      <c r="O973" s="76">
        <f>$L$973-EFEITO!$O$973*EFEITO!$AA$973</f>
        <v>0</v>
      </c>
      <c r="P973" s="18"/>
      <c r="Q973" s="18"/>
      <c r="R973" s="18"/>
      <c r="S973" s="18"/>
      <c r="T973" s="18"/>
      <c r="U973" s="18"/>
      <c r="V973" s="18"/>
      <c r="W973" s="18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62" t="s">
        <v>27</v>
      </c>
      <c r="B974" s="62" t="s">
        <v>41</v>
      </c>
      <c r="C974" s="62" t="s">
        <v>42</v>
      </c>
      <c r="D974" s="62" t="s">
        <v>38</v>
      </c>
      <c r="E974" s="62" t="s">
        <v>25</v>
      </c>
      <c r="F974" s="62" t="s">
        <v>25</v>
      </c>
      <c r="G974" s="62" t="s">
        <v>25</v>
      </c>
      <c r="H974" s="62" t="s">
        <v>35</v>
      </c>
      <c r="I974" s="75">
        <v>44348</v>
      </c>
      <c r="J974" s="76">
        <f>EFEITO!$J$974*EFEITO!$Y$974</f>
        <v>0</v>
      </c>
      <c r="K974" s="76">
        <f ca="1">EFEITO!$L$974*EFEITO!$Z$974</f>
        <v>-2044.9080763180666</v>
      </c>
      <c r="L974" s="76">
        <f>EFEITO!$N$974*EFEITO!$AA$974</f>
        <v>-4660.5353692705303</v>
      </c>
      <c r="M974" s="76">
        <f>$J$974-EFEITO!$K$974*EFEITO!$Y$974</f>
        <v>0</v>
      </c>
      <c r="N974" s="76">
        <f ca="1">$K$974-EFEITO!$M$974*EFEITO!$Z$974</f>
        <v>0</v>
      </c>
      <c r="O974" s="76">
        <f>$L$974-EFEITO!$O$974*EFEITO!$AA$974</f>
        <v>0</v>
      </c>
      <c r="P974" s="18"/>
      <c r="Q974" s="18"/>
      <c r="R974" s="18"/>
      <c r="S974" s="18"/>
      <c r="T974" s="18"/>
      <c r="U974" s="18"/>
      <c r="V974" s="18"/>
      <c r="W974" s="18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62" t="s">
        <v>28</v>
      </c>
      <c r="B975" s="62" t="s">
        <v>41</v>
      </c>
      <c r="C975" s="62" t="s">
        <v>42</v>
      </c>
      <c r="D975" s="62" t="s">
        <v>38</v>
      </c>
      <c r="E975" s="62" t="s">
        <v>25</v>
      </c>
      <c r="F975" s="62" t="s">
        <v>25</v>
      </c>
      <c r="G975" s="62" t="s">
        <v>25</v>
      </c>
      <c r="H975" s="62" t="s">
        <v>35</v>
      </c>
      <c r="I975" s="75">
        <v>44348</v>
      </c>
      <c r="J975" s="76">
        <f>EFEITO!$J$975*EFEITO!$Y$975</f>
        <v>0</v>
      </c>
      <c r="K975" s="76">
        <f ca="1">EFEITO!$L$975*EFEITO!$Z$975</f>
        <v>30887.05902651856</v>
      </c>
      <c r="L975" s="76">
        <f>EFEITO!$N$975*EFEITO!$AA$975</f>
        <v>70394.475288602771</v>
      </c>
      <c r="M975" s="76">
        <f>$J$975-EFEITO!$K$975*EFEITO!$Y$975</f>
        <v>0</v>
      </c>
      <c r="N975" s="76">
        <f ca="1">$K$975-EFEITO!$M$975*EFEITO!$Z$975</f>
        <v>0</v>
      </c>
      <c r="O975" s="76">
        <f>$L$975-EFEITO!$O$975*EFEITO!$AA$975</f>
        <v>0</v>
      </c>
      <c r="P975" s="18"/>
      <c r="Q975" s="18"/>
      <c r="R975" s="18"/>
      <c r="S975" s="18"/>
      <c r="T975" s="18"/>
      <c r="U975" s="18"/>
      <c r="V975" s="18"/>
      <c r="W975" s="18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62" t="s">
        <v>21</v>
      </c>
      <c r="B976" s="62" t="s">
        <v>41</v>
      </c>
      <c r="C976" s="62" t="s">
        <v>42</v>
      </c>
      <c r="D976" s="62" t="s">
        <v>38</v>
      </c>
      <c r="E976" s="62" t="s">
        <v>25</v>
      </c>
      <c r="F976" s="62" t="s">
        <v>25</v>
      </c>
      <c r="G976" s="62" t="s">
        <v>25</v>
      </c>
      <c r="H976" s="62" t="s">
        <v>35</v>
      </c>
      <c r="I976" s="75">
        <v>44378</v>
      </c>
      <c r="J976" s="76">
        <f>EFEITO!$J$976*EFEITO!$Y$976</f>
        <v>0</v>
      </c>
      <c r="K976" s="76">
        <f ca="1">EFEITO!$L$976*EFEITO!$Z$976</f>
        <v>738334.27089701465</v>
      </c>
      <c r="L976" s="76">
        <f>EFEITO!$N$976*EFEITO!$AA$976</f>
        <v>1682732.3554102317</v>
      </c>
      <c r="M976" s="76">
        <f>$J$976-EFEITO!$K$976*EFEITO!$Y$976</f>
        <v>0</v>
      </c>
      <c r="N976" s="76">
        <f ca="1">$K$976-EFEITO!$M$976*EFEITO!$Z$976</f>
        <v>0</v>
      </c>
      <c r="O976" s="76">
        <f>$L$976-EFEITO!$O$976*EFEITO!$AA$976</f>
        <v>0</v>
      </c>
      <c r="P976" s="18"/>
      <c r="Q976" s="18"/>
      <c r="R976" s="18"/>
      <c r="S976" s="18"/>
      <c r="T976" s="18"/>
      <c r="U976" s="18"/>
      <c r="V976" s="18"/>
      <c r="W976" s="18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62" t="s">
        <v>27</v>
      </c>
      <c r="B977" s="62" t="s">
        <v>41</v>
      </c>
      <c r="C977" s="62" t="s">
        <v>42</v>
      </c>
      <c r="D977" s="62" t="s">
        <v>38</v>
      </c>
      <c r="E977" s="62" t="s">
        <v>25</v>
      </c>
      <c r="F977" s="62" t="s">
        <v>25</v>
      </c>
      <c r="G977" s="62" t="s">
        <v>25</v>
      </c>
      <c r="H977" s="62" t="s">
        <v>35</v>
      </c>
      <c r="I977" s="75">
        <v>44378</v>
      </c>
      <c r="J977" s="76">
        <f>EFEITO!$J$977*EFEITO!$Y$977</f>
        <v>0</v>
      </c>
      <c r="K977" s="76">
        <f ca="1">EFEITO!$L$977*EFEITO!$Z$977</f>
        <v>185.67583917640351</v>
      </c>
      <c r="L977" s="76">
        <f>EFEITO!$N$977*EFEITO!$AA$977</f>
        <v>423.1724769060076</v>
      </c>
      <c r="M977" s="76">
        <f>$J$977-EFEITO!$K$977*EFEITO!$Y$977</f>
        <v>0</v>
      </c>
      <c r="N977" s="76">
        <f ca="1">$K$977-EFEITO!$M$977*EFEITO!$Z$977</f>
        <v>0</v>
      </c>
      <c r="O977" s="76">
        <f>$L$977-EFEITO!$O$977*EFEITO!$AA$977</f>
        <v>0</v>
      </c>
      <c r="P977" s="18"/>
      <c r="Q977" s="18"/>
      <c r="R977" s="18"/>
      <c r="S977" s="18"/>
      <c r="T977" s="18"/>
      <c r="U977" s="18"/>
      <c r="V977" s="18"/>
      <c r="W977" s="18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62" t="s">
        <v>28</v>
      </c>
      <c r="B978" s="62" t="s">
        <v>41</v>
      </c>
      <c r="C978" s="62" t="s">
        <v>42</v>
      </c>
      <c r="D978" s="62" t="s">
        <v>38</v>
      </c>
      <c r="E978" s="62" t="s">
        <v>25</v>
      </c>
      <c r="F978" s="62" t="s">
        <v>25</v>
      </c>
      <c r="G978" s="62" t="s">
        <v>25</v>
      </c>
      <c r="H978" s="62" t="s">
        <v>35</v>
      </c>
      <c r="I978" s="75">
        <v>44378</v>
      </c>
      <c r="J978" s="76">
        <f>EFEITO!$J$978*EFEITO!$Y$978</f>
        <v>0</v>
      </c>
      <c r="K978" s="76">
        <f ca="1">EFEITO!$L$978*EFEITO!$Z$978</f>
        <v>44239.364580556408</v>
      </c>
      <c r="L978" s="76">
        <f>EFEITO!$N$978*EFEITO!$AA$978</f>
        <v>100825.61936621148</v>
      </c>
      <c r="M978" s="76">
        <f>$J$978-EFEITO!$K$978*EFEITO!$Y$978</f>
        <v>0</v>
      </c>
      <c r="N978" s="76">
        <f ca="1">$K$978-EFEITO!$M$978*EFEITO!$Z$978</f>
        <v>0</v>
      </c>
      <c r="O978" s="76">
        <f>$L$978-EFEITO!$O$978*EFEITO!$AA$978</f>
        <v>0</v>
      </c>
      <c r="P978" s="18"/>
      <c r="Q978" s="18"/>
      <c r="R978" s="18"/>
      <c r="S978" s="18"/>
      <c r="T978" s="18"/>
      <c r="U978" s="18"/>
      <c r="V978" s="18"/>
      <c r="W978" s="18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62" t="s">
        <v>21</v>
      </c>
      <c r="B979" s="62" t="s">
        <v>41</v>
      </c>
      <c r="C979" s="62" t="s">
        <v>42</v>
      </c>
      <c r="D979" s="62" t="s">
        <v>38</v>
      </c>
      <c r="E979" s="62" t="s">
        <v>25</v>
      </c>
      <c r="F979" s="62" t="s">
        <v>25</v>
      </c>
      <c r="G979" s="62" t="s">
        <v>25</v>
      </c>
      <c r="H979" s="62" t="s">
        <v>35</v>
      </c>
      <c r="I979" s="75">
        <v>44409</v>
      </c>
      <c r="J979" s="76">
        <f>EFEITO!$J$979*EFEITO!$Y$979</f>
        <v>0</v>
      </c>
      <c r="K979" s="76">
        <f ca="1">EFEITO!$L$979*EFEITO!$Z$979</f>
        <v>719550.91268810339</v>
      </c>
      <c r="L979" s="76">
        <f>EFEITO!$N$979*EFEITO!$AA$979</f>
        <v>1639923.3380758541</v>
      </c>
      <c r="M979" s="76">
        <f>$J$979-EFEITO!$K$979*EFEITO!$Y$979</f>
        <v>0</v>
      </c>
      <c r="N979" s="76">
        <f ca="1">$K$979-EFEITO!$M$979*EFEITO!$Z$979</f>
        <v>0</v>
      </c>
      <c r="O979" s="76">
        <f>$L$979-EFEITO!$O$979*EFEITO!$AA$979</f>
        <v>0</v>
      </c>
      <c r="P979" s="18"/>
      <c r="Q979" s="18"/>
      <c r="R979" s="18"/>
      <c r="S979" s="18"/>
      <c r="T979" s="18"/>
      <c r="U979" s="18"/>
      <c r="V979" s="18"/>
      <c r="W979" s="18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62" t="s">
        <v>27</v>
      </c>
      <c r="B980" s="62" t="s">
        <v>41</v>
      </c>
      <c r="C980" s="62" t="s">
        <v>42</v>
      </c>
      <c r="D980" s="62" t="s">
        <v>38</v>
      </c>
      <c r="E980" s="62" t="s">
        <v>25</v>
      </c>
      <c r="F980" s="62" t="s">
        <v>25</v>
      </c>
      <c r="G980" s="62" t="s">
        <v>25</v>
      </c>
      <c r="H980" s="62" t="s">
        <v>35</v>
      </c>
      <c r="I980" s="75">
        <v>44409</v>
      </c>
      <c r="J980" s="76">
        <f>EFEITO!$J$980*EFEITO!$Y$980</f>
        <v>0</v>
      </c>
      <c r="K980" s="76">
        <f ca="1">EFEITO!$L$980*EFEITO!$Z$980</f>
        <v>-5246.063994968541</v>
      </c>
      <c r="L980" s="76">
        <f>EFEITO!$N$980*EFEITO!$AA$980</f>
        <v>-11956.266925225178</v>
      </c>
      <c r="M980" s="76">
        <f>$J$980-EFEITO!$K$980*EFEITO!$Y$980</f>
        <v>0</v>
      </c>
      <c r="N980" s="76">
        <f ca="1">$K$980-EFEITO!$M$980*EFEITO!$Z$980</f>
        <v>0</v>
      </c>
      <c r="O980" s="76">
        <f>$L$980-EFEITO!$O$980*EFEITO!$AA$980</f>
        <v>0</v>
      </c>
      <c r="P980" s="18"/>
      <c r="Q980" s="18"/>
      <c r="R980" s="18"/>
      <c r="S980" s="18"/>
      <c r="T980" s="18"/>
      <c r="U980" s="18"/>
      <c r="V980" s="18"/>
      <c r="W980" s="18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62" t="s">
        <v>28</v>
      </c>
      <c r="B981" s="62" t="s">
        <v>41</v>
      </c>
      <c r="C981" s="62" t="s">
        <v>42</v>
      </c>
      <c r="D981" s="62" t="s">
        <v>38</v>
      </c>
      <c r="E981" s="62" t="s">
        <v>25</v>
      </c>
      <c r="F981" s="62" t="s">
        <v>25</v>
      </c>
      <c r="G981" s="62" t="s">
        <v>25</v>
      </c>
      <c r="H981" s="62" t="s">
        <v>35</v>
      </c>
      <c r="I981" s="75">
        <v>44409</v>
      </c>
      <c r="J981" s="76">
        <f>EFEITO!$J$981*EFEITO!$Y$981</f>
        <v>0</v>
      </c>
      <c r="K981" s="76">
        <f ca="1">EFEITO!$L$981*EFEITO!$Z$981</f>
        <v>38505.128431069301</v>
      </c>
      <c r="L981" s="76">
        <f>EFEITO!$N$981*EFEITO!$AA$981</f>
        <v>87756.762775575378</v>
      </c>
      <c r="M981" s="76">
        <f>$J$981-EFEITO!$K$981*EFEITO!$Y$981</f>
        <v>0</v>
      </c>
      <c r="N981" s="76">
        <f ca="1">$K$981-EFEITO!$M$981*EFEITO!$Z$981</f>
        <v>0</v>
      </c>
      <c r="O981" s="76">
        <f>$L$981-EFEITO!$O$981*EFEITO!$AA$981</f>
        <v>0</v>
      </c>
      <c r="P981" s="18"/>
      <c r="Q981" s="18"/>
      <c r="R981" s="18"/>
      <c r="S981" s="18"/>
      <c r="T981" s="18"/>
      <c r="U981" s="18"/>
      <c r="V981" s="18"/>
      <c r="W981" s="18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62" t="s">
        <v>21</v>
      </c>
      <c r="B982" s="62" t="s">
        <v>41</v>
      </c>
      <c r="C982" s="62" t="s">
        <v>42</v>
      </c>
      <c r="D982" s="62" t="s">
        <v>38</v>
      </c>
      <c r="E982" s="62" t="s">
        <v>25</v>
      </c>
      <c r="F982" s="62" t="s">
        <v>25</v>
      </c>
      <c r="G982" s="62" t="s">
        <v>25</v>
      </c>
      <c r="H982" s="62" t="s">
        <v>35</v>
      </c>
      <c r="I982" s="75">
        <v>44440</v>
      </c>
      <c r="J982" s="76">
        <f>EFEITO!$J$982*EFEITO!$Y$982</f>
        <v>0</v>
      </c>
      <c r="K982" s="76">
        <f ca="1">EFEITO!$L$982*EFEITO!$Z$982</f>
        <v>719477.38450604619</v>
      </c>
      <c r="L982" s="76">
        <f>EFEITO!$N$982*EFEITO!$AA$982</f>
        <v>1639755.7605220831</v>
      </c>
      <c r="M982" s="76">
        <f>$J$982-EFEITO!$K$982*EFEITO!$Y$982</f>
        <v>0</v>
      </c>
      <c r="N982" s="76">
        <f ca="1">$K$982-EFEITO!$M$982*EFEITO!$Z$982</f>
        <v>0</v>
      </c>
      <c r="O982" s="76">
        <f>$L$982-EFEITO!$O$982*EFEITO!$AA$982</f>
        <v>0</v>
      </c>
      <c r="P982" s="18"/>
      <c r="Q982" s="18"/>
      <c r="R982" s="18"/>
      <c r="S982" s="18"/>
      <c r="T982" s="18"/>
      <c r="U982" s="18"/>
      <c r="V982" s="18"/>
      <c r="W982" s="18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62" t="s">
        <v>28</v>
      </c>
      <c r="B983" s="62" t="s">
        <v>41</v>
      </c>
      <c r="C983" s="62" t="s">
        <v>42</v>
      </c>
      <c r="D983" s="62" t="s">
        <v>38</v>
      </c>
      <c r="E983" s="62" t="s">
        <v>25</v>
      </c>
      <c r="F983" s="62" t="s">
        <v>25</v>
      </c>
      <c r="G983" s="62" t="s">
        <v>25</v>
      </c>
      <c r="H983" s="62" t="s">
        <v>35</v>
      </c>
      <c r="I983" s="75">
        <v>44440</v>
      </c>
      <c r="J983" s="76">
        <f>EFEITO!$J$983*EFEITO!$Y$983</f>
        <v>0</v>
      </c>
      <c r="K983" s="76">
        <f ca="1">EFEITO!$L$983*EFEITO!$Z$983</f>
        <v>39902.576197720424</v>
      </c>
      <c r="L983" s="76">
        <f>EFEITO!$N$983*EFEITO!$AA$983</f>
        <v>90941.675984443107</v>
      </c>
      <c r="M983" s="76">
        <f>$J$983-EFEITO!$K$983*EFEITO!$Y$983</f>
        <v>0</v>
      </c>
      <c r="N983" s="76">
        <f ca="1">$K$983-EFEITO!$M$983*EFEITO!$Z$983</f>
        <v>0</v>
      </c>
      <c r="O983" s="76">
        <f>$L$983-EFEITO!$O$983*EFEITO!$AA$983</f>
        <v>0</v>
      </c>
      <c r="P983" s="18"/>
      <c r="Q983" s="18"/>
      <c r="R983" s="18"/>
      <c r="S983" s="18"/>
      <c r="T983" s="18"/>
      <c r="U983" s="18"/>
      <c r="V983" s="18"/>
      <c r="W983" s="18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62" t="s">
        <v>21</v>
      </c>
      <c r="B984" s="62" t="s">
        <v>41</v>
      </c>
      <c r="C984" s="62" t="s">
        <v>42</v>
      </c>
      <c r="D984" s="62" t="s">
        <v>38</v>
      </c>
      <c r="E984" s="62" t="s">
        <v>25</v>
      </c>
      <c r="F984" s="62" t="s">
        <v>25</v>
      </c>
      <c r="G984" s="62" t="s">
        <v>25</v>
      </c>
      <c r="H984" s="62" t="s">
        <v>35</v>
      </c>
      <c r="I984" s="75">
        <v>44470</v>
      </c>
      <c r="J984" s="76">
        <f>EFEITO!$J$984*EFEITO!$Y$984</f>
        <v>0</v>
      </c>
      <c r="K984" s="76">
        <f ca="1">EFEITO!$L$984*EFEITO!$Z$984</f>
        <v>694701.27330568561</v>
      </c>
      <c r="L984" s="76">
        <f>EFEITO!$N$984*EFEITO!$AA$984</f>
        <v>1583288.7027117547</v>
      </c>
      <c r="M984" s="76">
        <f>$J$984-EFEITO!$K$984*EFEITO!$Y$984</f>
        <v>0</v>
      </c>
      <c r="N984" s="76">
        <f ca="1">$K$984-EFEITO!$M$984*EFEITO!$Z$984</f>
        <v>0</v>
      </c>
      <c r="O984" s="76">
        <f>$L$984-EFEITO!$O$984*EFEITO!$AA$984</f>
        <v>0</v>
      </c>
      <c r="P984" s="18"/>
      <c r="Q984" s="18"/>
      <c r="R984" s="18"/>
      <c r="S984" s="18"/>
      <c r="T984" s="18"/>
      <c r="U984" s="18"/>
      <c r="V984" s="18"/>
      <c r="W984" s="18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62" t="s">
        <v>28</v>
      </c>
      <c r="B985" s="62" t="s">
        <v>41</v>
      </c>
      <c r="C985" s="62" t="s">
        <v>42</v>
      </c>
      <c r="D985" s="62" t="s">
        <v>38</v>
      </c>
      <c r="E985" s="62" t="s">
        <v>25</v>
      </c>
      <c r="F985" s="62" t="s">
        <v>25</v>
      </c>
      <c r="G985" s="62" t="s">
        <v>25</v>
      </c>
      <c r="H985" s="62" t="s">
        <v>35</v>
      </c>
      <c r="I985" s="75">
        <v>44470</v>
      </c>
      <c r="J985" s="76">
        <f>EFEITO!$J$985*EFEITO!$Y$985</f>
        <v>0</v>
      </c>
      <c r="K985" s="76">
        <f ca="1">EFEITO!$L$985*EFEITO!$Z$985</f>
        <v>38688.605296576694</v>
      </c>
      <c r="L985" s="76">
        <f>EFEITO!$N$985*EFEITO!$AA$985</f>
        <v>88174.923587321871</v>
      </c>
      <c r="M985" s="76">
        <f>$J$985-EFEITO!$K$985*EFEITO!$Y$985</f>
        <v>0</v>
      </c>
      <c r="N985" s="76">
        <f ca="1">$K$985-EFEITO!$M$985*EFEITO!$Z$985</f>
        <v>0</v>
      </c>
      <c r="O985" s="76">
        <f>$L$985-EFEITO!$O$985*EFEITO!$AA$985</f>
        <v>0</v>
      </c>
      <c r="P985" s="18"/>
      <c r="Q985" s="18"/>
      <c r="R985" s="18"/>
      <c r="S985" s="18"/>
      <c r="T985" s="18"/>
      <c r="U985" s="18"/>
      <c r="V985" s="18"/>
      <c r="W985" s="18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62" t="s">
        <v>21</v>
      </c>
      <c r="B986" s="62" t="s">
        <v>41</v>
      </c>
      <c r="C986" s="62" t="s">
        <v>42</v>
      </c>
      <c r="D986" s="62" t="s">
        <v>38</v>
      </c>
      <c r="E986" s="62" t="s">
        <v>25</v>
      </c>
      <c r="F986" s="62" t="s">
        <v>25</v>
      </c>
      <c r="G986" s="62" t="s">
        <v>25</v>
      </c>
      <c r="H986" s="62" t="s">
        <v>35</v>
      </c>
      <c r="I986" s="75">
        <v>44501</v>
      </c>
      <c r="J986" s="76">
        <f>EFEITO!$J$986*EFEITO!$Y$986</f>
        <v>0</v>
      </c>
      <c r="K986" s="76">
        <f ca="1">EFEITO!$L$986*EFEITO!$Z$986</f>
        <v>678670.20551523985</v>
      </c>
      <c r="L986" s="76">
        <f>EFEITO!$N$986*EFEITO!$AA$986</f>
        <v>1546752.4107826473</v>
      </c>
      <c r="M986" s="76">
        <f>$J$986-EFEITO!$K$986*EFEITO!$Y$986</f>
        <v>0</v>
      </c>
      <c r="N986" s="76">
        <f ca="1">$K$986-EFEITO!$M$986*EFEITO!$Z$986</f>
        <v>0</v>
      </c>
      <c r="O986" s="76">
        <f>$L$986-EFEITO!$O$986*EFEITO!$AA$986</f>
        <v>0</v>
      </c>
      <c r="P986" s="18"/>
      <c r="Q986" s="18"/>
      <c r="R986" s="18"/>
      <c r="S986" s="18"/>
      <c r="T986" s="18"/>
      <c r="U986" s="18"/>
      <c r="V986" s="18"/>
      <c r="W986" s="18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62" t="s">
        <v>28</v>
      </c>
      <c r="B987" s="62" t="s">
        <v>41</v>
      </c>
      <c r="C987" s="62" t="s">
        <v>42</v>
      </c>
      <c r="D987" s="62" t="s">
        <v>38</v>
      </c>
      <c r="E987" s="62" t="s">
        <v>25</v>
      </c>
      <c r="F987" s="62" t="s">
        <v>25</v>
      </c>
      <c r="G987" s="62" t="s">
        <v>25</v>
      </c>
      <c r="H987" s="62" t="s">
        <v>35</v>
      </c>
      <c r="I987" s="75">
        <v>44501</v>
      </c>
      <c r="J987" s="76">
        <f>EFEITO!$J$987*EFEITO!$Y$987</f>
        <v>0</v>
      </c>
      <c r="K987" s="76">
        <f ca="1">EFEITO!$L$987*EFEITO!$Z$987</f>
        <v>39844.578267200479</v>
      </c>
      <c r="L987" s="76">
        <f>EFEITO!$N$987*EFEITO!$AA$987</f>
        <v>90809.493315861051</v>
      </c>
      <c r="M987" s="76">
        <f>$J$987-EFEITO!$K$987*EFEITO!$Y$987</f>
        <v>0</v>
      </c>
      <c r="N987" s="76">
        <f ca="1">$K$987-EFEITO!$M$987*EFEITO!$Z$987</f>
        <v>0</v>
      </c>
      <c r="O987" s="76">
        <f>$L$987-EFEITO!$O$987*EFEITO!$AA$987</f>
        <v>0</v>
      </c>
      <c r="P987" s="18"/>
      <c r="Q987" s="18"/>
      <c r="R987" s="18"/>
      <c r="S987" s="18"/>
      <c r="T987" s="18"/>
      <c r="U987" s="18"/>
      <c r="V987" s="18"/>
      <c r="W987" s="18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62" t="s">
        <v>21</v>
      </c>
      <c r="B988" s="62" t="s">
        <v>41</v>
      </c>
      <c r="C988" s="62" t="s">
        <v>42</v>
      </c>
      <c r="D988" s="62" t="s">
        <v>38</v>
      </c>
      <c r="E988" s="62" t="s">
        <v>25</v>
      </c>
      <c r="F988" s="62" t="s">
        <v>25</v>
      </c>
      <c r="G988" s="62" t="s">
        <v>25</v>
      </c>
      <c r="H988" s="62" t="s">
        <v>35</v>
      </c>
      <c r="I988" s="75">
        <v>44531</v>
      </c>
      <c r="J988" s="76">
        <f>EFEITO!$J$988*EFEITO!$Y$988</f>
        <v>0</v>
      </c>
      <c r="K988" s="76">
        <f ca="1">EFEITO!$L$988*EFEITO!$Z$988</f>
        <v>635326.6478330933</v>
      </c>
      <c r="L988" s="76">
        <f>EFEITO!$N$988*EFEITO!$AA$988</f>
        <v>1447968.4185107904</v>
      </c>
      <c r="M988" s="76">
        <f>$J$988-EFEITO!$K$988*EFEITO!$Y$988</f>
        <v>0</v>
      </c>
      <c r="N988" s="76">
        <f ca="1">$K$988-EFEITO!$M$988*EFEITO!$Z$988</f>
        <v>0</v>
      </c>
      <c r="O988" s="76">
        <f>$L$988-EFEITO!$O$988*EFEITO!$AA$988</f>
        <v>0</v>
      </c>
      <c r="P988" s="18"/>
      <c r="Q988" s="18"/>
      <c r="R988" s="18"/>
      <c r="S988" s="18"/>
      <c r="T988" s="18"/>
      <c r="U988" s="18"/>
      <c r="V988" s="18"/>
      <c r="W988" s="18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62" t="s">
        <v>27</v>
      </c>
      <c r="B989" s="62" t="s">
        <v>41</v>
      </c>
      <c r="C989" s="62" t="s">
        <v>42</v>
      </c>
      <c r="D989" s="62" t="s">
        <v>38</v>
      </c>
      <c r="E989" s="62" t="s">
        <v>25</v>
      </c>
      <c r="F989" s="62" t="s">
        <v>25</v>
      </c>
      <c r="G989" s="62" t="s">
        <v>25</v>
      </c>
      <c r="H989" s="62" t="s">
        <v>35</v>
      </c>
      <c r="I989" s="75">
        <v>44531</v>
      </c>
      <c r="J989" s="76">
        <f>EFEITO!$J$989*EFEITO!$Y$989</f>
        <v>0</v>
      </c>
      <c r="K989" s="76">
        <f ca="1">EFEITO!$L$989*EFEITO!$Z$989</f>
        <v>-2086.276268466177</v>
      </c>
      <c r="L989" s="76">
        <f>EFEITO!$N$989*EFEITO!$AA$989</f>
        <v>-4754.8173200837864</v>
      </c>
      <c r="M989" s="76">
        <f>$J$989-EFEITO!$K$989*EFEITO!$Y$989</f>
        <v>0</v>
      </c>
      <c r="N989" s="76">
        <f ca="1">$K$989-EFEITO!$M$989*EFEITO!$Z$989</f>
        <v>0</v>
      </c>
      <c r="O989" s="76">
        <f>$L$989-EFEITO!$O$989*EFEITO!$AA$989</f>
        <v>0</v>
      </c>
      <c r="P989" s="18"/>
      <c r="Q989" s="18"/>
      <c r="R989" s="18"/>
      <c r="S989" s="18"/>
      <c r="T989" s="18"/>
      <c r="U989" s="18"/>
      <c r="V989" s="18"/>
      <c r="W989" s="18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62" t="s">
        <v>28</v>
      </c>
      <c r="B990" s="62" t="s">
        <v>41</v>
      </c>
      <c r="C990" s="62" t="s">
        <v>42</v>
      </c>
      <c r="D990" s="62" t="s">
        <v>38</v>
      </c>
      <c r="E990" s="62" t="s">
        <v>25</v>
      </c>
      <c r="F990" s="62" t="s">
        <v>25</v>
      </c>
      <c r="G990" s="62" t="s">
        <v>25</v>
      </c>
      <c r="H990" s="62" t="s">
        <v>35</v>
      </c>
      <c r="I990" s="75">
        <v>44531</v>
      </c>
      <c r="J990" s="76">
        <f>EFEITO!$J$990*EFEITO!$Y$990</f>
        <v>0</v>
      </c>
      <c r="K990" s="76">
        <f ca="1">EFEITO!$L$990*EFEITO!$Z$990</f>
        <v>37937.930660320948</v>
      </c>
      <c r="L990" s="76">
        <f>EFEITO!$N$990*EFEITO!$AA$990</f>
        <v>86464.066393494635</v>
      </c>
      <c r="M990" s="76">
        <f>$J$990-EFEITO!$K$990*EFEITO!$Y$990</f>
        <v>0</v>
      </c>
      <c r="N990" s="76">
        <f ca="1">$K$990-EFEITO!$M$990*EFEITO!$Z$990</f>
        <v>0</v>
      </c>
      <c r="O990" s="76">
        <f>$L$990-EFEITO!$O$990*EFEITO!$AA$990</f>
        <v>0</v>
      </c>
      <c r="P990" s="18"/>
      <c r="Q990" s="18"/>
      <c r="R990" s="18"/>
      <c r="S990" s="18"/>
      <c r="T990" s="18"/>
      <c r="U990" s="18"/>
      <c r="V990" s="18"/>
      <c r="W990" s="18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62" t="s">
        <v>21</v>
      </c>
      <c r="B991" s="62" t="s">
        <v>41</v>
      </c>
      <c r="C991" s="62" t="s">
        <v>42</v>
      </c>
      <c r="D991" s="62" t="s">
        <v>38</v>
      </c>
      <c r="E991" s="62" t="s">
        <v>25</v>
      </c>
      <c r="F991" s="62" t="s">
        <v>25</v>
      </c>
      <c r="G991" s="62" t="s">
        <v>25</v>
      </c>
      <c r="H991" s="62" t="s">
        <v>35</v>
      </c>
      <c r="I991" s="75">
        <v>44562</v>
      </c>
      <c r="J991" s="76">
        <f>EFEITO!$J$991*EFEITO!$Y$991</f>
        <v>0</v>
      </c>
      <c r="K991" s="76">
        <f ca="1">EFEITO!$L$991*EFEITO!$Z$991</f>
        <v>620753.22471348755</v>
      </c>
      <c r="L991" s="76">
        <f>EFEITO!$N$991*EFEITO!$AA$991</f>
        <v>1414754.2341242924</v>
      </c>
      <c r="M991" s="76">
        <f>$J$991-EFEITO!$K$991*EFEITO!$Y$991</f>
        <v>0</v>
      </c>
      <c r="N991" s="76">
        <f ca="1">$K$991-EFEITO!$M$991*EFEITO!$Z$991</f>
        <v>0</v>
      </c>
      <c r="O991" s="76">
        <f>$L$991-EFEITO!$O$991*EFEITO!$AA$991</f>
        <v>0</v>
      </c>
      <c r="P991" s="18"/>
      <c r="Q991" s="18"/>
      <c r="R991" s="18"/>
      <c r="S991" s="18"/>
      <c r="T991" s="18"/>
      <c r="U991" s="18"/>
      <c r="V991" s="18"/>
      <c r="W991" s="18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62" t="s">
        <v>28</v>
      </c>
      <c r="B992" s="62" t="s">
        <v>41</v>
      </c>
      <c r="C992" s="62" t="s">
        <v>42</v>
      </c>
      <c r="D992" s="62" t="s">
        <v>38</v>
      </c>
      <c r="E992" s="62" t="s">
        <v>25</v>
      </c>
      <c r="F992" s="62" t="s">
        <v>25</v>
      </c>
      <c r="G992" s="62" t="s">
        <v>25</v>
      </c>
      <c r="H992" s="62" t="s">
        <v>35</v>
      </c>
      <c r="I992" s="75">
        <v>44562</v>
      </c>
      <c r="J992" s="76">
        <f>EFEITO!$J$992*EFEITO!$Y$992</f>
        <v>0</v>
      </c>
      <c r="K992" s="76">
        <f ca="1">EFEITO!$L$992*EFEITO!$Z$992</f>
        <v>35726.862636138874</v>
      </c>
      <c r="L992" s="76">
        <f>EFEITO!$N$992*EFEITO!$AA$992</f>
        <v>81424.837075608724</v>
      </c>
      <c r="M992" s="76">
        <f>$J$992-EFEITO!$K$992*EFEITO!$Y$992</f>
        <v>0</v>
      </c>
      <c r="N992" s="76">
        <f ca="1">$K$992-EFEITO!$M$992*EFEITO!$Z$992</f>
        <v>0</v>
      </c>
      <c r="O992" s="76">
        <f>$L$992-EFEITO!$O$992*EFEITO!$AA$992</f>
        <v>0</v>
      </c>
      <c r="P992" s="18"/>
      <c r="Q992" s="18"/>
      <c r="R992" s="18"/>
      <c r="S992" s="18"/>
      <c r="T992" s="18"/>
      <c r="U992" s="18"/>
      <c r="V992" s="18"/>
      <c r="W992" s="18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62" t="s">
        <v>21</v>
      </c>
      <c r="B993" s="62" t="s">
        <v>41</v>
      </c>
      <c r="C993" s="62" t="s">
        <v>42</v>
      </c>
      <c r="D993" s="62" t="s">
        <v>38</v>
      </c>
      <c r="E993" s="62" t="s">
        <v>25</v>
      </c>
      <c r="F993" s="62" t="s">
        <v>25</v>
      </c>
      <c r="G993" s="62" t="s">
        <v>25</v>
      </c>
      <c r="H993" s="62" t="s">
        <v>35</v>
      </c>
      <c r="I993" s="75">
        <v>44593</v>
      </c>
      <c r="J993" s="76">
        <f>EFEITO!$J$993*EFEITO!$Y$993</f>
        <v>0</v>
      </c>
      <c r="K993" s="76">
        <f ca="1">EFEITO!$L$993*EFEITO!$Z$993</f>
        <v>550952.71533273673</v>
      </c>
      <c r="L993" s="76">
        <f>EFEITO!$N$993*EFEITO!$AA$993</f>
        <v>1255672.3924858079</v>
      </c>
      <c r="M993" s="76">
        <f>$J$993-EFEITO!$K$993*EFEITO!$Y$993</f>
        <v>0</v>
      </c>
      <c r="N993" s="76">
        <f ca="1">$K$993-EFEITO!$M$993*EFEITO!$Z$993</f>
        <v>0</v>
      </c>
      <c r="O993" s="76">
        <f>$L$993-EFEITO!$O$993*EFEITO!$AA$993</f>
        <v>0</v>
      </c>
      <c r="P993" s="18"/>
      <c r="Q993" s="18"/>
      <c r="R993" s="18"/>
      <c r="S993" s="18"/>
      <c r="T993" s="18"/>
      <c r="U993" s="18"/>
      <c r="V993" s="18"/>
      <c r="W993" s="18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62" t="s">
        <v>27</v>
      </c>
      <c r="B994" s="62" t="s">
        <v>41</v>
      </c>
      <c r="C994" s="62" t="s">
        <v>42</v>
      </c>
      <c r="D994" s="62" t="s">
        <v>38</v>
      </c>
      <c r="E994" s="62" t="s">
        <v>25</v>
      </c>
      <c r="F994" s="62" t="s">
        <v>25</v>
      </c>
      <c r="G994" s="62" t="s">
        <v>25</v>
      </c>
      <c r="H994" s="62" t="s">
        <v>35</v>
      </c>
      <c r="I994" s="75">
        <v>44593</v>
      </c>
      <c r="J994" s="76">
        <f>EFEITO!$J$994*EFEITO!$Y$994</f>
        <v>0</v>
      </c>
      <c r="K994" s="76">
        <f ca="1">EFEITO!$L$994*EFEITO!$Z$994</f>
        <v>283.94247500995533</v>
      </c>
      <c r="L994" s="76">
        <f>EFEITO!$N$994*EFEITO!$AA$994</f>
        <v>647.13126372154818</v>
      </c>
      <c r="M994" s="76">
        <f>$J$994-EFEITO!$K$994*EFEITO!$Y$994</f>
        <v>0</v>
      </c>
      <c r="N994" s="76">
        <f ca="1">$K$994-EFEITO!$M$994*EFEITO!$Z$994</f>
        <v>0</v>
      </c>
      <c r="O994" s="76">
        <f>$L$994-EFEITO!$O$994*EFEITO!$AA$994</f>
        <v>0</v>
      </c>
      <c r="P994" s="18"/>
      <c r="Q994" s="18"/>
      <c r="R994" s="18"/>
      <c r="S994" s="18"/>
      <c r="T994" s="18"/>
      <c r="U994" s="18"/>
      <c r="V994" s="18"/>
      <c r="W994" s="18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62" t="s">
        <v>28</v>
      </c>
      <c r="B995" s="62" t="s">
        <v>41</v>
      </c>
      <c r="C995" s="62" t="s">
        <v>42</v>
      </c>
      <c r="D995" s="62" t="s">
        <v>38</v>
      </c>
      <c r="E995" s="62" t="s">
        <v>25</v>
      </c>
      <c r="F995" s="62" t="s">
        <v>25</v>
      </c>
      <c r="G995" s="62" t="s">
        <v>25</v>
      </c>
      <c r="H995" s="62" t="s">
        <v>35</v>
      </c>
      <c r="I995" s="75">
        <v>44593</v>
      </c>
      <c r="J995" s="76">
        <f>EFEITO!$J$995*EFEITO!$Y$995</f>
        <v>0</v>
      </c>
      <c r="K995" s="76">
        <f ca="1">EFEITO!$L$995*EFEITO!$Z$995</f>
        <v>47409.322560277913</v>
      </c>
      <c r="L995" s="76">
        <f>EFEITO!$N$995*EFEITO!$AA$995</f>
        <v>108050.2479227156</v>
      </c>
      <c r="M995" s="76">
        <f>$J$995-EFEITO!$K$995*EFEITO!$Y$995</f>
        <v>0</v>
      </c>
      <c r="N995" s="76">
        <f ca="1">$K$995-EFEITO!$M$995*EFEITO!$Z$995</f>
        <v>0</v>
      </c>
      <c r="O995" s="76">
        <f>$L$995-EFEITO!$O$995*EFEITO!$AA$995</f>
        <v>0</v>
      </c>
      <c r="P995" s="18"/>
      <c r="Q995" s="18"/>
      <c r="R995" s="18"/>
      <c r="S995" s="18"/>
      <c r="T995" s="18"/>
      <c r="U995" s="18"/>
      <c r="V995" s="18"/>
      <c r="W995" s="18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62" t="s">
        <v>21</v>
      </c>
      <c r="B996" s="62" t="s">
        <v>41</v>
      </c>
      <c r="C996" s="62" t="s">
        <v>42</v>
      </c>
      <c r="D996" s="62" t="s">
        <v>38</v>
      </c>
      <c r="E996" s="62" t="s">
        <v>25</v>
      </c>
      <c r="F996" s="62" t="s">
        <v>25</v>
      </c>
      <c r="G996" s="62" t="s">
        <v>25</v>
      </c>
      <c r="H996" s="62" t="s">
        <v>35</v>
      </c>
      <c r="I996" s="75">
        <v>44621</v>
      </c>
      <c r="J996" s="76">
        <f>EFEITO!$J$996*EFEITO!$Y$996</f>
        <v>0</v>
      </c>
      <c r="K996" s="76">
        <f ca="1">EFEITO!$L$996*EFEITO!$Z$996</f>
        <v>568014.68946638191</v>
      </c>
      <c r="L996" s="76">
        <f>EFEITO!$N$996*EFEITO!$AA$996</f>
        <v>1294558.2156875078</v>
      </c>
      <c r="M996" s="76">
        <f>$J$996-EFEITO!$K$996*EFEITO!$Y$996</f>
        <v>0</v>
      </c>
      <c r="N996" s="76">
        <f ca="1">$K$996-EFEITO!$M$996*EFEITO!$Z$996</f>
        <v>0</v>
      </c>
      <c r="O996" s="76">
        <f>$L$996-EFEITO!$O$996*EFEITO!$AA$996</f>
        <v>0</v>
      </c>
      <c r="P996" s="18"/>
      <c r="Q996" s="18"/>
      <c r="R996" s="18"/>
      <c r="S996" s="18"/>
      <c r="T996" s="18"/>
      <c r="U996" s="18"/>
      <c r="V996" s="18"/>
      <c r="W996" s="18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62" t="s">
        <v>28</v>
      </c>
      <c r="B997" s="62" t="s">
        <v>41</v>
      </c>
      <c r="C997" s="62" t="s">
        <v>42</v>
      </c>
      <c r="D997" s="62" t="s">
        <v>38</v>
      </c>
      <c r="E997" s="62" t="s">
        <v>25</v>
      </c>
      <c r="F997" s="62" t="s">
        <v>25</v>
      </c>
      <c r="G997" s="62" t="s">
        <v>25</v>
      </c>
      <c r="H997" s="62" t="s">
        <v>35</v>
      </c>
      <c r="I997" s="75">
        <v>44621</v>
      </c>
      <c r="J997" s="76">
        <f>EFEITO!$J$997*EFEITO!$Y$997</f>
        <v>0</v>
      </c>
      <c r="K997" s="76">
        <f ca="1">EFEITO!$L$997*EFEITO!$Z$997</f>
        <v>28727.392011849424</v>
      </c>
      <c r="L997" s="76">
        <f>EFEITO!$N$997*EFEITO!$AA$997</f>
        <v>65472.393643820382</v>
      </c>
      <c r="M997" s="76">
        <f>$J$997-EFEITO!$K$997*EFEITO!$Y$997</f>
        <v>0</v>
      </c>
      <c r="N997" s="76">
        <f ca="1">$K$997-EFEITO!$M$997*EFEITO!$Z$997</f>
        <v>0</v>
      </c>
      <c r="O997" s="76">
        <f>$L$997-EFEITO!$O$997*EFEITO!$AA$997</f>
        <v>0</v>
      </c>
      <c r="P997" s="18"/>
      <c r="Q997" s="18"/>
      <c r="R997" s="18"/>
      <c r="S997" s="18"/>
      <c r="T997" s="18"/>
      <c r="U997" s="18"/>
      <c r="V997" s="18"/>
      <c r="W997" s="18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62" t="s">
        <v>28</v>
      </c>
      <c r="B998" s="62" t="s">
        <v>41</v>
      </c>
      <c r="C998" s="62" t="s">
        <v>42</v>
      </c>
      <c r="D998" s="62" t="s">
        <v>38</v>
      </c>
      <c r="E998" s="62" t="s">
        <v>25</v>
      </c>
      <c r="F998" s="62" t="s">
        <v>25</v>
      </c>
      <c r="G998" s="62" t="s">
        <v>25</v>
      </c>
      <c r="H998" s="62" t="s">
        <v>35</v>
      </c>
      <c r="I998" s="75">
        <v>44621</v>
      </c>
      <c r="J998" s="76">
        <f>EFEITO!$J$998*EFEITO!$Y$998</f>
        <v>0</v>
      </c>
      <c r="K998" s="76">
        <f ca="1">EFEITO!$L$998*EFEITO!$Z$998</f>
        <v>-829.70025248552781</v>
      </c>
      <c r="L998" s="76">
        <f>EFEITO!$N$998*EFEITO!$AA$998</f>
        <v>-1890.9639104970895</v>
      </c>
      <c r="M998" s="76">
        <f>$J$998-EFEITO!$K$998*EFEITO!$Y$998</f>
        <v>0</v>
      </c>
      <c r="N998" s="76">
        <f ca="1">$K$998-EFEITO!$M$998*EFEITO!$Z$998</f>
        <v>0</v>
      </c>
      <c r="O998" s="76">
        <f>$L$998-EFEITO!$O$998*EFEITO!$AA$998</f>
        <v>0</v>
      </c>
      <c r="P998" s="18"/>
      <c r="Q998" s="18"/>
      <c r="R998" s="18"/>
      <c r="S998" s="18"/>
      <c r="T998" s="18"/>
      <c r="U998" s="18"/>
      <c r="V998" s="18"/>
      <c r="W998" s="18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62" t="s">
        <v>21</v>
      </c>
      <c r="B999" s="62" t="s">
        <v>41</v>
      </c>
      <c r="C999" s="62" t="s">
        <v>42</v>
      </c>
      <c r="D999" s="62" t="s">
        <v>38</v>
      </c>
      <c r="E999" s="62" t="s">
        <v>25</v>
      </c>
      <c r="F999" s="62" t="s">
        <v>25</v>
      </c>
      <c r="G999" s="62" t="s">
        <v>25</v>
      </c>
      <c r="H999" s="62" t="s">
        <v>35</v>
      </c>
      <c r="I999" s="75">
        <v>44652</v>
      </c>
      <c r="J999" s="76">
        <f>EFEITO!$J$999*EFEITO!$Y$999</f>
        <v>0</v>
      </c>
      <c r="K999" s="76">
        <f ca="1">EFEITO!$L$999*EFEITO!$Z$999</f>
        <v>550480.48573731841</v>
      </c>
      <c r="L999" s="76">
        <f>EFEITO!$N$999*EFEITO!$AA$999</f>
        <v>1254596.1373928033</v>
      </c>
      <c r="M999" s="76">
        <f>$J$999-EFEITO!$K$999*EFEITO!$Y$999</f>
        <v>0</v>
      </c>
      <c r="N999" s="76">
        <f ca="1">$K$999-EFEITO!$M$999*EFEITO!$Z$999</f>
        <v>0</v>
      </c>
      <c r="O999" s="76">
        <f>$L$999-EFEITO!$O$999*EFEITO!$AA$999</f>
        <v>0</v>
      </c>
      <c r="P999" s="18"/>
      <c r="Q999" s="18"/>
      <c r="R999" s="18"/>
      <c r="S999" s="18"/>
      <c r="T999" s="18"/>
      <c r="U999" s="18"/>
      <c r="V999" s="18"/>
      <c r="W999" s="18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62" t="s">
        <v>27</v>
      </c>
      <c r="B1000" s="62" t="s">
        <v>41</v>
      </c>
      <c r="C1000" s="62" t="s">
        <v>42</v>
      </c>
      <c r="D1000" s="62" t="s">
        <v>38</v>
      </c>
      <c r="E1000" s="62" t="s">
        <v>25</v>
      </c>
      <c r="F1000" s="62" t="s">
        <v>25</v>
      </c>
      <c r="G1000" s="62" t="s">
        <v>25</v>
      </c>
      <c r="H1000" s="62" t="s">
        <v>35</v>
      </c>
      <c r="I1000" s="75">
        <v>44652</v>
      </c>
      <c r="J1000" s="76">
        <f>EFEITO!$J$1000*EFEITO!$Y$1000</f>
        <v>0</v>
      </c>
      <c r="K1000" s="76">
        <f ca="1">EFEITO!$L$1000*EFEITO!$Z$1000</f>
        <v>494.08189625401235</v>
      </c>
      <c r="L1000" s="76">
        <f>EFEITO!$N$1000*EFEITO!$AA$1000</f>
        <v>1126.0585155270892</v>
      </c>
      <c r="M1000" s="76">
        <f>$J$1000-EFEITO!$K$1000*EFEITO!$Y$1000</f>
        <v>0</v>
      </c>
      <c r="N1000" s="76">
        <f ca="1">$K$1000-EFEITO!$M$1000*EFEITO!$Z$1000</f>
        <v>0</v>
      </c>
      <c r="O1000" s="76">
        <f>$L$1000-EFEITO!$O$1000*EFEITO!$AA$1000</f>
        <v>0</v>
      </c>
      <c r="P1000" s="18"/>
      <c r="Q1000" s="18"/>
      <c r="R1000" s="18"/>
      <c r="S1000" s="18"/>
      <c r="T1000" s="18"/>
      <c r="U1000" s="18"/>
      <c r="V1000" s="18"/>
      <c r="W1000" s="18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62" t="s">
        <v>28</v>
      </c>
      <c r="B1001" s="62" t="s">
        <v>41</v>
      </c>
      <c r="C1001" s="62" t="s">
        <v>42</v>
      </c>
      <c r="D1001" s="62" t="s">
        <v>38</v>
      </c>
      <c r="E1001" s="62" t="s">
        <v>25</v>
      </c>
      <c r="F1001" s="62" t="s">
        <v>25</v>
      </c>
      <c r="G1001" s="62" t="s">
        <v>25</v>
      </c>
      <c r="H1001" s="62" t="s">
        <v>35</v>
      </c>
      <c r="I1001" s="75">
        <v>44652</v>
      </c>
      <c r="J1001" s="76">
        <f>EFEITO!$J$1001*EFEITO!$Y$1001</f>
        <v>0</v>
      </c>
      <c r="K1001" s="76">
        <f ca="1">EFEITO!$L$1001*EFEITO!$Z$1001</f>
        <v>28855.34479221451</v>
      </c>
      <c r="L1001" s="76">
        <f>EFEITO!$N$1001*EFEITO!$AA$1001</f>
        <v>65764.009910289285</v>
      </c>
      <c r="M1001" s="76">
        <f>$J$1001-EFEITO!$K$1001*EFEITO!$Y$1001</f>
        <v>0</v>
      </c>
      <c r="N1001" s="76">
        <f ca="1">$K$1001-EFEITO!$M$1001*EFEITO!$Z$1001</f>
        <v>0</v>
      </c>
      <c r="O1001" s="76">
        <f>$L$1001-EFEITO!$O$1001*EFEITO!$AA$1001</f>
        <v>0</v>
      </c>
      <c r="P1001" s="18"/>
      <c r="Q1001" s="18"/>
      <c r="R1001" s="18"/>
      <c r="S1001" s="18"/>
      <c r="T1001" s="18"/>
      <c r="U1001" s="18"/>
      <c r="V1001" s="18"/>
      <c r="W1001" s="18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62" t="s">
        <v>58</v>
      </c>
      <c r="B1002" s="62" t="s">
        <v>41</v>
      </c>
      <c r="C1002" s="62" t="s">
        <v>42</v>
      </c>
      <c r="D1002" s="62" t="s">
        <v>38</v>
      </c>
      <c r="E1002" s="62" t="s">
        <v>25</v>
      </c>
      <c r="F1002" s="62" t="s">
        <v>25</v>
      </c>
      <c r="G1002" s="62" t="s">
        <v>25</v>
      </c>
      <c r="H1002" s="62" t="s">
        <v>35</v>
      </c>
      <c r="I1002" s="75">
        <v>44682</v>
      </c>
      <c r="J1002" s="76">
        <f>EFEITO!$J$1002*EFEITO!$Y$1002</f>
        <v>0</v>
      </c>
      <c r="K1002" s="76">
        <f ca="1">EFEITO!$L$1002*EFEITO!$Z$1002</f>
        <v>550480.48573731841</v>
      </c>
      <c r="L1002" s="76">
        <f>EFEITO!$N$1002*EFEITO!$AA$1002</f>
        <v>1254596.1373928033</v>
      </c>
      <c r="M1002" s="76">
        <f>$J$1002-EFEITO!$K$1002*EFEITO!$Y$1002</f>
        <v>0</v>
      </c>
      <c r="N1002" s="76">
        <f ca="1">$K$1002-EFEITO!$M$1002*EFEITO!$Z$1002</f>
        <v>0</v>
      </c>
      <c r="O1002" s="76">
        <f>$L$1002-EFEITO!$O$1002*EFEITO!$AA$1002</f>
        <v>0</v>
      </c>
      <c r="P1002" s="18"/>
      <c r="Q1002" s="18"/>
      <c r="R1002" s="18"/>
      <c r="S1002" s="18"/>
      <c r="T1002" s="18"/>
      <c r="U1002" s="18"/>
      <c r="V1002" s="18"/>
      <c r="W1002" s="18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62" t="s">
        <v>58</v>
      </c>
      <c r="B1003" s="62" t="s">
        <v>41</v>
      </c>
      <c r="C1003" s="62" t="s">
        <v>42</v>
      </c>
      <c r="D1003" s="62" t="s">
        <v>38</v>
      </c>
      <c r="E1003" s="62" t="s">
        <v>25</v>
      </c>
      <c r="F1003" s="62" t="s">
        <v>25</v>
      </c>
      <c r="G1003" s="62" t="s">
        <v>25</v>
      </c>
      <c r="H1003" s="62" t="s">
        <v>35</v>
      </c>
      <c r="I1003" s="75">
        <v>44682</v>
      </c>
      <c r="J1003" s="76">
        <f>EFEITO!$J$1003*EFEITO!$Y$1003</f>
        <v>0</v>
      </c>
      <c r="K1003" s="76">
        <f ca="1">EFEITO!$L$1003*EFEITO!$Z$1003</f>
        <v>494.08189625401235</v>
      </c>
      <c r="L1003" s="76">
        <f>EFEITO!$N$1003*EFEITO!$AA$1003</f>
        <v>1126.0585155270892</v>
      </c>
      <c r="M1003" s="76">
        <f>$J$1003-EFEITO!$K$1003*EFEITO!$Y$1003</f>
        <v>0</v>
      </c>
      <c r="N1003" s="76">
        <f ca="1">$K$1003-EFEITO!$M$1003*EFEITO!$Z$1003</f>
        <v>0</v>
      </c>
      <c r="O1003" s="76">
        <f>$L$1003-EFEITO!$O$1003*EFEITO!$AA$1003</f>
        <v>0</v>
      </c>
      <c r="P1003" s="18"/>
      <c r="Q1003" s="18"/>
      <c r="R1003" s="18"/>
      <c r="S1003" s="18"/>
      <c r="T1003" s="18"/>
      <c r="U1003" s="18"/>
      <c r="V1003" s="18"/>
      <c r="W1003" s="18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62" t="s">
        <v>58</v>
      </c>
      <c r="B1004" s="62" t="s">
        <v>41</v>
      </c>
      <c r="C1004" s="62" t="s">
        <v>42</v>
      </c>
      <c r="D1004" s="62" t="s">
        <v>38</v>
      </c>
      <c r="E1004" s="62" t="s">
        <v>25</v>
      </c>
      <c r="F1004" s="62" t="s">
        <v>25</v>
      </c>
      <c r="G1004" s="62" t="s">
        <v>25</v>
      </c>
      <c r="H1004" s="62" t="s">
        <v>35</v>
      </c>
      <c r="I1004" s="75">
        <v>44682</v>
      </c>
      <c r="J1004" s="76">
        <f>EFEITO!$J$1004*EFEITO!$Y$1004</f>
        <v>0</v>
      </c>
      <c r="K1004" s="76">
        <f ca="1">EFEITO!$L$1004*EFEITO!$Z$1004</f>
        <v>28855.34479221451</v>
      </c>
      <c r="L1004" s="76">
        <f>EFEITO!$N$1004*EFEITO!$AA$1004</f>
        <v>65764.009910289285</v>
      </c>
      <c r="M1004" s="76">
        <f>$J$1004-EFEITO!$K$1004*EFEITO!$Y$1004</f>
        <v>0</v>
      </c>
      <c r="N1004" s="76">
        <f ca="1">$K$1004-EFEITO!$M$1004*EFEITO!$Z$1004</f>
        <v>0</v>
      </c>
      <c r="O1004" s="76">
        <f>$L$1004-EFEITO!$O$1004*EFEITO!$AA$1004</f>
        <v>0</v>
      </c>
      <c r="P1004" s="18"/>
      <c r="Q1004" s="18"/>
      <c r="R1004" s="18"/>
      <c r="S1004" s="18"/>
      <c r="T1004" s="18"/>
      <c r="U1004" s="18"/>
      <c r="V1004" s="18"/>
      <c r="W1004" s="18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62" t="s">
        <v>21</v>
      </c>
      <c r="B1005" s="62" t="s">
        <v>41</v>
      </c>
      <c r="C1005" s="62" t="s">
        <v>42</v>
      </c>
      <c r="D1005" s="62" t="s">
        <v>38</v>
      </c>
      <c r="E1005" s="62" t="s">
        <v>25</v>
      </c>
      <c r="F1005" s="62" t="s">
        <v>25</v>
      </c>
      <c r="G1005" s="62" t="s">
        <v>25</v>
      </c>
      <c r="H1005" s="62" t="s">
        <v>25</v>
      </c>
      <c r="I1005" s="75">
        <v>44348</v>
      </c>
      <c r="J1005" s="76">
        <f ca="1">EFEITO!$J$1005*EFEITO!$Y$1005</f>
        <v>1030209.5234022265</v>
      </c>
      <c r="K1005" s="76">
        <f>EFEITO!$L$1005*EFEITO!$Z$1005</f>
        <v>0</v>
      </c>
      <c r="L1005" s="76">
        <f>EFEITO!$N$1005*EFEITO!$AA$1005</f>
        <v>0</v>
      </c>
      <c r="M1005" s="76">
        <f ca="1">$J$1005-EFEITO!$K$1005*EFEITO!$Y$1005</f>
        <v>0</v>
      </c>
      <c r="N1005" s="76">
        <f>$K$1005-EFEITO!$M$1005*EFEITO!$Z$1005</f>
        <v>0</v>
      </c>
      <c r="O1005" s="76">
        <f>$L$1005-EFEITO!$O$1005*EFEITO!$AA$1005</f>
        <v>0</v>
      </c>
      <c r="P1005" s="18"/>
      <c r="Q1005" s="18"/>
      <c r="R1005" s="18"/>
      <c r="S1005" s="18"/>
      <c r="T1005" s="18"/>
      <c r="U1005" s="18"/>
      <c r="V1005" s="18"/>
      <c r="W1005" s="18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62" t="s">
        <v>28</v>
      </c>
      <c r="B1006" s="62" t="s">
        <v>41</v>
      </c>
      <c r="C1006" s="62" t="s">
        <v>42</v>
      </c>
      <c r="D1006" s="62" t="s">
        <v>38</v>
      </c>
      <c r="E1006" s="62" t="s">
        <v>25</v>
      </c>
      <c r="F1006" s="62" t="s">
        <v>25</v>
      </c>
      <c r="G1006" s="62" t="s">
        <v>25</v>
      </c>
      <c r="H1006" s="62" t="s">
        <v>25</v>
      </c>
      <c r="I1006" s="75">
        <v>44348</v>
      </c>
      <c r="J1006" s="76">
        <f ca="1">EFEITO!$J$1006*EFEITO!$Y$1006</f>
        <v>88873.341591270277</v>
      </c>
      <c r="K1006" s="76">
        <f>EFEITO!$L$1006*EFEITO!$Z$1006</f>
        <v>0</v>
      </c>
      <c r="L1006" s="76">
        <f>EFEITO!$N$1006*EFEITO!$AA$1006</f>
        <v>0</v>
      </c>
      <c r="M1006" s="76">
        <f ca="1">$J$1006-EFEITO!$K$1006*EFEITO!$Y$1006</f>
        <v>0</v>
      </c>
      <c r="N1006" s="76">
        <f>$K$1006-EFEITO!$M$1006*EFEITO!$Z$1006</f>
        <v>0</v>
      </c>
      <c r="O1006" s="76">
        <f>$L$1006-EFEITO!$O$1006*EFEITO!$AA$1006</f>
        <v>0</v>
      </c>
      <c r="P1006" s="18"/>
      <c r="Q1006" s="18"/>
      <c r="R1006" s="18"/>
      <c r="S1006" s="18"/>
      <c r="T1006" s="18"/>
      <c r="U1006" s="18"/>
      <c r="V1006" s="18"/>
      <c r="W1006" s="18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62" t="s">
        <v>21</v>
      </c>
      <c r="B1007" s="62" t="s">
        <v>41</v>
      </c>
      <c r="C1007" s="62" t="s">
        <v>42</v>
      </c>
      <c r="D1007" s="62" t="s">
        <v>38</v>
      </c>
      <c r="E1007" s="62" t="s">
        <v>25</v>
      </c>
      <c r="F1007" s="62" t="s">
        <v>25</v>
      </c>
      <c r="G1007" s="62" t="s">
        <v>25</v>
      </c>
      <c r="H1007" s="62" t="s">
        <v>25</v>
      </c>
      <c r="I1007" s="75">
        <v>44378</v>
      </c>
      <c r="J1007" s="76">
        <f ca="1">EFEITO!$J$1007*EFEITO!$Y$1007</f>
        <v>1006903.3687662865</v>
      </c>
      <c r="K1007" s="76">
        <f>EFEITO!$L$1007*EFEITO!$Z$1007</f>
        <v>0</v>
      </c>
      <c r="L1007" s="76">
        <f>EFEITO!$N$1007*EFEITO!$AA$1007</f>
        <v>0</v>
      </c>
      <c r="M1007" s="76">
        <f ca="1">$J$1007-EFEITO!$K$1007*EFEITO!$Y$1007</f>
        <v>0</v>
      </c>
      <c r="N1007" s="76">
        <f>$K$1007-EFEITO!$M$1007*EFEITO!$Z$1007</f>
        <v>0</v>
      </c>
      <c r="O1007" s="76">
        <f>$L$1007-EFEITO!$O$1007*EFEITO!$AA$1007</f>
        <v>0</v>
      </c>
      <c r="P1007" s="18"/>
      <c r="Q1007" s="18"/>
      <c r="R1007" s="18"/>
      <c r="S1007" s="18"/>
      <c r="T1007" s="18"/>
      <c r="U1007" s="18"/>
      <c r="V1007" s="18"/>
      <c r="W1007" s="18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62" t="s">
        <v>27</v>
      </c>
      <c r="B1008" s="62" t="s">
        <v>41</v>
      </c>
      <c r="C1008" s="62" t="s">
        <v>42</v>
      </c>
      <c r="D1008" s="62" t="s">
        <v>38</v>
      </c>
      <c r="E1008" s="62" t="s">
        <v>25</v>
      </c>
      <c r="F1008" s="62" t="s">
        <v>25</v>
      </c>
      <c r="G1008" s="62" t="s">
        <v>25</v>
      </c>
      <c r="H1008" s="62" t="s">
        <v>25</v>
      </c>
      <c r="I1008" s="75">
        <v>44378</v>
      </c>
      <c r="J1008" s="76">
        <f ca="1">EFEITO!$J$1008*EFEITO!$Y$1008</f>
        <v>4261.8671520964617</v>
      </c>
      <c r="K1008" s="76">
        <f>EFEITO!$L$1008*EFEITO!$Z$1008</f>
        <v>0</v>
      </c>
      <c r="L1008" s="76">
        <f>EFEITO!$N$1008*EFEITO!$AA$1008</f>
        <v>0</v>
      </c>
      <c r="M1008" s="76">
        <f ca="1">$J$1008-EFEITO!$K$1008*EFEITO!$Y$1008</f>
        <v>0</v>
      </c>
      <c r="N1008" s="76">
        <f>$K$1008-EFEITO!$M$1008*EFEITO!$Z$1008</f>
        <v>0</v>
      </c>
      <c r="O1008" s="76">
        <f>$L$1008-EFEITO!$O$1008*EFEITO!$AA$1008</f>
        <v>0</v>
      </c>
      <c r="P1008" s="18"/>
      <c r="Q1008" s="18"/>
      <c r="R1008" s="18"/>
      <c r="S1008" s="18"/>
      <c r="T1008" s="18"/>
      <c r="U1008" s="18"/>
      <c r="V1008" s="18"/>
      <c r="W1008" s="18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62" t="s">
        <v>28</v>
      </c>
      <c r="B1009" s="62" t="s">
        <v>41</v>
      </c>
      <c r="C1009" s="62" t="s">
        <v>42</v>
      </c>
      <c r="D1009" s="62" t="s">
        <v>38</v>
      </c>
      <c r="E1009" s="62" t="s">
        <v>25</v>
      </c>
      <c r="F1009" s="62" t="s">
        <v>25</v>
      </c>
      <c r="G1009" s="62" t="s">
        <v>25</v>
      </c>
      <c r="H1009" s="62" t="s">
        <v>25</v>
      </c>
      <c r="I1009" s="75">
        <v>44378</v>
      </c>
      <c r="J1009" s="76">
        <f ca="1">EFEITO!$J$1009*EFEITO!$Y$1009</f>
        <v>171666.81675577356</v>
      </c>
      <c r="K1009" s="76">
        <f>EFEITO!$L$1009*EFEITO!$Z$1009</f>
        <v>0</v>
      </c>
      <c r="L1009" s="76">
        <f>EFEITO!$N$1009*EFEITO!$AA$1009</f>
        <v>0</v>
      </c>
      <c r="M1009" s="76">
        <f ca="1">$J$1009-EFEITO!$K$1009*EFEITO!$Y$1009</f>
        <v>0</v>
      </c>
      <c r="N1009" s="76">
        <f>$K$1009-EFEITO!$M$1009*EFEITO!$Z$1009</f>
        <v>0</v>
      </c>
      <c r="O1009" s="76">
        <f>$L$1009-EFEITO!$O$1009*EFEITO!$AA$1009</f>
        <v>0</v>
      </c>
      <c r="P1009" s="18"/>
      <c r="Q1009" s="18"/>
      <c r="R1009" s="18"/>
      <c r="S1009" s="18"/>
      <c r="T1009" s="18"/>
      <c r="U1009" s="18"/>
      <c r="V1009" s="18"/>
      <c r="W1009" s="18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62" t="s">
        <v>28</v>
      </c>
      <c r="B1010" s="62" t="s">
        <v>41</v>
      </c>
      <c r="C1010" s="62" t="s">
        <v>42</v>
      </c>
      <c r="D1010" s="62" t="s">
        <v>38</v>
      </c>
      <c r="E1010" s="62" t="s">
        <v>25</v>
      </c>
      <c r="F1010" s="62" t="s">
        <v>25</v>
      </c>
      <c r="G1010" s="62" t="s">
        <v>25</v>
      </c>
      <c r="H1010" s="62" t="s">
        <v>25</v>
      </c>
      <c r="I1010" s="75">
        <v>44378</v>
      </c>
      <c r="J1010" s="76">
        <f ca="1">EFEITO!$J$1010*EFEITO!$Y$1010</f>
        <v>-46403.68640429504</v>
      </c>
      <c r="K1010" s="76">
        <f>EFEITO!$L$1010*EFEITO!$Z$1010</f>
        <v>0</v>
      </c>
      <c r="L1010" s="76">
        <f>EFEITO!$N$1010*EFEITO!$AA$1010</f>
        <v>0</v>
      </c>
      <c r="M1010" s="76">
        <f ca="1">$J$1010-EFEITO!$K$1010*EFEITO!$Y$1010</f>
        <v>0</v>
      </c>
      <c r="N1010" s="76">
        <f>$K$1010-EFEITO!$M$1010*EFEITO!$Z$1010</f>
        <v>0</v>
      </c>
      <c r="O1010" s="76">
        <f>$L$1010-EFEITO!$O$1010*EFEITO!$AA$1010</f>
        <v>0</v>
      </c>
      <c r="P1010" s="18"/>
      <c r="Q1010" s="18"/>
      <c r="R1010" s="18"/>
      <c r="S1010" s="18"/>
      <c r="T1010" s="18"/>
      <c r="U1010" s="18"/>
      <c r="V1010" s="18"/>
      <c r="W1010" s="18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62" t="s">
        <v>21</v>
      </c>
      <c r="B1011" s="62" t="s">
        <v>41</v>
      </c>
      <c r="C1011" s="62" t="s">
        <v>42</v>
      </c>
      <c r="D1011" s="62" t="s">
        <v>38</v>
      </c>
      <c r="E1011" s="62" t="s">
        <v>25</v>
      </c>
      <c r="F1011" s="62" t="s">
        <v>25</v>
      </c>
      <c r="G1011" s="62" t="s">
        <v>25</v>
      </c>
      <c r="H1011" s="62" t="s">
        <v>25</v>
      </c>
      <c r="I1011" s="75">
        <v>44409</v>
      </c>
      <c r="J1011" s="76">
        <f ca="1">EFEITO!$J$1011*EFEITO!$Y$1011</f>
        <v>982464.68999202701</v>
      </c>
      <c r="K1011" s="76">
        <f>EFEITO!$L$1011*EFEITO!$Z$1011</f>
        <v>0</v>
      </c>
      <c r="L1011" s="76">
        <f>EFEITO!$N$1011*EFEITO!$AA$1011</f>
        <v>0</v>
      </c>
      <c r="M1011" s="76">
        <f ca="1">$J$1011-EFEITO!$K$1011*EFEITO!$Y$1011</f>
        <v>0</v>
      </c>
      <c r="N1011" s="76">
        <f>$K$1011-EFEITO!$M$1011*EFEITO!$Z$1011</f>
        <v>0</v>
      </c>
      <c r="O1011" s="76">
        <f>$L$1011-EFEITO!$O$1011*EFEITO!$AA$1011</f>
        <v>0</v>
      </c>
      <c r="P1011" s="18"/>
      <c r="Q1011" s="18"/>
      <c r="R1011" s="18"/>
      <c r="S1011" s="18"/>
      <c r="T1011" s="18"/>
      <c r="U1011" s="18"/>
      <c r="V1011" s="18"/>
      <c r="W1011" s="18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62" t="s">
        <v>27</v>
      </c>
      <c r="B1012" s="62" t="s">
        <v>41</v>
      </c>
      <c r="C1012" s="62" t="s">
        <v>42</v>
      </c>
      <c r="D1012" s="62" t="s">
        <v>38</v>
      </c>
      <c r="E1012" s="62" t="s">
        <v>25</v>
      </c>
      <c r="F1012" s="62" t="s">
        <v>25</v>
      </c>
      <c r="G1012" s="62" t="s">
        <v>25</v>
      </c>
      <c r="H1012" s="62" t="s">
        <v>25</v>
      </c>
      <c r="I1012" s="75">
        <v>44409</v>
      </c>
      <c r="J1012" s="76">
        <f ca="1">EFEITO!$J$1012*EFEITO!$Y$1012</f>
        <v>3934.0312173198108</v>
      </c>
      <c r="K1012" s="76">
        <f>EFEITO!$L$1012*EFEITO!$Z$1012</f>
        <v>0</v>
      </c>
      <c r="L1012" s="76">
        <f>EFEITO!$N$1012*EFEITO!$AA$1012</f>
        <v>0</v>
      </c>
      <c r="M1012" s="76">
        <f ca="1">$J$1012-EFEITO!$K$1012*EFEITO!$Y$1012</f>
        <v>0</v>
      </c>
      <c r="N1012" s="76">
        <f>$K$1012-EFEITO!$M$1012*EFEITO!$Z$1012</f>
        <v>0</v>
      </c>
      <c r="O1012" s="76">
        <f>$L$1012-EFEITO!$O$1012*EFEITO!$AA$1012</f>
        <v>0</v>
      </c>
      <c r="P1012" s="18"/>
      <c r="Q1012" s="18"/>
      <c r="R1012" s="18"/>
      <c r="S1012" s="18"/>
      <c r="T1012" s="18"/>
      <c r="U1012" s="18"/>
      <c r="V1012" s="18"/>
      <c r="W1012" s="18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62" t="s">
        <v>28</v>
      </c>
      <c r="B1013" s="62" t="s">
        <v>41</v>
      </c>
      <c r="C1013" s="62" t="s">
        <v>42</v>
      </c>
      <c r="D1013" s="62" t="s">
        <v>38</v>
      </c>
      <c r="E1013" s="62" t="s">
        <v>25</v>
      </c>
      <c r="F1013" s="62" t="s">
        <v>25</v>
      </c>
      <c r="G1013" s="62" t="s">
        <v>25</v>
      </c>
      <c r="H1013" s="62" t="s">
        <v>25</v>
      </c>
      <c r="I1013" s="75">
        <v>44409</v>
      </c>
      <c r="J1013" s="76">
        <f ca="1">EFEITO!$J$1013*EFEITO!$Y$1013</f>
        <v>171637.0134889757</v>
      </c>
      <c r="K1013" s="76">
        <f>EFEITO!$L$1013*EFEITO!$Z$1013</f>
        <v>0</v>
      </c>
      <c r="L1013" s="76">
        <f>EFEITO!$N$1013*EFEITO!$AA$1013</f>
        <v>0</v>
      </c>
      <c r="M1013" s="76">
        <f ca="1">$J$1013-EFEITO!$K$1013*EFEITO!$Y$1013</f>
        <v>0</v>
      </c>
      <c r="N1013" s="76">
        <f>$K$1013-EFEITO!$M$1013*EFEITO!$Z$1013</f>
        <v>0</v>
      </c>
      <c r="O1013" s="76">
        <f>$L$1013-EFEITO!$O$1013*EFEITO!$AA$1013</f>
        <v>0</v>
      </c>
      <c r="P1013" s="18"/>
      <c r="Q1013" s="18"/>
      <c r="R1013" s="18"/>
      <c r="S1013" s="18"/>
      <c r="T1013" s="18"/>
      <c r="U1013" s="18"/>
      <c r="V1013" s="18"/>
      <c r="W1013" s="18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62" t="s">
        <v>21</v>
      </c>
      <c r="B1014" s="62" t="s">
        <v>41</v>
      </c>
      <c r="C1014" s="62" t="s">
        <v>42</v>
      </c>
      <c r="D1014" s="62" t="s">
        <v>38</v>
      </c>
      <c r="E1014" s="62" t="s">
        <v>25</v>
      </c>
      <c r="F1014" s="62" t="s">
        <v>25</v>
      </c>
      <c r="G1014" s="62" t="s">
        <v>25</v>
      </c>
      <c r="H1014" s="62" t="s">
        <v>25</v>
      </c>
      <c r="I1014" s="75">
        <v>44440</v>
      </c>
      <c r="J1014" s="76">
        <f ca="1">EFEITO!$J$1014*EFEITO!$Y$1014</f>
        <v>981212.95278651617</v>
      </c>
      <c r="K1014" s="76">
        <f>EFEITO!$L$1014*EFEITO!$Z$1014</f>
        <v>0</v>
      </c>
      <c r="L1014" s="76">
        <f>EFEITO!$N$1014*EFEITO!$AA$1014</f>
        <v>0</v>
      </c>
      <c r="M1014" s="76">
        <f ca="1">$J$1014-EFEITO!$K$1014*EFEITO!$Y$1014</f>
        <v>0</v>
      </c>
      <c r="N1014" s="76">
        <f>$K$1014-EFEITO!$M$1014*EFEITO!$Z$1014</f>
        <v>0</v>
      </c>
      <c r="O1014" s="76">
        <f>$L$1014-EFEITO!$O$1014*EFEITO!$AA$1014</f>
        <v>0</v>
      </c>
      <c r="P1014" s="18"/>
      <c r="Q1014" s="18"/>
      <c r="R1014" s="18"/>
      <c r="S1014" s="18"/>
      <c r="T1014" s="18"/>
      <c r="U1014" s="18"/>
      <c r="V1014" s="18"/>
      <c r="W1014" s="18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62" t="s">
        <v>28</v>
      </c>
      <c r="B1015" s="62" t="s">
        <v>41</v>
      </c>
      <c r="C1015" s="62" t="s">
        <v>42</v>
      </c>
      <c r="D1015" s="62" t="s">
        <v>38</v>
      </c>
      <c r="E1015" s="62" t="s">
        <v>25</v>
      </c>
      <c r="F1015" s="62" t="s">
        <v>25</v>
      </c>
      <c r="G1015" s="62" t="s">
        <v>25</v>
      </c>
      <c r="H1015" s="62" t="s">
        <v>25</v>
      </c>
      <c r="I1015" s="75">
        <v>44440</v>
      </c>
      <c r="J1015" s="76">
        <f ca="1">EFEITO!$J$1015*EFEITO!$Y$1015</f>
        <v>175898.88064107214</v>
      </c>
      <c r="K1015" s="76">
        <f>EFEITO!$L$1015*EFEITO!$Z$1015</f>
        <v>0</v>
      </c>
      <c r="L1015" s="76">
        <f>EFEITO!$N$1015*EFEITO!$AA$1015</f>
        <v>0</v>
      </c>
      <c r="M1015" s="76">
        <f ca="1">$J$1015-EFEITO!$K$1015*EFEITO!$Y$1015</f>
        <v>0</v>
      </c>
      <c r="N1015" s="76">
        <f>$K$1015-EFEITO!$M$1015*EFEITO!$Z$1015</f>
        <v>0</v>
      </c>
      <c r="O1015" s="76">
        <f>$L$1015-EFEITO!$O$1015*EFEITO!$AA$1015</f>
        <v>0</v>
      </c>
      <c r="P1015" s="18"/>
      <c r="Q1015" s="18"/>
      <c r="R1015" s="18"/>
      <c r="S1015" s="18"/>
      <c r="T1015" s="18"/>
      <c r="U1015" s="18"/>
      <c r="V1015" s="18"/>
      <c r="W1015" s="18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62" t="s">
        <v>21</v>
      </c>
      <c r="B1016" s="62" t="s">
        <v>41</v>
      </c>
      <c r="C1016" s="62" t="s">
        <v>42</v>
      </c>
      <c r="D1016" s="62" t="s">
        <v>38</v>
      </c>
      <c r="E1016" s="62" t="s">
        <v>25</v>
      </c>
      <c r="F1016" s="62" t="s">
        <v>25</v>
      </c>
      <c r="G1016" s="62" t="s">
        <v>25</v>
      </c>
      <c r="H1016" s="62" t="s">
        <v>25</v>
      </c>
      <c r="I1016" s="75">
        <v>44470</v>
      </c>
      <c r="J1016" s="76">
        <f ca="1">EFEITO!$J$1016*EFEITO!$Y$1016</f>
        <v>948369.75277525536</v>
      </c>
      <c r="K1016" s="76">
        <f>EFEITO!$L$1016*EFEITO!$Z$1016</f>
        <v>0</v>
      </c>
      <c r="L1016" s="76">
        <f>EFEITO!$N$1016*EFEITO!$AA$1016</f>
        <v>0</v>
      </c>
      <c r="M1016" s="76">
        <f ca="1">$J$1016-EFEITO!$K$1016*EFEITO!$Y$1016</f>
        <v>0</v>
      </c>
      <c r="N1016" s="76">
        <f>$K$1016-EFEITO!$M$1016*EFEITO!$Z$1016</f>
        <v>0</v>
      </c>
      <c r="O1016" s="76">
        <f>$L$1016-EFEITO!$O$1016*EFEITO!$AA$1016</f>
        <v>0</v>
      </c>
      <c r="P1016" s="18"/>
      <c r="Q1016" s="18"/>
      <c r="R1016" s="18"/>
      <c r="S1016" s="18"/>
      <c r="T1016" s="18"/>
      <c r="U1016" s="18"/>
      <c r="V1016" s="18"/>
      <c r="W1016" s="18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62" t="s">
        <v>28</v>
      </c>
      <c r="B1017" s="62" t="s">
        <v>41</v>
      </c>
      <c r="C1017" s="62" t="s">
        <v>42</v>
      </c>
      <c r="D1017" s="62" t="s">
        <v>38</v>
      </c>
      <c r="E1017" s="62" t="s">
        <v>25</v>
      </c>
      <c r="F1017" s="62" t="s">
        <v>25</v>
      </c>
      <c r="G1017" s="62" t="s">
        <v>25</v>
      </c>
      <c r="H1017" s="62" t="s">
        <v>25</v>
      </c>
      <c r="I1017" s="75">
        <v>44470</v>
      </c>
      <c r="J1017" s="76">
        <f ca="1">EFEITO!$J$1017*EFEITO!$Y$1017</f>
        <v>177955.30605012568</v>
      </c>
      <c r="K1017" s="76">
        <f>EFEITO!$L$1017*EFEITO!$Z$1017</f>
        <v>0</v>
      </c>
      <c r="L1017" s="76">
        <f>EFEITO!$N$1017*EFEITO!$AA$1017</f>
        <v>0</v>
      </c>
      <c r="M1017" s="76">
        <f ca="1">$J$1017-EFEITO!$K$1017*EFEITO!$Y$1017</f>
        <v>0</v>
      </c>
      <c r="N1017" s="76">
        <f>$K$1017-EFEITO!$M$1017*EFEITO!$Z$1017</f>
        <v>0</v>
      </c>
      <c r="O1017" s="76">
        <f>$L$1017-EFEITO!$O$1017*EFEITO!$AA$1017</f>
        <v>0</v>
      </c>
      <c r="P1017" s="18"/>
      <c r="Q1017" s="18"/>
      <c r="R1017" s="18"/>
      <c r="S1017" s="18"/>
      <c r="T1017" s="18"/>
      <c r="U1017" s="18"/>
      <c r="V1017" s="18"/>
      <c r="W1017" s="18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62" t="s">
        <v>21</v>
      </c>
      <c r="B1018" s="62" t="s">
        <v>41</v>
      </c>
      <c r="C1018" s="62" t="s">
        <v>42</v>
      </c>
      <c r="D1018" s="62" t="s">
        <v>38</v>
      </c>
      <c r="E1018" s="62" t="s">
        <v>25</v>
      </c>
      <c r="F1018" s="62" t="s">
        <v>25</v>
      </c>
      <c r="G1018" s="62" t="s">
        <v>25</v>
      </c>
      <c r="H1018" s="62" t="s">
        <v>25</v>
      </c>
      <c r="I1018" s="75">
        <v>44501</v>
      </c>
      <c r="J1018" s="76">
        <f ca="1">EFEITO!$J$1018*EFEITO!$Y$1018</f>
        <v>931232.87436647585</v>
      </c>
      <c r="K1018" s="76">
        <f>EFEITO!$L$1018*EFEITO!$Z$1018</f>
        <v>0</v>
      </c>
      <c r="L1018" s="76">
        <f>EFEITO!$N$1018*EFEITO!$AA$1018</f>
        <v>0</v>
      </c>
      <c r="M1018" s="76">
        <f ca="1">$J$1018-EFEITO!$K$1018*EFEITO!$Y$1018</f>
        <v>0</v>
      </c>
      <c r="N1018" s="76">
        <f>$K$1018-EFEITO!$M$1018*EFEITO!$Z$1018</f>
        <v>0</v>
      </c>
      <c r="O1018" s="76">
        <f>$L$1018-EFEITO!$O$1018*EFEITO!$AA$1018</f>
        <v>0</v>
      </c>
      <c r="P1018" s="18"/>
      <c r="Q1018" s="18"/>
      <c r="R1018" s="18"/>
      <c r="S1018" s="18"/>
      <c r="T1018" s="18"/>
      <c r="U1018" s="18"/>
      <c r="V1018" s="18"/>
      <c r="W1018" s="18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62" t="s">
        <v>27</v>
      </c>
      <c r="B1019" s="62" t="s">
        <v>41</v>
      </c>
      <c r="C1019" s="62" t="s">
        <v>42</v>
      </c>
      <c r="D1019" s="62" t="s">
        <v>38</v>
      </c>
      <c r="E1019" s="62" t="s">
        <v>25</v>
      </c>
      <c r="F1019" s="62" t="s">
        <v>25</v>
      </c>
      <c r="G1019" s="62" t="s">
        <v>25</v>
      </c>
      <c r="H1019" s="62" t="s">
        <v>25</v>
      </c>
      <c r="I1019" s="75">
        <v>44501</v>
      </c>
      <c r="J1019" s="76">
        <f ca="1">EFEITO!$J$1019*EFEITO!$Y$1019</f>
        <v>-2533.2776778195753</v>
      </c>
      <c r="K1019" s="76">
        <f>EFEITO!$L$1019*EFEITO!$Z$1019</f>
        <v>0</v>
      </c>
      <c r="L1019" s="76">
        <f>EFEITO!$N$1019*EFEITO!$AA$1019</f>
        <v>0</v>
      </c>
      <c r="M1019" s="76">
        <f ca="1">$J$1019-EFEITO!$K$1019*EFEITO!$Y$1019</f>
        <v>0</v>
      </c>
      <c r="N1019" s="76">
        <f>$K$1019-EFEITO!$M$1019*EFEITO!$Z$1019</f>
        <v>0</v>
      </c>
      <c r="O1019" s="76">
        <f>$L$1019-EFEITO!$O$1019*EFEITO!$AA$1019</f>
        <v>0</v>
      </c>
      <c r="P1019" s="18"/>
      <c r="Q1019" s="18"/>
      <c r="R1019" s="18"/>
      <c r="S1019" s="18"/>
      <c r="T1019" s="18"/>
      <c r="U1019" s="18"/>
      <c r="V1019" s="18"/>
      <c r="W1019" s="18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62" t="s">
        <v>28</v>
      </c>
      <c r="B1020" s="62" t="s">
        <v>41</v>
      </c>
      <c r="C1020" s="62" t="s">
        <v>42</v>
      </c>
      <c r="D1020" s="62" t="s">
        <v>38</v>
      </c>
      <c r="E1020" s="62" t="s">
        <v>25</v>
      </c>
      <c r="F1020" s="62" t="s">
        <v>25</v>
      </c>
      <c r="G1020" s="62" t="s">
        <v>25</v>
      </c>
      <c r="H1020" s="62" t="s">
        <v>25</v>
      </c>
      <c r="I1020" s="75">
        <v>44501</v>
      </c>
      <c r="J1020" s="76">
        <f ca="1">EFEITO!$J$1020*EFEITO!$Y$1020</f>
        <v>186628.05668830802</v>
      </c>
      <c r="K1020" s="76">
        <f>EFEITO!$L$1020*EFEITO!$Z$1020</f>
        <v>0</v>
      </c>
      <c r="L1020" s="76">
        <f>EFEITO!$N$1020*EFEITO!$AA$1020</f>
        <v>0</v>
      </c>
      <c r="M1020" s="76">
        <f ca="1">$J$1020-EFEITO!$K$1020*EFEITO!$Y$1020</f>
        <v>0</v>
      </c>
      <c r="N1020" s="76">
        <f>$K$1020-EFEITO!$M$1020*EFEITO!$Z$1020</f>
        <v>0</v>
      </c>
      <c r="O1020" s="76">
        <f>$L$1020-EFEITO!$O$1020*EFEITO!$AA$1020</f>
        <v>0</v>
      </c>
      <c r="P1020" s="18"/>
      <c r="Q1020" s="18"/>
      <c r="R1020" s="18"/>
      <c r="S1020" s="18"/>
      <c r="T1020" s="18"/>
      <c r="U1020" s="18"/>
      <c r="V1020" s="18"/>
      <c r="W1020" s="18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62" t="s">
        <v>21</v>
      </c>
      <c r="B1021" s="62" t="s">
        <v>41</v>
      </c>
      <c r="C1021" s="62" t="s">
        <v>42</v>
      </c>
      <c r="D1021" s="62" t="s">
        <v>38</v>
      </c>
      <c r="E1021" s="62" t="s">
        <v>25</v>
      </c>
      <c r="F1021" s="62" t="s">
        <v>25</v>
      </c>
      <c r="G1021" s="62" t="s">
        <v>25</v>
      </c>
      <c r="H1021" s="62" t="s">
        <v>25</v>
      </c>
      <c r="I1021" s="75">
        <v>44531</v>
      </c>
      <c r="J1021" s="76">
        <f ca="1">EFEITO!$J$1021*EFEITO!$Y$1021</f>
        <v>929325.46529141173</v>
      </c>
      <c r="K1021" s="76">
        <f>EFEITO!$L$1021*EFEITO!$Z$1021</f>
        <v>0</v>
      </c>
      <c r="L1021" s="76">
        <f>EFEITO!$N$1021*EFEITO!$AA$1021</f>
        <v>0</v>
      </c>
      <c r="M1021" s="76">
        <f ca="1">$J$1021-EFEITO!$K$1021*EFEITO!$Y$1021</f>
        <v>0</v>
      </c>
      <c r="N1021" s="76">
        <f>$K$1021-EFEITO!$M$1021*EFEITO!$Z$1021</f>
        <v>0</v>
      </c>
      <c r="O1021" s="76">
        <f>$L$1021-EFEITO!$O$1021*EFEITO!$AA$1021</f>
        <v>0</v>
      </c>
      <c r="P1021" s="18"/>
      <c r="Q1021" s="18"/>
      <c r="R1021" s="18"/>
      <c r="S1021" s="18"/>
      <c r="T1021" s="18"/>
      <c r="U1021" s="18"/>
      <c r="V1021" s="18"/>
      <c r="W1021" s="18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62" t="s">
        <v>28</v>
      </c>
      <c r="B1022" s="62" t="s">
        <v>41</v>
      </c>
      <c r="C1022" s="62" t="s">
        <v>42</v>
      </c>
      <c r="D1022" s="62" t="s">
        <v>38</v>
      </c>
      <c r="E1022" s="62" t="s">
        <v>25</v>
      </c>
      <c r="F1022" s="62" t="s">
        <v>25</v>
      </c>
      <c r="G1022" s="62" t="s">
        <v>25</v>
      </c>
      <c r="H1022" s="62" t="s">
        <v>25</v>
      </c>
      <c r="I1022" s="75">
        <v>44531</v>
      </c>
      <c r="J1022" s="76">
        <f ca="1">EFEITO!$J$1022*EFEITO!$Y$1022</f>
        <v>188624.87556376579</v>
      </c>
      <c r="K1022" s="76">
        <f>EFEITO!$L$1022*EFEITO!$Z$1022</f>
        <v>0</v>
      </c>
      <c r="L1022" s="76">
        <f>EFEITO!$N$1022*EFEITO!$AA$1022</f>
        <v>0</v>
      </c>
      <c r="M1022" s="76">
        <f ca="1">$J$1022-EFEITO!$K$1022*EFEITO!$Y$1022</f>
        <v>0</v>
      </c>
      <c r="N1022" s="76">
        <f>$K$1022-EFEITO!$M$1022*EFEITO!$Z$1022</f>
        <v>0</v>
      </c>
      <c r="O1022" s="76">
        <f>$L$1022-EFEITO!$O$1022*EFEITO!$AA$1022</f>
        <v>0</v>
      </c>
      <c r="P1022" s="18"/>
      <c r="Q1022" s="18"/>
      <c r="R1022" s="18"/>
      <c r="S1022" s="18"/>
      <c r="T1022" s="18"/>
      <c r="U1022" s="18"/>
      <c r="V1022" s="18"/>
      <c r="W1022" s="18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62" t="s">
        <v>21</v>
      </c>
      <c r="B1023" s="62" t="s">
        <v>41</v>
      </c>
      <c r="C1023" s="62" t="s">
        <v>42</v>
      </c>
      <c r="D1023" s="62" t="s">
        <v>38</v>
      </c>
      <c r="E1023" s="62" t="s">
        <v>25</v>
      </c>
      <c r="F1023" s="62" t="s">
        <v>25</v>
      </c>
      <c r="G1023" s="62" t="s">
        <v>25</v>
      </c>
      <c r="H1023" s="62" t="s">
        <v>25</v>
      </c>
      <c r="I1023" s="75">
        <v>44562</v>
      </c>
      <c r="J1023" s="76">
        <f ca="1">EFEITO!$J$1023*EFEITO!$Y$1023</f>
        <v>920503.69831924001</v>
      </c>
      <c r="K1023" s="76">
        <f>EFEITO!$L$1023*EFEITO!$Z$1023</f>
        <v>0</v>
      </c>
      <c r="L1023" s="76">
        <f>EFEITO!$N$1023*EFEITO!$AA$1023</f>
        <v>0</v>
      </c>
      <c r="M1023" s="76">
        <f ca="1">$J$1023-EFEITO!$K$1023*EFEITO!$Y$1023</f>
        <v>0</v>
      </c>
      <c r="N1023" s="76">
        <f>$K$1023-EFEITO!$M$1023*EFEITO!$Z$1023</f>
        <v>0</v>
      </c>
      <c r="O1023" s="76">
        <f>$L$1023-EFEITO!$O$1023*EFEITO!$AA$1023</f>
        <v>0</v>
      </c>
      <c r="P1023" s="18"/>
      <c r="Q1023" s="18"/>
      <c r="R1023" s="18"/>
      <c r="S1023" s="18"/>
      <c r="T1023" s="18"/>
      <c r="U1023" s="18"/>
      <c r="V1023" s="18"/>
      <c r="W1023" s="18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62" t="s">
        <v>28</v>
      </c>
      <c r="B1024" s="62" t="s">
        <v>41</v>
      </c>
      <c r="C1024" s="62" t="s">
        <v>42</v>
      </c>
      <c r="D1024" s="62" t="s">
        <v>38</v>
      </c>
      <c r="E1024" s="62" t="s">
        <v>25</v>
      </c>
      <c r="F1024" s="62" t="s">
        <v>25</v>
      </c>
      <c r="G1024" s="62" t="s">
        <v>25</v>
      </c>
      <c r="H1024" s="62" t="s">
        <v>25</v>
      </c>
      <c r="I1024" s="75">
        <v>44562</v>
      </c>
      <c r="J1024" s="76">
        <f ca="1">EFEITO!$J$1024*EFEITO!$Y$1024</f>
        <v>264056.94382919336</v>
      </c>
      <c r="K1024" s="76">
        <f>EFEITO!$L$1024*EFEITO!$Z$1024</f>
        <v>0</v>
      </c>
      <c r="L1024" s="76">
        <f>EFEITO!$N$1024*EFEITO!$AA$1024</f>
        <v>0</v>
      </c>
      <c r="M1024" s="76">
        <f ca="1">$J$1024-EFEITO!$K$1024*EFEITO!$Y$1024</f>
        <v>0</v>
      </c>
      <c r="N1024" s="76">
        <f>$K$1024-EFEITO!$M$1024*EFEITO!$Z$1024</f>
        <v>0</v>
      </c>
      <c r="O1024" s="76">
        <f>$L$1024-EFEITO!$O$1024*EFEITO!$AA$1024</f>
        <v>0</v>
      </c>
      <c r="P1024" s="18"/>
      <c r="Q1024" s="18"/>
      <c r="R1024" s="18"/>
      <c r="S1024" s="18"/>
      <c r="T1024" s="18"/>
      <c r="U1024" s="18"/>
      <c r="V1024" s="18"/>
      <c r="W1024" s="18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62" t="s">
        <v>21</v>
      </c>
      <c r="B1025" s="62" t="s">
        <v>41</v>
      </c>
      <c r="C1025" s="62" t="s">
        <v>42</v>
      </c>
      <c r="D1025" s="62" t="s">
        <v>38</v>
      </c>
      <c r="E1025" s="62" t="s">
        <v>25</v>
      </c>
      <c r="F1025" s="62" t="s">
        <v>25</v>
      </c>
      <c r="G1025" s="62" t="s">
        <v>25</v>
      </c>
      <c r="H1025" s="62" t="s">
        <v>25</v>
      </c>
      <c r="I1025" s="75">
        <v>44593</v>
      </c>
      <c r="J1025" s="76">
        <f ca="1">EFEITO!$J$1025*EFEITO!$Y$1025</f>
        <v>884709.97489498928</v>
      </c>
      <c r="K1025" s="76">
        <f>EFEITO!$L$1025*EFEITO!$Z$1025</f>
        <v>0</v>
      </c>
      <c r="L1025" s="76">
        <f>EFEITO!$N$1025*EFEITO!$AA$1025</f>
        <v>0</v>
      </c>
      <c r="M1025" s="76">
        <f ca="1">$J$1025-EFEITO!$K$1025*EFEITO!$Y$1025</f>
        <v>0</v>
      </c>
      <c r="N1025" s="76">
        <f>$K$1025-EFEITO!$M$1025*EFEITO!$Z$1025</f>
        <v>0</v>
      </c>
      <c r="O1025" s="76">
        <f>$L$1025-EFEITO!$O$1025*EFEITO!$AA$1025</f>
        <v>0</v>
      </c>
      <c r="P1025" s="18"/>
      <c r="Q1025" s="18"/>
      <c r="R1025" s="18"/>
      <c r="S1025" s="18"/>
      <c r="T1025" s="18"/>
      <c r="U1025" s="18"/>
      <c r="V1025" s="18"/>
      <c r="W1025" s="18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62" t="s">
        <v>28</v>
      </c>
      <c r="B1026" s="62" t="s">
        <v>41</v>
      </c>
      <c r="C1026" s="62" t="s">
        <v>42</v>
      </c>
      <c r="D1026" s="62" t="s">
        <v>38</v>
      </c>
      <c r="E1026" s="62" t="s">
        <v>25</v>
      </c>
      <c r="F1026" s="62" t="s">
        <v>25</v>
      </c>
      <c r="G1026" s="62" t="s">
        <v>25</v>
      </c>
      <c r="H1026" s="62" t="s">
        <v>25</v>
      </c>
      <c r="I1026" s="75">
        <v>44593</v>
      </c>
      <c r="J1026" s="76">
        <f ca="1">EFEITO!$J$1026*EFEITO!$Y$1026</f>
        <v>277647.23348902544</v>
      </c>
      <c r="K1026" s="76">
        <f>EFEITO!$L$1026*EFEITO!$Z$1026</f>
        <v>0</v>
      </c>
      <c r="L1026" s="76">
        <f>EFEITO!$N$1026*EFEITO!$AA$1026</f>
        <v>0</v>
      </c>
      <c r="M1026" s="76">
        <f ca="1">$J$1026-EFEITO!$K$1026*EFEITO!$Y$1026</f>
        <v>0</v>
      </c>
      <c r="N1026" s="76">
        <f>$K$1026-EFEITO!$M$1026*EFEITO!$Z$1026</f>
        <v>0</v>
      </c>
      <c r="O1026" s="76">
        <f>$L$1026-EFEITO!$O$1026*EFEITO!$AA$1026</f>
        <v>0</v>
      </c>
      <c r="P1026" s="18"/>
      <c r="Q1026" s="18"/>
      <c r="R1026" s="18"/>
      <c r="S1026" s="18"/>
      <c r="T1026" s="18"/>
      <c r="U1026" s="18"/>
      <c r="V1026" s="18"/>
      <c r="W1026" s="18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62" t="s">
        <v>21</v>
      </c>
      <c r="B1027" s="62" t="s">
        <v>41</v>
      </c>
      <c r="C1027" s="62" t="s">
        <v>42</v>
      </c>
      <c r="D1027" s="62" t="s">
        <v>38</v>
      </c>
      <c r="E1027" s="62" t="s">
        <v>25</v>
      </c>
      <c r="F1027" s="62" t="s">
        <v>25</v>
      </c>
      <c r="G1027" s="62" t="s">
        <v>25</v>
      </c>
      <c r="H1027" s="62" t="s">
        <v>25</v>
      </c>
      <c r="I1027" s="75">
        <v>44621</v>
      </c>
      <c r="J1027" s="76">
        <f ca="1">EFEITO!$J$1027*EFEITO!$Y$1027</f>
        <v>871566.73423712538</v>
      </c>
      <c r="K1027" s="76">
        <f>EFEITO!$L$1027*EFEITO!$Z$1027</f>
        <v>0</v>
      </c>
      <c r="L1027" s="76">
        <f>EFEITO!$N$1027*EFEITO!$AA$1027</f>
        <v>0</v>
      </c>
      <c r="M1027" s="76">
        <f ca="1">$J$1027-EFEITO!$K$1027*EFEITO!$Y$1027</f>
        <v>0</v>
      </c>
      <c r="N1027" s="76">
        <f>$K$1027-EFEITO!$M$1027*EFEITO!$Z$1027</f>
        <v>0</v>
      </c>
      <c r="O1027" s="76">
        <f>$L$1027-EFEITO!$O$1027*EFEITO!$AA$1027</f>
        <v>0</v>
      </c>
      <c r="P1027" s="18"/>
      <c r="Q1027" s="18"/>
      <c r="R1027" s="18"/>
      <c r="S1027" s="18"/>
      <c r="T1027" s="18"/>
      <c r="U1027" s="18"/>
      <c r="V1027" s="18"/>
      <c r="W1027" s="18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62" t="s">
        <v>28</v>
      </c>
      <c r="B1028" s="62" t="s">
        <v>41</v>
      </c>
      <c r="C1028" s="62" t="s">
        <v>42</v>
      </c>
      <c r="D1028" s="62" t="s">
        <v>38</v>
      </c>
      <c r="E1028" s="62" t="s">
        <v>25</v>
      </c>
      <c r="F1028" s="62" t="s">
        <v>25</v>
      </c>
      <c r="G1028" s="62" t="s">
        <v>25</v>
      </c>
      <c r="H1028" s="62" t="s">
        <v>25</v>
      </c>
      <c r="I1028" s="75">
        <v>44621</v>
      </c>
      <c r="J1028" s="76">
        <f ca="1">EFEITO!$J$1028*EFEITO!$Y$1028</f>
        <v>272848.90753456717</v>
      </c>
      <c r="K1028" s="76">
        <f>EFEITO!$L$1028*EFEITO!$Z$1028</f>
        <v>0</v>
      </c>
      <c r="L1028" s="76">
        <f>EFEITO!$N$1028*EFEITO!$AA$1028</f>
        <v>0</v>
      </c>
      <c r="M1028" s="76">
        <f ca="1">$J$1028-EFEITO!$K$1028*EFEITO!$Y$1028</f>
        <v>0</v>
      </c>
      <c r="N1028" s="76">
        <f>$K$1028-EFEITO!$M$1028*EFEITO!$Z$1028</f>
        <v>0</v>
      </c>
      <c r="O1028" s="76">
        <f>$L$1028-EFEITO!$O$1028*EFEITO!$AA$1028</f>
        <v>0</v>
      </c>
      <c r="P1028" s="18"/>
      <c r="Q1028" s="18"/>
      <c r="R1028" s="18"/>
      <c r="S1028" s="18"/>
      <c r="T1028" s="18"/>
      <c r="U1028" s="18"/>
      <c r="V1028" s="18"/>
      <c r="W1028" s="18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62" t="s">
        <v>21</v>
      </c>
      <c r="B1029" s="62" t="s">
        <v>41</v>
      </c>
      <c r="C1029" s="62" t="s">
        <v>42</v>
      </c>
      <c r="D1029" s="62" t="s">
        <v>38</v>
      </c>
      <c r="E1029" s="62" t="s">
        <v>25</v>
      </c>
      <c r="F1029" s="62" t="s">
        <v>25</v>
      </c>
      <c r="G1029" s="62" t="s">
        <v>25</v>
      </c>
      <c r="H1029" s="62" t="s">
        <v>25</v>
      </c>
      <c r="I1029" s="75">
        <v>44652</v>
      </c>
      <c r="J1029" s="76">
        <f ca="1">EFEITO!$J$1029*EFEITO!$Y$1029</f>
        <v>867126.04748424166</v>
      </c>
      <c r="K1029" s="76">
        <f>EFEITO!$L$1029*EFEITO!$Z$1029</f>
        <v>0</v>
      </c>
      <c r="L1029" s="76">
        <f>EFEITO!$N$1029*EFEITO!$AA$1029</f>
        <v>0</v>
      </c>
      <c r="M1029" s="76">
        <f ca="1">$J$1029-EFEITO!$K$1029*EFEITO!$Y$1029</f>
        <v>0</v>
      </c>
      <c r="N1029" s="76">
        <f>$K$1029-EFEITO!$M$1029*EFEITO!$Z$1029</f>
        <v>0</v>
      </c>
      <c r="O1029" s="76">
        <f>$L$1029-EFEITO!$O$1029*EFEITO!$AA$1029</f>
        <v>0</v>
      </c>
      <c r="P1029" s="18"/>
      <c r="Q1029" s="18"/>
      <c r="R1029" s="18"/>
      <c r="S1029" s="18"/>
      <c r="T1029" s="18"/>
      <c r="U1029" s="18"/>
      <c r="V1029" s="18"/>
      <c r="W1029" s="18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62" t="s">
        <v>27</v>
      </c>
      <c r="B1030" s="62" t="s">
        <v>41</v>
      </c>
      <c r="C1030" s="62" t="s">
        <v>42</v>
      </c>
      <c r="D1030" s="62" t="s">
        <v>38</v>
      </c>
      <c r="E1030" s="62" t="s">
        <v>25</v>
      </c>
      <c r="F1030" s="62" t="s">
        <v>25</v>
      </c>
      <c r="G1030" s="62" t="s">
        <v>25</v>
      </c>
      <c r="H1030" s="62" t="s">
        <v>25</v>
      </c>
      <c r="I1030" s="75">
        <v>44652</v>
      </c>
      <c r="J1030" s="76">
        <f ca="1">EFEITO!$J$1030*EFEITO!$Y$1030</f>
        <v>29.803266797877356</v>
      </c>
      <c r="K1030" s="76">
        <f>EFEITO!$L$1030*EFEITO!$Z$1030</f>
        <v>0</v>
      </c>
      <c r="L1030" s="76">
        <f>EFEITO!$N$1030*EFEITO!$AA$1030</f>
        <v>0</v>
      </c>
      <c r="M1030" s="76">
        <f ca="1">$J$1030-EFEITO!$K$1030*EFEITO!$Y$1030</f>
        <v>0</v>
      </c>
      <c r="N1030" s="76">
        <f>$K$1030-EFEITO!$M$1030*EFEITO!$Z$1030</f>
        <v>0</v>
      </c>
      <c r="O1030" s="76">
        <f>$L$1030-EFEITO!$O$1030*EFEITO!$AA$1030</f>
        <v>0</v>
      </c>
      <c r="P1030" s="18"/>
      <c r="Q1030" s="18"/>
      <c r="R1030" s="18"/>
      <c r="S1030" s="18"/>
      <c r="T1030" s="18"/>
      <c r="U1030" s="18"/>
      <c r="V1030" s="18"/>
      <c r="W1030" s="18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62" t="s">
        <v>28</v>
      </c>
      <c r="B1031" s="62" t="s">
        <v>41</v>
      </c>
      <c r="C1031" s="62" t="s">
        <v>42</v>
      </c>
      <c r="D1031" s="62" t="s">
        <v>38</v>
      </c>
      <c r="E1031" s="62" t="s">
        <v>25</v>
      </c>
      <c r="F1031" s="62" t="s">
        <v>25</v>
      </c>
      <c r="G1031" s="62" t="s">
        <v>25</v>
      </c>
      <c r="H1031" s="62" t="s">
        <v>25</v>
      </c>
      <c r="I1031" s="75">
        <v>44652</v>
      </c>
      <c r="J1031" s="76">
        <f ca="1">EFEITO!$J$1031*EFEITO!$Y$1031</f>
        <v>339608.22516181244</v>
      </c>
      <c r="K1031" s="76">
        <f>EFEITO!$L$1031*EFEITO!$Z$1031</f>
        <v>0</v>
      </c>
      <c r="L1031" s="76">
        <f>EFEITO!$N$1031*EFEITO!$AA$1031</f>
        <v>0</v>
      </c>
      <c r="M1031" s="76">
        <f ca="1">$J$1031-EFEITO!$K$1031*EFEITO!$Y$1031</f>
        <v>0</v>
      </c>
      <c r="N1031" s="76">
        <f>$K$1031-EFEITO!$M$1031*EFEITO!$Z$1031</f>
        <v>0</v>
      </c>
      <c r="O1031" s="76">
        <f>$L$1031-EFEITO!$O$1031*EFEITO!$AA$1031</f>
        <v>0</v>
      </c>
      <c r="P1031" s="18"/>
      <c r="Q1031" s="18"/>
      <c r="R1031" s="18"/>
      <c r="S1031" s="18"/>
      <c r="T1031" s="18"/>
      <c r="U1031" s="18"/>
      <c r="V1031" s="18"/>
      <c r="W1031" s="18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62" t="s">
        <v>58</v>
      </c>
      <c r="B1032" s="62" t="s">
        <v>41</v>
      </c>
      <c r="C1032" s="62" t="s">
        <v>42</v>
      </c>
      <c r="D1032" s="62" t="s">
        <v>38</v>
      </c>
      <c r="E1032" s="62" t="s">
        <v>25</v>
      </c>
      <c r="F1032" s="62" t="s">
        <v>25</v>
      </c>
      <c r="G1032" s="62" t="s">
        <v>25</v>
      </c>
      <c r="H1032" s="62" t="s">
        <v>25</v>
      </c>
      <c r="I1032" s="75">
        <v>44682</v>
      </c>
      <c r="J1032" s="76">
        <f ca="1">EFEITO!$J$1032*EFEITO!$Y$1032</f>
        <v>867126.04748424166</v>
      </c>
      <c r="K1032" s="76">
        <f>EFEITO!$L$1032*EFEITO!$Z$1032</f>
        <v>0</v>
      </c>
      <c r="L1032" s="76">
        <f>EFEITO!$N$1032*EFEITO!$AA$1032</f>
        <v>0</v>
      </c>
      <c r="M1032" s="76">
        <f ca="1">$J$1032-EFEITO!$K$1032*EFEITO!$Y$1032</f>
        <v>0</v>
      </c>
      <c r="N1032" s="76">
        <f>$K$1032-EFEITO!$M$1032*EFEITO!$Z$1032</f>
        <v>0</v>
      </c>
      <c r="O1032" s="76">
        <f>$L$1032-EFEITO!$O$1032*EFEITO!$AA$1032</f>
        <v>0</v>
      </c>
      <c r="P1032" s="18"/>
      <c r="Q1032" s="18"/>
      <c r="R1032" s="18"/>
      <c r="S1032" s="18"/>
      <c r="T1032" s="18"/>
      <c r="U1032" s="18"/>
      <c r="V1032" s="18"/>
      <c r="W1032" s="18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62" t="s">
        <v>58</v>
      </c>
      <c r="B1033" s="62" t="s">
        <v>41</v>
      </c>
      <c r="C1033" s="62" t="s">
        <v>42</v>
      </c>
      <c r="D1033" s="62" t="s">
        <v>38</v>
      </c>
      <c r="E1033" s="62" t="s">
        <v>25</v>
      </c>
      <c r="F1033" s="62" t="s">
        <v>25</v>
      </c>
      <c r="G1033" s="62" t="s">
        <v>25</v>
      </c>
      <c r="H1033" s="62" t="s">
        <v>25</v>
      </c>
      <c r="I1033" s="75">
        <v>44682</v>
      </c>
      <c r="J1033" s="76">
        <f ca="1">EFEITO!$J$1033*EFEITO!$Y$1033</f>
        <v>29.803266797877356</v>
      </c>
      <c r="K1033" s="76">
        <f>EFEITO!$L$1033*EFEITO!$Z$1033</f>
        <v>0</v>
      </c>
      <c r="L1033" s="76">
        <f>EFEITO!$N$1033*EFEITO!$AA$1033</f>
        <v>0</v>
      </c>
      <c r="M1033" s="76">
        <f ca="1">$J$1033-EFEITO!$K$1033*EFEITO!$Y$1033</f>
        <v>0</v>
      </c>
      <c r="N1033" s="76">
        <f>$K$1033-EFEITO!$M$1033*EFEITO!$Z$1033</f>
        <v>0</v>
      </c>
      <c r="O1033" s="76">
        <f>$L$1033-EFEITO!$O$1033*EFEITO!$AA$1033</f>
        <v>0</v>
      </c>
      <c r="P1033" s="18"/>
      <c r="Q1033" s="18"/>
      <c r="R1033" s="18"/>
      <c r="S1033" s="18"/>
      <c r="T1033" s="18"/>
      <c r="U1033" s="18"/>
      <c r="V1033" s="18"/>
      <c r="W1033" s="18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62" t="s">
        <v>58</v>
      </c>
      <c r="B1034" s="62" t="s">
        <v>41</v>
      </c>
      <c r="C1034" s="62" t="s">
        <v>42</v>
      </c>
      <c r="D1034" s="62" t="s">
        <v>38</v>
      </c>
      <c r="E1034" s="62" t="s">
        <v>25</v>
      </c>
      <c r="F1034" s="62" t="s">
        <v>25</v>
      </c>
      <c r="G1034" s="62" t="s">
        <v>25</v>
      </c>
      <c r="H1034" s="62" t="s">
        <v>25</v>
      </c>
      <c r="I1034" s="75">
        <v>44682</v>
      </c>
      <c r="J1034" s="76">
        <f ca="1">EFEITO!$J$1034*EFEITO!$Y$1034</f>
        <v>339608.22516181244</v>
      </c>
      <c r="K1034" s="76">
        <f>EFEITO!$L$1034*EFEITO!$Z$1034</f>
        <v>0</v>
      </c>
      <c r="L1034" s="76">
        <f>EFEITO!$N$1034*EFEITO!$AA$1034</f>
        <v>0</v>
      </c>
      <c r="M1034" s="76">
        <f ca="1">$J$1034-EFEITO!$K$1034*EFEITO!$Y$1034</f>
        <v>0</v>
      </c>
      <c r="N1034" s="76">
        <f>$K$1034-EFEITO!$M$1034*EFEITO!$Z$1034</f>
        <v>0</v>
      </c>
      <c r="O1034" s="76">
        <f>$L$1034-EFEITO!$O$1034*EFEITO!$AA$1034</f>
        <v>0</v>
      </c>
      <c r="P1034" s="18"/>
      <c r="Q1034" s="18"/>
      <c r="R1034" s="18"/>
      <c r="S1034" s="18"/>
      <c r="T1034" s="18"/>
      <c r="U1034" s="18"/>
      <c r="V1034" s="18"/>
      <c r="W1034" s="18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62" t="s">
        <v>21</v>
      </c>
      <c r="B1035" s="62" t="s">
        <v>41</v>
      </c>
      <c r="C1035" s="62" t="s">
        <v>42</v>
      </c>
      <c r="D1035" s="62" t="s">
        <v>38</v>
      </c>
      <c r="E1035" s="62" t="s">
        <v>25</v>
      </c>
      <c r="F1035" s="62" t="s">
        <v>25</v>
      </c>
      <c r="G1035" s="62" t="s">
        <v>25</v>
      </c>
      <c r="H1035" s="62" t="s">
        <v>34</v>
      </c>
      <c r="I1035" s="75">
        <v>44348</v>
      </c>
      <c r="J1035" s="76">
        <f>EFEITO!$J$1035*EFEITO!$Y$1035</f>
        <v>0</v>
      </c>
      <c r="K1035" s="76">
        <f ca="1">EFEITO!$L$1035*EFEITO!$Z$1035</f>
        <v>291985.47553744557</v>
      </c>
      <c r="L1035" s="76">
        <f>EFEITO!$N$1035*EFEITO!$AA$1035</f>
        <v>75600.621215393694</v>
      </c>
      <c r="M1035" s="76">
        <f>$J$1035-EFEITO!$K$1035*EFEITO!$Y$1035</f>
        <v>0</v>
      </c>
      <c r="N1035" s="76">
        <f ca="1">$K$1035-EFEITO!$M$1035*EFEITO!$Z$1035</f>
        <v>0</v>
      </c>
      <c r="O1035" s="76">
        <f>$L$1035-EFEITO!$O$1035*EFEITO!$AA$1035</f>
        <v>0</v>
      </c>
      <c r="P1035" s="18"/>
      <c r="Q1035" s="18"/>
      <c r="R1035" s="18"/>
      <c r="S1035" s="18"/>
      <c r="T1035" s="18"/>
      <c r="U1035" s="18"/>
      <c r="V1035" s="18"/>
      <c r="W1035" s="18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62" t="s">
        <v>27</v>
      </c>
      <c r="B1036" s="62" t="s">
        <v>41</v>
      </c>
      <c r="C1036" s="62" t="s">
        <v>42</v>
      </c>
      <c r="D1036" s="62" t="s">
        <v>38</v>
      </c>
      <c r="E1036" s="62" t="s">
        <v>25</v>
      </c>
      <c r="F1036" s="62" t="s">
        <v>25</v>
      </c>
      <c r="G1036" s="62" t="s">
        <v>25</v>
      </c>
      <c r="H1036" s="62" t="s">
        <v>34</v>
      </c>
      <c r="I1036" s="75">
        <v>44348</v>
      </c>
      <c r="J1036" s="76">
        <f>EFEITO!$J$1036*EFEITO!$Y$1036</f>
        <v>0</v>
      </c>
      <c r="K1036" s="76">
        <f ca="1">EFEITO!$L$1036*EFEITO!$Z$1036</f>
        <v>-3407.9615217699184</v>
      </c>
      <c r="L1036" s="76">
        <f>EFEITO!$N$1036*EFEITO!$AA$1036</f>
        <v>-882.38638463002167</v>
      </c>
      <c r="M1036" s="76">
        <f>$J$1036-EFEITO!$K$1036*EFEITO!$Y$1036</f>
        <v>0</v>
      </c>
      <c r="N1036" s="76">
        <f ca="1">$K$1036-EFEITO!$M$1036*EFEITO!$Z$1036</f>
        <v>0</v>
      </c>
      <c r="O1036" s="76">
        <f>$L$1036-EFEITO!$O$1036*EFEITO!$AA$1036</f>
        <v>0</v>
      </c>
      <c r="P1036" s="18"/>
      <c r="Q1036" s="18"/>
      <c r="R1036" s="18"/>
      <c r="S1036" s="18"/>
      <c r="T1036" s="18"/>
      <c r="U1036" s="18"/>
      <c r="V1036" s="18"/>
      <c r="W1036" s="18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62" t="s">
        <v>28</v>
      </c>
      <c r="B1037" s="62" t="s">
        <v>41</v>
      </c>
      <c r="C1037" s="62" t="s">
        <v>42</v>
      </c>
      <c r="D1037" s="62" t="s">
        <v>38</v>
      </c>
      <c r="E1037" s="62" t="s">
        <v>25</v>
      </c>
      <c r="F1037" s="62" t="s">
        <v>25</v>
      </c>
      <c r="G1037" s="62" t="s">
        <v>25</v>
      </c>
      <c r="H1037" s="62" t="s">
        <v>34</v>
      </c>
      <c r="I1037" s="75">
        <v>44348</v>
      </c>
      <c r="J1037" s="76">
        <f>EFEITO!$J$1037*EFEITO!$Y$1037</f>
        <v>0</v>
      </c>
      <c r="K1037" s="76">
        <f ca="1">EFEITO!$L$1037*EFEITO!$Z$1037</f>
        <v>23579.941858720187</v>
      </c>
      <c r="L1037" s="76">
        <f>EFEITO!$N$1037*EFEITO!$AA$1037</f>
        <v>6105.2977017464509</v>
      </c>
      <c r="M1037" s="76">
        <f>$J$1037-EFEITO!$K$1037*EFEITO!$Y$1037</f>
        <v>0</v>
      </c>
      <c r="N1037" s="76">
        <f ca="1">$K$1037-EFEITO!$M$1037*EFEITO!$Z$1037</f>
        <v>0</v>
      </c>
      <c r="O1037" s="76">
        <f>$L$1037-EFEITO!$O$1037*EFEITO!$AA$1037</f>
        <v>0</v>
      </c>
      <c r="P1037" s="18"/>
      <c r="Q1037" s="18"/>
      <c r="R1037" s="18"/>
      <c r="S1037" s="18"/>
      <c r="T1037" s="18"/>
      <c r="U1037" s="18"/>
      <c r="V1037" s="18"/>
      <c r="W1037" s="18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62" t="s">
        <v>21</v>
      </c>
      <c r="B1038" s="62" t="s">
        <v>41</v>
      </c>
      <c r="C1038" s="62" t="s">
        <v>42</v>
      </c>
      <c r="D1038" s="62" t="s">
        <v>38</v>
      </c>
      <c r="E1038" s="62" t="s">
        <v>25</v>
      </c>
      <c r="F1038" s="62" t="s">
        <v>25</v>
      </c>
      <c r="G1038" s="62" t="s">
        <v>25</v>
      </c>
      <c r="H1038" s="62" t="s">
        <v>34</v>
      </c>
      <c r="I1038" s="75">
        <v>44378</v>
      </c>
      <c r="J1038" s="76">
        <f>EFEITO!$J$1038*EFEITO!$Y$1038</f>
        <v>0</v>
      </c>
      <c r="K1038" s="76">
        <f ca="1">EFEITO!$L$1038*EFEITO!$Z$1038</f>
        <v>296815.71926656686</v>
      </c>
      <c r="L1038" s="76">
        <f>EFEITO!$N$1038*EFEITO!$AA$1038</f>
        <v>76851.263651875081</v>
      </c>
      <c r="M1038" s="76">
        <f>$J$1038-EFEITO!$K$1038*EFEITO!$Y$1038</f>
        <v>0</v>
      </c>
      <c r="N1038" s="76">
        <f ca="1">$K$1038-EFEITO!$M$1038*EFEITO!$Z$1038</f>
        <v>0</v>
      </c>
      <c r="O1038" s="76">
        <f>$L$1038-EFEITO!$O$1038*EFEITO!$AA$1038</f>
        <v>0</v>
      </c>
      <c r="P1038" s="18"/>
      <c r="Q1038" s="18"/>
      <c r="R1038" s="18"/>
      <c r="S1038" s="18"/>
      <c r="T1038" s="18"/>
      <c r="U1038" s="18"/>
      <c r="V1038" s="18"/>
      <c r="W1038" s="18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62" t="s">
        <v>27</v>
      </c>
      <c r="B1039" s="62" t="s">
        <v>41</v>
      </c>
      <c r="C1039" s="62" t="s">
        <v>42</v>
      </c>
      <c r="D1039" s="62" t="s">
        <v>38</v>
      </c>
      <c r="E1039" s="62" t="s">
        <v>25</v>
      </c>
      <c r="F1039" s="62" t="s">
        <v>25</v>
      </c>
      <c r="G1039" s="62" t="s">
        <v>25</v>
      </c>
      <c r="H1039" s="62" t="s">
        <v>34</v>
      </c>
      <c r="I1039" s="75">
        <v>44378</v>
      </c>
      <c r="J1039" s="76">
        <f>EFEITO!$J$1039*EFEITO!$Y$1039</f>
        <v>0</v>
      </c>
      <c r="K1039" s="76">
        <f ca="1">EFEITO!$L$1039*EFEITO!$Z$1039</f>
        <v>-2891.8424936174797</v>
      </c>
      <c r="L1039" s="76">
        <f>EFEITO!$N$1039*EFEITO!$AA$1039</f>
        <v>-748.75330210223808</v>
      </c>
      <c r="M1039" s="76">
        <f>$J$1039-EFEITO!$K$1039*EFEITO!$Y$1039</f>
        <v>0</v>
      </c>
      <c r="N1039" s="76">
        <f ca="1">$K$1039-EFEITO!$M$1039*EFEITO!$Z$1039</f>
        <v>0</v>
      </c>
      <c r="O1039" s="76">
        <f>$L$1039-EFEITO!$O$1039*EFEITO!$AA$1039</f>
        <v>0</v>
      </c>
      <c r="P1039" s="18"/>
      <c r="Q1039" s="18"/>
      <c r="R1039" s="18"/>
      <c r="S1039" s="18"/>
      <c r="T1039" s="18"/>
      <c r="U1039" s="18"/>
      <c r="V1039" s="18"/>
      <c r="W1039" s="18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62" t="s">
        <v>28</v>
      </c>
      <c r="B1040" s="62" t="s">
        <v>41</v>
      </c>
      <c r="C1040" s="62" t="s">
        <v>42</v>
      </c>
      <c r="D1040" s="62" t="s">
        <v>38</v>
      </c>
      <c r="E1040" s="62" t="s">
        <v>25</v>
      </c>
      <c r="F1040" s="62" t="s">
        <v>25</v>
      </c>
      <c r="G1040" s="62" t="s">
        <v>25</v>
      </c>
      <c r="H1040" s="62" t="s">
        <v>34</v>
      </c>
      <c r="I1040" s="75">
        <v>44378</v>
      </c>
      <c r="J1040" s="76">
        <f>EFEITO!$J$1040*EFEITO!$Y$1040</f>
        <v>0</v>
      </c>
      <c r="K1040" s="76">
        <f ca="1">EFEITO!$L$1040*EFEITO!$Z$1040</f>
        <v>36847.352754165498</v>
      </c>
      <c r="L1040" s="76">
        <f>EFEITO!$N$1040*EFEITO!$AA$1040</f>
        <v>9540.4840026037891</v>
      </c>
      <c r="M1040" s="76">
        <f>$J$1040-EFEITO!$K$1040*EFEITO!$Y$1040</f>
        <v>0</v>
      </c>
      <c r="N1040" s="76">
        <f ca="1">$K$1040-EFEITO!$M$1040*EFEITO!$Z$1040</f>
        <v>0</v>
      </c>
      <c r="O1040" s="76">
        <f>$L$1040-EFEITO!$O$1040*EFEITO!$AA$1040</f>
        <v>0</v>
      </c>
      <c r="P1040" s="18"/>
      <c r="Q1040" s="18"/>
      <c r="R1040" s="18"/>
      <c r="S1040" s="18"/>
      <c r="T1040" s="18"/>
      <c r="U1040" s="18"/>
      <c r="V1040" s="18"/>
      <c r="W1040" s="18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62" t="s">
        <v>21</v>
      </c>
      <c r="B1041" s="62" t="s">
        <v>41</v>
      </c>
      <c r="C1041" s="62" t="s">
        <v>42</v>
      </c>
      <c r="D1041" s="62" t="s">
        <v>38</v>
      </c>
      <c r="E1041" s="62" t="s">
        <v>25</v>
      </c>
      <c r="F1041" s="62" t="s">
        <v>25</v>
      </c>
      <c r="G1041" s="62" t="s">
        <v>25</v>
      </c>
      <c r="H1041" s="62" t="s">
        <v>34</v>
      </c>
      <c r="I1041" s="75">
        <v>44409</v>
      </c>
      <c r="J1041" s="76">
        <f>EFEITO!$J$1041*EFEITO!$Y$1041</f>
        <v>0</v>
      </c>
      <c r="K1041" s="76">
        <f ca="1">EFEITO!$L$1041*EFEITO!$Z$1041</f>
        <v>313024.22065449913</v>
      </c>
      <c r="L1041" s="76">
        <f>EFEITO!$N$1041*EFEITO!$AA$1041</f>
        <v>81047.95450316745</v>
      </c>
      <c r="M1041" s="76">
        <f>$J$1041-EFEITO!$K$1041*EFEITO!$Y$1041</f>
        <v>0</v>
      </c>
      <c r="N1041" s="76">
        <f ca="1">$K$1041-EFEITO!$M$1041*EFEITO!$Z$1041</f>
        <v>0</v>
      </c>
      <c r="O1041" s="76">
        <f>$L$1041-EFEITO!$O$1041*EFEITO!$AA$1041</f>
        <v>0</v>
      </c>
      <c r="P1041" s="18"/>
      <c r="Q1041" s="18"/>
      <c r="R1041" s="18"/>
      <c r="S1041" s="18"/>
      <c r="T1041" s="18"/>
      <c r="U1041" s="18"/>
      <c r="V1041" s="18"/>
      <c r="W1041" s="18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62" t="s">
        <v>27</v>
      </c>
      <c r="B1042" s="62" t="s">
        <v>41</v>
      </c>
      <c r="C1042" s="62" t="s">
        <v>42</v>
      </c>
      <c r="D1042" s="62" t="s">
        <v>38</v>
      </c>
      <c r="E1042" s="62" t="s">
        <v>25</v>
      </c>
      <c r="F1042" s="62" t="s">
        <v>25</v>
      </c>
      <c r="G1042" s="62" t="s">
        <v>25</v>
      </c>
      <c r="H1042" s="62" t="s">
        <v>34</v>
      </c>
      <c r="I1042" s="75">
        <v>44409</v>
      </c>
      <c r="J1042" s="76">
        <f>EFEITO!$J$1042*EFEITO!$Y$1042</f>
        <v>0</v>
      </c>
      <c r="K1042" s="76">
        <f ca="1">EFEITO!$L$1042*EFEITO!$Z$1042</f>
        <v>-2880.0229738887979</v>
      </c>
      <c r="L1042" s="76">
        <f>EFEITO!$N$1042*EFEITO!$AA$1042</f>
        <v>-745.69300250236518</v>
      </c>
      <c r="M1042" s="76">
        <f>$J$1042-EFEITO!$K$1042*EFEITO!$Y$1042</f>
        <v>0</v>
      </c>
      <c r="N1042" s="76">
        <f ca="1">$K$1042-EFEITO!$M$1042*EFEITO!$Z$1042</f>
        <v>0</v>
      </c>
      <c r="O1042" s="76">
        <f>$L$1042-EFEITO!$O$1042*EFEITO!$AA$1042</f>
        <v>0</v>
      </c>
      <c r="P1042" s="18"/>
      <c r="Q1042" s="18"/>
      <c r="R1042" s="18"/>
      <c r="S1042" s="18"/>
      <c r="T1042" s="18"/>
      <c r="U1042" s="18"/>
      <c r="V1042" s="18"/>
      <c r="W1042" s="18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62" t="s">
        <v>28</v>
      </c>
      <c r="B1043" s="62" t="s">
        <v>41</v>
      </c>
      <c r="C1043" s="62" t="s">
        <v>42</v>
      </c>
      <c r="D1043" s="62" t="s">
        <v>38</v>
      </c>
      <c r="E1043" s="62" t="s">
        <v>25</v>
      </c>
      <c r="F1043" s="62" t="s">
        <v>25</v>
      </c>
      <c r="G1043" s="62" t="s">
        <v>25</v>
      </c>
      <c r="H1043" s="62" t="s">
        <v>34</v>
      </c>
      <c r="I1043" s="75">
        <v>44409</v>
      </c>
      <c r="J1043" s="76">
        <f>EFEITO!$J$1043*EFEITO!$Y$1043</f>
        <v>0</v>
      </c>
      <c r="K1043" s="76">
        <f ca="1">EFEITO!$L$1043*EFEITO!$Z$1043</f>
        <v>32275.16853912043</v>
      </c>
      <c r="L1043" s="76">
        <f>EFEITO!$N$1043*EFEITO!$AA$1043</f>
        <v>8356.6581073862872</v>
      </c>
      <c r="M1043" s="76">
        <f>$J$1043-EFEITO!$K$1043*EFEITO!$Y$1043</f>
        <v>0</v>
      </c>
      <c r="N1043" s="76">
        <f ca="1">$K$1043-EFEITO!$M$1043*EFEITO!$Z$1043</f>
        <v>0</v>
      </c>
      <c r="O1043" s="76">
        <f>$L$1043-EFEITO!$O$1043*EFEITO!$AA$1043</f>
        <v>0</v>
      </c>
      <c r="P1043" s="18"/>
      <c r="Q1043" s="18"/>
      <c r="R1043" s="18"/>
      <c r="S1043" s="18"/>
      <c r="T1043" s="18"/>
      <c r="U1043" s="18"/>
      <c r="V1043" s="18"/>
      <c r="W1043" s="18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62" t="s">
        <v>21</v>
      </c>
      <c r="B1044" s="62" t="s">
        <v>41</v>
      </c>
      <c r="C1044" s="62" t="s">
        <v>42</v>
      </c>
      <c r="D1044" s="62" t="s">
        <v>38</v>
      </c>
      <c r="E1044" s="62" t="s">
        <v>25</v>
      </c>
      <c r="F1044" s="62" t="s">
        <v>25</v>
      </c>
      <c r="G1044" s="62" t="s">
        <v>25</v>
      </c>
      <c r="H1044" s="62" t="s">
        <v>34</v>
      </c>
      <c r="I1044" s="75">
        <v>44440</v>
      </c>
      <c r="J1044" s="76">
        <f>EFEITO!$J$1044*EFEITO!$Y$1044</f>
        <v>0</v>
      </c>
      <c r="K1044" s="76">
        <f ca="1">EFEITO!$L$1044*EFEITO!$Z$1044</f>
        <v>341396.97776319983</v>
      </c>
      <c r="L1044" s="76">
        <f>EFEITO!$N$1044*EFEITO!$AA$1044</f>
        <v>88394.203692662384</v>
      </c>
      <c r="M1044" s="76">
        <f>$J$1044-EFEITO!$K$1044*EFEITO!$Y$1044</f>
        <v>0</v>
      </c>
      <c r="N1044" s="76">
        <f ca="1">$K$1044-EFEITO!$M$1044*EFEITO!$Z$1044</f>
        <v>0</v>
      </c>
      <c r="O1044" s="76">
        <f>$L$1044-EFEITO!$O$1044*EFEITO!$AA$1044</f>
        <v>0</v>
      </c>
      <c r="P1044" s="18"/>
      <c r="Q1044" s="18"/>
      <c r="R1044" s="18"/>
      <c r="S1044" s="18"/>
      <c r="T1044" s="18"/>
      <c r="U1044" s="18"/>
      <c r="V1044" s="18"/>
      <c r="W1044" s="18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62" t="s">
        <v>28</v>
      </c>
      <c r="B1045" s="62" t="s">
        <v>41</v>
      </c>
      <c r="C1045" s="62" t="s">
        <v>42</v>
      </c>
      <c r="D1045" s="62" t="s">
        <v>38</v>
      </c>
      <c r="E1045" s="62" t="s">
        <v>25</v>
      </c>
      <c r="F1045" s="62" t="s">
        <v>25</v>
      </c>
      <c r="G1045" s="62" t="s">
        <v>25</v>
      </c>
      <c r="H1045" s="62" t="s">
        <v>34</v>
      </c>
      <c r="I1045" s="75">
        <v>44440</v>
      </c>
      <c r="J1045" s="76">
        <f>EFEITO!$J$1045*EFEITO!$Y$1045</f>
        <v>0</v>
      </c>
      <c r="K1045" s="76">
        <f ca="1">EFEITO!$L$1045*EFEITO!$Z$1045</f>
        <v>36059.384772253383</v>
      </c>
      <c r="L1045" s="76">
        <f>EFEITO!$N$1045*EFEITO!$AA$1045</f>
        <v>9336.4640292789281</v>
      </c>
      <c r="M1045" s="76">
        <f>$J$1045-EFEITO!$K$1045*EFEITO!$Y$1045</f>
        <v>0</v>
      </c>
      <c r="N1045" s="76">
        <f ca="1">$K$1045-EFEITO!$M$1045*EFEITO!$Z$1045</f>
        <v>0</v>
      </c>
      <c r="O1045" s="76">
        <f>$L$1045-EFEITO!$O$1045*EFEITO!$AA$1045</f>
        <v>0</v>
      </c>
      <c r="P1045" s="18"/>
      <c r="Q1045" s="18"/>
      <c r="R1045" s="18"/>
      <c r="S1045" s="18"/>
      <c r="T1045" s="18"/>
      <c r="U1045" s="18"/>
      <c r="V1045" s="18"/>
      <c r="W1045" s="18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62" t="s">
        <v>21</v>
      </c>
      <c r="B1046" s="62" t="s">
        <v>41</v>
      </c>
      <c r="C1046" s="62" t="s">
        <v>42</v>
      </c>
      <c r="D1046" s="62" t="s">
        <v>38</v>
      </c>
      <c r="E1046" s="62" t="s">
        <v>25</v>
      </c>
      <c r="F1046" s="62" t="s">
        <v>25</v>
      </c>
      <c r="G1046" s="62" t="s">
        <v>25</v>
      </c>
      <c r="H1046" s="62" t="s">
        <v>34</v>
      </c>
      <c r="I1046" s="75">
        <v>44470</v>
      </c>
      <c r="J1046" s="76">
        <f>EFEITO!$J$1046*EFEITO!$Y$1046</f>
        <v>0</v>
      </c>
      <c r="K1046" s="76">
        <f ca="1">EFEITO!$L$1046*EFEITO!$Z$1046</f>
        <v>325377.58869092644</v>
      </c>
      <c r="L1046" s="76">
        <f>EFEITO!$N$1046*EFEITO!$AA$1046</f>
        <v>84246.47763496796</v>
      </c>
      <c r="M1046" s="76">
        <f>$J$1046-EFEITO!$K$1046*EFEITO!$Y$1046</f>
        <v>0</v>
      </c>
      <c r="N1046" s="76">
        <f ca="1">$K$1046-EFEITO!$M$1046*EFEITO!$Z$1046</f>
        <v>0</v>
      </c>
      <c r="O1046" s="76">
        <f>$L$1046-EFEITO!$O$1046*EFEITO!$AA$1046</f>
        <v>0</v>
      </c>
      <c r="P1046" s="18"/>
      <c r="Q1046" s="18"/>
      <c r="R1046" s="18"/>
      <c r="S1046" s="18"/>
      <c r="T1046" s="18"/>
      <c r="U1046" s="18"/>
      <c r="V1046" s="18"/>
      <c r="W1046" s="18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62" t="s">
        <v>28</v>
      </c>
      <c r="B1047" s="62" t="s">
        <v>41</v>
      </c>
      <c r="C1047" s="62" t="s">
        <v>42</v>
      </c>
      <c r="D1047" s="62" t="s">
        <v>38</v>
      </c>
      <c r="E1047" s="62" t="s">
        <v>25</v>
      </c>
      <c r="F1047" s="62" t="s">
        <v>25</v>
      </c>
      <c r="G1047" s="62" t="s">
        <v>25</v>
      </c>
      <c r="H1047" s="62" t="s">
        <v>34</v>
      </c>
      <c r="I1047" s="75">
        <v>44470</v>
      </c>
      <c r="J1047" s="76">
        <f>EFEITO!$J$1047*EFEITO!$Y$1047</f>
        <v>0</v>
      </c>
      <c r="K1047" s="76">
        <f ca="1">EFEITO!$L$1047*EFEITO!$Z$1047</f>
        <v>25417.877176530208</v>
      </c>
      <c r="L1047" s="76">
        <f>EFEITO!$N$1047*EFEITO!$AA$1047</f>
        <v>6581.174289526688</v>
      </c>
      <c r="M1047" s="76">
        <f>$J$1047-EFEITO!$K$1047*EFEITO!$Y$1047</f>
        <v>0</v>
      </c>
      <c r="N1047" s="76">
        <f ca="1">$K$1047-EFEITO!$M$1047*EFEITO!$Z$1047</f>
        <v>0</v>
      </c>
      <c r="O1047" s="76">
        <f>$L$1047-EFEITO!$O$1047*EFEITO!$AA$1047</f>
        <v>0</v>
      </c>
      <c r="P1047" s="18"/>
      <c r="Q1047" s="18"/>
      <c r="R1047" s="18"/>
      <c r="S1047" s="18"/>
      <c r="T1047" s="18"/>
      <c r="U1047" s="18"/>
      <c r="V1047" s="18"/>
      <c r="W1047" s="18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62" t="s">
        <v>21</v>
      </c>
      <c r="B1048" s="62" t="s">
        <v>41</v>
      </c>
      <c r="C1048" s="62" t="s">
        <v>42</v>
      </c>
      <c r="D1048" s="62" t="s">
        <v>38</v>
      </c>
      <c r="E1048" s="62" t="s">
        <v>25</v>
      </c>
      <c r="F1048" s="62" t="s">
        <v>25</v>
      </c>
      <c r="G1048" s="62" t="s">
        <v>25</v>
      </c>
      <c r="H1048" s="62" t="s">
        <v>34</v>
      </c>
      <c r="I1048" s="75">
        <v>44501</v>
      </c>
      <c r="J1048" s="76">
        <f>EFEITO!$J$1048*EFEITO!$Y$1048</f>
        <v>0</v>
      </c>
      <c r="K1048" s="76">
        <f ca="1">EFEITO!$L$1048*EFEITO!$Z$1048</f>
        <v>318309.51589317474</v>
      </c>
      <c r="L1048" s="76">
        <f>EFEITO!$N$1048*EFEITO!$AA$1048</f>
        <v>82416.418474243968</v>
      </c>
      <c r="M1048" s="76">
        <f>$J$1048-EFEITO!$K$1048*EFEITO!$Y$1048</f>
        <v>0</v>
      </c>
      <c r="N1048" s="76">
        <f ca="1">$K$1048-EFEITO!$M$1048*EFEITO!$Z$1048</f>
        <v>0</v>
      </c>
      <c r="O1048" s="76">
        <f>$L$1048-EFEITO!$O$1048*EFEITO!$AA$1048</f>
        <v>0</v>
      </c>
      <c r="P1048" s="18"/>
      <c r="Q1048" s="18"/>
      <c r="R1048" s="18"/>
      <c r="S1048" s="18"/>
      <c r="T1048" s="18"/>
      <c r="U1048" s="18"/>
      <c r="V1048" s="18"/>
      <c r="W1048" s="18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62" t="s">
        <v>28</v>
      </c>
      <c r="B1049" s="62" t="s">
        <v>41</v>
      </c>
      <c r="C1049" s="62" t="s">
        <v>42</v>
      </c>
      <c r="D1049" s="62" t="s">
        <v>38</v>
      </c>
      <c r="E1049" s="62" t="s">
        <v>25</v>
      </c>
      <c r="F1049" s="62" t="s">
        <v>25</v>
      </c>
      <c r="G1049" s="62" t="s">
        <v>25</v>
      </c>
      <c r="H1049" s="62" t="s">
        <v>34</v>
      </c>
      <c r="I1049" s="75">
        <v>44501</v>
      </c>
      <c r="J1049" s="76">
        <f>EFEITO!$J$1049*EFEITO!$Y$1049</f>
        <v>0</v>
      </c>
      <c r="K1049" s="76">
        <f ca="1">EFEITO!$L$1049*EFEITO!$Z$1049</f>
        <v>27088.369298183898</v>
      </c>
      <c r="L1049" s="76">
        <f>EFEITO!$N$1049*EFEITO!$AA$1049</f>
        <v>7013.6966329753914</v>
      </c>
      <c r="M1049" s="76">
        <f>$J$1049-EFEITO!$K$1049*EFEITO!$Y$1049</f>
        <v>0</v>
      </c>
      <c r="N1049" s="76">
        <f ca="1">$K$1049-EFEITO!$M$1049*EFEITO!$Z$1049</f>
        <v>0</v>
      </c>
      <c r="O1049" s="76">
        <f>$L$1049-EFEITO!$O$1049*EFEITO!$AA$1049</f>
        <v>0</v>
      </c>
      <c r="P1049" s="18"/>
      <c r="Q1049" s="18"/>
      <c r="R1049" s="18"/>
      <c r="S1049" s="18"/>
      <c r="T1049" s="18"/>
      <c r="U1049" s="18"/>
      <c r="V1049" s="18"/>
      <c r="W1049" s="18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62" t="s">
        <v>21</v>
      </c>
      <c r="B1050" s="62" t="s">
        <v>41</v>
      </c>
      <c r="C1050" s="62" t="s">
        <v>42</v>
      </c>
      <c r="D1050" s="62" t="s">
        <v>38</v>
      </c>
      <c r="E1050" s="62" t="s">
        <v>25</v>
      </c>
      <c r="F1050" s="62" t="s">
        <v>25</v>
      </c>
      <c r="G1050" s="62" t="s">
        <v>25</v>
      </c>
      <c r="H1050" s="62" t="s">
        <v>34</v>
      </c>
      <c r="I1050" s="75">
        <v>44531</v>
      </c>
      <c r="J1050" s="76">
        <f>EFEITO!$J$1050*EFEITO!$Y$1050</f>
        <v>0</v>
      </c>
      <c r="K1050" s="76">
        <f ca="1">EFEITO!$L$1050*EFEITO!$Z$1050</f>
        <v>310536.21175161167</v>
      </c>
      <c r="L1050" s="76">
        <f>EFEITO!$N$1050*EFEITO!$AA$1050</f>
        <v>80403.76143739422</v>
      </c>
      <c r="M1050" s="76">
        <f>$J$1050-EFEITO!$K$1050*EFEITO!$Y$1050</f>
        <v>0</v>
      </c>
      <c r="N1050" s="76">
        <f ca="1">$K$1050-EFEITO!$M$1050*EFEITO!$Z$1050</f>
        <v>0</v>
      </c>
      <c r="O1050" s="76">
        <f>$L$1050-EFEITO!$O$1050*EFEITO!$AA$1050</f>
        <v>0</v>
      </c>
      <c r="P1050" s="18"/>
      <c r="Q1050" s="18"/>
      <c r="R1050" s="18"/>
      <c r="S1050" s="18"/>
      <c r="T1050" s="18"/>
      <c r="U1050" s="18"/>
      <c r="V1050" s="18"/>
      <c r="W1050" s="18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62" t="s">
        <v>27</v>
      </c>
      <c r="B1051" s="62" t="s">
        <v>41</v>
      </c>
      <c r="C1051" s="62" t="s">
        <v>42</v>
      </c>
      <c r="D1051" s="62" t="s">
        <v>38</v>
      </c>
      <c r="E1051" s="62" t="s">
        <v>25</v>
      </c>
      <c r="F1051" s="62" t="s">
        <v>25</v>
      </c>
      <c r="G1051" s="62" t="s">
        <v>25</v>
      </c>
      <c r="H1051" s="62" t="s">
        <v>34</v>
      </c>
      <c r="I1051" s="75">
        <v>44531</v>
      </c>
      <c r="J1051" s="76">
        <f>EFEITO!$J$1051*EFEITO!$Y$1051</f>
        <v>0</v>
      </c>
      <c r="K1051" s="76">
        <f ca="1">EFEITO!$L$1051*EFEITO!$Z$1051</f>
        <v>-1300.1471701549979</v>
      </c>
      <c r="L1051" s="76">
        <f>EFEITO!$N$1051*EFEITO!$AA$1051</f>
        <v>-336.63295598601985</v>
      </c>
      <c r="M1051" s="76">
        <f>$J$1051-EFEITO!$K$1051*EFEITO!$Y$1051</f>
        <v>0</v>
      </c>
      <c r="N1051" s="76">
        <f ca="1">$K$1051-EFEITO!$M$1051*EFEITO!$Z$1051</f>
        <v>0</v>
      </c>
      <c r="O1051" s="76">
        <f>$L$1051-EFEITO!$O$1051*EFEITO!$AA$1051</f>
        <v>0</v>
      </c>
      <c r="P1051" s="18"/>
      <c r="Q1051" s="18"/>
      <c r="R1051" s="18"/>
      <c r="S1051" s="18"/>
      <c r="T1051" s="18"/>
      <c r="U1051" s="18"/>
      <c r="V1051" s="18"/>
      <c r="W1051" s="18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62" t="s">
        <v>28</v>
      </c>
      <c r="B1052" s="62" t="s">
        <v>41</v>
      </c>
      <c r="C1052" s="62" t="s">
        <v>42</v>
      </c>
      <c r="D1052" s="62" t="s">
        <v>38</v>
      </c>
      <c r="E1052" s="62" t="s">
        <v>25</v>
      </c>
      <c r="F1052" s="62" t="s">
        <v>25</v>
      </c>
      <c r="G1052" s="62" t="s">
        <v>25</v>
      </c>
      <c r="H1052" s="62" t="s">
        <v>34</v>
      </c>
      <c r="I1052" s="75">
        <v>44531</v>
      </c>
      <c r="J1052" s="76">
        <f>EFEITO!$J$1052*EFEITO!$Y$1052</f>
        <v>0</v>
      </c>
      <c r="K1052" s="76">
        <f ca="1">EFEITO!$L$1052*EFEITO!$Z$1052</f>
        <v>29507.431002654106</v>
      </c>
      <c r="L1052" s="76">
        <f>EFEITO!$N$1052*EFEITO!$AA$1052</f>
        <v>7640.0379510827133</v>
      </c>
      <c r="M1052" s="76">
        <f>$J$1052-EFEITO!$K$1052*EFEITO!$Y$1052</f>
        <v>0</v>
      </c>
      <c r="N1052" s="76">
        <f ca="1">$K$1052-EFEITO!$M$1052*EFEITO!$Z$1052</f>
        <v>0</v>
      </c>
      <c r="O1052" s="76">
        <f>$L$1052-EFEITO!$O$1052*EFEITO!$AA$1052</f>
        <v>0</v>
      </c>
      <c r="P1052" s="18"/>
      <c r="Q1052" s="18"/>
      <c r="R1052" s="18"/>
      <c r="S1052" s="18"/>
      <c r="T1052" s="18"/>
      <c r="U1052" s="18"/>
      <c r="V1052" s="18"/>
      <c r="W1052" s="18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62" t="s">
        <v>21</v>
      </c>
      <c r="B1053" s="62" t="s">
        <v>41</v>
      </c>
      <c r="C1053" s="62" t="s">
        <v>42</v>
      </c>
      <c r="D1053" s="62" t="s">
        <v>38</v>
      </c>
      <c r="E1053" s="62" t="s">
        <v>25</v>
      </c>
      <c r="F1053" s="62" t="s">
        <v>25</v>
      </c>
      <c r="G1053" s="62" t="s">
        <v>25</v>
      </c>
      <c r="H1053" s="62" t="s">
        <v>34</v>
      </c>
      <c r="I1053" s="75">
        <v>44562</v>
      </c>
      <c r="J1053" s="76">
        <f>EFEITO!$J$1053*EFEITO!$Y$1053</f>
        <v>0</v>
      </c>
      <c r="K1053" s="76">
        <f ca="1">EFEITO!$L$1053*EFEITO!$Z$1053</f>
        <v>349950.37020685588</v>
      </c>
      <c r="L1053" s="76">
        <f>EFEITO!$N$1053*EFEITO!$AA$1053</f>
        <v>90608.840503103725</v>
      </c>
      <c r="M1053" s="76">
        <f>$J$1053-EFEITO!$K$1053*EFEITO!$Y$1053</f>
        <v>0</v>
      </c>
      <c r="N1053" s="76">
        <f ca="1">$K$1053-EFEITO!$M$1053*EFEITO!$Z$1053</f>
        <v>0</v>
      </c>
      <c r="O1053" s="76">
        <f>$L$1053-EFEITO!$O$1053*EFEITO!$AA$1053</f>
        <v>0</v>
      </c>
      <c r="P1053" s="18"/>
      <c r="Q1053" s="18"/>
      <c r="R1053" s="18"/>
      <c r="S1053" s="18"/>
      <c r="T1053" s="18"/>
      <c r="U1053" s="18"/>
      <c r="V1053" s="18"/>
      <c r="W1053" s="18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62" t="s">
        <v>28</v>
      </c>
      <c r="B1054" s="62" t="s">
        <v>41</v>
      </c>
      <c r="C1054" s="62" t="s">
        <v>42</v>
      </c>
      <c r="D1054" s="62" t="s">
        <v>38</v>
      </c>
      <c r="E1054" s="62" t="s">
        <v>25</v>
      </c>
      <c r="F1054" s="62" t="s">
        <v>25</v>
      </c>
      <c r="G1054" s="62" t="s">
        <v>25</v>
      </c>
      <c r="H1054" s="62" t="s">
        <v>34</v>
      </c>
      <c r="I1054" s="75">
        <v>44562</v>
      </c>
      <c r="J1054" s="76">
        <f>EFEITO!$J$1054*EFEITO!$Y$1054</f>
        <v>0</v>
      </c>
      <c r="K1054" s="76">
        <f ca="1">EFEITO!$L$1054*EFEITO!$Z$1054</f>
        <v>33553.646589772849</v>
      </c>
      <c r="L1054" s="76">
        <f>EFEITO!$N$1054*EFEITO!$AA$1054</f>
        <v>8687.680514105874</v>
      </c>
      <c r="M1054" s="76">
        <f>$J$1054-EFEITO!$K$1054*EFEITO!$Y$1054</f>
        <v>0</v>
      </c>
      <c r="N1054" s="76">
        <f ca="1">$K$1054-EFEITO!$M$1054*EFEITO!$Z$1054</f>
        <v>0</v>
      </c>
      <c r="O1054" s="76">
        <f>$L$1054-EFEITO!$O$1054*EFEITO!$AA$1054</f>
        <v>0</v>
      </c>
      <c r="P1054" s="18"/>
      <c r="Q1054" s="18"/>
      <c r="R1054" s="18"/>
      <c r="S1054" s="18"/>
      <c r="T1054" s="18"/>
      <c r="U1054" s="18"/>
      <c r="V1054" s="18"/>
      <c r="W1054" s="18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62" t="s">
        <v>21</v>
      </c>
      <c r="B1055" s="62" t="s">
        <v>41</v>
      </c>
      <c r="C1055" s="62" t="s">
        <v>42</v>
      </c>
      <c r="D1055" s="62" t="s">
        <v>38</v>
      </c>
      <c r="E1055" s="62" t="s">
        <v>25</v>
      </c>
      <c r="F1055" s="62" t="s">
        <v>25</v>
      </c>
      <c r="G1055" s="62" t="s">
        <v>25</v>
      </c>
      <c r="H1055" s="62" t="s">
        <v>34</v>
      </c>
      <c r="I1055" s="75">
        <v>44593</v>
      </c>
      <c r="J1055" s="76">
        <f>EFEITO!$J$1055*EFEITO!$Y$1055</f>
        <v>0</v>
      </c>
      <c r="K1055" s="76">
        <f ca="1">EFEITO!$L$1055*EFEITO!$Z$1055</f>
        <v>239684.10073802862</v>
      </c>
      <c r="L1055" s="76">
        <f>EFEITO!$N$1055*EFEITO!$AA$1055</f>
        <v>62058.79548595607</v>
      </c>
      <c r="M1055" s="76">
        <f>$J$1055-EFEITO!$K$1055*EFEITO!$Y$1055</f>
        <v>0</v>
      </c>
      <c r="N1055" s="76">
        <f ca="1">$K$1055-EFEITO!$M$1055*EFEITO!$Z$1055</f>
        <v>0</v>
      </c>
      <c r="O1055" s="76">
        <f>$L$1055-EFEITO!$O$1055*EFEITO!$AA$1055</f>
        <v>0</v>
      </c>
      <c r="P1055" s="18"/>
      <c r="Q1055" s="18"/>
      <c r="R1055" s="18"/>
      <c r="S1055" s="18"/>
      <c r="T1055" s="18"/>
      <c r="U1055" s="18"/>
      <c r="V1055" s="18"/>
      <c r="W1055" s="18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62" t="s">
        <v>27</v>
      </c>
      <c r="B1056" s="62" t="s">
        <v>41</v>
      </c>
      <c r="C1056" s="62" t="s">
        <v>42</v>
      </c>
      <c r="D1056" s="62" t="s">
        <v>38</v>
      </c>
      <c r="E1056" s="62" t="s">
        <v>25</v>
      </c>
      <c r="F1056" s="62" t="s">
        <v>25</v>
      </c>
      <c r="G1056" s="62" t="s">
        <v>25</v>
      </c>
      <c r="H1056" s="62" t="s">
        <v>34</v>
      </c>
      <c r="I1056" s="75">
        <v>44593</v>
      </c>
      <c r="J1056" s="76">
        <f>EFEITO!$J$1056*EFEITO!$Y$1056</f>
        <v>0</v>
      </c>
      <c r="K1056" s="76">
        <f ca="1">EFEITO!$L$1056*EFEITO!$Z$1056</f>
        <v>-6953.817440374457</v>
      </c>
      <c r="L1056" s="76">
        <f>EFEITO!$N$1056*EFEITO!$AA$1056</f>
        <v>-1800.4762645918938</v>
      </c>
      <c r="M1056" s="76">
        <f>$J$1056-EFEITO!$K$1056*EFEITO!$Y$1056</f>
        <v>0</v>
      </c>
      <c r="N1056" s="76">
        <f ca="1">$K$1056-EFEITO!$M$1056*EFEITO!$Z$1056</f>
        <v>0</v>
      </c>
      <c r="O1056" s="76">
        <f>$L$1056-EFEITO!$O$1056*EFEITO!$AA$1056</f>
        <v>0</v>
      </c>
      <c r="P1056" s="18"/>
      <c r="Q1056" s="18"/>
      <c r="R1056" s="18"/>
      <c r="S1056" s="18"/>
      <c r="T1056" s="18"/>
      <c r="U1056" s="18"/>
      <c r="V1056" s="18"/>
      <c r="W1056" s="18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62" t="s">
        <v>28</v>
      </c>
      <c r="B1057" s="62" t="s">
        <v>41</v>
      </c>
      <c r="C1057" s="62" t="s">
        <v>42</v>
      </c>
      <c r="D1057" s="62" t="s">
        <v>38</v>
      </c>
      <c r="E1057" s="62" t="s">
        <v>25</v>
      </c>
      <c r="F1057" s="62" t="s">
        <v>25</v>
      </c>
      <c r="G1057" s="62" t="s">
        <v>25</v>
      </c>
      <c r="H1057" s="62" t="s">
        <v>34</v>
      </c>
      <c r="I1057" s="75">
        <v>44593</v>
      </c>
      <c r="J1057" s="76">
        <f>EFEITO!$J$1057*EFEITO!$Y$1057</f>
        <v>0</v>
      </c>
      <c r="K1057" s="76">
        <f ca="1">EFEITO!$L$1057*EFEITO!$Z$1057</f>
        <v>27037.15137935961</v>
      </c>
      <c r="L1057" s="76">
        <f>EFEITO!$N$1057*EFEITO!$AA$1057</f>
        <v>7000.4353347092756</v>
      </c>
      <c r="M1057" s="76">
        <f>$J$1057-EFEITO!$K$1057*EFEITO!$Y$1057</f>
        <v>0</v>
      </c>
      <c r="N1057" s="76">
        <f ca="1">$K$1057-EFEITO!$M$1057*EFEITO!$Z$1057</f>
        <v>0</v>
      </c>
      <c r="O1057" s="76">
        <f>$L$1057-EFEITO!$O$1057*EFEITO!$AA$1057</f>
        <v>0</v>
      </c>
      <c r="P1057" s="18"/>
      <c r="Q1057" s="18"/>
      <c r="R1057" s="18"/>
      <c r="S1057" s="18"/>
      <c r="T1057" s="18"/>
      <c r="U1057" s="18"/>
      <c r="V1057" s="18"/>
      <c r="W1057" s="18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62" t="s">
        <v>21</v>
      </c>
      <c r="B1058" s="62" t="s">
        <v>41</v>
      </c>
      <c r="C1058" s="62" t="s">
        <v>42</v>
      </c>
      <c r="D1058" s="62" t="s">
        <v>38</v>
      </c>
      <c r="E1058" s="62" t="s">
        <v>25</v>
      </c>
      <c r="F1058" s="62" t="s">
        <v>25</v>
      </c>
      <c r="G1058" s="62" t="s">
        <v>25</v>
      </c>
      <c r="H1058" s="62" t="s">
        <v>34</v>
      </c>
      <c r="I1058" s="75">
        <v>44621</v>
      </c>
      <c r="J1058" s="76">
        <f>EFEITO!$J$1058*EFEITO!$Y$1058</f>
        <v>0</v>
      </c>
      <c r="K1058" s="76">
        <f ca="1">EFEITO!$L$1058*EFEITO!$Z$1058</f>
        <v>231414.37676786093</v>
      </c>
      <c r="L1058" s="76">
        <f>EFEITO!$N$1058*EFEITO!$AA$1058</f>
        <v>59917.605865911661</v>
      </c>
      <c r="M1058" s="76">
        <f>$J$1058-EFEITO!$K$1058*EFEITO!$Y$1058</f>
        <v>0</v>
      </c>
      <c r="N1058" s="76">
        <f ca="1">$K$1058-EFEITO!$M$1058*EFEITO!$Z$1058</f>
        <v>0</v>
      </c>
      <c r="O1058" s="76">
        <f>$L$1058-EFEITO!$O$1058*EFEITO!$AA$1058</f>
        <v>0</v>
      </c>
      <c r="P1058" s="18"/>
      <c r="Q1058" s="18"/>
      <c r="R1058" s="18"/>
      <c r="S1058" s="18"/>
      <c r="T1058" s="18"/>
      <c r="U1058" s="18"/>
      <c r="V1058" s="18"/>
      <c r="W1058" s="18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62" t="s">
        <v>28</v>
      </c>
      <c r="B1059" s="62" t="s">
        <v>41</v>
      </c>
      <c r="C1059" s="62" t="s">
        <v>42</v>
      </c>
      <c r="D1059" s="62" t="s">
        <v>38</v>
      </c>
      <c r="E1059" s="62" t="s">
        <v>25</v>
      </c>
      <c r="F1059" s="62" t="s">
        <v>25</v>
      </c>
      <c r="G1059" s="62" t="s">
        <v>25</v>
      </c>
      <c r="H1059" s="62" t="s">
        <v>34</v>
      </c>
      <c r="I1059" s="75">
        <v>44621</v>
      </c>
      <c r="J1059" s="76">
        <f>EFEITO!$J$1059*EFEITO!$Y$1059</f>
        <v>0</v>
      </c>
      <c r="K1059" s="76">
        <f ca="1">EFEITO!$L$1059*EFEITO!$Z$1059</f>
        <v>18647.262291950316</v>
      </c>
      <c r="L1059" s="76">
        <f>EFEITO!$N$1059*EFEITO!$AA$1059</f>
        <v>4828.1326687328237</v>
      </c>
      <c r="M1059" s="76">
        <f>$J$1059-EFEITO!$K$1059*EFEITO!$Y$1059</f>
        <v>0</v>
      </c>
      <c r="N1059" s="76">
        <f ca="1">$K$1059-EFEITO!$M$1059*EFEITO!$Z$1059</f>
        <v>0</v>
      </c>
      <c r="O1059" s="76">
        <f>$L$1059-EFEITO!$O$1059*EFEITO!$AA$1059</f>
        <v>0</v>
      </c>
      <c r="P1059" s="18"/>
      <c r="Q1059" s="18"/>
      <c r="R1059" s="18"/>
      <c r="S1059" s="18"/>
      <c r="T1059" s="18"/>
      <c r="U1059" s="18"/>
      <c r="V1059" s="18"/>
      <c r="W1059" s="18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62" t="s">
        <v>28</v>
      </c>
      <c r="B1060" s="62" t="s">
        <v>41</v>
      </c>
      <c r="C1060" s="62" t="s">
        <v>42</v>
      </c>
      <c r="D1060" s="62" t="s">
        <v>38</v>
      </c>
      <c r="E1060" s="62" t="s">
        <v>25</v>
      </c>
      <c r="F1060" s="62" t="s">
        <v>25</v>
      </c>
      <c r="G1060" s="62" t="s">
        <v>25</v>
      </c>
      <c r="H1060" s="62" t="s">
        <v>34</v>
      </c>
      <c r="I1060" s="75">
        <v>44621</v>
      </c>
      <c r="J1060" s="76">
        <f>EFEITO!$J$1060*EFEITO!$Y$1060</f>
        <v>0</v>
      </c>
      <c r="K1060" s="76">
        <f ca="1">EFEITO!$L$1060*EFEITO!$Z$1060</f>
        <v>368.37503154391601</v>
      </c>
      <c r="L1060" s="76">
        <f>EFEITO!$N$1060*EFEITO!$AA$1060</f>
        <v>95.379337529372293</v>
      </c>
      <c r="M1060" s="76">
        <f>$J$1060-EFEITO!$K$1060*EFEITO!$Y$1060</f>
        <v>0</v>
      </c>
      <c r="N1060" s="76">
        <f ca="1">$K$1060-EFEITO!$M$1060*EFEITO!$Z$1060</f>
        <v>0</v>
      </c>
      <c r="O1060" s="76">
        <f>$L$1060-EFEITO!$O$1060*EFEITO!$AA$1060</f>
        <v>0</v>
      </c>
      <c r="P1060" s="18"/>
      <c r="Q1060" s="18"/>
      <c r="R1060" s="18"/>
      <c r="S1060" s="18"/>
      <c r="T1060" s="18"/>
      <c r="U1060" s="18"/>
      <c r="V1060" s="18"/>
      <c r="W1060" s="18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62" t="s">
        <v>21</v>
      </c>
      <c r="B1061" s="62" t="s">
        <v>41</v>
      </c>
      <c r="C1061" s="62" t="s">
        <v>42</v>
      </c>
      <c r="D1061" s="62" t="s">
        <v>38</v>
      </c>
      <c r="E1061" s="62" t="s">
        <v>25</v>
      </c>
      <c r="F1061" s="62" t="s">
        <v>25</v>
      </c>
      <c r="G1061" s="62" t="s">
        <v>25</v>
      </c>
      <c r="H1061" s="62" t="s">
        <v>34</v>
      </c>
      <c r="I1061" s="75">
        <v>44652</v>
      </c>
      <c r="J1061" s="76">
        <f>EFEITO!$J$1061*EFEITO!$Y$1061</f>
        <v>0</v>
      </c>
      <c r="K1061" s="76">
        <f ca="1">EFEITO!$L$1061*EFEITO!$Z$1061</f>
        <v>223274.66751470871</v>
      </c>
      <c r="L1061" s="76">
        <f>EFEITO!$N$1061*EFEITO!$AA$1061</f>
        <v>57810.07954146585</v>
      </c>
      <c r="M1061" s="76">
        <f>$J$1061-EFEITO!$K$1061*EFEITO!$Y$1061</f>
        <v>0</v>
      </c>
      <c r="N1061" s="76">
        <f ca="1">$K$1061-EFEITO!$M$1061*EFEITO!$Z$1061</f>
        <v>0</v>
      </c>
      <c r="O1061" s="76">
        <f>$L$1061-EFEITO!$O$1061*EFEITO!$AA$1061</f>
        <v>0</v>
      </c>
      <c r="P1061" s="18"/>
      <c r="Q1061" s="18"/>
      <c r="R1061" s="18"/>
      <c r="S1061" s="18"/>
      <c r="T1061" s="18"/>
      <c r="U1061" s="18"/>
      <c r="V1061" s="18"/>
      <c r="W1061" s="18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62" t="s">
        <v>27</v>
      </c>
      <c r="B1062" s="62" t="s">
        <v>41</v>
      </c>
      <c r="C1062" s="62" t="s">
        <v>42</v>
      </c>
      <c r="D1062" s="62" t="s">
        <v>38</v>
      </c>
      <c r="E1062" s="62" t="s">
        <v>25</v>
      </c>
      <c r="F1062" s="62" t="s">
        <v>25</v>
      </c>
      <c r="G1062" s="62" t="s">
        <v>25</v>
      </c>
      <c r="H1062" s="62" t="s">
        <v>34</v>
      </c>
      <c r="I1062" s="75">
        <v>44652</v>
      </c>
      <c r="J1062" s="76">
        <f>EFEITO!$J$1062*EFEITO!$Y$1062</f>
        <v>0</v>
      </c>
      <c r="K1062" s="76">
        <f ca="1">EFEITO!$L$1062*EFEITO!$Z$1062</f>
        <v>4231.3880628680836</v>
      </c>
      <c r="L1062" s="76">
        <f>EFEITO!$N$1062*EFEITO!$AA$1062</f>
        <v>1095.5872567545009</v>
      </c>
      <c r="M1062" s="76">
        <f>$J$1062-EFEITO!$K$1062*EFEITO!$Y$1062</f>
        <v>0</v>
      </c>
      <c r="N1062" s="76">
        <f ca="1">$K$1062-EFEITO!$M$1062*EFEITO!$Z$1062</f>
        <v>0</v>
      </c>
      <c r="O1062" s="76">
        <f>$L$1062-EFEITO!$O$1062*EFEITO!$AA$1062</f>
        <v>0</v>
      </c>
      <c r="P1062" s="18"/>
      <c r="Q1062" s="18"/>
      <c r="R1062" s="18"/>
      <c r="S1062" s="18"/>
      <c r="T1062" s="18"/>
      <c r="U1062" s="18"/>
      <c r="V1062" s="18"/>
      <c r="W1062" s="18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62" t="s">
        <v>28</v>
      </c>
      <c r="B1063" s="62" t="s">
        <v>41</v>
      </c>
      <c r="C1063" s="62" t="s">
        <v>42</v>
      </c>
      <c r="D1063" s="62" t="s">
        <v>38</v>
      </c>
      <c r="E1063" s="62" t="s">
        <v>25</v>
      </c>
      <c r="F1063" s="62" t="s">
        <v>25</v>
      </c>
      <c r="G1063" s="62" t="s">
        <v>25</v>
      </c>
      <c r="H1063" s="62" t="s">
        <v>34</v>
      </c>
      <c r="I1063" s="75">
        <v>44652</v>
      </c>
      <c r="J1063" s="76">
        <f>EFEITO!$J$1063*EFEITO!$Y$1063</f>
        <v>0</v>
      </c>
      <c r="K1063" s="76">
        <f ca="1">EFEITO!$L$1063*EFEITO!$Z$1063</f>
        <v>13647.605446717915</v>
      </c>
      <c r="L1063" s="76">
        <f>EFEITO!$N$1063*EFEITO!$AA$1063</f>
        <v>3533.6259379865842</v>
      </c>
      <c r="M1063" s="76">
        <f>$J$1063-EFEITO!$K$1063*EFEITO!$Y$1063</f>
        <v>0</v>
      </c>
      <c r="N1063" s="76">
        <f ca="1">$K$1063-EFEITO!$M$1063*EFEITO!$Z$1063</f>
        <v>0</v>
      </c>
      <c r="O1063" s="76">
        <f>$L$1063-EFEITO!$O$1063*EFEITO!$AA$1063</f>
        <v>0</v>
      </c>
      <c r="P1063" s="18"/>
      <c r="Q1063" s="18"/>
      <c r="R1063" s="18"/>
      <c r="S1063" s="18"/>
      <c r="T1063" s="18"/>
      <c r="U1063" s="18"/>
      <c r="V1063" s="18"/>
      <c r="W1063" s="18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62" t="s">
        <v>58</v>
      </c>
      <c r="B1064" s="62" t="s">
        <v>41</v>
      </c>
      <c r="C1064" s="62" t="s">
        <v>42</v>
      </c>
      <c r="D1064" s="62" t="s">
        <v>38</v>
      </c>
      <c r="E1064" s="62" t="s">
        <v>25</v>
      </c>
      <c r="F1064" s="62" t="s">
        <v>25</v>
      </c>
      <c r="G1064" s="62" t="s">
        <v>25</v>
      </c>
      <c r="H1064" s="62" t="s">
        <v>34</v>
      </c>
      <c r="I1064" s="75">
        <v>44682</v>
      </c>
      <c r="J1064" s="76">
        <f>EFEITO!$J$1064*EFEITO!$Y$1064</f>
        <v>0</v>
      </c>
      <c r="K1064" s="76">
        <f ca="1">EFEITO!$L$1064*EFEITO!$Z$1064</f>
        <v>223274.66751470871</v>
      </c>
      <c r="L1064" s="76">
        <f>EFEITO!$N$1064*EFEITO!$AA$1064</f>
        <v>57810.07954146585</v>
      </c>
      <c r="M1064" s="76">
        <f>$J$1064-EFEITO!$K$1064*EFEITO!$Y$1064</f>
        <v>0</v>
      </c>
      <c r="N1064" s="76">
        <f ca="1">$K$1064-EFEITO!$M$1064*EFEITO!$Z$1064</f>
        <v>0</v>
      </c>
      <c r="O1064" s="76">
        <f>$L$1064-EFEITO!$O$1064*EFEITO!$AA$1064</f>
        <v>0</v>
      </c>
      <c r="P1064" s="18"/>
      <c r="Q1064" s="18"/>
      <c r="R1064" s="18"/>
      <c r="S1064" s="18"/>
      <c r="T1064" s="18"/>
      <c r="U1064" s="18"/>
      <c r="V1064" s="18"/>
      <c r="W1064" s="18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62" t="s">
        <v>58</v>
      </c>
      <c r="B1065" s="62" t="s">
        <v>41</v>
      </c>
      <c r="C1065" s="62" t="s">
        <v>42</v>
      </c>
      <c r="D1065" s="62" t="s">
        <v>38</v>
      </c>
      <c r="E1065" s="62" t="s">
        <v>25</v>
      </c>
      <c r="F1065" s="62" t="s">
        <v>25</v>
      </c>
      <c r="G1065" s="62" t="s">
        <v>25</v>
      </c>
      <c r="H1065" s="62" t="s">
        <v>34</v>
      </c>
      <c r="I1065" s="75">
        <v>44682</v>
      </c>
      <c r="J1065" s="76">
        <f>EFEITO!$J$1065*EFEITO!$Y$1065</f>
        <v>0</v>
      </c>
      <c r="K1065" s="76">
        <f ca="1">EFEITO!$L$1065*EFEITO!$Z$1065</f>
        <v>4231.3880628680836</v>
      </c>
      <c r="L1065" s="76">
        <f>EFEITO!$N$1065*EFEITO!$AA$1065</f>
        <v>1095.5872567545009</v>
      </c>
      <c r="M1065" s="76">
        <f>$J$1065-EFEITO!$K$1065*EFEITO!$Y$1065</f>
        <v>0</v>
      </c>
      <c r="N1065" s="76">
        <f ca="1">$K$1065-EFEITO!$M$1065*EFEITO!$Z$1065</f>
        <v>0</v>
      </c>
      <c r="O1065" s="76">
        <f>$L$1065-EFEITO!$O$1065*EFEITO!$AA$1065</f>
        <v>0</v>
      </c>
      <c r="P1065" s="18"/>
      <c r="Q1065" s="18"/>
      <c r="R1065" s="18"/>
      <c r="S1065" s="18"/>
      <c r="T1065" s="18"/>
      <c r="U1065" s="18"/>
      <c r="V1065" s="18"/>
      <c r="W1065" s="18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62" t="s">
        <v>58</v>
      </c>
      <c r="B1066" s="62" t="s">
        <v>41</v>
      </c>
      <c r="C1066" s="62" t="s">
        <v>42</v>
      </c>
      <c r="D1066" s="62" t="s">
        <v>38</v>
      </c>
      <c r="E1066" s="62" t="s">
        <v>25</v>
      </c>
      <c r="F1066" s="62" t="s">
        <v>25</v>
      </c>
      <c r="G1066" s="62" t="s">
        <v>25</v>
      </c>
      <c r="H1066" s="62" t="s">
        <v>34</v>
      </c>
      <c r="I1066" s="75">
        <v>44682</v>
      </c>
      <c r="J1066" s="76">
        <f>EFEITO!$J$1066*EFEITO!$Y$1066</f>
        <v>0</v>
      </c>
      <c r="K1066" s="76">
        <f ca="1">EFEITO!$L$1066*EFEITO!$Z$1066</f>
        <v>13647.605446717915</v>
      </c>
      <c r="L1066" s="76">
        <f>EFEITO!$N$1066*EFEITO!$AA$1066</f>
        <v>3533.6259379865842</v>
      </c>
      <c r="M1066" s="76">
        <f>$J$1066-EFEITO!$K$1066*EFEITO!$Y$1066</f>
        <v>0</v>
      </c>
      <c r="N1066" s="76">
        <f ca="1">$K$1066-EFEITO!$M$1066*EFEITO!$Z$1066</f>
        <v>0</v>
      </c>
      <c r="O1066" s="76">
        <f>$L$1066-EFEITO!$O$1066*EFEITO!$AA$1066</f>
        <v>0</v>
      </c>
      <c r="P1066" s="18"/>
      <c r="Q1066" s="18"/>
      <c r="R1066" s="18"/>
      <c r="S1066" s="18"/>
      <c r="T1066" s="18"/>
      <c r="U1066" s="18"/>
      <c r="V1066" s="18"/>
      <c r="W1066" s="18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62" t="s">
        <v>21</v>
      </c>
      <c r="B1067" s="62" t="s">
        <v>41</v>
      </c>
      <c r="C1067" s="62" t="s">
        <v>42</v>
      </c>
      <c r="D1067" s="62" t="s">
        <v>46</v>
      </c>
      <c r="E1067" s="62" t="s">
        <v>25</v>
      </c>
      <c r="F1067" s="62" t="s">
        <v>25</v>
      </c>
      <c r="G1067" s="62" t="s">
        <v>25</v>
      </c>
      <c r="H1067" s="62" t="s">
        <v>35</v>
      </c>
      <c r="I1067" s="75">
        <v>44348</v>
      </c>
      <c r="J1067" s="76">
        <f>EFEITO!$J$1067*EFEITO!$Y$1067</f>
        <v>0</v>
      </c>
      <c r="K1067" s="76">
        <f ca="1">EFEITO!$L$1067*EFEITO!$Z$1067</f>
        <v>25702.703730136403</v>
      </c>
      <c r="L1067" s="76">
        <f>EFEITO!$N$1067*EFEITO!$AA$1067</f>
        <v>58578.848216916296</v>
      </c>
      <c r="M1067" s="76">
        <f>$J$1067-EFEITO!$K$1067*EFEITO!$Y$1067</f>
        <v>0</v>
      </c>
      <c r="N1067" s="76">
        <f ca="1">$K$1067-EFEITO!$M$1067*EFEITO!$Z$1067</f>
        <v>0</v>
      </c>
      <c r="O1067" s="76">
        <f>$L$1067-EFEITO!$O$1067*EFEITO!$AA$1067</f>
        <v>0</v>
      </c>
      <c r="P1067" s="18"/>
      <c r="Q1067" s="18"/>
      <c r="R1067" s="18"/>
      <c r="S1067" s="18"/>
      <c r="T1067" s="18"/>
      <c r="U1067" s="18"/>
      <c r="V1067" s="18"/>
      <c r="W1067" s="18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62" t="s">
        <v>28</v>
      </c>
      <c r="B1068" s="62" t="s">
        <v>41</v>
      </c>
      <c r="C1068" s="62" t="s">
        <v>42</v>
      </c>
      <c r="D1068" s="62" t="s">
        <v>46</v>
      </c>
      <c r="E1068" s="62" t="s">
        <v>25</v>
      </c>
      <c r="F1068" s="62" t="s">
        <v>25</v>
      </c>
      <c r="G1068" s="62" t="s">
        <v>25</v>
      </c>
      <c r="H1068" s="62" t="s">
        <v>35</v>
      </c>
      <c r="I1068" s="75">
        <v>44348</v>
      </c>
      <c r="J1068" s="76">
        <f>EFEITO!$J$1068*EFEITO!$Y$1068</f>
        <v>0</v>
      </c>
      <c r="K1068" s="76">
        <f ca="1">EFEITO!$L$1068*EFEITO!$Z$1068</f>
        <v>1728.9430472532615</v>
      </c>
      <c r="L1068" s="76">
        <f>EFEITO!$N$1068*EFEITO!$AA$1068</f>
        <v>3940.4217316636386</v>
      </c>
      <c r="M1068" s="76">
        <f>$J$1068-EFEITO!$K$1068*EFEITO!$Y$1068</f>
        <v>0</v>
      </c>
      <c r="N1068" s="76">
        <f ca="1">$K$1068-EFEITO!$M$1068*EFEITO!$Z$1068</f>
        <v>0</v>
      </c>
      <c r="O1068" s="76">
        <f>$L$1068-EFEITO!$O$1068*EFEITO!$AA$1068</f>
        <v>0</v>
      </c>
      <c r="P1068" s="18"/>
      <c r="Q1068" s="18"/>
      <c r="R1068" s="18"/>
      <c r="S1068" s="18"/>
      <c r="T1068" s="18"/>
      <c r="U1068" s="18"/>
      <c r="V1068" s="18"/>
      <c r="W1068" s="18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62" t="s">
        <v>21</v>
      </c>
      <c r="B1069" s="62" t="s">
        <v>41</v>
      </c>
      <c r="C1069" s="62" t="s">
        <v>42</v>
      </c>
      <c r="D1069" s="62" t="s">
        <v>46</v>
      </c>
      <c r="E1069" s="62" t="s">
        <v>25</v>
      </c>
      <c r="F1069" s="62" t="s">
        <v>25</v>
      </c>
      <c r="G1069" s="62" t="s">
        <v>25</v>
      </c>
      <c r="H1069" s="62" t="s">
        <v>35</v>
      </c>
      <c r="I1069" s="75">
        <v>44378</v>
      </c>
      <c r="J1069" s="76">
        <f>EFEITO!$J$1069*EFEITO!$Y$1069</f>
        <v>0</v>
      </c>
      <c r="K1069" s="76">
        <f ca="1">EFEITO!$L$1069*EFEITO!$Z$1069</f>
        <v>21745.788048620612</v>
      </c>
      <c r="L1069" s="76">
        <f>EFEITO!$N$1069*EFEITO!$AA$1069</f>
        <v>49560.669991453033</v>
      </c>
      <c r="M1069" s="76">
        <f>$J$1069-EFEITO!$K$1069*EFEITO!$Y$1069</f>
        <v>0</v>
      </c>
      <c r="N1069" s="76">
        <f ca="1">$K$1069-EFEITO!$M$1069*EFEITO!$Z$1069</f>
        <v>0</v>
      </c>
      <c r="O1069" s="76">
        <f>$L$1069-EFEITO!$O$1069*EFEITO!$AA$1069</f>
        <v>0</v>
      </c>
      <c r="P1069" s="18"/>
      <c r="Q1069" s="18"/>
      <c r="R1069" s="18"/>
      <c r="S1069" s="18"/>
      <c r="T1069" s="18"/>
      <c r="U1069" s="18"/>
      <c r="V1069" s="18"/>
      <c r="W1069" s="18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62" t="s">
        <v>28</v>
      </c>
      <c r="B1070" s="62" t="s">
        <v>41</v>
      </c>
      <c r="C1070" s="62" t="s">
        <v>42</v>
      </c>
      <c r="D1070" s="62" t="s">
        <v>46</v>
      </c>
      <c r="E1070" s="62" t="s">
        <v>25</v>
      </c>
      <c r="F1070" s="62" t="s">
        <v>25</v>
      </c>
      <c r="G1070" s="62" t="s">
        <v>25</v>
      </c>
      <c r="H1070" s="62" t="s">
        <v>35</v>
      </c>
      <c r="I1070" s="75">
        <v>44378</v>
      </c>
      <c r="J1070" s="76">
        <f>EFEITO!$J$1070*EFEITO!$Y$1070</f>
        <v>0</v>
      </c>
      <c r="K1070" s="76">
        <f ca="1">EFEITO!$L$1070*EFEITO!$Z$1070</f>
        <v>1294.9206193338816</v>
      </c>
      <c r="L1070" s="76">
        <f>EFEITO!$N$1070*EFEITO!$AA$1070</f>
        <v>2951.2443208056284</v>
      </c>
      <c r="M1070" s="76">
        <f>$J$1070-EFEITO!$K$1070*EFEITO!$Y$1070</f>
        <v>0</v>
      </c>
      <c r="N1070" s="76">
        <f ca="1">$K$1070-EFEITO!$M$1070*EFEITO!$Z$1070</f>
        <v>0</v>
      </c>
      <c r="O1070" s="76">
        <f>$L$1070-EFEITO!$O$1070*EFEITO!$AA$1070</f>
        <v>0</v>
      </c>
      <c r="P1070" s="18"/>
      <c r="Q1070" s="18"/>
      <c r="R1070" s="18"/>
      <c r="S1070" s="18"/>
      <c r="T1070" s="18"/>
      <c r="U1070" s="18"/>
      <c r="V1070" s="18"/>
      <c r="W1070" s="18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62" t="s">
        <v>21</v>
      </c>
      <c r="B1071" s="62" t="s">
        <v>41</v>
      </c>
      <c r="C1071" s="62" t="s">
        <v>42</v>
      </c>
      <c r="D1071" s="62" t="s">
        <v>46</v>
      </c>
      <c r="E1071" s="62" t="s">
        <v>25</v>
      </c>
      <c r="F1071" s="62" t="s">
        <v>25</v>
      </c>
      <c r="G1071" s="62" t="s">
        <v>25</v>
      </c>
      <c r="H1071" s="62" t="s">
        <v>35</v>
      </c>
      <c r="I1071" s="75">
        <v>44409</v>
      </c>
      <c r="J1071" s="76">
        <f>EFEITO!$J$1071*EFEITO!$Y$1071</f>
        <v>0</v>
      </c>
      <c r="K1071" s="76">
        <f ca="1">EFEITO!$L$1071*EFEITO!$Z$1071</f>
        <v>22609.984700538618</v>
      </c>
      <c r="L1071" s="76">
        <f>EFEITO!$N$1071*EFEITO!$AA$1071</f>
        <v>51530.254399139922</v>
      </c>
      <c r="M1071" s="76">
        <f>$J$1071-EFEITO!$K$1071*EFEITO!$Y$1071</f>
        <v>0</v>
      </c>
      <c r="N1071" s="76">
        <f ca="1">$K$1071-EFEITO!$M$1071*EFEITO!$Z$1071</f>
        <v>0</v>
      </c>
      <c r="O1071" s="76">
        <f>$L$1071-EFEITO!$O$1071*EFEITO!$AA$1071</f>
        <v>0</v>
      </c>
      <c r="P1071" s="18"/>
      <c r="Q1071" s="18"/>
      <c r="R1071" s="18"/>
      <c r="S1071" s="18"/>
      <c r="T1071" s="18"/>
      <c r="U1071" s="18"/>
      <c r="V1071" s="18"/>
      <c r="W1071" s="18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62" t="s">
        <v>28</v>
      </c>
      <c r="B1072" s="62" t="s">
        <v>41</v>
      </c>
      <c r="C1072" s="62" t="s">
        <v>42</v>
      </c>
      <c r="D1072" s="62" t="s">
        <v>46</v>
      </c>
      <c r="E1072" s="62" t="s">
        <v>25</v>
      </c>
      <c r="F1072" s="62" t="s">
        <v>25</v>
      </c>
      <c r="G1072" s="62" t="s">
        <v>25</v>
      </c>
      <c r="H1072" s="62" t="s">
        <v>35</v>
      </c>
      <c r="I1072" s="75">
        <v>44409</v>
      </c>
      <c r="J1072" s="76">
        <f>EFEITO!$J$1072*EFEITO!$Y$1072</f>
        <v>0</v>
      </c>
      <c r="K1072" s="76">
        <f ca="1">EFEITO!$L$1072*EFEITO!$Z$1072</f>
        <v>1034.7545471200165</v>
      </c>
      <c r="L1072" s="76">
        <f>EFEITO!$N$1072*EFEITO!$AA$1072</f>
        <v>2358.3016866212665</v>
      </c>
      <c r="M1072" s="76">
        <f>$J$1072-EFEITO!$K$1072*EFEITO!$Y$1072</f>
        <v>0</v>
      </c>
      <c r="N1072" s="76">
        <f ca="1">$K$1072-EFEITO!$M$1072*EFEITO!$Z$1072</f>
        <v>0</v>
      </c>
      <c r="O1072" s="76">
        <f>$L$1072-EFEITO!$O$1072*EFEITO!$AA$1072</f>
        <v>0</v>
      </c>
      <c r="P1072" s="18"/>
      <c r="Q1072" s="18"/>
      <c r="R1072" s="18"/>
      <c r="S1072" s="18"/>
      <c r="T1072" s="18"/>
      <c r="U1072" s="18"/>
      <c r="V1072" s="18"/>
      <c r="W1072" s="18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62" t="s">
        <v>21</v>
      </c>
      <c r="B1073" s="62" t="s">
        <v>41</v>
      </c>
      <c r="C1073" s="62" t="s">
        <v>42</v>
      </c>
      <c r="D1073" s="62" t="s">
        <v>46</v>
      </c>
      <c r="E1073" s="62" t="s">
        <v>25</v>
      </c>
      <c r="F1073" s="62" t="s">
        <v>25</v>
      </c>
      <c r="G1073" s="62" t="s">
        <v>25</v>
      </c>
      <c r="H1073" s="62" t="s">
        <v>35</v>
      </c>
      <c r="I1073" s="75">
        <v>44440</v>
      </c>
      <c r="J1073" s="76">
        <f>EFEITO!$J$1073*EFEITO!$Y$1073</f>
        <v>0</v>
      </c>
      <c r="K1073" s="76">
        <f ca="1">EFEITO!$L$1073*EFEITO!$Z$1073</f>
        <v>23926.620184853899</v>
      </c>
      <c r="L1073" s="76">
        <f>EFEITO!$N$1073*EFEITO!$AA$1073</f>
        <v>54530.988913395689</v>
      </c>
      <c r="M1073" s="76">
        <f>$J$1073-EFEITO!$K$1073*EFEITO!$Y$1073</f>
        <v>0</v>
      </c>
      <c r="N1073" s="76">
        <f ca="1">$K$1073-EFEITO!$M$1073*EFEITO!$Z$1073</f>
        <v>0</v>
      </c>
      <c r="O1073" s="76">
        <f>$L$1073-EFEITO!$O$1073*EFEITO!$AA$1073</f>
        <v>0</v>
      </c>
      <c r="P1073" s="18"/>
      <c r="Q1073" s="18"/>
      <c r="R1073" s="18"/>
      <c r="S1073" s="18"/>
      <c r="T1073" s="18"/>
      <c r="U1073" s="18"/>
      <c r="V1073" s="18"/>
      <c r="W1073" s="18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62" t="s">
        <v>28</v>
      </c>
      <c r="B1074" s="62" t="s">
        <v>41</v>
      </c>
      <c r="C1074" s="62" t="s">
        <v>42</v>
      </c>
      <c r="D1074" s="62" t="s">
        <v>46</v>
      </c>
      <c r="E1074" s="62" t="s">
        <v>25</v>
      </c>
      <c r="F1074" s="62" t="s">
        <v>25</v>
      </c>
      <c r="G1074" s="62" t="s">
        <v>25</v>
      </c>
      <c r="H1074" s="62" t="s">
        <v>35</v>
      </c>
      <c r="I1074" s="75">
        <v>44440</v>
      </c>
      <c r="J1074" s="76">
        <f>EFEITO!$J$1074*EFEITO!$Y$1074</f>
        <v>0</v>
      </c>
      <c r="K1074" s="76">
        <f ca="1">EFEITO!$L$1074*EFEITO!$Z$1074</f>
        <v>731.57105250628865</v>
      </c>
      <c r="L1074" s="76">
        <f>EFEITO!$N$1074*EFEITO!$AA$1074</f>
        <v>1667.3183527540182</v>
      </c>
      <c r="M1074" s="76">
        <f>$J$1074-EFEITO!$K$1074*EFEITO!$Y$1074</f>
        <v>0</v>
      </c>
      <c r="N1074" s="76">
        <f ca="1">$K$1074-EFEITO!$M$1074*EFEITO!$Z$1074</f>
        <v>0</v>
      </c>
      <c r="O1074" s="76">
        <f>$L$1074-EFEITO!$O$1074*EFEITO!$AA$1074</f>
        <v>0</v>
      </c>
      <c r="P1074" s="18"/>
      <c r="Q1074" s="18"/>
      <c r="R1074" s="18"/>
      <c r="S1074" s="18"/>
      <c r="T1074" s="18"/>
      <c r="U1074" s="18"/>
      <c r="V1074" s="18"/>
      <c r="W1074" s="18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62" t="s">
        <v>21</v>
      </c>
      <c r="B1075" s="62" t="s">
        <v>41</v>
      </c>
      <c r="C1075" s="62" t="s">
        <v>42</v>
      </c>
      <c r="D1075" s="62" t="s">
        <v>46</v>
      </c>
      <c r="E1075" s="62" t="s">
        <v>25</v>
      </c>
      <c r="F1075" s="62" t="s">
        <v>25</v>
      </c>
      <c r="G1075" s="62" t="s">
        <v>25</v>
      </c>
      <c r="H1075" s="62" t="s">
        <v>35</v>
      </c>
      <c r="I1075" s="75">
        <v>44470</v>
      </c>
      <c r="J1075" s="76">
        <f>EFEITO!$J$1075*EFEITO!$Y$1075</f>
        <v>0</v>
      </c>
      <c r="K1075" s="76">
        <f ca="1">EFEITO!$L$1075*EFEITO!$Z$1075</f>
        <v>27735.517451274955</v>
      </c>
      <c r="L1075" s="76">
        <f>EFEITO!$N$1075*EFEITO!$AA$1075</f>
        <v>63211.819427809525</v>
      </c>
      <c r="M1075" s="76">
        <f>$J$1075-EFEITO!$K$1075*EFEITO!$Y$1075</f>
        <v>0</v>
      </c>
      <c r="N1075" s="76">
        <f ca="1">$K$1075-EFEITO!$M$1075*EFEITO!$Z$1075</f>
        <v>0</v>
      </c>
      <c r="O1075" s="76">
        <f>$L$1075-EFEITO!$O$1075*EFEITO!$AA$1075</f>
        <v>0</v>
      </c>
      <c r="P1075" s="18"/>
      <c r="Q1075" s="18"/>
      <c r="R1075" s="18"/>
      <c r="S1075" s="18"/>
      <c r="T1075" s="18"/>
      <c r="U1075" s="18"/>
      <c r="V1075" s="18"/>
      <c r="W1075" s="18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62" t="s">
        <v>28</v>
      </c>
      <c r="B1076" s="62" t="s">
        <v>41</v>
      </c>
      <c r="C1076" s="62" t="s">
        <v>42</v>
      </c>
      <c r="D1076" s="62" t="s">
        <v>46</v>
      </c>
      <c r="E1076" s="62" t="s">
        <v>25</v>
      </c>
      <c r="F1076" s="62" t="s">
        <v>25</v>
      </c>
      <c r="G1076" s="62" t="s">
        <v>25</v>
      </c>
      <c r="H1076" s="62" t="s">
        <v>35</v>
      </c>
      <c r="I1076" s="75">
        <v>44470</v>
      </c>
      <c r="J1076" s="76">
        <f>EFEITO!$J$1076*EFEITO!$Y$1076</f>
        <v>0</v>
      </c>
      <c r="K1076" s="76">
        <f ca="1">EFEITO!$L$1076*EFEITO!$Z$1076</f>
        <v>685.39260545723494</v>
      </c>
      <c r="L1076" s="76">
        <f>EFEITO!$N$1076*EFEITO!$AA$1076</f>
        <v>1562.0733844043375</v>
      </c>
      <c r="M1076" s="76">
        <f>$J$1076-EFEITO!$K$1076*EFEITO!$Y$1076</f>
        <v>0</v>
      </c>
      <c r="N1076" s="76">
        <f ca="1">$K$1076-EFEITO!$M$1076*EFEITO!$Z$1076</f>
        <v>0</v>
      </c>
      <c r="O1076" s="76">
        <f>$L$1076-EFEITO!$O$1076*EFEITO!$AA$1076</f>
        <v>0</v>
      </c>
      <c r="P1076" s="18"/>
      <c r="Q1076" s="18"/>
      <c r="R1076" s="18"/>
      <c r="S1076" s="18"/>
      <c r="T1076" s="18"/>
      <c r="U1076" s="18"/>
      <c r="V1076" s="18"/>
      <c r="W1076" s="18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62" t="s">
        <v>21</v>
      </c>
      <c r="B1077" s="62" t="s">
        <v>41</v>
      </c>
      <c r="C1077" s="62" t="s">
        <v>42</v>
      </c>
      <c r="D1077" s="62" t="s">
        <v>46</v>
      </c>
      <c r="E1077" s="62" t="s">
        <v>25</v>
      </c>
      <c r="F1077" s="62" t="s">
        <v>25</v>
      </c>
      <c r="G1077" s="62" t="s">
        <v>25</v>
      </c>
      <c r="H1077" s="62" t="s">
        <v>35</v>
      </c>
      <c r="I1077" s="75">
        <v>44501</v>
      </c>
      <c r="J1077" s="76">
        <f>EFEITO!$J$1077*EFEITO!$Y$1077</f>
        <v>0</v>
      </c>
      <c r="K1077" s="76">
        <f ca="1">EFEITO!$L$1077*EFEITO!$Z$1077</f>
        <v>26530.067573098615</v>
      </c>
      <c r="L1077" s="76">
        <f>EFEITO!$N$1077*EFEITO!$AA$1077</f>
        <v>60464.487233181411</v>
      </c>
      <c r="M1077" s="76">
        <f>$J$1077-EFEITO!$K$1077*EFEITO!$Y$1077</f>
        <v>0</v>
      </c>
      <c r="N1077" s="76">
        <f ca="1">$K$1077-EFEITO!$M$1077*EFEITO!$Z$1077</f>
        <v>0</v>
      </c>
      <c r="O1077" s="76">
        <f>$L$1077-EFEITO!$O$1077*EFEITO!$AA$1077</f>
        <v>0</v>
      </c>
      <c r="P1077" s="18"/>
      <c r="Q1077" s="18"/>
      <c r="R1077" s="18"/>
      <c r="S1077" s="18"/>
      <c r="T1077" s="18"/>
      <c r="U1077" s="18"/>
      <c r="V1077" s="18"/>
      <c r="W1077" s="18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62" t="s">
        <v>28</v>
      </c>
      <c r="B1078" s="62" t="s">
        <v>41</v>
      </c>
      <c r="C1078" s="62" t="s">
        <v>42</v>
      </c>
      <c r="D1078" s="62" t="s">
        <v>46</v>
      </c>
      <c r="E1078" s="62" t="s">
        <v>25</v>
      </c>
      <c r="F1078" s="62" t="s">
        <v>25</v>
      </c>
      <c r="G1078" s="62" t="s">
        <v>25</v>
      </c>
      <c r="H1078" s="62" t="s">
        <v>35</v>
      </c>
      <c r="I1078" s="75">
        <v>44501</v>
      </c>
      <c r="J1078" s="76">
        <f>EFEITO!$J$1078*EFEITO!$Y$1078</f>
        <v>0</v>
      </c>
      <c r="K1078" s="76">
        <f ca="1">EFEITO!$L$1078*EFEITO!$Z$1078</f>
        <v>1180.024245128498</v>
      </c>
      <c r="L1078" s="76">
        <f>EFEITO!$N$1078*EFEITO!$AA$1078</f>
        <v>2689.3848162213039</v>
      </c>
      <c r="M1078" s="76">
        <f>$J$1078-EFEITO!$K$1078*EFEITO!$Y$1078</f>
        <v>0</v>
      </c>
      <c r="N1078" s="76">
        <f ca="1">$K$1078-EFEITO!$M$1078*EFEITO!$Z$1078</f>
        <v>0</v>
      </c>
      <c r="O1078" s="76">
        <f>$L$1078-EFEITO!$O$1078*EFEITO!$AA$1078</f>
        <v>0</v>
      </c>
      <c r="P1078" s="18"/>
      <c r="Q1078" s="18"/>
      <c r="R1078" s="18"/>
      <c r="S1078" s="18"/>
      <c r="T1078" s="18"/>
      <c r="U1078" s="18"/>
      <c r="V1078" s="18"/>
      <c r="W1078" s="18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62" t="s">
        <v>21</v>
      </c>
      <c r="B1079" s="62" t="s">
        <v>41</v>
      </c>
      <c r="C1079" s="62" t="s">
        <v>42</v>
      </c>
      <c r="D1079" s="62" t="s">
        <v>46</v>
      </c>
      <c r="E1079" s="62" t="s">
        <v>25</v>
      </c>
      <c r="F1079" s="62" t="s">
        <v>25</v>
      </c>
      <c r="G1079" s="62" t="s">
        <v>25</v>
      </c>
      <c r="H1079" s="62" t="s">
        <v>35</v>
      </c>
      <c r="I1079" s="75">
        <v>44531</v>
      </c>
      <c r="J1079" s="76">
        <f>EFEITO!$J$1079*EFEITO!$Y$1079</f>
        <v>0</v>
      </c>
      <c r="K1079" s="76">
        <f ca="1">EFEITO!$L$1079*EFEITO!$Z$1079</f>
        <v>30206.064368399329</v>
      </c>
      <c r="L1079" s="76">
        <f>EFEITO!$N$1079*EFEITO!$AA$1079</f>
        <v>68842.425234517446</v>
      </c>
      <c r="M1079" s="76">
        <f>$J$1079-EFEITO!$K$1079*EFEITO!$Y$1079</f>
        <v>0</v>
      </c>
      <c r="N1079" s="76">
        <f ca="1">$K$1079-EFEITO!$M$1079*EFEITO!$Z$1079</f>
        <v>0</v>
      </c>
      <c r="O1079" s="76">
        <f>$L$1079-EFEITO!$O$1079*EFEITO!$AA$1079</f>
        <v>0</v>
      </c>
      <c r="P1079" s="18"/>
      <c r="Q1079" s="18"/>
      <c r="R1079" s="18"/>
      <c r="S1079" s="18"/>
      <c r="T1079" s="18"/>
      <c r="U1079" s="18"/>
      <c r="V1079" s="18"/>
      <c r="W1079" s="18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62" t="s">
        <v>28</v>
      </c>
      <c r="B1080" s="62" t="s">
        <v>41</v>
      </c>
      <c r="C1080" s="62" t="s">
        <v>42</v>
      </c>
      <c r="D1080" s="62" t="s">
        <v>46</v>
      </c>
      <c r="E1080" s="62" t="s">
        <v>25</v>
      </c>
      <c r="F1080" s="62" t="s">
        <v>25</v>
      </c>
      <c r="G1080" s="62" t="s">
        <v>25</v>
      </c>
      <c r="H1080" s="62" t="s">
        <v>35</v>
      </c>
      <c r="I1080" s="75">
        <v>44531</v>
      </c>
      <c r="J1080" s="76">
        <f>EFEITO!$J$1080*EFEITO!$Y$1080</f>
        <v>0</v>
      </c>
      <c r="K1080" s="76">
        <f ca="1">EFEITO!$L$1080*EFEITO!$Z$1080</f>
        <v>938.68688495546712</v>
      </c>
      <c r="L1080" s="76">
        <f>EFEITO!$N$1080*EFEITO!$AA$1080</f>
        <v>2139.3545649652347</v>
      </c>
      <c r="M1080" s="76">
        <f>$J$1080-EFEITO!$K$1080*EFEITO!$Y$1080</f>
        <v>0</v>
      </c>
      <c r="N1080" s="76">
        <f ca="1">$K$1080-EFEITO!$M$1080*EFEITO!$Z$1080</f>
        <v>0</v>
      </c>
      <c r="O1080" s="76">
        <f>$L$1080-EFEITO!$O$1080*EFEITO!$AA$1080</f>
        <v>0</v>
      </c>
      <c r="P1080" s="18"/>
      <c r="Q1080" s="18"/>
      <c r="R1080" s="18"/>
      <c r="S1080" s="18"/>
      <c r="T1080" s="18"/>
      <c r="U1080" s="18"/>
      <c r="V1080" s="18"/>
      <c r="W1080" s="18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62" t="s">
        <v>21</v>
      </c>
      <c r="B1081" s="62" t="s">
        <v>41</v>
      </c>
      <c r="C1081" s="62" t="s">
        <v>42</v>
      </c>
      <c r="D1081" s="62" t="s">
        <v>46</v>
      </c>
      <c r="E1081" s="62" t="s">
        <v>25</v>
      </c>
      <c r="F1081" s="62" t="s">
        <v>25</v>
      </c>
      <c r="G1081" s="62" t="s">
        <v>25</v>
      </c>
      <c r="H1081" s="62" t="s">
        <v>35</v>
      </c>
      <c r="I1081" s="75">
        <v>44562</v>
      </c>
      <c r="J1081" s="76">
        <f>EFEITO!$J$1081*EFEITO!$Y$1081</f>
        <v>0</v>
      </c>
      <c r="K1081" s="76">
        <f ca="1">EFEITO!$L$1081*EFEITO!$Z$1081</f>
        <v>31209.483540736062</v>
      </c>
      <c r="L1081" s="76">
        <f>EFEITO!$N$1081*EFEITO!$AA$1081</f>
        <v>71129.31069261572</v>
      </c>
      <c r="M1081" s="76">
        <f>$J$1081-EFEITO!$K$1081*EFEITO!$Y$1081</f>
        <v>0</v>
      </c>
      <c r="N1081" s="76">
        <f ca="1">$K$1081-EFEITO!$M$1081*EFEITO!$Z$1081</f>
        <v>0</v>
      </c>
      <c r="O1081" s="76">
        <f>$L$1081-EFEITO!$O$1081*EFEITO!$AA$1081</f>
        <v>0</v>
      </c>
      <c r="P1081" s="18"/>
      <c r="Q1081" s="18"/>
      <c r="R1081" s="18"/>
      <c r="S1081" s="18"/>
      <c r="T1081" s="18"/>
      <c r="U1081" s="18"/>
      <c r="V1081" s="18"/>
      <c r="W1081" s="18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62" t="s">
        <v>28</v>
      </c>
      <c r="B1082" s="62" t="s">
        <v>41</v>
      </c>
      <c r="C1082" s="62" t="s">
        <v>42</v>
      </c>
      <c r="D1082" s="62" t="s">
        <v>46</v>
      </c>
      <c r="E1082" s="62" t="s">
        <v>25</v>
      </c>
      <c r="F1082" s="62" t="s">
        <v>25</v>
      </c>
      <c r="G1082" s="62" t="s">
        <v>25</v>
      </c>
      <c r="H1082" s="62" t="s">
        <v>35</v>
      </c>
      <c r="I1082" s="75">
        <v>44562</v>
      </c>
      <c r="J1082" s="76">
        <f>EFEITO!$J$1082*EFEITO!$Y$1082</f>
        <v>0</v>
      </c>
      <c r="K1082" s="76">
        <f ca="1">EFEITO!$L$1082*EFEITO!$Z$1082</f>
        <v>877.39049393202083</v>
      </c>
      <c r="L1082" s="76">
        <f>EFEITO!$N$1082*EFEITO!$AA$1082</f>
        <v>1999.6543986439324</v>
      </c>
      <c r="M1082" s="76">
        <f>$J$1082-EFEITO!$K$1082*EFEITO!$Y$1082</f>
        <v>0</v>
      </c>
      <c r="N1082" s="76">
        <f ca="1">$K$1082-EFEITO!$M$1082*EFEITO!$Z$1082</f>
        <v>0</v>
      </c>
      <c r="O1082" s="76">
        <f>$L$1082-EFEITO!$O$1082*EFEITO!$AA$1082</f>
        <v>0</v>
      </c>
      <c r="P1082" s="18"/>
      <c r="Q1082" s="18"/>
      <c r="R1082" s="18"/>
      <c r="S1082" s="18"/>
      <c r="T1082" s="18"/>
      <c r="U1082" s="18"/>
      <c r="V1082" s="18"/>
      <c r="W1082" s="18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62" t="s">
        <v>21</v>
      </c>
      <c r="B1083" s="62" t="s">
        <v>41</v>
      </c>
      <c r="C1083" s="62" t="s">
        <v>42</v>
      </c>
      <c r="D1083" s="62" t="s">
        <v>46</v>
      </c>
      <c r="E1083" s="62" t="s">
        <v>25</v>
      </c>
      <c r="F1083" s="62" t="s">
        <v>25</v>
      </c>
      <c r="G1083" s="62" t="s">
        <v>25</v>
      </c>
      <c r="H1083" s="62" t="s">
        <v>35</v>
      </c>
      <c r="I1083" s="75">
        <v>44593</v>
      </c>
      <c r="J1083" s="76">
        <f>EFEITO!$J$1083*EFEITO!$Y$1083</f>
        <v>0</v>
      </c>
      <c r="K1083" s="76">
        <f ca="1">EFEITO!$L$1083*EFEITO!$Z$1083</f>
        <v>32064.884297978053</v>
      </c>
      <c r="L1083" s="76">
        <f>EFEITO!$N$1083*EFEITO!$AA$1083</f>
        <v>73078.848439664565</v>
      </c>
      <c r="M1083" s="76">
        <f>$J$1083-EFEITO!$K$1083*EFEITO!$Y$1083</f>
        <v>0</v>
      </c>
      <c r="N1083" s="76">
        <f ca="1">$K$1083-EFEITO!$M$1083*EFEITO!$Z$1083</f>
        <v>0</v>
      </c>
      <c r="O1083" s="76">
        <f>$L$1083-EFEITO!$O$1083*EFEITO!$AA$1083</f>
        <v>0</v>
      </c>
      <c r="P1083" s="18"/>
      <c r="Q1083" s="18"/>
      <c r="R1083" s="18"/>
      <c r="S1083" s="18"/>
      <c r="T1083" s="18"/>
      <c r="U1083" s="18"/>
      <c r="V1083" s="18"/>
      <c r="W1083" s="18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62" t="s">
        <v>28</v>
      </c>
      <c r="B1084" s="62" t="s">
        <v>41</v>
      </c>
      <c r="C1084" s="62" t="s">
        <v>42</v>
      </c>
      <c r="D1084" s="62" t="s">
        <v>46</v>
      </c>
      <c r="E1084" s="62" t="s">
        <v>25</v>
      </c>
      <c r="F1084" s="62" t="s">
        <v>25</v>
      </c>
      <c r="G1084" s="62" t="s">
        <v>25</v>
      </c>
      <c r="H1084" s="62" t="s">
        <v>35</v>
      </c>
      <c r="I1084" s="75">
        <v>44593</v>
      </c>
      <c r="J1084" s="76">
        <f>EFEITO!$J$1084*EFEITO!$Y$1084</f>
        <v>0</v>
      </c>
      <c r="K1084" s="76">
        <f ca="1">EFEITO!$L$1084*EFEITO!$Z$1084</f>
        <v>1786.3912343559532</v>
      </c>
      <c r="L1084" s="76">
        <f>EFEITO!$N$1084*EFEITO!$AA$1084</f>
        <v>4071.3514839558006</v>
      </c>
      <c r="M1084" s="76">
        <f>$J$1084-EFEITO!$K$1084*EFEITO!$Y$1084</f>
        <v>0</v>
      </c>
      <c r="N1084" s="76">
        <f ca="1">$K$1084-EFEITO!$M$1084*EFEITO!$Z$1084</f>
        <v>0</v>
      </c>
      <c r="O1084" s="76">
        <f>$L$1084-EFEITO!$O$1084*EFEITO!$AA$1084</f>
        <v>0</v>
      </c>
      <c r="P1084" s="18"/>
      <c r="Q1084" s="18"/>
      <c r="R1084" s="18"/>
      <c r="S1084" s="18"/>
      <c r="T1084" s="18"/>
      <c r="U1084" s="18"/>
      <c r="V1084" s="18"/>
      <c r="W1084" s="18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62" t="s">
        <v>21</v>
      </c>
      <c r="B1085" s="62" t="s">
        <v>41</v>
      </c>
      <c r="C1085" s="62" t="s">
        <v>42</v>
      </c>
      <c r="D1085" s="62" t="s">
        <v>46</v>
      </c>
      <c r="E1085" s="62" t="s">
        <v>25</v>
      </c>
      <c r="F1085" s="62" t="s">
        <v>25</v>
      </c>
      <c r="G1085" s="62" t="s">
        <v>25</v>
      </c>
      <c r="H1085" s="62" t="s">
        <v>35</v>
      </c>
      <c r="I1085" s="75">
        <v>44621</v>
      </c>
      <c r="J1085" s="76">
        <f>EFEITO!$J$1085*EFEITO!$Y$1085</f>
        <v>0</v>
      </c>
      <c r="K1085" s="76">
        <f ca="1">EFEITO!$L$1085*EFEITO!$Z$1085</f>
        <v>41285.318327960093</v>
      </c>
      <c r="L1085" s="76">
        <f>EFEITO!$N$1085*EFEITO!$AA$1085</f>
        <v>94093.073682556598</v>
      </c>
      <c r="M1085" s="76">
        <f>$J$1085-EFEITO!$K$1085*EFEITO!$Y$1085</f>
        <v>0</v>
      </c>
      <c r="N1085" s="76">
        <f ca="1">$K$1085-EFEITO!$M$1085*EFEITO!$Z$1085</f>
        <v>0</v>
      </c>
      <c r="O1085" s="76">
        <f>$L$1085-EFEITO!$O$1085*EFEITO!$AA$1085</f>
        <v>0</v>
      </c>
      <c r="P1085" s="18"/>
      <c r="Q1085" s="18"/>
      <c r="R1085" s="18"/>
      <c r="S1085" s="18"/>
      <c r="T1085" s="18"/>
      <c r="U1085" s="18"/>
      <c r="V1085" s="18"/>
      <c r="W1085" s="18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62" t="s">
        <v>27</v>
      </c>
      <c r="B1086" s="62" t="s">
        <v>41</v>
      </c>
      <c r="C1086" s="62" t="s">
        <v>42</v>
      </c>
      <c r="D1086" s="62" t="s">
        <v>46</v>
      </c>
      <c r="E1086" s="62" t="s">
        <v>25</v>
      </c>
      <c r="F1086" s="62" t="s">
        <v>25</v>
      </c>
      <c r="G1086" s="62" t="s">
        <v>25</v>
      </c>
      <c r="H1086" s="62" t="s">
        <v>35</v>
      </c>
      <c r="I1086" s="75">
        <v>44621</v>
      </c>
      <c r="J1086" s="76">
        <f>EFEITO!$J$1086*EFEITO!$Y$1086</f>
        <v>0</v>
      </c>
      <c r="K1086" s="76">
        <f ca="1">EFEITO!$L$1086*EFEITO!$Z$1086</f>
        <v>4981.225103708045</v>
      </c>
      <c r="L1086" s="76">
        <f>EFEITO!$N$1086*EFEITO!$AA$1086</f>
        <v>11352.674502576861</v>
      </c>
      <c r="M1086" s="76">
        <f>$J$1086-EFEITO!$K$1086*EFEITO!$Y$1086</f>
        <v>0</v>
      </c>
      <c r="N1086" s="76">
        <f ca="1">$K$1086-EFEITO!$M$1086*EFEITO!$Z$1086</f>
        <v>0</v>
      </c>
      <c r="O1086" s="76">
        <f>$L$1086-EFEITO!$O$1086*EFEITO!$AA$1086</f>
        <v>0</v>
      </c>
      <c r="P1086" s="18"/>
      <c r="Q1086" s="18"/>
      <c r="R1086" s="18"/>
      <c r="S1086" s="18"/>
      <c r="T1086" s="18"/>
      <c r="U1086" s="18"/>
      <c r="V1086" s="18"/>
      <c r="W1086" s="18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62" t="s">
        <v>28</v>
      </c>
      <c r="B1087" s="62" t="s">
        <v>41</v>
      </c>
      <c r="C1087" s="62" t="s">
        <v>42</v>
      </c>
      <c r="D1087" s="62" t="s">
        <v>46</v>
      </c>
      <c r="E1087" s="62" t="s">
        <v>25</v>
      </c>
      <c r="F1087" s="62" t="s">
        <v>25</v>
      </c>
      <c r="G1087" s="62" t="s">
        <v>25</v>
      </c>
      <c r="H1087" s="62" t="s">
        <v>35</v>
      </c>
      <c r="I1087" s="75">
        <v>44621</v>
      </c>
      <c r="J1087" s="76">
        <f>EFEITO!$J$1087*EFEITO!$Y$1087</f>
        <v>0</v>
      </c>
      <c r="K1087" s="76">
        <f ca="1">EFEITO!$L$1087*EFEITO!$Z$1087</f>
        <v>1414.764684294521</v>
      </c>
      <c r="L1087" s="76">
        <f>EFEITO!$N$1087*EFEITO!$AA$1087</f>
        <v>3224.3800719988471</v>
      </c>
      <c r="M1087" s="76">
        <f>$J$1087-EFEITO!$K$1087*EFEITO!$Y$1087</f>
        <v>0</v>
      </c>
      <c r="N1087" s="76">
        <f ca="1">$K$1087-EFEITO!$M$1087*EFEITO!$Z$1087</f>
        <v>0</v>
      </c>
      <c r="O1087" s="76">
        <f>$L$1087-EFEITO!$O$1087*EFEITO!$AA$1087</f>
        <v>0</v>
      </c>
      <c r="P1087" s="18"/>
      <c r="Q1087" s="18"/>
      <c r="R1087" s="18"/>
      <c r="S1087" s="18"/>
      <c r="T1087" s="18"/>
      <c r="U1087" s="18"/>
      <c r="V1087" s="18"/>
      <c r="W1087" s="18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62" t="s">
        <v>21</v>
      </c>
      <c r="B1088" s="62" t="s">
        <v>41</v>
      </c>
      <c r="C1088" s="62" t="s">
        <v>42</v>
      </c>
      <c r="D1088" s="62" t="s">
        <v>46</v>
      </c>
      <c r="E1088" s="62" t="s">
        <v>25</v>
      </c>
      <c r="F1088" s="62" t="s">
        <v>25</v>
      </c>
      <c r="G1088" s="62" t="s">
        <v>25</v>
      </c>
      <c r="H1088" s="62" t="s">
        <v>35</v>
      </c>
      <c r="I1088" s="75">
        <v>44652</v>
      </c>
      <c r="J1088" s="76">
        <f>EFEITO!$J$1088*EFEITO!$Y$1088</f>
        <v>0</v>
      </c>
      <c r="K1088" s="76">
        <f ca="1">EFEITO!$L$1088*EFEITO!$Z$1088</f>
        <v>46440.537223227962</v>
      </c>
      <c r="L1088" s="76">
        <f>EFEITO!$N$1088*EFEITO!$AA$1088</f>
        <v>105842.29619087957</v>
      </c>
      <c r="M1088" s="76">
        <f>$J$1088-EFEITO!$K$1088*EFEITO!$Y$1088</f>
        <v>0</v>
      </c>
      <c r="N1088" s="76">
        <f ca="1">$K$1088-EFEITO!$M$1088*EFEITO!$Z$1088</f>
        <v>0</v>
      </c>
      <c r="O1088" s="76">
        <f>$L$1088-EFEITO!$O$1088*EFEITO!$AA$1088</f>
        <v>0</v>
      </c>
      <c r="P1088" s="18"/>
      <c r="Q1088" s="18"/>
      <c r="R1088" s="18"/>
      <c r="S1088" s="18"/>
      <c r="T1088" s="18"/>
      <c r="U1088" s="18"/>
      <c r="V1088" s="18"/>
      <c r="W1088" s="18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62" t="s">
        <v>28</v>
      </c>
      <c r="B1089" s="62" t="s">
        <v>41</v>
      </c>
      <c r="C1089" s="62" t="s">
        <v>42</v>
      </c>
      <c r="D1089" s="62" t="s">
        <v>46</v>
      </c>
      <c r="E1089" s="62" t="s">
        <v>25</v>
      </c>
      <c r="F1089" s="62" t="s">
        <v>25</v>
      </c>
      <c r="G1089" s="62" t="s">
        <v>25</v>
      </c>
      <c r="H1089" s="62" t="s">
        <v>35</v>
      </c>
      <c r="I1089" s="75">
        <v>44652</v>
      </c>
      <c r="J1089" s="76">
        <f>EFEITO!$J$1089*EFEITO!$Y$1089</f>
        <v>0</v>
      </c>
      <c r="K1089" s="76">
        <f ca="1">EFEITO!$L$1089*EFEITO!$Z$1089</f>
        <v>2094.9347272878749</v>
      </c>
      <c r="L1089" s="76">
        <f>EFEITO!$N$1089*EFEITO!$AA$1089</f>
        <v>4774.5507516493517</v>
      </c>
      <c r="M1089" s="76">
        <f>$J$1089-EFEITO!$K$1089*EFEITO!$Y$1089</f>
        <v>0</v>
      </c>
      <c r="N1089" s="76">
        <f ca="1">$K$1089-EFEITO!$M$1089*EFEITO!$Z$1089</f>
        <v>0</v>
      </c>
      <c r="O1089" s="76">
        <f>$L$1089-EFEITO!$O$1089*EFEITO!$AA$1089</f>
        <v>0</v>
      </c>
      <c r="P1089" s="18"/>
      <c r="Q1089" s="18"/>
      <c r="R1089" s="18"/>
      <c r="S1089" s="18"/>
      <c r="T1089" s="18"/>
      <c r="U1089" s="18"/>
      <c r="V1089" s="18"/>
      <c r="W1089" s="18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62" t="s">
        <v>58</v>
      </c>
      <c r="B1090" s="62" t="s">
        <v>41</v>
      </c>
      <c r="C1090" s="62" t="s">
        <v>42</v>
      </c>
      <c r="D1090" s="62" t="s">
        <v>46</v>
      </c>
      <c r="E1090" s="62" t="s">
        <v>25</v>
      </c>
      <c r="F1090" s="62" t="s">
        <v>25</v>
      </c>
      <c r="G1090" s="62" t="s">
        <v>25</v>
      </c>
      <c r="H1090" s="62" t="s">
        <v>35</v>
      </c>
      <c r="I1090" s="75">
        <v>44682</v>
      </c>
      <c r="J1090" s="76">
        <f>EFEITO!$J$1090*EFEITO!$Y$1090</f>
        <v>0</v>
      </c>
      <c r="K1090" s="76">
        <f ca="1">EFEITO!$L$1090*EFEITO!$Z$1090</f>
        <v>46440.537223227962</v>
      </c>
      <c r="L1090" s="76">
        <f>EFEITO!$N$1090*EFEITO!$AA$1090</f>
        <v>105842.29619087957</v>
      </c>
      <c r="M1090" s="76">
        <f>$J$1090-EFEITO!$K$1090*EFEITO!$Y$1090</f>
        <v>0</v>
      </c>
      <c r="N1090" s="76">
        <f ca="1">$K$1090-EFEITO!$M$1090*EFEITO!$Z$1090</f>
        <v>0</v>
      </c>
      <c r="O1090" s="76">
        <f>$L$1090-EFEITO!$O$1090*EFEITO!$AA$1090</f>
        <v>0</v>
      </c>
      <c r="P1090" s="18"/>
      <c r="Q1090" s="18"/>
      <c r="R1090" s="18"/>
      <c r="S1090" s="18"/>
      <c r="T1090" s="18"/>
      <c r="U1090" s="18"/>
      <c r="V1090" s="18"/>
      <c r="W1090" s="18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62" t="s">
        <v>58</v>
      </c>
      <c r="B1091" s="62" t="s">
        <v>41</v>
      </c>
      <c r="C1091" s="62" t="s">
        <v>42</v>
      </c>
      <c r="D1091" s="62" t="s">
        <v>46</v>
      </c>
      <c r="E1091" s="62" t="s">
        <v>25</v>
      </c>
      <c r="F1091" s="62" t="s">
        <v>25</v>
      </c>
      <c r="G1091" s="62" t="s">
        <v>25</v>
      </c>
      <c r="H1091" s="62" t="s">
        <v>35</v>
      </c>
      <c r="I1091" s="75">
        <v>44682</v>
      </c>
      <c r="J1091" s="76">
        <f>EFEITO!$J$1091*EFEITO!$Y$1091</f>
        <v>0</v>
      </c>
      <c r="K1091" s="76">
        <f ca="1">EFEITO!$L$1091*EFEITO!$Z$1091</f>
        <v>2094.9347272878749</v>
      </c>
      <c r="L1091" s="76">
        <f>EFEITO!$N$1091*EFEITO!$AA$1091</f>
        <v>4774.5507516493517</v>
      </c>
      <c r="M1091" s="76">
        <f>$J$1091-EFEITO!$K$1091*EFEITO!$Y$1091</f>
        <v>0</v>
      </c>
      <c r="N1091" s="76">
        <f ca="1">$K$1091-EFEITO!$M$1091*EFEITO!$Z$1091</f>
        <v>0</v>
      </c>
      <c r="O1091" s="76">
        <f>$L$1091-EFEITO!$O$1091*EFEITO!$AA$1091</f>
        <v>0</v>
      </c>
      <c r="P1091" s="18"/>
      <c r="Q1091" s="18"/>
      <c r="R1091" s="18"/>
      <c r="S1091" s="18"/>
      <c r="T1091" s="18"/>
      <c r="U1091" s="18"/>
      <c r="V1091" s="18"/>
      <c r="W1091" s="18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62" t="s">
        <v>21</v>
      </c>
      <c r="B1092" s="62" t="s">
        <v>41</v>
      </c>
      <c r="C1092" s="62" t="s">
        <v>42</v>
      </c>
      <c r="D1092" s="62" t="s">
        <v>46</v>
      </c>
      <c r="E1092" s="62" t="s">
        <v>25</v>
      </c>
      <c r="F1092" s="62" t="s">
        <v>25</v>
      </c>
      <c r="G1092" s="62" t="s">
        <v>25</v>
      </c>
      <c r="H1092" s="62" t="s">
        <v>25</v>
      </c>
      <c r="I1092" s="75">
        <v>44348</v>
      </c>
      <c r="J1092" s="76">
        <f ca="1">EFEITO!$J$1092*EFEITO!$Y$1092</f>
        <v>70454.922710182072</v>
      </c>
      <c r="K1092" s="76">
        <f>EFEITO!$L$1092*EFEITO!$Z$1092</f>
        <v>0</v>
      </c>
      <c r="L1092" s="76">
        <f>EFEITO!$N$1092*EFEITO!$AA$1092</f>
        <v>0</v>
      </c>
      <c r="M1092" s="76">
        <f ca="1">$J$1092-EFEITO!$K$1092*EFEITO!$Y$1092</f>
        <v>0</v>
      </c>
      <c r="N1092" s="76">
        <f>$K$1092-EFEITO!$M$1092*EFEITO!$Z$1092</f>
        <v>0</v>
      </c>
      <c r="O1092" s="76">
        <f>$L$1092-EFEITO!$O$1092*EFEITO!$AA$1092</f>
        <v>0</v>
      </c>
      <c r="P1092" s="18"/>
      <c r="Q1092" s="18"/>
      <c r="R1092" s="18"/>
      <c r="S1092" s="18"/>
      <c r="T1092" s="18"/>
      <c r="U1092" s="18"/>
      <c r="V1092" s="18"/>
      <c r="W1092" s="18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62" t="s">
        <v>28</v>
      </c>
      <c r="B1093" s="62" t="s">
        <v>41</v>
      </c>
      <c r="C1093" s="62" t="s">
        <v>42</v>
      </c>
      <c r="D1093" s="62" t="s">
        <v>46</v>
      </c>
      <c r="E1093" s="62" t="s">
        <v>25</v>
      </c>
      <c r="F1093" s="62" t="s">
        <v>25</v>
      </c>
      <c r="G1093" s="62" t="s">
        <v>25</v>
      </c>
      <c r="H1093" s="62" t="s">
        <v>25</v>
      </c>
      <c r="I1093" s="75">
        <v>44348</v>
      </c>
      <c r="J1093" s="76">
        <f ca="1">EFEITO!$J$1093*EFEITO!$Y$1093</f>
        <v>8255.5049030120281</v>
      </c>
      <c r="K1093" s="76">
        <f>EFEITO!$L$1093*EFEITO!$Z$1093</f>
        <v>0</v>
      </c>
      <c r="L1093" s="76">
        <f>EFEITO!$N$1093*EFEITO!$AA$1093</f>
        <v>0</v>
      </c>
      <c r="M1093" s="76">
        <f ca="1">$J$1093-EFEITO!$K$1093*EFEITO!$Y$1093</f>
        <v>0</v>
      </c>
      <c r="N1093" s="76">
        <f>$K$1093-EFEITO!$M$1093*EFEITO!$Z$1093</f>
        <v>0</v>
      </c>
      <c r="O1093" s="76">
        <f>$L$1093-EFEITO!$O$1093*EFEITO!$AA$1093</f>
        <v>0</v>
      </c>
      <c r="P1093" s="18"/>
      <c r="Q1093" s="18"/>
      <c r="R1093" s="18"/>
      <c r="S1093" s="18"/>
      <c r="T1093" s="18"/>
      <c r="U1093" s="18"/>
      <c r="V1093" s="18"/>
      <c r="W1093" s="18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62" t="s">
        <v>21</v>
      </c>
      <c r="B1094" s="62" t="s">
        <v>41</v>
      </c>
      <c r="C1094" s="62" t="s">
        <v>42</v>
      </c>
      <c r="D1094" s="62" t="s">
        <v>46</v>
      </c>
      <c r="E1094" s="62" t="s">
        <v>25</v>
      </c>
      <c r="F1094" s="62" t="s">
        <v>25</v>
      </c>
      <c r="G1094" s="62" t="s">
        <v>25</v>
      </c>
      <c r="H1094" s="62" t="s">
        <v>25</v>
      </c>
      <c r="I1094" s="75">
        <v>44378</v>
      </c>
      <c r="J1094" s="76">
        <f ca="1">EFEITO!$J$1094*EFEITO!$Y$1094</f>
        <v>63391.548479085133</v>
      </c>
      <c r="K1094" s="76">
        <f>EFEITO!$L$1094*EFEITO!$Z$1094</f>
        <v>0</v>
      </c>
      <c r="L1094" s="76">
        <f>EFEITO!$N$1094*EFEITO!$AA$1094</f>
        <v>0</v>
      </c>
      <c r="M1094" s="76">
        <f ca="1">$J$1094-EFEITO!$K$1094*EFEITO!$Y$1094</f>
        <v>0</v>
      </c>
      <c r="N1094" s="76">
        <f>$K$1094-EFEITO!$M$1094*EFEITO!$Z$1094</f>
        <v>0</v>
      </c>
      <c r="O1094" s="76">
        <f>$L$1094-EFEITO!$O$1094*EFEITO!$AA$1094</f>
        <v>0</v>
      </c>
      <c r="P1094" s="18"/>
      <c r="Q1094" s="18"/>
      <c r="R1094" s="18"/>
      <c r="S1094" s="18"/>
      <c r="T1094" s="18"/>
      <c r="U1094" s="18"/>
      <c r="V1094" s="18"/>
      <c r="W1094" s="18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62" t="s">
        <v>28</v>
      </c>
      <c r="B1095" s="62" t="s">
        <v>41</v>
      </c>
      <c r="C1095" s="62" t="s">
        <v>42</v>
      </c>
      <c r="D1095" s="62" t="s">
        <v>46</v>
      </c>
      <c r="E1095" s="62" t="s">
        <v>25</v>
      </c>
      <c r="F1095" s="62" t="s">
        <v>25</v>
      </c>
      <c r="G1095" s="62" t="s">
        <v>25</v>
      </c>
      <c r="H1095" s="62" t="s">
        <v>25</v>
      </c>
      <c r="I1095" s="75">
        <v>44378</v>
      </c>
      <c r="J1095" s="76">
        <f ca="1">EFEITO!$J$1095*EFEITO!$Y$1095</f>
        <v>8255.5049030120281</v>
      </c>
      <c r="K1095" s="76">
        <f>EFEITO!$L$1095*EFEITO!$Z$1095</f>
        <v>0</v>
      </c>
      <c r="L1095" s="76">
        <f>EFEITO!$N$1095*EFEITO!$AA$1095</f>
        <v>0</v>
      </c>
      <c r="M1095" s="76">
        <f ca="1">$J$1095-EFEITO!$K$1095*EFEITO!$Y$1095</f>
        <v>0</v>
      </c>
      <c r="N1095" s="76">
        <f>$K$1095-EFEITO!$M$1095*EFEITO!$Z$1095</f>
        <v>0</v>
      </c>
      <c r="O1095" s="76">
        <f>$L$1095-EFEITO!$O$1095*EFEITO!$AA$1095</f>
        <v>0</v>
      </c>
      <c r="P1095" s="18"/>
      <c r="Q1095" s="18"/>
      <c r="R1095" s="18"/>
      <c r="S1095" s="18"/>
      <c r="T1095" s="18"/>
      <c r="U1095" s="18"/>
      <c r="V1095" s="18"/>
      <c r="W1095" s="18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62" t="s">
        <v>21</v>
      </c>
      <c r="B1096" s="62" t="s">
        <v>41</v>
      </c>
      <c r="C1096" s="62" t="s">
        <v>42</v>
      </c>
      <c r="D1096" s="62" t="s">
        <v>46</v>
      </c>
      <c r="E1096" s="62" t="s">
        <v>25</v>
      </c>
      <c r="F1096" s="62" t="s">
        <v>25</v>
      </c>
      <c r="G1096" s="62" t="s">
        <v>25</v>
      </c>
      <c r="H1096" s="62" t="s">
        <v>25</v>
      </c>
      <c r="I1096" s="75">
        <v>44409</v>
      </c>
      <c r="J1096" s="76">
        <f ca="1">EFEITO!$J$1096*EFEITO!$Y$1096</f>
        <v>63391.548479085133</v>
      </c>
      <c r="K1096" s="76">
        <f>EFEITO!$L$1096*EFEITO!$Z$1096</f>
        <v>0</v>
      </c>
      <c r="L1096" s="76">
        <f>EFEITO!$N$1096*EFEITO!$AA$1096</f>
        <v>0</v>
      </c>
      <c r="M1096" s="76">
        <f ca="1">$J$1096-EFEITO!$K$1096*EFEITO!$Y$1096</f>
        <v>0</v>
      </c>
      <c r="N1096" s="76">
        <f>$K$1096-EFEITO!$M$1096*EFEITO!$Z$1096</f>
        <v>0</v>
      </c>
      <c r="O1096" s="76">
        <f>$L$1096-EFEITO!$O$1096*EFEITO!$AA$1096</f>
        <v>0</v>
      </c>
      <c r="P1096" s="18"/>
      <c r="Q1096" s="18"/>
      <c r="R1096" s="18"/>
      <c r="S1096" s="18"/>
      <c r="T1096" s="18"/>
      <c r="U1096" s="18"/>
      <c r="V1096" s="18"/>
      <c r="W1096" s="18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62" t="s">
        <v>28</v>
      </c>
      <c r="B1097" s="62" t="s">
        <v>41</v>
      </c>
      <c r="C1097" s="62" t="s">
        <v>42</v>
      </c>
      <c r="D1097" s="62" t="s">
        <v>46</v>
      </c>
      <c r="E1097" s="62" t="s">
        <v>25</v>
      </c>
      <c r="F1097" s="62" t="s">
        <v>25</v>
      </c>
      <c r="G1097" s="62" t="s">
        <v>25</v>
      </c>
      <c r="H1097" s="62" t="s">
        <v>25</v>
      </c>
      <c r="I1097" s="75">
        <v>44409</v>
      </c>
      <c r="J1097" s="76">
        <f ca="1">EFEITO!$J$1097*EFEITO!$Y$1097</f>
        <v>8255.5049030120281</v>
      </c>
      <c r="K1097" s="76">
        <f>EFEITO!$L$1097*EFEITO!$Z$1097</f>
        <v>0</v>
      </c>
      <c r="L1097" s="76">
        <f>EFEITO!$N$1097*EFEITO!$AA$1097</f>
        <v>0</v>
      </c>
      <c r="M1097" s="76">
        <f ca="1">$J$1097-EFEITO!$K$1097*EFEITO!$Y$1097</f>
        <v>0</v>
      </c>
      <c r="N1097" s="76">
        <f>$K$1097-EFEITO!$M$1097*EFEITO!$Z$1097</f>
        <v>0</v>
      </c>
      <c r="O1097" s="76">
        <f>$L$1097-EFEITO!$O$1097*EFEITO!$AA$1097</f>
        <v>0</v>
      </c>
      <c r="P1097" s="18"/>
      <c r="Q1097" s="18"/>
      <c r="R1097" s="18"/>
      <c r="S1097" s="18"/>
      <c r="T1097" s="18"/>
      <c r="U1097" s="18"/>
      <c r="V1097" s="18"/>
      <c r="W1097" s="18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62" t="s">
        <v>21</v>
      </c>
      <c r="B1098" s="62" t="s">
        <v>41</v>
      </c>
      <c r="C1098" s="62" t="s">
        <v>42</v>
      </c>
      <c r="D1098" s="62" t="s">
        <v>46</v>
      </c>
      <c r="E1098" s="62" t="s">
        <v>25</v>
      </c>
      <c r="F1098" s="62" t="s">
        <v>25</v>
      </c>
      <c r="G1098" s="62" t="s">
        <v>25</v>
      </c>
      <c r="H1098" s="62" t="s">
        <v>25</v>
      </c>
      <c r="I1098" s="75">
        <v>44440</v>
      </c>
      <c r="J1098" s="76">
        <f ca="1">EFEITO!$J$1098*EFEITO!$Y$1098</f>
        <v>63331.94194548938</v>
      </c>
      <c r="K1098" s="76">
        <f>EFEITO!$L$1098*EFEITO!$Z$1098</f>
        <v>0</v>
      </c>
      <c r="L1098" s="76">
        <f>EFEITO!$N$1098*EFEITO!$AA$1098</f>
        <v>0</v>
      </c>
      <c r="M1098" s="76">
        <f ca="1">$J$1098-EFEITO!$K$1098*EFEITO!$Y$1098</f>
        <v>0</v>
      </c>
      <c r="N1098" s="76">
        <f>$K$1098-EFEITO!$M$1098*EFEITO!$Z$1098</f>
        <v>0</v>
      </c>
      <c r="O1098" s="76">
        <f>$L$1098-EFEITO!$O$1098*EFEITO!$AA$1098</f>
        <v>0</v>
      </c>
      <c r="P1098" s="18"/>
      <c r="Q1098" s="18"/>
      <c r="R1098" s="18"/>
      <c r="S1098" s="18"/>
      <c r="T1098" s="18"/>
      <c r="U1098" s="18"/>
      <c r="V1098" s="18"/>
      <c r="W1098" s="18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62" t="s">
        <v>28</v>
      </c>
      <c r="B1099" s="62" t="s">
        <v>41</v>
      </c>
      <c r="C1099" s="62" t="s">
        <v>42</v>
      </c>
      <c r="D1099" s="62" t="s">
        <v>46</v>
      </c>
      <c r="E1099" s="62" t="s">
        <v>25</v>
      </c>
      <c r="F1099" s="62" t="s">
        <v>25</v>
      </c>
      <c r="G1099" s="62" t="s">
        <v>25</v>
      </c>
      <c r="H1099" s="62" t="s">
        <v>25</v>
      </c>
      <c r="I1099" s="75">
        <v>44440</v>
      </c>
      <c r="J1099" s="76">
        <f ca="1">EFEITO!$J$1099*EFEITO!$Y$1099</f>
        <v>8255.5049030120281</v>
      </c>
      <c r="K1099" s="76">
        <f>EFEITO!$L$1099*EFEITO!$Z$1099</f>
        <v>0</v>
      </c>
      <c r="L1099" s="76">
        <f>EFEITO!$N$1099*EFEITO!$AA$1099</f>
        <v>0</v>
      </c>
      <c r="M1099" s="76">
        <f ca="1">$J$1099-EFEITO!$K$1099*EFEITO!$Y$1099</f>
        <v>0</v>
      </c>
      <c r="N1099" s="76">
        <f>$K$1099-EFEITO!$M$1099*EFEITO!$Z$1099</f>
        <v>0</v>
      </c>
      <c r="O1099" s="76">
        <f>$L$1099-EFEITO!$O$1099*EFEITO!$AA$1099</f>
        <v>0</v>
      </c>
      <c r="P1099" s="18"/>
      <c r="Q1099" s="18"/>
      <c r="R1099" s="18"/>
      <c r="S1099" s="18"/>
      <c r="T1099" s="18"/>
      <c r="U1099" s="18"/>
      <c r="V1099" s="18"/>
      <c r="W1099" s="18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62" t="s">
        <v>21</v>
      </c>
      <c r="B1100" s="62" t="s">
        <v>41</v>
      </c>
      <c r="C1100" s="62" t="s">
        <v>42</v>
      </c>
      <c r="D1100" s="62" t="s">
        <v>46</v>
      </c>
      <c r="E1100" s="62" t="s">
        <v>25</v>
      </c>
      <c r="F1100" s="62" t="s">
        <v>25</v>
      </c>
      <c r="G1100" s="62" t="s">
        <v>25</v>
      </c>
      <c r="H1100" s="62" t="s">
        <v>25</v>
      </c>
      <c r="I1100" s="75">
        <v>44470</v>
      </c>
      <c r="J1100" s="76">
        <f ca="1">EFEITO!$J$1100*EFEITO!$Y$1100</f>
        <v>63421.35174588301</v>
      </c>
      <c r="K1100" s="76">
        <f>EFEITO!$L$1100*EFEITO!$Z$1100</f>
        <v>0</v>
      </c>
      <c r="L1100" s="76">
        <f>EFEITO!$N$1100*EFEITO!$AA$1100</f>
        <v>0</v>
      </c>
      <c r="M1100" s="76">
        <f ca="1">$J$1100-EFEITO!$K$1100*EFEITO!$Y$1100</f>
        <v>0</v>
      </c>
      <c r="N1100" s="76">
        <f>$K$1100-EFEITO!$M$1100*EFEITO!$Z$1100</f>
        <v>0</v>
      </c>
      <c r="O1100" s="76">
        <f>$L$1100-EFEITO!$O$1100*EFEITO!$AA$1100</f>
        <v>0</v>
      </c>
      <c r="P1100" s="18"/>
      <c r="Q1100" s="18"/>
      <c r="R1100" s="18"/>
      <c r="S1100" s="18"/>
      <c r="T1100" s="18"/>
      <c r="U1100" s="18"/>
      <c r="V1100" s="18"/>
      <c r="W1100" s="18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62" t="s">
        <v>28</v>
      </c>
      <c r="B1101" s="62" t="s">
        <v>41</v>
      </c>
      <c r="C1101" s="62" t="s">
        <v>42</v>
      </c>
      <c r="D1101" s="62" t="s">
        <v>46</v>
      </c>
      <c r="E1101" s="62" t="s">
        <v>25</v>
      </c>
      <c r="F1101" s="62" t="s">
        <v>25</v>
      </c>
      <c r="G1101" s="62" t="s">
        <v>25</v>
      </c>
      <c r="H1101" s="62" t="s">
        <v>25</v>
      </c>
      <c r="I1101" s="75">
        <v>44470</v>
      </c>
      <c r="J1101" s="76">
        <f ca="1">EFEITO!$J$1101*EFEITO!$Y$1101</f>
        <v>8255.5049030120281</v>
      </c>
      <c r="K1101" s="76">
        <f>EFEITO!$L$1101*EFEITO!$Z$1101</f>
        <v>0</v>
      </c>
      <c r="L1101" s="76">
        <f>EFEITO!$N$1101*EFEITO!$AA$1101</f>
        <v>0</v>
      </c>
      <c r="M1101" s="76">
        <f ca="1">$J$1101-EFEITO!$K$1101*EFEITO!$Y$1101</f>
        <v>0</v>
      </c>
      <c r="N1101" s="76">
        <f>$K$1101-EFEITO!$M$1101*EFEITO!$Z$1101</f>
        <v>0</v>
      </c>
      <c r="O1101" s="76">
        <f>$L$1101-EFEITO!$O$1101*EFEITO!$AA$1101</f>
        <v>0</v>
      </c>
      <c r="P1101" s="18"/>
      <c r="Q1101" s="18"/>
      <c r="R1101" s="18"/>
      <c r="S1101" s="18"/>
      <c r="T1101" s="18"/>
      <c r="U1101" s="18"/>
      <c r="V1101" s="18"/>
      <c r="W1101" s="18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62" t="s">
        <v>21</v>
      </c>
      <c r="B1102" s="62" t="s">
        <v>41</v>
      </c>
      <c r="C1102" s="62" t="s">
        <v>42</v>
      </c>
      <c r="D1102" s="62" t="s">
        <v>46</v>
      </c>
      <c r="E1102" s="62" t="s">
        <v>25</v>
      </c>
      <c r="F1102" s="62" t="s">
        <v>25</v>
      </c>
      <c r="G1102" s="62" t="s">
        <v>25</v>
      </c>
      <c r="H1102" s="62" t="s">
        <v>25</v>
      </c>
      <c r="I1102" s="75">
        <v>44501</v>
      </c>
      <c r="J1102" s="76">
        <f ca="1">EFEITO!$J$1102*EFEITO!$Y$1102</f>
        <v>62408.040674755182</v>
      </c>
      <c r="K1102" s="76">
        <f>EFEITO!$L$1102*EFEITO!$Z$1102</f>
        <v>0</v>
      </c>
      <c r="L1102" s="76">
        <f>EFEITO!$N$1102*EFEITO!$AA$1102</f>
        <v>0</v>
      </c>
      <c r="M1102" s="76">
        <f ca="1">$J$1102-EFEITO!$K$1102*EFEITO!$Y$1102</f>
        <v>0</v>
      </c>
      <c r="N1102" s="76">
        <f>$K$1102-EFEITO!$M$1102*EFEITO!$Z$1102</f>
        <v>0</v>
      </c>
      <c r="O1102" s="76">
        <f>$L$1102-EFEITO!$O$1102*EFEITO!$AA$1102</f>
        <v>0</v>
      </c>
      <c r="P1102" s="18"/>
      <c r="Q1102" s="18"/>
      <c r="R1102" s="18"/>
      <c r="S1102" s="18"/>
      <c r="T1102" s="18"/>
      <c r="U1102" s="18"/>
      <c r="V1102" s="18"/>
      <c r="W1102" s="18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62" t="s">
        <v>28</v>
      </c>
      <c r="B1103" s="62" t="s">
        <v>41</v>
      </c>
      <c r="C1103" s="62" t="s">
        <v>42</v>
      </c>
      <c r="D1103" s="62" t="s">
        <v>46</v>
      </c>
      <c r="E1103" s="62" t="s">
        <v>25</v>
      </c>
      <c r="F1103" s="62" t="s">
        <v>25</v>
      </c>
      <c r="G1103" s="62" t="s">
        <v>25</v>
      </c>
      <c r="H1103" s="62" t="s">
        <v>25</v>
      </c>
      <c r="I1103" s="75">
        <v>44501</v>
      </c>
      <c r="J1103" s="76">
        <f ca="1">EFEITO!$J$1103*EFEITO!$Y$1103</f>
        <v>8255.5049030120281</v>
      </c>
      <c r="K1103" s="76">
        <f>EFEITO!$L$1103*EFEITO!$Z$1103</f>
        <v>0</v>
      </c>
      <c r="L1103" s="76">
        <f>EFEITO!$N$1103*EFEITO!$AA$1103</f>
        <v>0</v>
      </c>
      <c r="M1103" s="76">
        <f ca="1">$J$1103-EFEITO!$K$1103*EFEITO!$Y$1103</f>
        <v>0</v>
      </c>
      <c r="N1103" s="76">
        <f>$K$1103-EFEITO!$M$1103*EFEITO!$Z$1103</f>
        <v>0</v>
      </c>
      <c r="O1103" s="76">
        <f>$L$1103-EFEITO!$O$1103*EFEITO!$AA$1103</f>
        <v>0</v>
      </c>
      <c r="P1103" s="18"/>
      <c r="Q1103" s="18"/>
      <c r="R1103" s="18"/>
      <c r="S1103" s="18"/>
      <c r="T1103" s="18"/>
      <c r="U1103" s="18"/>
      <c r="V1103" s="18"/>
      <c r="W1103" s="18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62" t="s">
        <v>21</v>
      </c>
      <c r="B1104" s="62" t="s">
        <v>41</v>
      </c>
      <c r="C1104" s="62" t="s">
        <v>42</v>
      </c>
      <c r="D1104" s="62" t="s">
        <v>46</v>
      </c>
      <c r="E1104" s="62" t="s">
        <v>25</v>
      </c>
      <c r="F1104" s="62" t="s">
        <v>25</v>
      </c>
      <c r="G1104" s="62" t="s">
        <v>25</v>
      </c>
      <c r="H1104" s="62" t="s">
        <v>25</v>
      </c>
      <c r="I1104" s="75">
        <v>44531</v>
      </c>
      <c r="J1104" s="76">
        <f ca="1">EFEITO!$J$1104*EFEITO!$Y$1104</f>
        <v>62080.20473997853</v>
      </c>
      <c r="K1104" s="76">
        <f>EFEITO!$L$1104*EFEITO!$Z$1104</f>
        <v>0</v>
      </c>
      <c r="L1104" s="76">
        <f>EFEITO!$N$1104*EFEITO!$AA$1104</f>
        <v>0</v>
      </c>
      <c r="M1104" s="76">
        <f ca="1">$J$1104-EFEITO!$K$1104*EFEITO!$Y$1104</f>
        <v>0</v>
      </c>
      <c r="N1104" s="76">
        <f>$K$1104-EFEITO!$M$1104*EFEITO!$Z$1104</f>
        <v>0</v>
      </c>
      <c r="O1104" s="76">
        <f>$L$1104-EFEITO!$O$1104*EFEITO!$AA$1104</f>
        <v>0</v>
      </c>
      <c r="P1104" s="18"/>
      <c r="Q1104" s="18"/>
      <c r="R1104" s="18"/>
      <c r="S1104" s="18"/>
      <c r="T1104" s="18"/>
      <c r="U1104" s="18"/>
      <c r="V1104" s="18"/>
      <c r="W1104" s="18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62" t="s">
        <v>28</v>
      </c>
      <c r="B1105" s="62" t="s">
        <v>41</v>
      </c>
      <c r="C1105" s="62" t="s">
        <v>42</v>
      </c>
      <c r="D1105" s="62" t="s">
        <v>46</v>
      </c>
      <c r="E1105" s="62" t="s">
        <v>25</v>
      </c>
      <c r="F1105" s="62" t="s">
        <v>25</v>
      </c>
      <c r="G1105" s="62" t="s">
        <v>25</v>
      </c>
      <c r="H1105" s="62" t="s">
        <v>25</v>
      </c>
      <c r="I1105" s="75">
        <v>44531</v>
      </c>
      <c r="J1105" s="76">
        <f ca="1">EFEITO!$J$1105*EFEITO!$Y$1105</f>
        <v>8255.5049030120281</v>
      </c>
      <c r="K1105" s="76">
        <f>EFEITO!$L$1105*EFEITO!$Z$1105</f>
        <v>0</v>
      </c>
      <c r="L1105" s="76">
        <f>EFEITO!$N$1105*EFEITO!$AA$1105</f>
        <v>0</v>
      </c>
      <c r="M1105" s="76">
        <f ca="1">$J$1105-EFEITO!$K$1105*EFEITO!$Y$1105</f>
        <v>0</v>
      </c>
      <c r="N1105" s="76">
        <f>$K$1105-EFEITO!$M$1105*EFEITO!$Z$1105</f>
        <v>0</v>
      </c>
      <c r="O1105" s="76">
        <f>$L$1105-EFEITO!$O$1105*EFEITO!$AA$1105</f>
        <v>0</v>
      </c>
      <c r="P1105" s="18"/>
      <c r="Q1105" s="18"/>
      <c r="R1105" s="18"/>
      <c r="S1105" s="18"/>
      <c r="T1105" s="18"/>
      <c r="U1105" s="18"/>
      <c r="V1105" s="18"/>
      <c r="W1105" s="18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62" t="s">
        <v>21</v>
      </c>
      <c r="B1106" s="62" t="s">
        <v>41</v>
      </c>
      <c r="C1106" s="62" t="s">
        <v>42</v>
      </c>
      <c r="D1106" s="62" t="s">
        <v>46</v>
      </c>
      <c r="E1106" s="62" t="s">
        <v>25</v>
      </c>
      <c r="F1106" s="62" t="s">
        <v>25</v>
      </c>
      <c r="G1106" s="62" t="s">
        <v>25</v>
      </c>
      <c r="H1106" s="62" t="s">
        <v>25</v>
      </c>
      <c r="I1106" s="75">
        <v>44562</v>
      </c>
      <c r="J1106" s="76">
        <f ca="1">EFEITO!$J$1106*EFEITO!$Y$1106</f>
        <v>61633.15573801037</v>
      </c>
      <c r="K1106" s="76">
        <f>EFEITO!$L$1106*EFEITO!$Z$1106</f>
        <v>0</v>
      </c>
      <c r="L1106" s="76">
        <f>EFEITO!$N$1106*EFEITO!$AA$1106</f>
        <v>0</v>
      </c>
      <c r="M1106" s="76">
        <f ca="1">$J$1106-EFEITO!$K$1106*EFEITO!$Y$1106</f>
        <v>0</v>
      </c>
      <c r="N1106" s="76">
        <f>$K$1106-EFEITO!$M$1106*EFEITO!$Z$1106</f>
        <v>0</v>
      </c>
      <c r="O1106" s="76">
        <f>$L$1106-EFEITO!$O$1106*EFEITO!$AA$1106</f>
        <v>0</v>
      </c>
      <c r="P1106" s="18"/>
      <c r="Q1106" s="18"/>
      <c r="R1106" s="18"/>
      <c r="S1106" s="18"/>
      <c r="T1106" s="18"/>
      <c r="U1106" s="18"/>
      <c r="V1106" s="18"/>
      <c r="W1106" s="18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62" t="s">
        <v>28</v>
      </c>
      <c r="B1107" s="62" t="s">
        <v>41</v>
      </c>
      <c r="C1107" s="62" t="s">
        <v>42</v>
      </c>
      <c r="D1107" s="62" t="s">
        <v>46</v>
      </c>
      <c r="E1107" s="62" t="s">
        <v>25</v>
      </c>
      <c r="F1107" s="62" t="s">
        <v>25</v>
      </c>
      <c r="G1107" s="62" t="s">
        <v>25</v>
      </c>
      <c r="H1107" s="62" t="s">
        <v>25</v>
      </c>
      <c r="I1107" s="75">
        <v>44562</v>
      </c>
      <c r="J1107" s="76">
        <f ca="1">EFEITO!$J$1107*EFEITO!$Y$1107</f>
        <v>8255.5049030120281</v>
      </c>
      <c r="K1107" s="76">
        <f>EFEITO!$L$1107*EFEITO!$Z$1107</f>
        <v>0</v>
      </c>
      <c r="L1107" s="76">
        <f>EFEITO!$N$1107*EFEITO!$AA$1107</f>
        <v>0</v>
      </c>
      <c r="M1107" s="76">
        <f ca="1">$J$1107-EFEITO!$K$1107*EFEITO!$Y$1107</f>
        <v>0</v>
      </c>
      <c r="N1107" s="76">
        <f>$K$1107-EFEITO!$M$1107*EFEITO!$Z$1107</f>
        <v>0</v>
      </c>
      <c r="O1107" s="76">
        <f>$L$1107-EFEITO!$O$1107*EFEITO!$AA$1107</f>
        <v>0</v>
      </c>
      <c r="P1107" s="18"/>
      <c r="Q1107" s="18"/>
      <c r="R1107" s="18"/>
      <c r="S1107" s="18"/>
      <c r="T1107" s="18"/>
      <c r="U1107" s="18"/>
      <c r="V1107" s="18"/>
      <c r="W1107" s="18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62" t="s">
        <v>21</v>
      </c>
      <c r="B1108" s="62" t="s">
        <v>41</v>
      </c>
      <c r="C1108" s="62" t="s">
        <v>42</v>
      </c>
      <c r="D1108" s="62" t="s">
        <v>46</v>
      </c>
      <c r="E1108" s="62" t="s">
        <v>25</v>
      </c>
      <c r="F1108" s="62" t="s">
        <v>25</v>
      </c>
      <c r="G1108" s="62" t="s">
        <v>25</v>
      </c>
      <c r="H1108" s="62" t="s">
        <v>25</v>
      </c>
      <c r="I1108" s="75">
        <v>44593</v>
      </c>
      <c r="J1108" s="76">
        <f ca="1">EFEITO!$J$1108*EFEITO!$Y$1108</f>
        <v>63123.319077904242</v>
      </c>
      <c r="K1108" s="76">
        <f>EFEITO!$L$1108*EFEITO!$Z$1108</f>
        <v>0</v>
      </c>
      <c r="L1108" s="76">
        <f>EFEITO!$N$1108*EFEITO!$AA$1108</f>
        <v>0</v>
      </c>
      <c r="M1108" s="76">
        <f ca="1">$J$1108-EFEITO!$K$1108*EFEITO!$Y$1108</f>
        <v>0</v>
      </c>
      <c r="N1108" s="76">
        <f>$K$1108-EFEITO!$M$1108*EFEITO!$Z$1108</f>
        <v>0</v>
      </c>
      <c r="O1108" s="76">
        <f>$L$1108-EFEITO!$O$1108*EFEITO!$AA$1108</f>
        <v>0</v>
      </c>
      <c r="P1108" s="18"/>
      <c r="Q1108" s="18"/>
      <c r="R1108" s="18"/>
      <c r="S1108" s="18"/>
      <c r="T1108" s="18"/>
      <c r="U1108" s="18"/>
      <c r="V1108" s="18"/>
      <c r="W1108" s="18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62" t="s">
        <v>28</v>
      </c>
      <c r="B1109" s="62" t="s">
        <v>41</v>
      </c>
      <c r="C1109" s="62" t="s">
        <v>42</v>
      </c>
      <c r="D1109" s="62" t="s">
        <v>46</v>
      </c>
      <c r="E1109" s="62" t="s">
        <v>25</v>
      </c>
      <c r="F1109" s="62" t="s">
        <v>25</v>
      </c>
      <c r="G1109" s="62" t="s">
        <v>25</v>
      </c>
      <c r="H1109" s="62" t="s">
        <v>25</v>
      </c>
      <c r="I1109" s="75">
        <v>44593</v>
      </c>
      <c r="J1109" s="76">
        <f ca="1">EFEITO!$J$1109*EFEITO!$Y$1109</f>
        <v>12129.929586736083</v>
      </c>
      <c r="K1109" s="76">
        <f>EFEITO!$L$1109*EFEITO!$Z$1109</f>
        <v>0</v>
      </c>
      <c r="L1109" s="76">
        <f>EFEITO!$N$1109*EFEITO!$AA$1109</f>
        <v>0</v>
      </c>
      <c r="M1109" s="76">
        <f ca="1">$J$1109-EFEITO!$K$1109*EFEITO!$Y$1109</f>
        <v>0</v>
      </c>
      <c r="N1109" s="76">
        <f>$K$1109-EFEITO!$M$1109*EFEITO!$Z$1109</f>
        <v>0</v>
      </c>
      <c r="O1109" s="76">
        <f>$L$1109-EFEITO!$O$1109*EFEITO!$AA$1109</f>
        <v>0</v>
      </c>
      <c r="P1109" s="18"/>
      <c r="Q1109" s="18"/>
      <c r="R1109" s="18"/>
      <c r="S1109" s="18"/>
      <c r="T1109" s="18"/>
      <c r="U1109" s="18"/>
      <c r="V1109" s="18"/>
      <c r="W1109" s="18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62" t="s">
        <v>21</v>
      </c>
      <c r="B1110" s="62" t="s">
        <v>41</v>
      </c>
      <c r="C1110" s="62" t="s">
        <v>42</v>
      </c>
      <c r="D1110" s="62" t="s">
        <v>46</v>
      </c>
      <c r="E1110" s="62" t="s">
        <v>25</v>
      </c>
      <c r="F1110" s="62" t="s">
        <v>25</v>
      </c>
      <c r="G1110" s="62" t="s">
        <v>25</v>
      </c>
      <c r="H1110" s="62" t="s">
        <v>25</v>
      </c>
      <c r="I1110" s="75">
        <v>44621</v>
      </c>
      <c r="J1110" s="76">
        <f ca="1">EFEITO!$J$1110*EFEITO!$Y$1110</f>
        <v>68815.743036298809</v>
      </c>
      <c r="K1110" s="76">
        <f>EFEITO!$L$1110*EFEITO!$Z$1110</f>
        <v>0</v>
      </c>
      <c r="L1110" s="76">
        <f>EFEITO!$N$1110*EFEITO!$AA$1110</f>
        <v>0</v>
      </c>
      <c r="M1110" s="76">
        <f ca="1">$J$1110-EFEITO!$K$1110*EFEITO!$Y$1110</f>
        <v>0</v>
      </c>
      <c r="N1110" s="76">
        <f>$K$1110-EFEITO!$M$1110*EFEITO!$Z$1110</f>
        <v>0</v>
      </c>
      <c r="O1110" s="76">
        <f>$L$1110-EFEITO!$O$1110*EFEITO!$AA$1110</f>
        <v>0</v>
      </c>
      <c r="P1110" s="18"/>
      <c r="Q1110" s="18"/>
      <c r="R1110" s="18"/>
      <c r="S1110" s="18"/>
      <c r="T1110" s="18"/>
      <c r="U1110" s="18"/>
      <c r="V1110" s="18"/>
      <c r="W1110" s="18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62" t="s">
        <v>27</v>
      </c>
      <c r="B1111" s="62" t="s">
        <v>41</v>
      </c>
      <c r="C1111" s="62" t="s">
        <v>42</v>
      </c>
      <c r="D1111" s="62" t="s">
        <v>46</v>
      </c>
      <c r="E1111" s="62" t="s">
        <v>25</v>
      </c>
      <c r="F1111" s="62" t="s">
        <v>25</v>
      </c>
      <c r="G1111" s="62" t="s">
        <v>25</v>
      </c>
      <c r="H1111" s="62" t="s">
        <v>25</v>
      </c>
      <c r="I1111" s="75">
        <v>44621</v>
      </c>
      <c r="J1111" s="76">
        <f ca="1">EFEITO!$J$1111*EFEITO!$Y$1111</f>
        <v>6556.718695533018</v>
      </c>
      <c r="K1111" s="76">
        <f>EFEITO!$L$1111*EFEITO!$Z$1111</f>
        <v>0</v>
      </c>
      <c r="L1111" s="76">
        <f>EFEITO!$N$1111*EFEITO!$AA$1111</f>
        <v>0</v>
      </c>
      <c r="M1111" s="76">
        <f ca="1">$J$1111-EFEITO!$K$1111*EFEITO!$Y$1111</f>
        <v>0</v>
      </c>
      <c r="N1111" s="76">
        <f>$K$1111-EFEITO!$M$1111*EFEITO!$Z$1111</f>
        <v>0</v>
      </c>
      <c r="O1111" s="76">
        <f>$L$1111-EFEITO!$O$1111*EFEITO!$AA$1111</f>
        <v>0</v>
      </c>
      <c r="P1111" s="18"/>
      <c r="Q1111" s="18"/>
      <c r="R1111" s="18"/>
      <c r="S1111" s="18"/>
      <c r="T1111" s="18"/>
      <c r="U1111" s="18"/>
      <c r="V1111" s="18"/>
      <c r="W1111" s="18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62" t="s">
        <v>28</v>
      </c>
      <c r="B1112" s="62" t="s">
        <v>41</v>
      </c>
      <c r="C1112" s="62" t="s">
        <v>42</v>
      </c>
      <c r="D1112" s="62" t="s">
        <v>46</v>
      </c>
      <c r="E1112" s="62" t="s">
        <v>25</v>
      </c>
      <c r="F1112" s="62" t="s">
        <v>25</v>
      </c>
      <c r="G1112" s="62" t="s">
        <v>25</v>
      </c>
      <c r="H1112" s="62" t="s">
        <v>25</v>
      </c>
      <c r="I1112" s="75">
        <v>44621</v>
      </c>
      <c r="J1112" s="76">
        <f ca="1">EFEITO!$J$1112*EFEITO!$Y$1112</f>
        <v>12129.929586736083</v>
      </c>
      <c r="K1112" s="76">
        <f>EFEITO!$L$1112*EFEITO!$Z$1112</f>
        <v>0</v>
      </c>
      <c r="L1112" s="76">
        <f>EFEITO!$N$1112*EFEITO!$AA$1112</f>
        <v>0</v>
      </c>
      <c r="M1112" s="76">
        <f ca="1">$J$1112-EFEITO!$K$1112*EFEITO!$Y$1112</f>
        <v>0</v>
      </c>
      <c r="N1112" s="76">
        <f>$K$1112-EFEITO!$M$1112*EFEITO!$Z$1112</f>
        <v>0</v>
      </c>
      <c r="O1112" s="76">
        <f>$L$1112-EFEITO!$O$1112*EFEITO!$AA$1112</f>
        <v>0</v>
      </c>
      <c r="P1112" s="18"/>
      <c r="Q1112" s="18"/>
      <c r="R1112" s="18"/>
      <c r="S1112" s="18"/>
      <c r="T1112" s="18"/>
      <c r="U1112" s="18"/>
      <c r="V1112" s="18"/>
      <c r="W1112" s="18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62" t="s">
        <v>21</v>
      </c>
      <c r="B1113" s="62" t="s">
        <v>41</v>
      </c>
      <c r="C1113" s="62" t="s">
        <v>42</v>
      </c>
      <c r="D1113" s="62" t="s">
        <v>46</v>
      </c>
      <c r="E1113" s="62" t="s">
        <v>25</v>
      </c>
      <c r="F1113" s="62" t="s">
        <v>25</v>
      </c>
      <c r="G1113" s="62" t="s">
        <v>25</v>
      </c>
      <c r="H1113" s="62" t="s">
        <v>25</v>
      </c>
      <c r="I1113" s="75">
        <v>44652</v>
      </c>
      <c r="J1113" s="76">
        <f ca="1">EFEITO!$J$1113*EFEITO!$Y$1113</f>
        <v>70663.545577767218</v>
      </c>
      <c r="K1113" s="76">
        <f>EFEITO!$L$1113*EFEITO!$Z$1113</f>
        <v>0</v>
      </c>
      <c r="L1113" s="76">
        <f>EFEITO!$N$1113*EFEITO!$AA$1113</f>
        <v>0</v>
      </c>
      <c r="M1113" s="76">
        <f ca="1">$J$1113-EFEITO!$K$1113*EFEITO!$Y$1113</f>
        <v>0</v>
      </c>
      <c r="N1113" s="76">
        <f>$K$1113-EFEITO!$M$1113*EFEITO!$Z$1113</f>
        <v>0</v>
      </c>
      <c r="O1113" s="76">
        <f>$L$1113-EFEITO!$O$1113*EFEITO!$AA$1113</f>
        <v>0</v>
      </c>
      <c r="P1113" s="18"/>
      <c r="Q1113" s="18"/>
      <c r="R1113" s="18"/>
      <c r="S1113" s="18"/>
      <c r="T1113" s="18"/>
      <c r="U1113" s="18"/>
      <c r="V1113" s="18"/>
      <c r="W1113" s="18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62" t="s">
        <v>28</v>
      </c>
      <c r="B1114" s="62" t="s">
        <v>41</v>
      </c>
      <c r="C1114" s="62" t="s">
        <v>42</v>
      </c>
      <c r="D1114" s="62" t="s">
        <v>46</v>
      </c>
      <c r="E1114" s="62" t="s">
        <v>25</v>
      </c>
      <c r="F1114" s="62" t="s">
        <v>25</v>
      </c>
      <c r="G1114" s="62" t="s">
        <v>25</v>
      </c>
      <c r="H1114" s="62" t="s">
        <v>25</v>
      </c>
      <c r="I1114" s="75">
        <v>44652</v>
      </c>
      <c r="J1114" s="76">
        <f ca="1">EFEITO!$J$1114*EFEITO!$Y$1114</f>
        <v>12129.929586736083</v>
      </c>
      <c r="K1114" s="76">
        <f>EFEITO!$L$1114*EFEITO!$Z$1114</f>
        <v>0</v>
      </c>
      <c r="L1114" s="76">
        <f>EFEITO!$N$1114*EFEITO!$AA$1114</f>
        <v>0</v>
      </c>
      <c r="M1114" s="76">
        <f ca="1">$J$1114-EFEITO!$K$1114*EFEITO!$Y$1114</f>
        <v>0</v>
      </c>
      <c r="N1114" s="76">
        <f>$K$1114-EFEITO!$M$1114*EFEITO!$Z$1114</f>
        <v>0</v>
      </c>
      <c r="O1114" s="76">
        <f>$L$1114-EFEITO!$O$1114*EFEITO!$AA$1114</f>
        <v>0</v>
      </c>
      <c r="P1114" s="18"/>
      <c r="Q1114" s="18"/>
      <c r="R1114" s="18"/>
      <c r="S1114" s="18"/>
      <c r="T1114" s="18"/>
      <c r="U1114" s="18"/>
      <c r="V1114" s="18"/>
      <c r="W1114" s="18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62" t="s">
        <v>58</v>
      </c>
      <c r="B1115" s="62" t="s">
        <v>41</v>
      </c>
      <c r="C1115" s="62" t="s">
        <v>42</v>
      </c>
      <c r="D1115" s="62" t="s">
        <v>46</v>
      </c>
      <c r="E1115" s="62" t="s">
        <v>25</v>
      </c>
      <c r="F1115" s="62" t="s">
        <v>25</v>
      </c>
      <c r="G1115" s="62" t="s">
        <v>25</v>
      </c>
      <c r="H1115" s="62" t="s">
        <v>25</v>
      </c>
      <c r="I1115" s="75">
        <v>44682</v>
      </c>
      <c r="J1115" s="76">
        <f ca="1">EFEITO!$J$1115*EFEITO!$Y$1115</f>
        <v>70663.545577767218</v>
      </c>
      <c r="K1115" s="76">
        <f>EFEITO!$L$1115*EFEITO!$Z$1115</f>
        <v>0</v>
      </c>
      <c r="L1115" s="76">
        <f>EFEITO!$N$1115*EFEITO!$AA$1115</f>
        <v>0</v>
      </c>
      <c r="M1115" s="76">
        <f ca="1">$J$1115-EFEITO!$K$1115*EFEITO!$Y$1115</f>
        <v>0</v>
      </c>
      <c r="N1115" s="76">
        <f>$K$1115-EFEITO!$M$1115*EFEITO!$Z$1115</f>
        <v>0</v>
      </c>
      <c r="O1115" s="76">
        <f>$L$1115-EFEITO!$O$1115*EFEITO!$AA$1115</f>
        <v>0</v>
      </c>
      <c r="P1115" s="18"/>
      <c r="Q1115" s="18"/>
      <c r="R1115" s="18"/>
      <c r="S1115" s="18"/>
      <c r="T1115" s="18"/>
      <c r="U1115" s="18"/>
      <c r="V1115" s="18"/>
      <c r="W1115" s="18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62" t="s">
        <v>58</v>
      </c>
      <c r="B1116" s="62" t="s">
        <v>41</v>
      </c>
      <c r="C1116" s="62" t="s">
        <v>42</v>
      </c>
      <c r="D1116" s="62" t="s">
        <v>46</v>
      </c>
      <c r="E1116" s="62" t="s">
        <v>25</v>
      </c>
      <c r="F1116" s="62" t="s">
        <v>25</v>
      </c>
      <c r="G1116" s="62" t="s">
        <v>25</v>
      </c>
      <c r="H1116" s="62" t="s">
        <v>25</v>
      </c>
      <c r="I1116" s="75">
        <v>44682</v>
      </c>
      <c r="J1116" s="76">
        <f ca="1">EFEITO!$J$1116*EFEITO!$Y$1116</f>
        <v>12129.929586736083</v>
      </c>
      <c r="K1116" s="76">
        <f>EFEITO!$L$1116*EFEITO!$Z$1116</f>
        <v>0</v>
      </c>
      <c r="L1116" s="76">
        <f>EFEITO!$N$1116*EFEITO!$AA$1116</f>
        <v>0</v>
      </c>
      <c r="M1116" s="76">
        <f ca="1">$J$1116-EFEITO!$K$1116*EFEITO!$Y$1116</f>
        <v>0</v>
      </c>
      <c r="N1116" s="76">
        <f>$K$1116-EFEITO!$M$1116*EFEITO!$Z$1116</f>
        <v>0</v>
      </c>
      <c r="O1116" s="76">
        <f>$L$1116-EFEITO!$O$1116*EFEITO!$AA$1116</f>
        <v>0</v>
      </c>
      <c r="P1116" s="18"/>
      <c r="Q1116" s="18"/>
      <c r="R1116" s="18"/>
      <c r="S1116" s="18"/>
      <c r="T1116" s="18"/>
      <c r="U1116" s="18"/>
      <c r="V1116" s="18"/>
      <c r="W1116" s="18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62" t="s">
        <v>21</v>
      </c>
      <c r="B1117" s="62" t="s">
        <v>41</v>
      </c>
      <c r="C1117" s="62" t="s">
        <v>42</v>
      </c>
      <c r="D1117" s="62" t="s">
        <v>46</v>
      </c>
      <c r="E1117" s="62" t="s">
        <v>25</v>
      </c>
      <c r="F1117" s="62" t="s">
        <v>25</v>
      </c>
      <c r="G1117" s="62" t="s">
        <v>25</v>
      </c>
      <c r="H1117" s="62" t="s">
        <v>34</v>
      </c>
      <c r="I1117" s="75">
        <v>44348</v>
      </c>
      <c r="J1117" s="76">
        <f>EFEITO!$J$1117*EFEITO!$Y$1117</f>
        <v>0</v>
      </c>
      <c r="K1117" s="76">
        <f ca="1">EFEITO!$L$1117*EFEITO!$Z$1117</f>
        <v>39339.30149696258</v>
      </c>
      <c r="L1117" s="76">
        <f>EFEITO!$N$1117*EFEITO!$AA$1117</f>
        <v>10185.69716824366</v>
      </c>
      <c r="M1117" s="76">
        <f>$J$1117-EFEITO!$K$1117*EFEITO!$Y$1117</f>
        <v>0</v>
      </c>
      <c r="N1117" s="76">
        <f ca="1">$K$1117-EFEITO!$M$1117*EFEITO!$Z$1117</f>
        <v>0</v>
      </c>
      <c r="O1117" s="76">
        <f>$L$1117-EFEITO!$O$1117*EFEITO!$AA$1117</f>
        <v>0</v>
      </c>
      <c r="P1117" s="18"/>
      <c r="Q1117" s="18"/>
      <c r="R1117" s="18"/>
      <c r="S1117" s="18"/>
      <c r="T1117" s="18"/>
      <c r="U1117" s="18"/>
      <c r="V1117" s="18"/>
      <c r="W1117" s="18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62" t="s">
        <v>28</v>
      </c>
      <c r="B1118" s="62" t="s">
        <v>41</v>
      </c>
      <c r="C1118" s="62" t="s">
        <v>42</v>
      </c>
      <c r="D1118" s="62" t="s">
        <v>46</v>
      </c>
      <c r="E1118" s="62" t="s">
        <v>25</v>
      </c>
      <c r="F1118" s="62" t="s">
        <v>25</v>
      </c>
      <c r="G1118" s="62" t="s">
        <v>25</v>
      </c>
      <c r="H1118" s="62" t="s">
        <v>34</v>
      </c>
      <c r="I1118" s="75">
        <v>44348</v>
      </c>
      <c r="J1118" s="76">
        <f>EFEITO!$J$1118*EFEITO!$Y$1118</f>
        <v>0</v>
      </c>
      <c r="K1118" s="76">
        <f ca="1">EFEITO!$L$1118*EFEITO!$Z$1118</f>
        <v>3760.5771936755918</v>
      </c>
      <c r="L1118" s="76">
        <f>EFEITO!$N$1118*EFEITO!$AA$1118</f>
        <v>973.68532269289676</v>
      </c>
      <c r="M1118" s="76">
        <f>$J$1118-EFEITO!$K$1118*EFEITO!$Y$1118</f>
        <v>0</v>
      </c>
      <c r="N1118" s="76">
        <f ca="1">$K$1118-EFEITO!$M$1118*EFEITO!$Z$1118</f>
        <v>0</v>
      </c>
      <c r="O1118" s="76">
        <f>$L$1118-EFEITO!$O$1118*EFEITO!$AA$1118</f>
        <v>0</v>
      </c>
      <c r="P1118" s="18"/>
      <c r="Q1118" s="18"/>
      <c r="R1118" s="18"/>
      <c r="S1118" s="18"/>
      <c r="T1118" s="18"/>
      <c r="U1118" s="18"/>
      <c r="V1118" s="18"/>
      <c r="W1118" s="18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62" t="s">
        <v>21</v>
      </c>
      <c r="B1119" s="62" t="s">
        <v>41</v>
      </c>
      <c r="C1119" s="62" t="s">
        <v>42</v>
      </c>
      <c r="D1119" s="62" t="s">
        <v>46</v>
      </c>
      <c r="E1119" s="62" t="s">
        <v>25</v>
      </c>
      <c r="F1119" s="62" t="s">
        <v>25</v>
      </c>
      <c r="G1119" s="62" t="s">
        <v>25</v>
      </c>
      <c r="H1119" s="62" t="s">
        <v>34</v>
      </c>
      <c r="I1119" s="75">
        <v>44378</v>
      </c>
      <c r="J1119" s="76">
        <f>EFEITO!$J$1119*EFEITO!$Y$1119</f>
        <v>0</v>
      </c>
      <c r="K1119" s="76">
        <f ca="1">EFEITO!$L$1119*EFEITO!$Z$1119</f>
        <v>36766.586036019515</v>
      </c>
      <c r="L1119" s="76">
        <f>EFEITO!$N$1119*EFEITO!$AA$1119</f>
        <v>9519.5719553379913</v>
      </c>
      <c r="M1119" s="76">
        <f>$J$1119-EFEITO!$K$1119*EFEITO!$Y$1119</f>
        <v>0</v>
      </c>
      <c r="N1119" s="76">
        <f ca="1">$K$1119-EFEITO!$M$1119*EFEITO!$Z$1119</f>
        <v>0</v>
      </c>
      <c r="O1119" s="76">
        <f>$L$1119-EFEITO!$O$1119*EFEITO!$AA$1119</f>
        <v>0</v>
      </c>
      <c r="P1119" s="18"/>
      <c r="Q1119" s="18"/>
      <c r="R1119" s="18"/>
      <c r="S1119" s="18"/>
      <c r="T1119" s="18"/>
      <c r="U1119" s="18"/>
      <c r="V1119" s="18"/>
      <c r="W1119" s="18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62" t="s">
        <v>28</v>
      </c>
      <c r="B1120" s="62" t="s">
        <v>41</v>
      </c>
      <c r="C1120" s="62" t="s">
        <v>42</v>
      </c>
      <c r="D1120" s="62" t="s">
        <v>46</v>
      </c>
      <c r="E1120" s="62" t="s">
        <v>25</v>
      </c>
      <c r="F1120" s="62" t="s">
        <v>25</v>
      </c>
      <c r="G1120" s="62" t="s">
        <v>25</v>
      </c>
      <c r="H1120" s="62" t="s">
        <v>34</v>
      </c>
      <c r="I1120" s="75">
        <v>44378</v>
      </c>
      <c r="J1120" s="76">
        <f>EFEITO!$J$1120*EFEITO!$Y$1120</f>
        <v>0</v>
      </c>
      <c r="K1120" s="76">
        <f ca="1">EFEITO!$L$1120*EFEITO!$Z$1120</f>
        <v>3417.8111215438198</v>
      </c>
      <c r="L1120" s="76">
        <f>EFEITO!$N$1120*EFEITO!$AA$1120</f>
        <v>884.9366342965825</v>
      </c>
      <c r="M1120" s="76">
        <f>$J$1120-EFEITO!$K$1120*EFEITO!$Y$1120</f>
        <v>0</v>
      </c>
      <c r="N1120" s="76">
        <f ca="1">$K$1120-EFEITO!$M$1120*EFEITO!$Z$1120</f>
        <v>0</v>
      </c>
      <c r="O1120" s="76">
        <f>$L$1120-EFEITO!$O$1120*EFEITO!$AA$1120</f>
        <v>0</v>
      </c>
      <c r="P1120" s="18"/>
      <c r="Q1120" s="18"/>
      <c r="R1120" s="18"/>
      <c r="S1120" s="18"/>
      <c r="T1120" s="18"/>
      <c r="U1120" s="18"/>
      <c r="V1120" s="18"/>
      <c r="W1120" s="18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62" t="s">
        <v>21</v>
      </c>
      <c r="B1121" s="62" t="s">
        <v>41</v>
      </c>
      <c r="C1121" s="62" t="s">
        <v>42</v>
      </c>
      <c r="D1121" s="62" t="s">
        <v>46</v>
      </c>
      <c r="E1121" s="62" t="s">
        <v>25</v>
      </c>
      <c r="F1121" s="62" t="s">
        <v>25</v>
      </c>
      <c r="G1121" s="62" t="s">
        <v>25</v>
      </c>
      <c r="H1121" s="62" t="s">
        <v>34</v>
      </c>
      <c r="I1121" s="75">
        <v>44409</v>
      </c>
      <c r="J1121" s="76">
        <f>EFEITO!$J$1121*EFEITO!$Y$1121</f>
        <v>0</v>
      </c>
      <c r="K1121" s="76">
        <f ca="1">EFEITO!$L$1121*EFEITO!$Z$1121</f>
        <v>38639.979913015573</v>
      </c>
      <c r="L1121" s="76">
        <f>EFEITO!$N$1121*EFEITO!$AA$1121</f>
        <v>10004.629441917847</v>
      </c>
      <c r="M1121" s="76">
        <f>$J$1121-EFEITO!$K$1121*EFEITO!$Y$1121</f>
        <v>0</v>
      </c>
      <c r="N1121" s="76">
        <f ca="1">$K$1121-EFEITO!$M$1121*EFEITO!$Z$1121</f>
        <v>0</v>
      </c>
      <c r="O1121" s="76">
        <f>$L$1121-EFEITO!$O$1121*EFEITO!$AA$1121</f>
        <v>0</v>
      </c>
      <c r="P1121" s="18"/>
      <c r="Q1121" s="18"/>
      <c r="R1121" s="18"/>
      <c r="S1121" s="18"/>
      <c r="T1121" s="18"/>
      <c r="U1121" s="18"/>
      <c r="V1121" s="18"/>
      <c r="W1121" s="18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62" t="s">
        <v>28</v>
      </c>
      <c r="B1122" s="62" t="s">
        <v>41</v>
      </c>
      <c r="C1122" s="62" t="s">
        <v>42</v>
      </c>
      <c r="D1122" s="62" t="s">
        <v>46</v>
      </c>
      <c r="E1122" s="62" t="s">
        <v>25</v>
      </c>
      <c r="F1122" s="62" t="s">
        <v>25</v>
      </c>
      <c r="G1122" s="62" t="s">
        <v>25</v>
      </c>
      <c r="H1122" s="62" t="s">
        <v>34</v>
      </c>
      <c r="I1122" s="75">
        <v>44409</v>
      </c>
      <c r="J1122" s="76">
        <f>EFEITO!$J$1122*EFEITO!$Y$1122</f>
        <v>0</v>
      </c>
      <c r="K1122" s="76">
        <f ca="1">EFEITO!$L$1122*EFEITO!$Z$1122</f>
        <v>3195.210166653646</v>
      </c>
      <c r="L1122" s="76">
        <f>EFEITO!$N$1122*EFEITO!$AA$1122</f>
        <v>827.30099183230936</v>
      </c>
      <c r="M1122" s="76">
        <f>$J$1122-EFEITO!$K$1122*EFEITO!$Y$1122</f>
        <v>0</v>
      </c>
      <c r="N1122" s="76">
        <f ca="1">$K$1122-EFEITO!$M$1122*EFEITO!$Z$1122</f>
        <v>0</v>
      </c>
      <c r="O1122" s="76">
        <f>$L$1122-EFEITO!$O$1122*EFEITO!$AA$1122</f>
        <v>0</v>
      </c>
      <c r="P1122" s="18"/>
      <c r="Q1122" s="18"/>
      <c r="R1122" s="18"/>
      <c r="S1122" s="18"/>
      <c r="T1122" s="18"/>
      <c r="U1122" s="18"/>
      <c r="V1122" s="18"/>
      <c r="W1122" s="18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62" t="s">
        <v>21</v>
      </c>
      <c r="B1123" s="62" t="s">
        <v>41</v>
      </c>
      <c r="C1123" s="62" t="s">
        <v>42</v>
      </c>
      <c r="D1123" s="62" t="s">
        <v>46</v>
      </c>
      <c r="E1123" s="62" t="s">
        <v>25</v>
      </c>
      <c r="F1123" s="62" t="s">
        <v>25</v>
      </c>
      <c r="G1123" s="62" t="s">
        <v>25</v>
      </c>
      <c r="H1123" s="62" t="s">
        <v>34</v>
      </c>
      <c r="I1123" s="75">
        <v>44440</v>
      </c>
      <c r="J1123" s="76">
        <f>EFEITO!$J$1123*EFEITO!$Y$1123</f>
        <v>0</v>
      </c>
      <c r="K1123" s="76">
        <f ca="1">EFEITO!$L$1123*EFEITO!$Z$1123</f>
        <v>37136.930987518208</v>
      </c>
      <c r="L1123" s="76">
        <f>EFEITO!$N$1123*EFEITO!$AA$1123</f>
        <v>9615.461342800676</v>
      </c>
      <c r="M1123" s="76">
        <f>$J$1123-EFEITO!$K$1123*EFEITO!$Y$1123</f>
        <v>0</v>
      </c>
      <c r="N1123" s="76">
        <f ca="1">$K$1123-EFEITO!$M$1123*EFEITO!$Z$1123</f>
        <v>0</v>
      </c>
      <c r="O1123" s="76">
        <f>$L$1123-EFEITO!$O$1123*EFEITO!$AA$1123</f>
        <v>0</v>
      </c>
      <c r="P1123" s="18"/>
      <c r="Q1123" s="18"/>
      <c r="R1123" s="18"/>
      <c r="S1123" s="18"/>
      <c r="T1123" s="18"/>
      <c r="U1123" s="18"/>
      <c r="V1123" s="18"/>
      <c r="W1123" s="18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62" t="s">
        <v>28</v>
      </c>
      <c r="B1124" s="62" t="s">
        <v>41</v>
      </c>
      <c r="C1124" s="62" t="s">
        <v>42</v>
      </c>
      <c r="D1124" s="62" t="s">
        <v>46</v>
      </c>
      <c r="E1124" s="62" t="s">
        <v>25</v>
      </c>
      <c r="F1124" s="62" t="s">
        <v>25</v>
      </c>
      <c r="G1124" s="62" t="s">
        <v>25</v>
      </c>
      <c r="H1124" s="62" t="s">
        <v>34</v>
      </c>
      <c r="I1124" s="75">
        <v>44440</v>
      </c>
      <c r="J1124" s="76">
        <f>EFEITO!$J$1124*EFEITO!$Y$1124</f>
        <v>0</v>
      </c>
      <c r="K1124" s="76">
        <f ca="1">EFEITO!$L$1124*EFEITO!$Z$1124</f>
        <v>3437.5103210916232</v>
      </c>
      <c r="L1124" s="76">
        <f>EFEITO!$N$1124*EFEITO!$AA$1124</f>
        <v>890.03713362970404</v>
      </c>
      <c r="M1124" s="76">
        <f>$J$1124-EFEITO!$K$1124*EFEITO!$Y$1124</f>
        <v>0</v>
      </c>
      <c r="N1124" s="76">
        <f ca="1">$K$1124-EFEITO!$M$1124*EFEITO!$Z$1124</f>
        <v>0</v>
      </c>
      <c r="O1124" s="76">
        <f>$L$1124-EFEITO!$O$1124*EFEITO!$AA$1124</f>
        <v>0</v>
      </c>
      <c r="P1124" s="18"/>
      <c r="Q1124" s="18"/>
      <c r="R1124" s="18"/>
      <c r="S1124" s="18"/>
      <c r="T1124" s="18"/>
      <c r="U1124" s="18"/>
      <c r="V1124" s="18"/>
      <c r="W1124" s="18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62" t="s">
        <v>21</v>
      </c>
      <c r="B1125" s="62" t="s">
        <v>41</v>
      </c>
      <c r="C1125" s="62" t="s">
        <v>42</v>
      </c>
      <c r="D1125" s="62" t="s">
        <v>46</v>
      </c>
      <c r="E1125" s="62" t="s">
        <v>25</v>
      </c>
      <c r="F1125" s="62" t="s">
        <v>25</v>
      </c>
      <c r="G1125" s="62" t="s">
        <v>25</v>
      </c>
      <c r="H1125" s="62" t="s">
        <v>34</v>
      </c>
      <c r="I1125" s="75">
        <v>44470</v>
      </c>
      <c r="J1125" s="76">
        <f>EFEITO!$J$1125*EFEITO!$Y$1125</f>
        <v>0</v>
      </c>
      <c r="K1125" s="76">
        <f ca="1">EFEITO!$L$1125*EFEITO!$Z$1125</f>
        <v>36648.390838732688</v>
      </c>
      <c r="L1125" s="76">
        <f>EFEITO!$N$1125*EFEITO!$AA$1125</f>
        <v>9488.9689593392613</v>
      </c>
      <c r="M1125" s="76">
        <f>$J$1125-EFEITO!$K$1125*EFEITO!$Y$1125</f>
        <v>0</v>
      </c>
      <c r="N1125" s="76">
        <f ca="1">$K$1125-EFEITO!$M$1125*EFEITO!$Z$1125</f>
        <v>0</v>
      </c>
      <c r="O1125" s="76">
        <f>$L$1125-EFEITO!$O$1125*EFEITO!$AA$1125</f>
        <v>0</v>
      </c>
      <c r="P1125" s="18"/>
      <c r="Q1125" s="18"/>
      <c r="R1125" s="18"/>
      <c r="S1125" s="18"/>
      <c r="T1125" s="18"/>
      <c r="U1125" s="18"/>
      <c r="V1125" s="18"/>
      <c r="W1125" s="18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62" t="s">
        <v>28</v>
      </c>
      <c r="B1126" s="62" t="s">
        <v>41</v>
      </c>
      <c r="C1126" s="62" t="s">
        <v>42</v>
      </c>
      <c r="D1126" s="62" t="s">
        <v>46</v>
      </c>
      <c r="E1126" s="62" t="s">
        <v>25</v>
      </c>
      <c r="F1126" s="62" t="s">
        <v>25</v>
      </c>
      <c r="G1126" s="62" t="s">
        <v>25</v>
      </c>
      <c r="H1126" s="62" t="s">
        <v>34</v>
      </c>
      <c r="I1126" s="75">
        <v>44470</v>
      </c>
      <c r="J1126" s="76">
        <f>EFEITO!$J$1126*EFEITO!$Y$1126</f>
        <v>0</v>
      </c>
      <c r="K1126" s="76">
        <f ca="1">EFEITO!$L$1126*EFEITO!$Z$1126</f>
        <v>4044.2456671639547</v>
      </c>
      <c r="L1126" s="76">
        <f>EFEITO!$N$1126*EFEITO!$AA$1126</f>
        <v>1047.1325130898465</v>
      </c>
      <c r="M1126" s="76">
        <f>$J$1126-EFEITO!$K$1126*EFEITO!$Y$1126</f>
        <v>0</v>
      </c>
      <c r="N1126" s="76">
        <f ca="1">$K$1126-EFEITO!$M$1126*EFEITO!$Z$1126</f>
        <v>0</v>
      </c>
      <c r="O1126" s="76">
        <f>$L$1126-EFEITO!$O$1126*EFEITO!$AA$1126</f>
        <v>0</v>
      </c>
      <c r="P1126" s="18"/>
      <c r="Q1126" s="18"/>
      <c r="R1126" s="18"/>
      <c r="S1126" s="18"/>
      <c r="T1126" s="18"/>
      <c r="U1126" s="18"/>
      <c r="V1126" s="18"/>
      <c r="W1126" s="18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62" t="s">
        <v>21</v>
      </c>
      <c r="B1127" s="62" t="s">
        <v>41</v>
      </c>
      <c r="C1127" s="62" t="s">
        <v>42</v>
      </c>
      <c r="D1127" s="62" t="s">
        <v>46</v>
      </c>
      <c r="E1127" s="62" t="s">
        <v>25</v>
      </c>
      <c r="F1127" s="62" t="s">
        <v>25</v>
      </c>
      <c r="G1127" s="62" t="s">
        <v>25</v>
      </c>
      <c r="H1127" s="62" t="s">
        <v>34</v>
      </c>
      <c r="I1127" s="75">
        <v>44501</v>
      </c>
      <c r="J1127" s="76">
        <f>EFEITO!$J$1127*EFEITO!$Y$1127</f>
        <v>0</v>
      </c>
      <c r="K1127" s="76">
        <f ca="1">EFEITO!$L$1127*EFEITO!$Z$1127</f>
        <v>32728.250128719897</v>
      </c>
      <c r="L1127" s="76">
        <f>EFEITO!$N$1127*EFEITO!$AA$1127</f>
        <v>8473.9695920480808</v>
      </c>
      <c r="M1127" s="76">
        <f>$J$1127-EFEITO!$K$1127*EFEITO!$Y$1127</f>
        <v>0</v>
      </c>
      <c r="N1127" s="76">
        <f ca="1">$K$1127-EFEITO!$M$1127*EFEITO!$Z$1127</f>
        <v>0</v>
      </c>
      <c r="O1127" s="76">
        <f>$L$1127-EFEITO!$O$1127*EFEITO!$AA$1127</f>
        <v>0</v>
      </c>
      <c r="P1127" s="18"/>
      <c r="Q1127" s="18"/>
      <c r="R1127" s="18"/>
      <c r="S1127" s="18"/>
      <c r="T1127" s="18"/>
      <c r="U1127" s="18"/>
      <c r="V1127" s="18"/>
      <c r="W1127" s="18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62" t="s">
        <v>28</v>
      </c>
      <c r="B1128" s="62" t="s">
        <v>41</v>
      </c>
      <c r="C1128" s="62" t="s">
        <v>42</v>
      </c>
      <c r="D1128" s="62" t="s">
        <v>46</v>
      </c>
      <c r="E1128" s="62" t="s">
        <v>25</v>
      </c>
      <c r="F1128" s="62" t="s">
        <v>25</v>
      </c>
      <c r="G1128" s="62" t="s">
        <v>25</v>
      </c>
      <c r="H1128" s="62" t="s">
        <v>34</v>
      </c>
      <c r="I1128" s="75">
        <v>44501</v>
      </c>
      <c r="J1128" s="76">
        <f>EFEITO!$J$1128*EFEITO!$Y$1128</f>
        <v>0</v>
      </c>
      <c r="K1128" s="76">
        <f ca="1">EFEITO!$L$1128*EFEITO!$Z$1128</f>
        <v>3518.2770392376151</v>
      </c>
      <c r="L1128" s="76">
        <f>EFEITO!$N$1128*EFEITO!$AA$1128</f>
        <v>910.9491808955022</v>
      </c>
      <c r="M1128" s="76">
        <f>$J$1128-EFEITO!$K$1128*EFEITO!$Y$1128</f>
        <v>0</v>
      </c>
      <c r="N1128" s="76">
        <f ca="1">$K$1128-EFEITO!$M$1128*EFEITO!$Z$1128</f>
        <v>0</v>
      </c>
      <c r="O1128" s="76">
        <f>$L$1128-EFEITO!$O$1128*EFEITO!$AA$1128</f>
        <v>0</v>
      </c>
      <c r="P1128" s="18"/>
      <c r="Q1128" s="18"/>
      <c r="R1128" s="18"/>
      <c r="S1128" s="18"/>
      <c r="T1128" s="18"/>
      <c r="U1128" s="18"/>
      <c r="V1128" s="18"/>
      <c r="W1128" s="18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62" t="s">
        <v>21</v>
      </c>
      <c r="B1129" s="62" t="s">
        <v>41</v>
      </c>
      <c r="C1129" s="62" t="s">
        <v>42</v>
      </c>
      <c r="D1129" s="62" t="s">
        <v>46</v>
      </c>
      <c r="E1129" s="62" t="s">
        <v>25</v>
      </c>
      <c r="F1129" s="62" t="s">
        <v>25</v>
      </c>
      <c r="G1129" s="62" t="s">
        <v>25</v>
      </c>
      <c r="H1129" s="62" t="s">
        <v>34</v>
      </c>
      <c r="I1129" s="75">
        <v>44531</v>
      </c>
      <c r="J1129" s="76">
        <f>EFEITO!$J$1129*EFEITO!$Y$1129</f>
        <v>0</v>
      </c>
      <c r="K1129" s="76">
        <f ca="1">EFEITO!$L$1129*EFEITO!$Z$1129</f>
        <v>36508.526521943291</v>
      </c>
      <c r="L1129" s="76">
        <f>EFEITO!$N$1129*EFEITO!$AA$1129</f>
        <v>9452.7554140740995</v>
      </c>
      <c r="M1129" s="76">
        <f>$J$1129-EFEITO!$K$1129*EFEITO!$Y$1129</f>
        <v>0</v>
      </c>
      <c r="N1129" s="76">
        <f ca="1">$K$1129-EFEITO!$M$1129*EFEITO!$Z$1129</f>
        <v>0</v>
      </c>
      <c r="O1129" s="76">
        <f>$L$1129-EFEITO!$O$1129*EFEITO!$AA$1129</f>
        <v>0</v>
      </c>
      <c r="P1129" s="18"/>
      <c r="Q1129" s="18"/>
      <c r="R1129" s="18"/>
      <c r="S1129" s="18"/>
      <c r="T1129" s="18"/>
      <c r="U1129" s="18"/>
      <c r="V1129" s="18"/>
      <c r="W1129" s="18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62" t="s">
        <v>28</v>
      </c>
      <c r="B1130" s="62" t="s">
        <v>41</v>
      </c>
      <c r="C1130" s="62" t="s">
        <v>42</v>
      </c>
      <c r="D1130" s="62" t="s">
        <v>46</v>
      </c>
      <c r="E1130" s="62" t="s">
        <v>25</v>
      </c>
      <c r="F1130" s="62" t="s">
        <v>25</v>
      </c>
      <c r="G1130" s="62" t="s">
        <v>25</v>
      </c>
      <c r="H1130" s="62" t="s">
        <v>34</v>
      </c>
      <c r="I1130" s="75">
        <v>44531</v>
      </c>
      <c r="J1130" s="76">
        <f>EFEITO!$J$1130*EFEITO!$Y$1130</f>
        <v>0</v>
      </c>
      <c r="K1130" s="76">
        <f ca="1">EFEITO!$L$1130*EFEITO!$Z$1130</f>
        <v>3870.892711143289</v>
      </c>
      <c r="L1130" s="76">
        <f>EFEITO!$N$1130*EFEITO!$AA$1130</f>
        <v>1002.2481189583773</v>
      </c>
      <c r="M1130" s="76">
        <f>$J$1130-EFEITO!$K$1130*EFEITO!$Y$1130</f>
        <v>0</v>
      </c>
      <c r="N1130" s="76">
        <f ca="1">$K$1130-EFEITO!$M$1130*EFEITO!$Z$1130</f>
        <v>0</v>
      </c>
      <c r="O1130" s="76">
        <f>$L$1130-EFEITO!$O$1130*EFEITO!$AA$1130</f>
        <v>0</v>
      </c>
      <c r="P1130" s="18"/>
      <c r="Q1130" s="18"/>
      <c r="R1130" s="18"/>
      <c r="S1130" s="18"/>
      <c r="T1130" s="18"/>
      <c r="U1130" s="18"/>
      <c r="V1130" s="18"/>
      <c r="W1130" s="18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62" t="s">
        <v>21</v>
      </c>
      <c r="B1131" s="62" t="s">
        <v>41</v>
      </c>
      <c r="C1131" s="62" t="s">
        <v>42</v>
      </c>
      <c r="D1131" s="62" t="s">
        <v>46</v>
      </c>
      <c r="E1131" s="62" t="s">
        <v>25</v>
      </c>
      <c r="F1131" s="62" t="s">
        <v>25</v>
      </c>
      <c r="G1131" s="62" t="s">
        <v>25</v>
      </c>
      <c r="H1131" s="62" t="s">
        <v>34</v>
      </c>
      <c r="I1131" s="75">
        <v>44562</v>
      </c>
      <c r="J1131" s="76">
        <f>EFEITO!$J$1131*EFEITO!$Y$1131</f>
        <v>0</v>
      </c>
      <c r="K1131" s="76">
        <f ca="1">EFEITO!$L$1131*EFEITO!$Z$1131</f>
        <v>37962.327448571152</v>
      </c>
      <c r="L1131" s="76">
        <f>EFEITO!$N$1131*EFEITO!$AA$1131</f>
        <v>9829.1722648584673</v>
      </c>
      <c r="M1131" s="76">
        <f>$J$1131-EFEITO!$K$1131*EFEITO!$Y$1131</f>
        <v>0</v>
      </c>
      <c r="N1131" s="76">
        <f ca="1">$K$1131-EFEITO!$M$1131*EFEITO!$Z$1131</f>
        <v>0</v>
      </c>
      <c r="O1131" s="76">
        <f>$L$1131-EFEITO!$O$1131*EFEITO!$AA$1131</f>
        <v>0</v>
      </c>
      <c r="P1131" s="18"/>
      <c r="Q1131" s="18"/>
      <c r="R1131" s="18"/>
      <c r="S1131" s="18"/>
      <c r="T1131" s="18"/>
      <c r="U1131" s="18"/>
      <c r="V1131" s="18"/>
      <c r="W1131" s="18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62" t="s">
        <v>28</v>
      </c>
      <c r="B1132" s="62" t="s">
        <v>41</v>
      </c>
      <c r="C1132" s="62" t="s">
        <v>42</v>
      </c>
      <c r="D1132" s="62" t="s">
        <v>46</v>
      </c>
      <c r="E1132" s="62" t="s">
        <v>25</v>
      </c>
      <c r="F1132" s="62" t="s">
        <v>25</v>
      </c>
      <c r="G1132" s="62" t="s">
        <v>25</v>
      </c>
      <c r="H1132" s="62" t="s">
        <v>34</v>
      </c>
      <c r="I1132" s="75">
        <v>44562</v>
      </c>
      <c r="J1132" s="76">
        <f>EFEITO!$J$1132*EFEITO!$Y$1132</f>
        <v>0</v>
      </c>
      <c r="K1132" s="76">
        <f ca="1">EFEITO!$L$1132*EFEITO!$Z$1132</f>
        <v>4538.6955758138101</v>
      </c>
      <c r="L1132" s="76">
        <f>EFEITO!$N$1132*EFEITO!$AA$1132</f>
        <v>1175.1550463511965</v>
      </c>
      <c r="M1132" s="76">
        <f>$J$1132-EFEITO!$K$1132*EFEITO!$Y$1132</f>
        <v>0</v>
      </c>
      <c r="N1132" s="76">
        <f ca="1">$K$1132-EFEITO!$M$1132*EFEITO!$Z$1132</f>
        <v>0</v>
      </c>
      <c r="O1132" s="76">
        <f>$L$1132-EFEITO!$O$1132*EFEITO!$AA$1132</f>
        <v>0</v>
      </c>
      <c r="P1132" s="18"/>
      <c r="Q1132" s="18"/>
      <c r="R1132" s="18"/>
      <c r="S1132" s="18"/>
      <c r="T1132" s="18"/>
      <c r="U1132" s="18"/>
      <c r="V1132" s="18"/>
      <c r="W1132" s="18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62" t="s">
        <v>21</v>
      </c>
      <c r="B1133" s="62" t="s">
        <v>41</v>
      </c>
      <c r="C1133" s="62" t="s">
        <v>42</v>
      </c>
      <c r="D1133" s="62" t="s">
        <v>46</v>
      </c>
      <c r="E1133" s="62" t="s">
        <v>25</v>
      </c>
      <c r="F1133" s="62" t="s">
        <v>25</v>
      </c>
      <c r="G1133" s="62" t="s">
        <v>25</v>
      </c>
      <c r="H1133" s="62" t="s">
        <v>34</v>
      </c>
      <c r="I1133" s="75">
        <v>44593</v>
      </c>
      <c r="J1133" s="76">
        <f>EFEITO!$J$1133*EFEITO!$Y$1133</f>
        <v>0</v>
      </c>
      <c r="K1133" s="76">
        <f ca="1">EFEITO!$L$1133*EFEITO!$Z$1133</f>
        <v>37513.185698881243</v>
      </c>
      <c r="L1133" s="76">
        <f>EFEITO!$N$1133*EFEITO!$AA$1133</f>
        <v>9712.880880063296</v>
      </c>
      <c r="M1133" s="76">
        <f>$J$1133-EFEITO!$K$1133*EFEITO!$Y$1133</f>
        <v>0</v>
      </c>
      <c r="N1133" s="76">
        <f ca="1">$K$1133-EFEITO!$M$1133*EFEITO!$Z$1133</f>
        <v>0</v>
      </c>
      <c r="O1133" s="76">
        <f>$L$1133-EFEITO!$O$1133*EFEITO!$AA$1133</f>
        <v>0</v>
      </c>
      <c r="P1133" s="18"/>
      <c r="Q1133" s="18"/>
      <c r="R1133" s="18"/>
      <c r="S1133" s="18"/>
      <c r="T1133" s="18"/>
      <c r="U1133" s="18"/>
      <c r="V1133" s="18"/>
      <c r="W1133" s="18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62" t="s">
        <v>28</v>
      </c>
      <c r="B1134" s="62" t="s">
        <v>41</v>
      </c>
      <c r="C1134" s="62" t="s">
        <v>42</v>
      </c>
      <c r="D1134" s="62" t="s">
        <v>46</v>
      </c>
      <c r="E1134" s="62" t="s">
        <v>25</v>
      </c>
      <c r="F1134" s="62" t="s">
        <v>25</v>
      </c>
      <c r="G1134" s="62" t="s">
        <v>25</v>
      </c>
      <c r="H1134" s="62" t="s">
        <v>34</v>
      </c>
      <c r="I1134" s="75">
        <v>44593</v>
      </c>
      <c r="J1134" s="76">
        <f>EFEITO!$J$1134*EFEITO!$Y$1134</f>
        <v>0</v>
      </c>
      <c r="K1134" s="76">
        <f ca="1">EFEITO!$L$1134*EFEITO!$Z$1134</f>
        <v>6752.8856049868664</v>
      </c>
      <c r="L1134" s="76">
        <f>EFEITO!$N$1134*EFEITO!$AA$1134</f>
        <v>1748.4511713940544</v>
      </c>
      <c r="M1134" s="76">
        <f>$J$1134-EFEITO!$K$1134*EFEITO!$Y$1134</f>
        <v>0</v>
      </c>
      <c r="N1134" s="76">
        <f ca="1">$K$1134-EFEITO!$M$1134*EFEITO!$Z$1134</f>
        <v>0</v>
      </c>
      <c r="O1134" s="76">
        <f>$L$1134-EFEITO!$O$1134*EFEITO!$AA$1134</f>
        <v>0</v>
      </c>
      <c r="P1134" s="18"/>
      <c r="Q1134" s="18"/>
      <c r="R1134" s="18"/>
      <c r="S1134" s="18"/>
      <c r="T1134" s="18"/>
      <c r="U1134" s="18"/>
      <c r="V1134" s="18"/>
      <c r="W1134" s="18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62" t="s">
        <v>21</v>
      </c>
      <c r="B1135" s="62" t="s">
        <v>41</v>
      </c>
      <c r="C1135" s="62" t="s">
        <v>42</v>
      </c>
      <c r="D1135" s="62" t="s">
        <v>46</v>
      </c>
      <c r="E1135" s="62" t="s">
        <v>25</v>
      </c>
      <c r="F1135" s="62" t="s">
        <v>25</v>
      </c>
      <c r="G1135" s="62" t="s">
        <v>25</v>
      </c>
      <c r="H1135" s="62" t="s">
        <v>34</v>
      </c>
      <c r="I1135" s="75">
        <v>44621</v>
      </c>
      <c r="J1135" s="76">
        <f>EFEITO!$J$1135*EFEITO!$Y$1135</f>
        <v>0</v>
      </c>
      <c r="K1135" s="76">
        <f ca="1">EFEITO!$L$1135*EFEITO!$Z$1135</f>
        <v>49888.222854811087</v>
      </c>
      <c r="L1135" s="76">
        <f>EFEITO!$N$1135*EFEITO!$AA$1135</f>
        <v>12917.014561130231</v>
      </c>
      <c r="M1135" s="76">
        <f>$J$1135-EFEITO!$K$1135*EFEITO!$Y$1135</f>
        <v>0</v>
      </c>
      <c r="N1135" s="76">
        <f ca="1">$K$1135-EFEITO!$M$1135*EFEITO!$Z$1135</f>
        <v>0</v>
      </c>
      <c r="O1135" s="76">
        <f>$L$1135-EFEITO!$O$1135*EFEITO!$AA$1135</f>
        <v>0</v>
      </c>
      <c r="P1135" s="18"/>
      <c r="Q1135" s="18"/>
      <c r="R1135" s="18"/>
      <c r="S1135" s="18"/>
      <c r="T1135" s="18"/>
      <c r="U1135" s="18"/>
      <c r="V1135" s="18"/>
      <c r="W1135" s="18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62" t="s">
        <v>27</v>
      </c>
      <c r="B1136" s="62" t="s">
        <v>41</v>
      </c>
      <c r="C1136" s="62" t="s">
        <v>42</v>
      </c>
      <c r="D1136" s="62" t="s">
        <v>46</v>
      </c>
      <c r="E1136" s="62" t="s">
        <v>25</v>
      </c>
      <c r="F1136" s="62" t="s">
        <v>25</v>
      </c>
      <c r="G1136" s="62" t="s">
        <v>25</v>
      </c>
      <c r="H1136" s="62" t="s">
        <v>34</v>
      </c>
      <c r="I1136" s="75">
        <v>44621</v>
      </c>
      <c r="J1136" s="76">
        <f>EFEITO!$J$1136*EFEITO!$Y$1136</f>
        <v>0</v>
      </c>
      <c r="K1136" s="76">
        <f ca="1">EFEITO!$L$1136*EFEITO!$Z$1136</f>
        <v>7686.6276635527292</v>
      </c>
      <c r="L1136" s="76">
        <f>EFEITO!$N$1136*EFEITO!$AA$1136</f>
        <v>1990.2148397840142</v>
      </c>
      <c r="M1136" s="76">
        <f>$J$1136-EFEITO!$K$1136*EFEITO!$Y$1136</f>
        <v>0</v>
      </c>
      <c r="N1136" s="76">
        <f ca="1">$K$1136-EFEITO!$M$1136*EFEITO!$Z$1136</f>
        <v>0</v>
      </c>
      <c r="O1136" s="76">
        <f>$L$1136-EFEITO!$O$1136*EFEITO!$AA$1136</f>
        <v>0</v>
      </c>
      <c r="P1136" s="18"/>
      <c r="Q1136" s="18"/>
      <c r="R1136" s="18"/>
      <c r="S1136" s="18"/>
      <c r="T1136" s="18"/>
      <c r="U1136" s="18"/>
      <c r="V1136" s="18"/>
      <c r="W1136" s="18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62" t="s">
        <v>28</v>
      </c>
      <c r="B1137" s="62" t="s">
        <v>41</v>
      </c>
      <c r="C1137" s="62" t="s">
        <v>42</v>
      </c>
      <c r="D1137" s="62" t="s">
        <v>46</v>
      </c>
      <c r="E1137" s="62" t="s">
        <v>25</v>
      </c>
      <c r="F1137" s="62" t="s">
        <v>25</v>
      </c>
      <c r="G1137" s="62" t="s">
        <v>25</v>
      </c>
      <c r="H1137" s="62" t="s">
        <v>34</v>
      </c>
      <c r="I1137" s="75">
        <v>44621</v>
      </c>
      <c r="J1137" s="76">
        <f>EFEITO!$J$1137*EFEITO!$Y$1137</f>
        <v>0</v>
      </c>
      <c r="K1137" s="76">
        <f ca="1">EFEITO!$L$1137*EFEITO!$Z$1137</f>
        <v>5127.7016422931201</v>
      </c>
      <c r="L1137" s="76">
        <f>EFEITO!$N$1137*EFEITO!$AA$1137</f>
        <v>1327.6599764115299</v>
      </c>
      <c r="M1137" s="76">
        <f>$J$1137-EFEITO!$K$1137*EFEITO!$Y$1137</f>
        <v>0</v>
      </c>
      <c r="N1137" s="76">
        <f ca="1">$K$1137-EFEITO!$M$1137*EFEITO!$Z$1137</f>
        <v>0</v>
      </c>
      <c r="O1137" s="76">
        <f>$L$1137-EFEITO!$O$1137*EFEITO!$AA$1137</f>
        <v>0</v>
      </c>
      <c r="P1137" s="18"/>
      <c r="Q1137" s="18"/>
      <c r="R1137" s="18"/>
      <c r="S1137" s="18"/>
      <c r="T1137" s="18"/>
      <c r="U1137" s="18"/>
      <c r="V1137" s="18"/>
      <c r="W1137" s="18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62" t="s">
        <v>21</v>
      </c>
      <c r="B1138" s="62" t="s">
        <v>41</v>
      </c>
      <c r="C1138" s="62" t="s">
        <v>42</v>
      </c>
      <c r="D1138" s="62" t="s">
        <v>46</v>
      </c>
      <c r="E1138" s="62" t="s">
        <v>25</v>
      </c>
      <c r="F1138" s="62" t="s">
        <v>25</v>
      </c>
      <c r="G1138" s="62" t="s">
        <v>25</v>
      </c>
      <c r="H1138" s="62" t="s">
        <v>34</v>
      </c>
      <c r="I1138" s="75">
        <v>44652</v>
      </c>
      <c r="J1138" s="76">
        <f>EFEITO!$J$1138*EFEITO!$Y$1138</f>
        <v>0</v>
      </c>
      <c r="K1138" s="76">
        <f ca="1">EFEITO!$L$1138*EFEITO!$Z$1138</f>
        <v>54011.265320166254</v>
      </c>
      <c r="L1138" s="76">
        <f>EFEITO!$N$1138*EFEITO!$AA$1138</f>
        <v>13984.549071552563</v>
      </c>
      <c r="M1138" s="76">
        <f>$J$1138-EFEITO!$K$1138*EFEITO!$Y$1138</f>
        <v>0</v>
      </c>
      <c r="N1138" s="76">
        <f ca="1">$K$1138-EFEITO!$M$1138*EFEITO!$Z$1138</f>
        <v>0</v>
      </c>
      <c r="O1138" s="76">
        <f>$L$1138-EFEITO!$O$1138*EFEITO!$AA$1138</f>
        <v>0</v>
      </c>
      <c r="P1138" s="18"/>
      <c r="Q1138" s="18"/>
      <c r="R1138" s="18"/>
      <c r="S1138" s="18"/>
      <c r="T1138" s="18"/>
      <c r="U1138" s="18"/>
      <c r="V1138" s="18"/>
      <c r="W1138" s="18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62" t="s">
        <v>28</v>
      </c>
      <c r="B1139" s="62" t="s">
        <v>41</v>
      </c>
      <c r="C1139" s="62" t="s">
        <v>42</v>
      </c>
      <c r="D1139" s="62" t="s">
        <v>46</v>
      </c>
      <c r="E1139" s="62" t="s">
        <v>25</v>
      </c>
      <c r="F1139" s="62" t="s">
        <v>25</v>
      </c>
      <c r="G1139" s="62" t="s">
        <v>25</v>
      </c>
      <c r="H1139" s="62" t="s">
        <v>34</v>
      </c>
      <c r="I1139" s="75">
        <v>44652</v>
      </c>
      <c r="J1139" s="76">
        <f>EFEITO!$J$1139*EFEITO!$Y$1139</f>
        <v>0</v>
      </c>
      <c r="K1139" s="76">
        <f ca="1">EFEITO!$L$1139*EFEITO!$Z$1139</f>
        <v>7365.53071092354</v>
      </c>
      <c r="L1139" s="76">
        <f>EFEITO!$N$1139*EFEITO!$AA$1139</f>
        <v>1907.0767006541334</v>
      </c>
      <c r="M1139" s="76">
        <f>$J$1139-EFEITO!$K$1139*EFEITO!$Y$1139</f>
        <v>0</v>
      </c>
      <c r="N1139" s="76">
        <f ca="1">$K$1139-EFEITO!$M$1139*EFEITO!$Z$1139</f>
        <v>0</v>
      </c>
      <c r="O1139" s="76">
        <f>$L$1139-EFEITO!$O$1139*EFEITO!$AA$1139</f>
        <v>0</v>
      </c>
      <c r="P1139" s="18"/>
      <c r="Q1139" s="18"/>
      <c r="R1139" s="18"/>
      <c r="S1139" s="18"/>
      <c r="T1139" s="18"/>
      <c r="U1139" s="18"/>
      <c r="V1139" s="18"/>
      <c r="W1139" s="18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62" t="s">
        <v>58</v>
      </c>
      <c r="B1140" s="62" t="s">
        <v>41</v>
      </c>
      <c r="C1140" s="62" t="s">
        <v>42</v>
      </c>
      <c r="D1140" s="62" t="s">
        <v>46</v>
      </c>
      <c r="E1140" s="62" t="s">
        <v>25</v>
      </c>
      <c r="F1140" s="62" t="s">
        <v>25</v>
      </c>
      <c r="G1140" s="62" t="s">
        <v>25</v>
      </c>
      <c r="H1140" s="62" t="s">
        <v>34</v>
      </c>
      <c r="I1140" s="75">
        <v>44682</v>
      </c>
      <c r="J1140" s="76">
        <f>EFEITO!$J$1140*EFEITO!$Y$1140</f>
        <v>0</v>
      </c>
      <c r="K1140" s="76">
        <f ca="1">EFEITO!$L$1140*EFEITO!$Z$1140</f>
        <v>54011.265320166254</v>
      </c>
      <c r="L1140" s="76">
        <f>EFEITO!$N$1140*EFEITO!$AA$1140</f>
        <v>13984.549071552563</v>
      </c>
      <c r="M1140" s="76">
        <f>$J$1140-EFEITO!$K$1140*EFEITO!$Y$1140</f>
        <v>0</v>
      </c>
      <c r="N1140" s="76">
        <f ca="1">$K$1140-EFEITO!$M$1140*EFEITO!$Z$1140</f>
        <v>0</v>
      </c>
      <c r="O1140" s="76">
        <f>$L$1140-EFEITO!$O$1140*EFEITO!$AA$1140</f>
        <v>0</v>
      </c>
      <c r="P1140" s="18"/>
      <c r="Q1140" s="18"/>
      <c r="R1140" s="18"/>
      <c r="S1140" s="18"/>
      <c r="T1140" s="18"/>
      <c r="U1140" s="18"/>
      <c r="V1140" s="18"/>
      <c r="W1140" s="18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62" t="s">
        <v>58</v>
      </c>
      <c r="B1141" s="62" t="s">
        <v>41</v>
      </c>
      <c r="C1141" s="62" t="s">
        <v>42</v>
      </c>
      <c r="D1141" s="62" t="s">
        <v>46</v>
      </c>
      <c r="E1141" s="62" t="s">
        <v>25</v>
      </c>
      <c r="F1141" s="62" t="s">
        <v>25</v>
      </c>
      <c r="G1141" s="62" t="s">
        <v>25</v>
      </c>
      <c r="H1141" s="62" t="s">
        <v>34</v>
      </c>
      <c r="I1141" s="75">
        <v>44682</v>
      </c>
      <c r="J1141" s="76">
        <f>EFEITO!$J$1141*EFEITO!$Y$1141</f>
        <v>0</v>
      </c>
      <c r="K1141" s="76">
        <f ca="1">EFEITO!$L$1141*EFEITO!$Z$1141</f>
        <v>7365.53071092354</v>
      </c>
      <c r="L1141" s="76">
        <f>EFEITO!$N$1141*EFEITO!$AA$1141</f>
        <v>1907.0767006541334</v>
      </c>
      <c r="M1141" s="76">
        <f>$J$1141-EFEITO!$K$1141*EFEITO!$Y$1141</f>
        <v>0</v>
      </c>
      <c r="N1141" s="76">
        <f ca="1">$K$1141-EFEITO!$M$1141*EFEITO!$Z$1141</f>
        <v>0</v>
      </c>
      <c r="O1141" s="76">
        <f>$L$1141-EFEITO!$O$1141*EFEITO!$AA$1141</f>
        <v>0</v>
      </c>
      <c r="P1141" s="18"/>
      <c r="Q1141" s="18"/>
      <c r="R1141" s="18"/>
      <c r="S1141" s="18"/>
      <c r="T1141" s="18"/>
      <c r="U1141" s="18"/>
      <c r="V1141" s="18"/>
      <c r="W1141" s="18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62" t="s">
        <v>21</v>
      </c>
      <c r="B1142" s="62" t="s">
        <v>41</v>
      </c>
      <c r="C1142" s="62" t="s">
        <v>42</v>
      </c>
      <c r="D1142" s="62" t="s">
        <v>45</v>
      </c>
      <c r="E1142" s="62" t="s">
        <v>25</v>
      </c>
      <c r="F1142" s="62" t="s">
        <v>25</v>
      </c>
      <c r="G1142" s="62" t="s">
        <v>25</v>
      </c>
      <c r="H1142" s="62" t="s">
        <v>35</v>
      </c>
      <c r="I1142" s="75">
        <v>44348</v>
      </c>
      <c r="J1142" s="76">
        <f>EFEITO!$J$1142*EFEITO!$Y$1091</f>
        <v>0</v>
      </c>
      <c r="K1142" s="76">
        <f ca="1">EFEITO!$L$1142*EFEITO!$Z$1091</f>
        <v>29141.761112602089</v>
      </c>
      <c r="L1142" s="76">
        <f>EFEITO!$N$1142*EFEITO!$AA$1091</f>
        <v>66416.779297315283</v>
      </c>
      <c r="M1142" s="76">
        <f>$J$1142-EFEITO!$K$1142*EFEITO!$Y$1142</f>
        <v>0</v>
      </c>
      <c r="N1142" s="76">
        <f ca="1">$K$1142-EFEITO!$M$1142*EFEITO!$Z$1142</f>
        <v>582.83522225204433</v>
      </c>
      <c r="O1142" s="76">
        <f>$L$1142-EFEITO!$O$1142*EFEITO!$AA$1142</f>
        <v>1328.3355859463045</v>
      </c>
      <c r="P1142" s="18"/>
      <c r="Q1142" s="18"/>
      <c r="R1142" s="18"/>
      <c r="S1142" s="18"/>
      <c r="T1142" s="18"/>
      <c r="U1142" s="18"/>
      <c r="V1142" s="18"/>
      <c r="W1142" s="18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62" t="s">
        <v>27</v>
      </c>
      <c r="B1143" s="62" t="s">
        <v>41</v>
      </c>
      <c r="C1143" s="62" t="s">
        <v>42</v>
      </c>
      <c r="D1143" s="62" t="s">
        <v>45</v>
      </c>
      <c r="E1143" s="62" t="s">
        <v>25</v>
      </c>
      <c r="F1143" s="62" t="s">
        <v>25</v>
      </c>
      <c r="G1143" s="62" t="s">
        <v>25</v>
      </c>
      <c r="H1143" s="62" t="s">
        <v>35</v>
      </c>
      <c r="I1143" s="75">
        <v>44348</v>
      </c>
      <c r="J1143" s="76">
        <f>EFEITO!$J$1143*EFEITO!$Y$1091</f>
        <v>0</v>
      </c>
      <c r="K1143" s="76">
        <f ca="1">EFEITO!$L$1143*EFEITO!$Z$1091</f>
        <v>841.10742839347859</v>
      </c>
      <c r="L1143" s="76">
        <f>EFEITO!$N$1143*EFEITO!$AA$1091</f>
        <v>1916.9619235120404</v>
      </c>
      <c r="M1143" s="76">
        <f>$J$1143-EFEITO!$K$1143*EFEITO!$Y$1143</f>
        <v>0</v>
      </c>
      <c r="N1143" s="76">
        <f ca="1">$K$1143-EFEITO!$M$1143*EFEITO!$Z$1143</f>
        <v>16.82214856786959</v>
      </c>
      <c r="O1143" s="76">
        <f>$L$1143-EFEITO!$O$1143*EFEITO!$AA$1143</f>
        <v>38.339238470240616</v>
      </c>
      <c r="P1143" s="18"/>
      <c r="Q1143" s="18"/>
      <c r="R1143" s="18"/>
      <c r="S1143" s="18"/>
      <c r="T1143" s="18"/>
      <c r="U1143" s="18"/>
      <c r="V1143" s="18"/>
      <c r="W1143" s="18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62" t="s">
        <v>21</v>
      </c>
      <c r="B1144" s="62" t="s">
        <v>41</v>
      </c>
      <c r="C1144" s="62" t="s">
        <v>42</v>
      </c>
      <c r="D1144" s="62" t="s">
        <v>45</v>
      </c>
      <c r="E1144" s="62" t="s">
        <v>25</v>
      </c>
      <c r="F1144" s="62" t="s">
        <v>25</v>
      </c>
      <c r="G1144" s="62" t="s">
        <v>25</v>
      </c>
      <c r="H1144" s="62" t="s">
        <v>35</v>
      </c>
      <c r="I1144" s="75">
        <v>44378</v>
      </c>
      <c r="J1144" s="76">
        <f>EFEITO!$J$1144*EFEITO!$Y$1091</f>
        <v>0</v>
      </c>
      <c r="K1144" s="76">
        <f ca="1">EFEITO!$L$1144*EFEITO!$Z$1091</f>
        <v>32049.216610586413</v>
      </c>
      <c r="L1144" s="76">
        <f>EFEITO!$N$1144*EFEITO!$AA$1091</f>
        <v>73043.140325403059</v>
      </c>
      <c r="M1144" s="76">
        <f>$J$1144-EFEITO!$K$1144*EFEITO!$Y$1144</f>
        <v>0</v>
      </c>
      <c r="N1144" s="76">
        <f ca="1">$K$1144-EFEITO!$M$1144*EFEITO!$Z$1144</f>
        <v>640.984332211734</v>
      </c>
      <c r="O1144" s="76">
        <f>$L$1144-EFEITO!$O$1144*EFEITO!$AA$1144</f>
        <v>1460.8628065080557</v>
      </c>
      <c r="P1144" s="18"/>
      <c r="Q1144" s="18"/>
      <c r="R1144" s="18"/>
      <c r="S1144" s="18"/>
      <c r="T1144" s="18"/>
      <c r="U1144" s="18"/>
      <c r="V1144" s="18"/>
      <c r="W1144" s="18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62" t="s">
        <v>21</v>
      </c>
      <c r="B1145" s="62" t="s">
        <v>41</v>
      </c>
      <c r="C1145" s="62" t="s">
        <v>42</v>
      </c>
      <c r="D1145" s="62" t="s">
        <v>45</v>
      </c>
      <c r="E1145" s="62" t="s">
        <v>25</v>
      </c>
      <c r="F1145" s="62" t="s">
        <v>25</v>
      </c>
      <c r="G1145" s="62" t="s">
        <v>25</v>
      </c>
      <c r="H1145" s="62" t="s">
        <v>35</v>
      </c>
      <c r="I1145" s="75">
        <v>44409</v>
      </c>
      <c r="J1145" s="76">
        <f>EFEITO!$J$1145*EFEITO!$Y$1091</f>
        <v>0</v>
      </c>
      <c r="K1145" s="76">
        <f ca="1">EFEITO!$L$1145*EFEITO!$Z$1091</f>
        <v>29764.620404347068</v>
      </c>
      <c r="L1145" s="76">
        <f>EFEITO!$N$1145*EFEITO!$AA$1091</f>
        <v>67836.333453746091</v>
      </c>
      <c r="M1145" s="76">
        <f>$J$1145-EFEITO!$K$1145*EFEITO!$Y$1145</f>
        <v>0</v>
      </c>
      <c r="N1145" s="76">
        <f ca="1">$K$1145-EFEITO!$M$1145*EFEITO!$Z$1145</f>
        <v>595.29240808694522</v>
      </c>
      <c r="O1145" s="76">
        <f>$L$1145-EFEITO!$O$1145*EFEITO!$AA$1145</f>
        <v>1356.7266690749093</v>
      </c>
      <c r="P1145" s="18"/>
      <c r="Q1145" s="18"/>
      <c r="R1145" s="18"/>
      <c r="S1145" s="18"/>
      <c r="T1145" s="18"/>
      <c r="U1145" s="18"/>
      <c r="V1145" s="18"/>
      <c r="W1145" s="18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62" t="s">
        <v>21</v>
      </c>
      <c r="B1146" s="62" t="s">
        <v>41</v>
      </c>
      <c r="C1146" s="62" t="s">
        <v>42</v>
      </c>
      <c r="D1146" s="62" t="s">
        <v>45</v>
      </c>
      <c r="E1146" s="62" t="s">
        <v>25</v>
      </c>
      <c r="F1146" s="62" t="s">
        <v>25</v>
      </c>
      <c r="G1146" s="62" t="s">
        <v>25</v>
      </c>
      <c r="H1146" s="62" t="s">
        <v>35</v>
      </c>
      <c r="I1146" s="75">
        <v>44440</v>
      </c>
      <c r="J1146" s="76">
        <f>EFEITO!$J$1146*EFEITO!$Y$1091</f>
        <v>0</v>
      </c>
      <c r="K1146" s="76">
        <f ca="1">EFEITO!$L$1146*EFEITO!$Z$1091</f>
        <v>30544.431441717101</v>
      </c>
      <c r="L1146" s="76">
        <f>EFEITO!$N$1146*EFEITO!$AA$1091</f>
        <v>69613.595210936837</v>
      </c>
      <c r="M1146" s="76">
        <f>$J$1146-EFEITO!$K$1146*EFEITO!$Y$1146</f>
        <v>0</v>
      </c>
      <c r="N1146" s="76">
        <f ca="1">$K$1146-EFEITO!$M$1146*EFEITO!$Z$1146</f>
        <v>610.88862883434558</v>
      </c>
      <c r="O1146" s="76">
        <f>$L$1146-EFEITO!$O$1146*EFEITO!$AA$1146</f>
        <v>1392.2719042187382</v>
      </c>
      <c r="P1146" s="18"/>
      <c r="Q1146" s="18"/>
      <c r="R1146" s="18"/>
      <c r="S1146" s="18"/>
      <c r="T1146" s="18"/>
      <c r="U1146" s="18"/>
      <c r="V1146" s="18"/>
      <c r="W1146" s="18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62" t="s">
        <v>21</v>
      </c>
      <c r="B1147" s="62" t="s">
        <v>41</v>
      </c>
      <c r="C1147" s="62" t="s">
        <v>42</v>
      </c>
      <c r="D1147" s="62" t="s">
        <v>45</v>
      </c>
      <c r="E1147" s="62" t="s">
        <v>25</v>
      </c>
      <c r="F1147" s="62" t="s">
        <v>25</v>
      </c>
      <c r="G1147" s="62" t="s">
        <v>25</v>
      </c>
      <c r="H1147" s="62" t="s">
        <v>35</v>
      </c>
      <c r="I1147" s="75">
        <v>44470</v>
      </c>
      <c r="J1147" s="76">
        <f>EFEITO!$J$1147*EFEITO!$Y$1091</f>
        <v>0</v>
      </c>
      <c r="K1147" s="76">
        <f ca="1">EFEITO!$L$1147*EFEITO!$Z$1091</f>
        <v>32142.947863227648</v>
      </c>
      <c r="L1147" s="76">
        <f>EFEITO!$N$1147*EFEITO!$AA$1091</f>
        <v>73256.762552827116</v>
      </c>
      <c r="M1147" s="76">
        <f>$J$1147-EFEITO!$K$1147*EFEITO!$Y$1147</f>
        <v>0</v>
      </c>
      <c r="N1147" s="76">
        <f ca="1">$K$1147-EFEITO!$M$1147*EFEITO!$Z$1147</f>
        <v>642.85895726455419</v>
      </c>
      <c r="O1147" s="76">
        <f>$L$1147-EFEITO!$O$1147*EFEITO!$AA$1147</f>
        <v>1465.1352510565339</v>
      </c>
      <c r="P1147" s="18"/>
      <c r="Q1147" s="18"/>
      <c r="R1147" s="18"/>
      <c r="S1147" s="18"/>
      <c r="T1147" s="18"/>
      <c r="U1147" s="18"/>
      <c r="V1147" s="18"/>
      <c r="W1147" s="18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62" t="s">
        <v>21</v>
      </c>
      <c r="B1148" s="62" t="s">
        <v>41</v>
      </c>
      <c r="C1148" s="62" t="s">
        <v>42</v>
      </c>
      <c r="D1148" s="62" t="s">
        <v>45</v>
      </c>
      <c r="E1148" s="62" t="s">
        <v>25</v>
      </c>
      <c r="F1148" s="62" t="s">
        <v>25</v>
      </c>
      <c r="G1148" s="62" t="s">
        <v>25</v>
      </c>
      <c r="H1148" s="62" t="s">
        <v>35</v>
      </c>
      <c r="I1148" s="75">
        <v>44501</v>
      </c>
      <c r="J1148" s="76">
        <f>EFEITO!$J$1148*EFEITO!$Y$1091</f>
        <v>0</v>
      </c>
      <c r="K1148" s="76">
        <f ca="1">EFEITO!$L$1148*EFEITO!$Z$1091</f>
        <v>30600.780141985291</v>
      </c>
      <c r="L1148" s="76">
        <f>EFEITO!$N$1148*EFEITO!$AA$1091</f>
        <v>69742.019130649234</v>
      </c>
      <c r="M1148" s="76">
        <f>$J$1148-EFEITO!$K$1148*EFEITO!$Y$1148</f>
        <v>0</v>
      </c>
      <c r="N1148" s="76">
        <f ca="1">$K$1148-EFEITO!$M$1148*EFEITO!$Z$1148</f>
        <v>612.01560283971048</v>
      </c>
      <c r="O1148" s="76">
        <f>$L$1148-EFEITO!$O$1148*EFEITO!$AA$1148</f>
        <v>1394.8403826129797</v>
      </c>
      <c r="P1148" s="18"/>
      <c r="Q1148" s="18"/>
      <c r="R1148" s="18"/>
      <c r="S1148" s="18"/>
      <c r="T1148" s="18"/>
      <c r="U1148" s="18"/>
      <c r="V1148" s="18"/>
      <c r="W1148" s="18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62" t="s">
        <v>21</v>
      </c>
      <c r="B1149" s="62" t="s">
        <v>41</v>
      </c>
      <c r="C1149" s="62" t="s">
        <v>42</v>
      </c>
      <c r="D1149" s="62" t="s">
        <v>45</v>
      </c>
      <c r="E1149" s="62" t="s">
        <v>25</v>
      </c>
      <c r="F1149" s="62" t="s">
        <v>25</v>
      </c>
      <c r="G1149" s="62" t="s">
        <v>25</v>
      </c>
      <c r="H1149" s="62" t="s">
        <v>35</v>
      </c>
      <c r="I1149" s="75">
        <v>44531</v>
      </c>
      <c r="J1149" s="76">
        <f>EFEITO!$J$1149*EFEITO!$Y$1091</f>
        <v>0</v>
      </c>
      <c r="K1149" s="76">
        <f ca="1">EFEITO!$L$1149*EFEITO!$Z$1091</f>
        <v>33651.993543580655</v>
      </c>
      <c r="L1149" s="76">
        <f>EFEITO!$N$1149*EFEITO!$AA$1091</f>
        <v>76696.017768539896</v>
      </c>
      <c r="M1149" s="76">
        <f>$J$1149-EFEITO!$K$1149*EFEITO!$Y$1149</f>
        <v>0</v>
      </c>
      <c r="N1149" s="76">
        <f ca="1">$K$1149-EFEITO!$M$1149*EFEITO!$Z$1149</f>
        <v>673.03987087161659</v>
      </c>
      <c r="O1149" s="76">
        <f>$L$1149-EFEITO!$O$1149*EFEITO!$AA$1149</f>
        <v>1533.9203553707921</v>
      </c>
      <c r="P1149" s="18"/>
      <c r="Q1149" s="18"/>
      <c r="R1149" s="18"/>
      <c r="S1149" s="18"/>
      <c r="T1149" s="18"/>
      <c r="U1149" s="18"/>
      <c r="V1149" s="18"/>
      <c r="W1149" s="18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62" t="s">
        <v>21</v>
      </c>
      <c r="B1150" s="62" t="s">
        <v>41</v>
      </c>
      <c r="C1150" s="62" t="s">
        <v>42</v>
      </c>
      <c r="D1150" s="62" t="s">
        <v>45</v>
      </c>
      <c r="E1150" s="62" t="s">
        <v>25</v>
      </c>
      <c r="F1150" s="62" t="s">
        <v>25</v>
      </c>
      <c r="G1150" s="62" t="s">
        <v>25</v>
      </c>
      <c r="H1150" s="62" t="s">
        <v>35</v>
      </c>
      <c r="I1150" s="75">
        <v>44562</v>
      </c>
      <c r="J1150" s="76">
        <f>EFEITO!$J$1150*EFEITO!$Y$1091</f>
        <v>0</v>
      </c>
      <c r="K1150" s="76">
        <f ca="1">EFEITO!$L$1150*EFEITO!$Z$1091</f>
        <v>28991.131416275417</v>
      </c>
      <c r="L1150" s="76">
        <f>EFEITO!$N$1150*EFEITO!$AA$1091</f>
        <v>66073.480233888942</v>
      </c>
      <c r="M1150" s="76">
        <f>$J$1150-EFEITO!$K$1150*EFEITO!$Y$1150</f>
        <v>0</v>
      </c>
      <c r="N1150" s="76">
        <f ca="1">$K$1150-EFEITO!$M$1150*EFEITO!$Z$1150</f>
        <v>579.82262832550987</v>
      </c>
      <c r="O1150" s="76">
        <f>$L$1150-EFEITO!$O$1150*EFEITO!$AA$1150</f>
        <v>1321.4696046777681</v>
      </c>
      <c r="P1150" s="18"/>
      <c r="Q1150" s="18"/>
      <c r="R1150" s="18"/>
      <c r="S1150" s="18"/>
      <c r="T1150" s="18"/>
      <c r="U1150" s="18"/>
      <c r="V1150" s="18"/>
      <c r="W1150" s="18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62" t="s">
        <v>21</v>
      </c>
      <c r="B1151" s="62" t="s">
        <v>41</v>
      </c>
      <c r="C1151" s="62" t="s">
        <v>42</v>
      </c>
      <c r="D1151" s="62" t="s">
        <v>45</v>
      </c>
      <c r="E1151" s="62" t="s">
        <v>25</v>
      </c>
      <c r="F1151" s="62" t="s">
        <v>25</v>
      </c>
      <c r="G1151" s="62" t="s">
        <v>25</v>
      </c>
      <c r="H1151" s="62" t="s">
        <v>35</v>
      </c>
      <c r="I1151" s="75">
        <v>44593</v>
      </c>
      <c r="J1151" s="76">
        <f>EFEITO!$J$1151*EFEITO!$Y$1091</f>
        <v>0</v>
      </c>
      <c r="K1151" s="76">
        <f ca="1">EFEITO!$L$1151*EFEITO!$Z$1091</f>
        <v>26225.097412378826</v>
      </c>
      <c r="L1151" s="76">
        <f>EFEITO!$N$1151*EFEITO!$AA$1091</f>
        <v>59769.431921372059</v>
      </c>
      <c r="M1151" s="76">
        <f>$J$1151-EFEITO!$K$1151*EFEITO!$Y$1151</f>
        <v>0</v>
      </c>
      <c r="N1151" s="76">
        <f ca="1">$K$1151-EFEITO!$M$1151*EFEITO!$Z$1151</f>
        <v>524.50194824758</v>
      </c>
      <c r="O1151" s="76">
        <f>$L$1151-EFEITO!$O$1151*EFEITO!$AA$1151</f>
        <v>1195.3886384274301</v>
      </c>
      <c r="P1151" s="18"/>
      <c r="Q1151" s="18"/>
      <c r="R1151" s="18"/>
      <c r="S1151" s="18"/>
      <c r="T1151" s="18"/>
      <c r="U1151" s="18"/>
      <c r="V1151" s="18"/>
      <c r="W1151" s="18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62" t="s">
        <v>21</v>
      </c>
      <c r="B1152" s="62" t="s">
        <v>41</v>
      </c>
      <c r="C1152" s="62" t="s">
        <v>42</v>
      </c>
      <c r="D1152" s="62" t="s">
        <v>45</v>
      </c>
      <c r="E1152" s="62" t="s">
        <v>25</v>
      </c>
      <c r="F1152" s="62" t="s">
        <v>25</v>
      </c>
      <c r="G1152" s="62" t="s">
        <v>25</v>
      </c>
      <c r="H1152" s="62" t="s">
        <v>35</v>
      </c>
      <c r="I1152" s="75">
        <v>44621</v>
      </c>
      <c r="J1152" s="76">
        <f>EFEITO!$J$1152*EFEITO!$Y$1091</f>
        <v>0</v>
      </c>
      <c r="K1152" s="76">
        <f ca="1">EFEITO!$L$1152*EFEITO!$Z$1091</f>
        <v>27551.215970641679</v>
      </c>
      <c r="L1152" s="76">
        <f>EFEITO!$N$1152*EFEITO!$AA$1091</f>
        <v>62791.779241628217</v>
      </c>
      <c r="M1152" s="76">
        <f>$J$1152-EFEITO!$K$1152*EFEITO!$Y$1152</f>
        <v>0</v>
      </c>
      <c r="N1152" s="76">
        <f ca="1">$K$1152-EFEITO!$M$1152*EFEITO!$Z$1152</f>
        <v>551.0243194128343</v>
      </c>
      <c r="O1152" s="76">
        <f>$L$1152-EFEITO!$O$1152*EFEITO!$AA$1152</f>
        <v>1255.8355848325591</v>
      </c>
      <c r="P1152" s="18"/>
      <c r="Q1152" s="18"/>
      <c r="R1152" s="18"/>
      <c r="S1152" s="18"/>
      <c r="T1152" s="18"/>
      <c r="U1152" s="18"/>
      <c r="V1152" s="18"/>
      <c r="W1152" s="18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62" t="s">
        <v>21</v>
      </c>
      <c r="B1153" s="62" t="s">
        <v>41</v>
      </c>
      <c r="C1153" s="62" t="s">
        <v>42</v>
      </c>
      <c r="D1153" s="62" t="s">
        <v>45</v>
      </c>
      <c r="E1153" s="62" t="s">
        <v>25</v>
      </c>
      <c r="F1153" s="62" t="s">
        <v>25</v>
      </c>
      <c r="G1153" s="62" t="s">
        <v>25</v>
      </c>
      <c r="H1153" s="62" t="s">
        <v>35</v>
      </c>
      <c r="I1153" s="75">
        <v>44652</v>
      </c>
      <c r="J1153" s="76">
        <f>EFEITO!$J$1153*EFEITO!$Y$1091</f>
        <v>0</v>
      </c>
      <c r="K1153" s="76">
        <f ca="1">EFEITO!$L$1153*EFEITO!$Z$1091</f>
        <v>26448.430675636897</v>
      </c>
      <c r="L1153" s="76">
        <f>EFEITO!$N$1153*EFEITO!$AA$1091</f>
        <v>60278.429164134657</v>
      </c>
      <c r="M1153" s="76">
        <f>$J$1153-EFEITO!$K$1153*EFEITO!$Y$1153</f>
        <v>0</v>
      </c>
      <c r="N1153" s="76">
        <f ca="1">$K$1153-EFEITO!$M$1153*EFEITO!$Z$1153</f>
        <v>528.96861351274129</v>
      </c>
      <c r="O1153" s="76">
        <f>$L$1153-EFEITO!$O$1153*EFEITO!$AA$1153</f>
        <v>1205.568583282693</v>
      </c>
      <c r="P1153" s="18"/>
      <c r="Q1153" s="18"/>
      <c r="R1153" s="18"/>
      <c r="S1153" s="18"/>
      <c r="T1153" s="18"/>
      <c r="U1153" s="18"/>
      <c r="V1153" s="18"/>
      <c r="W1153" s="18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62" t="s">
        <v>58</v>
      </c>
      <c r="B1154" s="62" t="s">
        <v>41</v>
      </c>
      <c r="C1154" s="62" t="s">
        <v>42</v>
      </c>
      <c r="D1154" s="62" t="s">
        <v>45</v>
      </c>
      <c r="E1154" s="62" t="s">
        <v>25</v>
      </c>
      <c r="F1154" s="62" t="s">
        <v>25</v>
      </c>
      <c r="G1154" s="62" t="s">
        <v>25</v>
      </c>
      <c r="H1154" s="62" t="s">
        <v>35</v>
      </c>
      <c r="I1154" s="75">
        <v>44682</v>
      </c>
      <c r="J1154" s="76">
        <f>EFEITO!$J$1154*EFEITO!$Y$1091</f>
        <v>0</v>
      </c>
      <c r="K1154" s="76">
        <f ca="1">EFEITO!$L$1154*EFEITO!$Z$1091</f>
        <v>26448.430675636897</v>
      </c>
      <c r="L1154" s="76">
        <f>EFEITO!$N$1154*EFEITO!$AA$1091</f>
        <v>60278.429164134657</v>
      </c>
      <c r="M1154" s="76">
        <f>$J$1154-EFEITO!$K$1154*EFEITO!$Y$1154</f>
        <v>0</v>
      </c>
      <c r="N1154" s="76">
        <f ca="1">$K$1154-EFEITO!$M$1154*EFEITO!$Z$1154</f>
        <v>528.96861351274129</v>
      </c>
      <c r="O1154" s="76">
        <f>$L$1154-EFEITO!$O$1154*EFEITO!$AA$1154</f>
        <v>1205.568583282693</v>
      </c>
      <c r="P1154" s="18"/>
      <c r="Q1154" s="18"/>
      <c r="R1154" s="18"/>
      <c r="S1154" s="18"/>
      <c r="T1154" s="18"/>
      <c r="U1154" s="18"/>
      <c r="V1154" s="18"/>
      <c r="W1154" s="18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62" t="s">
        <v>21</v>
      </c>
      <c r="B1155" s="62" t="s">
        <v>41</v>
      </c>
      <c r="C1155" s="62" t="s">
        <v>42</v>
      </c>
      <c r="D1155" s="62" t="s">
        <v>45</v>
      </c>
      <c r="E1155" s="62" t="s">
        <v>25</v>
      </c>
      <c r="F1155" s="62" t="s">
        <v>25</v>
      </c>
      <c r="G1155" s="62" t="s">
        <v>25</v>
      </c>
      <c r="H1155" s="62" t="s">
        <v>25</v>
      </c>
      <c r="I1155" s="75">
        <v>44348</v>
      </c>
      <c r="J1155" s="76">
        <f ca="1">EFEITO!$J$1155*EFEITO!$Y$1116</f>
        <v>31651.069339345751</v>
      </c>
      <c r="K1155" s="76">
        <f>EFEITO!$L$1155*EFEITO!$Z$1116</f>
        <v>0</v>
      </c>
      <c r="L1155" s="76">
        <f>EFEITO!$N$1155*EFEITO!$AA$1116</f>
        <v>0</v>
      </c>
      <c r="M1155" s="76">
        <f ca="1">$J$1155-EFEITO!$K$1155*EFEITO!$Y$1155</f>
        <v>633.02138678691335</v>
      </c>
      <c r="N1155" s="76">
        <f>$K$1155-EFEITO!$M$1155*EFEITO!$Z$1155</f>
        <v>0</v>
      </c>
      <c r="O1155" s="76">
        <f>$L$1155-EFEITO!$O$1155*EFEITO!$AA$1155</f>
        <v>0</v>
      </c>
      <c r="P1155" s="18"/>
      <c r="Q1155" s="18"/>
      <c r="R1155" s="18"/>
      <c r="S1155" s="18"/>
      <c r="T1155" s="18"/>
      <c r="U1155" s="18"/>
      <c r="V1155" s="18"/>
      <c r="W1155" s="18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62" t="s">
        <v>27</v>
      </c>
      <c r="B1156" s="62" t="s">
        <v>41</v>
      </c>
      <c r="C1156" s="62" t="s">
        <v>42</v>
      </c>
      <c r="D1156" s="62" t="s">
        <v>45</v>
      </c>
      <c r="E1156" s="62" t="s">
        <v>25</v>
      </c>
      <c r="F1156" s="62" t="s">
        <v>25</v>
      </c>
      <c r="G1156" s="62" t="s">
        <v>25</v>
      </c>
      <c r="H1156" s="62" t="s">
        <v>25</v>
      </c>
      <c r="I1156" s="75">
        <v>44348</v>
      </c>
      <c r="J1156" s="76">
        <f ca="1">EFEITO!$J$1156*EFEITO!$Y$1116</f>
        <v>10401.340112459196</v>
      </c>
      <c r="K1156" s="76">
        <f>EFEITO!$L$1156*EFEITO!$Z$1116</f>
        <v>0</v>
      </c>
      <c r="L1156" s="76">
        <f>EFEITO!$N$1156*EFEITO!$AA$1116</f>
        <v>0</v>
      </c>
      <c r="M1156" s="76">
        <f ca="1">$J$1156-EFEITO!$K$1156*EFEITO!$Y$1156</f>
        <v>208.02680224918367</v>
      </c>
      <c r="N1156" s="76">
        <f>$K$1156-EFEITO!$M$1156*EFEITO!$Z$1156</f>
        <v>0</v>
      </c>
      <c r="O1156" s="76">
        <f>$L$1156-EFEITO!$O$1156*EFEITO!$AA$1156</f>
        <v>0</v>
      </c>
      <c r="P1156" s="18"/>
      <c r="Q1156" s="18"/>
      <c r="R1156" s="18"/>
      <c r="S1156" s="18"/>
      <c r="T1156" s="18"/>
      <c r="U1156" s="18"/>
      <c r="V1156" s="18"/>
      <c r="W1156" s="18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62" t="s">
        <v>21</v>
      </c>
      <c r="B1157" s="62" t="s">
        <v>41</v>
      </c>
      <c r="C1157" s="62" t="s">
        <v>42</v>
      </c>
      <c r="D1157" s="62" t="s">
        <v>45</v>
      </c>
      <c r="E1157" s="62" t="s">
        <v>25</v>
      </c>
      <c r="F1157" s="62" t="s">
        <v>25</v>
      </c>
      <c r="G1157" s="62" t="s">
        <v>25</v>
      </c>
      <c r="H1157" s="62" t="s">
        <v>25</v>
      </c>
      <c r="I1157" s="75">
        <v>44378</v>
      </c>
      <c r="J1157" s="76">
        <f ca="1">EFEITO!$J$1157*EFEITO!$Y$1116</f>
        <v>31949.102007324527</v>
      </c>
      <c r="K1157" s="76">
        <f>EFEITO!$L$1157*EFEITO!$Z$1116</f>
        <v>0</v>
      </c>
      <c r="L1157" s="76">
        <f>EFEITO!$N$1157*EFEITO!$AA$1116</f>
        <v>0</v>
      </c>
      <c r="M1157" s="76">
        <f ca="1">$J$1157-EFEITO!$K$1157*EFEITO!$Y$1157</f>
        <v>638.98204014649309</v>
      </c>
      <c r="N1157" s="76">
        <f>$K$1157-EFEITO!$M$1157*EFEITO!$Z$1157</f>
        <v>0</v>
      </c>
      <c r="O1157" s="76">
        <f>$L$1157-EFEITO!$O$1157*EFEITO!$AA$1157</f>
        <v>0</v>
      </c>
      <c r="P1157" s="18"/>
      <c r="Q1157" s="18"/>
      <c r="R1157" s="18"/>
      <c r="S1157" s="18"/>
      <c r="T1157" s="18"/>
      <c r="U1157" s="18"/>
      <c r="V1157" s="18"/>
      <c r="W1157" s="18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62" t="s">
        <v>21</v>
      </c>
      <c r="B1158" s="62" t="s">
        <v>41</v>
      </c>
      <c r="C1158" s="62" t="s">
        <v>42</v>
      </c>
      <c r="D1158" s="62" t="s">
        <v>45</v>
      </c>
      <c r="E1158" s="62" t="s">
        <v>25</v>
      </c>
      <c r="F1158" s="62" t="s">
        <v>25</v>
      </c>
      <c r="G1158" s="62" t="s">
        <v>25</v>
      </c>
      <c r="H1158" s="62" t="s">
        <v>25</v>
      </c>
      <c r="I1158" s="75">
        <v>44409</v>
      </c>
      <c r="J1158" s="76">
        <f ca="1">EFEITO!$J$1158*EFEITO!$Y$1116</f>
        <v>28581.332859164384</v>
      </c>
      <c r="K1158" s="76">
        <f>EFEITO!$L$1158*EFEITO!$Z$1116</f>
        <v>0</v>
      </c>
      <c r="L1158" s="76">
        <f>EFEITO!$N$1158*EFEITO!$AA$1116</f>
        <v>0</v>
      </c>
      <c r="M1158" s="76">
        <f ca="1">$J$1158-EFEITO!$K$1158*EFEITO!$Y$1158</f>
        <v>571.62665718328935</v>
      </c>
      <c r="N1158" s="76">
        <f>$K$1158-EFEITO!$M$1158*EFEITO!$Z$1158</f>
        <v>0</v>
      </c>
      <c r="O1158" s="76">
        <f>$L$1158-EFEITO!$O$1158*EFEITO!$AA$1158</f>
        <v>0</v>
      </c>
      <c r="P1158" s="18"/>
      <c r="Q1158" s="18"/>
      <c r="R1158" s="18"/>
      <c r="S1158" s="18"/>
      <c r="T1158" s="18"/>
      <c r="U1158" s="18"/>
      <c r="V1158" s="18"/>
      <c r="W1158" s="18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62" t="s">
        <v>21</v>
      </c>
      <c r="B1159" s="62" t="s">
        <v>41</v>
      </c>
      <c r="C1159" s="62" t="s">
        <v>42</v>
      </c>
      <c r="D1159" s="62" t="s">
        <v>45</v>
      </c>
      <c r="E1159" s="62" t="s">
        <v>25</v>
      </c>
      <c r="F1159" s="62" t="s">
        <v>25</v>
      </c>
      <c r="G1159" s="62" t="s">
        <v>25</v>
      </c>
      <c r="H1159" s="62" t="s">
        <v>25</v>
      </c>
      <c r="I1159" s="75">
        <v>44440</v>
      </c>
      <c r="J1159" s="76">
        <f ca="1">EFEITO!$J$1159*EFEITO!$Y$1116</f>
        <v>27568.021788036553</v>
      </c>
      <c r="K1159" s="76">
        <f>EFEITO!$L$1159*EFEITO!$Z$1116</f>
        <v>0</v>
      </c>
      <c r="L1159" s="76">
        <f>EFEITO!$N$1159*EFEITO!$AA$1116</f>
        <v>0</v>
      </c>
      <c r="M1159" s="76">
        <f ca="1">$J$1159-EFEITO!$K$1159*EFEITO!$Y$1159</f>
        <v>551.36043576072916</v>
      </c>
      <c r="N1159" s="76">
        <f>$K$1159-EFEITO!$M$1159*EFEITO!$Z$1159</f>
        <v>0</v>
      </c>
      <c r="O1159" s="76">
        <f>$L$1159-EFEITO!$O$1159*EFEITO!$AA$1159</f>
        <v>0</v>
      </c>
      <c r="P1159" s="18"/>
      <c r="Q1159" s="18"/>
      <c r="R1159" s="18"/>
      <c r="S1159" s="18"/>
      <c r="T1159" s="18"/>
      <c r="U1159" s="18"/>
      <c r="V1159" s="18"/>
      <c r="W1159" s="18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62" t="s">
        <v>21</v>
      </c>
      <c r="B1160" s="62" t="s">
        <v>41</v>
      </c>
      <c r="C1160" s="62" t="s">
        <v>42</v>
      </c>
      <c r="D1160" s="62" t="s">
        <v>45</v>
      </c>
      <c r="E1160" s="62" t="s">
        <v>25</v>
      </c>
      <c r="F1160" s="62" t="s">
        <v>25</v>
      </c>
      <c r="G1160" s="62" t="s">
        <v>25</v>
      </c>
      <c r="H1160" s="62" t="s">
        <v>25</v>
      </c>
      <c r="I1160" s="75">
        <v>44470</v>
      </c>
      <c r="J1160" s="76">
        <f ca="1">EFEITO!$J$1160*EFEITO!$Y$1116</f>
        <v>27031.562985674762</v>
      </c>
      <c r="K1160" s="76">
        <f>EFEITO!$L$1160*EFEITO!$Z$1116</f>
        <v>0</v>
      </c>
      <c r="L1160" s="76">
        <f>EFEITO!$N$1160*EFEITO!$AA$1116</f>
        <v>0</v>
      </c>
      <c r="M1160" s="76">
        <f ca="1">$J$1160-EFEITO!$K$1160*EFEITO!$Y$1160</f>
        <v>540.63125971349655</v>
      </c>
      <c r="N1160" s="76">
        <f>$K$1160-EFEITO!$M$1160*EFEITO!$Z$1160</f>
        <v>0</v>
      </c>
      <c r="O1160" s="76">
        <f>$L$1160-EFEITO!$O$1160*EFEITO!$AA$1160</f>
        <v>0</v>
      </c>
      <c r="P1160" s="18"/>
      <c r="Q1160" s="18"/>
      <c r="R1160" s="18"/>
      <c r="S1160" s="18"/>
      <c r="T1160" s="18"/>
      <c r="U1160" s="18"/>
      <c r="V1160" s="18"/>
      <c r="W1160" s="18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62" t="s">
        <v>21</v>
      </c>
      <c r="B1161" s="62" t="s">
        <v>41</v>
      </c>
      <c r="C1161" s="62" t="s">
        <v>42</v>
      </c>
      <c r="D1161" s="62" t="s">
        <v>45</v>
      </c>
      <c r="E1161" s="62" t="s">
        <v>25</v>
      </c>
      <c r="F1161" s="62" t="s">
        <v>25</v>
      </c>
      <c r="G1161" s="62" t="s">
        <v>25</v>
      </c>
      <c r="H1161" s="62" t="s">
        <v>25</v>
      </c>
      <c r="I1161" s="75">
        <v>44501</v>
      </c>
      <c r="J1161" s="76">
        <f ca="1">EFEITO!$J$1161*EFEITO!$Y$1116</f>
        <v>26256.678048929949</v>
      </c>
      <c r="K1161" s="76">
        <f>EFEITO!$L$1161*EFEITO!$Z$1116</f>
        <v>0</v>
      </c>
      <c r="L1161" s="76">
        <f>EFEITO!$N$1161*EFEITO!$AA$1116</f>
        <v>0</v>
      </c>
      <c r="M1161" s="76">
        <f ca="1">$J$1161-EFEITO!$K$1161*EFEITO!$Y$1161</f>
        <v>525.13356097859651</v>
      </c>
      <c r="N1161" s="76">
        <f>$K$1161-EFEITO!$M$1161*EFEITO!$Z$1161</f>
        <v>0</v>
      </c>
      <c r="O1161" s="76">
        <f>$L$1161-EFEITO!$O$1161*EFEITO!$AA$1161</f>
        <v>0</v>
      </c>
      <c r="P1161" s="18"/>
      <c r="Q1161" s="18"/>
      <c r="R1161" s="18"/>
      <c r="S1161" s="18"/>
      <c r="T1161" s="18"/>
      <c r="U1161" s="18"/>
      <c r="V1161" s="18"/>
      <c r="W1161" s="18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62" t="s">
        <v>21</v>
      </c>
      <c r="B1162" s="62" t="s">
        <v>41</v>
      </c>
      <c r="C1162" s="62" t="s">
        <v>42</v>
      </c>
      <c r="D1162" s="62" t="s">
        <v>45</v>
      </c>
      <c r="E1162" s="62" t="s">
        <v>25</v>
      </c>
      <c r="F1162" s="62" t="s">
        <v>25</v>
      </c>
      <c r="G1162" s="62" t="s">
        <v>25</v>
      </c>
      <c r="H1162" s="62" t="s">
        <v>25</v>
      </c>
      <c r="I1162" s="75">
        <v>44531</v>
      </c>
      <c r="J1162" s="76">
        <f ca="1">EFEITO!$J$1162*EFEITO!$Y$1116</f>
        <v>26822.94011808962</v>
      </c>
      <c r="K1162" s="76">
        <f>EFEITO!$L$1162*EFEITO!$Z$1116</f>
        <v>0</v>
      </c>
      <c r="L1162" s="76">
        <f>EFEITO!$N$1162*EFEITO!$AA$1116</f>
        <v>0</v>
      </c>
      <c r="M1162" s="76">
        <f ca="1">$J$1162-EFEITO!$K$1162*EFEITO!$Y$1162</f>
        <v>536.45880236179073</v>
      </c>
      <c r="N1162" s="76">
        <f>$K$1162-EFEITO!$M$1162*EFEITO!$Z$1162</f>
        <v>0</v>
      </c>
      <c r="O1162" s="76">
        <f>$L$1162-EFEITO!$O$1162*EFEITO!$AA$1162</f>
        <v>0</v>
      </c>
      <c r="P1162" s="18"/>
      <c r="Q1162" s="18"/>
      <c r="R1162" s="18"/>
      <c r="S1162" s="18"/>
      <c r="T1162" s="18"/>
      <c r="U1162" s="18"/>
      <c r="V1162" s="18"/>
      <c r="W1162" s="18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62" t="s">
        <v>21</v>
      </c>
      <c r="B1163" s="62" t="s">
        <v>41</v>
      </c>
      <c r="C1163" s="62" t="s">
        <v>42</v>
      </c>
      <c r="D1163" s="62" t="s">
        <v>45</v>
      </c>
      <c r="E1163" s="62" t="s">
        <v>25</v>
      </c>
      <c r="F1163" s="62" t="s">
        <v>25</v>
      </c>
      <c r="G1163" s="62" t="s">
        <v>25</v>
      </c>
      <c r="H1163" s="62" t="s">
        <v>25</v>
      </c>
      <c r="I1163" s="75">
        <v>44562</v>
      </c>
      <c r="J1163" s="76">
        <f ca="1">EFEITO!$J$1163*EFEITO!$Y$1116</f>
        <v>23067.728501557074</v>
      </c>
      <c r="K1163" s="76">
        <f>EFEITO!$L$1163*EFEITO!$Z$1116</f>
        <v>0</v>
      </c>
      <c r="L1163" s="76">
        <f>EFEITO!$N$1163*EFEITO!$AA$1116</f>
        <v>0</v>
      </c>
      <c r="M1163" s="76">
        <f ca="1">$J$1163-EFEITO!$K$1163*EFEITO!$Y$1163</f>
        <v>461.35457003114061</v>
      </c>
      <c r="N1163" s="76">
        <f>$K$1163-EFEITO!$M$1163*EFEITO!$Z$1163</f>
        <v>0</v>
      </c>
      <c r="O1163" s="76">
        <f>$L$1163-EFEITO!$O$1163*EFEITO!$AA$1163</f>
        <v>0</v>
      </c>
      <c r="P1163" s="18"/>
      <c r="Q1163" s="18"/>
      <c r="R1163" s="18"/>
      <c r="S1163" s="18"/>
      <c r="T1163" s="18"/>
      <c r="U1163" s="18"/>
      <c r="V1163" s="18"/>
      <c r="W1163" s="18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62" t="s">
        <v>21</v>
      </c>
      <c r="B1164" s="62" t="s">
        <v>41</v>
      </c>
      <c r="C1164" s="62" t="s">
        <v>42</v>
      </c>
      <c r="D1164" s="62" t="s">
        <v>45</v>
      </c>
      <c r="E1164" s="62" t="s">
        <v>25</v>
      </c>
      <c r="F1164" s="62" t="s">
        <v>25</v>
      </c>
      <c r="G1164" s="62" t="s">
        <v>25</v>
      </c>
      <c r="H1164" s="62" t="s">
        <v>25</v>
      </c>
      <c r="I1164" s="75">
        <v>44593</v>
      </c>
      <c r="J1164" s="76">
        <f ca="1">EFEITO!$J$1164*EFEITO!$Y$1116</f>
        <v>24915.531043025469</v>
      </c>
      <c r="K1164" s="76">
        <f>EFEITO!$L$1164*EFEITO!$Z$1116</f>
        <v>0</v>
      </c>
      <c r="L1164" s="76">
        <f>EFEITO!$N$1164*EFEITO!$AA$1116</f>
        <v>0</v>
      </c>
      <c r="M1164" s="76">
        <f ca="1">$J$1164-EFEITO!$K$1164*EFEITO!$Y$1164</f>
        <v>498.31062086050952</v>
      </c>
      <c r="N1164" s="76">
        <f>$K$1164-EFEITO!$M$1164*EFEITO!$Z$1164</f>
        <v>0</v>
      </c>
      <c r="O1164" s="76">
        <f>$L$1164-EFEITO!$O$1164*EFEITO!$AA$1164</f>
        <v>0</v>
      </c>
      <c r="P1164" s="18"/>
      <c r="Q1164" s="18"/>
      <c r="R1164" s="18"/>
      <c r="S1164" s="18"/>
      <c r="T1164" s="18"/>
      <c r="U1164" s="18"/>
      <c r="V1164" s="18"/>
      <c r="W1164" s="18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62" t="s">
        <v>21</v>
      </c>
      <c r="B1165" s="62" t="s">
        <v>41</v>
      </c>
      <c r="C1165" s="62" t="s">
        <v>42</v>
      </c>
      <c r="D1165" s="62" t="s">
        <v>45</v>
      </c>
      <c r="E1165" s="62" t="s">
        <v>25</v>
      </c>
      <c r="F1165" s="62" t="s">
        <v>25</v>
      </c>
      <c r="G1165" s="62" t="s">
        <v>25</v>
      </c>
      <c r="H1165" s="62" t="s">
        <v>25</v>
      </c>
      <c r="I1165" s="75">
        <v>44621</v>
      </c>
      <c r="J1165" s="76">
        <f ca="1">EFEITO!$J$1165*EFEITO!$Y$1116</f>
        <v>23514.777503525234</v>
      </c>
      <c r="K1165" s="76">
        <f>EFEITO!$L$1165*EFEITO!$Z$1116</f>
        <v>0</v>
      </c>
      <c r="L1165" s="76">
        <f>EFEITO!$N$1165*EFEITO!$AA$1116</f>
        <v>0</v>
      </c>
      <c r="M1165" s="76">
        <f ca="1">$J$1165-EFEITO!$K$1165*EFEITO!$Y$1165</f>
        <v>470.29555007050658</v>
      </c>
      <c r="N1165" s="76">
        <f>$K$1165-EFEITO!$M$1165*EFEITO!$Z$1165</f>
        <v>0</v>
      </c>
      <c r="O1165" s="76">
        <f>$L$1165-EFEITO!$O$1165*EFEITO!$AA$1165</f>
        <v>0</v>
      </c>
      <c r="P1165" s="18"/>
      <c r="Q1165" s="18"/>
      <c r="R1165" s="18"/>
      <c r="S1165" s="18"/>
      <c r="T1165" s="18"/>
      <c r="U1165" s="18"/>
      <c r="V1165" s="18"/>
      <c r="W1165" s="18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62" t="s">
        <v>21</v>
      </c>
      <c r="B1166" s="62" t="s">
        <v>41</v>
      </c>
      <c r="C1166" s="62" t="s">
        <v>42</v>
      </c>
      <c r="D1166" s="62" t="s">
        <v>45</v>
      </c>
      <c r="E1166" s="62" t="s">
        <v>25</v>
      </c>
      <c r="F1166" s="62" t="s">
        <v>25</v>
      </c>
      <c r="G1166" s="62" t="s">
        <v>25</v>
      </c>
      <c r="H1166" s="62" t="s">
        <v>25</v>
      </c>
      <c r="I1166" s="75">
        <v>44652</v>
      </c>
      <c r="J1166" s="76">
        <f ca="1">EFEITO!$J$1166*EFEITO!$Y$1116</f>
        <v>23544.580770323111</v>
      </c>
      <c r="K1166" s="76">
        <f>EFEITO!$L$1166*EFEITO!$Z$1116</f>
        <v>0</v>
      </c>
      <c r="L1166" s="76">
        <f>EFEITO!$N$1166*EFEITO!$AA$1116</f>
        <v>0</v>
      </c>
      <c r="M1166" s="76">
        <f ca="1">$J$1166-EFEITO!$K$1166*EFEITO!$Y$1166</f>
        <v>470.89161540646091</v>
      </c>
      <c r="N1166" s="76">
        <f>$K$1166-EFEITO!$M$1166*EFEITO!$Z$1166</f>
        <v>0</v>
      </c>
      <c r="O1166" s="76">
        <f>$L$1166-EFEITO!$O$1166*EFEITO!$AA$1166</f>
        <v>0</v>
      </c>
      <c r="P1166" s="18"/>
      <c r="Q1166" s="18"/>
      <c r="R1166" s="18"/>
      <c r="S1166" s="18"/>
      <c r="T1166" s="18"/>
      <c r="U1166" s="18"/>
      <c r="V1166" s="18"/>
      <c r="W1166" s="18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62" t="s">
        <v>58</v>
      </c>
      <c r="B1167" s="62" t="s">
        <v>41</v>
      </c>
      <c r="C1167" s="62" t="s">
        <v>42</v>
      </c>
      <c r="D1167" s="62" t="s">
        <v>45</v>
      </c>
      <c r="E1167" s="62" t="s">
        <v>25</v>
      </c>
      <c r="F1167" s="62" t="s">
        <v>25</v>
      </c>
      <c r="G1167" s="62" t="s">
        <v>25</v>
      </c>
      <c r="H1167" s="62" t="s">
        <v>25</v>
      </c>
      <c r="I1167" s="75">
        <v>44682</v>
      </c>
      <c r="J1167" s="76">
        <f ca="1">EFEITO!$J$1167*EFEITO!$Y$1116</f>
        <v>23544.580770323111</v>
      </c>
      <c r="K1167" s="76">
        <f>EFEITO!$L$1167*EFEITO!$Z$1116</f>
        <v>0</v>
      </c>
      <c r="L1167" s="76">
        <f>EFEITO!$N$1167*EFEITO!$AA$1116</f>
        <v>0</v>
      </c>
      <c r="M1167" s="76">
        <f ca="1">$J$1167-EFEITO!$K$1167*EFEITO!$Y$1167</f>
        <v>470.89161540646091</v>
      </c>
      <c r="N1167" s="76">
        <f>$K$1167-EFEITO!$M$1167*EFEITO!$Z$1167</f>
        <v>0</v>
      </c>
      <c r="O1167" s="76">
        <f>$L$1167-EFEITO!$O$1167*EFEITO!$AA$1167</f>
        <v>0</v>
      </c>
      <c r="P1167" s="18"/>
      <c r="Q1167" s="18"/>
      <c r="R1167" s="18"/>
      <c r="S1167" s="18"/>
      <c r="T1167" s="18"/>
      <c r="U1167" s="18"/>
      <c r="V1167" s="18"/>
      <c r="W1167" s="18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62" t="s">
        <v>21</v>
      </c>
      <c r="B1168" s="62" t="s">
        <v>41</v>
      </c>
      <c r="C1168" s="62" t="s">
        <v>42</v>
      </c>
      <c r="D1168" s="62" t="s">
        <v>45</v>
      </c>
      <c r="E1168" s="62" t="s">
        <v>25</v>
      </c>
      <c r="F1168" s="62" t="s">
        <v>25</v>
      </c>
      <c r="G1168" s="62" t="s">
        <v>25</v>
      </c>
      <c r="H1168" s="62" t="s">
        <v>34</v>
      </c>
      <c r="I1168" s="75">
        <v>44348</v>
      </c>
      <c r="J1168" s="76">
        <f>EFEITO!$J$1168*EFEITO!$Y$1141</f>
        <v>0</v>
      </c>
      <c r="K1168" s="76">
        <f ca="1">EFEITO!$L$1168*EFEITO!$Z$1141</f>
        <v>32028.928544772891</v>
      </c>
      <c r="L1168" s="76">
        <f>EFEITO!$N$1168*EFEITO!$AA$1141</f>
        <v>8292.9018657222678</v>
      </c>
      <c r="M1168" s="76">
        <f>$J$1168-EFEITO!$K$1168*EFEITO!$Y$1168</f>
        <v>0</v>
      </c>
      <c r="N1168" s="76">
        <f ca="1">$K$1168-EFEITO!$M$1168*EFEITO!$Z$1168</f>
        <v>640.57857089545723</v>
      </c>
      <c r="O1168" s="76">
        <f>$L$1168-EFEITO!$O$1168*EFEITO!$AA$1168</f>
        <v>165.85803731444594</v>
      </c>
      <c r="P1168" s="18"/>
      <c r="Q1168" s="18"/>
      <c r="R1168" s="18"/>
      <c r="S1168" s="18"/>
      <c r="T1168" s="18"/>
      <c r="U1168" s="18"/>
      <c r="V1168" s="18"/>
      <c r="W1168" s="18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62" t="s">
        <v>27</v>
      </c>
      <c r="B1169" s="62" t="s">
        <v>41</v>
      </c>
      <c r="C1169" s="62" t="s">
        <v>42</v>
      </c>
      <c r="D1169" s="62" t="s">
        <v>45</v>
      </c>
      <c r="E1169" s="62" t="s">
        <v>25</v>
      </c>
      <c r="F1169" s="62" t="s">
        <v>25</v>
      </c>
      <c r="G1169" s="62" t="s">
        <v>25</v>
      </c>
      <c r="H1169" s="62" t="s">
        <v>34</v>
      </c>
      <c r="I1169" s="75">
        <v>44348</v>
      </c>
      <c r="J1169" s="76">
        <f>EFEITO!$J$1169*EFEITO!$Y$1141</f>
        <v>0</v>
      </c>
      <c r="K1169" s="76">
        <f ca="1">EFEITO!$L$1169*EFEITO!$Z$1141</f>
        <v>2127.5135511627236</v>
      </c>
      <c r="L1169" s="76">
        <f>EFEITO!$N$1169*EFEITO!$AA$1141</f>
        <v>550.85392797712336</v>
      </c>
      <c r="M1169" s="76">
        <f>$J$1169-EFEITO!$K$1169*EFEITO!$Y$1169</f>
        <v>0</v>
      </c>
      <c r="N1169" s="76">
        <f ca="1">$K$1169-EFEITO!$M$1169*EFEITO!$Z$1169</f>
        <v>42.550271023254481</v>
      </c>
      <c r="O1169" s="76">
        <f>$L$1169-EFEITO!$O$1169*EFEITO!$AA$1169</f>
        <v>11.017078559542483</v>
      </c>
      <c r="P1169" s="18"/>
      <c r="Q1169" s="18"/>
      <c r="R1169" s="18"/>
      <c r="S1169" s="18"/>
      <c r="T1169" s="18"/>
      <c r="U1169" s="18"/>
      <c r="V1169" s="18"/>
      <c r="W1169" s="18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62" t="s">
        <v>21</v>
      </c>
      <c r="B1170" s="62" t="s">
        <v>41</v>
      </c>
      <c r="C1170" s="62" t="s">
        <v>42</v>
      </c>
      <c r="D1170" s="62" t="s">
        <v>45</v>
      </c>
      <c r="E1170" s="62" t="s">
        <v>25</v>
      </c>
      <c r="F1170" s="62" t="s">
        <v>25</v>
      </c>
      <c r="G1170" s="62" t="s">
        <v>25</v>
      </c>
      <c r="H1170" s="62" t="s">
        <v>34</v>
      </c>
      <c r="I1170" s="75">
        <v>44378</v>
      </c>
      <c r="J1170" s="76">
        <f>EFEITO!$J$1170*EFEITO!$Y$1141</f>
        <v>0</v>
      </c>
      <c r="K1170" s="76">
        <f ca="1">EFEITO!$L$1170*EFEITO!$Z$1141</f>
        <v>36228.797888364483</v>
      </c>
      <c r="L1170" s="76">
        <f>EFEITO!$N$1170*EFEITO!$AA$1141</f>
        <v>9380.3283235437739</v>
      </c>
      <c r="M1170" s="76">
        <f>$J$1170-EFEITO!$K$1170*EFEITO!$Y$1170</f>
        <v>0</v>
      </c>
      <c r="N1170" s="76">
        <f ca="1">$K$1170-EFEITO!$M$1170*EFEITO!$Z$1170</f>
        <v>724.57595776728704</v>
      </c>
      <c r="O1170" s="76">
        <f>$L$1170-EFEITO!$O$1170*EFEITO!$AA$1170</f>
        <v>187.60656647087671</v>
      </c>
      <c r="P1170" s="18"/>
      <c r="Q1170" s="18"/>
      <c r="R1170" s="18"/>
      <c r="S1170" s="18"/>
      <c r="T1170" s="18"/>
      <c r="U1170" s="18"/>
      <c r="V1170" s="18"/>
      <c r="W1170" s="18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62" t="s">
        <v>21</v>
      </c>
      <c r="B1171" s="62" t="s">
        <v>41</v>
      </c>
      <c r="C1171" s="62" t="s">
        <v>42</v>
      </c>
      <c r="D1171" s="62" t="s">
        <v>45</v>
      </c>
      <c r="E1171" s="62" t="s">
        <v>25</v>
      </c>
      <c r="F1171" s="62" t="s">
        <v>25</v>
      </c>
      <c r="G1171" s="62" t="s">
        <v>25</v>
      </c>
      <c r="H1171" s="62" t="s">
        <v>34</v>
      </c>
      <c r="I1171" s="75">
        <v>44409</v>
      </c>
      <c r="J1171" s="76">
        <f>EFEITO!$J$1171*EFEITO!$Y$1141</f>
        <v>0</v>
      </c>
      <c r="K1171" s="76">
        <f ca="1">EFEITO!$L$1171*EFEITO!$Z$1141</f>
        <v>29251.341408532669</v>
      </c>
      <c r="L1171" s="76">
        <f>EFEITO!$N$1171*EFEITO!$AA$1141</f>
        <v>7573.7314597521345</v>
      </c>
      <c r="M1171" s="76">
        <f>$J$1171-EFEITO!$K$1171*EFEITO!$Y$1171</f>
        <v>0</v>
      </c>
      <c r="N1171" s="76">
        <f ca="1">$K$1171-EFEITO!$M$1171*EFEITO!$Z$1171</f>
        <v>585.02682817065579</v>
      </c>
      <c r="O1171" s="76">
        <f>$L$1171-EFEITO!$O$1171*EFEITO!$AA$1171</f>
        <v>151.47462919504324</v>
      </c>
      <c r="P1171" s="18"/>
      <c r="Q1171" s="18"/>
      <c r="R1171" s="18"/>
      <c r="S1171" s="18"/>
      <c r="T1171" s="18"/>
      <c r="U1171" s="18"/>
      <c r="V1171" s="18"/>
      <c r="W1171" s="18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62" t="s">
        <v>21</v>
      </c>
      <c r="B1172" s="62" t="s">
        <v>41</v>
      </c>
      <c r="C1172" s="62" t="s">
        <v>42</v>
      </c>
      <c r="D1172" s="62" t="s">
        <v>45</v>
      </c>
      <c r="E1172" s="62" t="s">
        <v>25</v>
      </c>
      <c r="F1172" s="62" t="s">
        <v>25</v>
      </c>
      <c r="G1172" s="62" t="s">
        <v>25</v>
      </c>
      <c r="H1172" s="62" t="s">
        <v>34</v>
      </c>
      <c r="I1172" s="75">
        <v>44440</v>
      </c>
      <c r="J1172" s="76">
        <f>EFEITO!$J$1172*EFEITO!$Y$1141</f>
        <v>0</v>
      </c>
      <c r="K1172" s="76">
        <f ca="1">EFEITO!$L$1172*EFEITO!$Z$1141</f>
        <v>28654.455662234235</v>
      </c>
      <c r="L1172" s="76">
        <f>EFEITO!$N$1172*EFEITO!$AA$1141</f>
        <v>7419.1863299585521</v>
      </c>
      <c r="M1172" s="76">
        <f>$J$1172-EFEITO!$K$1172*EFEITO!$Y$1172</f>
        <v>0</v>
      </c>
      <c r="N1172" s="76">
        <f ca="1">$K$1172-EFEITO!$M$1172*EFEITO!$Z$1172</f>
        <v>573.089113244685</v>
      </c>
      <c r="O1172" s="76">
        <f>$L$1172-EFEITO!$O$1172*EFEITO!$AA$1172</f>
        <v>148.3837265991715</v>
      </c>
      <c r="P1172" s="18"/>
      <c r="Q1172" s="18"/>
      <c r="R1172" s="18"/>
      <c r="S1172" s="18"/>
      <c r="T1172" s="18"/>
      <c r="U1172" s="18"/>
      <c r="V1172" s="18"/>
      <c r="W1172" s="18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62" t="s">
        <v>21</v>
      </c>
      <c r="B1173" s="62" t="s">
        <v>41</v>
      </c>
      <c r="C1173" s="62" t="s">
        <v>42</v>
      </c>
      <c r="D1173" s="62" t="s">
        <v>45</v>
      </c>
      <c r="E1173" s="62" t="s">
        <v>25</v>
      </c>
      <c r="F1173" s="62" t="s">
        <v>25</v>
      </c>
      <c r="G1173" s="62" t="s">
        <v>25</v>
      </c>
      <c r="H1173" s="62" t="s">
        <v>34</v>
      </c>
      <c r="I1173" s="75">
        <v>44470</v>
      </c>
      <c r="J1173" s="76">
        <f>EFEITO!$J$1173*EFEITO!$Y$1141</f>
        <v>0</v>
      </c>
      <c r="K1173" s="76">
        <f ca="1">EFEITO!$L$1173*EFEITO!$Z$1141</f>
        <v>30876.525371226413</v>
      </c>
      <c r="L1173" s="76">
        <f>EFEITO!$N$1173*EFEITO!$AA$1141</f>
        <v>7994.5226547346583</v>
      </c>
      <c r="M1173" s="76">
        <f>$J$1173-EFEITO!$K$1173*EFEITO!$Y$1173</f>
        <v>0</v>
      </c>
      <c r="N1173" s="76">
        <f ca="1">$K$1173-EFEITO!$M$1173*EFEITO!$Z$1173</f>
        <v>617.53050742452615</v>
      </c>
      <c r="O1173" s="76">
        <f>$L$1173-EFEITO!$O$1173*EFEITO!$AA$1173</f>
        <v>159.89045309469293</v>
      </c>
      <c r="P1173" s="18"/>
      <c r="Q1173" s="18"/>
      <c r="R1173" s="18"/>
      <c r="S1173" s="18"/>
      <c r="T1173" s="18"/>
      <c r="U1173" s="18"/>
      <c r="V1173" s="18"/>
      <c r="W1173" s="18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62" t="s">
        <v>21</v>
      </c>
      <c r="B1174" s="62" t="s">
        <v>41</v>
      </c>
      <c r="C1174" s="62" t="s">
        <v>42</v>
      </c>
      <c r="D1174" s="62" t="s">
        <v>45</v>
      </c>
      <c r="E1174" s="62" t="s">
        <v>25</v>
      </c>
      <c r="F1174" s="62" t="s">
        <v>25</v>
      </c>
      <c r="G1174" s="62" t="s">
        <v>25</v>
      </c>
      <c r="H1174" s="62" t="s">
        <v>34</v>
      </c>
      <c r="I1174" s="75">
        <v>44501</v>
      </c>
      <c r="J1174" s="76">
        <f>EFEITO!$J$1174*EFEITO!$Y$1141</f>
        <v>0</v>
      </c>
      <c r="K1174" s="76">
        <f ca="1">EFEITO!$L$1174*EFEITO!$Z$1141</f>
        <v>28514.591345444835</v>
      </c>
      <c r="L1174" s="76">
        <f>EFEITO!$N$1174*EFEITO!$AA$1141</f>
        <v>7382.9727846933893</v>
      </c>
      <c r="M1174" s="76">
        <f>$J$1174-EFEITO!$K$1174*EFEITO!$Y$1174</f>
        <v>0</v>
      </c>
      <c r="N1174" s="76">
        <f ca="1">$K$1174-EFEITO!$M$1174*EFEITO!$Z$1174</f>
        <v>570.29182690889502</v>
      </c>
      <c r="O1174" s="76">
        <f>$L$1174-EFEITO!$O$1174*EFEITO!$AA$1174</f>
        <v>147.65945569386804</v>
      </c>
      <c r="P1174" s="18"/>
      <c r="Q1174" s="18"/>
      <c r="R1174" s="18"/>
      <c r="S1174" s="18"/>
      <c r="T1174" s="18"/>
      <c r="U1174" s="18"/>
      <c r="V1174" s="18"/>
      <c r="W1174" s="18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62" t="s">
        <v>21</v>
      </c>
      <c r="B1175" s="62" t="s">
        <v>41</v>
      </c>
      <c r="C1175" s="62" t="s">
        <v>42</v>
      </c>
      <c r="D1175" s="62" t="s">
        <v>45</v>
      </c>
      <c r="E1175" s="62" t="s">
        <v>25</v>
      </c>
      <c r="F1175" s="62" t="s">
        <v>25</v>
      </c>
      <c r="G1175" s="62" t="s">
        <v>25</v>
      </c>
      <c r="H1175" s="62" t="s">
        <v>34</v>
      </c>
      <c r="I1175" s="75">
        <v>44531</v>
      </c>
      <c r="J1175" s="76">
        <f>EFEITO!$J$1175*EFEITO!$Y$1141</f>
        <v>0</v>
      </c>
      <c r="K1175" s="76">
        <f ca="1">EFEITO!$L$1175*EFEITO!$Z$1141</f>
        <v>32294.867738668228</v>
      </c>
      <c r="L1175" s="76">
        <f>EFEITO!$N$1175*EFEITO!$AA$1141</f>
        <v>8361.7586067194079</v>
      </c>
      <c r="M1175" s="76">
        <f>$J$1175-EFEITO!$K$1175*EFEITO!$Y$1175</f>
        <v>0</v>
      </c>
      <c r="N1175" s="76">
        <f ca="1">$K$1175-EFEITO!$M$1175*EFEITO!$Z$1175</f>
        <v>645.89735477336581</v>
      </c>
      <c r="O1175" s="76">
        <f>$L$1175-EFEITO!$O$1175*EFEITO!$AA$1175</f>
        <v>167.23517213438936</v>
      </c>
      <c r="P1175" s="18"/>
      <c r="Q1175" s="18"/>
      <c r="R1175" s="18"/>
      <c r="S1175" s="18"/>
      <c r="T1175" s="18"/>
      <c r="U1175" s="18"/>
      <c r="V1175" s="18"/>
      <c r="W1175" s="18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62" t="s">
        <v>21</v>
      </c>
      <c r="B1176" s="62" t="s">
        <v>41</v>
      </c>
      <c r="C1176" s="62" t="s">
        <v>42</v>
      </c>
      <c r="D1176" s="62" t="s">
        <v>45</v>
      </c>
      <c r="E1176" s="62" t="s">
        <v>25</v>
      </c>
      <c r="F1176" s="62" t="s">
        <v>25</v>
      </c>
      <c r="G1176" s="62" t="s">
        <v>25</v>
      </c>
      <c r="H1176" s="62" t="s">
        <v>34</v>
      </c>
      <c r="I1176" s="75">
        <v>44562</v>
      </c>
      <c r="J1176" s="76">
        <f>EFEITO!$J$1176*EFEITO!$Y$1141</f>
        <v>0</v>
      </c>
      <c r="K1176" s="76">
        <f ca="1">EFEITO!$L$1176*EFEITO!$Z$1141</f>
        <v>23524.784099986337</v>
      </c>
      <c r="L1176" s="76">
        <f>EFEITO!$N$1176*EFEITO!$AA$1141</f>
        <v>6091.0163036137101</v>
      </c>
      <c r="M1176" s="76">
        <f>$J$1176-EFEITO!$K$1176*EFEITO!$Y$1176</f>
        <v>0</v>
      </c>
      <c r="N1176" s="76">
        <f ca="1">$K$1176-EFEITO!$M$1176*EFEITO!$Z$1176</f>
        <v>470.49568199972418</v>
      </c>
      <c r="O1176" s="76">
        <f>$L$1176-EFEITO!$O$1176*EFEITO!$AA$1176</f>
        <v>121.82032607227393</v>
      </c>
      <c r="P1176" s="18"/>
      <c r="Q1176" s="18"/>
      <c r="R1176" s="18"/>
      <c r="S1176" s="18"/>
      <c r="T1176" s="18"/>
      <c r="U1176" s="18"/>
      <c r="V1176" s="18"/>
      <c r="W1176" s="18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62" t="s">
        <v>21</v>
      </c>
      <c r="B1177" s="62" t="s">
        <v>41</v>
      </c>
      <c r="C1177" s="62" t="s">
        <v>42</v>
      </c>
      <c r="D1177" s="62" t="s">
        <v>45</v>
      </c>
      <c r="E1177" s="62" t="s">
        <v>25</v>
      </c>
      <c r="F1177" s="62" t="s">
        <v>25</v>
      </c>
      <c r="G1177" s="62" t="s">
        <v>25</v>
      </c>
      <c r="H1177" s="62" t="s">
        <v>34</v>
      </c>
      <c r="I1177" s="75">
        <v>44593</v>
      </c>
      <c r="J1177" s="76">
        <f>EFEITO!$J$1177*EFEITO!$Y$1141</f>
        <v>0</v>
      </c>
      <c r="K1177" s="76">
        <f ca="1">EFEITO!$L$1177*EFEITO!$Z$1141</f>
        <v>22632.410360470862</v>
      </c>
      <c r="L1177" s="76">
        <f>EFEITO!$N$1177*EFEITO!$AA$1141</f>
        <v>5859.9636838233064</v>
      </c>
      <c r="M1177" s="76">
        <f>$J$1177-EFEITO!$K$1177*EFEITO!$Y$1177</f>
        <v>0</v>
      </c>
      <c r="N1177" s="76">
        <f ca="1">$K$1177-EFEITO!$M$1177*EFEITO!$Z$1177</f>
        <v>452.64820720941498</v>
      </c>
      <c r="O1177" s="76">
        <f>$L$1177-EFEITO!$O$1177*EFEITO!$AA$1177</f>
        <v>117.19927367646596</v>
      </c>
      <c r="P1177" s="18"/>
      <c r="Q1177" s="18"/>
      <c r="R1177" s="18"/>
      <c r="S1177" s="18"/>
      <c r="T1177" s="18"/>
      <c r="U1177" s="18"/>
      <c r="V1177" s="18"/>
      <c r="W1177" s="18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62" t="s">
        <v>21</v>
      </c>
      <c r="B1178" s="62" t="s">
        <v>41</v>
      </c>
      <c r="C1178" s="62" t="s">
        <v>42</v>
      </c>
      <c r="D1178" s="62" t="s">
        <v>45</v>
      </c>
      <c r="E1178" s="62" t="s">
        <v>25</v>
      </c>
      <c r="F1178" s="62" t="s">
        <v>25</v>
      </c>
      <c r="G1178" s="62" t="s">
        <v>25</v>
      </c>
      <c r="H1178" s="62" t="s">
        <v>34</v>
      </c>
      <c r="I1178" s="75">
        <v>44621</v>
      </c>
      <c r="J1178" s="76">
        <f>EFEITO!$J$1178*EFEITO!$Y$1141</f>
        <v>0</v>
      </c>
      <c r="K1178" s="76">
        <f ca="1">EFEITO!$L$1178*EFEITO!$Z$1141</f>
        <v>21970.517255664683</v>
      </c>
      <c r="L1178" s="76">
        <f>EFEITO!$N$1178*EFEITO!$AA$1141</f>
        <v>5688.5869062304237</v>
      </c>
      <c r="M1178" s="76">
        <f>$J$1178-EFEITO!$K$1178*EFEITO!$Y$1178</f>
        <v>0</v>
      </c>
      <c r="N1178" s="76">
        <f ca="1">$K$1178-EFEITO!$M$1178*EFEITO!$Z$1178</f>
        <v>439.41034511329417</v>
      </c>
      <c r="O1178" s="76">
        <f>$L$1178-EFEITO!$O$1178*EFEITO!$AA$1178</f>
        <v>113.77173812460933</v>
      </c>
      <c r="P1178" s="18"/>
      <c r="Q1178" s="18"/>
      <c r="R1178" s="18"/>
      <c r="S1178" s="18"/>
      <c r="T1178" s="18"/>
      <c r="U1178" s="18"/>
      <c r="V1178" s="18"/>
      <c r="W1178" s="18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62" t="s">
        <v>21</v>
      </c>
      <c r="B1179" s="62" t="s">
        <v>41</v>
      </c>
      <c r="C1179" s="62" t="s">
        <v>42</v>
      </c>
      <c r="D1179" s="62" t="s">
        <v>45</v>
      </c>
      <c r="E1179" s="62" t="s">
        <v>25</v>
      </c>
      <c r="F1179" s="62" t="s">
        <v>25</v>
      </c>
      <c r="G1179" s="62" t="s">
        <v>25</v>
      </c>
      <c r="H1179" s="62" t="s">
        <v>34</v>
      </c>
      <c r="I1179" s="75">
        <v>44652</v>
      </c>
      <c r="J1179" s="76">
        <f>EFEITO!$J$1179*EFEITO!$Y$1141</f>
        <v>0</v>
      </c>
      <c r="K1179" s="76">
        <f ca="1">EFEITO!$L$1179*EFEITO!$Z$1141</f>
        <v>20215.318575955436</v>
      </c>
      <c r="L1179" s="76">
        <f>EFEITO!$N$1179*EFEITO!$AA$1141</f>
        <v>5234.1324156492965</v>
      </c>
      <c r="M1179" s="76">
        <f>$J$1179-EFEITO!$K$1179*EFEITO!$Y$1179</f>
        <v>0</v>
      </c>
      <c r="N1179" s="76">
        <f ca="1">$K$1179-EFEITO!$M$1179*EFEITO!$Z$1179</f>
        <v>404.30637151910923</v>
      </c>
      <c r="O1179" s="76">
        <f>$L$1179-EFEITO!$O$1179*EFEITO!$AA$1179</f>
        <v>104.6826483129862</v>
      </c>
      <c r="P1179" s="18"/>
      <c r="Q1179" s="18"/>
      <c r="R1179" s="18"/>
      <c r="S1179" s="18"/>
      <c r="T1179" s="18"/>
      <c r="U1179" s="18"/>
      <c r="V1179" s="18"/>
      <c r="W1179" s="18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62" t="s">
        <v>58</v>
      </c>
      <c r="B1180" s="62" t="s">
        <v>41</v>
      </c>
      <c r="C1180" s="62" t="s">
        <v>42</v>
      </c>
      <c r="D1180" s="62" t="s">
        <v>45</v>
      </c>
      <c r="E1180" s="62" t="s">
        <v>25</v>
      </c>
      <c r="F1180" s="62" t="s">
        <v>25</v>
      </c>
      <c r="G1180" s="62" t="s">
        <v>25</v>
      </c>
      <c r="H1180" s="62" t="s">
        <v>34</v>
      </c>
      <c r="I1180" s="75">
        <v>44682</v>
      </c>
      <c r="J1180" s="76">
        <f>EFEITO!$J$1180*EFEITO!$Y$1141</f>
        <v>0</v>
      </c>
      <c r="K1180" s="76">
        <f ca="1">EFEITO!$L$1180*EFEITO!$Z$1141</f>
        <v>20215.318575955436</v>
      </c>
      <c r="L1180" s="76">
        <f>EFEITO!$N$1180*EFEITO!$AA$1141</f>
        <v>5234.1324156492965</v>
      </c>
      <c r="M1180" s="76">
        <f>$J$1180-EFEITO!$K$1180*EFEITO!$Y$1180</f>
        <v>0</v>
      </c>
      <c r="N1180" s="76">
        <f ca="1">$K$1180-EFEITO!$M$1180*EFEITO!$Z$1180</f>
        <v>404.30637151910923</v>
      </c>
      <c r="O1180" s="76">
        <f>$L$1180-EFEITO!$O$1180*EFEITO!$AA$1180</f>
        <v>104.6826483129862</v>
      </c>
      <c r="P1180" s="18"/>
      <c r="Q1180" s="18"/>
      <c r="R1180" s="18"/>
      <c r="S1180" s="18"/>
      <c r="T1180" s="18"/>
      <c r="U1180" s="18"/>
      <c r="V1180" s="18"/>
      <c r="W1180" s="18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62" t="s">
        <v>21</v>
      </c>
      <c r="B1181" s="62" t="s">
        <v>41</v>
      </c>
      <c r="C1181" s="62" t="s">
        <v>42</v>
      </c>
      <c r="D1181" s="62" t="s">
        <v>51</v>
      </c>
      <c r="E1181" s="62" t="s">
        <v>52</v>
      </c>
      <c r="F1181" s="62" t="s">
        <v>25</v>
      </c>
      <c r="G1181" s="62" t="s">
        <v>25</v>
      </c>
      <c r="H1181" s="62" t="s">
        <v>35</v>
      </c>
      <c r="I1181" s="75">
        <v>44348</v>
      </c>
      <c r="J1181" s="76">
        <f>EFEITO!$J$1181*EFEITO!$Y$1091</f>
        <v>0</v>
      </c>
      <c r="K1181" s="76">
        <f ca="1">EFEITO!$L$1181*EFEITO!$Z$1091</f>
        <v>228586.06160990219</v>
      </c>
      <c r="L1181" s="76">
        <f>EFEITO!$N$1181*EFEITO!$AA$1091</f>
        <v>520968.85791236861</v>
      </c>
      <c r="M1181" s="76">
        <f>$J$1181-EFEITO!$K$1181*EFEITO!$Y$1181</f>
        <v>0</v>
      </c>
      <c r="N1181" s="76">
        <f ca="1">$K$1181-EFEITO!$M$1181*EFEITO!$Z$1181</f>
        <v>6857.5818482970644</v>
      </c>
      <c r="O1181" s="76">
        <f>$L$1181-EFEITO!$O$1181*EFEITO!$AA$1181</f>
        <v>15629.065737371042</v>
      </c>
      <c r="P1181" s="18"/>
      <c r="Q1181" s="18"/>
      <c r="R1181" s="18"/>
      <c r="S1181" s="18"/>
      <c r="T1181" s="18"/>
      <c r="U1181" s="18"/>
      <c r="V1181" s="18"/>
      <c r="W1181" s="18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62" t="s">
        <v>21</v>
      </c>
      <c r="B1182" s="62" t="s">
        <v>41</v>
      </c>
      <c r="C1182" s="62" t="s">
        <v>42</v>
      </c>
      <c r="D1182" s="62" t="s">
        <v>51</v>
      </c>
      <c r="E1182" s="62" t="s">
        <v>52</v>
      </c>
      <c r="F1182" s="62" t="s">
        <v>25</v>
      </c>
      <c r="G1182" s="62" t="s">
        <v>25</v>
      </c>
      <c r="H1182" s="62" t="s">
        <v>35</v>
      </c>
      <c r="I1182" s="75">
        <v>44378</v>
      </c>
      <c r="J1182" s="76">
        <f>EFEITO!$J$1182*EFEITO!$Y$1091</f>
        <v>0</v>
      </c>
      <c r="K1182" s="76">
        <f ca="1">EFEITO!$L$1182*EFEITO!$Z$1091</f>
        <v>238056.90376644192</v>
      </c>
      <c r="L1182" s="76">
        <f>EFEITO!$N$1182*EFEITO!$AA$1091</f>
        <v>542553.78652529966</v>
      </c>
      <c r="M1182" s="76">
        <f>$J$1182-EFEITO!$K$1182*EFEITO!$Y$1182</f>
        <v>0</v>
      </c>
      <c r="N1182" s="76">
        <f ca="1">$K$1182-EFEITO!$M$1182*EFEITO!$Z$1182</f>
        <v>7141.7071129932592</v>
      </c>
      <c r="O1182" s="76">
        <f>$L$1182-EFEITO!$O$1182*EFEITO!$AA$1182</f>
        <v>16276.613595758914</v>
      </c>
      <c r="P1182" s="18"/>
      <c r="Q1182" s="18"/>
      <c r="R1182" s="18"/>
      <c r="S1182" s="18"/>
      <c r="T1182" s="18"/>
      <c r="U1182" s="18"/>
      <c r="V1182" s="18"/>
      <c r="W1182" s="18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62" t="s">
        <v>21</v>
      </c>
      <c r="B1183" s="62" t="s">
        <v>41</v>
      </c>
      <c r="C1183" s="62" t="s">
        <v>42</v>
      </c>
      <c r="D1183" s="62" t="s">
        <v>51</v>
      </c>
      <c r="E1183" s="62" t="s">
        <v>52</v>
      </c>
      <c r="F1183" s="62" t="s">
        <v>25</v>
      </c>
      <c r="G1183" s="62" t="s">
        <v>25</v>
      </c>
      <c r="H1183" s="62" t="s">
        <v>35</v>
      </c>
      <c r="I1183" s="75">
        <v>44409</v>
      </c>
      <c r="J1183" s="76">
        <f>EFEITO!$J$1183*EFEITO!$Y$1091</f>
        <v>0</v>
      </c>
      <c r="K1183" s="76">
        <f ca="1">EFEITO!$L$1183*EFEITO!$Z$1091</f>
        <v>238549.06156073554</v>
      </c>
      <c r="L1183" s="76">
        <f>EFEITO!$N$1183*EFEITO!$AA$1091</f>
        <v>543675.4598338122</v>
      </c>
      <c r="M1183" s="76">
        <f>$J$1183-EFEITO!$K$1183*EFEITO!$Y$1183</f>
        <v>0</v>
      </c>
      <c r="N1183" s="76">
        <f ca="1">$K$1183-EFEITO!$M$1183*EFEITO!$Z$1183</f>
        <v>7156.4718468220672</v>
      </c>
      <c r="O1183" s="76">
        <f>$L$1183-EFEITO!$O$1183*EFEITO!$AA$1183</f>
        <v>16310.263795014354</v>
      </c>
      <c r="P1183" s="18"/>
      <c r="Q1183" s="18"/>
      <c r="R1183" s="18"/>
      <c r="S1183" s="18"/>
      <c r="T1183" s="18"/>
      <c r="U1183" s="18"/>
      <c r="V1183" s="18"/>
      <c r="W1183" s="18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62" t="s">
        <v>21</v>
      </c>
      <c r="B1184" s="62" t="s">
        <v>41</v>
      </c>
      <c r="C1184" s="62" t="s">
        <v>42</v>
      </c>
      <c r="D1184" s="62" t="s">
        <v>51</v>
      </c>
      <c r="E1184" s="62" t="s">
        <v>52</v>
      </c>
      <c r="F1184" s="62" t="s">
        <v>25</v>
      </c>
      <c r="G1184" s="62" t="s">
        <v>25</v>
      </c>
      <c r="H1184" s="62" t="s">
        <v>35</v>
      </c>
      <c r="I1184" s="75">
        <v>44440</v>
      </c>
      <c r="J1184" s="76">
        <f>EFEITO!$J$1184*EFEITO!$Y$1091</f>
        <v>0</v>
      </c>
      <c r="K1184" s="76">
        <f ca="1">EFEITO!$L$1184*EFEITO!$Z$1091</f>
        <v>239148.69419310169</v>
      </c>
      <c r="L1184" s="76">
        <f>EFEITO!$N$1184*EFEITO!$AA$1091</f>
        <v>545042.07827699569</v>
      </c>
      <c r="M1184" s="76">
        <f>$J$1184-EFEITO!$K$1184*EFEITO!$Y$1184</f>
        <v>0</v>
      </c>
      <c r="N1184" s="76">
        <f ca="1">$K$1184-EFEITO!$M$1184*EFEITO!$Z$1184</f>
        <v>7174.4608257930668</v>
      </c>
      <c r="O1184" s="76">
        <f>$L$1184-EFEITO!$O$1184*EFEITO!$AA$1184</f>
        <v>16351.262348309858</v>
      </c>
      <c r="P1184" s="18"/>
      <c r="Q1184" s="18"/>
      <c r="R1184" s="18"/>
      <c r="S1184" s="18"/>
      <c r="T1184" s="18"/>
      <c r="U1184" s="18"/>
      <c r="V1184" s="18"/>
      <c r="W1184" s="18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62" t="s">
        <v>21</v>
      </c>
      <c r="B1185" s="62" t="s">
        <v>41</v>
      </c>
      <c r="C1185" s="62" t="s">
        <v>42</v>
      </c>
      <c r="D1185" s="62" t="s">
        <v>51</v>
      </c>
      <c r="E1185" s="62" t="s">
        <v>52</v>
      </c>
      <c r="F1185" s="62" t="s">
        <v>25</v>
      </c>
      <c r="G1185" s="62" t="s">
        <v>25</v>
      </c>
      <c r="H1185" s="62" t="s">
        <v>35</v>
      </c>
      <c r="I1185" s="75">
        <v>44470</v>
      </c>
      <c r="J1185" s="76">
        <f>EFEITO!$J$1185*EFEITO!$Y$1091</f>
        <v>0</v>
      </c>
      <c r="K1185" s="76">
        <f ca="1">EFEITO!$L$1185*EFEITO!$Z$1091</f>
        <v>250166.10201822175</v>
      </c>
      <c r="L1185" s="76">
        <f>EFEITO!$N$1185*EFEITO!$AA$1091</f>
        <v>570151.77364242368</v>
      </c>
      <c r="M1185" s="76">
        <f>$J$1185-EFEITO!$K$1185*EFEITO!$Y$1185</f>
        <v>0</v>
      </c>
      <c r="N1185" s="76">
        <f ca="1">$K$1185-EFEITO!$M$1185*EFEITO!$Z$1185</f>
        <v>7504.9830605466559</v>
      </c>
      <c r="O1185" s="76">
        <f>$L$1185-EFEITO!$O$1185*EFEITO!$AA$1185</f>
        <v>17104.553209272679</v>
      </c>
      <c r="P1185" s="18"/>
      <c r="Q1185" s="18"/>
      <c r="R1185" s="18"/>
      <c r="S1185" s="18"/>
      <c r="T1185" s="18"/>
      <c r="U1185" s="18"/>
      <c r="V1185" s="18"/>
      <c r="W1185" s="18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62" t="s">
        <v>21</v>
      </c>
      <c r="B1186" s="62" t="s">
        <v>41</v>
      </c>
      <c r="C1186" s="62" t="s">
        <v>42</v>
      </c>
      <c r="D1186" s="62" t="s">
        <v>51</v>
      </c>
      <c r="E1186" s="62" t="s">
        <v>52</v>
      </c>
      <c r="F1186" s="62" t="s">
        <v>25</v>
      </c>
      <c r="G1186" s="62" t="s">
        <v>25</v>
      </c>
      <c r="H1186" s="62" t="s">
        <v>35</v>
      </c>
      <c r="I1186" s="75">
        <v>44501</v>
      </c>
      <c r="J1186" s="76">
        <f>EFEITO!$J$1186*EFEITO!$Y$1091</f>
        <v>0</v>
      </c>
      <c r="K1186" s="76">
        <f ca="1">EFEITO!$L$1186*EFEITO!$Z$1091</f>
        <v>246698.18310635039</v>
      </c>
      <c r="L1186" s="76">
        <f>EFEITO!$N$1186*EFEITO!$AA$1091</f>
        <v>562248.06445680617</v>
      </c>
      <c r="M1186" s="76">
        <f>$J$1186-EFEITO!$K$1186*EFEITO!$Y$1186</f>
        <v>0</v>
      </c>
      <c r="N1186" s="76">
        <f ca="1">$K$1186-EFEITO!$M$1186*EFEITO!$Z$1186</f>
        <v>7400.9454931904911</v>
      </c>
      <c r="O1186" s="76">
        <f>$L$1186-EFEITO!$O$1186*EFEITO!$AA$1186</f>
        <v>16867.441933704191</v>
      </c>
      <c r="P1186" s="18"/>
      <c r="Q1186" s="18"/>
      <c r="R1186" s="18"/>
      <c r="S1186" s="18"/>
      <c r="T1186" s="18"/>
      <c r="U1186" s="18"/>
      <c r="V1186" s="18"/>
      <c r="W1186" s="18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62" t="s">
        <v>21</v>
      </c>
      <c r="B1187" s="62" t="s">
        <v>41</v>
      </c>
      <c r="C1187" s="62" t="s">
        <v>42</v>
      </c>
      <c r="D1187" s="62" t="s">
        <v>51</v>
      </c>
      <c r="E1187" s="62" t="s">
        <v>52</v>
      </c>
      <c r="F1187" s="62" t="s">
        <v>25</v>
      </c>
      <c r="G1187" s="62" t="s">
        <v>25</v>
      </c>
      <c r="H1187" s="62" t="s">
        <v>35</v>
      </c>
      <c r="I1187" s="75">
        <v>44531</v>
      </c>
      <c r="J1187" s="76">
        <f>EFEITO!$J$1187*EFEITO!$Y$1091</f>
        <v>0</v>
      </c>
      <c r="K1187" s="76">
        <f ca="1">EFEITO!$L$1187*EFEITO!$Z$1091</f>
        <v>251197.42066898392</v>
      </c>
      <c r="L1187" s="76">
        <f>EFEITO!$N$1187*EFEITO!$AA$1091</f>
        <v>572502.24460223317</v>
      </c>
      <c r="M1187" s="76">
        <f>$J$1187-EFEITO!$K$1187*EFEITO!$Y$1187</f>
        <v>0</v>
      </c>
      <c r="N1187" s="76">
        <f ca="1">$K$1187-EFEITO!$M$1187*EFEITO!$Z$1187</f>
        <v>7535.9226200694975</v>
      </c>
      <c r="O1187" s="76">
        <f>$L$1187-EFEITO!$O$1187*EFEITO!$AA$1187</f>
        <v>17175.06733806699</v>
      </c>
      <c r="P1187" s="18"/>
      <c r="Q1187" s="18"/>
      <c r="R1187" s="18"/>
      <c r="S1187" s="18"/>
      <c r="T1187" s="18"/>
      <c r="U1187" s="18"/>
      <c r="V1187" s="18"/>
      <c r="W1187" s="18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62" t="s">
        <v>21</v>
      </c>
      <c r="B1188" s="62" t="s">
        <v>41</v>
      </c>
      <c r="C1188" s="62" t="s">
        <v>42</v>
      </c>
      <c r="D1188" s="62" t="s">
        <v>51</v>
      </c>
      <c r="E1188" s="62" t="s">
        <v>52</v>
      </c>
      <c r="F1188" s="62" t="s">
        <v>25</v>
      </c>
      <c r="G1188" s="62" t="s">
        <v>25</v>
      </c>
      <c r="H1188" s="62" t="s">
        <v>35</v>
      </c>
      <c r="I1188" s="75">
        <v>44562</v>
      </c>
      <c r="J1188" s="76">
        <f>EFEITO!$J$1188*EFEITO!$Y$1091</f>
        <v>0</v>
      </c>
      <c r="K1188" s="76">
        <f ca="1">EFEITO!$L$1188*EFEITO!$Z$1091</f>
        <v>256460.52670988726</v>
      </c>
      <c r="L1188" s="76">
        <f>EFEITO!$N$1188*EFEITO!$AA$1091</f>
        <v>584497.35193244461</v>
      </c>
      <c r="M1188" s="76">
        <f>$J$1188-EFEITO!$K$1188*EFEITO!$Y$1188</f>
        <v>0</v>
      </c>
      <c r="N1188" s="76">
        <f ca="1">$K$1188-EFEITO!$M$1188*EFEITO!$Z$1188</f>
        <v>7693.815801296616</v>
      </c>
      <c r="O1188" s="76">
        <f>$L$1188-EFEITO!$O$1188*EFEITO!$AA$1188</f>
        <v>17534.920557973324</v>
      </c>
      <c r="P1188" s="18"/>
      <c r="Q1188" s="18"/>
      <c r="R1188" s="18"/>
      <c r="S1188" s="18"/>
      <c r="T1188" s="18"/>
      <c r="U1188" s="18"/>
      <c r="V1188" s="18"/>
      <c r="W1188" s="18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62" t="s">
        <v>21</v>
      </c>
      <c r="B1189" s="62" t="s">
        <v>41</v>
      </c>
      <c r="C1189" s="62" t="s">
        <v>42</v>
      </c>
      <c r="D1189" s="62" t="s">
        <v>51</v>
      </c>
      <c r="E1189" s="62" t="s">
        <v>52</v>
      </c>
      <c r="F1189" s="62" t="s">
        <v>25</v>
      </c>
      <c r="G1189" s="62" t="s">
        <v>25</v>
      </c>
      <c r="H1189" s="62" t="s">
        <v>35</v>
      </c>
      <c r="I1189" s="75">
        <v>44593</v>
      </c>
      <c r="J1189" s="76">
        <f>EFEITO!$J$1189*EFEITO!$Y$1091</f>
        <v>0</v>
      </c>
      <c r="K1189" s="76">
        <f ca="1">EFEITO!$L$1189*EFEITO!$Z$1091</f>
        <v>244938.17955602249</v>
      </c>
      <c r="L1189" s="76">
        <f>EFEITO!$N$1189*EFEITO!$AA$1091</f>
        <v>558236.8529547645</v>
      </c>
      <c r="M1189" s="76">
        <f>$J$1189-EFEITO!$K$1189*EFEITO!$Y$1189</f>
        <v>0</v>
      </c>
      <c r="N1189" s="76">
        <f ca="1">$K$1189-EFEITO!$M$1189*EFEITO!$Z$1189</f>
        <v>7348.1453866806696</v>
      </c>
      <c r="O1189" s="76">
        <f>$L$1189-EFEITO!$O$1189*EFEITO!$AA$1189</f>
        <v>16747.105588642997</v>
      </c>
      <c r="P1189" s="18"/>
      <c r="Q1189" s="18"/>
      <c r="R1189" s="18"/>
      <c r="S1189" s="18"/>
      <c r="T1189" s="18"/>
      <c r="U1189" s="18"/>
      <c r="V1189" s="18"/>
      <c r="W1189" s="18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62" t="s">
        <v>21</v>
      </c>
      <c r="B1190" s="62" t="s">
        <v>41</v>
      </c>
      <c r="C1190" s="62" t="s">
        <v>42</v>
      </c>
      <c r="D1190" s="62" t="s">
        <v>51</v>
      </c>
      <c r="E1190" s="62" t="s">
        <v>52</v>
      </c>
      <c r="F1190" s="62" t="s">
        <v>25</v>
      </c>
      <c r="G1190" s="62" t="s">
        <v>25</v>
      </c>
      <c r="H1190" s="62" t="s">
        <v>35</v>
      </c>
      <c r="I1190" s="75">
        <v>44621</v>
      </c>
      <c r="J1190" s="76">
        <f>EFEITO!$J$1190*EFEITO!$Y$1091</f>
        <v>0</v>
      </c>
      <c r="K1190" s="76">
        <f ca="1">EFEITO!$L$1190*EFEITO!$Z$1091</f>
        <v>268724.75260533177</v>
      </c>
      <c r="L1190" s="76">
        <f>EFEITO!$N$1190*EFEITO!$AA$1091</f>
        <v>612448.66144331393</v>
      </c>
      <c r="M1190" s="76">
        <f>$J$1190-EFEITO!$K$1190*EFEITO!$Y$1190</f>
        <v>0</v>
      </c>
      <c r="N1190" s="76">
        <f ca="1">$K$1190-EFEITO!$M$1190*EFEITO!$Z$1190</f>
        <v>8061.7425781599595</v>
      </c>
      <c r="O1190" s="76">
        <f>$L$1190-EFEITO!$O$1190*EFEITO!$AA$1190</f>
        <v>18373.459843299468</v>
      </c>
      <c r="P1190" s="18"/>
      <c r="Q1190" s="18"/>
      <c r="R1190" s="18"/>
      <c r="S1190" s="18"/>
      <c r="T1190" s="18"/>
      <c r="U1190" s="18"/>
      <c r="V1190" s="18"/>
      <c r="W1190" s="18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62" t="s">
        <v>21</v>
      </c>
      <c r="B1191" s="62" t="s">
        <v>41</v>
      </c>
      <c r="C1191" s="62" t="s">
        <v>42</v>
      </c>
      <c r="D1191" s="62" t="s">
        <v>51</v>
      </c>
      <c r="E1191" s="62" t="s">
        <v>52</v>
      </c>
      <c r="F1191" s="62" t="s">
        <v>25</v>
      </c>
      <c r="G1191" s="62" t="s">
        <v>25</v>
      </c>
      <c r="H1191" s="62" t="s">
        <v>35</v>
      </c>
      <c r="I1191" s="75">
        <v>44652</v>
      </c>
      <c r="J1191" s="76">
        <f>EFEITO!$J$1191*EFEITO!$Y$1091</f>
        <v>0</v>
      </c>
      <c r="K1191" s="76">
        <f ca="1">EFEITO!$L$1191*EFEITO!$Z$1091</f>
        <v>261154.64831393614</v>
      </c>
      <c r="L1191" s="76">
        <f>EFEITO!$N$1191*EFEITO!$AA$1091</f>
        <v>595195.69090263313</v>
      </c>
      <c r="M1191" s="76">
        <f>$J$1191-EFEITO!$K$1191*EFEITO!$Y$1191</f>
        <v>0</v>
      </c>
      <c r="N1191" s="76">
        <f ca="1">$K$1191-EFEITO!$M$1191*EFEITO!$Z$1191</f>
        <v>7834.6394494180859</v>
      </c>
      <c r="O1191" s="76">
        <f>$L$1191-EFEITO!$O$1191*EFEITO!$AA$1191</f>
        <v>17855.870727078989</v>
      </c>
      <c r="P1191" s="18"/>
      <c r="Q1191" s="18"/>
      <c r="R1191" s="18"/>
      <c r="S1191" s="18"/>
      <c r="T1191" s="18"/>
      <c r="U1191" s="18"/>
      <c r="V1191" s="18"/>
      <c r="W1191" s="18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62" t="s">
        <v>58</v>
      </c>
      <c r="B1192" s="62" t="s">
        <v>41</v>
      </c>
      <c r="C1192" s="62" t="s">
        <v>42</v>
      </c>
      <c r="D1192" s="62" t="s">
        <v>51</v>
      </c>
      <c r="E1192" s="62" t="s">
        <v>52</v>
      </c>
      <c r="F1192" s="62" t="s">
        <v>25</v>
      </c>
      <c r="G1192" s="62" t="s">
        <v>25</v>
      </c>
      <c r="H1192" s="62" t="s">
        <v>35</v>
      </c>
      <c r="I1192" s="75">
        <v>44682</v>
      </c>
      <c r="J1192" s="76">
        <f>EFEITO!$J$1192*EFEITO!$Y$1091</f>
        <v>0</v>
      </c>
      <c r="K1192" s="76">
        <f ca="1">EFEITO!$L$1192*EFEITO!$Z$1091</f>
        <v>261154.64831393614</v>
      </c>
      <c r="L1192" s="76">
        <f>EFEITO!$N$1192*EFEITO!$AA$1091</f>
        <v>595195.69090263313</v>
      </c>
      <c r="M1192" s="76">
        <f>$J$1192-EFEITO!$K$1192*EFEITO!$Y$1192</f>
        <v>0</v>
      </c>
      <c r="N1192" s="76">
        <f ca="1">$K$1192-EFEITO!$M$1192*EFEITO!$Z$1192</f>
        <v>7834.6394494180859</v>
      </c>
      <c r="O1192" s="76">
        <f>$L$1192-EFEITO!$O$1192*EFEITO!$AA$1192</f>
        <v>17855.870727078989</v>
      </c>
      <c r="P1192" s="18"/>
      <c r="Q1192" s="18"/>
      <c r="R1192" s="18"/>
      <c r="S1192" s="18"/>
      <c r="T1192" s="18"/>
      <c r="U1192" s="18"/>
      <c r="V1192" s="18"/>
      <c r="W1192" s="18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62" t="s">
        <v>21</v>
      </c>
      <c r="B1193" s="62" t="s">
        <v>41</v>
      </c>
      <c r="C1193" s="62" t="s">
        <v>42</v>
      </c>
      <c r="D1193" s="62" t="s">
        <v>51</v>
      </c>
      <c r="E1193" s="62" t="s">
        <v>52</v>
      </c>
      <c r="F1193" s="62" t="s">
        <v>25</v>
      </c>
      <c r="G1193" s="62" t="s">
        <v>25</v>
      </c>
      <c r="H1193" s="62" t="s">
        <v>25</v>
      </c>
      <c r="I1193" s="75">
        <v>44348</v>
      </c>
      <c r="J1193" s="76">
        <f ca="1">EFEITO!$J$1193*EFEITO!$Y$1116</f>
        <v>119838.93579426485</v>
      </c>
      <c r="K1193" s="76">
        <f>EFEITO!$L$1193*EFEITO!$Z$1116</f>
        <v>0</v>
      </c>
      <c r="L1193" s="76">
        <f>EFEITO!$N$1193*EFEITO!$AA$1116</f>
        <v>0</v>
      </c>
      <c r="M1193" s="76">
        <f ca="1">$J$1193-EFEITO!$K$1193*EFEITO!$Y$1193</f>
        <v>3595.1680738279538</v>
      </c>
      <c r="N1193" s="76">
        <f>$K$1193-EFEITO!$M$1193*EFEITO!$Z$1193</f>
        <v>0</v>
      </c>
      <c r="O1193" s="76">
        <f>$L$1193-EFEITO!$O$1193*EFEITO!$AA$1193</f>
        <v>0</v>
      </c>
      <c r="P1193" s="18"/>
      <c r="Q1193" s="18"/>
      <c r="R1193" s="18"/>
      <c r="S1193" s="18"/>
      <c r="T1193" s="18"/>
      <c r="U1193" s="18"/>
      <c r="V1193" s="18"/>
      <c r="W1193" s="18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62" t="s">
        <v>21</v>
      </c>
      <c r="B1194" s="62" t="s">
        <v>41</v>
      </c>
      <c r="C1194" s="62" t="s">
        <v>42</v>
      </c>
      <c r="D1194" s="62" t="s">
        <v>51</v>
      </c>
      <c r="E1194" s="62" t="s">
        <v>52</v>
      </c>
      <c r="F1194" s="62" t="s">
        <v>25</v>
      </c>
      <c r="G1194" s="62" t="s">
        <v>25</v>
      </c>
      <c r="H1194" s="62" t="s">
        <v>25</v>
      </c>
      <c r="I1194" s="75">
        <v>44378</v>
      </c>
      <c r="J1194" s="76">
        <f ca="1">EFEITO!$J$1194*EFEITO!$Y$1116</f>
        <v>120226.37826263726</v>
      </c>
      <c r="K1194" s="76">
        <f>EFEITO!$L$1194*EFEITO!$Z$1116</f>
        <v>0</v>
      </c>
      <c r="L1194" s="76">
        <f>EFEITO!$N$1194*EFEITO!$AA$1116</f>
        <v>0</v>
      </c>
      <c r="M1194" s="76">
        <f ca="1">$J$1194-EFEITO!$K$1194*EFEITO!$Y$1194</f>
        <v>3606.7913478791161</v>
      </c>
      <c r="N1194" s="76">
        <f>$K$1194-EFEITO!$M$1194*EFEITO!$Z$1194</f>
        <v>0</v>
      </c>
      <c r="O1194" s="76">
        <f>$L$1194-EFEITO!$O$1194*EFEITO!$AA$1194</f>
        <v>0</v>
      </c>
      <c r="P1194" s="18"/>
      <c r="Q1194" s="18"/>
      <c r="R1194" s="18"/>
      <c r="S1194" s="18"/>
      <c r="T1194" s="18"/>
      <c r="U1194" s="18"/>
      <c r="V1194" s="18"/>
      <c r="W1194" s="18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62" t="s">
        <v>21</v>
      </c>
      <c r="B1195" s="62" t="s">
        <v>41</v>
      </c>
      <c r="C1195" s="62" t="s">
        <v>42</v>
      </c>
      <c r="D1195" s="62" t="s">
        <v>51</v>
      </c>
      <c r="E1195" s="62" t="s">
        <v>52</v>
      </c>
      <c r="F1195" s="62" t="s">
        <v>25</v>
      </c>
      <c r="G1195" s="62" t="s">
        <v>25</v>
      </c>
      <c r="H1195" s="62" t="s">
        <v>25</v>
      </c>
      <c r="I1195" s="75">
        <v>44409</v>
      </c>
      <c r="J1195" s="76">
        <f ca="1">EFEITO!$J$1195*EFEITO!$Y$1116</f>
        <v>120375.39459662665</v>
      </c>
      <c r="K1195" s="76">
        <f>EFEITO!$L$1195*EFEITO!$Z$1116</f>
        <v>0</v>
      </c>
      <c r="L1195" s="76">
        <f>EFEITO!$N$1195*EFEITO!$AA$1116</f>
        <v>0</v>
      </c>
      <c r="M1195" s="76">
        <f ca="1">$J$1195-EFEITO!$K$1195*EFEITO!$Y$1195</f>
        <v>3611.2618378988118</v>
      </c>
      <c r="N1195" s="76">
        <f>$K$1195-EFEITO!$M$1195*EFEITO!$Z$1195</f>
        <v>0</v>
      </c>
      <c r="O1195" s="76">
        <f>$L$1195-EFEITO!$O$1195*EFEITO!$AA$1195</f>
        <v>0</v>
      </c>
      <c r="P1195" s="18"/>
      <c r="Q1195" s="18"/>
      <c r="R1195" s="18"/>
      <c r="S1195" s="18"/>
      <c r="T1195" s="18"/>
      <c r="U1195" s="18"/>
      <c r="V1195" s="18"/>
      <c r="W1195" s="18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62" t="s">
        <v>21</v>
      </c>
      <c r="B1196" s="62" t="s">
        <v>41</v>
      </c>
      <c r="C1196" s="62" t="s">
        <v>42</v>
      </c>
      <c r="D1196" s="62" t="s">
        <v>51</v>
      </c>
      <c r="E1196" s="62" t="s">
        <v>52</v>
      </c>
      <c r="F1196" s="62" t="s">
        <v>25</v>
      </c>
      <c r="G1196" s="62" t="s">
        <v>25</v>
      </c>
      <c r="H1196" s="62" t="s">
        <v>25</v>
      </c>
      <c r="I1196" s="75">
        <v>44440</v>
      </c>
      <c r="J1196" s="76">
        <f ca="1">EFEITO!$J$1196*EFEITO!$Y$1116</f>
        <v>120733.03379820117</v>
      </c>
      <c r="K1196" s="76">
        <f>EFEITO!$L$1196*EFEITO!$Z$1116</f>
        <v>0</v>
      </c>
      <c r="L1196" s="76">
        <f>EFEITO!$N$1196*EFEITO!$AA$1116</f>
        <v>0</v>
      </c>
      <c r="M1196" s="76">
        <f ca="1">$J$1196-EFEITO!$K$1196*EFEITO!$Y$1196</f>
        <v>3621.9910139460408</v>
      </c>
      <c r="N1196" s="76">
        <f>$K$1196-EFEITO!$M$1196*EFEITO!$Z$1196</f>
        <v>0</v>
      </c>
      <c r="O1196" s="76">
        <f>$L$1196-EFEITO!$O$1196*EFEITO!$AA$1196</f>
        <v>0</v>
      </c>
      <c r="P1196" s="18"/>
      <c r="Q1196" s="18"/>
      <c r="R1196" s="18"/>
      <c r="S1196" s="18"/>
      <c r="T1196" s="18"/>
      <c r="U1196" s="18"/>
      <c r="V1196" s="18"/>
      <c r="W1196" s="18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62" t="s">
        <v>21</v>
      </c>
      <c r="B1197" s="62" t="s">
        <v>41</v>
      </c>
      <c r="C1197" s="62" t="s">
        <v>42</v>
      </c>
      <c r="D1197" s="62" t="s">
        <v>51</v>
      </c>
      <c r="E1197" s="62" t="s">
        <v>52</v>
      </c>
      <c r="F1197" s="62" t="s">
        <v>25</v>
      </c>
      <c r="G1197" s="62" t="s">
        <v>25</v>
      </c>
      <c r="H1197" s="62" t="s">
        <v>25</v>
      </c>
      <c r="I1197" s="75">
        <v>44470</v>
      </c>
      <c r="J1197" s="76">
        <f ca="1">EFEITO!$J$1197*EFEITO!$Y$1116</f>
        <v>130478.70204110707</v>
      </c>
      <c r="K1197" s="76">
        <f>EFEITO!$L$1197*EFEITO!$Z$1116</f>
        <v>0</v>
      </c>
      <c r="L1197" s="76">
        <f>EFEITO!$N$1197*EFEITO!$AA$1116</f>
        <v>0</v>
      </c>
      <c r="M1197" s="76">
        <f ca="1">$J$1197-EFEITO!$K$1197*EFEITO!$Y$1197</f>
        <v>3914.3610612332122</v>
      </c>
      <c r="N1197" s="76">
        <f>$K$1197-EFEITO!$M$1197*EFEITO!$Z$1197</f>
        <v>0</v>
      </c>
      <c r="O1197" s="76">
        <f>$L$1197-EFEITO!$O$1197*EFEITO!$AA$1197</f>
        <v>0</v>
      </c>
      <c r="P1197" s="18"/>
      <c r="Q1197" s="18"/>
      <c r="R1197" s="18"/>
      <c r="S1197" s="18"/>
      <c r="T1197" s="18"/>
      <c r="U1197" s="18"/>
      <c r="V1197" s="18"/>
      <c r="W1197" s="18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62" t="s">
        <v>21</v>
      </c>
      <c r="B1198" s="62" t="s">
        <v>41</v>
      </c>
      <c r="C1198" s="62" t="s">
        <v>42</v>
      </c>
      <c r="D1198" s="62" t="s">
        <v>51</v>
      </c>
      <c r="E1198" s="62" t="s">
        <v>52</v>
      </c>
      <c r="F1198" s="62" t="s">
        <v>25</v>
      </c>
      <c r="G1198" s="62" t="s">
        <v>25</v>
      </c>
      <c r="H1198" s="62" t="s">
        <v>25</v>
      </c>
      <c r="I1198" s="75">
        <v>44501</v>
      </c>
      <c r="J1198" s="76">
        <f ca="1">EFEITO!$J$1198*EFEITO!$Y$1116</f>
        <v>130419.09550751132</v>
      </c>
      <c r="K1198" s="76">
        <f>EFEITO!$L$1198*EFEITO!$Z$1116</f>
        <v>0</v>
      </c>
      <c r="L1198" s="76">
        <f>EFEITO!$N$1198*EFEITO!$AA$1116</f>
        <v>0</v>
      </c>
      <c r="M1198" s="76">
        <f ca="1">$J$1198-EFEITO!$K$1198*EFEITO!$Y$1198</f>
        <v>3912.5728652253456</v>
      </c>
      <c r="N1198" s="76">
        <f>$K$1198-EFEITO!$M$1198*EFEITO!$Z$1198</f>
        <v>0</v>
      </c>
      <c r="O1198" s="76">
        <f>$L$1198-EFEITO!$O$1198*EFEITO!$AA$1198</f>
        <v>0</v>
      </c>
      <c r="P1198" s="18"/>
      <c r="Q1198" s="18"/>
      <c r="R1198" s="18"/>
      <c r="S1198" s="18"/>
      <c r="T1198" s="18"/>
      <c r="U1198" s="18"/>
      <c r="V1198" s="18"/>
      <c r="W1198" s="18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62" t="s">
        <v>21</v>
      </c>
      <c r="B1199" s="62" t="s">
        <v>41</v>
      </c>
      <c r="C1199" s="62" t="s">
        <v>42</v>
      </c>
      <c r="D1199" s="62" t="s">
        <v>51</v>
      </c>
      <c r="E1199" s="62" t="s">
        <v>52</v>
      </c>
      <c r="F1199" s="62" t="s">
        <v>25</v>
      </c>
      <c r="G1199" s="62" t="s">
        <v>25</v>
      </c>
      <c r="H1199" s="62" t="s">
        <v>25</v>
      </c>
      <c r="I1199" s="75">
        <v>44531</v>
      </c>
      <c r="J1199" s="76">
        <f ca="1">EFEITO!$J$1199*EFEITO!$Y$1116</f>
        <v>131581.42291262854</v>
      </c>
      <c r="K1199" s="76">
        <f>EFEITO!$L$1199*EFEITO!$Z$1116</f>
        <v>0</v>
      </c>
      <c r="L1199" s="76">
        <f>EFEITO!$N$1199*EFEITO!$AA$1116</f>
        <v>0</v>
      </c>
      <c r="M1199" s="76">
        <f ca="1">$J$1199-EFEITO!$K$1199*EFEITO!$Y$1199</f>
        <v>3947.4426873788616</v>
      </c>
      <c r="N1199" s="76">
        <f>$K$1199-EFEITO!$M$1199*EFEITO!$Z$1199</f>
        <v>0</v>
      </c>
      <c r="O1199" s="76">
        <f>$L$1199-EFEITO!$O$1199*EFEITO!$AA$1199</f>
        <v>0</v>
      </c>
      <c r="P1199" s="18"/>
      <c r="Q1199" s="18"/>
      <c r="R1199" s="18"/>
      <c r="S1199" s="18"/>
      <c r="T1199" s="18"/>
      <c r="U1199" s="18"/>
      <c r="V1199" s="18"/>
      <c r="W1199" s="18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62" t="s">
        <v>21</v>
      </c>
      <c r="B1200" s="62" t="s">
        <v>41</v>
      </c>
      <c r="C1200" s="62" t="s">
        <v>42</v>
      </c>
      <c r="D1200" s="62" t="s">
        <v>51</v>
      </c>
      <c r="E1200" s="62" t="s">
        <v>52</v>
      </c>
      <c r="F1200" s="62" t="s">
        <v>25</v>
      </c>
      <c r="G1200" s="62" t="s">
        <v>25</v>
      </c>
      <c r="H1200" s="62" t="s">
        <v>25</v>
      </c>
      <c r="I1200" s="75">
        <v>44562</v>
      </c>
      <c r="J1200" s="76">
        <f ca="1">EFEITO!$J$1200*EFEITO!$Y$1116</f>
        <v>131909.25884740517</v>
      </c>
      <c r="K1200" s="76">
        <f>EFEITO!$L$1200*EFEITO!$Z$1116</f>
        <v>0</v>
      </c>
      <c r="L1200" s="76">
        <f>EFEITO!$N$1200*EFEITO!$AA$1116</f>
        <v>0</v>
      </c>
      <c r="M1200" s="76">
        <f ca="1">$J$1200-EFEITO!$K$1200*EFEITO!$Y$1200</f>
        <v>3957.2777654221572</v>
      </c>
      <c r="N1200" s="76">
        <f>$K$1200-EFEITO!$M$1200*EFEITO!$Z$1200</f>
        <v>0</v>
      </c>
      <c r="O1200" s="76">
        <f>$L$1200-EFEITO!$O$1200*EFEITO!$AA$1200</f>
        <v>0</v>
      </c>
      <c r="P1200" s="18"/>
      <c r="Q1200" s="18"/>
      <c r="R1200" s="18"/>
      <c r="S1200" s="18"/>
      <c r="T1200" s="18"/>
      <c r="U1200" s="18"/>
      <c r="V1200" s="18"/>
      <c r="W1200" s="18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62" t="s">
        <v>21</v>
      </c>
      <c r="B1201" s="62" t="s">
        <v>41</v>
      </c>
      <c r="C1201" s="62" t="s">
        <v>42</v>
      </c>
      <c r="D1201" s="62" t="s">
        <v>51</v>
      </c>
      <c r="E1201" s="62" t="s">
        <v>52</v>
      </c>
      <c r="F1201" s="62" t="s">
        <v>25</v>
      </c>
      <c r="G1201" s="62" t="s">
        <v>25</v>
      </c>
      <c r="H1201" s="62" t="s">
        <v>25</v>
      </c>
      <c r="I1201" s="75">
        <v>44593</v>
      </c>
      <c r="J1201" s="76">
        <f ca="1">EFEITO!$J$1201*EFEITO!$Y$1116</f>
        <v>131641.02944622427</v>
      </c>
      <c r="K1201" s="76">
        <f>EFEITO!$L$1201*EFEITO!$Z$1116</f>
        <v>0</v>
      </c>
      <c r="L1201" s="76">
        <f>EFEITO!$N$1201*EFEITO!$AA$1116</f>
        <v>0</v>
      </c>
      <c r="M1201" s="76">
        <f ca="1">$J$1201-EFEITO!$K$1201*EFEITO!$Y$1201</f>
        <v>3949.2308833867282</v>
      </c>
      <c r="N1201" s="76">
        <f>$K$1201-EFEITO!$M$1201*EFEITO!$Z$1201</f>
        <v>0</v>
      </c>
      <c r="O1201" s="76">
        <f>$L$1201-EFEITO!$O$1201*EFEITO!$AA$1201</f>
        <v>0</v>
      </c>
      <c r="P1201" s="18"/>
      <c r="Q1201" s="18"/>
      <c r="R1201" s="18"/>
      <c r="S1201" s="18"/>
      <c r="T1201" s="18"/>
      <c r="U1201" s="18"/>
      <c r="V1201" s="18"/>
      <c r="W1201" s="18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62" t="s">
        <v>21</v>
      </c>
      <c r="B1202" s="62" t="s">
        <v>41</v>
      </c>
      <c r="C1202" s="62" t="s">
        <v>42</v>
      </c>
      <c r="D1202" s="62" t="s">
        <v>51</v>
      </c>
      <c r="E1202" s="62" t="s">
        <v>52</v>
      </c>
      <c r="F1202" s="62" t="s">
        <v>25</v>
      </c>
      <c r="G1202" s="62" t="s">
        <v>25</v>
      </c>
      <c r="H1202" s="62" t="s">
        <v>25</v>
      </c>
      <c r="I1202" s="75">
        <v>44621</v>
      </c>
      <c r="J1202" s="76">
        <f ca="1">EFEITO!$J$1202*EFEITO!$Y$1116</f>
        <v>135455.84759635257</v>
      </c>
      <c r="K1202" s="76">
        <f>EFEITO!$L$1202*EFEITO!$Z$1116</f>
        <v>0</v>
      </c>
      <c r="L1202" s="76">
        <f>EFEITO!$N$1202*EFEITO!$AA$1116</f>
        <v>0</v>
      </c>
      <c r="M1202" s="76">
        <f ca="1">$J$1202-EFEITO!$K$1202*EFEITO!$Y$1202</f>
        <v>4063.6754278905573</v>
      </c>
      <c r="N1202" s="76">
        <f>$K$1202-EFEITO!$M$1202*EFEITO!$Z$1202</f>
        <v>0</v>
      </c>
      <c r="O1202" s="76">
        <f>$L$1202-EFEITO!$O$1202*EFEITO!$AA$1202</f>
        <v>0</v>
      </c>
      <c r="P1202" s="18"/>
      <c r="Q1202" s="18"/>
      <c r="R1202" s="18"/>
      <c r="S1202" s="18"/>
      <c r="T1202" s="18"/>
      <c r="U1202" s="18"/>
      <c r="V1202" s="18"/>
      <c r="W1202" s="18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62" t="s">
        <v>21</v>
      </c>
      <c r="B1203" s="62" t="s">
        <v>41</v>
      </c>
      <c r="C1203" s="62" t="s">
        <v>42</v>
      </c>
      <c r="D1203" s="62" t="s">
        <v>51</v>
      </c>
      <c r="E1203" s="62" t="s">
        <v>52</v>
      </c>
      <c r="F1203" s="62" t="s">
        <v>25</v>
      </c>
      <c r="G1203" s="62" t="s">
        <v>25</v>
      </c>
      <c r="H1203" s="62" t="s">
        <v>25</v>
      </c>
      <c r="I1203" s="75">
        <v>44652</v>
      </c>
      <c r="J1203" s="76">
        <f ca="1">EFEITO!$J$1203*EFEITO!$Y$1116</f>
        <v>136081.71619910802</v>
      </c>
      <c r="K1203" s="76">
        <f>EFEITO!$L$1203*EFEITO!$Z$1116</f>
        <v>0</v>
      </c>
      <c r="L1203" s="76">
        <f>EFEITO!$N$1203*EFEITO!$AA$1116</f>
        <v>0</v>
      </c>
      <c r="M1203" s="76">
        <f ca="1">$J$1203-EFEITO!$K$1203*EFEITO!$Y$1203</f>
        <v>4082.451485973259</v>
      </c>
      <c r="N1203" s="76">
        <f>$K$1203-EFEITO!$M$1203*EFEITO!$Z$1203</f>
        <v>0</v>
      </c>
      <c r="O1203" s="76">
        <f>$L$1203-EFEITO!$O$1203*EFEITO!$AA$1203</f>
        <v>0</v>
      </c>
      <c r="P1203" s="18"/>
      <c r="Q1203" s="18"/>
      <c r="R1203" s="18"/>
      <c r="S1203" s="18"/>
      <c r="T1203" s="18"/>
      <c r="U1203" s="18"/>
      <c r="V1203" s="18"/>
      <c r="W1203" s="18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62" t="s">
        <v>58</v>
      </c>
      <c r="B1204" s="62" t="s">
        <v>41</v>
      </c>
      <c r="C1204" s="62" t="s">
        <v>42</v>
      </c>
      <c r="D1204" s="62" t="s">
        <v>51</v>
      </c>
      <c r="E1204" s="62" t="s">
        <v>52</v>
      </c>
      <c r="F1204" s="62" t="s">
        <v>25</v>
      </c>
      <c r="G1204" s="62" t="s">
        <v>25</v>
      </c>
      <c r="H1204" s="62" t="s">
        <v>25</v>
      </c>
      <c r="I1204" s="75">
        <v>44682</v>
      </c>
      <c r="J1204" s="76">
        <f ca="1">EFEITO!$J$1204*EFEITO!$Y$1116</f>
        <v>136081.71619910802</v>
      </c>
      <c r="K1204" s="76">
        <f>EFEITO!$L$1204*EFEITO!$Z$1116</f>
        <v>0</v>
      </c>
      <c r="L1204" s="76">
        <f>EFEITO!$N$1204*EFEITO!$AA$1116</f>
        <v>0</v>
      </c>
      <c r="M1204" s="76">
        <f ca="1">$J$1204-EFEITO!$K$1204*EFEITO!$Y$1204</f>
        <v>4082.451485973259</v>
      </c>
      <c r="N1204" s="76">
        <f>$K$1204-EFEITO!$M$1204*EFEITO!$Z$1204</f>
        <v>0</v>
      </c>
      <c r="O1204" s="76">
        <f>$L$1204-EFEITO!$O$1204*EFEITO!$AA$1204</f>
        <v>0</v>
      </c>
      <c r="P1204" s="18"/>
      <c r="Q1204" s="18"/>
      <c r="R1204" s="18"/>
      <c r="S1204" s="18"/>
      <c r="T1204" s="18"/>
      <c r="U1204" s="18"/>
      <c r="V1204" s="18"/>
      <c r="W1204" s="18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62" t="s">
        <v>21</v>
      </c>
      <c r="B1205" s="62" t="s">
        <v>41</v>
      </c>
      <c r="C1205" s="62" t="s">
        <v>42</v>
      </c>
      <c r="D1205" s="62" t="s">
        <v>51</v>
      </c>
      <c r="E1205" s="62" t="s">
        <v>52</v>
      </c>
      <c r="F1205" s="62" t="s">
        <v>25</v>
      </c>
      <c r="G1205" s="62" t="s">
        <v>25</v>
      </c>
      <c r="H1205" s="62" t="s">
        <v>34</v>
      </c>
      <c r="I1205" s="75">
        <v>44348</v>
      </c>
      <c r="J1205" s="76">
        <f>EFEITO!$J$1205*EFEITO!$Y$1141</f>
        <v>0</v>
      </c>
      <c r="K1205" s="76">
        <f ca="1">EFEITO!$L$1205*EFEITO!$Z$1141</f>
        <v>207497.5785968733</v>
      </c>
      <c r="L1205" s="76">
        <f>EFEITO!$N$1205*EFEITO!$AA$1141</f>
        <v>53725.089625568828</v>
      </c>
      <c r="M1205" s="76">
        <f>$J$1205-EFEITO!$K$1205*EFEITO!$Y$1205</f>
        <v>0</v>
      </c>
      <c r="N1205" s="76">
        <f ca="1">$K$1205-EFEITO!$M$1205*EFEITO!$Z$1205</f>
        <v>6224.9273579062137</v>
      </c>
      <c r="O1205" s="76">
        <f>$L$1205-EFEITO!$O$1205*EFEITO!$AA$1205</f>
        <v>1611.752688767061</v>
      </c>
      <c r="P1205" s="18"/>
      <c r="Q1205" s="18"/>
      <c r="R1205" s="18"/>
      <c r="S1205" s="18"/>
      <c r="T1205" s="18"/>
      <c r="U1205" s="18"/>
      <c r="V1205" s="18"/>
      <c r="W1205" s="18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62" t="s">
        <v>21</v>
      </c>
      <c r="B1206" s="62" t="s">
        <v>41</v>
      </c>
      <c r="C1206" s="62" t="s">
        <v>42</v>
      </c>
      <c r="D1206" s="62" t="s">
        <v>51</v>
      </c>
      <c r="E1206" s="62" t="s">
        <v>52</v>
      </c>
      <c r="F1206" s="62" t="s">
        <v>25</v>
      </c>
      <c r="G1206" s="62" t="s">
        <v>25</v>
      </c>
      <c r="H1206" s="62" t="s">
        <v>34</v>
      </c>
      <c r="I1206" s="75">
        <v>44378</v>
      </c>
      <c r="J1206" s="76">
        <f>EFEITO!$J$1206*EFEITO!$Y$1141</f>
        <v>0</v>
      </c>
      <c r="K1206" s="76">
        <f ca="1">EFEITO!$L$1206*EFEITO!$Z$1141</f>
        <v>232334.32938674331</v>
      </c>
      <c r="L1206" s="76">
        <f>EFEITO!$N$1206*EFEITO!$AA$1141</f>
        <v>60155.799184768432</v>
      </c>
      <c r="M1206" s="76">
        <f>$J$1206-EFEITO!$K$1206*EFEITO!$Y$1206</f>
        <v>0</v>
      </c>
      <c r="N1206" s="76">
        <f ca="1">$K$1206-EFEITO!$M$1206*EFEITO!$Z$1206</f>
        <v>6970.0298816022987</v>
      </c>
      <c r="O1206" s="76">
        <f>$L$1206-EFEITO!$O$1206*EFEITO!$AA$1206</f>
        <v>1804.6739755430463</v>
      </c>
      <c r="P1206" s="18"/>
      <c r="Q1206" s="18"/>
      <c r="R1206" s="18"/>
      <c r="S1206" s="18"/>
      <c r="T1206" s="18"/>
      <c r="U1206" s="18"/>
      <c r="V1206" s="18"/>
      <c r="W1206" s="18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62" t="s">
        <v>21</v>
      </c>
      <c r="B1207" s="62" t="s">
        <v>41</v>
      </c>
      <c r="C1207" s="62" t="s">
        <v>42</v>
      </c>
      <c r="D1207" s="62" t="s">
        <v>51</v>
      </c>
      <c r="E1207" s="62" t="s">
        <v>52</v>
      </c>
      <c r="F1207" s="62" t="s">
        <v>25</v>
      </c>
      <c r="G1207" s="62" t="s">
        <v>25</v>
      </c>
      <c r="H1207" s="62" t="s">
        <v>34</v>
      </c>
      <c r="I1207" s="75">
        <v>44409</v>
      </c>
      <c r="J1207" s="76">
        <f>EFEITO!$J$1207*EFEITO!$Y$1141</f>
        <v>0</v>
      </c>
      <c r="K1207" s="76">
        <f ca="1">EFEITO!$L$1207*EFEITO!$Z$1141</f>
        <v>246478.35466206586</v>
      </c>
      <c r="L1207" s="76">
        <f>EFEITO!$N$1207*EFEITO!$AA$1141</f>
        <v>63817.957705949673</v>
      </c>
      <c r="M1207" s="76">
        <f>$J$1207-EFEITO!$K$1207*EFEITO!$Y$1207</f>
        <v>0</v>
      </c>
      <c r="N1207" s="76">
        <f ca="1">$K$1207-EFEITO!$M$1207*EFEITO!$Z$1207</f>
        <v>7394.3506398620084</v>
      </c>
      <c r="O1207" s="76">
        <f>$L$1207-EFEITO!$O$1207*EFEITO!$AA$1207</f>
        <v>1914.5387311784871</v>
      </c>
      <c r="P1207" s="18"/>
      <c r="Q1207" s="18"/>
      <c r="R1207" s="18"/>
      <c r="S1207" s="18"/>
      <c r="T1207" s="18"/>
      <c r="U1207" s="18"/>
      <c r="V1207" s="18"/>
      <c r="W1207" s="18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62" t="s">
        <v>21</v>
      </c>
      <c r="B1208" s="62" t="s">
        <v>41</v>
      </c>
      <c r="C1208" s="62" t="s">
        <v>42</v>
      </c>
      <c r="D1208" s="62" t="s">
        <v>51</v>
      </c>
      <c r="E1208" s="62" t="s">
        <v>52</v>
      </c>
      <c r="F1208" s="62" t="s">
        <v>25</v>
      </c>
      <c r="G1208" s="62" t="s">
        <v>25</v>
      </c>
      <c r="H1208" s="62" t="s">
        <v>34</v>
      </c>
      <c r="I1208" s="75">
        <v>44440</v>
      </c>
      <c r="J1208" s="76">
        <f>EFEITO!$J$1208*EFEITO!$Y$1141</f>
        <v>0</v>
      </c>
      <c r="K1208" s="76">
        <f ca="1">EFEITO!$L$1208*EFEITO!$Z$1141</f>
        <v>279194.7852710571</v>
      </c>
      <c r="L1208" s="76">
        <f>EFEITO!$N$1208*EFEITO!$AA$1141</f>
        <v>72288.866998397891</v>
      </c>
      <c r="M1208" s="76">
        <f>$J$1208-EFEITO!$K$1208*EFEITO!$Y$1208</f>
        <v>0</v>
      </c>
      <c r="N1208" s="76">
        <f ca="1">$K$1208-EFEITO!$M$1208*EFEITO!$Z$1208</f>
        <v>8375.8435581317171</v>
      </c>
      <c r="O1208" s="76">
        <f>$L$1208-EFEITO!$O$1208*EFEITO!$AA$1208</f>
        <v>2168.6660099519358</v>
      </c>
      <c r="P1208" s="18"/>
      <c r="Q1208" s="18"/>
      <c r="R1208" s="18"/>
      <c r="S1208" s="18"/>
      <c r="T1208" s="18"/>
      <c r="U1208" s="18"/>
      <c r="V1208" s="18"/>
      <c r="W1208" s="18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62" t="s">
        <v>21</v>
      </c>
      <c r="B1209" s="62" t="s">
        <v>41</v>
      </c>
      <c r="C1209" s="62" t="s">
        <v>42</v>
      </c>
      <c r="D1209" s="62" t="s">
        <v>51</v>
      </c>
      <c r="E1209" s="62" t="s">
        <v>52</v>
      </c>
      <c r="F1209" s="62" t="s">
        <v>25</v>
      </c>
      <c r="G1209" s="62" t="s">
        <v>25</v>
      </c>
      <c r="H1209" s="62" t="s">
        <v>34</v>
      </c>
      <c r="I1209" s="75">
        <v>44470</v>
      </c>
      <c r="J1209" s="76">
        <f>EFEITO!$J$1209*EFEITO!$Y$1141</f>
        <v>0</v>
      </c>
      <c r="K1209" s="76">
        <f ca="1">EFEITO!$L$1209*EFEITO!$Z$1141</f>
        <v>268328.70680048893</v>
      </c>
      <c r="L1209" s="76">
        <f>EFEITO!$N$1209*EFEITO!$AA$1141</f>
        <v>69475.431566248051</v>
      </c>
      <c r="M1209" s="76">
        <f>$J$1209-EFEITO!$K$1209*EFEITO!$Y$1209</f>
        <v>0</v>
      </c>
      <c r="N1209" s="76">
        <f ca="1">$K$1209-EFEITO!$M$1209*EFEITO!$Z$1209</f>
        <v>8049.8612040146836</v>
      </c>
      <c r="O1209" s="76">
        <f>$L$1209-EFEITO!$O$1209*EFEITO!$AA$1209</f>
        <v>2084.2629469874373</v>
      </c>
      <c r="P1209" s="18"/>
      <c r="Q1209" s="18"/>
      <c r="R1209" s="18"/>
      <c r="S1209" s="18"/>
      <c r="T1209" s="18"/>
      <c r="U1209" s="18"/>
      <c r="V1209" s="18"/>
      <c r="W1209" s="18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62" t="s">
        <v>21</v>
      </c>
      <c r="B1210" s="62" t="s">
        <v>41</v>
      </c>
      <c r="C1210" s="62" t="s">
        <v>42</v>
      </c>
      <c r="D1210" s="62" t="s">
        <v>51</v>
      </c>
      <c r="E1210" s="62" t="s">
        <v>52</v>
      </c>
      <c r="F1210" s="62" t="s">
        <v>25</v>
      </c>
      <c r="G1210" s="62" t="s">
        <v>25</v>
      </c>
      <c r="H1210" s="62" t="s">
        <v>34</v>
      </c>
      <c r="I1210" s="75">
        <v>44501</v>
      </c>
      <c r="J1210" s="76">
        <f>EFEITO!$J$1210*EFEITO!$Y$1141</f>
        <v>0</v>
      </c>
      <c r="K1210" s="76">
        <f ca="1">EFEITO!$L$1210*EFEITO!$Z$1141</f>
        <v>268746.3298309024</v>
      </c>
      <c r="L1210" s="76">
        <f>EFEITO!$N$1210*EFEITO!$AA$1141</f>
        <v>69583.562152110244</v>
      </c>
      <c r="M1210" s="76">
        <f>$J$1210-EFEITO!$K$1210*EFEITO!$Y$1210</f>
        <v>0</v>
      </c>
      <c r="N1210" s="76">
        <f ca="1">$K$1210-EFEITO!$M$1210*EFEITO!$Z$1210</f>
        <v>8062.3898949270952</v>
      </c>
      <c r="O1210" s="76">
        <f>$L$1210-EFEITO!$O$1210*EFEITO!$AA$1210</f>
        <v>2087.5068645633146</v>
      </c>
      <c r="P1210" s="18"/>
      <c r="Q1210" s="18"/>
      <c r="R1210" s="18"/>
      <c r="S1210" s="18"/>
      <c r="T1210" s="18"/>
      <c r="U1210" s="18"/>
      <c r="V1210" s="18"/>
      <c r="W1210" s="18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62" t="s">
        <v>21</v>
      </c>
      <c r="B1211" s="62" t="s">
        <v>41</v>
      </c>
      <c r="C1211" s="62" t="s">
        <v>42</v>
      </c>
      <c r="D1211" s="62" t="s">
        <v>51</v>
      </c>
      <c r="E1211" s="62" t="s">
        <v>52</v>
      </c>
      <c r="F1211" s="62" t="s">
        <v>25</v>
      </c>
      <c r="G1211" s="62" t="s">
        <v>25</v>
      </c>
      <c r="H1211" s="62" t="s">
        <v>34</v>
      </c>
      <c r="I1211" s="75">
        <v>44531</v>
      </c>
      <c r="J1211" s="76">
        <f>EFEITO!$J$1211*EFEITO!$Y$1141</f>
        <v>0</v>
      </c>
      <c r="K1211" s="76">
        <f ca="1">EFEITO!$L$1211*EFEITO!$Z$1141</f>
        <v>306105.86177331075</v>
      </c>
      <c r="L1211" s="76">
        <f>EFEITO!$N$1211*EFEITO!$AA$1141</f>
        <v>79256.659137375173</v>
      </c>
      <c r="M1211" s="76">
        <f>$J$1211-EFEITO!$K$1211*EFEITO!$Y$1211</f>
        <v>0</v>
      </c>
      <c r="N1211" s="76">
        <f ca="1">$K$1211-EFEITO!$M$1211*EFEITO!$Z$1211</f>
        <v>9183.1758531993837</v>
      </c>
      <c r="O1211" s="76">
        <f>$L$1211-EFEITO!$O$1211*EFEITO!$AA$1211</f>
        <v>2377.6997741212544</v>
      </c>
      <c r="P1211" s="18"/>
      <c r="Q1211" s="18"/>
      <c r="R1211" s="18"/>
      <c r="S1211" s="18"/>
      <c r="T1211" s="18"/>
      <c r="U1211" s="18"/>
      <c r="V1211" s="18"/>
      <c r="W1211" s="18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62" t="s">
        <v>21</v>
      </c>
      <c r="B1212" s="62" t="s">
        <v>41</v>
      </c>
      <c r="C1212" s="62" t="s">
        <v>42</v>
      </c>
      <c r="D1212" s="62" t="s">
        <v>51</v>
      </c>
      <c r="E1212" s="62" t="s">
        <v>52</v>
      </c>
      <c r="F1212" s="62" t="s">
        <v>25</v>
      </c>
      <c r="G1212" s="62" t="s">
        <v>25</v>
      </c>
      <c r="H1212" s="62" t="s">
        <v>34</v>
      </c>
      <c r="I1212" s="75">
        <v>44562</v>
      </c>
      <c r="J1212" s="76">
        <f>EFEITO!$J$1212*EFEITO!$Y$1141</f>
        <v>0</v>
      </c>
      <c r="K1212" s="76">
        <f ca="1">EFEITO!$L$1212*EFEITO!$Z$1141</f>
        <v>310061.46104250959</v>
      </c>
      <c r="L1212" s="76">
        <f>EFEITO!$N$1212*EFEITO!$AA$1141</f>
        <v>80280.839403465987</v>
      </c>
      <c r="M1212" s="76">
        <f>$J$1212-EFEITO!$K$1212*EFEITO!$Y$1212</f>
        <v>0</v>
      </c>
      <c r="N1212" s="76">
        <f ca="1">$K$1212-EFEITO!$M$1212*EFEITO!$Z$1212</f>
        <v>9301.8438312752987</v>
      </c>
      <c r="O1212" s="76">
        <f>$L$1212-EFEITO!$O$1212*EFEITO!$AA$1212</f>
        <v>2408.4251821039798</v>
      </c>
      <c r="P1212" s="18"/>
      <c r="Q1212" s="18"/>
      <c r="R1212" s="18"/>
      <c r="S1212" s="18"/>
      <c r="T1212" s="18"/>
      <c r="U1212" s="18"/>
      <c r="V1212" s="18"/>
      <c r="W1212" s="18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62" t="s">
        <v>21</v>
      </c>
      <c r="B1213" s="62" t="s">
        <v>41</v>
      </c>
      <c r="C1213" s="62" t="s">
        <v>42</v>
      </c>
      <c r="D1213" s="62" t="s">
        <v>51</v>
      </c>
      <c r="E1213" s="62" t="s">
        <v>52</v>
      </c>
      <c r="F1213" s="62" t="s">
        <v>25</v>
      </c>
      <c r="G1213" s="62" t="s">
        <v>25</v>
      </c>
      <c r="H1213" s="62" t="s">
        <v>34</v>
      </c>
      <c r="I1213" s="75">
        <v>44593</v>
      </c>
      <c r="J1213" s="76">
        <f>EFEITO!$J$1213*EFEITO!$Y$1141</f>
        <v>0</v>
      </c>
      <c r="K1213" s="76">
        <f ca="1">EFEITO!$L$1213*EFEITO!$Z$1141</f>
        <v>284653.43346575327</v>
      </c>
      <c r="L1213" s="76">
        <f>EFEITO!$N$1213*EFEITO!$AA$1141</f>
        <v>73702.215363605865</v>
      </c>
      <c r="M1213" s="76">
        <f>$J$1213-EFEITO!$K$1213*EFEITO!$Y$1213</f>
        <v>0</v>
      </c>
      <c r="N1213" s="76">
        <f ca="1">$K$1213-EFEITO!$M$1213*EFEITO!$Z$1213</f>
        <v>8539.6030039726174</v>
      </c>
      <c r="O1213" s="76">
        <f>$L$1213-EFEITO!$O$1213*EFEITO!$AA$1213</f>
        <v>2211.0664609081869</v>
      </c>
      <c r="P1213" s="18"/>
      <c r="Q1213" s="18"/>
      <c r="R1213" s="18"/>
      <c r="S1213" s="18"/>
      <c r="T1213" s="18"/>
      <c r="U1213" s="18"/>
      <c r="V1213" s="18"/>
      <c r="W1213" s="18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62" t="s">
        <v>21</v>
      </c>
      <c r="B1214" s="62" t="s">
        <v>41</v>
      </c>
      <c r="C1214" s="62" t="s">
        <v>42</v>
      </c>
      <c r="D1214" s="62" t="s">
        <v>51</v>
      </c>
      <c r="E1214" s="62" t="s">
        <v>52</v>
      </c>
      <c r="F1214" s="62" t="s">
        <v>25</v>
      </c>
      <c r="G1214" s="62" t="s">
        <v>25</v>
      </c>
      <c r="H1214" s="62" t="s">
        <v>34</v>
      </c>
      <c r="I1214" s="75">
        <v>44621</v>
      </c>
      <c r="J1214" s="76">
        <f>EFEITO!$J$1214*EFEITO!$Y$1141</f>
        <v>0</v>
      </c>
      <c r="K1214" s="76">
        <f ca="1">EFEITO!$L$1214*EFEITO!$Z$1141</f>
        <v>291857.43074038485</v>
      </c>
      <c r="L1214" s="76">
        <f>EFEITO!$N$1214*EFEITO!$AA$1141</f>
        <v>75567.467969728401</v>
      </c>
      <c r="M1214" s="76">
        <f>$J$1214-EFEITO!$K$1214*EFEITO!$Y$1214</f>
        <v>0</v>
      </c>
      <c r="N1214" s="76">
        <f ca="1">$K$1214-EFEITO!$M$1214*EFEITO!$Z$1214</f>
        <v>8755.7229222115711</v>
      </c>
      <c r="O1214" s="76">
        <f>$L$1214-EFEITO!$O$1214*EFEITO!$AA$1214</f>
        <v>2267.024039091848</v>
      </c>
      <c r="P1214" s="18"/>
      <c r="Q1214" s="18"/>
      <c r="R1214" s="18"/>
      <c r="S1214" s="18"/>
      <c r="T1214" s="18"/>
      <c r="U1214" s="18"/>
      <c r="V1214" s="18"/>
      <c r="W1214" s="18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11.25" customHeight="1" x14ac:dyDescent="0.2">
      <c r="A1215" s="62" t="s">
        <v>21</v>
      </c>
      <c r="B1215" s="62" t="s">
        <v>41</v>
      </c>
      <c r="C1215" s="62" t="s">
        <v>42</v>
      </c>
      <c r="D1215" s="62" t="s">
        <v>51</v>
      </c>
      <c r="E1215" s="62" t="s">
        <v>52</v>
      </c>
      <c r="F1215" s="62" t="s">
        <v>25</v>
      </c>
      <c r="G1215" s="62" t="s">
        <v>25</v>
      </c>
      <c r="H1215" s="62" t="s">
        <v>34</v>
      </c>
      <c r="I1215" s="75">
        <v>44652</v>
      </c>
      <c r="J1215" s="76">
        <f>EFEITO!$J$1215*EFEITO!$Y$1141</f>
        <v>0</v>
      </c>
      <c r="K1215" s="76">
        <f ca="1">EFEITO!$L$1215*EFEITO!$Z$1141</f>
        <v>285386.24368893157</v>
      </c>
      <c r="L1215" s="76">
        <f>EFEITO!$N$1215*EFEITO!$AA$1141</f>
        <v>73891.953938797989</v>
      </c>
      <c r="M1215" s="76">
        <f>$J$1215-EFEITO!$K$1215*EFEITO!$Y$1215</f>
        <v>0</v>
      </c>
      <c r="N1215" s="76">
        <f ca="1">$K$1215-EFEITO!$M$1215*EFEITO!$Z$1215</f>
        <v>8561.5873106679646</v>
      </c>
      <c r="O1215" s="76">
        <f>$L$1215-EFEITO!$O$1215*EFEITO!$AA$1215</f>
        <v>2216.758618163949</v>
      </c>
      <c r="P1215" s="18"/>
      <c r="Q1215" s="18"/>
      <c r="R1215" s="18"/>
      <c r="S1215" s="18"/>
      <c r="T1215" s="18"/>
      <c r="U1215" s="18"/>
      <c r="V1215" s="18"/>
      <c r="W1215" s="18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 spans="1:36" ht="11.25" customHeight="1" x14ac:dyDescent="0.2">
      <c r="A1216" s="62" t="s">
        <v>58</v>
      </c>
      <c r="B1216" s="62" t="s">
        <v>41</v>
      </c>
      <c r="C1216" s="62" t="s">
        <v>42</v>
      </c>
      <c r="D1216" s="62" t="s">
        <v>51</v>
      </c>
      <c r="E1216" s="62" t="s">
        <v>52</v>
      </c>
      <c r="F1216" s="62" t="s">
        <v>25</v>
      </c>
      <c r="G1216" s="62" t="s">
        <v>25</v>
      </c>
      <c r="H1216" s="62" t="s">
        <v>34</v>
      </c>
      <c r="I1216" s="75">
        <v>44682</v>
      </c>
      <c r="J1216" s="76">
        <f>EFEITO!$J$1216*EFEITO!$Y$1141</f>
        <v>0</v>
      </c>
      <c r="K1216" s="76">
        <f ca="1">EFEITO!$L$1216*EFEITO!$Z$1141</f>
        <v>285386.24368893157</v>
      </c>
      <c r="L1216" s="76">
        <f>EFEITO!$N$1216*EFEITO!$AA$1141</f>
        <v>73891.953938797989</v>
      </c>
      <c r="M1216" s="76">
        <f>$J$1216-EFEITO!$K$1216*EFEITO!$Y$1216</f>
        <v>0</v>
      </c>
      <c r="N1216" s="76">
        <f ca="1">$K$1216-EFEITO!$M$1216*EFEITO!$Z$1216</f>
        <v>8561.5873106679646</v>
      </c>
      <c r="O1216" s="76">
        <f>$L$1216-EFEITO!$O$1216*EFEITO!$AA$1216</f>
        <v>2216.758618163949</v>
      </c>
      <c r="P1216" s="18"/>
      <c r="Q1216" s="18"/>
      <c r="R1216" s="18"/>
      <c r="S1216" s="18"/>
      <c r="T1216" s="18"/>
      <c r="U1216" s="18"/>
      <c r="V1216" s="18"/>
      <c r="W1216" s="18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 ht="11.25" customHeight="1" x14ac:dyDescent="0.2">
      <c r="A1217" s="62" t="s">
        <v>21</v>
      </c>
      <c r="B1217" s="62" t="s">
        <v>22</v>
      </c>
      <c r="C1217" s="62" t="s">
        <v>33</v>
      </c>
      <c r="D1217" s="62" t="s">
        <v>24</v>
      </c>
      <c r="E1217" s="62" t="s">
        <v>24</v>
      </c>
      <c r="F1217" s="62" t="s">
        <v>25</v>
      </c>
      <c r="G1217" s="62" t="s">
        <v>25</v>
      </c>
      <c r="H1217" s="62" t="s">
        <v>35</v>
      </c>
      <c r="I1217" s="75">
        <v>44348</v>
      </c>
      <c r="J1217" s="76">
        <f>EFEITO!$J$1217*EFEITO!$Y$1217</f>
        <v>0</v>
      </c>
      <c r="K1217" s="76">
        <f ca="1">EFEITO!$L$1217*EFEITO!$Z$1217</f>
        <v>2738.4454836136265</v>
      </c>
      <c r="L1217" s="76">
        <f>EFEITO!$N$1217*EFEITO!$AA$1217</f>
        <v>2722.9003269755171</v>
      </c>
      <c r="M1217" s="76">
        <f>$J$1217-EFEITO!$K$1217*EFEITO!$Y$1217</f>
        <v>0</v>
      </c>
      <c r="N1217" s="76">
        <f ca="1">$K$1217-EFEITO!$M$1217*EFEITO!$Z$1217</f>
        <v>0</v>
      </c>
      <c r="O1217" s="76">
        <f>$L$1217-EFEITO!$O$1217*EFEITO!$AA$1217</f>
        <v>0</v>
      </c>
      <c r="P1217" s="18"/>
      <c r="Q1217" s="18"/>
      <c r="R1217" s="18"/>
      <c r="S1217" s="18"/>
      <c r="T1217" s="18"/>
      <c r="U1217" s="18"/>
      <c r="V1217" s="18"/>
      <c r="W1217" s="18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 spans="1:36" ht="11.25" customHeight="1" x14ac:dyDescent="0.2">
      <c r="A1218" s="62" t="s">
        <v>28</v>
      </c>
      <c r="B1218" s="62" t="s">
        <v>22</v>
      </c>
      <c r="C1218" s="62" t="s">
        <v>33</v>
      </c>
      <c r="D1218" s="62" t="s">
        <v>24</v>
      </c>
      <c r="E1218" s="62" t="s">
        <v>24</v>
      </c>
      <c r="F1218" s="62" t="s">
        <v>25</v>
      </c>
      <c r="G1218" s="62" t="s">
        <v>25</v>
      </c>
      <c r="H1218" s="62" t="s">
        <v>35</v>
      </c>
      <c r="I1218" s="75">
        <v>44348</v>
      </c>
      <c r="J1218" s="76">
        <f>EFEITO!$J$1218*EFEITO!$Y$1218</f>
        <v>0</v>
      </c>
      <c r="K1218" s="76">
        <f ca="1">EFEITO!$L$1218*EFEITO!$Z$1218</f>
        <v>133.88235713054081</v>
      </c>
      <c r="L1218" s="76">
        <f>EFEITO!$N$1218*EFEITO!$AA$1218</f>
        <v>133.12235579944723</v>
      </c>
      <c r="M1218" s="76">
        <f>$J$1218-EFEITO!$K$1218*EFEITO!$Y$1218</f>
        <v>0</v>
      </c>
      <c r="N1218" s="76">
        <f ca="1">$K$1218-EFEITO!$M$1218*EFEITO!$Z$1218</f>
        <v>0</v>
      </c>
      <c r="O1218" s="76">
        <f>$L$1218-EFEITO!$O$1218*EFEITO!$AA$1218</f>
        <v>0</v>
      </c>
      <c r="P1218" s="18"/>
      <c r="Q1218" s="18"/>
      <c r="R1218" s="18"/>
      <c r="S1218" s="18"/>
      <c r="T1218" s="18"/>
      <c r="U1218" s="18"/>
      <c r="V1218" s="18"/>
      <c r="W1218" s="18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 spans="1:36" ht="11.25" customHeight="1" x14ac:dyDescent="0.2">
      <c r="A1219" s="62" t="s">
        <v>21</v>
      </c>
      <c r="B1219" s="62" t="s">
        <v>22</v>
      </c>
      <c r="C1219" s="62" t="s">
        <v>33</v>
      </c>
      <c r="D1219" s="62" t="s">
        <v>24</v>
      </c>
      <c r="E1219" s="62" t="s">
        <v>24</v>
      </c>
      <c r="F1219" s="62" t="s">
        <v>25</v>
      </c>
      <c r="G1219" s="62" t="s">
        <v>25</v>
      </c>
      <c r="H1219" s="62" t="s">
        <v>35</v>
      </c>
      <c r="I1219" s="75">
        <v>44378</v>
      </c>
      <c r="J1219" s="76">
        <f>EFEITO!$J$1219*EFEITO!$Y$1219</f>
        <v>0</v>
      </c>
      <c r="K1219" s="76">
        <f ca="1">EFEITO!$L$1219*EFEITO!$Z$1219</f>
        <v>2572.1163434608602</v>
      </c>
      <c r="L1219" s="76">
        <f>EFEITO!$N$1219*EFEITO!$AA$1219</f>
        <v>2557.5153767117336</v>
      </c>
      <c r="M1219" s="76">
        <f>$J$1219-EFEITO!$K$1219*EFEITO!$Y$1219</f>
        <v>0</v>
      </c>
      <c r="N1219" s="76">
        <f ca="1">$K$1219-EFEITO!$M$1219*EFEITO!$Z$1219</f>
        <v>0</v>
      </c>
      <c r="O1219" s="76">
        <f>$L$1219-EFEITO!$O$1219*EFEITO!$AA$1219</f>
        <v>0</v>
      </c>
      <c r="P1219" s="18"/>
      <c r="Q1219" s="18"/>
      <c r="R1219" s="18"/>
      <c r="S1219" s="18"/>
      <c r="T1219" s="18"/>
      <c r="U1219" s="18"/>
      <c r="V1219" s="18"/>
      <c r="W1219" s="18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 spans="1:36" ht="11.25" customHeight="1" x14ac:dyDescent="0.2">
      <c r="A1220" s="62" t="s">
        <v>28</v>
      </c>
      <c r="B1220" s="62" t="s">
        <v>22</v>
      </c>
      <c r="C1220" s="62" t="s">
        <v>33</v>
      </c>
      <c r="D1220" s="62" t="s">
        <v>24</v>
      </c>
      <c r="E1220" s="62" t="s">
        <v>24</v>
      </c>
      <c r="F1220" s="62" t="s">
        <v>25</v>
      </c>
      <c r="G1220" s="62" t="s">
        <v>25</v>
      </c>
      <c r="H1220" s="62" t="s">
        <v>35</v>
      </c>
      <c r="I1220" s="75">
        <v>44378</v>
      </c>
      <c r="J1220" s="76">
        <f>EFEITO!$J$1220*EFEITO!$Y$1220</f>
        <v>0</v>
      </c>
      <c r="K1220" s="76">
        <f ca="1">EFEITO!$L$1220*EFEITO!$Z$1220</f>
        <v>273.75004316809407</v>
      </c>
      <c r="L1220" s="76">
        <f>EFEITO!$N$1220*EFEITO!$AA$1220</f>
        <v>272.19606397581094</v>
      </c>
      <c r="M1220" s="76">
        <f>$J$1220-EFEITO!$K$1220*EFEITO!$Y$1220</f>
        <v>0</v>
      </c>
      <c r="N1220" s="76">
        <f ca="1">$K$1220-EFEITO!$M$1220*EFEITO!$Z$1220</f>
        <v>0</v>
      </c>
      <c r="O1220" s="76">
        <f>$L$1220-EFEITO!$O$1220*EFEITO!$AA$1220</f>
        <v>0</v>
      </c>
      <c r="P1220" s="18"/>
      <c r="Q1220" s="18"/>
      <c r="R1220" s="18"/>
      <c r="S1220" s="18"/>
      <c r="T1220" s="18"/>
      <c r="U1220" s="18"/>
      <c r="V1220" s="18"/>
      <c r="W1220" s="18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 ht="11.25" customHeight="1" x14ac:dyDescent="0.2">
      <c r="A1221" s="62" t="s">
        <v>28</v>
      </c>
      <c r="B1221" s="62" t="s">
        <v>22</v>
      </c>
      <c r="C1221" s="62" t="s">
        <v>33</v>
      </c>
      <c r="D1221" s="62" t="s">
        <v>24</v>
      </c>
      <c r="E1221" s="62" t="s">
        <v>24</v>
      </c>
      <c r="F1221" s="62" t="s">
        <v>25</v>
      </c>
      <c r="G1221" s="62" t="s">
        <v>25</v>
      </c>
      <c r="H1221" s="62" t="s">
        <v>35</v>
      </c>
      <c r="I1221" s="75">
        <v>44378</v>
      </c>
      <c r="J1221" s="76">
        <f>EFEITO!$J$1221*EFEITO!$Y$1221</f>
        <v>0</v>
      </c>
      <c r="K1221" s="76">
        <f ca="1">EFEITO!$L$1221*EFEITO!$Z$1221</f>
        <v>-29.611627224166675</v>
      </c>
      <c r="L1221" s="76">
        <f>EFEITO!$N$1221*EFEITO!$AA$1221</f>
        <v>-29.443532812113038</v>
      </c>
      <c r="M1221" s="76">
        <f>$J$1221-EFEITO!$K$1221*EFEITO!$Y$1221</f>
        <v>0</v>
      </c>
      <c r="N1221" s="76">
        <f ca="1">$K$1221-EFEITO!$M$1221*EFEITO!$Z$1221</f>
        <v>0</v>
      </c>
      <c r="O1221" s="76">
        <f>$L$1221-EFEITO!$O$1221*EFEITO!$AA$1221</f>
        <v>0</v>
      </c>
      <c r="P1221" s="18"/>
      <c r="Q1221" s="18"/>
      <c r="R1221" s="18"/>
      <c r="S1221" s="18"/>
      <c r="T1221" s="18"/>
      <c r="U1221" s="18"/>
      <c r="V1221" s="18"/>
      <c r="W1221" s="18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11.25" customHeight="1" x14ac:dyDescent="0.2">
      <c r="A1222" s="62" t="s">
        <v>21</v>
      </c>
      <c r="B1222" s="62" t="s">
        <v>22</v>
      </c>
      <c r="C1222" s="62" t="s">
        <v>33</v>
      </c>
      <c r="D1222" s="62" t="s">
        <v>24</v>
      </c>
      <c r="E1222" s="62" t="s">
        <v>24</v>
      </c>
      <c r="F1222" s="62" t="s">
        <v>25</v>
      </c>
      <c r="G1222" s="62" t="s">
        <v>25</v>
      </c>
      <c r="H1222" s="62" t="s">
        <v>35</v>
      </c>
      <c r="I1222" s="75">
        <v>44409</v>
      </c>
      <c r="J1222" s="76">
        <f>EFEITO!$J$1222*EFEITO!$Y$1222</f>
        <v>0</v>
      </c>
      <c r="K1222" s="76">
        <f ca="1">EFEITO!$L$1222*EFEITO!$Z$1222</f>
        <v>3141.0376069379354</v>
      </c>
      <c r="L1222" s="76">
        <f>EFEITO!$N$1222*EFEITO!$AA$1222</f>
        <v>3123.2070815912671</v>
      </c>
      <c r="M1222" s="76">
        <f>$J$1222-EFEITO!$K$1222*EFEITO!$Y$1222</f>
        <v>0</v>
      </c>
      <c r="N1222" s="76">
        <f ca="1">$K$1222-EFEITO!$M$1222*EFEITO!$Z$1222</f>
        <v>0</v>
      </c>
      <c r="O1222" s="76">
        <f>$L$1222-EFEITO!$O$1222*EFEITO!$AA$1222</f>
        <v>0</v>
      </c>
      <c r="P1222" s="18"/>
      <c r="Q1222" s="18"/>
      <c r="R1222" s="18"/>
      <c r="S1222" s="18"/>
      <c r="T1222" s="18"/>
      <c r="U1222" s="18"/>
      <c r="V1222" s="18"/>
      <c r="W1222" s="18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 spans="1:36" ht="11.25" customHeight="1" x14ac:dyDescent="0.2">
      <c r="A1223" s="62" t="s">
        <v>28</v>
      </c>
      <c r="B1223" s="62" t="s">
        <v>22</v>
      </c>
      <c r="C1223" s="62" t="s">
        <v>33</v>
      </c>
      <c r="D1223" s="62" t="s">
        <v>24</v>
      </c>
      <c r="E1223" s="62" t="s">
        <v>24</v>
      </c>
      <c r="F1223" s="62" t="s">
        <v>25</v>
      </c>
      <c r="G1223" s="62" t="s">
        <v>25</v>
      </c>
      <c r="H1223" s="62" t="s">
        <v>35</v>
      </c>
      <c r="I1223" s="75">
        <v>44409</v>
      </c>
      <c r="J1223" s="76">
        <f>EFEITO!$J$1223*EFEITO!$Y$1223</f>
        <v>0</v>
      </c>
      <c r="K1223" s="76">
        <f ca="1">EFEITO!$L$1223*EFEITO!$Z$1223</f>
        <v>195.31073275514188</v>
      </c>
      <c r="L1223" s="76">
        <f>EFEITO!$N$1223*EFEITO!$AA$1223</f>
        <v>194.20202493095834</v>
      </c>
      <c r="M1223" s="76">
        <f>$J$1223-EFEITO!$K$1223*EFEITO!$Y$1223</f>
        <v>0</v>
      </c>
      <c r="N1223" s="76">
        <f ca="1">$K$1223-EFEITO!$M$1223*EFEITO!$Z$1223</f>
        <v>0</v>
      </c>
      <c r="O1223" s="76">
        <f>$L$1223-EFEITO!$O$1223*EFEITO!$AA$1223</f>
        <v>0</v>
      </c>
      <c r="P1223" s="18"/>
      <c r="Q1223" s="18"/>
      <c r="R1223" s="18"/>
      <c r="S1223" s="18"/>
      <c r="T1223" s="18"/>
      <c r="U1223" s="18"/>
      <c r="V1223" s="18"/>
      <c r="W1223" s="18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 ht="11.25" customHeight="1" x14ac:dyDescent="0.2">
      <c r="A1224" s="62" t="s">
        <v>21</v>
      </c>
      <c r="B1224" s="62" t="s">
        <v>22</v>
      </c>
      <c r="C1224" s="62" t="s">
        <v>33</v>
      </c>
      <c r="D1224" s="62" t="s">
        <v>24</v>
      </c>
      <c r="E1224" s="62" t="s">
        <v>24</v>
      </c>
      <c r="F1224" s="62" t="s">
        <v>25</v>
      </c>
      <c r="G1224" s="62" t="s">
        <v>25</v>
      </c>
      <c r="H1224" s="62" t="s">
        <v>35</v>
      </c>
      <c r="I1224" s="75">
        <v>44440</v>
      </c>
      <c r="J1224" s="76">
        <f>EFEITO!$J$1224*EFEITO!$Y$1224</f>
        <v>0</v>
      </c>
      <c r="K1224" s="76">
        <f ca="1">EFEITO!$L$1224*EFEITO!$Z$1224</f>
        <v>3352.0992052378465</v>
      </c>
      <c r="L1224" s="76">
        <f>EFEITO!$N$1224*EFEITO!$AA$1224</f>
        <v>3333.0705601456898</v>
      </c>
      <c r="M1224" s="76">
        <f>$J$1224-EFEITO!$K$1224*EFEITO!$Y$1224</f>
        <v>0</v>
      </c>
      <c r="N1224" s="76">
        <f ca="1">$K$1224-EFEITO!$M$1224*EFEITO!$Z$1224</f>
        <v>0</v>
      </c>
      <c r="O1224" s="76">
        <f>$L$1224-EFEITO!$O$1224*EFEITO!$AA$1224</f>
        <v>0</v>
      </c>
      <c r="P1224" s="18"/>
      <c r="Q1224" s="18"/>
      <c r="R1224" s="18"/>
      <c r="S1224" s="18"/>
      <c r="T1224" s="18"/>
      <c r="U1224" s="18"/>
      <c r="V1224" s="18"/>
      <c r="W1224" s="18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 spans="1:36" ht="11.25" customHeight="1" x14ac:dyDescent="0.2">
      <c r="A1225" s="62" t="s">
        <v>28</v>
      </c>
      <c r="B1225" s="62" t="s">
        <v>22</v>
      </c>
      <c r="C1225" s="62" t="s">
        <v>33</v>
      </c>
      <c r="D1225" s="62" t="s">
        <v>24</v>
      </c>
      <c r="E1225" s="62" t="s">
        <v>24</v>
      </c>
      <c r="F1225" s="62" t="s">
        <v>25</v>
      </c>
      <c r="G1225" s="62" t="s">
        <v>25</v>
      </c>
      <c r="H1225" s="62" t="s">
        <v>35</v>
      </c>
      <c r="I1225" s="75">
        <v>44440</v>
      </c>
      <c r="J1225" s="76">
        <f>EFEITO!$J$1225*EFEITO!$Y$1225</f>
        <v>0</v>
      </c>
      <c r="K1225" s="76">
        <f ca="1">EFEITO!$L$1225*EFEITO!$Z$1225</f>
        <v>268.70976619376779</v>
      </c>
      <c r="L1225" s="76">
        <f>EFEITO!$N$1225*EFEITO!$AA$1225</f>
        <v>267.18439881630235</v>
      </c>
      <c r="M1225" s="76">
        <f>$J$1225-EFEITO!$K$1225*EFEITO!$Y$1225</f>
        <v>0</v>
      </c>
      <c r="N1225" s="76">
        <f ca="1">$K$1225-EFEITO!$M$1225*EFEITO!$Z$1225</f>
        <v>0</v>
      </c>
      <c r="O1225" s="76">
        <f>$L$1225-EFEITO!$O$1225*EFEITO!$AA$1225</f>
        <v>0</v>
      </c>
      <c r="P1225" s="18"/>
      <c r="Q1225" s="18"/>
      <c r="R1225" s="18"/>
      <c r="S1225" s="18"/>
      <c r="T1225" s="18"/>
      <c r="U1225" s="18"/>
      <c r="V1225" s="18"/>
      <c r="W1225" s="18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11.25" customHeight="1" x14ac:dyDescent="0.2">
      <c r="A1226" s="62" t="s">
        <v>21</v>
      </c>
      <c r="B1226" s="62" t="s">
        <v>22</v>
      </c>
      <c r="C1226" s="62" t="s">
        <v>33</v>
      </c>
      <c r="D1226" s="62" t="s">
        <v>24</v>
      </c>
      <c r="E1226" s="62" t="s">
        <v>24</v>
      </c>
      <c r="F1226" s="62" t="s">
        <v>25</v>
      </c>
      <c r="G1226" s="62" t="s">
        <v>25</v>
      </c>
      <c r="H1226" s="62" t="s">
        <v>35</v>
      </c>
      <c r="I1226" s="75">
        <v>44470</v>
      </c>
      <c r="J1226" s="76">
        <f>EFEITO!$J$1226*EFEITO!$Y$1226</f>
        <v>0</v>
      </c>
      <c r="K1226" s="76">
        <f ca="1">EFEITO!$L$1226*EFEITO!$Z$1226</f>
        <v>2880.833308138343</v>
      </c>
      <c r="L1226" s="76">
        <f>EFEITO!$N$1226*EFEITO!$AA$1226</f>
        <v>2864.4798677316353</v>
      </c>
      <c r="M1226" s="76">
        <f>$J$1226-EFEITO!$K$1226*EFEITO!$Y$1226</f>
        <v>0</v>
      </c>
      <c r="N1226" s="76">
        <f ca="1">$K$1226-EFEITO!$M$1226*EFEITO!$Z$1226</f>
        <v>0</v>
      </c>
      <c r="O1226" s="76">
        <f>$L$1226-EFEITO!$O$1226*EFEITO!$AA$1226</f>
        <v>0</v>
      </c>
      <c r="P1226" s="18"/>
      <c r="Q1226" s="18"/>
      <c r="R1226" s="18"/>
      <c r="S1226" s="18"/>
      <c r="T1226" s="18"/>
      <c r="U1226" s="18"/>
      <c r="V1226" s="18"/>
      <c r="W1226" s="18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 spans="1:36" ht="11.25" customHeight="1" x14ac:dyDescent="0.2">
      <c r="A1227" s="62" t="s">
        <v>28</v>
      </c>
      <c r="B1227" s="62" t="s">
        <v>22</v>
      </c>
      <c r="C1227" s="62" t="s">
        <v>33</v>
      </c>
      <c r="D1227" s="62" t="s">
        <v>24</v>
      </c>
      <c r="E1227" s="62" t="s">
        <v>24</v>
      </c>
      <c r="F1227" s="62" t="s">
        <v>25</v>
      </c>
      <c r="G1227" s="62" t="s">
        <v>25</v>
      </c>
      <c r="H1227" s="62" t="s">
        <v>35</v>
      </c>
      <c r="I1227" s="75">
        <v>44470</v>
      </c>
      <c r="J1227" s="76">
        <f>EFEITO!$J$1227*EFEITO!$Y$1227</f>
        <v>0</v>
      </c>
      <c r="K1227" s="76">
        <f ca="1">EFEITO!$L$1227*EFEITO!$Z$1227</f>
        <v>87.889829739813862</v>
      </c>
      <c r="L1227" s="76">
        <f>EFEITO!$N$1227*EFEITO!$AA$1227</f>
        <v>87.390911218931265</v>
      </c>
      <c r="M1227" s="76">
        <f>$J$1227-EFEITO!$K$1227*EFEITO!$Y$1227</f>
        <v>0</v>
      </c>
      <c r="N1227" s="76">
        <f ca="1">$K$1227-EFEITO!$M$1227*EFEITO!$Z$1227</f>
        <v>0</v>
      </c>
      <c r="O1227" s="76">
        <f>$L$1227-EFEITO!$O$1227*EFEITO!$AA$1227</f>
        <v>0</v>
      </c>
      <c r="P1227" s="18"/>
      <c r="Q1227" s="18"/>
      <c r="R1227" s="18"/>
      <c r="S1227" s="18"/>
      <c r="T1227" s="18"/>
      <c r="U1227" s="18"/>
      <c r="V1227" s="18"/>
      <c r="W1227" s="18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 spans="1:36" ht="11.25" customHeight="1" x14ac:dyDescent="0.2">
      <c r="A1228" s="62" t="s">
        <v>28</v>
      </c>
      <c r="B1228" s="62" t="s">
        <v>22</v>
      </c>
      <c r="C1228" s="62" t="s">
        <v>33</v>
      </c>
      <c r="D1228" s="62" t="s">
        <v>24</v>
      </c>
      <c r="E1228" s="62" t="s">
        <v>24</v>
      </c>
      <c r="F1228" s="62" t="s">
        <v>25</v>
      </c>
      <c r="G1228" s="62" t="s">
        <v>25</v>
      </c>
      <c r="H1228" s="62" t="s">
        <v>35</v>
      </c>
      <c r="I1228" s="75">
        <v>44470</v>
      </c>
      <c r="J1228" s="76">
        <f>EFEITO!$J$1228*EFEITO!$Y$1228</f>
        <v>0</v>
      </c>
      <c r="K1228" s="76">
        <f ca="1">EFEITO!$L$1228*EFEITO!$Z$1228</f>
        <v>-48.512665877890086</v>
      </c>
      <c r="L1228" s="76">
        <f>EFEITO!$N$1228*EFEITO!$AA$1228</f>
        <v>-48.237277160270295</v>
      </c>
      <c r="M1228" s="76">
        <f>$J$1228-EFEITO!$K$1228*EFEITO!$Y$1228</f>
        <v>0</v>
      </c>
      <c r="N1228" s="76">
        <f ca="1">$K$1228-EFEITO!$M$1228*EFEITO!$Z$1228</f>
        <v>0</v>
      </c>
      <c r="O1228" s="76">
        <f>$L$1228-EFEITO!$O$1228*EFEITO!$AA$1228</f>
        <v>0</v>
      </c>
      <c r="P1228" s="18"/>
      <c r="Q1228" s="18"/>
      <c r="R1228" s="18"/>
      <c r="S1228" s="18"/>
      <c r="T1228" s="18"/>
      <c r="U1228" s="18"/>
      <c r="V1228" s="18"/>
      <c r="W1228" s="18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 spans="1:36" ht="11.25" customHeight="1" x14ac:dyDescent="0.2">
      <c r="A1229" s="62" t="s">
        <v>21</v>
      </c>
      <c r="B1229" s="62" t="s">
        <v>22</v>
      </c>
      <c r="C1229" s="62" t="s">
        <v>33</v>
      </c>
      <c r="D1229" s="62" t="s">
        <v>24</v>
      </c>
      <c r="E1229" s="62" t="s">
        <v>24</v>
      </c>
      <c r="F1229" s="62" t="s">
        <v>25</v>
      </c>
      <c r="G1229" s="62" t="s">
        <v>25</v>
      </c>
      <c r="H1229" s="62" t="s">
        <v>35</v>
      </c>
      <c r="I1229" s="75">
        <v>44501</v>
      </c>
      <c r="J1229" s="76">
        <f>EFEITO!$J$1229*EFEITO!$Y$1229</f>
        <v>0</v>
      </c>
      <c r="K1229" s="76">
        <f ca="1">EFEITO!$L$1229*EFEITO!$Z$1229</f>
        <v>3083.7044563549739</v>
      </c>
      <c r="L1229" s="76">
        <f>EFEITO!$N$1229*EFEITO!$AA$1229</f>
        <v>3066.1993904018568</v>
      </c>
      <c r="M1229" s="76">
        <f>$J$1229-EFEITO!$K$1229*EFEITO!$Y$1229</f>
        <v>0</v>
      </c>
      <c r="N1229" s="76">
        <f ca="1">$K$1229-EFEITO!$M$1229*EFEITO!$Z$1229</f>
        <v>0</v>
      </c>
      <c r="O1229" s="76">
        <f>$L$1229-EFEITO!$O$1229*EFEITO!$AA$1229</f>
        <v>0</v>
      </c>
      <c r="P1229" s="18"/>
      <c r="Q1229" s="18"/>
      <c r="R1229" s="18"/>
      <c r="S1229" s="18"/>
      <c r="T1229" s="18"/>
      <c r="U1229" s="18"/>
      <c r="V1229" s="18"/>
      <c r="W1229" s="18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11.25" customHeight="1" x14ac:dyDescent="0.2">
      <c r="A1230" s="62" t="s">
        <v>28</v>
      </c>
      <c r="B1230" s="62" t="s">
        <v>22</v>
      </c>
      <c r="C1230" s="62" t="s">
        <v>33</v>
      </c>
      <c r="D1230" s="62" t="s">
        <v>24</v>
      </c>
      <c r="E1230" s="62" t="s">
        <v>24</v>
      </c>
      <c r="F1230" s="62" t="s">
        <v>25</v>
      </c>
      <c r="G1230" s="62" t="s">
        <v>25</v>
      </c>
      <c r="H1230" s="62" t="s">
        <v>35</v>
      </c>
      <c r="I1230" s="75">
        <v>44501</v>
      </c>
      <c r="J1230" s="76">
        <f>EFEITO!$J$1230*EFEITO!$Y$1230</f>
        <v>0</v>
      </c>
      <c r="K1230" s="76">
        <f ca="1">EFEITO!$L$1230*EFEITO!$Z$1230</f>
        <v>303.67668770315612</v>
      </c>
      <c r="L1230" s="76">
        <f>EFEITO!$N$1230*EFEITO!$AA$1230</f>
        <v>301.95282586039326</v>
      </c>
      <c r="M1230" s="76">
        <f>$J$1230-EFEITO!$K$1230*EFEITO!$Y$1230</f>
        <v>0</v>
      </c>
      <c r="N1230" s="76">
        <f ca="1">$K$1230-EFEITO!$M$1230*EFEITO!$Z$1230</f>
        <v>0</v>
      </c>
      <c r="O1230" s="76">
        <f>$L$1230-EFEITO!$O$1230*EFEITO!$AA$1230</f>
        <v>0</v>
      </c>
      <c r="P1230" s="18"/>
      <c r="Q1230" s="18"/>
      <c r="R1230" s="18"/>
      <c r="S1230" s="18"/>
      <c r="T1230" s="18"/>
      <c r="U1230" s="18"/>
      <c r="V1230" s="18"/>
      <c r="W1230" s="18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 spans="1:36" ht="11.25" customHeight="1" x14ac:dyDescent="0.2">
      <c r="A1231" s="62" t="s">
        <v>21</v>
      </c>
      <c r="B1231" s="62" t="s">
        <v>22</v>
      </c>
      <c r="C1231" s="62" t="s">
        <v>33</v>
      </c>
      <c r="D1231" s="62" t="s">
        <v>24</v>
      </c>
      <c r="E1231" s="62" t="s">
        <v>24</v>
      </c>
      <c r="F1231" s="62" t="s">
        <v>25</v>
      </c>
      <c r="G1231" s="62" t="s">
        <v>25</v>
      </c>
      <c r="H1231" s="62" t="s">
        <v>35</v>
      </c>
      <c r="I1231" s="75">
        <v>44531</v>
      </c>
      <c r="J1231" s="76">
        <f>EFEITO!$J$1231*EFEITO!$Y$1231</f>
        <v>0</v>
      </c>
      <c r="K1231" s="76">
        <f ca="1">EFEITO!$L$1231*EFEITO!$Z$1231</f>
        <v>3146.7079185340526</v>
      </c>
      <c r="L1231" s="76">
        <f>EFEITO!$N$1231*EFEITO!$AA$1231</f>
        <v>3128.8452048957147</v>
      </c>
      <c r="M1231" s="76">
        <f>$J$1231-EFEITO!$K$1231*EFEITO!$Y$1231</f>
        <v>0</v>
      </c>
      <c r="N1231" s="76">
        <f ca="1">$K$1231-EFEITO!$M$1231*EFEITO!$Z$1231</f>
        <v>0</v>
      </c>
      <c r="O1231" s="76">
        <f>$L$1231-EFEITO!$O$1231*EFEITO!$AA$1231</f>
        <v>0</v>
      </c>
      <c r="P1231" s="18"/>
      <c r="Q1231" s="18"/>
      <c r="R1231" s="18"/>
      <c r="S1231" s="18"/>
      <c r="T1231" s="18"/>
      <c r="U1231" s="18"/>
      <c r="V1231" s="18"/>
      <c r="W1231" s="18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11.25" customHeight="1" x14ac:dyDescent="0.2">
      <c r="A1232" s="62" t="s">
        <v>27</v>
      </c>
      <c r="B1232" s="62" t="s">
        <v>22</v>
      </c>
      <c r="C1232" s="62" t="s">
        <v>33</v>
      </c>
      <c r="D1232" s="62" t="s">
        <v>24</v>
      </c>
      <c r="E1232" s="62" t="s">
        <v>24</v>
      </c>
      <c r="F1232" s="62" t="s">
        <v>25</v>
      </c>
      <c r="G1232" s="62" t="s">
        <v>25</v>
      </c>
      <c r="H1232" s="62" t="s">
        <v>35</v>
      </c>
      <c r="I1232" s="75">
        <v>44531</v>
      </c>
      <c r="J1232" s="76">
        <f>EFEITO!$J$1232*EFEITO!$Y$1232</f>
        <v>0</v>
      </c>
      <c r="K1232" s="76">
        <f ca="1">EFEITO!$L$1232*EFEITO!$Z$1232</f>
        <v>-219.25204838319152</v>
      </c>
      <c r="L1232" s="76">
        <f>EFEITO!$N$1232*EFEITO!$AA$1232</f>
        <v>-218.00743443862419</v>
      </c>
      <c r="M1232" s="76">
        <f>$J$1232-EFEITO!$K$1232*EFEITO!$Y$1232</f>
        <v>0</v>
      </c>
      <c r="N1232" s="76">
        <f ca="1">$K$1232-EFEITO!$M$1232*EFEITO!$Z$1232</f>
        <v>0</v>
      </c>
      <c r="O1232" s="76">
        <f>$L$1232-EFEITO!$O$1232*EFEITO!$AA$1232</f>
        <v>0</v>
      </c>
      <c r="P1232" s="18"/>
      <c r="Q1232" s="18"/>
      <c r="R1232" s="18"/>
      <c r="S1232" s="18"/>
      <c r="T1232" s="18"/>
      <c r="U1232" s="18"/>
      <c r="V1232" s="18"/>
      <c r="W1232" s="18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 spans="1:36" ht="11.25" customHeight="1" x14ac:dyDescent="0.2">
      <c r="A1233" s="62" t="s">
        <v>28</v>
      </c>
      <c r="B1233" s="62" t="s">
        <v>22</v>
      </c>
      <c r="C1233" s="62" t="s">
        <v>33</v>
      </c>
      <c r="D1233" s="62" t="s">
        <v>24</v>
      </c>
      <c r="E1233" s="62" t="s">
        <v>24</v>
      </c>
      <c r="F1233" s="62" t="s">
        <v>25</v>
      </c>
      <c r="G1233" s="62" t="s">
        <v>25</v>
      </c>
      <c r="H1233" s="62" t="s">
        <v>35</v>
      </c>
      <c r="I1233" s="75">
        <v>44531</v>
      </c>
      <c r="J1233" s="76">
        <f>EFEITO!$J$1233*EFEITO!$Y$1233</f>
        <v>0</v>
      </c>
      <c r="K1233" s="76">
        <f ca="1">EFEITO!$L$1233*EFEITO!$Z$1233</f>
        <v>69.303808396985829</v>
      </c>
      <c r="L1233" s="76">
        <f>EFEITO!$N$1233*EFEITO!$AA$1233</f>
        <v>68.910395943243287</v>
      </c>
      <c r="M1233" s="76">
        <f>$J$1233-EFEITO!$K$1233*EFEITO!$Y$1233</f>
        <v>0</v>
      </c>
      <c r="N1233" s="76">
        <f ca="1">$K$1233-EFEITO!$M$1233*EFEITO!$Z$1233</f>
        <v>0</v>
      </c>
      <c r="O1233" s="76">
        <f>$L$1233-EFEITO!$O$1233*EFEITO!$AA$1233</f>
        <v>0</v>
      </c>
      <c r="P1233" s="18"/>
      <c r="Q1233" s="18"/>
      <c r="R1233" s="18"/>
      <c r="S1233" s="18"/>
      <c r="T1233" s="18"/>
      <c r="U1233" s="18"/>
      <c r="V1233" s="18"/>
      <c r="W1233" s="18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11.25" customHeight="1" x14ac:dyDescent="0.2">
      <c r="A1234" s="62" t="s">
        <v>28</v>
      </c>
      <c r="B1234" s="62" t="s">
        <v>22</v>
      </c>
      <c r="C1234" s="62" t="s">
        <v>33</v>
      </c>
      <c r="D1234" s="62" t="s">
        <v>24</v>
      </c>
      <c r="E1234" s="62" t="s">
        <v>24</v>
      </c>
      <c r="F1234" s="62" t="s">
        <v>25</v>
      </c>
      <c r="G1234" s="62" t="s">
        <v>25</v>
      </c>
      <c r="H1234" s="62" t="s">
        <v>35</v>
      </c>
      <c r="I1234" s="75">
        <v>44531</v>
      </c>
      <c r="J1234" s="76">
        <f>EFEITO!$J$1234*EFEITO!$Y$1234</f>
        <v>0</v>
      </c>
      <c r="K1234" s="76">
        <f ca="1">EFEITO!$L$1234*EFEITO!$Z$1234</f>
        <v>-74.659102682207461</v>
      </c>
      <c r="L1234" s="76">
        <f>EFEITO!$N$1234*EFEITO!$AA$1234</f>
        <v>-74.235290175221166</v>
      </c>
      <c r="M1234" s="76">
        <f>$J$1234-EFEITO!$K$1234*EFEITO!$Y$1234</f>
        <v>0</v>
      </c>
      <c r="N1234" s="76">
        <f ca="1">$K$1234-EFEITO!$M$1234*EFEITO!$Z$1234</f>
        <v>0</v>
      </c>
      <c r="O1234" s="76">
        <f>$L$1234-EFEITO!$O$1234*EFEITO!$AA$1234</f>
        <v>0</v>
      </c>
      <c r="P1234" s="18"/>
      <c r="Q1234" s="18"/>
      <c r="R1234" s="18"/>
      <c r="S1234" s="18"/>
      <c r="T1234" s="18"/>
      <c r="U1234" s="18"/>
      <c r="V1234" s="18"/>
      <c r="W1234" s="18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 spans="1:36" ht="11.25" customHeight="1" x14ac:dyDescent="0.2">
      <c r="A1235" s="62" t="s">
        <v>21</v>
      </c>
      <c r="B1235" s="62" t="s">
        <v>22</v>
      </c>
      <c r="C1235" s="62" t="s">
        <v>33</v>
      </c>
      <c r="D1235" s="62" t="s">
        <v>24</v>
      </c>
      <c r="E1235" s="62" t="s">
        <v>24</v>
      </c>
      <c r="F1235" s="62" t="s">
        <v>25</v>
      </c>
      <c r="G1235" s="62" t="s">
        <v>25</v>
      </c>
      <c r="H1235" s="62" t="s">
        <v>35</v>
      </c>
      <c r="I1235" s="75">
        <v>44562</v>
      </c>
      <c r="J1235" s="76">
        <f>EFEITO!$J$1235*EFEITO!$Y$1235</f>
        <v>0</v>
      </c>
      <c r="K1235" s="76">
        <f ca="1">EFEITO!$L$1235*EFEITO!$Z$1235</f>
        <v>2957.6975319968178</v>
      </c>
      <c r="L1235" s="76">
        <f>EFEITO!$N$1235*EFEITO!$AA$1235</f>
        <v>2940.9077614141415</v>
      </c>
      <c r="M1235" s="76">
        <f>$J$1235-EFEITO!$K$1235*EFEITO!$Y$1235</f>
        <v>0</v>
      </c>
      <c r="N1235" s="76">
        <f ca="1">$K$1235-EFEITO!$M$1235*EFEITO!$Z$1235</f>
        <v>0</v>
      </c>
      <c r="O1235" s="76">
        <f>$L$1235-EFEITO!$O$1235*EFEITO!$AA$1235</f>
        <v>0</v>
      </c>
      <c r="P1235" s="18"/>
      <c r="Q1235" s="18"/>
      <c r="R1235" s="18"/>
      <c r="S1235" s="18"/>
      <c r="T1235" s="18"/>
      <c r="U1235" s="18"/>
      <c r="V1235" s="18"/>
      <c r="W1235" s="18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 ht="11.25" customHeight="1" x14ac:dyDescent="0.2">
      <c r="A1236" s="62" t="s">
        <v>28</v>
      </c>
      <c r="B1236" s="62" t="s">
        <v>22</v>
      </c>
      <c r="C1236" s="62" t="s">
        <v>33</v>
      </c>
      <c r="D1236" s="62" t="s">
        <v>24</v>
      </c>
      <c r="E1236" s="62" t="s">
        <v>24</v>
      </c>
      <c r="F1236" s="62" t="s">
        <v>25</v>
      </c>
      <c r="G1236" s="62" t="s">
        <v>25</v>
      </c>
      <c r="H1236" s="62" t="s">
        <v>35</v>
      </c>
      <c r="I1236" s="75">
        <v>44562</v>
      </c>
      <c r="J1236" s="76">
        <f>EFEITO!$J$1236*EFEITO!$Y$1236</f>
        <v>0</v>
      </c>
      <c r="K1236" s="76">
        <f ca="1">EFEITO!$L$1236*EFEITO!$Z$1236</f>
        <v>163.17896704381209</v>
      </c>
      <c r="L1236" s="76">
        <f>EFEITO!$N$1236*EFEITO!$AA$1236</f>
        <v>162.25265953909101</v>
      </c>
      <c r="M1236" s="76">
        <f>$J$1236-EFEITO!$K$1236*EFEITO!$Y$1236</f>
        <v>0</v>
      </c>
      <c r="N1236" s="76">
        <f ca="1">$K$1236-EFEITO!$M$1236*EFEITO!$Z$1236</f>
        <v>0</v>
      </c>
      <c r="O1236" s="76">
        <f>$L$1236-EFEITO!$O$1236*EFEITO!$AA$1236</f>
        <v>0</v>
      </c>
      <c r="P1236" s="18"/>
      <c r="Q1236" s="18"/>
      <c r="R1236" s="18"/>
      <c r="S1236" s="18"/>
      <c r="T1236" s="18"/>
      <c r="U1236" s="18"/>
      <c r="V1236" s="18"/>
      <c r="W1236" s="18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11.25" customHeight="1" x14ac:dyDescent="0.2">
      <c r="A1237" s="62" t="s">
        <v>21</v>
      </c>
      <c r="B1237" s="62" t="s">
        <v>22</v>
      </c>
      <c r="C1237" s="62" t="s">
        <v>33</v>
      </c>
      <c r="D1237" s="62" t="s">
        <v>24</v>
      </c>
      <c r="E1237" s="62" t="s">
        <v>24</v>
      </c>
      <c r="F1237" s="62" t="s">
        <v>25</v>
      </c>
      <c r="G1237" s="62" t="s">
        <v>25</v>
      </c>
      <c r="H1237" s="62" t="s">
        <v>35</v>
      </c>
      <c r="I1237" s="75">
        <v>44593</v>
      </c>
      <c r="J1237" s="76">
        <f>EFEITO!$J$1237*EFEITO!$Y$1237</f>
        <v>0</v>
      </c>
      <c r="K1237" s="76">
        <f ca="1">EFEITO!$L$1237*EFEITO!$Z$1237</f>
        <v>3244.3632849116229</v>
      </c>
      <c r="L1237" s="76">
        <f>EFEITO!$N$1237*EFEITO!$AA$1237</f>
        <v>3225.9462173611932</v>
      </c>
      <c r="M1237" s="76">
        <f>$J$1237-EFEITO!$K$1237*EFEITO!$Y$1237</f>
        <v>0</v>
      </c>
      <c r="N1237" s="76">
        <f ca="1">$K$1237-EFEITO!$M$1237*EFEITO!$Z$1237</f>
        <v>0</v>
      </c>
      <c r="O1237" s="76">
        <f>$L$1237-EFEITO!$O$1237*EFEITO!$AA$1237</f>
        <v>0</v>
      </c>
      <c r="P1237" s="18"/>
      <c r="Q1237" s="18"/>
      <c r="R1237" s="18"/>
      <c r="S1237" s="18"/>
      <c r="T1237" s="18"/>
      <c r="U1237" s="18"/>
      <c r="V1237" s="18"/>
      <c r="W1237" s="18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 spans="1:36" ht="11.25" customHeight="1" x14ac:dyDescent="0.2">
      <c r="A1238" s="62" t="s">
        <v>28</v>
      </c>
      <c r="B1238" s="62" t="s">
        <v>22</v>
      </c>
      <c r="C1238" s="62" t="s">
        <v>33</v>
      </c>
      <c r="D1238" s="62" t="s">
        <v>24</v>
      </c>
      <c r="E1238" s="62" t="s">
        <v>24</v>
      </c>
      <c r="F1238" s="62" t="s">
        <v>25</v>
      </c>
      <c r="G1238" s="62" t="s">
        <v>25</v>
      </c>
      <c r="H1238" s="62" t="s">
        <v>35</v>
      </c>
      <c r="I1238" s="75">
        <v>44593</v>
      </c>
      <c r="J1238" s="76">
        <f>EFEITO!$J$1238*EFEITO!$Y$1238</f>
        <v>0</v>
      </c>
      <c r="K1238" s="76">
        <f ca="1">EFEITO!$L$1238*EFEITO!$Z$1238</f>
        <v>221.14215224856386</v>
      </c>
      <c r="L1238" s="76">
        <f>EFEITO!$N$1238*EFEITO!$AA$1238</f>
        <v>219.88680887343992</v>
      </c>
      <c r="M1238" s="76">
        <f>$J$1238-EFEITO!$K$1238*EFEITO!$Y$1238</f>
        <v>0</v>
      </c>
      <c r="N1238" s="76">
        <f ca="1">$K$1238-EFEITO!$M$1238*EFEITO!$Z$1238</f>
        <v>0</v>
      </c>
      <c r="O1238" s="76">
        <f>$L$1238-EFEITO!$O$1238*EFEITO!$AA$1238</f>
        <v>0</v>
      </c>
      <c r="P1238" s="18"/>
      <c r="Q1238" s="18"/>
      <c r="R1238" s="18"/>
      <c r="S1238" s="18"/>
      <c r="T1238" s="18"/>
      <c r="U1238" s="18"/>
      <c r="V1238" s="18"/>
      <c r="W1238" s="18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 spans="1:36" ht="11.25" customHeight="1" x14ac:dyDescent="0.2">
      <c r="A1239" s="62" t="s">
        <v>28</v>
      </c>
      <c r="B1239" s="62" t="s">
        <v>22</v>
      </c>
      <c r="C1239" s="62" t="s">
        <v>33</v>
      </c>
      <c r="D1239" s="62" t="s">
        <v>24</v>
      </c>
      <c r="E1239" s="62" t="s">
        <v>24</v>
      </c>
      <c r="F1239" s="62" t="s">
        <v>25</v>
      </c>
      <c r="G1239" s="62" t="s">
        <v>25</v>
      </c>
      <c r="H1239" s="62" t="s">
        <v>35</v>
      </c>
      <c r="I1239" s="75">
        <v>44593</v>
      </c>
      <c r="J1239" s="76">
        <f>EFEITO!$J$1239*EFEITO!$Y$1239</f>
        <v>0</v>
      </c>
      <c r="K1239" s="76">
        <f ca="1">EFEITO!$L$1239*EFEITO!$Z$1239</f>
        <v>-72.138964195044352</v>
      </c>
      <c r="L1239" s="76">
        <f>EFEITO!$N$1239*EFEITO!$AA$1239</f>
        <v>-71.729457595466869</v>
      </c>
      <c r="M1239" s="76">
        <f>$J$1239-EFEITO!$K$1239*EFEITO!$Y$1239</f>
        <v>0</v>
      </c>
      <c r="N1239" s="76">
        <f ca="1">$K$1239-EFEITO!$M$1239*EFEITO!$Z$1239</f>
        <v>0</v>
      </c>
      <c r="O1239" s="76">
        <f>$L$1239-EFEITO!$O$1239*EFEITO!$AA$1239</f>
        <v>0</v>
      </c>
      <c r="P1239" s="18"/>
      <c r="Q1239" s="18"/>
      <c r="R1239" s="18"/>
      <c r="S1239" s="18"/>
      <c r="T1239" s="18"/>
      <c r="U1239" s="18"/>
      <c r="V1239" s="18"/>
      <c r="W1239" s="18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 spans="1:36" ht="11.25" customHeight="1" x14ac:dyDescent="0.2">
      <c r="A1240" s="62" t="s">
        <v>21</v>
      </c>
      <c r="B1240" s="62" t="s">
        <v>22</v>
      </c>
      <c r="C1240" s="62" t="s">
        <v>33</v>
      </c>
      <c r="D1240" s="62" t="s">
        <v>24</v>
      </c>
      <c r="E1240" s="62" t="s">
        <v>24</v>
      </c>
      <c r="F1240" s="62" t="s">
        <v>25</v>
      </c>
      <c r="G1240" s="62" t="s">
        <v>25</v>
      </c>
      <c r="H1240" s="62" t="s">
        <v>35</v>
      </c>
      <c r="I1240" s="75">
        <v>44621</v>
      </c>
      <c r="J1240" s="76">
        <f>EFEITO!$J$1240*EFEITO!$Y$1240</f>
        <v>0</v>
      </c>
      <c r="K1240" s="76">
        <f ca="1">EFEITO!$L$1240*EFEITO!$Z$1240</f>
        <v>3468.9706275800363</v>
      </c>
      <c r="L1240" s="76">
        <f>EFEITO!$N$1240*EFEITO!$AA$1240</f>
        <v>3449.2785460317955</v>
      </c>
      <c r="M1240" s="76">
        <f>$J$1240-EFEITO!$K$1240*EFEITO!$Y$1240</f>
        <v>0</v>
      </c>
      <c r="N1240" s="76">
        <f ca="1">$K$1240-EFEITO!$M$1240*EFEITO!$Z$1240</f>
        <v>0</v>
      </c>
      <c r="O1240" s="76">
        <f>$L$1240-EFEITO!$O$1240*EFEITO!$AA$1240</f>
        <v>0</v>
      </c>
      <c r="P1240" s="18"/>
      <c r="Q1240" s="18"/>
      <c r="R1240" s="18"/>
      <c r="S1240" s="18"/>
      <c r="T1240" s="18"/>
      <c r="U1240" s="18"/>
      <c r="V1240" s="18"/>
      <c r="W1240" s="18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 spans="1:36" ht="11.25" customHeight="1" x14ac:dyDescent="0.2">
      <c r="A1241" s="62" t="s">
        <v>28</v>
      </c>
      <c r="B1241" s="62" t="s">
        <v>22</v>
      </c>
      <c r="C1241" s="62" t="s">
        <v>33</v>
      </c>
      <c r="D1241" s="62" t="s">
        <v>24</v>
      </c>
      <c r="E1241" s="62" t="s">
        <v>24</v>
      </c>
      <c r="F1241" s="62" t="s">
        <v>25</v>
      </c>
      <c r="G1241" s="62" t="s">
        <v>25</v>
      </c>
      <c r="H1241" s="62" t="s">
        <v>35</v>
      </c>
      <c r="I1241" s="75">
        <v>44621</v>
      </c>
      <c r="J1241" s="76">
        <f>EFEITO!$J$1241*EFEITO!$Y$1241</f>
        <v>0</v>
      </c>
      <c r="K1241" s="76">
        <f ca="1">EFEITO!$L$1241*EFEITO!$Z$1241</f>
        <v>218.62201376140075</v>
      </c>
      <c r="L1241" s="76">
        <f>EFEITO!$N$1241*EFEITO!$AA$1241</f>
        <v>217.38097629368562</v>
      </c>
      <c r="M1241" s="76">
        <f>$J$1241-EFEITO!$K$1241*EFEITO!$Y$1241</f>
        <v>0</v>
      </c>
      <c r="N1241" s="76">
        <f ca="1">$K$1241-EFEITO!$M$1241*EFEITO!$Z$1241</f>
        <v>0</v>
      </c>
      <c r="O1241" s="76">
        <f>$L$1241-EFEITO!$O$1241*EFEITO!$AA$1241</f>
        <v>0</v>
      </c>
      <c r="P1241" s="18"/>
      <c r="Q1241" s="18"/>
      <c r="R1241" s="18"/>
      <c r="S1241" s="18"/>
      <c r="T1241" s="18"/>
      <c r="U1241" s="18"/>
      <c r="V1241" s="18"/>
      <c r="W1241" s="18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11.25" customHeight="1" x14ac:dyDescent="0.2">
      <c r="A1242" s="62" t="s">
        <v>21</v>
      </c>
      <c r="B1242" s="62" t="s">
        <v>22</v>
      </c>
      <c r="C1242" s="62" t="s">
        <v>33</v>
      </c>
      <c r="D1242" s="62" t="s">
        <v>24</v>
      </c>
      <c r="E1242" s="62" t="s">
        <v>24</v>
      </c>
      <c r="F1242" s="62" t="s">
        <v>25</v>
      </c>
      <c r="G1242" s="62" t="s">
        <v>25</v>
      </c>
      <c r="H1242" s="62" t="s">
        <v>35</v>
      </c>
      <c r="I1242" s="75">
        <v>44652</v>
      </c>
      <c r="J1242" s="76">
        <f>EFEITO!$J$1242*EFEITO!$Y$1242</f>
        <v>0</v>
      </c>
      <c r="K1242" s="76">
        <f ca="1">EFEITO!$L$1242*EFEITO!$Z$1242</f>
        <v>2785.38306293704</v>
      </c>
      <c r="L1242" s="76">
        <f>EFEITO!$N$1242*EFEITO!$AA$1242</f>
        <v>2769.5714587734415</v>
      </c>
      <c r="M1242" s="76">
        <f>$J$1242-EFEITO!$K$1242*EFEITO!$Y$1242</f>
        <v>0</v>
      </c>
      <c r="N1242" s="76">
        <f ca="1">$K$1242-EFEITO!$M$1242*EFEITO!$Z$1242</f>
        <v>0</v>
      </c>
      <c r="O1242" s="76">
        <f>$L$1242-EFEITO!$O$1242*EFEITO!$AA$1242</f>
        <v>0</v>
      </c>
      <c r="P1242" s="18"/>
      <c r="Q1242" s="18"/>
      <c r="R1242" s="18"/>
      <c r="S1242" s="18"/>
      <c r="T1242" s="18"/>
      <c r="U1242" s="18"/>
      <c r="V1242" s="18"/>
      <c r="W1242" s="18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11.25" customHeight="1" x14ac:dyDescent="0.2">
      <c r="A1243" s="62" t="s">
        <v>28</v>
      </c>
      <c r="B1243" s="62" t="s">
        <v>22</v>
      </c>
      <c r="C1243" s="62" t="s">
        <v>33</v>
      </c>
      <c r="D1243" s="62" t="s">
        <v>24</v>
      </c>
      <c r="E1243" s="62" t="s">
        <v>24</v>
      </c>
      <c r="F1243" s="62" t="s">
        <v>25</v>
      </c>
      <c r="G1243" s="62" t="s">
        <v>25</v>
      </c>
      <c r="H1243" s="62" t="s">
        <v>35</v>
      </c>
      <c r="I1243" s="75">
        <v>44652</v>
      </c>
      <c r="J1243" s="76">
        <f>EFEITO!$J$1243*EFEITO!$Y$1243</f>
        <v>0</v>
      </c>
      <c r="K1243" s="76">
        <f ca="1">EFEITO!$L$1243*EFEITO!$Z$1243</f>
        <v>164.43903628739366</v>
      </c>
      <c r="L1243" s="76">
        <f>EFEITO!$N$1243*EFEITO!$AA$1243</f>
        <v>163.50557582896815</v>
      </c>
      <c r="M1243" s="76">
        <f>$J$1243-EFEITO!$K$1243*EFEITO!$Y$1243</f>
        <v>0</v>
      </c>
      <c r="N1243" s="76">
        <f ca="1">$K$1243-EFEITO!$M$1243*EFEITO!$Z$1243</f>
        <v>0</v>
      </c>
      <c r="O1243" s="76">
        <f>$L$1243-EFEITO!$O$1243*EFEITO!$AA$1243</f>
        <v>0</v>
      </c>
      <c r="P1243" s="18"/>
      <c r="Q1243" s="18"/>
      <c r="R1243" s="18"/>
      <c r="S1243" s="18"/>
      <c r="T1243" s="18"/>
      <c r="U1243" s="18"/>
      <c r="V1243" s="18"/>
      <c r="W1243" s="18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 ht="11.25" customHeight="1" x14ac:dyDescent="0.2">
      <c r="A1244" s="62" t="s">
        <v>58</v>
      </c>
      <c r="B1244" s="62" t="s">
        <v>22</v>
      </c>
      <c r="C1244" s="62" t="s">
        <v>33</v>
      </c>
      <c r="D1244" s="62" t="s">
        <v>24</v>
      </c>
      <c r="E1244" s="62" t="s">
        <v>24</v>
      </c>
      <c r="F1244" s="62" t="s">
        <v>25</v>
      </c>
      <c r="G1244" s="62" t="s">
        <v>25</v>
      </c>
      <c r="H1244" s="62" t="s">
        <v>35</v>
      </c>
      <c r="I1244" s="75">
        <v>44682</v>
      </c>
      <c r="J1244" s="76">
        <f>EFEITO!$J$1244*EFEITO!$Y$1244</f>
        <v>0</v>
      </c>
      <c r="K1244" s="76">
        <f ca="1">EFEITO!$L$1244*EFEITO!$Z$1244</f>
        <v>2785.38306293704</v>
      </c>
      <c r="L1244" s="76">
        <f>EFEITO!$N$1244*EFEITO!$AA$1244</f>
        <v>2769.5714587734415</v>
      </c>
      <c r="M1244" s="76">
        <f>$J$1244-EFEITO!$K$1244*EFEITO!$Y$1244</f>
        <v>0</v>
      </c>
      <c r="N1244" s="76">
        <f ca="1">$K$1244-EFEITO!$M$1244*EFEITO!$Z$1244</f>
        <v>0</v>
      </c>
      <c r="O1244" s="76">
        <f>$L$1244-EFEITO!$O$1244*EFEITO!$AA$1244</f>
        <v>0</v>
      </c>
      <c r="P1244" s="18"/>
      <c r="Q1244" s="18"/>
      <c r="R1244" s="18"/>
      <c r="S1244" s="18"/>
      <c r="T1244" s="18"/>
      <c r="U1244" s="18"/>
      <c r="V1244" s="18"/>
      <c r="W1244" s="18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11.25" customHeight="1" x14ac:dyDescent="0.2">
      <c r="A1245" s="62" t="s">
        <v>58</v>
      </c>
      <c r="B1245" s="62" t="s">
        <v>22</v>
      </c>
      <c r="C1245" s="62" t="s">
        <v>33</v>
      </c>
      <c r="D1245" s="62" t="s">
        <v>24</v>
      </c>
      <c r="E1245" s="62" t="s">
        <v>24</v>
      </c>
      <c r="F1245" s="62" t="s">
        <v>25</v>
      </c>
      <c r="G1245" s="62" t="s">
        <v>25</v>
      </c>
      <c r="H1245" s="62" t="s">
        <v>35</v>
      </c>
      <c r="I1245" s="75">
        <v>44682</v>
      </c>
      <c r="J1245" s="76">
        <f>EFEITO!$J$1245*EFEITO!$Y$1245</f>
        <v>0</v>
      </c>
      <c r="K1245" s="76">
        <f ca="1">EFEITO!$L$1245*EFEITO!$Z$1245</f>
        <v>164.43903628739366</v>
      </c>
      <c r="L1245" s="76">
        <f>EFEITO!$N$1245*EFEITO!$AA$1245</f>
        <v>163.50557582896815</v>
      </c>
      <c r="M1245" s="76">
        <f>$J$1245-EFEITO!$K$1245*EFEITO!$Y$1245</f>
        <v>0</v>
      </c>
      <c r="N1245" s="76">
        <f ca="1">$K$1245-EFEITO!$M$1245*EFEITO!$Z$1245</f>
        <v>0</v>
      </c>
      <c r="O1245" s="76">
        <f>$L$1245-EFEITO!$O$1245*EFEITO!$AA$1245</f>
        <v>0</v>
      </c>
      <c r="P1245" s="18"/>
      <c r="Q1245" s="18"/>
      <c r="R1245" s="18"/>
      <c r="S1245" s="18"/>
      <c r="T1245" s="18"/>
      <c r="U1245" s="18"/>
      <c r="V1245" s="18"/>
      <c r="W1245" s="18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 spans="1:36" ht="11.25" customHeight="1" x14ac:dyDescent="0.2">
      <c r="A1246" s="62" t="s">
        <v>21</v>
      </c>
      <c r="B1246" s="62" t="s">
        <v>22</v>
      </c>
      <c r="C1246" s="62" t="s">
        <v>33</v>
      </c>
      <c r="D1246" s="62" t="s">
        <v>24</v>
      </c>
      <c r="E1246" s="62" t="s">
        <v>24</v>
      </c>
      <c r="F1246" s="62" t="s">
        <v>25</v>
      </c>
      <c r="G1246" s="62" t="s">
        <v>25</v>
      </c>
      <c r="H1246" s="62" t="s">
        <v>36</v>
      </c>
      <c r="I1246" s="75">
        <v>44348</v>
      </c>
      <c r="J1246" s="76">
        <f>EFEITO!$J$1246*EFEITO!$Y$1246</f>
        <v>0</v>
      </c>
      <c r="K1246" s="76">
        <f ca="1">EFEITO!$L$1246*EFEITO!$Z$1246</f>
        <v>470.53432125487603</v>
      </c>
      <c r="L1246" s="76">
        <f>EFEITO!$N$1246*EFEITO!$AA$1246</f>
        <v>249.95679983049155</v>
      </c>
      <c r="M1246" s="76">
        <f>$J$1246-EFEITO!$K$1246*EFEITO!$Y$1246</f>
        <v>0</v>
      </c>
      <c r="N1246" s="76">
        <f ca="1">$K$1246-EFEITO!$M$1246*EFEITO!$Z$1246</f>
        <v>0</v>
      </c>
      <c r="O1246" s="76">
        <f>$L$1246-EFEITO!$O$1246*EFEITO!$AA$1246</f>
        <v>0</v>
      </c>
      <c r="P1246" s="18"/>
      <c r="Q1246" s="18"/>
      <c r="R1246" s="18"/>
      <c r="S1246" s="18"/>
      <c r="T1246" s="18"/>
      <c r="U1246" s="18"/>
      <c r="V1246" s="18"/>
      <c r="W1246" s="18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 ht="11.25" customHeight="1" x14ac:dyDescent="0.2">
      <c r="A1247" s="62" t="s">
        <v>28</v>
      </c>
      <c r="B1247" s="62" t="s">
        <v>22</v>
      </c>
      <c r="C1247" s="62" t="s">
        <v>33</v>
      </c>
      <c r="D1247" s="62" t="s">
        <v>24</v>
      </c>
      <c r="E1247" s="62" t="s">
        <v>24</v>
      </c>
      <c r="F1247" s="62" t="s">
        <v>25</v>
      </c>
      <c r="G1247" s="62" t="s">
        <v>25</v>
      </c>
      <c r="H1247" s="62" t="s">
        <v>36</v>
      </c>
      <c r="I1247" s="75">
        <v>44348</v>
      </c>
      <c r="J1247" s="76">
        <f>EFEITO!$J$1247*EFEITO!$Y$1247</f>
        <v>0</v>
      </c>
      <c r="K1247" s="76">
        <f ca="1">EFEITO!$L$1247*EFEITO!$Z$1247</f>
        <v>70.757040790206915</v>
      </c>
      <c r="L1247" s="76">
        <f>EFEITO!$N$1247*EFEITO!$AA$1247</f>
        <v>37.587488696314516</v>
      </c>
      <c r="M1247" s="76">
        <f>$J$1247-EFEITO!$K$1247*EFEITO!$Y$1247</f>
        <v>0</v>
      </c>
      <c r="N1247" s="76">
        <f ca="1">$K$1247-EFEITO!$M$1247*EFEITO!$Z$1247</f>
        <v>0</v>
      </c>
      <c r="O1247" s="76">
        <f>$L$1247-EFEITO!$O$1247*EFEITO!$AA$1247</f>
        <v>0</v>
      </c>
      <c r="P1247" s="18"/>
      <c r="Q1247" s="18"/>
      <c r="R1247" s="18"/>
      <c r="S1247" s="18"/>
      <c r="T1247" s="18"/>
      <c r="U1247" s="18"/>
      <c r="V1247" s="18"/>
      <c r="W1247" s="18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 spans="1:36" ht="11.25" customHeight="1" x14ac:dyDescent="0.2">
      <c r="A1248" s="62" t="s">
        <v>21</v>
      </c>
      <c r="B1248" s="62" t="s">
        <v>22</v>
      </c>
      <c r="C1248" s="62" t="s">
        <v>33</v>
      </c>
      <c r="D1248" s="62" t="s">
        <v>24</v>
      </c>
      <c r="E1248" s="62" t="s">
        <v>24</v>
      </c>
      <c r="F1248" s="62" t="s">
        <v>25</v>
      </c>
      <c r="G1248" s="62" t="s">
        <v>25</v>
      </c>
      <c r="H1248" s="62" t="s">
        <v>36</v>
      </c>
      <c r="I1248" s="75">
        <v>44378</v>
      </c>
      <c r="J1248" s="76">
        <f>EFEITO!$J$1248*EFEITO!$Y$1248</f>
        <v>0</v>
      </c>
      <c r="K1248" s="76">
        <f ca="1">EFEITO!$L$1248*EFEITO!$Z$1248</f>
        <v>467.58611122195072</v>
      </c>
      <c r="L1248" s="76">
        <f>EFEITO!$N$1248*EFEITO!$AA$1248</f>
        <v>248.3906544681451</v>
      </c>
      <c r="M1248" s="76">
        <f>$J$1248-EFEITO!$K$1248*EFEITO!$Y$1248</f>
        <v>0</v>
      </c>
      <c r="N1248" s="76">
        <f ca="1">$K$1248-EFEITO!$M$1248*EFEITO!$Z$1248</f>
        <v>0</v>
      </c>
      <c r="O1248" s="76">
        <f>$L$1248-EFEITO!$O$1248*EFEITO!$AA$1248</f>
        <v>0</v>
      </c>
      <c r="P1248" s="18"/>
      <c r="Q1248" s="18"/>
      <c r="R1248" s="18"/>
      <c r="S1248" s="18"/>
      <c r="T1248" s="18"/>
      <c r="U1248" s="18"/>
      <c r="V1248" s="18"/>
      <c r="W1248" s="18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 spans="1:36" ht="11.25" customHeight="1" x14ac:dyDescent="0.2">
      <c r="A1249" s="62" t="s">
        <v>28</v>
      </c>
      <c r="B1249" s="62" t="s">
        <v>22</v>
      </c>
      <c r="C1249" s="62" t="s">
        <v>33</v>
      </c>
      <c r="D1249" s="62" t="s">
        <v>24</v>
      </c>
      <c r="E1249" s="62" t="s">
        <v>24</v>
      </c>
      <c r="F1249" s="62" t="s">
        <v>25</v>
      </c>
      <c r="G1249" s="62" t="s">
        <v>25</v>
      </c>
      <c r="H1249" s="62" t="s">
        <v>36</v>
      </c>
      <c r="I1249" s="75">
        <v>44378</v>
      </c>
      <c r="J1249" s="76">
        <f>EFEITO!$J$1249*EFEITO!$Y$1249</f>
        <v>0</v>
      </c>
      <c r="K1249" s="76">
        <f ca="1">EFEITO!$L$1249*EFEITO!$Z$1249</f>
        <v>90.80486901409887</v>
      </c>
      <c r="L1249" s="76">
        <f>EFEITO!$N$1249*EFEITO!$AA$1249</f>
        <v>48.237277160270295</v>
      </c>
      <c r="M1249" s="76">
        <f>$J$1249-EFEITO!$K$1249*EFEITO!$Y$1249</f>
        <v>0</v>
      </c>
      <c r="N1249" s="76">
        <f ca="1">$K$1249-EFEITO!$M$1249*EFEITO!$Z$1249</f>
        <v>0</v>
      </c>
      <c r="O1249" s="76">
        <f>$L$1249-EFEITO!$O$1249*EFEITO!$AA$1249</f>
        <v>0</v>
      </c>
      <c r="P1249" s="18"/>
      <c r="Q1249" s="18"/>
      <c r="R1249" s="18"/>
      <c r="S1249" s="18"/>
      <c r="T1249" s="18"/>
      <c r="U1249" s="18"/>
      <c r="V1249" s="18"/>
      <c r="W1249" s="18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 spans="1:36" ht="11.25" customHeight="1" x14ac:dyDescent="0.2">
      <c r="A1250" s="62" t="s">
        <v>28</v>
      </c>
      <c r="B1250" s="62" t="s">
        <v>22</v>
      </c>
      <c r="C1250" s="62" t="s">
        <v>33</v>
      </c>
      <c r="D1250" s="62" t="s">
        <v>24</v>
      </c>
      <c r="E1250" s="62" t="s">
        <v>24</v>
      </c>
      <c r="F1250" s="62" t="s">
        <v>25</v>
      </c>
      <c r="G1250" s="62" t="s">
        <v>25</v>
      </c>
      <c r="H1250" s="62" t="s">
        <v>36</v>
      </c>
      <c r="I1250" s="75">
        <v>44378</v>
      </c>
      <c r="J1250" s="76">
        <f>EFEITO!$J$1250*EFEITO!$Y$1250</f>
        <v>0</v>
      </c>
      <c r="K1250" s="76">
        <f ca="1">EFEITO!$L$1250*EFEITO!$Z$1250</f>
        <v>-2.9482100329252883</v>
      </c>
      <c r="L1250" s="76">
        <f>EFEITO!$N$1250*EFEITO!$AA$1250</f>
        <v>-1.5661453623464383</v>
      </c>
      <c r="M1250" s="76">
        <f>$J$1250-EFEITO!$K$1250*EFEITO!$Y$1250</f>
        <v>0</v>
      </c>
      <c r="N1250" s="76">
        <f ca="1">$K$1250-EFEITO!$M$1250*EFEITO!$Z$1250</f>
        <v>0</v>
      </c>
      <c r="O1250" s="76">
        <f>$L$1250-EFEITO!$O$1250*EFEITO!$AA$1250</f>
        <v>0</v>
      </c>
      <c r="P1250" s="18"/>
      <c r="Q1250" s="18"/>
      <c r="R1250" s="18"/>
      <c r="S1250" s="18"/>
      <c r="T1250" s="18"/>
      <c r="U1250" s="18"/>
      <c r="V1250" s="18"/>
      <c r="W1250" s="18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11.25" customHeight="1" x14ac:dyDescent="0.2">
      <c r="A1251" s="62" t="s">
        <v>21</v>
      </c>
      <c r="B1251" s="62" t="s">
        <v>22</v>
      </c>
      <c r="C1251" s="62" t="s">
        <v>33</v>
      </c>
      <c r="D1251" s="62" t="s">
        <v>24</v>
      </c>
      <c r="E1251" s="62" t="s">
        <v>24</v>
      </c>
      <c r="F1251" s="62" t="s">
        <v>25</v>
      </c>
      <c r="G1251" s="62" t="s">
        <v>25</v>
      </c>
      <c r="H1251" s="62" t="s">
        <v>36</v>
      </c>
      <c r="I1251" s="75">
        <v>44409</v>
      </c>
      <c r="J1251" s="76">
        <f>EFEITO!$J$1251*EFEITO!$Y$1251</f>
        <v>0</v>
      </c>
      <c r="K1251" s="76">
        <f ca="1">EFEITO!$L$1251*EFEITO!$Z$1251</f>
        <v>510.04033569607486</v>
      </c>
      <c r="L1251" s="76">
        <f>EFEITO!$N$1251*EFEITO!$AA$1251</f>
        <v>270.94314768593381</v>
      </c>
      <c r="M1251" s="76">
        <f>$J$1251-EFEITO!$K$1251*EFEITO!$Y$1251</f>
        <v>0</v>
      </c>
      <c r="N1251" s="76">
        <f ca="1">$K$1251-EFEITO!$M$1251*EFEITO!$Z$1251</f>
        <v>0</v>
      </c>
      <c r="O1251" s="76">
        <f>$L$1251-EFEITO!$O$1251*EFEITO!$AA$1251</f>
        <v>0</v>
      </c>
      <c r="P1251" s="18"/>
      <c r="Q1251" s="18"/>
      <c r="R1251" s="18"/>
      <c r="S1251" s="18"/>
      <c r="T1251" s="18"/>
      <c r="U1251" s="18"/>
      <c r="V1251" s="18"/>
      <c r="W1251" s="18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 spans="1:36" ht="11.25" customHeight="1" x14ac:dyDescent="0.2">
      <c r="A1252" s="62" t="s">
        <v>28</v>
      </c>
      <c r="B1252" s="62" t="s">
        <v>22</v>
      </c>
      <c r="C1252" s="62" t="s">
        <v>33</v>
      </c>
      <c r="D1252" s="62" t="s">
        <v>24</v>
      </c>
      <c r="E1252" s="62" t="s">
        <v>24</v>
      </c>
      <c r="F1252" s="62" t="s">
        <v>25</v>
      </c>
      <c r="G1252" s="62" t="s">
        <v>25</v>
      </c>
      <c r="H1252" s="62" t="s">
        <v>36</v>
      </c>
      <c r="I1252" s="75">
        <v>44409</v>
      </c>
      <c r="J1252" s="76">
        <f>EFEITO!$J$1252*EFEITO!$Y$1252</f>
        <v>0</v>
      </c>
      <c r="K1252" s="76">
        <f ca="1">EFEITO!$L$1252*EFEITO!$Z$1252</f>
        <v>63.091694704601167</v>
      </c>
      <c r="L1252" s="76">
        <f>EFEITO!$N$1252*EFEITO!$AA$1252</f>
        <v>33.515510754213778</v>
      </c>
      <c r="M1252" s="76">
        <f>$J$1252-EFEITO!$K$1252*EFEITO!$Y$1252</f>
        <v>0</v>
      </c>
      <c r="N1252" s="76">
        <f ca="1">$K$1252-EFEITO!$M$1252*EFEITO!$Z$1252</f>
        <v>0</v>
      </c>
      <c r="O1252" s="76">
        <f>$L$1252-EFEITO!$O$1252*EFEITO!$AA$1252</f>
        <v>0</v>
      </c>
      <c r="P1252" s="18"/>
      <c r="Q1252" s="18"/>
      <c r="R1252" s="18"/>
      <c r="S1252" s="18"/>
      <c r="T1252" s="18"/>
      <c r="U1252" s="18"/>
      <c r="V1252" s="18"/>
      <c r="W1252" s="18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 spans="1:36" ht="11.25" customHeight="1" x14ac:dyDescent="0.2">
      <c r="A1253" s="62" t="s">
        <v>21</v>
      </c>
      <c r="B1253" s="62" t="s">
        <v>22</v>
      </c>
      <c r="C1253" s="62" t="s">
        <v>33</v>
      </c>
      <c r="D1253" s="62" t="s">
        <v>24</v>
      </c>
      <c r="E1253" s="62" t="s">
        <v>24</v>
      </c>
      <c r="F1253" s="62" t="s">
        <v>25</v>
      </c>
      <c r="G1253" s="62" t="s">
        <v>25</v>
      </c>
      <c r="H1253" s="62" t="s">
        <v>36</v>
      </c>
      <c r="I1253" s="75">
        <v>44440</v>
      </c>
      <c r="J1253" s="76">
        <f>EFEITO!$J$1253*EFEITO!$Y$1253</f>
        <v>0</v>
      </c>
      <c r="K1253" s="76">
        <f ca="1">EFEITO!$L$1253*EFEITO!$Z$1253</f>
        <v>500.60606359071392</v>
      </c>
      <c r="L1253" s="76">
        <f>EFEITO!$N$1253*EFEITO!$AA$1253</f>
        <v>265.93148252642521</v>
      </c>
      <c r="M1253" s="76">
        <f>$J$1253-EFEITO!$K$1253*EFEITO!$Y$1253</f>
        <v>0</v>
      </c>
      <c r="N1253" s="76">
        <f ca="1">$K$1253-EFEITO!$M$1253*EFEITO!$Z$1253</f>
        <v>0</v>
      </c>
      <c r="O1253" s="76">
        <f>$L$1253-EFEITO!$O$1253*EFEITO!$AA$1253</f>
        <v>0</v>
      </c>
      <c r="P1253" s="18"/>
      <c r="Q1253" s="18"/>
      <c r="R1253" s="18"/>
      <c r="S1253" s="18"/>
      <c r="T1253" s="18"/>
      <c r="U1253" s="18"/>
      <c r="V1253" s="18"/>
      <c r="W1253" s="18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 spans="1:36" ht="11.25" customHeight="1" x14ac:dyDescent="0.2">
      <c r="A1254" s="62" t="s">
        <v>28</v>
      </c>
      <c r="B1254" s="62" t="s">
        <v>22</v>
      </c>
      <c r="C1254" s="62" t="s">
        <v>33</v>
      </c>
      <c r="D1254" s="62" t="s">
        <v>24</v>
      </c>
      <c r="E1254" s="62" t="s">
        <v>24</v>
      </c>
      <c r="F1254" s="62" t="s">
        <v>25</v>
      </c>
      <c r="G1254" s="62" t="s">
        <v>25</v>
      </c>
      <c r="H1254" s="62" t="s">
        <v>36</v>
      </c>
      <c r="I1254" s="75">
        <v>44440</v>
      </c>
      <c r="J1254" s="76">
        <f>EFEITO!$J$1254*EFEITO!$Y$1254</f>
        <v>0</v>
      </c>
      <c r="K1254" s="76">
        <f ca="1">EFEITO!$L$1254*EFEITO!$Z$1254</f>
        <v>87.856658981173581</v>
      </c>
      <c r="L1254" s="76">
        <f>EFEITO!$N$1254*EFEITO!$AA$1254</f>
        <v>46.671131797923856</v>
      </c>
      <c r="M1254" s="76">
        <f>$J$1254-EFEITO!$K$1254*EFEITO!$Y$1254</f>
        <v>0</v>
      </c>
      <c r="N1254" s="76">
        <f ca="1">$K$1254-EFEITO!$M$1254*EFEITO!$Z$1254</f>
        <v>0</v>
      </c>
      <c r="O1254" s="76">
        <f>$L$1254-EFEITO!$O$1254*EFEITO!$AA$1254</f>
        <v>0</v>
      </c>
      <c r="P1254" s="18"/>
      <c r="Q1254" s="18"/>
      <c r="R1254" s="18"/>
      <c r="S1254" s="18"/>
      <c r="T1254" s="18"/>
      <c r="U1254" s="18"/>
      <c r="V1254" s="18"/>
      <c r="W1254" s="18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11.25" customHeight="1" x14ac:dyDescent="0.2">
      <c r="A1255" s="62" t="s">
        <v>21</v>
      </c>
      <c r="B1255" s="62" t="s">
        <v>22</v>
      </c>
      <c r="C1255" s="62" t="s">
        <v>33</v>
      </c>
      <c r="D1255" s="62" t="s">
        <v>24</v>
      </c>
      <c r="E1255" s="62" t="s">
        <v>24</v>
      </c>
      <c r="F1255" s="62" t="s">
        <v>25</v>
      </c>
      <c r="G1255" s="62" t="s">
        <v>25</v>
      </c>
      <c r="H1255" s="62" t="s">
        <v>36</v>
      </c>
      <c r="I1255" s="75">
        <v>44470</v>
      </c>
      <c r="J1255" s="76">
        <f>EFEITO!$J$1255*EFEITO!$Y$1255</f>
        <v>0</v>
      </c>
      <c r="K1255" s="76">
        <f ca="1">EFEITO!$L$1255*EFEITO!$Z$1255</f>
        <v>431.6179488202622</v>
      </c>
      <c r="L1255" s="76">
        <f>EFEITO!$N$1255*EFEITO!$AA$1255</f>
        <v>229.28368104751854</v>
      </c>
      <c r="M1255" s="76">
        <f>$J$1255-EFEITO!$K$1255*EFEITO!$Y$1255</f>
        <v>0</v>
      </c>
      <c r="N1255" s="76">
        <f ca="1">$K$1255-EFEITO!$M$1255*EFEITO!$Z$1255</f>
        <v>0</v>
      </c>
      <c r="O1255" s="76">
        <f>$L$1255-EFEITO!$O$1255*EFEITO!$AA$1255</f>
        <v>0</v>
      </c>
      <c r="P1255" s="18"/>
      <c r="Q1255" s="18"/>
      <c r="R1255" s="18"/>
      <c r="S1255" s="18"/>
      <c r="T1255" s="18"/>
      <c r="U1255" s="18"/>
      <c r="V1255" s="18"/>
      <c r="W1255" s="18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11.25" customHeight="1" x14ac:dyDescent="0.2">
      <c r="A1256" s="62" t="s">
        <v>28</v>
      </c>
      <c r="B1256" s="62" t="s">
        <v>22</v>
      </c>
      <c r="C1256" s="62" t="s">
        <v>33</v>
      </c>
      <c r="D1256" s="62" t="s">
        <v>24</v>
      </c>
      <c r="E1256" s="62" t="s">
        <v>24</v>
      </c>
      <c r="F1256" s="62" t="s">
        <v>25</v>
      </c>
      <c r="G1256" s="62" t="s">
        <v>25</v>
      </c>
      <c r="H1256" s="62" t="s">
        <v>36</v>
      </c>
      <c r="I1256" s="75">
        <v>44470</v>
      </c>
      <c r="J1256" s="76">
        <f>EFEITO!$J$1256*EFEITO!$Y$1256</f>
        <v>0</v>
      </c>
      <c r="K1256" s="76">
        <f ca="1">EFEITO!$L$1256*EFEITO!$Z$1256</f>
        <v>37.737088421443687</v>
      </c>
      <c r="L1256" s="76">
        <f>EFEITO!$N$1256*EFEITO!$AA$1256</f>
        <v>20.04666063803441</v>
      </c>
      <c r="M1256" s="76">
        <f>$J$1256-EFEITO!$K$1256*EFEITO!$Y$1256</f>
        <v>0</v>
      </c>
      <c r="N1256" s="76">
        <f ca="1">$K$1256-EFEITO!$M$1256*EFEITO!$Z$1256</f>
        <v>0</v>
      </c>
      <c r="O1256" s="76">
        <f>$L$1256-EFEITO!$O$1256*EFEITO!$AA$1256</f>
        <v>0</v>
      </c>
      <c r="P1256" s="18"/>
      <c r="Q1256" s="18"/>
      <c r="R1256" s="18"/>
      <c r="S1256" s="18"/>
      <c r="T1256" s="18"/>
      <c r="U1256" s="18"/>
      <c r="V1256" s="18"/>
      <c r="W1256" s="18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11.25" customHeight="1" x14ac:dyDescent="0.2">
      <c r="A1257" s="62" t="s">
        <v>28</v>
      </c>
      <c r="B1257" s="62" t="s">
        <v>22</v>
      </c>
      <c r="C1257" s="62" t="s">
        <v>33</v>
      </c>
      <c r="D1257" s="62" t="s">
        <v>24</v>
      </c>
      <c r="E1257" s="62" t="s">
        <v>24</v>
      </c>
      <c r="F1257" s="62" t="s">
        <v>25</v>
      </c>
      <c r="G1257" s="62" t="s">
        <v>25</v>
      </c>
      <c r="H1257" s="62" t="s">
        <v>36</v>
      </c>
      <c r="I1257" s="75">
        <v>44470</v>
      </c>
      <c r="J1257" s="76">
        <f>EFEITO!$J$1257*EFEITO!$Y$1257</f>
        <v>0</v>
      </c>
      <c r="K1257" s="76">
        <f ca="1">EFEITO!$L$1257*EFEITO!$Z$1257</f>
        <v>-8.254988092190807</v>
      </c>
      <c r="L1257" s="76">
        <f>EFEITO!$N$1257*EFEITO!$AA$1257</f>
        <v>-4.3852070145700273</v>
      </c>
      <c r="M1257" s="76">
        <f>$J$1257-EFEITO!$K$1257*EFEITO!$Y$1257</f>
        <v>0</v>
      </c>
      <c r="N1257" s="76">
        <f ca="1">$K$1257-EFEITO!$M$1257*EFEITO!$Z$1257</f>
        <v>0</v>
      </c>
      <c r="O1257" s="76">
        <f>$L$1257-EFEITO!$O$1257*EFEITO!$AA$1257</f>
        <v>0</v>
      </c>
      <c r="P1257" s="18"/>
      <c r="Q1257" s="18"/>
      <c r="R1257" s="18"/>
      <c r="S1257" s="18"/>
      <c r="T1257" s="18"/>
      <c r="U1257" s="18"/>
      <c r="V1257" s="18"/>
      <c r="W1257" s="18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 spans="1:36" ht="11.25" customHeight="1" x14ac:dyDescent="0.2">
      <c r="A1258" s="62" t="s">
        <v>21</v>
      </c>
      <c r="B1258" s="62" t="s">
        <v>22</v>
      </c>
      <c r="C1258" s="62" t="s">
        <v>33</v>
      </c>
      <c r="D1258" s="62" t="s">
        <v>24</v>
      </c>
      <c r="E1258" s="62" t="s">
        <v>24</v>
      </c>
      <c r="F1258" s="62" t="s">
        <v>25</v>
      </c>
      <c r="G1258" s="62" t="s">
        <v>25</v>
      </c>
      <c r="H1258" s="62" t="s">
        <v>36</v>
      </c>
      <c r="I1258" s="75">
        <v>44501</v>
      </c>
      <c r="J1258" s="76">
        <f>EFEITO!$J$1258*EFEITO!$Y$1258</f>
        <v>0</v>
      </c>
      <c r="K1258" s="76">
        <f ca="1">EFEITO!$L$1258*EFEITO!$Z$1258</f>
        <v>418.05618266880583</v>
      </c>
      <c r="L1258" s="76">
        <f>EFEITO!$N$1258*EFEITO!$AA$1258</f>
        <v>222.07941238072493</v>
      </c>
      <c r="M1258" s="76">
        <f>$J$1258-EFEITO!$K$1258*EFEITO!$Y$1258</f>
        <v>0</v>
      </c>
      <c r="N1258" s="76">
        <f ca="1">$K$1258-EFEITO!$M$1258*EFEITO!$Z$1258</f>
        <v>0</v>
      </c>
      <c r="O1258" s="76">
        <f>$L$1258-EFEITO!$O$1258*EFEITO!$AA$1258</f>
        <v>0</v>
      </c>
      <c r="P1258" s="18"/>
      <c r="Q1258" s="18"/>
      <c r="R1258" s="18"/>
      <c r="S1258" s="18"/>
      <c r="T1258" s="18"/>
      <c r="U1258" s="18"/>
      <c r="V1258" s="18"/>
      <c r="W1258" s="18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 spans="1:36" ht="11.25" customHeight="1" x14ac:dyDescent="0.2">
      <c r="A1259" s="62" t="s">
        <v>28</v>
      </c>
      <c r="B1259" s="62" t="s">
        <v>22</v>
      </c>
      <c r="C1259" s="62" t="s">
        <v>33</v>
      </c>
      <c r="D1259" s="62" t="s">
        <v>24</v>
      </c>
      <c r="E1259" s="62" t="s">
        <v>24</v>
      </c>
      <c r="F1259" s="62" t="s">
        <v>25</v>
      </c>
      <c r="G1259" s="62" t="s">
        <v>25</v>
      </c>
      <c r="H1259" s="62" t="s">
        <v>36</v>
      </c>
      <c r="I1259" s="75">
        <v>44501</v>
      </c>
      <c r="J1259" s="76">
        <f>EFEITO!$J$1259*EFEITO!$Y$1259</f>
        <v>0</v>
      </c>
      <c r="K1259" s="76">
        <f ca="1">EFEITO!$L$1259*EFEITO!$Z$1259</f>
        <v>82.54988092190807</v>
      </c>
      <c r="L1259" s="76">
        <f>EFEITO!$N$1259*EFEITO!$AA$1259</f>
        <v>43.852070145700274</v>
      </c>
      <c r="M1259" s="76">
        <f>$J$1259-EFEITO!$K$1259*EFEITO!$Y$1259</f>
        <v>0</v>
      </c>
      <c r="N1259" s="76">
        <f ca="1">$K$1259-EFEITO!$M$1259*EFEITO!$Z$1259</f>
        <v>0</v>
      </c>
      <c r="O1259" s="76">
        <f>$L$1259-EFEITO!$O$1259*EFEITO!$AA$1259</f>
        <v>0</v>
      </c>
      <c r="P1259" s="18"/>
      <c r="Q1259" s="18"/>
      <c r="R1259" s="18"/>
      <c r="S1259" s="18"/>
      <c r="T1259" s="18"/>
      <c r="U1259" s="18"/>
      <c r="V1259" s="18"/>
      <c r="W1259" s="18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 spans="1:36" ht="11.25" customHeight="1" x14ac:dyDescent="0.2">
      <c r="A1260" s="62" t="s">
        <v>21</v>
      </c>
      <c r="B1260" s="62" t="s">
        <v>22</v>
      </c>
      <c r="C1260" s="62" t="s">
        <v>33</v>
      </c>
      <c r="D1260" s="62" t="s">
        <v>24</v>
      </c>
      <c r="E1260" s="62" t="s">
        <v>24</v>
      </c>
      <c r="F1260" s="62" t="s">
        <v>25</v>
      </c>
      <c r="G1260" s="62" t="s">
        <v>25</v>
      </c>
      <c r="H1260" s="62" t="s">
        <v>36</v>
      </c>
      <c r="I1260" s="75">
        <v>44531</v>
      </c>
      <c r="J1260" s="76">
        <f>EFEITO!$J$1260*EFEITO!$Y$1260</f>
        <v>0</v>
      </c>
      <c r="K1260" s="76">
        <f ca="1">EFEITO!$L$1260*EFEITO!$Z$1260</f>
        <v>462.86897516927024</v>
      </c>
      <c r="L1260" s="76">
        <f>EFEITO!$N$1260*EFEITO!$AA$1260</f>
        <v>245.8848218883908</v>
      </c>
      <c r="M1260" s="76">
        <f>$J$1260-EFEITO!$K$1260*EFEITO!$Y$1260</f>
        <v>0</v>
      </c>
      <c r="N1260" s="76">
        <f ca="1">$K$1260-EFEITO!$M$1260*EFEITO!$Z$1260</f>
        <v>0</v>
      </c>
      <c r="O1260" s="76">
        <f>$L$1260-EFEITO!$O$1260*EFEITO!$AA$1260</f>
        <v>0</v>
      </c>
      <c r="P1260" s="18"/>
      <c r="Q1260" s="18"/>
      <c r="R1260" s="18"/>
      <c r="S1260" s="18"/>
      <c r="T1260" s="18"/>
      <c r="U1260" s="18"/>
      <c r="V1260" s="18"/>
      <c r="W1260" s="18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 spans="1:36" ht="11.25" customHeight="1" x14ac:dyDescent="0.2">
      <c r="A1261" s="62" t="s">
        <v>28</v>
      </c>
      <c r="B1261" s="62" t="s">
        <v>22</v>
      </c>
      <c r="C1261" s="62" t="s">
        <v>33</v>
      </c>
      <c r="D1261" s="62" t="s">
        <v>24</v>
      </c>
      <c r="E1261" s="62" t="s">
        <v>24</v>
      </c>
      <c r="F1261" s="62" t="s">
        <v>25</v>
      </c>
      <c r="G1261" s="62" t="s">
        <v>25</v>
      </c>
      <c r="H1261" s="62" t="s">
        <v>36</v>
      </c>
      <c r="I1261" s="75">
        <v>44531</v>
      </c>
      <c r="J1261" s="76">
        <f>EFEITO!$J$1261*EFEITO!$Y$1261</f>
        <v>0</v>
      </c>
      <c r="K1261" s="76">
        <f ca="1">EFEITO!$L$1261*EFEITO!$Z$1261</f>
        <v>52.478138586070123</v>
      </c>
      <c r="L1261" s="76">
        <f>EFEITO!$N$1261*EFEITO!$AA$1261</f>
        <v>27.877387449766598</v>
      </c>
      <c r="M1261" s="76">
        <f>$J$1261-EFEITO!$K$1261*EFEITO!$Y$1261</f>
        <v>0</v>
      </c>
      <c r="N1261" s="76">
        <f ca="1">$K$1261-EFEITO!$M$1261*EFEITO!$Z$1261</f>
        <v>0</v>
      </c>
      <c r="O1261" s="76">
        <f>$L$1261-EFEITO!$O$1261*EFEITO!$AA$1261</f>
        <v>0</v>
      </c>
      <c r="P1261" s="18"/>
      <c r="Q1261" s="18"/>
      <c r="R1261" s="18"/>
      <c r="S1261" s="18"/>
      <c r="T1261" s="18"/>
      <c r="U1261" s="18"/>
      <c r="V1261" s="18"/>
      <c r="W1261" s="18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  <row r="1262" spans="1:36" ht="11.25" customHeight="1" x14ac:dyDescent="0.2">
      <c r="A1262" s="62" t="s">
        <v>28</v>
      </c>
      <c r="B1262" s="62" t="s">
        <v>22</v>
      </c>
      <c r="C1262" s="62" t="s">
        <v>33</v>
      </c>
      <c r="D1262" s="62" t="s">
        <v>24</v>
      </c>
      <c r="E1262" s="62" t="s">
        <v>24</v>
      </c>
      <c r="F1262" s="62" t="s">
        <v>25</v>
      </c>
      <c r="G1262" s="62" t="s">
        <v>25</v>
      </c>
      <c r="H1262" s="62" t="s">
        <v>36</v>
      </c>
      <c r="I1262" s="75">
        <v>44531</v>
      </c>
      <c r="J1262" s="76">
        <f>EFEITO!$J$1262*EFEITO!$Y$1262</f>
        <v>0</v>
      </c>
      <c r="K1262" s="76">
        <f ca="1">EFEITO!$L$1262*EFEITO!$Z$1262</f>
        <v>-11.203198125116094</v>
      </c>
      <c r="L1262" s="76">
        <f>EFEITO!$N$1262*EFEITO!$AA$1262</f>
        <v>-5.9513523769164651</v>
      </c>
      <c r="M1262" s="76">
        <f>$J$1262-EFEITO!$K$1262*EFEITO!$Y$1262</f>
        <v>0</v>
      </c>
      <c r="N1262" s="76">
        <f ca="1">$K$1262-EFEITO!$M$1262*EFEITO!$Z$1262</f>
        <v>0</v>
      </c>
      <c r="O1262" s="76">
        <f>$L$1262-EFEITO!$O$1262*EFEITO!$AA$1262</f>
        <v>0</v>
      </c>
      <c r="P1262" s="18"/>
      <c r="Q1262" s="18"/>
      <c r="R1262" s="18"/>
      <c r="S1262" s="18"/>
      <c r="T1262" s="18"/>
      <c r="U1262" s="18"/>
      <c r="V1262" s="18"/>
      <c r="W1262" s="18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 spans="1:36" ht="11.25" customHeight="1" x14ac:dyDescent="0.2">
      <c r="A1263" s="62" t="s">
        <v>21</v>
      </c>
      <c r="B1263" s="62" t="s">
        <v>22</v>
      </c>
      <c r="C1263" s="62" t="s">
        <v>33</v>
      </c>
      <c r="D1263" s="62" t="s">
        <v>24</v>
      </c>
      <c r="E1263" s="62" t="s">
        <v>24</v>
      </c>
      <c r="F1263" s="62" t="s">
        <v>25</v>
      </c>
      <c r="G1263" s="62" t="s">
        <v>25</v>
      </c>
      <c r="H1263" s="62" t="s">
        <v>36</v>
      </c>
      <c r="I1263" s="75">
        <v>44562</v>
      </c>
      <c r="J1263" s="76">
        <f>EFEITO!$J$1263*EFEITO!$Y$1263</f>
        <v>0</v>
      </c>
      <c r="K1263" s="76">
        <f ca="1">EFEITO!$L$1263*EFEITO!$Z$1263</f>
        <v>477.02038332731166</v>
      </c>
      <c r="L1263" s="76">
        <f>EFEITO!$N$1263*EFEITO!$AA$1263</f>
        <v>253.40231962765372</v>
      </c>
      <c r="M1263" s="76">
        <f>$J$1263-EFEITO!$K$1263*EFEITO!$Y$1263</f>
        <v>0</v>
      </c>
      <c r="N1263" s="76">
        <f ca="1">$K$1263-EFEITO!$M$1263*EFEITO!$Z$1263</f>
        <v>0</v>
      </c>
      <c r="O1263" s="76">
        <f>$L$1263-EFEITO!$O$1263*EFEITO!$AA$1263</f>
        <v>0</v>
      </c>
      <c r="P1263" s="18"/>
      <c r="Q1263" s="18"/>
      <c r="R1263" s="18"/>
      <c r="S1263" s="18"/>
      <c r="T1263" s="18"/>
      <c r="U1263" s="18"/>
      <c r="V1263" s="18"/>
      <c r="W1263" s="18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</row>
    <row r="1264" spans="1:36" ht="11.25" customHeight="1" x14ac:dyDescent="0.2">
      <c r="A1264" s="62" t="s">
        <v>28</v>
      </c>
      <c r="B1264" s="62" t="s">
        <v>22</v>
      </c>
      <c r="C1264" s="62" t="s">
        <v>33</v>
      </c>
      <c r="D1264" s="62" t="s">
        <v>24</v>
      </c>
      <c r="E1264" s="62" t="s">
        <v>24</v>
      </c>
      <c r="F1264" s="62" t="s">
        <v>25</v>
      </c>
      <c r="G1264" s="62" t="s">
        <v>25</v>
      </c>
      <c r="H1264" s="62" t="s">
        <v>36</v>
      </c>
      <c r="I1264" s="75">
        <v>44562</v>
      </c>
      <c r="J1264" s="76">
        <f>EFEITO!$J$1264*EFEITO!$Y$1264</f>
        <v>0</v>
      </c>
      <c r="K1264" s="76">
        <f ca="1">EFEITO!$L$1264*EFEITO!$Z$1264</f>
        <v>77.832744869227611</v>
      </c>
      <c r="L1264" s="76">
        <f>EFEITO!$N$1264*EFEITO!$AA$1264</f>
        <v>41.34623756594597</v>
      </c>
      <c r="M1264" s="76">
        <f>$J$1264-EFEITO!$K$1264*EFEITO!$Y$1264</f>
        <v>0</v>
      </c>
      <c r="N1264" s="76">
        <f ca="1">$K$1264-EFEITO!$M$1264*EFEITO!$Z$1264</f>
        <v>0</v>
      </c>
      <c r="O1264" s="76">
        <f>$L$1264-EFEITO!$O$1264*EFEITO!$AA$1264</f>
        <v>0</v>
      </c>
      <c r="P1264" s="18"/>
      <c r="Q1264" s="18"/>
      <c r="R1264" s="18"/>
      <c r="S1264" s="18"/>
      <c r="T1264" s="18"/>
      <c r="U1264" s="18"/>
      <c r="V1264" s="18"/>
      <c r="W1264" s="18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 spans="1:36" ht="11.25" customHeight="1" x14ac:dyDescent="0.2">
      <c r="A1265" s="62" t="s">
        <v>21</v>
      </c>
      <c r="B1265" s="62" t="s">
        <v>22</v>
      </c>
      <c r="C1265" s="62" t="s">
        <v>33</v>
      </c>
      <c r="D1265" s="62" t="s">
        <v>24</v>
      </c>
      <c r="E1265" s="62" t="s">
        <v>24</v>
      </c>
      <c r="F1265" s="62" t="s">
        <v>25</v>
      </c>
      <c r="G1265" s="62" t="s">
        <v>25</v>
      </c>
      <c r="H1265" s="62" t="s">
        <v>36</v>
      </c>
      <c r="I1265" s="75">
        <v>44593</v>
      </c>
      <c r="J1265" s="76">
        <f>EFEITO!$J$1265*EFEITO!$Y$1265</f>
        <v>0</v>
      </c>
      <c r="K1265" s="76">
        <f ca="1">EFEITO!$L$1265*EFEITO!$Z$1265</f>
        <v>471.12396326146109</v>
      </c>
      <c r="L1265" s="76">
        <f>EFEITO!$N$1265*EFEITO!$AA$1265</f>
        <v>250.27002890296083</v>
      </c>
      <c r="M1265" s="76">
        <f>$J$1265-EFEITO!$K$1265*EFEITO!$Y$1265</f>
        <v>0</v>
      </c>
      <c r="N1265" s="76">
        <f ca="1">$K$1265-EFEITO!$M$1265*EFEITO!$Z$1265</f>
        <v>0</v>
      </c>
      <c r="O1265" s="76">
        <f>$L$1265-EFEITO!$O$1265*EFEITO!$AA$1265</f>
        <v>0</v>
      </c>
      <c r="P1265" s="18"/>
      <c r="Q1265" s="18"/>
      <c r="R1265" s="18"/>
      <c r="S1265" s="18"/>
      <c r="T1265" s="18"/>
      <c r="U1265" s="18"/>
      <c r="V1265" s="18"/>
      <c r="W1265" s="18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</row>
    <row r="1266" spans="1:36" ht="11.25" customHeight="1" x14ac:dyDescent="0.2">
      <c r="A1266" s="62" t="s">
        <v>28</v>
      </c>
      <c r="B1266" s="62" t="s">
        <v>22</v>
      </c>
      <c r="C1266" s="62" t="s">
        <v>33</v>
      </c>
      <c r="D1266" s="62" t="s">
        <v>24</v>
      </c>
      <c r="E1266" s="62" t="s">
        <v>24</v>
      </c>
      <c r="F1266" s="62" t="s">
        <v>25</v>
      </c>
      <c r="G1266" s="62" t="s">
        <v>25</v>
      </c>
      <c r="H1266" s="62" t="s">
        <v>36</v>
      </c>
      <c r="I1266" s="75">
        <v>44593</v>
      </c>
      <c r="J1266" s="76">
        <f>EFEITO!$J$1266*EFEITO!$Y$1266</f>
        <v>0</v>
      </c>
      <c r="K1266" s="76">
        <f ca="1">EFEITO!$L$1266*EFEITO!$Z$1266</f>
        <v>110.85269723799084</v>
      </c>
      <c r="L1266" s="76">
        <f>EFEITO!$N$1266*EFEITO!$AA$1266</f>
        <v>58.887065624226075</v>
      </c>
      <c r="M1266" s="76">
        <f>$J$1266-EFEITO!$K$1266*EFEITO!$Y$1266</f>
        <v>0</v>
      </c>
      <c r="N1266" s="76">
        <f ca="1">$K$1266-EFEITO!$M$1266*EFEITO!$Z$1266</f>
        <v>0</v>
      </c>
      <c r="O1266" s="76">
        <f>$L$1266-EFEITO!$O$1266*EFEITO!$AA$1266</f>
        <v>0</v>
      </c>
      <c r="P1266" s="18"/>
      <c r="Q1266" s="18"/>
      <c r="R1266" s="18"/>
      <c r="S1266" s="18"/>
      <c r="T1266" s="18"/>
      <c r="U1266" s="18"/>
      <c r="V1266" s="18"/>
      <c r="W1266" s="18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 spans="1:36" ht="11.25" customHeight="1" x14ac:dyDescent="0.2">
      <c r="A1267" s="62" t="s">
        <v>28</v>
      </c>
      <c r="B1267" s="62" t="s">
        <v>22</v>
      </c>
      <c r="C1267" s="62" t="s">
        <v>33</v>
      </c>
      <c r="D1267" s="62" t="s">
        <v>24</v>
      </c>
      <c r="E1267" s="62" t="s">
        <v>24</v>
      </c>
      <c r="F1267" s="62" t="s">
        <v>25</v>
      </c>
      <c r="G1267" s="62" t="s">
        <v>25</v>
      </c>
      <c r="H1267" s="62" t="s">
        <v>36</v>
      </c>
      <c r="I1267" s="75">
        <v>44593</v>
      </c>
      <c r="J1267" s="76">
        <f>EFEITO!$J$1267*EFEITO!$Y$1267</f>
        <v>0</v>
      </c>
      <c r="K1267" s="76">
        <f ca="1">EFEITO!$L$1267*EFEITO!$Z$1267</f>
        <v>-10.613556118531037</v>
      </c>
      <c r="L1267" s="76">
        <f>EFEITO!$N$1267*EFEITO!$AA$1267</f>
        <v>-5.638123304447177</v>
      </c>
      <c r="M1267" s="76">
        <f>$J$1267-EFEITO!$K$1267*EFEITO!$Y$1267</f>
        <v>0</v>
      </c>
      <c r="N1267" s="76">
        <f ca="1">$K$1267-EFEITO!$M$1267*EFEITO!$Z$1267</f>
        <v>0</v>
      </c>
      <c r="O1267" s="76">
        <f>$L$1267-EFEITO!$O$1267*EFEITO!$AA$1267</f>
        <v>0</v>
      </c>
      <c r="P1267" s="18"/>
      <c r="Q1267" s="18"/>
      <c r="R1267" s="18"/>
      <c r="S1267" s="18"/>
      <c r="T1267" s="18"/>
      <c r="U1267" s="18"/>
      <c r="V1267" s="18"/>
      <c r="W1267" s="18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 spans="1:36" ht="11.25" customHeight="1" x14ac:dyDescent="0.2">
      <c r="A1268" s="62" t="s">
        <v>21</v>
      </c>
      <c r="B1268" s="62" t="s">
        <v>22</v>
      </c>
      <c r="C1268" s="62" t="s">
        <v>33</v>
      </c>
      <c r="D1268" s="62" t="s">
        <v>24</v>
      </c>
      <c r="E1268" s="62" t="s">
        <v>24</v>
      </c>
      <c r="F1268" s="62" t="s">
        <v>25</v>
      </c>
      <c r="G1268" s="62" t="s">
        <v>25</v>
      </c>
      <c r="H1268" s="62" t="s">
        <v>36</v>
      </c>
      <c r="I1268" s="75">
        <v>44621</v>
      </c>
      <c r="J1268" s="76">
        <f>EFEITO!$J$1268*EFEITO!$Y$1268</f>
        <v>0</v>
      </c>
      <c r="K1268" s="76">
        <f ca="1">EFEITO!$L$1268*EFEITO!$Z$1268</f>
        <v>501.78534760388402</v>
      </c>
      <c r="L1268" s="76">
        <f>EFEITO!$N$1268*EFEITO!$AA$1268</f>
        <v>266.55794067136378</v>
      </c>
      <c r="M1268" s="76">
        <f>$J$1268-EFEITO!$K$1268*EFEITO!$Y$1268</f>
        <v>0</v>
      </c>
      <c r="N1268" s="76">
        <f ca="1">$K$1268-EFEITO!$M$1268*EFEITO!$Z$1268</f>
        <v>0</v>
      </c>
      <c r="O1268" s="76">
        <f>$L$1268-EFEITO!$O$1268*EFEITO!$AA$1268</f>
        <v>0</v>
      </c>
      <c r="P1268" s="18"/>
      <c r="Q1268" s="18"/>
      <c r="R1268" s="18"/>
      <c r="S1268" s="18"/>
      <c r="T1268" s="18"/>
      <c r="U1268" s="18"/>
      <c r="V1268" s="18"/>
      <c r="W1268" s="18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</row>
    <row r="1269" spans="1:36" ht="11.25" customHeight="1" x14ac:dyDescent="0.2">
      <c r="A1269" s="62" t="s">
        <v>28</v>
      </c>
      <c r="B1269" s="62" t="s">
        <v>22</v>
      </c>
      <c r="C1269" s="62" t="s">
        <v>33</v>
      </c>
      <c r="D1269" s="62" t="s">
        <v>24</v>
      </c>
      <c r="E1269" s="62" t="s">
        <v>24</v>
      </c>
      <c r="F1269" s="62" t="s">
        <v>25</v>
      </c>
      <c r="G1269" s="62" t="s">
        <v>25</v>
      </c>
      <c r="H1269" s="62" t="s">
        <v>36</v>
      </c>
      <c r="I1269" s="75">
        <v>44621</v>
      </c>
      <c r="J1269" s="76">
        <f>EFEITO!$J$1269*EFEITO!$Y$1269</f>
        <v>0</v>
      </c>
      <c r="K1269" s="76">
        <f ca="1">EFEITO!$L$1269*EFEITO!$Z$1269</f>
        <v>64.860620724356338</v>
      </c>
      <c r="L1269" s="76">
        <f>EFEITO!$N$1269*EFEITO!$AA$1269</f>
        <v>34.455197971621644</v>
      </c>
      <c r="M1269" s="76">
        <f>$J$1269-EFEITO!$K$1269*EFEITO!$Y$1269</f>
        <v>0</v>
      </c>
      <c r="N1269" s="76">
        <f ca="1">$K$1269-EFEITO!$M$1269*EFEITO!$Z$1269</f>
        <v>0</v>
      </c>
      <c r="O1269" s="76">
        <f>$L$1269-EFEITO!$O$1269*EFEITO!$AA$1269</f>
        <v>0</v>
      </c>
      <c r="P1269" s="18"/>
      <c r="Q1269" s="18"/>
      <c r="R1269" s="18"/>
      <c r="S1269" s="18"/>
      <c r="T1269" s="18"/>
      <c r="U1269" s="18"/>
      <c r="V1269" s="18"/>
      <c r="W1269" s="18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</row>
    <row r="1270" spans="1:36" ht="11.25" customHeight="1" x14ac:dyDescent="0.2">
      <c r="A1270" s="62" t="s">
        <v>21</v>
      </c>
      <c r="B1270" s="62" t="s">
        <v>22</v>
      </c>
      <c r="C1270" s="62" t="s">
        <v>33</v>
      </c>
      <c r="D1270" s="62" t="s">
        <v>24</v>
      </c>
      <c r="E1270" s="62" t="s">
        <v>24</v>
      </c>
      <c r="F1270" s="62" t="s">
        <v>25</v>
      </c>
      <c r="G1270" s="62" t="s">
        <v>25</v>
      </c>
      <c r="H1270" s="62" t="s">
        <v>36</v>
      </c>
      <c r="I1270" s="75">
        <v>44652</v>
      </c>
      <c r="J1270" s="76">
        <f>EFEITO!$J$1270*EFEITO!$Y$1270</f>
        <v>0</v>
      </c>
      <c r="K1270" s="76">
        <f ca="1">EFEITO!$L$1270*EFEITO!$Z$1270</f>
        <v>413.33904661612536</v>
      </c>
      <c r="L1270" s="76">
        <f>EFEITO!$N$1270*EFEITO!$AA$1270</f>
        <v>219.57357980097063</v>
      </c>
      <c r="M1270" s="76">
        <f>$J$1270-EFEITO!$K$1270*EFEITO!$Y$1270</f>
        <v>0</v>
      </c>
      <c r="N1270" s="76">
        <f ca="1">$K$1270-EFEITO!$M$1270*EFEITO!$Z$1270</f>
        <v>0</v>
      </c>
      <c r="O1270" s="76">
        <f>$L$1270-EFEITO!$O$1270*EFEITO!$AA$1270</f>
        <v>0</v>
      </c>
      <c r="P1270" s="18"/>
      <c r="Q1270" s="18"/>
      <c r="R1270" s="18"/>
      <c r="S1270" s="18"/>
      <c r="T1270" s="18"/>
      <c r="U1270" s="18"/>
      <c r="V1270" s="18"/>
      <c r="W1270" s="18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</row>
    <row r="1271" spans="1:36" ht="11.25" customHeight="1" x14ac:dyDescent="0.2">
      <c r="A1271" s="62" t="s">
        <v>28</v>
      </c>
      <c r="B1271" s="62" t="s">
        <v>22</v>
      </c>
      <c r="C1271" s="62" t="s">
        <v>33</v>
      </c>
      <c r="D1271" s="62" t="s">
        <v>24</v>
      </c>
      <c r="E1271" s="62" t="s">
        <v>24</v>
      </c>
      <c r="F1271" s="62" t="s">
        <v>25</v>
      </c>
      <c r="G1271" s="62" t="s">
        <v>25</v>
      </c>
      <c r="H1271" s="62" t="s">
        <v>36</v>
      </c>
      <c r="I1271" s="75">
        <v>44652</v>
      </c>
      <c r="J1271" s="76">
        <f>EFEITO!$J$1271*EFEITO!$Y$1271</f>
        <v>0</v>
      </c>
      <c r="K1271" s="76">
        <f ca="1">EFEITO!$L$1271*EFEITO!$Z$1271</f>
        <v>64.270978717771285</v>
      </c>
      <c r="L1271" s="76">
        <f>EFEITO!$N$1271*EFEITO!$AA$1271</f>
        <v>34.141968899152353</v>
      </c>
      <c r="M1271" s="76">
        <f>$J$1271-EFEITO!$K$1271*EFEITO!$Y$1271</f>
        <v>0</v>
      </c>
      <c r="N1271" s="76">
        <f ca="1">$K$1271-EFEITO!$M$1271*EFEITO!$Z$1271</f>
        <v>0</v>
      </c>
      <c r="O1271" s="76">
        <f>$L$1271-EFEITO!$O$1271*EFEITO!$AA$1271</f>
        <v>0</v>
      </c>
      <c r="P1271" s="18"/>
      <c r="Q1271" s="18"/>
      <c r="R1271" s="18"/>
      <c r="S1271" s="18"/>
      <c r="T1271" s="18"/>
      <c r="U1271" s="18"/>
      <c r="V1271" s="18"/>
      <c r="W1271" s="18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</row>
    <row r="1272" spans="1:36" ht="11.25" customHeight="1" x14ac:dyDescent="0.2">
      <c r="A1272" s="62" t="s">
        <v>58</v>
      </c>
      <c r="B1272" s="62" t="s">
        <v>22</v>
      </c>
      <c r="C1272" s="62" t="s">
        <v>33</v>
      </c>
      <c r="D1272" s="62" t="s">
        <v>24</v>
      </c>
      <c r="E1272" s="62" t="s">
        <v>24</v>
      </c>
      <c r="F1272" s="62" t="s">
        <v>25</v>
      </c>
      <c r="G1272" s="62" t="s">
        <v>25</v>
      </c>
      <c r="H1272" s="62" t="s">
        <v>36</v>
      </c>
      <c r="I1272" s="75">
        <v>44682</v>
      </c>
      <c r="J1272" s="76">
        <f>EFEITO!$J$1272*EFEITO!$Y$1272</f>
        <v>0</v>
      </c>
      <c r="K1272" s="76">
        <f ca="1">EFEITO!$L$1272*EFEITO!$Z$1272</f>
        <v>413.33904661612536</v>
      </c>
      <c r="L1272" s="76">
        <f>EFEITO!$N$1272*EFEITO!$AA$1272</f>
        <v>219.57357980097063</v>
      </c>
      <c r="M1272" s="76">
        <f>$J$1272-EFEITO!$K$1272*EFEITO!$Y$1272</f>
        <v>0</v>
      </c>
      <c r="N1272" s="76">
        <f ca="1">$K$1272-EFEITO!$M$1272*EFEITO!$Z$1272</f>
        <v>0</v>
      </c>
      <c r="O1272" s="76">
        <f>$L$1272-EFEITO!$O$1272*EFEITO!$AA$1272</f>
        <v>0</v>
      </c>
      <c r="P1272" s="18"/>
      <c r="Q1272" s="18"/>
      <c r="R1272" s="18"/>
      <c r="S1272" s="18"/>
      <c r="T1272" s="18"/>
      <c r="U1272" s="18"/>
      <c r="V1272" s="18"/>
      <c r="W1272" s="18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 spans="1:36" ht="11.25" customHeight="1" x14ac:dyDescent="0.2">
      <c r="A1273" s="62" t="s">
        <v>58</v>
      </c>
      <c r="B1273" s="62" t="s">
        <v>22</v>
      </c>
      <c r="C1273" s="62" t="s">
        <v>33</v>
      </c>
      <c r="D1273" s="62" t="s">
        <v>24</v>
      </c>
      <c r="E1273" s="62" t="s">
        <v>24</v>
      </c>
      <c r="F1273" s="62" t="s">
        <v>25</v>
      </c>
      <c r="G1273" s="62" t="s">
        <v>25</v>
      </c>
      <c r="H1273" s="62" t="s">
        <v>36</v>
      </c>
      <c r="I1273" s="75">
        <v>44682</v>
      </c>
      <c r="J1273" s="76">
        <f>EFEITO!$J$1273*EFEITO!$Y$1273</f>
        <v>0</v>
      </c>
      <c r="K1273" s="76">
        <f ca="1">EFEITO!$L$1273*EFEITO!$Z$1273</f>
        <v>64.270978717771285</v>
      </c>
      <c r="L1273" s="76">
        <f>EFEITO!$N$1273*EFEITO!$AA$1273</f>
        <v>34.141968899152353</v>
      </c>
      <c r="M1273" s="76">
        <f>$J$1273-EFEITO!$K$1273*EFEITO!$Y$1273</f>
        <v>0</v>
      </c>
      <c r="N1273" s="76">
        <f ca="1">$K$1273-EFEITO!$M$1273*EFEITO!$Z$1273</f>
        <v>0</v>
      </c>
      <c r="O1273" s="76">
        <f>$L$1273-EFEITO!$O$1273*EFEITO!$AA$1273</f>
        <v>0</v>
      </c>
      <c r="P1273" s="18"/>
      <c r="Q1273" s="18"/>
      <c r="R1273" s="18"/>
      <c r="S1273" s="18"/>
      <c r="T1273" s="18"/>
      <c r="U1273" s="18"/>
      <c r="V1273" s="18"/>
      <c r="W1273" s="18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 spans="1:36" ht="11.25" customHeight="1" x14ac:dyDescent="0.2">
      <c r="A1274" s="62" t="s">
        <v>21</v>
      </c>
      <c r="B1274" s="62" t="s">
        <v>22</v>
      </c>
      <c r="C1274" s="62" t="s">
        <v>33</v>
      </c>
      <c r="D1274" s="62" t="s">
        <v>24</v>
      </c>
      <c r="E1274" s="62" t="s">
        <v>24</v>
      </c>
      <c r="F1274" s="62" t="s">
        <v>25</v>
      </c>
      <c r="G1274" s="62" t="s">
        <v>25</v>
      </c>
      <c r="H1274" s="62" t="s">
        <v>34</v>
      </c>
      <c r="I1274" s="75">
        <v>44348</v>
      </c>
      <c r="J1274" s="76">
        <f>EFEITO!$J$1274*EFEITO!$Y$1274</f>
        <v>0</v>
      </c>
      <c r="K1274" s="76">
        <f ca="1">EFEITO!$L$1274*EFEITO!$Z$1274</f>
        <v>1257.5081987967765</v>
      </c>
      <c r="L1274" s="76">
        <f>EFEITO!$N$1274*EFEITO!$AA$1274</f>
        <v>742.12265296918008</v>
      </c>
      <c r="M1274" s="76">
        <f>$J$1274-EFEITO!$K$1274*EFEITO!$Y$1274</f>
        <v>0</v>
      </c>
      <c r="N1274" s="76">
        <f ca="1">$K$1274-EFEITO!$M$1274*EFEITO!$Z$1274</f>
        <v>0</v>
      </c>
      <c r="O1274" s="76">
        <f>$L$1274-EFEITO!$O$1274*EFEITO!$AA$1274</f>
        <v>0</v>
      </c>
      <c r="P1274" s="18"/>
      <c r="Q1274" s="18"/>
      <c r="R1274" s="18"/>
      <c r="S1274" s="18"/>
      <c r="T1274" s="18"/>
      <c r="U1274" s="18"/>
      <c r="V1274" s="18"/>
      <c r="W1274" s="18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 spans="1:36" ht="11.25" customHeight="1" x14ac:dyDescent="0.2">
      <c r="A1275" s="62" t="s">
        <v>28</v>
      </c>
      <c r="B1275" s="62" t="s">
        <v>22</v>
      </c>
      <c r="C1275" s="62" t="s">
        <v>33</v>
      </c>
      <c r="D1275" s="62" t="s">
        <v>24</v>
      </c>
      <c r="E1275" s="62" t="s">
        <v>24</v>
      </c>
      <c r="F1275" s="62" t="s">
        <v>25</v>
      </c>
      <c r="G1275" s="62" t="s">
        <v>25</v>
      </c>
      <c r="H1275" s="62" t="s">
        <v>34</v>
      </c>
      <c r="I1275" s="75">
        <v>44348</v>
      </c>
      <c r="J1275" s="76">
        <f>EFEITO!$J$1275*EFEITO!$Y$1275</f>
        <v>0</v>
      </c>
      <c r="K1275" s="76">
        <f ca="1">EFEITO!$L$1275*EFEITO!$Z$1275</f>
        <v>178.90322828242799</v>
      </c>
      <c r="L1275" s="76">
        <f>EFEITO!$N$1275*EFEITO!$AA$1275</f>
        <v>105.5803361956153</v>
      </c>
      <c r="M1275" s="76">
        <f>$J$1275-EFEITO!$K$1275*EFEITO!$Y$1275</f>
        <v>0</v>
      </c>
      <c r="N1275" s="76">
        <f ca="1">$K$1275-EFEITO!$M$1275*EFEITO!$Z$1275</f>
        <v>0</v>
      </c>
      <c r="O1275" s="76">
        <f>$L$1275-EFEITO!$O$1275*EFEITO!$AA$1275</f>
        <v>0</v>
      </c>
      <c r="P1275" s="18"/>
      <c r="Q1275" s="18"/>
      <c r="R1275" s="18"/>
      <c r="S1275" s="18"/>
      <c r="T1275" s="18"/>
      <c r="U1275" s="18"/>
      <c r="V1275" s="18"/>
      <c r="W1275" s="18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</row>
    <row r="1276" spans="1:36" ht="11.25" customHeight="1" x14ac:dyDescent="0.2">
      <c r="A1276" s="62" t="s">
        <v>21</v>
      </c>
      <c r="B1276" s="62" t="s">
        <v>22</v>
      </c>
      <c r="C1276" s="62" t="s">
        <v>33</v>
      </c>
      <c r="D1276" s="62" t="s">
        <v>24</v>
      </c>
      <c r="E1276" s="62" t="s">
        <v>24</v>
      </c>
      <c r="F1276" s="62" t="s">
        <v>25</v>
      </c>
      <c r="G1276" s="62" t="s">
        <v>25</v>
      </c>
      <c r="H1276" s="62" t="s">
        <v>34</v>
      </c>
      <c r="I1276" s="75">
        <v>44378</v>
      </c>
      <c r="J1276" s="76">
        <f>EFEITO!$J$1276*EFEITO!$Y$1276</f>
        <v>0</v>
      </c>
      <c r="K1276" s="76">
        <f ca="1">EFEITO!$L$1276*EFEITO!$Z$1276</f>
        <v>1190.9596549429264</v>
      </c>
      <c r="L1276" s="76">
        <f>EFEITO!$N$1276*EFEITO!$AA$1276</f>
        <v>702.84880810414438</v>
      </c>
      <c r="M1276" s="76">
        <f>$J$1276-EFEITO!$K$1276*EFEITO!$Y$1276</f>
        <v>0</v>
      </c>
      <c r="N1276" s="76">
        <f ca="1">$K$1276-EFEITO!$M$1276*EFEITO!$Z$1276</f>
        <v>0</v>
      </c>
      <c r="O1276" s="76">
        <f>$L$1276-EFEITO!$O$1276*EFEITO!$AA$1276</f>
        <v>0</v>
      </c>
      <c r="P1276" s="18"/>
      <c r="Q1276" s="18"/>
      <c r="R1276" s="18"/>
      <c r="S1276" s="18"/>
      <c r="T1276" s="18"/>
      <c r="U1276" s="18"/>
      <c r="V1276" s="18"/>
      <c r="W1276" s="18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 spans="1:36" ht="11.25" customHeight="1" x14ac:dyDescent="0.2">
      <c r="A1277" s="62" t="s">
        <v>28</v>
      </c>
      <c r="B1277" s="62" t="s">
        <v>22</v>
      </c>
      <c r="C1277" s="62" t="s">
        <v>33</v>
      </c>
      <c r="D1277" s="62" t="s">
        <v>24</v>
      </c>
      <c r="E1277" s="62" t="s">
        <v>24</v>
      </c>
      <c r="F1277" s="62" t="s">
        <v>25</v>
      </c>
      <c r="G1277" s="62" t="s">
        <v>25</v>
      </c>
      <c r="H1277" s="62" t="s">
        <v>34</v>
      </c>
      <c r="I1277" s="75">
        <v>44378</v>
      </c>
      <c r="J1277" s="76">
        <f>EFEITO!$J$1277*EFEITO!$Y$1277</f>
        <v>0</v>
      </c>
      <c r="K1277" s="76">
        <f ca="1">EFEITO!$L$1277*EFEITO!$Z$1277</f>
        <v>289.52937910441244</v>
      </c>
      <c r="L1277" s="76">
        <f>EFEITO!$N$1277*EFEITO!$AA$1277</f>
        <v>170.86672765957067</v>
      </c>
      <c r="M1277" s="76">
        <f>$J$1277-EFEITO!$K$1277*EFEITO!$Y$1277</f>
        <v>0</v>
      </c>
      <c r="N1277" s="76">
        <f ca="1">$K$1277-EFEITO!$M$1277*EFEITO!$Z$1277</f>
        <v>0</v>
      </c>
      <c r="O1277" s="76">
        <f>$L$1277-EFEITO!$O$1277*EFEITO!$AA$1277</f>
        <v>0</v>
      </c>
      <c r="P1277" s="18"/>
      <c r="Q1277" s="18"/>
      <c r="R1277" s="18"/>
      <c r="S1277" s="18"/>
      <c r="T1277" s="18"/>
      <c r="U1277" s="18"/>
      <c r="V1277" s="18"/>
      <c r="W1277" s="18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 spans="1:36" ht="11.25" customHeight="1" x14ac:dyDescent="0.2">
      <c r="A1278" s="62" t="s">
        <v>28</v>
      </c>
      <c r="B1278" s="62" t="s">
        <v>22</v>
      </c>
      <c r="C1278" s="62" t="s">
        <v>33</v>
      </c>
      <c r="D1278" s="62" t="s">
        <v>24</v>
      </c>
      <c r="E1278" s="62" t="s">
        <v>24</v>
      </c>
      <c r="F1278" s="62" t="s">
        <v>25</v>
      </c>
      <c r="G1278" s="62" t="s">
        <v>25</v>
      </c>
      <c r="H1278" s="62" t="s">
        <v>34</v>
      </c>
      <c r="I1278" s="75">
        <v>44378</v>
      </c>
      <c r="J1278" s="76">
        <f>EFEITO!$J$1278*EFEITO!$Y$1278</f>
        <v>0</v>
      </c>
      <c r="K1278" s="76">
        <f ca="1">EFEITO!$L$1278*EFEITO!$Z$1278</f>
        <v>-6.9141344263740283</v>
      </c>
      <c r="L1278" s="76">
        <f>EFEITO!$N$1278*EFEITO!$AA$1278</f>
        <v>-4.0803994664972105</v>
      </c>
      <c r="M1278" s="76">
        <f>$J$1278-EFEITO!$K$1278*EFEITO!$Y$1278</f>
        <v>0</v>
      </c>
      <c r="N1278" s="76">
        <f ca="1">$K$1278-EFEITO!$M$1278*EFEITO!$Z$1278</f>
        <v>0</v>
      </c>
      <c r="O1278" s="76">
        <f>$L$1278-EFEITO!$O$1278*EFEITO!$AA$1278</f>
        <v>0</v>
      </c>
      <c r="P1278" s="18"/>
      <c r="Q1278" s="18"/>
      <c r="R1278" s="18"/>
      <c r="S1278" s="18"/>
      <c r="T1278" s="18"/>
      <c r="U1278" s="18"/>
      <c r="V1278" s="18"/>
      <c r="W1278" s="18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 spans="1:36" ht="11.25" customHeight="1" x14ac:dyDescent="0.2">
      <c r="A1279" s="62" t="s">
        <v>21</v>
      </c>
      <c r="B1279" s="62" t="s">
        <v>22</v>
      </c>
      <c r="C1279" s="62" t="s">
        <v>33</v>
      </c>
      <c r="D1279" s="62" t="s">
        <v>24</v>
      </c>
      <c r="E1279" s="62" t="s">
        <v>24</v>
      </c>
      <c r="F1279" s="62" t="s">
        <v>25</v>
      </c>
      <c r="G1279" s="62" t="s">
        <v>25</v>
      </c>
      <c r="H1279" s="62" t="s">
        <v>34</v>
      </c>
      <c r="I1279" s="75">
        <v>44409</v>
      </c>
      <c r="J1279" s="76">
        <f>EFEITO!$J$1279*EFEITO!$Y$1279</f>
        <v>0</v>
      </c>
      <c r="K1279" s="76">
        <f ca="1">EFEITO!$L$1279*EFEITO!$Z$1279</f>
        <v>1279.1148688791952</v>
      </c>
      <c r="L1279" s="76">
        <f>EFEITO!$N$1279*EFEITO!$AA$1279</f>
        <v>754.87390130198389</v>
      </c>
      <c r="M1279" s="76">
        <f>$J$1279-EFEITO!$K$1279*EFEITO!$Y$1279</f>
        <v>0</v>
      </c>
      <c r="N1279" s="76">
        <f ca="1">$K$1279-EFEITO!$M$1279*EFEITO!$Z$1279</f>
        <v>0</v>
      </c>
      <c r="O1279" s="76">
        <f>$L$1279-EFEITO!$O$1279*EFEITO!$AA$1279</f>
        <v>0</v>
      </c>
      <c r="P1279" s="18"/>
      <c r="Q1279" s="18"/>
      <c r="R1279" s="18"/>
      <c r="S1279" s="18"/>
      <c r="T1279" s="18"/>
      <c r="U1279" s="18"/>
      <c r="V1279" s="18"/>
      <c r="W1279" s="18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 spans="1:36" ht="11.25" customHeight="1" x14ac:dyDescent="0.2">
      <c r="A1280" s="62" t="s">
        <v>28</v>
      </c>
      <c r="B1280" s="62" t="s">
        <v>22</v>
      </c>
      <c r="C1280" s="62" t="s">
        <v>33</v>
      </c>
      <c r="D1280" s="62" t="s">
        <v>24</v>
      </c>
      <c r="E1280" s="62" t="s">
        <v>24</v>
      </c>
      <c r="F1280" s="62" t="s">
        <v>25</v>
      </c>
      <c r="G1280" s="62" t="s">
        <v>25</v>
      </c>
      <c r="H1280" s="62" t="s">
        <v>34</v>
      </c>
      <c r="I1280" s="75">
        <v>44409</v>
      </c>
      <c r="J1280" s="76">
        <f>EFEITO!$J$1280*EFEITO!$Y$1280</f>
        <v>0</v>
      </c>
      <c r="K1280" s="76">
        <f ca="1">EFEITO!$L$1280*EFEITO!$Z$1280</f>
        <v>216.06670082418839</v>
      </c>
      <c r="L1280" s="76">
        <f>EFEITO!$N$1280*EFEITO!$AA$1280</f>
        <v>127.51248332803782</v>
      </c>
      <c r="M1280" s="76">
        <f>$J$1280-EFEITO!$K$1280*EFEITO!$Y$1280</f>
        <v>0</v>
      </c>
      <c r="N1280" s="76">
        <f ca="1">$K$1280-EFEITO!$M$1280*EFEITO!$Z$1280</f>
        <v>0</v>
      </c>
      <c r="O1280" s="76">
        <f>$L$1280-EFEITO!$O$1280*EFEITO!$AA$1280</f>
        <v>0</v>
      </c>
      <c r="P1280" s="18"/>
      <c r="Q1280" s="18"/>
      <c r="R1280" s="18"/>
      <c r="S1280" s="18"/>
      <c r="T1280" s="18"/>
      <c r="U1280" s="18"/>
      <c r="V1280" s="18"/>
      <c r="W1280" s="18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</row>
    <row r="1281" spans="1:36" ht="11.25" customHeight="1" x14ac:dyDescent="0.2">
      <c r="A1281" s="62" t="s">
        <v>21</v>
      </c>
      <c r="B1281" s="62" t="s">
        <v>22</v>
      </c>
      <c r="C1281" s="62" t="s">
        <v>33</v>
      </c>
      <c r="D1281" s="62" t="s">
        <v>24</v>
      </c>
      <c r="E1281" s="62" t="s">
        <v>24</v>
      </c>
      <c r="F1281" s="62" t="s">
        <v>25</v>
      </c>
      <c r="G1281" s="62" t="s">
        <v>25</v>
      </c>
      <c r="H1281" s="62" t="s">
        <v>34</v>
      </c>
      <c r="I1281" s="75">
        <v>44440</v>
      </c>
      <c r="J1281" s="76">
        <f>EFEITO!$J$1281*EFEITO!$Y$1281</f>
        <v>0</v>
      </c>
      <c r="K1281" s="76">
        <f ca="1">EFEITO!$L$1281*EFEITO!$Z$1281</f>
        <v>1229.8516610912804</v>
      </c>
      <c r="L1281" s="76">
        <f>EFEITO!$N$1281*EFEITO!$AA$1281</f>
        <v>725.80105510319129</v>
      </c>
      <c r="M1281" s="76">
        <f>$J$1281-EFEITO!$K$1281*EFEITO!$Y$1281</f>
        <v>0</v>
      </c>
      <c r="N1281" s="76">
        <f ca="1">$K$1281-EFEITO!$M$1281*EFEITO!$Z$1281</f>
        <v>0</v>
      </c>
      <c r="O1281" s="76">
        <f>$L$1281-EFEITO!$O$1281*EFEITO!$AA$1281</f>
        <v>0</v>
      </c>
      <c r="P1281" s="18"/>
      <c r="Q1281" s="18"/>
      <c r="R1281" s="18"/>
      <c r="S1281" s="18"/>
      <c r="T1281" s="18"/>
      <c r="U1281" s="18"/>
      <c r="V1281" s="18"/>
      <c r="W1281" s="18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 spans="1:36" ht="11.25" customHeight="1" x14ac:dyDescent="0.2">
      <c r="A1282" s="62" t="s">
        <v>28</v>
      </c>
      <c r="B1282" s="62" t="s">
        <v>22</v>
      </c>
      <c r="C1282" s="62" t="s">
        <v>33</v>
      </c>
      <c r="D1282" s="62" t="s">
        <v>24</v>
      </c>
      <c r="E1282" s="62" t="s">
        <v>24</v>
      </c>
      <c r="F1282" s="62" t="s">
        <v>25</v>
      </c>
      <c r="G1282" s="62" t="s">
        <v>25</v>
      </c>
      <c r="H1282" s="62" t="s">
        <v>34</v>
      </c>
      <c r="I1282" s="75">
        <v>44440</v>
      </c>
      <c r="J1282" s="76">
        <f>EFEITO!$J$1282*EFEITO!$Y$1282</f>
        <v>0</v>
      </c>
      <c r="K1282" s="76">
        <f ca="1">EFEITO!$L$1282*EFEITO!$Z$1282</f>
        <v>229.03070287363971</v>
      </c>
      <c r="L1282" s="76">
        <f>EFEITO!$N$1282*EFEITO!$AA$1282</f>
        <v>135.1632323277201</v>
      </c>
      <c r="M1282" s="76">
        <f>$J$1282-EFEITO!$K$1282*EFEITO!$Y$1282</f>
        <v>0</v>
      </c>
      <c r="N1282" s="76">
        <f ca="1">$K$1282-EFEITO!$M$1282*EFEITO!$Z$1282</f>
        <v>0</v>
      </c>
      <c r="O1282" s="76">
        <f>$L$1282-EFEITO!$O$1282*EFEITO!$AA$1282</f>
        <v>0</v>
      </c>
      <c r="P1282" s="18"/>
      <c r="Q1282" s="18"/>
      <c r="R1282" s="18"/>
      <c r="S1282" s="18"/>
      <c r="T1282" s="18"/>
      <c r="U1282" s="18"/>
      <c r="V1282" s="18"/>
      <c r="W1282" s="18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 spans="1:36" ht="11.25" customHeight="1" x14ac:dyDescent="0.2">
      <c r="A1283" s="62" t="s">
        <v>21</v>
      </c>
      <c r="B1283" s="62" t="s">
        <v>22</v>
      </c>
      <c r="C1283" s="62" t="s">
        <v>33</v>
      </c>
      <c r="D1283" s="62" t="s">
        <v>24</v>
      </c>
      <c r="E1283" s="62" t="s">
        <v>24</v>
      </c>
      <c r="F1283" s="62" t="s">
        <v>25</v>
      </c>
      <c r="G1283" s="62" t="s">
        <v>25</v>
      </c>
      <c r="H1283" s="62" t="s">
        <v>34</v>
      </c>
      <c r="I1283" s="75">
        <v>44470</v>
      </c>
      <c r="J1283" s="76">
        <f>EFEITO!$J$1283*EFEITO!$Y$1283</f>
        <v>0</v>
      </c>
      <c r="K1283" s="76">
        <f ca="1">EFEITO!$L$1283*EFEITO!$Z$1283</f>
        <v>899.70174223192043</v>
      </c>
      <c r="L1283" s="76">
        <f>EFEITO!$N$1283*EFEITO!$AA$1283</f>
        <v>530.96198057794948</v>
      </c>
      <c r="M1283" s="76">
        <f>$J$1283-EFEITO!$K$1283*EFEITO!$Y$1283</f>
        <v>0</v>
      </c>
      <c r="N1283" s="76">
        <f ca="1">$K$1283-EFEITO!$M$1283*EFEITO!$Z$1283</f>
        <v>0</v>
      </c>
      <c r="O1283" s="76">
        <f>$L$1283-EFEITO!$O$1283*EFEITO!$AA$1283</f>
        <v>0</v>
      </c>
      <c r="P1283" s="18"/>
      <c r="Q1283" s="18"/>
      <c r="R1283" s="18"/>
      <c r="S1283" s="18"/>
      <c r="T1283" s="18"/>
      <c r="U1283" s="18"/>
      <c r="V1283" s="18"/>
      <c r="W1283" s="18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 spans="1:36" ht="11.25" customHeight="1" x14ac:dyDescent="0.2">
      <c r="A1284" s="62" t="s">
        <v>28</v>
      </c>
      <c r="B1284" s="62" t="s">
        <v>22</v>
      </c>
      <c r="C1284" s="62" t="s">
        <v>33</v>
      </c>
      <c r="D1284" s="62" t="s">
        <v>24</v>
      </c>
      <c r="E1284" s="62" t="s">
        <v>24</v>
      </c>
      <c r="F1284" s="62" t="s">
        <v>25</v>
      </c>
      <c r="G1284" s="62" t="s">
        <v>25</v>
      </c>
      <c r="H1284" s="62" t="s">
        <v>34</v>
      </c>
      <c r="I1284" s="75">
        <v>44470</v>
      </c>
      <c r="J1284" s="76">
        <f>EFEITO!$J$1284*EFEITO!$Y$1284</f>
        <v>0</v>
      </c>
      <c r="K1284" s="76">
        <f ca="1">EFEITO!$L$1284*EFEITO!$Z$1284</f>
        <v>64.820010247256519</v>
      </c>
      <c r="L1284" s="76">
        <f>EFEITO!$N$1284*EFEITO!$AA$1284</f>
        <v>38.253744998411342</v>
      </c>
      <c r="M1284" s="76">
        <f>$J$1284-EFEITO!$K$1284*EFEITO!$Y$1284</f>
        <v>0</v>
      </c>
      <c r="N1284" s="76">
        <f ca="1">$K$1284-EFEITO!$M$1284*EFEITO!$Z$1284</f>
        <v>0</v>
      </c>
      <c r="O1284" s="76">
        <f>$L$1284-EFEITO!$O$1284*EFEITO!$AA$1284</f>
        <v>0</v>
      </c>
      <c r="P1284" s="18"/>
      <c r="Q1284" s="18"/>
      <c r="R1284" s="18"/>
      <c r="S1284" s="18"/>
      <c r="T1284" s="18"/>
      <c r="U1284" s="18"/>
      <c r="V1284" s="18"/>
      <c r="W1284" s="18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 spans="1:36" ht="11.25" customHeight="1" x14ac:dyDescent="0.2">
      <c r="A1285" s="62" t="s">
        <v>28</v>
      </c>
      <c r="B1285" s="62" t="s">
        <v>22</v>
      </c>
      <c r="C1285" s="62" t="s">
        <v>33</v>
      </c>
      <c r="D1285" s="62" t="s">
        <v>24</v>
      </c>
      <c r="E1285" s="62" t="s">
        <v>24</v>
      </c>
      <c r="F1285" s="62" t="s">
        <v>25</v>
      </c>
      <c r="G1285" s="62" t="s">
        <v>25</v>
      </c>
      <c r="H1285" s="62" t="s">
        <v>34</v>
      </c>
      <c r="I1285" s="75">
        <v>44470</v>
      </c>
      <c r="J1285" s="76">
        <f>EFEITO!$J$1285*EFEITO!$Y$1285</f>
        <v>0</v>
      </c>
      <c r="K1285" s="76">
        <f ca="1">EFEITO!$L$1285*EFEITO!$Z$1285</f>
        <v>-28.520804508792867</v>
      </c>
      <c r="L1285" s="76">
        <f>EFEITO!$N$1285*EFEITO!$AA$1285</f>
        <v>-16.831647799300992</v>
      </c>
      <c r="M1285" s="76">
        <f>$J$1285-EFEITO!$K$1285*EFEITO!$Y$1285</f>
        <v>0</v>
      </c>
      <c r="N1285" s="76">
        <f ca="1">$K$1285-EFEITO!$M$1285*EFEITO!$Z$1285</f>
        <v>0</v>
      </c>
      <c r="O1285" s="76">
        <f>$L$1285-EFEITO!$O$1285*EFEITO!$AA$1285</f>
        <v>0</v>
      </c>
      <c r="P1285" s="18"/>
      <c r="Q1285" s="18"/>
      <c r="R1285" s="18"/>
      <c r="S1285" s="18"/>
      <c r="T1285" s="18"/>
      <c r="U1285" s="18"/>
      <c r="V1285" s="18"/>
      <c r="W1285" s="18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</row>
    <row r="1286" spans="1:36" ht="11.25" customHeight="1" x14ac:dyDescent="0.2">
      <c r="A1286" s="62" t="s">
        <v>21</v>
      </c>
      <c r="B1286" s="62" t="s">
        <v>22</v>
      </c>
      <c r="C1286" s="62" t="s">
        <v>33</v>
      </c>
      <c r="D1286" s="62" t="s">
        <v>24</v>
      </c>
      <c r="E1286" s="62" t="s">
        <v>24</v>
      </c>
      <c r="F1286" s="62" t="s">
        <v>25</v>
      </c>
      <c r="G1286" s="62" t="s">
        <v>25</v>
      </c>
      <c r="H1286" s="62" t="s">
        <v>34</v>
      </c>
      <c r="I1286" s="75">
        <v>44501</v>
      </c>
      <c r="J1286" s="76">
        <f>EFEITO!$J$1286*EFEITO!$Y$1286</f>
        <v>0</v>
      </c>
      <c r="K1286" s="76">
        <f ca="1">EFEITO!$L$1286*EFEITO!$Z$1286</f>
        <v>1112.3113758429217</v>
      </c>
      <c r="L1286" s="76">
        <f>EFEITO!$N$1286*EFEITO!$AA$1286</f>
        <v>656.43426417273861</v>
      </c>
      <c r="M1286" s="76">
        <f>$J$1286-EFEITO!$K$1286*EFEITO!$Y$1286</f>
        <v>0</v>
      </c>
      <c r="N1286" s="76">
        <f ca="1">$K$1286-EFEITO!$M$1286*EFEITO!$Z$1286</f>
        <v>0</v>
      </c>
      <c r="O1286" s="76">
        <f>$L$1286-EFEITO!$O$1286*EFEITO!$AA$1286</f>
        <v>0</v>
      </c>
      <c r="P1286" s="18"/>
      <c r="Q1286" s="18"/>
      <c r="R1286" s="18"/>
      <c r="S1286" s="18"/>
      <c r="T1286" s="18"/>
      <c r="U1286" s="18"/>
      <c r="V1286" s="18"/>
      <c r="W1286" s="18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</row>
    <row r="1287" spans="1:36" ht="11.25" customHeight="1" x14ac:dyDescent="0.2">
      <c r="A1287" s="62" t="s">
        <v>28</v>
      </c>
      <c r="B1287" s="62" t="s">
        <v>22</v>
      </c>
      <c r="C1287" s="62" t="s">
        <v>33</v>
      </c>
      <c r="D1287" s="62" t="s">
        <v>24</v>
      </c>
      <c r="E1287" s="62" t="s">
        <v>24</v>
      </c>
      <c r="F1287" s="62" t="s">
        <v>25</v>
      </c>
      <c r="G1287" s="62" t="s">
        <v>25</v>
      </c>
      <c r="H1287" s="62" t="s">
        <v>34</v>
      </c>
      <c r="I1287" s="75">
        <v>44501</v>
      </c>
      <c r="J1287" s="76">
        <f>EFEITO!$J$1287*EFEITO!$Y$1287</f>
        <v>0</v>
      </c>
      <c r="K1287" s="76">
        <f ca="1">EFEITO!$L$1287*EFEITO!$Z$1287</f>
        <v>301.62911435056697</v>
      </c>
      <c r="L1287" s="76">
        <f>EFEITO!$N$1287*EFEITO!$AA$1287</f>
        <v>178.00742672594077</v>
      </c>
      <c r="M1287" s="76">
        <f>$J$1287-EFEITO!$K$1287*EFEITO!$Y$1287</f>
        <v>0</v>
      </c>
      <c r="N1287" s="76">
        <f ca="1">$K$1287-EFEITO!$M$1287*EFEITO!$Z$1287</f>
        <v>0</v>
      </c>
      <c r="O1287" s="76">
        <f>$L$1287-EFEITO!$O$1287*EFEITO!$AA$1287</f>
        <v>0</v>
      </c>
      <c r="P1287" s="18"/>
      <c r="Q1287" s="18"/>
      <c r="R1287" s="18"/>
      <c r="S1287" s="18"/>
      <c r="T1287" s="18"/>
      <c r="U1287" s="18"/>
      <c r="V1287" s="18"/>
      <c r="W1287" s="18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</row>
    <row r="1288" spans="1:36" ht="11.25" customHeight="1" x14ac:dyDescent="0.2">
      <c r="A1288" s="62" t="s">
        <v>21</v>
      </c>
      <c r="B1288" s="62" t="s">
        <v>22</v>
      </c>
      <c r="C1288" s="62" t="s">
        <v>33</v>
      </c>
      <c r="D1288" s="62" t="s">
        <v>24</v>
      </c>
      <c r="E1288" s="62" t="s">
        <v>24</v>
      </c>
      <c r="F1288" s="62" t="s">
        <v>25</v>
      </c>
      <c r="G1288" s="62" t="s">
        <v>25</v>
      </c>
      <c r="H1288" s="62" t="s">
        <v>34</v>
      </c>
      <c r="I1288" s="75">
        <v>44531</v>
      </c>
      <c r="J1288" s="76">
        <f>EFEITO!$J$1288*EFEITO!$Y$1288</f>
        <v>0</v>
      </c>
      <c r="K1288" s="76">
        <f ca="1">EFEITO!$L$1288*EFEITO!$Z$1288</f>
        <v>1058.7268340385231</v>
      </c>
      <c r="L1288" s="76">
        <f>EFEITO!$N$1288*EFEITO!$AA$1288</f>
        <v>624.8111683073854</v>
      </c>
      <c r="M1288" s="76">
        <f>$J$1288-EFEITO!$K$1288*EFEITO!$Y$1288</f>
        <v>0</v>
      </c>
      <c r="N1288" s="76">
        <f ca="1">$K$1288-EFEITO!$M$1288*EFEITO!$Z$1288</f>
        <v>0</v>
      </c>
      <c r="O1288" s="76">
        <f>$L$1288-EFEITO!$O$1288*EFEITO!$AA$1288</f>
        <v>0</v>
      </c>
      <c r="P1288" s="18"/>
      <c r="Q1288" s="18"/>
      <c r="R1288" s="18"/>
      <c r="S1288" s="18"/>
      <c r="T1288" s="18"/>
      <c r="U1288" s="18"/>
      <c r="V1288" s="18"/>
      <c r="W1288" s="18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 spans="1:36" ht="11.25" customHeight="1" x14ac:dyDescent="0.2">
      <c r="A1289" s="62" t="s">
        <v>27</v>
      </c>
      <c r="B1289" s="62" t="s">
        <v>22</v>
      </c>
      <c r="C1289" s="62" t="s">
        <v>33</v>
      </c>
      <c r="D1289" s="62" t="s">
        <v>24</v>
      </c>
      <c r="E1289" s="62" t="s">
        <v>24</v>
      </c>
      <c r="F1289" s="62" t="s">
        <v>25</v>
      </c>
      <c r="G1289" s="62" t="s">
        <v>25</v>
      </c>
      <c r="H1289" s="62" t="s">
        <v>34</v>
      </c>
      <c r="I1289" s="75">
        <v>44531</v>
      </c>
      <c r="J1289" s="76">
        <f>EFEITO!$J$1289*EFEITO!$Y$1289</f>
        <v>0</v>
      </c>
      <c r="K1289" s="76">
        <f ca="1">EFEITO!$L$1289*EFEITO!$Z$1289</f>
        <v>-137.41842172418382</v>
      </c>
      <c r="L1289" s="76">
        <f>EFEITO!$N$1289*EFEITO!$AA$1289</f>
        <v>-81.097939396632057</v>
      </c>
      <c r="M1289" s="76">
        <f>$J$1289-EFEITO!$K$1289*EFEITO!$Y$1289</f>
        <v>0</v>
      </c>
      <c r="N1289" s="76">
        <f ca="1">$K$1289-EFEITO!$M$1289*EFEITO!$Z$1289</f>
        <v>0</v>
      </c>
      <c r="O1289" s="76">
        <f>$L$1289-EFEITO!$O$1289*EFEITO!$AA$1289</f>
        <v>0</v>
      </c>
      <c r="P1289" s="18"/>
      <c r="Q1289" s="18"/>
      <c r="R1289" s="18"/>
      <c r="S1289" s="18"/>
      <c r="T1289" s="18"/>
      <c r="U1289" s="18"/>
      <c r="V1289" s="18"/>
      <c r="W1289" s="18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 spans="1:36" ht="11.25" customHeight="1" x14ac:dyDescent="0.2">
      <c r="A1290" s="62" t="s">
        <v>28</v>
      </c>
      <c r="B1290" s="62" t="s">
        <v>22</v>
      </c>
      <c r="C1290" s="62" t="s">
        <v>33</v>
      </c>
      <c r="D1290" s="62" t="s">
        <v>24</v>
      </c>
      <c r="E1290" s="62" t="s">
        <v>24</v>
      </c>
      <c r="F1290" s="62" t="s">
        <v>25</v>
      </c>
      <c r="G1290" s="62" t="s">
        <v>25</v>
      </c>
      <c r="H1290" s="62" t="s">
        <v>34</v>
      </c>
      <c r="I1290" s="75">
        <v>44531</v>
      </c>
      <c r="J1290" s="76">
        <f>EFEITO!$J$1290*EFEITO!$Y$1290</f>
        <v>0</v>
      </c>
      <c r="K1290" s="76">
        <f ca="1">EFEITO!$L$1290*EFEITO!$Z$1290</f>
        <v>111.49041762528121</v>
      </c>
      <c r="L1290" s="76">
        <f>EFEITO!$N$1290*EFEITO!$AA$1290</f>
        <v>65.796441397267515</v>
      </c>
      <c r="M1290" s="76">
        <f>$J$1290-EFEITO!$K$1290*EFEITO!$Y$1290</f>
        <v>0</v>
      </c>
      <c r="N1290" s="76">
        <f ca="1">$K$1290-EFEITO!$M$1290*EFEITO!$Z$1290</f>
        <v>0</v>
      </c>
      <c r="O1290" s="76">
        <f>$L$1290-EFEITO!$O$1290*EFEITO!$AA$1290</f>
        <v>0</v>
      </c>
      <c r="P1290" s="18"/>
      <c r="Q1290" s="18"/>
      <c r="R1290" s="18"/>
      <c r="S1290" s="18"/>
      <c r="T1290" s="18"/>
      <c r="U1290" s="18"/>
      <c r="V1290" s="18"/>
      <c r="W1290" s="18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</row>
    <row r="1291" spans="1:36" ht="11.25" customHeight="1" x14ac:dyDescent="0.2">
      <c r="A1291" s="62" t="s">
        <v>28</v>
      </c>
      <c r="B1291" s="62" t="s">
        <v>22</v>
      </c>
      <c r="C1291" s="62" t="s">
        <v>33</v>
      </c>
      <c r="D1291" s="62" t="s">
        <v>24</v>
      </c>
      <c r="E1291" s="62" t="s">
        <v>24</v>
      </c>
      <c r="F1291" s="62" t="s">
        <v>25</v>
      </c>
      <c r="G1291" s="62" t="s">
        <v>25</v>
      </c>
      <c r="H1291" s="62" t="s">
        <v>34</v>
      </c>
      <c r="I1291" s="75">
        <v>44531</v>
      </c>
      <c r="J1291" s="76">
        <f>EFEITO!$J$1291*EFEITO!$Y$1291</f>
        <v>0</v>
      </c>
      <c r="K1291" s="76">
        <f ca="1">EFEITO!$L$1291*EFEITO!$Z$1291</f>
        <v>-25.063737295605854</v>
      </c>
      <c r="L1291" s="76">
        <f>EFEITO!$N$1291*EFEITO!$AA$1291</f>
        <v>-14.791448066052387</v>
      </c>
      <c r="M1291" s="76">
        <f>$J$1291-EFEITO!$K$1291*EFEITO!$Y$1291</f>
        <v>0</v>
      </c>
      <c r="N1291" s="76">
        <f ca="1">$K$1291-EFEITO!$M$1291*EFEITO!$Z$1291</f>
        <v>0</v>
      </c>
      <c r="O1291" s="76">
        <f>$L$1291-EFEITO!$O$1291*EFEITO!$AA$1291</f>
        <v>0</v>
      </c>
      <c r="P1291" s="18"/>
      <c r="Q1291" s="18"/>
      <c r="R1291" s="18"/>
      <c r="S1291" s="18"/>
      <c r="T1291" s="18"/>
      <c r="U1291" s="18"/>
      <c r="V1291" s="18"/>
      <c r="W1291" s="18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 spans="1:36" ht="11.25" customHeight="1" x14ac:dyDescent="0.2">
      <c r="A1292" s="62" t="s">
        <v>21</v>
      </c>
      <c r="B1292" s="62" t="s">
        <v>22</v>
      </c>
      <c r="C1292" s="62" t="s">
        <v>33</v>
      </c>
      <c r="D1292" s="62" t="s">
        <v>24</v>
      </c>
      <c r="E1292" s="62" t="s">
        <v>24</v>
      </c>
      <c r="F1292" s="62" t="s">
        <v>25</v>
      </c>
      <c r="G1292" s="62" t="s">
        <v>25</v>
      </c>
      <c r="H1292" s="62" t="s">
        <v>34</v>
      </c>
      <c r="I1292" s="75">
        <v>44562</v>
      </c>
      <c r="J1292" s="76">
        <f>EFEITO!$J$1292*EFEITO!$Y$1292</f>
        <v>0</v>
      </c>
      <c r="K1292" s="76">
        <f ca="1">EFEITO!$L$1292*EFEITO!$Z$1292</f>
        <v>976.62148772533146</v>
      </c>
      <c r="L1292" s="76">
        <f>EFEITO!$N$1292*EFEITO!$AA$1292</f>
        <v>576.35642464273087</v>
      </c>
      <c r="M1292" s="76">
        <f>$J$1292-EFEITO!$K$1292*EFEITO!$Y$1292</f>
        <v>0</v>
      </c>
      <c r="N1292" s="76">
        <f ca="1">$K$1292-EFEITO!$M$1292*EFEITO!$Z$1292</f>
        <v>0</v>
      </c>
      <c r="O1292" s="76">
        <f>$L$1292-EFEITO!$O$1292*EFEITO!$AA$1292</f>
        <v>0</v>
      </c>
      <c r="P1292" s="18"/>
      <c r="Q1292" s="18"/>
      <c r="R1292" s="18"/>
      <c r="S1292" s="18"/>
      <c r="T1292" s="18"/>
      <c r="U1292" s="18"/>
      <c r="V1292" s="18"/>
      <c r="W1292" s="18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</row>
    <row r="1293" spans="1:36" ht="11.25" customHeight="1" x14ac:dyDescent="0.2">
      <c r="A1293" s="62" t="s">
        <v>28</v>
      </c>
      <c r="B1293" s="62" t="s">
        <v>22</v>
      </c>
      <c r="C1293" s="62" t="s">
        <v>33</v>
      </c>
      <c r="D1293" s="62" t="s">
        <v>24</v>
      </c>
      <c r="E1293" s="62" t="s">
        <v>24</v>
      </c>
      <c r="F1293" s="62" t="s">
        <v>25</v>
      </c>
      <c r="G1293" s="62" t="s">
        <v>25</v>
      </c>
      <c r="H1293" s="62" t="s">
        <v>34</v>
      </c>
      <c r="I1293" s="75">
        <v>44562</v>
      </c>
      <c r="J1293" s="76">
        <f>EFEITO!$J$1293*EFEITO!$Y$1293</f>
        <v>0</v>
      </c>
      <c r="K1293" s="76">
        <f ca="1">EFEITO!$L$1293*EFEITO!$Z$1293</f>
        <v>244.58750533298124</v>
      </c>
      <c r="L1293" s="76">
        <f>EFEITO!$N$1293*EFEITO!$AA$1293</f>
        <v>144.34413112733878</v>
      </c>
      <c r="M1293" s="76">
        <f>$J$1293-EFEITO!$K$1293*EFEITO!$Y$1293</f>
        <v>0</v>
      </c>
      <c r="N1293" s="76">
        <f ca="1">$K$1293-EFEITO!$M$1293*EFEITO!$Z$1293</f>
        <v>0</v>
      </c>
      <c r="O1293" s="76">
        <f>$L$1293-EFEITO!$O$1293*EFEITO!$AA$1293</f>
        <v>0</v>
      </c>
      <c r="P1293" s="18"/>
      <c r="Q1293" s="18"/>
      <c r="R1293" s="18"/>
      <c r="S1293" s="18"/>
      <c r="T1293" s="18"/>
      <c r="U1293" s="18"/>
      <c r="V1293" s="18"/>
      <c r="W1293" s="18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 spans="1:36" ht="11.25" customHeight="1" x14ac:dyDescent="0.2">
      <c r="A1294" s="62" t="s">
        <v>21</v>
      </c>
      <c r="B1294" s="62" t="s">
        <v>22</v>
      </c>
      <c r="C1294" s="62" t="s">
        <v>33</v>
      </c>
      <c r="D1294" s="62" t="s">
        <v>24</v>
      </c>
      <c r="E1294" s="62" t="s">
        <v>24</v>
      </c>
      <c r="F1294" s="62" t="s">
        <v>25</v>
      </c>
      <c r="G1294" s="62" t="s">
        <v>25</v>
      </c>
      <c r="H1294" s="62" t="s">
        <v>34</v>
      </c>
      <c r="I1294" s="75">
        <v>44593</v>
      </c>
      <c r="J1294" s="76">
        <f>EFEITO!$J$1294*EFEITO!$Y$1294</f>
        <v>0</v>
      </c>
      <c r="K1294" s="76">
        <f ca="1">EFEITO!$L$1294*EFEITO!$Z$1294</f>
        <v>1088.9761721539094</v>
      </c>
      <c r="L1294" s="76">
        <f>EFEITO!$N$1294*EFEITO!$AA$1294</f>
        <v>642.66291597331065</v>
      </c>
      <c r="M1294" s="76">
        <f>$J$1294-EFEITO!$K$1294*EFEITO!$Y$1294</f>
        <v>0</v>
      </c>
      <c r="N1294" s="76">
        <f ca="1">$K$1294-EFEITO!$M$1294*EFEITO!$Z$1294</f>
        <v>0</v>
      </c>
      <c r="O1294" s="76">
        <f>$L$1294-EFEITO!$O$1294*EFEITO!$AA$1294</f>
        <v>0</v>
      </c>
      <c r="P1294" s="18"/>
      <c r="Q1294" s="18"/>
      <c r="R1294" s="18"/>
      <c r="S1294" s="18"/>
      <c r="T1294" s="18"/>
      <c r="U1294" s="18"/>
      <c r="V1294" s="18"/>
      <c r="W1294" s="18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</row>
    <row r="1295" spans="1:36" ht="11.25" customHeight="1" x14ac:dyDescent="0.2">
      <c r="A1295" s="62" t="s">
        <v>28</v>
      </c>
      <c r="B1295" s="62" t="s">
        <v>22</v>
      </c>
      <c r="C1295" s="62" t="s">
        <v>33</v>
      </c>
      <c r="D1295" s="62" t="s">
        <v>24</v>
      </c>
      <c r="E1295" s="62" t="s">
        <v>24</v>
      </c>
      <c r="F1295" s="62" t="s">
        <v>25</v>
      </c>
      <c r="G1295" s="62" t="s">
        <v>25</v>
      </c>
      <c r="H1295" s="62" t="s">
        <v>34</v>
      </c>
      <c r="I1295" s="75">
        <v>44593</v>
      </c>
      <c r="J1295" s="76">
        <f>EFEITO!$J$1295*EFEITO!$Y$1295</f>
        <v>0</v>
      </c>
      <c r="K1295" s="76">
        <f ca="1">EFEITO!$L$1295*EFEITO!$Z$1295</f>
        <v>268.78697582529037</v>
      </c>
      <c r="L1295" s="76">
        <f>EFEITO!$N$1295*EFEITO!$AA$1295</f>
        <v>158.62552926007905</v>
      </c>
      <c r="M1295" s="76">
        <f>$J$1295-EFEITO!$K$1295*EFEITO!$Y$1295</f>
        <v>0</v>
      </c>
      <c r="N1295" s="76">
        <f ca="1">$K$1295-EFEITO!$M$1295*EFEITO!$Z$1295</f>
        <v>0</v>
      </c>
      <c r="O1295" s="76">
        <f>$L$1295-EFEITO!$O$1295*EFEITO!$AA$1295</f>
        <v>0</v>
      </c>
      <c r="P1295" s="18"/>
      <c r="Q1295" s="18"/>
      <c r="R1295" s="18"/>
      <c r="S1295" s="18"/>
      <c r="T1295" s="18"/>
      <c r="U1295" s="18"/>
      <c r="V1295" s="18"/>
      <c r="W1295" s="18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</row>
    <row r="1296" spans="1:36" ht="11.25" customHeight="1" x14ac:dyDescent="0.2">
      <c r="A1296" s="62" t="s">
        <v>28</v>
      </c>
      <c r="B1296" s="62" t="s">
        <v>22</v>
      </c>
      <c r="C1296" s="62" t="s">
        <v>33</v>
      </c>
      <c r="D1296" s="62" t="s">
        <v>24</v>
      </c>
      <c r="E1296" s="62" t="s">
        <v>24</v>
      </c>
      <c r="F1296" s="62" t="s">
        <v>25</v>
      </c>
      <c r="G1296" s="62" t="s">
        <v>25</v>
      </c>
      <c r="H1296" s="62" t="s">
        <v>34</v>
      </c>
      <c r="I1296" s="75">
        <v>44593</v>
      </c>
      <c r="J1296" s="76">
        <f>EFEITO!$J$1296*EFEITO!$Y$1296</f>
        <v>0</v>
      </c>
      <c r="K1296" s="76">
        <f ca="1">EFEITO!$L$1296*EFEITO!$Z$1296</f>
        <v>-24.1994704923091</v>
      </c>
      <c r="L1296" s="76">
        <f>EFEITO!$N$1296*EFEITO!$AA$1296</f>
        <v>-14.281398132740236</v>
      </c>
      <c r="M1296" s="76">
        <f>$J$1296-EFEITO!$K$1296*EFEITO!$Y$1296</f>
        <v>0</v>
      </c>
      <c r="N1296" s="76">
        <f ca="1">$K$1296-EFEITO!$M$1296*EFEITO!$Z$1296</f>
        <v>0</v>
      </c>
      <c r="O1296" s="76">
        <f>$L$1296-EFEITO!$O$1296*EFEITO!$AA$1296</f>
        <v>0</v>
      </c>
      <c r="P1296" s="18"/>
      <c r="Q1296" s="18"/>
      <c r="R1296" s="18"/>
      <c r="S1296" s="18"/>
      <c r="T1296" s="18"/>
      <c r="U1296" s="18"/>
      <c r="V1296" s="18"/>
      <c r="W1296" s="18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 spans="1:36" ht="11.25" customHeight="1" x14ac:dyDescent="0.2">
      <c r="A1297" s="62" t="s">
        <v>21</v>
      </c>
      <c r="B1297" s="62" t="s">
        <v>22</v>
      </c>
      <c r="C1297" s="62" t="s">
        <v>33</v>
      </c>
      <c r="D1297" s="62" t="s">
        <v>24</v>
      </c>
      <c r="E1297" s="62" t="s">
        <v>24</v>
      </c>
      <c r="F1297" s="62" t="s">
        <v>25</v>
      </c>
      <c r="G1297" s="62" t="s">
        <v>25</v>
      </c>
      <c r="H1297" s="62" t="s">
        <v>34</v>
      </c>
      <c r="I1297" s="75">
        <v>44621</v>
      </c>
      <c r="J1297" s="76">
        <f>EFEITO!$J$1297*EFEITO!$Y$1297</f>
        <v>0</v>
      </c>
      <c r="K1297" s="76">
        <f ca="1">EFEITO!$L$1297*EFEITO!$Z$1297</f>
        <v>1183.1812537132555</v>
      </c>
      <c r="L1297" s="76">
        <f>EFEITO!$N$1297*EFEITO!$AA$1297</f>
        <v>698.25835870433514</v>
      </c>
      <c r="M1297" s="76">
        <f>$J$1297-EFEITO!$K$1297*EFEITO!$Y$1297</f>
        <v>0</v>
      </c>
      <c r="N1297" s="76">
        <f ca="1">$K$1297-EFEITO!$M$1297*EFEITO!$Z$1297</f>
        <v>0</v>
      </c>
      <c r="O1297" s="76">
        <f>$L$1297-EFEITO!$O$1297*EFEITO!$AA$1297</f>
        <v>0</v>
      </c>
      <c r="P1297" s="18"/>
      <c r="Q1297" s="18"/>
      <c r="R1297" s="18"/>
      <c r="S1297" s="18"/>
      <c r="T1297" s="18"/>
      <c r="U1297" s="18"/>
      <c r="V1297" s="18"/>
      <c r="W1297" s="18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 spans="1:36" ht="11.25" customHeight="1" x14ac:dyDescent="0.2">
      <c r="A1298" s="62" t="s">
        <v>28</v>
      </c>
      <c r="B1298" s="62" t="s">
        <v>22</v>
      </c>
      <c r="C1298" s="62" t="s">
        <v>33</v>
      </c>
      <c r="D1298" s="62" t="s">
        <v>24</v>
      </c>
      <c r="E1298" s="62" t="s">
        <v>24</v>
      </c>
      <c r="F1298" s="62" t="s">
        <v>25</v>
      </c>
      <c r="G1298" s="62" t="s">
        <v>25</v>
      </c>
      <c r="H1298" s="62" t="s">
        <v>34</v>
      </c>
      <c r="I1298" s="75">
        <v>44621</v>
      </c>
      <c r="J1298" s="76">
        <f>EFEITO!$J$1298*EFEITO!$Y$1298</f>
        <v>0</v>
      </c>
      <c r="K1298" s="76">
        <f ca="1">EFEITO!$L$1298*EFEITO!$Z$1298</f>
        <v>153.83949098682211</v>
      </c>
      <c r="L1298" s="76">
        <f>EFEITO!$N$1298*EFEITO!$AA$1298</f>
        <v>90.78888812956292</v>
      </c>
      <c r="M1298" s="76">
        <f>$J$1298-EFEITO!$K$1298*EFEITO!$Y$1298</f>
        <v>0</v>
      </c>
      <c r="N1298" s="76">
        <f ca="1">$K$1298-EFEITO!$M$1298*EFEITO!$Z$1298</f>
        <v>0</v>
      </c>
      <c r="O1298" s="76">
        <f>$L$1298-EFEITO!$O$1298*EFEITO!$AA$1298</f>
        <v>0</v>
      </c>
      <c r="P1298" s="18"/>
      <c r="Q1298" s="18"/>
      <c r="R1298" s="18"/>
      <c r="S1298" s="18"/>
      <c r="T1298" s="18"/>
      <c r="U1298" s="18"/>
      <c r="V1298" s="18"/>
      <c r="W1298" s="18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</row>
    <row r="1299" spans="1:36" ht="11.25" customHeight="1" x14ac:dyDescent="0.2">
      <c r="A1299" s="62" t="s">
        <v>21</v>
      </c>
      <c r="B1299" s="62" t="s">
        <v>22</v>
      </c>
      <c r="C1299" s="62" t="s">
        <v>33</v>
      </c>
      <c r="D1299" s="62" t="s">
        <v>24</v>
      </c>
      <c r="E1299" s="62" t="s">
        <v>24</v>
      </c>
      <c r="F1299" s="62" t="s">
        <v>25</v>
      </c>
      <c r="G1299" s="62" t="s">
        <v>25</v>
      </c>
      <c r="H1299" s="62" t="s">
        <v>34</v>
      </c>
      <c r="I1299" s="75">
        <v>44652</v>
      </c>
      <c r="J1299" s="76">
        <f>EFEITO!$J$1299*EFEITO!$Y$1299</f>
        <v>0</v>
      </c>
      <c r="K1299" s="76">
        <f ca="1">EFEITO!$L$1299*EFEITO!$Z$1299</f>
        <v>808.0894610824646</v>
      </c>
      <c r="L1299" s="76">
        <f>EFEITO!$N$1299*EFEITO!$AA$1299</f>
        <v>476.89668764686144</v>
      </c>
      <c r="M1299" s="76">
        <f>$J$1299-EFEITO!$K$1299*EFEITO!$Y$1299</f>
        <v>0</v>
      </c>
      <c r="N1299" s="76">
        <f ca="1">$K$1299-EFEITO!$M$1299*EFEITO!$Z$1299</f>
        <v>0</v>
      </c>
      <c r="O1299" s="76">
        <f>$L$1299-EFEITO!$O$1299*EFEITO!$AA$1299</f>
        <v>0</v>
      </c>
      <c r="P1299" s="18"/>
      <c r="Q1299" s="18"/>
      <c r="R1299" s="18"/>
      <c r="S1299" s="18"/>
      <c r="T1299" s="18"/>
      <c r="U1299" s="18"/>
      <c r="V1299" s="18"/>
      <c r="W1299" s="18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 spans="1:36" ht="11.25" customHeight="1" x14ac:dyDescent="0.2">
      <c r="A1300" s="62" t="s">
        <v>28</v>
      </c>
      <c r="B1300" s="62" t="s">
        <v>22</v>
      </c>
      <c r="C1300" s="62" t="s">
        <v>33</v>
      </c>
      <c r="D1300" s="62" t="s">
        <v>24</v>
      </c>
      <c r="E1300" s="62" t="s">
        <v>24</v>
      </c>
      <c r="F1300" s="62" t="s">
        <v>25</v>
      </c>
      <c r="G1300" s="62" t="s">
        <v>25</v>
      </c>
      <c r="H1300" s="62" t="s">
        <v>34</v>
      </c>
      <c r="I1300" s="75">
        <v>44652</v>
      </c>
      <c r="J1300" s="76">
        <f>EFEITO!$J$1300*EFEITO!$Y$1300</f>
        <v>0</v>
      </c>
      <c r="K1300" s="76">
        <f ca="1">EFEITO!$L$1300*EFEITO!$Z$1300</f>
        <v>166.80349303627344</v>
      </c>
      <c r="L1300" s="76">
        <f>EFEITO!$N$1300*EFEITO!$AA$1300</f>
        <v>98.439637129245199</v>
      </c>
      <c r="M1300" s="76">
        <f>$J$1300-EFEITO!$K$1300*EFEITO!$Y$1300</f>
        <v>0</v>
      </c>
      <c r="N1300" s="76">
        <f ca="1">$K$1300-EFEITO!$M$1300*EFEITO!$Z$1300</f>
        <v>0</v>
      </c>
      <c r="O1300" s="76">
        <f>$L$1300-EFEITO!$O$1300*EFEITO!$AA$1300</f>
        <v>0</v>
      </c>
      <c r="P1300" s="18"/>
      <c r="Q1300" s="18"/>
      <c r="R1300" s="18"/>
      <c r="S1300" s="18"/>
      <c r="T1300" s="18"/>
      <c r="U1300" s="18"/>
      <c r="V1300" s="18"/>
      <c r="W1300" s="18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 spans="1:36" ht="11.25" customHeight="1" x14ac:dyDescent="0.2">
      <c r="A1301" s="62" t="s">
        <v>58</v>
      </c>
      <c r="B1301" s="62" t="s">
        <v>22</v>
      </c>
      <c r="C1301" s="62" t="s">
        <v>33</v>
      </c>
      <c r="D1301" s="62" t="s">
        <v>24</v>
      </c>
      <c r="E1301" s="62" t="s">
        <v>24</v>
      </c>
      <c r="F1301" s="62" t="s">
        <v>25</v>
      </c>
      <c r="G1301" s="62" t="s">
        <v>25</v>
      </c>
      <c r="H1301" s="62" t="s">
        <v>34</v>
      </c>
      <c r="I1301" s="75">
        <v>44682</v>
      </c>
      <c r="J1301" s="76">
        <f>EFEITO!$J$1301*EFEITO!$Y$1301</f>
        <v>0</v>
      </c>
      <c r="K1301" s="76">
        <f ca="1">EFEITO!$L$1301*EFEITO!$Z$1301</f>
        <v>808.0894610824646</v>
      </c>
      <c r="L1301" s="76">
        <f>EFEITO!$N$1301*EFEITO!$AA$1301</f>
        <v>476.89668764686144</v>
      </c>
      <c r="M1301" s="76">
        <f>$J$1301-EFEITO!$K$1301*EFEITO!$Y$1301</f>
        <v>0</v>
      </c>
      <c r="N1301" s="76">
        <f ca="1">$K$1301-EFEITO!$M$1301*EFEITO!$Z$1301</f>
        <v>0</v>
      </c>
      <c r="O1301" s="76">
        <f>$L$1301-EFEITO!$O$1301*EFEITO!$AA$1301</f>
        <v>0</v>
      </c>
      <c r="P1301" s="18"/>
      <c r="Q1301" s="18"/>
      <c r="R1301" s="18"/>
      <c r="S1301" s="18"/>
      <c r="T1301" s="18"/>
      <c r="U1301" s="18"/>
      <c r="V1301" s="18"/>
      <c r="W1301" s="18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 spans="1:36" ht="11.25" customHeight="1" x14ac:dyDescent="0.2">
      <c r="A1302" s="62" t="s">
        <v>58</v>
      </c>
      <c r="B1302" s="62" t="s">
        <v>22</v>
      </c>
      <c r="C1302" s="62" t="s">
        <v>33</v>
      </c>
      <c r="D1302" s="62" t="s">
        <v>24</v>
      </c>
      <c r="E1302" s="62" t="s">
        <v>24</v>
      </c>
      <c r="F1302" s="62" t="s">
        <v>25</v>
      </c>
      <c r="G1302" s="62" t="s">
        <v>25</v>
      </c>
      <c r="H1302" s="62" t="s">
        <v>34</v>
      </c>
      <c r="I1302" s="75">
        <v>44682</v>
      </c>
      <c r="J1302" s="76">
        <f>EFEITO!$J$1302*EFEITO!$Y$1302</f>
        <v>0</v>
      </c>
      <c r="K1302" s="76">
        <f ca="1">EFEITO!$L$1302*EFEITO!$Z$1302</f>
        <v>166.80349303627344</v>
      </c>
      <c r="L1302" s="76">
        <f>EFEITO!$N$1302*EFEITO!$AA$1302</f>
        <v>98.439637129245199</v>
      </c>
      <c r="M1302" s="76">
        <f>$J$1302-EFEITO!$K$1302*EFEITO!$Y$1302</f>
        <v>0</v>
      </c>
      <c r="N1302" s="76">
        <f ca="1">$K$1302-EFEITO!$M$1302*EFEITO!$Z$1302</f>
        <v>0</v>
      </c>
      <c r="O1302" s="76">
        <f>$L$1302-EFEITO!$O$1302*EFEITO!$AA$1302</f>
        <v>0</v>
      </c>
      <c r="P1302" s="18"/>
      <c r="Q1302" s="18"/>
      <c r="R1302" s="18"/>
      <c r="S1302" s="18"/>
      <c r="T1302" s="18"/>
      <c r="U1302" s="18"/>
      <c r="V1302" s="18"/>
      <c r="W1302" s="18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</row>
    <row r="1303" spans="1:36" ht="11.25" customHeight="1" x14ac:dyDescent="0.2">
      <c r="A1303" s="62" t="s">
        <v>21</v>
      </c>
      <c r="B1303" s="62" t="s">
        <v>22</v>
      </c>
      <c r="C1303" s="62" t="s">
        <v>23</v>
      </c>
      <c r="D1303" s="62" t="s">
        <v>24</v>
      </c>
      <c r="E1303" s="62" t="s">
        <v>24</v>
      </c>
      <c r="F1303" s="62" t="s">
        <v>25</v>
      </c>
      <c r="G1303" s="62" t="s">
        <v>25</v>
      </c>
      <c r="H1303" s="62" t="s">
        <v>25</v>
      </c>
      <c r="I1303" s="75">
        <v>44348</v>
      </c>
      <c r="J1303" s="76">
        <f>EFEITO!$J$1303*EFEITO!$Y$1303</f>
        <v>0</v>
      </c>
      <c r="K1303" s="76">
        <f ca="1">EFEITO!$L$1303*EFEITO!$Z$1303</f>
        <v>14199107.666640429</v>
      </c>
      <c r="L1303" s="76">
        <f>EFEITO!$N$1303*EFEITO!$AA$1303</f>
        <v>10715716.851987911</v>
      </c>
      <c r="M1303" s="76">
        <f>$J$1303-EFEITO!$K$1303*EFEITO!$Y$1303</f>
        <v>0</v>
      </c>
      <c r="N1303" s="76">
        <f ca="1">$K$1303-EFEITO!$M$1303*EFEITO!$Z$1303</f>
        <v>0</v>
      </c>
      <c r="O1303" s="76">
        <f>$L$1303-EFEITO!$O$1303*EFEITO!$AA$1303</f>
        <v>0</v>
      </c>
      <c r="P1303" s="18"/>
      <c r="Q1303" s="18"/>
      <c r="R1303" s="18"/>
      <c r="S1303" s="18"/>
      <c r="T1303" s="18"/>
      <c r="U1303" s="18"/>
      <c r="V1303" s="18"/>
      <c r="W1303" s="18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 spans="1:36" ht="11.25" customHeight="1" x14ac:dyDescent="0.2">
      <c r="A1304" s="62" t="s">
        <v>27</v>
      </c>
      <c r="B1304" s="62" t="s">
        <v>22</v>
      </c>
      <c r="C1304" s="62" t="s">
        <v>23</v>
      </c>
      <c r="D1304" s="62" t="s">
        <v>24</v>
      </c>
      <c r="E1304" s="62" t="s">
        <v>24</v>
      </c>
      <c r="F1304" s="62" t="s">
        <v>25</v>
      </c>
      <c r="G1304" s="62" t="s">
        <v>25</v>
      </c>
      <c r="H1304" s="62" t="s">
        <v>25</v>
      </c>
      <c r="I1304" s="75">
        <v>44348</v>
      </c>
      <c r="J1304" s="76">
        <f>EFEITO!$J$1304*EFEITO!$Y$1304</f>
        <v>0</v>
      </c>
      <c r="K1304" s="76">
        <f ca="1">EFEITO!$L$1304*EFEITO!$Z$1304</f>
        <v>-8244.7518784470794</v>
      </c>
      <c r="L1304" s="76">
        <f>EFEITO!$N$1304*EFEITO!$AA$1304</f>
        <v>-6222.1111860360998</v>
      </c>
      <c r="M1304" s="76">
        <f>$J$1304-EFEITO!$K$1304*EFEITO!$Y$1304</f>
        <v>0</v>
      </c>
      <c r="N1304" s="76">
        <f ca="1">$K$1304-EFEITO!$M$1304*EFEITO!$Z$1304</f>
        <v>0</v>
      </c>
      <c r="O1304" s="76">
        <f>$L$1304-EFEITO!$O$1304*EFEITO!$AA$1304</f>
        <v>0</v>
      </c>
      <c r="P1304" s="18"/>
      <c r="Q1304" s="18"/>
      <c r="R1304" s="18"/>
      <c r="S1304" s="18"/>
      <c r="T1304" s="18"/>
      <c r="U1304" s="18"/>
      <c r="V1304" s="18"/>
      <c r="W1304" s="18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 spans="1:36" ht="11.25" customHeight="1" x14ac:dyDescent="0.2">
      <c r="A1305" s="62" t="s">
        <v>28</v>
      </c>
      <c r="B1305" s="62" t="s">
        <v>22</v>
      </c>
      <c r="C1305" s="62" t="s">
        <v>23</v>
      </c>
      <c r="D1305" s="62" t="s">
        <v>24</v>
      </c>
      <c r="E1305" s="62" t="s">
        <v>24</v>
      </c>
      <c r="F1305" s="62" t="s">
        <v>25</v>
      </c>
      <c r="G1305" s="62" t="s">
        <v>25</v>
      </c>
      <c r="H1305" s="62" t="s">
        <v>25</v>
      </c>
      <c r="I1305" s="75">
        <v>44348</v>
      </c>
      <c r="J1305" s="76">
        <f>EFEITO!$J$1305*EFEITO!$Y$1305</f>
        <v>0</v>
      </c>
      <c r="K1305" s="76">
        <f ca="1">EFEITO!$L$1305*EFEITO!$Z$1305</f>
        <v>280482.73749737378</v>
      </c>
      <c r="L1305" s="76">
        <f>EFEITO!$N$1305*EFEITO!$AA$1305</f>
        <v>211673.41409443947</v>
      </c>
      <c r="M1305" s="76">
        <f>$J$1305-EFEITO!$K$1305*EFEITO!$Y$1305</f>
        <v>0</v>
      </c>
      <c r="N1305" s="76">
        <f ca="1">$K$1305-EFEITO!$M$1305*EFEITO!$Z$1305</f>
        <v>0</v>
      </c>
      <c r="O1305" s="76">
        <f>$L$1305-EFEITO!$O$1305*EFEITO!$AA$1305</f>
        <v>0</v>
      </c>
      <c r="P1305" s="18"/>
      <c r="Q1305" s="18"/>
      <c r="R1305" s="18"/>
      <c r="S1305" s="18"/>
      <c r="T1305" s="18"/>
      <c r="U1305" s="18"/>
      <c r="V1305" s="18"/>
      <c r="W1305" s="18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</row>
    <row r="1306" spans="1:36" ht="11.25" customHeight="1" x14ac:dyDescent="0.2">
      <c r="A1306" s="62" t="s">
        <v>28</v>
      </c>
      <c r="B1306" s="62" t="s">
        <v>22</v>
      </c>
      <c r="C1306" s="62" t="s">
        <v>23</v>
      </c>
      <c r="D1306" s="62" t="s">
        <v>24</v>
      </c>
      <c r="E1306" s="62" t="s">
        <v>24</v>
      </c>
      <c r="F1306" s="62" t="s">
        <v>25</v>
      </c>
      <c r="G1306" s="62" t="s">
        <v>25</v>
      </c>
      <c r="H1306" s="62" t="s">
        <v>25</v>
      </c>
      <c r="I1306" s="75">
        <v>44348</v>
      </c>
      <c r="J1306" s="76">
        <f>EFEITO!$J$1306*EFEITO!$Y$1306</f>
        <v>0</v>
      </c>
      <c r="K1306" s="76">
        <f ca="1">EFEITO!$L$1306*EFEITO!$Z$1306</f>
        <v>-438.53204524056304</v>
      </c>
      <c r="L1306" s="76">
        <f>EFEITO!$N$1306*EFEITO!$AA$1306</f>
        <v>-330.94933411635111</v>
      </c>
      <c r="M1306" s="76">
        <f>$J$1306-EFEITO!$K$1306*EFEITO!$Y$1306</f>
        <v>0</v>
      </c>
      <c r="N1306" s="76">
        <f ca="1">$K$1306-EFEITO!$M$1306*EFEITO!$Z$1306</f>
        <v>0</v>
      </c>
      <c r="O1306" s="76">
        <f>$L$1306-EFEITO!$O$1306*EFEITO!$AA$1306</f>
        <v>0</v>
      </c>
      <c r="P1306" s="18"/>
      <c r="Q1306" s="18"/>
      <c r="R1306" s="18"/>
      <c r="S1306" s="18"/>
      <c r="T1306" s="18"/>
      <c r="U1306" s="18"/>
      <c r="V1306" s="18"/>
      <c r="W1306" s="18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</row>
    <row r="1307" spans="1:36" ht="11.25" customHeight="1" x14ac:dyDescent="0.2">
      <c r="A1307" s="62" t="s">
        <v>21</v>
      </c>
      <c r="B1307" s="62" t="s">
        <v>22</v>
      </c>
      <c r="C1307" s="62" t="s">
        <v>23</v>
      </c>
      <c r="D1307" s="62" t="s">
        <v>24</v>
      </c>
      <c r="E1307" s="62" t="s">
        <v>24</v>
      </c>
      <c r="F1307" s="62" t="s">
        <v>25</v>
      </c>
      <c r="G1307" s="62" t="s">
        <v>25</v>
      </c>
      <c r="H1307" s="62" t="s">
        <v>25</v>
      </c>
      <c r="I1307" s="75">
        <v>44378</v>
      </c>
      <c r="J1307" s="76">
        <f>EFEITO!$J$1307*EFEITO!$Y$1307</f>
        <v>0</v>
      </c>
      <c r="K1307" s="76">
        <f ca="1">EFEITO!$L$1307*EFEITO!$Z$1307</f>
        <v>13883362.410142694</v>
      </c>
      <c r="L1307" s="76">
        <f>EFEITO!$N$1307*EFEITO!$AA$1307</f>
        <v>10477431.683270084</v>
      </c>
      <c r="M1307" s="76">
        <f>$J$1307-EFEITO!$K$1307*EFEITO!$Y$1307</f>
        <v>0</v>
      </c>
      <c r="N1307" s="76">
        <f ca="1">$K$1307-EFEITO!$M$1307*EFEITO!$Z$1307</f>
        <v>0</v>
      </c>
      <c r="O1307" s="76">
        <f>$L$1307-EFEITO!$O$1307*EFEITO!$AA$1307</f>
        <v>0</v>
      </c>
      <c r="P1307" s="18"/>
      <c r="Q1307" s="18"/>
      <c r="R1307" s="18"/>
      <c r="S1307" s="18"/>
      <c r="T1307" s="18"/>
      <c r="U1307" s="18"/>
      <c r="V1307" s="18"/>
      <c r="W1307" s="18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</row>
    <row r="1308" spans="1:36" ht="11.25" customHeight="1" x14ac:dyDescent="0.2">
      <c r="A1308" s="62" t="s">
        <v>27</v>
      </c>
      <c r="B1308" s="62" t="s">
        <v>22</v>
      </c>
      <c r="C1308" s="62" t="s">
        <v>23</v>
      </c>
      <c r="D1308" s="62" t="s">
        <v>24</v>
      </c>
      <c r="E1308" s="62" t="s">
        <v>24</v>
      </c>
      <c r="F1308" s="62" t="s">
        <v>25</v>
      </c>
      <c r="G1308" s="62" t="s">
        <v>25</v>
      </c>
      <c r="H1308" s="62" t="s">
        <v>25</v>
      </c>
      <c r="I1308" s="75">
        <v>44378</v>
      </c>
      <c r="J1308" s="76">
        <f>EFEITO!$J$1308*EFEITO!$Y$1308</f>
        <v>0</v>
      </c>
      <c r="K1308" s="76">
        <f ca="1">EFEITO!$L$1308*EFEITO!$Z$1308</f>
        <v>-13315.387847767493</v>
      </c>
      <c r="L1308" s="76">
        <f>EFEITO!$N$1308*EFEITO!$AA$1308</f>
        <v>-10048.795269459128</v>
      </c>
      <c r="M1308" s="76">
        <f>$J$1308-EFEITO!$K$1308*EFEITO!$Y$1308</f>
        <v>0</v>
      </c>
      <c r="N1308" s="76">
        <f ca="1">$K$1308-EFEITO!$M$1308*EFEITO!$Z$1308</f>
        <v>0</v>
      </c>
      <c r="O1308" s="76">
        <f>$L$1308-EFEITO!$O$1308*EFEITO!$AA$1308</f>
        <v>0</v>
      </c>
      <c r="P1308" s="18"/>
      <c r="Q1308" s="18"/>
      <c r="R1308" s="18"/>
      <c r="S1308" s="18"/>
      <c r="T1308" s="18"/>
      <c r="U1308" s="18"/>
      <c r="V1308" s="18"/>
      <c r="W1308" s="18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 spans="1:36" ht="11.25" customHeight="1" x14ac:dyDescent="0.2">
      <c r="A1309" s="62" t="s">
        <v>28</v>
      </c>
      <c r="B1309" s="62" t="s">
        <v>22</v>
      </c>
      <c r="C1309" s="62" t="s">
        <v>23</v>
      </c>
      <c r="D1309" s="62" t="s">
        <v>24</v>
      </c>
      <c r="E1309" s="62" t="s">
        <v>24</v>
      </c>
      <c r="F1309" s="62" t="s">
        <v>25</v>
      </c>
      <c r="G1309" s="62" t="s">
        <v>25</v>
      </c>
      <c r="H1309" s="62" t="s">
        <v>25</v>
      </c>
      <c r="I1309" s="75">
        <v>44378</v>
      </c>
      <c r="J1309" s="76">
        <f>EFEITO!$J$1309*EFEITO!$Y$1309</f>
        <v>0</v>
      </c>
      <c r="K1309" s="76">
        <f ca="1">EFEITO!$L$1309*EFEITO!$Z$1309</f>
        <v>285977.928394955</v>
      </c>
      <c r="L1309" s="76">
        <f>EFEITO!$N$1309*EFEITO!$AA$1309</f>
        <v>215820.49932603093</v>
      </c>
      <c r="M1309" s="76">
        <f>$J$1309-EFEITO!$K$1309*EFEITO!$Y$1309</f>
        <v>0</v>
      </c>
      <c r="N1309" s="76">
        <f ca="1">$K$1309-EFEITO!$M$1309*EFEITO!$Z$1309</f>
        <v>0</v>
      </c>
      <c r="O1309" s="76">
        <f>$L$1309-EFEITO!$O$1309*EFEITO!$AA$1309</f>
        <v>0</v>
      </c>
      <c r="P1309" s="18"/>
      <c r="Q1309" s="18"/>
      <c r="R1309" s="18"/>
      <c r="S1309" s="18"/>
      <c r="T1309" s="18"/>
      <c r="U1309" s="18"/>
      <c r="V1309" s="18"/>
      <c r="W1309" s="18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</row>
    <row r="1310" spans="1:36" ht="11.25" customHeight="1" x14ac:dyDescent="0.2">
      <c r="A1310" s="62" t="s">
        <v>28</v>
      </c>
      <c r="B1310" s="62" t="s">
        <v>22</v>
      </c>
      <c r="C1310" s="62" t="s">
        <v>23</v>
      </c>
      <c r="D1310" s="62" t="s">
        <v>24</v>
      </c>
      <c r="E1310" s="62" t="s">
        <v>24</v>
      </c>
      <c r="F1310" s="62" t="s">
        <v>25</v>
      </c>
      <c r="G1310" s="62" t="s">
        <v>25</v>
      </c>
      <c r="H1310" s="62" t="s">
        <v>25</v>
      </c>
      <c r="I1310" s="75">
        <v>44378</v>
      </c>
      <c r="J1310" s="76">
        <f>EFEITO!$J$1310*EFEITO!$Y$1310</f>
        <v>0</v>
      </c>
      <c r="K1310" s="76">
        <f ca="1">EFEITO!$L$1310*EFEITO!$Z$1310</f>
        <v>-858.28233953954816</v>
      </c>
      <c r="L1310" s="76">
        <f>EFEITO!$N$1310*EFEITO!$AA$1310</f>
        <v>-647.72454336516932</v>
      </c>
      <c r="M1310" s="76">
        <f>$J$1310-EFEITO!$K$1310*EFEITO!$Y$1310</f>
        <v>0</v>
      </c>
      <c r="N1310" s="76">
        <f ca="1">$K$1310-EFEITO!$M$1310*EFEITO!$Z$1310</f>
        <v>0</v>
      </c>
      <c r="O1310" s="76">
        <f>$L$1310-EFEITO!$O$1310*EFEITO!$AA$1310</f>
        <v>0</v>
      </c>
      <c r="P1310" s="18"/>
      <c r="Q1310" s="18"/>
      <c r="R1310" s="18"/>
      <c r="S1310" s="18"/>
      <c r="T1310" s="18"/>
      <c r="U1310" s="18"/>
      <c r="V1310" s="18"/>
      <c r="W1310" s="18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</row>
    <row r="1311" spans="1:36" ht="11.25" customHeight="1" x14ac:dyDescent="0.2">
      <c r="A1311" s="62" t="s">
        <v>21</v>
      </c>
      <c r="B1311" s="62" t="s">
        <v>22</v>
      </c>
      <c r="C1311" s="62" t="s">
        <v>23</v>
      </c>
      <c r="D1311" s="62" t="s">
        <v>24</v>
      </c>
      <c r="E1311" s="62" t="s">
        <v>24</v>
      </c>
      <c r="F1311" s="62" t="s">
        <v>25</v>
      </c>
      <c r="G1311" s="62" t="s">
        <v>25</v>
      </c>
      <c r="H1311" s="62" t="s">
        <v>25</v>
      </c>
      <c r="I1311" s="75">
        <v>44409</v>
      </c>
      <c r="J1311" s="76">
        <f>EFEITO!$J$1311*EFEITO!$Y$1311</f>
        <v>0</v>
      </c>
      <c r="K1311" s="76">
        <f ca="1">EFEITO!$L$1311*EFEITO!$Z$1311</f>
        <v>13904656.547861388</v>
      </c>
      <c r="L1311" s="76">
        <f>EFEITO!$N$1311*EFEITO!$AA$1311</f>
        <v>10493501.844561758</v>
      </c>
      <c r="M1311" s="76">
        <f>$J$1311-EFEITO!$K$1311*EFEITO!$Y$1311</f>
        <v>0</v>
      </c>
      <c r="N1311" s="76">
        <f ca="1">$K$1311-EFEITO!$M$1311*EFEITO!$Z$1311</f>
        <v>0</v>
      </c>
      <c r="O1311" s="76">
        <f>$L$1311-EFEITO!$O$1311*EFEITO!$AA$1311</f>
        <v>0</v>
      </c>
      <c r="P1311" s="18"/>
      <c r="Q1311" s="18"/>
      <c r="R1311" s="18"/>
      <c r="S1311" s="18"/>
      <c r="T1311" s="18"/>
      <c r="U1311" s="18"/>
      <c r="V1311" s="18"/>
      <c r="W1311" s="18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 spans="1:36" ht="11.25" customHeight="1" x14ac:dyDescent="0.2">
      <c r="A1312" s="62" t="s">
        <v>27</v>
      </c>
      <c r="B1312" s="62" t="s">
        <v>22</v>
      </c>
      <c r="C1312" s="62" t="s">
        <v>23</v>
      </c>
      <c r="D1312" s="62" t="s">
        <v>24</v>
      </c>
      <c r="E1312" s="62" t="s">
        <v>24</v>
      </c>
      <c r="F1312" s="62" t="s">
        <v>25</v>
      </c>
      <c r="G1312" s="62" t="s">
        <v>25</v>
      </c>
      <c r="H1312" s="62" t="s">
        <v>25</v>
      </c>
      <c r="I1312" s="75">
        <v>44409</v>
      </c>
      <c r="J1312" s="76">
        <f>EFEITO!$J$1312*EFEITO!$Y$1312</f>
        <v>0</v>
      </c>
      <c r="K1312" s="76">
        <f ca="1">EFEITO!$L$1312*EFEITO!$Z$1312</f>
        <v>-29160.197083969349</v>
      </c>
      <c r="L1312" s="76">
        <f>EFEITO!$N$1312*EFEITO!$AA$1312</f>
        <v>-22006.482564682985</v>
      </c>
      <c r="M1312" s="76">
        <f>$J$1312-EFEITO!$K$1312*EFEITO!$Y$1312</f>
        <v>0</v>
      </c>
      <c r="N1312" s="76">
        <f ca="1">$K$1312-EFEITO!$M$1312*EFEITO!$Z$1312</f>
        <v>0</v>
      </c>
      <c r="O1312" s="76">
        <f>$L$1312-EFEITO!$O$1312*EFEITO!$AA$1312</f>
        <v>0</v>
      </c>
      <c r="P1312" s="18"/>
      <c r="Q1312" s="18"/>
      <c r="R1312" s="18"/>
      <c r="S1312" s="18"/>
      <c r="T1312" s="18"/>
      <c r="U1312" s="18"/>
      <c r="V1312" s="18"/>
      <c r="W1312" s="18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 spans="1:36" ht="11.25" customHeight="1" x14ac:dyDescent="0.2">
      <c r="A1313" s="62" t="s">
        <v>28</v>
      </c>
      <c r="B1313" s="62" t="s">
        <v>22</v>
      </c>
      <c r="C1313" s="62" t="s">
        <v>23</v>
      </c>
      <c r="D1313" s="62" t="s">
        <v>24</v>
      </c>
      <c r="E1313" s="62" t="s">
        <v>24</v>
      </c>
      <c r="F1313" s="62" t="s">
        <v>25</v>
      </c>
      <c r="G1313" s="62" t="s">
        <v>25</v>
      </c>
      <c r="H1313" s="62" t="s">
        <v>25</v>
      </c>
      <c r="I1313" s="75">
        <v>44409</v>
      </c>
      <c r="J1313" s="76">
        <f>EFEITO!$J$1313*EFEITO!$Y$1313</f>
        <v>0</v>
      </c>
      <c r="K1313" s="76">
        <f ca="1">EFEITO!$L$1313*EFEITO!$Z$1313</f>
        <v>301002.45557840605</v>
      </c>
      <c r="L1313" s="76">
        <f>EFEITO!$N$1313*EFEITO!$AA$1313</f>
        <v>227159.13995843552</v>
      </c>
      <c r="M1313" s="76">
        <f>$J$1313-EFEITO!$K$1313*EFEITO!$Y$1313</f>
        <v>0</v>
      </c>
      <c r="N1313" s="76">
        <f ca="1">$K$1313-EFEITO!$M$1313*EFEITO!$Z$1313</f>
        <v>0</v>
      </c>
      <c r="O1313" s="76">
        <f>$L$1313-EFEITO!$O$1313*EFEITO!$AA$1313</f>
        <v>0</v>
      </c>
      <c r="P1313" s="18"/>
      <c r="Q1313" s="18"/>
      <c r="R1313" s="18"/>
      <c r="S1313" s="18"/>
      <c r="T1313" s="18"/>
      <c r="U1313" s="18"/>
      <c r="V1313" s="18"/>
      <c r="W1313" s="18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</row>
    <row r="1314" spans="1:36" ht="11.25" customHeight="1" x14ac:dyDescent="0.2">
      <c r="A1314" s="62" t="s">
        <v>28</v>
      </c>
      <c r="B1314" s="62" t="s">
        <v>22</v>
      </c>
      <c r="C1314" s="62" t="s">
        <v>23</v>
      </c>
      <c r="D1314" s="62" t="s">
        <v>24</v>
      </c>
      <c r="E1314" s="62" t="s">
        <v>24</v>
      </c>
      <c r="F1314" s="62" t="s">
        <v>25</v>
      </c>
      <c r="G1314" s="62" t="s">
        <v>25</v>
      </c>
      <c r="H1314" s="62" t="s">
        <v>25</v>
      </c>
      <c r="I1314" s="75">
        <v>44409</v>
      </c>
      <c r="J1314" s="76">
        <f>EFEITO!$J$1314*EFEITO!$Y$1314</f>
        <v>0</v>
      </c>
      <c r="K1314" s="76">
        <f ca="1">EFEITO!$L$1314*EFEITO!$Z$1314</f>
        <v>-398.7846188293168</v>
      </c>
      <c r="L1314" s="76">
        <f>EFEITO!$N$1314*EFEITO!$AA$1314</f>
        <v>-300.95293032692092</v>
      </c>
      <c r="M1314" s="76">
        <f>$J$1314-EFEITO!$K$1314*EFEITO!$Y$1314</f>
        <v>0</v>
      </c>
      <c r="N1314" s="76">
        <f ca="1">$K$1314-EFEITO!$M$1314*EFEITO!$Z$1314</f>
        <v>0</v>
      </c>
      <c r="O1314" s="76">
        <f>$L$1314-EFEITO!$O$1314*EFEITO!$AA$1314</f>
        <v>0</v>
      </c>
      <c r="P1314" s="18"/>
      <c r="Q1314" s="18"/>
      <c r="R1314" s="18"/>
      <c r="S1314" s="18"/>
      <c r="T1314" s="18"/>
      <c r="U1314" s="18"/>
      <c r="V1314" s="18"/>
      <c r="W1314" s="18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</row>
    <row r="1315" spans="1:36" ht="11.25" customHeight="1" x14ac:dyDescent="0.2">
      <c r="A1315" s="62" t="s">
        <v>21</v>
      </c>
      <c r="B1315" s="62" t="s">
        <v>22</v>
      </c>
      <c r="C1315" s="62" t="s">
        <v>23</v>
      </c>
      <c r="D1315" s="62" t="s">
        <v>24</v>
      </c>
      <c r="E1315" s="62" t="s">
        <v>24</v>
      </c>
      <c r="F1315" s="62" t="s">
        <v>25</v>
      </c>
      <c r="G1315" s="62" t="s">
        <v>25</v>
      </c>
      <c r="H1315" s="62" t="s">
        <v>25</v>
      </c>
      <c r="I1315" s="75">
        <v>44440</v>
      </c>
      <c r="J1315" s="76">
        <f>EFEITO!$J$1315*EFEITO!$Y$1315</f>
        <v>0</v>
      </c>
      <c r="K1315" s="76">
        <f ca="1">EFEITO!$L$1315*EFEITO!$Z$1315</f>
        <v>15515498.750890341</v>
      </c>
      <c r="L1315" s="76">
        <f>EFEITO!$N$1315*EFEITO!$AA$1315</f>
        <v>11709164.782412751</v>
      </c>
      <c r="M1315" s="76">
        <f>$J$1315-EFEITO!$K$1315*EFEITO!$Y$1315</f>
        <v>0</v>
      </c>
      <c r="N1315" s="76">
        <f ca="1">$K$1315-EFEITO!$M$1315*EFEITO!$Z$1315</f>
        <v>0</v>
      </c>
      <c r="O1315" s="76">
        <f>$L$1315-EFEITO!$O$1315*EFEITO!$AA$1315</f>
        <v>0</v>
      </c>
      <c r="P1315" s="18"/>
      <c r="Q1315" s="18"/>
      <c r="R1315" s="18"/>
      <c r="S1315" s="18"/>
      <c r="T1315" s="18"/>
      <c r="U1315" s="18"/>
      <c r="V1315" s="18"/>
      <c r="W1315" s="18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</row>
    <row r="1316" spans="1:36" ht="11.25" customHeight="1" x14ac:dyDescent="0.2">
      <c r="A1316" s="62" t="s">
        <v>27</v>
      </c>
      <c r="B1316" s="62" t="s">
        <v>22</v>
      </c>
      <c r="C1316" s="62" t="s">
        <v>23</v>
      </c>
      <c r="D1316" s="62" t="s">
        <v>24</v>
      </c>
      <c r="E1316" s="62" t="s">
        <v>24</v>
      </c>
      <c r="F1316" s="62" t="s">
        <v>25</v>
      </c>
      <c r="G1316" s="62" t="s">
        <v>25</v>
      </c>
      <c r="H1316" s="62" t="s">
        <v>25</v>
      </c>
      <c r="I1316" s="75">
        <v>44440</v>
      </c>
      <c r="J1316" s="76">
        <f>EFEITO!$J$1316*EFEITO!$Y$1316</f>
        <v>0</v>
      </c>
      <c r="K1316" s="76">
        <f ca="1">EFEITO!$L$1316*EFEITO!$Z$1316</f>
        <v>-3840.2128901942529</v>
      </c>
      <c r="L1316" s="76">
        <f>EFEITO!$N$1316*EFEITO!$AA$1316</f>
        <v>-2898.1140891941823</v>
      </c>
      <c r="M1316" s="76">
        <f>$J$1316-EFEITO!$K$1316*EFEITO!$Y$1316</f>
        <v>0</v>
      </c>
      <c r="N1316" s="76">
        <f ca="1">$K$1316-EFEITO!$M$1316*EFEITO!$Z$1316</f>
        <v>0</v>
      </c>
      <c r="O1316" s="76">
        <f>$L$1316-EFEITO!$O$1316*EFEITO!$AA$1316</f>
        <v>0</v>
      </c>
      <c r="P1316" s="18"/>
      <c r="Q1316" s="18"/>
      <c r="R1316" s="18"/>
      <c r="S1316" s="18"/>
      <c r="T1316" s="18"/>
      <c r="U1316" s="18"/>
      <c r="V1316" s="18"/>
      <c r="W1316" s="18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</row>
    <row r="1317" spans="1:36" ht="11.25" customHeight="1" x14ac:dyDescent="0.2">
      <c r="A1317" s="62" t="s">
        <v>28</v>
      </c>
      <c r="B1317" s="62" t="s">
        <v>22</v>
      </c>
      <c r="C1317" s="62" t="s">
        <v>23</v>
      </c>
      <c r="D1317" s="62" t="s">
        <v>24</v>
      </c>
      <c r="E1317" s="62" t="s">
        <v>24</v>
      </c>
      <c r="F1317" s="62" t="s">
        <v>25</v>
      </c>
      <c r="G1317" s="62" t="s">
        <v>25</v>
      </c>
      <c r="H1317" s="62" t="s">
        <v>25</v>
      </c>
      <c r="I1317" s="75">
        <v>44440</v>
      </c>
      <c r="J1317" s="76">
        <f>EFEITO!$J$1317*EFEITO!$Y$1317</f>
        <v>0</v>
      </c>
      <c r="K1317" s="76">
        <f ca="1">EFEITO!$L$1317*EFEITO!$Z$1317</f>
        <v>327955.57853428717</v>
      </c>
      <c r="L1317" s="76">
        <f>EFEITO!$N$1317*EFEITO!$AA$1317</f>
        <v>247499.99803577797</v>
      </c>
      <c r="M1317" s="76">
        <f>$J$1317-EFEITO!$K$1317*EFEITO!$Y$1317</f>
        <v>0</v>
      </c>
      <c r="N1317" s="76">
        <f ca="1">$K$1317-EFEITO!$M$1317*EFEITO!$Z$1317</f>
        <v>0</v>
      </c>
      <c r="O1317" s="76">
        <f>$L$1317-EFEITO!$O$1317*EFEITO!$AA$1317</f>
        <v>0</v>
      </c>
      <c r="P1317" s="18"/>
      <c r="Q1317" s="18"/>
      <c r="R1317" s="18"/>
      <c r="S1317" s="18"/>
      <c r="T1317" s="18"/>
      <c r="U1317" s="18"/>
      <c r="V1317" s="18"/>
      <c r="W1317" s="18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</row>
    <row r="1318" spans="1:36" ht="11.25" customHeight="1" x14ac:dyDescent="0.2">
      <c r="A1318" s="62" t="s">
        <v>28</v>
      </c>
      <c r="B1318" s="62" t="s">
        <v>22</v>
      </c>
      <c r="C1318" s="62" t="s">
        <v>23</v>
      </c>
      <c r="D1318" s="62" t="s">
        <v>24</v>
      </c>
      <c r="E1318" s="62" t="s">
        <v>24</v>
      </c>
      <c r="F1318" s="62" t="s">
        <v>25</v>
      </c>
      <c r="G1318" s="62" t="s">
        <v>25</v>
      </c>
      <c r="H1318" s="62" t="s">
        <v>25</v>
      </c>
      <c r="I1318" s="75">
        <v>44440</v>
      </c>
      <c r="J1318" s="76">
        <f>EFEITO!$J$1318*EFEITO!$Y$1318</f>
        <v>0</v>
      </c>
      <c r="K1318" s="76">
        <f ca="1">EFEITO!$L$1318*EFEITO!$Z$1318</f>
        <v>-5231.3728145878722</v>
      </c>
      <c r="L1318" s="76">
        <f>EFEITO!$N$1318*EFEITO!$AA$1318</f>
        <v>-3947.9882218242406</v>
      </c>
      <c r="M1318" s="76">
        <f>$J$1318-EFEITO!$K$1318*EFEITO!$Y$1318</f>
        <v>0</v>
      </c>
      <c r="N1318" s="76">
        <f ca="1">$K$1318-EFEITO!$M$1318*EFEITO!$Z$1318</f>
        <v>0</v>
      </c>
      <c r="O1318" s="76">
        <f>$L$1318-EFEITO!$O$1318*EFEITO!$AA$1318</f>
        <v>0</v>
      </c>
      <c r="P1318" s="18"/>
      <c r="Q1318" s="18"/>
      <c r="R1318" s="18"/>
      <c r="S1318" s="18"/>
      <c r="T1318" s="18"/>
      <c r="U1318" s="18"/>
      <c r="V1318" s="18"/>
      <c r="W1318" s="18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</row>
    <row r="1319" spans="1:36" ht="11.25" customHeight="1" x14ac:dyDescent="0.2">
      <c r="A1319" s="62" t="s">
        <v>21</v>
      </c>
      <c r="B1319" s="62" t="s">
        <v>22</v>
      </c>
      <c r="C1319" s="62" t="s">
        <v>23</v>
      </c>
      <c r="D1319" s="62" t="s">
        <v>24</v>
      </c>
      <c r="E1319" s="62" t="s">
        <v>24</v>
      </c>
      <c r="F1319" s="62" t="s">
        <v>25</v>
      </c>
      <c r="G1319" s="62" t="s">
        <v>25</v>
      </c>
      <c r="H1319" s="62" t="s">
        <v>25</v>
      </c>
      <c r="I1319" s="75">
        <v>44470</v>
      </c>
      <c r="J1319" s="76">
        <f>EFEITO!$J$1319*EFEITO!$Y$1319</f>
        <v>0</v>
      </c>
      <c r="K1319" s="76">
        <f ca="1">EFEITO!$L$1319*EFEITO!$Z$1319</f>
        <v>14814584.771426123</v>
      </c>
      <c r="L1319" s="76">
        <f>EFEITO!$N$1319*EFEITO!$AA$1319</f>
        <v>11180202.264635343</v>
      </c>
      <c r="M1319" s="76">
        <f>$J$1319-EFEITO!$K$1319*EFEITO!$Y$1319</f>
        <v>0</v>
      </c>
      <c r="N1319" s="76">
        <f ca="1">$K$1319-EFEITO!$M$1319*EFEITO!$Z$1319</f>
        <v>0</v>
      </c>
      <c r="O1319" s="76">
        <f>$L$1319-EFEITO!$O$1319*EFEITO!$AA$1319</f>
        <v>0</v>
      </c>
      <c r="P1319" s="18"/>
      <c r="Q1319" s="18"/>
      <c r="R1319" s="18"/>
      <c r="S1319" s="18"/>
      <c r="T1319" s="18"/>
      <c r="U1319" s="18"/>
      <c r="V1319" s="18"/>
      <c r="W1319" s="18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</row>
    <row r="1320" spans="1:36" ht="11.25" customHeight="1" x14ac:dyDescent="0.2">
      <c r="A1320" s="62" t="s">
        <v>27</v>
      </c>
      <c r="B1320" s="62" t="s">
        <v>22</v>
      </c>
      <c r="C1320" s="62" t="s">
        <v>23</v>
      </c>
      <c r="D1320" s="62" t="s">
        <v>24</v>
      </c>
      <c r="E1320" s="62" t="s">
        <v>24</v>
      </c>
      <c r="F1320" s="62" t="s">
        <v>25</v>
      </c>
      <c r="G1320" s="62" t="s">
        <v>25</v>
      </c>
      <c r="H1320" s="62" t="s">
        <v>25</v>
      </c>
      <c r="I1320" s="75">
        <v>44470</v>
      </c>
      <c r="J1320" s="76">
        <f>EFEITO!$J$1320*EFEITO!$Y$1320</f>
        <v>0</v>
      </c>
      <c r="K1320" s="76">
        <f ca="1">EFEITO!$L$1320*EFEITO!$Z$1320</f>
        <v>-11919.860074317694</v>
      </c>
      <c r="L1320" s="76">
        <f>EFEITO!$N$1320*EFEITO!$AA$1320</f>
        <v>-8995.6248287203398</v>
      </c>
      <c r="M1320" s="76">
        <f>$J$1320-EFEITO!$K$1320*EFEITO!$Y$1320</f>
        <v>0</v>
      </c>
      <c r="N1320" s="76">
        <f ca="1">$K$1320-EFEITO!$M$1320*EFEITO!$Z$1320</f>
        <v>0</v>
      </c>
      <c r="O1320" s="76">
        <f>$L$1320-EFEITO!$O$1320*EFEITO!$AA$1320</f>
        <v>0</v>
      </c>
      <c r="P1320" s="18"/>
      <c r="Q1320" s="18"/>
      <c r="R1320" s="18"/>
      <c r="S1320" s="18"/>
      <c r="T1320" s="18"/>
      <c r="U1320" s="18"/>
      <c r="V1320" s="18"/>
      <c r="W1320" s="18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</row>
    <row r="1321" spans="1:36" ht="11.25" customHeight="1" x14ac:dyDescent="0.2">
      <c r="A1321" s="62" t="s">
        <v>28</v>
      </c>
      <c r="B1321" s="62" t="s">
        <v>22</v>
      </c>
      <c r="C1321" s="62" t="s">
        <v>23</v>
      </c>
      <c r="D1321" s="62" t="s">
        <v>24</v>
      </c>
      <c r="E1321" s="62" t="s">
        <v>24</v>
      </c>
      <c r="F1321" s="62" t="s">
        <v>25</v>
      </c>
      <c r="G1321" s="62" t="s">
        <v>25</v>
      </c>
      <c r="H1321" s="62" t="s">
        <v>25</v>
      </c>
      <c r="I1321" s="75">
        <v>44470</v>
      </c>
      <c r="J1321" s="76">
        <f>EFEITO!$J$1321*EFEITO!$Y$1321</f>
        <v>0</v>
      </c>
      <c r="K1321" s="76">
        <f ca="1">EFEITO!$L$1321*EFEITO!$Z$1321</f>
        <v>356862.44037299801</v>
      </c>
      <c r="L1321" s="76">
        <f>EFEITO!$N$1321*EFEITO!$AA$1321</f>
        <v>269315.29473015468</v>
      </c>
      <c r="M1321" s="76">
        <f>$J$1321-EFEITO!$K$1321*EFEITO!$Y$1321</f>
        <v>0</v>
      </c>
      <c r="N1321" s="76">
        <f ca="1">$K$1321-EFEITO!$M$1321*EFEITO!$Z$1321</f>
        <v>0</v>
      </c>
      <c r="O1321" s="76">
        <f>$L$1321-EFEITO!$O$1321*EFEITO!$AA$1321</f>
        <v>0</v>
      </c>
      <c r="P1321" s="18"/>
      <c r="Q1321" s="18"/>
      <c r="R1321" s="18"/>
      <c r="S1321" s="18"/>
      <c r="T1321" s="18"/>
      <c r="U1321" s="18"/>
      <c r="V1321" s="18"/>
      <c r="W1321" s="18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</row>
    <row r="1322" spans="1:36" ht="11.25" customHeight="1" x14ac:dyDescent="0.2">
      <c r="A1322" s="62" t="s">
        <v>28</v>
      </c>
      <c r="B1322" s="62" t="s">
        <v>22</v>
      </c>
      <c r="C1322" s="62" t="s">
        <v>23</v>
      </c>
      <c r="D1322" s="62" t="s">
        <v>24</v>
      </c>
      <c r="E1322" s="62" t="s">
        <v>24</v>
      </c>
      <c r="F1322" s="62" t="s">
        <v>25</v>
      </c>
      <c r="G1322" s="62" t="s">
        <v>25</v>
      </c>
      <c r="H1322" s="62" t="s">
        <v>25</v>
      </c>
      <c r="I1322" s="75">
        <v>44470</v>
      </c>
      <c r="J1322" s="76">
        <f>EFEITO!$J$1322*EFEITO!$Y$1322</f>
        <v>0</v>
      </c>
      <c r="K1322" s="76">
        <f ca="1">EFEITO!$L$1322*EFEITO!$Z$1322</f>
        <v>-1568.9313809801815</v>
      </c>
      <c r="L1322" s="76">
        <f>EFEITO!$N$1322*EFEITO!$AA$1322</f>
        <v>-1184.0338726553121</v>
      </c>
      <c r="M1322" s="76">
        <f>$J$1322-EFEITO!$K$1322*EFEITO!$Y$1322</f>
        <v>0</v>
      </c>
      <c r="N1322" s="76">
        <f ca="1">$K$1322-EFEITO!$M$1322*EFEITO!$Z$1322</f>
        <v>0</v>
      </c>
      <c r="O1322" s="76">
        <f>$L$1322-EFEITO!$O$1322*EFEITO!$AA$1322</f>
        <v>0</v>
      </c>
      <c r="P1322" s="18"/>
      <c r="Q1322" s="18"/>
      <c r="R1322" s="18"/>
      <c r="S1322" s="18"/>
      <c r="T1322" s="18"/>
      <c r="U1322" s="18"/>
      <c r="V1322" s="18"/>
      <c r="W1322" s="18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</row>
    <row r="1323" spans="1:36" ht="11.25" customHeight="1" x14ac:dyDescent="0.2">
      <c r="A1323" s="62" t="s">
        <v>21</v>
      </c>
      <c r="B1323" s="62" t="s">
        <v>22</v>
      </c>
      <c r="C1323" s="62" t="s">
        <v>23</v>
      </c>
      <c r="D1323" s="62" t="s">
        <v>24</v>
      </c>
      <c r="E1323" s="62" t="s">
        <v>24</v>
      </c>
      <c r="F1323" s="62" t="s">
        <v>25</v>
      </c>
      <c r="G1323" s="62" t="s">
        <v>25</v>
      </c>
      <c r="H1323" s="62" t="s">
        <v>25</v>
      </c>
      <c r="I1323" s="75">
        <v>44501</v>
      </c>
      <c r="J1323" s="76">
        <f>EFEITO!$J$1323*EFEITO!$Y$1323</f>
        <v>0</v>
      </c>
      <c r="K1323" s="76">
        <f ca="1">EFEITO!$L$1323*EFEITO!$Z$1323</f>
        <v>14687522.2952422</v>
      </c>
      <c r="L1323" s="76">
        <f>EFEITO!$N$1323*EFEITO!$AA$1323</f>
        <v>11084311.343229186</v>
      </c>
      <c r="M1323" s="76">
        <f>$J$1323-EFEITO!$K$1323*EFEITO!$Y$1323</f>
        <v>0</v>
      </c>
      <c r="N1323" s="76">
        <f ca="1">$K$1323-EFEITO!$M$1323*EFEITO!$Z$1323</f>
        <v>0</v>
      </c>
      <c r="O1323" s="76">
        <f>$L$1323-EFEITO!$O$1323*EFEITO!$AA$1323</f>
        <v>0</v>
      </c>
      <c r="P1323" s="18"/>
      <c r="Q1323" s="18"/>
      <c r="R1323" s="18"/>
      <c r="S1323" s="18"/>
      <c r="T1323" s="18"/>
      <c r="U1323" s="18"/>
      <c r="V1323" s="18"/>
      <c r="W1323" s="18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</row>
    <row r="1324" spans="1:36" ht="11.25" customHeight="1" x14ac:dyDescent="0.2">
      <c r="A1324" s="62" t="s">
        <v>27</v>
      </c>
      <c r="B1324" s="62" t="s">
        <v>22</v>
      </c>
      <c r="C1324" s="62" t="s">
        <v>23</v>
      </c>
      <c r="D1324" s="62" t="s">
        <v>24</v>
      </c>
      <c r="E1324" s="62" t="s">
        <v>24</v>
      </c>
      <c r="F1324" s="62" t="s">
        <v>25</v>
      </c>
      <c r="G1324" s="62" t="s">
        <v>25</v>
      </c>
      <c r="H1324" s="62" t="s">
        <v>25</v>
      </c>
      <c r="I1324" s="75">
        <v>44501</v>
      </c>
      <c r="J1324" s="76">
        <f>EFEITO!$J$1324*EFEITO!$Y$1324</f>
        <v>0</v>
      </c>
      <c r="K1324" s="76">
        <f ca="1">EFEITO!$L$1324*EFEITO!$Z$1324</f>
        <v>-6222.4377654353193</v>
      </c>
      <c r="L1324" s="76">
        <f>EFEITO!$N$1324*EFEITO!$AA$1324</f>
        <v>-4695.9205316947591</v>
      </c>
      <c r="M1324" s="76">
        <f>$J$1324-EFEITO!$K$1324*EFEITO!$Y$1324</f>
        <v>0</v>
      </c>
      <c r="N1324" s="76">
        <f ca="1">$K$1324-EFEITO!$M$1324*EFEITO!$Z$1324</f>
        <v>0</v>
      </c>
      <c r="O1324" s="76">
        <f>$L$1324-EFEITO!$O$1324*EFEITO!$AA$1324</f>
        <v>0</v>
      </c>
      <c r="P1324" s="18"/>
      <c r="Q1324" s="18"/>
      <c r="R1324" s="18"/>
      <c r="S1324" s="18"/>
      <c r="T1324" s="18"/>
      <c r="U1324" s="18"/>
      <c r="V1324" s="18"/>
      <c r="W1324" s="18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</row>
    <row r="1325" spans="1:36" ht="11.25" customHeight="1" x14ac:dyDescent="0.2">
      <c r="A1325" s="62" t="s">
        <v>28</v>
      </c>
      <c r="B1325" s="62" t="s">
        <v>22</v>
      </c>
      <c r="C1325" s="62" t="s">
        <v>23</v>
      </c>
      <c r="D1325" s="62" t="s">
        <v>24</v>
      </c>
      <c r="E1325" s="62" t="s">
        <v>24</v>
      </c>
      <c r="F1325" s="62" t="s">
        <v>25</v>
      </c>
      <c r="G1325" s="62" t="s">
        <v>25</v>
      </c>
      <c r="H1325" s="62" t="s">
        <v>25</v>
      </c>
      <c r="I1325" s="75">
        <v>44501</v>
      </c>
      <c r="J1325" s="76">
        <f>EFEITO!$J$1325*EFEITO!$Y$1325</f>
        <v>0</v>
      </c>
      <c r="K1325" s="76">
        <f ca="1">EFEITO!$L$1325*EFEITO!$Z$1325</f>
        <v>367798.22405495815</v>
      </c>
      <c r="L1325" s="76">
        <f>EFEITO!$N$1325*EFEITO!$AA$1325</f>
        <v>277568.2613419785</v>
      </c>
      <c r="M1325" s="76">
        <f>$J$1325-EFEITO!$K$1325*EFEITO!$Y$1325</f>
        <v>0</v>
      </c>
      <c r="N1325" s="76">
        <f ca="1">$K$1325-EFEITO!$M$1325*EFEITO!$Z$1325</f>
        <v>0</v>
      </c>
      <c r="O1325" s="76">
        <f>$L$1325-EFEITO!$O$1325*EFEITO!$AA$1325</f>
        <v>0</v>
      </c>
      <c r="P1325" s="18"/>
      <c r="Q1325" s="18"/>
      <c r="R1325" s="18"/>
      <c r="S1325" s="18"/>
      <c r="T1325" s="18"/>
      <c r="U1325" s="18"/>
      <c r="V1325" s="18"/>
      <c r="W1325" s="18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</row>
    <row r="1326" spans="1:36" ht="11.25" customHeight="1" x14ac:dyDescent="0.2">
      <c r="A1326" s="62" t="s">
        <v>28</v>
      </c>
      <c r="B1326" s="62" t="s">
        <v>22</v>
      </c>
      <c r="C1326" s="62" t="s">
        <v>23</v>
      </c>
      <c r="D1326" s="62" t="s">
        <v>24</v>
      </c>
      <c r="E1326" s="62" t="s">
        <v>24</v>
      </c>
      <c r="F1326" s="62" t="s">
        <v>25</v>
      </c>
      <c r="G1326" s="62" t="s">
        <v>25</v>
      </c>
      <c r="H1326" s="62" t="s">
        <v>25</v>
      </c>
      <c r="I1326" s="75">
        <v>44501</v>
      </c>
      <c r="J1326" s="76">
        <f>EFEITO!$J$1326*EFEITO!$Y$1326</f>
        <v>0</v>
      </c>
      <c r="K1326" s="76">
        <f ca="1">EFEITO!$L$1326*EFEITO!$Z$1326</f>
        <v>-1357.5274866610257</v>
      </c>
      <c r="L1326" s="76">
        <f>EFEITO!$N$1326*EFEITO!$AA$1326</f>
        <v>-1024.492560192848</v>
      </c>
      <c r="M1326" s="76">
        <f>$J$1326-EFEITO!$K$1326*EFEITO!$Y$1326</f>
        <v>0</v>
      </c>
      <c r="N1326" s="76">
        <f ca="1">$K$1326-EFEITO!$M$1326*EFEITO!$Z$1326</f>
        <v>0</v>
      </c>
      <c r="O1326" s="76">
        <f>$L$1326-EFEITO!$O$1326*EFEITO!$AA$1326</f>
        <v>0</v>
      </c>
      <c r="P1326" s="18"/>
      <c r="Q1326" s="18"/>
      <c r="R1326" s="18"/>
      <c r="S1326" s="18"/>
      <c r="T1326" s="18"/>
      <c r="U1326" s="18"/>
      <c r="V1326" s="18"/>
      <c r="W1326" s="18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</row>
    <row r="1327" spans="1:36" ht="11.25" customHeight="1" x14ac:dyDescent="0.2">
      <c r="A1327" s="62" t="s">
        <v>21</v>
      </c>
      <c r="B1327" s="62" t="s">
        <v>22</v>
      </c>
      <c r="C1327" s="62" t="s">
        <v>23</v>
      </c>
      <c r="D1327" s="62" t="s">
        <v>24</v>
      </c>
      <c r="E1327" s="62" t="s">
        <v>24</v>
      </c>
      <c r="F1327" s="62" t="s">
        <v>25</v>
      </c>
      <c r="G1327" s="62" t="s">
        <v>25</v>
      </c>
      <c r="H1327" s="62" t="s">
        <v>25</v>
      </c>
      <c r="I1327" s="75">
        <v>44531</v>
      </c>
      <c r="J1327" s="76">
        <f>EFEITO!$J$1327*EFEITO!$Y$1327</f>
        <v>0</v>
      </c>
      <c r="K1327" s="76">
        <f ca="1">EFEITO!$L$1327*EFEITO!$Z$1327</f>
        <v>15781073.145989157</v>
      </c>
      <c r="L1327" s="76">
        <f>EFEITO!$N$1327*EFEITO!$AA$1327</f>
        <v>11909587.237670479</v>
      </c>
      <c r="M1327" s="76">
        <f>$J$1327-EFEITO!$K$1327*EFEITO!$Y$1327</f>
        <v>0</v>
      </c>
      <c r="N1327" s="76">
        <f ca="1">$K$1327-EFEITO!$M$1327*EFEITO!$Z$1327</f>
        <v>0</v>
      </c>
      <c r="O1327" s="76">
        <f>$L$1327-EFEITO!$O$1327*EFEITO!$AA$1327</f>
        <v>0</v>
      </c>
      <c r="P1327" s="18"/>
      <c r="Q1327" s="18"/>
      <c r="R1327" s="18"/>
      <c r="S1327" s="18"/>
      <c r="T1327" s="18"/>
      <c r="U1327" s="18"/>
      <c r="V1327" s="18"/>
      <c r="W1327" s="18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</row>
    <row r="1328" spans="1:36" ht="11.25" customHeight="1" x14ac:dyDescent="0.2">
      <c r="A1328" s="62" t="s">
        <v>27</v>
      </c>
      <c r="B1328" s="62" t="s">
        <v>22</v>
      </c>
      <c r="C1328" s="62" t="s">
        <v>23</v>
      </c>
      <c r="D1328" s="62" t="s">
        <v>24</v>
      </c>
      <c r="E1328" s="62" t="s">
        <v>24</v>
      </c>
      <c r="F1328" s="62" t="s">
        <v>25</v>
      </c>
      <c r="G1328" s="62" t="s">
        <v>25</v>
      </c>
      <c r="H1328" s="62" t="s">
        <v>25</v>
      </c>
      <c r="I1328" s="75">
        <v>44531</v>
      </c>
      <c r="J1328" s="76">
        <f>EFEITO!$J$1328*EFEITO!$Y$1328</f>
        <v>0</v>
      </c>
      <c r="K1328" s="76">
        <f ca="1">EFEITO!$L$1328*EFEITO!$Z$1328</f>
        <v>-15083.929930615142</v>
      </c>
      <c r="L1328" s="76">
        <f>EFEITO!$N$1328*EFEITO!$AA$1328</f>
        <v>-11383.470422683336</v>
      </c>
      <c r="M1328" s="76">
        <f>$J$1328-EFEITO!$K$1328*EFEITO!$Y$1328</f>
        <v>0</v>
      </c>
      <c r="N1328" s="76">
        <f ca="1">$K$1328-EFEITO!$M$1328*EFEITO!$Z$1328</f>
        <v>0</v>
      </c>
      <c r="O1328" s="76">
        <f>$L$1328-EFEITO!$O$1328*EFEITO!$AA$1328</f>
        <v>0</v>
      </c>
      <c r="P1328" s="18"/>
      <c r="Q1328" s="18"/>
      <c r="R1328" s="18"/>
      <c r="S1328" s="18"/>
      <c r="T1328" s="18"/>
      <c r="U1328" s="18"/>
      <c r="V1328" s="18"/>
      <c r="W1328" s="18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</row>
    <row r="1329" spans="1:36" ht="11.25" customHeight="1" x14ac:dyDescent="0.2">
      <c r="A1329" s="62" t="s">
        <v>28</v>
      </c>
      <c r="B1329" s="62" t="s">
        <v>22</v>
      </c>
      <c r="C1329" s="62" t="s">
        <v>23</v>
      </c>
      <c r="D1329" s="62" t="s">
        <v>24</v>
      </c>
      <c r="E1329" s="62" t="s">
        <v>24</v>
      </c>
      <c r="F1329" s="62" t="s">
        <v>25</v>
      </c>
      <c r="G1329" s="62" t="s">
        <v>25</v>
      </c>
      <c r="H1329" s="62" t="s">
        <v>25</v>
      </c>
      <c r="I1329" s="75">
        <v>44531</v>
      </c>
      <c r="J1329" s="76">
        <f>EFEITO!$J$1329*EFEITO!$Y$1329</f>
        <v>0</v>
      </c>
      <c r="K1329" s="76">
        <f ca="1">EFEITO!$L$1329*EFEITO!$Z$1329</f>
        <v>398371.42030860204</v>
      </c>
      <c r="L1329" s="76">
        <f>EFEITO!$N$1329*EFEITO!$AA$1329</f>
        <v>300641.09957983514</v>
      </c>
      <c r="M1329" s="76">
        <f>$J$1329-EFEITO!$K$1329*EFEITO!$Y$1329</f>
        <v>0</v>
      </c>
      <c r="N1329" s="76">
        <f ca="1">$K$1329-EFEITO!$M$1329*EFEITO!$Z$1329</f>
        <v>0</v>
      </c>
      <c r="O1329" s="76">
        <f>$L$1329-EFEITO!$O$1329*EFEITO!$AA$1329</f>
        <v>0</v>
      </c>
      <c r="P1329" s="18"/>
      <c r="Q1329" s="18"/>
      <c r="R1329" s="18"/>
      <c r="S1329" s="18"/>
      <c r="T1329" s="18"/>
      <c r="U1329" s="18"/>
      <c r="V1329" s="18"/>
      <c r="W1329" s="18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</row>
    <row r="1330" spans="1:36" ht="11.25" customHeight="1" x14ac:dyDescent="0.2">
      <c r="A1330" s="62" t="s">
        <v>28</v>
      </c>
      <c r="B1330" s="62" t="s">
        <v>22</v>
      </c>
      <c r="C1330" s="62" t="s">
        <v>23</v>
      </c>
      <c r="D1330" s="62" t="s">
        <v>24</v>
      </c>
      <c r="E1330" s="62" t="s">
        <v>24</v>
      </c>
      <c r="F1330" s="62" t="s">
        <v>25</v>
      </c>
      <c r="G1330" s="62" t="s">
        <v>25</v>
      </c>
      <c r="H1330" s="62" t="s">
        <v>25</v>
      </c>
      <c r="I1330" s="75">
        <v>44531</v>
      </c>
      <c r="J1330" s="76">
        <f>EFEITO!$J$1330*EFEITO!$Y$1330</f>
        <v>0</v>
      </c>
      <c r="K1330" s="76">
        <f ca="1">EFEITO!$L$1330*EFEITO!$Z$1330</f>
        <v>-527.19938108103543</v>
      </c>
      <c r="L1330" s="76">
        <f>EFEITO!$N$1330*EFEITO!$AA$1330</f>
        <v>-397.86438872354165</v>
      </c>
      <c r="M1330" s="76">
        <f>$J$1330-EFEITO!$K$1330*EFEITO!$Y$1330</f>
        <v>0</v>
      </c>
      <c r="N1330" s="76">
        <f ca="1">$K$1330-EFEITO!$M$1330*EFEITO!$Z$1330</f>
        <v>0</v>
      </c>
      <c r="O1330" s="76">
        <f>$L$1330-EFEITO!$O$1330*EFEITO!$AA$1330</f>
        <v>0</v>
      </c>
      <c r="P1330" s="18"/>
      <c r="Q1330" s="18"/>
      <c r="R1330" s="18"/>
      <c r="S1330" s="18"/>
      <c r="T1330" s="18"/>
      <c r="U1330" s="18"/>
      <c r="V1330" s="18"/>
      <c r="W1330" s="18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</row>
    <row r="1331" spans="1:36" ht="11.25" customHeight="1" x14ac:dyDescent="0.2">
      <c r="A1331" s="62" t="s">
        <v>21</v>
      </c>
      <c r="B1331" s="62" t="s">
        <v>22</v>
      </c>
      <c r="C1331" s="62" t="s">
        <v>23</v>
      </c>
      <c r="D1331" s="62" t="s">
        <v>24</v>
      </c>
      <c r="E1331" s="62" t="s">
        <v>24</v>
      </c>
      <c r="F1331" s="62" t="s">
        <v>25</v>
      </c>
      <c r="G1331" s="62" t="s">
        <v>25</v>
      </c>
      <c r="H1331" s="62" t="s">
        <v>25</v>
      </c>
      <c r="I1331" s="75">
        <v>44562</v>
      </c>
      <c r="J1331" s="76">
        <f>EFEITO!$J$1331*EFEITO!$Y$1331</f>
        <v>0</v>
      </c>
      <c r="K1331" s="76">
        <f ca="1">EFEITO!$L$1331*EFEITO!$Z$1331</f>
        <v>15588345.737449329</v>
      </c>
      <c r="L1331" s="76">
        <f>EFEITO!$N$1331*EFEITO!$AA$1331</f>
        <v>11764140.609050129</v>
      </c>
      <c r="M1331" s="76">
        <f>$J$1331-EFEITO!$K$1331*EFEITO!$Y$1331</f>
        <v>0</v>
      </c>
      <c r="N1331" s="76">
        <f ca="1">$K$1331-EFEITO!$M$1331*EFEITO!$Z$1331</f>
        <v>0</v>
      </c>
      <c r="O1331" s="76">
        <f>$L$1331-EFEITO!$O$1331*EFEITO!$AA$1331</f>
        <v>0</v>
      </c>
      <c r="P1331" s="18"/>
      <c r="Q1331" s="18"/>
      <c r="R1331" s="18"/>
      <c r="S1331" s="18"/>
      <c r="T1331" s="18"/>
      <c r="U1331" s="18"/>
      <c r="V1331" s="18"/>
      <c r="W1331" s="18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</row>
    <row r="1332" spans="1:36" ht="11.25" customHeight="1" x14ac:dyDescent="0.2">
      <c r="A1332" s="62" t="s">
        <v>27</v>
      </c>
      <c r="B1332" s="62" t="s">
        <v>22</v>
      </c>
      <c r="C1332" s="62" t="s">
        <v>23</v>
      </c>
      <c r="D1332" s="62" t="s">
        <v>24</v>
      </c>
      <c r="E1332" s="62" t="s">
        <v>24</v>
      </c>
      <c r="F1332" s="62" t="s">
        <v>25</v>
      </c>
      <c r="G1332" s="62" t="s">
        <v>25</v>
      </c>
      <c r="H1332" s="62" t="s">
        <v>25</v>
      </c>
      <c r="I1332" s="75">
        <v>44562</v>
      </c>
      <c r="J1332" s="76">
        <f>EFEITO!$J$1332*EFEITO!$Y$1332</f>
        <v>0</v>
      </c>
      <c r="K1332" s="76">
        <f ca="1">EFEITO!$L$1332*EFEITO!$Z$1332</f>
        <v>-5015.6010712125353</v>
      </c>
      <c r="L1332" s="76">
        <f>EFEITO!$N$1332*EFEITO!$AA$1332</f>
        <v>-3785.1506012530481</v>
      </c>
      <c r="M1332" s="76">
        <f>$J$1332-EFEITO!$K$1332*EFEITO!$Y$1332</f>
        <v>0</v>
      </c>
      <c r="N1332" s="76">
        <f ca="1">$K$1332-EFEITO!$M$1332*EFEITO!$Z$1332</f>
        <v>0</v>
      </c>
      <c r="O1332" s="76">
        <f>$L$1332-EFEITO!$O$1332*EFEITO!$AA$1332</f>
        <v>0</v>
      </c>
      <c r="P1332" s="18"/>
      <c r="Q1332" s="18"/>
      <c r="R1332" s="18"/>
      <c r="S1332" s="18"/>
      <c r="T1332" s="18"/>
      <c r="U1332" s="18"/>
      <c r="V1332" s="18"/>
      <c r="W1332" s="18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</row>
    <row r="1333" spans="1:36" ht="11.25" customHeight="1" x14ac:dyDescent="0.2">
      <c r="A1333" s="62" t="s">
        <v>28</v>
      </c>
      <c r="B1333" s="62" t="s">
        <v>22</v>
      </c>
      <c r="C1333" s="62" t="s">
        <v>23</v>
      </c>
      <c r="D1333" s="62" t="s">
        <v>24</v>
      </c>
      <c r="E1333" s="62" t="s">
        <v>24</v>
      </c>
      <c r="F1333" s="62" t="s">
        <v>25</v>
      </c>
      <c r="G1333" s="62" t="s">
        <v>25</v>
      </c>
      <c r="H1333" s="62" t="s">
        <v>25</v>
      </c>
      <c r="I1333" s="75">
        <v>44562</v>
      </c>
      <c r="J1333" s="76">
        <f>EFEITO!$J$1333*EFEITO!$Y$1333</f>
        <v>0</v>
      </c>
      <c r="K1333" s="76">
        <f ca="1">EFEITO!$L$1333*EFEITO!$Z$1333</f>
        <v>429342.96439616964</v>
      </c>
      <c r="L1333" s="76">
        <f>EFEITO!$N$1333*EFEITO!$AA$1333</f>
        <v>324014.56111720792</v>
      </c>
      <c r="M1333" s="76">
        <f>$J$1333-EFEITO!$K$1333*EFEITO!$Y$1333</f>
        <v>0</v>
      </c>
      <c r="N1333" s="76">
        <f ca="1">$K$1333-EFEITO!$M$1333*EFEITO!$Z$1333</f>
        <v>0</v>
      </c>
      <c r="O1333" s="76">
        <f>$L$1333-EFEITO!$O$1333*EFEITO!$AA$1333</f>
        <v>0</v>
      </c>
      <c r="P1333" s="18"/>
      <c r="Q1333" s="18"/>
      <c r="R1333" s="18"/>
      <c r="S1333" s="18"/>
      <c r="T1333" s="18"/>
      <c r="U1333" s="18"/>
      <c r="V1333" s="18"/>
      <c r="W1333" s="18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</row>
    <row r="1334" spans="1:36" ht="11.25" customHeight="1" x14ac:dyDescent="0.2">
      <c r="A1334" s="62" t="s">
        <v>28</v>
      </c>
      <c r="B1334" s="62" t="s">
        <v>22</v>
      </c>
      <c r="C1334" s="62" t="s">
        <v>23</v>
      </c>
      <c r="D1334" s="62" t="s">
        <v>24</v>
      </c>
      <c r="E1334" s="62" t="s">
        <v>24</v>
      </c>
      <c r="F1334" s="62" t="s">
        <v>25</v>
      </c>
      <c r="G1334" s="62" t="s">
        <v>25</v>
      </c>
      <c r="H1334" s="62" t="s">
        <v>25</v>
      </c>
      <c r="I1334" s="75">
        <v>44562</v>
      </c>
      <c r="J1334" s="76">
        <f>EFEITO!$J$1334*EFEITO!$Y$1334</f>
        <v>0</v>
      </c>
      <c r="K1334" s="76">
        <f ca="1">EFEITO!$L$1334*EFEITO!$Z$1334</f>
        <v>-1289.3890413846036</v>
      </c>
      <c r="L1334" s="76">
        <f>EFEITO!$N$1334*EFEITO!$AA$1334</f>
        <v>-973.07015369668181</v>
      </c>
      <c r="M1334" s="76">
        <f>$J$1334-EFEITO!$K$1334*EFEITO!$Y$1334</f>
        <v>0</v>
      </c>
      <c r="N1334" s="76">
        <f ca="1">$K$1334-EFEITO!$M$1334*EFEITO!$Z$1334</f>
        <v>0</v>
      </c>
      <c r="O1334" s="76">
        <f>$L$1334-EFEITO!$O$1334*EFEITO!$AA$1334</f>
        <v>0</v>
      </c>
      <c r="P1334" s="18"/>
      <c r="Q1334" s="18"/>
      <c r="R1334" s="18"/>
      <c r="S1334" s="18"/>
      <c r="T1334" s="18"/>
      <c r="U1334" s="18"/>
      <c r="V1334" s="18"/>
      <c r="W1334" s="18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</row>
    <row r="1335" spans="1:36" ht="11.25" customHeight="1" x14ac:dyDescent="0.2">
      <c r="A1335" s="62" t="s">
        <v>21</v>
      </c>
      <c r="B1335" s="62" t="s">
        <v>22</v>
      </c>
      <c r="C1335" s="62" t="s">
        <v>23</v>
      </c>
      <c r="D1335" s="62" t="s">
        <v>24</v>
      </c>
      <c r="E1335" s="62" t="s">
        <v>24</v>
      </c>
      <c r="F1335" s="62" t="s">
        <v>25</v>
      </c>
      <c r="G1335" s="62" t="s">
        <v>25</v>
      </c>
      <c r="H1335" s="62" t="s">
        <v>25</v>
      </c>
      <c r="I1335" s="75">
        <v>44593</v>
      </c>
      <c r="J1335" s="76">
        <f>EFEITO!$J$1335*EFEITO!$Y$1335</f>
        <v>0</v>
      </c>
      <c r="K1335" s="76">
        <f ca="1">EFEITO!$L$1335*EFEITO!$Z$1335</f>
        <v>15339815.562937539</v>
      </c>
      <c r="L1335" s="76">
        <f>EFEITO!$N$1335*EFEITO!$AA$1335</f>
        <v>11576581.007294282</v>
      </c>
      <c r="M1335" s="76">
        <f>$J$1335-EFEITO!$K$1335*EFEITO!$Y$1335</f>
        <v>0</v>
      </c>
      <c r="N1335" s="76">
        <f ca="1">$K$1335-EFEITO!$M$1335*EFEITO!$Z$1335</f>
        <v>0</v>
      </c>
      <c r="O1335" s="76">
        <f>$L$1335-EFEITO!$O$1335*EFEITO!$AA$1335</f>
        <v>0</v>
      </c>
      <c r="P1335" s="18"/>
      <c r="Q1335" s="18"/>
      <c r="R1335" s="18"/>
      <c r="S1335" s="18"/>
      <c r="T1335" s="18"/>
      <c r="U1335" s="18"/>
      <c r="V1335" s="18"/>
      <c r="W1335" s="18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</row>
    <row r="1336" spans="1:36" ht="11.25" customHeight="1" x14ac:dyDescent="0.2">
      <c r="A1336" s="62" t="s">
        <v>27</v>
      </c>
      <c r="B1336" s="62" t="s">
        <v>22</v>
      </c>
      <c r="C1336" s="62" t="s">
        <v>23</v>
      </c>
      <c r="D1336" s="62" t="s">
        <v>24</v>
      </c>
      <c r="E1336" s="62" t="s">
        <v>24</v>
      </c>
      <c r="F1336" s="62" t="s">
        <v>25</v>
      </c>
      <c r="G1336" s="62" t="s">
        <v>25</v>
      </c>
      <c r="H1336" s="62" t="s">
        <v>25</v>
      </c>
      <c r="I1336" s="75">
        <v>44593</v>
      </c>
      <c r="J1336" s="76">
        <f>EFEITO!$J$1336*EFEITO!$Y$1336</f>
        <v>0</v>
      </c>
      <c r="K1336" s="76">
        <f ca="1">EFEITO!$L$1336*EFEITO!$Z$1336</f>
        <v>-9539.3823386990989</v>
      </c>
      <c r="L1336" s="76">
        <f>EFEITO!$N$1336*EFEITO!$AA$1336</f>
        <v>-7199.1369094632555</v>
      </c>
      <c r="M1336" s="76">
        <f>$J$1336-EFEITO!$K$1336*EFEITO!$Y$1336</f>
        <v>0</v>
      </c>
      <c r="N1336" s="76">
        <f ca="1">$K$1336-EFEITO!$M$1336*EFEITO!$Z$1336</f>
        <v>0</v>
      </c>
      <c r="O1336" s="76">
        <f>$L$1336-EFEITO!$O$1336*EFEITO!$AA$1336</f>
        <v>0</v>
      </c>
      <c r="P1336" s="18"/>
      <c r="Q1336" s="18"/>
      <c r="R1336" s="18"/>
      <c r="S1336" s="18"/>
      <c r="T1336" s="18"/>
      <c r="U1336" s="18"/>
      <c r="V1336" s="18"/>
      <c r="W1336" s="18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</row>
    <row r="1337" spans="1:36" ht="11.25" customHeight="1" x14ac:dyDescent="0.2">
      <c r="A1337" s="62" t="s">
        <v>28</v>
      </c>
      <c r="B1337" s="62" t="s">
        <v>22</v>
      </c>
      <c r="C1337" s="62" t="s">
        <v>23</v>
      </c>
      <c r="D1337" s="62" t="s">
        <v>24</v>
      </c>
      <c r="E1337" s="62" t="s">
        <v>24</v>
      </c>
      <c r="F1337" s="62" t="s">
        <v>25</v>
      </c>
      <c r="G1337" s="62" t="s">
        <v>25</v>
      </c>
      <c r="H1337" s="62" t="s">
        <v>25</v>
      </c>
      <c r="I1337" s="75">
        <v>44593</v>
      </c>
      <c r="J1337" s="76">
        <f>EFEITO!$J$1337*EFEITO!$Y$1337</f>
        <v>0</v>
      </c>
      <c r="K1337" s="76">
        <f ca="1">EFEITO!$L$1337*EFEITO!$Z$1337</f>
        <v>476637.59719159087</v>
      </c>
      <c r="L1337" s="76">
        <f>EFEITO!$N$1337*EFEITO!$AA$1337</f>
        <v>359706.65568771027</v>
      </c>
      <c r="M1337" s="76">
        <f>$J$1337-EFEITO!$K$1337*EFEITO!$Y$1337</f>
        <v>0</v>
      </c>
      <c r="N1337" s="76">
        <f ca="1">$K$1337-EFEITO!$M$1337*EFEITO!$Z$1337</f>
        <v>0</v>
      </c>
      <c r="O1337" s="76">
        <f>$L$1337-EFEITO!$O$1337*EFEITO!$AA$1337</f>
        <v>0</v>
      </c>
      <c r="P1337" s="18"/>
      <c r="Q1337" s="18"/>
      <c r="R1337" s="18"/>
      <c r="S1337" s="18"/>
      <c r="T1337" s="18"/>
      <c r="U1337" s="18"/>
      <c r="V1337" s="18"/>
      <c r="W1337" s="18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</row>
    <row r="1338" spans="1:36" ht="11.25" customHeight="1" x14ac:dyDescent="0.2">
      <c r="A1338" s="62" t="s">
        <v>28</v>
      </c>
      <c r="B1338" s="62" t="s">
        <v>22</v>
      </c>
      <c r="C1338" s="62" t="s">
        <v>23</v>
      </c>
      <c r="D1338" s="62" t="s">
        <v>24</v>
      </c>
      <c r="E1338" s="62" t="s">
        <v>24</v>
      </c>
      <c r="F1338" s="62" t="s">
        <v>25</v>
      </c>
      <c r="G1338" s="62" t="s">
        <v>25</v>
      </c>
      <c r="H1338" s="62" t="s">
        <v>25</v>
      </c>
      <c r="I1338" s="75">
        <v>44593</v>
      </c>
      <c r="J1338" s="76">
        <f>EFEITO!$J$1338*EFEITO!$Y$1338</f>
        <v>0</v>
      </c>
      <c r="K1338" s="76">
        <f ca="1">EFEITO!$L$1338*EFEITO!$Z$1338</f>
        <v>-317.97941128996996</v>
      </c>
      <c r="L1338" s="76">
        <f>EFEITO!$N$1338*EFEITO!$AA$1338</f>
        <v>-239.97123031544183</v>
      </c>
      <c r="M1338" s="76">
        <f>$J$1338-EFEITO!$K$1338*EFEITO!$Y$1338</f>
        <v>0</v>
      </c>
      <c r="N1338" s="76">
        <f ca="1">$K$1338-EFEITO!$M$1338*EFEITO!$Z$1338</f>
        <v>0</v>
      </c>
      <c r="O1338" s="76">
        <f>$L$1338-EFEITO!$O$1338*EFEITO!$AA$1338</f>
        <v>0</v>
      </c>
      <c r="P1338" s="18"/>
      <c r="Q1338" s="18"/>
      <c r="R1338" s="18"/>
      <c r="S1338" s="18"/>
      <c r="T1338" s="18"/>
      <c r="U1338" s="18"/>
      <c r="V1338" s="18"/>
      <c r="W1338" s="18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</row>
    <row r="1339" spans="1:36" ht="11.25" customHeight="1" x14ac:dyDescent="0.2">
      <c r="A1339" s="62" t="s">
        <v>21</v>
      </c>
      <c r="B1339" s="62" t="s">
        <v>22</v>
      </c>
      <c r="C1339" s="62" t="s">
        <v>23</v>
      </c>
      <c r="D1339" s="62" t="s">
        <v>24</v>
      </c>
      <c r="E1339" s="62" t="s">
        <v>24</v>
      </c>
      <c r="F1339" s="62" t="s">
        <v>25</v>
      </c>
      <c r="G1339" s="62" t="s">
        <v>25</v>
      </c>
      <c r="H1339" s="62" t="s">
        <v>25</v>
      </c>
      <c r="I1339" s="75">
        <v>44621</v>
      </c>
      <c r="J1339" s="76">
        <f>EFEITO!$J$1339*EFEITO!$Y$1339</f>
        <v>0</v>
      </c>
      <c r="K1339" s="76">
        <f ca="1">EFEITO!$L$1339*EFEITO!$Z$1339</f>
        <v>16724464.771528013</v>
      </c>
      <c r="L1339" s="76">
        <f>EFEITO!$N$1339*EFEITO!$AA$1339</f>
        <v>12621541.663057467</v>
      </c>
      <c r="M1339" s="76">
        <f>$J$1339-EFEITO!$K$1339*EFEITO!$Y$1339</f>
        <v>0</v>
      </c>
      <c r="N1339" s="76">
        <f ca="1">$K$1339-EFEITO!$M$1339*EFEITO!$Z$1339</f>
        <v>0</v>
      </c>
      <c r="O1339" s="76">
        <f>$L$1339-EFEITO!$O$1339*EFEITO!$AA$1339</f>
        <v>0</v>
      </c>
      <c r="P1339" s="18"/>
      <c r="Q1339" s="18"/>
      <c r="R1339" s="18"/>
      <c r="S1339" s="18"/>
      <c r="T1339" s="18"/>
      <c r="U1339" s="18"/>
      <c r="V1339" s="18"/>
      <c r="W1339" s="18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</row>
    <row r="1340" spans="1:36" ht="11.25" customHeight="1" x14ac:dyDescent="0.2">
      <c r="A1340" s="62" t="s">
        <v>27</v>
      </c>
      <c r="B1340" s="62" t="s">
        <v>22</v>
      </c>
      <c r="C1340" s="62" t="s">
        <v>23</v>
      </c>
      <c r="D1340" s="62" t="s">
        <v>24</v>
      </c>
      <c r="E1340" s="62" t="s">
        <v>24</v>
      </c>
      <c r="F1340" s="62" t="s">
        <v>25</v>
      </c>
      <c r="G1340" s="62" t="s">
        <v>25</v>
      </c>
      <c r="H1340" s="62" t="s">
        <v>25</v>
      </c>
      <c r="I1340" s="75">
        <v>44621</v>
      </c>
      <c r="J1340" s="76">
        <f>EFEITO!$J$1340*EFEITO!$Y$1340</f>
        <v>0</v>
      </c>
      <c r="K1340" s="76">
        <f ca="1">EFEITO!$L$1340*EFEITO!$Z$1340</f>
        <v>-18181.171696353023</v>
      </c>
      <c r="L1340" s="76">
        <f>EFEITO!$N$1340*EFEITO!$AA$1340</f>
        <v>-13720.882502582785</v>
      </c>
      <c r="M1340" s="76">
        <f>$J$1340-EFEITO!$K$1340*EFEITO!$Y$1340</f>
        <v>0</v>
      </c>
      <c r="N1340" s="76">
        <f ca="1">$K$1340-EFEITO!$M$1340*EFEITO!$Z$1340</f>
        <v>0</v>
      </c>
      <c r="O1340" s="76">
        <f>$L$1340-EFEITO!$O$1340*EFEITO!$AA$1340</f>
        <v>0</v>
      </c>
      <c r="P1340" s="18"/>
      <c r="Q1340" s="18"/>
      <c r="R1340" s="18"/>
      <c r="S1340" s="18"/>
      <c r="T1340" s="18"/>
      <c r="U1340" s="18"/>
      <c r="V1340" s="18"/>
      <c r="W1340" s="18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</row>
    <row r="1341" spans="1:36" ht="11.25" customHeight="1" x14ac:dyDescent="0.2">
      <c r="A1341" s="62" t="s">
        <v>28</v>
      </c>
      <c r="B1341" s="62" t="s">
        <v>22</v>
      </c>
      <c r="C1341" s="62" t="s">
        <v>23</v>
      </c>
      <c r="D1341" s="62" t="s">
        <v>24</v>
      </c>
      <c r="E1341" s="62" t="s">
        <v>24</v>
      </c>
      <c r="F1341" s="62" t="s">
        <v>25</v>
      </c>
      <c r="G1341" s="62" t="s">
        <v>25</v>
      </c>
      <c r="H1341" s="62" t="s">
        <v>25</v>
      </c>
      <c r="I1341" s="75">
        <v>44621</v>
      </c>
      <c r="J1341" s="76">
        <f>EFEITO!$J$1341*EFEITO!$Y$1341</f>
        <v>0</v>
      </c>
      <c r="K1341" s="76">
        <f ca="1">EFEITO!$L$1341*EFEITO!$Z$1341</f>
        <v>508121.92675835412</v>
      </c>
      <c r="L1341" s="76">
        <f>EFEITO!$N$1341*EFEITO!$AA$1341</f>
        <v>383467.10379704775</v>
      </c>
      <c r="M1341" s="76">
        <f>$J$1341-EFEITO!$K$1341*EFEITO!$Y$1341</f>
        <v>0</v>
      </c>
      <c r="N1341" s="76">
        <f ca="1">$K$1341-EFEITO!$M$1341*EFEITO!$Z$1341</f>
        <v>0</v>
      </c>
      <c r="O1341" s="76">
        <f>$L$1341-EFEITO!$O$1341*EFEITO!$AA$1341</f>
        <v>0</v>
      </c>
      <c r="P1341" s="18"/>
      <c r="Q1341" s="18"/>
      <c r="R1341" s="18"/>
      <c r="S1341" s="18"/>
      <c r="T1341" s="18"/>
      <c r="U1341" s="18"/>
      <c r="V1341" s="18"/>
      <c r="W1341" s="18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</row>
    <row r="1342" spans="1:36" ht="11.25" customHeight="1" x14ac:dyDescent="0.2">
      <c r="A1342" s="62" t="s">
        <v>28</v>
      </c>
      <c r="B1342" s="62" t="s">
        <v>22</v>
      </c>
      <c r="C1342" s="62" t="s">
        <v>23</v>
      </c>
      <c r="D1342" s="62" t="s">
        <v>24</v>
      </c>
      <c r="E1342" s="62" t="s">
        <v>24</v>
      </c>
      <c r="F1342" s="62" t="s">
        <v>25</v>
      </c>
      <c r="G1342" s="62" t="s">
        <v>25</v>
      </c>
      <c r="H1342" s="62" t="s">
        <v>25</v>
      </c>
      <c r="I1342" s="75">
        <v>44621</v>
      </c>
      <c r="J1342" s="76">
        <f>EFEITO!$J$1342*EFEITO!$Y$1342</f>
        <v>0</v>
      </c>
      <c r="K1342" s="76">
        <f ca="1">EFEITO!$L$1342*EFEITO!$Z$1342</f>
        <v>-1060.513750840724</v>
      </c>
      <c r="L1342" s="76">
        <f>EFEITO!$N$1342*EFEITO!$AA$1342</f>
        <v>-800.3436087993033</v>
      </c>
      <c r="M1342" s="76">
        <f>$J$1342-EFEITO!$K$1342*EFEITO!$Y$1342</f>
        <v>0</v>
      </c>
      <c r="N1342" s="76">
        <f ca="1">$K$1342-EFEITO!$M$1342*EFEITO!$Z$1342</f>
        <v>0</v>
      </c>
      <c r="O1342" s="76">
        <f>$L$1342-EFEITO!$O$1342*EFEITO!$AA$1342</f>
        <v>0</v>
      </c>
      <c r="P1342" s="18"/>
      <c r="Q1342" s="18"/>
      <c r="R1342" s="18"/>
      <c r="S1342" s="18"/>
      <c r="T1342" s="18"/>
      <c r="U1342" s="18"/>
      <c r="V1342" s="18"/>
      <c r="W1342" s="18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</row>
    <row r="1343" spans="1:36" ht="11.25" customHeight="1" x14ac:dyDescent="0.2">
      <c r="A1343" s="62" t="s">
        <v>21</v>
      </c>
      <c r="B1343" s="62" t="s">
        <v>22</v>
      </c>
      <c r="C1343" s="62" t="s">
        <v>23</v>
      </c>
      <c r="D1343" s="62" t="s">
        <v>24</v>
      </c>
      <c r="E1343" s="62" t="s">
        <v>24</v>
      </c>
      <c r="F1343" s="62" t="s">
        <v>25</v>
      </c>
      <c r="G1343" s="62" t="s">
        <v>25</v>
      </c>
      <c r="H1343" s="62" t="s">
        <v>25</v>
      </c>
      <c r="I1343" s="75">
        <v>44652</v>
      </c>
      <c r="J1343" s="76">
        <f>EFEITO!$J$1343*EFEITO!$Y$1343</f>
        <v>0</v>
      </c>
      <c r="K1343" s="76">
        <f ca="1">EFEITO!$L$1343*EFEITO!$Z$1343</f>
        <v>15603042.675953563</v>
      </c>
      <c r="L1343" s="76">
        <f>EFEITO!$N$1343*EFEITO!$AA$1343</f>
        <v>11775232.026574377</v>
      </c>
      <c r="M1343" s="76">
        <f>$J$1343-EFEITO!$K$1343*EFEITO!$Y$1343</f>
        <v>0</v>
      </c>
      <c r="N1343" s="76">
        <f ca="1">$K$1343-EFEITO!$M$1343*EFEITO!$Z$1343</f>
        <v>0</v>
      </c>
      <c r="O1343" s="76">
        <f>$L$1343-EFEITO!$O$1343*EFEITO!$AA$1343</f>
        <v>0</v>
      </c>
      <c r="P1343" s="18"/>
      <c r="Q1343" s="18"/>
      <c r="R1343" s="18"/>
      <c r="S1343" s="18"/>
      <c r="T1343" s="18"/>
      <c r="U1343" s="18"/>
      <c r="V1343" s="18"/>
      <c r="W1343" s="18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</row>
    <row r="1344" spans="1:36" ht="11.25" customHeight="1" x14ac:dyDescent="0.2">
      <c r="A1344" s="62" t="s">
        <v>27</v>
      </c>
      <c r="B1344" s="62" t="s">
        <v>22</v>
      </c>
      <c r="C1344" s="62" t="s">
        <v>23</v>
      </c>
      <c r="D1344" s="62" t="s">
        <v>24</v>
      </c>
      <c r="E1344" s="62" t="s">
        <v>24</v>
      </c>
      <c r="F1344" s="62" t="s">
        <v>25</v>
      </c>
      <c r="G1344" s="62" t="s">
        <v>25</v>
      </c>
      <c r="H1344" s="62" t="s">
        <v>25</v>
      </c>
      <c r="I1344" s="75">
        <v>44652</v>
      </c>
      <c r="J1344" s="76">
        <f>EFEITO!$J$1344*EFEITO!$Y$1344</f>
        <v>0</v>
      </c>
      <c r="K1344" s="76">
        <f ca="1">EFEITO!$L$1344*EFEITO!$Z$1344</f>
        <v>-15389.679364547806</v>
      </c>
      <c r="L1344" s="76">
        <f>EFEITO!$N$1344*EFEITO!$AA$1344</f>
        <v>-11614.21199029434</v>
      </c>
      <c r="M1344" s="76">
        <f>$J$1344-EFEITO!$K$1344*EFEITO!$Y$1344</f>
        <v>0</v>
      </c>
      <c r="N1344" s="76">
        <f ca="1">$K$1344-EFEITO!$M$1344*EFEITO!$Z$1344</f>
        <v>0</v>
      </c>
      <c r="O1344" s="76">
        <f>$L$1344-EFEITO!$O$1344*EFEITO!$AA$1344</f>
        <v>0</v>
      </c>
      <c r="P1344" s="18"/>
      <c r="Q1344" s="18"/>
      <c r="R1344" s="18"/>
      <c r="S1344" s="18"/>
      <c r="T1344" s="18"/>
      <c r="U1344" s="18"/>
      <c r="V1344" s="18"/>
      <c r="W1344" s="18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</row>
    <row r="1345" spans="1:36" ht="11.25" customHeight="1" x14ac:dyDescent="0.2">
      <c r="A1345" s="62" t="s">
        <v>28</v>
      </c>
      <c r="B1345" s="62" t="s">
        <v>22</v>
      </c>
      <c r="C1345" s="62" t="s">
        <v>23</v>
      </c>
      <c r="D1345" s="62" t="s">
        <v>24</v>
      </c>
      <c r="E1345" s="62" t="s">
        <v>24</v>
      </c>
      <c r="F1345" s="62" t="s">
        <v>25</v>
      </c>
      <c r="G1345" s="62" t="s">
        <v>25</v>
      </c>
      <c r="H1345" s="62" t="s">
        <v>25</v>
      </c>
      <c r="I1345" s="75">
        <v>44652</v>
      </c>
      <c r="J1345" s="76">
        <f>EFEITO!$J$1345*EFEITO!$Y$1345</f>
        <v>0</v>
      </c>
      <c r="K1345" s="76">
        <f ca="1">EFEITO!$L$1345*EFEITO!$Z$1345</f>
        <v>529082.36080915492</v>
      </c>
      <c r="L1345" s="76">
        <f>EFEITO!$N$1345*EFEITO!$AA$1345</f>
        <v>399285.42714921449</v>
      </c>
      <c r="M1345" s="76">
        <f>$J$1345-EFEITO!$K$1345*EFEITO!$Y$1345</f>
        <v>0</v>
      </c>
      <c r="N1345" s="76">
        <f ca="1">$K$1345-EFEITO!$M$1345*EFEITO!$Z$1345</f>
        <v>0</v>
      </c>
      <c r="O1345" s="76">
        <f>$L$1345-EFEITO!$O$1345*EFEITO!$AA$1345</f>
        <v>0</v>
      </c>
      <c r="P1345" s="18"/>
      <c r="Q1345" s="18"/>
      <c r="R1345" s="18"/>
      <c r="S1345" s="18"/>
      <c r="T1345" s="18"/>
      <c r="U1345" s="18"/>
      <c r="V1345" s="18"/>
      <c r="W1345" s="18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</row>
    <row r="1346" spans="1:36" ht="11.25" customHeight="1" x14ac:dyDescent="0.2">
      <c r="A1346" s="62" t="s">
        <v>28</v>
      </c>
      <c r="B1346" s="62" t="s">
        <v>22</v>
      </c>
      <c r="C1346" s="62" t="s">
        <v>23</v>
      </c>
      <c r="D1346" s="62" t="s">
        <v>24</v>
      </c>
      <c r="E1346" s="62" t="s">
        <v>24</v>
      </c>
      <c r="F1346" s="62" t="s">
        <v>25</v>
      </c>
      <c r="G1346" s="62" t="s">
        <v>25</v>
      </c>
      <c r="H1346" s="62" t="s">
        <v>25</v>
      </c>
      <c r="I1346" s="75">
        <v>44652</v>
      </c>
      <c r="J1346" s="76">
        <f>EFEITO!$J$1346*EFEITO!$Y$1346</f>
        <v>0</v>
      </c>
      <c r="K1346" s="76">
        <f ca="1">EFEITO!$L$1346*EFEITO!$Z$1346</f>
        <v>-2587.5137808815693</v>
      </c>
      <c r="L1346" s="76">
        <f>EFEITO!$N$1346*EFEITO!$AA$1346</f>
        <v>-1952.732923610821</v>
      </c>
      <c r="M1346" s="76">
        <f>$J$1346-EFEITO!$K$1346*EFEITO!$Y$1346</f>
        <v>0</v>
      </c>
      <c r="N1346" s="76">
        <f ca="1">$K$1346-EFEITO!$M$1346*EFEITO!$Z$1346</f>
        <v>0</v>
      </c>
      <c r="O1346" s="76">
        <f>$L$1346-EFEITO!$O$1346*EFEITO!$AA$1346</f>
        <v>0</v>
      </c>
      <c r="P1346" s="18"/>
      <c r="Q1346" s="18"/>
      <c r="R1346" s="18"/>
      <c r="S1346" s="18"/>
      <c r="T1346" s="18"/>
      <c r="U1346" s="18"/>
      <c r="V1346" s="18"/>
      <c r="W1346" s="18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</row>
    <row r="1347" spans="1:36" ht="11.25" customHeight="1" x14ac:dyDescent="0.2">
      <c r="A1347" s="62" t="s">
        <v>58</v>
      </c>
      <c r="B1347" s="62" t="s">
        <v>22</v>
      </c>
      <c r="C1347" s="62" t="s">
        <v>23</v>
      </c>
      <c r="D1347" s="62" t="s">
        <v>24</v>
      </c>
      <c r="E1347" s="62" t="s">
        <v>24</v>
      </c>
      <c r="F1347" s="62" t="s">
        <v>25</v>
      </c>
      <c r="G1347" s="62" t="s">
        <v>25</v>
      </c>
      <c r="H1347" s="62" t="s">
        <v>25</v>
      </c>
      <c r="I1347" s="75">
        <v>44682</v>
      </c>
      <c r="J1347" s="76">
        <f>EFEITO!$J$1347*EFEITO!$Y$1347</f>
        <v>0</v>
      </c>
      <c r="K1347" s="76">
        <f ca="1">EFEITO!$L$1347*EFEITO!$Z$1347</f>
        <v>15603042.675953563</v>
      </c>
      <c r="L1347" s="76">
        <f>EFEITO!$N$1347*EFEITO!$AA$1347</f>
        <v>11775232.026574377</v>
      </c>
      <c r="M1347" s="76">
        <f>$J$1347-EFEITO!$K$1347*EFEITO!$Y$1347</f>
        <v>0</v>
      </c>
      <c r="N1347" s="76">
        <f ca="1">$K$1347-EFEITO!$M$1347*EFEITO!$Z$1347</f>
        <v>0</v>
      </c>
      <c r="O1347" s="76">
        <f>$L$1347-EFEITO!$O$1347*EFEITO!$AA$1347</f>
        <v>0</v>
      </c>
      <c r="P1347" s="18"/>
      <c r="Q1347" s="18"/>
      <c r="R1347" s="18"/>
      <c r="S1347" s="18"/>
      <c r="T1347" s="18"/>
      <c r="U1347" s="18"/>
      <c r="V1347" s="18"/>
      <c r="W1347" s="18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</row>
    <row r="1348" spans="1:36" ht="11.25" customHeight="1" x14ac:dyDescent="0.2">
      <c r="A1348" s="62" t="s">
        <v>58</v>
      </c>
      <c r="B1348" s="62" t="s">
        <v>22</v>
      </c>
      <c r="C1348" s="62" t="s">
        <v>23</v>
      </c>
      <c r="D1348" s="62" t="s">
        <v>24</v>
      </c>
      <c r="E1348" s="62" t="s">
        <v>24</v>
      </c>
      <c r="F1348" s="62" t="s">
        <v>25</v>
      </c>
      <c r="G1348" s="62" t="s">
        <v>25</v>
      </c>
      <c r="H1348" s="62" t="s">
        <v>25</v>
      </c>
      <c r="I1348" s="75">
        <v>44682</v>
      </c>
      <c r="J1348" s="76">
        <f>EFEITO!$J$1348*EFEITO!$Y$1348</f>
        <v>0</v>
      </c>
      <c r="K1348" s="76">
        <f ca="1">EFEITO!$L$1348*EFEITO!$Z$1348</f>
        <v>-15389.679364547806</v>
      </c>
      <c r="L1348" s="76">
        <f>EFEITO!$N$1348*EFEITO!$AA$1348</f>
        <v>-11614.21199029434</v>
      </c>
      <c r="M1348" s="76">
        <f>$J$1348-EFEITO!$K$1348*EFEITO!$Y$1348</f>
        <v>0</v>
      </c>
      <c r="N1348" s="76">
        <f ca="1">$K$1348-EFEITO!$M$1348*EFEITO!$Z$1348</f>
        <v>0</v>
      </c>
      <c r="O1348" s="76">
        <f>$L$1348-EFEITO!$O$1348*EFEITO!$AA$1348</f>
        <v>0</v>
      </c>
      <c r="P1348" s="18"/>
      <c r="Q1348" s="18"/>
      <c r="R1348" s="18"/>
      <c r="S1348" s="18"/>
      <c r="T1348" s="18"/>
      <c r="U1348" s="18"/>
      <c r="V1348" s="18"/>
      <c r="W1348" s="18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</row>
    <row r="1349" spans="1:36" ht="11.25" customHeight="1" x14ac:dyDescent="0.2">
      <c r="A1349" s="62" t="s">
        <v>58</v>
      </c>
      <c r="B1349" s="62" t="s">
        <v>22</v>
      </c>
      <c r="C1349" s="62" t="s">
        <v>23</v>
      </c>
      <c r="D1349" s="62" t="s">
        <v>24</v>
      </c>
      <c r="E1349" s="62" t="s">
        <v>24</v>
      </c>
      <c r="F1349" s="62" t="s">
        <v>25</v>
      </c>
      <c r="G1349" s="62" t="s">
        <v>25</v>
      </c>
      <c r="H1349" s="62" t="s">
        <v>25</v>
      </c>
      <c r="I1349" s="75">
        <v>44682</v>
      </c>
      <c r="J1349" s="76">
        <f>EFEITO!$J$1349*EFEITO!$Y$1349</f>
        <v>0</v>
      </c>
      <c r="K1349" s="76">
        <f ca="1">EFEITO!$L$1349*EFEITO!$Z$1349</f>
        <v>529082.36080915492</v>
      </c>
      <c r="L1349" s="76">
        <f>EFEITO!$N$1349*EFEITO!$AA$1349</f>
        <v>399285.42714921449</v>
      </c>
      <c r="M1349" s="76">
        <f>$J$1349-EFEITO!$K$1349*EFEITO!$Y$1349</f>
        <v>0</v>
      </c>
      <c r="N1349" s="76">
        <f ca="1">$K$1349-EFEITO!$M$1349*EFEITO!$Z$1349</f>
        <v>0</v>
      </c>
      <c r="O1349" s="76">
        <f>$L$1349-EFEITO!$O$1349*EFEITO!$AA$1349</f>
        <v>0</v>
      </c>
      <c r="P1349" s="18"/>
      <c r="Q1349" s="18"/>
      <c r="R1349" s="18"/>
      <c r="S1349" s="18"/>
      <c r="T1349" s="18"/>
      <c r="U1349" s="18"/>
      <c r="V1349" s="18"/>
      <c r="W1349" s="18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</row>
    <row r="1350" spans="1:36" ht="11.25" customHeight="1" x14ac:dyDescent="0.2">
      <c r="A1350" s="62" t="s">
        <v>58</v>
      </c>
      <c r="B1350" s="62" t="s">
        <v>22</v>
      </c>
      <c r="C1350" s="62" t="s">
        <v>23</v>
      </c>
      <c r="D1350" s="62" t="s">
        <v>24</v>
      </c>
      <c r="E1350" s="62" t="s">
        <v>24</v>
      </c>
      <c r="F1350" s="62" t="s">
        <v>25</v>
      </c>
      <c r="G1350" s="62" t="s">
        <v>25</v>
      </c>
      <c r="H1350" s="62" t="s">
        <v>25</v>
      </c>
      <c r="I1350" s="75">
        <v>44682</v>
      </c>
      <c r="J1350" s="76">
        <f>EFEITO!$J$1350*EFEITO!$Y$1350</f>
        <v>0</v>
      </c>
      <c r="K1350" s="76">
        <f ca="1">EFEITO!$L$1350*EFEITO!$Z$1350</f>
        <v>-2587.5137808815693</v>
      </c>
      <c r="L1350" s="76">
        <f>EFEITO!$N$1350*EFEITO!$AA$1350</f>
        <v>-1952.732923610821</v>
      </c>
      <c r="M1350" s="76">
        <f>$J$1350-EFEITO!$K$1350*EFEITO!$Y$1350</f>
        <v>0</v>
      </c>
      <c r="N1350" s="76">
        <f ca="1">$K$1350-EFEITO!$M$1350*EFEITO!$Z$1350</f>
        <v>0</v>
      </c>
      <c r="O1350" s="76">
        <f>$L$1350-EFEITO!$O$1350*EFEITO!$AA$1350</f>
        <v>0</v>
      </c>
      <c r="P1350" s="18"/>
      <c r="Q1350" s="18"/>
      <c r="R1350" s="18"/>
      <c r="S1350" s="18"/>
      <c r="T1350" s="18"/>
      <c r="U1350" s="18"/>
      <c r="V1350" s="18"/>
      <c r="W1350" s="18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</row>
    <row r="1351" spans="1:36" ht="11.25" customHeight="1" x14ac:dyDescent="0.2">
      <c r="A1351" s="62" t="s">
        <v>21</v>
      </c>
      <c r="B1351" s="62" t="s">
        <v>22</v>
      </c>
      <c r="C1351" s="62" t="s">
        <v>23</v>
      </c>
      <c r="D1351" s="62" t="s">
        <v>24</v>
      </c>
      <c r="E1351" s="62" t="s">
        <v>29</v>
      </c>
      <c r="F1351" s="62" t="s">
        <v>25</v>
      </c>
      <c r="G1351" s="62" t="s">
        <v>25</v>
      </c>
      <c r="H1351" s="62" t="s">
        <v>25</v>
      </c>
      <c r="I1351" s="75">
        <v>44348</v>
      </c>
      <c r="J1351" s="76">
        <f>EFEITO!$J$1351*EFEITO!$Y$1303</f>
        <v>0</v>
      </c>
      <c r="K1351" s="76">
        <f ca="1">EFEITO!$L$1351*EFEITO!$Z$1464</f>
        <v>757017.12287457951</v>
      </c>
      <c r="L1351" s="76">
        <f>EFEITO!$N$1351*EFEITO!$AA$1464</f>
        <v>806510.34200911282</v>
      </c>
      <c r="M1351" s="76">
        <f>$J$1351-EFEITO!$K$1351*EFEITO!$Y$1351</f>
        <v>0</v>
      </c>
      <c r="N1351" s="76">
        <f ca="1">$K$1351-EFEITO!$M$1351*EFEITO!$Z$1351</f>
        <v>492061.12986847671</v>
      </c>
      <c r="O1351" s="76">
        <f>$L$1351-EFEITO!$O$1351*EFEITO!$AA$1351</f>
        <v>524231.72230592335</v>
      </c>
      <c r="P1351" s="18"/>
      <c r="Q1351" s="18"/>
      <c r="R1351" s="18"/>
      <c r="S1351" s="18"/>
      <c r="T1351" s="18"/>
      <c r="U1351" s="18"/>
      <c r="V1351" s="18"/>
      <c r="W1351" s="18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</row>
    <row r="1352" spans="1:36" ht="11.25" customHeight="1" x14ac:dyDescent="0.2">
      <c r="A1352" s="62" t="s">
        <v>27</v>
      </c>
      <c r="B1352" s="62" t="s">
        <v>22</v>
      </c>
      <c r="C1352" s="62" t="s">
        <v>23</v>
      </c>
      <c r="D1352" s="62" t="s">
        <v>24</v>
      </c>
      <c r="E1352" s="62" t="s">
        <v>29</v>
      </c>
      <c r="F1352" s="62" t="s">
        <v>25</v>
      </c>
      <c r="G1352" s="62" t="s">
        <v>25</v>
      </c>
      <c r="H1352" s="62" t="s">
        <v>25</v>
      </c>
      <c r="I1352" s="75">
        <v>44348</v>
      </c>
      <c r="J1352" s="76">
        <f>EFEITO!$J$1352*EFEITO!$Y$1303</f>
        <v>0</v>
      </c>
      <c r="K1352" s="76">
        <f ca="1">EFEITO!$L$1352*EFEITO!$Z$1464</f>
        <v>237.00217440002154</v>
      </c>
      <c r="L1352" s="76">
        <f>EFEITO!$N$1352*EFEITO!$AA$1464</f>
        <v>252.49720112861053</v>
      </c>
      <c r="M1352" s="76">
        <f>$J$1352-EFEITO!$K$1352*EFEITO!$Y$1352</f>
        <v>0</v>
      </c>
      <c r="N1352" s="76">
        <f ca="1">$K$1352-EFEITO!$M$1352*EFEITO!$Z$1352</f>
        <v>154.05141336001401</v>
      </c>
      <c r="O1352" s="76">
        <f>$L$1352-EFEITO!$O$1352*EFEITO!$AA$1352</f>
        <v>164.12318073359685</v>
      </c>
      <c r="P1352" s="18"/>
      <c r="Q1352" s="18"/>
      <c r="R1352" s="18"/>
      <c r="S1352" s="18"/>
      <c r="T1352" s="18"/>
      <c r="U1352" s="18"/>
      <c r="V1352" s="18"/>
      <c r="W1352" s="18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</row>
    <row r="1353" spans="1:36" ht="11.25" customHeight="1" x14ac:dyDescent="0.2">
      <c r="A1353" s="62" t="s">
        <v>28</v>
      </c>
      <c r="B1353" s="62" t="s">
        <v>22</v>
      </c>
      <c r="C1353" s="62" t="s">
        <v>23</v>
      </c>
      <c r="D1353" s="62" t="s">
        <v>24</v>
      </c>
      <c r="E1353" s="62" t="s">
        <v>29</v>
      </c>
      <c r="F1353" s="62" t="s">
        <v>25</v>
      </c>
      <c r="G1353" s="62" t="s">
        <v>25</v>
      </c>
      <c r="H1353" s="62" t="s">
        <v>25</v>
      </c>
      <c r="I1353" s="75">
        <v>44348</v>
      </c>
      <c r="J1353" s="76">
        <f>EFEITO!$J$1353*EFEITO!$Y$1303</f>
        <v>0</v>
      </c>
      <c r="K1353" s="76">
        <f ca="1">EFEITO!$L$1353*EFEITO!$Z$1464</f>
        <v>714.71935099745394</v>
      </c>
      <c r="L1353" s="76">
        <f>EFEITO!$N$1353*EFEITO!$AA$1464</f>
        <v>761.44717311630586</v>
      </c>
      <c r="M1353" s="76">
        <f>$J$1353-EFEITO!$K$1353*EFEITO!$Y$1353</f>
        <v>0</v>
      </c>
      <c r="N1353" s="76">
        <f ca="1">$K$1353-EFEITO!$M$1353*EFEITO!$Z$1353</f>
        <v>464.56757814834509</v>
      </c>
      <c r="O1353" s="76">
        <f>$L$1353-EFEITO!$O$1353*EFEITO!$AA$1353</f>
        <v>494.94066252559884</v>
      </c>
      <c r="P1353" s="18"/>
      <c r="Q1353" s="18"/>
      <c r="R1353" s="18"/>
      <c r="S1353" s="18"/>
      <c r="T1353" s="18"/>
      <c r="U1353" s="18"/>
      <c r="V1353" s="18"/>
      <c r="W1353" s="18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</row>
    <row r="1354" spans="1:36" ht="11.25" customHeight="1" x14ac:dyDescent="0.2">
      <c r="A1354" s="62" t="s">
        <v>21</v>
      </c>
      <c r="B1354" s="62" t="s">
        <v>22</v>
      </c>
      <c r="C1354" s="62" t="s">
        <v>23</v>
      </c>
      <c r="D1354" s="62" t="s">
        <v>24</v>
      </c>
      <c r="E1354" s="62" t="s">
        <v>29</v>
      </c>
      <c r="F1354" s="62" t="s">
        <v>25</v>
      </c>
      <c r="G1354" s="62" t="s">
        <v>25</v>
      </c>
      <c r="H1354" s="62" t="s">
        <v>25</v>
      </c>
      <c r="I1354" s="75">
        <v>44378</v>
      </c>
      <c r="J1354" s="76">
        <f>EFEITO!$J$1354*EFEITO!$Y$1303</f>
        <v>0</v>
      </c>
      <c r="K1354" s="76">
        <f ca="1">EFEITO!$L$1354*EFEITO!$Z$1464</f>
        <v>769155.28515119466</v>
      </c>
      <c r="L1354" s="76">
        <f>EFEITO!$N$1354*EFEITO!$AA$1464</f>
        <v>819442.08835046587</v>
      </c>
      <c r="M1354" s="76">
        <f>$J$1354-EFEITO!$K$1354*EFEITO!$Y$1354</f>
        <v>0</v>
      </c>
      <c r="N1354" s="76">
        <f ca="1">$K$1354-EFEITO!$M$1354*EFEITO!$Z$1354</f>
        <v>499950.93534827657</v>
      </c>
      <c r="O1354" s="76">
        <f>$L$1354-EFEITO!$O$1354*EFEITO!$AA$1354</f>
        <v>532637.35742780287</v>
      </c>
      <c r="P1354" s="18"/>
      <c r="Q1354" s="18"/>
      <c r="R1354" s="18"/>
      <c r="S1354" s="18"/>
      <c r="T1354" s="18"/>
      <c r="U1354" s="18"/>
      <c r="V1354" s="18"/>
      <c r="W1354" s="18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</row>
    <row r="1355" spans="1:36" ht="11.25" customHeight="1" x14ac:dyDescent="0.2">
      <c r="A1355" s="62" t="s">
        <v>27</v>
      </c>
      <c r="B1355" s="62" t="s">
        <v>22</v>
      </c>
      <c r="C1355" s="62" t="s">
        <v>23</v>
      </c>
      <c r="D1355" s="62" t="s">
        <v>24</v>
      </c>
      <c r="E1355" s="62" t="s">
        <v>29</v>
      </c>
      <c r="F1355" s="62" t="s">
        <v>25</v>
      </c>
      <c r="G1355" s="62" t="s">
        <v>25</v>
      </c>
      <c r="H1355" s="62" t="s">
        <v>25</v>
      </c>
      <c r="I1355" s="75">
        <v>44378</v>
      </c>
      <c r="J1355" s="76">
        <f>EFEITO!$J$1355*EFEITO!$Y$1303</f>
        <v>0</v>
      </c>
      <c r="K1355" s="76">
        <f ca="1">EFEITO!$L$1355*EFEITO!$Z$1464</f>
        <v>229.57651880524278</v>
      </c>
      <c r="L1355" s="76">
        <f>EFEITO!$N$1355*EFEITO!$AA$1464</f>
        <v>244.58606166766188</v>
      </c>
      <c r="M1355" s="76">
        <f>$J$1355-EFEITO!$K$1355*EFEITO!$Y$1355</f>
        <v>0</v>
      </c>
      <c r="N1355" s="76">
        <f ca="1">$K$1355-EFEITO!$M$1355*EFEITO!$Z$1355</f>
        <v>149.22473722340783</v>
      </c>
      <c r="O1355" s="76">
        <f>$L$1355-EFEITO!$O$1355*EFEITO!$AA$1355</f>
        <v>158.98094008398022</v>
      </c>
      <c r="P1355" s="18"/>
      <c r="Q1355" s="18"/>
      <c r="R1355" s="18"/>
      <c r="S1355" s="18"/>
      <c r="T1355" s="18"/>
      <c r="U1355" s="18"/>
      <c r="V1355" s="18"/>
      <c r="W1355" s="18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</row>
    <row r="1356" spans="1:36" ht="11.25" customHeight="1" x14ac:dyDescent="0.2">
      <c r="A1356" s="62" t="s">
        <v>28</v>
      </c>
      <c r="B1356" s="62" t="s">
        <v>22</v>
      </c>
      <c r="C1356" s="62" t="s">
        <v>23</v>
      </c>
      <c r="D1356" s="62" t="s">
        <v>24</v>
      </c>
      <c r="E1356" s="62" t="s">
        <v>29</v>
      </c>
      <c r="F1356" s="62" t="s">
        <v>25</v>
      </c>
      <c r="G1356" s="62" t="s">
        <v>25</v>
      </c>
      <c r="H1356" s="62" t="s">
        <v>25</v>
      </c>
      <c r="I1356" s="75">
        <v>44378</v>
      </c>
      <c r="J1356" s="76">
        <f>EFEITO!$J$1356*EFEITO!$Y$1303</f>
        <v>0</v>
      </c>
      <c r="K1356" s="76">
        <f ca="1">EFEITO!$L$1356*EFEITO!$Z$1464</f>
        <v>798.25797643871488</v>
      </c>
      <c r="L1356" s="76">
        <f>EFEITO!$N$1356*EFEITO!$AA$1464</f>
        <v>850.44749205197797</v>
      </c>
      <c r="M1356" s="76">
        <f>$J$1356-EFEITO!$K$1356*EFEITO!$Y$1356</f>
        <v>0</v>
      </c>
      <c r="N1356" s="76">
        <f ca="1">$K$1356-EFEITO!$M$1356*EFEITO!$Z$1356</f>
        <v>518.8676846851647</v>
      </c>
      <c r="O1356" s="76">
        <f>$L$1356-EFEITO!$O$1356*EFEITO!$AA$1356</f>
        <v>552.79086983378568</v>
      </c>
      <c r="P1356" s="18"/>
      <c r="Q1356" s="18"/>
      <c r="R1356" s="18"/>
      <c r="S1356" s="18"/>
      <c r="T1356" s="18"/>
      <c r="U1356" s="18"/>
      <c r="V1356" s="18"/>
      <c r="W1356" s="18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</row>
    <row r="1357" spans="1:36" ht="11.25" customHeight="1" x14ac:dyDescent="0.2">
      <c r="A1357" s="62" t="s">
        <v>21</v>
      </c>
      <c r="B1357" s="62" t="s">
        <v>22</v>
      </c>
      <c r="C1357" s="62" t="s">
        <v>23</v>
      </c>
      <c r="D1357" s="62" t="s">
        <v>24</v>
      </c>
      <c r="E1357" s="62" t="s">
        <v>29</v>
      </c>
      <c r="F1357" s="62" t="s">
        <v>25</v>
      </c>
      <c r="G1357" s="62" t="s">
        <v>25</v>
      </c>
      <c r="H1357" s="62" t="s">
        <v>25</v>
      </c>
      <c r="I1357" s="75">
        <v>44409</v>
      </c>
      <c r="J1357" s="76">
        <f>EFEITO!$J$1357*EFEITO!$Y$1303</f>
        <v>0</v>
      </c>
      <c r="K1357" s="76">
        <f ca="1">EFEITO!$L$1357*EFEITO!$Z$1464</f>
        <v>776835.57885241113</v>
      </c>
      <c r="L1357" s="76">
        <f>EFEITO!$N$1357*EFEITO!$AA$1464</f>
        <v>827624.51396876294</v>
      </c>
      <c r="M1357" s="76">
        <f>$J$1357-EFEITO!$K$1357*EFEITO!$Y$1357</f>
        <v>0</v>
      </c>
      <c r="N1357" s="76">
        <f ca="1">$K$1357-EFEITO!$M$1357*EFEITO!$Z$1357</f>
        <v>504943.12625406723</v>
      </c>
      <c r="O1357" s="76">
        <f>$L$1357-EFEITO!$O$1357*EFEITO!$AA$1357</f>
        <v>537955.93407969596</v>
      </c>
      <c r="P1357" s="18"/>
      <c r="Q1357" s="18"/>
      <c r="R1357" s="18"/>
      <c r="S1357" s="18"/>
      <c r="T1357" s="18"/>
      <c r="U1357" s="18"/>
      <c r="V1357" s="18"/>
      <c r="W1357" s="18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</row>
    <row r="1358" spans="1:36" ht="11.25" customHeight="1" x14ac:dyDescent="0.2">
      <c r="A1358" s="62" t="s">
        <v>27</v>
      </c>
      <c r="B1358" s="62" t="s">
        <v>22</v>
      </c>
      <c r="C1358" s="62" t="s">
        <v>23</v>
      </c>
      <c r="D1358" s="62" t="s">
        <v>24</v>
      </c>
      <c r="E1358" s="62" t="s">
        <v>29</v>
      </c>
      <c r="F1358" s="62" t="s">
        <v>25</v>
      </c>
      <c r="G1358" s="62" t="s">
        <v>25</v>
      </c>
      <c r="H1358" s="62" t="s">
        <v>25</v>
      </c>
      <c r="I1358" s="75">
        <v>44409</v>
      </c>
      <c r="J1358" s="76">
        <f>EFEITO!$J$1358*EFEITO!$Y$1303</f>
        <v>0</v>
      </c>
      <c r="K1358" s="76">
        <f ca="1">EFEITO!$L$1358*EFEITO!$Z$1464</f>
        <v>290.21937282926916</v>
      </c>
      <c r="L1358" s="76">
        <f>EFEITO!$N$1358*EFEITO!$AA$1464</f>
        <v>309.19370059874234</v>
      </c>
      <c r="M1358" s="76">
        <f>$J$1358-EFEITO!$K$1358*EFEITO!$Y$1358</f>
        <v>0</v>
      </c>
      <c r="N1358" s="76">
        <f ca="1">$K$1358-EFEITO!$M$1358*EFEITO!$Z$1358</f>
        <v>188.64259233902496</v>
      </c>
      <c r="O1358" s="76">
        <f>$L$1358-EFEITO!$O$1358*EFEITO!$AA$1358</f>
        <v>200.97590538918251</v>
      </c>
      <c r="P1358" s="18"/>
      <c r="Q1358" s="18"/>
      <c r="R1358" s="18"/>
      <c r="S1358" s="18"/>
      <c r="T1358" s="18"/>
      <c r="U1358" s="18"/>
      <c r="V1358" s="18"/>
      <c r="W1358" s="18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</row>
    <row r="1359" spans="1:36" ht="11.25" customHeight="1" x14ac:dyDescent="0.2">
      <c r="A1359" s="62" t="s">
        <v>28</v>
      </c>
      <c r="B1359" s="62" t="s">
        <v>22</v>
      </c>
      <c r="C1359" s="62" t="s">
        <v>23</v>
      </c>
      <c r="D1359" s="62" t="s">
        <v>24</v>
      </c>
      <c r="E1359" s="62" t="s">
        <v>29</v>
      </c>
      <c r="F1359" s="62" t="s">
        <v>25</v>
      </c>
      <c r="G1359" s="62" t="s">
        <v>25</v>
      </c>
      <c r="H1359" s="62" t="s">
        <v>25</v>
      </c>
      <c r="I1359" s="75">
        <v>44409</v>
      </c>
      <c r="J1359" s="76">
        <f>EFEITO!$J$1359*EFEITO!$Y$1303</f>
        <v>0</v>
      </c>
      <c r="K1359" s="76">
        <f ca="1">EFEITO!$L$1359*EFEITO!$Z$1464</f>
        <v>900.36074086692258</v>
      </c>
      <c r="L1359" s="76">
        <f>EFEITO!$N$1359*EFEITO!$AA$1464</f>
        <v>959.22565964002172</v>
      </c>
      <c r="M1359" s="76">
        <f>$J$1359-EFEITO!$K$1359*EFEITO!$Y$1359</f>
        <v>0</v>
      </c>
      <c r="N1359" s="76">
        <f ca="1">$K$1359-EFEITO!$M$1359*EFEITO!$Z$1359</f>
        <v>585.23448156349968</v>
      </c>
      <c r="O1359" s="76">
        <f>$L$1359-EFEITO!$O$1359*EFEITO!$AA$1359</f>
        <v>623.49667876601416</v>
      </c>
      <c r="P1359" s="18"/>
      <c r="Q1359" s="18"/>
      <c r="R1359" s="18"/>
      <c r="S1359" s="18"/>
      <c r="T1359" s="18"/>
      <c r="U1359" s="18"/>
      <c r="V1359" s="18"/>
      <c r="W1359" s="18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</row>
    <row r="1360" spans="1:36" ht="11.25" customHeight="1" x14ac:dyDescent="0.2">
      <c r="A1360" s="62" t="s">
        <v>21</v>
      </c>
      <c r="B1360" s="62" t="s">
        <v>22</v>
      </c>
      <c r="C1360" s="62" t="s">
        <v>23</v>
      </c>
      <c r="D1360" s="62" t="s">
        <v>24</v>
      </c>
      <c r="E1360" s="62" t="s">
        <v>29</v>
      </c>
      <c r="F1360" s="62" t="s">
        <v>25</v>
      </c>
      <c r="G1360" s="62" t="s">
        <v>25</v>
      </c>
      <c r="H1360" s="62" t="s">
        <v>25</v>
      </c>
      <c r="I1360" s="75">
        <v>44440</v>
      </c>
      <c r="J1360" s="76">
        <f>EFEITO!$J$1360*EFEITO!$Y$1303</f>
        <v>0</v>
      </c>
      <c r="K1360" s="76">
        <f ca="1">EFEITO!$L$1360*EFEITO!$Z$1464</f>
        <v>758670.56885368354</v>
      </c>
      <c r="L1360" s="76">
        <f>EFEITO!$N$1360*EFEITO!$AA$1464</f>
        <v>808271.88906241732</v>
      </c>
      <c r="M1360" s="76">
        <f>$J$1360-EFEITO!$K$1360*EFEITO!$Y$1360</f>
        <v>0</v>
      </c>
      <c r="N1360" s="76">
        <f ca="1">$K$1360-EFEITO!$M$1360*EFEITO!$Z$1360</f>
        <v>493135.86975489429</v>
      </c>
      <c r="O1360" s="76">
        <f>$L$1360-EFEITO!$O$1360*EFEITO!$AA$1360</f>
        <v>525376.72789057135</v>
      </c>
      <c r="P1360" s="18"/>
      <c r="Q1360" s="18"/>
      <c r="R1360" s="18"/>
      <c r="S1360" s="18"/>
      <c r="T1360" s="18"/>
      <c r="U1360" s="18"/>
      <c r="V1360" s="18"/>
      <c r="W1360" s="18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</row>
    <row r="1361" spans="1:36" ht="11.25" customHeight="1" x14ac:dyDescent="0.2">
      <c r="A1361" s="62" t="s">
        <v>27</v>
      </c>
      <c r="B1361" s="62" t="s">
        <v>22</v>
      </c>
      <c r="C1361" s="62" t="s">
        <v>23</v>
      </c>
      <c r="D1361" s="62" t="s">
        <v>24</v>
      </c>
      <c r="E1361" s="62" t="s">
        <v>29</v>
      </c>
      <c r="F1361" s="62" t="s">
        <v>25</v>
      </c>
      <c r="G1361" s="62" t="s">
        <v>25</v>
      </c>
      <c r="H1361" s="62" t="s">
        <v>25</v>
      </c>
      <c r="I1361" s="75">
        <v>44440</v>
      </c>
      <c r="J1361" s="76">
        <f>EFEITO!$J$1361*EFEITO!$Y$1303</f>
        <v>0</v>
      </c>
      <c r="K1361" s="76">
        <f ca="1">EFEITO!$L$1361*EFEITO!$Z$1464</f>
        <v>686.87314251703378</v>
      </c>
      <c r="L1361" s="76">
        <f>EFEITO!$N$1361*EFEITO!$AA$1464</f>
        <v>731.78040013774853</v>
      </c>
      <c r="M1361" s="76">
        <f>$J$1361-EFEITO!$K$1361*EFEITO!$Y$1361</f>
        <v>0</v>
      </c>
      <c r="N1361" s="76">
        <f ca="1">$K$1361-EFEITO!$M$1361*EFEITO!$Z$1361</f>
        <v>446.46754263607198</v>
      </c>
      <c r="O1361" s="76">
        <f>$L$1361-EFEITO!$O$1361*EFEITO!$AA$1361</f>
        <v>475.65726008953658</v>
      </c>
      <c r="P1361" s="18"/>
      <c r="Q1361" s="18"/>
      <c r="R1361" s="18"/>
      <c r="S1361" s="18"/>
      <c r="T1361" s="18"/>
      <c r="U1361" s="18"/>
      <c r="V1361" s="18"/>
      <c r="W1361" s="18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ht="11.25" customHeight="1" x14ac:dyDescent="0.2">
      <c r="A1362" s="62" t="s">
        <v>28</v>
      </c>
      <c r="B1362" s="62" t="s">
        <v>22</v>
      </c>
      <c r="C1362" s="62" t="s">
        <v>23</v>
      </c>
      <c r="D1362" s="62" t="s">
        <v>24</v>
      </c>
      <c r="E1362" s="62" t="s">
        <v>29</v>
      </c>
      <c r="F1362" s="62" t="s">
        <v>25</v>
      </c>
      <c r="G1362" s="62" t="s">
        <v>25</v>
      </c>
      <c r="H1362" s="62" t="s">
        <v>25</v>
      </c>
      <c r="I1362" s="75">
        <v>44440</v>
      </c>
      <c r="J1362" s="76">
        <f>EFEITO!$J$1362*EFEITO!$Y$1303</f>
        <v>0</v>
      </c>
      <c r="K1362" s="76">
        <f ca="1">EFEITO!$L$1362*EFEITO!$Z$1464</f>
        <v>937.48901884081613</v>
      </c>
      <c r="L1362" s="76">
        <f>EFEITO!$N$1362*EFEITO!$AA$1464</f>
        <v>998.78135694476475</v>
      </c>
      <c r="M1362" s="76">
        <f>$J$1362-EFEITO!$K$1362*EFEITO!$Y$1362</f>
        <v>0</v>
      </c>
      <c r="N1362" s="76">
        <f ca="1">$K$1362-EFEITO!$M$1362*EFEITO!$Z$1362</f>
        <v>609.36786224653042</v>
      </c>
      <c r="O1362" s="76">
        <f>$L$1362-EFEITO!$O$1362*EFEITO!$AA$1362</f>
        <v>649.20788201409709</v>
      </c>
      <c r="P1362" s="18"/>
      <c r="Q1362" s="18"/>
      <c r="R1362" s="18"/>
      <c r="S1362" s="18"/>
      <c r="T1362" s="18"/>
      <c r="U1362" s="18"/>
      <c r="V1362" s="18"/>
      <c r="W1362" s="18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ht="11.25" customHeight="1" x14ac:dyDescent="0.2">
      <c r="A1363" s="62" t="s">
        <v>21</v>
      </c>
      <c r="B1363" s="62" t="s">
        <v>22</v>
      </c>
      <c r="C1363" s="62" t="s">
        <v>23</v>
      </c>
      <c r="D1363" s="62" t="s">
        <v>24</v>
      </c>
      <c r="E1363" s="62" t="s">
        <v>29</v>
      </c>
      <c r="F1363" s="62" t="s">
        <v>25</v>
      </c>
      <c r="G1363" s="62" t="s">
        <v>25</v>
      </c>
      <c r="H1363" s="62" t="s">
        <v>25</v>
      </c>
      <c r="I1363" s="75">
        <v>44470</v>
      </c>
      <c r="J1363" s="76">
        <f>EFEITO!$J$1363*EFEITO!$Y$1303</f>
        <v>0</v>
      </c>
      <c r="K1363" s="76">
        <f ca="1">EFEITO!$L$1363*EFEITO!$Z$1464</f>
        <v>773174.11183955218</v>
      </c>
      <c r="L1363" s="76">
        <f>EFEITO!$N$1363*EFEITO!$AA$1464</f>
        <v>823723.66295289341</v>
      </c>
      <c r="M1363" s="76">
        <f>$J$1363-EFEITO!$K$1363*EFEITO!$Y$1363</f>
        <v>0</v>
      </c>
      <c r="N1363" s="76">
        <f ca="1">$K$1363-EFEITO!$M$1363*EFEITO!$Z$1363</f>
        <v>502563.17269570893</v>
      </c>
      <c r="O1363" s="76">
        <f>$L$1363-EFEITO!$O$1363*EFEITO!$AA$1363</f>
        <v>535420.38091938081</v>
      </c>
      <c r="P1363" s="18"/>
      <c r="Q1363" s="18"/>
      <c r="R1363" s="18"/>
      <c r="S1363" s="18"/>
      <c r="T1363" s="18"/>
      <c r="U1363" s="18"/>
      <c r="V1363" s="18"/>
      <c r="W1363" s="18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ht="11.25" customHeight="1" x14ac:dyDescent="0.2">
      <c r="A1364" s="62" t="s">
        <v>27</v>
      </c>
      <c r="B1364" s="62" t="s">
        <v>22</v>
      </c>
      <c r="C1364" s="62" t="s">
        <v>23</v>
      </c>
      <c r="D1364" s="62" t="s">
        <v>24</v>
      </c>
      <c r="E1364" s="62" t="s">
        <v>29</v>
      </c>
      <c r="F1364" s="62" t="s">
        <v>25</v>
      </c>
      <c r="G1364" s="62" t="s">
        <v>25</v>
      </c>
      <c r="H1364" s="62" t="s">
        <v>25</v>
      </c>
      <c r="I1364" s="75">
        <v>44470</v>
      </c>
      <c r="J1364" s="76">
        <f>EFEITO!$J$1364*EFEITO!$Y$1303</f>
        <v>0</v>
      </c>
      <c r="K1364" s="76">
        <f ca="1">EFEITO!$L$1364*EFEITO!$Z$1464</f>
        <v>491.02147620474432</v>
      </c>
      <c r="L1364" s="76">
        <f>EFEITO!$N$1364*EFEITO!$AA$1464</f>
        <v>523.12409685522834</v>
      </c>
      <c r="M1364" s="76">
        <f>$J$1364-EFEITO!$K$1364*EFEITO!$Y$1364</f>
        <v>0</v>
      </c>
      <c r="N1364" s="76">
        <f ca="1">$K$1364-EFEITO!$M$1364*EFEITO!$Z$1364</f>
        <v>319.16395953308381</v>
      </c>
      <c r="O1364" s="76">
        <f>$L$1364-EFEITO!$O$1364*EFEITO!$AA$1364</f>
        <v>340.03066295589849</v>
      </c>
      <c r="P1364" s="18"/>
      <c r="Q1364" s="18"/>
      <c r="R1364" s="18"/>
      <c r="S1364" s="18"/>
      <c r="T1364" s="18"/>
      <c r="U1364" s="18"/>
      <c r="V1364" s="18"/>
      <c r="W1364" s="18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ht="11.25" customHeight="1" x14ac:dyDescent="0.2">
      <c r="A1365" s="62" t="s">
        <v>28</v>
      </c>
      <c r="B1365" s="62" t="s">
        <v>22</v>
      </c>
      <c r="C1365" s="62" t="s">
        <v>23</v>
      </c>
      <c r="D1365" s="62" t="s">
        <v>24</v>
      </c>
      <c r="E1365" s="62" t="s">
        <v>29</v>
      </c>
      <c r="F1365" s="62" t="s">
        <v>25</v>
      </c>
      <c r="G1365" s="62" t="s">
        <v>25</v>
      </c>
      <c r="H1365" s="62" t="s">
        <v>25</v>
      </c>
      <c r="I1365" s="75">
        <v>44470</v>
      </c>
      <c r="J1365" s="76">
        <f>EFEITO!$J$1365*EFEITO!$Y$1303</f>
        <v>0</v>
      </c>
      <c r="K1365" s="76">
        <f ca="1">EFEITO!$L$1365*EFEITO!$Z$1464</f>
        <v>1039.5917832690238</v>
      </c>
      <c r="L1365" s="76">
        <f>EFEITO!$N$1365*EFEITO!$AA$1464</f>
        <v>1107.5595245328084</v>
      </c>
      <c r="M1365" s="76">
        <f>$J$1365-EFEITO!$K$1365*EFEITO!$Y$1365</f>
        <v>0</v>
      </c>
      <c r="N1365" s="76">
        <f ca="1">$K$1365-EFEITO!$M$1365*EFEITO!$Z$1365</f>
        <v>675.73465912486552</v>
      </c>
      <c r="O1365" s="76">
        <f>$L$1365-EFEITO!$O$1365*EFEITO!$AA$1365</f>
        <v>719.91369094632546</v>
      </c>
      <c r="P1365" s="18"/>
      <c r="Q1365" s="18"/>
      <c r="R1365" s="18"/>
      <c r="S1365" s="18"/>
      <c r="T1365" s="18"/>
      <c r="U1365" s="18"/>
      <c r="V1365" s="18"/>
      <c r="W1365" s="18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ht="11.25" customHeight="1" x14ac:dyDescent="0.2">
      <c r="A1366" s="62" t="s">
        <v>21</v>
      </c>
      <c r="B1366" s="62" t="s">
        <v>22</v>
      </c>
      <c r="C1366" s="62" t="s">
        <v>23</v>
      </c>
      <c r="D1366" s="62" t="s">
        <v>24</v>
      </c>
      <c r="E1366" s="62" t="s">
        <v>29</v>
      </c>
      <c r="F1366" s="62" t="s">
        <v>25</v>
      </c>
      <c r="G1366" s="62" t="s">
        <v>25</v>
      </c>
      <c r="H1366" s="62" t="s">
        <v>25</v>
      </c>
      <c r="I1366" s="75">
        <v>44501</v>
      </c>
      <c r="J1366" s="76">
        <f>EFEITO!$J$1366*EFEITO!$Y$1303</f>
        <v>0</v>
      </c>
      <c r="K1366" s="76">
        <f ca="1">EFEITO!$L$1366*EFEITO!$Z$1464</f>
        <v>781428.34683778172</v>
      </c>
      <c r="L1366" s="76">
        <f>EFEITO!$N$1366*EFEITO!$AA$1464</f>
        <v>832517.55372535973</v>
      </c>
      <c r="M1366" s="76">
        <f>$J$1366-EFEITO!$K$1366*EFEITO!$Y$1366</f>
        <v>0</v>
      </c>
      <c r="N1366" s="76">
        <f ca="1">$K$1366-EFEITO!$M$1366*EFEITO!$Z$1366</f>
        <v>507928.42544455815</v>
      </c>
      <c r="O1366" s="76">
        <f>$L$1366-EFEITO!$O$1366*EFEITO!$AA$1366</f>
        <v>541136.40992148384</v>
      </c>
      <c r="P1366" s="18"/>
      <c r="Q1366" s="18"/>
      <c r="R1366" s="18"/>
      <c r="S1366" s="18"/>
      <c r="T1366" s="18"/>
      <c r="U1366" s="18"/>
      <c r="V1366" s="18"/>
      <c r="W1366" s="18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ht="11.25" customHeight="1" x14ac:dyDescent="0.2">
      <c r="A1367" s="62" t="s">
        <v>27</v>
      </c>
      <c r="B1367" s="62" t="s">
        <v>22</v>
      </c>
      <c r="C1367" s="62" t="s">
        <v>23</v>
      </c>
      <c r="D1367" s="62" t="s">
        <v>24</v>
      </c>
      <c r="E1367" s="62" t="s">
        <v>29</v>
      </c>
      <c r="F1367" s="62" t="s">
        <v>25</v>
      </c>
      <c r="G1367" s="62" t="s">
        <v>25</v>
      </c>
      <c r="H1367" s="62" t="s">
        <v>25</v>
      </c>
      <c r="I1367" s="75">
        <v>44501</v>
      </c>
      <c r="J1367" s="76">
        <f>EFEITO!$J$1367*EFEITO!$Y$1303</f>
        <v>0</v>
      </c>
      <c r="K1367" s="76">
        <f ca="1">EFEITO!$L$1367*EFEITO!$Z$1464</f>
        <v>999.06007981418998</v>
      </c>
      <c r="L1367" s="76">
        <f>EFEITO!$N$1367*EFEITO!$AA$1464</f>
        <v>1064.377888308464</v>
      </c>
      <c r="M1367" s="76">
        <f>$J$1367-EFEITO!$K$1367*EFEITO!$Y$1367</f>
        <v>0</v>
      </c>
      <c r="N1367" s="76">
        <f ca="1">$K$1367-EFEITO!$M$1367*EFEITO!$Z$1367</f>
        <v>649.38905187922342</v>
      </c>
      <c r="O1367" s="76">
        <f>$L$1367-EFEITO!$O$1367*EFEITO!$AA$1367</f>
        <v>691.8456274005016</v>
      </c>
      <c r="P1367" s="18"/>
      <c r="Q1367" s="18"/>
      <c r="R1367" s="18"/>
      <c r="S1367" s="18"/>
      <c r="T1367" s="18"/>
      <c r="U1367" s="18"/>
      <c r="V1367" s="18"/>
      <c r="W1367" s="18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</row>
    <row r="1368" spans="1:36" ht="11.25" customHeight="1" x14ac:dyDescent="0.2">
      <c r="A1368" s="62" t="s">
        <v>28</v>
      </c>
      <c r="B1368" s="62" t="s">
        <v>22</v>
      </c>
      <c r="C1368" s="62" t="s">
        <v>23</v>
      </c>
      <c r="D1368" s="62" t="s">
        <v>24</v>
      </c>
      <c r="E1368" s="62" t="s">
        <v>29</v>
      </c>
      <c r="F1368" s="62" t="s">
        <v>25</v>
      </c>
      <c r="G1368" s="62" t="s">
        <v>25</v>
      </c>
      <c r="H1368" s="62" t="s">
        <v>25</v>
      </c>
      <c r="I1368" s="75">
        <v>44501</v>
      </c>
      <c r="J1368" s="76">
        <f>EFEITO!$J$1368*EFEITO!$Y$1303</f>
        <v>0</v>
      </c>
      <c r="K1368" s="76">
        <f ca="1">EFEITO!$L$1368*EFEITO!$Z$1464</f>
        <v>1215.9511036450192</v>
      </c>
      <c r="L1368" s="76">
        <f>EFEITO!$N$1368*EFEITO!$AA$1464</f>
        <v>1295.4490867303386</v>
      </c>
      <c r="M1368" s="76">
        <f>$J$1368-EFEITO!$K$1368*EFEITO!$Y$1368</f>
        <v>0</v>
      </c>
      <c r="N1368" s="76">
        <f ca="1">$K$1368-EFEITO!$M$1368*EFEITO!$Z$1368</f>
        <v>790.36821736926254</v>
      </c>
      <c r="O1368" s="76">
        <f>$L$1368-EFEITO!$O$1368*EFEITO!$AA$1368</f>
        <v>842.04190637472016</v>
      </c>
      <c r="P1368" s="18"/>
      <c r="Q1368" s="18"/>
      <c r="R1368" s="18"/>
      <c r="S1368" s="18"/>
      <c r="T1368" s="18"/>
      <c r="U1368" s="18"/>
      <c r="V1368" s="18"/>
      <c r="W1368" s="18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ht="11.25" customHeight="1" x14ac:dyDescent="0.2">
      <c r="A1369" s="62" t="s">
        <v>21</v>
      </c>
      <c r="B1369" s="62" t="s">
        <v>22</v>
      </c>
      <c r="C1369" s="62" t="s">
        <v>23</v>
      </c>
      <c r="D1369" s="62" t="s">
        <v>24</v>
      </c>
      <c r="E1369" s="62" t="s">
        <v>29</v>
      </c>
      <c r="F1369" s="62" t="s">
        <v>25</v>
      </c>
      <c r="G1369" s="62" t="s">
        <v>25</v>
      </c>
      <c r="H1369" s="62" t="s">
        <v>25</v>
      </c>
      <c r="I1369" s="75">
        <v>44531</v>
      </c>
      <c r="J1369" s="76">
        <f>EFEITO!$J$1369*EFEITO!$Y$1303</f>
        <v>0</v>
      </c>
      <c r="K1369" s="76">
        <f ca="1">EFEITO!$L$1369*EFEITO!$Z$1464</f>
        <v>788207.97039581474</v>
      </c>
      <c r="L1369" s="76">
        <f>EFEITO!$N$1369*EFEITO!$AA$1464</f>
        <v>839740.42405320576</v>
      </c>
      <c r="M1369" s="76">
        <f>$J$1369-EFEITO!$K$1369*EFEITO!$Y$1369</f>
        <v>0</v>
      </c>
      <c r="N1369" s="76">
        <f ca="1">$K$1369-EFEITO!$M$1369*EFEITO!$Z$1369</f>
        <v>512335.18075727962</v>
      </c>
      <c r="O1369" s="76">
        <f>$L$1369-EFEITO!$O$1369*EFEITO!$AA$1369</f>
        <v>545831.27563458378</v>
      </c>
      <c r="P1369" s="18"/>
      <c r="Q1369" s="18"/>
      <c r="R1369" s="18"/>
      <c r="S1369" s="18"/>
      <c r="T1369" s="18"/>
      <c r="U1369" s="18"/>
      <c r="V1369" s="18"/>
      <c r="W1369" s="18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ht="11.25" customHeight="1" x14ac:dyDescent="0.2">
      <c r="A1370" s="62" t="s">
        <v>27</v>
      </c>
      <c r="B1370" s="62" t="s">
        <v>22</v>
      </c>
      <c r="C1370" s="62" t="s">
        <v>23</v>
      </c>
      <c r="D1370" s="62" t="s">
        <v>24</v>
      </c>
      <c r="E1370" s="62" t="s">
        <v>29</v>
      </c>
      <c r="F1370" s="62" t="s">
        <v>25</v>
      </c>
      <c r="G1370" s="62" t="s">
        <v>25</v>
      </c>
      <c r="H1370" s="62" t="s">
        <v>25</v>
      </c>
      <c r="I1370" s="75">
        <v>44531</v>
      </c>
      <c r="J1370" s="76">
        <f>EFEITO!$J$1370*EFEITO!$Y$1303</f>
        <v>0</v>
      </c>
      <c r="K1370" s="76">
        <f ca="1">EFEITO!$L$1370*EFEITO!$Z$1464</f>
        <v>594.36184989874857</v>
      </c>
      <c r="L1370" s="76">
        <f>EFEITO!$N$1370*EFEITO!$AA$1464</f>
        <v>633.22078768676352</v>
      </c>
      <c r="M1370" s="76">
        <f>$J$1370-EFEITO!$K$1370*EFEITO!$Y$1370</f>
        <v>0</v>
      </c>
      <c r="N1370" s="76">
        <f ca="1">$K$1370-EFEITO!$M$1370*EFEITO!$Z$1370</f>
        <v>386.33520243418661</v>
      </c>
      <c r="O1370" s="76">
        <f>$L$1370-EFEITO!$O$1370*EFEITO!$AA$1370</f>
        <v>411.59351199639633</v>
      </c>
      <c r="P1370" s="18"/>
      <c r="Q1370" s="18"/>
      <c r="R1370" s="18"/>
      <c r="S1370" s="18"/>
      <c r="T1370" s="18"/>
      <c r="U1370" s="18"/>
      <c r="V1370" s="18"/>
      <c r="W1370" s="18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ht="11.25" customHeight="1" x14ac:dyDescent="0.2">
      <c r="A1371" s="62" t="s">
        <v>28</v>
      </c>
      <c r="B1371" s="62" t="s">
        <v>22</v>
      </c>
      <c r="C1371" s="62" t="s">
        <v>23</v>
      </c>
      <c r="D1371" s="62" t="s">
        <v>24</v>
      </c>
      <c r="E1371" s="62" t="s">
        <v>29</v>
      </c>
      <c r="F1371" s="62" t="s">
        <v>25</v>
      </c>
      <c r="G1371" s="62" t="s">
        <v>25</v>
      </c>
      <c r="H1371" s="62" t="s">
        <v>25</v>
      </c>
      <c r="I1371" s="75">
        <v>44531</v>
      </c>
      <c r="J1371" s="76">
        <f>EFEITO!$J$1371*EFEITO!$Y$1303</f>
        <v>0</v>
      </c>
      <c r="K1371" s="76">
        <f ca="1">EFEITO!$L$1371*EFEITO!$Z$1464</f>
        <v>1308.7717985797535</v>
      </c>
      <c r="L1371" s="76">
        <f>EFEITO!$N$1371*EFEITO!$AA$1464</f>
        <v>1394.3383299921966</v>
      </c>
      <c r="M1371" s="76">
        <f>$J$1371-EFEITO!$K$1371*EFEITO!$Y$1371</f>
        <v>0</v>
      </c>
      <c r="N1371" s="76">
        <f ca="1">$K$1371-EFEITO!$M$1371*EFEITO!$Z$1371</f>
        <v>850.70166907683983</v>
      </c>
      <c r="O1371" s="76">
        <f>$L$1371-EFEITO!$O$1371*EFEITO!$AA$1371</f>
        <v>906.31991449492784</v>
      </c>
      <c r="P1371" s="18"/>
      <c r="Q1371" s="18"/>
      <c r="R1371" s="18"/>
      <c r="S1371" s="18"/>
      <c r="T1371" s="18"/>
      <c r="U1371" s="18"/>
      <c r="V1371" s="18"/>
      <c r="W1371" s="18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</row>
    <row r="1372" spans="1:36" ht="11.25" customHeight="1" x14ac:dyDescent="0.2">
      <c r="A1372" s="62" t="s">
        <v>21</v>
      </c>
      <c r="B1372" s="62" t="s">
        <v>22</v>
      </c>
      <c r="C1372" s="62" t="s">
        <v>23</v>
      </c>
      <c r="D1372" s="62" t="s">
        <v>24</v>
      </c>
      <c r="E1372" s="62" t="s">
        <v>29</v>
      </c>
      <c r="F1372" s="62" t="s">
        <v>25</v>
      </c>
      <c r="G1372" s="62" t="s">
        <v>25</v>
      </c>
      <c r="H1372" s="62" t="s">
        <v>25</v>
      </c>
      <c r="I1372" s="75">
        <v>44562</v>
      </c>
      <c r="J1372" s="76">
        <f>EFEITO!$J$1372*EFEITO!$Y$1303</f>
        <v>0</v>
      </c>
      <c r="K1372" s="76">
        <f ca="1">EFEITO!$L$1372*EFEITO!$Z$1464</f>
        <v>814553.26823914028</v>
      </c>
      <c r="L1372" s="76">
        <f>EFEITO!$N$1372*EFEITO!$AA$1464</f>
        <v>867808.1579682189</v>
      </c>
      <c r="M1372" s="76">
        <f>$J$1372-EFEITO!$K$1372*EFEITO!$Y$1372</f>
        <v>0</v>
      </c>
      <c r="N1372" s="76">
        <f ca="1">$K$1372-EFEITO!$M$1372*EFEITO!$Z$1372</f>
        <v>529459.62435544119</v>
      </c>
      <c r="O1372" s="76">
        <f>$L$1372-EFEITO!$O$1372*EFEITO!$AA$1372</f>
        <v>564075.30267934233</v>
      </c>
      <c r="P1372" s="18"/>
      <c r="Q1372" s="18"/>
      <c r="R1372" s="18"/>
      <c r="S1372" s="18"/>
      <c r="T1372" s="18"/>
      <c r="U1372" s="18"/>
      <c r="V1372" s="18"/>
      <c r="W1372" s="18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ht="11.25" customHeight="1" x14ac:dyDescent="0.2">
      <c r="A1373" s="62" t="s">
        <v>27</v>
      </c>
      <c r="B1373" s="62" t="s">
        <v>22</v>
      </c>
      <c r="C1373" s="62" t="s">
        <v>23</v>
      </c>
      <c r="D1373" s="62" t="s">
        <v>24</v>
      </c>
      <c r="E1373" s="62" t="s">
        <v>29</v>
      </c>
      <c r="F1373" s="62" t="s">
        <v>25</v>
      </c>
      <c r="G1373" s="62" t="s">
        <v>25</v>
      </c>
      <c r="H1373" s="62" t="s">
        <v>25</v>
      </c>
      <c r="I1373" s="75">
        <v>44562</v>
      </c>
      <c r="J1373" s="76">
        <f>EFEITO!$J$1373*EFEITO!$Y$1303</f>
        <v>0</v>
      </c>
      <c r="K1373" s="76">
        <f ca="1">EFEITO!$L$1373*EFEITO!$Z$1464</f>
        <v>244.73723231124939</v>
      </c>
      <c r="L1373" s="76">
        <f>EFEITO!$N$1373*EFEITO!$AA$1464</f>
        <v>260.737971400432</v>
      </c>
      <c r="M1373" s="76">
        <f>$J$1373-EFEITO!$K$1373*EFEITO!$Y$1373</f>
        <v>0</v>
      </c>
      <c r="N1373" s="76">
        <f ca="1">$K$1373-EFEITO!$M$1373*EFEITO!$Z$1373</f>
        <v>159.07920100231212</v>
      </c>
      <c r="O1373" s="76">
        <f>$L$1373-EFEITO!$O$1373*EFEITO!$AA$1373</f>
        <v>169.47968141028082</v>
      </c>
      <c r="P1373" s="18"/>
      <c r="Q1373" s="18"/>
      <c r="R1373" s="18"/>
      <c r="S1373" s="18"/>
      <c r="T1373" s="18"/>
      <c r="U1373" s="18"/>
      <c r="V1373" s="18"/>
      <c r="W1373" s="18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ht="11.25" customHeight="1" x14ac:dyDescent="0.2">
      <c r="A1374" s="62" t="s">
        <v>28</v>
      </c>
      <c r="B1374" s="62" t="s">
        <v>22</v>
      </c>
      <c r="C1374" s="62" t="s">
        <v>23</v>
      </c>
      <c r="D1374" s="62" t="s">
        <v>24</v>
      </c>
      <c r="E1374" s="62" t="s">
        <v>29</v>
      </c>
      <c r="F1374" s="62" t="s">
        <v>25</v>
      </c>
      <c r="G1374" s="62" t="s">
        <v>25</v>
      </c>
      <c r="H1374" s="62" t="s">
        <v>25</v>
      </c>
      <c r="I1374" s="75">
        <v>44562</v>
      </c>
      <c r="J1374" s="76">
        <f>EFEITO!$J$1374*EFEITO!$Y$1303</f>
        <v>0</v>
      </c>
      <c r="K1374" s="76">
        <f ca="1">EFEITO!$L$1374*EFEITO!$Z$1464</f>
        <v>1568.6697443970095</v>
      </c>
      <c r="L1374" s="76">
        <f>EFEITO!$N$1374*EFEITO!$AA$1464</f>
        <v>1671.2282111253987</v>
      </c>
      <c r="M1374" s="76">
        <f>$J$1374-EFEITO!$K$1374*EFEITO!$Y$1374</f>
        <v>0</v>
      </c>
      <c r="N1374" s="76">
        <f ca="1">$K$1374-EFEITO!$M$1374*EFEITO!$Z$1374</f>
        <v>1019.6353338580562</v>
      </c>
      <c r="O1374" s="76">
        <f>$L$1374-EFEITO!$O$1374*EFEITO!$AA$1374</f>
        <v>1086.2983372315093</v>
      </c>
      <c r="P1374" s="18"/>
      <c r="Q1374" s="18"/>
      <c r="R1374" s="18"/>
      <c r="S1374" s="18"/>
      <c r="T1374" s="18"/>
      <c r="U1374" s="18"/>
      <c r="V1374" s="18"/>
      <c r="W1374" s="18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ht="11.25" customHeight="1" x14ac:dyDescent="0.2">
      <c r="A1375" s="62" t="s">
        <v>21</v>
      </c>
      <c r="B1375" s="62" t="s">
        <v>22</v>
      </c>
      <c r="C1375" s="62" t="s">
        <v>23</v>
      </c>
      <c r="D1375" s="62" t="s">
        <v>24</v>
      </c>
      <c r="E1375" s="62" t="s">
        <v>29</v>
      </c>
      <c r="F1375" s="62" t="s">
        <v>25</v>
      </c>
      <c r="G1375" s="62" t="s">
        <v>25</v>
      </c>
      <c r="H1375" s="62" t="s">
        <v>25</v>
      </c>
      <c r="I1375" s="75">
        <v>44593</v>
      </c>
      <c r="J1375" s="76">
        <f>EFEITO!$J$1375*EFEITO!$Y$1303</f>
        <v>0</v>
      </c>
      <c r="K1375" s="76">
        <f ca="1">EFEITO!$L$1375*EFEITO!$Z$1464</f>
        <v>878411.74053802236</v>
      </c>
      <c r="L1375" s="76">
        <f>EFEITO!$N$1375*EFEITO!$AA$1464</f>
        <v>935841.64991670102</v>
      </c>
      <c r="M1375" s="76">
        <f>$J$1375-EFEITO!$K$1375*EFEITO!$Y$1375</f>
        <v>0</v>
      </c>
      <c r="N1375" s="76">
        <f ca="1">$K$1375-EFEITO!$M$1375*EFEITO!$Z$1375</f>
        <v>570967.63134971459</v>
      </c>
      <c r="O1375" s="76">
        <f>$L$1375-EFEITO!$O$1375*EFEITO!$AA$1375</f>
        <v>608297.07244585571</v>
      </c>
      <c r="P1375" s="18"/>
      <c r="Q1375" s="18"/>
      <c r="R1375" s="18"/>
      <c r="S1375" s="18"/>
      <c r="T1375" s="18"/>
      <c r="U1375" s="18"/>
      <c r="V1375" s="18"/>
      <c r="W1375" s="18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ht="11.25" customHeight="1" x14ac:dyDescent="0.2">
      <c r="A1376" s="62" t="s">
        <v>27</v>
      </c>
      <c r="B1376" s="62" t="s">
        <v>22</v>
      </c>
      <c r="C1376" s="62" t="s">
        <v>23</v>
      </c>
      <c r="D1376" s="62" t="s">
        <v>24</v>
      </c>
      <c r="E1376" s="62" t="s">
        <v>29</v>
      </c>
      <c r="F1376" s="62" t="s">
        <v>25</v>
      </c>
      <c r="G1376" s="62" t="s">
        <v>25</v>
      </c>
      <c r="H1376" s="62" t="s">
        <v>25</v>
      </c>
      <c r="I1376" s="75">
        <v>44593</v>
      </c>
      <c r="J1376" s="76">
        <f>EFEITO!$J$1376*EFEITO!$Y$1303</f>
        <v>0</v>
      </c>
      <c r="K1376" s="76">
        <f ca="1">EFEITO!$L$1376*EFEITO!$Z$1464</f>
        <v>2682.2086812973716</v>
      </c>
      <c r="L1376" s="76">
        <f>EFEITO!$N$1376*EFEITO!$AA$1464</f>
        <v>2857.5694994568207</v>
      </c>
      <c r="M1376" s="76">
        <f>$J$1376-EFEITO!$K$1376*EFEITO!$Y$1376</f>
        <v>0</v>
      </c>
      <c r="N1376" s="76">
        <f ca="1">$K$1376-EFEITO!$M$1376*EFEITO!$Z$1376</f>
        <v>1743.4356428432916</v>
      </c>
      <c r="O1376" s="76">
        <f>$L$1376-EFEITO!$O$1376*EFEITO!$AA$1376</f>
        <v>1857.4201746469334</v>
      </c>
      <c r="P1376" s="18"/>
      <c r="Q1376" s="18"/>
      <c r="R1376" s="18"/>
      <c r="S1376" s="18"/>
      <c r="T1376" s="18"/>
      <c r="U1376" s="18"/>
      <c r="V1376" s="18"/>
      <c r="W1376" s="18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</row>
    <row r="1377" spans="1:36" ht="11.25" customHeight="1" x14ac:dyDescent="0.2">
      <c r="A1377" s="62" t="s">
        <v>28</v>
      </c>
      <c r="B1377" s="62" t="s">
        <v>22</v>
      </c>
      <c r="C1377" s="62" t="s">
        <v>23</v>
      </c>
      <c r="D1377" s="62" t="s">
        <v>24</v>
      </c>
      <c r="E1377" s="62" t="s">
        <v>29</v>
      </c>
      <c r="F1377" s="62" t="s">
        <v>25</v>
      </c>
      <c r="G1377" s="62" t="s">
        <v>25</v>
      </c>
      <c r="H1377" s="62" t="s">
        <v>25</v>
      </c>
      <c r="I1377" s="75">
        <v>44593</v>
      </c>
      <c r="J1377" s="76">
        <f>EFEITO!$J$1377*EFEITO!$Y$1303</f>
        <v>0</v>
      </c>
      <c r="K1377" s="76">
        <f ca="1">EFEITO!$L$1377*EFEITO!$Z$1464</f>
        <v>1865.6959681881592</v>
      </c>
      <c r="L1377" s="76">
        <f>EFEITO!$N$1377*EFEITO!$AA$1464</f>
        <v>1987.6737895633439</v>
      </c>
      <c r="M1377" s="76">
        <f>$J$1377-EFEITO!$K$1377*EFEITO!$Y$1377</f>
        <v>0</v>
      </c>
      <c r="N1377" s="76">
        <f ca="1">$K$1377-EFEITO!$M$1377*EFEITO!$Z$1377</f>
        <v>1212.7023793223036</v>
      </c>
      <c r="O1377" s="76">
        <f>$L$1377-EFEITO!$O$1377*EFEITO!$AA$1377</f>
        <v>1291.9879632161737</v>
      </c>
      <c r="P1377" s="18"/>
      <c r="Q1377" s="18"/>
      <c r="R1377" s="18"/>
      <c r="S1377" s="18"/>
      <c r="T1377" s="18"/>
      <c r="U1377" s="18"/>
      <c r="V1377" s="18"/>
      <c r="W1377" s="18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</row>
    <row r="1378" spans="1:36" ht="11.25" customHeight="1" x14ac:dyDescent="0.2">
      <c r="A1378" s="62" t="s">
        <v>28</v>
      </c>
      <c r="B1378" s="62" t="s">
        <v>22</v>
      </c>
      <c r="C1378" s="62" t="s">
        <v>23</v>
      </c>
      <c r="D1378" s="62" t="s">
        <v>24</v>
      </c>
      <c r="E1378" s="62" t="s">
        <v>29</v>
      </c>
      <c r="F1378" s="62" t="s">
        <v>25</v>
      </c>
      <c r="G1378" s="62" t="s">
        <v>25</v>
      </c>
      <c r="H1378" s="62" t="s">
        <v>25</v>
      </c>
      <c r="I1378" s="75">
        <v>44593</v>
      </c>
      <c r="J1378" s="76">
        <f>EFEITO!$J$1378*EFEITO!$Y$1303</f>
        <v>0</v>
      </c>
      <c r="K1378" s="76">
        <f ca="1">EFEITO!$L$1378*EFEITO!$Z$1464</f>
        <v>129.02076595928065</v>
      </c>
      <c r="L1378" s="76">
        <f>EFEITO!$N$1378*EFEITO!$AA$1464</f>
        <v>137.45604813398248</v>
      </c>
      <c r="M1378" s="76">
        <f>$J$1378-EFEITO!$K$1378*EFEITO!$Y$1378</f>
        <v>0</v>
      </c>
      <c r="N1378" s="76">
        <f ca="1">$K$1378-EFEITO!$M$1378*EFEITO!$Z$1378</f>
        <v>83.863497873532424</v>
      </c>
      <c r="O1378" s="76">
        <f>$L$1378-EFEITO!$O$1378*EFEITO!$AA$1378</f>
        <v>89.34643128708862</v>
      </c>
      <c r="P1378" s="18"/>
      <c r="Q1378" s="18"/>
      <c r="R1378" s="18"/>
      <c r="S1378" s="18"/>
      <c r="T1378" s="18"/>
      <c r="U1378" s="18"/>
      <c r="V1378" s="18"/>
      <c r="W1378" s="18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</row>
    <row r="1379" spans="1:36" ht="11.25" customHeight="1" x14ac:dyDescent="0.2">
      <c r="A1379" s="62" t="s">
        <v>21</v>
      </c>
      <c r="B1379" s="62" t="s">
        <v>22</v>
      </c>
      <c r="C1379" s="62" t="s">
        <v>23</v>
      </c>
      <c r="D1379" s="62" t="s">
        <v>24</v>
      </c>
      <c r="E1379" s="62" t="s">
        <v>29</v>
      </c>
      <c r="F1379" s="62" t="s">
        <v>25</v>
      </c>
      <c r="G1379" s="62" t="s">
        <v>25</v>
      </c>
      <c r="H1379" s="62" t="s">
        <v>25</v>
      </c>
      <c r="I1379" s="75">
        <v>44621</v>
      </c>
      <c r="J1379" s="76">
        <f>EFEITO!$J$1379*EFEITO!$Y$1303</f>
        <v>0</v>
      </c>
      <c r="K1379" s="76">
        <f ca="1">EFEITO!$L$1379*EFEITO!$Z$1464</f>
        <v>899192.43772001076</v>
      </c>
      <c r="L1379" s="76">
        <f>EFEITO!$N$1379*EFEITO!$AA$1464</f>
        <v>957980.97369816585</v>
      </c>
      <c r="M1379" s="76">
        <f>$J$1379-EFEITO!$K$1379*EFEITO!$Y$1379</f>
        <v>0</v>
      </c>
      <c r="N1379" s="76">
        <f ca="1">$K$1379-EFEITO!$M$1379*EFEITO!$Z$1379</f>
        <v>584475.084518007</v>
      </c>
      <c r="O1379" s="76">
        <f>$L$1379-EFEITO!$O$1379*EFEITO!$AA$1379</f>
        <v>622687.6329038078</v>
      </c>
      <c r="P1379" s="18"/>
      <c r="Q1379" s="18"/>
      <c r="R1379" s="18"/>
      <c r="S1379" s="18"/>
      <c r="T1379" s="18"/>
      <c r="U1379" s="18"/>
      <c r="V1379" s="18"/>
      <c r="W1379" s="18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</row>
    <row r="1380" spans="1:36" ht="11.25" customHeight="1" x14ac:dyDescent="0.2">
      <c r="A1380" s="62" t="s">
        <v>27</v>
      </c>
      <c r="B1380" s="62" t="s">
        <v>22</v>
      </c>
      <c r="C1380" s="62" t="s">
        <v>23</v>
      </c>
      <c r="D1380" s="62" t="s">
        <v>24</v>
      </c>
      <c r="E1380" s="62" t="s">
        <v>29</v>
      </c>
      <c r="F1380" s="62" t="s">
        <v>25</v>
      </c>
      <c r="G1380" s="62" t="s">
        <v>25</v>
      </c>
      <c r="H1380" s="62" t="s">
        <v>25</v>
      </c>
      <c r="I1380" s="75">
        <v>44621</v>
      </c>
      <c r="J1380" s="76">
        <f>EFEITO!$J$1380*EFEITO!$Y$1303</f>
        <v>0</v>
      </c>
      <c r="K1380" s="76">
        <f ca="1">EFEITO!$L$1380*EFEITO!$Z$1464</f>
        <v>362.92891719481105</v>
      </c>
      <c r="L1380" s="76">
        <f>EFEITO!$N$1380*EFEITO!$AA$1464</f>
        <v>386.65694115386441</v>
      </c>
      <c r="M1380" s="76">
        <f>$J$1380-EFEITO!$K$1380*EFEITO!$Y$1380</f>
        <v>0</v>
      </c>
      <c r="N1380" s="76">
        <f ca="1">$K$1380-EFEITO!$M$1380*EFEITO!$Z$1380</f>
        <v>235.9037961766272</v>
      </c>
      <c r="O1380" s="76">
        <f>$L$1380-EFEITO!$O$1380*EFEITO!$AA$1380</f>
        <v>251.32701175001188</v>
      </c>
      <c r="P1380" s="18"/>
      <c r="Q1380" s="18"/>
      <c r="R1380" s="18"/>
      <c r="S1380" s="18"/>
      <c r="T1380" s="18"/>
      <c r="U1380" s="18"/>
      <c r="V1380" s="18"/>
      <c r="W1380" s="18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</row>
    <row r="1381" spans="1:36" ht="11.25" customHeight="1" x14ac:dyDescent="0.2">
      <c r="A1381" s="62" t="s">
        <v>28</v>
      </c>
      <c r="B1381" s="62" t="s">
        <v>22</v>
      </c>
      <c r="C1381" s="62" t="s">
        <v>23</v>
      </c>
      <c r="D1381" s="62" t="s">
        <v>24</v>
      </c>
      <c r="E1381" s="62" t="s">
        <v>29</v>
      </c>
      <c r="F1381" s="62" t="s">
        <v>25</v>
      </c>
      <c r="G1381" s="62" t="s">
        <v>25</v>
      </c>
      <c r="H1381" s="62" t="s">
        <v>25</v>
      </c>
      <c r="I1381" s="75">
        <v>44621</v>
      </c>
      <c r="J1381" s="76">
        <f>EFEITO!$J$1381*EFEITO!$Y$1303</f>
        <v>0</v>
      </c>
      <c r="K1381" s="76">
        <f ca="1">EFEITO!$L$1381*EFEITO!$Z$1464</f>
        <v>2088.4656360315212</v>
      </c>
      <c r="L1381" s="76">
        <f>EFEITO!$N$1381*EFEITO!$AA$1464</f>
        <v>2225.0079733918028</v>
      </c>
      <c r="M1381" s="76">
        <f>$J$1381-EFEITO!$K$1381*EFEITO!$Y$1381</f>
        <v>0</v>
      </c>
      <c r="N1381" s="76">
        <f ca="1">$K$1381-EFEITO!$M$1381*EFEITO!$Z$1381</f>
        <v>1357.5026634204887</v>
      </c>
      <c r="O1381" s="76">
        <f>$L$1381-EFEITO!$O$1381*EFEITO!$AA$1381</f>
        <v>1446.2551827046718</v>
      </c>
      <c r="P1381" s="18"/>
      <c r="Q1381" s="18"/>
      <c r="R1381" s="18"/>
      <c r="S1381" s="18"/>
      <c r="T1381" s="18"/>
      <c r="U1381" s="18"/>
      <c r="V1381" s="18"/>
      <c r="W1381" s="18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</row>
    <row r="1382" spans="1:36" ht="11.25" customHeight="1" x14ac:dyDescent="0.2">
      <c r="A1382" s="62" t="s">
        <v>28</v>
      </c>
      <c r="B1382" s="62" t="s">
        <v>22</v>
      </c>
      <c r="C1382" s="62" t="s">
        <v>23</v>
      </c>
      <c r="D1382" s="62" t="s">
        <v>24</v>
      </c>
      <c r="E1382" s="62" t="s">
        <v>29</v>
      </c>
      <c r="F1382" s="62" t="s">
        <v>25</v>
      </c>
      <c r="G1382" s="62" t="s">
        <v>25</v>
      </c>
      <c r="H1382" s="62" t="s">
        <v>25</v>
      </c>
      <c r="I1382" s="75">
        <v>44621</v>
      </c>
      <c r="J1382" s="76">
        <f>EFEITO!$J$1382*EFEITO!$Y$1303</f>
        <v>0</v>
      </c>
      <c r="K1382" s="76">
        <f ca="1">EFEITO!$L$1382*EFEITO!$Z$1464</f>
        <v>-9.2820694934734274</v>
      </c>
      <c r="L1382" s="76">
        <f>EFEITO!$N$1382*EFEITO!$AA$1464</f>
        <v>-9.8889243261857906</v>
      </c>
      <c r="M1382" s="76">
        <f>$J$1382-EFEITO!$K$1382*EFEITO!$Y$1382</f>
        <v>0</v>
      </c>
      <c r="N1382" s="76">
        <f ca="1">$K$1382-EFEITO!$M$1382*EFEITO!$Z$1382</f>
        <v>-6.0333451707577277</v>
      </c>
      <c r="O1382" s="76">
        <f>$L$1382-EFEITO!$O$1382*EFEITO!$AA$1382</f>
        <v>-6.4278008120207648</v>
      </c>
      <c r="P1382" s="18"/>
      <c r="Q1382" s="18"/>
      <c r="R1382" s="18"/>
      <c r="S1382" s="18"/>
      <c r="T1382" s="18"/>
      <c r="U1382" s="18"/>
      <c r="V1382" s="18"/>
      <c r="W1382" s="18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</row>
    <row r="1383" spans="1:36" ht="11.25" customHeight="1" x14ac:dyDescent="0.2">
      <c r="A1383" s="62" t="s">
        <v>21</v>
      </c>
      <c r="B1383" s="62" t="s">
        <v>22</v>
      </c>
      <c r="C1383" s="62" t="s">
        <v>23</v>
      </c>
      <c r="D1383" s="62" t="s">
        <v>24</v>
      </c>
      <c r="E1383" s="62" t="s">
        <v>29</v>
      </c>
      <c r="F1383" s="62" t="s">
        <v>25</v>
      </c>
      <c r="G1383" s="62" t="s">
        <v>25</v>
      </c>
      <c r="H1383" s="62" t="s">
        <v>25</v>
      </c>
      <c r="I1383" s="75">
        <v>44652</v>
      </c>
      <c r="J1383" s="76">
        <f>EFEITO!$J$1383*EFEITO!$Y$1303</f>
        <v>0</v>
      </c>
      <c r="K1383" s="76">
        <f ca="1">EFEITO!$L$1383*EFEITO!$Z$1464</f>
        <v>912477.86378601915</v>
      </c>
      <c r="L1383" s="76">
        <f>EFEITO!$N$1383*EFEITO!$AA$1464</f>
        <v>972134.9910862355</v>
      </c>
      <c r="M1383" s="76">
        <f>$J$1383-EFEITO!$K$1383*EFEITO!$Y$1383</f>
        <v>0</v>
      </c>
      <c r="N1383" s="76">
        <f ca="1">$K$1383-EFEITO!$M$1383*EFEITO!$Z$1383</f>
        <v>593110.61146091251</v>
      </c>
      <c r="O1383" s="76">
        <f>$L$1383-EFEITO!$O$1383*EFEITO!$AA$1383</f>
        <v>631887.74420605309</v>
      </c>
      <c r="P1383" s="18"/>
      <c r="Q1383" s="18"/>
      <c r="R1383" s="18"/>
      <c r="S1383" s="18"/>
      <c r="T1383" s="18"/>
      <c r="U1383" s="18"/>
      <c r="V1383" s="18"/>
      <c r="W1383" s="18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</row>
    <row r="1384" spans="1:36" ht="11.25" customHeight="1" x14ac:dyDescent="0.2">
      <c r="A1384" s="62" t="s">
        <v>27</v>
      </c>
      <c r="B1384" s="62" t="s">
        <v>22</v>
      </c>
      <c r="C1384" s="62" t="s">
        <v>23</v>
      </c>
      <c r="D1384" s="62" t="s">
        <v>24</v>
      </c>
      <c r="E1384" s="62" t="s">
        <v>29</v>
      </c>
      <c r="F1384" s="62" t="s">
        <v>25</v>
      </c>
      <c r="G1384" s="62" t="s">
        <v>25</v>
      </c>
      <c r="H1384" s="62" t="s">
        <v>25</v>
      </c>
      <c r="I1384" s="75">
        <v>44652</v>
      </c>
      <c r="J1384" s="76">
        <f>EFEITO!$J$1384*EFEITO!$Y$1303</f>
        <v>0</v>
      </c>
      <c r="K1384" s="76">
        <f ca="1">EFEITO!$L$1384*EFEITO!$Z$1464</f>
        <v>275.05865932326259</v>
      </c>
      <c r="L1384" s="76">
        <f>EFEITO!$N$1384*EFEITO!$AA$1464</f>
        <v>293.04179086597225</v>
      </c>
      <c r="M1384" s="76">
        <f>$J$1384-EFEITO!$K$1384*EFEITO!$Y$1384</f>
        <v>0</v>
      </c>
      <c r="N1384" s="76">
        <f ca="1">$K$1384-EFEITO!$M$1384*EFEITO!$Z$1384</f>
        <v>178.7881285601207</v>
      </c>
      <c r="O1384" s="76">
        <f>$L$1384-EFEITO!$O$1384*EFEITO!$AA$1384</f>
        <v>190.47716406288197</v>
      </c>
      <c r="P1384" s="18"/>
      <c r="Q1384" s="18"/>
      <c r="R1384" s="18"/>
      <c r="S1384" s="18"/>
      <c r="T1384" s="18"/>
      <c r="U1384" s="18"/>
      <c r="V1384" s="18"/>
      <c r="W1384" s="18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</row>
    <row r="1385" spans="1:36" ht="11.25" customHeight="1" x14ac:dyDescent="0.2">
      <c r="A1385" s="62" t="s">
        <v>28</v>
      </c>
      <c r="B1385" s="62" t="s">
        <v>22</v>
      </c>
      <c r="C1385" s="62" t="s">
        <v>23</v>
      </c>
      <c r="D1385" s="62" t="s">
        <v>24</v>
      </c>
      <c r="E1385" s="62" t="s">
        <v>29</v>
      </c>
      <c r="F1385" s="62" t="s">
        <v>25</v>
      </c>
      <c r="G1385" s="62" t="s">
        <v>25</v>
      </c>
      <c r="H1385" s="62" t="s">
        <v>25</v>
      </c>
      <c r="I1385" s="75">
        <v>44652</v>
      </c>
      <c r="J1385" s="76">
        <f>EFEITO!$J$1385*EFEITO!$Y$1303</f>
        <v>0</v>
      </c>
      <c r="K1385" s="76">
        <f ca="1">EFEITO!$L$1385*EFEITO!$Z$1464</f>
        <v>2236.9787479270963</v>
      </c>
      <c r="L1385" s="76">
        <f>EFEITO!$N$1385*EFEITO!$AA$1464</f>
        <v>2383.2307626107759</v>
      </c>
      <c r="M1385" s="76">
        <f>$J$1385-EFEITO!$K$1385*EFEITO!$Y$1385</f>
        <v>0</v>
      </c>
      <c r="N1385" s="76">
        <f ca="1">$K$1385-EFEITO!$M$1385*EFEITO!$Z$1385</f>
        <v>1454.0361861526126</v>
      </c>
      <c r="O1385" s="76">
        <f>$L$1385-EFEITO!$O$1385*EFEITO!$AA$1385</f>
        <v>1549.0999956970045</v>
      </c>
      <c r="P1385" s="18"/>
      <c r="Q1385" s="18"/>
      <c r="R1385" s="18"/>
      <c r="S1385" s="18"/>
      <c r="T1385" s="18"/>
      <c r="U1385" s="18"/>
      <c r="V1385" s="18"/>
      <c r="W1385" s="18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</row>
    <row r="1386" spans="1:36" ht="11.25" customHeight="1" x14ac:dyDescent="0.2">
      <c r="A1386" s="62" t="s">
        <v>58</v>
      </c>
      <c r="B1386" s="62" t="s">
        <v>22</v>
      </c>
      <c r="C1386" s="62" t="s">
        <v>23</v>
      </c>
      <c r="D1386" s="62" t="s">
        <v>24</v>
      </c>
      <c r="E1386" s="62" t="s">
        <v>29</v>
      </c>
      <c r="F1386" s="62" t="s">
        <v>25</v>
      </c>
      <c r="G1386" s="62" t="s">
        <v>25</v>
      </c>
      <c r="H1386" s="62" t="s">
        <v>25</v>
      </c>
      <c r="I1386" s="75">
        <v>44682</v>
      </c>
      <c r="J1386" s="76">
        <f>EFEITO!$J$1386*EFEITO!$Y$1303</f>
        <v>0</v>
      </c>
      <c r="K1386" s="76">
        <f ca="1">EFEITO!$L$1386*EFEITO!$Z$1464</f>
        <v>912477.86378601915</v>
      </c>
      <c r="L1386" s="76">
        <f>EFEITO!$N$1386*EFEITO!$AA$1464</f>
        <v>972134.9910862355</v>
      </c>
      <c r="M1386" s="76">
        <f>$J$1386-EFEITO!$K$1386*EFEITO!$Y$1386</f>
        <v>0</v>
      </c>
      <c r="N1386" s="76">
        <f ca="1">$K$1386-EFEITO!$M$1386*EFEITO!$Z$1386</f>
        <v>593110.61146091251</v>
      </c>
      <c r="O1386" s="76">
        <f>$L$1386-EFEITO!$O$1386*EFEITO!$AA$1386</f>
        <v>631887.74420605309</v>
      </c>
      <c r="P1386" s="18"/>
      <c r="Q1386" s="18"/>
      <c r="R1386" s="18"/>
      <c r="S1386" s="18"/>
      <c r="T1386" s="18"/>
      <c r="U1386" s="18"/>
      <c r="V1386" s="18"/>
      <c r="W1386" s="18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</row>
    <row r="1387" spans="1:36" ht="11.25" customHeight="1" x14ac:dyDescent="0.2">
      <c r="A1387" s="62" t="s">
        <v>58</v>
      </c>
      <c r="B1387" s="62" t="s">
        <v>22</v>
      </c>
      <c r="C1387" s="62" t="s">
        <v>23</v>
      </c>
      <c r="D1387" s="62" t="s">
        <v>24</v>
      </c>
      <c r="E1387" s="62" t="s">
        <v>29</v>
      </c>
      <c r="F1387" s="62" t="s">
        <v>25</v>
      </c>
      <c r="G1387" s="62" t="s">
        <v>25</v>
      </c>
      <c r="H1387" s="62" t="s">
        <v>25</v>
      </c>
      <c r="I1387" s="75">
        <v>44682</v>
      </c>
      <c r="J1387" s="76">
        <f>EFEITO!$J$1387*EFEITO!$Y$1303</f>
        <v>0</v>
      </c>
      <c r="K1387" s="76">
        <f ca="1">EFEITO!$L$1387*EFEITO!$Z$1464</f>
        <v>275.05865932326259</v>
      </c>
      <c r="L1387" s="76">
        <f>EFEITO!$N$1387*EFEITO!$AA$1464</f>
        <v>293.04179086597225</v>
      </c>
      <c r="M1387" s="76">
        <f>$J$1387-EFEITO!$K$1387*EFEITO!$Y$1387</f>
        <v>0</v>
      </c>
      <c r="N1387" s="76">
        <f ca="1">$K$1387-EFEITO!$M$1387*EFEITO!$Z$1387</f>
        <v>178.7881285601207</v>
      </c>
      <c r="O1387" s="76">
        <f>$L$1387-EFEITO!$O$1387*EFEITO!$AA$1387</f>
        <v>190.47716406288197</v>
      </c>
      <c r="P1387" s="18"/>
      <c r="Q1387" s="18"/>
      <c r="R1387" s="18"/>
      <c r="S1387" s="18"/>
      <c r="T1387" s="18"/>
      <c r="U1387" s="18"/>
      <c r="V1387" s="18"/>
      <c r="W1387" s="18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</row>
    <row r="1388" spans="1:36" ht="11.25" customHeight="1" x14ac:dyDescent="0.2">
      <c r="A1388" s="62" t="s">
        <v>58</v>
      </c>
      <c r="B1388" s="62" t="s">
        <v>22</v>
      </c>
      <c r="C1388" s="62" t="s">
        <v>23</v>
      </c>
      <c r="D1388" s="62" t="s">
        <v>24</v>
      </c>
      <c r="E1388" s="62" t="s">
        <v>29</v>
      </c>
      <c r="F1388" s="62" t="s">
        <v>25</v>
      </c>
      <c r="G1388" s="62" t="s">
        <v>25</v>
      </c>
      <c r="H1388" s="62" t="s">
        <v>25</v>
      </c>
      <c r="I1388" s="75">
        <v>44682</v>
      </c>
      <c r="J1388" s="76">
        <f>EFEITO!$J$1388*EFEITO!$Y$1303</f>
        <v>0</v>
      </c>
      <c r="K1388" s="76">
        <f ca="1">EFEITO!$L$1388*EFEITO!$Z$1464</f>
        <v>2236.9787479270963</v>
      </c>
      <c r="L1388" s="76">
        <f>EFEITO!$N$1388*EFEITO!$AA$1464</f>
        <v>2383.2307626107759</v>
      </c>
      <c r="M1388" s="76">
        <f>$J$1388-EFEITO!$K$1388*EFEITO!$Y$1388</f>
        <v>0</v>
      </c>
      <c r="N1388" s="76">
        <f ca="1">$K$1388-EFEITO!$M$1388*EFEITO!$Z$1388</f>
        <v>1454.0361861526126</v>
      </c>
      <c r="O1388" s="76">
        <f>$L$1388-EFEITO!$O$1388*EFEITO!$AA$1388</f>
        <v>1549.0999956970045</v>
      </c>
      <c r="P1388" s="18"/>
      <c r="Q1388" s="18"/>
      <c r="R1388" s="18"/>
      <c r="S1388" s="18"/>
      <c r="T1388" s="18"/>
      <c r="U1388" s="18"/>
      <c r="V1388" s="18"/>
      <c r="W1388" s="18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</row>
    <row r="1389" spans="1:36" ht="11.25" customHeight="1" x14ac:dyDescent="0.2">
      <c r="A1389" s="62" t="s">
        <v>21</v>
      </c>
      <c r="B1389" s="62" t="s">
        <v>22</v>
      </c>
      <c r="C1389" s="62" t="s">
        <v>23</v>
      </c>
      <c r="D1389" s="62" t="s">
        <v>24</v>
      </c>
      <c r="E1389" s="62" t="s">
        <v>30</v>
      </c>
      <c r="F1389" s="62" t="s">
        <v>25</v>
      </c>
      <c r="G1389" s="62" t="s">
        <v>25</v>
      </c>
      <c r="H1389" s="62" t="s">
        <v>25</v>
      </c>
      <c r="I1389" s="75">
        <v>44348</v>
      </c>
      <c r="J1389" s="76">
        <f>EFEITO!$J$1389*EFEITO!$Y$1303</f>
        <v>0</v>
      </c>
      <c r="K1389" s="76">
        <f ca="1">EFEITO!$L$1389*EFEITO!$Z$1464</f>
        <v>1428600.8405219638</v>
      </c>
      <c r="L1389" s="76">
        <f>EFEITO!$N$1389*EFEITO!$AA$1464</f>
        <v>1522001.7059967681</v>
      </c>
      <c r="M1389" s="76">
        <f>$J$1389-EFEITO!$K$1389*EFEITO!$Y$1389</f>
        <v>0</v>
      </c>
      <c r="N1389" s="76">
        <f ca="1">$K$1389-EFEITO!$M$1389*EFEITO!$Z$1389</f>
        <v>571440.33620878553</v>
      </c>
      <c r="O1389" s="76">
        <f>$L$1389-EFEITO!$O$1389*EFEITO!$AA$1389</f>
        <v>608800.68239870726</v>
      </c>
      <c r="P1389" s="18"/>
      <c r="Q1389" s="18"/>
      <c r="R1389" s="18"/>
      <c r="S1389" s="18"/>
      <c r="T1389" s="18"/>
      <c r="U1389" s="18"/>
      <c r="V1389" s="18"/>
      <c r="W1389" s="18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</row>
    <row r="1390" spans="1:36" ht="11.25" customHeight="1" x14ac:dyDescent="0.2">
      <c r="A1390" s="62" t="s">
        <v>27</v>
      </c>
      <c r="B1390" s="62" t="s">
        <v>22</v>
      </c>
      <c r="C1390" s="62" t="s">
        <v>23</v>
      </c>
      <c r="D1390" s="62" t="s">
        <v>24</v>
      </c>
      <c r="E1390" s="62" t="s">
        <v>30</v>
      </c>
      <c r="F1390" s="62" t="s">
        <v>25</v>
      </c>
      <c r="G1390" s="62" t="s">
        <v>25</v>
      </c>
      <c r="H1390" s="62" t="s">
        <v>25</v>
      </c>
      <c r="I1390" s="75">
        <v>44348</v>
      </c>
      <c r="J1390" s="76">
        <f>EFEITO!$J$1390*EFEITO!$Y$1303</f>
        <v>0</v>
      </c>
      <c r="K1390" s="76">
        <f ca="1">EFEITO!$L$1390*EFEITO!$Z$1464</f>
        <v>-249.68766937443522</v>
      </c>
      <c r="L1390" s="76">
        <f>EFEITO!$N$1390*EFEITO!$AA$1464</f>
        <v>-266.01206437439777</v>
      </c>
      <c r="M1390" s="76">
        <f>$J$1390-EFEITO!$K$1390*EFEITO!$Y$1390</f>
        <v>0</v>
      </c>
      <c r="N1390" s="76">
        <f ca="1">$K$1390-EFEITO!$M$1390*EFEITO!$Z$1390</f>
        <v>-99.875067749774075</v>
      </c>
      <c r="O1390" s="76">
        <f>$L$1390-EFEITO!$O$1390*EFEITO!$AA$1390</f>
        <v>-106.40482574975911</v>
      </c>
      <c r="P1390" s="18"/>
      <c r="Q1390" s="18"/>
      <c r="R1390" s="18"/>
      <c r="S1390" s="18"/>
      <c r="T1390" s="18"/>
      <c r="U1390" s="18"/>
      <c r="V1390" s="18"/>
      <c r="W1390" s="18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</row>
    <row r="1391" spans="1:36" ht="11.25" customHeight="1" x14ac:dyDescent="0.2">
      <c r="A1391" s="62" t="s">
        <v>28</v>
      </c>
      <c r="B1391" s="62" t="s">
        <v>22</v>
      </c>
      <c r="C1391" s="62" t="s">
        <v>23</v>
      </c>
      <c r="D1391" s="62" t="s">
        <v>24</v>
      </c>
      <c r="E1391" s="62" t="s">
        <v>30</v>
      </c>
      <c r="F1391" s="62" t="s">
        <v>25</v>
      </c>
      <c r="G1391" s="62" t="s">
        <v>25</v>
      </c>
      <c r="H1391" s="62" t="s">
        <v>25</v>
      </c>
      <c r="I1391" s="75">
        <v>44348</v>
      </c>
      <c r="J1391" s="76">
        <f>EFEITO!$J$1391*EFEITO!$Y$1303</f>
        <v>0</v>
      </c>
      <c r="K1391" s="76">
        <f ca="1">EFEITO!$L$1391*EFEITO!$Z$1464</f>
        <v>920.47189143611502</v>
      </c>
      <c r="L1391" s="76">
        <f>EFEITO!$N$1391*EFEITO!$AA$1464</f>
        <v>980.65166234675758</v>
      </c>
      <c r="M1391" s="76">
        <f>$J$1391-EFEITO!$K$1391*EFEITO!$Y$1391</f>
        <v>0</v>
      </c>
      <c r="N1391" s="76">
        <f ca="1">$K$1391-EFEITO!$M$1391*EFEITO!$Z$1391</f>
        <v>368.18875657444607</v>
      </c>
      <c r="O1391" s="76">
        <f>$L$1391-EFEITO!$O$1391*EFEITO!$AA$1391</f>
        <v>392.26066493870303</v>
      </c>
      <c r="P1391" s="18"/>
      <c r="Q1391" s="18"/>
      <c r="R1391" s="18"/>
      <c r="S1391" s="18"/>
      <c r="T1391" s="18"/>
      <c r="U1391" s="18"/>
      <c r="V1391" s="18"/>
      <c r="W1391" s="18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</row>
    <row r="1392" spans="1:36" ht="11.25" customHeight="1" x14ac:dyDescent="0.2">
      <c r="A1392" s="62" t="s">
        <v>21</v>
      </c>
      <c r="B1392" s="62" t="s">
        <v>22</v>
      </c>
      <c r="C1392" s="62" t="s">
        <v>23</v>
      </c>
      <c r="D1392" s="62" t="s">
        <v>24</v>
      </c>
      <c r="E1392" s="62" t="s">
        <v>30</v>
      </c>
      <c r="F1392" s="62" t="s">
        <v>25</v>
      </c>
      <c r="G1392" s="62" t="s">
        <v>25</v>
      </c>
      <c r="H1392" s="62" t="s">
        <v>25</v>
      </c>
      <c r="I1392" s="75">
        <v>44378</v>
      </c>
      <c r="J1392" s="76">
        <f>EFEITO!$J$1392*EFEITO!$Y$1303</f>
        <v>0</v>
      </c>
      <c r="K1392" s="76">
        <f ca="1">EFEITO!$L$1392*EFEITO!$Z$1464</f>
        <v>1430018.2125336169</v>
      </c>
      <c r="L1392" s="76">
        <f>EFEITO!$N$1392*EFEITO!$AA$1464</f>
        <v>1523511.7447413765</v>
      </c>
      <c r="M1392" s="76">
        <f>$J$1392-EFEITO!$K$1392*EFEITO!$Y$1392</f>
        <v>0</v>
      </c>
      <c r="N1392" s="76">
        <f ca="1">$K$1392-EFEITO!$M$1392*EFEITO!$Z$1392</f>
        <v>572007.28501344682</v>
      </c>
      <c r="O1392" s="76">
        <f>$L$1392-EFEITO!$O$1392*EFEITO!$AA$1392</f>
        <v>609404.69789655064</v>
      </c>
      <c r="P1392" s="18"/>
      <c r="Q1392" s="18"/>
      <c r="R1392" s="18"/>
      <c r="S1392" s="18"/>
      <c r="T1392" s="18"/>
      <c r="U1392" s="18"/>
      <c r="V1392" s="18"/>
      <c r="W1392" s="18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</row>
    <row r="1393" spans="1:36" ht="11.25" customHeight="1" x14ac:dyDescent="0.2">
      <c r="A1393" s="62" t="s">
        <v>27</v>
      </c>
      <c r="B1393" s="62" t="s">
        <v>22</v>
      </c>
      <c r="C1393" s="62" t="s">
        <v>23</v>
      </c>
      <c r="D1393" s="62" t="s">
        <v>24</v>
      </c>
      <c r="E1393" s="62" t="s">
        <v>30</v>
      </c>
      <c r="F1393" s="62" t="s">
        <v>25</v>
      </c>
      <c r="G1393" s="62" t="s">
        <v>25</v>
      </c>
      <c r="H1393" s="62" t="s">
        <v>25</v>
      </c>
      <c r="I1393" s="75">
        <v>44378</v>
      </c>
      <c r="J1393" s="76">
        <f>EFEITO!$J$1393*EFEITO!$Y$1303</f>
        <v>0</v>
      </c>
      <c r="K1393" s="76">
        <f ca="1">EFEITO!$L$1393*EFEITO!$Z$1464</f>
        <v>-129.94897290862798</v>
      </c>
      <c r="L1393" s="76">
        <f>EFEITO!$N$1393*EFEITO!$AA$1464</f>
        <v>-138.44494056660105</v>
      </c>
      <c r="M1393" s="76">
        <f>$J$1393-EFEITO!$K$1393*EFEITO!$Y$1393</f>
        <v>0</v>
      </c>
      <c r="N1393" s="76">
        <f ca="1">$K$1393-EFEITO!$M$1393*EFEITO!$Z$1393</f>
        <v>-51.979589163451195</v>
      </c>
      <c r="O1393" s="76">
        <f>$L$1393-EFEITO!$O$1393*EFEITO!$AA$1393</f>
        <v>-55.377976226640413</v>
      </c>
      <c r="P1393" s="18"/>
      <c r="Q1393" s="18"/>
      <c r="R1393" s="18"/>
      <c r="S1393" s="18"/>
      <c r="T1393" s="18"/>
      <c r="U1393" s="18"/>
      <c r="V1393" s="18"/>
      <c r="W1393" s="18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</row>
    <row r="1394" spans="1:36" ht="11.25" customHeight="1" x14ac:dyDescent="0.2">
      <c r="A1394" s="62" t="s">
        <v>28</v>
      </c>
      <c r="B1394" s="62" t="s">
        <v>22</v>
      </c>
      <c r="C1394" s="62" t="s">
        <v>23</v>
      </c>
      <c r="D1394" s="62" t="s">
        <v>24</v>
      </c>
      <c r="E1394" s="62" t="s">
        <v>30</v>
      </c>
      <c r="F1394" s="62" t="s">
        <v>25</v>
      </c>
      <c r="G1394" s="62" t="s">
        <v>25</v>
      </c>
      <c r="H1394" s="62" t="s">
        <v>25</v>
      </c>
      <c r="I1394" s="75">
        <v>44378</v>
      </c>
      <c r="J1394" s="76">
        <f>EFEITO!$J$1394*EFEITO!$Y$1303</f>
        <v>0</v>
      </c>
      <c r="K1394" s="76">
        <f ca="1">EFEITO!$L$1394*EFEITO!$Z$1464</f>
        <v>953.26853697972103</v>
      </c>
      <c r="L1394" s="76">
        <f>EFEITO!$N$1394*EFEITO!$AA$1464</f>
        <v>1015.5925282992806</v>
      </c>
      <c r="M1394" s="76">
        <f>$J$1394-EFEITO!$K$1394*EFEITO!$Y$1394</f>
        <v>0</v>
      </c>
      <c r="N1394" s="76">
        <f ca="1">$K$1394-EFEITO!$M$1394*EFEITO!$Z$1394</f>
        <v>381.30741479188839</v>
      </c>
      <c r="O1394" s="76">
        <f>$L$1394-EFEITO!$O$1394*EFEITO!$AA$1394</f>
        <v>406.23701131971222</v>
      </c>
      <c r="P1394" s="18"/>
      <c r="Q1394" s="18"/>
      <c r="R1394" s="18"/>
      <c r="S1394" s="18"/>
      <c r="T1394" s="18"/>
      <c r="U1394" s="18"/>
      <c r="V1394" s="18"/>
      <c r="W1394" s="18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</row>
    <row r="1395" spans="1:36" ht="11.25" customHeight="1" x14ac:dyDescent="0.2">
      <c r="A1395" s="62" t="s">
        <v>21</v>
      </c>
      <c r="B1395" s="62" t="s">
        <v>22</v>
      </c>
      <c r="C1395" s="62" t="s">
        <v>23</v>
      </c>
      <c r="D1395" s="62" t="s">
        <v>24</v>
      </c>
      <c r="E1395" s="62" t="s">
        <v>30</v>
      </c>
      <c r="F1395" s="62" t="s">
        <v>25</v>
      </c>
      <c r="G1395" s="62" t="s">
        <v>25</v>
      </c>
      <c r="H1395" s="62" t="s">
        <v>25</v>
      </c>
      <c r="I1395" s="75">
        <v>44409</v>
      </c>
      <c r="J1395" s="76">
        <f>EFEITO!$J$1395*EFEITO!$Y$1303</f>
        <v>0</v>
      </c>
      <c r="K1395" s="76">
        <f ca="1">EFEITO!$L$1395*EFEITO!$Z$1464</f>
        <v>1452223.0885782207</v>
      </c>
      <c r="L1395" s="76">
        <f>EFEITO!$N$1395*EFEITO!$AA$1464</f>
        <v>1547168.3591452893</v>
      </c>
      <c r="M1395" s="76">
        <f>$J$1395-EFEITO!$K$1395*EFEITO!$Y$1395</f>
        <v>0</v>
      </c>
      <c r="N1395" s="76">
        <f ca="1">$K$1395-EFEITO!$M$1395*EFEITO!$Z$1395</f>
        <v>580889.23543128825</v>
      </c>
      <c r="O1395" s="76">
        <f>$L$1395-EFEITO!$O$1395*EFEITO!$AA$1395</f>
        <v>618867.34365811583</v>
      </c>
      <c r="P1395" s="18"/>
      <c r="Q1395" s="18"/>
      <c r="R1395" s="18"/>
      <c r="S1395" s="18"/>
      <c r="T1395" s="18"/>
      <c r="U1395" s="18"/>
      <c r="V1395" s="18"/>
      <c r="W1395" s="18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</row>
    <row r="1396" spans="1:36" ht="11.25" customHeight="1" x14ac:dyDescent="0.2">
      <c r="A1396" s="62" t="s">
        <v>27</v>
      </c>
      <c r="B1396" s="62" t="s">
        <v>22</v>
      </c>
      <c r="C1396" s="62" t="s">
        <v>23</v>
      </c>
      <c r="D1396" s="62" t="s">
        <v>24</v>
      </c>
      <c r="E1396" s="62" t="s">
        <v>30</v>
      </c>
      <c r="F1396" s="62" t="s">
        <v>25</v>
      </c>
      <c r="G1396" s="62" t="s">
        <v>25</v>
      </c>
      <c r="H1396" s="62" t="s">
        <v>25</v>
      </c>
      <c r="I1396" s="75">
        <v>44409</v>
      </c>
      <c r="J1396" s="76">
        <f>EFEITO!$J$1396*EFEITO!$Y$1303</f>
        <v>0</v>
      </c>
      <c r="K1396" s="76">
        <f ca="1">EFEITO!$L$1396*EFEITO!$Z$1464</f>
        <v>-372.82979132118271</v>
      </c>
      <c r="L1396" s="76">
        <f>EFEITO!$N$1396*EFEITO!$AA$1464</f>
        <v>-397.20512710179594</v>
      </c>
      <c r="M1396" s="76">
        <f>$J$1396-EFEITO!$K$1396*EFEITO!$Y$1396</f>
        <v>0</v>
      </c>
      <c r="N1396" s="76">
        <f ca="1">$K$1396-EFEITO!$M$1396*EFEITO!$Z$1396</f>
        <v>-149.13191652847308</v>
      </c>
      <c r="O1396" s="76">
        <f>$L$1396-EFEITO!$O$1396*EFEITO!$AA$1396</f>
        <v>-158.88205084071839</v>
      </c>
      <c r="P1396" s="18"/>
      <c r="Q1396" s="18"/>
      <c r="R1396" s="18"/>
      <c r="S1396" s="18"/>
      <c r="T1396" s="18"/>
      <c r="U1396" s="18"/>
      <c r="V1396" s="18"/>
      <c r="W1396" s="18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</row>
    <row r="1397" spans="1:36" ht="11.25" customHeight="1" x14ac:dyDescent="0.2">
      <c r="A1397" s="62" t="s">
        <v>28</v>
      </c>
      <c r="B1397" s="62" t="s">
        <v>22</v>
      </c>
      <c r="C1397" s="62" t="s">
        <v>23</v>
      </c>
      <c r="D1397" s="62" t="s">
        <v>24</v>
      </c>
      <c r="E1397" s="62" t="s">
        <v>30</v>
      </c>
      <c r="F1397" s="62" t="s">
        <v>25</v>
      </c>
      <c r="G1397" s="62" t="s">
        <v>25</v>
      </c>
      <c r="H1397" s="62" t="s">
        <v>25</v>
      </c>
      <c r="I1397" s="75">
        <v>44409</v>
      </c>
      <c r="J1397" s="76">
        <f>EFEITO!$J$1397*EFEITO!$Y$1303</f>
        <v>0</v>
      </c>
      <c r="K1397" s="76">
        <f ca="1">EFEITO!$L$1397*EFEITO!$Z$1464</f>
        <v>1035.8789554716345</v>
      </c>
      <c r="L1397" s="76">
        <f>EFEITO!$N$1397*EFEITO!$AA$1464</f>
        <v>1103.6039548023341</v>
      </c>
      <c r="M1397" s="76">
        <f>$J$1397-EFEITO!$K$1397*EFEITO!$Y$1397</f>
        <v>0</v>
      </c>
      <c r="N1397" s="76">
        <f ca="1">$K$1397-EFEITO!$M$1397*EFEITO!$Z$1397</f>
        <v>414.35158218865388</v>
      </c>
      <c r="O1397" s="76">
        <f>$L$1397-EFEITO!$O$1397*EFEITO!$AA$1397</f>
        <v>441.44158192093369</v>
      </c>
      <c r="P1397" s="18"/>
      <c r="Q1397" s="18"/>
      <c r="R1397" s="18"/>
      <c r="S1397" s="18"/>
      <c r="T1397" s="18"/>
      <c r="U1397" s="18"/>
      <c r="V1397" s="18"/>
      <c r="W1397" s="18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</row>
    <row r="1398" spans="1:36" ht="11.25" customHeight="1" x14ac:dyDescent="0.2">
      <c r="A1398" s="62" t="s">
        <v>21</v>
      </c>
      <c r="B1398" s="62" t="s">
        <v>22</v>
      </c>
      <c r="C1398" s="62" t="s">
        <v>23</v>
      </c>
      <c r="D1398" s="62" t="s">
        <v>24</v>
      </c>
      <c r="E1398" s="62" t="s">
        <v>30</v>
      </c>
      <c r="F1398" s="62" t="s">
        <v>25</v>
      </c>
      <c r="G1398" s="62" t="s">
        <v>25</v>
      </c>
      <c r="H1398" s="62" t="s">
        <v>25</v>
      </c>
      <c r="I1398" s="75">
        <v>44440</v>
      </c>
      <c r="J1398" s="76">
        <f>EFEITO!$J$1398*EFEITO!$Y$1303</f>
        <v>0</v>
      </c>
      <c r="K1398" s="76">
        <f ca="1">EFEITO!$L$1398*EFEITO!$Z$1464</f>
        <v>1485635.135329244</v>
      </c>
      <c r="L1398" s="76">
        <f>EFEITO!$N$1398*EFEITO!$AA$1464</f>
        <v>1582764.8607806384</v>
      </c>
      <c r="M1398" s="76">
        <f>$J$1398-EFEITO!$K$1398*EFEITO!$Y$1398</f>
        <v>0</v>
      </c>
      <c r="N1398" s="76">
        <f ca="1">$K$1398-EFEITO!$M$1398*EFEITO!$Z$1398</f>
        <v>594254.05413169751</v>
      </c>
      <c r="O1398" s="76">
        <f>$L$1398-EFEITO!$O$1398*EFEITO!$AA$1398</f>
        <v>633105.94431225548</v>
      </c>
      <c r="P1398" s="18"/>
      <c r="Q1398" s="18"/>
      <c r="R1398" s="18"/>
      <c r="S1398" s="18"/>
      <c r="T1398" s="18"/>
      <c r="U1398" s="18"/>
      <c r="V1398" s="18"/>
      <c r="W1398" s="18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</row>
    <row r="1399" spans="1:36" ht="11.25" customHeight="1" x14ac:dyDescent="0.2">
      <c r="A1399" s="62" t="s">
        <v>27</v>
      </c>
      <c r="B1399" s="62" t="s">
        <v>22</v>
      </c>
      <c r="C1399" s="62" t="s">
        <v>23</v>
      </c>
      <c r="D1399" s="62" t="s">
        <v>24</v>
      </c>
      <c r="E1399" s="62" t="s">
        <v>30</v>
      </c>
      <c r="F1399" s="62" t="s">
        <v>25</v>
      </c>
      <c r="G1399" s="62" t="s">
        <v>25</v>
      </c>
      <c r="H1399" s="62" t="s">
        <v>25</v>
      </c>
      <c r="I1399" s="75">
        <v>44440</v>
      </c>
      <c r="J1399" s="76">
        <f>EFEITO!$J$1399*EFEITO!$Y$1303</f>
        <v>0</v>
      </c>
      <c r="K1399" s="76">
        <f ca="1">EFEITO!$L$1399*EFEITO!$Z$1464</f>
        <v>-331.0604786005523</v>
      </c>
      <c r="L1399" s="76">
        <f>EFEITO!$N$1399*EFEITO!$AA$1464</f>
        <v>-352.70496763395988</v>
      </c>
      <c r="M1399" s="76">
        <f>$J$1399-EFEITO!$K$1399*EFEITO!$Y$1399</f>
        <v>0</v>
      </c>
      <c r="N1399" s="76">
        <f ca="1">$K$1399-EFEITO!$M$1399*EFEITO!$Z$1399</f>
        <v>-132.42419144022094</v>
      </c>
      <c r="O1399" s="76">
        <f>$L$1399-EFEITO!$O$1399*EFEITO!$AA$1399</f>
        <v>-141.08198705358396</v>
      </c>
      <c r="P1399" s="18"/>
      <c r="Q1399" s="18"/>
      <c r="R1399" s="18"/>
      <c r="S1399" s="18"/>
      <c r="T1399" s="18"/>
      <c r="U1399" s="18"/>
      <c r="V1399" s="18"/>
      <c r="W1399" s="18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</row>
    <row r="1400" spans="1:36" ht="11.25" customHeight="1" x14ac:dyDescent="0.2">
      <c r="A1400" s="62" t="s">
        <v>28</v>
      </c>
      <c r="B1400" s="62" t="s">
        <v>22</v>
      </c>
      <c r="C1400" s="62" t="s">
        <v>23</v>
      </c>
      <c r="D1400" s="62" t="s">
        <v>24</v>
      </c>
      <c r="E1400" s="62" t="s">
        <v>30</v>
      </c>
      <c r="F1400" s="62" t="s">
        <v>25</v>
      </c>
      <c r="G1400" s="62" t="s">
        <v>25</v>
      </c>
      <c r="H1400" s="62" t="s">
        <v>25</v>
      </c>
      <c r="I1400" s="75">
        <v>44440</v>
      </c>
      <c r="J1400" s="76">
        <f>EFEITO!$J$1400*EFEITO!$Y$1303</f>
        <v>0</v>
      </c>
      <c r="K1400" s="76">
        <f ca="1">EFEITO!$L$1400*EFEITO!$Z$1464</f>
        <v>1067.4379917494443</v>
      </c>
      <c r="L1400" s="76">
        <f>EFEITO!$N$1400*EFEITO!$AA$1464</f>
        <v>1137.2262975113661</v>
      </c>
      <c r="M1400" s="76">
        <f>$J$1400-EFEITO!$K$1400*EFEITO!$Y$1400</f>
        <v>0</v>
      </c>
      <c r="N1400" s="76">
        <f ca="1">$K$1400-EFEITO!$M$1400*EFEITO!$Z$1400</f>
        <v>426.97519669977783</v>
      </c>
      <c r="O1400" s="76">
        <f>$L$1400-EFEITO!$O$1400*EFEITO!$AA$1400</f>
        <v>454.89051900454649</v>
      </c>
      <c r="P1400" s="18"/>
      <c r="Q1400" s="18"/>
      <c r="R1400" s="18"/>
      <c r="S1400" s="18"/>
      <c r="T1400" s="18"/>
      <c r="U1400" s="18"/>
      <c r="V1400" s="18"/>
      <c r="W1400" s="18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</row>
    <row r="1401" spans="1:36" ht="11.25" customHeight="1" x14ac:dyDescent="0.2">
      <c r="A1401" s="62" t="s">
        <v>21</v>
      </c>
      <c r="B1401" s="62" t="s">
        <v>22</v>
      </c>
      <c r="C1401" s="62" t="s">
        <v>23</v>
      </c>
      <c r="D1401" s="62" t="s">
        <v>24</v>
      </c>
      <c r="E1401" s="62" t="s">
        <v>30</v>
      </c>
      <c r="F1401" s="62" t="s">
        <v>25</v>
      </c>
      <c r="G1401" s="62" t="s">
        <v>25</v>
      </c>
      <c r="H1401" s="62" t="s">
        <v>25</v>
      </c>
      <c r="I1401" s="75">
        <v>44470</v>
      </c>
      <c r="J1401" s="76">
        <f>EFEITO!$J$1401*EFEITO!$Y$1303</f>
        <v>0</v>
      </c>
      <c r="K1401" s="76">
        <f ca="1">EFEITO!$L$1401*EFEITO!$Z$1464</f>
        <v>1483321.4248068375</v>
      </c>
      <c r="L1401" s="76">
        <f>EFEITO!$N$1401*EFEITO!$AA$1464</f>
        <v>1580299.8815769311</v>
      </c>
      <c r="M1401" s="76">
        <f>$J$1401-EFEITO!$K$1401*EFEITO!$Y$1401</f>
        <v>0</v>
      </c>
      <c r="N1401" s="76">
        <f ca="1">$K$1401-EFEITO!$M$1401*EFEITO!$Z$1401</f>
        <v>593328.56992273498</v>
      </c>
      <c r="O1401" s="76">
        <f>$L$1401-EFEITO!$O$1401*EFEITO!$AA$1401</f>
        <v>632119.95263077249</v>
      </c>
      <c r="P1401" s="18"/>
      <c r="Q1401" s="18"/>
      <c r="R1401" s="18"/>
      <c r="S1401" s="18"/>
      <c r="T1401" s="18"/>
      <c r="U1401" s="18"/>
      <c r="V1401" s="18"/>
      <c r="W1401" s="18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</row>
    <row r="1402" spans="1:36" ht="11.25" customHeight="1" x14ac:dyDescent="0.2">
      <c r="A1402" s="62" t="s">
        <v>27</v>
      </c>
      <c r="B1402" s="62" t="s">
        <v>22</v>
      </c>
      <c r="C1402" s="62" t="s">
        <v>23</v>
      </c>
      <c r="D1402" s="62" t="s">
        <v>24</v>
      </c>
      <c r="E1402" s="62" t="s">
        <v>30</v>
      </c>
      <c r="F1402" s="62" t="s">
        <v>25</v>
      </c>
      <c r="G1402" s="62" t="s">
        <v>25</v>
      </c>
      <c r="H1402" s="62" t="s">
        <v>25</v>
      </c>
      <c r="I1402" s="75">
        <v>44470</v>
      </c>
      <c r="J1402" s="76">
        <f>EFEITO!$J$1402*EFEITO!$Y$1303</f>
        <v>0</v>
      </c>
      <c r="K1402" s="76">
        <f ca="1">EFEITO!$L$1402*EFEITO!$Z$1464</f>
        <v>-274.13045237391526</v>
      </c>
      <c r="L1402" s="76">
        <f>EFEITO!$N$1402*EFEITO!$AA$1464</f>
        <v>-292.05289843335368</v>
      </c>
      <c r="M1402" s="76">
        <f>$J$1402-EFEITO!$K$1402*EFEITO!$Y$1402</f>
        <v>0</v>
      </c>
      <c r="N1402" s="76">
        <f ca="1">$K$1402-EFEITO!$M$1402*EFEITO!$Z$1402</f>
        <v>-109.65218094956612</v>
      </c>
      <c r="O1402" s="76">
        <f>$L$1402-EFEITO!$O$1402*EFEITO!$AA$1402</f>
        <v>-116.82115937334149</v>
      </c>
      <c r="P1402" s="18"/>
      <c r="Q1402" s="18"/>
      <c r="R1402" s="18"/>
      <c r="S1402" s="18"/>
      <c r="T1402" s="18"/>
      <c r="U1402" s="18"/>
      <c r="V1402" s="18"/>
      <c r="W1402" s="18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</row>
    <row r="1403" spans="1:36" ht="11.25" customHeight="1" x14ac:dyDescent="0.2">
      <c r="A1403" s="62" t="s">
        <v>28</v>
      </c>
      <c r="B1403" s="62" t="s">
        <v>22</v>
      </c>
      <c r="C1403" s="62" t="s">
        <v>23</v>
      </c>
      <c r="D1403" s="62" t="s">
        <v>24</v>
      </c>
      <c r="E1403" s="62" t="s">
        <v>30</v>
      </c>
      <c r="F1403" s="62" t="s">
        <v>25</v>
      </c>
      <c r="G1403" s="62" t="s">
        <v>25</v>
      </c>
      <c r="H1403" s="62" t="s">
        <v>25</v>
      </c>
      <c r="I1403" s="75">
        <v>44470</v>
      </c>
      <c r="J1403" s="76">
        <f>EFEITO!$J$1403*EFEITO!$Y$1303</f>
        <v>0</v>
      </c>
      <c r="K1403" s="76">
        <f ca="1">EFEITO!$L$1403*EFEITO!$Z$1464</f>
        <v>1218.1169198601629</v>
      </c>
      <c r="L1403" s="76">
        <f>EFEITO!$N$1403*EFEITO!$AA$1464</f>
        <v>1297.7565024064486</v>
      </c>
      <c r="M1403" s="76">
        <f>$J$1403-EFEITO!$K$1403*EFEITO!$Y$1403</f>
        <v>0</v>
      </c>
      <c r="N1403" s="76">
        <f ca="1">$K$1403-EFEITO!$M$1403*EFEITO!$Z$1403</f>
        <v>487.24676794406514</v>
      </c>
      <c r="O1403" s="76">
        <f>$L$1403-EFEITO!$O$1403*EFEITO!$AA$1403</f>
        <v>519.10260096257957</v>
      </c>
      <c r="P1403" s="18"/>
      <c r="Q1403" s="18"/>
      <c r="R1403" s="18"/>
      <c r="S1403" s="18"/>
      <c r="T1403" s="18"/>
      <c r="U1403" s="18"/>
      <c r="V1403" s="18"/>
      <c r="W1403" s="18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</row>
    <row r="1404" spans="1:36" ht="11.25" customHeight="1" x14ac:dyDescent="0.2">
      <c r="A1404" s="62" t="s">
        <v>21</v>
      </c>
      <c r="B1404" s="62" t="s">
        <v>22</v>
      </c>
      <c r="C1404" s="62" t="s">
        <v>23</v>
      </c>
      <c r="D1404" s="62" t="s">
        <v>24</v>
      </c>
      <c r="E1404" s="62" t="s">
        <v>30</v>
      </c>
      <c r="F1404" s="62" t="s">
        <v>25</v>
      </c>
      <c r="G1404" s="62" t="s">
        <v>25</v>
      </c>
      <c r="H1404" s="62" t="s">
        <v>25</v>
      </c>
      <c r="I1404" s="75">
        <v>44501</v>
      </c>
      <c r="J1404" s="76">
        <f>EFEITO!$J$1404*EFEITO!$Y$1303</f>
        <v>0</v>
      </c>
      <c r="K1404" s="76">
        <f ca="1">EFEITO!$L$1404*EFEITO!$Z$1464</f>
        <v>1505887.0639524208</v>
      </c>
      <c r="L1404" s="76">
        <f>EFEITO!$N$1404*EFEITO!$AA$1464</f>
        <v>1604340.8455063214</v>
      </c>
      <c r="M1404" s="76">
        <f>$J$1404-EFEITO!$K$1404*EFEITO!$Y$1404</f>
        <v>0</v>
      </c>
      <c r="N1404" s="76">
        <f ca="1">$K$1404-EFEITO!$M$1404*EFEITO!$Z$1404</f>
        <v>602354.82558096841</v>
      </c>
      <c r="O1404" s="76">
        <f>$L$1404-EFEITO!$O$1404*EFEITO!$AA$1404</f>
        <v>641736.33820252866</v>
      </c>
      <c r="P1404" s="18"/>
      <c r="Q1404" s="18"/>
      <c r="R1404" s="18"/>
      <c r="S1404" s="18"/>
      <c r="T1404" s="18"/>
      <c r="U1404" s="18"/>
      <c r="V1404" s="18"/>
      <c r="W1404" s="18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</row>
    <row r="1405" spans="1:36" ht="11.25" customHeight="1" x14ac:dyDescent="0.2">
      <c r="A1405" s="62" t="s">
        <v>27</v>
      </c>
      <c r="B1405" s="62" t="s">
        <v>22</v>
      </c>
      <c r="C1405" s="62" t="s">
        <v>23</v>
      </c>
      <c r="D1405" s="62" t="s">
        <v>24</v>
      </c>
      <c r="E1405" s="62" t="s">
        <v>30</v>
      </c>
      <c r="F1405" s="62" t="s">
        <v>25</v>
      </c>
      <c r="G1405" s="62" t="s">
        <v>25</v>
      </c>
      <c r="H1405" s="62" t="s">
        <v>25</v>
      </c>
      <c r="I1405" s="75">
        <v>44501</v>
      </c>
      <c r="J1405" s="76">
        <f>EFEITO!$J$1405*EFEITO!$Y$1303</f>
        <v>0</v>
      </c>
      <c r="K1405" s="76">
        <f ca="1">EFEITO!$L$1405*EFEITO!$Z$1464</f>
        <v>-736.37751314889192</v>
      </c>
      <c r="L1405" s="76">
        <f>EFEITO!$N$1405*EFEITO!$AA$1464</f>
        <v>-784.52132987740606</v>
      </c>
      <c r="M1405" s="76">
        <f>$J$1405-EFEITO!$K$1405*EFEITO!$Y$1405</f>
        <v>0</v>
      </c>
      <c r="N1405" s="76">
        <f ca="1">$K$1405-EFEITO!$M$1405*EFEITO!$Z$1405</f>
        <v>-294.5510052595568</v>
      </c>
      <c r="O1405" s="76">
        <f>$L$1405-EFEITO!$O$1405*EFEITO!$AA$1405</f>
        <v>-313.8085319509625</v>
      </c>
      <c r="P1405" s="18"/>
      <c r="Q1405" s="18"/>
      <c r="R1405" s="18"/>
      <c r="S1405" s="18"/>
      <c r="T1405" s="18"/>
      <c r="U1405" s="18"/>
      <c r="V1405" s="18"/>
      <c r="W1405" s="18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</row>
    <row r="1406" spans="1:36" ht="11.25" customHeight="1" x14ac:dyDescent="0.2">
      <c r="A1406" s="62" t="s">
        <v>28</v>
      </c>
      <c r="B1406" s="62" t="s">
        <v>22</v>
      </c>
      <c r="C1406" s="62" t="s">
        <v>23</v>
      </c>
      <c r="D1406" s="62" t="s">
        <v>24</v>
      </c>
      <c r="E1406" s="62" t="s">
        <v>30</v>
      </c>
      <c r="F1406" s="62" t="s">
        <v>25</v>
      </c>
      <c r="G1406" s="62" t="s">
        <v>25</v>
      </c>
      <c r="H1406" s="62" t="s">
        <v>25</v>
      </c>
      <c r="I1406" s="75">
        <v>44501</v>
      </c>
      <c r="J1406" s="76">
        <f>EFEITO!$J$1406*EFEITO!$Y$1303</f>
        <v>0</v>
      </c>
      <c r="K1406" s="76">
        <f ca="1">EFEITO!$L$1406*EFEITO!$Z$1464</f>
        <v>1479.5618772596645</v>
      </c>
      <c r="L1406" s="76">
        <f>EFEITO!$N$1406*EFEITO!$AA$1464</f>
        <v>1576.2945375940151</v>
      </c>
      <c r="M1406" s="76">
        <f>$J$1406-EFEITO!$K$1406*EFEITO!$Y$1406</f>
        <v>0</v>
      </c>
      <c r="N1406" s="76">
        <f ca="1">$K$1406-EFEITO!$M$1406*EFEITO!$Z$1406</f>
        <v>591.82475090386583</v>
      </c>
      <c r="O1406" s="76">
        <f>$L$1406-EFEITO!$O$1406*EFEITO!$AA$1406</f>
        <v>630.51781503760617</v>
      </c>
      <c r="P1406" s="18"/>
      <c r="Q1406" s="18"/>
      <c r="R1406" s="18"/>
      <c r="S1406" s="18"/>
      <c r="T1406" s="18"/>
      <c r="U1406" s="18"/>
      <c r="V1406" s="18"/>
      <c r="W1406" s="18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</row>
    <row r="1407" spans="1:36" ht="11.25" customHeight="1" x14ac:dyDescent="0.2">
      <c r="A1407" s="62" t="s">
        <v>21</v>
      </c>
      <c r="B1407" s="62" t="s">
        <v>22</v>
      </c>
      <c r="C1407" s="62" t="s">
        <v>23</v>
      </c>
      <c r="D1407" s="62" t="s">
        <v>24</v>
      </c>
      <c r="E1407" s="62" t="s">
        <v>30</v>
      </c>
      <c r="F1407" s="62" t="s">
        <v>25</v>
      </c>
      <c r="G1407" s="62" t="s">
        <v>25</v>
      </c>
      <c r="H1407" s="62" t="s">
        <v>25</v>
      </c>
      <c r="I1407" s="75">
        <v>44531</v>
      </c>
      <c r="J1407" s="76">
        <f>EFEITO!$J$1407*EFEITO!$Y$1303</f>
        <v>0</v>
      </c>
      <c r="K1407" s="76">
        <f ca="1">EFEITO!$L$1407*EFEITO!$Z$1464</f>
        <v>1556707.9414407702</v>
      </c>
      <c r="L1407" s="76">
        <f>EFEITO!$N$1407*EFEITO!$AA$1464</f>
        <v>1658484.354346243</v>
      </c>
      <c r="M1407" s="76">
        <f>$J$1407-EFEITO!$K$1407*EFEITO!$Y$1407</f>
        <v>0</v>
      </c>
      <c r="N1407" s="76">
        <f ca="1">$K$1407-EFEITO!$M$1407*EFEITO!$Z$1407</f>
        <v>622683.17657630809</v>
      </c>
      <c r="O1407" s="76">
        <f>$L$1407-EFEITO!$O$1407*EFEITO!$AA$1407</f>
        <v>663393.74173849728</v>
      </c>
      <c r="P1407" s="18"/>
      <c r="Q1407" s="18"/>
      <c r="R1407" s="18"/>
      <c r="S1407" s="18"/>
      <c r="T1407" s="18"/>
      <c r="U1407" s="18"/>
      <c r="V1407" s="18"/>
      <c r="W1407" s="18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</row>
    <row r="1408" spans="1:36" ht="11.25" customHeight="1" x14ac:dyDescent="0.2">
      <c r="A1408" s="62" t="s">
        <v>27</v>
      </c>
      <c r="B1408" s="62" t="s">
        <v>22</v>
      </c>
      <c r="C1408" s="62" t="s">
        <v>23</v>
      </c>
      <c r="D1408" s="62" t="s">
        <v>24</v>
      </c>
      <c r="E1408" s="62" t="s">
        <v>30</v>
      </c>
      <c r="F1408" s="62" t="s">
        <v>25</v>
      </c>
      <c r="G1408" s="62" t="s">
        <v>25</v>
      </c>
      <c r="H1408" s="62" t="s">
        <v>25</v>
      </c>
      <c r="I1408" s="75">
        <v>44531</v>
      </c>
      <c r="J1408" s="76">
        <f>EFEITO!$J$1408*EFEITO!$Y$1303</f>
        <v>0</v>
      </c>
      <c r="K1408" s="76">
        <f ca="1">EFEITO!$L$1408*EFEITO!$Z$1464</f>
        <v>-484.52402755931297</v>
      </c>
      <c r="L1408" s="76">
        <f>EFEITO!$N$1408*EFEITO!$AA$1464</f>
        <v>-516.2018498268983</v>
      </c>
      <c r="M1408" s="76">
        <f>$J$1408-EFEITO!$K$1408*EFEITO!$Y$1408</f>
        <v>0</v>
      </c>
      <c r="N1408" s="76">
        <f ca="1">$K$1408-EFEITO!$M$1408*EFEITO!$Z$1408</f>
        <v>-193.80961102372521</v>
      </c>
      <c r="O1408" s="76">
        <f>$L$1408-EFEITO!$O$1408*EFEITO!$AA$1408</f>
        <v>-206.48073993075934</v>
      </c>
      <c r="P1408" s="18"/>
      <c r="Q1408" s="18"/>
      <c r="R1408" s="18"/>
      <c r="S1408" s="18"/>
      <c r="T1408" s="18"/>
      <c r="U1408" s="18"/>
      <c r="V1408" s="18"/>
      <c r="W1408" s="18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</row>
    <row r="1409" spans="1:36" ht="11.25" customHeight="1" x14ac:dyDescent="0.2">
      <c r="A1409" s="62" t="s">
        <v>28</v>
      </c>
      <c r="B1409" s="62" t="s">
        <v>22</v>
      </c>
      <c r="C1409" s="62" t="s">
        <v>23</v>
      </c>
      <c r="D1409" s="62" t="s">
        <v>24</v>
      </c>
      <c r="E1409" s="62" t="s">
        <v>30</v>
      </c>
      <c r="F1409" s="62" t="s">
        <v>25</v>
      </c>
      <c r="G1409" s="62" t="s">
        <v>25</v>
      </c>
      <c r="H1409" s="62" t="s">
        <v>25</v>
      </c>
      <c r="I1409" s="75">
        <v>44531</v>
      </c>
      <c r="J1409" s="76">
        <f>EFEITO!$J$1409*EFEITO!$Y$1303</f>
        <v>0</v>
      </c>
      <c r="K1409" s="76">
        <f ca="1">EFEITO!$L$1409*EFEITO!$Z$1464</f>
        <v>1302.8931545672203</v>
      </c>
      <c r="L1409" s="76">
        <f>EFEITO!$N$1409*EFEITO!$AA$1464</f>
        <v>1388.0753445856121</v>
      </c>
      <c r="M1409" s="76">
        <f>$J$1409-EFEITO!$K$1409*EFEITO!$Y$1409</f>
        <v>0</v>
      </c>
      <c r="N1409" s="76">
        <f ca="1">$K$1409-EFEITO!$M$1409*EFEITO!$Z$1409</f>
        <v>521.1572618268882</v>
      </c>
      <c r="O1409" s="76">
        <f>$L$1409-EFEITO!$O$1409*EFEITO!$AA$1409</f>
        <v>555.23013783424483</v>
      </c>
      <c r="P1409" s="18"/>
      <c r="Q1409" s="18"/>
      <c r="R1409" s="18"/>
      <c r="S1409" s="18"/>
      <c r="T1409" s="18"/>
      <c r="U1409" s="18"/>
      <c r="V1409" s="18"/>
      <c r="W1409" s="18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</row>
    <row r="1410" spans="1:36" ht="11.25" customHeight="1" x14ac:dyDescent="0.2">
      <c r="A1410" s="62" t="s">
        <v>21</v>
      </c>
      <c r="B1410" s="62" t="s">
        <v>22</v>
      </c>
      <c r="C1410" s="62" t="s">
        <v>23</v>
      </c>
      <c r="D1410" s="62" t="s">
        <v>24</v>
      </c>
      <c r="E1410" s="62" t="s">
        <v>30</v>
      </c>
      <c r="F1410" s="62" t="s">
        <v>25</v>
      </c>
      <c r="G1410" s="62" t="s">
        <v>25</v>
      </c>
      <c r="H1410" s="62" t="s">
        <v>25</v>
      </c>
      <c r="I1410" s="75">
        <v>44562</v>
      </c>
      <c r="J1410" s="76">
        <f>EFEITO!$J$1410*EFEITO!$Y$1303</f>
        <v>0</v>
      </c>
      <c r="K1410" s="76">
        <f ca="1">EFEITO!$L$1410*EFEITO!$Z$1464</f>
        <v>1598107.2089909273</v>
      </c>
      <c r="L1410" s="76">
        <f>EFEITO!$N$1410*EFEITO!$AA$1464</f>
        <v>1702590.2753642751</v>
      </c>
      <c r="M1410" s="76">
        <f>$J$1410-EFEITO!$K$1410*EFEITO!$Y$1410</f>
        <v>0</v>
      </c>
      <c r="N1410" s="76">
        <f ca="1">$K$1410-EFEITO!$M$1410*EFEITO!$Z$1410</f>
        <v>639242.88359637093</v>
      </c>
      <c r="O1410" s="76">
        <f>$L$1410-EFEITO!$O$1410*EFEITO!$AA$1410</f>
        <v>681036.11014571006</v>
      </c>
      <c r="P1410" s="18"/>
      <c r="Q1410" s="18"/>
      <c r="R1410" s="18"/>
      <c r="S1410" s="18"/>
      <c r="T1410" s="18"/>
      <c r="U1410" s="18"/>
      <c r="V1410" s="18"/>
      <c r="W1410" s="18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</row>
    <row r="1411" spans="1:36" ht="11.25" customHeight="1" x14ac:dyDescent="0.2">
      <c r="A1411" s="62" t="s">
        <v>27</v>
      </c>
      <c r="B1411" s="62" t="s">
        <v>22</v>
      </c>
      <c r="C1411" s="62" t="s">
        <v>23</v>
      </c>
      <c r="D1411" s="62" t="s">
        <v>24</v>
      </c>
      <c r="E1411" s="62" t="s">
        <v>30</v>
      </c>
      <c r="F1411" s="62" t="s">
        <v>25</v>
      </c>
      <c r="G1411" s="62" t="s">
        <v>25</v>
      </c>
      <c r="H1411" s="62" t="s">
        <v>25</v>
      </c>
      <c r="I1411" s="75">
        <v>44562</v>
      </c>
      <c r="J1411" s="76">
        <f>EFEITO!$J$1411*EFEITO!$Y$1303</f>
        <v>0</v>
      </c>
      <c r="K1411" s="76">
        <f ca="1">EFEITO!$L$1411*EFEITO!$Z$1464</f>
        <v>-194.61405704649289</v>
      </c>
      <c r="L1411" s="76">
        <f>EFEITO!$N$1411*EFEITO!$AA$1464</f>
        <v>-207.33778003902873</v>
      </c>
      <c r="M1411" s="76">
        <f>$J$1411-EFEITO!$K$1411*EFEITO!$Y$1411</f>
        <v>0</v>
      </c>
      <c r="N1411" s="76">
        <f ca="1">$K$1411-EFEITO!$M$1411*EFEITO!$Z$1411</f>
        <v>-77.845622818597164</v>
      </c>
      <c r="O1411" s="76">
        <f>$L$1411-EFEITO!$O$1411*EFEITO!$AA$1411</f>
        <v>-82.935112015611494</v>
      </c>
      <c r="P1411" s="18"/>
      <c r="Q1411" s="18"/>
      <c r="R1411" s="18"/>
      <c r="S1411" s="18"/>
      <c r="T1411" s="18"/>
      <c r="U1411" s="18"/>
      <c r="V1411" s="18"/>
      <c r="W1411" s="18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</row>
    <row r="1412" spans="1:36" ht="11.25" customHeight="1" x14ac:dyDescent="0.2">
      <c r="A1412" s="62" t="s">
        <v>28</v>
      </c>
      <c r="B1412" s="62" t="s">
        <v>22</v>
      </c>
      <c r="C1412" s="62" t="s">
        <v>23</v>
      </c>
      <c r="D1412" s="62" t="s">
        <v>24</v>
      </c>
      <c r="E1412" s="62" t="s">
        <v>30</v>
      </c>
      <c r="F1412" s="62" t="s">
        <v>25</v>
      </c>
      <c r="G1412" s="62" t="s">
        <v>25</v>
      </c>
      <c r="H1412" s="62" t="s">
        <v>25</v>
      </c>
      <c r="I1412" s="75">
        <v>44562</v>
      </c>
      <c r="J1412" s="76">
        <f>EFEITO!$J$1412*EFEITO!$Y$1303</f>
        <v>0</v>
      </c>
      <c r="K1412" s="76">
        <f ca="1">EFEITO!$L$1412*EFEITO!$Z$1464</f>
        <v>1696.7623034069427</v>
      </c>
      <c r="L1412" s="76">
        <f>EFEITO!$N$1412*EFEITO!$AA$1464</f>
        <v>1807.6953668267624</v>
      </c>
      <c r="M1412" s="76">
        <f>$J$1412-EFEITO!$K$1412*EFEITO!$Y$1412</f>
        <v>0</v>
      </c>
      <c r="N1412" s="76">
        <f ca="1">$K$1412-EFEITO!$M$1412*EFEITO!$Z$1412</f>
        <v>678.7049213627771</v>
      </c>
      <c r="O1412" s="76">
        <f>$L$1412-EFEITO!$O$1412*EFEITO!$AA$1412</f>
        <v>723.07814673070493</v>
      </c>
      <c r="P1412" s="18"/>
      <c r="Q1412" s="18"/>
      <c r="R1412" s="18"/>
      <c r="S1412" s="18"/>
      <c r="T1412" s="18"/>
      <c r="U1412" s="18"/>
      <c r="V1412" s="18"/>
      <c r="W1412" s="18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</row>
    <row r="1413" spans="1:36" ht="11.25" customHeight="1" x14ac:dyDescent="0.2">
      <c r="A1413" s="62" t="s">
        <v>21</v>
      </c>
      <c r="B1413" s="62" t="s">
        <v>22</v>
      </c>
      <c r="C1413" s="62" t="s">
        <v>23</v>
      </c>
      <c r="D1413" s="62" t="s">
        <v>24</v>
      </c>
      <c r="E1413" s="62" t="s">
        <v>30</v>
      </c>
      <c r="F1413" s="62" t="s">
        <v>25</v>
      </c>
      <c r="G1413" s="62" t="s">
        <v>25</v>
      </c>
      <c r="H1413" s="62" t="s">
        <v>25</v>
      </c>
      <c r="I1413" s="75">
        <v>44593</v>
      </c>
      <c r="J1413" s="76">
        <f>EFEITO!$J$1413*EFEITO!$Y$1303</f>
        <v>0</v>
      </c>
      <c r="K1413" s="76">
        <f ca="1">EFEITO!$L$1413*EFEITO!$Z$1464</f>
        <v>1672410.1752861822</v>
      </c>
      <c r="L1413" s="76">
        <f>EFEITO!$N$1413*EFEITO!$AA$1464</f>
        <v>1781751.1145953923</v>
      </c>
      <c r="M1413" s="76">
        <f>$J$1413-EFEITO!$K$1413*EFEITO!$Y$1413</f>
        <v>0</v>
      </c>
      <c r="N1413" s="76">
        <f ca="1">$K$1413-EFEITO!$M$1413*EFEITO!$Z$1413</f>
        <v>668964.070114473</v>
      </c>
      <c r="O1413" s="76">
        <f>$L$1413-EFEITO!$O$1413*EFEITO!$AA$1413</f>
        <v>712700.44583815709</v>
      </c>
      <c r="P1413" s="18"/>
      <c r="Q1413" s="18"/>
      <c r="R1413" s="18"/>
      <c r="S1413" s="18"/>
      <c r="T1413" s="18"/>
      <c r="U1413" s="18"/>
      <c r="V1413" s="18"/>
      <c r="W1413" s="18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</row>
    <row r="1414" spans="1:36" ht="11.25" customHeight="1" x14ac:dyDescent="0.2">
      <c r="A1414" s="62" t="s">
        <v>27</v>
      </c>
      <c r="B1414" s="62" t="s">
        <v>22</v>
      </c>
      <c r="C1414" s="62" t="s">
        <v>23</v>
      </c>
      <c r="D1414" s="62" t="s">
        <v>24</v>
      </c>
      <c r="E1414" s="62" t="s">
        <v>30</v>
      </c>
      <c r="F1414" s="62" t="s">
        <v>25</v>
      </c>
      <c r="G1414" s="62" t="s">
        <v>25</v>
      </c>
      <c r="H1414" s="62" t="s">
        <v>25</v>
      </c>
      <c r="I1414" s="75">
        <v>44593</v>
      </c>
      <c r="J1414" s="76">
        <f>EFEITO!$J$1414*EFEITO!$Y$1303</f>
        <v>0</v>
      </c>
      <c r="K1414" s="76">
        <f ca="1">EFEITO!$L$1414*EFEITO!$Z$1464</f>
        <v>-1047.9456458131501</v>
      </c>
      <c r="L1414" s="76">
        <f>EFEITO!$N$1414*EFEITO!$AA$1464</f>
        <v>-1116.4595564263757</v>
      </c>
      <c r="M1414" s="76">
        <f>$J$1414-EFEITO!$K$1414*EFEITO!$Y$1414</f>
        <v>0</v>
      </c>
      <c r="N1414" s="76">
        <f ca="1">$K$1414-EFEITO!$M$1414*EFEITO!$Z$1414</f>
        <v>-419.17825832526012</v>
      </c>
      <c r="O1414" s="76">
        <f>$L$1414-EFEITO!$O$1414*EFEITO!$AA$1414</f>
        <v>-446.5838225705503</v>
      </c>
      <c r="P1414" s="18"/>
      <c r="Q1414" s="18"/>
      <c r="R1414" s="18"/>
      <c r="S1414" s="18"/>
      <c r="T1414" s="18"/>
      <c r="U1414" s="18"/>
      <c r="V1414" s="18"/>
      <c r="W1414" s="18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</row>
    <row r="1415" spans="1:36" ht="11.25" customHeight="1" x14ac:dyDescent="0.2">
      <c r="A1415" s="62" t="s">
        <v>28</v>
      </c>
      <c r="B1415" s="62" t="s">
        <v>22</v>
      </c>
      <c r="C1415" s="62" t="s">
        <v>23</v>
      </c>
      <c r="D1415" s="62" t="s">
        <v>24</v>
      </c>
      <c r="E1415" s="62" t="s">
        <v>30</v>
      </c>
      <c r="F1415" s="62" t="s">
        <v>25</v>
      </c>
      <c r="G1415" s="62" t="s">
        <v>25</v>
      </c>
      <c r="H1415" s="62" t="s">
        <v>25</v>
      </c>
      <c r="I1415" s="75">
        <v>44593</v>
      </c>
      <c r="J1415" s="76">
        <f>EFEITO!$J$1415*EFEITO!$Y$1303</f>
        <v>0</v>
      </c>
      <c r="K1415" s="76">
        <f ca="1">EFEITO!$L$1415*EFEITO!$Z$1464</f>
        <v>1826.7112763155706</v>
      </c>
      <c r="L1415" s="76">
        <f>EFEITO!$N$1415*EFEITO!$AA$1464</f>
        <v>1946.1403073933636</v>
      </c>
      <c r="M1415" s="76">
        <f>$J$1415-EFEITO!$K$1415*EFEITO!$Y$1415</f>
        <v>0</v>
      </c>
      <c r="N1415" s="76">
        <f ca="1">$K$1415-EFEITO!$M$1415*EFEITO!$Z$1415</f>
        <v>730.68451052622822</v>
      </c>
      <c r="O1415" s="76">
        <f>$L$1415-EFEITO!$O$1415*EFEITO!$AA$1415</f>
        <v>778.45612295734554</v>
      </c>
      <c r="P1415" s="18"/>
      <c r="Q1415" s="18"/>
      <c r="R1415" s="18"/>
      <c r="S1415" s="18"/>
      <c r="T1415" s="18"/>
      <c r="U1415" s="18"/>
      <c r="V1415" s="18"/>
      <c r="W1415" s="18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</row>
    <row r="1416" spans="1:36" ht="11.25" customHeight="1" x14ac:dyDescent="0.2">
      <c r="A1416" s="62" t="s">
        <v>28</v>
      </c>
      <c r="B1416" s="62" t="s">
        <v>22</v>
      </c>
      <c r="C1416" s="62" t="s">
        <v>23</v>
      </c>
      <c r="D1416" s="62" t="s">
        <v>24</v>
      </c>
      <c r="E1416" s="62" t="s">
        <v>30</v>
      </c>
      <c r="F1416" s="62" t="s">
        <v>25</v>
      </c>
      <c r="G1416" s="62" t="s">
        <v>25</v>
      </c>
      <c r="H1416" s="62" t="s">
        <v>25</v>
      </c>
      <c r="I1416" s="75">
        <v>44593</v>
      </c>
      <c r="J1416" s="76">
        <f>EFEITO!$J$1416*EFEITO!$Y$1303</f>
        <v>0</v>
      </c>
      <c r="K1416" s="76">
        <f ca="1">EFEITO!$L$1416*EFEITO!$Z$1464</f>
        <v>-6.1880463289822858</v>
      </c>
      <c r="L1416" s="76">
        <f>EFEITO!$N$1416*EFEITO!$AA$1464</f>
        <v>-6.5926162174571941</v>
      </c>
      <c r="M1416" s="76">
        <f>$J$1416-EFEITO!$K$1416*EFEITO!$Y$1416</f>
        <v>0</v>
      </c>
      <c r="N1416" s="76">
        <f ca="1">$K$1416-EFEITO!$M$1416*EFEITO!$Z$1416</f>
        <v>-2.4752185315929145</v>
      </c>
      <c r="O1416" s="76">
        <f>$L$1416-EFEITO!$O$1416*EFEITO!$AA$1416</f>
        <v>-2.6370464869828778</v>
      </c>
      <c r="P1416" s="18"/>
      <c r="Q1416" s="18"/>
      <c r="R1416" s="18"/>
      <c r="S1416" s="18"/>
      <c r="T1416" s="18"/>
      <c r="U1416" s="18"/>
      <c r="V1416" s="18"/>
      <c r="W1416" s="18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</row>
    <row r="1417" spans="1:36" ht="11.25" customHeight="1" x14ac:dyDescent="0.2">
      <c r="A1417" s="62" t="s">
        <v>21</v>
      </c>
      <c r="B1417" s="62" t="s">
        <v>22</v>
      </c>
      <c r="C1417" s="62" t="s">
        <v>23</v>
      </c>
      <c r="D1417" s="62" t="s">
        <v>24</v>
      </c>
      <c r="E1417" s="62" t="s">
        <v>30</v>
      </c>
      <c r="F1417" s="62" t="s">
        <v>25</v>
      </c>
      <c r="G1417" s="62" t="s">
        <v>25</v>
      </c>
      <c r="H1417" s="62" t="s">
        <v>25</v>
      </c>
      <c r="I1417" s="75">
        <v>44621</v>
      </c>
      <c r="J1417" s="76">
        <f>EFEITO!$J$1417*EFEITO!$Y$1303</f>
        <v>0</v>
      </c>
      <c r="K1417" s="76">
        <f ca="1">EFEITO!$L$1417*EFEITO!$Z$1464</f>
        <v>1774292.3358627616</v>
      </c>
      <c r="L1417" s="76">
        <f>EFEITO!$N$1417*EFEITO!$AA$1464</f>
        <v>1890294.2554152836</v>
      </c>
      <c r="M1417" s="76">
        <f>$J$1417-EFEITO!$K$1417*EFEITO!$Y$1417</f>
        <v>0</v>
      </c>
      <c r="N1417" s="76">
        <f ca="1">$K$1417-EFEITO!$M$1417*EFEITO!$Z$1417</f>
        <v>709716.93434510473</v>
      </c>
      <c r="O1417" s="76">
        <f>$L$1417-EFEITO!$O$1417*EFEITO!$AA$1417</f>
        <v>756117.70216611354</v>
      </c>
      <c r="P1417" s="18"/>
      <c r="Q1417" s="18"/>
      <c r="R1417" s="18"/>
      <c r="S1417" s="18"/>
      <c r="T1417" s="18"/>
      <c r="U1417" s="18"/>
      <c r="V1417" s="18"/>
      <c r="W1417" s="18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</row>
    <row r="1418" spans="1:36" ht="11.25" customHeight="1" x14ac:dyDescent="0.2">
      <c r="A1418" s="62" t="s">
        <v>27</v>
      </c>
      <c r="B1418" s="62" t="s">
        <v>22</v>
      </c>
      <c r="C1418" s="62" t="s">
        <v>23</v>
      </c>
      <c r="D1418" s="62" t="s">
        <v>24</v>
      </c>
      <c r="E1418" s="62" t="s">
        <v>30</v>
      </c>
      <c r="F1418" s="62" t="s">
        <v>25</v>
      </c>
      <c r="G1418" s="62" t="s">
        <v>25</v>
      </c>
      <c r="H1418" s="62" t="s">
        <v>25</v>
      </c>
      <c r="I1418" s="75">
        <v>44621</v>
      </c>
      <c r="J1418" s="76">
        <f>EFEITO!$J$1418*EFEITO!$Y$1303</f>
        <v>0</v>
      </c>
      <c r="K1418" s="76">
        <f ca="1">EFEITO!$L$1418*EFEITO!$Z$1464</f>
        <v>-305.99889096817401</v>
      </c>
      <c r="L1418" s="76">
        <f>EFEITO!$N$1418*EFEITO!$AA$1464</f>
        <v>-326.0048719532582</v>
      </c>
      <c r="M1418" s="76">
        <f>$J$1418-EFEITO!$K$1418*EFEITO!$Y$1418</f>
        <v>0</v>
      </c>
      <c r="N1418" s="76">
        <f ca="1">$K$1418-EFEITO!$M$1418*EFEITO!$Z$1418</f>
        <v>-122.3995563872696</v>
      </c>
      <c r="O1418" s="76">
        <f>$L$1418-EFEITO!$O$1418*EFEITO!$AA$1418</f>
        <v>-130.40194878130328</v>
      </c>
      <c r="P1418" s="18"/>
      <c r="Q1418" s="18"/>
      <c r="R1418" s="18"/>
      <c r="S1418" s="18"/>
      <c r="T1418" s="18"/>
      <c r="U1418" s="18"/>
      <c r="V1418" s="18"/>
      <c r="W1418" s="18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</row>
    <row r="1419" spans="1:36" ht="11.25" customHeight="1" x14ac:dyDescent="0.2">
      <c r="A1419" s="62" t="s">
        <v>28</v>
      </c>
      <c r="B1419" s="62" t="s">
        <v>22</v>
      </c>
      <c r="C1419" s="62" t="s">
        <v>23</v>
      </c>
      <c r="D1419" s="62" t="s">
        <v>24</v>
      </c>
      <c r="E1419" s="62" t="s">
        <v>30</v>
      </c>
      <c r="F1419" s="62" t="s">
        <v>25</v>
      </c>
      <c r="G1419" s="62" t="s">
        <v>25</v>
      </c>
      <c r="H1419" s="62" t="s">
        <v>25</v>
      </c>
      <c r="I1419" s="75">
        <v>44621</v>
      </c>
      <c r="J1419" s="76">
        <f>EFEITO!$J$1419*EFEITO!$Y$1303</f>
        <v>0</v>
      </c>
      <c r="K1419" s="76">
        <f ca="1">EFEITO!$L$1419*EFEITO!$Z$1464</f>
        <v>2180.0487217004593</v>
      </c>
      <c r="L1419" s="76">
        <f>EFEITO!$N$1419*EFEITO!$AA$1464</f>
        <v>2322.5786934101693</v>
      </c>
      <c r="M1419" s="76">
        <f>$J$1419-EFEITO!$K$1419*EFEITO!$Y$1419</f>
        <v>0</v>
      </c>
      <c r="N1419" s="76">
        <f ca="1">$K$1419-EFEITO!$M$1419*EFEITO!$Z$1419</f>
        <v>872.01948868018371</v>
      </c>
      <c r="O1419" s="76">
        <f>$L$1419-EFEITO!$O$1419*EFEITO!$AA$1419</f>
        <v>929.03147736406777</v>
      </c>
      <c r="P1419" s="18"/>
      <c r="Q1419" s="18"/>
      <c r="R1419" s="18"/>
      <c r="S1419" s="18"/>
      <c r="T1419" s="18"/>
      <c r="U1419" s="18"/>
      <c r="V1419" s="18"/>
      <c r="W1419" s="18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</row>
    <row r="1420" spans="1:36" ht="11.25" customHeight="1" x14ac:dyDescent="0.2">
      <c r="A1420" s="62" t="s">
        <v>28</v>
      </c>
      <c r="B1420" s="62" t="s">
        <v>22</v>
      </c>
      <c r="C1420" s="62" t="s">
        <v>23</v>
      </c>
      <c r="D1420" s="62" t="s">
        <v>24</v>
      </c>
      <c r="E1420" s="62" t="s">
        <v>30</v>
      </c>
      <c r="F1420" s="62" t="s">
        <v>25</v>
      </c>
      <c r="G1420" s="62" t="s">
        <v>25</v>
      </c>
      <c r="H1420" s="62" t="s">
        <v>25</v>
      </c>
      <c r="I1420" s="75">
        <v>44621</v>
      </c>
      <c r="J1420" s="76">
        <f>EFEITO!$J$1420*EFEITO!$Y$1303</f>
        <v>0</v>
      </c>
      <c r="K1420" s="76">
        <f ca="1">EFEITO!$L$1420*EFEITO!$Z$1464</f>
        <v>-21.658162151437999</v>
      </c>
      <c r="L1420" s="76">
        <f>EFEITO!$N$1420*EFEITO!$AA$1464</f>
        <v>-23.074156761100181</v>
      </c>
      <c r="M1420" s="76">
        <f>$J$1420-EFEITO!$K$1420*EFEITO!$Y$1420</f>
        <v>0</v>
      </c>
      <c r="N1420" s="76">
        <f ca="1">$K$1420-EFEITO!$M$1420*EFEITO!$Z$1420</f>
        <v>-8.6632648605751985</v>
      </c>
      <c r="O1420" s="76">
        <f>$L$1420-EFEITO!$O$1420*EFEITO!$AA$1420</f>
        <v>-9.2296627044400736</v>
      </c>
      <c r="P1420" s="18"/>
      <c r="Q1420" s="18"/>
      <c r="R1420" s="18"/>
      <c r="S1420" s="18"/>
      <c r="T1420" s="18"/>
      <c r="U1420" s="18"/>
      <c r="V1420" s="18"/>
      <c r="W1420" s="18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</row>
    <row r="1421" spans="1:36" ht="11.25" customHeight="1" x14ac:dyDescent="0.2">
      <c r="A1421" s="62" t="s">
        <v>21</v>
      </c>
      <c r="B1421" s="62" t="s">
        <v>22</v>
      </c>
      <c r="C1421" s="62" t="s">
        <v>23</v>
      </c>
      <c r="D1421" s="62" t="s">
        <v>24</v>
      </c>
      <c r="E1421" s="62" t="s">
        <v>30</v>
      </c>
      <c r="F1421" s="62" t="s">
        <v>25</v>
      </c>
      <c r="G1421" s="62" t="s">
        <v>25</v>
      </c>
      <c r="H1421" s="62" t="s">
        <v>25</v>
      </c>
      <c r="I1421" s="75">
        <v>44652</v>
      </c>
      <c r="J1421" s="76">
        <f>EFEITO!$J$1421*EFEITO!$Y$1303</f>
        <v>0</v>
      </c>
      <c r="K1421" s="76">
        <f ca="1">EFEITO!$L$1421*EFEITO!$Z$1464</f>
        <v>1768824.5781264731</v>
      </c>
      <c r="L1421" s="76">
        <f>EFEITO!$N$1421*EFEITO!$AA$1464</f>
        <v>1884469.0197255386</v>
      </c>
      <c r="M1421" s="76">
        <f>$J$1421-EFEITO!$K$1421*EFEITO!$Y$1421</f>
        <v>0</v>
      </c>
      <c r="N1421" s="76">
        <f ca="1">$K$1421-EFEITO!$M$1421*EFEITO!$Z$1421</f>
        <v>707529.83125058934</v>
      </c>
      <c r="O1421" s="76">
        <f>$L$1421-EFEITO!$O$1421*EFEITO!$AA$1421</f>
        <v>753787.60789021547</v>
      </c>
      <c r="P1421" s="18"/>
      <c r="Q1421" s="18"/>
      <c r="R1421" s="18"/>
      <c r="S1421" s="18"/>
      <c r="T1421" s="18"/>
      <c r="U1421" s="18"/>
      <c r="V1421" s="18"/>
      <c r="W1421" s="18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</row>
    <row r="1422" spans="1:36" ht="11.25" customHeight="1" x14ac:dyDescent="0.2">
      <c r="A1422" s="62" t="s">
        <v>27</v>
      </c>
      <c r="B1422" s="62" t="s">
        <v>22</v>
      </c>
      <c r="C1422" s="62" t="s">
        <v>23</v>
      </c>
      <c r="D1422" s="62" t="s">
        <v>24</v>
      </c>
      <c r="E1422" s="62" t="s">
        <v>30</v>
      </c>
      <c r="F1422" s="62" t="s">
        <v>25</v>
      </c>
      <c r="G1422" s="62" t="s">
        <v>25</v>
      </c>
      <c r="H1422" s="62" t="s">
        <v>25</v>
      </c>
      <c r="I1422" s="75">
        <v>44652</v>
      </c>
      <c r="J1422" s="76">
        <f>EFEITO!$J$1422*EFEITO!$Y$1303</f>
        <v>0</v>
      </c>
      <c r="K1422" s="76">
        <f ca="1">EFEITO!$L$1422*EFEITO!$Z$1464</f>
        <v>-368.18875657444596</v>
      </c>
      <c r="L1422" s="76">
        <f>EFEITO!$N$1422*EFEITO!$AA$1464</f>
        <v>-392.26066493870303</v>
      </c>
      <c r="M1422" s="76">
        <f>$J$1422-EFEITO!$K$1422*EFEITO!$Y$1422</f>
        <v>0</v>
      </c>
      <c r="N1422" s="76">
        <f ca="1">$K$1422-EFEITO!$M$1422*EFEITO!$Z$1422</f>
        <v>-147.2755026297784</v>
      </c>
      <c r="O1422" s="76">
        <f>$L$1422-EFEITO!$O$1422*EFEITO!$AA$1422</f>
        <v>-156.90426597548125</v>
      </c>
      <c r="P1422" s="18"/>
      <c r="Q1422" s="18"/>
      <c r="R1422" s="18"/>
      <c r="S1422" s="18"/>
      <c r="T1422" s="18"/>
      <c r="U1422" s="18"/>
      <c r="V1422" s="18"/>
      <c r="W1422" s="18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</row>
    <row r="1423" spans="1:36" ht="11.25" customHeight="1" x14ac:dyDescent="0.2">
      <c r="A1423" s="62" t="s">
        <v>28</v>
      </c>
      <c r="B1423" s="62" t="s">
        <v>22</v>
      </c>
      <c r="C1423" s="62" t="s">
        <v>23</v>
      </c>
      <c r="D1423" s="62" t="s">
        <v>24</v>
      </c>
      <c r="E1423" s="62" t="s">
        <v>30</v>
      </c>
      <c r="F1423" s="62" t="s">
        <v>25</v>
      </c>
      <c r="G1423" s="62" t="s">
        <v>25</v>
      </c>
      <c r="H1423" s="62" t="s">
        <v>25</v>
      </c>
      <c r="I1423" s="75">
        <v>44652</v>
      </c>
      <c r="J1423" s="76">
        <f>EFEITO!$J$1423*EFEITO!$Y$1303</f>
        <v>0</v>
      </c>
      <c r="K1423" s="76">
        <f ca="1">EFEITO!$L$1423*EFEITO!$Z$1464</f>
        <v>2376.5191926456469</v>
      </c>
      <c r="L1423" s="76">
        <f>EFEITO!$N$1423*EFEITO!$AA$1464</f>
        <v>2531.8942583144353</v>
      </c>
      <c r="M1423" s="76">
        <f>$J$1423-EFEITO!$K$1423*EFEITO!$Y$1423</f>
        <v>0</v>
      </c>
      <c r="N1423" s="76">
        <f ca="1">$K$1423-EFEITO!$M$1423*EFEITO!$Z$1423</f>
        <v>950.60767705825879</v>
      </c>
      <c r="O1423" s="76">
        <f>$L$1423-EFEITO!$O$1423*EFEITO!$AA$1423</f>
        <v>1012.7577033257742</v>
      </c>
      <c r="P1423" s="18"/>
      <c r="Q1423" s="18"/>
      <c r="R1423" s="18"/>
      <c r="S1423" s="18"/>
      <c r="T1423" s="18"/>
      <c r="U1423" s="18"/>
      <c r="V1423" s="18"/>
      <c r="W1423" s="18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</row>
    <row r="1424" spans="1:36" ht="11.25" customHeight="1" x14ac:dyDescent="0.2">
      <c r="A1424" s="62" t="s">
        <v>58</v>
      </c>
      <c r="B1424" s="62" t="s">
        <v>22</v>
      </c>
      <c r="C1424" s="62" t="s">
        <v>23</v>
      </c>
      <c r="D1424" s="62" t="s">
        <v>24</v>
      </c>
      <c r="E1424" s="62" t="s">
        <v>30</v>
      </c>
      <c r="F1424" s="62" t="s">
        <v>25</v>
      </c>
      <c r="G1424" s="62" t="s">
        <v>25</v>
      </c>
      <c r="H1424" s="62" t="s">
        <v>25</v>
      </c>
      <c r="I1424" s="75">
        <v>44682</v>
      </c>
      <c r="J1424" s="76">
        <f>EFEITO!$J$1424*EFEITO!$Y$1303</f>
        <v>0</v>
      </c>
      <c r="K1424" s="76">
        <f ca="1">EFEITO!$L$1424*EFEITO!$Z$1464</f>
        <v>1768824.5781264731</v>
      </c>
      <c r="L1424" s="76">
        <f>EFEITO!$N$1424*EFEITO!$AA$1464</f>
        <v>1884469.0197255386</v>
      </c>
      <c r="M1424" s="76">
        <f>$J$1424-EFEITO!$K$1424*EFEITO!$Y$1424</f>
        <v>0</v>
      </c>
      <c r="N1424" s="76">
        <f ca="1">$K$1424-EFEITO!$M$1424*EFEITO!$Z$1424</f>
        <v>707529.83125058934</v>
      </c>
      <c r="O1424" s="76">
        <f>$L$1424-EFEITO!$O$1424*EFEITO!$AA$1424</f>
        <v>753787.60789021547</v>
      </c>
      <c r="P1424" s="18"/>
      <c r="Q1424" s="18"/>
      <c r="R1424" s="18"/>
      <c r="S1424" s="18"/>
      <c r="T1424" s="18"/>
      <c r="U1424" s="18"/>
      <c r="V1424" s="18"/>
      <c r="W1424" s="18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</row>
    <row r="1425" spans="1:36" ht="11.25" customHeight="1" x14ac:dyDescent="0.2">
      <c r="A1425" s="62" t="s">
        <v>58</v>
      </c>
      <c r="B1425" s="62" t="s">
        <v>22</v>
      </c>
      <c r="C1425" s="62" t="s">
        <v>23</v>
      </c>
      <c r="D1425" s="62" t="s">
        <v>24</v>
      </c>
      <c r="E1425" s="62" t="s">
        <v>30</v>
      </c>
      <c r="F1425" s="62" t="s">
        <v>25</v>
      </c>
      <c r="G1425" s="62" t="s">
        <v>25</v>
      </c>
      <c r="H1425" s="62" t="s">
        <v>25</v>
      </c>
      <c r="I1425" s="75">
        <v>44682</v>
      </c>
      <c r="J1425" s="76">
        <f>EFEITO!$J$1425*EFEITO!$Y$1303</f>
        <v>0</v>
      </c>
      <c r="K1425" s="76">
        <f ca="1">EFEITO!$L$1425*EFEITO!$Z$1464</f>
        <v>-368.18875657444596</v>
      </c>
      <c r="L1425" s="76">
        <f>EFEITO!$N$1425*EFEITO!$AA$1464</f>
        <v>-392.26066493870303</v>
      </c>
      <c r="M1425" s="76">
        <f>$J$1425-EFEITO!$K$1425*EFEITO!$Y$1425</f>
        <v>0</v>
      </c>
      <c r="N1425" s="76">
        <f ca="1">$K$1425-EFEITO!$M$1425*EFEITO!$Z$1425</f>
        <v>-147.2755026297784</v>
      </c>
      <c r="O1425" s="76">
        <f>$L$1425-EFEITO!$O$1425*EFEITO!$AA$1425</f>
        <v>-156.90426597548125</v>
      </c>
      <c r="P1425" s="18"/>
      <c r="Q1425" s="18"/>
      <c r="R1425" s="18"/>
      <c r="S1425" s="18"/>
      <c r="T1425" s="18"/>
      <c r="U1425" s="18"/>
      <c r="V1425" s="18"/>
      <c r="W1425" s="18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</row>
    <row r="1426" spans="1:36" ht="11.25" customHeight="1" x14ac:dyDescent="0.2">
      <c r="A1426" s="62" t="s">
        <v>58</v>
      </c>
      <c r="B1426" s="62" t="s">
        <v>22</v>
      </c>
      <c r="C1426" s="62" t="s">
        <v>23</v>
      </c>
      <c r="D1426" s="62" t="s">
        <v>24</v>
      </c>
      <c r="E1426" s="62" t="s">
        <v>30</v>
      </c>
      <c r="F1426" s="62" t="s">
        <v>25</v>
      </c>
      <c r="G1426" s="62" t="s">
        <v>25</v>
      </c>
      <c r="H1426" s="62" t="s">
        <v>25</v>
      </c>
      <c r="I1426" s="75">
        <v>44682</v>
      </c>
      <c r="J1426" s="76">
        <f>EFEITO!$J$1426*EFEITO!$Y$1303</f>
        <v>0</v>
      </c>
      <c r="K1426" s="76">
        <f ca="1">EFEITO!$L$1426*EFEITO!$Z$1464</f>
        <v>2376.5191926456469</v>
      </c>
      <c r="L1426" s="76">
        <f>EFEITO!$N$1426*EFEITO!$AA$1464</f>
        <v>2531.8942583144353</v>
      </c>
      <c r="M1426" s="76">
        <f>$J$1426-EFEITO!$K$1426*EFEITO!$Y$1426</f>
        <v>0</v>
      </c>
      <c r="N1426" s="76">
        <f ca="1">$K$1426-EFEITO!$M$1426*EFEITO!$Z$1426</f>
        <v>950.60767705825879</v>
      </c>
      <c r="O1426" s="76">
        <f>$L$1426-EFEITO!$O$1426*EFEITO!$AA$1426</f>
        <v>1012.7577033257742</v>
      </c>
      <c r="P1426" s="18"/>
      <c r="Q1426" s="18"/>
      <c r="R1426" s="18"/>
      <c r="S1426" s="18"/>
      <c r="T1426" s="18"/>
      <c r="U1426" s="18"/>
      <c r="V1426" s="18"/>
      <c r="W1426" s="18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</row>
    <row r="1427" spans="1:36" ht="11.25" customHeight="1" x14ac:dyDescent="0.2">
      <c r="A1427" s="62" t="s">
        <v>21</v>
      </c>
      <c r="B1427" s="62" t="s">
        <v>22</v>
      </c>
      <c r="C1427" s="62" t="s">
        <v>23</v>
      </c>
      <c r="D1427" s="62" t="s">
        <v>24</v>
      </c>
      <c r="E1427" s="62" t="s">
        <v>31</v>
      </c>
      <c r="F1427" s="62" t="s">
        <v>25</v>
      </c>
      <c r="G1427" s="62" t="s">
        <v>25</v>
      </c>
      <c r="H1427" s="62" t="s">
        <v>25</v>
      </c>
      <c r="I1427" s="75">
        <v>44348</v>
      </c>
      <c r="J1427" s="76">
        <f>EFEITO!$J$1427*EFEITO!$Y$1303</f>
        <v>0</v>
      </c>
      <c r="K1427" s="76">
        <f ca="1">EFEITO!$L$1427*EFEITO!$Z$1464</f>
        <v>838820.00132056081</v>
      </c>
      <c r="L1427" s="76">
        <f>EFEITO!$N$1427*EFEITO!$AA$1464</f>
        <v>893661.43209578807</v>
      </c>
      <c r="M1427" s="76">
        <f>$J$1427-EFEITO!$K$1427*EFEITO!$Y$1427</f>
        <v>0</v>
      </c>
      <c r="N1427" s="76">
        <f ca="1">$K$1427-EFEITO!$M$1427*EFEITO!$Z$1427</f>
        <v>83882.00013205607</v>
      </c>
      <c r="O1427" s="76">
        <f>$L$1427-EFEITO!$O$1427*EFEITO!$AA$1427</f>
        <v>89366.143209578702</v>
      </c>
      <c r="P1427" s="18"/>
      <c r="Q1427" s="18"/>
      <c r="R1427" s="18"/>
      <c r="S1427" s="18"/>
      <c r="T1427" s="18"/>
      <c r="U1427" s="18"/>
      <c r="V1427" s="18"/>
      <c r="W1427" s="18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</row>
    <row r="1428" spans="1:36" ht="11.25" customHeight="1" x14ac:dyDescent="0.2">
      <c r="A1428" s="62" t="s">
        <v>27</v>
      </c>
      <c r="B1428" s="62" t="s">
        <v>22</v>
      </c>
      <c r="C1428" s="62" t="s">
        <v>23</v>
      </c>
      <c r="D1428" s="62" t="s">
        <v>24</v>
      </c>
      <c r="E1428" s="62" t="s">
        <v>31</v>
      </c>
      <c r="F1428" s="62" t="s">
        <v>25</v>
      </c>
      <c r="G1428" s="62" t="s">
        <v>25</v>
      </c>
      <c r="H1428" s="62" t="s">
        <v>25</v>
      </c>
      <c r="I1428" s="75">
        <v>44348</v>
      </c>
      <c r="J1428" s="76">
        <f>EFEITO!$J$1428*EFEITO!$Y$1303</f>
        <v>0</v>
      </c>
      <c r="K1428" s="76">
        <f ca="1">EFEITO!$L$1428*EFEITO!$Z$1464</f>
        <v>-202.03971264127162</v>
      </c>
      <c r="L1428" s="76">
        <f>EFEITO!$N$1428*EFEITO!$AA$1464</f>
        <v>-215.24891949997738</v>
      </c>
      <c r="M1428" s="76">
        <f>$J$1428-EFEITO!$K$1428*EFEITO!$Y$1428</f>
        <v>0</v>
      </c>
      <c r="N1428" s="76">
        <f ca="1">$K$1428-EFEITO!$M$1428*EFEITO!$Z$1428</f>
        <v>-20.203971264127148</v>
      </c>
      <c r="O1428" s="76">
        <f>$L$1428-EFEITO!$O$1428*EFEITO!$AA$1428</f>
        <v>-21.524891949997738</v>
      </c>
      <c r="P1428" s="18"/>
      <c r="Q1428" s="18"/>
      <c r="R1428" s="18"/>
      <c r="S1428" s="18"/>
      <c r="T1428" s="18"/>
      <c r="U1428" s="18"/>
      <c r="V1428" s="18"/>
      <c r="W1428" s="18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</row>
    <row r="1429" spans="1:36" ht="11.25" customHeight="1" x14ac:dyDescent="0.2">
      <c r="A1429" s="62" t="s">
        <v>28</v>
      </c>
      <c r="B1429" s="62" t="s">
        <v>22</v>
      </c>
      <c r="C1429" s="62" t="s">
        <v>23</v>
      </c>
      <c r="D1429" s="62" t="s">
        <v>24</v>
      </c>
      <c r="E1429" s="62" t="s">
        <v>31</v>
      </c>
      <c r="F1429" s="62" t="s">
        <v>25</v>
      </c>
      <c r="G1429" s="62" t="s">
        <v>25</v>
      </c>
      <c r="H1429" s="62" t="s">
        <v>25</v>
      </c>
      <c r="I1429" s="75">
        <v>44348</v>
      </c>
      <c r="J1429" s="76">
        <f>EFEITO!$J$1429*EFEITO!$Y$1303</f>
        <v>0</v>
      </c>
      <c r="K1429" s="76">
        <f ca="1">EFEITO!$L$1429*EFEITO!$Z$1464</f>
        <v>729.26125987056241</v>
      </c>
      <c r="L1429" s="76">
        <f>EFEITO!$N$1429*EFEITO!$AA$1464</f>
        <v>776.9398212273303</v>
      </c>
      <c r="M1429" s="76">
        <f>$J$1429-EFEITO!$K$1429*EFEITO!$Y$1429</f>
        <v>0</v>
      </c>
      <c r="N1429" s="76">
        <f ca="1">$K$1429-EFEITO!$M$1429*EFEITO!$Z$1429</f>
        <v>72.926125987056253</v>
      </c>
      <c r="O1429" s="76">
        <f>$L$1429-EFEITO!$O$1429*EFEITO!$AA$1429</f>
        <v>77.693982122733019</v>
      </c>
      <c r="P1429" s="18"/>
      <c r="Q1429" s="18"/>
      <c r="R1429" s="18"/>
      <c r="S1429" s="18"/>
      <c r="T1429" s="18"/>
      <c r="U1429" s="18"/>
      <c r="V1429" s="18"/>
      <c r="W1429" s="18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</row>
    <row r="1430" spans="1:36" ht="11.25" customHeight="1" x14ac:dyDescent="0.2">
      <c r="A1430" s="62" t="s">
        <v>21</v>
      </c>
      <c r="B1430" s="62" t="s">
        <v>22</v>
      </c>
      <c r="C1430" s="62" t="s">
        <v>23</v>
      </c>
      <c r="D1430" s="62" t="s">
        <v>24</v>
      </c>
      <c r="E1430" s="62" t="s">
        <v>31</v>
      </c>
      <c r="F1430" s="62" t="s">
        <v>25</v>
      </c>
      <c r="G1430" s="62" t="s">
        <v>25</v>
      </c>
      <c r="H1430" s="62" t="s">
        <v>25</v>
      </c>
      <c r="I1430" s="75">
        <v>44378</v>
      </c>
      <c r="J1430" s="76">
        <f>EFEITO!$J$1430*EFEITO!$Y$1303</f>
        <v>0</v>
      </c>
      <c r="K1430" s="76">
        <f ca="1">EFEITO!$L$1430*EFEITO!$Z$1464</f>
        <v>825882.03405592463</v>
      </c>
      <c r="L1430" s="76">
        <f>EFEITO!$N$1430*EFEITO!$AA$1464</f>
        <v>879877.59010832873</v>
      </c>
      <c r="M1430" s="76">
        <f>$J$1430-EFEITO!$K$1430*EFEITO!$Y$1430</f>
        <v>0</v>
      </c>
      <c r="N1430" s="76">
        <f ca="1">$K$1430-EFEITO!$M$1430*EFEITO!$Z$1430</f>
        <v>82588.203405592358</v>
      </c>
      <c r="O1430" s="76">
        <f>$L$1430-EFEITO!$O$1430*EFEITO!$AA$1430</f>
        <v>87987.759010832873</v>
      </c>
      <c r="P1430" s="18"/>
      <c r="Q1430" s="18"/>
      <c r="R1430" s="18"/>
      <c r="S1430" s="18"/>
      <c r="T1430" s="18"/>
      <c r="U1430" s="18"/>
      <c r="V1430" s="18"/>
      <c r="W1430" s="18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</row>
    <row r="1431" spans="1:36" ht="11.25" customHeight="1" x14ac:dyDescent="0.2">
      <c r="A1431" s="62" t="s">
        <v>27</v>
      </c>
      <c r="B1431" s="62" t="s">
        <v>22</v>
      </c>
      <c r="C1431" s="62" t="s">
        <v>23</v>
      </c>
      <c r="D1431" s="62" t="s">
        <v>24</v>
      </c>
      <c r="E1431" s="62" t="s">
        <v>31</v>
      </c>
      <c r="F1431" s="62" t="s">
        <v>25</v>
      </c>
      <c r="G1431" s="62" t="s">
        <v>25</v>
      </c>
      <c r="H1431" s="62" t="s">
        <v>25</v>
      </c>
      <c r="I1431" s="75">
        <v>44378</v>
      </c>
      <c r="J1431" s="76">
        <f>EFEITO!$J$1431*EFEITO!$Y$1303</f>
        <v>0</v>
      </c>
      <c r="K1431" s="76">
        <f ca="1">EFEITO!$L$1431*EFEITO!$Z$1464</f>
        <v>-131.18658217442444</v>
      </c>
      <c r="L1431" s="76">
        <f>EFEITO!$N$1431*EFEITO!$AA$1464</f>
        <v>-139.7634638100925</v>
      </c>
      <c r="M1431" s="76">
        <f>$J$1431-EFEITO!$K$1431*EFEITO!$Y$1431</f>
        <v>0</v>
      </c>
      <c r="N1431" s="76">
        <f ca="1">$K$1431-EFEITO!$M$1431*EFEITO!$Z$1431</f>
        <v>-13.118658217442444</v>
      </c>
      <c r="O1431" s="76">
        <f>$L$1431-EFEITO!$O$1431*EFEITO!$AA$1431</f>
        <v>-13.97634638100925</v>
      </c>
      <c r="P1431" s="18"/>
      <c r="Q1431" s="18"/>
      <c r="R1431" s="18"/>
      <c r="S1431" s="18"/>
      <c r="T1431" s="18"/>
      <c r="U1431" s="18"/>
      <c r="V1431" s="18"/>
      <c r="W1431" s="18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</row>
    <row r="1432" spans="1:36" ht="11.25" customHeight="1" x14ac:dyDescent="0.2">
      <c r="A1432" s="62" t="s">
        <v>28</v>
      </c>
      <c r="B1432" s="62" t="s">
        <v>22</v>
      </c>
      <c r="C1432" s="62" t="s">
        <v>23</v>
      </c>
      <c r="D1432" s="62" t="s">
        <v>24</v>
      </c>
      <c r="E1432" s="62" t="s">
        <v>31</v>
      </c>
      <c r="F1432" s="62" t="s">
        <v>25</v>
      </c>
      <c r="G1432" s="62" t="s">
        <v>25</v>
      </c>
      <c r="H1432" s="62" t="s">
        <v>25</v>
      </c>
      <c r="I1432" s="75">
        <v>44378</v>
      </c>
      <c r="J1432" s="76">
        <f>EFEITO!$J$1432*EFEITO!$Y$1303</f>
        <v>0</v>
      </c>
      <c r="K1432" s="76">
        <f ca="1">EFEITO!$L$1432*EFEITO!$Z$1464</f>
        <v>857.97262351339396</v>
      </c>
      <c r="L1432" s="76">
        <f>EFEITO!$N$1432*EFEITO!$AA$1464</f>
        <v>914.06623855043995</v>
      </c>
      <c r="M1432" s="76">
        <f>$J$1432-EFEITO!$K$1432*EFEITO!$Y$1432</f>
        <v>0</v>
      </c>
      <c r="N1432" s="76">
        <f ca="1">$K$1432-EFEITO!$M$1432*EFEITO!$Z$1432</f>
        <v>85.797262351339441</v>
      </c>
      <c r="O1432" s="76">
        <f>$L$1432-EFEITO!$O$1432*EFEITO!$AA$1432</f>
        <v>91.406623855044018</v>
      </c>
      <c r="P1432" s="18"/>
      <c r="Q1432" s="18"/>
      <c r="R1432" s="18"/>
      <c r="S1432" s="18"/>
      <c r="T1432" s="18"/>
      <c r="U1432" s="18"/>
      <c r="V1432" s="18"/>
      <c r="W1432" s="18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</row>
    <row r="1433" spans="1:36" ht="11.25" customHeight="1" x14ac:dyDescent="0.2">
      <c r="A1433" s="62" t="s">
        <v>21</v>
      </c>
      <c r="B1433" s="62" t="s">
        <v>22</v>
      </c>
      <c r="C1433" s="62" t="s">
        <v>23</v>
      </c>
      <c r="D1433" s="62" t="s">
        <v>24</v>
      </c>
      <c r="E1433" s="62" t="s">
        <v>31</v>
      </c>
      <c r="F1433" s="62" t="s">
        <v>25</v>
      </c>
      <c r="G1433" s="62" t="s">
        <v>25</v>
      </c>
      <c r="H1433" s="62" t="s">
        <v>25</v>
      </c>
      <c r="I1433" s="75">
        <v>44409</v>
      </c>
      <c r="J1433" s="76">
        <f>EFEITO!$J$1433*EFEITO!$Y$1303</f>
        <v>0</v>
      </c>
      <c r="K1433" s="76">
        <f ca="1">EFEITO!$L$1433*EFEITO!$Z$1464</f>
        <v>853825.08546139346</v>
      </c>
      <c r="L1433" s="76">
        <f>EFEITO!$N$1433*EFEITO!$AA$1464</f>
        <v>909647.53753068915</v>
      </c>
      <c r="M1433" s="76">
        <f>$J$1433-EFEITO!$K$1433*EFEITO!$Y$1433</f>
        <v>0</v>
      </c>
      <c r="N1433" s="76">
        <f ca="1">$K$1433-EFEITO!$M$1433*EFEITO!$Z$1433</f>
        <v>85382.508546139346</v>
      </c>
      <c r="O1433" s="76">
        <f>$L$1433-EFEITO!$O$1433*EFEITO!$AA$1433</f>
        <v>90964.753753068857</v>
      </c>
      <c r="P1433" s="18"/>
      <c r="Q1433" s="18"/>
      <c r="R1433" s="18"/>
      <c r="S1433" s="18"/>
      <c r="T1433" s="18"/>
      <c r="U1433" s="18"/>
      <c r="V1433" s="18"/>
      <c r="W1433" s="18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</row>
    <row r="1434" spans="1:36" ht="11.25" customHeight="1" x14ac:dyDescent="0.2">
      <c r="A1434" s="62" t="s">
        <v>27</v>
      </c>
      <c r="B1434" s="62" t="s">
        <v>22</v>
      </c>
      <c r="C1434" s="62" t="s">
        <v>23</v>
      </c>
      <c r="D1434" s="62" t="s">
        <v>24</v>
      </c>
      <c r="E1434" s="62" t="s">
        <v>31</v>
      </c>
      <c r="F1434" s="62" t="s">
        <v>25</v>
      </c>
      <c r="G1434" s="62" t="s">
        <v>25</v>
      </c>
      <c r="H1434" s="62" t="s">
        <v>25</v>
      </c>
      <c r="I1434" s="75">
        <v>44409</v>
      </c>
      <c r="J1434" s="76">
        <f>EFEITO!$J$1434*EFEITO!$Y$1303</f>
        <v>0</v>
      </c>
      <c r="K1434" s="76">
        <f ca="1">EFEITO!$L$1434*EFEITO!$Z$1464</f>
        <v>-431.92563376296351</v>
      </c>
      <c r="L1434" s="76">
        <f>EFEITO!$N$1434*EFEITO!$AA$1464</f>
        <v>-460.16461197851208</v>
      </c>
      <c r="M1434" s="76">
        <f>$J$1434-EFEITO!$K$1434*EFEITO!$Y$1434</f>
        <v>0</v>
      </c>
      <c r="N1434" s="76">
        <f ca="1">$K$1434-EFEITO!$M$1434*EFEITO!$Z$1434</f>
        <v>-43.192563376296391</v>
      </c>
      <c r="O1434" s="76">
        <f>$L$1434-EFEITO!$O$1434*EFEITO!$AA$1434</f>
        <v>-46.016461197851186</v>
      </c>
      <c r="P1434" s="18"/>
      <c r="Q1434" s="18"/>
      <c r="R1434" s="18"/>
      <c r="S1434" s="18"/>
      <c r="T1434" s="18"/>
      <c r="U1434" s="18"/>
      <c r="V1434" s="18"/>
      <c r="W1434" s="18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</row>
    <row r="1435" spans="1:36" ht="11.25" customHeight="1" x14ac:dyDescent="0.2">
      <c r="A1435" s="62" t="s">
        <v>28</v>
      </c>
      <c r="B1435" s="62" t="s">
        <v>22</v>
      </c>
      <c r="C1435" s="62" t="s">
        <v>23</v>
      </c>
      <c r="D1435" s="62" t="s">
        <v>24</v>
      </c>
      <c r="E1435" s="62" t="s">
        <v>31</v>
      </c>
      <c r="F1435" s="62" t="s">
        <v>25</v>
      </c>
      <c r="G1435" s="62" t="s">
        <v>25</v>
      </c>
      <c r="H1435" s="62" t="s">
        <v>25</v>
      </c>
      <c r="I1435" s="75">
        <v>44409</v>
      </c>
      <c r="J1435" s="76">
        <f>EFEITO!$J$1435*EFEITO!$Y$1303</f>
        <v>0</v>
      </c>
      <c r="K1435" s="76">
        <f ca="1">EFEITO!$L$1435*EFEITO!$Z$1464</f>
        <v>980.8053431436922</v>
      </c>
      <c r="L1435" s="76">
        <f>EFEITO!$N$1435*EFEITO!$AA$1464</f>
        <v>1044.9296704669653</v>
      </c>
      <c r="M1435" s="76">
        <f>$J$1435-EFEITO!$K$1435*EFEITO!$Y$1435</f>
        <v>0</v>
      </c>
      <c r="N1435" s="76">
        <f ca="1">$K$1435-EFEITO!$M$1435*EFEITO!$Z$1435</f>
        <v>98.080534314369174</v>
      </c>
      <c r="O1435" s="76">
        <f>$L$1435-EFEITO!$O$1435*EFEITO!$AA$1435</f>
        <v>104.49296704669655</v>
      </c>
      <c r="P1435" s="18"/>
      <c r="Q1435" s="18"/>
      <c r="R1435" s="18"/>
      <c r="S1435" s="18"/>
      <c r="T1435" s="18"/>
      <c r="U1435" s="18"/>
      <c r="V1435" s="18"/>
      <c r="W1435" s="18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</row>
    <row r="1436" spans="1:36" ht="11.25" customHeight="1" x14ac:dyDescent="0.2">
      <c r="A1436" s="62" t="s">
        <v>21</v>
      </c>
      <c r="B1436" s="62" t="s">
        <v>22</v>
      </c>
      <c r="C1436" s="62" t="s">
        <v>23</v>
      </c>
      <c r="D1436" s="62" t="s">
        <v>24</v>
      </c>
      <c r="E1436" s="62" t="s">
        <v>31</v>
      </c>
      <c r="F1436" s="62" t="s">
        <v>25</v>
      </c>
      <c r="G1436" s="62" t="s">
        <v>25</v>
      </c>
      <c r="H1436" s="62" t="s">
        <v>25</v>
      </c>
      <c r="I1436" s="75">
        <v>44440</v>
      </c>
      <c r="J1436" s="76">
        <f>EFEITO!$J$1436*EFEITO!$Y$1303</f>
        <v>0</v>
      </c>
      <c r="K1436" s="76">
        <f ca="1">EFEITO!$L$1436*EFEITO!$Z$1464</f>
        <v>1029421.4197250251</v>
      </c>
      <c r="L1436" s="76">
        <f>EFEITO!$N$1436*EFEITO!$AA$1464</f>
        <v>1096724.2301486067</v>
      </c>
      <c r="M1436" s="76">
        <f>$J$1436-EFEITO!$K$1436*EFEITO!$Y$1436</f>
        <v>0</v>
      </c>
      <c r="N1436" s="76">
        <f ca="1">$K$1436-EFEITO!$M$1436*EFEITO!$Z$1436</f>
        <v>102942.14197250246</v>
      </c>
      <c r="O1436" s="76">
        <f>$L$1436-EFEITO!$O$1436*EFEITO!$AA$1436</f>
        <v>109672.4230148606</v>
      </c>
      <c r="P1436" s="18"/>
      <c r="Q1436" s="18"/>
      <c r="R1436" s="18"/>
      <c r="S1436" s="18"/>
      <c r="T1436" s="18"/>
      <c r="U1436" s="18"/>
      <c r="V1436" s="18"/>
      <c r="W1436" s="18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</row>
    <row r="1437" spans="1:36" ht="11.25" customHeight="1" x14ac:dyDescent="0.2">
      <c r="A1437" s="62" t="s">
        <v>27</v>
      </c>
      <c r="B1437" s="62" t="s">
        <v>22</v>
      </c>
      <c r="C1437" s="62" t="s">
        <v>23</v>
      </c>
      <c r="D1437" s="62" t="s">
        <v>24</v>
      </c>
      <c r="E1437" s="62" t="s">
        <v>31</v>
      </c>
      <c r="F1437" s="62" t="s">
        <v>25</v>
      </c>
      <c r="G1437" s="62" t="s">
        <v>25</v>
      </c>
      <c r="H1437" s="62" t="s">
        <v>25</v>
      </c>
      <c r="I1437" s="75">
        <v>44440</v>
      </c>
      <c r="J1437" s="76">
        <f>EFEITO!$J$1437*EFEITO!$Y$1303</f>
        <v>0</v>
      </c>
      <c r="K1437" s="76">
        <f ca="1">EFEITO!$L$1437*EFEITO!$Z$1464</f>
        <v>-427.28459901622682</v>
      </c>
      <c r="L1437" s="76">
        <f>EFEITO!$N$1437*EFEITO!$AA$1464</f>
        <v>-455.22014981541923</v>
      </c>
      <c r="M1437" s="76">
        <f>$J$1437-EFEITO!$K$1437*EFEITO!$Y$1437</f>
        <v>0</v>
      </c>
      <c r="N1437" s="76">
        <f ca="1">$K$1437-EFEITO!$M$1437*EFEITO!$Z$1437</f>
        <v>-42.728459901622671</v>
      </c>
      <c r="O1437" s="76">
        <f>$L$1437-EFEITO!$O$1437*EFEITO!$AA$1437</f>
        <v>-45.522014981541929</v>
      </c>
      <c r="P1437" s="18"/>
      <c r="Q1437" s="18"/>
      <c r="R1437" s="18"/>
      <c r="S1437" s="18"/>
      <c r="T1437" s="18"/>
      <c r="U1437" s="18"/>
      <c r="V1437" s="18"/>
      <c r="W1437" s="18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</row>
    <row r="1438" spans="1:36" ht="11.25" customHeight="1" x14ac:dyDescent="0.2">
      <c r="A1438" s="62" t="s">
        <v>28</v>
      </c>
      <c r="B1438" s="62" t="s">
        <v>22</v>
      </c>
      <c r="C1438" s="62" t="s">
        <v>23</v>
      </c>
      <c r="D1438" s="62" t="s">
        <v>24</v>
      </c>
      <c r="E1438" s="62" t="s">
        <v>31</v>
      </c>
      <c r="F1438" s="62" t="s">
        <v>25</v>
      </c>
      <c r="G1438" s="62" t="s">
        <v>25</v>
      </c>
      <c r="H1438" s="62" t="s">
        <v>25</v>
      </c>
      <c r="I1438" s="75">
        <v>44440</v>
      </c>
      <c r="J1438" s="76">
        <f>EFEITO!$J$1438*EFEITO!$Y$1303</f>
        <v>0</v>
      </c>
      <c r="K1438" s="76">
        <f ca="1">EFEITO!$L$1438*EFEITO!$Z$1464</f>
        <v>779.38443513531888</v>
      </c>
      <c r="L1438" s="76">
        <f>EFEITO!$N$1438*EFEITO!$AA$1464</f>
        <v>830.34001258873354</v>
      </c>
      <c r="M1438" s="76">
        <f>$J$1438-EFEITO!$K$1438*EFEITO!$Y$1438</f>
        <v>0</v>
      </c>
      <c r="N1438" s="76">
        <f ca="1">$K$1438-EFEITO!$M$1438*EFEITO!$Z$1438</f>
        <v>77.938443513531865</v>
      </c>
      <c r="O1438" s="76">
        <f>$L$1438-EFEITO!$O$1438*EFEITO!$AA$1438</f>
        <v>83.034001258873332</v>
      </c>
      <c r="P1438" s="18"/>
      <c r="Q1438" s="18"/>
      <c r="R1438" s="18"/>
      <c r="S1438" s="18"/>
      <c r="T1438" s="18"/>
      <c r="U1438" s="18"/>
      <c r="V1438" s="18"/>
      <c r="W1438" s="18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</row>
    <row r="1439" spans="1:36" ht="11.25" customHeight="1" x14ac:dyDescent="0.2">
      <c r="A1439" s="62" t="s">
        <v>21</v>
      </c>
      <c r="B1439" s="62" t="s">
        <v>22</v>
      </c>
      <c r="C1439" s="62" t="s">
        <v>23</v>
      </c>
      <c r="D1439" s="62" t="s">
        <v>24</v>
      </c>
      <c r="E1439" s="62" t="s">
        <v>31</v>
      </c>
      <c r="F1439" s="62" t="s">
        <v>25</v>
      </c>
      <c r="G1439" s="62" t="s">
        <v>25</v>
      </c>
      <c r="H1439" s="62" t="s">
        <v>25</v>
      </c>
      <c r="I1439" s="75">
        <v>44470</v>
      </c>
      <c r="J1439" s="76">
        <f>EFEITO!$J$1439*EFEITO!$Y$1303</f>
        <v>0</v>
      </c>
      <c r="K1439" s="76">
        <f ca="1">EFEITO!$L$1439*EFEITO!$Z$1464</f>
        <v>924900.67619376758</v>
      </c>
      <c r="L1439" s="76">
        <f>EFEITO!$N$1439*EFEITO!$AA$1464</f>
        <v>985369.99777359166</v>
      </c>
      <c r="M1439" s="76">
        <f>$J$1439-EFEITO!$K$1439*EFEITO!$Y$1439</f>
        <v>0</v>
      </c>
      <c r="N1439" s="76">
        <f ca="1">$K$1439-EFEITO!$M$1439*EFEITO!$Z$1439</f>
        <v>92490.067619376816</v>
      </c>
      <c r="O1439" s="76">
        <f>$L$1439-EFEITO!$O$1439*EFEITO!$AA$1439</f>
        <v>98536.999777359189</v>
      </c>
      <c r="P1439" s="18"/>
      <c r="Q1439" s="18"/>
      <c r="R1439" s="18"/>
      <c r="S1439" s="18"/>
      <c r="T1439" s="18"/>
      <c r="U1439" s="18"/>
      <c r="V1439" s="18"/>
      <c r="W1439" s="18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</row>
    <row r="1440" spans="1:36" ht="11.25" customHeight="1" x14ac:dyDescent="0.2">
      <c r="A1440" s="62" t="s">
        <v>27</v>
      </c>
      <c r="B1440" s="62" t="s">
        <v>22</v>
      </c>
      <c r="C1440" s="62" t="s">
        <v>23</v>
      </c>
      <c r="D1440" s="62" t="s">
        <v>24</v>
      </c>
      <c r="E1440" s="62" t="s">
        <v>31</v>
      </c>
      <c r="F1440" s="62" t="s">
        <v>25</v>
      </c>
      <c r="G1440" s="62" t="s">
        <v>25</v>
      </c>
      <c r="H1440" s="62" t="s">
        <v>25</v>
      </c>
      <c r="I1440" s="75">
        <v>44470</v>
      </c>
      <c r="J1440" s="76">
        <f>EFEITO!$J$1440*EFEITO!$Y$1303</f>
        <v>0</v>
      </c>
      <c r="K1440" s="76">
        <f ca="1">EFEITO!$L$1440*EFEITO!$Z$1464</f>
        <v>-203.8961265399663</v>
      </c>
      <c r="L1440" s="76">
        <f>EFEITO!$N$1440*EFEITO!$AA$1464</f>
        <v>-217.22670436521454</v>
      </c>
      <c r="M1440" s="76">
        <f>$J$1440-EFEITO!$K$1440*EFEITO!$Y$1440</f>
        <v>0</v>
      </c>
      <c r="N1440" s="76">
        <f ca="1">$K$1440-EFEITO!$M$1440*EFEITO!$Z$1440</f>
        <v>-20.389612653996608</v>
      </c>
      <c r="O1440" s="76">
        <f>$L$1440-EFEITO!$O$1440*EFEITO!$AA$1440</f>
        <v>-21.72267043652144</v>
      </c>
      <c r="P1440" s="18"/>
      <c r="Q1440" s="18"/>
      <c r="R1440" s="18"/>
      <c r="S1440" s="18"/>
      <c r="T1440" s="18"/>
      <c r="U1440" s="18"/>
      <c r="V1440" s="18"/>
      <c r="W1440" s="18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</row>
    <row r="1441" spans="1:36" ht="11.25" customHeight="1" x14ac:dyDescent="0.2">
      <c r="A1441" s="62" t="s">
        <v>28</v>
      </c>
      <c r="B1441" s="62" t="s">
        <v>22</v>
      </c>
      <c r="C1441" s="62" t="s">
        <v>23</v>
      </c>
      <c r="D1441" s="62" t="s">
        <v>24</v>
      </c>
      <c r="E1441" s="62" t="s">
        <v>31</v>
      </c>
      <c r="F1441" s="62" t="s">
        <v>25</v>
      </c>
      <c r="G1441" s="62" t="s">
        <v>25</v>
      </c>
      <c r="H1441" s="62" t="s">
        <v>25</v>
      </c>
      <c r="I1441" s="75">
        <v>44470</v>
      </c>
      <c r="J1441" s="76">
        <f>EFEITO!$J$1441*EFEITO!$Y$1303</f>
        <v>0</v>
      </c>
      <c r="K1441" s="76">
        <f ca="1">EFEITO!$L$1441*EFEITO!$Z$1464</f>
        <v>909.95221267684497</v>
      </c>
      <c r="L1441" s="76">
        <f>EFEITO!$N$1441*EFEITO!$AA$1464</f>
        <v>969.44421477708022</v>
      </c>
      <c r="M1441" s="76">
        <f>$J$1441-EFEITO!$K$1441*EFEITO!$Y$1441</f>
        <v>0</v>
      </c>
      <c r="N1441" s="76">
        <f ca="1">$K$1441-EFEITO!$M$1441*EFEITO!$Z$1441</f>
        <v>90.995221267684428</v>
      </c>
      <c r="O1441" s="76">
        <f>$L$1441-EFEITO!$O$1441*EFEITO!$AA$1441</f>
        <v>96.94442147770792</v>
      </c>
      <c r="P1441" s="18"/>
      <c r="Q1441" s="18"/>
      <c r="R1441" s="18"/>
      <c r="S1441" s="18"/>
      <c r="T1441" s="18"/>
      <c r="U1441" s="18"/>
      <c r="V1441" s="18"/>
      <c r="W1441" s="18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</row>
    <row r="1442" spans="1:36" ht="11.25" customHeight="1" x14ac:dyDescent="0.2">
      <c r="A1442" s="62" t="s">
        <v>21</v>
      </c>
      <c r="B1442" s="62" t="s">
        <v>22</v>
      </c>
      <c r="C1442" s="62" t="s">
        <v>23</v>
      </c>
      <c r="D1442" s="62" t="s">
        <v>24</v>
      </c>
      <c r="E1442" s="62" t="s">
        <v>31</v>
      </c>
      <c r="F1442" s="62" t="s">
        <v>25</v>
      </c>
      <c r="G1442" s="62" t="s">
        <v>25</v>
      </c>
      <c r="H1442" s="62" t="s">
        <v>25</v>
      </c>
      <c r="I1442" s="75">
        <v>44501</v>
      </c>
      <c r="J1442" s="76">
        <f>EFEITO!$J$1442*EFEITO!$Y$1303</f>
        <v>0</v>
      </c>
      <c r="K1442" s="76">
        <f ca="1">EFEITO!$L$1442*EFEITO!$Z$1464</f>
        <v>956349.56524692138</v>
      </c>
      <c r="L1442" s="76">
        <f>EFEITO!$N$1442*EFEITO!$AA$1464</f>
        <v>1018874.9919139526</v>
      </c>
      <c r="M1442" s="76">
        <f>$J$1442-EFEITO!$K$1442*EFEITO!$Y$1442</f>
        <v>0</v>
      </c>
      <c r="N1442" s="76">
        <f ca="1">$K$1442-EFEITO!$M$1442*EFEITO!$Z$1442</f>
        <v>95634.956524692127</v>
      </c>
      <c r="O1442" s="76">
        <f>$L$1442-EFEITO!$O$1442*EFEITO!$AA$1442</f>
        <v>101887.49919139524</v>
      </c>
      <c r="P1442" s="18"/>
      <c r="Q1442" s="18"/>
      <c r="R1442" s="18"/>
      <c r="S1442" s="18"/>
      <c r="T1442" s="18"/>
      <c r="U1442" s="18"/>
      <c r="V1442" s="18"/>
      <c r="W1442" s="18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</row>
    <row r="1443" spans="1:36" ht="11.25" customHeight="1" x14ac:dyDescent="0.2">
      <c r="A1443" s="62" t="s">
        <v>27</v>
      </c>
      <c r="B1443" s="62" t="s">
        <v>22</v>
      </c>
      <c r="C1443" s="62" t="s">
        <v>23</v>
      </c>
      <c r="D1443" s="62" t="s">
        <v>24</v>
      </c>
      <c r="E1443" s="62" t="s">
        <v>31</v>
      </c>
      <c r="F1443" s="62" t="s">
        <v>25</v>
      </c>
      <c r="G1443" s="62" t="s">
        <v>25</v>
      </c>
      <c r="H1443" s="62" t="s">
        <v>25</v>
      </c>
      <c r="I1443" s="75">
        <v>44501</v>
      </c>
      <c r="J1443" s="76">
        <f>EFEITO!$J$1443*EFEITO!$Y$1303</f>
        <v>0</v>
      </c>
      <c r="K1443" s="76">
        <f ca="1">EFEITO!$L$1443*EFEITO!$Z$1464</f>
        <v>-447.08634726897014</v>
      </c>
      <c r="L1443" s="76">
        <f>EFEITO!$N$1443*EFEITO!$AA$1464</f>
        <v>-476.31652171128229</v>
      </c>
      <c r="M1443" s="76">
        <f>$J$1443-EFEITO!$K$1443*EFEITO!$Y$1443</f>
        <v>0</v>
      </c>
      <c r="N1443" s="76">
        <f ca="1">$K$1443-EFEITO!$M$1443*EFEITO!$Z$1443</f>
        <v>-44.708634726897003</v>
      </c>
      <c r="O1443" s="76">
        <f>$L$1443-EFEITO!$O$1443*EFEITO!$AA$1443</f>
        <v>-47.631652171128223</v>
      </c>
      <c r="P1443" s="18"/>
      <c r="Q1443" s="18"/>
      <c r="R1443" s="18"/>
      <c r="S1443" s="18"/>
      <c r="T1443" s="18"/>
      <c r="U1443" s="18"/>
      <c r="V1443" s="18"/>
      <c r="W1443" s="18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</row>
    <row r="1444" spans="1:36" ht="11.25" customHeight="1" x14ac:dyDescent="0.2">
      <c r="A1444" s="62" t="s">
        <v>28</v>
      </c>
      <c r="B1444" s="62" t="s">
        <v>22</v>
      </c>
      <c r="C1444" s="62" t="s">
        <v>23</v>
      </c>
      <c r="D1444" s="62" t="s">
        <v>24</v>
      </c>
      <c r="E1444" s="62" t="s">
        <v>31</v>
      </c>
      <c r="F1444" s="62" t="s">
        <v>25</v>
      </c>
      <c r="G1444" s="62" t="s">
        <v>25</v>
      </c>
      <c r="H1444" s="62" t="s">
        <v>25</v>
      </c>
      <c r="I1444" s="75">
        <v>44501</v>
      </c>
      <c r="J1444" s="76">
        <f>EFEITO!$J$1444*EFEITO!$Y$1303</f>
        <v>0</v>
      </c>
      <c r="K1444" s="76">
        <f ca="1">EFEITO!$L$1444*EFEITO!$Z$1464</f>
        <v>1123.7492133431831</v>
      </c>
      <c r="L1444" s="76">
        <f>EFEITO!$N$1444*EFEITO!$AA$1464</f>
        <v>1197.2191050902263</v>
      </c>
      <c r="M1444" s="76">
        <f>$J$1444-EFEITO!$K$1444*EFEITO!$Y$1444</f>
        <v>0</v>
      </c>
      <c r="N1444" s="76">
        <f ca="1">$K$1444-EFEITO!$M$1444*EFEITO!$Z$1444</f>
        <v>112.37492133431829</v>
      </c>
      <c r="O1444" s="76">
        <f>$L$1444-EFEITO!$O$1444*EFEITO!$AA$1444</f>
        <v>119.72191050902256</v>
      </c>
      <c r="P1444" s="18"/>
      <c r="Q1444" s="18"/>
      <c r="R1444" s="18"/>
      <c r="S1444" s="18"/>
      <c r="T1444" s="18"/>
      <c r="U1444" s="18"/>
      <c r="V1444" s="18"/>
      <c r="W1444" s="18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</row>
    <row r="1445" spans="1:36" ht="11.25" customHeight="1" x14ac:dyDescent="0.2">
      <c r="A1445" s="62" t="s">
        <v>21</v>
      </c>
      <c r="B1445" s="62" t="s">
        <v>22</v>
      </c>
      <c r="C1445" s="62" t="s">
        <v>23</v>
      </c>
      <c r="D1445" s="62" t="s">
        <v>24</v>
      </c>
      <c r="E1445" s="62" t="s">
        <v>31</v>
      </c>
      <c r="F1445" s="62" t="s">
        <v>25</v>
      </c>
      <c r="G1445" s="62" t="s">
        <v>25</v>
      </c>
      <c r="H1445" s="62" t="s">
        <v>25</v>
      </c>
      <c r="I1445" s="75">
        <v>44531</v>
      </c>
      <c r="J1445" s="76">
        <f>EFEITO!$J$1445*EFEITO!$Y$1303</f>
        <v>0</v>
      </c>
      <c r="K1445" s="76">
        <f ca="1">EFEITO!$L$1445*EFEITO!$Z$1464</f>
        <v>1103727.4800434445</v>
      </c>
      <c r="L1445" s="76">
        <f>EFEITO!$N$1445*EFEITO!$AA$1464</f>
        <v>1175888.3656878327</v>
      </c>
      <c r="M1445" s="76">
        <f>$J$1445-EFEITO!$K$1445*EFEITO!$Y$1445</f>
        <v>0</v>
      </c>
      <c r="N1445" s="76">
        <f ca="1">$K$1445-EFEITO!$M$1445*EFEITO!$Z$1445</f>
        <v>110372.74800434452</v>
      </c>
      <c r="O1445" s="76">
        <f>$L$1445-EFEITO!$O$1445*EFEITO!$AA$1445</f>
        <v>117588.83656878304</v>
      </c>
      <c r="P1445" s="18"/>
      <c r="Q1445" s="18"/>
      <c r="R1445" s="18"/>
      <c r="S1445" s="18"/>
      <c r="T1445" s="18"/>
      <c r="U1445" s="18"/>
      <c r="V1445" s="18"/>
      <c r="W1445" s="18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</row>
    <row r="1446" spans="1:36" ht="11.25" customHeight="1" x14ac:dyDescent="0.2">
      <c r="A1446" s="62" t="s">
        <v>27</v>
      </c>
      <c r="B1446" s="62" t="s">
        <v>22</v>
      </c>
      <c r="C1446" s="62" t="s">
        <v>23</v>
      </c>
      <c r="D1446" s="62" t="s">
        <v>24</v>
      </c>
      <c r="E1446" s="62" t="s">
        <v>31</v>
      </c>
      <c r="F1446" s="62" t="s">
        <v>25</v>
      </c>
      <c r="G1446" s="62" t="s">
        <v>25</v>
      </c>
      <c r="H1446" s="62" t="s">
        <v>25</v>
      </c>
      <c r="I1446" s="75">
        <v>44531</v>
      </c>
      <c r="J1446" s="76">
        <f>EFEITO!$J$1446*EFEITO!$Y$1303</f>
        <v>0</v>
      </c>
      <c r="K1446" s="76">
        <f ca="1">EFEITO!$L$1446*EFEITO!$Z$1464</f>
        <v>-460.39064687628201</v>
      </c>
      <c r="L1446" s="76">
        <f>EFEITO!$N$1446*EFEITO!$AA$1464</f>
        <v>-490.49064657881519</v>
      </c>
      <c r="M1446" s="76">
        <f>$J$1446-EFEITO!$K$1446*EFEITO!$Y$1446</f>
        <v>0</v>
      </c>
      <c r="N1446" s="76">
        <f ca="1">$K$1446-EFEITO!$M$1446*EFEITO!$Z$1446</f>
        <v>-46.039064687628183</v>
      </c>
      <c r="O1446" s="76">
        <f>$L$1446-EFEITO!$O$1446*EFEITO!$AA$1446</f>
        <v>-49.049064657881502</v>
      </c>
      <c r="P1446" s="18"/>
      <c r="Q1446" s="18"/>
      <c r="R1446" s="18"/>
      <c r="S1446" s="18"/>
      <c r="T1446" s="18"/>
      <c r="U1446" s="18"/>
      <c r="V1446" s="18"/>
      <c r="W1446" s="18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</row>
    <row r="1447" spans="1:36" ht="11.25" customHeight="1" x14ac:dyDescent="0.2">
      <c r="A1447" s="62" t="s">
        <v>28</v>
      </c>
      <c r="B1447" s="62" t="s">
        <v>22</v>
      </c>
      <c r="C1447" s="62" t="s">
        <v>23</v>
      </c>
      <c r="D1447" s="62" t="s">
        <v>24</v>
      </c>
      <c r="E1447" s="62" t="s">
        <v>31</v>
      </c>
      <c r="F1447" s="62" t="s">
        <v>25</v>
      </c>
      <c r="G1447" s="62" t="s">
        <v>25</v>
      </c>
      <c r="H1447" s="62" t="s">
        <v>25</v>
      </c>
      <c r="I1447" s="75">
        <v>44531</v>
      </c>
      <c r="J1447" s="76">
        <f>EFEITO!$J$1447*EFEITO!$Y$1303</f>
        <v>0</v>
      </c>
      <c r="K1447" s="76">
        <f ca="1">EFEITO!$L$1447*EFEITO!$Z$1464</f>
        <v>1031.547323041347</v>
      </c>
      <c r="L1447" s="76">
        <f>EFEITO!$N$1447*EFEITO!$AA$1464</f>
        <v>1098.9891234501142</v>
      </c>
      <c r="M1447" s="76">
        <f>$J$1447-EFEITO!$K$1447*EFEITO!$Y$1447</f>
        <v>0</v>
      </c>
      <c r="N1447" s="76">
        <f ca="1">$K$1447-EFEITO!$M$1447*EFEITO!$Z$1447</f>
        <v>103.15473230413465</v>
      </c>
      <c r="O1447" s="76">
        <f>$L$1447-EFEITO!$O$1447*EFEITO!$AA$1447</f>
        <v>109.89891234501135</v>
      </c>
      <c r="P1447" s="18"/>
      <c r="Q1447" s="18"/>
      <c r="R1447" s="18"/>
      <c r="S1447" s="18"/>
      <c r="T1447" s="18"/>
      <c r="U1447" s="18"/>
      <c r="V1447" s="18"/>
      <c r="W1447" s="18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</row>
    <row r="1448" spans="1:36" ht="11.25" customHeight="1" x14ac:dyDescent="0.2">
      <c r="A1448" s="62" t="s">
        <v>21</v>
      </c>
      <c r="B1448" s="62" t="s">
        <v>22</v>
      </c>
      <c r="C1448" s="62" t="s">
        <v>23</v>
      </c>
      <c r="D1448" s="62" t="s">
        <v>24</v>
      </c>
      <c r="E1448" s="62" t="s">
        <v>31</v>
      </c>
      <c r="F1448" s="62" t="s">
        <v>25</v>
      </c>
      <c r="G1448" s="62" t="s">
        <v>25</v>
      </c>
      <c r="H1448" s="62" t="s">
        <v>25</v>
      </c>
      <c r="I1448" s="75">
        <v>44562</v>
      </c>
      <c r="J1448" s="76">
        <f>EFEITO!$J$1448*EFEITO!$Y$1303</f>
        <v>0</v>
      </c>
      <c r="K1448" s="76">
        <f ca="1">EFEITO!$L$1448*EFEITO!$Z$1464</f>
        <v>1103214.8004050881</v>
      </c>
      <c r="L1448" s="76">
        <f>EFEITO!$N$1448*EFEITO!$AA$1464</f>
        <v>1175342.1674342165</v>
      </c>
      <c r="M1448" s="76">
        <f>$J$1448-EFEITO!$K$1448*EFEITO!$Y$1448</f>
        <v>0</v>
      </c>
      <c r="N1448" s="76">
        <f ca="1">$K$1448-EFEITO!$M$1448*EFEITO!$Z$1448</f>
        <v>110321.48004050867</v>
      </c>
      <c r="O1448" s="76">
        <f>$L$1448-EFEITO!$O$1448*EFEITO!$AA$1448</f>
        <v>117534.21674342174</v>
      </c>
      <c r="P1448" s="18"/>
      <c r="Q1448" s="18"/>
      <c r="R1448" s="18"/>
      <c r="S1448" s="18"/>
      <c r="T1448" s="18"/>
      <c r="U1448" s="18"/>
      <c r="V1448" s="18"/>
      <c r="W1448" s="18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</row>
    <row r="1449" spans="1:36" ht="11.25" customHeight="1" x14ac:dyDescent="0.2">
      <c r="A1449" s="62" t="s">
        <v>27</v>
      </c>
      <c r="B1449" s="62" t="s">
        <v>22</v>
      </c>
      <c r="C1449" s="62" t="s">
        <v>23</v>
      </c>
      <c r="D1449" s="62" t="s">
        <v>24</v>
      </c>
      <c r="E1449" s="62" t="s">
        <v>31</v>
      </c>
      <c r="F1449" s="62" t="s">
        <v>25</v>
      </c>
      <c r="G1449" s="62" t="s">
        <v>25</v>
      </c>
      <c r="H1449" s="62" t="s">
        <v>25</v>
      </c>
      <c r="I1449" s="75">
        <v>44562</v>
      </c>
      <c r="J1449" s="76">
        <f>EFEITO!$J$1449*EFEITO!$Y$1303</f>
        <v>0</v>
      </c>
      <c r="K1449" s="76">
        <f ca="1">EFEITO!$L$1449*EFEITO!$Z$1464</f>
        <v>-174.19350416085132</v>
      </c>
      <c r="L1449" s="76">
        <f>EFEITO!$N$1449*EFEITO!$AA$1464</f>
        <v>-185.58214652141999</v>
      </c>
      <c r="M1449" s="76">
        <f>$J$1449-EFEITO!$K$1449*EFEITO!$Y$1449</f>
        <v>0</v>
      </c>
      <c r="N1449" s="76">
        <f ca="1">$K$1449-EFEITO!$M$1449*EFEITO!$Z$1449</f>
        <v>-17.419350416085138</v>
      </c>
      <c r="O1449" s="76">
        <f>$L$1449-EFEITO!$O$1449*EFEITO!$AA$1449</f>
        <v>-18.558214652141999</v>
      </c>
      <c r="P1449" s="18"/>
      <c r="Q1449" s="18"/>
      <c r="R1449" s="18"/>
      <c r="S1449" s="18"/>
      <c r="T1449" s="18"/>
      <c r="U1449" s="18"/>
      <c r="V1449" s="18"/>
      <c r="W1449" s="18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</row>
    <row r="1450" spans="1:36" ht="11.25" customHeight="1" x14ac:dyDescent="0.2">
      <c r="A1450" s="62" t="s">
        <v>28</v>
      </c>
      <c r="B1450" s="62" t="s">
        <v>22</v>
      </c>
      <c r="C1450" s="62" t="s">
        <v>23</v>
      </c>
      <c r="D1450" s="62" t="s">
        <v>24</v>
      </c>
      <c r="E1450" s="62" t="s">
        <v>31</v>
      </c>
      <c r="F1450" s="62" t="s">
        <v>25</v>
      </c>
      <c r="G1450" s="62" t="s">
        <v>25</v>
      </c>
      <c r="H1450" s="62" t="s">
        <v>25</v>
      </c>
      <c r="I1450" s="75">
        <v>44562</v>
      </c>
      <c r="J1450" s="76">
        <f>EFEITO!$J$1450*EFEITO!$Y$1303</f>
        <v>0</v>
      </c>
      <c r="K1450" s="76">
        <f ca="1">EFEITO!$L$1450*EFEITO!$Z$1464</f>
        <v>1227.3989893536364</v>
      </c>
      <c r="L1450" s="76">
        <f>EFEITO!$N$1450*EFEITO!$AA$1464</f>
        <v>1307.6454267326344</v>
      </c>
      <c r="M1450" s="76">
        <f>$J$1450-EFEITO!$K$1450*EFEITO!$Y$1450</f>
        <v>0</v>
      </c>
      <c r="N1450" s="76">
        <f ca="1">$K$1450-EFEITO!$M$1450*EFEITO!$Z$1450</f>
        <v>122.73989893536373</v>
      </c>
      <c r="O1450" s="76">
        <f>$L$1450-EFEITO!$O$1450*EFEITO!$AA$1450</f>
        <v>130.76454267326335</v>
      </c>
      <c r="P1450" s="18"/>
      <c r="Q1450" s="18"/>
      <c r="R1450" s="18"/>
      <c r="S1450" s="18"/>
      <c r="T1450" s="18"/>
      <c r="U1450" s="18"/>
      <c r="V1450" s="18"/>
      <c r="W1450" s="18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</row>
    <row r="1451" spans="1:36" ht="11.25" customHeight="1" x14ac:dyDescent="0.2">
      <c r="A1451" s="62" t="s">
        <v>21</v>
      </c>
      <c r="B1451" s="62" t="s">
        <v>22</v>
      </c>
      <c r="C1451" s="62" t="s">
        <v>23</v>
      </c>
      <c r="D1451" s="62" t="s">
        <v>24</v>
      </c>
      <c r="E1451" s="62" t="s">
        <v>31</v>
      </c>
      <c r="F1451" s="62" t="s">
        <v>25</v>
      </c>
      <c r="G1451" s="62" t="s">
        <v>25</v>
      </c>
      <c r="H1451" s="62" t="s">
        <v>25</v>
      </c>
      <c r="I1451" s="75">
        <v>44593</v>
      </c>
      <c r="J1451" s="76">
        <f>EFEITO!$J$1451*EFEITO!$Y$1303</f>
        <v>0</v>
      </c>
      <c r="K1451" s="76">
        <f ca="1">EFEITO!$L$1451*EFEITO!$Z$1464</f>
        <v>1031959.1375245408</v>
      </c>
      <c r="L1451" s="76">
        <f>EFEITO!$N$1451*EFEITO!$AA$1464</f>
        <v>1099427.862059386</v>
      </c>
      <c r="M1451" s="76">
        <f>$J$1451-EFEITO!$K$1451*EFEITO!$Y$1451</f>
        <v>0</v>
      </c>
      <c r="N1451" s="76">
        <f ca="1">$K$1451-EFEITO!$M$1451*EFEITO!$Z$1451</f>
        <v>103195.9137524541</v>
      </c>
      <c r="O1451" s="76">
        <f>$L$1451-EFEITO!$O$1451*EFEITO!$AA$1451</f>
        <v>109942.78620593855</v>
      </c>
      <c r="P1451" s="18"/>
      <c r="Q1451" s="18"/>
      <c r="R1451" s="18"/>
      <c r="S1451" s="18"/>
      <c r="T1451" s="18"/>
      <c r="U1451" s="18"/>
      <c r="V1451" s="18"/>
      <c r="W1451" s="18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</row>
    <row r="1452" spans="1:36" ht="11.25" customHeight="1" x14ac:dyDescent="0.2">
      <c r="A1452" s="62" t="s">
        <v>27</v>
      </c>
      <c r="B1452" s="62" t="s">
        <v>22</v>
      </c>
      <c r="C1452" s="62" t="s">
        <v>23</v>
      </c>
      <c r="D1452" s="62" t="s">
        <v>24</v>
      </c>
      <c r="E1452" s="62" t="s">
        <v>31</v>
      </c>
      <c r="F1452" s="62" t="s">
        <v>25</v>
      </c>
      <c r="G1452" s="62" t="s">
        <v>25</v>
      </c>
      <c r="H1452" s="62" t="s">
        <v>25</v>
      </c>
      <c r="I1452" s="75">
        <v>44593</v>
      </c>
      <c r="J1452" s="76">
        <f>EFEITO!$J$1452*EFEITO!$Y$1303</f>
        <v>0</v>
      </c>
      <c r="K1452" s="76">
        <f ca="1">EFEITO!$L$1452*EFEITO!$Z$1464</f>
        <v>-1054.4430944585813</v>
      </c>
      <c r="L1452" s="76">
        <f>EFEITO!$N$1452*EFEITO!$AA$1464</f>
        <v>-1123.3818034547057</v>
      </c>
      <c r="M1452" s="76">
        <f>$J$1452-EFEITO!$K$1452*EFEITO!$Y$1452</f>
        <v>0</v>
      </c>
      <c r="N1452" s="76">
        <f ca="1">$K$1452-EFEITO!$M$1452*EFEITO!$Z$1452</f>
        <v>-105.44430944585804</v>
      </c>
      <c r="O1452" s="76">
        <f>$L$1452-EFEITO!$O$1452*EFEITO!$AA$1452</f>
        <v>-112.33818034547051</v>
      </c>
      <c r="P1452" s="18"/>
      <c r="Q1452" s="18"/>
      <c r="R1452" s="18"/>
      <c r="S1452" s="18"/>
      <c r="T1452" s="18"/>
      <c r="U1452" s="18"/>
      <c r="V1452" s="18"/>
      <c r="W1452" s="18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</row>
    <row r="1453" spans="1:36" ht="11.25" customHeight="1" x14ac:dyDescent="0.2">
      <c r="A1453" s="62" t="s">
        <v>28</v>
      </c>
      <c r="B1453" s="62" t="s">
        <v>22</v>
      </c>
      <c r="C1453" s="62" t="s">
        <v>23</v>
      </c>
      <c r="D1453" s="62" t="s">
        <v>24</v>
      </c>
      <c r="E1453" s="62" t="s">
        <v>31</v>
      </c>
      <c r="F1453" s="62" t="s">
        <v>25</v>
      </c>
      <c r="G1453" s="62" t="s">
        <v>25</v>
      </c>
      <c r="H1453" s="62" t="s">
        <v>25</v>
      </c>
      <c r="I1453" s="75">
        <v>44593</v>
      </c>
      <c r="J1453" s="76">
        <f>EFEITO!$J$1453*EFEITO!$Y$1303</f>
        <v>0</v>
      </c>
      <c r="K1453" s="76">
        <f ca="1">EFEITO!$L$1453*EFEITO!$Z$1464</f>
        <v>1452.9532780450404</v>
      </c>
      <c r="L1453" s="76">
        <f>EFEITO!$N$1453*EFEITO!$AA$1464</f>
        <v>1547.9462878589491</v>
      </c>
      <c r="M1453" s="76">
        <f>$J$1453-EFEITO!$K$1453*EFEITO!$Y$1453</f>
        <v>0</v>
      </c>
      <c r="N1453" s="76">
        <f ca="1">$K$1453-EFEITO!$M$1453*EFEITO!$Z$1453</f>
        <v>145.29532780450381</v>
      </c>
      <c r="O1453" s="76">
        <f>$L$1453-EFEITO!$O$1453*EFEITO!$AA$1453</f>
        <v>154.79462878589493</v>
      </c>
      <c r="P1453" s="18"/>
      <c r="Q1453" s="18"/>
      <c r="R1453" s="18"/>
      <c r="S1453" s="18"/>
      <c r="T1453" s="18"/>
      <c r="U1453" s="18"/>
      <c r="V1453" s="18"/>
      <c r="W1453" s="18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</row>
    <row r="1454" spans="1:36" ht="11.25" customHeight="1" x14ac:dyDescent="0.2">
      <c r="A1454" s="62" t="s">
        <v>21</v>
      </c>
      <c r="B1454" s="62" t="s">
        <v>22</v>
      </c>
      <c r="C1454" s="62" t="s">
        <v>23</v>
      </c>
      <c r="D1454" s="62" t="s">
        <v>24</v>
      </c>
      <c r="E1454" s="62" t="s">
        <v>31</v>
      </c>
      <c r="F1454" s="62" t="s">
        <v>25</v>
      </c>
      <c r="G1454" s="62" t="s">
        <v>25</v>
      </c>
      <c r="H1454" s="62" t="s">
        <v>25</v>
      </c>
      <c r="I1454" s="75">
        <v>44621</v>
      </c>
      <c r="J1454" s="76">
        <f>EFEITO!$J$1454*EFEITO!$Y$1303</f>
        <v>0</v>
      </c>
      <c r="K1454" s="76">
        <f ca="1">EFEITO!$L$1454*EFEITO!$Z$1464</f>
        <v>1282438.5674267693</v>
      </c>
      <c r="L1454" s="76">
        <f>EFEITO!$N$1454*EFEITO!$AA$1464</f>
        <v>1366283.4516788074</v>
      </c>
      <c r="M1454" s="76">
        <f>$J$1454-EFEITO!$K$1454*EFEITO!$Y$1454</f>
        <v>0</v>
      </c>
      <c r="N1454" s="76">
        <f ca="1">$K$1454-EFEITO!$M$1454*EFEITO!$Z$1454</f>
        <v>128243.85674267681</v>
      </c>
      <c r="O1454" s="76">
        <f>$L$1454-EFEITO!$O$1454*EFEITO!$AA$1454</f>
        <v>136628.34516788065</v>
      </c>
      <c r="P1454" s="18"/>
      <c r="Q1454" s="18"/>
      <c r="R1454" s="18"/>
      <c r="S1454" s="18"/>
      <c r="T1454" s="18"/>
      <c r="U1454" s="18"/>
      <c r="V1454" s="18"/>
      <c r="W1454" s="18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</row>
    <row r="1455" spans="1:36" ht="11.25" customHeight="1" x14ac:dyDescent="0.2">
      <c r="A1455" s="62" t="s">
        <v>27</v>
      </c>
      <c r="B1455" s="62" t="s">
        <v>22</v>
      </c>
      <c r="C1455" s="62" t="s">
        <v>23</v>
      </c>
      <c r="D1455" s="62" t="s">
        <v>24</v>
      </c>
      <c r="E1455" s="62" t="s">
        <v>31</v>
      </c>
      <c r="F1455" s="62" t="s">
        <v>25</v>
      </c>
      <c r="G1455" s="62" t="s">
        <v>25</v>
      </c>
      <c r="H1455" s="62" t="s">
        <v>25</v>
      </c>
      <c r="I1455" s="75">
        <v>44621</v>
      </c>
      <c r="J1455" s="76">
        <f>EFEITO!$J$1455*EFEITO!$Y$1303</f>
        <v>0</v>
      </c>
      <c r="K1455" s="76">
        <f ca="1">EFEITO!$L$1455*EFEITO!$Z$1464</f>
        <v>-304.76128170237757</v>
      </c>
      <c r="L1455" s="76">
        <f>EFEITO!$N$1455*EFEITO!$AA$1464</f>
        <v>-324.68634870976678</v>
      </c>
      <c r="M1455" s="76">
        <f>$J$1455-EFEITO!$K$1455*EFEITO!$Y$1455</f>
        <v>0</v>
      </c>
      <c r="N1455" s="76">
        <f ca="1">$K$1455-EFEITO!$M$1455*EFEITO!$Z$1455</f>
        <v>-30.476128170237757</v>
      </c>
      <c r="O1455" s="76">
        <f>$L$1455-EFEITO!$O$1455*EFEITO!$AA$1455</f>
        <v>-32.468634870976643</v>
      </c>
      <c r="P1455" s="18"/>
      <c r="Q1455" s="18"/>
      <c r="R1455" s="18"/>
      <c r="S1455" s="18"/>
      <c r="T1455" s="18"/>
      <c r="U1455" s="18"/>
      <c r="V1455" s="18"/>
      <c r="W1455" s="18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</row>
    <row r="1456" spans="1:36" ht="11.25" customHeight="1" x14ac:dyDescent="0.2">
      <c r="A1456" s="62" t="s">
        <v>28</v>
      </c>
      <c r="B1456" s="62" t="s">
        <v>22</v>
      </c>
      <c r="C1456" s="62" t="s">
        <v>23</v>
      </c>
      <c r="D1456" s="62" t="s">
        <v>24</v>
      </c>
      <c r="E1456" s="62" t="s">
        <v>31</v>
      </c>
      <c r="F1456" s="62" t="s">
        <v>25</v>
      </c>
      <c r="G1456" s="62" t="s">
        <v>25</v>
      </c>
      <c r="H1456" s="62" t="s">
        <v>25</v>
      </c>
      <c r="I1456" s="75">
        <v>44621</v>
      </c>
      <c r="J1456" s="76">
        <f>EFEITO!$J$1456*EFEITO!$Y$1303</f>
        <v>0</v>
      </c>
      <c r="K1456" s="76">
        <f ca="1">EFEITO!$L$1456*EFEITO!$Z$1464</f>
        <v>1608.5826432189451</v>
      </c>
      <c r="L1456" s="76">
        <f>EFEITO!$N$1456*EFEITO!$AA$1464</f>
        <v>1713.7505857279975</v>
      </c>
      <c r="M1456" s="76">
        <f>$J$1456-EFEITO!$K$1456*EFEITO!$Y$1456</f>
        <v>0</v>
      </c>
      <c r="N1456" s="76">
        <f ca="1">$K$1456-EFEITO!$M$1456*EFEITO!$Z$1456</f>
        <v>160.85826432189447</v>
      </c>
      <c r="O1456" s="76">
        <f>$L$1456-EFEITO!$O$1456*EFEITO!$AA$1456</f>
        <v>171.37505857279984</v>
      </c>
      <c r="P1456" s="18"/>
      <c r="Q1456" s="18"/>
      <c r="R1456" s="18"/>
      <c r="S1456" s="18"/>
      <c r="T1456" s="18"/>
      <c r="U1456" s="18"/>
      <c r="V1456" s="18"/>
      <c r="W1456" s="18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</row>
    <row r="1457" spans="1:36" ht="11.25" customHeight="1" x14ac:dyDescent="0.2">
      <c r="A1457" s="62" t="s">
        <v>28</v>
      </c>
      <c r="B1457" s="62" t="s">
        <v>22</v>
      </c>
      <c r="C1457" s="62" t="s">
        <v>23</v>
      </c>
      <c r="D1457" s="62" t="s">
        <v>24</v>
      </c>
      <c r="E1457" s="62" t="s">
        <v>31</v>
      </c>
      <c r="F1457" s="62" t="s">
        <v>25</v>
      </c>
      <c r="G1457" s="62" t="s">
        <v>25</v>
      </c>
      <c r="H1457" s="62" t="s">
        <v>25</v>
      </c>
      <c r="I1457" s="75">
        <v>44621</v>
      </c>
      <c r="J1457" s="76">
        <f>EFEITO!$J$1457*EFEITO!$Y$1303</f>
        <v>0</v>
      </c>
      <c r="K1457" s="76">
        <f ca="1">EFEITO!$L$1457*EFEITO!$Z$1464</f>
        <v>-37.128277973893709</v>
      </c>
      <c r="L1457" s="76">
        <f>EFEITO!$N$1457*EFEITO!$AA$1464</f>
        <v>-39.555697304743163</v>
      </c>
      <c r="M1457" s="76">
        <f>$J$1457-EFEITO!$K$1457*EFEITO!$Y$1457</f>
        <v>0</v>
      </c>
      <c r="N1457" s="76">
        <f ca="1">$K$1457-EFEITO!$M$1457*EFEITO!$Z$1457</f>
        <v>-3.712827797389366</v>
      </c>
      <c r="O1457" s="76">
        <f>$L$1457-EFEITO!$O$1457*EFEITO!$AA$1457</f>
        <v>-3.9555697304743163</v>
      </c>
      <c r="P1457" s="18"/>
      <c r="Q1457" s="18"/>
      <c r="R1457" s="18"/>
      <c r="S1457" s="18"/>
      <c r="T1457" s="18"/>
      <c r="U1457" s="18"/>
      <c r="V1457" s="18"/>
      <c r="W1457" s="18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</row>
    <row r="1458" spans="1:36" ht="11.25" customHeight="1" x14ac:dyDescent="0.2">
      <c r="A1458" s="62" t="s">
        <v>21</v>
      </c>
      <c r="B1458" s="62" t="s">
        <v>22</v>
      </c>
      <c r="C1458" s="62" t="s">
        <v>23</v>
      </c>
      <c r="D1458" s="62" t="s">
        <v>24</v>
      </c>
      <c r="E1458" s="62" t="s">
        <v>31</v>
      </c>
      <c r="F1458" s="62" t="s">
        <v>25</v>
      </c>
      <c r="G1458" s="62" t="s">
        <v>25</v>
      </c>
      <c r="H1458" s="62" t="s">
        <v>25</v>
      </c>
      <c r="I1458" s="75">
        <v>44652</v>
      </c>
      <c r="J1458" s="76">
        <f>EFEITO!$J$1458*EFEITO!$Y$1303</f>
        <v>0</v>
      </c>
      <c r="K1458" s="76">
        <f ca="1">EFEITO!$L$1458*EFEITO!$Z$1464</f>
        <v>1177280.764525943</v>
      </c>
      <c r="L1458" s="76">
        <f>EFEITO!$N$1458*EFEITO!$AA$1464</f>
        <v>1254250.509464205</v>
      </c>
      <c r="M1458" s="76">
        <f>$J$1458-EFEITO!$K$1458*EFEITO!$Y$1458</f>
        <v>0</v>
      </c>
      <c r="N1458" s="76">
        <f ca="1">$K$1458-EFEITO!$M$1458*EFEITO!$Z$1458</f>
        <v>117728.07645259425</v>
      </c>
      <c r="O1458" s="76">
        <f>$L$1458-EFEITO!$O$1458*EFEITO!$AA$1458</f>
        <v>125425.05094642029</v>
      </c>
      <c r="P1458" s="18"/>
      <c r="Q1458" s="18"/>
      <c r="R1458" s="18"/>
      <c r="S1458" s="18"/>
      <c r="T1458" s="18"/>
      <c r="U1458" s="18"/>
      <c r="V1458" s="18"/>
      <c r="W1458" s="18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</row>
    <row r="1459" spans="1:36" ht="11.25" customHeight="1" x14ac:dyDescent="0.2">
      <c r="A1459" s="62" t="s">
        <v>27</v>
      </c>
      <c r="B1459" s="62" t="s">
        <v>22</v>
      </c>
      <c r="C1459" s="62" t="s">
        <v>23</v>
      </c>
      <c r="D1459" s="62" t="s">
        <v>24</v>
      </c>
      <c r="E1459" s="62" t="s">
        <v>31</v>
      </c>
      <c r="F1459" s="62" t="s">
        <v>25</v>
      </c>
      <c r="G1459" s="62" t="s">
        <v>25</v>
      </c>
      <c r="H1459" s="62" t="s">
        <v>25</v>
      </c>
      <c r="I1459" s="75">
        <v>44652</v>
      </c>
      <c r="J1459" s="76">
        <f>EFEITO!$J$1459*EFEITO!$Y$1303</f>
        <v>0</v>
      </c>
      <c r="K1459" s="76">
        <f ca="1">EFEITO!$L$1459*EFEITO!$Z$1464</f>
        <v>-448.32395653476658</v>
      </c>
      <c r="L1459" s="76">
        <f>EFEITO!$N$1459*EFEITO!$AA$1464</f>
        <v>-477.63504495477372</v>
      </c>
      <c r="M1459" s="76">
        <f>$J$1459-EFEITO!$K$1459*EFEITO!$Y$1459</f>
        <v>0</v>
      </c>
      <c r="N1459" s="76">
        <f ca="1">$K$1459-EFEITO!$M$1459*EFEITO!$Z$1459</f>
        <v>-44.832395653476624</v>
      </c>
      <c r="O1459" s="76">
        <f>$L$1459-EFEITO!$O$1459*EFEITO!$AA$1459</f>
        <v>-47.763504495477378</v>
      </c>
      <c r="P1459" s="18"/>
      <c r="Q1459" s="18"/>
      <c r="R1459" s="18"/>
      <c r="S1459" s="18"/>
      <c r="T1459" s="18"/>
      <c r="U1459" s="18"/>
      <c r="V1459" s="18"/>
      <c r="W1459" s="18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</row>
    <row r="1460" spans="1:36" ht="11.25" customHeight="1" x14ac:dyDescent="0.2">
      <c r="A1460" s="62" t="s">
        <v>28</v>
      </c>
      <c r="B1460" s="62" t="s">
        <v>22</v>
      </c>
      <c r="C1460" s="62" t="s">
        <v>23</v>
      </c>
      <c r="D1460" s="62" t="s">
        <v>24</v>
      </c>
      <c r="E1460" s="62" t="s">
        <v>31</v>
      </c>
      <c r="F1460" s="62" t="s">
        <v>25</v>
      </c>
      <c r="G1460" s="62" t="s">
        <v>25</v>
      </c>
      <c r="H1460" s="62" t="s">
        <v>25</v>
      </c>
      <c r="I1460" s="75">
        <v>44652</v>
      </c>
      <c r="J1460" s="76">
        <f>EFEITO!$J$1460*EFEITO!$Y$1303</f>
        <v>0</v>
      </c>
      <c r="K1460" s="76">
        <f ca="1">EFEITO!$L$1460*EFEITO!$Z$1464</f>
        <v>1748.4324902539447</v>
      </c>
      <c r="L1460" s="76">
        <f>EFEITO!$N$1460*EFEITO!$AA$1464</f>
        <v>1862.7437122425299</v>
      </c>
      <c r="M1460" s="76">
        <f>$J$1460-EFEITO!$K$1460*EFEITO!$Y$1460</f>
        <v>0</v>
      </c>
      <c r="N1460" s="76">
        <f ca="1">$K$1460-EFEITO!$M$1460*EFEITO!$Z$1460</f>
        <v>174.84324902539447</v>
      </c>
      <c r="O1460" s="76">
        <f>$L$1460-EFEITO!$O$1460*EFEITO!$AA$1460</f>
        <v>186.27437122425295</v>
      </c>
      <c r="P1460" s="18"/>
      <c r="Q1460" s="18"/>
      <c r="R1460" s="18"/>
      <c r="S1460" s="18"/>
      <c r="T1460" s="18"/>
      <c r="U1460" s="18"/>
      <c r="V1460" s="18"/>
      <c r="W1460" s="18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</row>
    <row r="1461" spans="1:36" ht="11.25" customHeight="1" x14ac:dyDescent="0.2">
      <c r="A1461" s="62" t="s">
        <v>58</v>
      </c>
      <c r="B1461" s="62" t="s">
        <v>22</v>
      </c>
      <c r="C1461" s="62" t="s">
        <v>23</v>
      </c>
      <c r="D1461" s="62" t="s">
        <v>24</v>
      </c>
      <c r="E1461" s="62" t="s">
        <v>31</v>
      </c>
      <c r="F1461" s="62" t="s">
        <v>25</v>
      </c>
      <c r="G1461" s="62" t="s">
        <v>25</v>
      </c>
      <c r="H1461" s="62" t="s">
        <v>25</v>
      </c>
      <c r="I1461" s="75">
        <v>44682</v>
      </c>
      <c r="J1461" s="76">
        <f>EFEITO!$J$1461*EFEITO!$Y$1303</f>
        <v>0</v>
      </c>
      <c r="K1461" s="76">
        <f ca="1">EFEITO!$L$1461*EFEITO!$Z$1464</f>
        <v>1177280.764525943</v>
      </c>
      <c r="L1461" s="76">
        <f>EFEITO!$N$1461*EFEITO!$AA$1464</f>
        <v>1254250.509464205</v>
      </c>
      <c r="M1461" s="76">
        <f>$J$1461-EFEITO!$K$1461*EFEITO!$Y$1461</f>
        <v>0</v>
      </c>
      <c r="N1461" s="76">
        <f ca="1">$K$1461-EFEITO!$M$1461*EFEITO!$Z$1461</f>
        <v>117728.07645259425</v>
      </c>
      <c r="O1461" s="76">
        <f>$L$1461-EFEITO!$O$1461*EFEITO!$AA$1461</f>
        <v>125425.05094642029</v>
      </c>
      <c r="P1461" s="18"/>
      <c r="Q1461" s="18"/>
      <c r="R1461" s="18"/>
      <c r="S1461" s="18"/>
      <c r="T1461" s="18"/>
      <c r="U1461" s="18"/>
      <c r="V1461" s="18"/>
      <c r="W1461" s="18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</row>
    <row r="1462" spans="1:36" ht="11.25" customHeight="1" x14ac:dyDescent="0.2">
      <c r="A1462" s="62" t="s">
        <v>58</v>
      </c>
      <c r="B1462" s="62" t="s">
        <v>22</v>
      </c>
      <c r="C1462" s="62" t="s">
        <v>23</v>
      </c>
      <c r="D1462" s="62" t="s">
        <v>24</v>
      </c>
      <c r="E1462" s="62" t="s">
        <v>31</v>
      </c>
      <c r="F1462" s="62" t="s">
        <v>25</v>
      </c>
      <c r="G1462" s="62" t="s">
        <v>25</v>
      </c>
      <c r="H1462" s="62" t="s">
        <v>25</v>
      </c>
      <c r="I1462" s="75">
        <v>44682</v>
      </c>
      <c r="J1462" s="76">
        <f>EFEITO!$J$1462*EFEITO!$Y$1303</f>
        <v>0</v>
      </c>
      <c r="K1462" s="76">
        <f ca="1">EFEITO!$L$1462*EFEITO!$Z$1464</f>
        <v>-448.32395653476658</v>
      </c>
      <c r="L1462" s="76">
        <f>EFEITO!$N$1462*EFEITO!$AA$1464</f>
        <v>-477.63504495477372</v>
      </c>
      <c r="M1462" s="76">
        <f>$J$1462-EFEITO!$K$1462*EFEITO!$Y$1462</f>
        <v>0</v>
      </c>
      <c r="N1462" s="76">
        <f ca="1">$K$1462-EFEITO!$M$1462*EFEITO!$Z$1462</f>
        <v>-44.832395653476624</v>
      </c>
      <c r="O1462" s="76">
        <f>$L$1462-EFEITO!$O$1462*EFEITO!$AA$1462</f>
        <v>-47.763504495477378</v>
      </c>
      <c r="P1462" s="18"/>
      <c r="Q1462" s="18"/>
      <c r="R1462" s="18"/>
      <c r="S1462" s="18"/>
      <c r="T1462" s="18"/>
      <c r="U1462" s="18"/>
      <c r="V1462" s="18"/>
      <c r="W1462" s="18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</row>
    <row r="1463" spans="1:36" ht="11.25" customHeight="1" x14ac:dyDescent="0.2">
      <c r="A1463" s="62" t="s">
        <v>58</v>
      </c>
      <c r="B1463" s="62" t="s">
        <v>22</v>
      </c>
      <c r="C1463" s="62" t="s">
        <v>23</v>
      </c>
      <c r="D1463" s="62" t="s">
        <v>24</v>
      </c>
      <c r="E1463" s="62" t="s">
        <v>31</v>
      </c>
      <c r="F1463" s="62" t="s">
        <v>25</v>
      </c>
      <c r="G1463" s="62" t="s">
        <v>25</v>
      </c>
      <c r="H1463" s="62" t="s">
        <v>25</v>
      </c>
      <c r="I1463" s="75">
        <v>44682</v>
      </c>
      <c r="J1463" s="76">
        <f>EFEITO!$J$1463*EFEITO!$Y$1303</f>
        <v>0</v>
      </c>
      <c r="K1463" s="76">
        <f ca="1">EFEITO!$L$1463*EFEITO!$Z$1464</f>
        <v>1748.4324902539447</v>
      </c>
      <c r="L1463" s="76">
        <f>EFEITO!$N$1463*EFEITO!$AA$1464</f>
        <v>1862.7437122425299</v>
      </c>
      <c r="M1463" s="76">
        <f>$J$1463-EFEITO!$K$1463*EFEITO!$Y$1463</f>
        <v>0</v>
      </c>
      <c r="N1463" s="76">
        <f ca="1">$K$1463-EFEITO!$M$1463*EFEITO!$Z$1463</f>
        <v>174.84324902539447</v>
      </c>
      <c r="O1463" s="76">
        <f>$L$1463-EFEITO!$O$1463*EFEITO!$AA$1463</f>
        <v>186.27437122425295</v>
      </c>
      <c r="P1463" s="18"/>
      <c r="Q1463" s="18"/>
      <c r="R1463" s="18"/>
      <c r="S1463" s="18"/>
      <c r="T1463" s="18"/>
      <c r="U1463" s="18"/>
      <c r="V1463" s="18"/>
      <c r="W1463" s="18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</row>
    <row r="1464" spans="1:36" ht="11.25" customHeight="1" x14ac:dyDescent="0.2">
      <c r="A1464" s="62" t="s">
        <v>21</v>
      </c>
      <c r="B1464" s="62" t="s">
        <v>22</v>
      </c>
      <c r="C1464" s="62" t="s">
        <v>23</v>
      </c>
      <c r="D1464" s="62" t="s">
        <v>24</v>
      </c>
      <c r="E1464" s="62" t="s">
        <v>32</v>
      </c>
      <c r="F1464" s="62" t="s">
        <v>25</v>
      </c>
      <c r="G1464" s="62" t="s">
        <v>25</v>
      </c>
      <c r="H1464" s="62" t="s">
        <v>25</v>
      </c>
      <c r="I1464" s="75">
        <v>44348</v>
      </c>
      <c r="J1464" s="76">
        <f>EFEITO!$J$1464*EFEITO!$Y$1303</f>
        <v>0</v>
      </c>
      <c r="K1464" s="76">
        <f ca="1">EFEITO!$L$1464*EFEITO!$Z$1464</f>
        <v>128855.85452461327</v>
      </c>
      <c r="L1464" s="76">
        <f>EFEITO!$N$1464*EFEITO!$AA$1464</f>
        <v>137280.35491178726</v>
      </c>
      <c r="M1464" s="76">
        <f>$J$1464-EFEITO!$K$1464*EFEITO!$Y$1464</f>
        <v>0</v>
      </c>
      <c r="N1464" s="76">
        <f ca="1">$K$1464-EFEITO!$M$1464*EFEITO!$Z$1464</f>
        <v>0</v>
      </c>
      <c r="O1464" s="76">
        <f>$L$1464-EFEITO!$O$1464*EFEITO!$AA$1464</f>
        <v>0</v>
      </c>
      <c r="P1464" s="18"/>
      <c r="Q1464" s="18"/>
      <c r="R1464" s="18"/>
      <c r="S1464" s="18"/>
      <c r="T1464" s="18"/>
      <c r="U1464" s="18"/>
      <c r="V1464" s="18"/>
      <c r="W1464" s="18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</row>
    <row r="1465" spans="1:36" ht="11.25" customHeight="1" x14ac:dyDescent="0.2">
      <c r="A1465" s="62" t="s">
        <v>27</v>
      </c>
      <c r="B1465" s="62" t="s">
        <v>22</v>
      </c>
      <c r="C1465" s="62" t="s">
        <v>23</v>
      </c>
      <c r="D1465" s="62" t="s">
        <v>24</v>
      </c>
      <c r="E1465" s="62" t="s">
        <v>32</v>
      </c>
      <c r="F1465" s="62" t="s">
        <v>25</v>
      </c>
      <c r="G1465" s="62" t="s">
        <v>25</v>
      </c>
      <c r="H1465" s="62" t="s">
        <v>25</v>
      </c>
      <c r="I1465" s="75">
        <v>44348</v>
      </c>
      <c r="J1465" s="76">
        <f>EFEITO!$J$1465*EFEITO!$Y$1303</f>
        <v>0</v>
      </c>
      <c r="K1465" s="76">
        <f ca="1">EFEITO!$L$1465*EFEITO!$Z$1464</f>
        <v>-13.304299607311913</v>
      </c>
      <c r="L1465" s="76">
        <f>EFEITO!$N$1465*EFEITO!$AA$1464</f>
        <v>-14.174124867532965</v>
      </c>
      <c r="M1465" s="76">
        <f>$J$1465-EFEITO!$K$1465*EFEITO!$Y$1465</f>
        <v>0</v>
      </c>
      <c r="N1465" s="76">
        <f ca="1">$K$1465-EFEITO!$M$1465*EFEITO!$Z$1465</f>
        <v>0</v>
      </c>
      <c r="O1465" s="76">
        <f>$L$1465-EFEITO!$O$1465*EFEITO!$AA$1465</f>
        <v>0</v>
      </c>
      <c r="P1465" s="18"/>
      <c r="Q1465" s="18"/>
      <c r="R1465" s="18"/>
      <c r="S1465" s="18"/>
      <c r="T1465" s="18"/>
      <c r="U1465" s="18"/>
      <c r="V1465" s="18"/>
      <c r="W1465" s="18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</row>
    <row r="1466" spans="1:36" ht="11.25" customHeight="1" x14ac:dyDescent="0.2">
      <c r="A1466" s="62" t="s">
        <v>28</v>
      </c>
      <c r="B1466" s="62" t="s">
        <v>22</v>
      </c>
      <c r="C1466" s="62" t="s">
        <v>23</v>
      </c>
      <c r="D1466" s="62" t="s">
        <v>24</v>
      </c>
      <c r="E1466" s="62" t="s">
        <v>32</v>
      </c>
      <c r="F1466" s="62" t="s">
        <v>25</v>
      </c>
      <c r="G1466" s="62" t="s">
        <v>25</v>
      </c>
      <c r="H1466" s="62" t="s">
        <v>25</v>
      </c>
      <c r="I1466" s="75">
        <v>44348</v>
      </c>
      <c r="J1466" s="76">
        <f>EFEITO!$J$1466*EFEITO!$Y$1303</f>
        <v>0</v>
      </c>
      <c r="K1466" s="76">
        <f ca="1">EFEITO!$L$1466*EFEITO!$Z$1464</f>
        <v>1035.2601508387363</v>
      </c>
      <c r="L1466" s="76">
        <f>EFEITO!$N$1466*EFEITO!$AA$1464</f>
        <v>1102.9446931805885</v>
      </c>
      <c r="M1466" s="76">
        <f>$J$1466-EFEITO!$K$1466*EFEITO!$Y$1466</f>
        <v>0</v>
      </c>
      <c r="N1466" s="76">
        <f ca="1">$K$1466-EFEITO!$M$1466*EFEITO!$Z$1466</f>
        <v>0</v>
      </c>
      <c r="O1466" s="76">
        <f>$L$1466-EFEITO!$O$1466*EFEITO!$AA$1466</f>
        <v>0</v>
      </c>
      <c r="P1466" s="18"/>
      <c r="Q1466" s="18"/>
      <c r="R1466" s="18"/>
      <c r="S1466" s="18"/>
      <c r="T1466" s="18"/>
      <c r="U1466" s="18"/>
      <c r="V1466" s="18"/>
      <c r="W1466" s="18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</row>
    <row r="1467" spans="1:36" ht="11.25" customHeight="1" x14ac:dyDescent="0.2">
      <c r="A1467" s="62" t="s">
        <v>21</v>
      </c>
      <c r="B1467" s="62" t="s">
        <v>22</v>
      </c>
      <c r="C1467" s="62" t="s">
        <v>23</v>
      </c>
      <c r="D1467" s="62" t="s">
        <v>24</v>
      </c>
      <c r="E1467" s="62" t="s">
        <v>32</v>
      </c>
      <c r="F1467" s="62" t="s">
        <v>25</v>
      </c>
      <c r="G1467" s="62" t="s">
        <v>25</v>
      </c>
      <c r="H1467" s="62" t="s">
        <v>25</v>
      </c>
      <c r="I1467" s="75">
        <v>44378</v>
      </c>
      <c r="J1467" s="76">
        <f>EFEITO!$J$1467*EFEITO!$Y$1303</f>
        <v>0</v>
      </c>
      <c r="K1467" s="76">
        <f ca="1">EFEITO!$L$1467*EFEITO!$Z$1464</f>
        <v>122418.42992857299</v>
      </c>
      <c r="L1467" s="76">
        <f>EFEITO!$N$1467*EFEITO!$AA$1464</f>
        <v>130422.05626076653</v>
      </c>
      <c r="M1467" s="76">
        <f>$J$1467-EFEITO!$K$1467*EFEITO!$Y$1467</f>
        <v>0</v>
      </c>
      <c r="N1467" s="76">
        <f ca="1">$K$1467-EFEITO!$M$1467*EFEITO!$Z$1467</f>
        <v>0</v>
      </c>
      <c r="O1467" s="76">
        <f>$L$1467-EFEITO!$O$1467*EFEITO!$AA$1467</f>
        <v>0</v>
      </c>
      <c r="P1467" s="18"/>
      <c r="Q1467" s="18"/>
      <c r="R1467" s="18"/>
      <c r="S1467" s="18"/>
      <c r="T1467" s="18"/>
      <c r="U1467" s="18"/>
      <c r="V1467" s="18"/>
      <c r="W1467" s="18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</row>
    <row r="1468" spans="1:36" ht="11.25" customHeight="1" x14ac:dyDescent="0.2">
      <c r="A1468" s="62" t="s">
        <v>27</v>
      </c>
      <c r="B1468" s="62" t="s">
        <v>22</v>
      </c>
      <c r="C1468" s="62" t="s">
        <v>23</v>
      </c>
      <c r="D1468" s="62" t="s">
        <v>24</v>
      </c>
      <c r="E1468" s="62" t="s">
        <v>32</v>
      </c>
      <c r="F1468" s="62" t="s">
        <v>25</v>
      </c>
      <c r="G1468" s="62" t="s">
        <v>25</v>
      </c>
      <c r="H1468" s="62" t="s">
        <v>25</v>
      </c>
      <c r="I1468" s="75">
        <v>44378</v>
      </c>
      <c r="J1468" s="76">
        <f>EFEITO!$J$1468*EFEITO!$Y$1303</f>
        <v>0</v>
      </c>
      <c r="K1468" s="76">
        <f ca="1">EFEITO!$L$1468*EFEITO!$Z$1464</f>
        <v>-0.92820694934734282</v>
      </c>
      <c r="L1468" s="76">
        <f>EFEITO!$N$1468*EFEITO!$AA$1464</f>
        <v>-0.98889243261857906</v>
      </c>
      <c r="M1468" s="76">
        <f>$J$1468-EFEITO!$K$1468*EFEITO!$Y$1468</f>
        <v>0</v>
      </c>
      <c r="N1468" s="76">
        <f ca="1">$K$1468-EFEITO!$M$1468*EFEITO!$Z$1468</f>
        <v>0</v>
      </c>
      <c r="O1468" s="76">
        <f>$L$1468-EFEITO!$O$1468*EFEITO!$AA$1468</f>
        <v>0</v>
      </c>
      <c r="P1468" s="18"/>
      <c r="Q1468" s="18"/>
      <c r="R1468" s="18"/>
      <c r="S1468" s="18"/>
      <c r="T1468" s="18"/>
      <c r="U1468" s="18"/>
      <c r="V1468" s="18"/>
      <c r="W1468" s="18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</row>
    <row r="1469" spans="1:36" ht="11.25" customHeight="1" x14ac:dyDescent="0.2">
      <c r="A1469" s="62" t="s">
        <v>28</v>
      </c>
      <c r="B1469" s="62" t="s">
        <v>22</v>
      </c>
      <c r="C1469" s="62" t="s">
        <v>23</v>
      </c>
      <c r="D1469" s="62" t="s">
        <v>24</v>
      </c>
      <c r="E1469" s="62" t="s">
        <v>32</v>
      </c>
      <c r="F1469" s="62" t="s">
        <v>25</v>
      </c>
      <c r="G1469" s="62" t="s">
        <v>25</v>
      </c>
      <c r="H1469" s="62" t="s">
        <v>25</v>
      </c>
      <c r="I1469" s="75">
        <v>44378</v>
      </c>
      <c r="J1469" s="76">
        <f>EFEITO!$J$1469*EFEITO!$Y$1303</f>
        <v>0</v>
      </c>
      <c r="K1469" s="76">
        <f ca="1">EFEITO!$L$1469*EFEITO!$Z$1464</f>
        <v>973.07028523246436</v>
      </c>
      <c r="L1469" s="76">
        <f>EFEITO!$N$1469*EFEITO!$AA$1464</f>
        <v>1036.6889001951438</v>
      </c>
      <c r="M1469" s="76">
        <f>$J$1469-EFEITO!$K$1469*EFEITO!$Y$1469</f>
        <v>0</v>
      </c>
      <c r="N1469" s="76">
        <f ca="1">$K$1469-EFEITO!$M$1469*EFEITO!$Z$1469</f>
        <v>0</v>
      </c>
      <c r="O1469" s="76">
        <f>$L$1469-EFEITO!$O$1469*EFEITO!$AA$1469</f>
        <v>0</v>
      </c>
      <c r="P1469" s="18"/>
      <c r="Q1469" s="18"/>
      <c r="R1469" s="18"/>
      <c r="S1469" s="18"/>
      <c r="T1469" s="18"/>
      <c r="U1469" s="18"/>
      <c r="V1469" s="18"/>
      <c r="W1469" s="18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</row>
    <row r="1470" spans="1:36" ht="11.25" customHeight="1" x14ac:dyDescent="0.2">
      <c r="A1470" s="62" t="s">
        <v>21</v>
      </c>
      <c r="B1470" s="62" t="s">
        <v>22</v>
      </c>
      <c r="C1470" s="62" t="s">
        <v>23</v>
      </c>
      <c r="D1470" s="62" t="s">
        <v>24</v>
      </c>
      <c r="E1470" s="62" t="s">
        <v>32</v>
      </c>
      <c r="F1470" s="62" t="s">
        <v>25</v>
      </c>
      <c r="G1470" s="62" t="s">
        <v>25</v>
      </c>
      <c r="H1470" s="62" t="s">
        <v>25</v>
      </c>
      <c r="I1470" s="75">
        <v>44409</v>
      </c>
      <c r="J1470" s="76">
        <f>EFEITO!$J$1470*EFEITO!$Y$1303</f>
        <v>0</v>
      </c>
      <c r="K1470" s="76">
        <f ca="1">EFEITO!$L$1470*EFEITO!$Z$1464</f>
        <v>128501.89827459547</v>
      </c>
      <c r="L1470" s="76">
        <f>EFEITO!$N$1470*EFEITO!$AA$1464</f>
        <v>136903.25726414871</v>
      </c>
      <c r="M1470" s="76">
        <f>$J$1470-EFEITO!$K$1470*EFEITO!$Y$1470</f>
        <v>0</v>
      </c>
      <c r="N1470" s="76">
        <f ca="1">$K$1470-EFEITO!$M$1470*EFEITO!$Z$1470</f>
        <v>0</v>
      </c>
      <c r="O1470" s="76">
        <f>$L$1470-EFEITO!$O$1470*EFEITO!$AA$1470</f>
        <v>0</v>
      </c>
      <c r="P1470" s="18"/>
      <c r="Q1470" s="18"/>
      <c r="R1470" s="18"/>
      <c r="S1470" s="18"/>
      <c r="T1470" s="18"/>
      <c r="U1470" s="18"/>
      <c r="V1470" s="18"/>
      <c r="W1470" s="18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</row>
    <row r="1471" spans="1:36" ht="11.25" customHeight="1" x14ac:dyDescent="0.2">
      <c r="A1471" s="62" t="s">
        <v>27</v>
      </c>
      <c r="B1471" s="62" t="s">
        <v>22</v>
      </c>
      <c r="C1471" s="62" t="s">
        <v>23</v>
      </c>
      <c r="D1471" s="62" t="s">
        <v>24</v>
      </c>
      <c r="E1471" s="62" t="s">
        <v>32</v>
      </c>
      <c r="F1471" s="62" t="s">
        <v>25</v>
      </c>
      <c r="G1471" s="62" t="s">
        <v>25</v>
      </c>
      <c r="H1471" s="62" t="s">
        <v>25</v>
      </c>
      <c r="I1471" s="75">
        <v>44409</v>
      </c>
      <c r="J1471" s="76">
        <f>EFEITO!$J$1471*EFEITO!$Y$1303</f>
        <v>0</v>
      </c>
      <c r="K1471" s="76">
        <f ca="1">EFEITO!$L$1471*EFEITO!$Z$1464</f>
        <v>-1172.325377025694</v>
      </c>
      <c r="L1471" s="76">
        <f>EFEITO!$N$1471*EFEITO!$AA$1464</f>
        <v>-1248.9711423972653</v>
      </c>
      <c r="M1471" s="76">
        <f>$J$1471-EFEITO!$K$1471*EFEITO!$Y$1471</f>
        <v>0</v>
      </c>
      <c r="N1471" s="76">
        <f ca="1">$K$1471-EFEITO!$M$1471*EFEITO!$Z$1471</f>
        <v>0</v>
      </c>
      <c r="O1471" s="76">
        <f>$L$1471-EFEITO!$O$1471*EFEITO!$AA$1471</f>
        <v>0</v>
      </c>
      <c r="P1471" s="18"/>
      <c r="Q1471" s="18"/>
      <c r="R1471" s="18"/>
      <c r="S1471" s="18"/>
      <c r="T1471" s="18"/>
      <c r="U1471" s="18"/>
      <c r="V1471" s="18"/>
      <c r="W1471" s="18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</row>
    <row r="1472" spans="1:36" ht="11.25" customHeight="1" x14ac:dyDescent="0.2">
      <c r="A1472" s="62" t="s">
        <v>28</v>
      </c>
      <c r="B1472" s="62" t="s">
        <v>22</v>
      </c>
      <c r="C1472" s="62" t="s">
        <v>23</v>
      </c>
      <c r="D1472" s="62" t="s">
        <v>24</v>
      </c>
      <c r="E1472" s="62" t="s">
        <v>32</v>
      </c>
      <c r="F1472" s="62" t="s">
        <v>25</v>
      </c>
      <c r="G1472" s="62" t="s">
        <v>25</v>
      </c>
      <c r="H1472" s="62" t="s">
        <v>25</v>
      </c>
      <c r="I1472" s="75">
        <v>44409</v>
      </c>
      <c r="J1472" s="76">
        <f>EFEITO!$J$1472*EFEITO!$Y$1303</f>
        <v>0</v>
      </c>
      <c r="K1472" s="76">
        <f ca="1">EFEITO!$L$1472*EFEITO!$Z$1464</f>
        <v>1000.2976890799864</v>
      </c>
      <c r="L1472" s="76">
        <f>EFEITO!$N$1472*EFEITO!$AA$1464</f>
        <v>1065.6964115519554</v>
      </c>
      <c r="M1472" s="76">
        <f>$J$1472-EFEITO!$K$1472*EFEITO!$Y$1472</f>
        <v>0</v>
      </c>
      <c r="N1472" s="76">
        <f ca="1">$K$1472-EFEITO!$M$1472*EFEITO!$Z$1472</f>
        <v>0</v>
      </c>
      <c r="O1472" s="76">
        <f>$L$1472-EFEITO!$O$1472*EFEITO!$AA$1472</f>
        <v>0</v>
      </c>
      <c r="P1472" s="18"/>
      <c r="Q1472" s="18"/>
      <c r="R1472" s="18"/>
      <c r="S1472" s="18"/>
      <c r="T1472" s="18"/>
      <c r="U1472" s="18"/>
      <c r="V1472" s="18"/>
      <c r="W1472" s="18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</row>
    <row r="1473" spans="1:36" ht="11.25" customHeight="1" x14ac:dyDescent="0.2">
      <c r="A1473" s="62" t="s">
        <v>21</v>
      </c>
      <c r="B1473" s="62" t="s">
        <v>22</v>
      </c>
      <c r="C1473" s="62" t="s">
        <v>23</v>
      </c>
      <c r="D1473" s="62" t="s">
        <v>24</v>
      </c>
      <c r="E1473" s="62" t="s">
        <v>32</v>
      </c>
      <c r="F1473" s="62" t="s">
        <v>25</v>
      </c>
      <c r="G1473" s="62" t="s">
        <v>25</v>
      </c>
      <c r="H1473" s="62" t="s">
        <v>25</v>
      </c>
      <c r="I1473" s="75">
        <v>44440</v>
      </c>
      <c r="J1473" s="76">
        <f>EFEITO!$J$1473*EFEITO!$Y$1303</f>
        <v>0</v>
      </c>
      <c r="K1473" s="76">
        <f ca="1">EFEITO!$L$1473*EFEITO!$Z$1464</f>
        <v>198724.1574182029</v>
      </c>
      <c r="L1473" s="76">
        <f>EFEITO!$N$1473*EFEITO!$AA$1464</f>
        <v>211716.5957306638</v>
      </c>
      <c r="M1473" s="76">
        <f>$J$1473-EFEITO!$K$1473*EFEITO!$Y$1473</f>
        <v>0</v>
      </c>
      <c r="N1473" s="76">
        <f ca="1">$K$1473-EFEITO!$M$1473*EFEITO!$Z$1473</f>
        <v>0</v>
      </c>
      <c r="O1473" s="76">
        <f>$L$1473-EFEITO!$O$1473*EFEITO!$AA$1473</f>
        <v>0</v>
      </c>
      <c r="P1473" s="18"/>
      <c r="Q1473" s="18"/>
      <c r="R1473" s="18"/>
      <c r="S1473" s="18"/>
      <c r="T1473" s="18"/>
      <c r="U1473" s="18"/>
      <c r="V1473" s="18"/>
      <c r="W1473" s="18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</row>
    <row r="1474" spans="1:36" ht="11.25" customHeight="1" x14ac:dyDescent="0.2">
      <c r="A1474" s="62" t="s">
        <v>27</v>
      </c>
      <c r="B1474" s="62" t="s">
        <v>22</v>
      </c>
      <c r="C1474" s="62" t="s">
        <v>23</v>
      </c>
      <c r="D1474" s="62" t="s">
        <v>24</v>
      </c>
      <c r="E1474" s="62" t="s">
        <v>32</v>
      </c>
      <c r="F1474" s="62" t="s">
        <v>25</v>
      </c>
      <c r="G1474" s="62" t="s">
        <v>25</v>
      </c>
      <c r="H1474" s="62" t="s">
        <v>25</v>
      </c>
      <c r="I1474" s="75">
        <v>44440</v>
      </c>
      <c r="J1474" s="76">
        <f>EFEITO!$J$1474*EFEITO!$Y$1303</f>
        <v>0</v>
      </c>
      <c r="K1474" s="76">
        <f ca="1">EFEITO!$L$1474*EFEITO!$Z$1464</f>
        <v>-1173.2535839750412</v>
      </c>
      <c r="L1474" s="76">
        <f>EFEITO!$N$1474*EFEITO!$AA$1464</f>
        <v>-1249.9600348298839</v>
      </c>
      <c r="M1474" s="76">
        <f>$J$1474-EFEITO!$K$1474*EFEITO!$Y$1474</f>
        <v>0</v>
      </c>
      <c r="N1474" s="76">
        <f ca="1">$K$1474-EFEITO!$M$1474*EFEITO!$Z$1474</f>
        <v>0</v>
      </c>
      <c r="O1474" s="76">
        <f>$L$1474-EFEITO!$O$1474*EFEITO!$AA$1474</f>
        <v>0</v>
      </c>
      <c r="P1474" s="18"/>
      <c r="Q1474" s="18"/>
      <c r="R1474" s="18"/>
      <c r="S1474" s="18"/>
      <c r="T1474" s="18"/>
      <c r="U1474" s="18"/>
      <c r="V1474" s="18"/>
      <c r="W1474" s="18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</row>
    <row r="1475" spans="1:36" ht="11.25" customHeight="1" x14ac:dyDescent="0.2">
      <c r="A1475" s="62" t="s">
        <v>28</v>
      </c>
      <c r="B1475" s="62" t="s">
        <v>22</v>
      </c>
      <c r="C1475" s="62" t="s">
        <v>23</v>
      </c>
      <c r="D1475" s="62" t="s">
        <v>24</v>
      </c>
      <c r="E1475" s="62" t="s">
        <v>32</v>
      </c>
      <c r="F1475" s="62" t="s">
        <v>25</v>
      </c>
      <c r="G1475" s="62" t="s">
        <v>25</v>
      </c>
      <c r="H1475" s="62" t="s">
        <v>25</v>
      </c>
      <c r="I1475" s="75">
        <v>44440</v>
      </c>
      <c r="J1475" s="76">
        <f>EFEITO!$J$1475*EFEITO!$Y$1303</f>
        <v>0</v>
      </c>
      <c r="K1475" s="76">
        <f ca="1">EFEITO!$L$1475*EFEITO!$Z$1464</f>
        <v>1305.6777754152622</v>
      </c>
      <c r="L1475" s="76">
        <f>EFEITO!$N$1475*EFEITO!$AA$1464</f>
        <v>1391.0420218834677</v>
      </c>
      <c r="M1475" s="76">
        <f>$J$1475-EFEITO!$K$1475*EFEITO!$Y$1475</f>
        <v>0</v>
      </c>
      <c r="N1475" s="76">
        <f ca="1">$K$1475-EFEITO!$M$1475*EFEITO!$Z$1475</f>
        <v>0</v>
      </c>
      <c r="O1475" s="76">
        <f>$L$1475-EFEITO!$O$1475*EFEITO!$AA$1475</f>
        <v>0</v>
      </c>
      <c r="P1475" s="18"/>
      <c r="Q1475" s="18"/>
      <c r="R1475" s="18"/>
      <c r="S1475" s="18"/>
      <c r="T1475" s="18"/>
      <c r="U1475" s="18"/>
      <c r="V1475" s="18"/>
      <c r="W1475" s="18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</row>
    <row r="1476" spans="1:36" ht="11.25" customHeight="1" x14ac:dyDescent="0.2">
      <c r="A1476" s="62" t="s">
        <v>21</v>
      </c>
      <c r="B1476" s="62" t="s">
        <v>22</v>
      </c>
      <c r="C1476" s="62" t="s">
        <v>23</v>
      </c>
      <c r="D1476" s="62" t="s">
        <v>24</v>
      </c>
      <c r="E1476" s="62" t="s">
        <v>32</v>
      </c>
      <c r="F1476" s="62" t="s">
        <v>25</v>
      </c>
      <c r="G1476" s="62" t="s">
        <v>25</v>
      </c>
      <c r="H1476" s="62" t="s">
        <v>25</v>
      </c>
      <c r="I1476" s="75">
        <v>44470</v>
      </c>
      <c r="J1476" s="76">
        <f>EFEITO!$J$1476*EFEITO!$Y$1303</f>
        <v>0</v>
      </c>
      <c r="K1476" s="76">
        <f ca="1">EFEITO!$L$1476*EFEITO!$Z$1464</f>
        <v>159409.02387164684</v>
      </c>
      <c r="L1476" s="76">
        <f>EFEITO!$N$1476*EFEITO!$AA$1464</f>
        <v>169831.06785467127</v>
      </c>
      <c r="M1476" s="76">
        <f>$J$1476-EFEITO!$K$1476*EFEITO!$Y$1476</f>
        <v>0</v>
      </c>
      <c r="N1476" s="76">
        <f ca="1">$K$1476-EFEITO!$M$1476*EFEITO!$Z$1476</f>
        <v>0</v>
      </c>
      <c r="O1476" s="76">
        <f>$L$1476-EFEITO!$O$1476*EFEITO!$AA$1476</f>
        <v>0</v>
      </c>
      <c r="P1476" s="18"/>
      <c r="Q1476" s="18"/>
      <c r="R1476" s="18"/>
      <c r="S1476" s="18"/>
      <c r="T1476" s="18"/>
      <c r="U1476" s="18"/>
      <c r="V1476" s="18"/>
      <c r="W1476" s="18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</row>
    <row r="1477" spans="1:36" ht="11.25" customHeight="1" x14ac:dyDescent="0.2">
      <c r="A1477" s="62" t="s">
        <v>27</v>
      </c>
      <c r="B1477" s="62" t="s">
        <v>22</v>
      </c>
      <c r="C1477" s="62" t="s">
        <v>23</v>
      </c>
      <c r="D1477" s="62" t="s">
        <v>24</v>
      </c>
      <c r="E1477" s="62" t="s">
        <v>32</v>
      </c>
      <c r="F1477" s="62" t="s">
        <v>25</v>
      </c>
      <c r="G1477" s="62" t="s">
        <v>25</v>
      </c>
      <c r="H1477" s="62" t="s">
        <v>25</v>
      </c>
      <c r="I1477" s="75">
        <v>44470</v>
      </c>
      <c r="J1477" s="76">
        <f>EFEITO!$J$1477*EFEITO!$Y$1303</f>
        <v>0</v>
      </c>
      <c r="K1477" s="76">
        <f ca="1">EFEITO!$L$1477*EFEITO!$Z$1464</f>
        <v>-235.76456513422508</v>
      </c>
      <c r="L1477" s="76">
        <f>EFEITO!$N$1477*EFEITO!$AA$1464</f>
        <v>-251.17867788511907</v>
      </c>
      <c r="M1477" s="76">
        <f>$J$1477-EFEITO!$K$1477*EFEITO!$Y$1477</f>
        <v>0</v>
      </c>
      <c r="N1477" s="76">
        <f ca="1">$K$1477-EFEITO!$M$1477*EFEITO!$Z$1477</f>
        <v>0</v>
      </c>
      <c r="O1477" s="76">
        <f>$L$1477-EFEITO!$O$1477*EFEITO!$AA$1477</f>
        <v>0</v>
      </c>
      <c r="P1477" s="18"/>
      <c r="Q1477" s="18"/>
      <c r="R1477" s="18"/>
      <c r="S1477" s="18"/>
      <c r="T1477" s="18"/>
      <c r="U1477" s="18"/>
      <c r="V1477" s="18"/>
      <c r="W1477" s="18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</row>
    <row r="1478" spans="1:36" ht="11.25" customHeight="1" x14ac:dyDescent="0.2">
      <c r="A1478" s="62" t="s">
        <v>28</v>
      </c>
      <c r="B1478" s="62" t="s">
        <v>22</v>
      </c>
      <c r="C1478" s="62" t="s">
        <v>23</v>
      </c>
      <c r="D1478" s="62" t="s">
        <v>24</v>
      </c>
      <c r="E1478" s="62" t="s">
        <v>32</v>
      </c>
      <c r="F1478" s="62" t="s">
        <v>25</v>
      </c>
      <c r="G1478" s="62" t="s">
        <v>25</v>
      </c>
      <c r="H1478" s="62" t="s">
        <v>25</v>
      </c>
      <c r="I1478" s="75">
        <v>44470</v>
      </c>
      <c r="J1478" s="76">
        <f>EFEITO!$J$1478*EFEITO!$Y$1303</f>
        <v>0</v>
      </c>
      <c r="K1478" s="76">
        <f ca="1">EFEITO!$L$1478*EFEITO!$Z$1464</f>
        <v>2003.3799990080147</v>
      </c>
      <c r="L1478" s="76">
        <f>EFEITO!$N$1478*EFEITO!$AA$1464</f>
        <v>2134.3595004017661</v>
      </c>
      <c r="M1478" s="76">
        <f>$J$1478-EFEITO!$K$1478*EFEITO!$Y$1478</f>
        <v>0</v>
      </c>
      <c r="N1478" s="76">
        <f ca="1">$K$1478-EFEITO!$M$1478*EFEITO!$Z$1478</f>
        <v>0</v>
      </c>
      <c r="O1478" s="76">
        <f>$L$1478-EFEITO!$O$1478*EFEITO!$AA$1478</f>
        <v>0</v>
      </c>
      <c r="P1478" s="18"/>
      <c r="Q1478" s="18"/>
      <c r="R1478" s="18"/>
      <c r="S1478" s="18"/>
      <c r="T1478" s="18"/>
      <c r="U1478" s="18"/>
      <c r="V1478" s="18"/>
      <c r="W1478" s="18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</row>
    <row r="1479" spans="1:36" ht="11.25" customHeight="1" x14ac:dyDescent="0.2">
      <c r="A1479" s="62" t="s">
        <v>21</v>
      </c>
      <c r="B1479" s="62" t="s">
        <v>22</v>
      </c>
      <c r="C1479" s="62" t="s">
        <v>23</v>
      </c>
      <c r="D1479" s="62" t="s">
        <v>24</v>
      </c>
      <c r="E1479" s="62" t="s">
        <v>32</v>
      </c>
      <c r="F1479" s="62" t="s">
        <v>25</v>
      </c>
      <c r="G1479" s="62" t="s">
        <v>25</v>
      </c>
      <c r="H1479" s="62" t="s">
        <v>25</v>
      </c>
      <c r="I1479" s="75">
        <v>44501</v>
      </c>
      <c r="J1479" s="76">
        <f>EFEITO!$J$1479*EFEITO!$Y$1303</f>
        <v>0</v>
      </c>
      <c r="K1479" s="76">
        <f ca="1">EFEITO!$L$1479*EFEITO!$Z$1464</f>
        <v>163431.25398548535</v>
      </c>
      <c r="L1479" s="76">
        <f>EFEITO!$N$1479*EFEITO!$AA$1464</f>
        <v>174116.26839601845</v>
      </c>
      <c r="M1479" s="76">
        <f>$J$1479-EFEITO!$K$1479*EFEITO!$Y$1479</f>
        <v>0</v>
      </c>
      <c r="N1479" s="76">
        <f ca="1">$K$1479-EFEITO!$M$1479*EFEITO!$Z$1479</f>
        <v>0</v>
      </c>
      <c r="O1479" s="76">
        <f>$L$1479-EFEITO!$O$1479*EFEITO!$AA$1479</f>
        <v>0</v>
      </c>
      <c r="P1479" s="18"/>
      <c r="Q1479" s="18"/>
      <c r="R1479" s="18"/>
      <c r="S1479" s="18"/>
      <c r="T1479" s="18"/>
      <c r="U1479" s="18"/>
      <c r="V1479" s="18"/>
      <c r="W1479" s="18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</row>
    <row r="1480" spans="1:36" ht="11.25" customHeight="1" x14ac:dyDescent="0.2">
      <c r="A1480" s="62" t="s">
        <v>27</v>
      </c>
      <c r="B1480" s="62" t="s">
        <v>22</v>
      </c>
      <c r="C1480" s="62" t="s">
        <v>23</v>
      </c>
      <c r="D1480" s="62" t="s">
        <v>24</v>
      </c>
      <c r="E1480" s="62" t="s">
        <v>32</v>
      </c>
      <c r="F1480" s="62" t="s">
        <v>25</v>
      </c>
      <c r="G1480" s="62" t="s">
        <v>25</v>
      </c>
      <c r="H1480" s="62" t="s">
        <v>25</v>
      </c>
      <c r="I1480" s="75">
        <v>44501</v>
      </c>
      <c r="J1480" s="76">
        <f>EFEITO!$J$1480*EFEITO!$Y$1303</f>
        <v>0</v>
      </c>
      <c r="K1480" s="76">
        <f ca="1">EFEITO!$L$1480*EFEITO!$Z$1464</f>
        <v>-47.029152100265364</v>
      </c>
      <c r="L1480" s="76">
        <f>EFEITO!$N$1480*EFEITO!$AA$1464</f>
        <v>-50.10388325267467</v>
      </c>
      <c r="M1480" s="76">
        <f>$J$1480-EFEITO!$K$1480*EFEITO!$Y$1480</f>
        <v>0</v>
      </c>
      <c r="N1480" s="76">
        <f ca="1">$K$1480-EFEITO!$M$1480*EFEITO!$Z$1480</f>
        <v>0</v>
      </c>
      <c r="O1480" s="76">
        <f>$L$1480-EFEITO!$O$1480*EFEITO!$AA$1480</f>
        <v>0</v>
      </c>
      <c r="P1480" s="18"/>
      <c r="Q1480" s="18"/>
      <c r="R1480" s="18"/>
      <c r="S1480" s="18"/>
      <c r="T1480" s="18"/>
      <c r="U1480" s="18"/>
      <c r="V1480" s="18"/>
      <c r="W1480" s="18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</row>
    <row r="1481" spans="1:36" ht="11.25" customHeight="1" x14ac:dyDescent="0.2">
      <c r="A1481" s="62" t="s">
        <v>28</v>
      </c>
      <c r="B1481" s="62" t="s">
        <v>22</v>
      </c>
      <c r="C1481" s="62" t="s">
        <v>23</v>
      </c>
      <c r="D1481" s="62" t="s">
        <v>24</v>
      </c>
      <c r="E1481" s="62" t="s">
        <v>32</v>
      </c>
      <c r="F1481" s="62" t="s">
        <v>25</v>
      </c>
      <c r="G1481" s="62" t="s">
        <v>25</v>
      </c>
      <c r="H1481" s="62" t="s">
        <v>25</v>
      </c>
      <c r="I1481" s="75">
        <v>44501</v>
      </c>
      <c r="J1481" s="76">
        <f>EFEITO!$J$1481*EFEITO!$Y$1303</f>
        <v>0</v>
      </c>
      <c r="K1481" s="76">
        <f ca="1">EFEITO!$L$1481*EFEITO!$Z$1464</f>
        <v>2311.5447061913328</v>
      </c>
      <c r="L1481" s="76">
        <f>EFEITO!$N$1481*EFEITO!$AA$1464</f>
        <v>2462.6717880311348</v>
      </c>
      <c r="M1481" s="76">
        <f>$J$1481-EFEITO!$K$1481*EFEITO!$Y$1481</f>
        <v>0</v>
      </c>
      <c r="N1481" s="76">
        <f ca="1">$K$1481-EFEITO!$M$1481*EFEITO!$Z$1481</f>
        <v>0</v>
      </c>
      <c r="O1481" s="76">
        <f>$L$1481-EFEITO!$O$1481*EFEITO!$AA$1481</f>
        <v>0</v>
      </c>
      <c r="P1481" s="18"/>
      <c r="Q1481" s="18"/>
      <c r="R1481" s="18"/>
      <c r="S1481" s="18"/>
      <c r="T1481" s="18"/>
      <c r="U1481" s="18"/>
      <c r="V1481" s="18"/>
      <c r="W1481" s="18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</row>
    <row r="1482" spans="1:36" ht="11.25" customHeight="1" x14ac:dyDescent="0.2">
      <c r="A1482" s="62" t="s">
        <v>21</v>
      </c>
      <c r="B1482" s="62" t="s">
        <v>22</v>
      </c>
      <c r="C1482" s="62" t="s">
        <v>23</v>
      </c>
      <c r="D1482" s="62" t="s">
        <v>24</v>
      </c>
      <c r="E1482" s="62" t="s">
        <v>32</v>
      </c>
      <c r="F1482" s="62" t="s">
        <v>25</v>
      </c>
      <c r="G1482" s="62" t="s">
        <v>25</v>
      </c>
      <c r="H1482" s="62" t="s">
        <v>25</v>
      </c>
      <c r="I1482" s="75">
        <v>44531</v>
      </c>
      <c r="J1482" s="76">
        <f>EFEITO!$J$1482*EFEITO!$Y$1303</f>
        <v>0</v>
      </c>
      <c r="K1482" s="76">
        <f ca="1">EFEITO!$L$1482*EFEITO!$Z$1464</f>
        <v>224592.04748724756</v>
      </c>
      <c r="L1482" s="76">
        <f>EFEITO!$N$1482*EFEITO!$AA$1464</f>
        <v>239275.70930450011</v>
      </c>
      <c r="M1482" s="76">
        <f>$J$1482-EFEITO!$K$1482*EFEITO!$Y$1482</f>
        <v>0</v>
      </c>
      <c r="N1482" s="76">
        <f ca="1">$K$1482-EFEITO!$M$1482*EFEITO!$Z$1482</f>
        <v>0</v>
      </c>
      <c r="O1482" s="76">
        <f>$L$1482-EFEITO!$O$1482*EFEITO!$AA$1482</f>
        <v>0</v>
      </c>
      <c r="P1482" s="18"/>
      <c r="Q1482" s="18"/>
      <c r="R1482" s="18"/>
      <c r="S1482" s="18"/>
      <c r="T1482" s="18"/>
      <c r="U1482" s="18"/>
      <c r="V1482" s="18"/>
      <c r="W1482" s="18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</row>
    <row r="1483" spans="1:36" ht="11.25" customHeight="1" x14ac:dyDescent="0.2">
      <c r="A1483" s="62" t="s">
        <v>27</v>
      </c>
      <c r="B1483" s="62" t="s">
        <v>22</v>
      </c>
      <c r="C1483" s="62" t="s">
        <v>23</v>
      </c>
      <c r="D1483" s="62" t="s">
        <v>24</v>
      </c>
      <c r="E1483" s="62" t="s">
        <v>32</v>
      </c>
      <c r="F1483" s="62" t="s">
        <v>25</v>
      </c>
      <c r="G1483" s="62" t="s">
        <v>25</v>
      </c>
      <c r="H1483" s="62" t="s">
        <v>25</v>
      </c>
      <c r="I1483" s="75">
        <v>44531</v>
      </c>
      <c r="J1483" s="76">
        <f>EFEITO!$J$1483*EFEITO!$Y$1303</f>
        <v>0</v>
      </c>
      <c r="K1483" s="76">
        <f ca="1">EFEITO!$L$1483*EFEITO!$Z$1464</f>
        <v>-940.27363968885834</v>
      </c>
      <c r="L1483" s="76">
        <f>EFEITO!$N$1483*EFEITO!$AA$1464</f>
        <v>-1001.7480342426206</v>
      </c>
      <c r="M1483" s="76">
        <f>$J$1483-EFEITO!$K$1483*EFEITO!$Y$1483</f>
        <v>0</v>
      </c>
      <c r="N1483" s="76">
        <f ca="1">$K$1483-EFEITO!$M$1483*EFEITO!$Z$1483</f>
        <v>0</v>
      </c>
      <c r="O1483" s="76">
        <f>$L$1483-EFEITO!$O$1483*EFEITO!$AA$1483</f>
        <v>0</v>
      </c>
      <c r="P1483" s="18"/>
      <c r="Q1483" s="18"/>
      <c r="R1483" s="18"/>
      <c r="S1483" s="18"/>
      <c r="T1483" s="18"/>
      <c r="U1483" s="18"/>
      <c r="V1483" s="18"/>
      <c r="W1483" s="18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</row>
    <row r="1484" spans="1:36" ht="11.25" customHeight="1" x14ac:dyDescent="0.2">
      <c r="A1484" s="62" t="s">
        <v>28</v>
      </c>
      <c r="B1484" s="62" t="s">
        <v>22</v>
      </c>
      <c r="C1484" s="62" t="s">
        <v>23</v>
      </c>
      <c r="D1484" s="62" t="s">
        <v>24</v>
      </c>
      <c r="E1484" s="62" t="s">
        <v>32</v>
      </c>
      <c r="F1484" s="62" t="s">
        <v>25</v>
      </c>
      <c r="G1484" s="62" t="s">
        <v>25</v>
      </c>
      <c r="H1484" s="62" t="s">
        <v>25</v>
      </c>
      <c r="I1484" s="75">
        <v>44531</v>
      </c>
      <c r="J1484" s="76">
        <f>EFEITO!$J$1484*EFEITO!$Y$1303</f>
        <v>0</v>
      </c>
      <c r="K1484" s="76">
        <f ca="1">EFEITO!$L$1484*EFEITO!$Z$1464</f>
        <v>2040.1988746654595</v>
      </c>
      <c r="L1484" s="76">
        <f>EFEITO!$N$1484*EFEITO!$AA$1464</f>
        <v>2173.5855668956369</v>
      </c>
      <c r="M1484" s="76">
        <f>$J$1484-EFEITO!$K$1484*EFEITO!$Y$1484</f>
        <v>0</v>
      </c>
      <c r="N1484" s="76">
        <f ca="1">$K$1484-EFEITO!$M$1484*EFEITO!$Z$1484</f>
        <v>0</v>
      </c>
      <c r="O1484" s="76">
        <f>$L$1484-EFEITO!$O$1484*EFEITO!$AA$1484</f>
        <v>0</v>
      </c>
      <c r="P1484" s="18"/>
      <c r="Q1484" s="18"/>
      <c r="R1484" s="18"/>
      <c r="S1484" s="18"/>
      <c r="T1484" s="18"/>
      <c r="U1484" s="18"/>
      <c r="V1484" s="18"/>
      <c r="W1484" s="18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</row>
    <row r="1485" spans="1:36" ht="11.25" customHeight="1" x14ac:dyDescent="0.2">
      <c r="A1485" s="62" t="s">
        <v>21</v>
      </c>
      <c r="B1485" s="62" t="s">
        <v>22</v>
      </c>
      <c r="C1485" s="62" t="s">
        <v>23</v>
      </c>
      <c r="D1485" s="62" t="s">
        <v>24</v>
      </c>
      <c r="E1485" s="62" t="s">
        <v>32</v>
      </c>
      <c r="F1485" s="62" t="s">
        <v>25</v>
      </c>
      <c r="G1485" s="62" t="s">
        <v>25</v>
      </c>
      <c r="H1485" s="62" t="s">
        <v>25</v>
      </c>
      <c r="I1485" s="75">
        <v>44562</v>
      </c>
      <c r="J1485" s="76">
        <f>EFEITO!$J$1485*EFEITO!$Y$1303</f>
        <v>0</v>
      </c>
      <c r="K1485" s="76">
        <f ca="1">EFEITO!$L$1485*EFEITO!$Z$1464</f>
        <v>228336.12491859827</v>
      </c>
      <c r="L1485" s="76">
        <f>EFEITO!$N$1485*EFEITO!$AA$1464</f>
        <v>243264.57174687259</v>
      </c>
      <c r="M1485" s="76">
        <f>$J$1485-EFEITO!$K$1485*EFEITO!$Y$1485</f>
        <v>0</v>
      </c>
      <c r="N1485" s="76">
        <f ca="1">$K$1485-EFEITO!$M$1485*EFEITO!$Z$1485</f>
        <v>0</v>
      </c>
      <c r="O1485" s="76">
        <f>$L$1485-EFEITO!$O$1485*EFEITO!$AA$1485</f>
        <v>0</v>
      </c>
      <c r="P1485" s="18"/>
      <c r="Q1485" s="18"/>
      <c r="R1485" s="18"/>
      <c r="S1485" s="18"/>
      <c r="T1485" s="18"/>
      <c r="U1485" s="18"/>
      <c r="V1485" s="18"/>
      <c r="W1485" s="18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</row>
    <row r="1486" spans="1:36" ht="11.25" customHeight="1" x14ac:dyDescent="0.2">
      <c r="A1486" s="62" t="s">
        <v>27</v>
      </c>
      <c r="B1486" s="62" t="s">
        <v>22</v>
      </c>
      <c r="C1486" s="62" t="s">
        <v>23</v>
      </c>
      <c r="D1486" s="62" t="s">
        <v>24</v>
      </c>
      <c r="E1486" s="62" t="s">
        <v>32</v>
      </c>
      <c r="F1486" s="62" t="s">
        <v>25</v>
      </c>
      <c r="G1486" s="62" t="s">
        <v>25</v>
      </c>
      <c r="H1486" s="62" t="s">
        <v>25</v>
      </c>
      <c r="I1486" s="75">
        <v>44562</v>
      </c>
      <c r="J1486" s="76">
        <f>EFEITO!$J$1486*EFEITO!$Y$1303</f>
        <v>0</v>
      </c>
      <c r="K1486" s="76">
        <f ca="1">EFEITO!$L$1486*EFEITO!$Z$1464</f>
        <v>-107.36260380784265</v>
      </c>
      <c r="L1486" s="76">
        <f>EFEITO!$N$1486*EFEITO!$AA$1464</f>
        <v>-114.38189137288231</v>
      </c>
      <c r="M1486" s="76">
        <f>$J$1486-EFEITO!$K$1486*EFEITO!$Y$1486</f>
        <v>0</v>
      </c>
      <c r="N1486" s="76">
        <f ca="1">$K$1486-EFEITO!$M$1486*EFEITO!$Z$1486</f>
        <v>0</v>
      </c>
      <c r="O1486" s="76">
        <f>$L$1486-EFEITO!$O$1486*EFEITO!$AA$1486</f>
        <v>0</v>
      </c>
      <c r="P1486" s="18"/>
      <c r="Q1486" s="18"/>
      <c r="R1486" s="18"/>
      <c r="S1486" s="18"/>
      <c r="T1486" s="18"/>
      <c r="U1486" s="18"/>
      <c r="V1486" s="18"/>
      <c r="W1486" s="18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</row>
    <row r="1487" spans="1:36" ht="11.25" customHeight="1" x14ac:dyDescent="0.2">
      <c r="A1487" s="62" t="s">
        <v>28</v>
      </c>
      <c r="B1487" s="62" t="s">
        <v>22</v>
      </c>
      <c r="C1487" s="62" t="s">
        <v>23</v>
      </c>
      <c r="D1487" s="62" t="s">
        <v>24</v>
      </c>
      <c r="E1487" s="62" t="s">
        <v>32</v>
      </c>
      <c r="F1487" s="62" t="s">
        <v>25</v>
      </c>
      <c r="G1487" s="62" t="s">
        <v>25</v>
      </c>
      <c r="H1487" s="62" t="s">
        <v>25</v>
      </c>
      <c r="I1487" s="75">
        <v>44562</v>
      </c>
      <c r="J1487" s="76">
        <f>EFEITO!$J$1487*EFEITO!$Y$1303</f>
        <v>0</v>
      </c>
      <c r="K1487" s="76">
        <f ca="1">EFEITO!$L$1487*EFEITO!$Z$1464</f>
        <v>2001.214182792871</v>
      </c>
      <c r="L1487" s="76">
        <f>EFEITO!$N$1487*EFEITO!$AA$1464</f>
        <v>2132.0520847256566</v>
      </c>
      <c r="M1487" s="76">
        <f>$J$1487-EFEITO!$K$1487*EFEITO!$Y$1487</f>
        <v>0</v>
      </c>
      <c r="N1487" s="76">
        <f ca="1">$K$1487-EFEITO!$M$1487*EFEITO!$Z$1487</f>
        <v>0</v>
      </c>
      <c r="O1487" s="76">
        <f>$L$1487-EFEITO!$O$1487*EFEITO!$AA$1487</f>
        <v>0</v>
      </c>
      <c r="P1487" s="18"/>
      <c r="Q1487" s="18"/>
      <c r="R1487" s="18"/>
      <c r="S1487" s="18"/>
      <c r="T1487" s="18"/>
      <c r="U1487" s="18"/>
      <c r="V1487" s="18"/>
      <c r="W1487" s="18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</row>
    <row r="1488" spans="1:36" ht="11.25" customHeight="1" x14ac:dyDescent="0.2">
      <c r="A1488" s="62" t="s">
        <v>21</v>
      </c>
      <c r="B1488" s="62" t="s">
        <v>22</v>
      </c>
      <c r="C1488" s="62" t="s">
        <v>23</v>
      </c>
      <c r="D1488" s="62" t="s">
        <v>24</v>
      </c>
      <c r="E1488" s="62" t="s">
        <v>32</v>
      </c>
      <c r="F1488" s="62" t="s">
        <v>25</v>
      </c>
      <c r="G1488" s="62" t="s">
        <v>25</v>
      </c>
      <c r="H1488" s="62" t="s">
        <v>25</v>
      </c>
      <c r="I1488" s="75">
        <v>44593</v>
      </c>
      <c r="J1488" s="76">
        <f>EFEITO!$J$1488*EFEITO!$Y$1303</f>
        <v>0</v>
      </c>
      <c r="K1488" s="76">
        <f ca="1">EFEITO!$L$1488*EFEITO!$Z$1464</f>
        <v>204626.00660446976</v>
      </c>
      <c r="L1488" s="76">
        <f>EFEITO!$N$1488*EFEITO!$AA$1464</f>
        <v>218004.30344806361</v>
      </c>
      <c r="M1488" s="76">
        <f>$J$1488-EFEITO!$K$1488*EFEITO!$Y$1488</f>
        <v>0</v>
      </c>
      <c r="N1488" s="76">
        <f ca="1">$K$1488-EFEITO!$M$1488*EFEITO!$Z$1488</f>
        <v>0</v>
      </c>
      <c r="O1488" s="76">
        <f>$L$1488-EFEITO!$O$1488*EFEITO!$AA$1488</f>
        <v>0</v>
      </c>
      <c r="P1488" s="18"/>
      <c r="Q1488" s="18"/>
      <c r="R1488" s="18"/>
      <c r="S1488" s="18"/>
      <c r="T1488" s="18"/>
      <c r="U1488" s="18"/>
      <c r="V1488" s="18"/>
      <c r="W1488" s="18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</row>
    <row r="1489" spans="1:36" ht="11.25" customHeight="1" x14ac:dyDescent="0.2">
      <c r="A1489" s="62" t="s">
        <v>27</v>
      </c>
      <c r="B1489" s="62" t="s">
        <v>22</v>
      </c>
      <c r="C1489" s="62" t="s">
        <v>23</v>
      </c>
      <c r="D1489" s="62" t="s">
        <v>24</v>
      </c>
      <c r="E1489" s="62" t="s">
        <v>32</v>
      </c>
      <c r="F1489" s="62" t="s">
        <v>25</v>
      </c>
      <c r="G1489" s="62" t="s">
        <v>25</v>
      </c>
      <c r="H1489" s="62" t="s">
        <v>25</v>
      </c>
      <c r="I1489" s="75">
        <v>44593</v>
      </c>
      <c r="J1489" s="76">
        <f>EFEITO!$J$1489*EFEITO!$Y$1303</f>
        <v>0</v>
      </c>
      <c r="K1489" s="76">
        <f ca="1">EFEITO!$L$1489*EFEITO!$Z$1464</f>
        <v>-962.86000878964364</v>
      </c>
      <c r="L1489" s="76">
        <f>EFEITO!$N$1489*EFEITO!$AA$1464</f>
        <v>-1025.8110834363395</v>
      </c>
      <c r="M1489" s="76">
        <f>$J$1489-EFEITO!$K$1489*EFEITO!$Y$1489</f>
        <v>0</v>
      </c>
      <c r="N1489" s="76">
        <f ca="1">$K$1489-EFEITO!$M$1489*EFEITO!$Z$1489</f>
        <v>0</v>
      </c>
      <c r="O1489" s="76">
        <f>$L$1489-EFEITO!$O$1489*EFEITO!$AA$1489</f>
        <v>0</v>
      </c>
      <c r="P1489" s="18"/>
      <c r="Q1489" s="18"/>
      <c r="R1489" s="18"/>
      <c r="S1489" s="18"/>
      <c r="T1489" s="18"/>
      <c r="U1489" s="18"/>
      <c r="V1489" s="18"/>
      <c r="W1489" s="18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</row>
    <row r="1490" spans="1:36" ht="11.25" customHeight="1" x14ac:dyDescent="0.2">
      <c r="A1490" s="62" t="s">
        <v>28</v>
      </c>
      <c r="B1490" s="62" t="s">
        <v>22</v>
      </c>
      <c r="C1490" s="62" t="s">
        <v>23</v>
      </c>
      <c r="D1490" s="62" t="s">
        <v>24</v>
      </c>
      <c r="E1490" s="62" t="s">
        <v>32</v>
      </c>
      <c r="F1490" s="62" t="s">
        <v>25</v>
      </c>
      <c r="G1490" s="62" t="s">
        <v>25</v>
      </c>
      <c r="H1490" s="62" t="s">
        <v>25</v>
      </c>
      <c r="I1490" s="75">
        <v>44593</v>
      </c>
      <c r="J1490" s="76">
        <f>EFEITO!$J$1490*EFEITO!$Y$1303</f>
        <v>0</v>
      </c>
      <c r="K1490" s="76">
        <f ca="1">EFEITO!$L$1490*EFEITO!$Z$1464</f>
        <v>2441.1842767835115</v>
      </c>
      <c r="L1490" s="76">
        <f>EFEITO!$N$1490*EFEITO!$AA$1464</f>
        <v>2600.7870977868629</v>
      </c>
      <c r="M1490" s="76">
        <f>$J$1490-EFEITO!$K$1490*EFEITO!$Y$1490</f>
        <v>0</v>
      </c>
      <c r="N1490" s="76">
        <f ca="1">$K$1490-EFEITO!$M$1490*EFEITO!$Z$1490</f>
        <v>0</v>
      </c>
      <c r="O1490" s="76">
        <f>$L$1490-EFEITO!$O$1490*EFEITO!$AA$1490</f>
        <v>0</v>
      </c>
      <c r="P1490" s="18"/>
      <c r="Q1490" s="18"/>
      <c r="R1490" s="18"/>
      <c r="S1490" s="18"/>
      <c r="T1490" s="18"/>
      <c r="U1490" s="18"/>
      <c r="V1490" s="18"/>
      <c r="W1490" s="18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</row>
    <row r="1491" spans="1:36" ht="11.25" customHeight="1" x14ac:dyDescent="0.2">
      <c r="A1491" s="62" t="s">
        <v>21</v>
      </c>
      <c r="B1491" s="62" t="s">
        <v>22</v>
      </c>
      <c r="C1491" s="62" t="s">
        <v>23</v>
      </c>
      <c r="D1491" s="62" t="s">
        <v>24</v>
      </c>
      <c r="E1491" s="62" t="s">
        <v>32</v>
      </c>
      <c r="F1491" s="62" t="s">
        <v>25</v>
      </c>
      <c r="G1491" s="62" t="s">
        <v>25</v>
      </c>
      <c r="H1491" s="62" t="s">
        <v>25</v>
      </c>
      <c r="I1491" s="75">
        <v>44621</v>
      </c>
      <c r="J1491" s="76">
        <f>EFEITO!$J$1491*EFEITO!$Y$1303</f>
        <v>0</v>
      </c>
      <c r="K1491" s="76">
        <f ca="1">EFEITO!$L$1491*EFEITO!$Z$1464</f>
        <v>313986.11176730791</v>
      </c>
      <c r="L1491" s="76">
        <f>EFEITO!$N$1491*EFEITO!$AA$1464</f>
        <v>334514.29133594112</v>
      </c>
      <c r="M1491" s="76">
        <f>$J$1491-EFEITO!$K$1491*EFEITO!$Y$1491</f>
        <v>0</v>
      </c>
      <c r="N1491" s="76">
        <f ca="1">$K$1491-EFEITO!$M$1491*EFEITO!$Z$1491</f>
        <v>0</v>
      </c>
      <c r="O1491" s="76">
        <f>$L$1491-EFEITO!$O$1491*EFEITO!$AA$1491</f>
        <v>0</v>
      </c>
      <c r="P1491" s="18"/>
      <c r="Q1491" s="18"/>
      <c r="R1491" s="18"/>
      <c r="S1491" s="18"/>
      <c r="T1491" s="18"/>
      <c r="U1491" s="18"/>
      <c r="V1491" s="18"/>
      <c r="W1491" s="18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</row>
    <row r="1492" spans="1:36" ht="11.25" customHeight="1" x14ac:dyDescent="0.2">
      <c r="A1492" s="62" t="s">
        <v>27</v>
      </c>
      <c r="B1492" s="62" t="s">
        <v>22</v>
      </c>
      <c r="C1492" s="62" t="s">
        <v>23</v>
      </c>
      <c r="D1492" s="62" t="s">
        <v>24</v>
      </c>
      <c r="E1492" s="62" t="s">
        <v>32</v>
      </c>
      <c r="F1492" s="62" t="s">
        <v>25</v>
      </c>
      <c r="G1492" s="62" t="s">
        <v>25</v>
      </c>
      <c r="H1492" s="62" t="s">
        <v>25</v>
      </c>
      <c r="I1492" s="75">
        <v>44621</v>
      </c>
      <c r="J1492" s="76">
        <f>EFEITO!$J$1492*EFEITO!$Y$1303</f>
        <v>0</v>
      </c>
      <c r="K1492" s="76">
        <f ca="1">EFEITO!$L$1492*EFEITO!$Z$1464</f>
        <v>-314.97155814519834</v>
      </c>
      <c r="L1492" s="76">
        <f>EFEITO!$N$1492*EFEITO!$AA$1464</f>
        <v>-335.56416546857116</v>
      </c>
      <c r="M1492" s="76">
        <f>$J$1492-EFEITO!$K$1492*EFEITO!$Y$1492</f>
        <v>0</v>
      </c>
      <c r="N1492" s="76">
        <f ca="1">$K$1492-EFEITO!$M$1492*EFEITO!$Z$1492</f>
        <v>0</v>
      </c>
      <c r="O1492" s="76">
        <f>$L$1492-EFEITO!$O$1492*EFEITO!$AA$1492</f>
        <v>0</v>
      </c>
      <c r="P1492" s="18"/>
      <c r="Q1492" s="18"/>
      <c r="R1492" s="18"/>
      <c r="S1492" s="18"/>
      <c r="T1492" s="18"/>
      <c r="U1492" s="18"/>
      <c r="V1492" s="18"/>
      <c r="W1492" s="18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</row>
    <row r="1493" spans="1:36" ht="11.25" customHeight="1" x14ac:dyDescent="0.2">
      <c r="A1493" s="62" t="s">
        <v>28</v>
      </c>
      <c r="B1493" s="62" t="s">
        <v>22</v>
      </c>
      <c r="C1493" s="62" t="s">
        <v>23</v>
      </c>
      <c r="D1493" s="62" t="s">
        <v>24</v>
      </c>
      <c r="E1493" s="62" t="s">
        <v>32</v>
      </c>
      <c r="F1493" s="62" t="s">
        <v>25</v>
      </c>
      <c r="G1493" s="62" t="s">
        <v>25</v>
      </c>
      <c r="H1493" s="62" t="s">
        <v>25</v>
      </c>
      <c r="I1493" s="75">
        <v>44621</v>
      </c>
      <c r="J1493" s="76">
        <f>EFEITO!$J$1493*EFEITO!$Y$1303</f>
        <v>0</v>
      </c>
      <c r="K1493" s="76">
        <f ca="1">EFEITO!$L$1493*EFEITO!$Z$1464</f>
        <v>2677.2582442341859</v>
      </c>
      <c r="L1493" s="76">
        <f>EFEITO!$N$1493*EFEITO!$AA$1464</f>
        <v>2852.295406482855</v>
      </c>
      <c r="M1493" s="76">
        <f>$J$1493-EFEITO!$K$1493*EFEITO!$Y$1493</f>
        <v>0</v>
      </c>
      <c r="N1493" s="76">
        <f ca="1">$K$1493-EFEITO!$M$1493*EFEITO!$Z$1493</f>
        <v>0</v>
      </c>
      <c r="O1493" s="76">
        <f>$L$1493-EFEITO!$O$1493*EFEITO!$AA$1493</f>
        <v>0</v>
      </c>
      <c r="P1493" s="18"/>
      <c r="Q1493" s="18"/>
      <c r="R1493" s="18"/>
      <c r="S1493" s="18"/>
      <c r="T1493" s="18"/>
      <c r="U1493" s="18"/>
      <c r="V1493" s="18"/>
      <c r="W1493" s="18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</row>
    <row r="1494" spans="1:36" ht="11.25" customHeight="1" x14ac:dyDescent="0.2">
      <c r="A1494" s="62" t="s">
        <v>28</v>
      </c>
      <c r="B1494" s="62" t="s">
        <v>22</v>
      </c>
      <c r="C1494" s="62" t="s">
        <v>23</v>
      </c>
      <c r="D1494" s="62" t="s">
        <v>24</v>
      </c>
      <c r="E1494" s="62" t="s">
        <v>32</v>
      </c>
      <c r="F1494" s="62" t="s">
        <v>25</v>
      </c>
      <c r="G1494" s="62" t="s">
        <v>25</v>
      </c>
      <c r="H1494" s="62" t="s">
        <v>25</v>
      </c>
      <c r="I1494" s="75">
        <v>44621</v>
      </c>
      <c r="J1494" s="76">
        <f>EFEITO!$J$1494*EFEITO!$Y$1303</f>
        <v>0</v>
      </c>
      <c r="K1494" s="76">
        <f ca="1">EFEITO!$L$1494*EFEITO!$Z$1464</f>
        <v>-131.18658217442444</v>
      </c>
      <c r="L1494" s="76">
        <f>EFEITO!$N$1494*EFEITO!$AA$1464</f>
        <v>-139.7634638100925</v>
      </c>
      <c r="M1494" s="76">
        <f>$J$1494-EFEITO!$K$1494*EFEITO!$Y$1494</f>
        <v>0</v>
      </c>
      <c r="N1494" s="76">
        <f ca="1">$K$1494-EFEITO!$M$1494*EFEITO!$Z$1494</f>
        <v>0</v>
      </c>
      <c r="O1494" s="76">
        <f>$L$1494-EFEITO!$O$1494*EFEITO!$AA$1494</f>
        <v>0</v>
      </c>
      <c r="P1494" s="18"/>
      <c r="Q1494" s="18"/>
      <c r="R1494" s="18"/>
      <c r="S1494" s="18"/>
      <c r="T1494" s="18"/>
      <c r="U1494" s="18"/>
      <c r="V1494" s="18"/>
      <c r="W1494" s="18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</row>
    <row r="1495" spans="1:36" ht="11.25" customHeight="1" x14ac:dyDescent="0.2">
      <c r="A1495" s="62" t="s">
        <v>21</v>
      </c>
      <c r="B1495" s="62" t="s">
        <v>22</v>
      </c>
      <c r="C1495" s="62" t="s">
        <v>23</v>
      </c>
      <c r="D1495" s="62" t="s">
        <v>24</v>
      </c>
      <c r="E1495" s="62" t="s">
        <v>32</v>
      </c>
      <c r="F1495" s="62" t="s">
        <v>25</v>
      </c>
      <c r="G1495" s="62" t="s">
        <v>25</v>
      </c>
      <c r="H1495" s="62" t="s">
        <v>25</v>
      </c>
      <c r="I1495" s="75">
        <v>44652</v>
      </c>
      <c r="J1495" s="76">
        <f>EFEITO!$J$1495*EFEITO!$Y$1303</f>
        <v>0</v>
      </c>
      <c r="K1495" s="76">
        <f ca="1">EFEITO!$L$1495*EFEITO!$Z$1464</f>
        <v>257060.1077707847</v>
      </c>
      <c r="L1495" s="76">
        <f>EFEITO!$N$1495*EFEITO!$AA$1464</f>
        <v>273866.50733587623</v>
      </c>
      <c r="M1495" s="76">
        <f>$J$1495-EFEITO!$K$1495*EFEITO!$Y$1495</f>
        <v>0</v>
      </c>
      <c r="N1495" s="76">
        <f ca="1">$K$1495-EFEITO!$M$1495*EFEITO!$Z$1495</f>
        <v>0</v>
      </c>
      <c r="O1495" s="76">
        <f>$L$1495-EFEITO!$O$1495*EFEITO!$AA$1495</f>
        <v>0</v>
      </c>
      <c r="P1495" s="18"/>
      <c r="Q1495" s="18"/>
      <c r="R1495" s="18"/>
      <c r="S1495" s="18"/>
      <c r="T1495" s="18"/>
      <c r="U1495" s="18"/>
      <c r="V1495" s="18"/>
      <c r="W1495" s="18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</row>
    <row r="1496" spans="1:36" ht="11.25" customHeight="1" x14ac:dyDescent="0.2">
      <c r="A1496" s="62" t="s">
        <v>27</v>
      </c>
      <c r="B1496" s="62" t="s">
        <v>22</v>
      </c>
      <c r="C1496" s="62" t="s">
        <v>23</v>
      </c>
      <c r="D1496" s="62" t="s">
        <v>24</v>
      </c>
      <c r="E1496" s="62" t="s">
        <v>32</v>
      </c>
      <c r="F1496" s="62" t="s">
        <v>25</v>
      </c>
      <c r="G1496" s="62" t="s">
        <v>25</v>
      </c>
      <c r="H1496" s="62" t="s">
        <v>25</v>
      </c>
      <c r="I1496" s="75">
        <v>44652</v>
      </c>
      <c r="J1496" s="76">
        <f>EFEITO!$J$1496*EFEITO!$Y$1303</f>
        <v>0</v>
      </c>
      <c r="K1496" s="76">
        <f ca="1">EFEITO!$L$1496*EFEITO!$Z$1464</f>
        <v>-312.49633961360541</v>
      </c>
      <c r="L1496" s="76">
        <f>EFEITO!$N$1496*EFEITO!$AA$1464</f>
        <v>-332.92711898158831</v>
      </c>
      <c r="M1496" s="76">
        <f>$J$1496-EFEITO!$K$1496*EFEITO!$Y$1496</f>
        <v>0</v>
      </c>
      <c r="N1496" s="76">
        <f ca="1">$K$1496-EFEITO!$M$1496*EFEITO!$Z$1496</f>
        <v>0</v>
      </c>
      <c r="O1496" s="76">
        <f>$L$1496-EFEITO!$O$1496*EFEITO!$AA$1496</f>
        <v>0</v>
      </c>
      <c r="P1496" s="18"/>
      <c r="Q1496" s="18"/>
      <c r="R1496" s="18"/>
      <c r="S1496" s="18"/>
      <c r="T1496" s="18"/>
      <c r="U1496" s="18"/>
      <c r="V1496" s="18"/>
      <c r="W1496" s="18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</row>
    <row r="1497" spans="1:36" ht="11.25" customHeight="1" x14ac:dyDescent="0.2">
      <c r="A1497" s="62" t="s">
        <v>28</v>
      </c>
      <c r="B1497" s="62" t="s">
        <v>22</v>
      </c>
      <c r="C1497" s="62" t="s">
        <v>23</v>
      </c>
      <c r="D1497" s="62" t="s">
        <v>24</v>
      </c>
      <c r="E1497" s="62" t="s">
        <v>32</v>
      </c>
      <c r="F1497" s="62" t="s">
        <v>25</v>
      </c>
      <c r="G1497" s="62" t="s">
        <v>25</v>
      </c>
      <c r="H1497" s="62" t="s">
        <v>25</v>
      </c>
      <c r="I1497" s="75">
        <v>44652</v>
      </c>
      <c r="J1497" s="76">
        <f>EFEITO!$J$1497*EFEITO!$Y$1303</f>
        <v>0</v>
      </c>
      <c r="K1497" s="76">
        <f ca="1">EFEITO!$L$1497*EFEITO!$Z$1464</f>
        <v>4260.7792998207524</v>
      </c>
      <c r="L1497" s="76">
        <f>EFEITO!$N$1497*EFEITO!$AA$1464</f>
        <v>4539.3458965301506</v>
      </c>
      <c r="M1497" s="76">
        <f>$J$1497-EFEITO!$K$1497*EFEITO!$Y$1497</f>
        <v>0</v>
      </c>
      <c r="N1497" s="76">
        <f ca="1">$K$1497-EFEITO!$M$1497*EFEITO!$Z$1497</f>
        <v>0</v>
      </c>
      <c r="O1497" s="76">
        <f>$L$1497-EFEITO!$O$1497*EFEITO!$AA$1497</f>
        <v>0</v>
      </c>
      <c r="P1497" s="18"/>
      <c r="Q1497" s="18"/>
      <c r="R1497" s="18"/>
      <c r="S1497" s="18"/>
      <c r="T1497" s="18"/>
      <c r="U1497" s="18"/>
      <c r="V1497" s="18"/>
      <c r="W1497" s="18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</row>
    <row r="1498" spans="1:36" ht="11.25" customHeight="1" x14ac:dyDescent="0.2">
      <c r="A1498" s="62" t="s">
        <v>58</v>
      </c>
      <c r="B1498" s="62" t="s">
        <v>22</v>
      </c>
      <c r="C1498" s="62" t="s">
        <v>23</v>
      </c>
      <c r="D1498" s="62" t="s">
        <v>24</v>
      </c>
      <c r="E1498" s="62" t="s">
        <v>32</v>
      </c>
      <c r="F1498" s="62" t="s">
        <v>25</v>
      </c>
      <c r="G1498" s="62" t="s">
        <v>25</v>
      </c>
      <c r="H1498" s="62" t="s">
        <v>25</v>
      </c>
      <c r="I1498" s="75">
        <v>44682</v>
      </c>
      <c r="J1498" s="76">
        <f>EFEITO!$J$1498*EFEITO!$Y$1303</f>
        <v>0</v>
      </c>
      <c r="K1498" s="76">
        <f ca="1">EFEITO!$L$1498*EFEITO!$Z$1464</f>
        <v>257060.1077707847</v>
      </c>
      <c r="L1498" s="76">
        <f>EFEITO!$N$1498*EFEITO!$AA$1464</f>
        <v>273866.50733587623</v>
      </c>
      <c r="M1498" s="76">
        <f>$J$1498-EFEITO!$K$1498*EFEITO!$Y$1498</f>
        <v>0</v>
      </c>
      <c r="N1498" s="76">
        <f ca="1">$K$1498-EFEITO!$M$1498*EFEITO!$Z$1498</f>
        <v>0</v>
      </c>
      <c r="O1498" s="76">
        <f>$L$1498-EFEITO!$O$1498*EFEITO!$AA$1498</f>
        <v>0</v>
      </c>
      <c r="P1498" s="18"/>
      <c r="Q1498" s="18"/>
      <c r="R1498" s="18"/>
      <c r="S1498" s="18"/>
      <c r="T1498" s="18"/>
      <c r="U1498" s="18"/>
      <c r="V1498" s="18"/>
      <c r="W1498" s="18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</row>
    <row r="1499" spans="1:36" ht="11.25" customHeight="1" x14ac:dyDescent="0.2">
      <c r="A1499" s="62" t="s">
        <v>58</v>
      </c>
      <c r="B1499" s="62" t="s">
        <v>22</v>
      </c>
      <c r="C1499" s="62" t="s">
        <v>23</v>
      </c>
      <c r="D1499" s="62" t="s">
        <v>24</v>
      </c>
      <c r="E1499" s="62" t="s">
        <v>32</v>
      </c>
      <c r="F1499" s="62" t="s">
        <v>25</v>
      </c>
      <c r="G1499" s="62" t="s">
        <v>25</v>
      </c>
      <c r="H1499" s="62" t="s">
        <v>25</v>
      </c>
      <c r="I1499" s="75">
        <v>44682</v>
      </c>
      <c r="J1499" s="76">
        <f>EFEITO!$J$1499*EFEITO!$Y$1303</f>
        <v>0</v>
      </c>
      <c r="K1499" s="76">
        <f ca="1">EFEITO!$L$1499*EFEITO!$Z$1464</f>
        <v>-312.49633961360541</v>
      </c>
      <c r="L1499" s="76">
        <f>EFEITO!$N$1499*EFEITO!$AA$1464</f>
        <v>-332.92711898158831</v>
      </c>
      <c r="M1499" s="76">
        <f>$J$1499-EFEITO!$K$1499*EFEITO!$Y$1499</f>
        <v>0</v>
      </c>
      <c r="N1499" s="76">
        <f ca="1">$K$1499-EFEITO!$M$1499*EFEITO!$Z$1499</f>
        <v>0</v>
      </c>
      <c r="O1499" s="76">
        <f>$L$1499-EFEITO!$O$1499*EFEITO!$AA$1499</f>
        <v>0</v>
      </c>
      <c r="P1499" s="18"/>
      <c r="Q1499" s="18"/>
      <c r="R1499" s="18"/>
      <c r="S1499" s="18"/>
      <c r="T1499" s="18"/>
      <c r="U1499" s="18"/>
      <c r="V1499" s="18"/>
      <c r="W1499" s="18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</row>
    <row r="1500" spans="1:36" ht="11.25" customHeight="1" x14ac:dyDescent="0.2">
      <c r="A1500" s="62" t="s">
        <v>58</v>
      </c>
      <c r="B1500" s="62" t="s">
        <v>22</v>
      </c>
      <c r="C1500" s="62" t="s">
        <v>23</v>
      </c>
      <c r="D1500" s="62" t="s">
        <v>24</v>
      </c>
      <c r="E1500" s="62" t="s">
        <v>32</v>
      </c>
      <c r="F1500" s="62" t="s">
        <v>25</v>
      </c>
      <c r="G1500" s="62" t="s">
        <v>25</v>
      </c>
      <c r="H1500" s="62" t="s">
        <v>25</v>
      </c>
      <c r="I1500" s="75">
        <v>44682</v>
      </c>
      <c r="J1500" s="76">
        <f>EFEITO!$J$1500*EFEITO!$Y$1303</f>
        <v>0</v>
      </c>
      <c r="K1500" s="76">
        <f ca="1">EFEITO!$L$1500*EFEITO!$Z$1464</f>
        <v>4260.7792998207524</v>
      </c>
      <c r="L1500" s="76">
        <f>EFEITO!$N$1500*EFEITO!$AA$1464</f>
        <v>4539.3458965301506</v>
      </c>
      <c r="M1500" s="76">
        <f>$J$1500-EFEITO!$K$1500*EFEITO!$Y$1500</f>
        <v>0</v>
      </c>
      <c r="N1500" s="76">
        <f ca="1">$K$1500-EFEITO!$M$1500*EFEITO!$Z$1500</f>
        <v>0</v>
      </c>
      <c r="O1500" s="76">
        <f>$L$1500-EFEITO!$O$1500*EFEITO!$AA$1500</f>
        <v>0</v>
      </c>
      <c r="P1500" s="18"/>
      <c r="Q1500" s="18"/>
      <c r="R1500" s="18"/>
      <c r="S1500" s="18"/>
      <c r="T1500" s="18"/>
      <c r="U1500" s="18"/>
      <c r="V1500" s="18"/>
      <c r="W1500" s="18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</row>
    <row r="1501" spans="1:36" ht="11.25" customHeight="1" x14ac:dyDescent="0.2">
      <c r="A1501" s="62" t="s">
        <v>21</v>
      </c>
      <c r="B1501" s="62" t="s">
        <v>44</v>
      </c>
      <c r="C1501" s="62" t="s">
        <v>33</v>
      </c>
      <c r="D1501" s="62" t="s">
        <v>45</v>
      </c>
      <c r="E1501" s="62" t="s">
        <v>25</v>
      </c>
      <c r="F1501" s="62" t="s">
        <v>25</v>
      </c>
      <c r="G1501" s="62" t="s">
        <v>25</v>
      </c>
      <c r="H1501" s="62" t="s">
        <v>35</v>
      </c>
      <c r="I1501" s="75">
        <v>44348</v>
      </c>
      <c r="J1501" s="76">
        <f>EFEITO!$J$1501*EFEITO!$Y$1501/(1-CUSTOS!$M$38)</f>
        <v>0</v>
      </c>
      <c r="K1501" s="76">
        <f ca="1">EFEITO!$L$1501*EFEITO!$Z$1501/(1-CUSTOS!$M$38)</f>
        <v>64.425328014267919</v>
      </c>
      <c r="L1501" s="76">
        <f>EFEITO!$N$1501*EFEITO!$AA$1501/(1-CUSTOS!$M$38)</f>
        <v>62.019356348918961</v>
      </c>
      <c r="M1501" s="76">
        <f>$J$1501-EFEITO!$K$1501*EFEITO!$Y$1501</f>
        <v>0</v>
      </c>
      <c r="N1501" s="76">
        <f ca="1">$K$1501-EFEITO!$M$1501*EFEITO!$Z$1501</f>
        <v>3.8655196808560817</v>
      </c>
      <c r="O1501" s="76">
        <f>$L$1501-EFEITO!$O$1501*EFEITO!$AA$1501</f>
        <v>3.7211613809351434</v>
      </c>
      <c r="P1501" s="18"/>
      <c r="Q1501" s="18"/>
      <c r="R1501" s="18"/>
      <c r="S1501" s="18"/>
      <c r="T1501" s="18"/>
      <c r="U1501" s="18"/>
      <c r="V1501" s="18"/>
      <c r="W1501" s="18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</row>
    <row r="1502" spans="1:36" ht="11.25" customHeight="1" x14ac:dyDescent="0.2">
      <c r="A1502" s="62" t="s">
        <v>21</v>
      </c>
      <c r="B1502" s="62" t="s">
        <v>44</v>
      </c>
      <c r="C1502" s="62" t="s">
        <v>33</v>
      </c>
      <c r="D1502" s="62" t="s">
        <v>45</v>
      </c>
      <c r="E1502" s="62" t="s">
        <v>25</v>
      </c>
      <c r="F1502" s="62" t="s">
        <v>25</v>
      </c>
      <c r="G1502" s="62" t="s">
        <v>25</v>
      </c>
      <c r="H1502" s="62" t="s">
        <v>35</v>
      </c>
      <c r="I1502" s="75">
        <v>44378</v>
      </c>
      <c r="J1502" s="76">
        <f>EFEITO!$J$1502*EFEITO!$Y$1502/(1-CUSTOS!$M$38)</f>
        <v>0</v>
      </c>
      <c r="K1502" s="76">
        <f ca="1">EFEITO!$L$1502*EFEITO!$Z$1502/(1-CUSTOS!$M$38)</f>
        <v>163.0156027027688</v>
      </c>
      <c r="L1502" s="76">
        <f>EFEITO!$N$1502*EFEITO!$AA$1502/(1-CUSTOS!$M$38)</f>
        <v>156.92776530711311</v>
      </c>
      <c r="M1502" s="76">
        <f>$J$1502-EFEITO!$K$1502*EFEITO!$Y$1502</f>
        <v>0</v>
      </c>
      <c r="N1502" s="76">
        <f ca="1">$K$1502-EFEITO!$M$1502*EFEITO!$Z$1502</f>
        <v>9.7809361621661424</v>
      </c>
      <c r="O1502" s="76">
        <f>$L$1502-EFEITO!$O$1502*EFEITO!$AA$1502</f>
        <v>9.4156659184267824</v>
      </c>
      <c r="P1502" s="18"/>
      <c r="Q1502" s="18"/>
      <c r="R1502" s="18"/>
      <c r="S1502" s="18"/>
      <c r="T1502" s="18"/>
      <c r="U1502" s="18"/>
      <c r="V1502" s="18"/>
      <c r="W1502" s="18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</row>
    <row r="1503" spans="1:36" ht="11.25" customHeight="1" x14ac:dyDescent="0.2">
      <c r="A1503" s="62" t="s">
        <v>21</v>
      </c>
      <c r="B1503" s="62" t="s">
        <v>44</v>
      </c>
      <c r="C1503" s="62" t="s">
        <v>33</v>
      </c>
      <c r="D1503" s="62" t="s">
        <v>45</v>
      </c>
      <c r="E1503" s="62" t="s">
        <v>25</v>
      </c>
      <c r="F1503" s="62" t="s">
        <v>25</v>
      </c>
      <c r="G1503" s="62" t="s">
        <v>25</v>
      </c>
      <c r="H1503" s="62" t="s">
        <v>35</v>
      </c>
      <c r="I1503" s="75">
        <v>44409</v>
      </c>
      <c r="J1503" s="76">
        <f>EFEITO!$J$1503*EFEITO!$Y$1503/(1-CUSTOS!$M$38)</f>
        <v>0</v>
      </c>
      <c r="K1503" s="76">
        <f ca="1">EFEITO!$L$1503*EFEITO!$Z$1503/(1-CUSTOS!$M$38)</f>
        <v>81.995872018159147</v>
      </c>
      <c r="L1503" s="76">
        <f>EFEITO!$N$1503*EFEITO!$AA$1503/(1-CUSTOS!$M$38)</f>
        <v>78.933726262260492</v>
      </c>
      <c r="M1503" s="76">
        <f>$J$1503-EFEITO!$K$1503*EFEITO!$Y$1503</f>
        <v>0</v>
      </c>
      <c r="N1503" s="76">
        <f ca="1">$K$1503-EFEITO!$M$1503*EFEITO!$Z$1503</f>
        <v>4.9197523210895469</v>
      </c>
      <c r="O1503" s="76">
        <f>$L$1503-EFEITO!$O$1503*EFEITO!$AA$1503</f>
        <v>4.7360235757356293</v>
      </c>
      <c r="P1503" s="18"/>
      <c r="Q1503" s="18"/>
      <c r="R1503" s="18"/>
      <c r="S1503" s="18"/>
      <c r="T1503" s="18"/>
      <c r="U1503" s="18"/>
      <c r="V1503" s="18"/>
      <c r="W1503" s="18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</row>
    <row r="1504" spans="1:36" ht="11.25" customHeight="1" x14ac:dyDescent="0.2">
      <c r="A1504" s="62" t="s">
        <v>21</v>
      </c>
      <c r="B1504" s="62" t="s">
        <v>44</v>
      </c>
      <c r="C1504" s="62" t="s">
        <v>33</v>
      </c>
      <c r="D1504" s="62" t="s">
        <v>45</v>
      </c>
      <c r="E1504" s="62" t="s">
        <v>25</v>
      </c>
      <c r="F1504" s="62" t="s">
        <v>25</v>
      </c>
      <c r="G1504" s="62" t="s">
        <v>25</v>
      </c>
      <c r="H1504" s="62" t="s">
        <v>35</v>
      </c>
      <c r="I1504" s="75">
        <v>44440</v>
      </c>
      <c r="J1504" s="76">
        <f>EFEITO!$J$1504*EFEITO!$Y$1504/(1-CUSTOS!$M$38)</f>
        <v>0</v>
      </c>
      <c r="K1504" s="76">
        <f ca="1">EFEITO!$L$1504*EFEITO!$Z$1504/(1-CUSTOS!$M$38)</f>
        <v>154.5557111453397</v>
      </c>
      <c r="L1504" s="76">
        <f>EFEITO!$N$1504*EFEITO!$AA$1504/(1-CUSTOS!$M$38)</f>
        <v>148.78380942291165</v>
      </c>
      <c r="M1504" s="76">
        <f>$J$1504-EFEITO!$K$1504*EFEITO!$Y$1504</f>
        <v>0</v>
      </c>
      <c r="N1504" s="76">
        <f ca="1">$K$1504-EFEITO!$M$1504*EFEITO!$Z$1504</f>
        <v>9.273342668720403</v>
      </c>
      <c r="O1504" s="76">
        <f>$L$1504-EFEITO!$O$1504*EFEITO!$AA$1504</f>
        <v>8.9270285653747123</v>
      </c>
      <c r="P1504" s="18"/>
      <c r="Q1504" s="18"/>
      <c r="R1504" s="18"/>
      <c r="S1504" s="18"/>
      <c r="T1504" s="18"/>
      <c r="U1504" s="18"/>
      <c r="V1504" s="18"/>
      <c r="W1504" s="18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</row>
    <row r="1505" spans="1:36" ht="11.25" customHeight="1" x14ac:dyDescent="0.2">
      <c r="A1505" s="62" t="s">
        <v>21</v>
      </c>
      <c r="B1505" s="62" t="s">
        <v>44</v>
      </c>
      <c r="C1505" s="62" t="s">
        <v>33</v>
      </c>
      <c r="D1505" s="62" t="s">
        <v>45</v>
      </c>
      <c r="E1505" s="62" t="s">
        <v>25</v>
      </c>
      <c r="F1505" s="62" t="s">
        <v>25</v>
      </c>
      <c r="G1505" s="62" t="s">
        <v>25</v>
      </c>
      <c r="H1505" s="62" t="s">
        <v>35</v>
      </c>
      <c r="I1505" s="75">
        <v>44470</v>
      </c>
      <c r="J1505" s="76">
        <f>EFEITO!$J$1505*EFEITO!$Y$1505/(1-CUSTOS!$M$38)</f>
        <v>0</v>
      </c>
      <c r="K1505" s="76">
        <f ca="1">EFEITO!$L$1505*EFEITO!$Z$1505/(1-CUSTOS!$M$38)</f>
        <v>206.94196271249695</v>
      </c>
      <c r="L1505" s="76">
        <f>EFEITO!$N$1505*EFEITO!$AA$1505/(1-CUSTOS!$M$38)</f>
        <v>199.21369009046697</v>
      </c>
      <c r="M1505" s="76">
        <f>$J$1505-EFEITO!$K$1505*EFEITO!$Y$1505</f>
        <v>0</v>
      </c>
      <c r="N1505" s="76">
        <f ca="1">$K$1505-EFEITO!$M$1505*EFEITO!$Z$1505</f>
        <v>12.416517762749834</v>
      </c>
      <c r="O1505" s="76">
        <f>$L$1505-EFEITO!$O$1505*EFEITO!$AA$1505</f>
        <v>11.95282140542804</v>
      </c>
      <c r="P1505" s="18"/>
      <c r="Q1505" s="18"/>
      <c r="R1505" s="18"/>
      <c r="S1505" s="18"/>
      <c r="T1505" s="18"/>
      <c r="U1505" s="18"/>
      <c r="V1505" s="18"/>
      <c r="W1505" s="18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</row>
    <row r="1506" spans="1:36" ht="11.25" customHeight="1" x14ac:dyDescent="0.2">
      <c r="A1506" s="62" t="s">
        <v>21</v>
      </c>
      <c r="B1506" s="62" t="s">
        <v>44</v>
      </c>
      <c r="C1506" s="62" t="s">
        <v>33</v>
      </c>
      <c r="D1506" s="62" t="s">
        <v>45</v>
      </c>
      <c r="E1506" s="62" t="s">
        <v>25</v>
      </c>
      <c r="F1506" s="62" t="s">
        <v>25</v>
      </c>
      <c r="G1506" s="62" t="s">
        <v>25</v>
      </c>
      <c r="H1506" s="62" t="s">
        <v>35</v>
      </c>
      <c r="I1506" s="75">
        <v>44501</v>
      </c>
      <c r="J1506" s="76">
        <f>EFEITO!$J$1506*EFEITO!$Y$1506/(1-CUSTOS!$M$38)</f>
        <v>0</v>
      </c>
      <c r="K1506" s="76">
        <f ca="1">EFEITO!$L$1506*EFEITO!$Z$1506/(1-CUSTOS!$M$38)</f>
        <v>1567.6829816805191</v>
      </c>
      <c r="L1506" s="76">
        <f>EFEITO!$N$1506*EFEITO!$AA$1506/(1-CUSTOS!$M$38)</f>
        <v>1509.1376711570279</v>
      </c>
      <c r="M1506" s="76">
        <f>$J$1506-EFEITO!$K$1506*EFEITO!$Y$1506</f>
        <v>0</v>
      </c>
      <c r="N1506" s="76">
        <f ca="1">$K$1506-EFEITO!$M$1506*EFEITO!$Z$1506</f>
        <v>94.060978900831287</v>
      </c>
      <c r="O1506" s="76">
        <f>$L$1506-EFEITO!$O$1506*EFEITO!$AA$1506</f>
        <v>90.548260269421689</v>
      </c>
      <c r="P1506" s="18"/>
      <c r="Q1506" s="18"/>
      <c r="R1506" s="18"/>
      <c r="S1506" s="18"/>
      <c r="T1506" s="18"/>
      <c r="U1506" s="18"/>
      <c r="V1506" s="18"/>
      <c r="W1506" s="18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</row>
    <row r="1507" spans="1:36" ht="11.25" customHeight="1" x14ac:dyDescent="0.2">
      <c r="A1507" s="62" t="s">
        <v>21</v>
      </c>
      <c r="B1507" s="62" t="s">
        <v>44</v>
      </c>
      <c r="C1507" s="62" t="s">
        <v>33</v>
      </c>
      <c r="D1507" s="62" t="s">
        <v>45</v>
      </c>
      <c r="E1507" s="62" t="s">
        <v>25</v>
      </c>
      <c r="F1507" s="62" t="s">
        <v>25</v>
      </c>
      <c r="G1507" s="62" t="s">
        <v>25</v>
      </c>
      <c r="H1507" s="62" t="s">
        <v>35</v>
      </c>
      <c r="I1507" s="75">
        <v>44531</v>
      </c>
      <c r="J1507" s="76">
        <f>EFEITO!$J$1507*EFEITO!$Y$1507/(1-CUSTOS!$M$38)</f>
        <v>0</v>
      </c>
      <c r="K1507" s="76">
        <f ca="1">EFEITO!$L$1507*EFEITO!$Z$1507/(1-CUSTOS!$M$38)</f>
        <v>684.60045526272575</v>
      </c>
      <c r="L1507" s="76">
        <f>EFEITO!$N$1507*EFEITO!$AA$1507/(1-CUSTOS!$M$38)</f>
        <v>659.03396847538124</v>
      </c>
      <c r="M1507" s="76">
        <f>$J$1507-EFEITO!$K$1507*EFEITO!$Y$1507</f>
        <v>0</v>
      </c>
      <c r="N1507" s="76">
        <f ca="1">$K$1507-EFEITO!$M$1507*EFEITO!$Z$1507</f>
        <v>41.076027315763554</v>
      </c>
      <c r="O1507" s="76">
        <f>$L$1507-EFEITO!$O$1507*EFEITO!$AA$1507</f>
        <v>39.542038108522888</v>
      </c>
      <c r="P1507" s="18"/>
      <c r="Q1507" s="18"/>
      <c r="R1507" s="18"/>
      <c r="S1507" s="18"/>
      <c r="T1507" s="18"/>
      <c r="U1507" s="18"/>
      <c r="V1507" s="18"/>
      <c r="W1507" s="18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</row>
    <row r="1508" spans="1:36" ht="11.25" customHeight="1" x14ac:dyDescent="0.2">
      <c r="A1508" s="62" t="s">
        <v>21</v>
      </c>
      <c r="B1508" s="62" t="s">
        <v>44</v>
      </c>
      <c r="C1508" s="62" t="s">
        <v>33</v>
      </c>
      <c r="D1508" s="62" t="s">
        <v>45</v>
      </c>
      <c r="E1508" s="62" t="s">
        <v>25</v>
      </c>
      <c r="F1508" s="62" t="s">
        <v>25</v>
      </c>
      <c r="G1508" s="62" t="s">
        <v>25</v>
      </c>
      <c r="H1508" s="62" t="s">
        <v>35</v>
      </c>
      <c r="I1508" s="75">
        <v>44562</v>
      </c>
      <c r="J1508" s="76">
        <f>EFEITO!$J$1508*EFEITO!$Y$1508/(1-CUSTOS!$M$38)</f>
        <v>0</v>
      </c>
      <c r="K1508" s="76">
        <f ca="1">EFEITO!$L$1508*EFEITO!$Z$1508/(1-CUSTOS!$M$38)</f>
        <v>156.83337425695521</v>
      </c>
      <c r="L1508" s="76">
        <f>EFEITO!$N$1508*EFEITO!$AA$1508/(1-CUSTOS!$M$38)</f>
        <v>150.97641293019663</v>
      </c>
      <c r="M1508" s="76">
        <f>$J$1508-EFEITO!$K$1508*EFEITO!$Y$1508</f>
        <v>0</v>
      </c>
      <c r="N1508" s="76">
        <f ca="1">$K$1508-EFEITO!$M$1508*EFEITO!$Z$1508</f>
        <v>9.4100024554173274</v>
      </c>
      <c r="O1508" s="76">
        <f>$L$1508-EFEITO!$O$1508*EFEITO!$AA$1508</f>
        <v>9.058584775811795</v>
      </c>
      <c r="P1508" s="18"/>
      <c r="Q1508" s="18"/>
      <c r="R1508" s="18"/>
      <c r="S1508" s="18"/>
      <c r="T1508" s="18"/>
      <c r="U1508" s="18"/>
      <c r="V1508" s="18"/>
      <c r="W1508" s="18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</row>
    <row r="1509" spans="1:36" ht="11.25" customHeight="1" x14ac:dyDescent="0.2">
      <c r="A1509" s="62" t="s">
        <v>27</v>
      </c>
      <c r="B1509" s="62" t="s">
        <v>44</v>
      </c>
      <c r="C1509" s="62" t="s">
        <v>33</v>
      </c>
      <c r="D1509" s="62" t="s">
        <v>45</v>
      </c>
      <c r="E1509" s="62" t="s">
        <v>25</v>
      </c>
      <c r="F1509" s="62" t="s">
        <v>25</v>
      </c>
      <c r="G1509" s="62" t="s">
        <v>25</v>
      </c>
      <c r="H1509" s="62" t="s">
        <v>35</v>
      </c>
      <c r="I1509" s="75">
        <v>44562</v>
      </c>
      <c r="J1509" s="76">
        <f>EFEITO!$J$1509*EFEITO!$Y$1509/(1-CUSTOS!$M$38)</f>
        <v>0</v>
      </c>
      <c r="K1509" s="76">
        <f ca="1">EFEITO!$L$1509*EFEITO!$Z$1509/(1-CUSTOS!$M$38)</f>
        <v>-1924.9507097596413</v>
      </c>
      <c r="L1509" s="76">
        <f>EFEITO!$N$1509*EFEITO!$AA$1509/(1-CUSTOS!$M$38)</f>
        <v>-1853.0631927283059</v>
      </c>
      <c r="M1509" s="76">
        <f>$J$1509-EFEITO!$K$1509*EFEITO!$Y$1509</f>
        <v>0</v>
      </c>
      <c r="N1509" s="76">
        <f ca="1">$K$1509-EFEITO!$M$1509*EFEITO!$Z$1509</f>
        <v>-115.49704258557858</v>
      </c>
      <c r="O1509" s="76">
        <f>$L$1509-EFEITO!$O$1509*EFEITO!$AA$1509</f>
        <v>-111.18379156369838</v>
      </c>
      <c r="P1509" s="18"/>
      <c r="Q1509" s="18"/>
      <c r="R1509" s="18"/>
      <c r="S1509" s="18"/>
      <c r="T1509" s="18"/>
      <c r="U1509" s="18"/>
      <c r="V1509" s="18"/>
      <c r="W1509" s="18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</row>
    <row r="1510" spans="1:36" ht="11.25" customHeight="1" x14ac:dyDescent="0.2">
      <c r="A1510" s="62" t="s">
        <v>21</v>
      </c>
      <c r="B1510" s="62" t="s">
        <v>44</v>
      </c>
      <c r="C1510" s="62" t="s">
        <v>33</v>
      </c>
      <c r="D1510" s="62" t="s">
        <v>45</v>
      </c>
      <c r="E1510" s="62" t="s">
        <v>25</v>
      </c>
      <c r="F1510" s="62" t="s">
        <v>25</v>
      </c>
      <c r="G1510" s="62" t="s">
        <v>25</v>
      </c>
      <c r="H1510" s="62" t="s">
        <v>35</v>
      </c>
      <c r="I1510" s="75">
        <v>44593</v>
      </c>
      <c r="J1510" s="76">
        <f>EFEITO!$J$1510*EFEITO!$Y$1510/(1-CUSTOS!$M$38)</f>
        <v>0</v>
      </c>
      <c r="K1510" s="76">
        <f ca="1">EFEITO!$L$1510*EFEITO!$Z$1510/(1-CUSTOS!$M$38)</f>
        <v>87.201959130423234</v>
      </c>
      <c r="L1510" s="76">
        <f>EFEITO!$N$1510*EFEITO!$AA$1510/(1-CUSTOS!$M$38)</f>
        <v>83.945391421769102</v>
      </c>
      <c r="M1510" s="76">
        <f>$J$1510-EFEITO!$K$1510*EFEITO!$Y$1510</f>
        <v>0</v>
      </c>
      <c r="N1510" s="76">
        <f ca="1">$K$1510-EFEITO!$M$1510*EFEITO!$Z$1510</f>
        <v>5.2321175478253963</v>
      </c>
      <c r="O1510" s="76">
        <f>$L$1510-EFEITO!$O$1510*EFEITO!$AA$1510</f>
        <v>5.0367234853061547</v>
      </c>
      <c r="P1510" s="18"/>
      <c r="Q1510" s="18"/>
      <c r="R1510" s="18"/>
      <c r="S1510" s="18"/>
      <c r="T1510" s="18"/>
      <c r="U1510" s="18"/>
      <c r="V1510" s="18"/>
      <c r="W1510" s="18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</row>
    <row r="1511" spans="1:36" ht="11.25" customHeight="1" x14ac:dyDescent="0.2">
      <c r="A1511" s="62" t="s">
        <v>21</v>
      </c>
      <c r="B1511" s="62" t="s">
        <v>44</v>
      </c>
      <c r="C1511" s="62" t="s">
        <v>33</v>
      </c>
      <c r="D1511" s="62" t="s">
        <v>45</v>
      </c>
      <c r="E1511" s="62" t="s">
        <v>25</v>
      </c>
      <c r="F1511" s="62" t="s">
        <v>25</v>
      </c>
      <c r="G1511" s="62" t="s">
        <v>25</v>
      </c>
      <c r="H1511" s="62" t="s">
        <v>35</v>
      </c>
      <c r="I1511" s="75">
        <v>44621</v>
      </c>
      <c r="J1511" s="76">
        <f>EFEITO!$J$1511*EFEITO!$Y$1511/(1-CUSTOS!$M$38)</f>
        <v>0</v>
      </c>
      <c r="K1511" s="76">
        <f ca="1">EFEITO!$L$1511*EFEITO!$Z$1511/(1-CUSTOS!$M$38)</f>
        <v>138.61206936403096</v>
      </c>
      <c r="L1511" s="76">
        <f>EFEITO!$N$1511*EFEITO!$AA$1511/(1-CUSTOS!$M$38)</f>
        <v>133.43558487191655</v>
      </c>
      <c r="M1511" s="76">
        <f>$J$1511-EFEITO!$K$1511*EFEITO!$Y$1511</f>
        <v>0</v>
      </c>
      <c r="N1511" s="76">
        <f ca="1">$K$1511-EFEITO!$M$1511*EFEITO!$Z$1511</f>
        <v>8.3167241618418757</v>
      </c>
      <c r="O1511" s="76">
        <f>$L$1511-EFEITO!$O$1511*EFEITO!$AA$1511</f>
        <v>8.0061350923150059</v>
      </c>
      <c r="P1511" s="18"/>
      <c r="Q1511" s="18"/>
      <c r="R1511" s="18"/>
      <c r="S1511" s="18"/>
      <c r="T1511" s="18"/>
      <c r="U1511" s="18"/>
      <c r="V1511" s="18"/>
      <c r="W1511" s="18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</row>
    <row r="1512" spans="1:36" ht="11.25" customHeight="1" x14ac:dyDescent="0.2">
      <c r="A1512" s="62" t="s">
        <v>21</v>
      </c>
      <c r="B1512" s="62" t="s">
        <v>44</v>
      </c>
      <c r="C1512" s="62" t="s">
        <v>33</v>
      </c>
      <c r="D1512" s="62" t="s">
        <v>45</v>
      </c>
      <c r="E1512" s="62" t="s">
        <v>25</v>
      </c>
      <c r="F1512" s="62" t="s">
        <v>25</v>
      </c>
      <c r="G1512" s="62" t="s">
        <v>25</v>
      </c>
      <c r="H1512" s="62" t="s">
        <v>35</v>
      </c>
      <c r="I1512" s="75">
        <v>44652</v>
      </c>
      <c r="J1512" s="76">
        <f>EFEITO!$J$1512*EFEITO!$Y$1512/(1-CUSTOS!$M$38)</f>
        <v>0</v>
      </c>
      <c r="K1512" s="76">
        <f ca="1">EFEITO!$L$1512*EFEITO!$Z$1512/(1-CUSTOS!$M$38)</f>
        <v>144.79429780984455</v>
      </c>
      <c r="L1512" s="76">
        <f>EFEITO!$N$1512*EFEITO!$AA$1512/(1-CUSTOS!$M$38)</f>
        <v>139.38693724883302</v>
      </c>
      <c r="M1512" s="76">
        <f>$J$1512-EFEITO!$K$1512*EFEITO!$Y$1512</f>
        <v>0</v>
      </c>
      <c r="N1512" s="76">
        <f ca="1">$K$1512-EFEITO!$M$1512*EFEITO!$Z$1512</f>
        <v>8.6876578685906907</v>
      </c>
      <c r="O1512" s="76">
        <f>$L$1512-EFEITO!$O$1512*EFEITO!$AA$1512</f>
        <v>8.363216234929979</v>
      </c>
      <c r="P1512" s="18"/>
      <c r="Q1512" s="18"/>
      <c r="R1512" s="18"/>
      <c r="S1512" s="18"/>
      <c r="T1512" s="18"/>
      <c r="U1512" s="18"/>
      <c r="V1512" s="18"/>
      <c r="W1512" s="18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</row>
    <row r="1513" spans="1:36" ht="11.25" customHeight="1" x14ac:dyDescent="0.2">
      <c r="A1513" s="62" t="s">
        <v>58</v>
      </c>
      <c r="B1513" s="62" t="s">
        <v>44</v>
      </c>
      <c r="C1513" s="62" t="s">
        <v>33</v>
      </c>
      <c r="D1513" s="62" t="s">
        <v>45</v>
      </c>
      <c r="E1513" s="62" t="s">
        <v>25</v>
      </c>
      <c r="F1513" s="62" t="s">
        <v>25</v>
      </c>
      <c r="G1513" s="62" t="s">
        <v>25</v>
      </c>
      <c r="H1513" s="62" t="s">
        <v>35</v>
      </c>
      <c r="I1513" s="75">
        <v>44682</v>
      </c>
      <c r="J1513" s="76">
        <f>EFEITO!$J$1513*EFEITO!$Y$1513/(1-CUSTOS!$M$38)</f>
        <v>0</v>
      </c>
      <c r="K1513" s="76">
        <f ca="1">EFEITO!$L$1513*EFEITO!$Z$1513/(1-CUSTOS!$M$38)</f>
        <v>144.79429780984455</v>
      </c>
      <c r="L1513" s="76">
        <f>EFEITO!$N$1513*EFEITO!$AA$1513/(1-CUSTOS!$M$38)</f>
        <v>139.38693724883302</v>
      </c>
      <c r="M1513" s="76">
        <f>$J$1513-EFEITO!$K$1513*EFEITO!$Y$1513</f>
        <v>0</v>
      </c>
      <c r="N1513" s="76">
        <f ca="1">$K$1513-EFEITO!$M$1513*EFEITO!$Z$1513</f>
        <v>8.6876578685906907</v>
      </c>
      <c r="O1513" s="76">
        <f>$L$1513-EFEITO!$O$1513*EFEITO!$AA$1513</f>
        <v>8.363216234929979</v>
      </c>
      <c r="P1513" s="18"/>
      <c r="Q1513" s="18"/>
      <c r="R1513" s="18"/>
      <c r="S1513" s="18"/>
      <c r="T1513" s="18"/>
      <c r="U1513" s="18"/>
      <c r="V1513" s="18"/>
      <c r="W1513" s="18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</row>
    <row r="1514" spans="1:36" ht="11.25" customHeight="1" x14ac:dyDescent="0.2">
      <c r="A1514" s="62" t="s">
        <v>21</v>
      </c>
      <c r="B1514" s="62" t="s">
        <v>44</v>
      </c>
      <c r="C1514" s="62" t="s">
        <v>33</v>
      </c>
      <c r="D1514" s="62" t="s">
        <v>45</v>
      </c>
      <c r="E1514" s="62" t="s">
        <v>25</v>
      </c>
      <c r="F1514" s="62" t="s">
        <v>25</v>
      </c>
      <c r="G1514" s="62" t="s">
        <v>25</v>
      </c>
      <c r="H1514" s="62" t="s">
        <v>36</v>
      </c>
      <c r="I1514" s="75">
        <v>44348</v>
      </c>
      <c r="J1514" s="76">
        <f>EFEITO!$J$1514*EFEITO!$Y$1514/(1-CUSTOS!$M$38)</f>
        <v>0</v>
      </c>
      <c r="K1514" s="76">
        <f ca="1">EFEITO!$L$1514*EFEITO!$Z$1514/(1-CUSTOS!$M$38)</f>
        <v>1.8621948415540577</v>
      </c>
      <c r="L1514" s="76">
        <f>EFEITO!$N$1514*EFEITO!$AA$1514/(1-CUSTOS!$M$38)</f>
        <v>0.9396872174078631</v>
      </c>
      <c r="M1514" s="76">
        <f>$J$1514-EFEITO!$K$1514*EFEITO!$Y$1514</f>
        <v>0</v>
      </c>
      <c r="N1514" s="76">
        <f ca="1">$K$1514-EFEITO!$M$1514*EFEITO!$Z$1514</f>
        <v>0.1117316904932435</v>
      </c>
      <c r="O1514" s="76">
        <f>$L$1514-EFEITO!$O$1514*EFEITO!$AA$1514</f>
        <v>5.6381233044471846E-2</v>
      </c>
      <c r="P1514" s="18"/>
      <c r="Q1514" s="18"/>
      <c r="R1514" s="18"/>
      <c r="S1514" s="18"/>
      <c r="T1514" s="18"/>
      <c r="U1514" s="18"/>
      <c r="V1514" s="18"/>
      <c r="W1514" s="18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</row>
    <row r="1515" spans="1:36" ht="11.25" customHeight="1" x14ac:dyDescent="0.2">
      <c r="A1515" s="62" t="s">
        <v>21</v>
      </c>
      <c r="B1515" s="62" t="s">
        <v>44</v>
      </c>
      <c r="C1515" s="62" t="s">
        <v>33</v>
      </c>
      <c r="D1515" s="62" t="s">
        <v>45</v>
      </c>
      <c r="E1515" s="62" t="s">
        <v>25</v>
      </c>
      <c r="F1515" s="62" t="s">
        <v>25</v>
      </c>
      <c r="G1515" s="62" t="s">
        <v>25</v>
      </c>
      <c r="H1515" s="62" t="s">
        <v>36</v>
      </c>
      <c r="I1515" s="75">
        <v>44378</v>
      </c>
      <c r="J1515" s="76">
        <f>EFEITO!$J$1515*EFEITO!$Y$1515/(1-CUSTOS!$M$38)</f>
        <v>0</v>
      </c>
      <c r="K1515" s="76">
        <f ca="1">EFEITO!$L$1515*EFEITO!$Z$1515/(1-CUSTOS!$M$38)</f>
        <v>19.863411643243282</v>
      </c>
      <c r="L1515" s="76">
        <f>EFEITO!$N$1515*EFEITO!$AA$1515/(1-CUSTOS!$M$38)</f>
        <v>10.023330319017205</v>
      </c>
      <c r="M1515" s="76">
        <f>$J$1515-EFEITO!$K$1515*EFEITO!$Y$1515</f>
        <v>0</v>
      </c>
      <c r="N1515" s="76">
        <f ca="1">$K$1515-EFEITO!$M$1515*EFEITO!$Z$1515</f>
        <v>1.1918046985945985</v>
      </c>
      <c r="O1515" s="76">
        <f>$L$1515-EFEITO!$O$1515*EFEITO!$AA$1515</f>
        <v>0.60139981914103302</v>
      </c>
      <c r="P1515" s="18"/>
      <c r="Q1515" s="18"/>
      <c r="R1515" s="18"/>
      <c r="S1515" s="18"/>
      <c r="T1515" s="18"/>
      <c r="U1515" s="18"/>
      <c r="V1515" s="18"/>
      <c r="W1515" s="18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</row>
    <row r="1516" spans="1:36" ht="11.25" customHeight="1" x14ac:dyDescent="0.2">
      <c r="A1516" s="62" t="s">
        <v>21</v>
      </c>
      <c r="B1516" s="62" t="s">
        <v>44</v>
      </c>
      <c r="C1516" s="62" t="s">
        <v>33</v>
      </c>
      <c r="D1516" s="62" t="s">
        <v>45</v>
      </c>
      <c r="E1516" s="62" t="s">
        <v>25</v>
      </c>
      <c r="F1516" s="62" t="s">
        <v>25</v>
      </c>
      <c r="G1516" s="62" t="s">
        <v>25</v>
      </c>
      <c r="H1516" s="62" t="s">
        <v>36</v>
      </c>
      <c r="I1516" s="75">
        <v>44409</v>
      </c>
      <c r="J1516" s="76">
        <f>EFEITO!$J$1516*EFEITO!$Y$1516/(1-CUSTOS!$M$38)</f>
        <v>0</v>
      </c>
      <c r="K1516" s="76">
        <f ca="1">EFEITO!$L$1516*EFEITO!$Z$1516/(1-CUSTOS!$M$38)</f>
        <v>4.3451212969594675</v>
      </c>
      <c r="L1516" s="76">
        <f>EFEITO!$N$1516*EFEITO!$AA$1516/(1-CUSTOS!$M$38)</f>
        <v>2.1926035072850136</v>
      </c>
      <c r="M1516" s="76">
        <f>$J$1516-EFEITO!$K$1516*EFEITO!$Y$1516</f>
        <v>0</v>
      </c>
      <c r="N1516" s="76">
        <f ca="1">$K$1516-EFEITO!$M$1516*EFEITO!$Z$1516</f>
        <v>0.26070727781756808</v>
      </c>
      <c r="O1516" s="76">
        <f>$L$1516-EFEITO!$O$1516*EFEITO!$AA$1516</f>
        <v>0.13155621043710086</v>
      </c>
      <c r="P1516" s="18"/>
      <c r="Q1516" s="18"/>
      <c r="R1516" s="18"/>
      <c r="S1516" s="18"/>
      <c r="T1516" s="18"/>
      <c r="U1516" s="18"/>
      <c r="V1516" s="18"/>
      <c r="W1516" s="18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</row>
    <row r="1517" spans="1:36" ht="11.25" customHeight="1" x14ac:dyDescent="0.2">
      <c r="A1517" s="62" t="s">
        <v>21</v>
      </c>
      <c r="B1517" s="62" t="s">
        <v>44</v>
      </c>
      <c r="C1517" s="62" t="s">
        <v>33</v>
      </c>
      <c r="D1517" s="62" t="s">
        <v>45</v>
      </c>
      <c r="E1517" s="62" t="s">
        <v>25</v>
      </c>
      <c r="F1517" s="62" t="s">
        <v>25</v>
      </c>
      <c r="G1517" s="62" t="s">
        <v>25</v>
      </c>
      <c r="H1517" s="62" t="s">
        <v>36</v>
      </c>
      <c r="I1517" s="75">
        <v>44440</v>
      </c>
      <c r="J1517" s="76">
        <f>EFEITO!$J$1517*EFEITO!$Y$1517/(1-CUSTOS!$M$38)</f>
        <v>0</v>
      </c>
      <c r="K1517" s="76">
        <f ca="1">EFEITO!$L$1517*EFEITO!$Z$1517/(1-CUSTOS!$M$38)</f>
        <v>18.001216801689225</v>
      </c>
      <c r="L1517" s="76">
        <f>EFEITO!$N$1517*EFEITO!$AA$1517/(1-CUSTOS!$M$38)</f>
        <v>9.0836431016093417</v>
      </c>
      <c r="M1517" s="76">
        <f>$J$1517-EFEITO!$K$1517*EFEITO!$Y$1517</f>
        <v>0</v>
      </c>
      <c r="N1517" s="76">
        <f ca="1">$K$1517-EFEITO!$M$1517*EFEITO!$Z$1517</f>
        <v>1.0800730081013548</v>
      </c>
      <c r="O1517" s="76">
        <f>$L$1517-EFEITO!$O$1517*EFEITO!$AA$1517</f>
        <v>0.5450185860965604</v>
      </c>
      <c r="P1517" s="18"/>
      <c r="Q1517" s="18"/>
      <c r="R1517" s="18"/>
      <c r="S1517" s="18"/>
      <c r="T1517" s="18"/>
      <c r="U1517" s="18"/>
      <c r="V1517" s="18"/>
      <c r="W1517" s="18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</row>
    <row r="1518" spans="1:36" ht="11.25" customHeight="1" x14ac:dyDescent="0.2">
      <c r="A1518" s="62" t="s">
        <v>21</v>
      </c>
      <c r="B1518" s="62" t="s">
        <v>44</v>
      </c>
      <c r="C1518" s="62" t="s">
        <v>33</v>
      </c>
      <c r="D1518" s="62" t="s">
        <v>45</v>
      </c>
      <c r="E1518" s="62" t="s">
        <v>25</v>
      </c>
      <c r="F1518" s="62" t="s">
        <v>25</v>
      </c>
      <c r="G1518" s="62" t="s">
        <v>25</v>
      </c>
      <c r="H1518" s="62" t="s">
        <v>36</v>
      </c>
      <c r="I1518" s="75">
        <v>44470</v>
      </c>
      <c r="J1518" s="76">
        <f>EFEITO!$J$1518*EFEITO!$Y$1518/(1-CUSTOS!$M$38)</f>
        <v>0</v>
      </c>
      <c r="K1518" s="76">
        <f ca="1">EFEITO!$L$1518*EFEITO!$Z$1518/(1-CUSTOS!$M$38)</f>
        <v>21.725606484797343</v>
      </c>
      <c r="L1518" s="76">
        <f>EFEITO!$N$1518*EFEITO!$AA$1518/(1-CUSTOS!$M$38)</f>
        <v>10.963017536425069</v>
      </c>
      <c r="M1518" s="76">
        <f>$J$1518-EFEITO!$K$1518*EFEITO!$Y$1518</f>
        <v>0</v>
      </c>
      <c r="N1518" s="76">
        <f ca="1">$K$1518-EFEITO!$M$1518*EFEITO!$Z$1518</f>
        <v>1.3035363890878422</v>
      </c>
      <c r="O1518" s="76">
        <f>$L$1518-EFEITO!$O$1518*EFEITO!$AA$1518</f>
        <v>0.65778105218550387</v>
      </c>
      <c r="P1518" s="18"/>
      <c r="Q1518" s="18"/>
      <c r="R1518" s="18"/>
      <c r="S1518" s="18"/>
      <c r="T1518" s="18"/>
      <c r="U1518" s="18"/>
      <c r="V1518" s="18"/>
      <c r="W1518" s="18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</row>
    <row r="1519" spans="1:36" ht="11.25" customHeight="1" x14ac:dyDescent="0.2">
      <c r="A1519" s="62" t="s">
        <v>21</v>
      </c>
      <c r="B1519" s="62" t="s">
        <v>44</v>
      </c>
      <c r="C1519" s="62" t="s">
        <v>33</v>
      </c>
      <c r="D1519" s="62" t="s">
        <v>45</v>
      </c>
      <c r="E1519" s="62" t="s">
        <v>25</v>
      </c>
      <c r="F1519" s="62" t="s">
        <v>25</v>
      </c>
      <c r="G1519" s="62" t="s">
        <v>25</v>
      </c>
      <c r="H1519" s="62" t="s">
        <v>36</v>
      </c>
      <c r="I1519" s="75">
        <v>44501</v>
      </c>
      <c r="J1519" s="76">
        <f>EFEITO!$J$1519*EFEITO!$Y$1519/(1-CUSTOS!$M$38)</f>
        <v>0</v>
      </c>
      <c r="K1519" s="76">
        <f ca="1">EFEITO!$L$1519*EFEITO!$Z$1519/(1-CUSTOS!$M$38)</f>
        <v>4.3451212969594675</v>
      </c>
      <c r="L1519" s="76">
        <f>EFEITO!$N$1519*EFEITO!$AA$1519/(1-CUSTOS!$M$38)</f>
        <v>2.1926035072850136</v>
      </c>
      <c r="M1519" s="76">
        <f>$J$1519-EFEITO!$K$1519*EFEITO!$Y$1519</f>
        <v>0</v>
      </c>
      <c r="N1519" s="76">
        <f ca="1">$K$1519-EFEITO!$M$1519*EFEITO!$Z$1519</f>
        <v>0.26070727781756808</v>
      </c>
      <c r="O1519" s="76">
        <f>$L$1519-EFEITO!$O$1519*EFEITO!$AA$1519</f>
        <v>0.13155621043710086</v>
      </c>
      <c r="P1519" s="18"/>
      <c r="Q1519" s="18"/>
      <c r="R1519" s="18"/>
      <c r="S1519" s="18"/>
      <c r="T1519" s="18"/>
      <c r="U1519" s="18"/>
      <c r="V1519" s="18"/>
      <c r="W1519" s="18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</row>
    <row r="1520" spans="1:36" ht="11.25" customHeight="1" x14ac:dyDescent="0.2">
      <c r="A1520" s="62" t="s">
        <v>21</v>
      </c>
      <c r="B1520" s="62" t="s">
        <v>44</v>
      </c>
      <c r="C1520" s="62" t="s">
        <v>33</v>
      </c>
      <c r="D1520" s="62" t="s">
        <v>45</v>
      </c>
      <c r="E1520" s="62" t="s">
        <v>25</v>
      </c>
      <c r="F1520" s="62" t="s">
        <v>25</v>
      </c>
      <c r="G1520" s="62" t="s">
        <v>25</v>
      </c>
      <c r="H1520" s="62" t="s">
        <v>36</v>
      </c>
      <c r="I1520" s="75">
        <v>44531</v>
      </c>
      <c r="J1520" s="76">
        <f>EFEITO!$J$1520*EFEITO!$Y$1520/(1-CUSTOS!$M$38)</f>
        <v>0</v>
      </c>
      <c r="K1520" s="76">
        <f ca="1">EFEITO!$L$1520*EFEITO!$Z$1520/(1-CUSTOS!$M$38)</f>
        <v>6.2073161385135256</v>
      </c>
      <c r="L1520" s="76">
        <f>EFEITO!$N$1520*EFEITO!$AA$1520/(1-CUSTOS!$M$38)</f>
        <v>3.1322907246928766</v>
      </c>
      <c r="M1520" s="76">
        <f>$J$1520-EFEITO!$K$1520*EFEITO!$Y$1520</f>
        <v>0</v>
      </c>
      <c r="N1520" s="76">
        <f ca="1">$K$1520-EFEITO!$M$1520*EFEITO!$Z$1520</f>
        <v>0.3724389683108118</v>
      </c>
      <c r="O1520" s="76">
        <f>$L$1520-EFEITO!$O$1520*EFEITO!$AA$1520</f>
        <v>0.1879374434815726</v>
      </c>
      <c r="P1520" s="18"/>
      <c r="Q1520" s="18"/>
      <c r="R1520" s="18"/>
      <c r="S1520" s="18"/>
      <c r="T1520" s="18"/>
      <c r="U1520" s="18"/>
      <c r="V1520" s="18"/>
      <c r="W1520" s="18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</row>
    <row r="1521" spans="1:36" ht="11.25" customHeight="1" x14ac:dyDescent="0.2">
      <c r="A1521" s="62" t="s">
        <v>21</v>
      </c>
      <c r="B1521" s="62" t="s">
        <v>44</v>
      </c>
      <c r="C1521" s="62" t="s">
        <v>33</v>
      </c>
      <c r="D1521" s="62" t="s">
        <v>45</v>
      </c>
      <c r="E1521" s="62" t="s">
        <v>25</v>
      </c>
      <c r="F1521" s="62" t="s">
        <v>25</v>
      </c>
      <c r="G1521" s="62" t="s">
        <v>25</v>
      </c>
      <c r="H1521" s="62" t="s">
        <v>36</v>
      </c>
      <c r="I1521" s="75">
        <v>44562</v>
      </c>
      <c r="J1521" s="76">
        <f>EFEITO!$J$1521*EFEITO!$Y$1521/(1-CUSTOS!$M$38)</f>
        <v>0</v>
      </c>
      <c r="K1521" s="76">
        <f ca="1">EFEITO!$L$1521*EFEITO!$Z$1521/(1-CUSTOS!$M$38)</f>
        <v>16.139021960135164</v>
      </c>
      <c r="L1521" s="76">
        <f>EFEITO!$N$1521*EFEITO!$AA$1521/(1-CUSTOS!$M$38)</f>
        <v>8.1439558842014783</v>
      </c>
      <c r="M1521" s="76">
        <f>$J$1521-EFEITO!$K$1521*EFEITO!$Y$1521</f>
        <v>0</v>
      </c>
      <c r="N1521" s="76">
        <f ca="1">$K$1521-EFEITO!$M$1521*EFEITO!$Z$1521</f>
        <v>0.96834131760810926</v>
      </c>
      <c r="O1521" s="76">
        <f>$L$1521-EFEITO!$O$1521*EFEITO!$AA$1521</f>
        <v>0.48863735305208866</v>
      </c>
      <c r="P1521" s="18"/>
      <c r="Q1521" s="18"/>
      <c r="R1521" s="18"/>
      <c r="S1521" s="18"/>
      <c r="T1521" s="18"/>
      <c r="U1521" s="18"/>
      <c r="V1521" s="18"/>
      <c r="W1521" s="18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</row>
    <row r="1522" spans="1:36" ht="11.25" customHeight="1" x14ac:dyDescent="0.2">
      <c r="A1522" s="62" t="s">
        <v>27</v>
      </c>
      <c r="B1522" s="62" t="s">
        <v>44</v>
      </c>
      <c r="C1522" s="62" t="s">
        <v>33</v>
      </c>
      <c r="D1522" s="62" t="s">
        <v>45</v>
      </c>
      <c r="E1522" s="62" t="s">
        <v>25</v>
      </c>
      <c r="F1522" s="62" t="s">
        <v>25</v>
      </c>
      <c r="G1522" s="62" t="s">
        <v>25</v>
      </c>
      <c r="H1522" s="62" t="s">
        <v>36</v>
      </c>
      <c r="I1522" s="75">
        <v>44562</v>
      </c>
      <c r="J1522" s="76">
        <f>EFEITO!$J$1522*EFEITO!$Y$1522/(1-CUSTOS!$M$38)</f>
        <v>0</v>
      </c>
      <c r="K1522" s="76">
        <f ca="1">EFEITO!$L$1522*EFEITO!$Z$1522/(1-CUSTOS!$M$38)</f>
        <v>24.829264554054102</v>
      </c>
      <c r="L1522" s="76">
        <f>EFEITO!$N$1522*EFEITO!$AA$1522/(1-CUSTOS!$M$38)</f>
        <v>12.529162898771506</v>
      </c>
      <c r="M1522" s="76">
        <f>$J$1522-EFEITO!$K$1522*EFEITO!$Y$1522</f>
        <v>0</v>
      </c>
      <c r="N1522" s="76">
        <f ca="1">$K$1522-EFEITO!$M$1522*EFEITO!$Z$1522</f>
        <v>1.4897558732432472</v>
      </c>
      <c r="O1522" s="76">
        <f>$L$1522-EFEITO!$O$1522*EFEITO!$AA$1522</f>
        <v>0.75174977392629039</v>
      </c>
      <c r="P1522" s="18"/>
      <c r="Q1522" s="18"/>
      <c r="R1522" s="18"/>
      <c r="S1522" s="18"/>
      <c r="T1522" s="18"/>
      <c r="U1522" s="18"/>
      <c r="V1522" s="18"/>
      <c r="W1522" s="18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</row>
    <row r="1523" spans="1:36" ht="11.25" customHeight="1" x14ac:dyDescent="0.2">
      <c r="A1523" s="62" t="s">
        <v>21</v>
      </c>
      <c r="B1523" s="62" t="s">
        <v>44</v>
      </c>
      <c r="C1523" s="62" t="s">
        <v>33</v>
      </c>
      <c r="D1523" s="62" t="s">
        <v>45</v>
      </c>
      <c r="E1523" s="62" t="s">
        <v>25</v>
      </c>
      <c r="F1523" s="62" t="s">
        <v>25</v>
      </c>
      <c r="G1523" s="62" t="s">
        <v>25</v>
      </c>
      <c r="H1523" s="62" t="s">
        <v>36</v>
      </c>
      <c r="I1523" s="75">
        <v>44593</v>
      </c>
      <c r="J1523" s="76">
        <f>EFEITO!$J$1523*EFEITO!$Y$1523/(1-CUSTOS!$M$38)</f>
        <v>0</v>
      </c>
      <c r="K1523" s="76">
        <f ca="1">EFEITO!$L$1523*EFEITO!$Z$1523/(1-CUSTOS!$M$38)</f>
        <v>8.6902425939189349</v>
      </c>
      <c r="L1523" s="76">
        <f>EFEITO!$N$1523*EFEITO!$AA$1523/(1-CUSTOS!$M$38)</f>
        <v>4.3852070145700273</v>
      </c>
      <c r="M1523" s="76">
        <f>$J$1523-EFEITO!$K$1523*EFEITO!$Y$1523</f>
        <v>0</v>
      </c>
      <c r="N1523" s="76">
        <f ca="1">$K$1523-EFEITO!$M$1523*EFEITO!$Z$1523</f>
        <v>0.52141455563513617</v>
      </c>
      <c r="O1523" s="76">
        <f>$L$1523-EFEITO!$O$1523*EFEITO!$AA$1523</f>
        <v>0.26311242087420172</v>
      </c>
      <c r="P1523" s="18"/>
      <c r="Q1523" s="18"/>
      <c r="R1523" s="18"/>
      <c r="S1523" s="18"/>
      <c r="T1523" s="18"/>
      <c r="U1523" s="18"/>
      <c r="V1523" s="18"/>
      <c r="W1523" s="18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</row>
    <row r="1524" spans="1:36" ht="11.25" customHeight="1" x14ac:dyDescent="0.2">
      <c r="A1524" s="62" t="s">
        <v>21</v>
      </c>
      <c r="B1524" s="62" t="s">
        <v>44</v>
      </c>
      <c r="C1524" s="62" t="s">
        <v>33</v>
      </c>
      <c r="D1524" s="62" t="s">
        <v>45</v>
      </c>
      <c r="E1524" s="62" t="s">
        <v>25</v>
      </c>
      <c r="F1524" s="62" t="s">
        <v>25</v>
      </c>
      <c r="G1524" s="62" t="s">
        <v>25</v>
      </c>
      <c r="H1524" s="62" t="s">
        <v>36</v>
      </c>
      <c r="I1524" s="75">
        <v>44621</v>
      </c>
      <c r="J1524" s="76">
        <f>EFEITO!$J$1524*EFEITO!$Y$1524/(1-CUSTOS!$M$38)</f>
        <v>0</v>
      </c>
      <c r="K1524" s="76">
        <f ca="1">EFEITO!$L$1524*EFEITO!$Z$1524/(1-CUSTOS!$M$38)</f>
        <v>14.276827118581108</v>
      </c>
      <c r="L1524" s="76">
        <f>EFEITO!$N$1524*EFEITO!$AA$1524/(1-CUSTOS!$M$38)</f>
        <v>7.2042686667936158</v>
      </c>
      <c r="M1524" s="76">
        <f>$J$1524-EFEITO!$K$1524*EFEITO!$Y$1524</f>
        <v>0</v>
      </c>
      <c r="N1524" s="76">
        <f ca="1">$K$1524-EFEITO!$M$1524*EFEITO!$Z$1524</f>
        <v>0.85660962711486732</v>
      </c>
      <c r="O1524" s="76">
        <f>$L$1524-EFEITO!$O$1524*EFEITO!$AA$1524</f>
        <v>0.43225612000761693</v>
      </c>
      <c r="P1524" s="18"/>
      <c r="Q1524" s="18"/>
      <c r="R1524" s="18"/>
      <c r="S1524" s="18"/>
      <c r="T1524" s="18"/>
      <c r="U1524" s="18"/>
      <c r="V1524" s="18"/>
      <c r="W1524" s="18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</row>
    <row r="1525" spans="1:36" ht="11.25" customHeight="1" x14ac:dyDescent="0.2">
      <c r="A1525" s="62" t="s">
        <v>21</v>
      </c>
      <c r="B1525" s="62" t="s">
        <v>44</v>
      </c>
      <c r="C1525" s="62" t="s">
        <v>33</v>
      </c>
      <c r="D1525" s="62" t="s">
        <v>45</v>
      </c>
      <c r="E1525" s="62" t="s">
        <v>25</v>
      </c>
      <c r="F1525" s="62" t="s">
        <v>25</v>
      </c>
      <c r="G1525" s="62" t="s">
        <v>25</v>
      </c>
      <c r="H1525" s="62" t="s">
        <v>36</v>
      </c>
      <c r="I1525" s="75">
        <v>44652</v>
      </c>
      <c r="J1525" s="76">
        <f>EFEITO!$J$1525*EFEITO!$Y$1525/(1-CUSTOS!$M$38)</f>
        <v>0</v>
      </c>
      <c r="K1525" s="76">
        <f ca="1">EFEITO!$L$1525*EFEITO!$Z$1525/(1-CUSTOS!$M$38)</f>
        <v>15.518290346283814</v>
      </c>
      <c r="L1525" s="76">
        <f>EFEITO!$N$1525*EFEITO!$AA$1525/(1-CUSTOS!$M$38)</f>
        <v>7.830726811732192</v>
      </c>
      <c r="M1525" s="76">
        <f>$J$1525-EFEITO!$K$1525*EFEITO!$Y$1525</f>
        <v>0</v>
      </c>
      <c r="N1525" s="76">
        <f ca="1">$K$1525-EFEITO!$M$1525*EFEITO!$Z$1525</f>
        <v>0.93109742077703039</v>
      </c>
      <c r="O1525" s="76">
        <f>$L$1525-EFEITO!$O$1525*EFEITO!$AA$1525</f>
        <v>0.46984360870393171</v>
      </c>
      <c r="P1525" s="18"/>
      <c r="Q1525" s="18"/>
      <c r="R1525" s="18"/>
      <c r="S1525" s="18"/>
      <c r="T1525" s="18"/>
      <c r="U1525" s="18"/>
      <c r="V1525" s="18"/>
      <c r="W1525" s="18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</row>
    <row r="1526" spans="1:36" ht="11.25" customHeight="1" x14ac:dyDescent="0.2">
      <c r="A1526" s="62" t="s">
        <v>58</v>
      </c>
      <c r="B1526" s="62" t="s">
        <v>44</v>
      </c>
      <c r="C1526" s="62" t="s">
        <v>33</v>
      </c>
      <c r="D1526" s="62" t="s">
        <v>45</v>
      </c>
      <c r="E1526" s="62" t="s">
        <v>25</v>
      </c>
      <c r="F1526" s="62" t="s">
        <v>25</v>
      </c>
      <c r="G1526" s="62" t="s">
        <v>25</v>
      </c>
      <c r="H1526" s="62" t="s">
        <v>36</v>
      </c>
      <c r="I1526" s="75">
        <v>44682</v>
      </c>
      <c r="J1526" s="76">
        <f>EFEITO!$J$1526*EFEITO!$Y$1526/(1-CUSTOS!$M$38)</f>
        <v>0</v>
      </c>
      <c r="K1526" s="76">
        <f ca="1">EFEITO!$L$1526*EFEITO!$Z$1526/(1-CUSTOS!$M$38)</f>
        <v>15.518290346283814</v>
      </c>
      <c r="L1526" s="76">
        <f>EFEITO!$N$1526*EFEITO!$AA$1526/(1-CUSTOS!$M$38)</f>
        <v>7.830726811732192</v>
      </c>
      <c r="M1526" s="76">
        <f>$J$1526-EFEITO!$K$1526*EFEITO!$Y$1526</f>
        <v>0</v>
      </c>
      <c r="N1526" s="76">
        <f ca="1">$K$1526-EFEITO!$M$1526*EFEITO!$Z$1526</f>
        <v>0.93109742077703039</v>
      </c>
      <c r="O1526" s="76">
        <f>$L$1526-EFEITO!$O$1526*EFEITO!$AA$1526</f>
        <v>0.46984360870393171</v>
      </c>
      <c r="P1526" s="18"/>
      <c r="Q1526" s="18"/>
      <c r="R1526" s="18"/>
      <c r="S1526" s="18"/>
      <c r="T1526" s="18"/>
      <c r="U1526" s="18"/>
      <c r="V1526" s="18"/>
      <c r="W1526" s="18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</row>
    <row r="1527" spans="1:36" ht="11.25" customHeight="1" x14ac:dyDescent="0.2">
      <c r="A1527" s="62" t="s">
        <v>21</v>
      </c>
      <c r="B1527" s="62" t="s">
        <v>44</v>
      </c>
      <c r="C1527" s="62" t="s">
        <v>33</v>
      </c>
      <c r="D1527" s="62" t="s">
        <v>45</v>
      </c>
      <c r="E1527" s="62" t="s">
        <v>25</v>
      </c>
      <c r="F1527" s="62" t="s">
        <v>25</v>
      </c>
      <c r="G1527" s="62" t="s">
        <v>25</v>
      </c>
      <c r="H1527" s="62" t="s">
        <v>34</v>
      </c>
      <c r="I1527" s="75">
        <v>44378</v>
      </c>
      <c r="J1527" s="76">
        <f>EFEITO!$J$1527*EFEITO!$Y$1527/(1-CUSTOS!$M$38)</f>
        <v>0</v>
      </c>
      <c r="K1527" s="76">
        <f ca="1">EFEITO!$L$1527*EFEITO!$Z$1527/(1-CUSTOS!$M$38)</f>
        <v>54.964967717201503</v>
      </c>
      <c r="L1527" s="76">
        <f>EFEITO!$N$1527*EFEITO!$AA$1527/(1-CUSTOS!$M$38)</f>
        <v>30.602995998729075</v>
      </c>
      <c r="M1527" s="76">
        <f>$J$1527-EFEITO!$K$1527*EFEITO!$Y$1527</f>
        <v>0</v>
      </c>
      <c r="N1527" s="76">
        <f ca="1">$K$1527-EFEITO!$M$1527*EFEITO!$Z$1527</f>
        <v>3.2978980630320933</v>
      </c>
      <c r="O1527" s="76">
        <f>$L$1527-EFEITO!$O$1527*EFEITO!$AA$1527</f>
        <v>1.8361797599237448</v>
      </c>
      <c r="P1527" s="18"/>
      <c r="Q1527" s="18"/>
      <c r="R1527" s="18"/>
      <c r="S1527" s="18"/>
      <c r="T1527" s="18"/>
      <c r="U1527" s="18"/>
      <c r="V1527" s="18"/>
      <c r="W1527" s="18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</row>
    <row r="1528" spans="1:36" ht="11.25" customHeight="1" x14ac:dyDescent="0.2">
      <c r="A1528" s="62" t="s">
        <v>21</v>
      </c>
      <c r="B1528" s="62" t="s">
        <v>44</v>
      </c>
      <c r="C1528" s="62" t="s">
        <v>33</v>
      </c>
      <c r="D1528" s="62" t="s">
        <v>45</v>
      </c>
      <c r="E1528" s="62" t="s">
        <v>25</v>
      </c>
      <c r="F1528" s="62" t="s">
        <v>25</v>
      </c>
      <c r="G1528" s="62" t="s">
        <v>25</v>
      </c>
      <c r="H1528" s="62" t="s">
        <v>34</v>
      </c>
      <c r="I1528" s="75">
        <v>44409</v>
      </c>
      <c r="J1528" s="76">
        <f>EFEITO!$J$1528*EFEITO!$Y$1528/(1-CUSTOS!$M$38)</f>
        <v>0</v>
      </c>
      <c r="K1528" s="76">
        <f ca="1">EFEITO!$L$1528*EFEITO!$Z$1528/(1-CUSTOS!$M$38)</f>
        <v>13.741241929300376</v>
      </c>
      <c r="L1528" s="76">
        <f>EFEITO!$N$1528*EFEITO!$AA$1528/(1-CUSTOS!$M$38)</f>
        <v>7.6507489996822686</v>
      </c>
      <c r="M1528" s="76">
        <f>$J$1528-EFEITO!$K$1528*EFEITO!$Y$1528</f>
        <v>0</v>
      </c>
      <c r="N1528" s="76">
        <f ca="1">$K$1528-EFEITO!$M$1528*EFEITO!$Z$1528</f>
        <v>0.82447451575802333</v>
      </c>
      <c r="O1528" s="76">
        <f>$L$1528-EFEITO!$O$1528*EFEITO!$AA$1528</f>
        <v>0.45904493998093621</v>
      </c>
      <c r="P1528" s="18"/>
      <c r="Q1528" s="18"/>
      <c r="R1528" s="18"/>
      <c r="S1528" s="18"/>
      <c r="T1528" s="18"/>
      <c r="U1528" s="18"/>
      <c r="V1528" s="18"/>
      <c r="W1528" s="18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</row>
    <row r="1529" spans="1:36" ht="11.25" customHeight="1" x14ac:dyDescent="0.2">
      <c r="A1529" s="62" t="s">
        <v>21</v>
      </c>
      <c r="B1529" s="62" t="s">
        <v>44</v>
      </c>
      <c r="C1529" s="62" t="s">
        <v>33</v>
      </c>
      <c r="D1529" s="62" t="s">
        <v>45</v>
      </c>
      <c r="E1529" s="62" t="s">
        <v>25</v>
      </c>
      <c r="F1529" s="62" t="s">
        <v>25</v>
      </c>
      <c r="G1529" s="62" t="s">
        <v>25</v>
      </c>
      <c r="H1529" s="62" t="s">
        <v>34</v>
      </c>
      <c r="I1529" s="75">
        <v>44440</v>
      </c>
      <c r="J1529" s="76">
        <f>EFEITO!$J$1529*EFEITO!$Y$1529/(1-CUSTOS!$M$38)</f>
        <v>0</v>
      </c>
      <c r="K1529" s="76">
        <f ca="1">EFEITO!$L$1529*EFEITO!$Z$1529/(1-CUSTOS!$M$38)</f>
        <v>49.46847094548135</v>
      </c>
      <c r="L1529" s="76">
        <f>EFEITO!$N$1529*EFEITO!$AA$1529/(1-CUSTOS!$M$38)</f>
        <v>27.542696398856169</v>
      </c>
      <c r="M1529" s="76">
        <f>$J$1529-EFEITO!$K$1529*EFEITO!$Y$1529</f>
        <v>0</v>
      </c>
      <c r="N1529" s="76">
        <f ca="1">$K$1529-EFEITO!$M$1529*EFEITO!$Z$1529</f>
        <v>2.9681082567288826</v>
      </c>
      <c r="O1529" s="76">
        <f>$L$1529-EFEITO!$O$1529*EFEITO!$AA$1529</f>
        <v>1.6525617839313718</v>
      </c>
      <c r="P1529" s="18"/>
      <c r="Q1529" s="18"/>
      <c r="R1529" s="18"/>
      <c r="S1529" s="18"/>
      <c r="T1529" s="18"/>
      <c r="U1529" s="18"/>
      <c r="V1529" s="18"/>
      <c r="W1529" s="18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</row>
    <row r="1530" spans="1:36" ht="11.25" customHeight="1" x14ac:dyDescent="0.2">
      <c r="A1530" s="62" t="s">
        <v>21</v>
      </c>
      <c r="B1530" s="62" t="s">
        <v>44</v>
      </c>
      <c r="C1530" s="62" t="s">
        <v>33</v>
      </c>
      <c r="D1530" s="62" t="s">
        <v>45</v>
      </c>
      <c r="E1530" s="62" t="s">
        <v>25</v>
      </c>
      <c r="F1530" s="62" t="s">
        <v>25</v>
      </c>
      <c r="G1530" s="62" t="s">
        <v>25</v>
      </c>
      <c r="H1530" s="62" t="s">
        <v>34</v>
      </c>
      <c r="I1530" s="75">
        <v>44470</v>
      </c>
      <c r="J1530" s="76">
        <f>EFEITO!$J$1530*EFEITO!$Y$1530/(1-CUSTOS!$M$38)</f>
        <v>0</v>
      </c>
      <c r="K1530" s="76">
        <f ca="1">EFEITO!$L$1530*EFEITO!$Z$1530/(1-CUSTOS!$M$38)</f>
        <v>53.132802126628121</v>
      </c>
      <c r="L1530" s="76">
        <f>EFEITO!$N$1530*EFEITO!$AA$1530/(1-CUSTOS!$M$38)</f>
        <v>29.582896132104775</v>
      </c>
      <c r="M1530" s="76">
        <f>$J$1530-EFEITO!$K$1530*EFEITO!$Y$1530</f>
        <v>0</v>
      </c>
      <c r="N1530" s="76">
        <f ca="1">$K$1530-EFEITO!$M$1530*EFEITO!$Z$1530</f>
        <v>3.1879681275976921</v>
      </c>
      <c r="O1530" s="76">
        <f>$L$1530-EFEITO!$O$1530*EFEITO!$AA$1530</f>
        <v>1.7749737679262871</v>
      </c>
      <c r="P1530" s="18"/>
      <c r="Q1530" s="18"/>
      <c r="R1530" s="18"/>
      <c r="S1530" s="18"/>
      <c r="T1530" s="18"/>
      <c r="U1530" s="18"/>
      <c r="V1530" s="18"/>
      <c r="W1530" s="18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</row>
    <row r="1531" spans="1:36" ht="11.25" customHeight="1" x14ac:dyDescent="0.2">
      <c r="A1531" s="62" t="s">
        <v>21</v>
      </c>
      <c r="B1531" s="62" t="s">
        <v>44</v>
      </c>
      <c r="C1531" s="62" t="s">
        <v>33</v>
      </c>
      <c r="D1531" s="62" t="s">
        <v>45</v>
      </c>
      <c r="E1531" s="62" t="s">
        <v>25</v>
      </c>
      <c r="F1531" s="62" t="s">
        <v>25</v>
      </c>
      <c r="G1531" s="62" t="s">
        <v>25</v>
      </c>
      <c r="H1531" s="62" t="s">
        <v>34</v>
      </c>
      <c r="I1531" s="75">
        <v>44501</v>
      </c>
      <c r="J1531" s="76">
        <f>EFEITO!$J$1531*EFEITO!$Y$1531/(1-CUSTOS!$M$38)</f>
        <v>0</v>
      </c>
      <c r="K1531" s="76">
        <f ca="1">EFEITO!$L$1531*EFEITO!$Z$1531/(1-CUSTOS!$M$38)</f>
        <v>589.04123736934275</v>
      </c>
      <c r="L1531" s="76">
        <f>EFEITO!$N$1531*EFEITO!$AA$1531/(1-CUSTOS!$M$38)</f>
        <v>327.96210711971327</v>
      </c>
      <c r="M1531" s="76">
        <f>$J$1531-EFEITO!$K$1531*EFEITO!$Y$1531</f>
        <v>0</v>
      </c>
      <c r="N1531" s="76">
        <f ca="1">$K$1531-EFEITO!$M$1531*EFEITO!$Z$1531</f>
        <v>35.34247424216062</v>
      </c>
      <c r="O1531" s="76">
        <f>$L$1531-EFEITO!$O$1531*EFEITO!$AA$1531</f>
        <v>19.67772642718279</v>
      </c>
      <c r="P1531" s="18"/>
      <c r="Q1531" s="18"/>
      <c r="R1531" s="18"/>
      <c r="S1531" s="18"/>
      <c r="T1531" s="18"/>
      <c r="U1531" s="18"/>
      <c r="V1531" s="18"/>
      <c r="W1531" s="18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</row>
    <row r="1532" spans="1:36" ht="11.25" customHeight="1" x14ac:dyDescent="0.2">
      <c r="A1532" s="62" t="s">
        <v>21</v>
      </c>
      <c r="B1532" s="62" t="s">
        <v>44</v>
      </c>
      <c r="C1532" s="62" t="s">
        <v>33</v>
      </c>
      <c r="D1532" s="62" t="s">
        <v>45</v>
      </c>
      <c r="E1532" s="62" t="s">
        <v>25</v>
      </c>
      <c r="F1532" s="62" t="s">
        <v>25</v>
      </c>
      <c r="G1532" s="62" t="s">
        <v>25</v>
      </c>
      <c r="H1532" s="62" t="s">
        <v>34</v>
      </c>
      <c r="I1532" s="75">
        <v>44531</v>
      </c>
      <c r="J1532" s="76">
        <f>EFEITO!$J$1532*EFEITO!$Y$1532/(1-CUSTOS!$M$38)</f>
        <v>0</v>
      </c>
      <c r="K1532" s="76">
        <f ca="1">EFEITO!$L$1532*EFEITO!$Z$1532/(1-CUSTOS!$M$38)</f>
        <v>68.706209646501875</v>
      </c>
      <c r="L1532" s="76">
        <f>EFEITO!$N$1532*EFEITO!$AA$1532/(1-CUSTOS!$M$38)</f>
        <v>38.253744998411342</v>
      </c>
      <c r="M1532" s="76">
        <f>$J$1532-EFEITO!$K$1532*EFEITO!$Y$1532</f>
        <v>0</v>
      </c>
      <c r="N1532" s="76">
        <f ca="1">$K$1532-EFEITO!$M$1532*EFEITO!$Z$1532</f>
        <v>4.1223725787901202</v>
      </c>
      <c r="O1532" s="76">
        <f>$L$1532-EFEITO!$O$1532*EFEITO!$AA$1532</f>
        <v>2.2952246999046793</v>
      </c>
      <c r="P1532" s="18"/>
      <c r="Q1532" s="18"/>
      <c r="R1532" s="18"/>
      <c r="S1532" s="18"/>
      <c r="T1532" s="18"/>
      <c r="U1532" s="18"/>
      <c r="V1532" s="18"/>
      <c r="W1532" s="18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</row>
    <row r="1533" spans="1:36" ht="11.25" customHeight="1" x14ac:dyDescent="0.2">
      <c r="A1533" s="62" t="s">
        <v>21</v>
      </c>
      <c r="B1533" s="62" t="s">
        <v>44</v>
      </c>
      <c r="C1533" s="62" t="s">
        <v>33</v>
      </c>
      <c r="D1533" s="62" t="s">
        <v>45</v>
      </c>
      <c r="E1533" s="62" t="s">
        <v>25</v>
      </c>
      <c r="F1533" s="62" t="s">
        <v>25</v>
      </c>
      <c r="G1533" s="62" t="s">
        <v>25</v>
      </c>
      <c r="H1533" s="62" t="s">
        <v>34</v>
      </c>
      <c r="I1533" s="75">
        <v>44562</v>
      </c>
      <c r="J1533" s="76">
        <f>EFEITO!$J$1533*EFEITO!$Y$1533/(1-CUSTOS!$M$38)</f>
        <v>0</v>
      </c>
      <c r="K1533" s="76">
        <f ca="1">EFEITO!$L$1533*EFEITO!$Z$1533/(1-CUSTOS!$M$38)</f>
        <v>43.971974173761197</v>
      </c>
      <c r="L1533" s="76">
        <f>EFEITO!$N$1533*EFEITO!$AA$1533/(1-CUSTOS!$M$38)</f>
        <v>24.482396798983263</v>
      </c>
      <c r="M1533" s="76">
        <f>$J$1533-EFEITO!$K$1533*EFEITO!$Y$1533</f>
        <v>0</v>
      </c>
      <c r="N1533" s="76">
        <f ca="1">$K$1533-EFEITO!$M$1533*EFEITO!$Z$1533</f>
        <v>2.6383184504256718</v>
      </c>
      <c r="O1533" s="76">
        <f>$L$1533-EFEITO!$O$1533*EFEITO!$AA$1533</f>
        <v>1.4689438079389987</v>
      </c>
      <c r="P1533" s="18"/>
      <c r="Q1533" s="18"/>
      <c r="R1533" s="18"/>
      <c r="S1533" s="18"/>
      <c r="T1533" s="18"/>
      <c r="U1533" s="18"/>
      <c r="V1533" s="18"/>
      <c r="W1533" s="18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</row>
    <row r="1534" spans="1:36" ht="11.25" customHeight="1" x14ac:dyDescent="0.2">
      <c r="A1534" s="62" t="s">
        <v>27</v>
      </c>
      <c r="B1534" s="62" t="s">
        <v>44</v>
      </c>
      <c r="C1534" s="62" t="s">
        <v>33</v>
      </c>
      <c r="D1534" s="62" t="s">
        <v>45</v>
      </c>
      <c r="E1534" s="62" t="s">
        <v>25</v>
      </c>
      <c r="F1534" s="62" t="s">
        <v>25</v>
      </c>
      <c r="G1534" s="62" t="s">
        <v>25</v>
      </c>
      <c r="H1534" s="62" t="s">
        <v>34</v>
      </c>
      <c r="I1534" s="75">
        <v>44562</v>
      </c>
      <c r="J1534" s="76">
        <f>EFEITO!$J$1534*EFEITO!$Y$1534/(1-CUSTOS!$M$38)</f>
        <v>0</v>
      </c>
      <c r="K1534" s="76">
        <f ca="1">EFEITO!$L$1534*EFEITO!$Z$1534/(1-CUSTOS!$M$38)</f>
        <v>-565.22308469188886</v>
      </c>
      <c r="L1534" s="76">
        <f>EFEITO!$N$1534*EFEITO!$AA$1534/(1-CUSTOS!$M$38)</f>
        <v>-314.70080885359732</v>
      </c>
      <c r="M1534" s="76">
        <f>$J$1534-EFEITO!$K$1534*EFEITO!$Y$1534</f>
        <v>0</v>
      </c>
      <c r="N1534" s="76">
        <f ca="1">$K$1534-EFEITO!$M$1534*EFEITO!$Z$1534</f>
        <v>-33.913385081513411</v>
      </c>
      <c r="O1534" s="76">
        <f>$L$1534-EFEITO!$O$1534*EFEITO!$AA$1534</f>
        <v>-18.882048531215844</v>
      </c>
      <c r="P1534" s="18"/>
      <c r="Q1534" s="18"/>
      <c r="R1534" s="18"/>
      <c r="S1534" s="18"/>
      <c r="T1534" s="18"/>
      <c r="U1534" s="18"/>
      <c r="V1534" s="18"/>
      <c r="W1534" s="18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</row>
    <row r="1535" spans="1:36" ht="11.25" customHeight="1" x14ac:dyDescent="0.2">
      <c r="A1535" s="62" t="s">
        <v>21</v>
      </c>
      <c r="B1535" s="62" t="s">
        <v>44</v>
      </c>
      <c r="C1535" s="62" t="s">
        <v>33</v>
      </c>
      <c r="D1535" s="62" t="s">
        <v>45</v>
      </c>
      <c r="E1535" s="62" t="s">
        <v>25</v>
      </c>
      <c r="F1535" s="62" t="s">
        <v>25</v>
      </c>
      <c r="G1535" s="62" t="s">
        <v>25</v>
      </c>
      <c r="H1535" s="62" t="s">
        <v>34</v>
      </c>
      <c r="I1535" s="75">
        <v>44593</v>
      </c>
      <c r="J1535" s="76">
        <f>EFEITO!$J$1535*EFEITO!$Y$1535/(1-CUSTOS!$M$38)</f>
        <v>0</v>
      </c>
      <c r="K1535" s="76">
        <f ca="1">EFEITO!$L$1535*EFEITO!$Z$1535/(1-CUSTOS!$M$38)</f>
        <v>28.398566653887443</v>
      </c>
      <c r="L1535" s="76">
        <f>EFEITO!$N$1535*EFEITO!$AA$1535/(1-CUSTOS!$M$38)</f>
        <v>15.811547932676691</v>
      </c>
      <c r="M1535" s="76">
        <f>$J$1535-EFEITO!$K$1535*EFEITO!$Y$1535</f>
        <v>0</v>
      </c>
      <c r="N1535" s="76">
        <f ca="1">$K$1535-EFEITO!$M$1535*EFEITO!$Z$1535</f>
        <v>1.7039139992332473</v>
      </c>
      <c r="O1535" s="76">
        <f>$L$1535-EFEITO!$O$1535*EFEITO!$AA$1535</f>
        <v>0.94869287596060303</v>
      </c>
      <c r="P1535" s="18"/>
      <c r="Q1535" s="18"/>
      <c r="R1535" s="18"/>
      <c r="S1535" s="18"/>
      <c r="T1535" s="18"/>
      <c r="U1535" s="18"/>
      <c r="V1535" s="18"/>
      <c r="W1535" s="18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</row>
    <row r="1536" spans="1:36" ht="11.25" customHeight="1" x14ac:dyDescent="0.2">
      <c r="A1536" s="62" t="s">
        <v>21</v>
      </c>
      <c r="B1536" s="62" t="s">
        <v>44</v>
      </c>
      <c r="C1536" s="62" t="s">
        <v>33</v>
      </c>
      <c r="D1536" s="62" t="s">
        <v>45</v>
      </c>
      <c r="E1536" s="62" t="s">
        <v>25</v>
      </c>
      <c r="F1536" s="62" t="s">
        <v>25</v>
      </c>
      <c r="G1536" s="62" t="s">
        <v>25</v>
      </c>
      <c r="H1536" s="62" t="s">
        <v>34</v>
      </c>
      <c r="I1536" s="75">
        <v>44621</v>
      </c>
      <c r="J1536" s="76">
        <f>EFEITO!$J$1536*EFEITO!$Y$1536/(1-CUSTOS!$M$38)</f>
        <v>0</v>
      </c>
      <c r="K1536" s="76">
        <f ca="1">EFEITO!$L$1536*EFEITO!$Z$1536/(1-CUSTOS!$M$38)</f>
        <v>37.55939460675436</v>
      </c>
      <c r="L1536" s="76">
        <f>EFEITO!$N$1536*EFEITO!$AA$1536/(1-CUSTOS!$M$38)</f>
        <v>20.912047265798204</v>
      </c>
      <c r="M1536" s="76">
        <f>$J$1536-EFEITO!$K$1536*EFEITO!$Y$1536</f>
        <v>0</v>
      </c>
      <c r="N1536" s="76">
        <f ca="1">$K$1536-EFEITO!$M$1536*EFEITO!$Z$1536</f>
        <v>2.253563676405264</v>
      </c>
      <c r="O1536" s="76">
        <f>$L$1536-EFEITO!$O$1536*EFEITO!$AA$1536</f>
        <v>1.254722835947895</v>
      </c>
      <c r="P1536" s="18"/>
      <c r="Q1536" s="18"/>
      <c r="R1536" s="18"/>
      <c r="S1536" s="18"/>
      <c r="T1536" s="18"/>
      <c r="U1536" s="18"/>
      <c r="V1536" s="18"/>
      <c r="W1536" s="18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</row>
    <row r="1537" spans="1:36" ht="11.25" customHeight="1" x14ac:dyDescent="0.2">
      <c r="A1537" s="62" t="s">
        <v>21</v>
      </c>
      <c r="B1537" s="62" t="s">
        <v>44</v>
      </c>
      <c r="C1537" s="62" t="s">
        <v>33</v>
      </c>
      <c r="D1537" s="62" t="s">
        <v>45</v>
      </c>
      <c r="E1537" s="62" t="s">
        <v>25</v>
      </c>
      <c r="F1537" s="62" t="s">
        <v>25</v>
      </c>
      <c r="G1537" s="62" t="s">
        <v>25</v>
      </c>
      <c r="H1537" s="62" t="s">
        <v>34</v>
      </c>
      <c r="I1537" s="75">
        <v>44652</v>
      </c>
      <c r="J1537" s="76">
        <f>EFEITO!$J$1537*EFEITO!$Y$1537/(1-CUSTOS!$M$38)</f>
        <v>0</v>
      </c>
      <c r="K1537" s="76">
        <f ca="1">EFEITO!$L$1537*EFEITO!$Z$1537/(1-CUSTOS!$M$38)</f>
        <v>40.307642992614433</v>
      </c>
      <c r="L1537" s="76">
        <f>EFEITO!$N$1537*EFEITO!$AA$1537/(1-CUSTOS!$M$38)</f>
        <v>22.442197065734653</v>
      </c>
      <c r="M1537" s="76">
        <f>$J$1537-EFEITO!$K$1537*EFEITO!$Y$1537</f>
        <v>0</v>
      </c>
      <c r="N1537" s="76">
        <f ca="1">$K$1537-EFEITO!$M$1537*EFEITO!$Z$1537</f>
        <v>2.4184585795568694</v>
      </c>
      <c r="O1537" s="76">
        <f>$L$1537-EFEITO!$O$1537*EFEITO!$AA$1537</f>
        <v>1.3465318239440798</v>
      </c>
      <c r="P1537" s="18"/>
      <c r="Q1537" s="18"/>
      <c r="R1537" s="18"/>
      <c r="S1537" s="18"/>
      <c r="T1537" s="18"/>
      <c r="U1537" s="18"/>
      <c r="V1537" s="18"/>
      <c r="W1537" s="18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</row>
    <row r="1538" spans="1:36" ht="11.25" customHeight="1" x14ac:dyDescent="0.2">
      <c r="A1538" s="62" t="s">
        <v>58</v>
      </c>
      <c r="B1538" s="62" t="s">
        <v>44</v>
      </c>
      <c r="C1538" s="62" t="s">
        <v>33</v>
      </c>
      <c r="D1538" s="62" t="s">
        <v>45</v>
      </c>
      <c r="E1538" s="62" t="s">
        <v>25</v>
      </c>
      <c r="F1538" s="62" t="s">
        <v>25</v>
      </c>
      <c r="G1538" s="62" t="s">
        <v>25</v>
      </c>
      <c r="H1538" s="62" t="s">
        <v>34</v>
      </c>
      <c r="I1538" s="75">
        <v>44682</v>
      </c>
      <c r="J1538" s="76">
        <f>EFEITO!$J$1538*EFEITO!$Y$1538/(1-CUSTOS!$M$38)</f>
        <v>0</v>
      </c>
      <c r="K1538" s="76">
        <f ca="1">EFEITO!$L$1538*EFEITO!$Z$1538/(1-CUSTOS!$M$38)</f>
        <v>40.307642992614433</v>
      </c>
      <c r="L1538" s="76">
        <f>EFEITO!$N$1538*EFEITO!$AA$1538/(1-CUSTOS!$M$38)</f>
        <v>22.442197065734653</v>
      </c>
      <c r="M1538" s="76">
        <f>$J$1538-EFEITO!$K$1538*EFEITO!$Y$1538</f>
        <v>0</v>
      </c>
      <c r="N1538" s="76">
        <f ca="1">$K$1538-EFEITO!$M$1538*EFEITO!$Z$1538</f>
        <v>2.4184585795568694</v>
      </c>
      <c r="O1538" s="76">
        <f>$L$1538-EFEITO!$O$1538*EFEITO!$AA$1538</f>
        <v>1.3465318239440798</v>
      </c>
      <c r="P1538" s="18"/>
      <c r="Q1538" s="18"/>
      <c r="R1538" s="18"/>
      <c r="S1538" s="18"/>
      <c r="T1538" s="18"/>
      <c r="U1538" s="18"/>
      <c r="V1538" s="18"/>
      <c r="W1538" s="18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</row>
    <row r="1539" spans="1:36" ht="11.25" customHeight="1" x14ac:dyDescent="0.2">
      <c r="A1539" s="62" t="s">
        <v>21</v>
      </c>
      <c r="B1539" s="62" t="s">
        <v>44</v>
      </c>
      <c r="C1539" s="62" t="s">
        <v>23</v>
      </c>
      <c r="D1539" s="62" t="s">
        <v>45</v>
      </c>
      <c r="E1539" s="62" t="s">
        <v>54</v>
      </c>
      <c r="F1539" s="62" t="s">
        <v>55</v>
      </c>
      <c r="G1539" s="62" t="s">
        <v>25</v>
      </c>
      <c r="H1539" s="62" t="s">
        <v>25</v>
      </c>
      <c r="I1539" s="75">
        <v>44348</v>
      </c>
      <c r="J1539" s="76">
        <f>EFEITO!$J$1539*EFEITO!$Y$1303</f>
        <v>0</v>
      </c>
      <c r="K1539" s="76">
        <f ca="1">EFEITO!$L$1539*EFEITO!$Z$1303</f>
        <v>24080.388631630954</v>
      </c>
      <c r="L1539" s="76">
        <f>EFEITO!$N$1539*EFEITO!$AA$1303</f>
        <v>18172.876234231626</v>
      </c>
      <c r="M1539" s="76">
        <f>$J$1539-EFEITO!$K$1539*EFEITO!$Y$1539</f>
        <v>0</v>
      </c>
      <c r="N1539" s="76">
        <f ca="1">$K$1539-EFEITO!$M$1539*EFEITO!$Z$1539</f>
        <v>1444.8233178978553</v>
      </c>
      <c r="O1539" s="76">
        <f>$L$1539-EFEITO!$O$1539*EFEITO!$AA$1539</f>
        <v>1090.3725740538976</v>
      </c>
      <c r="P1539" s="18"/>
      <c r="Q1539" s="18"/>
      <c r="R1539" s="18"/>
      <c r="S1539" s="18"/>
      <c r="T1539" s="18"/>
      <c r="U1539" s="18"/>
      <c r="V1539" s="18"/>
      <c r="W1539" s="18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</row>
    <row r="1540" spans="1:36" ht="11.25" customHeight="1" x14ac:dyDescent="0.2">
      <c r="A1540" s="62" t="s">
        <v>28</v>
      </c>
      <c r="B1540" s="62" t="s">
        <v>44</v>
      </c>
      <c r="C1540" s="62" t="s">
        <v>23</v>
      </c>
      <c r="D1540" s="62" t="s">
        <v>45</v>
      </c>
      <c r="E1540" s="62" t="s">
        <v>54</v>
      </c>
      <c r="F1540" s="62" t="s">
        <v>55</v>
      </c>
      <c r="G1540" s="62" t="s">
        <v>25</v>
      </c>
      <c r="H1540" s="62" t="s">
        <v>25</v>
      </c>
      <c r="I1540" s="75">
        <v>44348</v>
      </c>
      <c r="J1540" s="76">
        <f>EFEITO!$J$1540*EFEITO!$Y$1303</f>
        <v>0</v>
      </c>
      <c r="K1540" s="76">
        <f ca="1">EFEITO!$L$1540*EFEITO!$Z$1303</f>
        <v>2248.1319092163126</v>
      </c>
      <c r="L1540" s="76">
        <f>EFEITO!$N$1540*EFEITO!$AA$1303</f>
        <v>1696.609783562609</v>
      </c>
      <c r="M1540" s="76">
        <f>$J$1540-EFEITO!$K$1540*EFEITO!$Y$1540</f>
        <v>0</v>
      </c>
      <c r="N1540" s="76">
        <f ca="1">$K$1540-EFEITO!$M$1540*EFEITO!$Z$1540</f>
        <v>134.8879145529786</v>
      </c>
      <c r="O1540" s="76">
        <f>$L$1540-EFEITO!$O$1540*EFEITO!$AA$1540</f>
        <v>101.79658701375661</v>
      </c>
      <c r="P1540" s="18"/>
      <c r="Q1540" s="18"/>
      <c r="R1540" s="18"/>
      <c r="S1540" s="18"/>
      <c r="T1540" s="18"/>
      <c r="U1540" s="18"/>
      <c r="V1540" s="18"/>
      <c r="W1540" s="18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</row>
    <row r="1541" spans="1:36" ht="11.25" customHeight="1" x14ac:dyDescent="0.2">
      <c r="A1541" s="62" t="s">
        <v>21</v>
      </c>
      <c r="B1541" s="62" t="s">
        <v>44</v>
      </c>
      <c r="C1541" s="62" t="s">
        <v>23</v>
      </c>
      <c r="D1541" s="62" t="s">
        <v>45</v>
      </c>
      <c r="E1541" s="62" t="s">
        <v>54</v>
      </c>
      <c r="F1541" s="62" t="s">
        <v>55</v>
      </c>
      <c r="G1541" s="62" t="s">
        <v>25</v>
      </c>
      <c r="H1541" s="62" t="s">
        <v>25</v>
      </c>
      <c r="I1541" s="75">
        <v>44378</v>
      </c>
      <c r="J1541" s="76">
        <f>EFEITO!$J$1541*EFEITO!$Y$1303</f>
        <v>0</v>
      </c>
      <c r="K1541" s="76">
        <f ca="1">EFEITO!$L$1541*EFEITO!$Z$1303</f>
        <v>24943.475605132302</v>
      </c>
      <c r="L1541" s="76">
        <f>EFEITO!$N$1541*EFEITO!$AA$1303</f>
        <v>18824.226716516398</v>
      </c>
      <c r="M1541" s="76">
        <f>$J$1541-EFEITO!$K$1541*EFEITO!$Y$1541</f>
        <v>0</v>
      </c>
      <c r="N1541" s="76">
        <f ca="1">$K$1541-EFEITO!$M$1541*EFEITO!$Z$1541</f>
        <v>1496.6085363079364</v>
      </c>
      <c r="O1541" s="76">
        <f>$L$1541-EFEITO!$O$1541*EFEITO!$AA$1541</f>
        <v>1129.4536029909832</v>
      </c>
      <c r="P1541" s="18"/>
      <c r="Q1541" s="18"/>
      <c r="R1541" s="18"/>
      <c r="S1541" s="18"/>
      <c r="T1541" s="18"/>
      <c r="U1541" s="18"/>
      <c r="V1541" s="18"/>
      <c r="W1541" s="18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</row>
    <row r="1542" spans="1:36" ht="11.25" customHeight="1" x14ac:dyDescent="0.2">
      <c r="A1542" s="62" t="s">
        <v>27</v>
      </c>
      <c r="B1542" s="62" t="s">
        <v>44</v>
      </c>
      <c r="C1542" s="62" t="s">
        <v>23</v>
      </c>
      <c r="D1542" s="62" t="s">
        <v>45</v>
      </c>
      <c r="E1542" s="62" t="s">
        <v>54</v>
      </c>
      <c r="F1542" s="62" t="s">
        <v>55</v>
      </c>
      <c r="G1542" s="62" t="s">
        <v>25</v>
      </c>
      <c r="H1542" s="62" t="s">
        <v>25</v>
      </c>
      <c r="I1542" s="75">
        <v>44378</v>
      </c>
      <c r="J1542" s="76">
        <f>EFEITO!$J$1542*EFEITO!$Y$1303</f>
        <v>0</v>
      </c>
      <c r="K1542" s="76">
        <f ca="1">EFEITO!$L$1542*EFEITO!$Z$1303</f>
        <v>-1537.4828677756791</v>
      </c>
      <c r="L1542" s="76">
        <f>EFEITO!$N$1542*EFEITO!$AA$1303</f>
        <v>-1160.3004542724661</v>
      </c>
      <c r="M1542" s="76">
        <f>$J$1542-EFEITO!$K$1542*EFEITO!$Y$1542</f>
        <v>0</v>
      </c>
      <c r="N1542" s="76">
        <f ca="1">$K$1542-EFEITO!$M$1542*EFEITO!$Z$1542</f>
        <v>-92.248972066540773</v>
      </c>
      <c r="O1542" s="76">
        <f>$L$1542-EFEITO!$O$1542*EFEITO!$AA$1542</f>
        <v>-69.618027256347887</v>
      </c>
      <c r="P1542" s="18"/>
      <c r="Q1542" s="18"/>
      <c r="R1542" s="18"/>
      <c r="S1542" s="18"/>
      <c r="T1542" s="18"/>
      <c r="U1542" s="18"/>
      <c r="V1542" s="18"/>
      <c r="W1542" s="18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</row>
    <row r="1543" spans="1:36" ht="11.25" customHeight="1" x14ac:dyDescent="0.2">
      <c r="A1543" s="62" t="s">
        <v>28</v>
      </c>
      <c r="B1543" s="62" t="s">
        <v>44</v>
      </c>
      <c r="C1543" s="62" t="s">
        <v>23</v>
      </c>
      <c r="D1543" s="62" t="s">
        <v>45</v>
      </c>
      <c r="E1543" s="62" t="s">
        <v>54</v>
      </c>
      <c r="F1543" s="62" t="s">
        <v>55</v>
      </c>
      <c r="G1543" s="62" t="s">
        <v>25</v>
      </c>
      <c r="H1543" s="62" t="s">
        <v>25</v>
      </c>
      <c r="I1543" s="75">
        <v>44378</v>
      </c>
      <c r="J1543" s="76">
        <f>EFEITO!$J$1543*EFEITO!$Y$1303</f>
        <v>0</v>
      </c>
      <c r="K1543" s="76">
        <f ca="1">EFEITO!$L$1543*EFEITO!$Z$1303</f>
        <v>2713.744618605197</v>
      </c>
      <c r="L1543" s="76">
        <f>EFEITO!$N$1543*EFEITO!$AA$1303</f>
        <v>2047.9962279530773</v>
      </c>
      <c r="M1543" s="76">
        <f>$J$1543-EFEITO!$K$1543*EFEITO!$Y$1543</f>
        <v>0</v>
      </c>
      <c r="N1543" s="76">
        <f ca="1">$K$1543-EFEITO!$M$1543*EFEITO!$Z$1543</f>
        <v>162.8246771163117</v>
      </c>
      <c r="O1543" s="76">
        <f>$L$1543-EFEITO!$O$1543*EFEITO!$AA$1543</f>
        <v>122.87977367718463</v>
      </c>
      <c r="P1543" s="18"/>
      <c r="Q1543" s="18"/>
      <c r="R1543" s="18"/>
      <c r="S1543" s="18"/>
      <c r="T1543" s="18"/>
      <c r="U1543" s="18"/>
      <c r="V1543" s="18"/>
      <c r="W1543" s="18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</row>
    <row r="1544" spans="1:36" ht="11.25" customHeight="1" x14ac:dyDescent="0.2">
      <c r="A1544" s="62" t="s">
        <v>28</v>
      </c>
      <c r="B1544" s="62" t="s">
        <v>44</v>
      </c>
      <c r="C1544" s="62" t="s">
        <v>23</v>
      </c>
      <c r="D1544" s="62" t="s">
        <v>45</v>
      </c>
      <c r="E1544" s="62" t="s">
        <v>54</v>
      </c>
      <c r="F1544" s="62" t="s">
        <v>55</v>
      </c>
      <c r="G1544" s="62" t="s">
        <v>25</v>
      </c>
      <c r="H1544" s="62" t="s">
        <v>25</v>
      </c>
      <c r="I1544" s="75">
        <v>44378</v>
      </c>
      <c r="J1544" s="76">
        <f>EFEITO!$J$1544*EFEITO!$Y$1303</f>
        <v>0</v>
      </c>
      <c r="K1544" s="76">
        <f ca="1">EFEITO!$L$1544*EFEITO!$Z$1303</f>
        <v>-49440.557036722916</v>
      </c>
      <c r="L1544" s="76">
        <f>EFEITO!$N$1544*EFEITO!$AA$1303</f>
        <v>-37311.570744320728</v>
      </c>
      <c r="M1544" s="76">
        <f>$J$1544-EFEITO!$K$1544*EFEITO!$Y$1544</f>
        <v>0</v>
      </c>
      <c r="N1544" s="76">
        <f ca="1">$K$1544-EFEITO!$M$1544*EFEITO!$Z$1544</f>
        <v>-2966.4334222033795</v>
      </c>
      <c r="O1544" s="76">
        <f>$L$1544-EFEITO!$O$1544*EFEITO!$AA$1544</f>
        <v>-2238.6942446592439</v>
      </c>
      <c r="P1544" s="18"/>
      <c r="Q1544" s="18"/>
      <c r="R1544" s="18"/>
      <c r="S1544" s="18"/>
      <c r="T1544" s="18"/>
      <c r="U1544" s="18"/>
      <c r="V1544" s="18"/>
      <c r="W1544" s="18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</row>
    <row r="1545" spans="1:36" ht="11.25" customHeight="1" x14ac:dyDescent="0.2">
      <c r="A1545" s="62" t="s">
        <v>21</v>
      </c>
      <c r="B1545" s="62" t="s">
        <v>44</v>
      </c>
      <c r="C1545" s="62" t="s">
        <v>23</v>
      </c>
      <c r="D1545" s="62" t="s">
        <v>45</v>
      </c>
      <c r="E1545" s="62" t="s">
        <v>54</v>
      </c>
      <c r="F1545" s="62" t="s">
        <v>55</v>
      </c>
      <c r="G1545" s="62" t="s">
        <v>25</v>
      </c>
      <c r="H1545" s="62" t="s">
        <v>25</v>
      </c>
      <c r="I1545" s="75">
        <v>44409</v>
      </c>
      <c r="J1545" s="76">
        <f>EFEITO!$J$1545*EFEITO!$Y$1303</f>
        <v>0</v>
      </c>
      <c r="K1545" s="76">
        <f ca="1">EFEITO!$L$1545*EFEITO!$Z$1303</f>
        <v>24391.379484431036</v>
      </c>
      <c r="L1545" s="76">
        <f>EFEITO!$N$1545*EFEITO!$AA$1303</f>
        <v>18407.573371573104</v>
      </c>
      <c r="M1545" s="76">
        <f>$J$1545-EFEITO!$K$1545*EFEITO!$Y$1545</f>
        <v>0</v>
      </c>
      <c r="N1545" s="76">
        <f ca="1">$K$1545-EFEITO!$M$1545*EFEITO!$Z$1545</f>
        <v>1463.4827690658603</v>
      </c>
      <c r="O1545" s="76">
        <f>$L$1545-EFEITO!$O$1545*EFEITO!$AA$1545</f>
        <v>1104.4544022943846</v>
      </c>
      <c r="P1545" s="18"/>
      <c r="Q1545" s="18"/>
      <c r="R1545" s="18"/>
      <c r="S1545" s="18"/>
      <c r="T1545" s="18"/>
      <c r="U1545" s="18"/>
      <c r="V1545" s="18"/>
      <c r="W1545" s="18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</row>
    <row r="1546" spans="1:36" ht="11.25" customHeight="1" x14ac:dyDescent="0.2">
      <c r="A1546" s="62" t="s">
        <v>27</v>
      </c>
      <c r="B1546" s="62" t="s">
        <v>44</v>
      </c>
      <c r="C1546" s="62" t="s">
        <v>23</v>
      </c>
      <c r="D1546" s="62" t="s">
        <v>45</v>
      </c>
      <c r="E1546" s="62" t="s">
        <v>54</v>
      </c>
      <c r="F1546" s="62" t="s">
        <v>55</v>
      </c>
      <c r="G1546" s="62" t="s">
        <v>25</v>
      </c>
      <c r="H1546" s="62" t="s">
        <v>25</v>
      </c>
      <c r="I1546" s="75">
        <v>44409</v>
      </c>
      <c r="J1546" s="76">
        <f>EFEITO!$J$1546*EFEITO!$Y$1303</f>
        <v>0</v>
      </c>
      <c r="K1546" s="76">
        <f ca="1">EFEITO!$L$1546*EFEITO!$Z$1303</f>
        <v>-4876.703471225982</v>
      </c>
      <c r="L1546" s="76">
        <f>EFEITO!$N$1546*EFEITO!$AA$1303</f>
        <v>-3680.3280033954779</v>
      </c>
      <c r="M1546" s="76">
        <f>$J$1546-EFEITO!$K$1546*EFEITO!$Y$1546</f>
        <v>0</v>
      </c>
      <c r="N1546" s="76">
        <f ca="1">$K$1546-EFEITO!$M$1546*EFEITO!$Z$1546</f>
        <v>-292.60220827355897</v>
      </c>
      <c r="O1546" s="76">
        <f>$L$1546-EFEITO!$O$1546*EFEITO!$AA$1546</f>
        <v>-220.81968020372824</v>
      </c>
      <c r="P1546" s="18"/>
      <c r="Q1546" s="18"/>
      <c r="R1546" s="18"/>
      <c r="S1546" s="18"/>
      <c r="T1546" s="18"/>
      <c r="U1546" s="18"/>
      <c r="V1546" s="18"/>
      <c r="W1546" s="18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</row>
    <row r="1547" spans="1:36" ht="11.25" customHeight="1" x14ac:dyDescent="0.2">
      <c r="A1547" s="62" t="s">
        <v>28</v>
      </c>
      <c r="B1547" s="62" t="s">
        <v>44</v>
      </c>
      <c r="C1547" s="62" t="s">
        <v>23</v>
      </c>
      <c r="D1547" s="62" t="s">
        <v>45</v>
      </c>
      <c r="E1547" s="62" t="s">
        <v>54</v>
      </c>
      <c r="F1547" s="62" t="s">
        <v>55</v>
      </c>
      <c r="G1547" s="62" t="s">
        <v>25</v>
      </c>
      <c r="H1547" s="62" t="s">
        <v>25</v>
      </c>
      <c r="I1547" s="75">
        <v>44409</v>
      </c>
      <c r="J1547" s="76">
        <f>EFEITO!$J$1547*EFEITO!$Y$1303</f>
        <v>0</v>
      </c>
      <c r="K1547" s="76">
        <f ca="1">EFEITO!$L$1547*EFEITO!$Z$1303</f>
        <v>2026.2451771623225</v>
      </c>
      <c r="L1547" s="76">
        <f>EFEITO!$N$1547*EFEITO!$AA$1303</f>
        <v>1529.1573316391962</v>
      </c>
      <c r="M1547" s="76">
        <f>$J$1547-EFEITO!$K$1547*EFEITO!$Y$1547</f>
        <v>0</v>
      </c>
      <c r="N1547" s="76">
        <f ca="1">$K$1547-EFEITO!$M$1547*EFEITO!$Z$1547</f>
        <v>121.57471062973923</v>
      </c>
      <c r="O1547" s="76">
        <f>$L$1547-EFEITO!$O$1547*EFEITO!$AA$1547</f>
        <v>91.749439898351739</v>
      </c>
      <c r="P1547" s="18"/>
      <c r="Q1547" s="18"/>
      <c r="R1547" s="18"/>
      <c r="S1547" s="18"/>
      <c r="T1547" s="18"/>
      <c r="U1547" s="18"/>
      <c r="V1547" s="18"/>
      <c r="W1547" s="18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</row>
    <row r="1548" spans="1:36" ht="11.25" customHeight="1" x14ac:dyDescent="0.2">
      <c r="A1548" s="62" t="s">
        <v>21</v>
      </c>
      <c r="B1548" s="62" t="s">
        <v>44</v>
      </c>
      <c r="C1548" s="62" t="s">
        <v>23</v>
      </c>
      <c r="D1548" s="62" t="s">
        <v>45</v>
      </c>
      <c r="E1548" s="62" t="s">
        <v>54</v>
      </c>
      <c r="F1548" s="62" t="s">
        <v>55</v>
      </c>
      <c r="G1548" s="62" t="s">
        <v>25</v>
      </c>
      <c r="H1548" s="62" t="s">
        <v>25</v>
      </c>
      <c r="I1548" s="75">
        <v>44440</v>
      </c>
      <c r="J1548" s="76">
        <f>EFEITO!$J$1548*EFEITO!$Y$1303</f>
        <v>0</v>
      </c>
      <c r="K1548" s="76">
        <f ca="1">EFEITO!$L$1548*EFEITO!$Z$1303</f>
        <v>31921.988042192537</v>
      </c>
      <c r="L1548" s="76">
        <f>EFEITO!$N$1548*EFEITO!$AA$1303</f>
        <v>24090.738181832079</v>
      </c>
      <c r="M1548" s="76">
        <f>$J$1548-EFEITO!$K$1548*EFEITO!$Y$1548</f>
        <v>0</v>
      </c>
      <c r="N1548" s="76">
        <f ca="1">$K$1548-EFEITO!$M$1548*EFEITO!$Z$1548</f>
        <v>1915.3192825315527</v>
      </c>
      <c r="O1548" s="76">
        <f>$L$1548-EFEITO!$O$1548*EFEITO!$AA$1548</f>
        <v>1445.4442909099234</v>
      </c>
      <c r="P1548" s="18"/>
      <c r="Q1548" s="18"/>
      <c r="R1548" s="18"/>
      <c r="S1548" s="18"/>
      <c r="T1548" s="18"/>
      <c r="U1548" s="18"/>
      <c r="V1548" s="18"/>
      <c r="W1548" s="18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</row>
    <row r="1549" spans="1:36" ht="11.25" customHeight="1" x14ac:dyDescent="0.2">
      <c r="A1549" s="62" t="s">
        <v>27</v>
      </c>
      <c r="B1549" s="62" t="s">
        <v>44</v>
      </c>
      <c r="C1549" s="62" t="s">
        <v>23</v>
      </c>
      <c r="D1549" s="62" t="s">
        <v>45</v>
      </c>
      <c r="E1549" s="62" t="s">
        <v>54</v>
      </c>
      <c r="F1549" s="62" t="s">
        <v>55</v>
      </c>
      <c r="G1549" s="62" t="s">
        <v>25</v>
      </c>
      <c r="H1549" s="62" t="s">
        <v>25</v>
      </c>
      <c r="I1549" s="75">
        <v>44440</v>
      </c>
      <c r="J1549" s="76">
        <f>EFEITO!$J$1549*EFEITO!$Y$1303</f>
        <v>0</v>
      </c>
      <c r="K1549" s="76">
        <f ca="1">EFEITO!$L$1549*EFEITO!$Z$1303</f>
        <v>22.276030186522622</v>
      </c>
      <c r="L1549" s="76">
        <f>EFEITO!$N$1549*EFEITO!$AA$1303</f>
        <v>16.811171354515842</v>
      </c>
      <c r="M1549" s="76">
        <f>$J$1549-EFEITO!$K$1549*EFEITO!$Y$1549</f>
        <v>0</v>
      </c>
      <c r="N1549" s="76">
        <f ca="1">$K$1549-EFEITO!$M$1549*EFEITO!$Z$1549</f>
        <v>1.3365618111913591</v>
      </c>
      <c r="O1549" s="76">
        <f>$L$1549-EFEITO!$O$1549*EFEITO!$AA$1549</f>
        <v>1.00867028127095</v>
      </c>
      <c r="P1549" s="18"/>
      <c r="Q1549" s="18"/>
      <c r="R1549" s="18"/>
      <c r="S1549" s="18"/>
      <c r="T1549" s="18"/>
      <c r="U1549" s="18"/>
      <c r="V1549" s="18"/>
      <c r="W1549" s="18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</row>
    <row r="1550" spans="1:36" ht="11.25" customHeight="1" x14ac:dyDescent="0.2">
      <c r="A1550" s="62" t="s">
        <v>28</v>
      </c>
      <c r="B1550" s="62" t="s">
        <v>44</v>
      </c>
      <c r="C1550" s="62" t="s">
        <v>23</v>
      </c>
      <c r="D1550" s="62" t="s">
        <v>45</v>
      </c>
      <c r="E1550" s="62" t="s">
        <v>54</v>
      </c>
      <c r="F1550" s="62" t="s">
        <v>55</v>
      </c>
      <c r="G1550" s="62" t="s">
        <v>25</v>
      </c>
      <c r="H1550" s="62" t="s">
        <v>25</v>
      </c>
      <c r="I1550" s="75">
        <v>44440</v>
      </c>
      <c r="J1550" s="76">
        <f>EFEITO!$J$1550*EFEITO!$Y$1303</f>
        <v>0</v>
      </c>
      <c r="K1550" s="76">
        <f ca="1">EFEITO!$L$1550*EFEITO!$Z$1303</f>
        <v>1814.4044979375485</v>
      </c>
      <c r="L1550" s="76">
        <f>EFEITO!$N$1550*EFEITO!$AA$1303</f>
        <v>1369.286388365859</v>
      </c>
      <c r="M1550" s="76">
        <f>$J$1550-EFEITO!$K$1550*EFEITO!$Y$1550</f>
        <v>0</v>
      </c>
      <c r="N1550" s="76">
        <f ca="1">$K$1550-EFEITO!$M$1550*EFEITO!$Z$1550</f>
        <v>108.86426987625282</v>
      </c>
      <c r="O1550" s="76">
        <f>$L$1550-EFEITO!$O$1550*EFEITO!$AA$1550</f>
        <v>82.157183301951363</v>
      </c>
      <c r="P1550" s="18"/>
      <c r="Q1550" s="18"/>
      <c r="R1550" s="18"/>
      <c r="S1550" s="18"/>
      <c r="T1550" s="18"/>
      <c r="U1550" s="18"/>
      <c r="V1550" s="18"/>
      <c r="W1550" s="18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</row>
    <row r="1551" spans="1:36" ht="11.25" customHeight="1" x14ac:dyDescent="0.2">
      <c r="A1551" s="62" t="s">
        <v>28</v>
      </c>
      <c r="B1551" s="62" t="s">
        <v>44</v>
      </c>
      <c r="C1551" s="62" t="s">
        <v>23</v>
      </c>
      <c r="D1551" s="62" t="s">
        <v>45</v>
      </c>
      <c r="E1551" s="62" t="s">
        <v>54</v>
      </c>
      <c r="F1551" s="62" t="s">
        <v>55</v>
      </c>
      <c r="G1551" s="62" t="s">
        <v>25</v>
      </c>
      <c r="H1551" s="62" t="s">
        <v>25</v>
      </c>
      <c r="I1551" s="75">
        <v>44440</v>
      </c>
      <c r="J1551" s="76">
        <f>EFEITO!$J$1551*EFEITO!$Y$1303</f>
        <v>0</v>
      </c>
      <c r="K1551" s="76">
        <f ca="1">EFEITO!$L$1551*EFEITO!$Z$1303</f>
        <v>-156.36899621127645</v>
      </c>
      <c r="L1551" s="76">
        <f>EFEITO!$N$1551*EFEITO!$AA$1303</f>
        <v>-118.00783029248376</v>
      </c>
      <c r="M1551" s="76">
        <f>$J$1551-EFEITO!$K$1551*EFEITO!$Y$1551</f>
        <v>0</v>
      </c>
      <c r="N1551" s="76">
        <f ca="1">$K$1551-EFEITO!$M$1551*EFEITO!$Z$1551</f>
        <v>-9.3821397726765952</v>
      </c>
      <c r="O1551" s="76">
        <f>$L$1551-EFEITO!$O$1551*EFEITO!$AA$1551</f>
        <v>-7.0804698175490159</v>
      </c>
      <c r="P1551" s="18"/>
      <c r="Q1551" s="18"/>
      <c r="R1551" s="18"/>
      <c r="S1551" s="18"/>
      <c r="T1551" s="18"/>
      <c r="U1551" s="18"/>
      <c r="V1551" s="18"/>
      <c r="W1551" s="18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</row>
    <row r="1552" spans="1:36" ht="11.25" customHeight="1" x14ac:dyDescent="0.2">
      <c r="A1552" s="62" t="s">
        <v>21</v>
      </c>
      <c r="B1552" s="62" t="s">
        <v>44</v>
      </c>
      <c r="C1552" s="62" t="s">
        <v>23</v>
      </c>
      <c r="D1552" s="62" t="s">
        <v>45</v>
      </c>
      <c r="E1552" s="62" t="s">
        <v>54</v>
      </c>
      <c r="F1552" s="62" t="s">
        <v>55</v>
      </c>
      <c r="G1552" s="62" t="s">
        <v>25</v>
      </c>
      <c r="H1552" s="62" t="s">
        <v>25</v>
      </c>
      <c r="I1552" s="75">
        <v>44470</v>
      </c>
      <c r="J1552" s="76">
        <f>EFEITO!$J$1552*EFEITO!$Y$1303</f>
        <v>0</v>
      </c>
      <c r="K1552" s="76">
        <f ca="1">EFEITO!$L$1552*EFEITO!$Z$1303</f>
        <v>19263.524692474653</v>
      </c>
      <c r="L1552" s="76">
        <f>EFEITO!$N$1552*EFEITO!$AA$1303</f>
        <v>14537.707651925732</v>
      </c>
      <c r="M1552" s="76">
        <f>$J$1552-EFEITO!$K$1552*EFEITO!$Y$1552</f>
        <v>0</v>
      </c>
      <c r="N1552" s="76">
        <f ca="1">$K$1552-EFEITO!$M$1552*EFEITO!$Z$1552</f>
        <v>1155.8114815484805</v>
      </c>
      <c r="O1552" s="76">
        <f>$L$1552-EFEITO!$O$1552*EFEITO!$AA$1552</f>
        <v>872.26245911554361</v>
      </c>
      <c r="P1552" s="18"/>
      <c r="Q1552" s="18"/>
      <c r="R1552" s="18"/>
      <c r="S1552" s="18"/>
      <c r="T1552" s="18"/>
      <c r="U1552" s="18"/>
      <c r="V1552" s="18"/>
      <c r="W1552" s="18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</row>
    <row r="1553" spans="1:36" ht="11.25" customHeight="1" x14ac:dyDescent="0.2">
      <c r="A1553" s="62" t="s">
        <v>27</v>
      </c>
      <c r="B1553" s="62" t="s">
        <v>44</v>
      </c>
      <c r="C1553" s="62" t="s">
        <v>23</v>
      </c>
      <c r="D1553" s="62" t="s">
        <v>45</v>
      </c>
      <c r="E1553" s="62" t="s">
        <v>54</v>
      </c>
      <c r="F1553" s="62" t="s">
        <v>55</v>
      </c>
      <c r="G1553" s="62" t="s">
        <v>25</v>
      </c>
      <c r="H1553" s="62" t="s">
        <v>25</v>
      </c>
      <c r="I1553" s="75">
        <v>44470</v>
      </c>
      <c r="J1553" s="76">
        <f>EFEITO!$J$1553*EFEITO!$Y$1303</f>
        <v>0</v>
      </c>
      <c r="K1553" s="76">
        <f ca="1">EFEITO!$L$1553*EFEITO!$Z$1303</f>
        <v>-777.91391690581941</v>
      </c>
      <c r="L1553" s="76">
        <f>EFEITO!$N$1553*EFEITO!$AA$1303</f>
        <v>-587.07247416456312</v>
      </c>
      <c r="M1553" s="76">
        <f>$J$1553-EFEITO!$K$1553*EFEITO!$Y$1553</f>
        <v>0</v>
      </c>
      <c r="N1553" s="76">
        <f ca="1">$K$1553-EFEITO!$M$1553*EFEITO!$Z$1553</f>
        <v>-46.674835014349128</v>
      </c>
      <c r="O1553" s="76">
        <f>$L$1553-EFEITO!$O$1553*EFEITO!$AA$1553</f>
        <v>-35.224348449873787</v>
      </c>
      <c r="P1553" s="18"/>
      <c r="Q1553" s="18"/>
      <c r="R1553" s="18"/>
      <c r="S1553" s="18"/>
      <c r="T1553" s="18"/>
      <c r="U1553" s="18"/>
      <c r="V1553" s="18"/>
      <c r="W1553" s="18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</row>
    <row r="1554" spans="1:36" ht="11.25" customHeight="1" x14ac:dyDescent="0.2">
      <c r="A1554" s="62" t="s">
        <v>28</v>
      </c>
      <c r="B1554" s="62" t="s">
        <v>44</v>
      </c>
      <c r="C1554" s="62" t="s">
        <v>23</v>
      </c>
      <c r="D1554" s="62" t="s">
        <v>45</v>
      </c>
      <c r="E1554" s="62" t="s">
        <v>54</v>
      </c>
      <c r="F1554" s="62" t="s">
        <v>55</v>
      </c>
      <c r="G1554" s="62" t="s">
        <v>25</v>
      </c>
      <c r="H1554" s="62" t="s">
        <v>25</v>
      </c>
      <c r="I1554" s="75">
        <v>44470</v>
      </c>
      <c r="J1554" s="76">
        <f>EFEITO!$J$1554*EFEITO!$Y$1303</f>
        <v>0</v>
      </c>
      <c r="K1554" s="76">
        <f ca="1">EFEITO!$L$1554*EFEITO!$Z$1303</f>
        <v>4278.3081505291975</v>
      </c>
      <c r="L1554" s="76">
        <f>EFEITO!$N$1554*EFEITO!$AA$1303</f>
        <v>3228.7337924996605</v>
      </c>
      <c r="M1554" s="76">
        <f>$J$1554-EFEITO!$K$1554*EFEITO!$Y$1554</f>
        <v>0</v>
      </c>
      <c r="N1554" s="76">
        <f ca="1">$K$1554-EFEITO!$M$1554*EFEITO!$Z$1554</f>
        <v>256.69848903175171</v>
      </c>
      <c r="O1554" s="76">
        <f>$L$1554-EFEITO!$O$1554*EFEITO!$AA$1554</f>
        <v>193.72402754997938</v>
      </c>
      <c r="P1554" s="18"/>
      <c r="Q1554" s="18"/>
      <c r="R1554" s="18"/>
      <c r="S1554" s="18"/>
      <c r="T1554" s="18"/>
      <c r="U1554" s="18"/>
      <c r="V1554" s="18"/>
      <c r="W1554" s="18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</row>
    <row r="1555" spans="1:36" ht="11.25" customHeight="1" x14ac:dyDescent="0.2">
      <c r="A1555" s="62" t="s">
        <v>21</v>
      </c>
      <c r="B1555" s="62" t="s">
        <v>44</v>
      </c>
      <c r="C1555" s="62" t="s">
        <v>23</v>
      </c>
      <c r="D1555" s="62" t="s">
        <v>45</v>
      </c>
      <c r="E1555" s="62" t="s">
        <v>54</v>
      </c>
      <c r="F1555" s="62" t="s">
        <v>55</v>
      </c>
      <c r="G1555" s="62" t="s">
        <v>25</v>
      </c>
      <c r="H1555" s="62" t="s">
        <v>25</v>
      </c>
      <c r="I1555" s="75">
        <v>44501</v>
      </c>
      <c r="J1555" s="76">
        <f>EFEITO!$J$1555*EFEITO!$Y$1303</f>
        <v>0</v>
      </c>
      <c r="K1555" s="76">
        <f ca="1">EFEITO!$L$1555*EFEITO!$Z$1303</f>
        <v>17088.77264740218</v>
      </c>
      <c r="L1555" s="76">
        <f>EFEITO!$N$1555*EFEITO!$AA$1303</f>
        <v>12896.475844589762</v>
      </c>
      <c r="M1555" s="76">
        <f>$J$1555-EFEITO!$K$1555*EFEITO!$Y$1555</f>
        <v>0</v>
      </c>
      <c r="N1555" s="76">
        <f ca="1">$K$1555-EFEITO!$M$1555*EFEITO!$Z$1555</f>
        <v>1025.3263588441314</v>
      </c>
      <c r="O1555" s="76">
        <f>$L$1555-EFEITO!$O$1555*EFEITO!$AA$1555</f>
        <v>773.78855067538461</v>
      </c>
      <c r="P1555" s="18"/>
      <c r="Q1555" s="18"/>
      <c r="R1555" s="18"/>
      <c r="S1555" s="18"/>
      <c r="T1555" s="18"/>
      <c r="U1555" s="18"/>
      <c r="V1555" s="18"/>
      <c r="W1555" s="18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</row>
    <row r="1556" spans="1:36" ht="11.25" customHeight="1" x14ac:dyDescent="0.2">
      <c r="A1556" s="62" t="s">
        <v>28</v>
      </c>
      <c r="B1556" s="62" t="s">
        <v>44</v>
      </c>
      <c r="C1556" s="62" t="s">
        <v>23</v>
      </c>
      <c r="D1556" s="62" t="s">
        <v>45</v>
      </c>
      <c r="E1556" s="62" t="s">
        <v>54</v>
      </c>
      <c r="F1556" s="62" t="s">
        <v>55</v>
      </c>
      <c r="G1556" s="62" t="s">
        <v>25</v>
      </c>
      <c r="H1556" s="62" t="s">
        <v>25</v>
      </c>
      <c r="I1556" s="75">
        <v>44501</v>
      </c>
      <c r="J1556" s="76">
        <f>EFEITO!$J$1556*EFEITO!$Y$1303</f>
        <v>0</v>
      </c>
      <c r="K1556" s="76">
        <f ca="1">EFEITO!$L$1556*EFEITO!$Z$1303</f>
        <v>872.25945651932705</v>
      </c>
      <c r="L1556" s="76">
        <f>EFEITO!$N$1556*EFEITO!$AA$1303</f>
        <v>658.27272931310085</v>
      </c>
      <c r="M1556" s="76">
        <f>$J$1556-EFEITO!$K$1556*EFEITO!$Y$1556</f>
        <v>0</v>
      </c>
      <c r="N1556" s="76">
        <f ca="1">$K$1556-EFEITO!$M$1556*EFEITO!$Z$1556</f>
        <v>52.335567391159543</v>
      </c>
      <c r="O1556" s="76">
        <f>$L$1556-EFEITO!$O$1556*EFEITO!$AA$1556</f>
        <v>39.49636375878606</v>
      </c>
      <c r="P1556" s="18"/>
      <c r="Q1556" s="18"/>
      <c r="R1556" s="18"/>
      <c r="S1556" s="18"/>
      <c r="T1556" s="18"/>
      <c r="U1556" s="18"/>
      <c r="V1556" s="18"/>
      <c r="W1556" s="18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</row>
    <row r="1557" spans="1:36" ht="11.25" customHeight="1" x14ac:dyDescent="0.2">
      <c r="A1557" s="62" t="s">
        <v>21</v>
      </c>
      <c r="B1557" s="62" t="s">
        <v>44</v>
      </c>
      <c r="C1557" s="62" t="s">
        <v>23</v>
      </c>
      <c r="D1557" s="62" t="s">
        <v>45</v>
      </c>
      <c r="E1557" s="62" t="s">
        <v>54</v>
      </c>
      <c r="F1557" s="62" t="s">
        <v>55</v>
      </c>
      <c r="G1557" s="62" t="s">
        <v>25</v>
      </c>
      <c r="H1557" s="62" t="s">
        <v>25</v>
      </c>
      <c r="I1557" s="75">
        <v>44531</v>
      </c>
      <c r="J1557" s="76">
        <f>EFEITO!$J$1557*EFEITO!$Y$1303</f>
        <v>0</v>
      </c>
      <c r="K1557" s="76">
        <f ca="1">EFEITO!$L$1557*EFEITO!$Z$1303</f>
        <v>14339.648451441915</v>
      </c>
      <c r="L1557" s="76">
        <f>EFEITO!$N$1557*EFEITO!$AA$1303</f>
        <v>10821.779520955983</v>
      </c>
      <c r="M1557" s="76">
        <f>$J$1557-EFEITO!$K$1557*EFEITO!$Y$1557</f>
        <v>0</v>
      </c>
      <c r="N1557" s="76">
        <f ca="1">$K$1557-EFEITO!$M$1557*EFEITO!$Z$1557</f>
        <v>860.37890708651503</v>
      </c>
      <c r="O1557" s="76">
        <f>$L$1557-EFEITO!$O$1557*EFEITO!$AA$1557</f>
        <v>649.30677125735929</v>
      </c>
      <c r="P1557" s="18"/>
      <c r="Q1557" s="18"/>
      <c r="R1557" s="18"/>
      <c r="S1557" s="18"/>
      <c r="T1557" s="18"/>
      <c r="U1557" s="18"/>
      <c r="V1557" s="18"/>
      <c r="W1557" s="18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</row>
    <row r="1558" spans="1:36" ht="11.25" customHeight="1" x14ac:dyDescent="0.2">
      <c r="A1558" s="62" t="s">
        <v>28</v>
      </c>
      <c r="B1558" s="62" t="s">
        <v>44</v>
      </c>
      <c r="C1558" s="62" t="s">
        <v>23</v>
      </c>
      <c r="D1558" s="62" t="s">
        <v>45</v>
      </c>
      <c r="E1558" s="62" t="s">
        <v>54</v>
      </c>
      <c r="F1558" s="62" t="s">
        <v>55</v>
      </c>
      <c r="G1558" s="62" t="s">
        <v>25</v>
      </c>
      <c r="H1558" s="62" t="s">
        <v>25</v>
      </c>
      <c r="I1558" s="75">
        <v>44531</v>
      </c>
      <c r="J1558" s="76">
        <f>EFEITO!$J$1558*EFEITO!$Y$1303</f>
        <v>0</v>
      </c>
      <c r="K1558" s="76">
        <f ca="1">EFEITO!$L$1558*EFEITO!$Z$1303</f>
        <v>8447.4200746538736</v>
      </c>
      <c r="L1558" s="76">
        <f>EFEITO!$N$1558*EFEITO!$AA$1303</f>
        <v>6375.0598822811062</v>
      </c>
      <c r="M1558" s="76">
        <f>$J$1558-EFEITO!$K$1558*EFEITO!$Y$1558</f>
        <v>0</v>
      </c>
      <c r="N1558" s="76">
        <f ca="1">$K$1558-EFEITO!$M$1558*EFEITO!$Z$1558</f>
        <v>506.84520447923296</v>
      </c>
      <c r="O1558" s="76">
        <f>$L$1558-EFEITO!$O$1558*EFEITO!$AA$1558</f>
        <v>382.50359293686597</v>
      </c>
      <c r="P1558" s="18"/>
      <c r="Q1558" s="18"/>
      <c r="R1558" s="18"/>
      <c r="S1558" s="18"/>
      <c r="T1558" s="18"/>
      <c r="U1558" s="18"/>
      <c r="V1558" s="18"/>
      <c r="W1558" s="18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</row>
    <row r="1559" spans="1:36" ht="11.25" customHeight="1" x14ac:dyDescent="0.2">
      <c r="A1559" s="62" t="s">
        <v>21</v>
      </c>
      <c r="B1559" s="62" t="s">
        <v>44</v>
      </c>
      <c r="C1559" s="62" t="s">
        <v>23</v>
      </c>
      <c r="D1559" s="62" t="s">
        <v>45</v>
      </c>
      <c r="E1559" s="62" t="s">
        <v>54</v>
      </c>
      <c r="F1559" s="62" t="s">
        <v>55</v>
      </c>
      <c r="G1559" s="62" t="s">
        <v>25</v>
      </c>
      <c r="H1559" s="62" t="s">
        <v>25</v>
      </c>
      <c r="I1559" s="75">
        <v>44562</v>
      </c>
      <c r="J1559" s="76">
        <f>EFEITO!$J$1559*EFEITO!$Y$1303</f>
        <v>0</v>
      </c>
      <c r="K1559" s="76">
        <f ca="1">EFEITO!$L$1559*EFEITO!$Z$1303</f>
        <v>11488.31658756702</v>
      </c>
      <c r="L1559" s="76">
        <f>EFEITO!$N$1559*EFEITO!$AA$1303</f>
        <v>8669.9495875779558</v>
      </c>
      <c r="M1559" s="76">
        <f>$J$1559-EFEITO!$K$1559*EFEITO!$Y$1559</f>
        <v>0</v>
      </c>
      <c r="N1559" s="76">
        <f ca="1">$K$1559-EFEITO!$M$1559*EFEITO!$Z$1559</f>
        <v>689.29899525402107</v>
      </c>
      <c r="O1559" s="76">
        <f>$L$1559-EFEITO!$O$1559*EFEITO!$AA$1559</f>
        <v>520.19697525467745</v>
      </c>
      <c r="P1559" s="18"/>
      <c r="Q1559" s="18"/>
      <c r="R1559" s="18"/>
      <c r="S1559" s="18"/>
      <c r="T1559" s="18"/>
      <c r="U1559" s="18"/>
      <c r="V1559" s="18"/>
      <c r="W1559" s="18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</row>
    <row r="1560" spans="1:36" ht="11.25" customHeight="1" x14ac:dyDescent="0.2">
      <c r="A1560" s="62" t="s">
        <v>27</v>
      </c>
      <c r="B1560" s="62" t="s">
        <v>44</v>
      </c>
      <c r="C1560" s="62" t="s">
        <v>23</v>
      </c>
      <c r="D1560" s="62" t="s">
        <v>45</v>
      </c>
      <c r="E1560" s="62" t="s">
        <v>54</v>
      </c>
      <c r="F1560" s="62" t="s">
        <v>55</v>
      </c>
      <c r="G1560" s="62" t="s">
        <v>25</v>
      </c>
      <c r="H1560" s="62" t="s">
        <v>25</v>
      </c>
      <c r="I1560" s="75">
        <v>44562</v>
      </c>
      <c r="J1560" s="76">
        <f>EFEITO!$J$1560*EFEITO!$Y$1303</f>
        <v>0</v>
      </c>
      <c r="K1560" s="76">
        <f ca="1">EFEITO!$L$1560*EFEITO!$Z$1303</f>
        <v>152.8747169663317</v>
      </c>
      <c r="L1560" s="76">
        <f>EFEITO!$N$1560*EFEITO!$AA$1303</f>
        <v>115.37078380550088</v>
      </c>
      <c r="M1560" s="76">
        <f>$J$1560-EFEITO!$K$1560*EFEITO!$Y$1560</f>
        <v>0</v>
      </c>
      <c r="N1560" s="76">
        <f ca="1">$K$1560-EFEITO!$M$1560*EFEITO!$Z$1560</f>
        <v>9.1724830179798857</v>
      </c>
      <c r="O1560" s="76">
        <f>$L$1560-EFEITO!$O$1560*EFEITO!$AA$1560</f>
        <v>6.9222470283300481</v>
      </c>
      <c r="P1560" s="18"/>
      <c r="Q1560" s="18"/>
      <c r="R1560" s="18"/>
      <c r="S1560" s="18"/>
      <c r="T1560" s="18"/>
      <c r="U1560" s="18"/>
      <c r="V1560" s="18"/>
      <c r="W1560" s="18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</row>
    <row r="1561" spans="1:36" ht="11.25" customHeight="1" x14ac:dyDescent="0.2">
      <c r="A1561" s="62" t="s">
        <v>28</v>
      </c>
      <c r="B1561" s="62" t="s">
        <v>44</v>
      </c>
      <c r="C1561" s="62" t="s">
        <v>23</v>
      </c>
      <c r="D1561" s="62" t="s">
        <v>45</v>
      </c>
      <c r="E1561" s="62" t="s">
        <v>54</v>
      </c>
      <c r="F1561" s="62" t="s">
        <v>55</v>
      </c>
      <c r="G1561" s="62" t="s">
        <v>25</v>
      </c>
      <c r="H1561" s="62" t="s">
        <v>25</v>
      </c>
      <c r="I1561" s="75">
        <v>44562</v>
      </c>
      <c r="J1561" s="76">
        <f>EFEITO!$J$1561*EFEITO!$Y$1303</f>
        <v>0</v>
      </c>
      <c r="K1561" s="76">
        <f ca="1">EFEITO!$L$1561*EFEITO!$Z$1303</f>
        <v>3980.4208448976597</v>
      </c>
      <c r="L1561" s="76">
        <f>EFEITO!$N$1561*EFEITO!$AA$1303</f>
        <v>3003.9255794843702</v>
      </c>
      <c r="M1561" s="76">
        <f>$J$1561-EFEITO!$K$1561*EFEITO!$Y$1561</f>
        <v>0</v>
      </c>
      <c r="N1561" s="76">
        <f ca="1">$K$1561-EFEITO!$M$1561*EFEITO!$Z$1561</f>
        <v>238.82525069385929</v>
      </c>
      <c r="O1561" s="76">
        <f>$L$1561-EFEITO!$O$1561*EFEITO!$AA$1561</f>
        <v>180.23553476906227</v>
      </c>
      <c r="P1561" s="18"/>
      <c r="Q1561" s="18"/>
      <c r="R1561" s="18"/>
      <c r="S1561" s="18"/>
      <c r="T1561" s="18"/>
      <c r="U1561" s="18"/>
      <c r="V1561" s="18"/>
      <c r="W1561" s="18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</row>
    <row r="1562" spans="1:36" ht="11.25" customHeight="1" x14ac:dyDescent="0.2">
      <c r="A1562" s="62" t="s">
        <v>21</v>
      </c>
      <c r="B1562" s="62" t="s">
        <v>44</v>
      </c>
      <c r="C1562" s="62" t="s">
        <v>23</v>
      </c>
      <c r="D1562" s="62" t="s">
        <v>45</v>
      </c>
      <c r="E1562" s="62" t="s">
        <v>54</v>
      </c>
      <c r="F1562" s="62" t="s">
        <v>55</v>
      </c>
      <c r="G1562" s="62" t="s">
        <v>25</v>
      </c>
      <c r="H1562" s="62" t="s">
        <v>25</v>
      </c>
      <c r="I1562" s="75">
        <v>44593</v>
      </c>
      <c r="J1562" s="76">
        <f>EFEITO!$J$1562*EFEITO!$Y$1303</f>
        <v>0</v>
      </c>
      <c r="K1562" s="76">
        <f ca="1">EFEITO!$L$1562*EFEITO!$Z$1303</f>
        <v>11665.214474342347</v>
      </c>
      <c r="L1562" s="76">
        <f>EFEITO!$N$1562*EFEITO!$AA$1303</f>
        <v>8803.4500659814639</v>
      </c>
      <c r="M1562" s="76">
        <f>$J$1562-EFEITO!$K$1562*EFEITO!$Y$1562</f>
        <v>0</v>
      </c>
      <c r="N1562" s="76">
        <f ca="1">$K$1562-EFEITO!$M$1562*EFEITO!$Z$1562</f>
        <v>699.91286846054027</v>
      </c>
      <c r="O1562" s="76">
        <f>$L$1562-EFEITO!$O$1562*EFEITO!$AA$1562</f>
        <v>528.20700395888707</v>
      </c>
      <c r="P1562" s="18"/>
      <c r="Q1562" s="18"/>
      <c r="R1562" s="18"/>
      <c r="S1562" s="18"/>
      <c r="T1562" s="18"/>
      <c r="U1562" s="18"/>
      <c r="V1562" s="18"/>
      <c r="W1562" s="18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</row>
    <row r="1563" spans="1:36" ht="11.25" customHeight="1" x14ac:dyDescent="0.2">
      <c r="A1563" s="62" t="s">
        <v>27</v>
      </c>
      <c r="B1563" s="62" t="s">
        <v>44</v>
      </c>
      <c r="C1563" s="62" t="s">
        <v>23</v>
      </c>
      <c r="D1563" s="62" t="s">
        <v>45</v>
      </c>
      <c r="E1563" s="62" t="s">
        <v>54</v>
      </c>
      <c r="F1563" s="62" t="s">
        <v>55</v>
      </c>
      <c r="G1563" s="62" t="s">
        <v>25</v>
      </c>
      <c r="H1563" s="62" t="s">
        <v>25</v>
      </c>
      <c r="I1563" s="75">
        <v>44593</v>
      </c>
      <c r="J1563" s="76">
        <f>EFEITO!$J$1563*EFEITO!$Y$1303</f>
        <v>0</v>
      </c>
      <c r="K1563" s="76">
        <f ca="1">EFEITO!$L$1563*EFEITO!$Z$1303</f>
        <v>-64.644166031477411</v>
      </c>
      <c r="L1563" s="76">
        <f>EFEITO!$N$1563*EFEITO!$AA$1303</f>
        <v>-48.785360009183229</v>
      </c>
      <c r="M1563" s="76">
        <f>$J$1563-EFEITO!$K$1563*EFEITO!$Y$1563</f>
        <v>0</v>
      </c>
      <c r="N1563" s="76">
        <f ca="1">$K$1563-EFEITO!$M$1563*EFEITO!$Z$1563</f>
        <v>-3.878649961888641</v>
      </c>
      <c r="O1563" s="76">
        <f>$L$1563-EFEITO!$O$1563*EFEITO!$AA$1563</f>
        <v>-2.9271216005509899</v>
      </c>
      <c r="P1563" s="18"/>
      <c r="Q1563" s="18"/>
      <c r="R1563" s="18"/>
      <c r="S1563" s="18"/>
      <c r="T1563" s="18"/>
      <c r="U1563" s="18"/>
      <c r="V1563" s="18"/>
      <c r="W1563" s="18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</row>
    <row r="1564" spans="1:36" ht="11.25" customHeight="1" x14ac:dyDescent="0.2">
      <c r="A1564" s="62" t="s">
        <v>28</v>
      </c>
      <c r="B1564" s="62" t="s">
        <v>44</v>
      </c>
      <c r="C1564" s="62" t="s">
        <v>23</v>
      </c>
      <c r="D1564" s="62" t="s">
        <v>45</v>
      </c>
      <c r="E1564" s="62" t="s">
        <v>54</v>
      </c>
      <c r="F1564" s="62" t="s">
        <v>55</v>
      </c>
      <c r="G1564" s="62" t="s">
        <v>25</v>
      </c>
      <c r="H1564" s="62" t="s">
        <v>25</v>
      </c>
      <c r="I1564" s="75">
        <v>44593</v>
      </c>
      <c r="J1564" s="76">
        <f>EFEITO!$J$1564*EFEITO!$Y$1303</f>
        <v>0</v>
      </c>
      <c r="K1564" s="76">
        <f ca="1">EFEITO!$L$1564*EFEITO!$Z$1303</f>
        <v>4014.0532826302529</v>
      </c>
      <c r="L1564" s="76">
        <f>EFEITO!$N$1564*EFEITO!$AA$1303</f>
        <v>3029.3071519215805</v>
      </c>
      <c r="M1564" s="76">
        <f>$J$1564-EFEITO!$K$1564*EFEITO!$Y$1564</f>
        <v>0</v>
      </c>
      <c r="N1564" s="76">
        <f ca="1">$K$1564-EFEITO!$M$1564*EFEITO!$Z$1564</f>
        <v>240.84319695781505</v>
      </c>
      <c r="O1564" s="76">
        <f>$L$1564-EFEITO!$O$1564*EFEITO!$AA$1564</f>
        <v>181.7584291152948</v>
      </c>
      <c r="P1564" s="18"/>
      <c r="Q1564" s="18"/>
      <c r="R1564" s="18"/>
      <c r="S1564" s="18"/>
      <c r="T1564" s="18"/>
      <c r="U1564" s="18"/>
      <c r="V1564" s="18"/>
      <c r="W1564" s="18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</row>
    <row r="1565" spans="1:36" ht="11.25" customHeight="1" x14ac:dyDescent="0.2">
      <c r="A1565" s="62" t="s">
        <v>21</v>
      </c>
      <c r="B1565" s="62" t="s">
        <v>44</v>
      </c>
      <c r="C1565" s="62" t="s">
        <v>23</v>
      </c>
      <c r="D1565" s="62" t="s">
        <v>45</v>
      </c>
      <c r="E1565" s="62" t="s">
        <v>54</v>
      </c>
      <c r="F1565" s="62" t="s">
        <v>55</v>
      </c>
      <c r="G1565" s="62" t="s">
        <v>25</v>
      </c>
      <c r="H1565" s="62" t="s">
        <v>25</v>
      </c>
      <c r="I1565" s="75">
        <v>44621</v>
      </c>
      <c r="J1565" s="76">
        <f>EFEITO!$J$1565*EFEITO!$Y$1303</f>
        <v>0</v>
      </c>
      <c r="K1565" s="76">
        <f ca="1">EFEITO!$L$1565*EFEITO!$Z$1303</f>
        <v>12414.73737238299</v>
      </c>
      <c r="L1565" s="76">
        <f>EFEITO!$N$1565*EFEITO!$AA$1303</f>
        <v>9369.0965374392908</v>
      </c>
      <c r="M1565" s="76">
        <f>$J$1565-EFEITO!$K$1565*EFEITO!$Y$1565</f>
        <v>0</v>
      </c>
      <c r="N1565" s="76">
        <f ca="1">$K$1565-EFEITO!$M$1565*EFEITO!$Z$1565</f>
        <v>744.88424234297963</v>
      </c>
      <c r="O1565" s="76">
        <f>$L$1565-EFEITO!$O$1565*EFEITO!$AA$1565</f>
        <v>562.14579224635781</v>
      </c>
      <c r="P1565" s="18"/>
      <c r="Q1565" s="18"/>
      <c r="R1565" s="18"/>
      <c r="S1565" s="18"/>
      <c r="T1565" s="18"/>
      <c r="U1565" s="18"/>
      <c r="V1565" s="18"/>
      <c r="W1565" s="18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</row>
    <row r="1566" spans="1:36" ht="11.25" customHeight="1" x14ac:dyDescent="0.2">
      <c r="A1566" s="62" t="s">
        <v>28</v>
      </c>
      <c r="B1566" s="62" t="s">
        <v>44</v>
      </c>
      <c r="C1566" s="62" t="s">
        <v>23</v>
      </c>
      <c r="D1566" s="62" t="s">
        <v>45</v>
      </c>
      <c r="E1566" s="62" t="s">
        <v>54</v>
      </c>
      <c r="F1566" s="62" t="s">
        <v>55</v>
      </c>
      <c r="G1566" s="62" t="s">
        <v>25</v>
      </c>
      <c r="H1566" s="62" t="s">
        <v>25</v>
      </c>
      <c r="I1566" s="75">
        <v>44621</v>
      </c>
      <c r="J1566" s="76">
        <f>EFEITO!$J$1566*EFEITO!$Y$1303</f>
        <v>0</v>
      </c>
      <c r="K1566" s="76">
        <f ca="1">EFEITO!$L$1566*EFEITO!$Z$1303</f>
        <v>2351.6499318478004</v>
      </c>
      <c r="L1566" s="76">
        <f>EFEITO!$N$1566*EFEITO!$AA$1303</f>
        <v>1774.7322857394765</v>
      </c>
      <c r="M1566" s="76">
        <f>$J$1566-EFEITO!$K$1566*EFEITO!$Y$1566</f>
        <v>0</v>
      </c>
      <c r="N1566" s="76">
        <f ca="1">$K$1566-EFEITO!$M$1566*EFEITO!$Z$1566</f>
        <v>141.09899591086833</v>
      </c>
      <c r="O1566" s="76">
        <f>$L$1566-EFEITO!$O$1566*EFEITO!$AA$1566</f>
        <v>106.48393714436838</v>
      </c>
      <c r="P1566" s="18"/>
      <c r="Q1566" s="18"/>
      <c r="R1566" s="18"/>
      <c r="S1566" s="18"/>
      <c r="T1566" s="18"/>
      <c r="U1566" s="18"/>
      <c r="V1566" s="18"/>
      <c r="W1566" s="18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</row>
    <row r="1567" spans="1:36" ht="11.25" customHeight="1" x14ac:dyDescent="0.2">
      <c r="A1567" s="62" t="s">
        <v>21</v>
      </c>
      <c r="B1567" s="62" t="s">
        <v>44</v>
      </c>
      <c r="C1567" s="62" t="s">
        <v>23</v>
      </c>
      <c r="D1567" s="62" t="s">
        <v>45</v>
      </c>
      <c r="E1567" s="62" t="s">
        <v>54</v>
      </c>
      <c r="F1567" s="62" t="s">
        <v>55</v>
      </c>
      <c r="G1567" s="62" t="s">
        <v>25</v>
      </c>
      <c r="H1567" s="62" t="s">
        <v>25</v>
      </c>
      <c r="I1567" s="75">
        <v>44652</v>
      </c>
      <c r="J1567" s="76">
        <f>EFEITO!$J$1567*EFEITO!$Y$1303</f>
        <v>0</v>
      </c>
      <c r="K1567" s="76">
        <f ca="1">EFEITO!$L$1567*EFEITO!$Z$1303</f>
        <v>13619.390142077686</v>
      </c>
      <c r="L1567" s="76">
        <f>EFEITO!$N$1567*EFEITO!$AA$1303</f>
        <v>10278.218313826637</v>
      </c>
      <c r="M1567" s="76">
        <f>$J$1567-EFEITO!$K$1567*EFEITO!$Y$1567</f>
        <v>0</v>
      </c>
      <c r="N1567" s="76">
        <f ca="1">$K$1567-EFEITO!$M$1567*EFEITO!$Z$1567</f>
        <v>817.16340852466237</v>
      </c>
      <c r="O1567" s="76">
        <f>$L$1567-EFEITO!$O$1567*EFEITO!$AA$1567</f>
        <v>616.69309882959715</v>
      </c>
      <c r="P1567" s="18"/>
      <c r="Q1567" s="18"/>
      <c r="R1567" s="18"/>
      <c r="S1567" s="18"/>
      <c r="T1567" s="18"/>
      <c r="U1567" s="18"/>
      <c r="V1567" s="18"/>
      <c r="W1567" s="18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</row>
    <row r="1568" spans="1:36" ht="11.25" customHeight="1" x14ac:dyDescent="0.2">
      <c r="A1568" s="62" t="s">
        <v>28</v>
      </c>
      <c r="B1568" s="62" t="s">
        <v>44</v>
      </c>
      <c r="C1568" s="62" t="s">
        <v>23</v>
      </c>
      <c r="D1568" s="62" t="s">
        <v>45</v>
      </c>
      <c r="E1568" s="62" t="s">
        <v>54</v>
      </c>
      <c r="F1568" s="62" t="s">
        <v>55</v>
      </c>
      <c r="G1568" s="62" t="s">
        <v>25</v>
      </c>
      <c r="H1568" s="62" t="s">
        <v>25</v>
      </c>
      <c r="I1568" s="75">
        <v>44652</v>
      </c>
      <c r="J1568" s="76">
        <f>EFEITO!$J$1568*EFEITO!$Y$1303</f>
        <v>0</v>
      </c>
      <c r="K1568" s="76">
        <f ca="1">EFEITO!$L$1568*EFEITO!$Z$1303</f>
        <v>4488.401690131499</v>
      </c>
      <c r="L1568" s="76">
        <f>EFEITO!$N$1568*EFEITO!$AA$1303</f>
        <v>3387.286212529506</v>
      </c>
      <c r="M1568" s="76">
        <f>$J$1568-EFEITO!$K$1568*EFEITO!$Y$1568</f>
        <v>0</v>
      </c>
      <c r="N1568" s="76">
        <f ca="1">$K$1568-EFEITO!$M$1568*EFEITO!$Z$1568</f>
        <v>269.3041014078899</v>
      </c>
      <c r="O1568" s="76">
        <f>$L$1568-EFEITO!$O$1568*EFEITO!$AA$1568</f>
        <v>203.23717275177023</v>
      </c>
      <c r="P1568" s="18"/>
      <c r="Q1568" s="18"/>
      <c r="R1568" s="18"/>
      <c r="S1568" s="18"/>
      <c r="T1568" s="18"/>
      <c r="U1568" s="18"/>
      <c r="V1568" s="18"/>
      <c r="W1568" s="18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</row>
    <row r="1569" spans="1:36" ht="11.25" customHeight="1" x14ac:dyDescent="0.2">
      <c r="A1569" s="62" t="s">
        <v>58</v>
      </c>
      <c r="B1569" s="62" t="s">
        <v>44</v>
      </c>
      <c r="C1569" s="62" t="s">
        <v>23</v>
      </c>
      <c r="D1569" s="62" t="s">
        <v>45</v>
      </c>
      <c r="E1569" s="62" t="s">
        <v>54</v>
      </c>
      <c r="F1569" s="62" t="s">
        <v>55</v>
      </c>
      <c r="G1569" s="62" t="s">
        <v>25</v>
      </c>
      <c r="H1569" s="62" t="s">
        <v>25</v>
      </c>
      <c r="I1569" s="75">
        <v>44682</v>
      </c>
      <c r="J1569" s="76">
        <f>EFEITO!$J$1569*EFEITO!$Y$1303</f>
        <v>0</v>
      </c>
      <c r="K1569" s="76">
        <f ca="1">EFEITO!$L$1569*EFEITO!$Z$1303</f>
        <v>13619.390142077686</v>
      </c>
      <c r="L1569" s="76">
        <f>EFEITO!$N$1569*EFEITO!$AA$1303</f>
        <v>10278.218313826637</v>
      </c>
      <c r="M1569" s="76">
        <f>$J$1569-EFEITO!$K$1569*EFEITO!$Y$1569</f>
        <v>0</v>
      </c>
      <c r="N1569" s="76">
        <f ca="1">$K$1569-EFEITO!$M$1569*EFEITO!$Z$1569</f>
        <v>817.16340852466237</v>
      </c>
      <c r="O1569" s="76">
        <f>$L$1569-EFEITO!$O$1569*EFEITO!$AA$1569</f>
        <v>616.69309882959715</v>
      </c>
      <c r="P1569" s="18"/>
      <c r="Q1569" s="18"/>
      <c r="R1569" s="18"/>
      <c r="S1569" s="18"/>
      <c r="T1569" s="18"/>
      <c r="U1569" s="18"/>
      <c r="V1569" s="18"/>
      <c r="W1569" s="18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</row>
    <row r="1570" spans="1:36" ht="11.25" customHeight="1" x14ac:dyDescent="0.2">
      <c r="A1570" s="62" t="s">
        <v>58</v>
      </c>
      <c r="B1570" s="62" t="s">
        <v>44</v>
      </c>
      <c r="C1570" s="62" t="s">
        <v>23</v>
      </c>
      <c r="D1570" s="62" t="s">
        <v>45</v>
      </c>
      <c r="E1570" s="62" t="s">
        <v>54</v>
      </c>
      <c r="F1570" s="62" t="s">
        <v>55</v>
      </c>
      <c r="G1570" s="62" t="s">
        <v>25</v>
      </c>
      <c r="H1570" s="62" t="s">
        <v>25</v>
      </c>
      <c r="I1570" s="75">
        <v>44682</v>
      </c>
      <c r="J1570" s="76">
        <f>EFEITO!$J$1570*EFEITO!$Y$1303</f>
        <v>0</v>
      </c>
      <c r="K1570" s="76">
        <f ca="1">EFEITO!$L$1570*EFEITO!$Z$1303</f>
        <v>4488.401690131499</v>
      </c>
      <c r="L1570" s="76">
        <f>EFEITO!$N$1570*EFEITO!$AA$1303</f>
        <v>3387.286212529506</v>
      </c>
      <c r="M1570" s="76">
        <f>$J$1570-EFEITO!$K$1570*EFEITO!$Y$1570</f>
        <v>0</v>
      </c>
      <c r="N1570" s="76">
        <f ca="1">$K$1570-EFEITO!$M$1570*EFEITO!$Z$1570</f>
        <v>269.3041014078899</v>
      </c>
      <c r="O1570" s="76">
        <f>$L$1570-EFEITO!$O$1570*EFEITO!$AA$1570</f>
        <v>203.23717275177023</v>
      </c>
      <c r="P1570" s="18"/>
      <c r="Q1570" s="18"/>
      <c r="R1570" s="18"/>
      <c r="S1570" s="18"/>
      <c r="T1570" s="18"/>
      <c r="U1570" s="18"/>
      <c r="V1570" s="18"/>
      <c r="W1570" s="18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</row>
    <row r="1571" spans="1:36" ht="11.25" customHeight="1" x14ac:dyDescent="0.2">
      <c r="A1571" s="62" t="s">
        <v>21</v>
      </c>
      <c r="B1571" s="62" t="s">
        <v>44</v>
      </c>
      <c r="C1571" s="62" t="s">
        <v>23</v>
      </c>
      <c r="D1571" s="62" t="s">
        <v>45</v>
      </c>
      <c r="E1571" s="62" t="s">
        <v>54</v>
      </c>
      <c r="F1571" s="62" t="s">
        <v>56</v>
      </c>
      <c r="G1571" s="62" t="s">
        <v>25</v>
      </c>
      <c r="H1571" s="62" t="s">
        <v>25</v>
      </c>
      <c r="I1571" s="75">
        <v>44348</v>
      </c>
      <c r="J1571" s="76">
        <f>EFEITO!$J$1571*EFEITO!$Y$1303</f>
        <v>0</v>
      </c>
      <c r="K1571" s="76">
        <f ca="1">EFEITO!$L$1571*EFEITO!$Z$1303</f>
        <v>24867.038246649139</v>
      </c>
      <c r="L1571" s="76">
        <f>EFEITO!$N$1571*EFEITO!$AA$1303</f>
        <v>18766.541324613649</v>
      </c>
      <c r="M1571" s="76">
        <f>$J$1571-EFEITO!$K$1571*EFEITO!$Y$1571</f>
        <v>0</v>
      </c>
      <c r="N1571" s="76">
        <f ca="1">$K$1571-EFEITO!$M$1571*EFEITO!$Z$1571</f>
        <v>17153.282982538578</v>
      </c>
      <c r="O1571" s="76">
        <f>$L$1571-EFEITO!$O$1571*EFEITO!$AA$1571</f>
        <v>12945.160205718495</v>
      </c>
      <c r="P1571" s="18"/>
      <c r="Q1571" s="18"/>
      <c r="R1571" s="18"/>
      <c r="S1571" s="18"/>
      <c r="T1571" s="18"/>
      <c r="U1571" s="18"/>
      <c r="V1571" s="18"/>
      <c r="W1571" s="18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</row>
    <row r="1572" spans="1:36" ht="11.25" customHeight="1" x14ac:dyDescent="0.2">
      <c r="A1572" s="62" t="s">
        <v>28</v>
      </c>
      <c r="B1572" s="62" t="s">
        <v>44</v>
      </c>
      <c r="C1572" s="62" t="s">
        <v>23</v>
      </c>
      <c r="D1572" s="62" t="s">
        <v>45</v>
      </c>
      <c r="E1572" s="62" t="s">
        <v>54</v>
      </c>
      <c r="F1572" s="62" t="s">
        <v>56</v>
      </c>
      <c r="G1572" s="62" t="s">
        <v>25</v>
      </c>
      <c r="H1572" s="62" t="s">
        <v>25</v>
      </c>
      <c r="I1572" s="75">
        <v>44348</v>
      </c>
      <c r="J1572" s="76">
        <f>EFEITO!$J$1572*EFEITO!$Y$1303</f>
        <v>0</v>
      </c>
      <c r="K1572" s="76">
        <f ca="1">EFEITO!$L$1572*EFEITO!$Z$1303</f>
        <v>5825.8370711340931</v>
      </c>
      <c r="L1572" s="76">
        <f>EFEITO!$N$1572*EFEITO!$AA$1303</f>
        <v>4396.6157554222018</v>
      </c>
      <c r="M1572" s="76">
        <f>$J$1572-EFEITO!$K$1572*EFEITO!$Y$1572</f>
        <v>0</v>
      </c>
      <c r="N1572" s="76">
        <f ca="1">$K$1572-EFEITO!$M$1572*EFEITO!$Z$1572</f>
        <v>4018.6624116682974</v>
      </c>
      <c r="O1572" s="76">
        <f>$L$1572-EFEITO!$O$1572*EFEITO!$AA$1572</f>
        <v>3032.7855480902344</v>
      </c>
      <c r="P1572" s="18"/>
      <c r="Q1572" s="18"/>
      <c r="R1572" s="18"/>
      <c r="S1572" s="18"/>
      <c r="T1572" s="18"/>
      <c r="U1572" s="18"/>
      <c r="V1572" s="18"/>
      <c r="W1572" s="18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</row>
    <row r="1573" spans="1:36" ht="11.25" customHeight="1" x14ac:dyDescent="0.2">
      <c r="A1573" s="62" t="s">
        <v>21</v>
      </c>
      <c r="B1573" s="62" t="s">
        <v>44</v>
      </c>
      <c r="C1573" s="62" t="s">
        <v>23</v>
      </c>
      <c r="D1573" s="62" t="s">
        <v>45</v>
      </c>
      <c r="E1573" s="62" t="s">
        <v>54</v>
      </c>
      <c r="F1573" s="62" t="s">
        <v>56</v>
      </c>
      <c r="G1573" s="62" t="s">
        <v>25</v>
      </c>
      <c r="H1573" s="62" t="s">
        <v>25</v>
      </c>
      <c r="I1573" s="75">
        <v>44378</v>
      </c>
      <c r="J1573" s="76">
        <f>EFEITO!$J$1573*EFEITO!$Y$1303</f>
        <v>0</v>
      </c>
      <c r="K1573" s="76">
        <f ca="1">EFEITO!$L$1573*EFEITO!$Z$1303</f>
        <v>28724.72253306811</v>
      </c>
      <c r="L1573" s="76">
        <f>EFEITO!$N$1573*EFEITO!$AA$1303</f>
        <v>21677.840646242741</v>
      </c>
      <c r="M1573" s="76">
        <f>$J$1573-EFEITO!$K$1573*EFEITO!$Y$1573</f>
        <v>0</v>
      </c>
      <c r="N1573" s="76">
        <f ca="1">$K$1573-EFEITO!$M$1573*EFEITO!$Z$1573</f>
        <v>19814.31360331038</v>
      </c>
      <c r="O1573" s="76">
        <f>$L$1573-EFEITO!$O$1573*EFEITO!$AA$1573</f>
        <v>14953.374477778241</v>
      </c>
      <c r="P1573" s="18"/>
      <c r="Q1573" s="18"/>
      <c r="R1573" s="18"/>
      <c r="S1573" s="18"/>
      <c r="T1573" s="18"/>
      <c r="U1573" s="18"/>
      <c r="V1573" s="18"/>
      <c r="W1573" s="18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</row>
    <row r="1574" spans="1:36" ht="11.25" customHeight="1" x14ac:dyDescent="0.2">
      <c r="A1574" s="62" t="s">
        <v>27</v>
      </c>
      <c r="B1574" s="62" t="s">
        <v>44</v>
      </c>
      <c r="C1574" s="62" t="s">
        <v>23</v>
      </c>
      <c r="D1574" s="62" t="s">
        <v>45</v>
      </c>
      <c r="E1574" s="62" t="s">
        <v>54</v>
      </c>
      <c r="F1574" s="62" t="s">
        <v>56</v>
      </c>
      <c r="G1574" s="62" t="s">
        <v>25</v>
      </c>
      <c r="H1574" s="62" t="s">
        <v>25</v>
      </c>
      <c r="I1574" s="75">
        <v>44378</v>
      </c>
      <c r="J1574" s="76">
        <f>EFEITO!$J$1574*EFEITO!$Y$1303</f>
        <v>0</v>
      </c>
      <c r="K1574" s="76">
        <f ca="1">EFEITO!$L$1574*EFEITO!$Z$1303</f>
        <v>-43.67849056180907</v>
      </c>
      <c r="L1574" s="76">
        <f>EFEITO!$N$1574*EFEITO!$AA$1303</f>
        <v>-32.963081087285971</v>
      </c>
      <c r="M1574" s="76">
        <f>$J$1574-EFEITO!$K$1574*EFEITO!$Y$1574</f>
        <v>0</v>
      </c>
      <c r="N1574" s="76">
        <f ca="1">$K$1574-EFEITO!$M$1574*EFEITO!$Z$1574</f>
        <v>-30.129422789535898</v>
      </c>
      <c r="O1574" s="76">
        <f>$L$1574-EFEITO!$O$1574*EFEITO!$AA$1574</f>
        <v>-22.737933334009863</v>
      </c>
      <c r="P1574" s="18"/>
      <c r="Q1574" s="18"/>
      <c r="R1574" s="18"/>
      <c r="S1574" s="18"/>
      <c r="T1574" s="18"/>
      <c r="U1574" s="18"/>
      <c r="V1574" s="18"/>
      <c r="W1574" s="18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</row>
    <row r="1575" spans="1:36" ht="11.25" customHeight="1" x14ac:dyDescent="0.2">
      <c r="A1575" s="62" t="s">
        <v>28</v>
      </c>
      <c r="B1575" s="62" t="s">
        <v>44</v>
      </c>
      <c r="C1575" s="62" t="s">
        <v>23</v>
      </c>
      <c r="D1575" s="62" t="s">
        <v>45</v>
      </c>
      <c r="E1575" s="62" t="s">
        <v>54</v>
      </c>
      <c r="F1575" s="62" t="s">
        <v>56</v>
      </c>
      <c r="G1575" s="62" t="s">
        <v>25</v>
      </c>
      <c r="H1575" s="62" t="s">
        <v>25</v>
      </c>
      <c r="I1575" s="75">
        <v>44378</v>
      </c>
      <c r="J1575" s="76">
        <f>EFEITO!$J$1575*EFEITO!$Y$1303</f>
        <v>0</v>
      </c>
      <c r="K1575" s="76">
        <f ca="1">EFEITO!$L$1575*EFEITO!$Z$1303</f>
        <v>5714.893705107098</v>
      </c>
      <c r="L1575" s="76">
        <f>EFEITO!$N$1575*EFEITO!$AA$1303</f>
        <v>4312.8895294604963</v>
      </c>
      <c r="M1575" s="76">
        <f>$J$1575-EFEITO!$K$1575*EFEITO!$Y$1575</f>
        <v>0</v>
      </c>
      <c r="N1575" s="76">
        <f ca="1">$K$1575-EFEITO!$M$1575*EFEITO!$Z$1575</f>
        <v>3942.1336777828765</v>
      </c>
      <c r="O1575" s="76">
        <f>$L$1575-EFEITO!$O$1575*EFEITO!$AA$1575</f>
        <v>2975.0311974218503</v>
      </c>
      <c r="P1575" s="18"/>
      <c r="Q1575" s="18"/>
      <c r="R1575" s="18"/>
      <c r="S1575" s="18"/>
      <c r="T1575" s="18"/>
      <c r="U1575" s="18"/>
      <c r="V1575" s="18"/>
      <c r="W1575" s="18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</row>
    <row r="1576" spans="1:36" ht="11.25" customHeight="1" x14ac:dyDescent="0.2">
      <c r="A1576" s="62" t="s">
        <v>28</v>
      </c>
      <c r="B1576" s="62" t="s">
        <v>44</v>
      </c>
      <c r="C1576" s="62" t="s">
        <v>23</v>
      </c>
      <c r="D1576" s="62" t="s">
        <v>45</v>
      </c>
      <c r="E1576" s="62" t="s">
        <v>54</v>
      </c>
      <c r="F1576" s="62" t="s">
        <v>56</v>
      </c>
      <c r="G1576" s="62" t="s">
        <v>25</v>
      </c>
      <c r="H1576" s="62" t="s">
        <v>25</v>
      </c>
      <c r="I1576" s="75">
        <v>44378</v>
      </c>
      <c r="J1576" s="76">
        <f>EFEITO!$J$1576*EFEITO!$Y$1303</f>
        <v>0</v>
      </c>
      <c r="K1576" s="76">
        <f ca="1">EFEITO!$L$1576*EFEITO!$Z$1303</f>
        <v>4261.7103241157101</v>
      </c>
      <c r="L1576" s="76">
        <f>EFEITO!$N$1576*EFEITO!$AA$1303</f>
        <v>3216.207821686492</v>
      </c>
      <c r="M1576" s="76">
        <f>$J$1576-EFEITO!$K$1576*EFEITO!$Y$1576</f>
        <v>0</v>
      </c>
      <c r="N1576" s="76">
        <f ca="1">$K$1576-EFEITO!$M$1576*EFEITO!$Z$1576</f>
        <v>2939.7277815750167</v>
      </c>
      <c r="O1576" s="76">
        <f>$L$1576-EFEITO!$O$1576*EFEITO!$AA$1576</f>
        <v>2218.5401553993424</v>
      </c>
      <c r="P1576" s="18"/>
      <c r="Q1576" s="18"/>
      <c r="R1576" s="18"/>
      <c r="S1576" s="18"/>
      <c r="T1576" s="18"/>
      <c r="U1576" s="18"/>
      <c r="V1576" s="18"/>
      <c r="W1576" s="18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</row>
    <row r="1577" spans="1:36" ht="11.25" customHeight="1" x14ac:dyDescent="0.2">
      <c r="A1577" s="62" t="s">
        <v>21</v>
      </c>
      <c r="B1577" s="62" t="s">
        <v>44</v>
      </c>
      <c r="C1577" s="62" t="s">
        <v>23</v>
      </c>
      <c r="D1577" s="62" t="s">
        <v>45</v>
      </c>
      <c r="E1577" s="62" t="s">
        <v>54</v>
      </c>
      <c r="F1577" s="62" t="s">
        <v>56</v>
      </c>
      <c r="G1577" s="62" t="s">
        <v>25</v>
      </c>
      <c r="H1577" s="62" t="s">
        <v>25</v>
      </c>
      <c r="I1577" s="75">
        <v>44409</v>
      </c>
      <c r="J1577" s="76">
        <f>EFEITO!$J$1577*EFEITO!$Y$1303</f>
        <v>0</v>
      </c>
      <c r="K1577" s="76">
        <f ca="1">EFEITO!$L$1577*EFEITO!$Z$1303</f>
        <v>26063.392103137088</v>
      </c>
      <c r="L1577" s="76">
        <f>EFEITO!$N$1577*EFEITO!$AA$1303</f>
        <v>19669.40011559441</v>
      </c>
      <c r="M1577" s="76">
        <f>$J$1577-EFEITO!$K$1577*EFEITO!$Y$1577</f>
        <v>0</v>
      </c>
      <c r="N1577" s="76">
        <f ca="1">$K$1577-EFEITO!$M$1577*EFEITO!$Z$1577</f>
        <v>17978.527872743965</v>
      </c>
      <c r="O1577" s="76">
        <f>$L$1577-EFEITO!$O$1577*EFEITO!$AA$1577</f>
        <v>13567.952199737025</v>
      </c>
      <c r="P1577" s="18"/>
      <c r="Q1577" s="18"/>
      <c r="R1577" s="18"/>
      <c r="S1577" s="18"/>
      <c r="T1577" s="18"/>
      <c r="U1577" s="18"/>
      <c r="V1577" s="18"/>
      <c r="W1577" s="18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</row>
    <row r="1578" spans="1:36" ht="11.25" customHeight="1" x14ac:dyDescent="0.2">
      <c r="A1578" s="62" t="s">
        <v>27</v>
      </c>
      <c r="B1578" s="62" t="s">
        <v>44</v>
      </c>
      <c r="C1578" s="62" t="s">
        <v>23</v>
      </c>
      <c r="D1578" s="62" t="s">
        <v>45</v>
      </c>
      <c r="E1578" s="62" t="s">
        <v>54</v>
      </c>
      <c r="F1578" s="62" t="s">
        <v>56</v>
      </c>
      <c r="G1578" s="62" t="s">
        <v>25</v>
      </c>
      <c r="H1578" s="62" t="s">
        <v>25</v>
      </c>
      <c r="I1578" s="75">
        <v>44409</v>
      </c>
      <c r="J1578" s="76">
        <f>EFEITO!$J$1578*EFEITO!$Y$1303</f>
        <v>0</v>
      </c>
      <c r="K1578" s="76">
        <f ca="1">EFEITO!$L$1578*EFEITO!$Z$1303</f>
        <v>698.85584898894513</v>
      </c>
      <c r="L1578" s="76">
        <f>EFEITO!$N$1578*EFEITO!$AA$1303</f>
        <v>527.40929739657554</v>
      </c>
      <c r="M1578" s="76">
        <f>$J$1578-EFEITO!$K$1578*EFEITO!$Y$1578</f>
        <v>0</v>
      </c>
      <c r="N1578" s="76">
        <f ca="1">$K$1578-EFEITO!$M$1578*EFEITO!$Z$1578</f>
        <v>482.07076463257437</v>
      </c>
      <c r="O1578" s="76">
        <f>$L$1578-EFEITO!$O$1578*EFEITO!$AA$1578</f>
        <v>363.80693334415781</v>
      </c>
      <c r="P1578" s="18"/>
      <c r="Q1578" s="18"/>
      <c r="R1578" s="18"/>
      <c r="S1578" s="18"/>
      <c r="T1578" s="18"/>
      <c r="U1578" s="18"/>
      <c r="V1578" s="18"/>
      <c r="W1578" s="18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</row>
    <row r="1579" spans="1:36" ht="11.25" customHeight="1" x14ac:dyDescent="0.2">
      <c r="A1579" s="62" t="s">
        <v>28</v>
      </c>
      <c r="B1579" s="62" t="s">
        <v>44</v>
      </c>
      <c r="C1579" s="62" t="s">
        <v>23</v>
      </c>
      <c r="D1579" s="62" t="s">
        <v>45</v>
      </c>
      <c r="E1579" s="62" t="s">
        <v>54</v>
      </c>
      <c r="F1579" s="62" t="s">
        <v>56</v>
      </c>
      <c r="G1579" s="62" t="s">
        <v>25</v>
      </c>
      <c r="H1579" s="62" t="s">
        <v>25</v>
      </c>
      <c r="I1579" s="75">
        <v>44409</v>
      </c>
      <c r="J1579" s="76">
        <f>EFEITO!$J$1579*EFEITO!$Y$1303</f>
        <v>0</v>
      </c>
      <c r="K1579" s="76">
        <f ca="1">EFEITO!$L$1579*EFEITO!$Z$1303</f>
        <v>5461.1216749429877</v>
      </c>
      <c r="L1579" s="76">
        <f>EFEITO!$N$1579*EFEITO!$AA$1303</f>
        <v>4121.3740283433644</v>
      </c>
      <c r="M1579" s="76">
        <f>$J$1579-EFEITO!$K$1579*EFEITO!$Y$1579</f>
        <v>0</v>
      </c>
      <c r="N1579" s="76">
        <f ca="1">$K$1579-EFEITO!$M$1579*EFEITO!$Z$1579</f>
        <v>3767.0817313756734</v>
      </c>
      <c r="O1579" s="76">
        <f>$L$1579-EFEITO!$O$1579*EFEITO!$AA$1579</f>
        <v>2842.9238047512526</v>
      </c>
      <c r="P1579" s="18"/>
      <c r="Q1579" s="18"/>
      <c r="R1579" s="18"/>
      <c r="S1579" s="18"/>
      <c r="T1579" s="18"/>
      <c r="U1579" s="18"/>
      <c r="V1579" s="18"/>
      <c r="W1579" s="18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</row>
    <row r="1580" spans="1:36" ht="11.25" customHeight="1" x14ac:dyDescent="0.2">
      <c r="A1580" s="62" t="s">
        <v>21</v>
      </c>
      <c r="B1580" s="62" t="s">
        <v>44</v>
      </c>
      <c r="C1580" s="62" t="s">
        <v>23</v>
      </c>
      <c r="D1580" s="62" t="s">
        <v>45</v>
      </c>
      <c r="E1580" s="62" t="s">
        <v>54</v>
      </c>
      <c r="F1580" s="62" t="s">
        <v>56</v>
      </c>
      <c r="G1580" s="62" t="s">
        <v>25</v>
      </c>
      <c r="H1580" s="62" t="s">
        <v>25</v>
      </c>
      <c r="I1580" s="75">
        <v>44440</v>
      </c>
      <c r="J1580" s="76">
        <f>EFEITO!$J$1580*EFEITO!$Y$1303</f>
        <v>0</v>
      </c>
      <c r="K1580" s="76">
        <f ca="1">EFEITO!$L$1580*EFEITO!$Z$1303</f>
        <v>28406.306336872523</v>
      </c>
      <c r="L1580" s="76">
        <f>EFEITO!$N$1580*EFEITO!$AA$1303</f>
        <v>21437.539785116427</v>
      </c>
      <c r="M1580" s="76">
        <f>$J$1580-EFEITO!$K$1580*EFEITO!$Y$1580</f>
        <v>0</v>
      </c>
      <c r="N1580" s="76">
        <f ca="1">$K$1580-EFEITO!$M$1580*EFEITO!$Z$1580</f>
        <v>19594.670111174666</v>
      </c>
      <c r="O1580" s="76">
        <f>$L$1580-EFEITO!$O$1580*EFEITO!$AA$1580</f>
        <v>14787.614943773311</v>
      </c>
      <c r="P1580" s="18"/>
      <c r="Q1580" s="18"/>
      <c r="R1580" s="18"/>
      <c r="S1580" s="18"/>
      <c r="T1580" s="18"/>
      <c r="U1580" s="18"/>
      <c r="V1580" s="18"/>
      <c r="W1580" s="18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</row>
    <row r="1581" spans="1:36" ht="11.25" customHeight="1" x14ac:dyDescent="0.2">
      <c r="A1581" s="62" t="s">
        <v>27</v>
      </c>
      <c r="B1581" s="62" t="s">
        <v>44</v>
      </c>
      <c r="C1581" s="62" t="s">
        <v>23</v>
      </c>
      <c r="D1581" s="62" t="s">
        <v>45</v>
      </c>
      <c r="E1581" s="62" t="s">
        <v>54</v>
      </c>
      <c r="F1581" s="62" t="s">
        <v>56</v>
      </c>
      <c r="G1581" s="62" t="s">
        <v>25</v>
      </c>
      <c r="H1581" s="62" t="s">
        <v>25</v>
      </c>
      <c r="I1581" s="75">
        <v>44440</v>
      </c>
      <c r="J1581" s="76">
        <f>EFEITO!$J$1581*EFEITO!$Y$1303</f>
        <v>0</v>
      </c>
      <c r="K1581" s="76">
        <f ca="1">EFEITO!$L$1581*EFEITO!$Z$1303</f>
        <v>746.90218860693494</v>
      </c>
      <c r="L1581" s="76">
        <f>EFEITO!$N$1581*EFEITO!$AA$1303</f>
        <v>563.66868659259001</v>
      </c>
      <c r="M1581" s="76">
        <f>$J$1581-EFEITO!$K$1581*EFEITO!$Y$1581</f>
        <v>0</v>
      </c>
      <c r="N1581" s="76">
        <f ca="1">$K$1581-EFEITO!$M$1581*EFEITO!$Z$1581</f>
        <v>515.21312970106374</v>
      </c>
      <c r="O1581" s="76">
        <f>$L$1581-EFEITO!$O$1581*EFEITO!$AA$1581</f>
        <v>388.81866001156857</v>
      </c>
      <c r="P1581" s="18"/>
      <c r="Q1581" s="18"/>
      <c r="R1581" s="18"/>
      <c r="S1581" s="18"/>
      <c r="T1581" s="18"/>
      <c r="U1581" s="18"/>
      <c r="V1581" s="18"/>
      <c r="W1581" s="18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</row>
    <row r="1582" spans="1:36" ht="11.25" customHeight="1" x14ac:dyDescent="0.2">
      <c r="A1582" s="62" t="s">
        <v>28</v>
      </c>
      <c r="B1582" s="62" t="s">
        <v>44</v>
      </c>
      <c r="C1582" s="62" t="s">
        <v>23</v>
      </c>
      <c r="D1582" s="62" t="s">
        <v>45</v>
      </c>
      <c r="E1582" s="62" t="s">
        <v>54</v>
      </c>
      <c r="F1582" s="62" t="s">
        <v>56</v>
      </c>
      <c r="G1582" s="62" t="s">
        <v>25</v>
      </c>
      <c r="H1582" s="62" t="s">
        <v>25</v>
      </c>
      <c r="I1582" s="75">
        <v>44440</v>
      </c>
      <c r="J1582" s="76">
        <f>EFEITO!$J$1582*EFEITO!$Y$1303</f>
        <v>0</v>
      </c>
      <c r="K1582" s="76">
        <f ca="1">EFEITO!$L$1582*EFEITO!$Z$1303</f>
        <v>5068.0152598867053</v>
      </c>
      <c r="L1582" s="76">
        <f>EFEITO!$N$1582*EFEITO!$AA$1303</f>
        <v>3824.7062985577909</v>
      </c>
      <c r="M1582" s="76">
        <f>$J$1582-EFEITO!$K$1582*EFEITO!$Y$1582</f>
        <v>0</v>
      </c>
      <c r="N1582" s="76">
        <f ca="1">$K$1582-EFEITO!$M$1582*EFEITO!$Z$1582</f>
        <v>3495.9169262698488</v>
      </c>
      <c r="O1582" s="76">
        <f>$L$1582-EFEITO!$O$1582*EFEITO!$AA$1582</f>
        <v>2638.2824047451641</v>
      </c>
      <c r="P1582" s="18"/>
      <c r="Q1582" s="18"/>
      <c r="R1582" s="18"/>
      <c r="S1582" s="18"/>
      <c r="T1582" s="18"/>
      <c r="U1582" s="18"/>
      <c r="V1582" s="18"/>
      <c r="W1582" s="18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</row>
    <row r="1583" spans="1:36" ht="11.25" customHeight="1" x14ac:dyDescent="0.2">
      <c r="A1583" s="62" t="s">
        <v>21</v>
      </c>
      <c r="B1583" s="62" t="s">
        <v>44</v>
      </c>
      <c r="C1583" s="62" t="s">
        <v>23</v>
      </c>
      <c r="D1583" s="62" t="s">
        <v>45</v>
      </c>
      <c r="E1583" s="62" t="s">
        <v>54</v>
      </c>
      <c r="F1583" s="62" t="s">
        <v>56</v>
      </c>
      <c r="G1583" s="62" t="s">
        <v>25</v>
      </c>
      <c r="H1583" s="62" t="s">
        <v>25</v>
      </c>
      <c r="I1583" s="75">
        <v>44470</v>
      </c>
      <c r="J1583" s="76">
        <f>EFEITO!$J$1583*EFEITO!$Y$1303</f>
        <v>0</v>
      </c>
      <c r="K1583" s="76">
        <f ca="1">EFEITO!$L$1583*EFEITO!$Z$1303</f>
        <v>24384.827710846766</v>
      </c>
      <c r="L1583" s="76">
        <f>EFEITO!$N$1583*EFEITO!$AA$1303</f>
        <v>18402.62890941001</v>
      </c>
      <c r="M1583" s="76">
        <f>$J$1583-EFEITO!$K$1583*EFEITO!$Y$1583</f>
        <v>0</v>
      </c>
      <c r="N1583" s="76">
        <f ca="1">$K$1583-EFEITO!$M$1583*EFEITO!$Z$1583</f>
        <v>16820.654154942102</v>
      </c>
      <c r="O1583" s="76">
        <f>$L$1583-EFEITO!$O$1583*EFEITO!$AA$1583</f>
        <v>12694.133421711025</v>
      </c>
      <c r="P1583" s="18"/>
      <c r="Q1583" s="18"/>
      <c r="R1583" s="18"/>
      <c r="S1583" s="18"/>
      <c r="T1583" s="18"/>
      <c r="U1583" s="18"/>
      <c r="V1583" s="18"/>
      <c r="W1583" s="18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</row>
    <row r="1584" spans="1:36" ht="11.25" customHeight="1" x14ac:dyDescent="0.2">
      <c r="A1584" s="62" t="s">
        <v>27</v>
      </c>
      <c r="B1584" s="62" t="s">
        <v>44</v>
      </c>
      <c r="C1584" s="62" t="s">
        <v>23</v>
      </c>
      <c r="D1584" s="62" t="s">
        <v>45</v>
      </c>
      <c r="E1584" s="62" t="s">
        <v>54</v>
      </c>
      <c r="F1584" s="62" t="s">
        <v>56</v>
      </c>
      <c r="G1584" s="62" t="s">
        <v>25</v>
      </c>
      <c r="H1584" s="62" t="s">
        <v>25</v>
      </c>
      <c r="I1584" s="75">
        <v>44470</v>
      </c>
      <c r="J1584" s="76">
        <f>EFEITO!$J$1584*EFEITO!$Y$1303</f>
        <v>0</v>
      </c>
      <c r="K1584" s="76">
        <f ca="1">EFEITO!$L$1584*EFEITO!$Z$1303</f>
        <v>-306.62300374389963</v>
      </c>
      <c r="L1584" s="76">
        <f>EFEITO!$N$1584*EFEITO!$AA$1303</f>
        <v>-231.4008292327475</v>
      </c>
      <c r="M1584" s="76">
        <f>$J$1584-EFEITO!$K$1584*EFEITO!$Y$1584</f>
        <v>0</v>
      </c>
      <c r="N1584" s="76">
        <f ca="1">$K$1584-EFEITO!$M$1584*EFEITO!$Z$1584</f>
        <v>-211.50854798254196</v>
      </c>
      <c r="O1584" s="76">
        <f>$L$1584-EFEITO!$O$1584*EFEITO!$AA$1584</f>
        <v>-159.62029200474922</v>
      </c>
      <c r="P1584" s="18"/>
      <c r="Q1584" s="18"/>
      <c r="R1584" s="18"/>
      <c r="S1584" s="18"/>
      <c r="T1584" s="18"/>
      <c r="U1584" s="18"/>
      <c r="V1584" s="18"/>
      <c r="W1584" s="18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</row>
    <row r="1585" spans="1:36" ht="11.25" customHeight="1" x14ac:dyDescent="0.2">
      <c r="A1585" s="62" t="s">
        <v>28</v>
      </c>
      <c r="B1585" s="62" t="s">
        <v>44</v>
      </c>
      <c r="C1585" s="62" t="s">
        <v>23</v>
      </c>
      <c r="D1585" s="62" t="s">
        <v>45</v>
      </c>
      <c r="E1585" s="62" t="s">
        <v>54</v>
      </c>
      <c r="F1585" s="62" t="s">
        <v>56</v>
      </c>
      <c r="G1585" s="62" t="s">
        <v>25</v>
      </c>
      <c r="H1585" s="62" t="s">
        <v>25</v>
      </c>
      <c r="I1585" s="75">
        <v>44470</v>
      </c>
      <c r="J1585" s="76">
        <f>EFEITO!$J$1585*EFEITO!$Y$1303</f>
        <v>0</v>
      </c>
      <c r="K1585" s="76">
        <f ca="1">EFEITO!$L$1585*EFEITO!$Z$1303</f>
        <v>8824.3654482022848</v>
      </c>
      <c r="L1585" s="76">
        <f>EFEITO!$N$1585*EFEITO!$AA$1303</f>
        <v>6659.5312720643842</v>
      </c>
      <c r="M1585" s="76">
        <f>$J$1585-EFEITO!$K$1585*EFEITO!$Y$1585</f>
        <v>0</v>
      </c>
      <c r="N1585" s="76">
        <f ca="1">$K$1585-EFEITO!$M$1585*EFEITO!$Z$1585</f>
        <v>6087.0472861699363</v>
      </c>
      <c r="O1585" s="76">
        <f>$L$1585-EFEITO!$O$1585*EFEITO!$AA$1585</f>
        <v>4593.7446714700127</v>
      </c>
      <c r="P1585" s="18"/>
      <c r="Q1585" s="18"/>
      <c r="R1585" s="18"/>
      <c r="S1585" s="18"/>
      <c r="T1585" s="18"/>
      <c r="U1585" s="18"/>
      <c r="V1585" s="18"/>
      <c r="W1585" s="18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</row>
    <row r="1586" spans="1:36" ht="11.25" customHeight="1" x14ac:dyDescent="0.2">
      <c r="A1586" s="62" t="s">
        <v>21</v>
      </c>
      <c r="B1586" s="62" t="s">
        <v>44</v>
      </c>
      <c r="C1586" s="62" t="s">
        <v>23</v>
      </c>
      <c r="D1586" s="62" t="s">
        <v>45</v>
      </c>
      <c r="E1586" s="62" t="s">
        <v>54</v>
      </c>
      <c r="F1586" s="62" t="s">
        <v>56</v>
      </c>
      <c r="G1586" s="62" t="s">
        <v>25</v>
      </c>
      <c r="H1586" s="62" t="s">
        <v>25</v>
      </c>
      <c r="I1586" s="75">
        <v>44501</v>
      </c>
      <c r="J1586" s="76">
        <f>EFEITO!$J$1586*EFEITO!$Y$1303</f>
        <v>0</v>
      </c>
      <c r="K1586" s="76">
        <f ca="1">EFEITO!$L$1586*EFEITO!$Z$1303</f>
        <v>20708.409160259296</v>
      </c>
      <c r="L1586" s="76">
        <f>EFEITO!$N$1586*EFEITO!$AA$1303</f>
        <v>15628.126374293151</v>
      </c>
      <c r="M1586" s="76">
        <f>$J$1586-EFEITO!$K$1586*EFEITO!$Y$1586</f>
        <v>0</v>
      </c>
      <c r="N1586" s="76">
        <f ca="1">$K$1586-EFEITO!$M$1586*EFEITO!$Z$1586</f>
        <v>14284.660638746864</v>
      </c>
      <c r="O1586" s="76">
        <f>$L$1586-EFEITO!$O$1586*EFEITO!$AA$1586</f>
        <v>10780.281572987416</v>
      </c>
      <c r="P1586" s="18"/>
      <c r="Q1586" s="18"/>
      <c r="R1586" s="18"/>
      <c r="S1586" s="18"/>
      <c r="T1586" s="18"/>
      <c r="U1586" s="18"/>
      <c r="V1586" s="18"/>
      <c r="W1586" s="18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</row>
    <row r="1587" spans="1:36" ht="11.25" customHeight="1" x14ac:dyDescent="0.2">
      <c r="A1587" s="62" t="s">
        <v>28</v>
      </c>
      <c r="B1587" s="62" t="s">
        <v>44</v>
      </c>
      <c r="C1587" s="62" t="s">
        <v>23</v>
      </c>
      <c r="D1587" s="62" t="s">
        <v>45</v>
      </c>
      <c r="E1587" s="62" t="s">
        <v>54</v>
      </c>
      <c r="F1587" s="62" t="s">
        <v>56</v>
      </c>
      <c r="G1587" s="62" t="s">
        <v>25</v>
      </c>
      <c r="H1587" s="62" t="s">
        <v>25</v>
      </c>
      <c r="I1587" s="75">
        <v>44501</v>
      </c>
      <c r="J1587" s="76">
        <f>EFEITO!$J$1587*EFEITO!$Y$1303</f>
        <v>0</v>
      </c>
      <c r="K1587" s="76">
        <f ca="1">EFEITO!$L$1587*EFEITO!$Z$1303</f>
        <v>4460.8842410775596</v>
      </c>
      <c r="L1587" s="76">
        <f>EFEITO!$N$1587*EFEITO!$AA$1303</f>
        <v>3366.5194714445156</v>
      </c>
      <c r="M1587" s="76">
        <f>$J$1587-EFEITO!$K$1587*EFEITO!$Y$1587</f>
        <v>0</v>
      </c>
      <c r="N1587" s="76">
        <f ca="1">$K$1587-EFEITO!$M$1587*EFEITO!$Z$1587</f>
        <v>3077.1179494953008</v>
      </c>
      <c r="O1587" s="76">
        <f>$L$1587-EFEITO!$O$1587*EFEITO!$AA$1587</f>
        <v>2322.225131402427</v>
      </c>
      <c r="P1587" s="18"/>
      <c r="Q1587" s="18"/>
      <c r="R1587" s="18"/>
      <c r="S1587" s="18"/>
      <c r="T1587" s="18"/>
      <c r="U1587" s="18"/>
      <c r="V1587" s="18"/>
      <c r="W1587" s="18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</row>
    <row r="1588" spans="1:36" ht="11.25" customHeight="1" x14ac:dyDescent="0.2">
      <c r="A1588" s="62" t="s">
        <v>21</v>
      </c>
      <c r="B1588" s="62" t="s">
        <v>44</v>
      </c>
      <c r="C1588" s="62" t="s">
        <v>23</v>
      </c>
      <c r="D1588" s="62" t="s">
        <v>45</v>
      </c>
      <c r="E1588" s="62" t="s">
        <v>54</v>
      </c>
      <c r="F1588" s="62" t="s">
        <v>56</v>
      </c>
      <c r="G1588" s="62" t="s">
        <v>25</v>
      </c>
      <c r="H1588" s="62" t="s">
        <v>25</v>
      </c>
      <c r="I1588" s="75">
        <v>44531</v>
      </c>
      <c r="J1588" s="76">
        <f>EFEITO!$J$1588*EFEITO!$Y$1303</f>
        <v>0</v>
      </c>
      <c r="K1588" s="76">
        <f ca="1">EFEITO!$L$1588*EFEITO!$Z$1303</f>
        <v>12005.906700724458</v>
      </c>
      <c r="L1588" s="76">
        <f>EFEITO!$N$1588*EFEITO!$AA$1303</f>
        <v>9060.5620984622929</v>
      </c>
      <c r="M1588" s="76">
        <f>$J$1588-EFEITO!$K$1588*EFEITO!$Y$1588</f>
        <v>0</v>
      </c>
      <c r="N1588" s="76">
        <f ca="1">$K$1588-EFEITO!$M$1588*EFEITO!$Z$1588</f>
        <v>8281.6744421597305</v>
      </c>
      <c r="O1588" s="76">
        <f>$L$1588-EFEITO!$O$1588*EFEITO!$AA$1588</f>
        <v>6249.9757355192887</v>
      </c>
      <c r="P1588" s="18"/>
      <c r="Q1588" s="18"/>
      <c r="R1588" s="18"/>
      <c r="S1588" s="18"/>
      <c r="T1588" s="18"/>
      <c r="U1588" s="18"/>
      <c r="V1588" s="18"/>
      <c r="W1588" s="18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</row>
    <row r="1589" spans="1:36" ht="11.25" customHeight="1" x14ac:dyDescent="0.2">
      <c r="A1589" s="62" t="s">
        <v>28</v>
      </c>
      <c r="B1589" s="62" t="s">
        <v>44</v>
      </c>
      <c r="C1589" s="62" t="s">
        <v>23</v>
      </c>
      <c r="D1589" s="62" t="s">
        <v>45</v>
      </c>
      <c r="E1589" s="62" t="s">
        <v>54</v>
      </c>
      <c r="F1589" s="62" t="s">
        <v>56</v>
      </c>
      <c r="G1589" s="62" t="s">
        <v>25</v>
      </c>
      <c r="H1589" s="62" t="s">
        <v>25</v>
      </c>
      <c r="I1589" s="75">
        <v>44531</v>
      </c>
      <c r="J1589" s="76">
        <f>EFEITO!$J$1589*EFEITO!$Y$1303</f>
        <v>0</v>
      </c>
      <c r="K1589" s="76">
        <f ca="1">EFEITO!$L$1589*EFEITO!$Z$1303</f>
        <v>10622.172119726347</v>
      </c>
      <c r="L1589" s="76">
        <f>EFEITO!$N$1589*EFEITO!$AA$1303</f>
        <v>8016.2916896170746</v>
      </c>
      <c r="M1589" s="76">
        <f>$J$1589-EFEITO!$K$1589*EFEITO!$Y$1589</f>
        <v>0</v>
      </c>
      <c r="N1589" s="76">
        <f ca="1">$K$1589-EFEITO!$M$1589*EFEITO!$Z$1589</f>
        <v>7327.1743281872332</v>
      </c>
      <c r="O1589" s="76">
        <f>$L$1589-EFEITO!$O$1589*EFEITO!$AA$1589</f>
        <v>5529.6380074978579</v>
      </c>
      <c r="P1589" s="18"/>
      <c r="Q1589" s="18"/>
      <c r="R1589" s="18"/>
      <c r="S1589" s="18"/>
      <c r="T1589" s="18"/>
      <c r="U1589" s="18"/>
      <c r="V1589" s="18"/>
      <c r="W1589" s="18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</row>
    <row r="1590" spans="1:36" ht="11.25" customHeight="1" x14ac:dyDescent="0.2">
      <c r="A1590" s="62" t="s">
        <v>21</v>
      </c>
      <c r="B1590" s="62" t="s">
        <v>44</v>
      </c>
      <c r="C1590" s="62" t="s">
        <v>23</v>
      </c>
      <c r="D1590" s="62" t="s">
        <v>45</v>
      </c>
      <c r="E1590" s="62" t="s">
        <v>54</v>
      </c>
      <c r="F1590" s="62" t="s">
        <v>56</v>
      </c>
      <c r="G1590" s="62" t="s">
        <v>25</v>
      </c>
      <c r="H1590" s="62" t="s">
        <v>25</v>
      </c>
      <c r="I1590" s="75">
        <v>44562</v>
      </c>
      <c r="J1590" s="76">
        <f>EFEITO!$J$1590*EFEITO!$Y$1303</f>
        <v>0</v>
      </c>
      <c r="K1590" s="76">
        <f ca="1">EFEITO!$L$1590*EFEITO!$Z$1303</f>
        <v>13313.640708145022</v>
      </c>
      <c r="L1590" s="76">
        <f>EFEITO!$N$1590*EFEITO!$AA$1303</f>
        <v>10047.476746215636</v>
      </c>
      <c r="M1590" s="76">
        <f>$J$1590-EFEITO!$K$1590*EFEITO!$Y$1590</f>
        <v>0</v>
      </c>
      <c r="N1590" s="76">
        <f ca="1">$K$1590-EFEITO!$M$1590*EFEITO!$Z$1590</f>
        <v>9183.7493604784358</v>
      </c>
      <c r="O1590" s="76">
        <f>$L$1590-EFEITO!$O$1590*EFEITO!$AA$1590</f>
        <v>6930.7494595395456</v>
      </c>
      <c r="P1590" s="18"/>
      <c r="Q1590" s="18"/>
      <c r="R1590" s="18"/>
      <c r="S1590" s="18"/>
      <c r="T1590" s="18"/>
      <c r="U1590" s="18"/>
      <c r="V1590" s="18"/>
      <c r="W1590" s="18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</row>
    <row r="1591" spans="1:36" ht="11.25" customHeight="1" x14ac:dyDescent="0.2">
      <c r="A1591" s="62" t="s">
        <v>27</v>
      </c>
      <c r="B1591" s="62" t="s">
        <v>44</v>
      </c>
      <c r="C1591" s="62" t="s">
        <v>23</v>
      </c>
      <c r="D1591" s="62" t="s">
        <v>45</v>
      </c>
      <c r="E1591" s="62" t="s">
        <v>54</v>
      </c>
      <c r="F1591" s="62" t="s">
        <v>56</v>
      </c>
      <c r="G1591" s="62" t="s">
        <v>25</v>
      </c>
      <c r="H1591" s="62" t="s">
        <v>25</v>
      </c>
      <c r="I1591" s="75">
        <v>44562</v>
      </c>
      <c r="J1591" s="76">
        <f>EFEITO!$J$1591*EFEITO!$Y$1303</f>
        <v>0</v>
      </c>
      <c r="K1591" s="76">
        <f ca="1">EFEITO!$L$1591*EFEITO!$Z$1303</f>
        <v>168.59897356858301</v>
      </c>
      <c r="L1591" s="76">
        <f>EFEITO!$N$1591*EFEITO!$AA$1303</f>
        <v>127.23749299692385</v>
      </c>
      <c r="M1591" s="76">
        <f>$J$1591-EFEITO!$K$1591*EFEITO!$Y$1591</f>
        <v>0</v>
      </c>
      <c r="N1591" s="76">
        <f ca="1">$K$1591-EFEITO!$M$1591*EFEITO!$Z$1591</f>
        <v>116.29957196760856</v>
      </c>
      <c r="O1591" s="76">
        <f>$L$1591-EFEITO!$O$1591*EFEITO!$AA$1591</f>
        <v>87.768422669278067</v>
      </c>
      <c r="P1591" s="18"/>
      <c r="Q1591" s="18"/>
      <c r="R1591" s="18"/>
      <c r="S1591" s="18"/>
      <c r="T1591" s="18"/>
      <c r="U1591" s="18"/>
      <c r="V1591" s="18"/>
      <c r="W1591" s="18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</row>
    <row r="1592" spans="1:36" ht="11.25" customHeight="1" x14ac:dyDescent="0.2">
      <c r="A1592" s="62" t="s">
        <v>28</v>
      </c>
      <c r="B1592" s="62" t="s">
        <v>44</v>
      </c>
      <c r="C1592" s="62" t="s">
        <v>23</v>
      </c>
      <c r="D1592" s="62" t="s">
        <v>45</v>
      </c>
      <c r="E1592" s="62" t="s">
        <v>54</v>
      </c>
      <c r="F1592" s="62" t="s">
        <v>56</v>
      </c>
      <c r="G1592" s="62" t="s">
        <v>25</v>
      </c>
      <c r="H1592" s="62" t="s">
        <v>25</v>
      </c>
      <c r="I1592" s="75">
        <v>44562</v>
      </c>
      <c r="J1592" s="76">
        <f>EFEITO!$J$1592*EFEITO!$Y$1303</f>
        <v>0</v>
      </c>
      <c r="K1592" s="76">
        <f ca="1">EFEITO!$L$1592*EFEITO!$Z$1303</f>
        <v>7467.2747464468775</v>
      </c>
      <c r="L1592" s="76">
        <f>EFEITO!$N$1592*EFEITO!$AA$1303</f>
        <v>5635.3683426824091</v>
      </c>
      <c r="M1592" s="76">
        <f>$J$1592-EFEITO!$K$1592*EFEITO!$Y$1592</f>
        <v>0</v>
      </c>
      <c r="N1592" s="76">
        <f ca="1">$K$1592-EFEITO!$M$1592*EFEITO!$Z$1592</f>
        <v>5150.9261200990559</v>
      </c>
      <c r="O1592" s="76">
        <f>$L$1592-EFEITO!$O$1592*EFEITO!$AA$1592</f>
        <v>3887.277082782326</v>
      </c>
      <c r="P1592" s="18"/>
      <c r="Q1592" s="18"/>
      <c r="R1592" s="18"/>
      <c r="S1592" s="18"/>
      <c r="T1592" s="18"/>
      <c r="U1592" s="18"/>
      <c r="V1592" s="18"/>
      <c r="W1592" s="18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</row>
    <row r="1593" spans="1:36" ht="11.25" customHeight="1" x14ac:dyDescent="0.2">
      <c r="A1593" s="62" t="s">
        <v>21</v>
      </c>
      <c r="B1593" s="62" t="s">
        <v>44</v>
      </c>
      <c r="C1593" s="62" t="s">
        <v>23</v>
      </c>
      <c r="D1593" s="62" t="s">
        <v>45</v>
      </c>
      <c r="E1593" s="62" t="s">
        <v>54</v>
      </c>
      <c r="F1593" s="62" t="s">
        <v>56</v>
      </c>
      <c r="G1593" s="62" t="s">
        <v>25</v>
      </c>
      <c r="H1593" s="62" t="s">
        <v>25</v>
      </c>
      <c r="I1593" s="75">
        <v>44593</v>
      </c>
      <c r="J1593" s="76">
        <f>EFEITO!$J$1593*EFEITO!$Y$1303</f>
        <v>0</v>
      </c>
      <c r="K1593" s="76">
        <f ca="1">EFEITO!$L$1593*EFEITO!$Z$1303</f>
        <v>11055.025961193875</v>
      </c>
      <c r="L1593" s="76">
        <f>EFEITO!$N$1593*EFEITO!$AA$1303</f>
        <v>8342.9558231920782</v>
      </c>
      <c r="M1593" s="76">
        <f>$J$1593-EFEITO!$K$1593*EFEITO!$Y$1593</f>
        <v>0</v>
      </c>
      <c r="N1593" s="76">
        <f ca="1">$K$1593-EFEITO!$M$1593*EFEITO!$Z$1593</f>
        <v>7625.7569080315352</v>
      </c>
      <c r="O1593" s="76">
        <f>$L$1593-EFEITO!$O$1593*EFEITO!$AA$1593</f>
        <v>5754.9709268378956</v>
      </c>
      <c r="P1593" s="18"/>
      <c r="Q1593" s="18"/>
      <c r="R1593" s="18"/>
      <c r="S1593" s="18"/>
      <c r="T1593" s="18"/>
      <c r="U1593" s="18"/>
      <c r="V1593" s="18"/>
      <c r="W1593" s="18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</row>
    <row r="1594" spans="1:36" ht="11.25" customHeight="1" x14ac:dyDescent="0.2">
      <c r="A1594" s="62" t="s">
        <v>27</v>
      </c>
      <c r="B1594" s="62" t="s">
        <v>44</v>
      </c>
      <c r="C1594" s="62" t="s">
        <v>23</v>
      </c>
      <c r="D1594" s="62" t="s">
        <v>45</v>
      </c>
      <c r="E1594" s="62" t="s">
        <v>54</v>
      </c>
      <c r="F1594" s="62" t="s">
        <v>56</v>
      </c>
      <c r="G1594" s="62" t="s">
        <v>25</v>
      </c>
      <c r="H1594" s="62" t="s">
        <v>25</v>
      </c>
      <c r="I1594" s="75">
        <v>44593</v>
      </c>
      <c r="J1594" s="76">
        <f>EFEITO!$J$1594*EFEITO!$Y$1303</f>
        <v>0</v>
      </c>
      <c r="K1594" s="76">
        <f ca="1">EFEITO!$L$1594*EFEITO!$Z$1303</f>
        <v>-663.03948672826164</v>
      </c>
      <c r="L1594" s="76">
        <f>EFEITO!$N$1594*EFEITO!$AA$1303</f>
        <v>-500.379570905001</v>
      </c>
      <c r="M1594" s="76">
        <f>$J$1594-EFEITO!$K$1594*EFEITO!$Y$1594</f>
        <v>0</v>
      </c>
      <c r="N1594" s="76">
        <f ca="1">$K$1594-EFEITO!$M$1594*EFEITO!$Z$1594</f>
        <v>-457.36463794515487</v>
      </c>
      <c r="O1594" s="76">
        <f>$L$1594-EFEITO!$O$1594*EFEITO!$AA$1594</f>
        <v>-345.16182801026969</v>
      </c>
      <c r="P1594" s="18"/>
      <c r="Q1594" s="18"/>
      <c r="R1594" s="18"/>
      <c r="S1594" s="18"/>
      <c r="T1594" s="18"/>
      <c r="U1594" s="18"/>
      <c r="V1594" s="18"/>
      <c r="W1594" s="18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</row>
    <row r="1595" spans="1:36" ht="11.25" customHeight="1" x14ac:dyDescent="0.2">
      <c r="A1595" s="62" t="s">
        <v>28</v>
      </c>
      <c r="B1595" s="62" t="s">
        <v>44</v>
      </c>
      <c r="C1595" s="62" t="s">
        <v>23</v>
      </c>
      <c r="D1595" s="62" t="s">
        <v>45</v>
      </c>
      <c r="E1595" s="62" t="s">
        <v>54</v>
      </c>
      <c r="F1595" s="62" t="s">
        <v>56</v>
      </c>
      <c r="G1595" s="62" t="s">
        <v>25</v>
      </c>
      <c r="H1595" s="62" t="s">
        <v>25</v>
      </c>
      <c r="I1595" s="75">
        <v>44593</v>
      </c>
      <c r="J1595" s="76">
        <f>EFEITO!$J$1595*EFEITO!$Y$1303</f>
        <v>0</v>
      </c>
      <c r="K1595" s="76">
        <f ca="1">EFEITO!$L$1595*EFEITO!$Z$1303</f>
        <v>7762.5413426447067</v>
      </c>
      <c r="L1595" s="76">
        <f>EFEITO!$N$1595*EFEITO!$AA$1303</f>
        <v>5858.1987708324614</v>
      </c>
      <c r="M1595" s="76">
        <f>$J$1595-EFEITO!$K$1595*EFEITO!$Y$1595</f>
        <v>0</v>
      </c>
      <c r="N1595" s="76">
        <f ca="1">$K$1595-EFEITO!$M$1595*EFEITO!$Z$1595</f>
        <v>5354.6010181563179</v>
      </c>
      <c r="O1595" s="76">
        <f>$L$1595-EFEITO!$O$1595*EFEITO!$AA$1595</f>
        <v>4040.9855121202313</v>
      </c>
      <c r="P1595" s="18"/>
      <c r="Q1595" s="18"/>
      <c r="R1595" s="18"/>
      <c r="S1595" s="18"/>
      <c r="T1595" s="18"/>
      <c r="U1595" s="18"/>
      <c r="V1595" s="18"/>
      <c r="W1595" s="18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</row>
    <row r="1596" spans="1:36" ht="11.25" customHeight="1" x14ac:dyDescent="0.2">
      <c r="A1596" s="62" t="s">
        <v>21</v>
      </c>
      <c r="B1596" s="62" t="s">
        <v>44</v>
      </c>
      <c r="C1596" s="62" t="s">
        <v>23</v>
      </c>
      <c r="D1596" s="62" t="s">
        <v>45</v>
      </c>
      <c r="E1596" s="62" t="s">
        <v>54</v>
      </c>
      <c r="F1596" s="62" t="s">
        <v>56</v>
      </c>
      <c r="G1596" s="62" t="s">
        <v>25</v>
      </c>
      <c r="H1596" s="62" t="s">
        <v>25</v>
      </c>
      <c r="I1596" s="75">
        <v>44621</v>
      </c>
      <c r="J1596" s="76">
        <f>EFEITO!$J$1596*EFEITO!$Y$1303</f>
        <v>0</v>
      </c>
      <c r="K1596" s="76">
        <f ca="1">EFEITO!$L$1596*EFEITO!$Z$1303</f>
        <v>14362.798051439677</v>
      </c>
      <c r="L1596" s="76">
        <f>EFEITO!$N$1596*EFEITO!$AA$1303</f>
        <v>10839.249953932245</v>
      </c>
      <c r="M1596" s="76">
        <f>$J$1596-EFEITO!$K$1596*EFEITO!$Y$1596</f>
        <v>0</v>
      </c>
      <c r="N1596" s="76">
        <f ca="1">$K$1596-EFEITO!$M$1596*EFEITO!$Z$1596</f>
        <v>9907.4580958830884</v>
      </c>
      <c r="O1596" s="76">
        <f>$L$1596-EFEITO!$O$1596*EFEITO!$AA$1596</f>
        <v>7476.9146182224631</v>
      </c>
      <c r="P1596" s="18"/>
      <c r="Q1596" s="18"/>
      <c r="R1596" s="18"/>
      <c r="S1596" s="18"/>
      <c r="T1596" s="18"/>
      <c r="U1596" s="18"/>
      <c r="V1596" s="18"/>
      <c r="W1596" s="18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</row>
    <row r="1597" spans="1:36" ht="11.25" customHeight="1" x14ac:dyDescent="0.2">
      <c r="A1597" s="62" t="s">
        <v>27</v>
      </c>
      <c r="B1597" s="62" t="s">
        <v>44</v>
      </c>
      <c r="C1597" s="62" t="s">
        <v>23</v>
      </c>
      <c r="D1597" s="62" t="s">
        <v>45</v>
      </c>
      <c r="E1597" s="62" t="s">
        <v>54</v>
      </c>
      <c r="F1597" s="62" t="s">
        <v>56</v>
      </c>
      <c r="G1597" s="62" t="s">
        <v>25</v>
      </c>
      <c r="H1597" s="62" t="s">
        <v>25</v>
      </c>
      <c r="I1597" s="75">
        <v>44621</v>
      </c>
      <c r="J1597" s="76">
        <f>EFEITO!$J$1597*EFEITO!$Y$1303</f>
        <v>0</v>
      </c>
      <c r="K1597" s="76">
        <f ca="1">EFEITO!$L$1597*EFEITO!$Z$1303</f>
        <v>-129.28833206295482</v>
      </c>
      <c r="L1597" s="76">
        <f>EFEITO!$N$1597*EFEITO!$AA$1303</f>
        <v>-97.570720018366458</v>
      </c>
      <c r="M1597" s="76">
        <f>$J$1597-EFEITO!$K$1597*EFEITO!$Y$1597</f>
        <v>0</v>
      </c>
      <c r="N1597" s="76">
        <f ca="1">$K$1597-EFEITO!$M$1597*EFEITO!$Z$1597</f>
        <v>-89.183091457026222</v>
      </c>
      <c r="O1597" s="76">
        <f>$L$1597-EFEITO!$O$1597*EFEITO!$AA$1597</f>
        <v>-67.304282668669174</v>
      </c>
      <c r="P1597" s="18"/>
      <c r="Q1597" s="18"/>
      <c r="R1597" s="18"/>
      <c r="S1597" s="18"/>
      <c r="T1597" s="18"/>
      <c r="U1597" s="18"/>
      <c r="V1597" s="18"/>
      <c r="W1597" s="18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</row>
    <row r="1598" spans="1:36" ht="11.25" customHeight="1" x14ac:dyDescent="0.2">
      <c r="A1598" s="62" t="s">
        <v>28</v>
      </c>
      <c r="B1598" s="62" t="s">
        <v>44</v>
      </c>
      <c r="C1598" s="62" t="s">
        <v>23</v>
      </c>
      <c r="D1598" s="62" t="s">
        <v>45</v>
      </c>
      <c r="E1598" s="62" t="s">
        <v>54</v>
      </c>
      <c r="F1598" s="62" t="s">
        <v>56</v>
      </c>
      <c r="G1598" s="62" t="s">
        <v>25</v>
      </c>
      <c r="H1598" s="62" t="s">
        <v>25</v>
      </c>
      <c r="I1598" s="75">
        <v>44621</v>
      </c>
      <c r="J1598" s="76">
        <f>EFEITO!$J$1598*EFEITO!$Y$1303</f>
        <v>0</v>
      </c>
      <c r="K1598" s="76">
        <f ca="1">EFEITO!$L$1598*EFEITO!$Z$1303</f>
        <v>5764.2503994419421</v>
      </c>
      <c r="L1598" s="76">
        <f>EFEITO!$N$1598*EFEITO!$AA$1303</f>
        <v>4350.1378110891292</v>
      </c>
      <c r="M1598" s="76">
        <f>$J$1598-EFEITO!$K$1598*EFEITO!$Y$1598</f>
        <v>0</v>
      </c>
      <c r="N1598" s="76">
        <f ca="1">$K$1598-EFEITO!$M$1598*EFEITO!$Z$1598</f>
        <v>3976.1799255350516</v>
      </c>
      <c r="O1598" s="76">
        <f>$L$1598-EFEITO!$O$1598*EFEITO!$AA$1598</f>
        <v>3000.725062089281</v>
      </c>
      <c r="P1598" s="18"/>
      <c r="Q1598" s="18"/>
      <c r="R1598" s="18"/>
      <c r="S1598" s="18"/>
      <c r="T1598" s="18"/>
      <c r="U1598" s="18"/>
      <c r="V1598" s="18"/>
      <c r="W1598" s="18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</row>
    <row r="1599" spans="1:36" ht="11.25" customHeight="1" x14ac:dyDescent="0.2">
      <c r="A1599" s="62" t="s">
        <v>21</v>
      </c>
      <c r="B1599" s="62" t="s">
        <v>44</v>
      </c>
      <c r="C1599" s="62" t="s">
        <v>23</v>
      </c>
      <c r="D1599" s="62" t="s">
        <v>45</v>
      </c>
      <c r="E1599" s="62" t="s">
        <v>54</v>
      </c>
      <c r="F1599" s="62" t="s">
        <v>56</v>
      </c>
      <c r="G1599" s="62" t="s">
        <v>25</v>
      </c>
      <c r="H1599" s="62" t="s">
        <v>25</v>
      </c>
      <c r="I1599" s="75">
        <v>44652</v>
      </c>
      <c r="J1599" s="76">
        <f>EFEITO!$J$1599*EFEITO!$Y$1303</f>
        <v>0</v>
      </c>
      <c r="K1599" s="76">
        <f ca="1">EFEITO!$L$1599*EFEITO!$Z$1303</f>
        <v>13022.741961003374</v>
      </c>
      <c r="L1599" s="76">
        <f>EFEITO!$N$1599*EFEITO!$AA$1303</f>
        <v>9827.942626174312</v>
      </c>
      <c r="M1599" s="76">
        <f>$J$1599-EFEITO!$K$1599*EFEITO!$Y$1599</f>
        <v>0</v>
      </c>
      <c r="N1599" s="76">
        <f ca="1">$K$1599-EFEITO!$M$1599*EFEITO!$Z$1599</f>
        <v>8983.0874047001271</v>
      </c>
      <c r="O1599" s="76">
        <f>$L$1599-EFEITO!$O$1599*EFEITO!$AA$1599</f>
        <v>6779.31482353504</v>
      </c>
      <c r="P1599" s="18"/>
      <c r="Q1599" s="18"/>
      <c r="R1599" s="18"/>
      <c r="S1599" s="18"/>
      <c r="T1599" s="18"/>
      <c r="U1599" s="18"/>
      <c r="V1599" s="18"/>
      <c r="W1599" s="18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</row>
    <row r="1600" spans="1:36" ht="11.25" customHeight="1" x14ac:dyDescent="0.2">
      <c r="A1600" s="62" t="s">
        <v>28</v>
      </c>
      <c r="B1600" s="62" t="s">
        <v>44</v>
      </c>
      <c r="C1600" s="62" t="s">
        <v>23</v>
      </c>
      <c r="D1600" s="62" t="s">
        <v>45</v>
      </c>
      <c r="E1600" s="62" t="s">
        <v>54</v>
      </c>
      <c r="F1600" s="62" t="s">
        <v>56</v>
      </c>
      <c r="G1600" s="62" t="s">
        <v>25</v>
      </c>
      <c r="H1600" s="62" t="s">
        <v>25</v>
      </c>
      <c r="I1600" s="75">
        <v>44652</v>
      </c>
      <c r="J1600" s="76">
        <f>EFEITO!$J$1600*EFEITO!$Y$1303</f>
        <v>0</v>
      </c>
      <c r="K1600" s="76">
        <f ca="1">EFEITO!$L$1600*EFEITO!$Z$1303</f>
        <v>6339.4961201409669</v>
      </c>
      <c r="L1600" s="76">
        <f>EFEITO!$N$1600*EFEITO!$AA$1303</f>
        <v>4784.2615890086854</v>
      </c>
      <c r="M1600" s="76">
        <f>$J$1600-EFEITO!$K$1600*EFEITO!$Y$1600</f>
        <v>0</v>
      </c>
      <c r="N1600" s="76">
        <f ca="1">$K$1600-EFEITO!$M$1600*EFEITO!$Z$1600</f>
        <v>4372.9844236732388</v>
      </c>
      <c r="O1600" s="76">
        <f>$L$1600-EFEITO!$O$1600*EFEITO!$AA$1600</f>
        <v>3300.1836440981911</v>
      </c>
      <c r="P1600" s="18"/>
      <c r="Q1600" s="18"/>
      <c r="R1600" s="18"/>
      <c r="S1600" s="18"/>
      <c r="T1600" s="18"/>
      <c r="U1600" s="18"/>
      <c r="V1600" s="18"/>
      <c r="W1600" s="18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</row>
    <row r="1601" spans="1:36" ht="11.25" customHeight="1" x14ac:dyDescent="0.2">
      <c r="A1601" s="62" t="s">
        <v>58</v>
      </c>
      <c r="B1601" s="62" t="s">
        <v>44</v>
      </c>
      <c r="C1601" s="62" t="s">
        <v>23</v>
      </c>
      <c r="D1601" s="62" t="s">
        <v>45</v>
      </c>
      <c r="E1601" s="62" t="s">
        <v>54</v>
      </c>
      <c r="F1601" s="62" t="s">
        <v>56</v>
      </c>
      <c r="G1601" s="62" t="s">
        <v>25</v>
      </c>
      <c r="H1601" s="62" t="s">
        <v>25</v>
      </c>
      <c r="I1601" s="75">
        <v>44682</v>
      </c>
      <c r="J1601" s="76">
        <f>EFEITO!$J$1601*EFEITO!$Y$1303</f>
        <v>0</v>
      </c>
      <c r="K1601" s="76">
        <f ca="1">EFEITO!$L$1601*EFEITO!$Z$1303</f>
        <v>13022.741961003374</v>
      </c>
      <c r="L1601" s="76">
        <f>EFEITO!$N$1601*EFEITO!$AA$1303</f>
        <v>9827.942626174312</v>
      </c>
      <c r="M1601" s="76">
        <f>$J$1601-EFEITO!$K$1601*EFEITO!$Y$1601</f>
        <v>0</v>
      </c>
      <c r="N1601" s="76">
        <f ca="1">$K$1601-EFEITO!$M$1601*EFEITO!$Z$1601</f>
        <v>8983.0874047001271</v>
      </c>
      <c r="O1601" s="76">
        <f>$L$1601-EFEITO!$O$1601*EFEITO!$AA$1601</f>
        <v>6779.31482353504</v>
      </c>
      <c r="P1601" s="18"/>
      <c r="Q1601" s="18"/>
      <c r="R1601" s="18"/>
      <c r="S1601" s="18"/>
      <c r="T1601" s="18"/>
      <c r="U1601" s="18"/>
      <c r="V1601" s="18"/>
      <c r="W1601" s="18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</row>
    <row r="1602" spans="1:36" ht="11.25" customHeight="1" x14ac:dyDescent="0.2">
      <c r="A1602" s="62" t="s">
        <v>58</v>
      </c>
      <c r="B1602" s="62" t="s">
        <v>44</v>
      </c>
      <c r="C1602" s="62" t="s">
        <v>23</v>
      </c>
      <c r="D1602" s="62" t="s">
        <v>45</v>
      </c>
      <c r="E1602" s="62" t="s">
        <v>54</v>
      </c>
      <c r="F1602" s="62" t="s">
        <v>56</v>
      </c>
      <c r="G1602" s="62" t="s">
        <v>25</v>
      </c>
      <c r="H1602" s="62" t="s">
        <v>25</v>
      </c>
      <c r="I1602" s="75">
        <v>44682</v>
      </c>
      <c r="J1602" s="76">
        <f>EFEITO!$J$1602*EFEITO!$Y$1303</f>
        <v>0</v>
      </c>
      <c r="K1602" s="76">
        <f ca="1">EFEITO!$L$1602*EFEITO!$Z$1303</f>
        <v>6339.4961201409669</v>
      </c>
      <c r="L1602" s="76">
        <f>EFEITO!$N$1602*EFEITO!$AA$1303</f>
        <v>4784.2615890086854</v>
      </c>
      <c r="M1602" s="76">
        <f>$J$1602-EFEITO!$K$1602*EFEITO!$Y$1602</f>
        <v>0</v>
      </c>
      <c r="N1602" s="76">
        <f ca="1">$K$1602-EFEITO!$M$1602*EFEITO!$Z$1602</f>
        <v>4372.9844236732388</v>
      </c>
      <c r="O1602" s="76">
        <f>$L$1602-EFEITO!$O$1602*EFEITO!$AA$1602</f>
        <v>3300.1836440981911</v>
      </c>
      <c r="P1602" s="18"/>
      <c r="Q1602" s="18"/>
      <c r="R1602" s="18"/>
      <c r="S1602" s="18"/>
      <c r="T1602" s="18"/>
      <c r="U1602" s="18"/>
      <c r="V1602" s="18"/>
      <c r="W1602" s="18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</row>
    <row r="1603" spans="1:36" ht="11.25" customHeight="1" x14ac:dyDescent="0.2">
      <c r="A1603" s="62" t="s">
        <v>21</v>
      </c>
      <c r="B1603" s="62" t="s">
        <v>44</v>
      </c>
      <c r="C1603" s="62" t="s">
        <v>23</v>
      </c>
      <c r="D1603" s="62" t="s">
        <v>45</v>
      </c>
      <c r="E1603" s="62" t="s">
        <v>57</v>
      </c>
      <c r="F1603" s="62" t="s">
        <v>55</v>
      </c>
      <c r="G1603" s="62" t="s">
        <v>25</v>
      </c>
      <c r="H1603" s="62" t="s">
        <v>25</v>
      </c>
      <c r="I1603" s="75">
        <v>44348</v>
      </c>
      <c r="J1603" s="76">
        <f>EFEITO!$J$1603*EFEITO!$Y$1303</f>
        <v>0</v>
      </c>
      <c r="K1603" s="76">
        <f ca="1">EFEITO!$L$1603*EFEITO!$Z$1303</f>
        <v>390.48570562257305</v>
      </c>
      <c r="L1603" s="76">
        <f>EFEITO!$N$1603*EFEITO!$AA$1303</f>
        <v>294.68994492033659</v>
      </c>
      <c r="M1603" s="76">
        <f>$J$1603-EFEITO!$K$1603*EFEITO!$Y$1603</f>
        <v>0</v>
      </c>
      <c r="N1603" s="76">
        <f ca="1">$K$1603-EFEITO!$M$1603*EFEITO!$Z$1603</f>
        <v>23.429142337354392</v>
      </c>
      <c r="O1603" s="76">
        <f>$L$1603-EFEITO!$O$1603*EFEITO!$AA$1603</f>
        <v>17.681396695220201</v>
      </c>
      <c r="P1603" s="18"/>
      <c r="Q1603" s="18"/>
      <c r="R1603" s="18"/>
      <c r="S1603" s="18"/>
      <c r="T1603" s="18"/>
      <c r="U1603" s="18"/>
      <c r="V1603" s="18"/>
      <c r="W1603" s="18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</row>
    <row r="1604" spans="1:36" ht="11.25" customHeight="1" x14ac:dyDescent="0.2">
      <c r="A1604" s="62" t="s">
        <v>21</v>
      </c>
      <c r="B1604" s="62" t="s">
        <v>44</v>
      </c>
      <c r="C1604" s="62" t="s">
        <v>23</v>
      </c>
      <c r="D1604" s="62" t="s">
        <v>45</v>
      </c>
      <c r="E1604" s="62" t="s">
        <v>57</v>
      </c>
      <c r="F1604" s="62" t="s">
        <v>55</v>
      </c>
      <c r="G1604" s="62" t="s">
        <v>25</v>
      </c>
      <c r="H1604" s="62" t="s">
        <v>25</v>
      </c>
      <c r="I1604" s="75">
        <v>44378</v>
      </c>
      <c r="J1604" s="76">
        <f>EFEITO!$J$1604*EFEITO!$Y$1303</f>
        <v>0</v>
      </c>
      <c r="K1604" s="76">
        <f ca="1">EFEITO!$L$1604*EFEITO!$Z$1303</f>
        <v>587.03891315071382</v>
      </c>
      <c r="L1604" s="76">
        <f>EFEITO!$N$1604*EFEITO!$AA$1303</f>
        <v>443.02380981312342</v>
      </c>
      <c r="M1604" s="76">
        <f>$J$1604-EFEITO!$K$1604*EFEITO!$Y$1604</f>
        <v>0</v>
      </c>
      <c r="N1604" s="76">
        <f ca="1">$K$1604-EFEITO!$M$1604*EFEITO!$Z$1604</f>
        <v>35.222334789042748</v>
      </c>
      <c r="O1604" s="76">
        <f>$L$1604-EFEITO!$O$1604*EFEITO!$AA$1604</f>
        <v>26.581428588787389</v>
      </c>
      <c r="P1604" s="18"/>
      <c r="Q1604" s="18"/>
      <c r="R1604" s="18"/>
      <c r="S1604" s="18"/>
      <c r="T1604" s="18"/>
      <c r="U1604" s="18"/>
      <c r="V1604" s="18"/>
      <c r="W1604" s="18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</row>
    <row r="1605" spans="1:36" ht="11.25" customHeight="1" x14ac:dyDescent="0.2">
      <c r="A1605" s="62" t="s">
        <v>28</v>
      </c>
      <c r="B1605" s="62" t="s">
        <v>44</v>
      </c>
      <c r="C1605" s="62" t="s">
        <v>23</v>
      </c>
      <c r="D1605" s="62" t="s">
        <v>45</v>
      </c>
      <c r="E1605" s="62" t="s">
        <v>57</v>
      </c>
      <c r="F1605" s="62" t="s">
        <v>55</v>
      </c>
      <c r="G1605" s="62" t="s">
        <v>25</v>
      </c>
      <c r="H1605" s="62" t="s">
        <v>25</v>
      </c>
      <c r="I1605" s="75">
        <v>44378</v>
      </c>
      <c r="J1605" s="76">
        <f>EFEITO!$J$1605*EFEITO!$Y$1303</f>
        <v>0</v>
      </c>
      <c r="K1605" s="76">
        <f ca="1">EFEITO!$L$1605*EFEITO!$Z$1303</f>
        <v>5.2414188674170878</v>
      </c>
      <c r="L1605" s="76">
        <f>EFEITO!$N$1605*EFEITO!$AA$1303</f>
        <v>3.9555697304743163</v>
      </c>
      <c r="M1605" s="76">
        <f>$J$1605-EFEITO!$K$1605*EFEITO!$Y$1605</f>
        <v>0</v>
      </c>
      <c r="N1605" s="76">
        <f ca="1">$K$1605-EFEITO!$M$1605*EFEITO!$Z$1605</f>
        <v>0.31448513204502504</v>
      </c>
      <c r="O1605" s="76">
        <f>$L$1605-EFEITO!$O$1605*EFEITO!$AA$1605</f>
        <v>0.23733418382845883</v>
      </c>
      <c r="P1605" s="18"/>
      <c r="Q1605" s="18"/>
      <c r="R1605" s="18"/>
      <c r="S1605" s="18"/>
      <c r="T1605" s="18"/>
      <c r="U1605" s="18"/>
      <c r="V1605" s="18"/>
      <c r="W1605" s="18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</row>
    <row r="1606" spans="1:36" ht="11.25" customHeight="1" x14ac:dyDescent="0.2">
      <c r="A1606" s="62" t="s">
        <v>21</v>
      </c>
      <c r="B1606" s="62" t="s">
        <v>44</v>
      </c>
      <c r="C1606" s="62" t="s">
        <v>23</v>
      </c>
      <c r="D1606" s="62" t="s">
        <v>45</v>
      </c>
      <c r="E1606" s="62" t="s">
        <v>57</v>
      </c>
      <c r="F1606" s="62" t="s">
        <v>55</v>
      </c>
      <c r="G1606" s="62" t="s">
        <v>25</v>
      </c>
      <c r="H1606" s="62" t="s">
        <v>25</v>
      </c>
      <c r="I1606" s="75">
        <v>44409</v>
      </c>
      <c r="J1606" s="76">
        <f>EFEITO!$J$1606*EFEITO!$Y$1303</f>
        <v>0</v>
      </c>
      <c r="K1606" s="76">
        <f ca="1">EFEITO!$L$1606*EFEITO!$Z$1303</f>
        <v>240.23169808994987</v>
      </c>
      <c r="L1606" s="76">
        <f>EFEITO!$N$1606*EFEITO!$AA$1303</f>
        <v>181.29694598007285</v>
      </c>
      <c r="M1606" s="76">
        <f>$J$1606-EFEITO!$K$1606*EFEITO!$Y$1606</f>
        <v>0</v>
      </c>
      <c r="N1606" s="76">
        <f ca="1">$K$1606-EFEITO!$M$1606*EFEITO!$Z$1606</f>
        <v>14.413901885396996</v>
      </c>
      <c r="O1606" s="76">
        <f>$L$1606-EFEITO!$O$1606*EFEITO!$AA$1606</f>
        <v>10.877816758804386</v>
      </c>
      <c r="P1606" s="18"/>
      <c r="Q1606" s="18"/>
      <c r="R1606" s="18"/>
      <c r="S1606" s="18"/>
      <c r="T1606" s="18"/>
      <c r="U1606" s="18"/>
      <c r="V1606" s="18"/>
      <c r="W1606" s="18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</row>
    <row r="1607" spans="1:36" ht="11.25" customHeight="1" x14ac:dyDescent="0.2">
      <c r="A1607" s="62" t="s">
        <v>28</v>
      </c>
      <c r="B1607" s="62" t="s">
        <v>44</v>
      </c>
      <c r="C1607" s="62" t="s">
        <v>23</v>
      </c>
      <c r="D1607" s="62" t="s">
        <v>45</v>
      </c>
      <c r="E1607" s="62" t="s">
        <v>57</v>
      </c>
      <c r="F1607" s="62" t="s">
        <v>55</v>
      </c>
      <c r="G1607" s="62" t="s">
        <v>25</v>
      </c>
      <c r="H1607" s="62" t="s">
        <v>25</v>
      </c>
      <c r="I1607" s="75">
        <v>44409</v>
      </c>
      <c r="J1607" s="76">
        <f>EFEITO!$J$1607*EFEITO!$Y$1303</f>
        <v>0</v>
      </c>
      <c r="K1607" s="76">
        <f ca="1">EFEITO!$L$1607*EFEITO!$Z$1303</f>
        <v>73.379864143839228</v>
      </c>
      <c r="L1607" s="76">
        <f>EFEITO!$N$1607*EFEITO!$AA$1303</f>
        <v>55.377976226640428</v>
      </c>
      <c r="M1607" s="76">
        <f>$J$1607-EFEITO!$K$1607*EFEITO!$Y$1607</f>
        <v>0</v>
      </c>
      <c r="N1607" s="76">
        <f ca="1">$K$1607-EFEITO!$M$1607*EFEITO!$Z$1607</f>
        <v>4.4027918486303435</v>
      </c>
      <c r="O1607" s="76">
        <f>$L$1607-EFEITO!$O$1607*EFEITO!$AA$1607</f>
        <v>3.3226785735984237</v>
      </c>
      <c r="P1607" s="18"/>
      <c r="Q1607" s="18"/>
      <c r="R1607" s="18"/>
      <c r="S1607" s="18"/>
      <c r="T1607" s="18"/>
      <c r="U1607" s="18"/>
      <c r="V1607" s="18"/>
      <c r="W1607" s="18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</row>
    <row r="1608" spans="1:36" ht="11.25" customHeight="1" x14ac:dyDescent="0.2">
      <c r="A1608" s="62" t="s">
        <v>21</v>
      </c>
      <c r="B1608" s="62" t="s">
        <v>44</v>
      </c>
      <c r="C1608" s="62" t="s">
        <v>23</v>
      </c>
      <c r="D1608" s="62" t="s">
        <v>45</v>
      </c>
      <c r="E1608" s="62" t="s">
        <v>57</v>
      </c>
      <c r="F1608" s="62" t="s">
        <v>55</v>
      </c>
      <c r="G1608" s="62" t="s">
        <v>25</v>
      </c>
      <c r="H1608" s="62" t="s">
        <v>25</v>
      </c>
      <c r="I1608" s="75">
        <v>44440</v>
      </c>
      <c r="J1608" s="76">
        <f>EFEITO!$J$1608*EFEITO!$Y$1303</f>
        <v>0</v>
      </c>
      <c r="K1608" s="76">
        <f ca="1">EFEITO!$L$1608*EFEITO!$Z$1303</f>
        <v>393.54319996189969</v>
      </c>
      <c r="L1608" s="76">
        <f>EFEITO!$N$1608*EFEITO!$AA$1303</f>
        <v>296.99736059644658</v>
      </c>
      <c r="M1608" s="76">
        <f>$J$1608-EFEITO!$K$1608*EFEITO!$Y$1608</f>
        <v>0</v>
      </c>
      <c r="N1608" s="76">
        <f ca="1">$K$1608-EFEITO!$M$1608*EFEITO!$Z$1608</f>
        <v>23.612591997713992</v>
      </c>
      <c r="O1608" s="76">
        <f>$L$1608-EFEITO!$O$1608*EFEITO!$AA$1608</f>
        <v>17.819841635786815</v>
      </c>
      <c r="P1608" s="18"/>
      <c r="Q1608" s="18"/>
      <c r="R1608" s="18"/>
      <c r="S1608" s="18"/>
      <c r="T1608" s="18"/>
      <c r="U1608" s="18"/>
      <c r="V1608" s="18"/>
      <c r="W1608" s="18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</row>
    <row r="1609" spans="1:36" ht="11.25" customHeight="1" x14ac:dyDescent="0.2">
      <c r="A1609" s="62" t="s">
        <v>28</v>
      </c>
      <c r="B1609" s="62" t="s">
        <v>44</v>
      </c>
      <c r="C1609" s="62" t="s">
        <v>23</v>
      </c>
      <c r="D1609" s="62" t="s">
        <v>45</v>
      </c>
      <c r="E1609" s="62" t="s">
        <v>57</v>
      </c>
      <c r="F1609" s="62" t="s">
        <v>55</v>
      </c>
      <c r="G1609" s="62" t="s">
        <v>25</v>
      </c>
      <c r="H1609" s="62" t="s">
        <v>25</v>
      </c>
      <c r="I1609" s="75">
        <v>44440</v>
      </c>
      <c r="J1609" s="76">
        <f>EFEITO!$J$1609*EFEITO!$Y$1303</f>
        <v>0</v>
      </c>
      <c r="K1609" s="76">
        <f ca="1">EFEITO!$L$1609*EFEITO!$Z$1303</f>
        <v>36.689932071919614</v>
      </c>
      <c r="L1609" s="76">
        <f>EFEITO!$N$1609*EFEITO!$AA$1303</f>
        <v>27.688988113320214</v>
      </c>
      <c r="M1609" s="76">
        <f>$J$1609-EFEITO!$K$1609*EFEITO!$Y$1609</f>
        <v>0</v>
      </c>
      <c r="N1609" s="76">
        <f ca="1">$K$1609-EFEITO!$M$1609*EFEITO!$Z$1609</f>
        <v>2.2013959243151717</v>
      </c>
      <c r="O1609" s="76">
        <f>$L$1609-EFEITO!$O$1609*EFEITO!$AA$1609</f>
        <v>1.6613392867992118</v>
      </c>
      <c r="P1609" s="18"/>
      <c r="Q1609" s="18"/>
      <c r="R1609" s="18"/>
      <c r="S1609" s="18"/>
      <c r="T1609" s="18"/>
      <c r="U1609" s="18"/>
      <c r="V1609" s="18"/>
      <c r="W1609" s="18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</row>
    <row r="1610" spans="1:36" ht="11.25" customHeight="1" x14ac:dyDescent="0.2">
      <c r="A1610" s="62" t="s">
        <v>21</v>
      </c>
      <c r="B1610" s="62" t="s">
        <v>44</v>
      </c>
      <c r="C1610" s="62" t="s">
        <v>23</v>
      </c>
      <c r="D1610" s="62" t="s">
        <v>45</v>
      </c>
      <c r="E1610" s="62" t="s">
        <v>57</v>
      </c>
      <c r="F1610" s="62" t="s">
        <v>55</v>
      </c>
      <c r="G1610" s="62" t="s">
        <v>25</v>
      </c>
      <c r="H1610" s="62" t="s">
        <v>25</v>
      </c>
      <c r="I1610" s="75">
        <v>44470</v>
      </c>
      <c r="J1610" s="76">
        <f>EFEITO!$J$1610*EFEITO!$Y$1303</f>
        <v>0</v>
      </c>
      <c r="K1610" s="76">
        <f ca="1">EFEITO!$L$1610*EFEITO!$Z$1303</f>
        <v>239.79491318433179</v>
      </c>
      <c r="L1610" s="76">
        <f>EFEITO!$N$1610*EFEITO!$AA$1303</f>
        <v>180.96731516919999</v>
      </c>
      <c r="M1610" s="76">
        <f>$J$1610-EFEITO!$K$1610*EFEITO!$Y$1610</f>
        <v>0</v>
      </c>
      <c r="N1610" s="76">
        <f ca="1">$K$1610-EFEITO!$M$1610*EFEITO!$Z$1610</f>
        <v>14.387694791059914</v>
      </c>
      <c r="O1610" s="76">
        <f>$L$1610-EFEITO!$O$1610*EFEITO!$AA$1610</f>
        <v>10.858038910152004</v>
      </c>
      <c r="P1610" s="18"/>
      <c r="Q1610" s="18"/>
      <c r="R1610" s="18"/>
      <c r="S1610" s="18"/>
      <c r="T1610" s="18"/>
      <c r="U1610" s="18"/>
      <c r="V1610" s="18"/>
      <c r="W1610" s="18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</row>
    <row r="1611" spans="1:36" ht="11.25" customHeight="1" x14ac:dyDescent="0.2">
      <c r="A1611" s="62" t="s">
        <v>28</v>
      </c>
      <c r="B1611" s="62" t="s">
        <v>44</v>
      </c>
      <c r="C1611" s="62" t="s">
        <v>23</v>
      </c>
      <c r="D1611" s="62" t="s">
        <v>45</v>
      </c>
      <c r="E1611" s="62" t="s">
        <v>57</v>
      </c>
      <c r="F1611" s="62" t="s">
        <v>55</v>
      </c>
      <c r="G1611" s="62" t="s">
        <v>25</v>
      </c>
      <c r="H1611" s="62" t="s">
        <v>25</v>
      </c>
      <c r="I1611" s="75">
        <v>44470</v>
      </c>
      <c r="J1611" s="76">
        <f>EFEITO!$J$1611*EFEITO!$Y$1303</f>
        <v>0</v>
      </c>
      <c r="K1611" s="76">
        <f ca="1">EFEITO!$L$1611*EFEITO!$Z$1303</f>
        <v>25.33352452584926</v>
      </c>
      <c r="L1611" s="76">
        <f>EFEITO!$N$1611*EFEITO!$AA$1303</f>
        <v>19.118587030625864</v>
      </c>
      <c r="M1611" s="76">
        <f>$J$1611-EFEITO!$K$1611*EFEITO!$Y$1611</f>
        <v>0</v>
      </c>
      <c r="N1611" s="76">
        <f ca="1">$K$1611-EFEITO!$M$1611*EFEITO!$Z$1611</f>
        <v>1.520011471550955</v>
      </c>
      <c r="O1611" s="76">
        <f>$L$1611-EFEITO!$O$1611*EFEITO!$AA$1611</f>
        <v>1.1471152218375522</v>
      </c>
      <c r="P1611" s="18"/>
      <c r="Q1611" s="18"/>
      <c r="R1611" s="18"/>
      <c r="S1611" s="18"/>
      <c r="T1611" s="18"/>
      <c r="U1611" s="18"/>
      <c r="V1611" s="18"/>
      <c r="W1611" s="18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</row>
    <row r="1612" spans="1:36" ht="11.25" customHeight="1" x14ac:dyDescent="0.2">
      <c r="A1612" s="62" t="s">
        <v>21</v>
      </c>
      <c r="B1612" s="62" t="s">
        <v>44</v>
      </c>
      <c r="C1612" s="62" t="s">
        <v>23</v>
      </c>
      <c r="D1612" s="62" t="s">
        <v>45</v>
      </c>
      <c r="E1612" s="62" t="s">
        <v>57</v>
      </c>
      <c r="F1612" s="62" t="s">
        <v>55</v>
      </c>
      <c r="G1612" s="62" t="s">
        <v>25</v>
      </c>
      <c r="H1612" s="62" t="s">
        <v>25</v>
      </c>
      <c r="I1612" s="75">
        <v>44501</v>
      </c>
      <c r="J1612" s="76">
        <f>EFEITO!$J$1612*EFEITO!$Y$1303</f>
        <v>0</v>
      </c>
      <c r="K1612" s="76">
        <f ca="1">EFEITO!$L$1612*EFEITO!$Z$1303</f>
        <v>610.62529805409065</v>
      </c>
      <c r="L1612" s="76">
        <f>EFEITO!$N$1612*EFEITO!$AA$1303</f>
        <v>460.8238736002578</v>
      </c>
      <c r="M1612" s="76">
        <f>$J$1612-EFEITO!$K$1612*EFEITO!$Y$1612</f>
        <v>0</v>
      </c>
      <c r="N1612" s="76">
        <f ca="1">$K$1612-EFEITO!$M$1612*EFEITO!$Z$1612</f>
        <v>36.637517883245437</v>
      </c>
      <c r="O1612" s="76">
        <f>$L$1612-EFEITO!$O$1612*EFEITO!$AA$1612</f>
        <v>27.649432416015429</v>
      </c>
      <c r="P1612" s="18"/>
      <c r="Q1612" s="18"/>
      <c r="R1612" s="18"/>
      <c r="S1612" s="18"/>
      <c r="T1612" s="18"/>
      <c r="U1612" s="18"/>
      <c r="V1612" s="18"/>
      <c r="W1612" s="18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</row>
    <row r="1613" spans="1:36" ht="11.25" customHeight="1" x14ac:dyDescent="0.2">
      <c r="A1613" s="62" t="s">
        <v>28</v>
      </c>
      <c r="B1613" s="62" t="s">
        <v>44</v>
      </c>
      <c r="C1613" s="62" t="s">
        <v>23</v>
      </c>
      <c r="D1613" s="62" t="s">
        <v>45</v>
      </c>
      <c r="E1613" s="62" t="s">
        <v>57</v>
      </c>
      <c r="F1613" s="62" t="s">
        <v>55</v>
      </c>
      <c r="G1613" s="62" t="s">
        <v>25</v>
      </c>
      <c r="H1613" s="62" t="s">
        <v>25</v>
      </c>
      <c r="I1613" s="75">
        <v>44501</v>
      </c>
      <c r="J1613" s="76">
        <f>EFEITO!$J$1613*EFEITO!$Y$1303</f>
        <v>0</v>
      </c>
      <c r="K1613" s="76">
        <f ca="1">EFEITO!$L$1613*EFEITO!$Z$1303</f>
        <v>8.7356981123618134</v>
      </c>
      <c r="L1613" s="76">
        <f>EFEITO!$N$1613*EFEITO!$AA$1303</f>
        <v>6.5926162174571941</v>
      </c>
      <c r="M1613" s="76">
        <f>$J$1613-EFEITO!$K$1613*EFEITO!$Y$1613</f>
        <v>0</v>
      </c>
      <c r="N1613" s="76">
        <f ca="1">$K$1613-EFEITO!$M$1613*EFEITO!$Z$1613</f>
        <v>0.52414188674170958</v>
      </c>
      <c r="O1613" s="76">
        <f>$L$1613-EFEITO!$O$1613*EFEITO!$AA$1613</f>
        <v>0.39555697304743198</v>
      </c>
      <c r="P1613" s="18"/>
      <c r="Q1613" s="18"/>
      <c r="R1613" s="18"/>
      <c r="S1613" s="18"/>
      <c r="T1613" s="18"/>
      <c r="U1613" s="18"/>
      <c r="V1613" s="18"/>
      <c r="W1613" s="18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</row>
    <row r="1614" spans="1:36" ht="11.25" customHeight="1" x14ac:dyDescent="0.2">
      <c r="A1614" s="62" t="s">
        <v>21</v>
      </c>
      <c r="B1614" s="62" t="s">
        <v>44</v>
      </c>
      <c r="C1614" s="62" t="s">
        <v>23</v>
      </c>
      <c r="D1614" s="62" t="s">
        <v>45</v>
      </c>
      <c r="E1614" s="62" t="s">
        <v>57</v>
      </c>
      <c r="F1614" s="62" t="s">
        <v>55</v>
      </c>
      <c r="G1614" s="62" t="s">
        <v>25</v>
      </c>
      <c r="H1614" s="62" t="s">
        <v>25</v>
      </c>
      <c r="I1614" s="75">
        <v>44531</v>
      </c>
      <c r="J1614" s="76">
        <f>EFEITO!$J$1614*EFEITO!$Y$1303</f>
        <v>0</v>
      </c>
      <c r="K1614" s="76">
        <f ca="1">EFEITO!$L$1614*EFEITO!$Z$1303</f>
        <v>331.08295845851273</v>
      </c>
      <c r="L1614" s="76">
        <f>EFEITO!$N$1614*EFEITO!$AA$1303</f>
        <v>249.86015464162764</v>
      </c>
      <c r="M1614" s="76">
        <f>$J$1614-EFEITO!$K$1614*EFEITO!$Y$1614</f>
        <v>0</v>
      </c>
      <c r="N1614" s="76">
        <f ca="1">$K$1614-EFEITO!$M$1614*EFEITO!$Z$1614</f>
        <v>19.864977507510787</v>
      </c>
      <c r="O1614" s="76">
        <f>$L$1614-EFEITO!$O$1614*EFEITO!$AA$1614</f>
        <v>14.991609278497663</v>
      </c>
      <c r="P1614" s="18"/>
      <c r="Q1614" s="18"/>
      <c r="R1614" s="18"/>
      <c r="S1614" s="18"/>
      <c r="T1614" s="18"/>
      <c r="U1614" s="18"/>
      <c r="V1614" s="18"/>
      <c r="W1614" s="18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</row>
    <row r="1615" spans="1:36" ht="11.25" customHeight="1" x14ac:dyDescent="0.2">
      <c r="A1615" s="62" t="s">
        <v>28</v>
      </c>
      <c r="B1615" s="62" t="s">
        <v>44</v>
      </c>
      <c r="C1615" s="62" t="s">
        <v>23</v>
      </c>
      <c r="D1615" s="62" t="s">
        <v>45</v>
      </c>
      <c r="E1615" s="62" t="s">
        <v>57</v>
      </c>
      <c r="F1615" s="62" t="s">
        <v>55</v>
      </c>
      <c r="G1615" s="62" t="s">
        <v>25</v>
      </c>
      <c r="H1615" s="62" t="s">
        <v>25</v>
      </c>
      <c r="I1615" s="75">
        <v>44531</v>
      </c>
      <c r="J1615" s="76">
        <f>EFEITO!$J$1615*EFEITO!$Y$1303</f>
        <v>0</v>
      </c>
      <c r="K1615" s="76">
        <f ca="1">EFEITO!$L$1615*EFEITO!$Z$1303</f>
        <v>445.9573886360705</v>
      </c>
      <c r="L1615" s="76">
        <f>EFEITO!$N$1615*EFEITO!$AA$1303</f>
        <v>336.55305790118973</v>
      </c>
      <c r="M1615" s="76">
        <f>$J$1615-EFEITO!$K$1615*EFEITO!$Y$1615</f>
        <v>0</v>
      </c>
      <c r="N1615" s="76">
        <f ca="1">$K$1615-EFEITO!$M$1615*EFEITO!$Z$1615</f>
        <v>26.757443318164235</v>
      </c>
      <c r="O1615" s="76">
        <f>$L$1615-EFEITO!$O$1615*EFEITO!$AA$1615</f>
        <v>20.193183474071418</v>
      </c>
      <c r="P1615" s="18"/>
      <c r="Q1615" s="18"/>
      <c r="R1615" s="18"/>
      <c r="S1615" s="18"/>
      <c r="T1615" s="18"/>
      <c r="U1615" s="18"/>
      <c r="V1615" s="18"/>
      <c r="W1615" s="18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</row>
    <row r="1616" spans="1:36" ht="11.25" customHeight="1" x14ac:dyDescent="0.2">
      <c r="A1616" s="62" t="s">
        <v>21</v>
      </c>
      <c r="B1616" s="62" t="s">
        <v>44</v>
      </c>
      <c r="C1616" s="62" t="s">
        <v>23</v>
      </c>
      <c r="D1616" s="62" t="s">
        <v>45</v>
      </c>
      <c r="E1616" s="62" t="s">
        <v>57</v>
      </c>
      <c r="F1616" s="62" t="s">
        <v>55</v>
      </c>
      <c r="G1616" s="62" t="s">
        <v>25</v>
      </c>
      <c r="H1616" s="62" t="s">
        <v>25</v>
      </c>
      <c r="I1616" s="75">
        <v>44562</v>
      </c>
      <c r="J1616" s="76">
        <f>EFEITO!$J$1616*EFEITO!$Y$1303</f>
        <v>0</v>
      </c>
      <c r="K1616" s="76">
        <f ca="1">EFEITO!$L$1616*EFEITO!$Z$1303</f>
        <v>851.73056595527669</v>
      </c>
      <c r="L1616" s="76">
        <f>EFEITO!$N$1616*EFEITO!$AA$1303</f>
        <v>642.78008120207642</v>
      </c>
      <c r="M1616" s="76">
        <f>$J$1616-EFEITO!$K$1616*EFEITO!$Y$1616</f>
        <v>0</v>
      </c>
      <c r="N1616" s="76">
        <f ca="1">$K$1616-EFEITO!$M$1616*EFEITO!$Z$1616</f>
        <v>51.10383395731651</v>
      </c>
      <c r="O1616" s="76">
        <f>$L$1616-EFEITO!$O$1616*EFEITO!$AA$1616</f>
        <v>38.566804872124635</v>
      </c>
      <c r="P1616" s="18"/>
      <c r="Q1616" s="18"/>
      <c r="R1616" s="18"/>
      <c r="S1616" s="18"/>
      <c r="T1616" s="18"/>
      <c r="U1616" s="18"/>
      <c r="V1616" s="18"/>
      <c r="W1616" s="18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</row>
    <row r="1617" spans="1:36" ht="11.25" customHeight="1" x14ac:dyDescent="0.2">
      <c r="A1617" s="62" t="s">
        <v>28</v>
      </c>
      <c r="B1617" s="62" t="s">
        <v>44</v>
      </c>
      <c r="C1617" s="62" t="s">
        <v>23</v>
      </c>
      <c r="D1617" s="62" t="s">
        <v>45</v>
      </c>
      <c r="E1617" s="62" t="s">
        <v>57</v>
      </c>
      <c r="F1617" s="62" t="s">
        <v>55</v>
      </c>
      <c r="G1617" s="62" t="s">
        <v>25</v>
      </c>
      <c r="H1617" s="62" t="s">
        <v>25</v>
      </c>
      <c r="I1617" s="75">
        <v>44562</v>
      </c>
      <c r="J1617" s="76">
        <f>EFEITO!$J$1617*EFEITO!$Y$1303</f>
        <v>0</v>
      </c>
      <c r="K1617" s="76">
        <f ca="1">EFEITO!$L$1617*EFEITO!$Z$1303</f>
        <v>9.6092679235979936</v>
      </c>
      <c r="L1617" s="76">
        <f>EFEITO!$N$1617*EFEITO!$AA$1303</f>
        <v>7.2518778392029128</v>
      </c>
      <c r="M1617" s="76">
        <f>$J$1617-EFEITO!$K$1617*EFEITO!$Y$1617</f>
        <v>0</v>
      </c>
      <c r="N1617" s="76">
        <f ca="1">$K$1617-EFEITO!$M$1617*EFEITO!$Z$1617</f>
        <v>0.57655607541587983</v>
      </c>
      <c r="O1617" s="76">
        <f>$L$1617-EFEITO!$O$1617*EFEITO!$AA$1617</f>
        <v>0.43511267035217482</v>
      </c>
      <c r="P1617" s="18"/>
      <c r="Q1617" s="18"/>
      <c r="R1617" s="18"/>
      <c r="S1617" s="18"/>
      <c r="T1617" s="18"/>
      <c r="U1617" s="18"/>
      <c r="V1617" s="18"/>
      <c r="W1617" s="18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</row>
    <row r="1618" spans="1:36" ht="11.25" customHeight="1" x14ac:dyDescent="0.2">
      <c r="A1618" s="62" t="s">
        <v>21</v>
      </c>
      <c r="B1618" s="62" t="s">
        <v>44</v>
      </c>
      <c r="C1618" s="62" t="s">
        <v>23</v>
      </c>
      <c r="D1618" s="62" t="s">
        <v>45</v>
      </c>
      <c r="E1618" s="62" t="s">
        <v>57</v>
      </c>
      <c r="F1618" s="62" t="s">
        <v>55</v>
      </c>
      <c r="G1618" s="62" t="s">
        <v>25</v>
      </c>
      <c r="H1618" s="62" t="s">
        <v>25</v>
      </c>
      <c r="I1618" s="75">
        <v>44593</v>
      </c>
      <c r="J1618" s="76">
        <f>EFEITO!$J$1618*EFEITO!$Y$1303</f>
        <v>0</v>
      </c>
      <c r="K1618" s="76">
        <f ca="1">EFEITO!$L$1618*EFEITO!$Z$1303</f>
        <v>355.54291317312578</v>
      </c>
      <c r="L1618" s="76">
        <f>EFEITO!$N$1618*EFEITO!$AA$1303</f>
        <v>268.31948005050776</v>
      </c>
      <c r="M1618" s="76">
        <f>$J$1618-EFEITO!$K$1618*EFEITO!$Y$1618</f>
        <v>0</v>
      </c>
      <c r="N1618" s="76">
        <f ca="1">$K$1618-EFEITO!$M$1618*EFEITO!$Z$1618</f>
        <v>21.332574790387582</v>
      </c>
      <c r="O1618" s="76">
        <f>$L$1618-EFEITO!$O$1618*EFEITO!$AA$1618</f>
        <v>16.099168803030466</v>
      </c>
      <c r="P1618" s="18"/>
      <c r="Q1618" s="18"/>
      <c r="R1618" s="18"/>
      <c r="S1618" s="18"/>
      <c r="T1618" s="18"/>
      <c r="U1618" s="18"/>
      <c r="V1618" s="18"/>
      <c r="W1618" s="18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</row>
    <row r="1619" spans="1:36" ht="11.25" customHeight="1" x14ac:dyDescent="0.2">
      <c r="A1619" s="62" t="s">
        <v>28</v>
      </c>
      <c r="B1619" s="62" t="s">
        <v>44</v>
      </c>
      <c r="C1619" s="62" t="s">
        <v>23</v>
      </c>
      <c r="D1619" s="62" t="s">
        <v>45</v>
      </c>
      <c r="E1619" s="62" t="s">
        <v>57</v>
      </c>
      <c r="F1619" s="62" t="s">
        <v>55</v>
      </c>
      <c r="G1619" s="62" t="s">
        <v>25</v>
      </c>
      <c r="H1619" s="62" t="s">
        <v>25</v>
      </c>
      <c r="I1619" s="75">
        <v>44593</v>
      </c>
      <c r="J1619" s="76">
        <f>EFEITO!$J$1619*EFEITO!$Y$1303</f>
        <v>0</v>
      </c>
      <c r="K1619" s="76">
        <f ca="1">EFEITO!$L$1619*EFEITO!$Z$1303</f>
        <v>52.414188674170873</v>
      </c>
      <c r="L1619" s="76">
        <f>EFEITO!$N$1619*EFEITO!$AA$1303</f>
        <v>39.555697304743163</v>
      </c>
      <c r="M1619" s="76">
        <f>$J$1619-EFEITO!$K$1619*EFEITO!$Y$1619</f>
        <v>0</v>
      </c>
      <c r="N1619" s="76">
        <f ca="1">$K$1619-EFEITO!$M$1619*EFEITO!$Z$1619</f>
        <v>3.1448513204502504</v>
      </c>
      <c r="O1619" s="76">
        <f>$L$1619-EFEITO!$O$1619*EFEITO!$AA$1619</f>
        <v>2.3733418382845883</v>
      </c>
      <c r="P1619" s="18"/>
      <c r="Q1619" s="18"/>
      <c r="R1619" s="18"/>
      <c r="S1619" s="18"/>
      <c r="T1619" s="18"/>
      <c r="U1619" s="18"/>
      <c r="V1619" s="18"/>
      <c r="W1619" s="18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</row>
    <row r="1620" spans="1:36" ht="11.25" customHeight="1" x14ac:dyDescent="0.2">
      <c r="A1620" s="62" t="s">
        <v>21</v>
      </c>
      <c r="B1620" s="62" t="s">
        <v>44</v>
      </c>
      <c r="C1620" s="62" t="s">
        <v>23</v>
      </c>
      <c r="D1620" s="62" t="s">
        <v>45</v>
      </c>
      <c r="E1620" s="62" t="s">
        <v>57</v>
      </c>
      <c r="F1620" s="62" t="s">
        <v>55</v>
      </c>
      <c r="G1620" s="62" t="s">
        <v>25</v>
      </c>
      <c r="H1620" s="62" t="s">
        <v>25</v>
      </c>
      <c r="I1620" s="75">
        <v>44621</v>
      </c>
      <c r="J1620" s="76">
        <f>EFEITO!$J$1620*EFEITO!$Y$1303</f>
        <v>0</v>
      </c>
      <c r="K1620" s="76">
        <f ca="1">EFEITO!$L$1620*EFEITO!$Z$1303</f>
        <v>690.12015087658324</v>
      </c>
      <c r="L1620" s="76">
        <f>EFEITO!$N$1620*EFEITO!$AA$1303</f>
        <v>520.81668117911829</v>
      </c>
      <c r="M1620" s="76">
        <f>$J$1620-EFEITO!$K$1620*EFEITO!$Y$1620</f>
        <v>0</v>
      </c>
      <c r="N1620" s="76">
        <f ca="1">$K$1620-EFEITO!$M$1620*EFEITO!$Z$1620</f>
        <v>41.407209052595022</v>
      </c>
      <c r="O1620" s="76">
        <f>$L$1620-EFEITO!$O$1620*EFEITO!$AA$1620</f>
        <v>31.249000870747068</v>
      </c>
      <c r="P1620" s="18"/>
      <c r="Q1620" s="18"/>
      <c r="R1620" s="18"/>
      <c r="S1620" s="18"/>
      <c r="T1620" s="18"/>
      <c r="U1620" s="18"/>
      <c r="V1620" s="18"/>
      <c r="W1620" s="18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</row>
    <row r="1621" spans="1:36" ht="11.25" customHeight="1" x14ac:dyDescent="0.2">
      <c r="A1621" s="62" t="s">
        <v>28</v>
      </c>
      <c r="B1621" s="62" t="s">
        <v>44</v>
      </c>
      <c r="C1621" s="62" t="s">
        <v>23</v>
      </c>
      <c r="D1621" s="62" t="s">
        <v>45</v>
      </c>
      <c r="E1621" s="62" t="s">
        <v>57</v>
      </c>
      <c r="F1621" s="62" t="s">
        <v>55</v>
      </c>
      <c r="G1621" s="62" t="s">
        <v>25</v>
      </c>
      <c r="H1621" s="62" t="s">
        <v>25</v>
      </c>
      <c r="I1621" s="75">
        <v>44621</v>
      </c>
      <c r="J1621" s="76">
        <f>EFEITO!$J$1621*EFEITO!$Y$1303</f>
        <v>0</v>
      </c>
      <c r="K1621" s="76">
        <f ca="1">EFEITO!$L$1621*EFEITO!$Z$1303</f>
        <v>7.8621283011256313</v>
      </c>
      <c r="L1621" s="76">
        <f>EFEITO!$N$1621*EFEITO!$AA$1303</f>
        <v>5.9333545957114735</v>
      </c>
      <c r="M1621" s="76">
        <f>$J$1621-EFEITO!$K$1621*EFEITO!$Y$1621</f>
        <v>0</v>
      </c>
      <c r="N1621" s="76">
        <f ca="1">$K$1621-EFEITO!$M$1621*EFEITO!$Z$1621</f>
        <v>0.47172769806753845</v>
      </c>
      <c r="O1621" s="76">
        <f>$L$1621-EFEITO!$O$1621*EFEITO!$AA$1621</f>
        <v>0.35600127574268825</v>
      </c>
      <c r="P1621" s="18"/>
      <c r="Q1621" s="18"/>
      <c r="R1621" s="18"/>
      <c r="S1621" s="18"/>
      <c r="T1621" s="18"/>
      <c r="U1621" s="18"/>
      <c r="V1621" s="18"/>
      <c r="W1621" s="18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</row>
    <row r="1622" spans="1:36" ht="11.25" customHeight="1" x14ac:dyDescent="0.2">
      <c r="A1622" s="62" t="s">
        <v>21</v>
      </c>
      <c r="B1622" s="62" t="s">
        <v>44</v>
      </c>
      <c r="C1622" s="62" t="s">
        <v>23</v>
      </c>
      <c r="D1622" s="62" t="s">
        <v>45</v>
      </c>
      <c r="E1622" s="62" t="s">
        <v>57</v>
      </c>
      <c r="F1622" s="62" t="s">
        <v>55</v>
      </c>
      <c r="G1622" s="62" t="s">
        <v>25</v>
      </c>
      <c r="H1622" s="62" t="s">
        <v>25</v>
      </c>
      <c r="I1622" s="75">
        <v>44652</v>
      </c>
      <c r="J1622" s="76">
        <f>EFEITO!$J$1622*EFEITO!$Y$1303</f>
        <v>0</v>
      </c>
      <c r="K1622" s="76">
        <f ca="1">EFEITO!$L$1622*EFEITO!$Z$1303</f>
        <v>402.27889807426152</v>
      </c>
      <c r="L1622" s="76">
        <f>EFEITO!$N$1622*EFEITO!$AA$1303</f>
        <v>303.58997681390377</v>
      </c>
      <c r="M1622" s="76">
        <f>$J$1622-EFEITO!$K$1622*EFEITO!$Y$1622</f>
        <v>0</v>
      </c>
      <c r="N1622" s="76">
        <f ca="1">$K$1622-EFEITO!$M$1622*EFEITO!$Z$1622</f>
        <v>24.13673388445568</v>
      </c>
      <c r="O1622" s="76">
        <f>$L$1622-EFEITO!$O$1622*EFEITO!$AA$1622</f>
        <v>18.215398608834221</v>
      </c>
      <c r="P1622" s="18"/>
      <c r="Q1622" s="18"/>
      <c r="R1622" s="18"/>
      <c r="S1622" s="18"/>
      <c r="T1622" s="18"/>
      <c r="U1622" s="18"/>
      <c r="V1622" s="18"/>
      <c r="W1622" s="18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</row>
    <row r="1623" spans="1:36" ht="11.25" customHeight="1" x14ac:dyDescent="0.2">
      <c r="A1623" s="62" t="s">
        <v>58</v>
      </c>
      <c r="B1623" s="62" t="s">
        <v>44</v>
      </c>
      <c r="C1623" s="62" t="s">
        <v>23</v>
      </c>
      <c r="D1623" s="62" t="s">
        <v>45</v>
      </c>
      <c r="E1623" s="62" t="s">
        <v>57</v>
      </c>
      <c r="F1623" s="62" t="s">
        <v>55</v>
      </c>
      <c r="G1623" s="62" t="s">
        <v>25</v>
      </c>
      <c r="H1623" s="62" t="s">
        <v>25</v>
      </c>
      <c r="I1623" s="75">
        <v>44682</v>
      </c>
      <c r="J1623" s="76">
        <f>EFEITO!$J$1623*EFEITO!$Y$1303</f>
        <v>0</v>
      </c>
      <c r="K1623" s="76">
        <f ca="1">EFEITO!$L$1623*EFEITO!$Z$1303</f>
        <v>402.27889807426152</v>
      </c>
      <c r="L1623" s="76">
        <f>EFEITO!$N$1623*EFEITO!$AA$1303</f>
        <v>303.58997681390377</v>
      </c>
      <c r="M1623" s="76">
        <f>$J$1623-EFEITO!$K$1623*EFEITO!$Y$1623</f>
        <v>0</v>
      </c>
      <c r="N1623" s="76">
        <f ca="1">$K$1623-EFEITO!$M$1623*EFEITO!$Z$1623</f>
        <v>24.13673388445568</v>
      </c>
      <c r="O1623" s="76">
        <f>$L$1623-EFEITO!$O$1623*EFEITO!$AA$1623</f>
        <v>18.215398608834221</v>
      </c>
      <c r="P1623" s="18"/>
      <c r="Q1623" s="18"/>
      <c r="R1623" s="18"/>
      <c r="S1623" s="18"/>
      <c r="T1623" s="18"/>
      <c r="U1623" s="18"/>
      <c r="V1623" s="18"/>
      <c r="W1623" s="18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</row>
    <row r="1624" spans="1:36" ht="11.25" customHeight="1" x14ac:dyDescent="0.2">
      <c r="A1624" s="62" t="s">
        <v>21</v>
      </c>
      <c r="B1624" s="62" t="s">
        <v>44</v>
      </c>
      <c r="C1624" s="62" t="s">
        <v>23</v>
      </c>
      <c r="D1624" s="62" t="s">
        <v>45</v>
      </c>
      <c r="E1624" s="62" t="s">
        <v>57</v>
      </c>
      <c r="F1624" s="62" t="s">
        <v>56</v>
      </c>
      <c r="G1624" s="62" t="s">
        <v>25</v>
      </c>
      <c r="H1624" s="62" t="s">
        <v>25</v>
      </c>
      <c r="I1624" s="75">
        <v>44348</v>
      </c>
      <c r="J1624" s="76">
        <f>EFEITO!$J$1624*EFEITO!$Y$1303</f>
        <v>0</v>
      </c>
      <c r="K1624" s="76">
        <f ca="1">EFEITO!$L$1624*EFEITO!$Z$1303</f>
        <v>284.346973557377</v>
      </c>
      <c r="L1624" s="76">
        <f>EFEITO!$N$1624*EFEITO!$AA$1303</f>
        <v>214.58965787823166</v>
      </c>
      <c r="M1624" s="76">
        <f>$J$1624-EFEITO!$K$1624*EFEITO!$Y$1624</f>
        <v>0</v>
      </c>
      <c r="N1624" s="76">
        <f ca="1">$K$1624-EFEITO!$M$1624*EFEITO!$Z$1624</f>
        <v>196.14254235987863</v>
      </c>
      <c r="O1624" s="76">
        <f>$L$1624-EFEITO!$O$1624*EFEITO!$AA$1624</f>
        <v>148.02394600440419</v>
      </c>
      <c r="P1624" s="18"/>
      <c r="Q1624" s="18"/>
      <c r="R1624" s="18"/>
      <c r="S1624" s="18"/>
      <c r="T1624" s="18"/>
      <c r="U1624" s="18"/>
      <c r="V1624" s="18"/>
      <c r="W1624" s="18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</row>
    <row r="1625" spans="1:36" ht="11.25" customHeight="1" x14ac:dyDescent="0.2">
      <c r="A1625" s="62" t="s">
        <v>28</v>
      </c>
      <c r="B1625" s="62" t="s">
        <v>44</v>
      </c>
      <c r="C1625" s="62" t="s">
        <v>23</v>
      </c>
      <c r="D1625" s="62" t="s">
        <v>45</v>
      </c>
      <c r="E1625" s="62" t="s">
        <v>57</v>
      </c>
      <c r="F1625" s="62" t="s">
        <v>56</v>
      </c>
      <c r="G1625" s="62" t="s">
        <v>25</v>
      </c>
      <c r="H1625" s="62" t="s">
        <v>25</v>
      </c>
      <c r="I1625" s="75">
        <v>44348</v>
      </c>
      <c r="J1625" s="76">
        <f>EFEITO!$J$1625*EFEITO!$Y$1303</f>
        <v>0</v>
      </c>
      <c r="K1625" s="76">
        <f ca="1">EFEITO!$L$1625*EFEITO!$Z$1303</f>
        <v>49.793479240462332</v>
      </c>
      <c r="L1625" s="76">
        <f>EFEITO!$N$1625*EFEITO!$AA$1303</f>
        <v>37.577912439506008</v>
      </c>
      <c r="M1625" s="76">
        <f>$J$1625-EFEITO!$K$1625*EFEITO!$Y$1625</f>
        <v>0</v>
      </c>
      <c r="N1625" s="76">
        <f ca="1">$K$1625-EFEITO!$M$1625*EFEITO!$Z$1625</f>
        <v>34.347541980070915</v>
      </c>
      <c r="O1625" s="76">
        <f>$L$1625-EFEITO!$O$1625*EFEITO!$AA$1625</f>
        <v>25.921244000771246</v>
      </c>
      <c r="P1625" s="18"/>
      <c r="Q1625" s="18"/>
      <c r="R1625" s="18"/>
      <c r="S1625" s="18"/>
      <c r="T1625" s="18"/>
      <c r="U1625" s="18"/>
      <c r="V1625" s="18"/>
      <c r="W1625" s="18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</row>
    <row r="1626" spans="1:36" ht="11.25" customHeight="1" x14ac:dyDescent="0.2">
      <c r="A1626" s="62" t="s">
        <v>21</v>
      </c>
      <c r="B1626" s="62" t="s">
        <v>44</v>
      </c>
      <c r="C1626" s="62" t="s">
        <v>23</v>
      </c>
      <c r="D1626" s="62" t="s">
        <v>45</v>
      </c>
      <c r="E1626" s="62" t="s">
        <v>57</v>
      </c>
      <c r="F1626" s="62" t="s">
        <v>56</v>
      </c>
      <c r="G1626" s="62" t="s">
        <v>25</v>
      </c>
      <c r="H1626" s="62" t="s">
        <v>25</v>
      </c>
      <c r="I1626" s="75">
        <v>44378</v>
      </c>
      <c r="J1626" s="76">
        <f>EFEITO!$J$1626*EFEITO!$Y$1303</f>
        <v>0</v>
      </c>
      <c r="K1626" s="76">
        <f ca="1">EFEITO!$L$1626*EFEITO!$Z$1303</f>
        <v>363.40504147425139</v>
      </c>
      <c r="L1626" s="76">
        <f>EFEITO!$N$1626*EFEITO!$AA$1303</f>
        <v>274.25283464621924</v>
      </c>
      <c r="M1626" s="76">
        <f>$J$1626-EFEITO!$K$1626*EFEITO!$Y$1626</f>
        <v>0</v>
      </c>
      <c r="N1626" s="76">
        <f ca="1">$K$1626-EFEITO!$M$1626*EFEITO!$Z$1626</f>
        <v>250.67679760893859</v>
      </c>
      <c r="O1626" s="76">
        <f>$L$1626-EFEITO!$O$1626*EFEITO!$AA$1626</f>
        <v>189.17960533896201</v>
      </c>
      <c r="P1626" s="18"/>
      <c r="Q1626" s="18"/>
      <c r="R1626" s="18"/>
      <c r="S1626" s="18"/>
      <c r="T1626" s="18"/>
      <c r="U1626" s="18"/>
      <c r="V1626" s="18"/>
      <c r="W1626" s="18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</row>
    <row r="1627" spans="1:36" ht="11.25" customHeight="1" x14ac:dyDescent="0.2">
      <c r="A1627" s="62" t="s">
        <v>28</v>
      </c>
      <c r="B1627" s="62" t="s">
        <v>44</v>
      </c>
      <c r="C1627" s="62" t="s">
        <v>23</v>
      </c>
      <c r="D1627" s="62" t="s">
        <v>45</v>
      </c>
      <c r="E1627" s="62" t="s">
        <v>57</v>
      </c>
      <c r="F1627" s="62" t="s">
        <v>56</v>
      </c>
      <c r="G1627" s="62" t="s">
        <v>25</v>
      </c>
      <c r="H1627" s="62" t="s">
        <v>25</v>
      </c>
      <c r="I1627" s="75">
        <v>44378</v>
      </c>
      <c r="J1627" s="76">
        <f>EFEITO!$J$1627*EFEITO!$Y$1303</f>
        <v>0</v>
      </c>
      <c r="K1627" s="76">
        <f ca="1">EFEITO!$L$1627*EFEITO!$Z$1303</f>
        <v>51.540618862934693</v>
      </c>
      <c r="L1627" s="76">
        <f>EFEITO!$N$1627*EFEITO!$AA$1303</f>
        <v>38.896435682997442</v>
      </c>
      <c r="M1627" s="76">
        <f>$J$1627-EFEITO!$K$1627*EFEITO!$Y$1627</f>
        <v>0</v>
      </c>
      <c r="N1627" s="76">
        <f ca="1">$K$1627-EFEITO!$M$1627*EFEITO!$Z$1627</f>
        <v>35.552718891652347</v>
      </c>
      <c r="O1627" s="76">
        <f>$L$1627-EFEITO!$O$1627*EFEITO!$AA$1627</f>
        <v>26.830761334131637</v>
      </c>
      <c r="P1627" s="18"/>
      <c r="Q1627" s="18"/>
      <c r="R1627" s="18"/>
      <c r="S1627" s="18"/>
      <c r="T1627" s="18"/>
      <c r="U1627" s="18"/>
      <c r="V1627" s="18"/>
      <c r="W1627" s="18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</row>
    <row r="1628" spans="1:36" ht="11.25" customHeight="1" x14ac:dyDescent="0.2">
      <c r="A1628" s="62" t="s">
        <v>21</v>
      </c>
      <c r="B1628" s="62" t="s">
        <v>44</v>
      </c>
      <c r="C1628" s="62" t="s">
        <v>23</v>
      </c>
      <c r="D1628" s="62" t="s">
        <v>45</v>
      </c>
      <c r="E1628" s="62" t="s">
        <v>57</v>
      </c>
      <c r="F1628" s="62" t="s">
        <v>56</v>
      </c>
      <c r="G1628" s="62" t="s">
        <v>25</v>
      </c>
      <c r="H1628" s="62" t="s">
        <v>25</v>
      </c>
      <c r="I1628" s="75">
        <v>44409</v>
      </c>
      <c r="J1628" s="76">
        <f>EFEITO!$J$1628*EFEITO!$Y$1303</f>
        <v>0</v>
      </c>
      <c r="K1628" s="76">
        <f ca="1">EFEITO!$L$1628*EFEITO!$Z$1303</f>
        <v>286.53089808546747</v>
      </c>
      <c r="L1628" s="76">
        <f>EFEITO!$N$1628*EFEITO!$AA$1303</f>
        <v>216.23781193259597</v>
      </c>
      <c r="M1628" s="76">
        <f>$J$1628-EFEITO!$K$1628*EFEITO!$Y$1628</f>
        <v>0</v>
      </c>
      <c r="N1628" s="76">
        <f ca="1">$K$1628-EFEITO!$M$1628*EFEITO!$Z$1628</f>
        <v>197.64901349935548</v>
      </c>
      <c r="O1628" s="76">
        <f>$L$1628-EFEITO!$O$1628*EFEITO!$AA$1628</f>
        <v>149.16084267110472</v>
      </c>
      <c r="P1628" s="18"/>
      <c r="Q1628" s="18"/>
      <c r="R1628" s="18"/>
      <c r="S1628" s="18"/>
      <c r="T1628" s="18"/>
      <c r="U1628" s="18"/>
      <c r="V1628" s="18"/>
      <c r="W1628" s="18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</row>
    <row r="1629" spans="1:36" ht="11.25" customHeight="1" x14ac:dyDescent="0.2">
      <c r="A1629" s="62" t="s">
        <v>28</v>
      </c>
      <c r="B1629" s="62" t="s">
        <v>44</v>
      </c>
      <c r="C1629" s="62" t="s">
        <v>23</v>
      </c>
      <c r="D1629" s="62" t="s">
        <v>45</v>
      </c>
      <c r="E1629" s="62" t="s">
        <v>57</v>
      </c>
      <c r="F1629" s="62" t="s">
        <v>56</v>
      </c>
      <c r="G1629" s="62" t="s">
        <v>25</v>
      </c>
      <c r="H1629" s="62" t="s">
        <v>25</v>
      </c>
      <c r="I1629" s="75">
        <v>44409</v>
      </c>
      <c r="J1629" s="76">
        <f>EFEITO!$J$1629*EFEITO!$Y$1303</f>
        <v>0</v>
      </c>
      <c r="K1629" s="76">
        <f ca="1">EFEITO!$L$1629*EFEITO!$Z$1303</f>
        <v>52.850973579788963</v>
      </c>
      <c r="L1629" s="76">
        <f>EFEITO!$N$1629*EFEITO!$AA$1303</f>
        <v>39.885328115616019</v>
      </c>
      <c r="M1629" s="76">
        <f>$J$1629-EFEITO!$K$1629*EFEITO!$Y$1629</f>
        <v>0</v>
      </c>
      <c r="N1629" s="76">
        <f ca="1">$K$1629-EFEITO!$M$1629*EFEITO!$Z$1629</f>
        <v>36.456601575338425</v>
      </c>
      <c r="O1629" s="76">
        <f>$L$1629-EFEITO!$O$1629*EFEITO!$AA$1629</f>
        <v>27.512899334151928</v>
      </c>
      <c r="P1629" s="18"/>
      <c r="Q1629" s="18"/>
      <c r="R1629" s="18"/>
      <c r="S1629" s="18"/>
      <c r="T1629" s="18"/>
      <c r="U1629" s="18"/>
      <c r="V1629" s="18"/>
      <c r="W1629" s="18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</row>
    <row r="1630" spans="1:36" ht="11.25" customHeight="1" x14ac:dyDescent="0.2">
      <c r="A1630" s="62" t="s">
        <v>21</v>
      </c>
      <c r="B1630" s="62" t="s">
        <v>44</v>
      </c>
      <c r="C1630" s="62" t="s">
        <v>23</v>
      </c>
      <c r="D1630" s="62" t="s">
        <v>45</v>
      </c>
      <c r="E1630" s="62" t="s">
        <v>57</v>
      </c>
      <c r="F1630" s="62" t="s">
        <v>56</v>
      </c>
      <c r="G1630" s="62" t="s">
        <v>25</v>
      </c>
      <c r="H1630" s="62" t="s">
        <v>25</v>
      </c>
      <c r="I1630" s="75">
        <v>44440</v>
      </c>
      <c r="J1630" s="76">
        <f>EFEITO!$J$1630*EFEITO!$Y$1303</f>
        <v>0</v>
      </c>
      <c r="K1630" s="76">
        <f ca="1">EFEITO!$L$1630*EFEITO!$Z$1303</f>
        <v>399.22140373493488</v>
      </c>
      <c r="L1630" s="76">
        <f>EFEITO!$N$1630*EFEITO!$AA$1303</f>
        <v>301.28256113779378</v>
      </c>
      <c r="M1630" s="76">
        <f>$J$1630-EFEITO!$K$1630*EFEITO!$Y$1630</f>
        <v>0</v>
      </c>
      <c r="N1630" s="76">
        <f ca="1">$K$1630-EFEITO!$M$1630*EFEITO!$Z$1630</f>
        <v>275.38292429635806</v>
      </c>
      <c r="O1630" s="76">
        <f>$L$1630-EFEITO!$O$1630*EFEITO!$AA$1630</f>
        <v>207.82471067285016</v>
      </c>
      <c r="P1630" s="18"/>
      <c r="Q1630" s="18"/>
      <c r="R1630" s="18"/>
      <c r="S1630" s="18"/>
      <c r="T1630" s="18"/>
      <c r="U1630" s="18"/>
      <c r="V1630" s="18"/>
      <c r="W1630" s="18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</row>
    <row r="1631" spans="1:36" ht="11.25" customHeight="1" x14ac:dyDescent="0.2">
      <c r="A1631" s="62" t="s">
        <v>28</v>
      </c>
      <c r="B1631" s="62" t="s">
        <v>44</v>
      </c>
      <c r="C1631" s="62" t="s">
        <v>23</v>
      </c>
      <c r="D1631" s="62" t="s">
        <v>45</v>
      </c>
      <c r="E1631" s="62" t="s">
        <v>57</v>
      </c>
      <c r="F1631" s="62" t="s">
        <v>56</v>
      </c>
      <c r="G1631" s="62" t="s">
        <v>25</v>
      </c>
      <c r="H1631" s="62" t="s">
        <v>25</v>
      </c>
      <c r="I1631" s="75">
        <v>44440</v>
      </c>
      <c r="J1631" s="76">
        <f>EFEITO!$J$1631*EFEITO!$Y$1303</f>
        <v>0</v>
      </c>
      <c r="K1631" s="76">
        <f ca="1">EFEITO!$L$1631*EFEITO!$Z$1303</f>
        <v>119.67906413935685</v>
      </c>
      <c r="L1631" s="76">
        <f>EFEITO!$N$1631*EFEITO!$AA$1303</f>
        <v>90.318842179163553</v>
      </c>
      <c r="M1631" s="76">
        <f>$J$1631-EFEITO!$K$1631*EFEITO!$Y$1631</f>
        <v>0</v>
      </c>
      <c r="N1631" s="76">
        <f ca="1">$K$1631-EFEITO!$M$1631*EFEITO!$Z$1631</f>
        <v>82.554618443328366</v>
      </c>
      <c r="O1631" s="76">
        <f>$L$1631-EFEITO!$O$1631*EFEITO!$AA$1631</f>
        <v>62.30193733518702</v>
      </c>
      <c r="P1631" s="18"/>
      <c r="Q1631" s="18"/>
      <c r="R1631" s="18"/>
      <c r="S1631" s="18"/>
      <c r="T1631" s="18"/>
      <c r="U1631" s="18"/>
      <c r="V1631" s="18"/>
      <c r="W1631" s="18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</row>
    <row r="1632" spans="1:36" ht="11.25" customHeight="1" x14ac:dyDescent="0.2">
      <c r="A1632" s="62" t="s">
        <v>21</v>
      </c>
      <c r="B1632" s="62" t="s">
        <v>44</v>
      </c>
      <c r="C1632" s="62" t="s">
        <v>23</v>
      </c>
      <c r="D1632" s="62" t="s">
        <v>45</v>
      </c>
      <c r="E1632" s="62" t="s">
        <v>57</v>
      </c>
      <c r="F1632" s="62" t="s">
        <v>56</v>
      </c>
      <c r="G1632" s="62" t="s">
        <v>25</v>
      </c>
      <c r="H1632" s="62" t="s">
        <v>25</v>
      </c>
      <c r="I1632" s="75">
        <v>44470</v>
      </c>
      <c r="J1632" s="76">
        <f>EFEITO!$J$1632*EFEITO!$Y$1303</f>
        <v>0</v>
      </c>
      <c r="K1632" s="76">
        <f ca="1">EFEITO!$L$1632*EFEITO!$Z$1303</f>
        <v>277.35841506748756</v>
      </c>
      <c r="L1632" s="76">
        <f>EFEITO!$N$1632*EFEITO!$AA$1303</f>
        <v>209.3155649042659</v>
      </c>
      <c r="M1632" s="76">
        <f>$J$1632-EFEITO!$K$1632*EFEITO!$Y$1632</f>
        <v>0</v>
      </c>
      <c r="N1632" s="76">
        <f ca="1">$K$1632-EFEITO!$M$1632*EFEITO!$Z$1632</f>
        <v>191.3218347135529</v>
      </c>
      <c r="O1632" s="76">
        <f>$L$1632-EFEITO!$O$1632*EFEITO!$AA$1632</f>
        <v>144.3858766709626</v>
      </c>
      <c r="P1632" s="18"/>
      <c r="Q1632" s="18"/>
      <c r="R1632" s="18"/>
      <c r="S1632" s="18"/>
      <c r="T1632" s="18"/>
      <c r="U1632" s="18"/>
      <c r="V1632" s="18"/>
      <c r="W1632" s="18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</row>
    <row r="1633" spans="1:36" ht="11.25" customHeight="1" x14ac:dyDescent="0.2">
      <c r="A1633" s="62" t="s">
        <v>28</v>
      </c>
      <c r="B1633" s="62" t="s">
        <v>44</v>
      </c>
      <c r="C1633" s="62" t="s">
        <v>23</v>
      </c>
      <c r="D1633" s="62" t="s">
        <v>45</v>
      </c>
      <c r="E1633" s="62" t="s">
        <v>57</v>
      </c>
      <c r="F1633" s="62" t="s">
        <v>56</v>
      </c>
      <c r="G1633" s="62" t="s">
        <v>25</v>
      </c>
      <c r="H1633" s="62" t="s">
        <v>25</v>
      </c>
      <c r="I1633" s="75">
        <v>44470</v>
      </c>
      <c r="J1633" s="76">
        <f>EFEITO!$J$1633*EFEITO!$Y$1303</f>
        <v>0</v>
      </c>
      <c r="K1633" s="76">
        <f ca="1">EFEITO!$L$1633*EFEITO!$Z$1303</f>
        <v>80.368422633728684</v>
      </c>
      <c r="L1633" s="76">
        <f>EFEITO!$N$1633*EFEITO!$AA$1303</f>
        <v>60.652069200606178</v>
      </c>
      <c r="M1633" s="76">
        <f>$J$1633-EFEITO!$K$1633*EFEITO!$Y$1633</f>
        <v>0</v>
      </c>
      <c r="N1633" s="76">
        <f ca="1">$K$1633-EFEITO!$M$1633*EFEITO!$Z$1633</f>
        <v>55.438137932746045</v>
      </c>
      <c r="O1633" s="76">
        <f>$L$1633-EFEITO!$O$1633*EFEITO!$AA$1633</f>
        <v>41.837797334578141</v>
      </c>
      <c r="P1633" s="18"/>
      <c r="Q1633" s="18"/>
      <c r="R1633" s="18"/>
      <c r="S1633" s="18"/>
      <c r="T1633" s="18"/>
      <c r="U1633" s="18"/>
      <c r="V1633" s="18"/>
      <c r="W1633" s="18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</row>
    <row r="1634" spans="1:36" ht="11.25" customHeight="1" x14ac:dyDescent="0.2">
      <c r="A1634" s="62" t="s">
        <v>21</v>
      </c>
      <c r="B1634" s="62" t="s">
        <v>44</v>
      </c>
      <c r="C1634" s="62" t="s">
        <v>23</v>
      </c>
      <c r="D1634" s="62" t="s">
        <v>45</v>
      </c>
      <c r="E1634" s="62" t="s">
        <v>57</v>
      </c>
      <c r="F1634" s="62" t="s">
        <v>56</v>
      </c>
      <c r="G1634" s="62" t="s">
        <v>25</v>
      </c>
      <c r="H1634" s="62" t="s">
        <v>25</v>
      </c>
      <c r="I1634" s="75">
        <v>44501</v>
      </c>
      <c r="J1634" s="76">
        <f>EFEITO!$J$1634*EFEITO!$Y$1303</f>
        <v>0</v>
      </c>
      <c r="K1634" s="76">
        <f ca="1">EFEITO!$L$1634*EFEITO!$Z$1303</f>
        <v>604.51030937543737</v>
      </c>
      <c r="L1634" s="76">
        <f>EFEITO!$N$1634*EFEITO!$AA$1303</f>
        <v>456.20904224803775</v>
      </c>
      <c r="M1634" s="76">
        <f>$J$1634-EFEITO!$K$1634*EFEITO!$Y$1634</f>
        <v>0</v>
      </c>
      <c r="N1634" s="76">
        <f ca="1">$K$1634-EFEITO!$M$1634*EFEITO!$Z$1634</f>
        <v>416.99121140717671</v>
      </c>
      <c r="O1634" s="76">
        <f>$L$1634-EFEITO!$O$1634*EFEITO!$AA$1634</f>
        <v>314.6929973426964</v>
      </c>
      <c r="P1634" s="18"/>
      <c r="Q1634" s="18"/>
      <c r="R1634" s="18"/>
      <c r="S1634" s="18"/>
      <c r="T1634" s="18"/>
      <c r="U1634" s="18"/>
      <c r="V1634" s="18"/>
      <c r="W1634" s="18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</row>
    <row r="1635" spans="1:36" ht="11.25" customHeight="1" x14ac:dyDescent="0.2">
      <c r="A1635" s="62" t="s">
        <v>28</v>
      </c>
      <c r="B1635" s="62" t="s">
        <v>44</v>
      </c>
      <c r="C1635" s="62" t="s">
        <v>23</v>
      </c>
      <c r="D1635" s="62" t="s">
        <v>45</v>
      </c>
      <c r="E1635" s="62" t="s">
        <v>57</v>
      </c>
      <c r="F1635" s="62" t="s">
        <v>56</v>
      </c>
      <c r="G1635" s="62" t="s">
        <v>25</v>
      </c>
      <c r="H1635" s="62" t="s">
        <v>25</v>
      </c>
      <c r="I1635" s="75">
        <v>44501</v>
      </c>
      <c r="J1635" s="76">
        <f>EFEITO!$J$1635*EFEITO!$Y$1303</f>
        <v>0</v>
      </c>
      <c r="K1635" s="76">
        <f ca="1">EFEITO!$L$1635*EFEITO!$Z$1303</f>
        <v>34.942792449447253</v>
      </c>
      <c r="L1635" s="76">
        <f>EFEITO!$N$1635*EFEITO!$AA$1303</f>
        <v>26.370464869828776</v>
      </c>
      <c r="M1635" s="76">
        <f>$J$1635-EFEITO!$K$1635*EFEITO!$Y$1635</f>
        <v>0</v>
      </c>
      <c r="N1635" s="76">
        <f ca="1">$K$1635-EFEITO!$M$1635*EFEITO!$Z$1635</f>
        <v>24.103538231628718</v>
      </c>
      <c r="O1635" s="76">
        <f>$L$1635-EFEITO!$O$1635*EFEITO!$AA$1635</f>
        <v>18.190346667207891</v>
      </c>
      <c r="P1635" s="18"/>
      <c r="Q1635" s="18"/>
      <c r="R1635" s="18"/>
      <c r="S1635" s="18"/>
      <c r="T1635" s="18"/>
      <c r="U1635" s="18"/>
      <c r="V1635" s="18"/>
      <c r="W1635" s="18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</row>
    <row r="1636" spans="1:36" ht="11.25" customHeight="1" x14ac:dyDescent="0.2">
      <c r="A1636" s="62" t="s">
        <v>21</v>
      </c>
      <c r="B1636" s="62" t="s">
        <v>44</v>
      </c>
      <c r="C1636" s="62" t="s">
        <v>23</v>
      </c>
      <c r="D1636" s="62" t="s">
        <v>45</v>
      </c>
      <c r="E1636" s="62" t="s">
        <v>57</v>
      </c>
      <c r="F1636" s="62" t="s">
        <v>56</v>
      </c>
      <c r="G1636" s="62" t="s">
        <v>25</v>
      </c>
      <c r="H1636" s="62" t="s">
        <v>25</v>
      </c>
      <c r="I1636" s="75">
        <v>44531</v>
      </c>
      <c r="J1636" s="76">
        <f>EFEITO!$J$1636*EFEITO!$Y$1303</f>
        <v>0</v>
      </c>
      <c r="K1636" s="76">
        <f ca="1">EFEITO!$L$1636*EFEITO!$Z$1303</f>
        <v>314.48513204502524</v>
      </c>
      <c r="L1636" s="76">
        <f>EFEITO!$N$1636*EFEITO!$AA$1303</f>
        <v>237.33418382845898</v>
      </c>
      <c r="M1636" s="76">
        <f>$J$1636-EFEITO!$K$1636*EFEITO!$Y$1636</f>
        <v>0</v>
      </c>
      <c r="N1636" s="76">
        <f ca="1">$K$1636-EFEITO!$M$1636*EFEITO!$Z$1636</f>
        <v>216.93184408465839</v>
      </c>
      <c r="O1636" s="76">
        <f>$L$1636-EFEITO!$O$1636*EFEITO!$AA$1636</f>
        <v>163.713120004871</v>
      </c>
      <c r="P1636" s="18"/>
      <c r="Q1636" s="18"/>
      <c r="R1636" s="18"/>
      <c r="S1636" s="18"/>
      <c r="T1636" s="18"/>
      <c r="U1636" s="18"/>
      <c r="V1636" s="18"/>
      <c r="W1636" s="18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</row>
    <row r="1637" spans="1:36" ht="11.25" customHeight="1" x14ac:dyDescent="0.2">
      <c r="A1637" s="62" t="s">
        <v>21</v>
      </c>
      <c r="B1637" s="62" t="s">
        <v>44</v>
      </c>
      <c r="C1637" s="62" t="s">
        <v>23</v>
      </c>
      <c r="D1637" s="62" t="s">
        <v>45</v>
      </c>
      <c r="E1637" s="62" t="s">
        <v>57</v>
      </c>
      <c r="F1637" s="62" t="s">
        <v>56</v>
      </c>
      <c r="G1637" s="62" t="s">
        <v>25</v>
      </c>
      <c r="H1637" s="62" t="s">
        <v>25</v>
      </c>
      <c r="I1637" s="75">
        <v>44562</v>
      </c>
      <c r="J1637" s="76">
        <f>EFEITO!$J$1637*EFEITO!$Y$1303</f>
        <v>0</v>
      </c>
      <c r="K1637" s="76">
        <f ca="1">EFEITO!$L$1637*EFEITO!$Z$1303</f>
        <v>909.38617349686467</v>
      </c>
      <c r="L1637" s="76">
        <f>EFEITO!$N$1637*EFEITO!$AA$1303</f>
        <v>686.29134823729385</v>
      </c>
      <c r="M1637" s="76">
        <f>$J$1637-EFEITO!$K$1637*EFEITO!$Y$1637</f>
        <v>0</v>
      </c>
      <c r="N1637" s="76">
        <f ca="1">$K$1637-EFEITO!$M$1637*EFEITO!$Z$1637</f>
        <v>627.29458247813727</v>
      </c>
      <c r="O1637" s="76">
        <f>$L$1637-EFEITO!$O$1637*EFEITO!$AA$1637</f>
        <v>473.40377201408529</v>
      </c>
      <c r="P1637" s="18"/>
      <c r="Q1637" s="18"/>
      <c r="R1637" s="18"/>
      <c r="S1637" s="18"/>
      <c r="T1637" s="18"/>
      <c r="U1637" s="18"/>
      <c r="V1637" s="18"/>
      <c r="W1637" s="18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</row>
    <row r="1638" spans="1:36" ht="11.25" customHeight="1" x14ac:dyDescent="0.2">
      <c r="A1638" s="62" t="s">
        <v>28</v>
      </c>
      <c r="B1638" s="62" t="s">
        <v>44</v>
      </c>
      <c r="C1638" s="62" t="s">
        <v>23</v>
      </c>
      <c r="D1638" s="62" t="s">
        <v>45</v>
      </c>
      <c r="E1638" s="62" t="s">
        <v>57</v>
      </c>
      <c r="F1638" s="62" t="s">
        <v>56</v>
      </c>
      <c r="G1638" s="62" t="s">
        <v>25</v>
      </c>
      <c r="H1638" s="62" t="s">
        <v>25</v>
      </c>
      <c r="I1638" s="75">
        <v>44562</v>
      </c>
      <c r="J1638" s="76">
        <f>EFEITO!$J$1638*EFEITO!$Y$1303</f>
        <v>0</v>
      </c>
      <c r="K1638" s="76">
        <f ca="1">EFEITO!$L$1638*EFEITO!$Z$1303</f>
        <v>12.229977357306538</v>
      </c>
      <c r="L1638" s="76">
        <f>EFEITO!$N$1638*EFEITO!$AA$1303</f>
        <v>9.2296627044400719</v>
      </c>
      <c r="M1638" s="76">
        <f>$J$1638-EFEITO!$K$1638*EFEITO!$Y$1638</f>
        <v>0</v>
      </c>
      <c r="N1638" s="76">
        <f ca="1">$K$1638-EFEITO!$M$1638*EFEITO!$Z$1638</f>
        <v>8.4362383810700496</v>
      </c>
      <c r="O1638" s="76">
        <f>$L$1638-EFEITO!$O$1638*EFEITO!$AA$1638</f>
        <v>6.3666213335227617</v>
      </c>
      <c r="P1638" s="18"/>
      <c r="Q1638" s="18"/>
      <c r="R1638" s="18"/>
      <c r="S1638" s="18"/>
      <c r="T1638" s="18"/>
      <c r="U1638" s="18"/>
      <c r="V1638" s="18"/>
      <c r="W1638" s="18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</row>
    <row r="1639" spans="1:36" ht="11.25" customHeight="1" x14ac:dyDescent="0.2">
      <c r="A1639" s="62" t="s">
        <v>21</v>
      </c>
      <c r="B1639" s="62" t="s">
        <v>44</v>
      </c>
      <c r="C1639" s="62" t="s">
        <v>23</v>
      </c>
      <c r="D1639" s="62" t="s">
        <v>45</v>
      </c>
      <c r="E1639" s="62" t="s">
        <v>57</v>
      </c>
      <c r="F1639" s="62" t="s">
        <v>56</v>
      </c>
      <c r="G1639" s="62" t="s">
        <v>25</v>
      </c>
      <c r="H1639" s="62" t="s">
        <v>25</v>
      </c>
      <c r="I1639" s="75">
        <v>44593</v>
      </c>
      <c r="J1639" s="76">
        <f>EFEITO!$J$1639*EFEITO!$Y$1303</f>
        <v>0</v>
      </c>
      <c r="K1639" s="76">
        <f ca="1">EFEITO!$L$1639*EFEITO!$Z$1303</f>
        <v>390.04892071695497</v>
      </c>
      <c r="L1639" s="76">
        <f>EFEITO!$N$1639*EFEITO!$AA$1303</f>
        <v>294.36031410946373</v>
      </c>
      <c r="M1639" s="76">
        <f>$J$1639-EFEITO!$K$1639*EFEITO!$Y$1639</f>
        <v>0</v>
      </c>
      <c r="N1639" s="76">
        <f ca="1">$K$1639-EFEITO!$M$1639*EFEITO!$Z$1639</f>
        <v>269.05574551055554</v>
      </c>
      <c r="O1639" s="76">
        <f>$L$1639-EFEITO!$O$1639*EFEITO!$AA$1639</f>
        <v>203.04974467270807</v>
      </c>
      <c r="P1639" s="18"/>
      <c r="Q1639" s="18"/>
      <c r="R1639" s="18"/>
      <c r="S1639" s="18"/>
      <c r="T1639" s="18"/>
      <c r="U1639" s="18"/>
      <c r="V1639" s="18"/>
      <c r="W1639" s="18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</row>
    <row r="1640" spans="1:36" ht="11.25" customHeight="1" x14ac:dyDescent="0.2">
      <c r="A1640" s="62" t="s">
        <v>28</v>
      </c>
      <c r="B1640" s="62" t="s">
        <v>44</v>
      </c>
      <c r="C1640" s="62" t="s">
        <v>23</v>
      </c>
      <c r="D1640" s="62" t="s">
        <v>45</v>
      </c>
      <c r="E1640" s="62" t="s">
        <v>57</v>
      </c>
      <c r="F1640" s="62" t="s">
        <v>56</v>
      </c>
      <c r="G1640" s="62" t="s">
        <v>25</v>
      </c>
      <c r="H1640" s="62" t="s">
        <v>25</v>
      </c>
      <c r="I1640" s="75">
        <v>44593</v>
      </c>
      <c r="J1640" s="76">
        <f>EFEITO!$J$1640*EFEITO!$Y$1303</f>
        <v>0</v>
      </c>
      <c r="K1640" s="76">
        <f ca="1">EFEITO!$L$1640*EFEITO!$Z$1303</f>
        <v>44.988845278663334</v>
      </c>
      <c r="L1640" s="76">
        <f>EFEITO!$N$1640*EFEITO!$AA$1303</f>
        <v>33.951973519904548</v>
      </c>
      <c r="M1640" s="76">
        <f>$J$1640-EFEITO!$K$1640*EFEITO!$Y$1640</f>
        <v>0</v>
      </c>
      <c r="N1640" s="76">
        <f ca="1">$K$1640-EFEITO!$M$1640*EFEITO!$Z$1640</f>
        <v>31.033305473221965</v>
      </c>
      <c r="O1640" s="76">
        <f>$L$1640-EFEITO!$O$1640*EFEITO!$AA$1640</f>
        <v>23.420071334030158</v>
      </c>
      <c r="P1640" s="18"/>
      <c r="Q1640" s="18"/>
      <c r="R1640" s="18"/>
      <c r="S1640" s="18"/>
      <c r="T1640" s="18"/>
      <c r="U1640" s="18"/>
      <c r="V1640" s="18"/>
      <c r="W1640" s="18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</row>
    <row r="1641" spans="1:36" ht="11.25" customHeight="1" x14ac:dyDescent="0.2">
      <c r="A1641" s="62" t="s">
        <v>21</v>
      </c>
      <c r="B1641" s="62" t="s">
        <v>44</v>
      </c>
      <c r="C1641" s="62" t="s">
        <v>23</v>
      </c>
      <c r="D1641" s="62" t="s">
        <v>45</v>
      </c>
      <c r="E1641" s="62" t="s">
        <v>57</v>
      </c>
      <c r="F1641" s="62" t="s">
        <v>56</v>
      </c>
      <c r="G1641" s="62" t="s">
        <v>25</v>
      </c>
      <c r="H1641" s="62" t="s">
        <v>25</v>
      </c>
      <c r="I1641" s="75">
        <v>44621</v>
      </c>
      <c r="J1641" s="76">
        <f>EFEITO!$J$1641*EFEITO!$Y$1303</f>
        <v>0</v>
      </c>
      <c r="K1641" s="76">
        <f ca="1">EFEITO!$L$1641*EFEITO!$Z$1303</f>
        <v>762.18966030356819</v>
      </c>
      <c r="L1641" s="76">
        <f>EFEITO!$N$1641*EFEITO!$AA$1303</f>
        <v>575.20576497314016</v>
      </c>
      <c r="M1641" s="76">
        <f>$J$1641-EFEITO!$K$1641*EFEITO!$Y$1641</f>
        <v>0</v>
      </c>
      <c r="N1641" s="76">
        <f ca="1">$K$1641-EFEITO!$M$1641*EFEITO!$Z$1641</f>
        <v>525.75842767740141</v>
      </c>
      <c r="O1641" s="76">
        <f>$L$1641-EFEITO!$O$1641*EFEITO!$AA$1641</f>
        <v>396.77693667847211</v>
      </c>
      <c r="P1641" s="18"/>
      <c r="Q1641" s="18"/>
      <c r="R1641" s="18"/>
      <c r="S1641" s="18"/>
      <c r="T1641" s="18"/>
      <c r="U1641" s="18"/>
      <c r="V1641" s="18"/>
      <c r="W1641" s="18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</row>
    <row r="1642" spans="1:36" ht="11.25" customHeight="1" x14ac:dyDescent="0.2">
      <c r="A1642" s="62" t="s">
        <v>28</v>
      </c>
      <c r="B1642" s="62" t="s">
        <v>44</v>
      </c>
      <c r="C1642" s="62" t="s">
        <v>23</v>
      </c>
      <c r="D1642" s="62" t="s">
        <v>45</v>
      </c>
      <c r="E1642" s="62" t="s">
        <v>57</v>
      </c>
      <c r="F1642" s="62" t="s">
        <v>56</v>
      </c>
      <c r="G1642" s="62" t="s">
        <v>25</v>
      </c>
      <c r="H1642" s="62" t="s">
        <v>25</v>
      </c>
      <c r="I1642" s="75">
        <v>44621</v>
      </c>
      <c r="J1642" s="76">
        <f>EFEITO!$J$1642*EFEITO!$Y$1303</f>
        <v>0</v>
      </c>
      <c r="K1642" s="76">
        <f ca="1">EFEITO!$L$1642*EFEITO!$Z$1303</f>
        <v>13.9771169797789</v>
      </c>
      <c r="L1642" s="76">
        <f>EFEITO!$N$1642*EFEITO!$AA$1303</f>
        <v>10.548185947931509</v>
      </c>
      <c r="M1642" s="76">
        <f>$J$1642-EFEITO!$K$1642*EFEITO!$Y$1642</f>
        <v>0</v>
      </c>
      <c r="N1642" s="76">
        <f ca="1">$K$1642-EFEITO!$M$1642*EFEITO!$Z$1642</f>
        <v>9.6414152926514856</v>
      </c>
      <c r="O1642" s="76">
        <f>$L$1642-EFEITO!$O$1642*EFEITO!$AA$1642</f>
        <v>7.2761386668831545</v>
      </c>
      <c r="P1642" s="18"/>
      <c r="Q1642" s="18"/>
      <c r="R1642" s="18"/>
      <c r="S1642" s="18"/>
      <c r="T1642" s="18"/>
      <c r="U1642" s="18"/>
      <c r="V1642" s="18"/>
      <c r="W1642" s="18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</row>
    <row r="1643" spans="1:36" ht="11.25" customHeight="1" x14ac:dyDescent="0.2">
      <c r="A1643" s="62" t="s">
        <v>21</v>
      </c>
      <c r="B1643" s="62" t="s">
        <v>44</v>
      </c>
      <c r="C1643" s="62" t="s">
        <v>23</v>
      </c>
      <c r="D1643" s="62" t="s">
        <v>45</v>
      </c>
      <c r="E1643" s="62" t="s">
        <v>57</v>
      </c>
      <c r="F1643" s="62" t="s">
        <v>56</v>
      </c>
      <c r="G1643" s="62" t="s">
        <v>25</v>
      </c>
      <c r="H1643" s="62" t="s">
        <v>25</v>
      </c>
      <c r="I1643" s="75">
        <v>44652</v>
      </c>
      <c r="J1643" s="76">
        <f>EFEITO!$J$1643*EFEITO!$Y$1303</f>
        <v>0</v>
      </c>
      <c r="K1643" s="76">
        <f ca="1">EFEITO!$L$1643*EFEITO!$Z$1303</f>
        <v>440.27918486303537</v>
      </c>
      <c r="L1643" s="76">
        <f>EFEITO!$N$1643*EFEITO!$AA$1303</f>
        <v>332.26785735984254</v>
      </c>
      <c r="M1643" s="76">
        <f>$J$1643-EFEITO!$K$1643*EFEITO!$Y$1643</f>
        <v>0</v>
      </c>
      <c r="N1643" s="76">
        <f ca="1">$K$1643-EFEITO!$M$1643*EFEITO!$Z$1643</f>
        <v>303.70458171852181</v>
      </c>
      <c r="O1643" s="76">
        <f>$L$1643-EFEITO!$O$1643*EFEITO!$AA$1643</f>
        <v>229.19836800681938</v>
      </c>
      <c r="P1643" s="18"/>
      <c r="Q1643" s="18"/>
      <c r="R1643" s="18"/>
      <c r="S1643" s="18"/>
      <c r="T1643" s="18"/>
      <c r="U1643" s="18"/>
      <c r="V1643" s="18"/>
      <c r="W1643" s="18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</row>
    <row r="1644" spans="1:36" ht="11.25" customHeight="1" x14ac:dyDescent="0.2">
      <c r="A1644" s="62" t="s">
        <v>58</v>
      </c>
      <c r="B1644" s="62" t="s">
        <v>44</v>
      </c>
      <c r="C1644" s="62" t="s">
        <v>23</v>
      </c>
      <c r="D1644" s="62" t="s">
        <v>45</v>
      </c>
      <c r="E1644" s="62" t="s">
        <v>57</v>
      </c>
      <c r="F1644" s="62" t="s">
        <v>56</v>
      </c>
      <c r="G1644" s="62" t="s">
        <v>25</v>
      </c>
      <c r="H1644" s="62" t="s">
        <v>25</v>
      </c>
      <c r="I1644" s="75">
        <v>44682</v>
      </c>
      <c r="J1644" s="76">
        <f>EFEITO!$J$1644*EFEITO!$Y$1303</f>
        <v>0</v>
      </c>
      <c r="K1644" s="76">
        <f ca="1">EFEITO!$L$1644*EFEITO!$Z$1303</f>
        <v>440.27918486303537</v>
      </c>
      <c r="L1644" s="76">
        <f>EFEITO!$N$1644*EFEITO!$AA$1303</f>
        <v>332.26785735984254</v>
      </c>
      <c r="M1644" s="76">
        <f>$J$1644-EFEITO!$K$1644*EFEITO!$Y$1644</f>
        <v>0</v>
      </c>
      <c r="N1644" s="76">
        <f ca="1">$K$1644-EFEITO!$M$1644*EFEITO!$Z$1644</f>
        <v>303.70458171852181</v>
      </c>
      <c r="O1644" s="76">
        <f>$L$1644-EFEITO!$O$1644*EFEITO!$AA$1644</f>
        <v>229.19836800681938</v>
      </c>
      <c r="P1644" s="18"/>
      <c r="Q1644" s="18"/>
      <c r="R1644" s="18"/>
      <c r="S1644" s="18"/>
      <c r="T1644" s="18"/>
      <c r="U1644" s="18"/>
      <c r="V1644" s="18"/>
      <c r="W1644" s="18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</row>
    <row r="1645" spans="1:36" ht="11.25" customHeight="1" x14ac:dyDescent="0.2">
      <c r="A1645" s="62" t="s">
        <v>21</v>
      </c>
      <c r="B1645" s="62" t="s">
        <v>44</v>
      </c>
      <c r="C1645" s="62" t="s">
        <v>23</v>
      </c>
      <c r="D1645" s="62" t="s">
        <v>45</v>
      </c>
      <c r="E1645" s="62" t="s">
        <v>25</v>
      </c>
      <c r="F1645" s="62" t="s">
        <v>25</v>
      </c>
      <c r="G1645" s="62" t="s">
        <v>25</v>
      </c>
      <c r="H1645" s="62" t="s">
        <v>25</v>
      </c>
      <c r="I1645" s="75">
        <v>44348</v>
      </c>
      <c r="J1645" s="76">
        <f>EFEITO!$J$1645*EFEITO!$Y$1303</f>
        <v>0</v>
      </c>
      <c r="K1645" s="76">
        <f ca="1">EFEITO!$L$1645*EFEITO!$Z$1303</f>
        <v>6470331.9811245268</v>
      </c>
      <c r="L1645" s="76">
        <f>EFEITO!$N$1645*EFEITO!$AA$1303</f>
        <v>4883000.190989974</v>
      </c>
      <c r="M1645" s="76">
        <f>$J$1645-EFEITO!$K$1645*EFEITO!$Y$1645</f>
        <v>0</v>
      </c>
      <c r="N1645" s="76">
        <f ca="1">$K$1645-EFEITO!$M$1645*EFEITO!$Z$1645</f>
        <v>388219.91886747163</v>
      </c>
      <c r="O1645" s="76">
        <f>$L$1645-EFEITO!$O$1645*EFEITO!$AA$1645</f>
        <v>292980.01145939808</v>
      </c>
      <c r="P1645" s="18"/>
      <c r="Q1645" s="18"/>
      <c r="R1645" s="18"/>
      <c r="S1645" s="18"/>
      <c r="T1645" s="18"/>
      <c r="U1645" s="18"/>
      <c r="V1645" s="18"/>
      <c r="W1645" s="18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</row>
    <row r="1646" spans="1:36" ht="11.25" customHeight="1" x14ac:dyDescent="0.2">
      <c r="A1646" s="62" t="s">
        <v>27</v>
      </c>
      <c r="B1646" s="62" t="s">
        <v>44</v>
      </c>
      <c r="C1646" s="62" t="s">
        <v>23</v>
      </c>
      <c r="D1646" s="62" t="s">
        <v>45</v>
      </c>
      <c r="E1646" s="62" t="s">
        <v>25</v>
      </c>
      <c r="F1646" s="62" t="s">
        <v>25</v>
      </c>
      <c r="G1646" s="62" t="s">
        <v>25</v>
      </c>
      <c r="H1646" s="62" t="s">
        <v>25</v>
      </c>
      <c r="I1646" s="75">
        <v>44348</v>
      </c>
      <c r="J1646" s="76">
        <f>EFEITO!$J$1646*EFEITO!$Y$1303</f>
        <v>0</v>
      </c>
      <c r="K1646" s="76">
        <f ca="1">EFEITO!$L$1646*EFEITO!$Z$1303</f>
        <v>-24527.656374983882</v>
      </c>
      <c r="L1646" s="76">
        <f>EFEITO!$N$1646*EFEITO!$AA$1303</f>
        <v>-18510.418184565435</v>
      </c>
      <c r="M1646" s="76">
        <f>$J$1646-EFEITO!$K$1646*EFEITO!$Y$1646</f>
        <v>0</v>
      </c>
      <c r="N1646" s="76">
        <f ca="1">$K$1646-EFEITO!$M$1646*EFEITO!$Z$1646</f>
        <v>-1471.6593824990341</v>
      </c>
      <c r="O1646" s="76">
        <f>$L$1646-EFEITO!$O$1646*EFEITO!$AA$1646</f>
        <v>-1110.6250910739254</v>
      </c>
      <c r="P1646" s="18"/>
      <c r="Q1646" s="18"/>
      <c r="R1646" s="18"/>
      <c r="S1646" s="18"/>
      <c r="T1646" s="18"/>
      <c r="U1646" s="18"/>
      <c r="V1646" s="18"/>
      <c r="W1646" s="18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</row>
    <row r="1647" spans="1:36" ht="11.25" customHeight="1" x14ac:dyDescent="0.2">
      <c r="A1647" s="62" t="s">
        <v>28</v>
      </c>
      <c r="B1647" s="62" t="s">
        <v>44</v>
      </c>
      <c r="C1647" s="62" t="s">
        <v>23</v>
      </c>
      <c r="D1647" s="62" t="s">
        <v>45</v>
      </c>
      <c r="E1647" s="62" t="s">
        <v>25</v>
      </c>
      <c r="F1647" s="62" t="s">
        <v>25</v>
      </c>
      <c r="G1647" s="62" t="s">
        <v>25</v>
      </c>
      <c r="H1647" s="62" t="s">
        <v>25</v>
      </c>
      <c r="I1647" s="75">
        <v>44348</v>
      </c>
      <c r="J1647" s="76">
        <f>EFEITO!$J$1647*EFEITO!$Y$1303</f>
        <v>0</v>
      </c>
      <c r="K1647" s="76">
        <f ca="1">EFEITO!$L$1647*EFEITO!$Z$1303</f>
        <v>287536.81372310594</v>
      </c>
      <c r="L1647" s="76">
        <f>EFEITO!$N$1647*EFEITO!$AA$1303</f>
        <v>216996.95169003613</v>
      </c>
      <c r="M1647" s="76">
        <f>$J$1647-EFEITO!$K$1647*EFEITO!$Y$1647</f>
        <v>0</v>
      </c>
      <c r="N1647" s="76">
        <f ca="1">$K$1647-EFEITO!$M$1647*EFEITO!$Z$1647</f>
        <v>17252.208823386347</v>
      </c>
      <c r="O1647" s="76">
        <f>$L$1647-EFEITO!$O$1647*EFEITO!$AA$1647</f>
        <v>13019.81710140215</v>
      </c>
      <c r="P1647" s="18"/>
      <c r="Q1647" s="18"/>
      <c r="R1647" s="18"/>
      <c r="S1647" s="18"/>
      <c r="T1647" s="18"/>
      <c r="U1647" s="18"/>
      <c r="V1647" s="18"/>
      <c r="W1647" s="18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</row>
    <row r="1648" spans="1:36" ht="11.25" customHeight="1" x14ac:dyDescent="0.2">
      <c r="A1648" s="62" t="s">
        <v>28</v>
      </c>
      <c r="B1648" s="62" t="s">
        <v>44</v>
      </c>
      <c r="C1648" s="62" t="s">
        <v>23</v>
      </c>
      <c r="D1648" s="62" t="s">
        <v>45</v>
      </c>
      <c r="E1648" s="62" t="s">
        <v>25</v>
      </c>
      <c r="F1648" s="62" t="s">
        <v>25</v>
      </c>
      <c r="G1648" s="62" t="s">
        <v>25</v>
      </c>
      <c r="H1648" s="62" t="s">
        <v>25</v>
      </c>
      <c r="I1648" s="75">
        <v>44348</v>
      </c>
      <c r="J1648" s="76">
        <f>EFEITO!$J$1648*EFEITO!$Y$1303</f>
        <v>0</v>
      </c>
      <c r="K1648" s="76">
        <f ca="1">EFEITO!$L$1648*EFEITO!$Z$1303</f>
        <v>-8028.1065652605057</v>
      </c>
      <c r="L1648" s="76">
        <f>EFEITO!$N$1648*EFEITO!$AA$1303</f>
        <v>-6058.614303843161</v>
      </c>
      <c r="M1648" s="76">
        <f>$J$1648-EFEITO!$K$1648*EFEITO!$Y$1648</f>
        <v>0</v>
      </c>
      <c r="N1648" s="76">
        <f ca="1">$K$1648-EFEITO!$M$1648*EFEITO!$Z$1648</f>
        <v>-481.68639391563011</v>
      </c>
      <c r="O1648" s="76">
        <f>$L$1648-EFEITO!$O$1648*EFEITO!$AA$1648</f>
        <v>-363.51685823058961</v>
      </c>
      <c r="P1648" s="18"/>
      <c r="Q1648" s="18"/>
      <c r="R1648" s="18"/>
      <c r="S1648" s="18"/>
      <c r="T1648" s="18"/>
      <c r="U1648" s="18"/>
      <c r="V1648" s="18"/>
      <c r="W1648" s="18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</row>
    <row r="1649" spans="1:36" ht="11.25" customHeight="1" x14ac:dyDescent="0.2">
      <c r="A1649" s="62" t="s">
        <v>21</v>
      </c>
      <c r="B1649" s="62" t="s">
        <v>44</v>
      </c>
      <c r="C1649" s="62" t="s">
        <v>23</v>
      </c>
      <c r="D1649" s="62" t="s">
        <v>45</v>
      </c>
      <c r="E1649" s="62" t="s">
        <v>25</v>
      </c>
      <c r="F1649" s="62" t="s">
        <v>25</v>
      </c>
      <c r="G1649" s="62" t="s">
        <v>25</v>
      </c>
      <c r="H1649" s="62" t="s">
        <v>25</v>
      </c>
      <c r="I1649" s="75">
        <v>44378</v>
      </c>
      <c r="J1649" s="76">
        <f>EFEITO!$J$1649*EFEITO!$Y$1303</f>
        <v>0</v>
      </c>
      <c r="K1649" s="76">
        <f ca="1">EFEITO!$L$1649*EFEITO!$Z$1303</f>
        <v>6350122.66010975</v>
      </c>
      <c r="L1649" s="76">
        <f>EFEITO!$N$1649*EFEITO!$AA$1303</f>
        <v>4792281.1770064114</v>
      </c>
      <c r="M1649" s="76">
        <f>$J$1649-EFEITO!$K$1649*EFEITO!$Y$1649</f>
        <v>0</v>
      </c>
      <c r="N1649" s="76">
        <f ca="1">$K$1649-EFEITO!$M$1649*EFEITO!$Z$1649</f>
        <v>381007.35960658453</v>
      </c>
      <c r="O1649" s="76">
        <f>$L$1649-EFEITO!$O$1649*EFEITO!$AA$1649</f>
        <v>287536.87062038481</v>
      </c>
      <c r="P1649" s="18"/>
      <c r="Q1649" s="18"/>
      <c r="R1649" s="18"/>
      <c r="S1649" s="18"/>
      <c r="T1649" s="18"/>
      <c r="U1649" s="18"/>
      <c r="V1649" s="18"/>
      <c r="W1649" s="18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</row>
    <row r="1650" spans="1:36" ht="11.25" customHeight="1" x14ac:dyDescent="0.2">
      <c r="A1650" s="62" t="s">
        <v>27</v>
      </c>
      <c r="B1650" s="62" t="s">
        <v>44</v>
      </c>
      <c r="C1650" s="62" t="s">
        <v>23</v>
      </c>
      <c r="D1650" s="62" t="s">
        <v>45</v>
      </c>
      <c r="E1650" s="62" t="s">
        <v>25</v>
      </c>
      <c r="F1650" s="62" t="s">
        <v>25</v>
      </c>
      <c r="G1650" s="62" t="s">
        <v>25</v>
      </c>
      <c r="H1650" s="62" t="s">
        <v>25</v>
      </c>
      <c r="I1650" s="75">
        <v>44378</v>
      </c>
      <c r="J1650" s="76">
        <f>EFEITO!$J$1650*EFEITO!$Y$1303</f>
        <v>0</v>
      </c>
      <c r="K1650" s="76">
        <f ca="1">EFEITO!$L$1650*EFEITO!$Z$1303</f>
        <v>-16416.997462561554</v>
      </c>
      <c r="L1650" s="76">
        <f>EFEITO!$N$1650*EFEITO!$AA$1303</f>
        <v>-12389.503657467303</v>
      </c>
      <c r="M1650" s="76">
        <f>$J$1650-EFEITO!$K$1650*EFEITO!$Y$1650</f>
        <v>0</v>
      </c>
      <c r="N1650" s="76">
        <f ca="1">$K$1650-EFEITO!$M$1650*EFEITO!$Z$1650</f>
        <v>-985.01984775369237</v>
      </c>
      <c r="O1650" s="76">
        <f>$L$1650-EFEITO!$O$1650*EFEITO!$AA$1650</f>
        <v>-743.37021944803746</v>
      </c>
      <c r="P1650" s="18"/>
      <c r="Q1650" s="18"/>
      <c r="R1650" s="18"/>
      <c r="S1650" s="18"/>
      <c r="T1650" s="18"/>
      <c r="U1650" s="18"/>
      <c r="V1650" s="18"/>
      <c r="W1650" s="18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</row>
    <row r="1651" spans="1:36" ht="11.25" customHeight="1" x14ac:dyDescent="0.2">
      <c r="A1651" s="62" t="s">
        <v>28</v>
      </c>
      <c r="B1651" s="62" t="s">
        <v>44</v>
      </c>
      <c r="C1651" s="62" t="s">
        <v>23</v>
      </c>
      <c r="D1651" s="62" t="s">
        <v>45</v>
      </c>
      <c r="E1651" s="62" t="s">
        <v>25</v>
      </c>
      <c r="F1651" s="62" t="s">
        <v>25</v>
      </c>
      <c r="G1651" s="62" t="s">
        <v>25</v>
      </c>
      <c r="H1651" s="62" t="s">
        <v>25</v>
      </c>
      <c r="I1651" s="75">
        <v>44378</v>
      </c>
      <c r="J1651" s="76">
        <f>EFEITO!$J$1651*EFEITO!$Y$1303</f>
        <v>0</v>
      </c>
      <c r="K1651" s="76">
        <f ca="1">EFEITO!$L$1651*EFEITO!$Z$1303</f>
        <v>295557.49494497094</v>
      </c>
      <c r="L1651" s="76">
        <f>EFEITO!$N$1651*EFEITO!$AA$1303</f>
        <v>223049.96227009449</v>
      </c>
      <c r="M1651" s="76">
        <f>$J$1651-EFEITO!$K$1651*EFEITO!$Y$1651</f>
        <v>0</v>
      </c>
      <c r="N1651" s="76">
        <f ca="1">$K$1651-EFEITO!$M$1651*EFEITO!$Z$1651</f>
        <v>17733.449696698226</v>
      </c>
      <c r="O1651" s="76">
        <f>$L$1651-EFEITO!$O$1651*EFEITO!$AA$1651</f>
        <v>13382.997736205667</v>
      </c>
      <c r="P1651" s="18"/>
      <c r="Q1651" s="18"/>
      <c r="R1651" s="18"/>
      <c r="S1651" s="18"/>
      <c r="T1651" s="18"/>
      <c r="U1651" s="18"/>
      <c r="V1651" s="18"/>
      <c r="W1651" s="18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</row>
    <row r="1652" spans="1:36" ht="11.25" customHeight="1" x14ac:dyDescent="0.2">
      <c r="A1652" s="62" t="s">
        <v>28</v>
      </c>
      <c r="B1652" s="62" t="s">
        <v>44</v>
      </c>
      <c r="C1652" s="62" t="s">
        <v>23</v>
      </c>
      <c r="D1652" s="62" t="s">
        <v>45</v>
      </c>
      <c r="E1652" s="62" t="s">
        <v>25</v>
      </c>
      <c r="F1652" s="62" t="s">
        <v>25</v>
      </c>
      <c r="G1652" s="62" t="s">
        <v>25</v>
      </c>
      <c r="H1652" s="62" t="s">
        <v>25</v>
      </c>
      <c r="I1652" s="75">
        <v>44378</v>
      </c>
      <c r="J1652" s="76">
        <f>EFEITO!$J$1652*EFEITO!$Y$1303</f>
        <v>0</v>
      </c>
      <c r="K1652" s="76">
        <f ca="1">EFEITO!$L$1652*EFEITO!$Z$1303</f>
        <v>-22167.270745023718</v>
      </c>
      <c r="L1652" s="76">
        <f>EFEITO!$N$1652*EFEITO!$AA$1303</f>
        <v>-16729.093282608501</v>
      </c>
      <c r="M1652" s="76">
        <f>$J$1652-EFEITO!$K$1652*EFEITO!$Y$1652</f>
        <v>0</v>
      </c>
      <c r="N1652" s="76">
        <f ca="1">$K$1652-EFEITO!$M$1652*EFEITO!$Z$1652</f>
        <v>-1330.0362447014231</v>
      </c>
      <c r="O1652" s="76">
        <f>$L$1652-EFEITO!$O$1652*EFEITO!$AA$1652</f>
        <v>-1003.745596956509</v>
      </c>
      <c r="P1652" s="18"/>
      <c r="Q1652" s="18"/>
      <c r="R1652" s="18"/>
      <c r="S1652" s="18"/>
      <c r="T1652" s="18"/>
      <c r="U1652" s="18"/>
      <c r="V1652" s="18"/>
      <c r="W1652" s="18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</row>
    <row r="1653" spans="1:36" ht="11.25" customHeight="1" x14ac:dyDescent="0.2">
      <c r="A1653" s="62" t="s">
        <v>21</v>
      </c>
      <c r="B1653" s="62" t="s">
        <v>44</v>
      </c>
      <c r="C1653" s="62" t="s">
        <v>23</v>
      </c>
      <c r="D1653" s="62" t="s">
        <v>45</v>
      </c>
      <c r="E1653" s="62" t="s">
        <v>25</v>
      </c>
      <c r="F1653" s="62" t="s">
        <v>25</v>
      </c>
      <c r="G1653" s="62" t="s">
        <v>25</v>
      </c>
      <c r="H1653" s="62" t="s">
        <v>25</v>
      </c>
      <c r="I1653" s="75">
        <v>44409</v>
      </c>
      <c r="J1653" s="76">
        <f>EFEITO!$J$1653*EFEITO!$Y$1303</f>
        <v>0</v>
      </c>
      <c r="K1653" s="76">
        <f ca="1">EFEITO!$L$1653*EFEITO!$Z$1303</f>
        <v>6166743.7589048622</v>
      </c>
      <c r="L1653" s="76">
        <f>EFEITO!$N$1653*EFEITO!$AA$1303</f>
        <v>4653889.6366311712</v>
      </c>
      <c r="M1653" s="76">
        <f>$J$1653-EFEITO!$K$1653*EFEITO!$Y$1653</f>
        <v>0</v>
      </c>
      <c r="N1653" s="76">
        <f ca="1">$K$1653-EFEITO!$M$1653*EFEITO!$Z$1653</f>
        <v>370004.62553429138</v>
      </c>
      <c r="O1653" s="76">
        <f>$L$1653-EFEITO!$O$1653*EFEITO!$AA$1653</f>
        <v>279233.37819787022</v>
      </c>
      <c r="P1653" s="18"/>
      <c r="Q1653" s="18"/>
      <c r="R1653" s="18"/>
      <c r="S1653" s="18"/>
      <c r="T1653" s="18"/>
      <c r="U1653" s="18"/>
      <c r="V1653" s="18"/>
      <c r="W1653" s="18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</row>
    <row r="1654" spans="1:36" ht="11.25" customHeight="1" x14ac:dyDescent="0.2">
      <c r="A1654" s="62" t="s">
        <v>27</v>
      </c>
      <c r="B1654" s="62" t="s">
        <v>44</v>
      </c>
      <c r="C1654" s="62" t="s">
        <v>23</v>
      </c>
      <c r="D1654" s="62" t="s">
        <v>45</v>
      </c>
      <c r="E1654" s="62" t="s">
        <v>25</v>
      </c>
      <c r="F1654" s="62" t="s">
        <v>25</v>
      </c>
      <c r="G1654" s="62" t="s">
        <v>25</v>
      </c>
      <c r="H1654" s="62" t="s">
        <v>25</v>
      </c>
      <c r="I1654" s="75">
        <v>44409</v>
      </c>
      <c r="J1654" s="76">
        <f>EFEITO!$J$1654*EFEITO!$Y$1303</f>
        <v>0</v>
      </c>
      <c r="K1654" s="76">
        <f ca="1">EFEITO!$L$1654*EFEITO!$Z$1303</f>
        <v>-16749.390775736923</v>
      </c>
      <c r="L1654" s="76">
        <f>EFEITO!$N$1654*EFEITO!$AA$1303</f>
        <v>-12640.35270454155</v>
      </c>
      <c r="M1654" s="76">
        <f>$J$1654-EFEITO!$K$1654*EFEITO!$Y$1654</f>
        <v>0</v>
      </c>
      <c r="N1654" s="76">
        <f ca="1">$K$1654-EFEITO!$M$1654*EFEITO!$Z$1654</f>
        <v>-1004.9634465442159</v>
      </c>
      <c r="O1654" s="76">
        <f>$L$1654-EFEITO!$O$1654*EFEITO!$AA$1654</f>
        <v>-758.42116227249244</v>
      </c>
      <c r="P1654" s="18"/>
      <c r="Q1654" s="18"/>
      <c r="R1654" s="18"/>
      <c r="S1654" s="18"/>
      <c r="T1654" s="18"/>
      <c r="U1654" s="18"/>
      <c r="V1654" s="18"/>
      <c r="W1654" s="18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</row>
    <row r="1655" spans="1:36" ht="11.25" customHeight="1" x14ac:dyDescent="0.2">
      <c r="A1655" s="62" t="s">
        <v>28</v>
      </c>
      <c r="B1655" s="62" t="s">
        <v>44</v>
      </c>
      <c r="C1655" s="62" t="s">
        <v>23</v>
      </c>
      <c r="D1655" s="62" t="s">
        <v>45</v>
      </c>
      <c r="E1655" s="62" t="s">
        <v>25</v>
      </c>
      <c r="F1655" s="62" t="s">
        <v>25</v>
      </c>
      <c r="G1655" s="62" t="s">
        <v>25</v>
      </c>
      <c r="H1655" s="62" t="s">
        <v>25</v>
      </c>
      <c r="I1655" s="75">
        <v>44409</v>
      </c>
      <c r="J1655" s="76">
        <f>EFEITO!$J$1655*EFEITO!$Y$1303</f>
        <v>0</v>
      </c>
      <c r="K1655" s="76">
        <f ca="1">EFEITO!$L$1655*EFEITO!$Z$1303</f>
        <v>275118.14528657234</v>
      </c>
      <c r="L1655" s="76">
        <f>EFEITO!$N$1655*EFEITO!$AA$1303</f>
        <v>207624.888475299</v>
      </c>
      <c r="M1655" s="76">
        <f>$J$1655-EFEITO!$K$1655*EFEITO!$Y$1655</f>
        <v>0</v>
      </c>
      <c r="N1655" s="76">
        <f ca="1">$K$1655-EFEITO!$M$1655*EFEITO!$Z$1655</f>
        <v>16507.088717194303</v>
      </c>
      <c r="O1655" s="76">
        <f>$L$1655-EFEITO!$O$1655*EFEITO!$AA$1655</f>
        <v>12457.493308517936</v>
      </c>
      <c r="P1655" s="18"/>
      <c r="Q1655" s="18"/>
      <c r="R1655" s="18"/>
      <c r="S1655" s="18"/>
      <c r="T1655" s="18"/>
      <c r="U1655" s="18"/>
      <c r="V1655" s="18"/>
      <c r="W1655" s="18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</row>
    <row r="1656" spans="1:36" ht="11.25" customHeight="1" x14ac:dyDescent="0.2">
      <c r="A1656" s="62" t="s">
        <v>28</v>
      </c>
      <c r="B1656" s="62" t="s">
        <v>44</v>
      </c>
      <c r="C1656" s="62" t="s">
        <v>23</v>
      </c>
      <c r="D1656" s="62" t="s">
        <v>45</v>
      </c>
      <c r="E1656" s="62" t="s">
        <v>25</v>
      </c>
      <c r="F1656" s="62" t="s">
        <v>25</v>
      </c>
      <c r="G1656" s="62" t="s">
        <v>25</v>
      </c>
      <c r="H1656" s="62" t="s">
        <v>25</v>
      </c>
      <c r="I1656" s="75">
        <v>44409</v>
      </c>
      <c r="J1656" s="76">
        <f>EFEITO!$J$1656*EFEITO!$Y$1303</f>
        <v>0</v>
      </c>
      <c r="K1656" s="76">
        <f ca="1">EFEITO!$L$1656*EFEITO!$Z$1303</f>
        <v>-9707.9813122676824</v>
      </c>
      <c r="L1656" s="76">
        <f>EFEITO!$N$1656*EFEITO!$AA$1303</f>
        <v>-7326.3744024601792</v>
      </c>
      <c r="M1656" s="76">
        <f>$J$1656-EFEITO!$K$1656*EFEITO!$Y$1656</f>
        <v>0</v>
      </c>
      <c r="N1656" s="76">
        <f ca="1">$K$1656-EFEITO!$M$1656*EFEITO!$Z$1656</f>
        <v>-582.47887873606123</v>
      </c>
      <c r="O1656" s="76">
        <f>$L$1656-EFEITO!$O$1656*EFEITO!$AA$1656</f>
        <v>-439.58246414761106</v>
      </c>
      <c r="P1656" s="18"/>
      <c r="Q1656" s="18"/>
      <c r="R1656" s="18"/>
      <c r="S1656" s="18"/>
      <c r="T1656" s="18"/>
      <c r="U1656" s="18"/>
      <c r="V1656" s="18"/>
      <c r="W1656" s="18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</row>
    <row r="1657" spans="1:36" ht="11.25" customHeight="1" x14ac:dyDescent="0.2">
      <c r="A1657" s="62" t="s">
        <v>21</v>
      </c>
      <c r="B1657" s="62" t="s">
        <v>44</v>
      </c>
      <c r="C1657" s="62" t="s">
        <v>23</v>
      </c>
      <c r="D1657" s="62" t="s">
        <v>45</v>
      </c>
      <c r="E1657" s="62" t="s">
        <v>25</v>
      </c>
      <c r="F1657" s="62" t="s">
        <v>25</v>
      </c>
      <c r="G1657" s="62" t="s">
        <v>25</v>
      </c>
      <c r="H1657" s="62" t="s">
        <v>25</v>
      </c>
      <c r="I1657" s="75">
        <v>44440</v>
      </c>
      <c r="J1657" s="76">
        <f>EFEITO!$J$1657*EFEITO!$Y$1303</f>
        <v>0</v>
      </c>
      <c r="K1657" s="76">
        <f ca="1">EFEITO!$L$1657*EFEITO!$Z$1303</f>
        <v>6094198.1539307535</v>
      </c>
      <c r="L1657" s="76">
        <f>EFEITO!$N$1657*EFEITO!$AA$1303</f>
        <v>4599141.2552532982</v>
      </c>
      <c r="M1657" s="76">
        <f>$J$1657-EFEITO!$K$1657*EFEITO!$Y$1657</f>
        <v>0</v>
      </c>
      <c r="N1657" s="76">
        <f ca="1">$K$1657-EFEITO!$M$1657*EFEITO!$Z$1657</f>
        <v>365651.88923584484</v>
      </c>
      <c r="O1657" s="76">
        <f>$L$1657-EFEITO!$O$1657*EFEITO!$AA$1657</f>
        <v>275948.47531519737</v>
      </c>
      <c r="P1657" s="18"/>
      <c r="Q1657" s="18"/>
      <c r="R1657" s="18"/>
      <c r="S1657" s="18"/>
      <c r="T1657" s="18"/>
      <c r="U1657" s="18"/>
      <c r="V1657" s="18"/>
      <c r="W1657" s="18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</row>
    <row r="1658" spans="1:36" ht="11.25" customHeight="1" x14ac:dyDescent="0.2">
      <c r="A1658" s="62" t="s">
        <v>27</v>
      </c>
      <c r="B1658" s="62" t="s">
        <v>44</v>
      </c>
      <c r="C1658" s="62" t="s">
        <v>23</v>
      </c>
      <c r="D1658" s="62" t="s">
        <v>45</v>
      </c>
      <c r="E1658" s="62" t="s">
        <v>25</v>
      </c>
      <c r="F1658" s="62" t="s">
        <v>25</v>
      </c>
      <c r="G1658" s="62" t="s">
        <v>25</v>
      </c>
      <c r="H1658" s="62" t="s">
        <v>25</v>
      </c>
      <c r="I1658" s="75">
        <v>44440</v>
      </c>
      <c r="J1658" s="76">
        <f>EFEITO!$J$1658*EFEITO!$Y$1303</f>
        <v>0</v>
      </c>
      <c r="K1658" s="76">
        <f ca="1">EFEITO!$L$1658*EFEITO!$Z$1303</f>
        <v>-15223.264315507315</v>
      </c>
      <c r="L1658" s="76">
        <f>EFEITO!$N$1658*EFEITO!$AA$1303</f>
        <v>-11488.622651351779</v>
      </c>
      <c r="M1658" s="76">
        <f>$J$1658-EFEITO!$K$1658*EFEITO!$Y$1658</f>
        <v>0</v>
      </c>
      <c r="N1658" s="76">
        <f ca="1">$K$1658-EFEITO!$M$1658*EFEITO!$Z$1658</f>
        <v>-913.39585893044023</v>
      </c>
      <c r="O1658" s="76">
        <f>$L$1658-EFEITO!$O$1658*EFEITO!$AA$1658</f>
        <v>-689.3173590811075</v>
      </c>
      <c r="P1658" s="18"/>
      <c r="Q1658" s="18"/>
      <c r="R1658" s="18"/>
      <c r="S1658" s="18"/>
      <c r="T1658" s="18"/>
      <c r="U1658" s="18"/>
      <c r="V1658" s="18"/>
      <c r="W1658" s="18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</row>
    <row r="1659" spans="1:36" ht="11.25" customHeight="1" x14ac:dyDescent="0.2">
      <c r="A1659" s="62" t="s">
        <v>28</v>
      </c>
      <c r="B1659" s="62" t="s">
        <v>44</v>
      </c>
      <c r="C1659" s="62" t="s">
        <v>23</v>
      </c>
      <c r="D1659" s="62" t="s">
        <v>45</v>
      </c>
      <c r="E1659" s="62" t="s">
        <v>25</v>
      </c>
      <c r="F1659" s="62" t="s">
        <v>25</v>
      </c>
      <c r="G1659" s="62" t="s">
        <v>25</v>
      </c>
      <c r="H1659" s="62" t="s">
        <v>25</v>
      </c>
      <c r="I1659" s="75">
        <v>44440</v>
      </c>
      <c r="J1659" s="76">
        <f>EFEITO!$J$1659*EFEITO!$Y$1303</f>
        <v>0</v>
      </c>
      <c r="K1659" s="76">
        <f ca="1">EFEITO!$L$1659*EFEITO!$Z$1303</f>
        <v>275242.62898467353</v>
      </c>
      <c r="L1659" s="76">
        <f>EFEITO!$N$1659*EFEITO!$AA$1303</f>
        <v>207718.83325639775</v>
      </c>
      <c r="M1659" s="76">
        <f>$J$1659-EFEITO!$K$1659*EFEITO!$Y$1659</f>
        <v>0</v>
      </c>
      <c r="N1659" s="76">
        <f ca="1">$K$1659-EFEITO!$M$1659*EFEITO!$Z$1659</f>
        <v>16514.557739080425</v>
      </c>
      <c r="O1659" s="76">
        <f>$L$1659-EFEITO!$O$1659*EFEITO!$AA$1659</f>
        <v>12463.129995383846</v>
      </c>
      <c r="P1659" s="18"/>
      <c r="Q1659" s="18"/>
      <c r="R1659" s="18"/>
      <c r="S1659" s="18"/>
      <c r="T1659" s="18"/>
      <c r="U1659" s="18"/>
      <c r="V1659" s="18"/>
      <c r="W1659" s="18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</row>
    <row r="1660" spans="1:36" ht="11.25" customHeight="1" x14ac:dyDescent="0.2">
      <c r="A1660" s="62" t="s">
        <v>28</v>
      </c>
      <c r="B1660" s="62" t="s">
        <v>44</v>
      </c>
      <c r="C1660" s="62" t="s">
        <v>23</v>
      </c>
      <c r="D1660" s="62" t="s">
        <v>45</v>
      </c>
      <c r="E1660" s="62" t="s">
        <v>25</v>
      </c>
      <c r="F1660" s="62" t="s">
        <v>25</v>
      </c>
      <c r="G1660" s="62" t="s">
        <v>25</v>
      </c>
      <c r="H1660" s="62" t="s">
        <v>25</v>
      </c>
      <c r="I1660" s="75">
        <v>44440</v>
      </c>
      <c r="J1660" s="76">
        <f>EFEITO!$J$1660*EFEITO!$Y$1303</f>
        <v>0</v>
      </c>
      <c r="K1660" s="76">
        <f ca="1">EFEITO!$L$1660*EFEITO!$Z$1303</f>
        <v>-8205.0044520358333</v>
      </c>
      <c r="L1660" s="76">
        <f>EFEITO!$N$1660*EFEITO!$AA$1303</f>
        <v>-6192.1147822466692</v>
      </c>
      <c r="M1660" s="76">
        <f>$J$1660-EFEITO!$K$1660*EFEITO!$Y$1660</f>
        <v>0</v>
      </c>
      <c r="N1660" s="76">
        <f ca="1">$K$1660-EFEITO!$M$1660*EFEITO!$Z$1660</f>
        <v>-492.30026712215022</v>
      </c>
      <c r="O1660" s="76">
        <f>$L$1660-EFEITO!$O$1660*EFEITO!$AA$1660</f>
        <v>-371.52688693480013</v>
      </c>
      <c r="P1660" s="18"/>
      <c r="Q1660" s="18"/>
      <c r="R1660" s="18"/>
      <c r="S1660" s="18"/>
      <c r="T1660" s="18"/>
      <c r="U1660" s="18"/>
      <c r="V1660" s="18"/>
      <c r="W1660" s="18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</row>
    <row r="1661" spans="1:36" ht="11.25" customHeight="1" x14ac:dyDescent="0.2">
      <c r="A1661" s="62" t="s">
        <v>21</v>
      </c>
      <c r="B1661" s="62" t="s">
        <v>44</v>
      </c>
      <c r="C1661" s="62" t="s">
        <v>23</v>
      </c>
      <c r="D1661" s="62" t="s">
        <v>45</v>
      </c>
      <c r="E1661" s="62" t="s">
        <v>25</v>
      </c>
      <c r="F1661" s="62" t="s">
        <v>25</v>
      </c>
      <c r="G1661" s="62" t="s">
        <v>25</v>
      </c>
      <c r="H1661" s="62" t="s">
        <v>25</v>
      </c>
      <c r="I1661" s="75">
        <v>44470</v>
      </c>
      <c r="J1661" s="76">
        <f>EFEITO!$J$1661*EFEITO!$Y$1303</f>
        <v>0</v>
      </c>
      <c r="K1661" s="76">
        <f ca="1">EFEITO!$L$1661*EFEITO!$Z$1303</f>
        <v>5960053.6472871369</v>
      </c>
      <c r="L1661" s="76">
        <f>EFEITO!$N$1661*EFEITO!$AA$1303</f>
        <v>4497905.6998796472</v>
      </c>
      <c r="M1661" s="76">
        <f>$J$1661-EFEITO!$K$1661*EFEITO!$Y$1661</f>
        <v>0</v>
      </c>
      <c r="N1661" s="76">
        <f ca="1">$K$1661-EFEITO!$M$1661*EFEITO!$Z$1661</f>
        <v>357603.2188372286</v>
      </c>
      <c r="O1661" s="76">
        <f>$L$1661-EFEITO!$O$1661*EFEITO!$AA$1661</f>
        <v>269874.3419927787</v>
      </c>
      <c r="P1661" s="18"/>
      <c r="Q1661" s="18"/>
      <c r="R1661" s="18"/>
      <c r="S1661" s="18"/>
      <c r="T1661" s="18"/>
      <c r="U1661" s="18"/>
      <c r="V1661" s="18"/>
      <c r="W1661" s="18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</row>
    <row r="1662" spans="1:36" ht="11.25" customHeight="1" x14ac:dyDescent="0.2">
      <c r="A1662" s="62" t="s">
        <v>27</v>
      </c>
      <c r="B1662" s="62" t="s">
        <v>44</v>
      </c>
      <c r="C1662" s="62" t="s">
        <v>23</v>
      </c>
      <c r="D1662" s="62" t="s">
        <v>45</v>
      </c>
      <c r="E1662" s="62" t="s">
        <v>25</v>
      </c>
      <c r="F1662" s="62" t="s">
        <v>25</v>
      </c>
      <c r="G1662" s="62" t="s">
        <v>25</v>
      </c>
      <c r="H1662" s="62" t="s">
        <v>25</v>
      </c>
      <c r="I1662" s="75">
        <v>44470</v>
      </c>
      <c r="J1662" s="76">
        <f>EFEITO!$J$1662*EFEITO!$Y$1303</f>
        <v>0</v>
      </c>
      <c r="K1662" s="76">
        <f ca="1">EFEITO!$L$1662*EFEITO!$Z$1303</f>
        <v>-15028.021462696026</v>
      </c>
      <c r="L1662" s="76">
        <f>EFEITO!$N$1662*EFEITO!$AA$1303</f>
        <v>-11341.277678891611</v>
      </c>
      <c r="M1662" s="76">
        <f>$J$1662-EFEITO!$K$1662*EFEITO!$Y$1662</f>
        <v>0</v>
      </c>
      <c r="N1662" s="76">
        <f ca="1">$K$1662-EFEITO!$M$1662*EFEITO!$Z$1662</f>
        <v>-901.68128776176127</v>
      </c>
      <c r="O1662" s="76">
        <f>$L$1662-EFEITO!$O$1662*EFEITO!$AA$1662</f>
        <v>-680.47666073349683</v>
      </c>
      <c r="P1662" s="18"/>
      <c r="Q1662" s="18"/>
      <c r="R1662" s="18"/>
      <c r="S1662" s="18"/>
      <c r="T1662" s="18"/>
      <c r="U1662" s="18"/>
      <c r="V1662" s="18"/>
      <c r="W1662" s="18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</row>
    <row r="1663" spans="1:36" ht="11.25" customHeight="1" x14ac:dyDescent="0.2">
      <c r="A1663" s="62" t="s">
        <v>28</v>
      </c>
      <c r="B1663" s="62" t="s">
        <v>44</v>
      </c>
      <c r="C1663" s="62" t="s">
        <v>23</v>
      </c>
      <c r="D1663" s="62" t="s">
        <v>45</v>
      </c>
      <c r="E1663" s="62" t="s">
        <v>25</v>
      </c>
      <c r="F1663" s="62" t="s">
        <v>25</v>
      </c>
      <c r="G1663" s="62" t="s">
        <v>25</v>
      </c>
      <c r="H1663" s="62" t="s">
        <v>25</v>
      </c>
      <c r="I1663" s="75">
        <v>44470</v>
      </c>
      <c r="J1663" s="76">
        <f>EFEITO!$J$1663*EFEITO!$Y$1303</f>
        <v>0</v>
      </c>
      <c r="K1663" s="76">
        <f ca="1">EFEITO!$L$1663*EFEITO!$Z$1303</f>
        <v>319585.90617283335</v>
      </c>
      <c r="L1663" s="76">
        <f>EFEITO!$N$1663*EFEITO!$AA$1303</f>
        <v>241183.61243783223</v>
      </c>
      <c r="M1663" s="76">
        <f>$J$1663-EFEITO!$K$1663*EFEITO!$Y$1663</f>
        <v>0</v>
      </c>
      <c r="N1663" s="76">
        <f ca="1">$K$1663-EFEITO!$M$1663*EFEITO!$Z$1663</f>
        <v>19175.15437037003</v>
      </c>
      <c r="O1663" s="76">
        <f>$L$1663-EFEITO!$O$1663*EFEITO!$AA$1663</f>
        <v>14471.016746269917</v>
      </c>
      <c r="P1663" s="18"/>
      <c r="Q1663" s="18"/>
      <c r="R1663" s="18"/>
      <c r="S1663" s="18"/>
      <c r="T1663" s="18"/>
      <c r="U1663" s="18"/>
      <c r="V1663" s="18"/>
      <c r="W1663" s="18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</row>
    <row r="1664" spans="1:36" ht="11.25" customHeight="1" x14ac:dyDescent="0.2">
      <c r="A1664" s="62" t="s">
        <v>28</v>
      </c>
      <c r="B1664" s="62" t="s">
        <v>44</v>
      </c>
      <c r="C1664" s="62" t="s">
        <v>23</v>
      </c>
      <c r="D1664" s="62" t="s">
        <v>45</v>
      </c>
      <c r="E1664" s="62" t="s">
        <v>25</v>
      </c>
      <c r="F1664" s="62" t="s">
        <v>25</v>
      </c>
      <c r="G1664" s="62" t="s">
        <v>25</v>
      </c>
      <c r="H1664" s="62" t="s">
        <v>25</v>
      </c>
      <c r="I1664" s="75">
        <v>44470</v>
      </c>
      <c r="J1664" s="76">
        <f>EFEITO!$J$1664*EFEITO!$Y$1303</f>
        <v>0</v>
      </c>
      <c r="K1664" s="76">
        <f ca="1">EFEITO!$L$1664*EFEITO!$Z$1303</f>
        <v>-3537.5209506009164</v>
      </c>
      <c r="L1664" s="76">
        <f>EFEITO!$N$1664*EFEITO!$AA$1303</f>
        <v>-2669.6799372592905</v>
      </c>
      <c r="M1664" s="76">
        <f>$J$1664-EFEITO!$K$1664*EFEITO!$Y$1664</f>
        <v>0</v>
      </c>
      <c r="N1664" s="76">
        <f ca="1">$K$1664-EFEITO!$M$1664*EFEITO!$Z$1664</f>
        <v>-212.25125703605499</v>
      </c>
      <c r="O1664" s="76">
        <f>$L$1664-EFEITO!$O$1664*EFEITO!$AA$1664</f>
        <v>-160.18079623555741</v>
      </c>
      <c r="P1664" s="18"/>
      <c r="Q1664" s="18"/>
      <c r="R1664" s="18"/>
      <c r="S1664" s="18"/>
      <c r="T1664" s="18"/>
      <c r="U1664" s="18"/>
      <c r="V1664" s="18"/>
      <c r="W1664" s="18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</row>
    <row r="1665" spans="1:36" ht="11.25" customHeight="1" x14ac:dyDescent="0.2">
      <c r="A1665" s="62" t="s">
        <v>21</v>
      </c>
      <c r="B1665" s="62" t="s">
        <v>44</v>
      </c>
      <c r="C1665" s="62" t="s">
        <v>23</v>
      </c>
      <c r="D1665" s="62" t="s">
        <v>45</v>
      </c>
      <c r="E1665" s="62" t="s">
        <v>25</v>
      </c>
      <c r="F1665" s="62" t="s">
        <v>25</v>
      </c>
      <c r="G1665" s="62" t="s">
        <v>25</v>
      </c>
      <c r="H1665" s="62" t="s">
        <v>25</v>
      </c>
      <c r="I1665" s="75">
        <v>44501</v>
      </c>
      <c r="J1665" s="76">
        <f>EFEITO!$J$1665*EFEITO!$Y$1303</f>
        <v>0</v>
      </c>
      <c r="K1665" s="76">
        <f ca="1">EFEITO!$L$1665*EFEITO!$Z$1303</f>
        <v>5700796.90906318</v>
      </c>
      <c r="L1665" s="76">
        <f>EFEITO!$N$1665*EFEITO!$AA$1303</f>
        <v>4302251.0246703858</v>
      </c>
      <c r="M1665" s="76">
        <f>$J$1665-EFEITO!$K$1665*EFEITO!$Y$1665</f>
        <v>0</v>
      </c>
      <c r="N1665" s="76">
        <f ca="1">$K$1665-EFEITO!$M$1665*EFEITO!$Z$1665</f>
        <v>342047.81454379112</v>
      </c>
      <c r="O1665" s="76">
        <f>$L$1665-EFEITO!$O$1665*EFEITO!$AA$1665</f>
        <v>258135.0614802232</v>
      </c>
      <c r="P1665" s="18"/>
      <c r="Q1665" s="18"/>
      <c r="R1665" s="18"/>
      <c r="S1665" s="18"/>
      <c r="T1665" s="18"/>
      <c r="U1665" s="18"/>
      <c r="V1665" s="18"/>
      <c r="W1665" s="18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</row>
    <row r="1666" spans="1:36" ht="11.25" customHeight="1" x14ac:dyDescent="0.2">
      <c r="A1666" s="62" t="s">
        <v>27</v>
      </c>
      <c r="B1666" s="62" t="s">
        <v>44</v>
      </c>
      <c r="C1666" s="62" t="s">
        <v>23</v>
      </c>
      <c r="D1666" s="62" t="s">
        <v>45</v>
      </c>
      <c r="E1666" s="62" t="s">
        <v>25</v>
      </c>
      <c r="F1666" s="62" t="s">
        <v>25</v>
      </c>
      <c r="G1666" s="62" t="s">
        <v>25</v>
      </c>
      <c r="H1666" s="62" t="s">
        <v>25</v>
      </c>
      <c r="I1666" s="75">
        <v>44501</v>
      </c>
      <c r="J1666" s="76">
        <f>EFEITO!$J$1666*EFEITO!$Y$1303</f>
        <v>0</v>
      </c>
      <c r="K1666" s="76">
        <f ca="1">EFEITO!$L$1666*EFEITO!$Z$1303</f>
        <v>-13753.483108102439</v>
      </c>
      <c r="L1666" s="76">
        <f>EFEITO!$N$1666*EFEITO!$AA$1303</f>
        <v>-10379.414972764605</v>
      </c>
      <c r="M1666" s="76">
        <f>$J$1666-EFEITO!$K$1666*EFEITO!$Y$1666</f>
        <v>0</v>
      </c>
      <c r="N1666" s="76">
        <f ca="1">$K$1666-EFEITO!$M$1666*EFEITO!$Z$1666</f>
        <v>-825.20898648614639</v>
      </c>
      <c r="O1666" s="76">
        <f>$L$1666-EFEITO!$O$1666*EFEITO!$AA$1666</f>
        <v>-622.76489836587643</v>
      </c>
      <c r="P1666" s="18"/>
      <c r="Q1666" s="18"/>
      <c r="R1666" s="18"/>
      <c r="S1666" s="18"/>
      <c r="T1666" s="18"/>
      <c r="U1666" s="18"/>
      <c r="V1666" s="18"/>
      <c r="W1666" s="18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</row>
    <row r="1667" spans="1:36" ht="11.25" customHeight="1" x14ac:dyDescent="0.2">
      <c r="A1667" s="62" t="s">
        <v>28</v>
      </c>
      <c r="B1667" s="62" t="s">
        <v>44</v>
      </c>
      <c r="C1667" s="62" t="s">
        <v>23</v>
      </c>
      <c r="D1667" s="62" t="s">
        <v>45</v>
      </c>
      <c r="E1667" s="62" t="s">
        <v>25</v>
      </c>
      <c r="F1667" s="62" t="s">
        <v>25</v>
      </c>
      <c r="G1667" s="62" t="s">
        <v>25</v>
      </c>
      <c r="H1667" s="62" t="s">
        <v>25</v>
      </c>
      <c r="I1667" s="75">
        <v>44501</v>
      </c>
      <c r="J1667" s="76">
        <f>EFEITO!$J$1667*EFEITO!$Y$1303</f>
        <v>0</v>
      </c>
      <c r="K1667" s="76">
        <f ca="1">EFEITO!$L$1667*EFEITO!$Z$1303</f>
        <v>332885.13297909294</v>
      </c>
      <c r="L1667" s="76">
        <f>EFEITO!$N$1667*EFEITO!$AA$1303</f>
        <v>251220.21136728904</v>
      </c>
      <c r="M1667" s="76">
        <f>$J$1667-EFEITO!$K$1667*EFEITO!$Y$1667</f>
        <v>0</v>
      </c>
      <c r="N1667" s="76">
        <f ca="1">$K$1667-EFEITO!$M$1667*EFEITO!$Z$1667</f>
        <v>19973.107978745596</v>
      </c>
      <c r="O1667" s="76">
        <f>$L$1667-EFEITO!$O$1667*EFEITO!$AA$1667</f>
        <v>15073.212682037323</v>
      </c>
      <c r="P1667" s="18"/>
      <c r="Q1667" s="18"/>
      <c r="R1667" s="18"/>
      <c r="S1667" s="18"/>
      <c r="T1667" s="18"/>
      <c r="U1667" s="18"/>
      <c r="V1667" s="18"/>
      <c r="W1667" s="18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</row>
    <row r="1668" spans="1:36" ht="11.25" customHeight="1" x14ac:dyDescent="0.2">
      <c r="A1668" s="62" t="s">
        <v>28</v>
      </c>
      <c r="B1668" s="62" t="s">
        <v>44</v>
      </c>
      <c r="C1668" s="62" t="s">
        <v>23</v>
      </c>
      <c r="D1668" s="62" t="s">
        <v>45</v>
      </c>
      <c r="E1668" s="62" t="s">
        <v>25</v>
      </c>
      <c r="F1668" s="62" t="s">
        <v>25</v>
      </c>
      <c r="G1668" s="62" t="s">
        <v>25</v>
      </c>
      <c r="H1668" s="62" t="s">
        <v>25</v>
      </c>
      <c r="I1668" s="75">
        <v>44501</v>
      </c>
      <c r="J1668" s="76">
        <f>EFEITO!$J$1668*EFEITO!$Y$1303</f>
        <v>0</v>
      </c>
      <c r="K1668" s="76">
        <f ca="1">EFEITO!$L$1668*EFEITO!$Z$1303</f>
        <v>-7690.4718332177217</v>
      </c>
      <c r="L1668" s="76">
        <f>EFEITO!$N$1668*EFEITO!$AA$1303</f>
        <v>-5803.8096870384406</v>
      </c>
      <c r="M1668" s="76">
        <f>$J$1668-EFEITO!$K$1668*EFEITO!$Y$1668</f>
        <v>0</v>
      </c>
      <c r="N1668" s="76">
        <f ca="1">$K$1668-EFEITO!$M$1668*EFEITO!$Z$1668</f>
        <v>-461.42830999306352</v>
      </c>
      <c r="O1668" s="76">
        <f>$L$1668-EFEITO!$O$1668*EFEITO!$AA$1668</f>
        <v>-348.22858122230627</v>
      </c>
      <c r="P1668" s="18"/>
      <c r="Q1668" s="18"/>
      <c r="R1668" s="18"/>
      <c r="S1668" s="18"/>
      <c r="T1668" s="18"/>
      <c r="U1668" s="18"/>
      <c r="V1668" s="18"/>
      <c r="W1668" s="18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</row>
    <row r="1669" spans="1:36" ht="11.25" customHeight="1" x14ac:dyDescent="0.2">
      <c r="A1669" s="62" t="s">
        <v>21</v>
      </c>
      <c r="B1669" s="62" t="s">
        <v>44</v>
      </c>
      <c r="C1669" s="62" t="s">
        <v>23</v>
      </c>
      <c r="D1669" s="62" t="s">
        <v>45</v>
      </c>
      <c r="E1669" s="62" t="s">
        <v>25</v>
      </c>
      <c r="F1669" s="62" t="s">
        <v>25</v>
      </c>
      <c r="G1669" s="62" t="s">
        <v>25</v>
      </c>
      <c r="H1669" s="62" t="s">
        <v>25</v>
      </c>
      <c r="I1669" s="75">
        <v>44531</v>
      </c>
      <c r="J1669" s="76">
        <f>EFEITO!$J$1669*EFEITO!$Y$1303</f>
        <v>0</v>
      </c>
      <c r="K1669" s="76">
        <f ca="1">EFEITO!$L$1669*EFEITO!$Z$1303</f>
        <v>5735063.9952636361</v>
      </c>
      <c r="L1669" s="76">
        <f>EFEITO!$N$1669*EFEITO!$AA$1303</f>
        <v>4328111.5506757936</v>
      </c>
      <c r="M1669" s="76">
        <f>$J$1669-EFEITO!$K$1669*EFEITO!$Y$1669</f>
        <v>0</v>
      </c>
      <c r="N1669" s="76">
        <f ca="1">$K$1669-EFEITO!$M$1669*EFEITO!$Z$1669</f>
        <v>344103.83971581794</v>
      </c>
      <c r="O1669" s="76">
        <f>$L$1669-EFEITO!$O$1669*EFEITO!$AA$1669</f>
        <v>259686.69304054696</v>
      </c>
      <c r="P1669" s="18"/>
      <c r="Q1669" s="18"/>
      <c r="R1669" s="18"/>
      <c r="S1669" s="18"/>
      <c r="T1669" s="18"/>
      <c r="U1669" s="18"/>
      <c r="V1669" s="18"/>
      <c r="W1669" s="18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</row>
    <row r="1670" spans="1:36" ht="11.25" customHeight="1" x14ac:dyDescent="0.2">
      <c r="A1670" s="62" t="s">
        <v>27</v>
      </c>
      <c r="B1670" s="62" t="s">
        <v>44</v>
      </c>
      <c r="C1670" s="62" t="s">
        <v>23</v>
      </c>
      <c r="D1670" s="62" t="s">
        <v>45</v>
      </c>
      <c r="E1670" s="62" t="s">
        <v>25</v>
      </c>
      <c r="F1670" s="62" t="s">
        <v>25</v>
      </c>
      <c r="G1670" s="62" t="s">
        <v>25</v>
      </c>
      <c r="H1670" s="62" t="s">
        <v>25</v>
      </c>
      <c r="I1670" s="75">
        <v>44531</v>
      </c>
      <c r="J1670" s="76">
        <f>EFEITO!$J$1670*EFEITO!$Y$1303</f>
        <v>0</v>
      </c>
      <c r="K1670" s="76">
        <f ca="1">EFEITO!$L$1670*EFEITO!$Z$1303</f>
        <v>-31977.022940300412</v>
      </c>
      <c r="L1670" s="76">
        <f>EFEITO!$N$1670*EFEITO!$AA$1303</f>
        <v>-24132.271664002055</v>
      </c>
      <c r="M1670" s="76">
        <f>$J$1670-EFEITO!$K$1670*EFEITO!$Y$1670</f>
        <v>0</v>
      </c>
      <c r="N1670" s="76">
        <f ca="1">$K$1670-EFEITO!$M$1670*EFEITO!$Z$1670</f>
        <v>-1918.6213764180247</v>
      </c>
      <c r="O1670" s="76">
        <f>$L$1670-EFEITO!$O$1670*EFEITO!$AA$1670</f>
        <v>-1447.936299840123</v>
      </c>
      <c r="P1670" s="18"/>
      <c r="Q1670" s="18"/>
      <c r="R1670" s="18"/>
      <c r="S1670" s="18"/>
      <c r="T1670" s="18"/>
      <c r="U1670" s="18"/>
      <c r="V1670" s="18"/>
      <c r="W1670" s="18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</row>
    <row r="1671" spans="1:36" ht="11.25" customHeight="1" x14ac:dyDescent="0.2">
      <c r="A1671" s="62" t="s">
        <v>28</v>
      </c>
      <c r="B1671" s="62" t="s">
        <v>44</v>
      </c>
      <c r="C1671" s="62" t="s">
        <v>23</v>
      </c>
      <c r="D1671" s="62" t="s">
        <v>45</v>
      </c>
      <c r="E1671" s="62" t="s">
        <v>25</v>
      </c>
      <c r="F1671" s="62" t="s">
        <v>25</v>
      </c>
      <c r="G1671" s="62" t="s">
        <v>25</v>
      </c>
      <c r="H1671" s="62" t="s">
        <v>25</v>
      </c>
      <c r="I1671" s="75">
        <v>44531</v>
      </c>
      <c r="J1671" s="76">
        <f>EFEITO!$J$1671*EFEITO!$Y$1303</f>
        <v>0</v>
      </c>
      <c r="K1671" s="76">
        <f ca="1">EFEITO!$L$1671*EFEITO!$Z$1303</f>
        <v>326013.19605900353</v>
      </c>
      <c r="L1671" s="76">
        <f>EFEITO!$N$1671*EFEITO!$AA$1303</f>
        <v>246034.12981982637</v>
      </c>
      <c r="M1671" s="76">
        <f>$J$1671-EFEITO!$K$1671*EFEITO!$Y$1671</f>
        <v>0</v>
      </c>
      <c r="N1671" s="76">
        <f ca="1">$K$1671-EFEITO!$M$1671*EFEITO!$Z$1671</f>
        <v>19560.791763540183</v>
      </c>
      <c r="O1671" s="76">
        <f>$L$1671-EFEITO!$O$1671*EFEITO!$AA$1671</f>
        <v>14762.047789189586</v>
      </c>
      <c r="P1671" s="18"/>
      <c r="Q1671" s="18"/>
      <c r="R1671" s="18"/>
      <c r="S1671" s="18"/>
      <c r="T1671" s="18"/>
      <c r="U1671" s="18"/>
      <c r="V1671" s="18"/>
      <c r="W1671" s="18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</row>
    <row r="1672" spans="1:36" ht="11.25" customHeight="1" x14ac:dyDescent="0.2">
      <c r="A1672" s="62" t="s">
        <v>28</v>
      </c>
      <c r="B1672" s="62" t="s">
        <v>44</v>
      </c>
      <c r="C1672" s="62" t="s">
        <v>23</v>
      </c>
      <c r="D1672" s="62" t="s">
        <v>45</v>
      </c>
      <c r="E1672" s="62" t="s">
        <v>25</v>
      </c>
      <c r="F1672" s="62" t="s">
        <v>25</v>
      </c>
      <c r="G1672" s="62" t="s">
        <v>25</v>
      </c>
      <c r="H1672" s="62" t="s">
        <v>25</v>
      </c>
      <c r="I1672" s="75">
        <v>44531</v>
      </c>
      <c r="J1672" s="76">
        <f>EFEITO!$J$1672*EFEITO!$Y$1303</f>
        <v>0</v>
      </c>
      <c r="K1672" s="76">
        <f ca="1">EFEITO!$L$1672*EFEITO!$Z$1303</f>
        <v>-11060.70416496691</v>
      </c>
      <c r="L1672" s="76">
        <f>EFEITO!$N$1672*EFEITO!$AA$1303</f>
        <v>-8347.2410237334261</v>
      </c>
      <c r="M1672" s="76">
        <f>$J$1672-EFEITO!$K$1672*EFEITO!$Y$1672</f>
        <v>0</v>
      </c>
      <c r="N1672" s="76">
        <f ca="1">$K$1672-EFEITO!$M$1672*EFEITO!$Z$1672</f>
        <v>-663.64224989801551</v>
      </c>
      <c r="O1672" s="76">
        <f>$L$1672-EFEITO!$O$1672*EFEITO!$AA$1672</f>
        <v>-500.83446142400589</v>
      </c>
      <c r="P1672" s="18"/>
      <c r="Q1672" s="18"/>
      <c r="R1672" s="18"/>
      <c r="S1672" s="18"/>
      <c r="T1672" s="18"/>
      <c r="U1672" s="18"/>
      <c r="V1672" s="18"/>
      <c r="W1672" s="18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</row>
    <row r="1673" spans="1:36" ht="11.25" customHeight="1" x14ac:dyDescent="0.2">
      <c r="A1673" s="62" t="s">
        <v>21</v>
      </c>
      <c r="B1673" s="62" t="s">
        <v>44</v>
      </c>
      <c r="C1673" s="62" t="s">
        <v>23</v>
      </c>
      <c r="D1673" s="62" t="s">
        <v>45</v>
      </c>
      <c r="E1673" s="62" t="s">
        <v>25</v>
      </c>
      <c r="F1673" s="62" t="s">
        <v>25</v>
      </c>
      <c r="G1673" s="62" t="s">
        <v>25</v>
      </c>
      <c r="H1673" s="62" t="s">
        <v>25</v>
      </c>
      <c r="I1673" s="75">
        <v>44562</v>
      </c>
      <c r="J1673" s="76">
        <f>EFEITO!$J$1673*EFEITO!$Y$1303</f>
        <v>0</v>
      </c>
      <c r="K1673" s="76">
        <f ca="1">EFEITO!$L$1673*EFEITO!$Z$1303</f>
        <v>5546062.3619687269</v>
      </c>
      <c r="L1673" s="76">
        <f>EFEITO!$N$1673*EFEITO!$AA$1303</f>
        <v>4185476.672872188</v>
      </c>
      <c r="M1673" s="76">
        <f>$J$1673-EFEITO!$K$1673*EFEITO!$Y$1673</f>
        <v>0</v>
      </c>
      <c r="N1673" s="76">
        <f ca="1">$K$1673-EFEITO!$M$1673*EFEITO!$Z$1673</f>
        <v>332763.74171812367</v>
      </c>
      <c r="O1673" s="76">
        <f>$L$1673-EFEITO!$O$1673*EFEITO!$AA$1673</f>
        <v>251128.60037233122</v>
      </c>
      <c r="P1673" s="18"/>
      <c r="Q1673" s="18"/>
      <c r="R1673" s="18"/>
      <c r="S1673" s="18"/>
      <c r="T1673" s="18"/>
      <c r="U1673" s="18"/>
      <c r="V1673" s="18"/>
      <c r="W1673" s="18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</row>
    <row r="1674" spans="1:36" ht="11.25" customHeight="1" x14ac:dyDescent="0.2">
      <c r="A1674" s="62" t="s">
        <v>27</v>
      </c>
      <c r="B1674" s="62" t="s">
        <v>44</v>
      </c>
      <c r="C1674" s="62" t="s">
        <v>23</v>
      </c>
      <c r="D1674" s="62" t="s">
        <v>45</v>
      </c>
      <c r="E1674" s="62" t="s">
        <v>25</v>
      </c>
      <c r="F1674" s="62" t="s">
        <v>25</v>
      </c>
      <c r="G1674" s="62" t="s">
        <v>25</v>
      </c>
      <c r="H1674" s="62" t="s">
        <v>25</v>
      </c>
      <c r="I1674" s="75">
        <v>44562</v>
      </c>
      <c r="J1674" s="76">
        <f>EFEITO!$J$1674*EFEITO!$Y$1303</f>
        <v>0</v>
      </c>
      <c r="K1674" s="76">
        <f ca="1">EFEITO!$L$1674*EFEITO!$Z$1303</f>
        <v>55061.978772027745</v>
      </c>
      <c r="L1674" s="76">
        <f>EFEITO!$N$1674*EFEITO!$AA$1303</f>
        <v>41553.919280254435</v>
      </c>
      <c r="M1674" s="76">
        <f>$J$1674-EFEITO!$K$1674*EFEITO!$Y$1674</f>
        <v>0</v>
      </c>
      <c r="N1674" s="76">
        <f ca="1">$K$1674-EFEITO!$M$1674*EFEITO!$Z$1674</f>
        <v>3303.7187263216692</v>
      </c>
      <c r="O1674" s="76">
        <f>$L$1674-EFEITO!$O$1674*EFEITO!$AA$1674</f>
        <v>2493.2351568152662</v>
      </c>
      <c r="P1674" s="18"/>
      <c r="Q1674" s="18"/>
      <c r="R1674" s="18"/>
      <c r="S1674" s="18"/>
      <c r="T1674" s="18"/>
      <c r="U1674" s="18"/>
      <c r="V1674" s="18"/>
      <c r="W1674" s="18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</row>
    <row r="1675" spans="1:36" ht="11.25" customHeight="1" x14ac:dyDescent="0.2">
      <c r="A1675" s="62" t="s">
        <v>28</v>
      </c>
      <c r="B1675" s="62" t="s">
        <v>44</v>
      </c>
      <c r="C1675" s="62" t="s">
        <v>23</v>
      </c>
      <c r="D1675" s="62" t="s">
        <v>45</v>
      </c>
      <c r="E1675" s="62" t="s">
        <v>25</v>
      </c>
      <c r="F1675" s="62" t="s">
        <v>25</v>
      </c>
      <c r="G1675" s="62" t="s">
        <v>25</v>
      </c>
      <c r="H1675" s="62" t="s">
        <v>25</v>
      </c>
      <c r="I1675" s="75">
        <v>44562</v>
      </c>
      <c r="J1675" s="76">
        <f>EFEITO!$J$1675*EFEITO!$Y$1303</f>
        <v>0</v>
      </c>
      <c r="K1675" s="76">
        <f ca="1">EFEITO!$L$1675*EFEITO!$Z$1303</f>
        <v>313435.10113191936</v>
      </c>
      <c r="L1675" s="76">
        <f>EFEITO!$N$1675*EFEITO!$AA$1303</f>
        <v>236541.75135912062</v>
      </c>
      <c r="M1675" s="76">
        <f>$J$1675-EFEITO!$K$1675*EFEITO!$Y$1675</f>
        <v>0</v>
      </c>
      <c r="N1675" s="76">
        <f ca="1">$K$1675-EFEITO!$M$1675*EFEITO!$Z$1675</f>
        <v>18806.106067915156</v>
      </c>
      <c r="O1675" s="76">
        <f>$L$1675-EFEITO!$O$1675*EFEITO!$AA$1675</f>
        <v>14192.50508154725</v>
      </c>
      <c r="P1675" s="18"/>
      <c r="Q1675" s="18"/>
      <c r="R1675" s="18"/>
      <c r="S1675" s="18"/>
      <c r="T1675" s="18"/>
      <c r="U1675" s="18"/>
      <c r="V1675" s="18"/>
      <c r="W1675" s="18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</row>
    <row r="1676" spans="1:36" ht="11.25" customHeight="1" x14ac:dyDescent="0.2">
      <c r="A1676" s="62" t="s">
        <v>28</v>
      </c>
      <c r="B1676" s="62" t="s">
        <v>44</v>
      </c>
      <c r="C1676" s="62" t="s">
        <v>23</v>
      </c>
      <c r="D1676" s="62" t="s">
        <v>45</v>
      </c>
      <c r="E1676" s="62" t="s">
        <v>25</v>
      </c>
      <c r="F1676" s="62" t="s">
        <v>25</v>
      </c>
      <c r="G1676" s="62" t="s">
        <v>25</v>
      </c>
      <c r="H1676" s="62" t="s">
        <v>25</v>
      </c>
      <c r="I1676" s="75">
        <v>44562</v>
      </c>
      <c r="J1676" s="76">
        <f>EFEITO!$J$1676*EFEITO!$Y$1303</f>
        <v>0</v>
      </c>
      <c r="K1676" s="76">
        <f ca="1">EFEITO!$L$1676*EFEITO!$Z$1303</f>
        <v>-3961.6390939560824</v>
      </c>
      <c r="L1676" s="76">
        <f>EFEITO!$N$1676*EFEITO!$AA$1303</f>
        <v>-2989.7514546168372</v>
      </c>
      <c r="M1676" s="76">
        <f>$J$1676-EFEITO!$K$1676*EFEITO!$Y$1676</f>
        <v>0</v>
      </c>
      <c r="N1676" s="76">
        <f ca="1">$K$1676-EFEITO!$M$1676*EFEITO!$Z$1676</f>
        <v>-237.69834563736504</v>
      </c>
      <c r="O1676" s="76">
        <f>$L$1676-EFEITO!$O$1676*EFEITO!$AA$1676</f>
        <v>-179.38508727700992</v>
      </c>
      <c r="P1676" s="18"/>
      <c r="Q1676" s="18"/>
      <c r="R1676" s="18"/>
      <c r="S1676" s="18"/>
      <c r="T1676" s="18"/>
      <c r="U1676" s="18"/>
      <c r="V1676" s="18"/>
      <c r="W1676" s="18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</row>
    <row r="1677" spans="1:36" ht="11.25" customHeight="1" x14ac:dyDescent="0.2">
      <c r="A1677" s="62" t="s">
        <v>21</v>
      </c>
      <c r="B1677" s="62" t="s">
        <v>44</v>
      </c>
      <c r="C1677" s="62" t="s">
        <v>23</v>
      </c>
      <c r="D1677" s="62" t="s">
        <v>45</v>
      </c>
      <c r="E1677" s="62" t="s">
        <v>25</v>
      </c>
      <c r="F1677" s="62" t="s">
        <v>25</v>
      </c>
      <c r="G1677" s="62" t="s">
        <v>25</v>
      </c>
      <c r="H1677" s="62" t="s">
        <v>25</v>
      </c>
      <c r="I1677" s="75">
        <v>44593</v>
      </c>
      <c r="J1677" s="76">
        <f>EFEITO!$J$1677*EFEITO!$Y$1303</f>
        <v>0</v>
      </c>
      <c r="K1677" s="76">
        <f ca="1">EFEITO!$L$1677*EFEITO!$Z$1303</f>
        <v>4505532.830914746</v>
      </c>
      <c r="L1677" s="76">
        <f>EFEITO!$N$1677*EFEITO!$AA$1303</f>
        <v>3400214.6625627503</v>
      </c>
      <c r="M1677" s="76">
        <f>$J$1677-EFEITO!$K$1677*EFEITO!$Y$1677</f>
        <v>0</v>
      </c>
      <c r="N1677" s="76">
        <f ca="1">$K$1677-EFEITO!$M$1677*EFEITO!$Z$1677</f>
        <v>270331.96985488478</v>
      </c>
      <c r="O1677" s="76">
        <f>$L$1677-EFEITO!$O$1677*EFEITO!$AA$1677</f>
        <v>204012.87975376472</v>
      </c>
      <c r="P1677" s="18"/>
      <c r="Q1677" s="18"/>
      <c r="R1677" s="18"/>
      <c r="S1677" s="18"/>
      <c r="T1677" s="18"/>
      <c r="U1677" s="18"/>
      <c r="V1677" s="18"/>
      <c r="W1677" s="18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</row>
    <row r="1678" spans="1:36" ht="11.25" customHeight="1" x14ac:dyDescent="0.2">
      <c r="A1678" s="62" t="s">
        <v>27</v>
      </c>
      <c r="B1678" s="62" t="s">
        <v>44</v>
      </c>
      <c r="C1678" s="62" t="s">
        <v>23</v>
      </c>
      <c r="D1678" s="62" t="s">
        <v>45</v>
      </c>
      <c r="E1678" s="62" t="s">
        <v>25</v>
      </c>
      <c r="F1678" s="62" t="s">
        <v>25</v>
      </c>
      <c r="G1678" s="62" t="s">
        <v>25</v>
      </c>
      <c r="H1678" s="62" t="s">
        <v>25</v>
      </c>
      <c r="I1678" s="75">
        <v>44593</v>
      </c>
      <c r="J1678" s="76">
        <f>EFEITO!$J$1678*EFEITO!$Y$1303</f>
        <v>0</v>
      </c>
      <c r="K1678" s="76">
        <f ca="1">EFEITO!$L$1678*EFEITO!$Z$1303</f>
        <v>-17105.807258721281</v>
      </c>
      <c r="L1678" s="76">
        <f>EFEITO!$N$1678*EFEITO!$AA$1303</f>
        <v>-12909.331446213802</v>
      </c>
      <c r="M1678" s="76">
        <f>$J$1678-EFEITO!$K$1678*EFEITO!$Y$1678</f>
        <v>0</v>
      </c>
      <c r="N1678" s="76">
        <f ca="1">$K$1678-EFEITO!$M$1678*EFEITO!$Z$1678</f>
        <v>-1026.3484355232758</v>
      </c>
      <c r="O1678" s="76">
        <f>$L$1678-EFEITO!$O$1678*EFEITO!$AA$1678</f>
        <v>-774.55988677282767</v>
      </c>
      <c r="P1678" s="18"/>
      <c r="Q1678" s="18"/>
      <c r="R1678" s="18"/>
      <c r="S1678" s="18"/>
      <c r="T1678" s="18"/>
      <c r="U1678" s="18"/>
      <c r="V1678" s="18"/>
      <c r="W1678" s="18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</row>
    <row r="1679" spans="1:36" ht="11.25" customHeight="1" x14ac:dyDescent="0.2">
      <c r="A1679" s="62" t="s">
        <v>28</v>
      </c>
      <c r="B1679" s="62" t="s">
        <v>44</v>
      </c>
      <c r="C1679" s="62" t="s">
        <v>23</v>
      </c>
      <c r="D1679" s="62" t="s">
        <v>45</v>
      </c>
      <c r="E1679" s="62" t="s">
        <v>25</v>
      </c>
      <c r="F1679" s="62" t="s">
        <v>25</v>
      </c>
      <c r="G1679" s="62" t="s">
        <v>25</v>
      </c>
      <c r="H1679" s="62" t="s">
        <v>25</v>
      </c>
      <c r="I1679" s="75">
        <v>44593</v>
      </c>
      <c r="J1679" s="76">
        <f>EFEITO!$J$1679*EFEITO!$Y$1303</f>
        <v>0</v>
      </c>
      <c r="K1679" s="76">
        <f ca="1">EFEITO!$L$1679*EFEITO!$Z$1303</f>
        <v>339127.22606528108</v>
      </c>
      <c r="L1679" s="76">
        <f>EFEITO!$N$1679*EFEITO!$AA$1303</f>
        <v>255930.9652854731</v>
      </c>
      <c r="M1679" s="76">
        <f>$J$1679-EFEITO!$K$1679*EFEITO!$Y$1679</f>
        <v>0</v>
      </c>
      <c r="N1679" s="76">
        <f ca="1">$K$1679-EFEITO!$M$1679*EFEITO!$Z$1679</f>
        <v>20347.633563916839</v>
      </c>
      <c r="O1679" s="76">
        <f>$L$1679-EFEITO!$O$1679*EFEITO!$AA$1679</f>
        <v>15355.857917128364</v>
      </c>
      <c r="P1679" s="18"/>
      <c r="Q1679" s="18"/>
      <c r="R1679" s="18"/>
      <c r="S1679" s="18"/>
      <c r="T1679" s="18"/>
      <c r="U1679" s="18"/>
      <c r="V1679" s="18"/>
      <c r="W1679" s="18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</row>
    <row r="1680" spans="1:36" ht="11.25" customHeight="1" x14ac:dyDescent="0.2">
      <c r="A1680" s="62" t="s">
        <v>28</v>
      </c>
      <c r="B1680" s="62" t="s">
        <v>44</v>
      </c>
      <c r="C1680" s="62" t="s">
        <v>23</v>
      </c>
      <c r="D1680" s="62" t="s">
        <v>45</v>
      </c>
      <c r="E1680" s="62" t="s">
        <v>25</v>
      </c>
      <c r="F1680" s="62" t="s">
        <v>25</v>
      </c>
      <c r="G1680" s="62" t="s">
        <v>25</v>
      </c>
      <c r="H1680" s="62" t="s">
        <v>25</v>
      </c>
      <c r="I1680" s="75">
        <v>44593</v>
      </c>
      <c r="J1680" s="76">
        <f>EFEITO!$J$1680*EFEITO!$Y$1303</f>
        <v>0</v>
      </c>
      <c r="K1680" s="76">
        <f ca="1">EFEITO!$L$1680*EFEITO!$Z$1303</f>
        <v>-608.00458862038215</v>
      </c>
      <c r="L1680" s="76">
        <f>EFEITO!$N$1680*EFEITO!$AA$1303</f>
        <v>-458.84608873502066</v>
      </c>
      <c r="M1680" s="76">
        <f>$J$1680-EFEITO!$K$1680*EFEITO!$Y$1680</f>
        <v>0</v>
      </c>
      <c r="N1680" s="76">
        <f ca="1">$K$1680-EFEITO!$M$1680*EFEITO!$Z$1680</f>
        <v>-36.48027531722289</v>
      </c>
      <c r="O1680" s="76">
        <f>$L$1680-EFEITO!$O$1680*EFEITO!$AA$1680</f>
        <v>-27.530765324101253</v>
      </c>
      <c r="P1680" s="18"/>
      <c r="Q1680" s="18"/>
      <c r="R1680" s="18"/>
      <c r="S1680" s="18"/>
      <c r="T1680" s="18"/>
      <c r="U1680" s="18"/>
      <c r="V1680" s="18"/>
      <c r="W1680" s="18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</row>
    <row r="1681" spans="1:36" ht="11.25" customHeight="1" x14ac:dyDescent="0.2">
      <c r="A1681" s="62" t="s">
        <v>21</v>
      </c>
      <c r="B1681" s="62" t="s">
        <v>44</v>
      </c>
      <c r="C1681" s="62" t="s">
        <v>23</v>
      </c>
      <c r="D1681" s="62" t="s">
        <v>45</v>
      </c>
      <c r="E1681" s="62" t="s">
        <v>25</v>
      </c>
      <c r="F1681" s="62" t="s">
        <v>25</v>
      </c>
      <c r="G1681" s="62" t="s">
        <v>25</v>
      </c>
      <c r="H1681" s="62" t="s">
        <v>25</v>
      </c>
      <c r="I1681" s="75">
        <v>44621</v>
      </c>
      <c r="J1681" s="76">
        <f>EFEITO!$J$1681*EFEITO!$Y$1303</f>
        <v>0</v>
      </c>
      <c r="K1681" s="76">
        <f ca="1">EFEITO!$L$1681*EFEITO!$Z$1303</f>
        <v>4545488.1669410672</v>
      </c>
      <c r="L1681" s="76">
        <f>EFEITO!$N$1681*EFEITO!$AA$1303</f>
        <v>3430367.9706181563</v>
      </c>
      <c r="M1681" s="76">
        <f>$J$1681-EFEITO!$K$1681*EFEITO!$Y$1681</f>
        <v>0</v>
      </c>
      <c r="N1681" s="76">
        <f ca="1">$K$1681-EFEITO!$M$1681*EFEITO!$Z$1681</f>
        <v>272729.29001646396</v>
      </c>
      <c r="O1681" s="76">
        <f>$L$1681-EFEITO!$O$1681*EFEITO!$AA$1681</f>
        <v>205822.07823708933</v>
      </c>
      <c r="P1681" s="18"/>
      <c r="Q1681" s="18"/>
      <c r="R1681" s="18"/>
      <c r="S1681" s="18"/>
      <c r="T1681" s="18"/>
      <c r="U1681" s="18"/>
      <c r="V1681" s="18"/>
      <c r="W1681" s="18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</row>
    <row r="1682" spans="1:36" ht="11.25" customHeight="1" x14ac:dyDescent="0.2">
      <c r="A1682" s="62" t="s">
        <v>27</v>
      </c>
      <c r="B1682" s="62" t="s">
        <v>44</v>
      </c>
      <c r="C1682" s="62" t="s">
        <v>23</v>
      </c>
      <c r="D1682" s="62" t="s">
        <v>45</v>
      </c>
      <c r="E1682" s="62" t="s">
        <v>25</v>
      </c>
      <c r="F1682" s="62" t="s">
        <v>25</v>
      </c>
      <c r="G1682" s="62" t="s">
        <v>25</v>
      </c>
      <c r="H1682" s="62" t="s">
        <v>25</v>
      </c>
      <c r="I1682" s="75">
        <v>44621</v>
      </c>
      <c r="J1682" s="76">
        <f>EFEITO!$J$1682*EFEITO!$Y$1303</f>
        <v>0</v>
      </c>
      <c r="K1682" s="76">
        <f ca="1">EFEITO!$L$1682*EFEITO!$Z$1303</f>
        <v>-21105.446639466139</v>
      </c>
      <c r="L1682" s="76">
        <f>EFEITO!$N$1682*EFEITO!$AA$1303</f>
        <v>-15927.760781376581</v>
      </c>
      <c r="M1682" s="76">
        <f>$J$1682-EFEITO!$K$1682*EFEITO!$Y$1682</f>
        <v>0</v>
      </c>
      <c r="N1682" s="76">
        <f ca="1">$K$1682-EFEITO!$M$1682*EFEITO!$Z$1682</f>
        <v>-1266.3267983679689</v>
      </c>
      <c r="O1682" s="76">
        <f>$L$1682-EFEITO!$O$1682*EFEITO!$AA$1682</f>
        <v>-955.66564688259496</v>
      </c>
      <c r="P1682" s="18"/>
      <c r="Q1682" s="18"/>
      <c r="R1682" s="18"/>
      <c r="S1682" s="18"/>
      <c r="T1682" s="18"/>
      <c r="U1682" s="18"/>
      <c r="V1682" s="18"/>
      <c r="W1682" s="18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</row>
    <row r="1683" spans="1:36" ht="11.25" customHeight="1" x14ac:dyDescent="0.2">
      <c r="A1683" s="62" t="s">
        <v>28</v>
      </c>
      <c r="B1683" s="62" t="s">
        <v>44</v>
      </c>
      <c r="C1683" s="62" t="s">
        <v>23</v>
      </c>
      <c r="D1683" s="62" t="s">
        <v>45</v>
      </c>
      <c r="E1683" s="62" t="s">
        <v>25</v>
      </c>
      <c r="F1683" s="62" t="s">
        <v>25</v>
      </c>
      <c r="G1683" s="62" t="s">
        <v>25</v>
      </c>
      <c r="H1683" s="62" t="s">
        <v>25</v>
      </c>
      <c r="I1683" s="75">
        <v>44621</v>
      </c>
      <c r="J1683" s="76">
        <f>EFEITO!$J$1683*EFEITO!$Y$1303</f>
        <v>0</v>
      </c>
      <c r="K1683" s="76">
        <f ca="1">EFEITO!$L$1683*EFEITO!$Z$1303</f>
        <v>313089.60427157546</v>
      </c>
      <c r="L1683" s="76">
        <f>EFEITO!$N$1683*EFEITO!$AA$1303</f>
        <v>236281.01338772016</v>
      </c>
      <c r="M1683" s="76">
        <f>$J$1683-EFEITO!$K$1683*EFEITO!$Y$1683</f>
        <v>0</v>
      </c>
      <c r="N1683" s="76">
        <f ca="1">$K$1683-EFEITO!$M$1683*EFEITO!$Z$1683</f>
        <v>18785.376256294549</v>
      </c>
      <c r="O1683" s="76">
        <f>$L$1683-EFEITO!$O$1683*EFEITO!$AA$1683</f>
        <v>14176.860803263204</v>
      </c>
      <c r="P1683" s="18"/>
      <c r="Q1683" s="18"/>
      <c r="R1683" s="18"/>
      <c r="S1683" s="18"/>
      <c r="T1683" s="18"/>
      <c r="U1683" s="18"/>
      <c r="V1683" s="18"/>
      <c r="W1683" s="18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</row>
    <row r="1684" spans="1:36" ht="11.25" customHeight="1" x14ac:dyDescent="0.2">
      <c r="A1684" s="62" t="s">
        <v>28</v>
      </c>
      <c r="B1684" s="62" t="s">
        <v>44</v>
      </c>
      <c r="C1684" s="62" t="s">
        <v>23</v>
      </c>
      <c r="D1684" s="62" t="s">
        <v>45</v>
      </c>
      <c r="E1684" s="62" t="s">
        <v>25</v>
      </c>
      <c r="F1684" s="62" t="s">
        <v>25</v>
      </c>
      <c r="G1684" s="62" t="s">
        <v>25</v>
      </c>
      <c r="H1684" s="62" t="s">
        <v>25</v>
      </c>
      <c r="I1684" s="75">
        <v>44621</v>
      </c>
      <c r="J1684" s="76">
        <f>EFEITO!$J$1684*EFEITO!$Y$1303</f>
        <v>0</v>
      </c>
      <c r="K1684" s="76">
        <f ca="1">EFEITO!$L$1684*EFEITO!$Z$1303</f>
        <v>-16020.833553165949</v>
      </c>
      <c r="L1684" s="76">
        <f>EFEITO!$N$1684*EFEITO!$AA$1303</f>
        <v>-12090.528512005621</v>
      </c>
      <c r="M1684" s="76">
        <f>$J$1684-EFEITO!$K$1684*EFEITO!$Y$1684</f>
        <v>0</v>
      </c>
      <c r="N1684" s="76">
        <f ca="1">$K$1684-EFEITO!$M$1684*EFEITO!$Z$1684</f>
        <v>-961.25001318995783</v>
      </c>
      <c r="O1684" s="76">
        <f>$L$1684-EFEITO!$O$1684*EFEITO!$AA$1684</f>
        <v>-725.43171072033692</v>
      </c>
      <c r="P1684" s="18"/>
      <c r="Q1684" s="18"/>
      <c r="R1684" s="18"/>
      <c r="S1684" s="18"/>
      <c r="T1684" s="18"/>
      <c r="U1684" s="18"/>
      <c r="V1684" s="18"/>
      <c r="W1684" s="18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</row>
    <row r="1685" spans="1:36" ht="11.25" customHeight="1" x14ac:dyDescent="0.2">
      <c r="A1685" s="62" t="s">
        <v>21</v>
      </c>
      <c r="B1685" s="62" t="s">
        <v>44</v>
      </c>
      <c r="C1685" s="62" t="s">
        <v>23</v>
      </c>
      <c r="D1685" s="62" t="s">
        <v>45</v>
      </c>
      <c r="E1685" s="62" t="s">
        <v>25</v>
      </c>
      <c r="F1685" s="62" t="s">
        <v>25</v>
      </c>
      <c r="G1685" s="62" t="s">
        <v>25</v>
      </c>
      <c r="H1685" s="62" t="s">
        <v>25</v>
      </c>
      <c r="I1685" s="75">
        <v>44652</v>
      </c>
      <c r="J1685" s="76">
        <f>EFEITO!$J$1685*EFEITO!$Y$1303</f>
        <v>0</v>
      </c>
      <c r="K1685" s="76">
        <f ca="1">EFEITO!$L$1685*EFEITO!$Z$1303</f>
        <v>4597408.7886718893</v>
      </c>
      <c r="L1685" s="76">
        <f>EFEITO!$N$1685*EFEITO!$AA$1303</f>
        <v>3469551.1851066127</v>
      </c>
      <c r="M1685" s="76">
        <f>$J$1685-EFEITO!$K$1685*EFEITO!$Y$1685</f>
        <v>0</v>
      </c>
      <c r="N1685" s="76">
        <f ca="1">$K$1685-EFEITO!$M$1685*EFEITO!$Z$1685</f>
        <v>275844.52732031327</v>
      </c>
      <c r="O1685" s="76">
        <f>$L$1685-EFEITO!$O$1685*EFEITO!$AA$1685</f>
        <v>208173.07110639662</v>
      </c>
      <c r="P1685" s="18"/>
      <c r="Q1685" s="18"/>
      <c r="R1685" s="18"/>
      <c r="S1685" s="18"/>
      <c r="T1685" s="18"/>
      <c r="U1685" s="18"/>
      <c r="V1685" s="18"/>
      <c r="W1685" s="18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</row>
    <row r="1686" spans="1:36" ht="11.25" customHeight="1" x14ac:dyDescent="0.2">
      <c r="A1686" s="62" t="s">
        <v>27</v>
      </c>
      <c r="B1686" s="62" t="s">
        <v>44</v>
      </c>
      <c r="C1686" s="62" t="s">
        <v>23</v>
      </c>
      <c r="D1686" s="62" t="s">
        <v>45</v>
      </c>
      <c r="E1686" s="62" t="s">
        <v>25</v>
      </c>
      <c r="F1686" s="62" t="s">
        <v>25</v>
      </c>
      <c r="G1686" s="62" t="s">
        <v>25</v>
      </c>
      <c r="H1686" s="62" t="s">
        <v>25</v>
      </c>
      <c r="I1686" s="75">
        <v>44652</v>
      </c>
      <c r="J1686" s="76">
        <f>EFEITO!$J$1686*EFEITO!$Y$1303</f>
        <v>0</v>
      </c>
      <c r="K1686" s="76">
        <f ca="1">EFEITO!$L$1686*EFEITO!$Z$1303</f>
        <v>-21453.127424338141</v>
      </c>
      <c r="L1686" s="76">
        <f>EFEITO!$N$1686*EFEITO!$AA$1303</f>
        <v>-16190.146906831376</v>
      </c>
      <c r="M1686" s="76">
        <f>$J$1686-EFEITO!$K$1686*EFEITO!$Y$1686</f>
        <v>0</v>
      </c>
      <c r="N1686" s="76">
        <f ca="1">$K$1686-EFEITO!$M$1686*EFEITO!$Z$1686</f>
        <v>-1287.1876454602898</v>
      </c>
      <c r="O1686" s="76">
        <f>$L$1686-EFEITO!$O$1686*EFEITO!$AA$1686</f>
        <v>-971.40881440988232</v>
      </c>
      <c r="P1686" s="18"/>
      <c r="Q1686" s="18"/>
      <c r="R1686" s="18"/>
      <c r="S1686" s="18"/>
      <c r="T1686" s="18"/>
      <c r="U1686" s="18"/>
      <c r="V1686" s="18"/>
      <c r="W1686" s="18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</row>
    <row r="1687" spans="1:36" ht="11.25" customHeight="1" x14ac:dyDescent="0.2">
      <c r="A1687" s="62" t="s">
        <v>28</v>
      </c>
      <c r="B1687" s="62" t="s">
        <v>44</v>
      </c>
      <c r="C1687" s="62" t="s">
        <v>23</v>
      </c>
      <c r="D1687" s="62" t="s">
        <v>45</v>
      </c>
      <c r="E1687" s="62" t="s">
        <v>25</v>
      </c>
      <c r="F1687" s="62" t="s">
        <v>25</v>
      </c>
      <c r="G1687" s="62" t="s">
        <v>25</v>
      </c>
      <c r="H1687" s="62" t="s">
        <v>25</v>
      </c>
      <c r="I1687" s="75">
        <v>44652</v>
      </c>
      <c r="J1687" s="76">
        <f>EFEITO!$J$1687*EFEITO!$Y$1303</f>
        <v>0</v>
      </c>
      <c r="K1687" s="76">
        <f ca="1">EFEITO!$L$1687*EFEITO!$Z$1303</f>
        <v>316075.4658863807</v>
      </c>
      <c r="L1687" s="76">
        <f>EFEITO!$N$1687*EFEITO!$AA$1303</f>
        <v>238534.36961084703</v>
      </c>
      <c r="M1687" s="76">
        <f>$J$1687-EFEITO!$K$1687*EFEITO!$Y$1687</f>
        <v>0</v>
      </c>
      <c r="N1687" s="76">
        <f ca="1">$K$1687-EFEITO!$M$1687*EFEITO!$Z$1687</f>
        <v>18964.527953182813</v>
      </c>
      <c r="O1687" s="76">
        <f>$L$1687-EFEITO!$O$1687*EFEITO!$AA$1687</f>
        <v>14312.062176650797</v>
      </c>
      <c r="P1687" s="18"/>
      <c r="Q1687" s="18"/>
      <c r="R1687" s="18"/>
      <c r="S1687" s="18"/>
      <c r="T1687" s="18"/>
      <c r="U1687" s="18"/>
      <c r="V1687" s="18"/>
      <c r="W1687" s="18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</row>
    <row r="1688" spans="1:36" ht="11.25" customHeight="1" x14ac:dyDescent="0.2">
      <c r="A1688" s="62" t="s">
        <v>28</v>
      </c>
      <c r="B1688" s="62" t="s">
        <v>44</v>
      </c>
      <c r="C1688" s="62" t="s">
        <v>23</v>
      </c>
      <c r="D1688" s="62" t="s">
        <v>45</v>
      </c>
      <c r="E1688" s="62" t="s">
        <v>25</v>
      </c>
      <c r="F1688" s="62" t="s">
        <v>25</v>
      </c>
      <c r="G1688" s="62" t="s">
        <v>25</v>
      </c>
      <c r="H1688" s="62" t="s">
        <v>25</v>
      </c>
      <c r="I1688" s="75">
        <v>44652</v>
      </c>
      <c r="J1688" s="76">
        <f>EFEITO!$J$1688*EFEITO!$Y$1303</f>
        <v>0</v>
      </c>
      <c r="K1688" s="76">
        <f ca="1">EFEITO!$L$1688*EFEITO!$Z$1303</f>
        <v>-5938.9643616891781</v>
      </c>
      <c r="L1688" s="76">
        <f>EFEITO!$N$1688*EFEITO!$AA$1303</f>
        <v>-4481.9901354382728</v>
      </c>
      <c r="M1688" s="76">
        <f>$J$1688-EFEITO!$K$1688*EFEITO!$Y$1688</f>
        <v>0</v>
      </c>
      <c r="N1688" s="76">
        <f ca="1">$K$1688-EFEITO!$M$1688*EFEITO!$Z$1688</f>
        <v>-356.33786170135045</v>
      </c>
      <c r="O1688" s="76">
        <f>$L$1688-EFEITO!$O$1688*EFEITO!$AA$1688</f>
        <v>-268.91940812629582</v>
      </c>
      <c r="P1688" s="18"/>
      <c r="Q1688" s="18"/>
      <c r="R1688" s="18"/>
      <c r="S1688" s="18"/>
      <c r="T1688" s="18"/>
      <c r="U1688" s="18"/>
      <c r="V1688" s="18"/>
      <c r="W1688" s="18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</row>
    <row r="1689" spans="1:36" ht="11.25" customHeight="1" x14ac:dyDescent="0.2">
      <c r="A1689" s="62" t="s">
        <v>58</v>
      </c>
      <c r="B1689" s="62" t="s">
        <v>44</v>
      </c>
      <c r="C1689" s="62" t="s">
        <v>23</v>
      </c>
      <c r="D1689" s="62" t="s">
        <v>45</v>
      </c>
      <c r="E1689" s="62" t="s">
        <v>25</v>
      </c>
      <c r="F1689" s="62" t="s">
        <v>25</v>
      </c>
      <c r="G1689" s="62" t="s">
        <v>25</v>
      </c>
      <c r="H1689" s="62" t="s">
        <v>25</v>
      </c>
      <c r="I1689" s="75">
        <v>44682</v>
      </c>
      <c r="J1689" s="76">
        <f>EFEITO!$J$1689*EFEITO!$Y$1303</f>
        <v>0</v>
      </c>
      <c r="K1689" s="76">
        <f ca="1">EFEITO!$L$1689*EFEITO!$Z$1303</f>
        <v>4597408.7886718893</v>
      </c>
      <c r="L1689" s="76">
        <f>EFEITO!$N$1689*EFEITO!$AA$1303</f>
        <v>3469551.1851066127</v>
      </c>
      <c r="M1689" s="76">
        <f>$J$1689-EFEITO!$K$1689*EFEITO!$Y$1689</f>
        <v>0</v>
      </c>
      <c r="N1689" s="76">
        <f ca="1">$K$1689-EFEITO!$M$1689*EFEITO!$Z$1689</f>
        <v>275844.52732031327</v>
      </c>
      <c r="O1689" s="76">
        <f>$L$1689-EFEITO!$O$1689*EFEITO!$AA$1689</f>
        <v>208173.07110639662</v>
      </c>
      <c r="P1689" s="18"/>
      <c r="Q1689" s="18"/>
      <c r="R1689" s="18"/>
      <c r="S1689" s="18"/>
      <c r="T1689" s="18"/>
      <c r="U1689" s="18"/>
      <c r="V1689" s="18"/>
      <c r="W1689" s="18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</row>
    <row r="1690" spans="1:36" ht="11.25" customHeight="1" x14ac:dyDescent="0.2">
      <c r="A1690" s="62" t="s">
        <v>58</v>
      </c>
      <c r="B1690" s="62" t="s">
        <v>44</v>
      </c>
      <c r="C1690" s="62" t="s">
        <v>23</v>
      </c>
      <c r="D1690" s="62" t="s">
        <v>45</v>
      </c>
      <c r="E1690" s="62" t="s">
        <v>25</v>
      </c>
      <c r="F1690" s="62" t="s">
        <v>25</v>
      </c>
      <c r="G1690" s="62" t="s">
        <v>25</v>
      </c>
      <c r="H1690" s="62" t="s">
        <v>25</v>
      </c>
      <c r="I1690" s="75">
        <v>44682</v>
      </c>
      <c r="J1690" s="76">
        <f>EFEITO!$J$1690*EFEITO!$Y$1303</f>
        <v>0</v>
      </c>
      <c r="K1690" s="76">
        <f ca="1">EFEITO!$L$1690*EFEITO!$Z$1303</f>
        <v>-21453.127424338141</v>
      </c>
      <c r="L1690" s="76">
        <f>EFEITO!$N$1690*EFEITO!$AA$1303</f>
        <v>-16190.146906831376</v>
      </c>
      <c r="M1690" s="76">
        <f>$J$1690-EFEITO!$K$1690*EFEITO!$Y$1690</f>
        <v>0</v>
      </c>
      <c r="N1690" s="76">
        <f ca="1">$K$1690-EFEITO!$M$1690*EFEITO!$Z$1690</f>
        <v>-1287.1876454602898</v>
      </c>
      <c r="O1690" s="76">
        <f>$L$1690-EFEITO!$O$1690*EFEITO!$AA$1690</f>
        <v>-971.40881440988232</v>
      </c>
      <c r="P1690" s="18"/>
      <c r="Q1690" s="18"/>
      <c r="R1690" s="18"/>
      <c r="S1690" s="18"/>
      <c r="T1690" s="18"/>
      <c r="U1690" s="18"/>
      <c r="V1690" s="18"/>
      <c r="W1690" s="18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</row>
    <row r="1691" spans="1:36" ht="11.25" customHeight="1" x14ac:dyDescent="0.2">
      <c r="A1691" s="62" t="s">
        <v>58</v>
      </c>
      <c r="B1691" s="62" t="s">
        <v>44</v>
      </c>
      <c r="C1691" s="62" t="s">
        <v>23</v>
      </c>
      <c r="D1691" s="62" t="s">
        <v>45</v>
      </c>
      <c r="E1691" s="62" t="s">
        <v>25</v>
      </c>
      <c r="F1691" s="62" t="s">
        <v>25</v>
      </c>
      <c r="G1691" s="62" t="s">
        <v>25</v>
      </c>
      <c r="H1691" s="62" t="s">
        <v>25</v>
      </c>
      <c r="I1691" s="75">
        <v>44682</v>
      </c>
      <c r="J1691" s="76">
        <f>EFEITO!$J$1691*EFEITO!$Y$1303</f>
        <v>0</v>
      </c>
      <c r="K1691" s="76">
        <f ca="1">EFEITO!$L$1691*EFEITO!$Z$1303</f>
        <v>316075.4658863807</v>
      </c>
      <c r="L1691" s="76">
        <f>EFEITO!$N$1691*EFEITO!$AA$1303</f>
        <v>238534.36961084703</v>
      </c>
      <c r="M1691" s="76">
        <f>$J$1691-EFEITO!$K$1691*EFEITO!$Y$1691</f>
        <v>0</v>
      </c>
      <c r="N1691" s="76">
        <f ca="1">$K$1691-EFEITO!$M$1691*EFEITO!$Z$1691</f>
        <v>18964.527953182813</v>
      </c>
      <c r="O1691" s="76">
        <f>$L$1691-EFEITO!$O$1691*EFEITO!$AA$1691</f>
        <v>14312.062176650797</v>
      </c>
      <c r="P1691" s="18"/>
      <c r="Q1691" s="18"/>
      <c r="R1691" s="18"/>
      <c r="S1691" s="18"/>
      <c r="T1691" s="18"/>
      <c r="U1691" s="18"/>
      <c r="V1691" s="18"/>
      <c r="W1691" s="18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</row>
    <row r="1692" spans="1:36" ht="11.25" customHeight="1" x14ac:dyDescent="0.2">
      <c r="A1692" s="62" t="s">
        <v>58</v>
      </c>
      <c r="B1692" s="62" t="s">
        <v>44</v>
      </c>
      <c r="C1692" s="62" t="s">
        <v>23</v>
      </c>
      <c r="D1692" s="62" t="s">
        <v>45</v>
      </c>
      <c r="E1692" s="62" t="s">
        <v>25</v>
      </c>
      <c r="F1692" s="62" t="s">
        <v>25</v>
      </c>
      <c r="G1692" s="62" t="s">
        <v>25</v>
      </c>
      <c r="H1692" s="62" t="s">
        <v>25</v>
      </c>
      <c r="I1692" s="75">
        <v>44682</v>
      </c>
      <c r="J1692" s="76">
        <f>EFEITO!$J$1692*EFEITO!$Y$1303</f>
        <v>0</v>
      </c>
      <c r="K1692" s="76">
        <f ca="1">EFEITO!$L$1692*EFEITO!$Z$1303</f>
        <v>-5938.9643616891781</v>
      </c>
      <c r="L1692" s="76">
        <f>EFEITO!$N$1692*EFEITO!$AA$1303</f>
        <v>-4481.9901354382728</v>
      </c>
      <c r="M1692" s="76">
        <f>$J$1692-EFEITO!$K$1692*EFEITO!$Y$1692</f>
        <v>0</v>
      </c>
      <c r="N1692" s="76">
        <f ca="1">$K$1692-EFEITO!$M$1692*EFEITO!$Z$1692</f>
        <v>-356.33786170135045</v>
      </c>
      <c r="O1692" s="76">
        <f>$L$1692-EFEITO!$O$1692*EFEITO!$AA$1692</f>
        <v>-268.91940812629582</v>
      </c>
      <c r="P1692" s="18"/>
      <c r="Q1692" s="18"/>
      <c r="R1692" s="18"/>
      <c r="S1692" s="18"/>
      <c r="T1692" s="18"/>
      <c r="U1692" s="18"/>
      <c r="V1692" s="18"/>
      <c r="W1692" s="18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</row>
    <row r="1693" spans="1:36" ht="11.25" customHeight="1" x14ac:dyDescent="0.2">
      <c r="A1693" s="62" t="s">
        <v>21</v>
      </c>
      <c r="B1693" s="62" t="s">
        <v>37</v>
      </c>
      <c r="C1693" s="62" t="s">
        <v>33</v>
      </c>
      <c r="D1693" s="62" t="s">
        <v>43</v>
      </c>
      <c r="E1693" s="62" t="s">
        <v>25</v>
      </c>
      <c r="F1693" s="62" t="s">
        <v>25</v>
      </c>
      <c r="G1693" s="62" t="s">
        <v>25</v>
      </c>
      <c r="H1693" s="62" t="s">
        <v>35</v>
      </c>
      <c r="I1693" s="75">
        <v>44348</v>
      </c>
      <c r="J1693" s="76">
        <f>EFEITO!$J$1693*EFEITO!$Y$1693</f>
        <v>0</v>
      </c>
      <c r="K1693" s="76">
        <f ca="1">EFEITO!$L$1693*EFEITO!$Z$1693</f>
        <v>7232.2313841172754</v>
      </c>
      <c r="L1693" s="76">
        <f>EFEITO!$N$1693*EFEITO!$AA$1693</f>
        <v>6401.4625540548323</v>
      </c>
      <c r="M1693" s="76">
        <f>$J$1693-EFEITO!$K$1693*EFEITO!$Y$1693</f>
        <v>0</v>
      </c>
      <c r="N1693" s="76">
        <f ca="1">$K$1693-EFEITO!$M$1693*EFEITO!$Z$1693</f>
        <v>0</v>
      </c>
      <c r="O1693" s="76">
        <f>$L$1693-EFEITO!$O$1693*EFEITO!$AA$1693</f>
        <v>0</v>
      </c>
      <c r="P1693" s="18"/>
      <c r="Q1693" s="18"/>
      <c r="R1693" s="18"/>
      <c r="S1693" s="18"/>
      <c r="T1693" s="18"/>
      <c r="U1693" s="18"/>
      <c r="V1693" s="18"/>
      <c r="W1693" s="18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</row>
    <row r="1694" spans="1:36" ht="11.25" customHeight="1" x14ac:dyDescent="0.2">
      <c r="A1694" s="62" t="s">
        <v>28</v>
      </c>
      <c r="B1694" s="62" t="s">
        <v>37</v>
      </c>
      <c r="C1694" s="62" t="s">
        <v>33</v>
      </c>
      <c r="D1694" s="62" t="s">
        <v>43</v>
      </c>
      <c r="E1694" s="62" t="s">
        <v>25</v>
      </c>
      <c r="F1694" s="62" t="s">
        <v>25</v>
      </c>
      <c r="G1694" s="62" t="s">
        <v>25</v>
      </c>
      <c r="H1694" s="62" t="s">
        <v>35</v>
      </c>
      <c r="I1694" s="75">
        <v>44348</v>
      </c>
      <c r="J1694" s="76">
        <f>EFEITO!$J$1694*EFEITO!$Y$1694</f>
        <v>0</v>
      </c>
      <c r="K1694" s="76">
        <f ca="1">EFEITO!$L$1694*EFEITO!$Z$1694</f>
        <v>74.314654335989999</v>
      </c>
      <c r="L1694" s="76">
        <f>EFEITO!$N$1694*EFEITO!$AA$1694</f>
        <v>65.778105218550408</v>
      </c>
      <c r="M1694" s="76">
        <f>$J$1694-EFEITO!$K$1694*EFEITO!$Y$1694</f>
        <v>0</v>
      </c>
      <c r="N1694" s="76">
        <f ca="1">$K$1694-EFEITO!$M$1694*EFEITO!$Z$1694</f>
        <v>0</v>
      </c>
      <c r="O1694" s="76">
        <f>$L$1694-EFEITO!$O$1694*EFEITO!$AA$1694</f>
        <v>0</v>
      </c>
      <c r="P1694" s="18"/>
      <c r="Q1694" s="18"/>
      <c r="R1694" s="18"/>
      <c r="S1694" s="18"/>
      <c r="T1694" s="18"/>
      <c r="U1694" s="18"/>
      <c r="V1694" s="18"/>
      <c r="W1694" s="18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</row>
    <row r="1695" spans="1:36" ht="11.25" customHeight="1" x14ac:dyDescent="0.2">
      <c r="A1695" s="62" t="s">
        <v>21</v>
      </c>
      <c r="B1695" s="62" t="s">
        <v>37</v>
      </c>
      <c r="C1695" s="62" t="s">
        <v>33</v>
      </c>
      <c r="D1695" s="62" t="s">
        <v>43</v>
      </c>
      <c r="E1695" s="62" t="s">
        <v>25</v>
      </c>
      <c r="F1695" s="62" t="s">
        <v>25</v>
      </c>
      <c r="G1695" s="62" t="s">
        <v>25</v>
      </c>
      <c r="H1695" s="62" t="s">
        <v>35</v>
      </c>
      <c r="I1695" s="75">
        <v>44378</v>
      </c>
      <c r="J1695" s="76">
        <f>EFEITO!$J$1695*EFEITO!$Y$1695</f>
        <v>0</v>
      </c>
      <c r="K1695" s="76">
        <f ca="1">EFEITO!$L$1695*EFEITO!$Z$1695</f>
        <v>6647.9766493138495</v>
      </c>
      <c r="L1695" s="76">
        <f>EFEITO!$N$1695*EFEITO!$AA$1695</f>
        <v>5884.3213554080385</v>
      </c>
      <c r="M1695" s="76">
        <f>$J$1695-EFEITO!$K$1695*EFEITO!$Y$1695</f>
        <v>0</v>
      </c>
      <c r="N1695" s="76">
        <f ca="1">$K$1695-EFEITO!$M$1695*EFEITO!$Z$1695</f>
        <v>0</v>
      </c>
      <c r="O1695" s="76">
        <f>$L$1695-EFEITO!$O$1695*EFEITO!$AA$1695</f>
        <v>0</v>
      </c>
      <c r="P1695" s="18"/>
      <c r="Q1695" s="18"/>
      <c r="R1695" s="18"/>
      <c r="S1695" s="18"/>
      <c r="T1695" s="18"/>
      <c r="U1695" s="18"/>
      <c r="V1695" s="18"/>
      <c r="W1695" s="18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</row>
    <row r="1696" spans="1:36" ht="11.25" customHeight="1" x14ac:dyDescent="0.2">
      <c r="A1696" s="62" t="s">
        <v>28</v>
      </c>
      <c r="B1696" s="62" t="s">
        <v>37</v>
      </c>
      <c r="C1696" s="62" t="s">
        <v>33</v>
      </c>
      <c r="D1696" s="62" t="s">
        <v>43</v>
      </c>
      <c r="E1696" s="62" t="s">
        <v>25</v>
      </c>
      <c r="F1696" s="62" t="s">
        <v>25</v>
      </c>
      <c r="G1696" s="62" t="s">
        <v>25</v>
      </c>
      <c r="H1696" s="62" t="s">
        <v>35</v>
      </c>
      <c r="I1696" s="75">
        <v>44378</v>
      </c>
      <c r="J1696" s="76">
        <f>EFEITO!$J$1696*EFEITO!$Y$1696</f>
        <v>0</v>
      </c>
      <c r="K1696" s="76">
        <f ca="1">EFEITO!$L$1696*EFEITO!$Z$1696</f>
        <v>270.36379006045888</v>
      </c>
      <c r="L1696" s="76">
        <f>EFEITO!$N$1696*EFEITO!$AA$1696</f>
        <v>239.30701136653576</v>
      </c>
      <c r="M1696" s="76">
        <f>$J$1696-EFEITO!$K$1696*EFEITO!$Y$1696</f>
        <v>0</v>
      </c>
      <c r="N1696" s="76">
        <f ca="1">$K$1696-EFEITO!$M$1696*EFEITO!$Z$1696</f>
        <v>0</v>
      </c>
      <c r="O1696" s="76">
        <f>$L$1696-EFEITO!$O$1696*EFEITO!$AA$1696</f>
        <v>0</v>
      </c>
      <c r="P1696" s="18"/>
      <c r="Q1696" s="18"/>
      <c r="R1696" s="18"/>
      <c r="S1696" s="18"/>
      <c r="T1696" s="18"/>
      <c r="U1696" s="18"/>
      <c r="V1696" s="18"/>
      <c r="W1696" s="18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</row>
    <row r="1697" spans="1:36" ht="11.25" customHeight="1" x14ac:dyDescent="0.2">
      <c r="A1697" s="62" t="s">
        <v>21</v>
      </c>
      <c r="B1697" s="62" t="s">
        <v>37</v>
      </c>
      <c r="C1697" s="62" t="s">
        <v>33</v>
      </c>
      <c r="D1697" s="62" t="s">
        <v>43</v>
      </c>
      <c r="E1697" s="62" t="s">
        <v>25</v>
      </c>
      <c r="F1697" s="62" t="s">
        <v>25</v>
      </c>
      <c r="G1697" s="62" t="s">
        <v>25</v>
      </c>
      <c r="H1697" s="62" t="s">
        <v>35</v>
      </c>
      <c r="I1697" s="75">
        <v>44409</v>
      </c>
      <c r="J1697" s="76">
        <f>EFEITO!$J$1697*EFEITO!$Y$1697</f>
        <v>0</v>
      </c>
      <c r="K1697" s="76">
        <f ca="1">EFEITO!$L$1697*EFEITO!$Z$1697</f>
        <v>7014.5956107047323</v>
      </c>
      <c r="L1697" s="76">
        <f>EFEITO!$N$1697*EFEITO!$AA$1697</f>
        <v>6208.8266744862194</v>
      </c>
      <c r="M1697" s="76">
        <f>$J$1697-EFEITO!$K$1697*EFEITO!$Y$1697</f>
        <v>0</v>
      </c>
      <c r="N1697" s="76">
        <f ca="1">$K$1697-EFEITO!$M$1697*EFEITO!$Z$1697</f>
        <v>0</v>
      </c>
      <c r="O1697" s="76">
        <f>$L$1697-EFEITO!$O$1697*EFEITO!$AA$1697</f>
        <v>0</v>
      </c>
      <c r="P1697" s="18"/>
      <c r="Q1697" s="18"/>
      <c r="R1697" s="18"/>
      <c r="S1697" s="18"/>
      <c r="T1697" s="18"/>
      <c r="U1697" s="18"/>
      <c r="V1697" s="18"/>
      <c r="W1697" s="18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</row>
    <row r="1698" spans="1:36" ht="11.25" customHeight="1" x14ac:dyDescent="0.2">
      <c r="A1698" s="62" t="s">
        <v>28</v>
      </c>
      <c r="B1698" s="62" t="s">
        <v>37</v>
      </c>
      <c r="C1698" s="62" t="s">
        <v>33</v>
      </c>
      <c r="D1698" s="62" t="s">
        <v>43</v>
      </c>
      <c r="E1698" s="62" t="s">
        <v>25</v>
      </c>
      <c r="F1698" s="62" t="s">
        <v>25</v>
      </c>
      <c r="G1698" s="62" t="s">
        <v>25</v>
      </c>
      <c r="H1698" s="62" t="s">
        <v>35</v>
      </c>
      <c r="I1698" s="75">
        <v>44409</v>
      </c>
      <c r="J1698" s="76">
        <f>EFEITO!$J$1698*EFEITO!$Y$1698</f>
        <v>0</v>
      </c>
      <c r="K1698" s="76">
        <f ca="1">EFEITO!$L$1698*EFEITO!$Z$1698</f>
        <v>146.15215352744701</v>
      </c>
      <c r="L1698" s="76">
        <f>EFEITO!$N$1698*EFEITO!$AA$1698</f>
        <v>129.3636069298158</v>
      </c>
      <c r="M1698" s="76">
        <f>$J$1698-EFEITO!$K$1698*EFEITO!$Y$1698</f>
        <v>0</v>
      </c>
      <c r="N1698" s="76">
        <f ca="1">$K$1698-EFEITO!$M$1698*EFEITO!$Z$1698</f>
        <v>0</v>
      </c>
      <c r="O1698" s="76">
        <f>$L$1698-EFEITO!$O$1698*EFEITO!$AA$1698</f>
        <v>0</v>
      </c>
      <c r="P1698" s="18"/>
      <c r="Q1698" s="18"/>
      <c r="R1698" s="18"/>
      <c r="S1698" s="18"/>
      <c r="T1698" s="18"/>
      <c r="U1698" s="18"/>
      <c r="V1698" s="18"/>
      <c r="W1698" s="18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</row>
    <row r="1699" spans="1:36" ht="11.25" customHeight="1" x14ac:dyDescent="0.2">
      <c r="A1699" s="62" t="s">
        <v>21</v>
      </c>
      <c r="B1699" s="62" t="s">
        <v>37</v>
      </c>
      <c r="C1699" s="62" t="s">
        <v>33</v>
      </c>
      <c r="D1699" s="62" t="s">
        <v>43</v>
      </c>
      <c r="E1699" s="62" t="s">
        <v>25</v>
      </c>
      <c r="F1699" s="62" t="s">
        <v>25</v>
      </c>
      <c r="G1699" s="62" t="s">
        <v>25</v>
      </c>
      <c r="H1699" s="62" t="s">
        <v>35</v>
      </c>
      <c r="I1699" s="75">
        <v>44440</v>
      </c>
      <c r="J1699" s="76">
        <f>EFEITO!$J$1699*EFEITO!$Y$1699</f>
        <v>0</v>
      </c>
      <c r="K1699" s="76">
        <f ca="1">EFEITO!$L$1699*EFEITO!$Z$1699</f>
        <v>8238.3102521040346</v>
      </c>
      <c r="L1699" s="76">
        <f>EFEITO!$N$1699*EFEITO!$AA$1699</f>
        <v>7291.9728070850169</v>
      </c>
      <c r="M1699" s="76">
        <f>$J$1699-EFEITO!$K$1699*EFEITO!$Y$1699</f>
        <v>0</v>
      </c>
      <c r="N1699" s="76">
        <f ca="1">$K$1699-EFEITO!$M$1699*EFEITO!$Z$1699</f>
        <v>0</v>
      </c>
      <c r="O1699" s="76">
        <f>$L$1699-EFEITO!$O$1699*EFEITO!$AA$1699</f>
        <v>0</v>
      </c>
      <c r="P1699" s="18"/>
      <c r="Q1699" s="18"/>
      <c r="R1699" s="18"/>
      <c r="S1699" s="18"/>
      <c r="T1699" s="18"/>
      <c r="U1699" s="18"/>
      <c r="V1699" s="18"/>
      <c r="W1699" s="18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</row>
    <row r="1700" spans="1:36" ht="11.25" customHeight="1" x14ac:dyDescent="0.2">
      <c r="A1700" s="62" t="s">
        <v>28</v>
      </c>
      <c r="B1700" s="62" t="s">
        <v>37</v>
      </c>
      <c r="C1700" s="62" t="s">
        <v>33</v>
      </c>
      <c r="D1700" s="62" t="s">
        <v>43</v>
      </c>
      <c r="E1700" s="62" t="s">
        <v>25</v>
      </c>
      <c r="F1700" s="62" t="s">
        <v>25</v>
      </c>
      <c r="G1700" s="62" t="s">
        <v>25</v>
      </c>
      <c r="H1700" s="62" t="s">
        <v>35</v>
      </c>
      <c r="I1700" s="75">
        <v>44440</v>
      </c>
      <c r="J1700" s="76">
        <f>EFEITO!$J$1700*EFEITO!$Y$1700</f>
        <v>0</v>
      </c>
      <c r="K1700" s="76">
        <f ca="1">EFEITO!$L$1700*EFEITO!$Z$1700</f>
        <v>117.84180901849845</v>
      </c>
      <c r="L1700" s="76">
        <f>EFEITO!$N$1700*EFEITO!$AA$1700</f>
        <v>104.3052811322728</v>
      </c>
      <c r="M1700" s="76">
        <f>$J$1700-EFEITO!$K$1700*EFEITO!$Y$1700</f>
        <v>0</v>
      </c>
      <c r="N1700" s="76">
        <f ca="1">$K$1700-EFEITO!$M$1700*EFEITO!$Z$1700</f>
        <v>0</v>
      </c>
      <c r="O1700" s="76">
        <f>$L$1700-EFEITO!$O$1700*EFEITO!$AA$1700</f>
        <v>0</v>
      </c>
      <c r="P1700" s="18"/>
      <c r="Q1700" s="18"/>
      <c r="R1700" s="18"/>
      <c r="S1700" s="18"/>
      <c r="T1700" s="18"/>
      <c r="U1700" s="18"/>
      <c r="V1700" s="18"/>
      <c r="W1700" s="18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</row>
    <row r="1701" spans="1:36" ht="11.25" customHeight="1" x14ac:dyDescent="0.2">
      <c r="A1701" s="62" t="s">
        <v>21</v>
      </c>
      <c r="B1701" s="62" t="s">
        <v>37</v>
      </c>
      <c r="C1701" s="62" t="s">
        <v>33</v>
      </c>
      <c r="D1701" s="62" t="s">
        <v>43</v>
      </c>
      <c r="E1701" s="62" t="s">
        <v>25</v>
      </c>
      <c r="F1701" s="62" t="s">
        <v>25</v>
      </c>
      <c r="G1701" s="62" t="s">
        <v>25</v>
      </c>
      <c r="H1701" s="62" t="s">
        <v>35</v>
      </c>
      <c r="I1701" s="75">
        <v>44470</v>
      </c>
      <c r="J1701" s="76">
        <f>EFEITO!$J$1701*EFEITO!$Y$1701</f>
        <v>0</v>
      </c>
      <c r="K1701" s="76">
        <f ca="1">EFEITO!$L$1701*EFEITO!$Z$1701</f>
        <v>9274.4688611315523</v>
      </c>
      <c r="L1701" s="76">
        <f>EFEITO!$N$1701*EFEITO!$AA$1701</f>
        <v>8209.1075312750909</v>
      </c>
      <c r="M1701" s="76">
        <f>$J$1701-EFEITO!$K$1701*EFEITO!$Y$1701</f>
        <v>0</v>
      </c>
      <c r="N1701" s="76">
        <f ca="1">$K$1701-EFEITO!$M$1701*EFEITO!$Z$1701</f>
        <v>0</v>
      </c>
      <c r="O1701" s="76">
        <f>$L$1701-EFEITO!$O$1701*EFEITO!$AA$1701</f>
        <v>0</v>
      </c>
      <c r="P1701" s="18"/>
      <c r="Q1701" s="18"/>
      <c r="R1701" s="18"/>
      <c r="S1701" s="18"/>
      <c r="T1701" s="18"/>
      <c r="U1701" s="18"/>
      <c r="V1701" s="18"/>
      <c r="W1701" s="18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</row>
    <row r="1702" spans="1:36" ht="11.25" customHeight="1" x14ac:dyDescent="0.2">
      <c r="A1702" s="62" t="s">
        <v>28</v>
      </c>
      <c r="B1702" s="62" t="s">
        <v>37</v>
      </c>
      <c r="C1702" s="62" t="s">
        <v>33</v>
      </c>
      <c r="D1702" s="62" t="s">
        <v>43</v>
      </c>
      <c r="E1702" s="62" t="s">
        <v>25</v>
      </c>
      <c r="F1702" s="62" t="s">
        <v>25</v>
      </c>
      <c r="G1702" s="62" t="s">
        <v>25</v>
      </c>
      <c r="H1702" s="62" t="s">
        <v>35</v>
      </c>
      <c r="I1702" s="75">
        <v>44470</v>
      </c>
      <c r="J1702" s="76">
        <f>EFEITO!$J$1702*EFEITO!$Y$1702</f>
        <v>0</v>
      </c>
      <c r="K1702" s="76">
        <f ca="1">EFEITO!$L$1702*EFEITO!$Z$1702</f>
        <v>85.992671445931293</v>
      </c>
      <c r="L1702" s="76">
        <f>EFEITO!$N$1702*EFEITO!$AA$1702</f>
        <v>76.114664610036897</v>
      </c>
      <c r="M1702" s="76">
        <f>$J$1702-EFEITO!$K$1702*EFEITO!$Y$1702</f>
        <v>0</v>
      </c>
      <c r="N1702" s="76">
        <f ca="1">$K$1702-EFEITO!$M$1702*EFEITO!$Z$1702</f>
        <v>0</v>
      </c>
      <c r="O1702" s="76">
        <f>$L$1702-EFEITO!$O$1702*EFEITO!$AA$1702</f>
        <v>0</v>
      </c>
      <c r="P1702" s="18"/>
      <c r="Q1702" s="18"/>
      <c r="R1702" s="18"/>
      <c r="S1702" s="18"/>
      <c r="T1702" s="18"/>
      <c r="U1702" s="18"/>
      <c r="V1702" s="18"/>
      <c r="W1702" s="18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</row>
    <row r="1703" spans="1:36" ht="11.25" customHeight="1" x14ac:dyDescent="0.2">
      <c r="A1703" s="62" t="s">
        <v>21</v>
      </c>
      <c r="B1703" s="62" t="s">
        <v>37</v>
      </c>
      <c r="C1703" s="62" t="s">
        <v>33</v>
      </c>
      <c r="D1703" s="62" t="s">
        <v>43</v>
      </c>
      <c r="E1703" s="62" t="s">
        <v>25</v>
      </c>
      <c r="F1703" s="62" t="s">
        <v>25</v>
      </c>
      <c r="G1703" s="62" t="s">
        <v>25</v>
      </c>
      <c r="H1703" s="62" t="s">
        <v>35</v>
      </c>
      <c r="I1703" s="75">
        <v>44501</v>
      </c>
      <c r="J1703" s="76">
        <f>EFEITO!$J$1703*EFEITO!$Y$1703</f>
        <v>0</v>
      </c>
      <c r="K1703" s="76">
        <f ca="1">EFEITO!$L$1703*EFEITO!$Z$1703</f>
        <v>8543.0003348815935</v>
      </c>
      <c r="L1703" s="76">
        <f>EFEITO!$N$1703*EFEITO!$AA$1703</f>
        <v>7561.6630384810724</v>
      </c>
      <c r="M1703" s="76">
        <f>$J$1703-EFEITO!$K$1703*EFEITO!$Y$1703</f>
        <v>0</v>
      </c>
      <c r="N1703" s="76">
        <f ca="1">$K$1703-EFEITO!$M$1703*EFEITO!$Z$1703</f>
        <v>0</v>
      </c>
      <c r="O1703" s="76">
        <f>$L$1703-EFEITO!$O$1703*EFEITO!$AA$1703</f>
        <v>0</v>
      </c>
      <c r="P1703" s="18"/>
      <c r="Q1703" s="18"/>
      <c r="R1703" s="18"/>
      <c r="S1703" s="18"/>
      <c r="T1703" s="18"/>
      <c r="U1703" s="18"/>
      <c r="V1703" s="18"/>
      <c r="W1703" s="18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</row>
    <row r="1704" spans="1:36" ht="11.25" customHeight="1" x14ac:dyDescent="0.2">
      <c r="A1704" s="62" t="s">
        <v>28</v>
      </c>
      <c r="B1704" s="62" t="s">
        <v>37</v>
      </c>
      <c r="C1704" s="62" t="s">
        <v>33</v>
      </c>
      <c r="D1704" s="62" t="s">
        <v>43</v>
      </c>
      <c r="E1704" s="62" t="s">
        <v>25</v>
      </c>
      <c r="F1704" s="62" t="s">
        <v>25</v>
      </c>
      <c r="G1704" s="62" t="s">
        <v>25</v>
      </c>
      <c r="H1704" s="62" t="s">
        <v>35</v>
      </c>
      <c r="I1704" s="75">
        <v>44501</v>
      </c>
      <c r="J1704" s="76">
        <f>EFEITO!$J$1704*EFEITO!$Y$1704</f>
        <v>0</v>
      </c>
      <c r="K1704" s="76">
        <f ca="1">EFEITO!$L$1704*EFEITO!$Z$1704</f>
        <v>457.21206381951947</v>
      </c>
      <c r="L1704" s="76">
        <f>EFEITO!$N$1704*EFEITO!$AA$1704</f>
        <v>404.69196163031967</v>
      </c>
      <c r="M1704" s="76">
        <f>$J$1704-EFEITO!$K$1704*EFEITO!$Y$1704</f>
        <v>0</v>
      </c>
      <c r="N1704" s="76">
        <f ca="1">$K$1704-EFEITO!$M$1704*EFEITO!$Z$1704</f>
        <v>0</v>
      </c>
      <c r="O1704" s="76">
        <f>$L$1704-EFEITO!$O$1704*EFEITO!$AA$1704</f>
        <v>0</v>
      </c>
      <c r="P1704" s="18"/>
      <c r="Q1704" s="18"/>
      <c r="R1704" s="18"/>
      <c r="S1704" s="18"/>
      <c r="T1704" s="18"/>
      <c r="U1704" s="18"/>
      <c r="V1704" s="18"/>
      <c r="W1704" s="18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</row>
    <row r="1705" spans="1:36" ht="11.25" customHeight="1" x14ac:dyDescent="0.2">
      <c r="A1705" s="62" t="s">
        <v>21</v>
      </c>
      <c r="B1705" s="62" t="s">
        <v>37</v>
      </c>
      <c r="C1705" s="62" t="s">
        <v>33</v>
      </c>
      <c r="D1705" s="62" t="s">
        <v>43</v>
      </c>
      <c r="E1705" s="62" t="s">
        <v>25</v>
      </c>
      <c r="F1705" s="62" t="s">
        <v>25</v>
      </c>
      <c r="G1705" s="62" t="s">
        <v>25</v>
      </c>
      <c r="H1705" s="62" t="s">
        <v>35</v>
      </c>
      <c r="I1705" s="75">
        <v>44531</v>
      </c>
      <c r="J1705" s="76">
        <f>EFEITO!$J$1705*EFEITO!$Y$1705</f>
        <v>0</v>
      </c>
      <c r="K1705" s="76">
        <f ca="1">EFEITO!$L$1705*EFEITO!$Z$1705</f>
        <v>11526.910646124774</v>
      </c>
      <c r="L1705" s="76">
        <f>EFEITO!$N$1705*EFEITO!$AA$1705</f>
        <v>10202.810577542106</v>
      </c>
      <c r="M1705" s="76">
        <f>$J$1705-EFEITO!$K$1705*EFEITO!$Y$1705</f>
        <v>0</v>
      </c>
      <c r="N1705" s="76">
        <f ca="1">$K$1705-EFEITO!$M$1705*EFEITO!$Z$1705</f>
        <v>0</v>
      </c>
      <c r="O1705" s="76">
        <f>$L$1705-EFEITO!$O$1705*EFEITO!$AA$1705</f>
        <v>0</v>
      </c>
      <c r="P1705" s="18"/>
      <c r="Q1705" s="18"/>
      <c r="R1705" s="18"/>
      <c r="S1705" s="18"/>
      <c r="T1705" s="18"/>
      <c r="U1705" s="18"/>
      <c r="V1705" s="18"/>
      <c r="W1705" s="18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</row>
    <row r="1706" spans="1:36" ht="11.25" customHeight="1" x14ac:dyDescent="0.2">
      <c r="A1706" s="62" t="s">
        <v>28</v>
      </c>
      <c r="B1706" s="62" t="s">
        <v>37</v>
      </c>
      <c r="C1706" s="62" t="s">
        <v>33</v>
      </c>
      <c r="D1706" s="62" t="s">
        <v>43</v>
      </c>
      <c r="E1706" s="62" t="s">
        <v>25</v>
      </c>
      <c r="F1706" s="62" t="s">
        <v>25</v>
      </c>
      <c r="G1706" s="62" t="s">
        <v>25</v>
      </c>
      <c r="H1706" s="62" t="s">
        <v>35</v>
      </c>
      <c r="I1706" s="75">
        <v>44531</v>
      </c>
      <c r="J1706" s="76">
        <f>EFEITO!$J$1706*EFEITO!$Y$1706</f>
        <v>0</v>
      </c>
      <c r="K1706" s="76">
        <f ca="1">EFEITO!$L$1706*EFEITO!$Z$1706</f>
        <v>324.15344462746117</v>
      </c>
      <c r="L1706" s="76">
        <f>EFEITO!$N$1706*EFEITO!$AA$1706</f>
        <v>286.91783038186747</v>
      </c>
      <c r="M1706" s="76">
        <f>$J$1706-EFEITO!$K$1706*EFEITO!$Y$1706</f>
        <v>0</v>
      </c>
      <c r="N1706" s="76">
        <f ca="1">$K$1706-EFEITO!$M$1706*EFEITO!$Z$1706</f>
        <v>0</v>
      </c>
      <c r="O1706" s="76">
        <f>$L$1706-EFEITO!$O$1706*EFEITO!$AA$1706</f>
        <v>0</v>
      </c>
      <c r="P1706" s="18"/>
      <c r="Q1706" s="18"/>
      <c r="R1706" s="18"/>
      <c r="S1706" s="18"/>
      <c r="T1706" s="18"/>
      <c r="U1706" s="18"/>
      <c r="V1706" s="18"/>
      <c r="W1706" s="18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</row>
    <row r="1707" spans="1:36" ht="11.25" customHeight="1" x14ac:dyDescent="0.2">
      <c r="A1707" s="62" t="s">
        <v>21</v>
      </c>
      <c r="B1707" s="62" t="s">
        <v>37</v>
      </c>
      <c r="C1707" s="62" t="s">
        <v>33</v>
      </c>
      <c r="D1707" s="62" t="s">
        <v>43</v>
      </c>
      <c r="E1707" s="62" t="s">
        <v>25</v>
      </c>
      <c r="F1707" s="62" t="s">
        <v>25</v>
      </c>
      <c r="G1707" s="62" t="s">
        <v>25</v>
      </c>
      <c r="H1707" s="62" t="s">
        <v>35</v>
      </c>
      <c r="I1707" s="75">
        <v>44562</v>
      </c>
      <c r="J1707" s="76">
        <f>EFEITO!$J$1707*EFEITO!$Y$1707</f>
        <v>0</v>
      </c>
      <c r="K1707" s="76">
        <f ca="1">EFEITO!$L$1707*EFEITO!$Z$1707</f>
        <v>10484.028330276382</v>
      </c>
      <c r="L1707" s="76">
        <f>EFEITO!$N$1707*EFEITO!$AA$1707</f>
        <v>9279.7245009751168</v>
      </c>
      <c r="M1707" s="76">
        <f>$J$1707-EFEITO!$K$1707*EFEITO!$Y$1707</f>
        <v>0</v>
      </c>
      <c r="N1707" s="76">
        <f ca="1">$K$1707-EFEITO!$M$1707*EFEITO!$Z$1707</f>
        <v>0</v>
      </c>
      <c r="O1707" s="76">
        <f>$L$1707-EFEITO!$O$1707*EFEITO!$AA$1707</f>
        <v>0</v>
      </c>
      <c r="P1707" s="18"/>
      <c r="Q1707" s="18"/>
      <c r="R1707" s="18"/>
      <c r="S1707" s="18"/>
      <c r="T1707" s="18"/>
      <c r="U1707" s="18"/>
      <c r="V1707" s="18"/>
      <c r="W1707" s="18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</row>
    <row r="1708" spans="1:36" ht="11.25" customHeight="1" x14ac:dyDescent="0.2">
      <c r="A1708" s="62" t="s">
        <v>27</v>
      </c>
      <c r="B1708" s="62" t="s">
        <v>37</v>
      </c>
      <c r="C1708" s="62" t="s">
        <v>33</v>
      </c>
      <c r="D1708" s="62" t="s">
        <v>43</v>
      </c>
      <c r="E1708" s="62" t="s">
        <v>25</v>
      </c>
      <c r="F1708" s="62" t="s">
        <v>25</v>
      </c>
      <c r="G1708" s="62" t="s">
        <v>25</v>
      </c>
      <c r="H1708" s="62" t="s">
        <v>35</v>
      </c>
      <c r="I1708" s="75">
        <v>44562</v>
      </c>
      <c r="J1708" s="76">
        <f>EFEITO!$J$1708*EFEITO!$Y$1708</f>
        <v>0</v>
      </c>
      <c r="K1708" s="76">
        <f ca="1">EFEITO!$L$1708*EFEITO!$Z$1708</f>
        <v>-1430.7340356209886</v>
      </c>
      <c r="L1708" s="76">
        <f>EFEITO!$N$1708*EFEITO!$AA$1708</f>
        <v>-1266.3851399933301</v>
      </c>
      <c r="M1708" s="76">
        <f>$J$1708-EFEITO!$K$1708*EFEITO!$Y$1708</f>
        <v>0</v>
      </c>
      <c r="N1708" s="76">
        <f ca="1">$K$1708-EFEITO!$M$1708*EFEITO!$Z$1708</f>
        <v>0</v>
      </c>
      <c r="O1708" s="76">
        <f>$L$1708-EFEITO!$O$1708*EFEITO!$AA$1708</f>
        <v>0</v>
      </c>
      <c r="P1708" s="18"/>
      <c r="Q1708" s="18"/>
      <c r="R1708" s="18"/>
      <c r="S1708" s="18"/>
      <c r="T1708" s="18"/>
      <c r="U1708" s="18"/>
      <c r="V1708" s="18"/>
      <c r="W1708" s="18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</row>
    <row r="1709" spans="1:36" ht="11.25" customHeight="1" x14ac:dyDescent="0.2">
      <c r="A1709" s="62" t="s">
        <v>28</v>
      </c>
      <c r="B1709" s="62" t="s">
        <v>37</v>
      </c>
      <c r="C1709" s="62" t="s">
        <v>33</v>
      </c>
      <c r="D1709" s="62" t="s">
        <v>43</v>
      </c>
      <c r="E1709" s="62" t="s">
        <v>25</v>
      </c>
      <c r="F1709" s="62" t="s">
        <v>25</v>
      </c>
      <c r="G1709" s="62" t="s">
        <v>25</v>
      </c>
      <c r="H1709" s="62" t="s">
        <v>35</v>
      </c>
      <c r="I1709" s="75">
        <v>44562</v>
      </c>
      <c r="J1709" s="76">
        <f>EFEITO!$J$1709*EFEITO!$Y$1709</f>
        <v>0</v>
      </c>
      <c r="K1709" s="76">
        <f ca="1">EFEITO!$L$1709*EFEITO!$Z$1709</f>
        <v>561.25257988990552</v>
      </c>
      <c r="L1709" s="76">
        <f>EFEITO!$N$1709*EFEITO!$AA$1709</f>
        <v>496.7813089362902</v>
      </c>
      <c r="M1709" s="76">
        <f>$J$1709-EFEITO!$K$1709*EFEITO!$Y$1709</f>
        <v>0</v>
      </c>
      <c r="N1709" s="76">
        <f ca="1">$K$1709-EFEITO!$M$1709*EFEITO!$Z$1709</f>
        <v>0</v>
      </c>
      <c r="O1709" s="76">
        <f>$L$1709-EFEITO!$O$1709*EFEITO!$AA$1709</f>
        <v>0</v>
      </c>
      <c r="P1709" s="18"/>
      <c r="Q1709" s="18"/>
      <c r="R1709" s="18"/>
      <c r="S1709" s="18"/>
      <c r="T1709" s="18"/>
      <c r="U1709" s="18"/>
      <c r="V1709" s="18"/>
      <c r="W1709" s="18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</row>
    <row r="1710" spans="1:36" ht="11.25" customHeight="1" x14ac:dyDescent="0.2">
      <c r="A1710" s="62" t="s">
        <v>21</v>
      </c>
      <c r="B1710" s="62" t="s">
        <v>37</v>
      </c>
      <c r="C1710" s="62" t="s">
        <v>33</v>
      </c>
      <c r="D1710" s="62" t="s">
        <v>43</v>
      </c>
      <c r="E1710" s="62" t="s">
        <v>25</v>
      </c>
      <c r="F1710" s="62" t="s">
        <v>25</v>
      </c>
      <c r="G1710" s="62" t="s">
        <v>25</v>
      </c>
      <c r="H1710" s="62" t="s">
        <v>35</v>
      </c>
      <c r="I1710" s="75">
        <v>44593</v>
      </c>
      <c r="J1710" s="76">
        <f>EFEITO!$J$1710*EFEITO!$Y$1710</f>
        <v>0</v>
      </c>
      <c r="K1710" s="76">
        <f ca="1">EFEITO!$L$1710*EFEITO!$Z$1710</f>
        <v>10629.826604497466</v>
      </c>
      <c r="L1710" s="76">
        <f>EFEITO!$N$1710*EFEITO!$AA$1710</f>
        <v>9408.7748788324625</v>
      </c>
      <c r="M1710" s="76">
        <f>$J$1710-EFEITO!$K$1710*EFEITO!$Y$1710</f>
        <v>0</v>
      </c>
      <c r="N1710" s="76">
        <f ca="1">$K$1710-EFEITO!$M$1710*EFEITO!$Z$1710</f>
        <v>0</v>
      </c>
      <c r="O1710" s="76">
        <f>$L$1710-EFEITO!$O$1710*EFEITO!$AA$1710</f>
        <v>0</v>
      </c>
      <c r="P1710" s="18"/>
      <c r="Q1710" s="18"/>
      <c r="R1710" s="18"/>
      <c r="S1710" s="18"/>
      <c r="T1710" s="18"/>
      <c r="U1710" s="18"/>
      <c r="V1710" s="18"/>
      <c r="W1710" s="18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</row>
    <row r="1711" spans="1:36" ht="11.25" customHeight="1" x14ac:dyDescent="0.2">
      <c r="A1711" s="62" t="s">
        <v>28</v>
      </c>
      <c r="B1711" s="62" t="s">
        <v>37</v>
      </c>
      <c r="C1711" s="62" t="s">
        <v>33</v>
      </c>
      <c r="D1711" s="62" t="s">
        <v>43</v>
      </c>
      <c r="E1711" s="62" t="s">
        <v>25</v>
      </c>
      <c r="F1711" s="62" t="s">
        <v>25</v>
      </c>
      <c r="G1711" s="62" t="s">
        <v>25</v>
      </c>
      <c r="H1711" s="62" t="s">
        <v>35</v>
      </c>
      <c r="I1711" s="75">
        <v>44593</v>
      </c>
      <c r="J1711" s="76">
        <f>EFEITO!$J$1711*EFEITO!$Y$1711</f>
        <v>0</v>
      </c>
      <c r="K1711" s="76">
        <f ca="1">EFEITO!$L$1711*EFEITO!$Z$1711</f>
        <v>196.40301503083074</v>
      </c>
      <c r="L1711" s="76">
        <f>EFEITO!$N$1711*EFEITO!$AA$1711</f>
        <v>173.84213522045465</v>
      </c>
      <c r="M1711" s="76">
        <f>$J$1711-EFEITO!$K$1711*EFEITO!$Y$1711</f>
        <v>0</v>
      </c>
      <c r="N1711" s="76">
        <f ca="1">$K$1711-EFEITO!$M$1711*EFEITO!$Z$1711</f>
        <v>0</v>
      </c>
      <c r="O1711" s="76">
        <f>$L$1711-EFEITO!$O$1711*EFEITO!$AA$1711</f>
        <v>0</v>
      </c>
      <c r="P1711" s="18"/>
      <c r="Q1711" s="18"/>
      <c r="R1711" s="18"/>
      <c r="S1711" s="18"/>
      <c r="T1711" s="18"/>
      <c r="U1711" s="18"/>
      <c r="V1711" s="18"/>
      <c r="W1711" s="18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</row>
    <row r="1712" spans="1:36" ht="11.25" customHeight="1" x14ac:dyDescent="0.2">
      <c r="A1712" s="62" t="s">
        <v>21</v>
      </c>
      <c r="B1712" s="62" t="s">
        <v>37</v>
      </c>
      <c r="C1712" s="62" t="s">
        <v>33</v>
      </c>
      <c r="D1712" s="62" t="s">
        <v>43</v>
      </c>
      <c r="E1712" s="62" t="s">
        <v>25</v>
      </c>
      <c r="F1712" s="62" t="s">
        <v>25</v>
      </c>
      <c r="G1712" s="62" t="s">
        <v>25</v>
      </c>
      <c r="H1712" s="62" t="s">
        <v>35</v>
      </c>
      <c r="I1712" s="75">
        <v>44621</v>
      </c>
      <c r="J1712" s="76">
        <f>EFEITO!$J$1712*EFEITO!$Y$1712</f>
        <v>0</v>
      </c>
      <c r="K1712" s="76">
        <f ca="1">EFEITO!$L$1712*EFEITO!$Z$1712</f>
        <v>10285.50203940738</v>
      </c>
      <c r="L1712" s="76">
        <f>EFEITO!$N$1712*EFEITO!$AA$1712</f>
        <v>9104.002991319845</v>
      </c>
      <c r="M1712" s="76">
        <f>$J$1712-EFEITO!$K$1712*EFEITO!$Y$1712</f>
        <v>0</v>
      </c>
      <c r="N1712" s="76">
        <f ca="1">$K$1712-EFEITO!$M$1712*EFEITO!$Z$1712</f>
        <v>0</v>
      </c>
      <c r="O1712" s="76">
        <f>$L$1712-EFEITO!$O$1712*EFEITO!$AA$1712</f>
        <v>0</v>
      </c>
      <c r="P1712" s="18"/>
      <c r="Q1712" s="18"/>
      <c r="R1712" s="18"/>
      <c r="S1712" s="18"/>
      <c r="T1712" s="18"/>
      <c r="U1712" s="18"/>
      <c r="V1712" s="18"/>
      <c r="W1712" s="18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</row>
    <row r="1713" spans="1:36" ht="11.25" customHeight="1" x14ac:dyDescent="0.2">
      <c r="A1713" s="62" t="s">
        <v>28</v>
      </c>
      <c r="B1713" s="62" t="s">
        <v>37</v>
      </c>
      <c r="C1713" s="62" t="s">
        <v>33</v>
      </c>
      <c r="D1713" s="62" t="s">
        <v>43</v>
      </c>
      <c r="E1713" s="62" t="s">
        <v>25</v>
      </c>
      <c r="F1713" s="62" t="s">
        <v>25</v>
      </c>
      <c r="G1713" s="62" t="s">
        <v>25</v>
      </c>
      <c r="H1713" s="62" t="s">
        <v>35</v>
      </c>
      <c r="I1713" s="75">
        <v>44621</v>
      </c>
      <c r="J1713" s="76">
        <f>EFEITO!$J$1713*EFEITO!$Y$1713</f>
        <v>0</v>
      </c>
      <c r="K1713" s="76">
        <f ca="1">EFEITO!$L$1713*EFEITO!$Z$1713</f>
        <v>227.19051468431232</v>
      </c>
      <c r="L1713" s="76">
        <f>EFEITO!$N$1713*EFEITO!$AA$1713</f>
        <v>201.09306452528267</v>
      </c>
      <c r="M1713" s="76">
        <f>$J$1713-EFEITO!$K$1713*EFEITO!$Y$1713</f>
        <v>0</v>
      </c>
      <c r="N1713" s="76">
        <f ca="1">$K$1713-EFEITO!$M$1713*EFEITO!$Z$1713</f>
        <v>0</v>
      </c>
      <c r="O1713" s="76">
        <f>$L$1713-EFEITO!$O$1713*EFEITO!$AA$1713</f>
        <v>0</v>
      </c>
      <c r="P1713" s="18"/>
      <c r="Q1713" s="18"/>
      <c r="R1713" s="18"/>
      <c r="S1713" s="18"/>
      <c r="T1713" s="18"/>
      <c r="U1713" s="18"/>
      <c r="V1713" s="18"/>
      <c r="W1713" s="18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</row>
    <row r="1714" spans="1:36" ht="11.25" customHeight="1" x14ac:dyDescent="0.2">
      <c r="A1714" s="62" t="s">
        <v>21</v>
      </c>
      <c r="B1714" s="62" t="s">
        <v>37</v>
      </c>
      <c r="C1714" s="62" t="s">
        <v>33</v>
      </c>
      <c r="D1714" s="62" t="s">
        <v>43</v>
      </c>
      <c r="E1714" s="62" t="s">
        <v>25</v>
      </c>
      <c r="F1714" s="62" t="s">
        <v>25</v>
      </c>
      <c r="G1714" s="62" t="s">
        <v>25</v>
      </c>
      <c r="H1714" s="62" t="s">
        <v>35</v>
      </c>
      <c r="I1714" s="75">
        <v>44652</v>
      </c>
      <c r="J1714" s="76">
        <f>EFEITO!$J$1714*EFEITO!$Y$1714</f>
        <v>0</v>
      </c>
      <c r="K1714" s="76">
        <f ca="1">EFEITO!$L$1714*EFEITO!$Z$1714</f>
        <v>10199.509367961447</v>
      </c>
      <c r="L1714" s="76">
        <f>EFEITO!$N$1714*EFEITO!$AA$1714</f>
        <v>9027.8883267098081</v>
      </c>
      <c r="M1714" s="76">
        <f>$J$1714-EFEITO!$K$1714*EFEITO!$Y$1714</f>
        <v>0</v>
      </c>
      <c r="N1714" s="76">
        <f ca="1">$K$1714-EFEITO!$M$1714*EFEITO!$Z$1714</f>
        <v>0</v>
      </c>
      <c r="O1714" s="76">
        <f>$L$1714-EFEITO!$O$1714*EFEITO!$AA$1714</f>
        <v>0</v>
      </c>
      <c r="P1714" s="18"/>
      <c r="Q1714" s="18"/>
      <c r="R1714" s="18"/>
      <c r="S1714" s="18"/>
      <c r="T1714" s="18"/>
      <c r="U1714" s="18"/>
      <c r="V1714" s="18"/>
      <c r="W1714" s="18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</row>
    <row r="1715" spans="1:36" ht="11.25" customHeight="1" x14ac:dyDescent="0.2">
      <c r="A1715" s="62" t="s">
        <v>28</v>
      </c>
      <c r="B1715" s="62" t="s">
        <v>37</v>
      </c>
      <c r="C1715" s="62" t="s">
        <v>33</v>
      </c>
      <c r="D1715" s="62" t="s">
        <v>43</v>
      </c>
      <c r="E1715" s="62" t="s">
        <v>25</v>
      </c>
      <c r="F1715" s="62" t="s">
        <v>25</v>
      </c>
      <c r="G1715" s="62" t="s">
        <v>25</v>
      </c>
      <c r="H1715" s="62" t="s">
        <v>35</v>
      </c>
      <c r="I1715" s="75">
        <v>44652</v>
      </c>
      <c r="J1715" s="76">
        <f>EFEITO!$J$1715*EFEITO!$Y$1715</f>
        <v>0</v>
      </c>
      <c r="K1715" s="76">
        <f ca="1">EFEITO!$L$1715*EFEITO!$Z$1715</f>
        <v>62.282757919686858</v>
      </c>
      <c r="L1715" s="76">
        <f>EFEITO!$N$1715*EFEITO!$AA$1715</f>
        <v>55.128316754594621</v>
      </c>
      <c r="M1715" s="76">
        <f>$J$1715-EFEITO!$K$1715*EFEITO!$Y$1715</f>
        <v>0</v>
      </c>
      <c r="N1715" s="76">
        <f ca="1">$K$1715-EFEITO!$M$1715*EFEITO!$Z$1715</f>
        <v>0</v>
      </c>
      <c r="O1715" s="76">
        <f>$L$1715-EFEITO!$O$1715*EFEITO!$AA$1715</f>
        <v>0</v>
      </c>
      <c r="P1715" s="18"/>
      <c r="Q1715" s="18"/>
      <c r="R1715" s="18"/>
      <c r="S1715" s="18"/>
      <c r="T1715" s="18"/>
      <c r="U1715" s="18"/>
      <c r="V1715" s="18"/>
      <c r="W1715" s="18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</row>
    <row r="1716" spans="1:36" ht="11.25" customHeight="1" x14ac:dyDescent="0.2">
      <c r="A1716" s="62" t="s">
        <v>58</v>
      </c>
      <c r="B1716" s="62" t="s">
        <v>37</v>
      </c>
      <c r="C1716" s="62" t="s">
        <v>33</v>
      </c>
      <c r="D1716" s="62" t="s">
        <v>43</v>
      </c>
      <c r="E1716" s="62" t="s">
        <v>25</v>
      </c>
      <c r="F1716" s="62" t="s">
        <v>25</v>
      </c>
      <c r="G1716" s="62" t="s">
        <v>25</v>
      </c>
      <c r="H1716" s="62" t="s">
        <v>35</v>
      </c>
      <c r="I1716" s="75">
        <v>44682</v>
      </c>
      <c r="J1716" s="76">
        <f>EFEITO!$J$1716*EFEITO!$Y$1716</f>
        <v>0</v>
      </c>
      <c r="K1716" s="76">
        <f ca="1">EFEITO!$L$1716*EFEITO!$Z$1716</f>
        <v>10199.509367961447</v>
      </c>
      <c r="L1716" s="76">
        <f>EFEITO!$N$1716*EFEITO!$AA$1716</f>
        <v>9027.8883267098081</v>
      </c>
      <c r="M1716" s="76">
        <f>$J$1716-EFEITO!$K$1716*EFEITO!$Y$1716</f>
        <v>0</v>
      </c>
      <c r="N1716" s="76">
        <f ca="1">$K$1716-EFEITO!$M$1716*EFEITO!$Z$1716</f>
        <v>0</v>
      </c>
      <c r="O1716" s="76">
        <f>$L$1716-EFEITO!$O$1716*EFEITO!$AA$1716</f>
        <v>0</v>
      </c>
      <c r="P1716" s="18"/>
      <c r="Q1716" s="18"/>
      <c r="R1716" s="18"/>
      <c r="S1716" s="18"/>
      <c r="T1716" s="18"/>
      <c r="U1716" s="18"/>
      <c r="V1716" s="18"/>
      <c r="W1716" s="18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</row>
    <row r="1717" spans="1:36" ht="11.25" customHeight="1" x14ac:dyDescent="0.2">
      <c r="A1717" s="62" t="s">
        <v>58</v>
      </c>
      <c r="B1717" s="62" t="s">
        <v>37</v>
      </c>
      <c r="C1717" s="62" t="s">
        <v>33</v>
      </c>
      <c r="D1717" s="62" t="s">
        <v>43</v>
      </c>
      <c r="E1717" s="62" t="s">
        <v>25</v>
      </c>
      <c r="F1717" s="62" t="s">
        <v>25</v>
      </c>
      <c r="G1717" s="62" t="s">
        <v>25</v>
      </c>
      <c r="H1717" s="62" t="s">
        <v>35</v>
      </c>
      <c r="I1717" s="75">
        <v>44682</v>
      </c>
      <c r="J1717" s="76">
        <f>EFEITO!$J$1717*EFEITO!$Y$1717</f>
        <v>0</v>
      </c>
      <c r="K1717" s="76">
        <f ca="1">EFEITO!$L$1717*EFEITO!$Z$1717</f>
        <v>62.282757919686858</v>
      </c>
      <c r="L1717" s="76">
        <f>EFEITO!$N$1717*EFEITO!$AA$1717</f>
        <v>55.128316754594621</v>
      </c>
      <c r="M1717" s="76">
        <f>$J$1717-EFEITO!$K$1717*EFEITO!$Y$1717</f>
        <v>0</v>
      </c>
      <c r="N1717" s="76">
        <f ca="1">$K$1717-EFEITO!$M$1717*EFEITO!$Z$1717</f>
        <v>0</v>
      </c>
      <c r="O1717" s="76">
        <f>$L$1717-EFEITO!$O$1717*EFEITO!$AA$1717</f>
        <v>0</v>
      </c>
      <c r="P1717" s="18"/>
      <c r="Q1717" s="18"/>
      <c r="R1717" s="18"/>
      <c r="S1717" s="18"/>
      <c r="T1717" s="18"/>
      <c r="U1717" s="18"/>
      <c r="V1717" s="18"/>
      <c r="W1717" s="18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</row>
    <row r="1718" spans="1:36" ht="11.25" customHeight="1" x14ac:dyDescent="0.2">
      <c r="A1718" s="62" t="s">
        <v>21</v>
      </c>
      <c r="B1718" s="62" t="s">
        <v>37</v>
      </c>
      <c r="C1718" s="62" t="s">
        <v>33</v>
      </c>
      <c r="D1718" s="62" t="s">
        <v>43</v>
      </c>
      <c r="E1718" s="62" t="s">
        <v>25</v>
      </c>
      <c r="F1718" s="62" t="s">
        <v>25</v>
      </c>
      <c r="G1718" s="62" t="s">
        <v>25</v>
      </c>
      <c r="H1718" s="62" t="s">
        <v>36</v>
      </c>
      <c r="I1718" s="75">
        <v>44348</v>
      </c>
      <c r="J1718" s="76">
        <f>EFEITO!$J$1718*EFEITO!$Y$1718</f>
        <v>0</v>
      </c>
      <c r="K1718" s="76">
        <f ca="1">EFEITO!$L$1718*EFEITO!$Z$1718</f>
        <v>1189.9941391496916</v>
      </c>
      <c r="L1718" s="76">
        <f>EFEITO!$N$1718*EFEITO!$AA$1718</f>
        <v>527.79098711074971</v>
      </c>
      <c r="M1718" s="76">
        <f>$J$1718-EFEITO!$K$1718*EFEITO!$Y$1718</f>
        <v>0</v>
      </c>
      <c r="N1718" s="76">
        <f ca="1">$K$1718-EFEITO!$M$1718*EFEITO!$Z$1718</f>
        <v>0</v>
      </c>
      <c r="O1718" s="76">
        <f>$L$1718-EFEITO!$O$1718*EFEITO!$AA$1718</f>
        <v>0</v>
      </c>
      <c r="P1718" s="18"/>
      <c r="Q1718" s="18"/>
      <c r="R1718" s="18"/>
      <c r="S1718" s="18"/>
      <c r="T1718" s="18"/>
      <c r="U1718" s="18"/>
      <c r="V1718" s="18"/>
      <c r="W1718" s="18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</row>
    <row r="1719" spans="1:36" ht="11.25" customHeight="1" x14ac:dyDescent="0.2">
      <c r="A1719" s="62" t="s">
        <v>28</v>
      </c>
      <c r="B1719" s="62" t="s">
        <v>37</v>
      </c>
      <c r="C1719" s="62" t="s">
        <v>33</v>
      </c>
      <c r="D1719" s="62" t="s">
        <v>43</v>
      </c>
      <c r="E1719" s="62" t="s">
        <v>25</v>
      </c>
      <c r="F1719" s="62" t="s">
        <v>25</v>
      </c>
      <c r="G1719" s="62" t="s">
        <v>25</v>
      </c>
      <c r="H1719" s="62" t="s">
        <v>36</v>
      </c>
      <c r="I1719" s="75">
        <v>44348</v>
      </c>
      <c r="J1719" s="76">
        <f>EFEITO!$J$1719*EFEITO!$Y$1719</f>
        <v>0</v>
      </c>
      <c r="K1719" s="76">
        <f ca="1">EFEITO!$L$1719*EFEITO!$Z$1719</f>
        <v>106.64042433923052</v>
      </c>
      <c r="L1719" s="76">
        <f>EFEITO!$N$1719*EFEITO!$AA$1719</f>
        <v>47.29758994286243</v>
      </c>
      <c r="M1719" s="76">
        <f>$J$1719-EFEITO!$K$1719*EFEITO!$Y$1719</f>
        <v>0</v>
      </c>
      <c r="N1719" s="76">
        <f ca="1">$K$1719-EFEITO!$M$1719*EFEITO!$Z$1719</f>
        <v>0</v>
      </c>
      <c r="O1719" s="76">
        <f>$L$1719-EFEITO!$O$1719*EFEITO!$AA$1719</f>
        <v>0</v>
      </c>
      <c r="P1719" s="18"/>
      <c r="Q1719" s="18"/>
      <c r="R1719" s="18"/>
      <c r="S1719" s="18"/>
      <c r="T1719" s="18"/>
      <c r="U1719" s="18"/>
      <c r="V1719" s="18"/>
      <c r="W1719" s="18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</row>
    <row r="1720" spans="1:36" ht="11.25" customHeight="1" x14ac:dyDescent="0.2">
      <c r="A1720" s="62" t="s">
        <v>21</v>
      </c>
      <c r="B1720" s="62" t="s">
        <v>37</v>
      </c>
      <c r="C1720" s="62" t="s">
        <v>33</v>
      </c>
      <c r="D1720" s="62" t="s">
        <v>43</v>
      </c>
      <c r="E1720" s="62" t="s">
        <v>25</v>
      </c>
      <c r="F1720" s="62" t="s">
        <v>25</v>
      </c>
      <c r="G1720" s="62" t="s">
        <v>25</v>
      </c>
      <c r="H1720" s="62" t="s">
        <v>36</v>
      </c>
      <c r="I1720" s="75">
        <v>44378</v>
      </c>
      <c r="J1720" s="76">
        <f>EFEITO!$J$1720*EFEITO!$Y$1720</f>
        <v>0</v>
      </c>
      <c r="K1720" s="76">
        <f ca="1">EFEITO!$L$1720*EFEITO!$Z$1720</f>
        <v>1048.748543998393</v>
      </c>
      <c r="L1720" s="76">
        <f>EFEITO!$N$1720*EFEITO!$AA$1720</f>
        <v>465.14517261689218</v>
      </c>
      <c r="M1720" s="76">
        <f>$J$1720-EFEITO!$K$1720*EFEITO!$Y$1720</f>
        <v>0</v>
      </c>
      <c r="N1720" s="76">
        <f ca="1">$K$1720-EFEITO!$M$1720*EFEITO!$Z$1720</f>
        <v>0</v>
      </c>
      <c r="O1720" s="76">
        <f>$L$1720-EFEITO!$O$1720*EFEITO!$AA$1720</f>
        <v>0</v>
      </c>
      <c r="P1720" s="18"/>
      <c r="Q1720" s="18"/>
      <c r="R1720" s="18"/>
      <c r="S1720" s="18"/>
      <c r="T1720" s="18"/>
      <c r="U1720" s="18"/>
      <c r="V1720" s="18"/>
      <c r="W1720" s="18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</row>
    <row r="1721" spans="1:36" ht="11.25" customHeight="1" x14ac:dyDescent="0.2">
      <c r="A1721" s="62" t="s">
        <v>28</v>
      </c>
      <c r="B1721" s="62" t="s">
        <v>37</v>
      </c>
      <c r="C1721" s="62" t="s">
        <v>33</v>
      </c>
      <c r="D1721" s="62" t="s">
        <v>43</v>
      </c>
      <c r="E1721" s="62" t="s">
        <v>25</v>
      </c>
      <c r="F1721" s="62" t="s">
        <v>25</v>
      </c>
      <c r="G1721" s="62" t="s">
        <v>25</v>
      </c>
      <c r="H1721" s="62" t="s">
        <v>36</v>
      </c>
      <c r="I1721" s="75">
        <v>44378</v>
      </c>
      <c r="J1721" s="76">
        <f>EFEITO!$J$1721*EFEITO!$Y$1721</f>
        <v>0</v>
      </c>
      <c r="K1721" s="76">
        <f ca="1">EFEITO!$L$1721*EFEITO!$Z$1721</f>
        <v>108.0528802907435</v>
      </c>
      <c r="L1721" s="76">
        <f>EFEITO!$N$1721*EFEITO!$AA$1721</f>
        <v>47.924048087801012</v>
      </c>
      <c r="M1721" s="76">
        <f>$J$1721-EFEITO!$K$1721*EFEITO!$Y$1721</f>
        <v>0</v>
      </c>
      <c r="N1721" s="76">
        <f ca="1">$K$1721-EFEITO!$M$1721*EFEITO!$Z$1721</f>
        <v>0</v>
      </c>
      <c r="O1721" s="76">
        <f>$L$1721-EFEITO!$O$1721*EFEITO!$AA$1721</f>
        <v>0</v>
      </c>
      <c r="P1721" s="18"/>
      <c r="Q1721" s="18"/>
      <c r="R1721" s="18"/>
      <c r="S1721" s="18"/>
      <c r="T1721" s="18"/>
      <c r="U1721" s="18"/>
      <c r="V1721" s="18"/>
      <c r="W1721" s="18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</row>
    <row r="1722" spans="1:36" ht="11.25" customHeight="1" x14ac:dyDescent="0.2">
      <c r="A1722" s="62" t="s">
        <v>21</v>
      </c>
      <c r="B1722" s="62" t="s">
        <v>37</v>
      </c>
      <c r="C1722" s="62" t="s">
        <v>33</v>
      </c>
      <c r="D1722" s="62" t="s">
        <v>43</v>
      </c>
      <c r="E1722" s="62" t="s">
        <v>25</v>
      </c>
      <c r="F1722" s="62" t="s">
        <v>25</v>
      </c>
      <c r="G1722" s="62" t="s">
        <v>25</v>
      </c>
      <c r="H1722" s="62" t="s">
        <v>36</v>
      </c>
      <c r="I1722" s="75">
        <v>44409</v>
      </c>
      <c r="J1722" s="76">
        <f>EFEITO!$J$1722*EFEITO!$Y$1722</f>
        <v>0</v>
      </c>
      <c r="K1722" s="76">
        <f ca="1">EFEITO!$L$1722*EFEITO!$Z$1722</f>
        <v>1122.9024814528248</v>
      </c>
      <c r="L1722" s="76">
        <f>EFEITO!$N$1722*EFEITO!$AA$1722</f>
        <v>498.03422522616739</v>
      </c>
      <c r="M1722" s="76">
        <f>$J$1722-EFEITO!$K$1722*EFEITO!$Y$1722</f>
        <v>0</v>
      </c>
      <c r="N1722" s="76">
        <f ca="1">$K$1722-EFEITO!$M$1722*EFEITO!$Z$1722</f>
        <v>0</v>
      </c>
      <c r="O1722" s="76">
        <f>$L$1722-EFEITO!$O$1722*EFEITO!$AA$1722</f>
        <v>0</v>
      </c>
      <c r="P1722" s="18"/>
      <c r="Q1722" s="18"/>
      <c r="R1722" s="18"/>
      <c r="S1722" s="18"/>
      <c r="T1722" s="18"/>
      <c r="U1722" s="18"/>
      <c r="V1722" s="18"/>
      <c r="W1722" s="18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</row>
    <row r="1723" spans="1:36" ht="11.25" customHeight="1" x14ac:dyDescent="0.2">
      <c r="A1723" s="62" t="s">
        <v>28</v>
      </c>
      <c r="B1723" s="62" t="s">
        <v>37</v>
      </c>
      <c r="C1723" s="62" t="s">
        <v>33</v>
      </c>
      <c r="D1723" s="62" t="s">
        <v>43</v>
      </c>
      <c r="E1723" s="62" t="s">
        <v>25</v>
      </c>
      <c r="F1723" s="62" t="s">
        <v>25</v>
      </c>
      <c r="G1723" s="62" t="s">
        <v>25</v>
      </c>
      <c r="H1723" s="62" t="s">
        <v>36</v>
      </c>
      <c r="I1723" s="75">
        <v>44409</v>
      </c>
      <c r="J1723" s="76">
        <f>EFEITO!$J$1723*EFEITO!$Y$1723</f>
        <v>0</v>
      </c>
      <c r="K1723" s="76">
        <f ca="1">EFEITO!$L$1723*EFEITO!$Z$1723</f>
        <v>110.17156421801299</v>
      </c>
      <c r="L1723" s="76">
        <f>EFEITO!$N$1723*EFEITO!$AA$1723</f>
        <v>48.86373530520887</v>
      </c>
      <c r="M1723" s="76">
        <f>$J$1723-EFEITO!$K$1723*EFEITO!$Y$1723</f>
        <v>0</v>
      </c>
      <c r="N1723" s="76">
        <f ca="1">$K$1723-EFEITO!$M$1723*EFEITO!$Z$1723</f>
        <v>0</v>
      </c>
      <c r="O1723" s="76">
        <f>$L$1723-EFEITO!$O$1723*EFEITO!$AA$1723</f>
        <v>0</v>
      </c>
      <c r="P1723" s="18"/>
      <c r="Q1723" s="18"/>
      <c r="R1723" s="18"/>
      <c r="S1723" s="18"/>
      <c r="T1723" s="18"/>
      <c r="U1723" s="18"/>
      <c r="V1723" s="18"/>
      <c r="W1723" s="18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</row>
    <row r="1724" spans="1:36" ht="11.25" customHeight="1" x14ac:dyDescent="0.2">
      <c r="A1724" s="62" t="s">
        <v>21</v>
      </c>
      <c r="B1724" s="62" t="s">
        <v>37</v>
      </c>
      <c r="C1724" s="62" t="s">
        <v>33</v>
      </c>
      <c r="D1724" s="62" t="s">
        <v>43</v>
      </c>
      <c r="E1724" s="62" t="s">
        <v>25</v>
      </c>
      <c r="F1724" s="62" t="s">
        <v>25</v>
      </c>
      <c r="G1724" s="62" t="s">
        <v>25</v>
      </c>
      <c r="H1724" s="62" t="s">
        <v>36</v>
      </c>
      <c r="I1724" s="75">
        <v>44440</v>
      </c>
      <c r="J1724" s="76">
        <f>EFEITO!$J$1724*EFEITO!$Y$1724</f>
        <v>0</v>
      </c>
      <c r="K1724" s="76">
        <f ca="1">EFEITO!$L$1724*EFEITO!$Z$1724</f>
        <v>1283.2162319495487</v>
      </c>
      <c r="L1724" s="76">
        <f>EFEITO!$N$1724*EFEITO!$AA$1724</f>
        <v>569.13722467669561</v>
      </c>
      <c r="M1724" s="76">
        <f>$J$1724-EFEITO!$K$1724*EFEITO!$Y$1724</f>
        <v>0</v>
      </c>
      <c r="N1724" s="76">
        <f ca="1">$K$1724-EFEITO!$M$1724*EFEITO!$Z$1724</f>
        <v>0</v>
      </c>
      <c r="O1724" s="76">
        <f>$L$1724-EFEITO!$O$1724*EFEITO!$AA$1724</f>
        <v>0</v>
      </c>
      <c r="P1724" s="18"/>
      <c r="Q1724" s="18"/>
      <c r="R1724" s="18"/>
      <c r="S1724" s="18"/>
      <c r="T1724" s="18"/>
      <c r="U1724" s="18"/>
      <c r="V1724" s="18"/>
      <c r="W1724" s="18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</row>
    <row r="1725" spans="1:36" ht="11.25" customHeight="1" x14ac:dyDescent="0.2">
      <c r="A1725" s="62" t="s">
        <v>28</v>
      </c>
      <c r="B1725" s="62" t="s">
        <v>37</v>
      </c>
      <c r="C1725" s="62" t="s">
        <v>33</v>
      </c>
      <c r="D1725" s="62" t="s">
        <v>43</v>
      </c>
      <c r="E1725" s="62" t="s">
        <v>25</v>
      </c>
      <c r="F1725" s="62" t="s">
        <v>25</v>
      </c>
      <c r="G1725" s="62" t="s">
        <v>25</v>
      </c>
      <c r="H1725" s="62" t="s">
        <v>36</v>
      </c>
      <c r="I1725" s="75">
        <v>44440</v>
      </c>
      <c r="J1725" s="76">
        <f>EFEITO!$J$1725*EFEITO!$Y$1725</f>
        <v>0</v>
      </c>
      <c r="K1725" s="76">
        <f ca="1">EFEITO!$L$1725*EFEITO!$Z$1725</f>
        <v>120.76498385436039</v>
      </c>
      <c r="L1725" s="76">
        <f>EFEITO!$N$1725*EFEITO!$AA$1725</f>
        <v>53.562171392248189</v>
      </c>
      <c r="M1725" s="76">
        <f>$J$1725-EFEITO!$K$1725*EFEITO!$Y$1725</f>
        <v>0</v>
      </c>
      <c r="N1725" s="76">
        <f ca="1">$K$1725-EFEITO!$M$1725*EFEITO!$Z$1725</f>
        <v>0</v>
      </c>
      <c r="O1725" s="76">
        <f>$L$1725-EFEITO!$O$1725*EFEITO!$AA$1725</f>
        <v>0</v>
      </c>
      <c r="P1725" s="18"/>
      <c r="Q1725" s="18"/>
      <c r="R1725" s="18"/>
      <c r="S1725" s="18"/>
      <c r="T1725" s="18"/>
      <c r="U1725" s="18"/>
      <c r="V1725" s="18"/>
      <c r="W1725" s="18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</row>
    <row r="1726" spans="1:36" ht="11.25" customHeight="1" x14ac:dyDescent="0.2">
      <c r="A1726" s="62" t="s">
        <v>21</v>
      </c>
      <c r="B1726" s="62" t="s">
        <v>37</v>
      </c>
      <c r="C1726" s="62" t="s">
        <v>33</v>
      </c>
      <c r="D1726" s="62" t="s">
        <v>43</v>
      </c>
      <c r="E1726" s="62" t="s">
        <v>25</v>
      </c>
      <c r="F1726" s="62" t="s">
        <v>25</v>
      </c>
      <c r="G1726" s="62" t="s">
        <v>25</v>
      </c>
      <c r="H1726" s="62" t="s">
        <v>36</v>
      </c>
      <c r="I1726" s="75">
        <v>44470</v>
      </c>
      <c r="J1726" s="76">
        <f>EFEITO!$J$1726*EFEITO!$Y$1726</f>
        <v>0</v>
      </c>
      <c r="K1726" s="76">
        <f ca="1">EFEITO!$L$1726*EFEITO!$Z$1726</f>
        <v>1417.3995473432826</v>
      </c>
      <c r="L1726" s="76">
        <f>EFEITO!$N$1726*EFEITO!$AA$1726</f>
        <v>628.65074844586036</v>
      </c>
      <c r="M1726" s="76">
        <f>$J$1726-EFEITO!$K$1726*EFEITO!$Y$1726</f>
        <v>0</v>
      </c>
      <c r="N1726" s="76">
        <f ca="1">$K$1726-EFEITO!$M$1726*EFEITO!$Z$1726</f>
        <v>0</v>
      </c>
      <c r="O1726" s="76">
        <f>$L$1726-EFEITO!$O$1726*EFEITO!$AA$1726</f>
        <v>0</v>
      </c>
      <c r="P1726" s="18"/>
      <c r="Q1726" s="18"/>
      <c r="R1726" s="18"/>
      <c r="S1726" s="18"/>
      <c r="T1726" s="18"/>
      <c r="U1726" s="18"/>
      <c r="V1726" s="18"/>
      <c r="W1726" s="18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</row>
    <row r="1727" spans="1:36" ht="11.25" customHeight="1" x14ac:dyDescent="0.2">
      <c r="A1727" s="62" t="s">
        <v>28</v>
      </c>
      <c r="B1727" s="62" t="s">
        <v>37</v>
      </c>
      <c r="C1727" s="62" t="s">
        <v>33</v>
      </c>
      <c r="D1727" s="62" t="s">
        <v>43</v>
      </c>
      <c r="E1727" s="62" t="s">
        <v>25</v>
      </c>
      <c r="F1727" s="62" t="s">
        <v>25</v>
      </c>
      <c r="G1727" s="62" t="s">
        <v>25</v>
      </c>
      <c r="H1727" s="62" t="s">
        <v>36</v>
      </c>
      <c r="I1727" s="75">
        <v>44470</v>
      </c>
      <c r="J1727" s="76">
        <f>EFEITO!$J$1727*EFEITO!$Y$1727</f>
        <v>0</v>
      </c>
      <c r="K1727" s="76">
        <f ca="1">EFEITO!$L$1727*EFEITO!$Z$1727</f>
        <v>117.94007195133442</v>
      </c>
      <c r="L1727" s="76">
        <f>EFEITO!$N$1727*EFEITO!$AA$1727</f>
        <v>52.30925510237104</v>
      </c>
      <c r="M1727" s="76">
        <f>$J$1727-EFEITO!$K$1727*EFEITO!$Y$1727</f>
        <v>0</v>
      </c>
      <c r="N1727" s="76">
        <f ca="1">$K$1727-EFEITO!$M$1727*EFEITO!$Z$1727</f>
        <v>0</v>
      </c>
      <c r="O1727" s="76">
        <f>$L$1727-EFEITO!$O$1727*EFEITO!$AA$1727</f>
        <v>0</v>
      </c>
      <c r="P1727" s="18"/>
      <c r="Q1727" s="18"/>
      <c r="R1727" s="18"/>
      <c r="S1727" s="18"/>
      <c r="T1727" s="18"/>
      <c r="U1727" s="18"/>
      <c r="V1727" s="18"/>
      <c r="W1727" s="18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</row>
    <row r="1728" spans="1:36" ht="11.25" customHeight="1" x14ac:dyDescent="0.2">
      <c r="A1728" s="62" t="s">
        <v>21</v>
      </c>
      <c r="B1728" s="62" t="s">
        <v>37</v>
      </c>
      <c r="C1728" s="62" t="s">
        <v>33</v>
      </c>
      <c r="D1728" s="62" t="s">
        <v>43</v>
      </c>
      <c r="E1728" s="62" t="s">
        <v>25</v>
      </c>
      <c r="F1728" s="62" t="s">
        <v>25</v>
      </c>
      <c r="G1728" s="62" t="s">
        <v>25</v>
      </c>
      <c r="H1728" s="62" t="s">
        <v>36</v>
      </c>
      <c r="I1728" s="75">
        <v>44501</v>
      </c>
      <c r="J1728" s="76">
        <f>EFEITO!$J$1728*EFEITO!$Y$1728</f>
        <v>0</v>
      </c>
      <c r="K1728" s="76">
        <f ca="1">EFEITO!$L$1728*EFEITO!$Z$1728</f>
        <v>1185.7567712951527</v>
      </c>
      <c r="L1728" s="76">
        <f>EFEITO!$N$1728*EFEITO!$AA$1728</f>
        <v>525.91161267593395</v>
      </c>
      <c r="M1728" s="76">
        <f>$J$1728-EFEITO!$K$1728*EFEITO!$Y$1728</f>
        <v>0</v>
      </c>
      <c r="N1728" s="76">
        <f ca="1">$K$1728-EFEITO!$M$1728*EFEITO!$Z$1728</f>
        <v>0</v>
      </c>
      <c r="O1728" s="76">
        <f>$L$1728-EFEITO!$O$1728*EFEITO!$AA$1728</f>
        <v>0</v>
      </c>
      <c r="P1728" s="18"/>
      <c r="Q1728" s="18"/>
      <c r="R1728" s="18"/>
      <c r="S1728" s="18"/>
      <c r="T1728" s="18"/>
      <c r="U1728" s="18"/>
      <c r="V1728" s="18"/>
      <c r="W1728" s="18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</row>
    <row r="1729" spans="1:36" ht="11.25" customHeight="1" x14ac:dyDescent="0.2">
      <c r="A1729" s="62" t="s">
        <v>28</v>
      </c>
      <c r="B1729" s="62" t="s">
        <v>37</v>
      </c>
      <c r="C1729" s="62" t="s">
        <v>33</v>
      </c>
      <c r="D1729" s="62" t="s">
        <v>43</v>
      </c>
      <c r="E1729" s="62" t="s">
        <v>25</v>
      </c>
      <c r="F1729" s="62" t="s">
        <v>25</v>
      </c>
      <c r="G1729" s="62" t="s">
        <v>25</v>
      </c>
      <c r="H1729" s="62" t="s">
        <v>36</v>
      </c>
      <c r="I1729" s="75">
        <v>44501</v>
      </c>
      <c r="J1729" s="76">
        <f>EFEITO!$J$1729*EFEITO!$Y$1729</f>
        <v>0</v>
      </c>
      <c r="K1729" s="76">
        <f ca="1">EFEITO!$L$1729*EFEITO!$Z$1729</f>
        <v>113.70270409679546</v>
      </c>
      <c r="L1729" s="76">
        <f>EFEITO!$N$1729*EFEITO!$AA$1729</f>
        <v>50.42988066755531</v>
      </c>
      <c r="M1729" s="76">
        <f>$J$1729-EFEITO!$K$1729*EFEITO!$Y$1729</f>
        <v>0</v>
      </c>
      <c r="N1729" s="76">
        <f ca="1">$K$1729-EFEITO!$M$1729*EFEITO!$Z$1729</f>
        <v>0</v>
      </c>
      <c r="O1729" s="76">
        <f>$L$1729-EFEITO!$O$1729*EFEITO!$AA$1729</f>
        <v>0</v>
      </c>
      <c r="P1729" s="18"/>
      <c r="Q1729" s="18"/>
      <c r="R1729" s="18"/>
      <c r="S1729" s="18"/>
      <c r="T1729" s="18"/>
      <c r="U1729" s="18"/>
      <c r="V1729" s="18"/>
      <c r="W1729" s="18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</row>
    <row r="1730" spans="1:36" ht="11.25" customHeight="1" x14ac:dyDescent="0.2">
      <c r="A1730" s="62" t="s">
        <v>21</v>
      </c>
      <c r="B1730" s="62" t="s">
        <v>37</v>
      </c>
      <c r="C1730" s="62" t="s">
        <v>33</v>
      </c>
      <c r="D1730" s="62" t="s">
        <v>43</v>
      </c>
      <c r="E1730" s="62" t="s">
        <v>25</v>
      </c>
      <c r="F1730" s="62" t="s">
        <v>25</v>
      </c>
      <c r="G1730" s="62" t="s">
        <v>25</v>
      </c>
      <c r="H1730" s="62" t="s">
        <v>36</v>
      </c>
      <c r="I1730" s="75">
        <v>44531</v>
      </c>
      <c r="J1730" s="76">
        <f>EFEITO!$J$1730*EFEITO!$Y$1730</f>
        <v>0</v>
      </c>
      <c r="K1730" s="76">
        <f ca="1">EFEITO!$L$1730*EFEITO!$Z$1730</f>
        <v>1658.9295150520034</v>
      </c>
      <c r="L1730" s="76">
        <f>EFEITO!$N$1730*EFEITO!$AA$1730</f>
        <v>735.77509123035679</v>
      </c>
      <c r="M1730" s="76">
        <f>$J$1730-EFEITO!$K$1730*EFEITO!$Y$1730</f>
        <v>0</v>
      </c>
      <c r="N1730" s="76">
        <f ca="1">$K$1730-EFEITO!$M$1730*EFEITO!$Z$1730</f>
        <v>0</v>
      </c>
      <c r="O1730" s="76">
        <f>$L$1730-EFEITO!$O$1730*EFEITO!$AA$1730</f>
        <v>0</v>
      </c>
      <c r="P1730" s="18"/>
      <c r="Q1730" s="18"/>
      <c r="R1730" s="18"/>
      <c r="S1730" s="18"/>
      <c r="T1730" s="18"/>
      <c r="U1730" s="18"/>
      <c r="V1730" s="18"/>
      <c r="W1730" s="18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</row>
    <row r="1731" spans="1:36" ht="11.25" customHeight="1" x14ac:dyDescent="0.2">
      <c r="A1731" s="62" t="s">
        <v>28</v>
      </c>
      <c r="B1731" s="62" t="s">
        <v>37</v>
      </c>
      <c r="C1731" s="62" t="s">
        <v>33</v>
      </c>
      <c r="D1731" s="62" t="s">
        <v>43</v>
      </c>
      <c r="E1731" s="62" t="s">
        <v>25</v>
      </c>
      <c r="F1731" s="62" t="s">
        <v>25</v>
      </c>
      <c r="G1731" s="62" t="s">
        <v>25</v>
      </c>
      <c r="H1731" s="62" t="s">
        <v>36</v>
      </c>
      <c r="I1731" s="75">
        <v>44531</v>
      </c>
      <c r="J1731" s="76">
        <f>EFEITO!$J$1731*EFEITO!$Y$1731</f>
        <v>0</v>
      </c>
      <c r="K1731" s="76">
        <f ca="1">EFEITO!$L$1731*EFEITO!$Z$1731</f>
        <v>125.70857968465583</v>
      </c>
      <c r="L1731" s="76">
        <f>EFEITO!$N$1731*EFEITO!$AA$1731</f>
        <v>55.754774899533196</v>
      </c>
      <c r="M1731" s="76">
        <f>$J$1731-EFEITO!$K$1731*EFEITO!$Y$1731</f>
        <v>0</v>
      </c>
      <c r="N1731" s="76">
        <f ca="1">$K$1731-EFEITO!$M$1731*EFEITO!$Z$1731</f>
        <v>0</v>
      </c>
      <c r="O1731" s="76">
        <f>$L$1731-EFEITO!$O$1731*EFEITO!$AA$1731</f>
        <v>0</v>
      </c>
      <c r="P1731" s="18"/>
      <c r="Q1731" s="18"/>
      <c r="R1731" s="18"/>
      <c r="S1731" s="18"/>
      <c r="T1731" s="18"/>
      <c r="U1731" s="18"/>
      <c r="V1731" s="18"/>
      <c r="W1731" s="18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</row>
    <row r="1732" spans="1:36" ht="11.25" customHeight="1" x14ac:dyDescent="0.2">
      <c r="A1732" s="62" t="s">
        <v>21</v>
      </c>
      <c r="B1732" s="62" t="s">
        <v>37</v>
      </c>
      <c r="C1732" s="62" t="s">
        <v>33</v>
      </c>
      <c r="D1732" s="62" t="s">
        <v>43</v>
      </c>
      <c r="E1732" s="62" t="s">
        <v>25</v>
      </c>
      <c r="F1732" s="62" t="s">
        <v>25</v>
      </c>
      <c r="G1732" s="62" t="s">
        <v>25</v>
      </c>
      <c r="H1732" s="62" t="s">
        <v>36</v>
      </c>
      <c r="I1732" s="75">
        <v>44562</v>
      </c>
      <c r="J1732" s="76">
        <f>EFEITO!$J$1732*EFEITO!$Y$1732</f>
        <v>0</v>
      </c>
      <c r="K1732" s="76">
        <f ca="1">EFEITO!$L$1732*EFEITO!$Z$1732</f>
        <v>1493.672168724984</v>
      </c>
      <c r="L1732" s="76">
        <f>EFEITO!$N$1732*EFEITO!$AA$1732</f>
        <v>662.47948827254345</v>
      </c>
      <c r="M1732" s="76">
        <f>$J$1732-EFEITO!$K$1732*EFEITO!$Y$1732</f>
        <v>0</v>
      </c>
      <c r="N1732" s="76">
        <f ca="1">$K$1732-EFEITO!$M$1732*EFEITO!$Z$1732</f>
        <v>0</v>
      </c>
      <c r="O1732" s="76">
        <f>$L$1732-EFEITO!$O$1732*EFEITO!$AA$1732</f>
        <v>0</v>
      </c>
      <c r="P1732" s="18"/>
      <c r="Q1732" s="18"/>
      <c r="R1732" s="18"/>
      <c r="S1732" s="18"/>
      <c r="T1732" s="18"/>
      <c r="U1732" s="18"/>
      <c r="V1732" s="18"/>
      <c r="W1732" s="18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</row>
    <row r="1733" spans="1:36" ht="11.25" customHeight="1" x14ac:dyDescent="0.2">
      <c r="A1733" s="62" t="s">
        <v>27</v>
      </c>
      <c r="B1733" s="62" t="s">
        <v>37</v>
      </c>
      <c r="C1733" s="62" t="s">
        <v>33</v>
      </c>
      <c r="D1733" s="62" t="s">
        <v>43</v>
      </c>
      <c r="E1733" s="62" t="s">
        <v>25</v>
      </c>
      <c r="F1733" s="62" t="s">
        <v>25</v>
      </c>
      <c r="G1733" s="62" t="s">
        <v>25</v>
      </c>
      <c r="H1733" s="62" t="s">
        <v>36</v>
      </c>
      <c r="I1733" s="75">
        <v>44562</v>
      </c>
      <c r="J1733" s="76">
        <f>EFEITO!$J$1733*EFEITO!$Y$1733</f>
        <v>0</v>
      </c>
      <c r="K1733" s="76">
        <f ca="1">EFEITO!$L$1733*EFEITO!$Z$1733</f>
        <v>-254.24207127233765</v>
      </c>
      <c r="L1733" s="76">
        <f>EFEITO!$N$1733*EFEITO!$AA$1733</f>
        <v>-112.76246608894355</v>
      </c>
      <c r="M1733" s="76">
        <f>$J$1733-EFEITO!$K$1733*EFEITO!$Y$1733</f>
        <v>0</v>
      </c>
      <c r="N1733" s="76">
        <f ca="1">$K$1733-EFEITO!$M$1733*EFEITO!$Z$1733</f>
        <v>0</v>
      </c>
      <c r="O1733" s="76">
        <f>$L$1733-EFEITO!$O$1733*EFEITO!$AA$1733</f>
        <v>0</v>
      </c>
      <c r="P1733" s="18"/>
      <c r="Q1733" s="18"/>
      <c r="R1733" s="18"/>
      <c r="S1733" s="18"/>
      <c r="T1733" s="18"/>
      <c r="U1733" s="18"/>
      <c r="V1733" s="18"/>
      <c r="W1733" s="18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</row>
    <row r="1734" spans="1:36" ht="11.25" customHeight="1" x14ac:dyDescent="0.2">
      <c r="A1734" s="62" t="s">
        <v>28</v>
      </c>
      <c r="B1734" s="62" t="s">
        <v>37</v>
      </c>
      <c r="C1734" s="62" t="s">
        <v>33</v>
      </c>
      <c r="D1734" s="62" t="s">
        <v>43</v>
      </c>
      <c r="E1734" s="62" t="s">
        <v>25</v>
      </c>
      <c r="F1734" s="62" t="s">
        <v>25</v>
      </c>
      <c r="G1734" s="62" t="s">
        <v>25</v>
      </c>
      <c r="H1734" s="62" t="s">
        <v>36</v>
      </c>
      <c r="I1734" s="75">
        <v>44562</v>
      </c>
      <c r="J1734" s="76">
        <f>EFEITO!$J$1734*EFEITO!$Y$1734</f>
        <v>0</v>
      </c>
      <c r="K1734" s="76">
        <f ca="1">EFEITO!$L$1734*EFEITO!$Z$1734</f>
        <v>134.88954336949027</v>
      </c>
      <c r="L1734" s="76">
        <f>EFEITO!$N$1734*EFEITO!$AA$1734</f>
        <v>59.82675284163394</v>
      </c>
      <c r="M1734" s="76">
        <f>$J$1734-EFEITO!$K$1734*EFEITO!$Y$1734</f>
        <v>0</v>
      </c>
      <c r="N1734" s="76">
        <f ca="1">$K$1734-EFEITO!$M$1734*EFEITO!$Z$1734</f>
        <v>0</v>
      </c>
      <c r="O1734" s="76">
        <f>$L$1734-EFEITO!$O$1734*EFEITO!$AA$1734</f>
        <v>0</v>
      </c>
      <c r="P1734" s="18"/>
      <c r="Q1734" s="18"/>
      <c r="R1734" s="18"/>
      <c r="S1734" s="18"/>
      <c r="T1734" s="18"/>
      <c r="U1734" s="18"/>
      <c r="V1734" s="18"/>
      <c r="W1734" s="18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</row>
    <row r="1735" spans="1:36" ht="11.25" customHeight="1" x14ac:dyDescent="0.2">
      <c r="A1735" s="62" t="s">
        <v>21</v>
      </c>
      <c r="B1735" s="62" t="s">
        <v>37</v>
      </c>
      <c r="C1735" s="62" t="s">
        <v>33</v>
      </c>
      <c r="D1735" s="62" t="s">
        <v>43</v>
      </c>
      <c r="E1735" s="62" t="s">
        <v>25</v>
      </c>
      <c r="F1735" s="62" t="s">
        <v>25</v>
      </c>
      <c r="G1735" s="62" t="s">
        <v>25</v>
      </c>
      <c r="H1735" s="62" t="s">
        <v>36</v>
      </c>
      <c r="I1735" s="75">
        <v>44593</v>
      </c>
      <c r="J1735" s="76">
        <f>EFEITO!$J$1735*EFEITO!$Y$1735</f>
        <v>0</v>
      </c>
      <c r="K1735" s="76">
        <f ca="1">EFEITO!$L$1735*EFEITO!$Z$1735</f>
        <v>1560.0575984460943</v>
      </c>
      <c r="L1735" s="76">
        <f>EFEITO!$N$1735*EFEITO!$AA$1735</f>
        <v>691.9230210846564</v>
      </c>
      <c r="M1735" s="76">
        <f>$J$1735-EFEITO!$K$1735*EFEITO!$Y$1735</f>
        <v>0</v>
      </c>
      <c r="N1735" s="76">
        <f ca="1">$K$1735-EFEITO!$M$1735*EFEITO!$Z$1735</f>
        <v>0</v>
      </c>
      <c r="O1735" s="76">
        <f>$L$1735-EFEITO!$O$1735*EFEITO!$AA$1735</f>
        <v>0</v>
      </c>
      <c r="P1735" s="18"/>
      <c r="Q1735" s="18"/>
      <c r="R1735" s="18"/>
      <c r="S1735" s="18"/>
      <c r="T1735" s="18"/>
      <c r="U1735" s="18"/>
      <c r="V1735" s="18"/>
      <c r="W1735" s="18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</row>
    <row r="1736" spans="1:36" ht="11.25" customHeight="1" x14ac:dyDescent="0.2">
      <c r="A1736" s="62" t="s">
        <v>28</v>
      </c>
      <c r="B1736" s="62" t="s">
        <v>37</v>
      </c>
      <c r="C1736" s="62" t="s">
        <v>33</v>
      </c>
      <c r="D1736" s="62" t="s">
        <v>43</v>
      </c>
      <c r="E1736" s="62" t="s">
        <v>25</v>
      </c>
      <c r="F1736" s="62" t="s">
        <v>25</v>
      </c>
      <c r="G1736" s="62" t="s">
        <v>25</v>
      </c>
      <c r="H1736" s="62" t="s">
        <v>36</v>
      </c>
      <c r="I1736" s="75">
        <v>44593</v>
      </c>
      <c r="J1736" s="76">
        <f>EFEITO!$J$1736*EFEITO!$Y$1736</f>
        <v>0</v>
      </c>
      <c r="K1736" s="76">
        <f ca="1">EFEITO!$L$1736*EFEITO!$Z$1736</f>
        <v>115.82138802406494</v>
      </c>
      <c r="L1736" s="76">
        <f>EFEITO!$N$1736*EFEITO!$AA$1736</f>
        <v>51.369567884963175</v>
      </c>
      <c r="M1736" s="76">
        <f>$J$1736-EFEITO!$K$1736*EFEITO!$Y$1736</f>
        <v>0</v>
      </c>
      <c r="N1736" s="76">
        <f ca="1">$K$1736-EFEITO!$M$1736*EFEITO!$Z$1736</f>
        <v>0</v>
      </c>
      <c r="O1736" s="76">
        <f>$L$1736-EFEITO!$O$1736*EFEITO!$AA$1736</f>
        <v>0</v>
      </c>
      <c r="P1736" s="18"/>
      <c r="Q1736" s="18"/>
      <c r="R1736" s="18"/>
      <c r="S1736" s="18"/>
      <c r="T1736" s="18"/>
      <c r="U1736" s="18"/>
      <c r="V1736" s="18"/>
      <c r="W1736" s="18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</row>
    <row r="1737" spans="1:36" ht="11.25" customHeight="1" x14ac:dyDescent="0.2">
      <c r="A1737" s="62" t="s">
        <v>21</v>
      </c>
      <c r="B1737" s="62" t="s">
        <v>37</v>
      </c>
      <c r="C1737" s="62" t="s">
        <v>33</v>
      </c>
      <c r="D1737" s="62" t="s">
        <v>43</v>
      </c>
      <c r="E1737" s="62" t="s">
        <v>25</v>
      </c>
      <c r="F1737" s="62" t="s">
        <v>25</v>
      </c>
      <c r="G1737" s="62" t="s">
        <v>25</v>
      </c>
      <c r="H1737" s="62" t="s">
        <v>36</v>
      </c>
      <c r="I1737" s="75">
        <v>44621</v>
      </c>
      <c r="J1737" s="76">
        <f>EFEITO!$J$1737*EFEITO!$Y$1737</f>
        <v>0</v>
      </c>
      <c r="K1737" s="76">
        <f ca="1">EFEITO!$L$1737*EFEITO!$Z$1737</f>
        <v>1460.4794538644285</v>
      </c>
      <c r="L1737" s="76">
        <f>EFEITO!$N$1737*EFEITO!$AA$1737</f>
        <v>647.75772186648692</v>
      </c>
      <c r="M1737" s="76">
        <f>$J$1737-EFEITO!$K$1737*EFEITO!$Y$1737</f>
        <v>0</v>
      </c>
      <c r="N1737" s="76">
        <f ca="1">$K$1737-EFEITO!$M$1737*EFEITO!$Z$1737</f>
        <v>0</v>
      </c>
      <c r="O1737" s="76">
        <f>$L$1737-EFEITO!$O$1737*EFEITO!$AA$1737</f>
        <v>0</v>
      </c>
      <c r="P1737" s="18"/>
      <c r="Q1737" s="18"/>
      <c r="R1737" s="18"/>
      <c r="S1737" s="18"/>
      <c r="T1737" s="18"/>
      <c r="U1737" s="18"/>
      <c r="V1737" s="18"/>
      <c r="W1737" s="18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</row>
    <row r="1738" spans="1:36" ht="11.25" customHeight="1" x14ac:dyDescent="0.2">
      <c r="A1738" s="62" t="s">
        <v>28</v>
      </c>
      <c r="B1738" s="62" t="s">
        <v>37</v>
      </c>
      <c r="C1738" s="62" t="s">
        <v>33</v>
      </c>
      <c r="D1738" s="62" t="s">
        <v>43</v>
      </c>
      <c r="E1738" s="62" t="s">
        <v>25</v>
      </c>
      <c r="F1738" s="62" t="s">
        <v>25</v>
      </c>
      <c r="G1738" s="62" t="s">
        <v>25</v>
      </c>
      <c r="H1738" s="62" t="s">
        <v>36</v>
      </c>
      <c r="I1738" s="75">
        <v>44621</v>
      </c>
      <c r="J1738" s="76">
        <f>EFEITO!$J$1738*EFEITO!$Y$1738</f>
        <v>0</v>
      </c>
      <c r="K1738" s="76">
        <f ca="1">EFEITO!$L$1738*EFEITO!$Z$1738</f>
        <v>26.836663078746753</v>
      </c>
      <c r="L1738" s="76">
        <f>EFEITO!$N$1738*EFEITO!$AA$1738</f>
        <v>11.90270475383293</v>
      </c>
      <c r="M1738" s="76">
        <f>$J$1738-EFEITO!$K$1738*EFEITO!$Y$1738</f>
        <v>0</v>
      </c>
      <c r="N1738" s="76">
        <f ca="1">$K$1738-EFEITO!$M$1738*EFEITO!$Z$1738</f>
        <v>0</v>
      </c>
      <c r="O1738" s="76">
        <f>$L$1738-EFEITO!$O$1738*EFEITO!$AA$1738</f>
        <v>0</v>
      </c>
      <c r="P1738" s="18"/>
      <c r="Q1738" s="18"/>
      <c r="R1738" s="18"/>
      <c r="S1738" s="18"/>
      <c r="T1738" s="18"/>
      <c r="U1738" s="18"/>
      <c r="V1738" s="18"/>
      <c r="W1738" s="18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</row>
    <row r="1739" spans="1:36" ht="11.25" customHeight="1" x14ac:dyDescent="0.2">
      <c r="A1739" s="62" t="s">
        <v>21</v>
      </c>
      <c r="B1739" s="62" t="s">
        <v>37</v>
      </c>
      <c r="C1739" s="62" t="s">
        <v>33</v>
      </c>
      <c r="D1739" s="62" t="s">
        <v>43</v>
      </c>
      <c r="E1739" s="62" t="s">
        <v>25</v>
      </c>
      <c r="F1739" s="62" t="s">
        <v>25</v>
      </c>
      <c r="G1739" s="62" t="s">
        <v>25</v>
      </c>
      <c r="H1739" s="62" t="s">
        <v>36</v>
      </c>
      <c r="I1739" s="75">
        <v>44652</v>
      </c>
      <c r="J1739" s="76">
        <f>EFEITO!$J$1739*EFEITO!$Y$1739</f>
        <v>0</v>
      </c>
      <c r="K1739" s="76">
        <f ca="1">EFEITO!$L$1739*EFEITO!$Z$1739</f>
        <v>1495.0846246764968</v>
      </c>
      <c r="L1739" s="76">
        <f>EFEITO!$N$1739*EFEITO!$AA$1739</f>
        <v>663.10594641748196</v>
      </c>
      <c r="M1739" s="76">
        <f>$J$1739-EFEITO!$K$1739*EFEITO!$Y$1739</f>
        <v>0</v>
      </c>
      <c r="N1739" s="76">
        <f ca="1">$K$1739-EFEITO!$M$1739*EFEITO!$Z$1739</f>
        <v>0</v>
      </c>
      <c r="O1739" s="76">
        <f>$L$1739-EFEITO!$O$1739*EFEITO!$AA$1739</f>
        <v>0</v>
      </c>
      <c r="P1739" s="18"/>
      <c r="Q1739" s="18"/>
      <c r="R1739" s="18"/>
      <c r="S1739" s="18"/>
      <c r="T1739" s="18"/>
      <c r="U1739" s="18"/>
      <c r="V1739" s="18"/>
      <c r="W1739" s="18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</row>
    <row r="1740" spans="1:36" ht="11.25" customHeight="1" x14ac:dyDescent="0.2">
      <c r="A1740" s="62" t="s">
        <v>58</v>
      </c>
      <c r="B1740" s="62" t="s">
        <v>37</v>
      </c>
      <c r="C1740" s="62" t="s">
        <v>33</v>
      </c>
      <c r="D1740" s="62" t="s">
        <v>43</v>
      </c>
      <c r="E1740" s="62" t="s">
        <v>25</v>
      </c>
      <c r="F1740" s="62" t="s">
        <v>25</v>
      </c>
      <c r="G1740" s="62" t="s">
        <v>25</v>
      </c>
      <c r="H1740" s="62" t="s">
        <v>36</v>
      </c>
      <c r="I1740" s="75">
        <v>44682</v>
      </c>
      <c r="J1740" s="76">
        <f>EFEITO!$J$1740*EFEITO!$Y$1740</f>
        <v>0</v>
      </c>
      <c r="K1740" s="76">
        <f ca="1">EFEITO!$L$1740*EFEITO!$Z$1740</f>
        <v>1495.0846246764968</v>
      </c>
      <c r="L1740" s="76">
        <f>EFEITO!$N$1740*EFEITO!$AA$1740</f>
        <v>663.10594641748196</v>
      </c>
      <c r="M1740" s="76">
        <f>$J$1740-EFEITO!$K$1740*EFEITO!$Y$1740</f>
        <v>0</v>
      </c>
      <c r="N1740" s="76">
        <f ca="1">$K$1740-EFEITO!$M$1740*EFEITO!$Z$1740</f>
        <v>0</v>
      </c>
      <c r="O1740" s="76">
        <f>$L$1740-EFEITO!$O$1740*EFEITO!$AA$1740</f>
        <v>0</v>
      </c>
      <c r="P1740" s="18"/>
      <c r="Q1740" s="18"/>
      <c r="R1740" s="18"/>
      <c r="S1740" s="18"/>
      <c r="T1740" s="18"/>
      <c r="U1740" s="18"/>
      <c r="V1740" s="18"/>
      <c r="W1740" s="18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</row>
    <row r="1741" spans="1:36" ht="11.25" customHeight="1" x14ac:dyDescent="0.2">
      <c r="A1741" s="62" t="s">
        <v>21</v>
      </c>
      <c r="B1741" s="62" t="s">
        <v>37</v>
      </c>
      <c r="C1741" s="62" t="s">
        <v>33</v>
      </c>
      <c r="D1741" s="62" t="s">
        <v>43</v>
      </c>
      <c r="E1741" s="62" t="s">
        <v>25</v>
      </c>
      <c r="F1741" s="62" t="s">
        <v>25</v>
      </c>
      <c r="G1741" s="62" t="s">
        <v>25</v>
      </c>
      <c r="H1741" s="62" t="s">
        <v>34</v>
      </c>
      <c r="I1741" s="75">
        <v>44348</v>
      </c>
      <c r="J1741" s="76">
        <f>EFEITO!$J$1741*EFEITO!$Y$1741</f>
        <v>0</v>
      </c>
      <c r="K1741" s="76">
        <f ca="1">EFEITO!$L$1741*EFEITO!$Z$1741</f>
        <v>2185.9607722370829</v>
      </c>
      <c r="L1741" s="76">
        <f>EFEITO!$N$1741*EFEITO!$AA$1741</f>
        <v>1053.2531122895923</v>
      </c>
      <c r="M1741" s="76">
        <f>$J$1741-EFEITO!$K$1741*EFEITO!$Y$1741</f>
        <v>0</v>
      </c>
      <c r="N1741" s="76">
        <f ca="1">$K$1741-EFEITO!$M$1741*EFEITO!$Z$1741</f>
        <v>0</v>
      </c>
      <c r="O1741" s="76">
        <f>$L$1741-EFEITO!$O$1741*EFEITO!$AA$1741</f>
        <v>0</v>
      </c>
      <c r="P1741" s="18"/>
      <c r="Q1741" s="18"/>
      <c r="R1741" s="18"/>
      <c r="S1741" s="18"/>
      <c r="T1741" s="18"/>
      <c r="U1741" s="18"/>
      <c r="V1741" s="18"/>
      <c r="W1741" s="18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</row>
    <row r="1742" spans="1:36" ht="11.25" customHeight="1" x14ac:dyDescent="0.2">
      <c r="A1742" s="62" t="s">
        <v>28</v>
      </c>
      <c r="B1742" s="62" t="s">
        <v>37</v>
      </c>
      <c r="C1742" s="62" t="s">
        <v>33</v>
      </c>
      <c r="D1742" s="62" t="s">
        <v>43</v>
      </c>
      <c r="E1742" s="62" t="s">
        <v>25</v>
      </c>
      <c r="F1742" s="62" t="s">
        <v>25</v>
      </c>
      <c r="G1742" s="62" t="s">
        <v>25</v>
      </c>
      <c r="H1742" s="62" t="s">
        <v>34</v>
      </c>
      <c r="I1742" s="75">
        <v>44348</v>
      </c>
      <c r="J1742" s="76">
        <f>EFEITO!$J$1742*EFEITO!$Y$1742</f>
        <v>0</v>
      </c>
      <c r="K1742" s="76">
        <f ca="1">EFEITO!$L$1742*EFEITO!$Z$1742</f>
        <v>229.71113199779515</v>
      </c>
      <c r="L1742" s="76">
        <f>EFEITO!$N$1742*EFEITO!$AA$1742</f>
        <v>110.68083552873682</v>
      </c>
      <c r="M1742" s="76">
        <f>$J$1742-EFEITO!$K$1742*EFEITO!$Y$1742</f>
        <v>0</v>
      </c>
      <c r="N1742" s="76">
        <f ca="1">$K$1742-EFEITO!$M$1742*EFEITO!$Z$1742</f>
        <v>0</v>
      </c>
      <c r="O1742" s="76">
        <f>$L$1742-EFEITO!$O$1742*EFEITO!$AA$1742</f>
        <v>0</v>
      </c>
      <c r="P1742" s="18"/>
      <c r="Q1742" s="18"/>
      <c r="R1742" s="18"/>
      <c r="S1742" s="18"/>
      <c r="T1742" s="18"/>
      <c r="U1742" s="18"/>
      <c r="V1742" s="18"/>
      <c r="W1742" s="18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</row>
    <row r="1743" spans="1:36" ht="11.25" customHeight="1" x14ac:dyDescent="0.2">
      <c r="A1743" s="62" t="s">
        <v>21</v>
      </c>
      <c r="B1743" s="62" t="s">
        <v>37</v>
      </c>
      <c r="C1743" s="62" t="s">
        <v>33</v>
      </c>
      <c r="D1743" s="62" t="s">
        <v>43</v>
      </c>
      <c r="E1743" s="62" t="s">
        <v>25</v>
      </c>
      <c r="F1743" s="62" t="s">
        <v>25</v>
      </c>
      <c r="G1743" s="62" t="s">
        <v>25</v>
      </c>
      <c r="H1743" s="62" t="s">
        <v>34</v>
      </c>
      <c r="I1743" s="75">
        <v>44378</v>
      </c>
      <c r="J1743" s="76">
        <f>EFEITO!$J$1743*EFEITO!$Y$1743</f>
        <v>0</v>
      </c>
      <c r="K1743" s="76">
        <f ca="1">EFEITO!$L$1743*EFEITO!$Z$1743</f>
        <v>2142.5591297858864</v>
      </c>
      <c r="L1743" s="76">
        <f>EFEITO!$N$1743*EFEITO!$AA$1743</f>
        <v>1032.3410650237943</v>
      </c>
      <c r="M1743" s="76">
        <f>$J$1743-EFEITO!$K$1743*EFEITO!$Y$1743</f>
        <v>0</v>
      </c>
      <c r="N1743" s="76">
        <f ca="1">$K$1743-EFEITO!$M$1743*EFEITO!$Z$1743</f>
        <v>0</v>
      </c>
      <c r="O1743" s="76">
        <f>$L$1743-EFEITO!$O$1743*EFEITO!$AA$1743</f>
        <v>0</v>
      </c>
      <c r="P1743" s="18"/>
      <c r="Q1743" s="18"/>
      <c r="R1743" s="18"/>
      <c r="S1743" s="18"/>
      <c r="T1743" s="18"/>
      <c r="U1743" s="18"/>
      <c r="V1743" s="18"/>
      <c r="W1743" s="18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</row>
    <row r="1744" spans="1:36" ht="11.25" customHeight="1" x14ac:dyDescent="0.2">
      <c r="A1744" s="62" t="s">
        <v>28</v>
      </c>
      <c r="B1744" s="62" t="s">
        <v>37</v>
      </c>
      <c r="C1744" s="62" t="s">
        <v>33</v>
      </c>
      <c r="D1744" s="62" t="s">
        <v>43</v>
      </c>
      <c r="E1744" s="62" t="s">
        <v>25</v>
      </c>
      <c r="F1744" s="62" t="s">
        <v>25</v>
      </c>
      <c r="G1744" s="62" t="s">
        <v>25</v>
      </c>
      <c r="H1744" s="62" t="s">
        <v>34</v>
      </c>
      <c r="I1744" s="75">
        <v>44378</v>
      </c>
      <c r="J1744" s="76">
        <f>EFEITO!$J$1744*EFEITO!$Y$1744</f>
        <v>0</v>
      </c>
      <c r="K1744" s="76">
        <f ca="1">EFEITO!$L$1744*EFEITO!$Z$1744</f>
        <v>241.35547509445757</v>
      </c>
      <c r="L1744" s="76">
        <f>EFEITO!$N$1744*EFEITO!$AA$1744</f>
        <v>116.29138479517049</v>
      </c>
      <c r="M1744" s="76">
        <f>$J$1744-EFEITO!$K$1744*EFEITO!$Y$1744</f>
        <v>0</v>
      </c>
      <c r="N1744" s="76">
        <f ca="1">$K$1744-EFEITO!$M$1744*EFEITO!$Z$1744</f>
        <v>0</v>
      </c>
      <c r="O1744" s="76">
        <f>$L$1744-EFEITO!$O$1744*EFEITO!$AA$1744</f>
        <v>0</v>
      </c>
      <c r="P1744" s="18"/>
      <c r="Q1744" s="18"/>
      <c r="R1744" s="18"/>
      <c r="S1744" s="18"/>
      <c r="T1744" s="18"/>
      <c r="U1744" s="18"/>
      <c r="V1744" s="18"/>
      <c r="W1744" s="18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</row>
    <row r="1745" spans="1:36" ht="11.25" customHeight="1" x14ac:dyDescent="0.2">
      <c r="A1745" s="62" t="s">
        <v>21</v>
      </c>
      <c r="B1745" s="62" t="s">
        <v>37</v>
      </c>
      <c r="C1745" s="62" t="s">
        <v>33</v>
      </c>
      <c r="D1745" s="62" t="s">
        <v>43</v>
      </c>
      <c r="E1745" s="62" t="s">
        <v>25</v>
      </c>
      <c r="F1745" s="62" t="s">
        <v>25</v>
      </c>
      <c r="G1745" s="62" t="s">
        <v>25</v>
      </c>
      <c r="H1745" s="62" t="s">
        <v>34</v>
      </c>
      <c r="I1745" s="75">
        <v>44409</v>
      </c>
      <c r="J1745" s="76">
        <f>EFEITO!$J$1745*EFEITO!$Y$1745</f>
        <v>0</v>
      </c>
      <c r="K1745" s="76">
        <f ca="1">EFEITO!$L$1745*EFEITO!$Z$1745</f>
        <v>2189.1365021725364</v>
      </c>
      <c r="L1745" s="76">
        <f>EFEITO!$N$1745*EFEITO!$AA$1745</f>
        <v>1054.7832620895288</v>
      </c>
      <c r="M1745" s="76">
        <f>$J$1745-EFEITO!$K$1745*EFEITO!$Y$1745</f>
        <v>0</v>
      </c>
      <c r="N1745" s="76">
        <f ca="1">$K$1745-EFEITO!$M$1745*EFEITO!$Z$1745</f>
        <v>0</v>
      </c>
      <c r="O1745" s="76">
        <f>$L$1745-EFEITO!$O$1745*EFEITO!$AA$1745</f>
        <v>0</v>
      </c>
      <c r="P1745" s="18"/>
      <c r="Q1745" s="18"/>
      <c r="R1745" s="18"/>
      <c r="S1745" s="18"/>
      <c r="T1745" s="18"/>
      <c r="U1745" s="18"/>
      <c r="V1745" s="18"/>
      <c r="W1745" s="18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</row>
    <row r="1746" spans="1:36" ht="11.25" customHeight="1" x14ac:dyDescent="0.2">
      <c r="A1746" s="62" t="s">
        <v>28</v>
      </c>
      <c r="B1746" s="62" t="s">
        <v>37</v>
      </c>
      <c r="C1746" s="62" t="s">
        <v>33</v>
      </c>
      <c r="D1746" s="62" t="s">
        <v>43</v>
      </c>
      <c r="E1746" s="62" t="s">
        <v>25</v>
      </c>
      <c r="F1746" s="62" t="s">
        <v>25</v>
      </c>
      <c r="G1746" s="62" t="s">
        <v>25</v>
      </c>
      <c r="H1746" s="62" t="s">
        <v>34</v>
      </c>
      <c r="I1746" s="75">
        <v>44409</v>
      </c>
      <c r="J1746" s="76">
        <f>EFEITO!$J$1746*EFEITO!$Y$1746</f>
        <v>0</v>
      </c>
      <c r="K1746" s="76">
        <f ca="1">EFEITO!$L$1746*EFEITO!$Z$1746</f>
        <v>241.35547509445757</v>
      </c>
      <c r="L1746" s="76">
        <f>EFEITO!$N$1746*EFEITO!$AA$1746</f>
        <v>116.29138479517049</v>
      </c>
      <c r="M1746" s="76">
        <f>$J$1746-EFEITO!$K$1746*EFEITO!$Y$1746</f>
        <v>0</v>
      </c>
      <c r="N1746" s="76">
        <f ca="1">$K$1746-EFEITO!$M$1746*EFEITO!$Z$1746</f>
        <v>0</v>
      </c>
      <c r="O1746" s="76">
        <f>$L$1746-EFEITO!$O$1746*EFEITO!$AA$1746</f>
        <v>0</v>
      </c>
      <c r="P1746" s="18"/>
      <c r="Q1746" s="18"/>
      <c r="R1746" s="18"/>
      <c r="S1746" s="18"/>
      <c r="T1746" s="18"/>
      <c r="U1746" s="18"/>
      <c r="V1746" s="18"/>
      <c r="W1746" s="18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</row>
    <row r="1747" spans="1:36" ht="11.25" customHeight="1" x14ac:dyDescent="0.2">
      <c r="A1747" s="62" t="s">
        <v>21</v>
      </c>
      <c r="B1747" s="62" t="s">
        <v>37</v>
      </c>
      <c r="C1747" s="62" t="s">
        <v>33</v>
      </c>
      <c r="D1747" s="62" t="s">
        <v>43</v>
      </c>
      <c r="E1747" s="62" t="s">
        <v>25</v>
      </c>
      <c r="F1747" s="62" t="s">
        <v>25</v>
      </c>
      <c r="G1747" s="62" t="s">
        <v>25</v>
      </c>
      <c r="H1747" s="62" t="s">
        <v>34</v>
      </c>
      <c r="I1747" s="75">
        <v>44440</v>
      </c>
      <c r="J1747" s="76">
        <f>EFEITO!$J$1747*EFEITO!$Y$1747</f>
        <v>0</v>
      </c>
      <c r="K1747" s="76">
        <f ca="1">EFEITO!$L$1747*EFEITO!$Z$1747</f>
        <v>2268.5297505588705</v>
      </c>
      <c r="L1747" s="76">
        <f>EFEITO!$N$1747*EFEITO!$AA$1747</f>
        <v>1093.0370070879401</v>
      </c>
      <c r="M1747" s="76">
        <f>$J$1747-EFEITO!$K$1747*EFEITO!$Y$1747</f>
        <v>0</v>
      </c>
      <c r="N1747" s="76">
        <f ca="1">$K$1747-EFEITO!$M$1747*EFEITO!$Z$1747</f>
        <v>0</v>
      </c>
      <c r="O1747" s="76">
        <f>$L$1747-EFEITO!$O$1747*EFEITO!$AA$1747</f>
        <v>0</v>
      </c>
      <c r="P1747" s="18"/>
      <c r="Q1747" s="18"/>
      <c r="R1747" s="18"/>
      <c r="S1747" s="18"/>
      <c r="T1747" s="18"/>
      <c r="U1747" s="18"/>
      <c r="V1747" s="18"/>
      <c r="W1747" s="18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ht="11.25" customHeight="1" x14ac:dyDescent="0.2">
      <c r="A1748" s="62" t="s">
        <v>28</v>
      </c>
      <c r="B1748" s="62" t="s">
        <v>37</v>
      </c>
      <c r="C1748" s="62" t="s">
        <v>33</v>
      </c>
      <c r="D1748" s="62" t="s">
        <v>43</v>
      </c>
      <c r="E1748" s="62" t="s">
        <v>25</v>
      </c>
      <c r="F1748" s="62" t="s">
        <v>25</v>
      </c>
      <c r="G1748" s="62" t="s">
        <v>25</v>
      </c>
      <c r="H1748" s="62" t="s">
        <v>34</v>
      </c>
      <c r="I1748" s="75">
        <v>44440</v>
      </c>
      <c r="J1748" s="76">
        <f>EFEITO!$J$1748*EFEITO!$Y$1748</f>
        <v>0</v>
      </c>
      <c r="K1748" s="76">
        <f ca="1">EFEITO!$L$1748*EFEITO!$Z$1748</f>
        <v>265.70273793293353</v>
      </c>
      <c r="L1748" s="76">
        <f>EFEITO!$N$1748*EFEITO!$AA$1748</f>
        <v>128.02253326134996</v>
      </c>
      <c r="M1748" s="76">
        <f>$J$1748-EFEITO!$K$1748*EFEITO!$Y$1748</f>
        <v>0</v>
      </c>
      <c r="N1748" s="76">
        <f ca="1">$K$1748-EFEITO!$M$1748*EFEITO!$Z$1748</f>
        <v>0</v>
      </c>
      <c r="O1748" s="76">
        <f>$L$1748-EFEITO!$O$1748*EFEITO!$AA$1748</f>
        <v>0</v>
      </c>
      <c r="P1748" s="18"/>
      <c r="Q1748" s="18"/>
      <c r="R1748" s="18"/>
      <c r="S1748" s="18"/>
      <c r="T1748" s="18"/>
      <c r="U1748" s="18"/>
      <c r="V1748" s="18"/>
      <c r="W1748" s="18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</row>
    <row r="1749" spans="1:36" ht="11.25" customHeight="1" x14ac:dyDescent="0.2">
      <c r="A1749" s="62" t="s">
        <v>21</v>
      </c>
      <c r="B1749" s="62" t="s">
        <v>37</v>
      </c>
      <c r="C1749" s="62" t="s">
        <v>33</v>
      </c>
      <c r="D1749" s="62" t="s">
        <v>43</v>
      </c>
      <c r="E1749" s="62" t="s">
        <v>25</v>
      </c>
      <c r="F1749" s="62" t="s">
        <v>25</v>
      </c>
      <c r="G1749" s="62" t="s">
        <v>25</v>
      </c>
      <c r="H1749" s="62" t="s">
        <v>34</v>
      </c>
      <c r="I1749" s="75">
        <v>44470</v>
      </c>
      <c r="J1749" s="76">
        <f>EFEITO!$J$1749*EFEITO!$Y$1749</f>
        <v>0</v>
      </c>
      <c r="K1749" s="76">
        <f ca="1">EFEITO!$L$1749*EFEITO!$Z$1749</f>
        <v>2315.1071229455206</v>
      </c>
      <c r="L1749" s="76">
        <f>EFEITO!$N$1749*EFEITO!$AA$1749</f>
        <v>1115.4792041536748</v>
      </c>
      <c r="M1749" s="76">
        <f>$J$1749-EFEITO!$K$1749*EFEITO!$Y$1749</f>
        <v>0</v>
      </c>
      <c r="N1749" s="76">
        <f ca="1">$K$1749-EFEITO!$M$1749*EFEITO!$Z$1749</f>
        <v>0</v>
      </c>
      <c r="O1749" s="76">
        <f>$L$1749-EFEITO!$O$1749*EFEITO!$AA$1749</f>
        <v>0</v>
      </c>
      <c r="P1749" s="18"/>
      <c r="Q1749" s="18"/>
      <c r="R1749" s="18"/>
      <c r="S1749" s="18"/>
      <c r="T1749" s="18"/>
      <c r="U1749" s="18"/>
      <c r="V1749" s="18"/>
      <c r="W1749" s="18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</row>
    <row r="1750" spans="1:36" ht="11.25" customHeight="1" x14ac:dyDescent="0.2">
      <c r="A1750" s="62" t="s">
        <v>28</v>
      </c>
      <c r="B1750" s="62" t="s">
        <v>37</v>
      </c>
      <c r="C1750" s="62" t="s">
        <v>33</v>
      </c>
      <c r="D1750" s="62" t="s">
        <v>43</v>
      </c>
      <c r="E1750" s="62" t="s">
        <v>25</v>
      </c>
      <c r="F1750" s="62" t="s">
        <v>25</v>
      </c>
      <c r="G1750" s="62" t="s">
        <v>25</v>
      </c>
      <c r="H1750" s="62" t="s">
        <v>34</v>
      </c>
      <c r="I1750" s="75">
        <v>44470</v>
      </c>
      <c r="J1750" s="76">
        <f>EFEITO!$J$1750*EFEITO!$Y$1750</f>
        <v>0</v>
      </c>
      <c r="K1750" s="76">
        <f ca="1">EFEITO!$L$1750*EFEITO!$Z$1750</f>
        <v>263.58558464263132</v>
      </c>
      <c r="L1750" s="76">
        <f>EFEITO!$N$1750*EFEITO!$AA$1750</f>
        <v>127.00243339472567</v>
      </c>
      <c r="M1750" s="76">
        <f>$J$1750-EFEITO!$K$1750*EFEITO!$Y$1750</f>
        <v>0</v>
      </c>
      <c r="N1750" s="76">
        <f ca="1">$K$1750-EFEITO!$M$1750*EFEITO!$Z$1750</f>
        <v>0</v>
      </c>
      <c r="O1750" s="76">
        <f>$L$1750-EFEITO!$O$1750*EFEITO!$AA$1750</f>
        <v>0</v>
      </c>
      <c r="P1750" s="18"/>
      <c r="Q1750" s="18"/>
      <c r="R1750" s="18"/>
      <c r="S1750" s="18"/>
      <c r="T1750" s="18"/>
      <c r="U1750" s="18"/>
      <c r="V1750" s="18"/>
      <c r="W1750" s="18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</row>
    <row r="1751" spans="1:36" ht="11.25" customHeight="1" x14ac:dyDescent="0.2">
      <c r="A1751" s="62" t="s">
        <v>21</v>
      </c>
      <c r="B1751" s="62" t="s">
        <v>37</v>
      </c>
      <c r="C1751" s="62" t="s">
        <v>33</v>
      </c>
      <c r="D1751" s="62" t="s">
        <v>43</v>
      </c>
      <c r="E1751" s="62" t="s">
        <v>25</v>
      </c>
      <c r="F1751" s="62" t="s">
        <v>25</v>
      </c>
      <c r="G1751" s="62" t="s">
        <v>25</v>
      </c>
      <c r="H1751" s="62" t="s">
        <v>34</v>
      </c>
      <c r="I1751" s="75">
        <v>44501</v>
      </c>
      <c r="J1751" s="76">
        <f>EFEITO!$J$1751*EFEITO!$Y$1751</f>
        <v>0</v>
      </c>
      <c r="K1751" s="76">
        <f ca="1">EFEITO!$L$1751*EFEITO!$Z$1751</f>
        <v>1995.4169761098794</v>
      </c>
      <c r="L1751" s="76">
        <f>EFEITO!$N$1751*EFEITO!$AA$1751</f>
        <v>961.44412429340514</v>
      </c>
      <c r="M1751" s="76">
        <f>$J$1751-EFEITO!$K$1751*EFEITO!$Y$1751</f>
        <v>0</v>
      </c>
      <c r="N1751" s="76">
        <f ca="1">$K$1751-EFEITO!$M$1751*EFEITO!$Z$1751</f>
        <v>0</v>
      </c>
      <c r="O1751" s="76">
        <f>$L$1751-EFEITO!$O$1751*EFEITO!$AA$1751</f>
        <v>0</v>
      </c>
      <c r="P1751" s="18"/>
      <c r="Q1751" s="18"/>
      <c r="R1751" s="18"/>
      <c r="S1751" s="18"/>
      <c r="T1751" s="18"/>
      <c r="U1751" s="18"/>
      <c r="V1751" s="18"/>
      <c r="W1751" s="18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ht="11.25" customHeight="1" x14ac:dyDescent="0.2">
      <c r="A1752" s="62" t="s">
        <v>28</v>
      </c>
      <c r="B1752" s="62" t="s">
        <v>37</v>
      </c>
      <c r="C1752" s="62" t="s">
        <v>33</v>
      </c>
      <c r="D1752" s="62" t="s">
        <v>43</v>
      </c>
      <c r="E1752" s="62" t="s">
        <v>25</v>
      </c>
      <c r="F1752" s="62" t="s">
        <v>25</v>
      </c>
      <c r="G1752" s="62" t="s">
        <v>25</v>
      </c>
      <c r="H1752" s="62" t="s">
        <v>34</v>
      </c>
      <c r="I1752" s="75">
        <v>44501</v>
      </c>
      <c r="J1752" s="76">
        <f>EFEITO!$J$1752*EFEITO!$Y$1752</f>
        <v>0</v>
      </c>
      <c r="K1752" s="76">
        <f ca="1">EFEITO!$L$1752*EFEITO!$Z$1752</f>
        <v>252.99981819112</v>
      </c>
      <c r="L1752" s="76">
        <f>EFEITO!$N$1752*EFEITO!$AA$1752</f>
        <v>121.90193406160415</v>
      </c>
      <c r="M1752" s="76">
        <f>$J$1752-EFEITO!$K$1752*EFEITO!$Y$1752</f>
        <v>0</v>
      </c>
      <c r="N1752" s="76">
        <f ca="1">$K$1752-EFEITO!$M$1752*EFEITO!$Z$1752</f>
        <v>0</v>
      </c>
      <c r="O1752" s="76">
        <f>$L$1752-EFEITO!$O$1752*EFEITO!$AA$1752</f>
        <v>0</v>
      </c>
      <c r="P1752" s="18"/>
      <c r="Q1752" s="18"/>
      <c r="R1752" s="18"/>
      <c r="S1752" s="18"/>
      <c r="T1752" s="18"/>
      <c r="U1752" s="18"/>
      <c r="V1752" s="18"/>
      <c r="W1752" s="18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ht="11.25" customHeight="1" x14ac:dyDescent="0.2">
      <c r="A1753" s="62" t="s">
        <v>21</v>
      </c>
      <c r="B1753" s="62" t="s">
        <v>37</v>
      </c>
      <c r="C1753" s="62" t="s">
        <v>33</v>
      </c>
      <c r="D1753" s="62" t="s">
        <v>43</v>
      </c>
      <c r="E1753" s="62" t="s">
        <v>25</v>
      </c>
      <c r="F1753" s="62" t="s">
        <v>25</v>
      </c>
      <c r="G1753" s="62" t="s">
        <v>25</v>
      </c>
      <c r="H1753" s="62" t="s">
        <v>34</v>
      </c>
      <c r="I1753" s="75">
        <v>44531</v>
      </c>
      <c r="J1753" s="76">
        <f>EFEITO!$J$1753*EFEITO!$Y$1753</f>
        <v>0</v>
      </c>
      <c r="K1753" s="76">
        <f ca="1">EFEITO!$L$1753*EFEITO!$Z$1753</f>
        <v>2822.1653359729116</v>
      </c>
      <c r="L1753" s="76">
        <f>EFEITO!$N$1753*EFEITO!$AA$1753</f>
        <v>1359.7931222101952</v>
      </c>
      <c r="M1753" s="76">
        <f>$J$1753-EFEITO!$K$1753*EFEITO!$Y$1753</f>
        <v>0</v>
      </c>
      <c r="N1753" s="76">
        <f ca="1">$K$1753-EFEITO!$M$1753*EFEITO!$Z$1753</f>
        <v>0</v>
      </c>
      <c r="O1753" s="76">
        <f>$L$1753-EFEITO!$O$1753*EFEITO!$AA$1753</f>
        <v>0</v>
      </c>
      <c r="P1753" s="18"/>
      <c r="Q1753" s="18"/>
      <c r="R1753" s="18"/>
      <c r="S1753" s="18"/>
      <c r="T1753" s="18"/>
      <c r="U1753" s="18"/>
      <c r="V1753" s="18"/>
      <c r="W1753" s="18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</row>
    <row r="1754" spans="1:36" ht="11.25" customHeight="1" x14ac:dyDescent="0.2">
      <c r="A1754" s="62" t="s">
        <v>28</v>
      </c>
      <c r="B1754" s="62" t="s">
        <v>37</v>
      </c>
      <c r="C1754" s="62" t="s">
        <v>33</v>
      </c>
      <c r="D1754" s="62" t="s">
        <v>43</v>
      </c>
      <c r="E1754" s="62" t="s">
        <v>25</v>
      </c>
      <c r="F1754" s="62" t="s">
        <v>25</v>
      </c>
      <c r="G1754" s="62" t="s">
        <v>25</v>
      </c>
      <c r="H1754" s="62" t="s">
        <v>34</v>
      </c>
      <c r="I1754" s="75">
        <v>44531</v>
      </c>
      <c r="J1754" s="76">
        <f>EFEITO!$J$1754*EFEITO!$Y$1754</f>
        <v>0</v>
      </c>
      <c r="K1754" s="76">
        <f ca="1">EFEITO!$L$1754*EFEITO!$Z$1754</f>
        <v>278.40565767474715</v>
      </c>
      <c r="L1754" s="76">
        <f>EFEITO!$N$1754*EFEITO!$AA$1754</f>
        <v>134.1431324610958</v>
      </c>
      <c r="M1754" s="76">
        <f>$J$1754-EFEITO!$K$1754*EFEITO!$Y$1754</f>
        <v>0</v>
      </c>
      <c r="N1754" s="76">
        <f ca="1">$K$1754-EFEITO!$M$1754*EFEITO!$Z$1754</f>
        <v>0</v>
      </c>
      <c r="O1754" s="76">
        <f>$L$1754-EFEITO!$O$1754*EFEITO!$AA$1754</f>
        <v>0</v>
      </c>
      <c r="P1754" s="18"/>
      <c r="Q1754" s="18"/>
      <c r="R1754" s="18"/>
      <c r="S1754" s="18"/>
      <c r="T1754" s="18"/>
      <c r="U1754" s="18"/>
      <c r="V1754" s="18"/>
      <c r="W1754" s="18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ht="11.25" customHeight="1" x14ac:dyDescent="0.2">
      <c r="A1755" s="62" t="s">
        <v>21</v>
      </c>
      <c r="B1755" s="62" t="s">
        <v>37</v>
      </c>
      <c r="C1755" s="62" t="s">
        <v>33</v>
      </c>
      <c r="D1755" s="62" t="s">
        <v>43</v>
      </c>
      <c r="E1755" s="62" t="s">
        <v>25</v>
      </c>
      <c r="F1755" s="62" t="s">
        <v>25</v>
      </c>
      <c r="G1755" s="62" t="s">
        <v>25</v>
      </c>
      <c r="H1755" s="62" t="s">
        <v>34</v>
      </c>
      <c r="I1755" s="75">
        <v>44562</v>
      </c>
      <c r="J1755" s="76">
        <f>EFEITO!$J$1755*EFEITO!$Y$1755</f>
        <v>0</v>
      </c>
      <c r="K1755" s="76">
        <f ca="1">EFEITO!$L$1755*EFEITO!$Z$1755</f>
        <v>2551.1697148142225</v>
      </c>
      <c r="L1755" s="76">
        <f>EFEITO!$N$1755*EFEITO!$AA$1755</f>
        <v>1229.2203392822846</v>
      </c>
      <c r="M1755" s="76">
        <f>$J$1755-EFEITO!$K$1755*EFEITO!$Y$1755</f>
        <v>0</v>
      </c>
      <c r="N1755" s="76">
        <f ca="1">$K$1755-EFEITO!$M$1755*EFEITO!$Z$1755</f>
        <v>0</v>
      </c>
      <c r="O1755" s="76">
        <f>$L$1755-EFEITO!$O$1755*EFEITO!$AA$1755</f>
        <v>0</v>
      </c>
      <c r="P1755" s="18"/>
      <c r="Q1755" s="18"/>
      <c r="R1755" s="18"/>
      <c r="S1755" s="18"/>
      <c r="T1755" s="18"/>
      <c r="U1755" s="18"/>
      <c r="V1755" s="18"/>
      <c r="W1755" s="18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</row>
    <row r="1756" spans="1:36" ht="11.25" customHeight="1" x14ac:dyDescent="0.2">
      <c r="A1756" s="62" t="s">
        <v>27</v>
      </c>
      <c r="B1756" s="62" t="s">
        <v>37</v>
      </c>
      <c r="C1756" s="62" t="s">
        <v>33</v>
      </c>
      <c r="D1756" s="62" t="s">
        <v>43</v>
      </c>
      <c r="E1756" s="62" t="s">
        <v>25</v>
      </c>
      <c r="F1756" s="62" t="s">
        <v>25</v>
      </c>
      <c r="G1756" s="62" t="s">
        <v>25</v>
      </c>
      <c r="H1756" s="62" t="s">
        <v>34</v>
      </c>
      <c r="I1756" s="75">
        <v>44562</v>
      </c>
      <c r="J1756" s="76">
        <f>EFEITO!$J$1756*EFEITO!$Y$1756</f>
        <v>0</v>
      </c>
      <c r="K1756" s="76">
        <f ca="1">EFEITO!$L$1756*EFEITO!$Z$1756</f>
        <v>-567.39708180100558</v>
      </c>
      <c r="L1756" s="76">
        <f>EFEITO!$N$1756*EFEITO!$AA$1756</f>
        <v>-273.3867642553131</v>
      </c>
      <c r="M1756" s="76">
        <f>$J$1756-EFEITO!$K$1756*EFEITO!$Y$1756</f>
        <v>0</v>
      </c>
      <c r="N1756" s="76">
        <f ca="1">$K$1756-EFEITO!$M$1756*EFEITO!$Z$1756</f>
        <v>0</v>
      </c>
      <c r="O1756" s="76">
        <f>$L$1756-EFEITO!$O$1756*EFEITO!$AA$1756</f>
        <v>0</v>
      </c>
      <c r="P1756" s="18"/>
      <c r="Q1756" s="18"/>
      <c r="R1756" s="18"/>
      <c r="S1756" s="18"/>
      <c r="T1756" s="18"/>
      <c r="U1756" s="18"/>
      <c r="V1756" s="18"/>
      <c r="W1756" s="18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ht="11.25" customHeight="1" x14ac:dyDescent="0.2">
      <c r="A1757" s="62" t="s">
        <v>28</v>
      </c>
      <c r="B1757" s="62" t="s">
        <v>37</v>
      </c>
      <c r="C1757" s="62" t="s">
        <v>33</v>
      </c>
      <c r="D1757" s="62" t="s">
        <v>43</v>
      </c>
      <c r="E1757" s="62" t="s">
        <v>25</v>
      </c>
      <c r="F1757" s="62" t="s">
        <v>25</v>
      </c>
      <c r="G1757" s="62" t="s">
        <v>25</v>
      </c>
      <c r="H1757" s="62" t="s">
        <v>34</v>
      </c>
      <c r="I1757" s="75">
        <v>44562</v>
      </c>
      <c r="J1757" s="76">
        <f>EFEITO!$J$1757*EFEITO!$Y$1757</f>
        <v>0</v>
      </c>
      <c r="K1757" s="76">
        <f ca="1">EFEITO!$L$1757*EFEITO!$Z$1757</f>
        <v>290.05000077140954</v>
      </c>
      <c r="L1757" s="76">
        <f>EFEITO!$N$1757*EFEITO!$AA$1757</f>
        <v>139.75368172752945</v>
      </c>
      <c r="M1757" s="76">
        <f>$J$1757-EFEITO!$K$1757*EFEITO!$Y$1757</f>
        <v>0</v>
      </c>
      <c r="N1757" s="76">
        <f ca="1">$K$1757-EFEITO!$M$1757*EFEITO!$Z$1757</f>
        <v>0</v>
      </c>
      <c r="O1757" s="76">
        <f>$L$1757-EFEITO!$O$1757*EFEITO!$AA$1757</f>
        <v>0</v>
      </c>
      <c r="P1757" s="18"/>
      <c r="Q1757" s="18"/>
      <c r="R1757" s="18"/>
      <c r="S1757" s="18"/>
      <c r="T1757" s="18"/>
      <c r="U1757" s="18"/>
      <c r="V1757" s="18"/>
      <c r="W1757" s="18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ht="11.25" customHeight="1" x14ac:dyDescent="0.2">
      <c r="A1758" s="62" t="s">
        <v>21</v>
      </c>
      <c r="B1758" s="62" t="s">
        <v>37</v>
      </c>
      <c r="C1758" s="62" t="s">
        <v>33</v>
      </c>
      <c r="D1758" s="62" t="s">
        <v>43</v>
      </c>
      <c r="E1758" s="62" t="s">
        <v>25</v>
      </c>
      <c r="F1758" s="62" t="s">
        <v>25</v>
      </c>
      <c r="G1758" s="62" t="s">
        <v>25</v>
      </c>
      <c r="H1758" s="62" t="s">
        <v>34</v>
      </c>
      <c r="I1758" s="75">
        <v>44593</v>
      </c>
      <c r="J1758" s="76">
        <f>EFEITO!$J$1758*EFEITO!$Y$1758</f>
        <v>0</v>
      </c>
      <c r="K1758" s="76">
        <f ca="1">EFEITO!$L$1758*EFEITO!$Z$1758</f>
        <v>2337.3372324936945</v>
      </c>
      <c r="L1758" s="76">
        <f>EFEITO!$N$1758*EFEITO!$AA$1758</f>
        <v>1126.1902527532302</v>
      </c>
      <c r="M1758" s="76">
        <f>$J$1758-EFEITO!$K$1758*EFEITO!$Y$1758</f>
        <v>0</v>
      </c>
      <c r="N1758" s="76">
        <f ca="1">$K$1758-EFEITO!$M$1758*EFEITO!$Z$1758</f>
        <v>0</v>
      </c>
      <c r="O1758" s="76">
        <f>$L$1758-EFEITO!$O$1758*EFEITO!$AA$1758</f>
        <v>0</v>
      </c>
      <c r="P1758" s="18"/>
      <c r="Q1758" s="18"/>
      <c r="R1758" s="18"/>
      <c r="S1758" s="18"/>
      <c r="T1758" s="18"/>
      <c r="U1758" s="18"/>
      <c r="V1758" s="18"/>
      <c r="W1758" s="18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ht="11.25" customHeight="1" x14ac:dyDescent="0.2">
      <c r="A1759" s="62" t="s">
        <v>28</v>
      </c>
      <c r="B1759" s="62" t="s">
        <v>37</v>
      </c>
      <c r="C1759" s="62" t="s">
        <v>33</v>
      </c>
      <c r="D1759" s="62" t="s">
        <v>43</v>
      </c>
      <c r="E1759" s="62" t="s">
        <v>25</v>
      </c>
      <c r="F1759" s="62" t="s">
        <v>25</v>
      </c>
      <c r="G1759" s="62" t="s">
        <v>25</v>
      </c>
      <c r="H1759" s="62" t="s">
        <v>34</v>
      </c>
      <c r="I1759" s="75">
        <v>44593</v>
      </c>
      <c r="J1759" s="76">
        <f>EFEITO!$J$1759*EFEITO!$Y$1759</f>
        <v>0</v>
      </c>
      <c r="K1759" s="76">
        <f ca="1">EFEITO!$L$1759*EFEITO!$Z$1759</f>
        <v>260.40985470717789</v>
      </c>
      <c r="L1759" s="76">
        <f>EFEITO!$N$1759*EFEITO!$AA$1759</f>
        <v>125.4722835947892</v>
      </c>
      <c r="M1759" s="76">
        <f>$J$1759-EFEITO!$K$1759*EFEITO!$Y$1759</f>
        <v>0</v>
      </c>
      <c r="N1759" s="76">
        <f ca="1">$K$1759-EFEITO!$M$1759*EFEITO!$Z$1759</f>
        <v>0</v>
      </c>
      <c r="O1759" s="76">
        <f>$L$1759-EFEITO!$O$1759*EFEITO!$AA$1759</f>
        <v>0</v>
      </c>
      <c r="P1759" s="18"/>
      <c r="Q1759" s="18"/>
      <c r="R1759" s="18"/>
      <c r="S1759" s="18"/>
      <c r="T1759" s="18"/>
      <c r="U1759" s="18"/>
      <c r="V1759" s="18"/>
      <c r="W1759" s="18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ht="11.25" customHeight="1" x14ac:dyDescent="0.2">
      <c r="A1760" s="62" t="s">
        <v>21</v>
      </c>
      <c r="B1760" s="62" t="s">
        <v>37</v>
      </c>
      <c r="C1760" s="62" t="s">
        <v>33</v>
      </c>
      <c r="D1760" s="62" t="s">
        <v>43</v>
      </c>
      <c r="E1760" s="62" t="s">
        <v>25</v>
      </c>
      <c r="F1760" s="62" t="s">
        <v>25</v>
      </c>
      <c r="G1760" s="62" t="s">
        <v>25</v>
      </c>
      <c r="H1760" s="62" t="s">
        <v>34</v>
      </c>
      <c r="I1760" s="75">
        <v>44621</v>
      </c>
      <c r="J1760" s="76">
        <f>EFEITO!$J$1760*EFEITO!$Y$1760</f>
        <v>0</v>
      </c>
      <c r="K1760" s="76">
        <f ca="1">EFEITO!$L$1760*EFEITO!$Z$1760</f>
        <v>2175.3750057855718</v>
      </c>
      <c r="L1760" s="76">
        <f>EFEITO!$N$1760*EFEITO!$AA$1760</f>
        <v>1048.1526129564709</v>
      </c>
      <c r="M1760" s="76">
        <f>$J$1760-EFEITO!$K$1760*EFEITO!$Y$1760</f>
        <v>0</v>
      </c>
      <c r="N1760" s="76">
        <f ca="1">$K$1760-EFEITO!$M$1760*EFEITO!$Z$1760</f>
        <v>0</v>
      </c>
      <c r="O1760" s="76">
        <f>$L$1760-EFEITO!$O$1760*EFEITO!$AA$1760</f>
        <v>0</v>
      </c>
      <c r="P1760" s="18"/>
      <c r="Q1760" s="18"/>
      <c r="R1760" s="18"/>
      <c r="S1760" s="18"/>
      <c r="T1760" s="18"/>
      <c r="U1760" s="18"/>
      <c r="V1760" s="18"/>
      <c r="W1760" s="18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36" ht="11.25" customHeight="1" x14ac:dyDescent="0.2">
      <c r="A1761" s="62" t="s">
        <v>28</v>
      </c>
      <c r="B1761" s="62" t="s">
        <v>37</v>
      </c>
      <c r="C1761" s="62" t="s">
        <v>33</v>
      </c>
      <c r="D1761" s="62" t="s">
        <v>43</v>
      </c>
      <c r="E1761" s="62" t="s">
        <v>25</v>
      </c>
      <c r="F1761" s="62" t="s">
        <v>25</v>
      </c>
      <c r="G1761" s="62" t="s">
        <v>25</v>
      </c>
      <c r="H1761" s="62" t="s">
        <v>34</v>
      </c>
      <c r="I1761" s="75">
        <v>44621</v>
      </c>
      <c r="J1761" s="76">
        <f>EFEITO!$J$1761*EFEITO!$Y$1761</f>
        <v>0</v>
      </c>
      <c r="K1761" s="76">
        <f ca="1">EFEITO!$L$1761*EFEITO!$Z$1761</f>
        <v>35.991605935138409</v>
      </c>
      <c r="L1761" s="76">
        <f>EFEITO!$N$1761*EFEITO!$AA$1761</f>
        <v>17.341697732613145</v>
      </c>
      <c r="M1761" s="76">
        <f>$J$1761-EFEITO!$K$1761*EFEITO!$Y$1761</f>
        <v>0</v>
      </c>
      <c r="N1761" s="76">
        <f ca="1">$K$1761-EFEITO!$M$1761*EFEITO!$Z$1761</f>
        <v>0</v>
      </c>
      <c r="O1761" s="76">
        <f>$L$1761-EFEITO!$O$1761*EFEITO!$AA$1761</f>
        <v>0</v>
      </c>
      <c r="P1761" s="18"/>
      <c r="Q1761" s="18"/>
      <c r="R1761" s="18"/>
      <c r="S1761" s="18"/>
      <c r="T1761" s="18"/>
      <c r="U1761" s="18"/>
      <c r="V1761" s="18"/>
      <c r="W1761" s="18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</row>
    <row r="1762" spans="1:36" ht="11.25" customHeight="1" x14ac:dyDescent="0.2">
      <c r="A1762" s="62" t="s">
        <v>21</v>
      </c>
      <c r="B1762" s="62" t="s">
        <v>37</v>
      </c>
      <c r="C1762" s="62" t="s">
        <v>33</v>
      </c>
      <c r="D1762" s="62" t="s">
        <v>43</v>
      </c>
      <c r="E1762" s="62" t="s">
        <v>25</v>
      </c>
      <c r="F1762" s="62" t="s">
        <v>25</v>
      </c>
      <c r="G1762" s="62" t="s">
        <v>25</v>
      </c>
      <c r="H1762" s="62" t="s">
        <v>34</v>
      </c>
      <c r="I1762" s="75">
        <v>44652</v>
      </c>
      <c r="J1762" s="76">
        <f>EFEITO!$J$1762*EFEITO!$Y$1762</f>
        <v>0</v>
      </c>
      <c r="K1762" s="76">
        <f ca="1">EFEITO!$L$1762*EFEITO!$Z$1762</f>
        <v>2071.6344945607607</v>
      </c>
      <c r="L1762" s="76">
        <f>EFEITO!$N$1762*EFEITO!$AA$1762</f>
        <v>998.16771949188012</v>
      </c>
      <c r="M1762" s="76">
        <f>$J$1762-EFEITO!$K$1762*EFEITO!$Y$1762</f>
        <v>0</v>
      </c>
      <c r="N1762" s="76">
        <f ca="1">$K$1762-EFEITO!$M$1762*EFEITO!$Z$1762</f>
        <v>0</v>
      </c>
      <c r="O1762" s="76">
        <f>$L$1762-EFEITO!$O$1762*EFEITO!$AA$1762</f>
        <v>0</v>
      </c>
      <c r="P1762" s="18"/>
      <c r="Q1762" s="18"/>
      <c r="R1762" s="18"/>
      <c r="S1762" s="18"/>
      <c r="T1762" s="18"/>
      <c r="U1762" s="18"/>
      <c r="V1762" s="18"/>
      <c r="W1762" s="18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</row>
    <row r="1763" spans="1:36" ht="11.25" customHeight="1" x14ac:dyDescent="0.2">
      <c r="A1763" s="62" t="s">
        <v>58</v>
      </c>
      <c r="B1763" s="62" t="s">
        <v>37</v>
      </c>
      <c r="C1763" s="62" t="s">
        <v>33</v>
      </c>
      <c r="D1763" s="62" t="s">
        <v>43</v>
      </c>
      <c r="E1763" s="62" t="s">
        <v>25</v>
      </c>
      <c r="F1763" s="62" t="s">
        <v>25</v>
      </c>
      <c r="G1763" s="62" t="s">
        <v>25</v>
      </c>
      <c r="H1763" s="62" t="s">
        <v>34</v>
      </c>
      <c r="I1763" s="75">
        <v>44682</v>
      </c>
      <c r="J1763" s="76">
        <f>EFEITO!$J$1763*EFEITO!$Y$1763</f>
        <v>0</v>
      </c>
      <c r="K1763" s="76">
        <f ca="1">EFEITO!$L$1763*EFEITO!$Z$1763</f>
        <v>2071.6344945607607</v>
      </c>
      <c r="L1763" s="76">
        <f>EFEITO!$N$1763*EFEITO!$AA$1763</f>
        <v>998.16771949188012</v>
      </c>
      <c r="M1763" s="76">
        <f>$J$1763-EFEITO!$K$1763*EFEITO!$Y$1763</f>
        <v>0</v>
      </c>
      <c r="N1763" s="76">
        <f ca="1">$K$1763-EFEITO!$M$1763*EFEITO!$Z$1763</f>
        <v>0</v>
      </c>
      <c r="O1763" s="76">
        <f>$L$1763-EFEITO!$O$1763*EFEITO!$AA$1763</f>
        <v>0</v>
      </c>
      <c r="P1763" s="18"/>
      <c r="Q1763" s="18"/>
      <c r="R1763" s="18"/>
      <c r="S1763" s="18"/>
      <c r="T1763" s="18"/>
      <c r="U1763" s="18"/>
      <c r="V1763" s="18"/>
      <c r="W1763" s="18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</row>
    <row r="1764" spans="1:36" ht="11.25" customHeight="1" x14ac:dyDescent="0.2">
      <c r="A1764" s="62" t="s">
        <v>21</v>
      </c>
      <c r="B1764" s="62" t="s">
        <v>37</v>
      </c>
      <c r="C1764" s="62" t="s">
        <v>33</v>
      </c>
      <c r="D1764" s="62" t="s">
        <v>38</v>
      </c>
      <c r="E1764" s="62" t="s">
        <v>25</v>
      </c>
      <c r="F1764" s="62" t="s">
        <v>25</v>
      </c>
      <c r="G1764" s="62" t="s">
        <v>25</v>
      </c>
      <c r="H1764" s="62" t="s">
        <v>35</v>
      </c>
      <c r="I1764" s="75">
        <v>44348</v>
      </c>
      <c r="J1764" s="76">
        <f>EFEITO!$J$1764*EFEITO!$Y$1764</f>
        <v>0</v>
      </c>
      <c r="K1764" s="76">
        <f ca="1">EFEITO!$L$1764*EFEITO!$Z$1764</f>
        <v>1950.228857360195</v>
      </c>
      <c r="L1764" s="76">
        <f>EFEITO!$N$1764*EFEITO!$AA$1764</f>
        <v>1726.2054183782443</v>
      </c>
      <c r="M1764" s="76">
        <f>$J$1764-EFEITO!$K$1764*EFEITO!$Y$1764</f>
        <v>0</v>
      </c>
      <c r="N1764" s="76">
        <f ca="1">$K$1764-EFEITO!$M$1764*EFEITO!$Z$1764</f>
        <v>0</v>
      </c>
      <c r="O1764" s="76">
        <f>$L$1764-EFEITO!$O$1764*EFEITO!$AA$1764</f>
        <v>0</v>
      </c>
      <c r="P1764" s="18"/>
      <c r="Q1764" s="18"/>
      <c r="R1764" s="18"/>
      <c r="S1764" s="18"/>
      <c r="T1764" s="18"/>
      <c r="U1764" s="18"/>
      <c r="V1764" s="18"/>
      <c r="W1764" s="18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</row>
    <row r="1765" spans="1:36" ht="11.25" customHeight="1" x14ac:dyDescent="0.2">
      <c r="A1765" s="62" t="s">
        <v>21</v>
      </c>
      <c r="B1765" s="62" t="s">
        <v>37</v>
      </c>
      <c r="C1765" s="62" t="s">
        <v>33</v>
      </c>
      <c r="D1765" s="62" t="s">
        <v>38</v>
      </c>
      <c r="E1765" s="62" t="s">
        <v>25</v>
      </c>
      <c r="F1765" s="62" t="s">
        <v>25</v>
      </c>
      <c r="G1765" s="62" t="s">
        <v>25</v>
      </c>
      <c r="H1765" s="62" t="s">
        <v>35</v>
      </c>
      <c r="I1765" s="75">
        <v>44378</v>
      </c>
      <c r="J1765" s="76">
        <f>EFEITO!$J$1765*EFEITO!$Y$1765</f>
        <v>0</v>
      </c>
      <c r="K1765" s="76">
        <f ca="1">EFEITO!$L$1765*EFEITO!$Z$1765</f>
        <v>1852.5581688043223</v>
      </c>
      <c r="L1765" s="76">
        <f>EFEITO!$N$1765*EFEITO!$AA$1765</f>
        <v>1639.754194376721</v>
      </c>
      <c r="M1765" s="76">
        <f>$J$1765-EFEITO!$K$1765*EFEITO!$Y$1765</f>
        <v>0</v>
      </c>
      <c r="N1765" s="76">
        <f ca="1">$K$1765-EFEITO!$M$1765*EFEITO!$Z$1765</f>
        <v>0</v>
      </c>
      <c r="O1765" s="76">
        <f>$L$1765-EFEITO!$O$1765*EFEITO!$AA$1765</f>
        <v>0</v>
      </c>
      <c r="P1765" s="18"/>
      <c r="Q1765" s="18"/>
      <c r="R1765" s="18"/>
      <c r="S1765" s="18"/>
      <c r="T1765" s="18"/>
      <c r="U1765" s="18"/>
      <c r="V1765" s="18"/>
      <c r="W1765" s="18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</row>
    <row r="1766" spans="1:36" ht="11.25" customHeight="1" x14ac:dyDescent="0.2">
      <c r="A1766" s="62" t="s">
        <v>21</v>
      </c>
      <c r="B1766" s="62" t="s">
        <v>37</v>
      </c>
      <c r="C1766" s="62" t="s">
        <v>33</v>
      </c>
      <c r="D1766" s="62" t="s">
        <v>38</v>
      </c>
      <c r="E1766" s="62" t="s">
        <v>25</v>
      </c>
      <c r="F1766" s="62" t="s">
        <v>25</v>
      </c>
      <c r="G1766" s="62" t="s">
        <v>25</v>
      </c>
      <c r="H1766" s="62" t="s">
        <v>35</v>
      </c>
      <c r="I1766" s="75">
        <v>44409</v>
      </c>
      <c r="J1766" s="76">
        <f>EFEITO!$J$1766*EFEITO!$Y$1766</f>
        <v>0</v>
      </c>
      <c r="K1766" s="76">
        <f ca="1">EFEITO!$L$1766*EFEITO!$Z$1766</f>
        <v>1936.4275644120826</v>
      </c>
      <c r="L1766" s="76">
        <f>EFEITO!$N$1766*EFEITO!$AA$1766</f>
        <v>1713.989484551942</v>
      </c>
      <c r="M1766" s="76">
        <f>$J$1766-EFEITO!$K$1766*EFEITO!$Y$1766</f>
        <v>0</v>
      </c>
      <c r="N1766" s="76">
        <f ca="1">$K$1766-EFEITO!$M$1766*EFEITO!$Z$1766</f>
        <v>0</v>
      </c>
      <c r="O1766" s="76">
        <f>$L$1766-EFEITO!$O$1766*EFEITO!$AA$1766</f>
        <v>0</v>
      </c>
      <c r="P1766" s="18"/>
      <c r="Q1766" s="18"/>
      <c r="R1766" s="18"/>
      <c r="S1766" s="18"/>
      <c r="T1766" s="18"/>
      <c r="U1766" s="18"/>
      <c r="V1766" s="18"/>
      <c r="W1766" s="18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</row>
    <row r="1767" spans="1:36" ht="11.25" customHeight="1" x14ac:dyDescent="0.2">
      <c r="A1767" s="62" t="s">
        <v>21</v>
      </c>
      <c r="B1767" s="62" t="s">
        <v>37</v>
      </c>
      <c r="C1767" s="62" t="s">
        <v>33</v>
      </c>
      <c r="D1767" s="62" t="s">
        <v>38</v>
      </c>
      <c r="E1767" s="62" t="s">
        <v>25</v>
      </c>
      <c r="F1767" s="62" t="s">
        <v>25</v>
      </c>
      <c r="G1767" s="62" t="s">
        <v>25</v>
      </c>
      <c r="H1767" s="62" t="s">
        <v>35</v>
      </c>
      <c r="I1767" s="75">
        <v>44440</v>
      </c>
      <c r="J1767" s="76">
        <f>EFEITO!$J$1767*EFEITO!$Y$1767</f>
        <v>0</v>
      </c>
      <c r="K1767" s="76">
        <f ca="1">EFEITO!$L$1767*EFEITO!$Z$1767</f>
        <v>2667.5422113556797</v>
      </c>
      <c r="L1767" s="76">
        <f>EFEITO!$N$1767*EFEITO!$AA$1767</f>
        <v>2361.1207482734903</v>
      </c>
      <c r="M1767" s="76">
        <f>$J$1767-EFEITO!$K$1767*EFEITO!$Y$1767</f>
        <v>0</v>
      </c>
      <c r="N1767" s="76">
        <f ca="1">$K$1767-EFEITO!$M$1767*EFEITO!$Z$1767</f>
        <v>0</v>
      </c>
      <c r="O1767" s="76">
        <f>$L$1767-EFEITO!$O$1767*EFEITO!$AA$1767</f>
        <v>0</v>
      </c>
      <c r="P1767" s="18"/>
      <c r="Q1767" s="18"/>
      <c r="R1767" s="18"/>
      <c r="S1767" s="18"/>
      <c r="T1767" s="18"/>
      <c r="U1767" s="18"/>
      <c r="V1767" s="18"/>
      <c r="W1767" s="18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</row>
    <row r="1768" spans="1:36" ht="11.25" customHeight="1" x14ac:dyDescent="0.2">
      <c r="A1768" s="62" t="s">
        <v>21</v>
      </c>
      <c r="B1768" s="62" t="s">
        <v>37</v>
      </c>
      <c r="C1768" s="62" t="s">
        <v>33</v>
      </c>
      <c r="D1768" s="62" t="s">
        <v>38</v>
      </c>
      <c r="E1768" s="62" t="s">
        <v>25</v>
      </c>
      <c r="F1768" s="62" t="s">
        <v>25</v>
      </c>
      <c r="G1768" s="62" t="s">
        <v>25</v>
      </c>
      <c r="H1768" s="62" t="s">
        <v>35</v>
      </c>
      <c r="I1768" s="75">
        <v>44470</v>
      </c>
      <c r="J1768" s="76">
        <f>EFEITO!$J$1768*EFEITO!$Y$1768</f>
        <v>0</v>
      </c>
      <c r="K1768" s="76">
        <f ca="1">EFEITO!$L$1768*EFEITO!$Z$1768</f>
        <v>1725.1616185140538</v>
      </c>
      <c r="L1768" s="76">
        <f>EFEITO!$N$1768*EFEITO!$AA$1768</f>
        <v>1526.9917282877773</v>
      </c>
      <c r="M1768" s="76">
        <f>$J$1768-EFEITO!$K$1768*EFEITO!$Y$1768</f>
        <v>0</v>
      </c>
      <c r="N1768" s="76">
        <f ca="1">$K$1768-EFEITO!$M$1768*EFEITO!$Z$1768</f>
        <v>0</v>
      </c>
      <c r="O1768" s="76">
        <f>$L$1768-EFEITO!$O$1768*EFEITO!$AA$1768</f>
        <v>0</v>
      </c>
      <c r="P1768" s="18"/>
      <c r="Q1768" s="18"/>
      <c r="R1768" s="18"/>
      <c r="S1768" s="18"/>
      <c r="T1768" s="18"/>
      <c r="U1768" s="18"/>
      <c r="V1768" s="18"/>
      <c r="W1768" s="18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</row>
    <row r="1769" spans="1:36" ht="11.25" customHeight="1" x14ac:dyDescent="0.2">
      <c r="A1769" s="62" t="s">
        <v>21</v>
      </c>
      <c r="B1769" s="62" t="s">
        <v>37</v>
      </c>
      <c r="C1769" s="62" t="s">
        <v>33</v>
      </c>
      <c r="D1769" s="62" t="s">
        <v>38</v>
      </c>
      <c r="E1769" s="62" t="s">
        <v>25</v>
      </c>
      <c r="F1769" s="62" t="s">
        <v>25</v>
      </c>
      <c r="G1769" s="62" t="s">
        <v>25</v>
      </c>
      <c r="H1769" s="62" t="s">
        <v>35</v>
      </c>
      <c r="I1769" s="75">
        <v>44501</v>
      </c>
      <c r="J1769" s="76">
        <f>EFEITO!$J$1769*EFEITO!$Y$1769</f>
        <v>0</v>
      </c>
      <c r="K1769" s="76">
        <f ca="1">EFEITO!$L$1769*EFEITO!$Z$1769</f>
        <v>1999.7719602508548</v>
      </c>
      <c r="L1769" s="76">
        <f>EFEITO!$N$1769*EFEITO!$AA$1769</f>
        <v>1770.0574885239444</v>
      </c>
      <c r="M1769" s="76">
        <f>$J$1769-EFEITO!$K$1769*EFEITO!$Y$1769</f>
        <v>0</v>
      </c>
      <c r="N1769" s="76">
        <f ca="1">$K$1769-EFEITO!$M$1769*EFEITO!$Z$1769</f>
        <v>0</v>
      </c>
      <c r="O1769" s="76">
        <f>$L$1769-EFEITO!$O$1769*EFEITO!$AA$1769</f>
        <v>0</v>
      </c>
      <c r="P1769" s="18"/>
      <c r="Q1769" s="18"/>
      <c r="R1769" s="18"/>
      <c r="S1769" s="18"/>
      <c r="T1769" s="18"/>
      <c r="U1769" s="18"/>
      <c r="V1769" s="18"/>
      <c r="W1769" s="18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</row>
    <row r="1770" spans="1:36" ht="11.25" customHeight="1" x14ac:dyDescent="0.2">
      <c r="A1770" s="62" t="s">
        <v>21</v>
      </c>
      <c r="B1770" s="62" t="s">
        <v>37</v>
      </c>
      <c r="C1770" s="62" t="s">
        <v>33</v>
      </c>
      <c r="D1770" s="62" t="s">
        <v>38</v>
      </c>
      <c r="E1770" s="62" t="s">
        <v>25</v>
      </c>
      <c r="F1770" s="62" t="s">
        <v>25</v>
      </c>
      <c r="G1770" s="62" t="s">
        <v>25</v>
      </c>
      <c r="H1770" s="62" t="s">
        <v>35</v>
      </c>
      <c r="I1770" s="75">
        <v>44531</v>
      </c>
      <c r="J1770" s="76">
        <f>EFEITO!$J$1770*EFEITO!$Y$1770</f>
        <v>0</v>
      </c>
      <c r="K1770" s="76">
        <f ca="1">EFEITO!$L$1770*EFEITO!$Z$1770</f>
        <v>1943.1512712329577</v>
      </c>
      <c r="L1770" s="76">
        <f>EFEITO!$N$1770*EFEITO!$AA$1770</f>
        <v>1719.9408369288583</v>
      </c>
      <c r="M1770" s="76">
        <f>$J$1770-EFEITO!$K$1770*EFEITO!$Y$1770</f>
        <v>0</v>
      </c>
      <c r="N1770" s="76">
        <f ca="1">$K$1770-EFEITO!$M$1770*EFEITO!$Z$1770</f>
        <v>0</v>
      </c>
      <c r="O1770" s="76">
        <f>$L$1770-EFEITO!$O$1770*EFEITO!$AA$1770</f>
        <v>0</v>
      </c>
      <c r="P1770" s="18"/>
      <c r="Q1770" s="18"/>
      <c r="R1770" s="18"/>
      <c r="S1770" s="18"/>
      <c r="T1770" s="18"/>
      <c r="U1770" s="18"/>
      <c r="V1770" s="18"/>
      <c r="W1770" s="18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</row>
    <row r="1771" spans="1:36" ht="11.25" customHeight="1" x14ac:dyDescent="0.2">
      <c r="A1771" s="62" t="s">
        <v>21</v>
      </c>
      <c r="B1771" s="62" t="s">
        <v>37</v>
      </c>
      <c r="C1771" s="62" t="s">
        <v>33</v>
      </c>
      <c r="D1771" s="62" t="s">
        <v>38</v>
      </c>
      <c r="E1771" s="62" t="s">
        <v>25</v>
      </c>
      <c r="F1771" s="62" t="s">
        <v>25</v>
      </c>
      <c r="G1771" s="62" t="s">
        <v>25</v>
      </c>
      <c r="H1771" s="62" t="s">
        <v>35</v>
      </c>
      <c r="I1771" s="75">
        <v>44562</v>
      </c>
      <c r="J1771" s="76">
        <f>EFEITO!$J$1771*EFEITO!$Y$1771</f>
        <v>0</v>
      </c>
      <c r="K1771" s="76">
        <f ca="1">EFEITO!$L$1771*EFEITO!$Z$1771</f>
        <v>2433.2741105441301</v>
      </c>
      <c r="L1771" s="76">
        <f>EFEITO!$N$1771*EFEITO!$AA$1771</f>
        <v>2153.7631022988221</v>
      </c>
      <c r="M1771" s="76">
        <f>$J$1771-EFEITO!$K$1771*EFEITO!$Y$1771</f>
        <v>0</v>
      </c>
      <c r="N1771" s="76">
        <f ca="1">$K$1771-EFEITO!$M$1771*EFEITO!$Z$1771</f>
        <v>0</v>
      </c>
      <c r="O1771" s="76">
        <f>$L$1771-EFEITO!$O$1771*EFEITO!$AA$1771</f>
        <v>0</v>
      </c>
      <c r="P1771" s="18"/>
      <c r="Q1771" s="18"/>
      <c r="R1771" s="18"/>
      <c r="S1771" s="18"/>
      <c r="T1771" s="18"/>
      <c r="U1771" s="18"/>
      <c r="V1771" s="18"/>
      <c r="W1771" s="18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</row>
    <row r="1772" spans="1:36" ht="11.25" customHeight="1" x14ac:dyDescent="0.2">
      <c r="A1772" s="62" t="s">
        <v>21</v>
      </c>
      <c r="B1772" s="62" t="s">
        <v>37</v>
      </c>
      <c r="C1772" s="62" t="s">
        <v>33</v>
      </c>
      <c r="D1772" s="62" t="s">
        <v>38</v>
      </c>
      <c r="E1772" s="62" t="s">
        <v>25</v>
      </c>
      <c r="F1772" s="62" t="s">
        <v>25</v>
      </c>
      <c r="G1772" s="62" t="s">
        <v>25</v>
      </c>
      <c r="H1772" s="62" t="s">
        <v>35</v>
      </c>
      <c r="I1772" s="75">
        <v>44593</v>
      </c>
      <c r="J1772" s="76">
        <f>EFEITO!$J$1772*EFEITO!$Y$1772</f>
        <v>0</v>
      </c>
      <c r="K1772" s="76">
        <f ca="1">EFEITO!$L$1772*EFEITO!$Z$1772</f>
        <v>1669.2486881088801</v>
      </c>
      <c r="L1772" s="76">
        <f>EFEITO!$N$1772*EFEITO!$AA$1772</f>
        <v>1477.5015348376296</v>
      </c>
      <c r="M1772" s="76">
        <f>$J$1772-EFEITO!$K$1772*EFEITO!$Y$1772</f>
        <v>0</v>
      </c>
      <c r="N1772" s="76">
        <f ca="1">$K$1772-EFEITO!$M$1772*EFEITO!$Z$1772</f>
        <v>0</v>
      </c>
      <c r="O1772" s="76">
        <f>$L$1772-EFEITO!$O$1772*EFEITO!$AA$1772</f>
        <v>0</v>
      </c>
      <c r="P1772" s="18"/>
      <c r="Q1772" s="18"/>
      <c r="R1772" s="18"/>
      <c r="S1772" s="18"/>
      <c r="T1772" s="18"/>
      <c r="U1772" s="18"/>
      <c r="V1772" s="18"/>
      <c r="W1772" s="18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</row>
    <row r="1773" spans="1:36" ht="11.25" customHeight="1" x14ac:dyDescent="0.2">
      <c r="A1773" s="62" t="s">
        <v>21</v>
      </c>
      <c r="B1773" s="62" t="s">
        <v>37</v>
      </c>
      <c r="C1773" s="62" t="s">
        <v>33</v>
      </c>
      <c r="D1773" s="62" t="s">
        <v>38</v>
      </c>
      <c r="E1773" s="62" t="s">
        <v>25</v>
      </c>
      <c r="F1773" s="62" t="s">
        <v>25</v>
      </c>
      <c r="G1773" s="62" t="s">
        <v>25</v>
      </c>
      <c r="H1773" s="62" t="s">
        <v>35</v>
      </c>
      <c r="I1773" s="75">
        <v>44621</v>
      </c>
      <c r="J1773" s="76">
        <f>EFEITO!$J$1773*EFEITO!$Y$1773</f>
        <v>0</v>
      </c>
      <c r="K1773" s="76">
        <f ca="1">EFEITO!$L$1773*EFEITO!$Z$1773</f>
        <v>927.16378266806589</v>
      </c>
      <c r="L1773" s="76">
        <f>EFEITO!$N$1773*EFEITO!$AA$1773</f>
        <v>820.66016986953366</v>
      </c>
      <c r="M1773" s="76">
        <f>$J$1773-EFEITO!$K$1773*EFEITO!$Y$1773</f>
        <v>0</v>
      </c>
      <c r="N1773" s="76">
        <f ca="1">$K$1773-EFEITO!$M$1773*EFEITO!$Z$1773</f>
        <v>0</v>
      </c>
      <c r="O1773" s="76">
        <f>$L$1773-EFEITO!$O$1773*EFEITO!$AA$1773</f>
        <v>0</v>
      </c>
      <c r="P1773" s="18"/>
      <c r="Q1773" s="18"/>
      <c r="R1773" s="18"/>
      <c r="S1773" s="18"/>
      <c r="T1773" s="18"/>
      <c r="U1773" s="18"/>
      <c r="V1773" s="18"/>
      <c r="W1773" s="18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</row>
    <row r="1774" spans="1:36" ht="11.25" customHeight="1" x14ac:dyDescent="0.2">
      <c r="A1774" s="62" t="s">
        <v>21</v>
      </c>
      <c r="B1774" s="62" t="s">
        <v>37</v>
      </c>
      <c r="C1774" s="62" t="s">
        <v>33</v>
      </c>
      <c r="D1774" s="62" t="s">
        <v>38</v>
      </c>
      <c r="E1774" s="62" t="s">
        <v>25</v>
      </c>
      <c r="F1774" s="62" t="s">
        <v>25</v>
      </c>
      <c r="G1774" s="62" t="s">
        <v>25</v>
      </c>
      <c r="H1774" s="62" t="s">
        <v>35</v>
      </c>
      <c r="I1774" s="75">
        <v>44652</v>
      </c>
      <c r="J1774" s="76">
        <f>EFEITO!$J$1774*EFEITO!$Y$1774</f>
        <v>0</v>
      </c>
      <c r="K1774" s="76">
        <f ca="1">EFEITO!$L$1774*EFEITO!$Z$1774</f>
        <v>1568.0392064893892</v>
      </c>
      <c r="L1774" s="76">
        <f>EFEITO!$N$1774*EFEITO!$AA$1774</f>
        <v>1387.9180201114136</v>
      </c>
      <c r="M1774" s="76">
        <f>$J$1774-EFEITO!$K$1774*EFEITO!$Y$1774</f>
        <v>0</v>
      </c>
      <c r="N1774" s="76">
        <f ca="1">$K$1774-EFEITO!$M$1774*EFEITO!$Z$1774</f>
        <v>0</v>
      </c>
      <c r="O1774" s="76">
        <f>$L$1774-EFEITO!$O$1774*EFEITO!$AA$1774</f>
        <v>0</v>
      </c>
      <c r="P1774" s="18"/>
      <c r="Q1774" s="18"/>
      <c r="R1774" s="18"/>
      <c r="S1774" s="18"/>
      <c r="T1774" s="18"/>
      <c r="U1774" s="18"/>
      <c r="V1774" s="18"/>
      <c r="W1774" s="18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</row>
    <row r="1775" spans="1:36" ht="11.25" customHeight="1" x14ac:dyDescent="0.2">
      <c r="A1775" s="62" t="s">
        <v>58</v>
      </c>
      <c r="B1775" s="62" t="s">
        <v>37</v>
      </c>
      <c r="C1775" s="62" t="s">
        <v>33</v>
      </c>
      <c r="D1775" s="62" t="s">
        <v>38</v>
      </c>
      <c r="E1775" s="62" t="s">
        <v>25</v>
      </c>
      <c r="F1775" s="62" t="s">
        <v>25</v>
      </c>
      <c r="G1775" s="62" t="s">
        <v>25</v>
      </c>
      <c r="H1775" s="62" t="s">
        <v>35</v>
      </c>
      <c r="I1775" s="75">
        <v>44682</v>
      </c>
      <c r="J1775" s="76">
        <f>EFEITO!$J$1775*EFEITO!$Y$1775</f>
        <v>0</v>
      </c>
      <c r="K1775" s="76">
        <f ca="1">EFEITO!$L$1775*EFEITO!$Z$1775</f>
        <v>1568.0392064893892</v>
      </c>
      <c r="L1775" s="76">
        <f>EFEITO!$N$1775*EFEITO!$AA$1775</f>
        <v>1387.9180201114136</v>
      </c>
      <c r="M1775" s="76">
        <f>$J$1775-EFEITO!$K$1775*EFEITO!$Y$1775</f>
        <v>0</v>
      </c>
      <c r="N1775" s="76">
        <f ca="1">$K$1775-EFEITO!$M$1775*EFEITO!$Z$1775</f>
        <v>0</v>
      </c>
      <c r="O1775" s="76">
        <f>$L$1775-EFEITO!$O$1775*EFEITO!$AA$1775</f>
        <v>0</v>
      </c>
      <c r="P1775" s="18"/>
      <c r="Q1775" s="18"/>
      <c r="R1775" s="18"/>
      <c r="S1775" s="18"/>
      <c r="T1775" s="18"/>
      <c r="U1775" s="18"/>
      <c r="V1775" s="18"/>
      <c r="W1775" s="18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</row>
    <row r="1776" spans="1:36" ht="11.25" customHeight="1" x14ac:dyDescent="0.2">
      <c r="A1776" s="62" t="s">
        <v>21</v>
      </c>
      <c r="B1776" s="62" t="s">
        <v>37</v>
      </c>
      <c r="C1776" s="62" t="s">
        <v>33</v>
      </c>
      <c r="D1776" s="62" t="s">
        <v>38</v>
      </c>
      <c r="E1776" s="62" t="s">
        <v>25</v>
      </c>
      <c r="F1776" s="62" t="s">
        <v>25</v>
      </c>
      <c r="G1776" s="62" t="s">
        <v>25</v>
      </c>
      <c r="H1776" s="62" t="s">
        <v>36</v>
      </c>
      <c r="I1776" s="75">
        <v>44348</v>
      </c>
      <c r="J1776" s="76">
        <f>EFEITO!$J$1776*EFEITO!$Y$1776</f>
        <v>0</v>
      </c>
      <c r="K1776" s="76">
        <f ca="1">EFEITO!$L$1776*EFEITO!$Z$1776</f>
        <v>346.7579360964383</v>
      </c>
      <c r="L1776" s="76">
        <f>EFEITO!$N$1776*EFEITO!$AA$1776</f>
        <v>153.79547458242024</v>
      </c>
      <c r="M1776" s="76">
        <f>$J$1776-EFEITO!$K$1776*EFEITO!$Y$1776</f>
        <v>0</v>
      </c>
      <c r="N1776" s="76">
        <f ca="1">$K$1776-EFEITO!$M$1776*EFEITO!$Z$1776</f>
        <v>0</v>
      </c>
      <c r="O1776" s="76">
        <f>$L$1776-EFEITO!$O$1776*EFEITO!$AA$1776</f>
        <v>0</v>
      </c>
      <c r="P1776" s="18"/>
      <c r="Q1776" s="18"/>
      <c r="R1776" s="18"/>
      <c r="S1776" s="18"/>
      <c r="T1776" s="18"/>
      <c r="U1776" s="18"/>
      <c r="V1776" s="18"/>
      <c r="W1776" s="18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</row>
    <row r="1777" spans="1:36" ht="11.25" customHeight="1" x14ac:dyDescent="0.2">
      <c r="A1777" s="62" t="s">
        <v>21</v>
      </c>
      <c r="B1777" s="62" t="s">
        <v>37</v>
      </c>
      <c r="C1777" s="62" t="s">
        <v>33</v>
      </c>
      <c r="D1777" s="62" t="s">
        <v>38</v>
      </c>
      <c r="E1777" s="62" t="s">
        <v>25</v>
      </c>
      <c r="F1777" s="62" t="s">
        <v>25</v>
      </c>
      <c r="G1777" s="62" t="s">
        <v>25</v>
      </c>
      <c r="H1777" s="62" t="s">
        <v>36</v>
      </c>
      <c r="I1777" s="75">
        <v>44378</v>
      </c>
      <c r="J1777" s="76">
        <f>EFEITO!$J$1777*EFEITO!$Y$1777</f>
        <v>0</v>
      </c>
      <c r="K1777" s="76">
        <f ca="1">EFEITO!$L$1777*EFEITO!$Z$1777</f>
        <v>296.61574981772725</v>
      </c>
      <c r="L1777" s="76">
        <f>EFEITO!$N$1777*EFEITO!$AA$1777</f>
        <v>131.55621043710082</v>
      </c>
      <c r="M1777" s="76">
        <f>$J$1777-EFEITO!$K$1777*EFEITO!$Y$1777</f>
        <v>0</v>
      </c>
      <c r="N1777" s="76">
        <f ca="1">$K$1777-EFEITO!$M$1777*EFEITO!$Z$1777</f>
        <v>0</v>
      </c>
      <c r="O1777" s="76">
        <f>$L$1777-EFEITO!$O$1777*EFEITO!$AA$1777</f>
        <v>0</v>
      </c>
      <c r="P1777" s="18"/>
      <c r="Q1777" s="18"/>
      <c r="R1777" s="18"/>
      <c r="S1777" s="18"/>
      <c r="T1777" s="18"/>
      <c r="U1777" s="18"/>
      <c r="V1777" s="18"/>
      <c r="W1777" s="18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</row>
    <row r="1778" spans="1:36" ht="11.25" customHeight="1" x14ac:dyDescent="0.2">
      <c r="A1778" s="62" t="s">
        <v>21</v>
      </c>
      <c r="B1778" s="62" t="s">
        <v>37</v>
      </c>
      <c r="C1778" s="62" t="s">
        <v>33</v>
      </c>
      <c r="D1778" s="62" t="s">
        <v>38</v>
      </c>
      <c r="E1778" s="62" t="s">
        <v>25</v>
      </c>
      <c r="F1778" s="62" t="s">
        <v>25</v>
      </c>
      <c r="G1778" s="62" t="s">
        <v>25</v>
      </c>
      <c r="H1778" s="62" t="s">
        <v>36</v>
      </c>
      <c r="I1778" s="75">
        <v>44409</v>
      </c>
      <c r="J1778" s="76">
        <f>EFEITO!$J$1778*EFEITO!$Y$1778</f>
        <v>0</v>
      </c>
      <c r="K1778" s="76">
        <f ca="1">EFEITO!$L$1778*EFEITO!$Z$1778</f>
        <v>386.30670273880196</v>
      </c>
      <c r="L1778" s="76">
        <f>EFEITO!$N$1778*EFEITO!$AA$1778</f>
        <v>171.33630264070035</v>
      </c>
      <c r="M1778" s="76">
        <f>$J$1778-EFEITO!$K$1778*EFEITO!$Y$1778</f>
        <v>0</v>
      </c>
      <c r="N1778" s="76">
        <f ca="1">$K$1778-EFEITO!$M$1778*EFEITO!$Z$1778</f>
        <v>0</v>
      </c>
      <c r="O1778" s="76">
        <f>$L$1778-EFEITO!$O$1778*EFEITO!$AA$1778</f>
        <v>0</v>
      </c>
      <c r="P1778" s="18"/>
      <c r="Q1778" s="18"/>
      <c r="R1778" s="18"/>
      <c r="S1778" s="18"/>
      <c r="T1778" s="18"/>
      <c r="U1778" s="18"/>
      <c r="V1778" s="18"/>
      <c r="W1778" s="18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</row>
    <row r="1779" spans="1:36" ht="11.25" customHeight="1" x14ac:dyDescent="0.2">
      <c r="A1779" s="62" t="s">
        <v>21</v>
      </c>
      <c r="B1779" s="62" t="s">
        <v>37</v>
      </c>
      <c r="C1779" s="62" t="s">
        <v>33</v>
      </c>
      <c r="D1779" s="62" t="s">
        <v>38</v>
      </c>
      <c r="E1779" s="62" t="s">
        <v>25</v>
      </c>
      <c r="F1779" s="62" t="s">
        <v>25</v>
      </c>
      <c r="G1779" s="62" t="s">
        <v>25</v>
      </c>
      <c r="H1779" s="62" t="s">
        <v>36</v>
      </c>
      <c r="I1779" s="75">
        <v>44440</v>
      </c>
      <c r="J1779" s="76">
        <f>EFEITO!$J$1779*EFEITO!$Y$1779</f>
        <v>0</v>
      </c>
      <c r="K1779" s="76">
        <f ca="1">EFEITO!$L$1779*EFEITO!$Z$1779</f>
        <v>569.21974845973375</v>
      </c>
      <c r="L1779" s="76">
        <f>EFEITO!$N$1779*EFEITO!$AA$1779</f>
        <v>252.46263241024585</v>
      </c>
      <c r="M1779" s="76">
        <f>$J$1779-EFEITO!$K$1779*EFEITO!$Y$1779</f>
        <v>0</v>
      </c>
      <c r="N1779" s="76">
        <f ca="1">$K$1779-EFEITO!$M$1779*EFEITO!$Z$1779</f>
        <v>0</v>
      </c>
      <c r="O1779" s="76">
        <f>$L$1779-EFEITO!$O$1779*EFEITO!$AA$1779</f>
        <v>0</v>
      </c>
      <c r="P1779" s="18"/>
      <c r="Q1779" s="18"/>
      <c r="R1779" s="18"/>
      <c r="S1779" s="18"/>
      <c r="T1779" s="18"/>
      <c r="U1779" s="18"/>
      <c r="V1779" s="18"/>
      <c r="W1779" s="18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</row>
    <row r="1780" spans="1:36" ht="11.25" customHeight="1" x14ac:dyDescent="0.2">
      <c r="A1780" s="62" t="s">
        <v>21</v>
      </c>
      <c r="B1780" s="62" t="s">
        <v>37</v>
      </c>
      <c r="C1780" s="62" t="s">
        <v>33</v>
      </c>
      <c r="D1780" s="62" t="s">
        <v>38</v>
      </c>
      <c r="E1780" s="62" t="s">
        <v>25</v>
      </c>
      <c r="F1780" s="62" t="s">
        <v>25</v>
      </c>
      <c r="G1780" s="62" t="s">
        <v>25</v>
      </c>
      <c r="H1780" s="62" t="s">
        <v>36</v>
      </c>
      <c r="I1780" s="75">
        <v>44470</v>
      </c>
      <c r="J1780" s="76">
        <f>EFEITO!$J$1780*EFEITO!$Y$1780</f>
        <v>0</v>
      </c>
      <c r="K1780" s="76">
        <f ca="1">EFEITO!$L$1780*EFEITO!$Z$1780</f>
        <v>336.87074443584737</v>
      </c>
      <c r="L1780" s="76">
        <f>EFEITO!$N$1780*EFEITO!$AA$1780</f>
        <v>149.41026756785021</v>
      </c>
      <c r="M1780" s="76">
        <f>$J$1780-EFEITO!$K$1780*EFEITO!$Y$1780</f>
        <v>0</v>
      </c>
      <c r="N1780" s="76">
        <f ca="1">$K$1780-EFEITO!$M$1780*EFEITO!$Z$1780</f>
        <v>0</v>
      </c>
      <c r="O1780" s="76">
        <f>$L$1780-EFEITO!$O$1780*EFEITO!$AA$1780</f>
        <v>0</v>
      </c>
      <c r="P1780" s="18"/>
      <c r="Q1780" s="18"/>
      <c r="R1780" s="18"/>
      <c r="S1780" s="18"/>
      <c r="T1780" s="18"/>
      <c r="U1780" s="18"/>
      <c r="V1780" s="18"/>
      <c r="W1780" s="18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</row>
    <row r="1781" spans="1:36" ht="11.25" customHeight="1" x14ac:dyDescent="0.2">
      <c r="A1781" s="62" t="s">
        <v>21</v>
      </c>
      <c r="B1781" s="62" t="s">
        <v>37</v>
      </c>
      <c r="C1781" s="62" t="s">
        <v>33</v>
      </c>
      <c r="D1781" s="62" t="s">
        <v>38</v>
      </c>
      <c r="E1781" s="62" t="s">
        <v>25</v>
      </c>
      <c r="F1781" s="62" t="s">
        <v>25</v>
      </c>
      <c r="G1781" s="62" t="s">
        <v>25</v>
      </c>
      <c r="H1781" s="62" t="s">
        <v>36</v>
      </c>
      <c r="I1781" s="75">
        <v>44501</v>
      </c>
      <c r="J1781" s="76">
        <f>EFEITO!$J$1781*EFEITO!$Y$1781</f>
        <v>0</v>
      </c>
      <c r="K1781" s="76">
        <f ca="1">EFEITO!$L$1781*EFEITO!$Z$1781</f>
        <v>481.6474794659286</v>
      </c>
      <c r="L1781" s="76">
        <f>EFEITO!$N$1781*EFEITO!$AA$1781</f>
        <v>213.62222742405419</v>
      </c>
      <c r="M1781" s="76">
        <f>$J$1781-EFEITO!$K$1781*EFEITO!$Y$1781</f>
        <v>0</v>
      </c>
      <c r="N1781" s="76">
        <f ca="1">$K$1781-EFEITO!$M$1781*EFEITO!$Z$1781</f>
        <v>0</v>
      </c>
      <c r="O1781" s="76">
        <f>$L$1781-EFEITO!$O$1781*EFEITO!$AA$1781</f>
        <v>0</v>
      </c>
      <c r="P1781" s="18"/>
      <c r="Q1781" s="18"/>
      <c r="R1781" s="18"/>
      <c r="S1781" s="18"/>
      <c r="T1781" s="18"/>
      <c r="U1781" s="18"/>
      <c r="V1781" s="18"/>
      <c r="W1781" s="18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</row>
    <row r="1782" spans="1:36" ht="11.25" customHeight="1" x14ac:dyDescent="0.2">
      <c r="A1782" s="62" t="s">
        <v>21</v>
      </c>
      <c r="B1782" s="62" t="s">
        <v>37</v>
      </c>
      <c r="C1782" s="62" t="s">
        <v>33</v>
      </c>
      <c r="D1782" s="62" t="s">
        <v>38</v>
      </c>
      <c r="E1782" s="62" t="s">
        <v>25</v>
      </c>
      <c r="F1782" s="62" t="s">
        <v>25</v>
      </c>
      <c r="G1782" s="62" t="s">
        <v>25</v>
      </c>
      <c r="H1782" s="62" t="s">
        <v>36</v>
      </c>
      <c r="I1782" s="75">
        <v>44531</v>
      </c>
      <c r="J1782" s="76">
        <f>EFEITO!$J$1782*EFEITO!$Y$1782</f>
        <v>0</v>
      </c>
      <c r="K1782" s="76">
        <f ca="1">EFEITO!$L$1782*EFEITO!$Z$1782</f>
        <v>393.36898249636693</v>
      </c>
      <c r="L1782" s="76">
        <f>EFEITO!$N$1782*EFEITO!$AA$1782</f>
        <v>174.46859336539325</v>
      </c>
      <c r="M1782" s="76">
        <f>$J$1782-EFEITO!$K$1782*EFEITO!$Y$1782</f>
        <v>0</v>
      </c>
      <c r="N1782" s="76">
        <f ca="1">$K$1782-EFEITO!$M$1782*EFEITO!$Z$1782</f>
        <v>0</v>
      </c>
      <c r="O1782" s="76">
        <f>$L$1782-EFEITO!$O$1782*EFEITO!$AA$1782</f>
        <v>0</v>
      </c>
      <c r="P1782" s="18"/>
      <c r="Q1782" s="18"/>
      <c r="R1782" s="18"/>
      <c r="S1782" s="18"/>
      <c r="T1782" s="18"/>
      <c r="U1782" s="18"/>
      <c r="V1782" s="18"/>
      <c r="W1782" s="18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</row>
    <row r="1783" spans="1:36" ht="11.25" customHeight="1" x14ac:dyDescent="0.2">
      <c r="A1783" s="62" t="s">
        <v>21</v>
      </c>
      <c r="B1783" s="62" t="s">
        <v>37</v>
      </c>
      <c r="C1783" s="62" t="s">
        <v>33</v>
      </c>
      <c r="D1783" s="62" t="s">
        <v>38</v>
      </c>
      <c r="E1783" s="62" t="s">
        <v>25</v>
      </c>
      <c r="F1783" s="62" t="s">
        <v>25</v>
      </c>
      <c r="G1783" s="62" t="s">
        <v>25</v>
      </c>
      <c r="H1783" s="62" t="s">
        <v>36</v>
      </c>
      <c r="I1783" s="75">
        <v>44562</v>
      </c>
      <c r="J1783" s="76">
        <f>EFEITO!$J$1783*EFEITO!$Y$1783</f>
        <v>0</v>
      </c>
      <c r="K1783" s="76">
        <f ca="1">EFEITO!$L$1783*EFEITO!$Z$1783</f>
        <v>536.02703359917859</v>
      </c>
      <c r="L1783" s="76">
        <f>EFEITO!$N$1783*EFEITO!$AA$1783</f>
        <v>237.74086600418931</v>
      </c>
      <c r="M1783" s="76">
        <f>$J$1783-EFEITO!$K$1783*EFEITO!$Y$1783</f>
        <v>0</v>
      </c>
      <c r="N1783" s="76">
        <f ca="1">$K$1783-EFEITO!$M$1783*EFEITO!$Z$1783</f>
        <v>0</v>
      </c>
      <c r="O1783" s="76">
        <f>$L$1783-EFEITO!$O$1783*EFEITO!$AA$1783</f>
        <v>0</v>
      </c>
      <c r="P1783" s="18"/>
      <c r="Q1783" s="18"/>
      <c r="R1783" s="18"/>
      <c r="S1783" s="18"/>
      <c r="T1783" s="18"/>
      <c r="U1783" s="18"/>
      <c r="V1783" s="18"/>
      <c r="W1783" s="18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</row>
    <row r="1784" spans="1:36" ht="11.25" customHeight="1" x14ac:dyDescent="0.2">
      <c r="A1784" s="62" t="s">
        <v>21</v>
      </c>
      <c r="B1784" s="62" t="s">
        <v>37</v>
      </c>
      <c r="C1784" s="62" t="s">
        <v>33</v>
      </c>
      <c r="D1784" s="62" t="s">
        <v>38</v>
      </c>
      <c r="E1784" s="62" t="s">
        <v>25</v>
      </c>
      <c r="F1784" s="62" t="s">
        <v>25</v>
      </c>
      <c r="G1784" s="62" t="s">
        <v>25</v>
      </c>
      <c r="H1784" s="62" t="s">
        <v>36</v>
      </c>
      <c r="I1784" s="75">
        <v>44593</v>
      </c>
      <c r="J1784" s="76">
        <f>EFEITO!$J$1784*EFEITO!$Y$1784</f>
        <v>0</v>
      </c>
      <c r="K1784" s="76">
        <f ca="1">EFEITO!$L$1784*EFEITO!$Z$1784</f>
        <v>390.54407059334096</v>
      </c>
      <c r="L1784" s="76">
        <f>EFEITO!$N$1784*EFEITO!$AA$1784</f>
        <v>173.21567707551608</v>
      </c>
      <c r="M1784" s="76">
        <f>$J$1784-EFEITO!$K$1784*EFEITO!$Y$1784</f>
        <v>0</v>
      </c>
      <c r="N1784" s="76">
        <f ca="1">$K$1784-EFEITO!$M$1784*EFEITO!$Z$1784</f>
        <v>0</v>
      </c>
      <c r="O1784" s="76">
        <f>$L$1784-EFEITO!$O$1784*EFEITO!$AA$1784</f>
        <v>0</v>
      </c>
      <c r="P1784" s="18"/>
      <c r="Q1784" s="18"/>
      <c r="R1784" s="18"/>
      <c r="S1784" s="18"/>
      <c r="T1784" s="18"/>
      <c r="U1784" s="18"/>
      <c r="V1784" s="18"/>
      <c r="W1784" s="18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</row>
    <row r="1785" spans="1:36" ht="11.25" customHeight="1" x14ac:dyDescent="0.2">
      <c r="A1785" s="62" t="s">
        <v>21</v>
      </c>
      <c r="B1785" s="62" t="s">
        <v>37</v>
      </c>
      <c r="C1785" s="62" t="s">
        <v>33</v>
      </c>
      <c r="D1785" s="62" t="s">
        <v>38</v>
      </c>
      <c r="E1785" s="62" t="s">
        <v>25</v>
      </c>
      <c r="F1785" s="62" t="s">
        <v>25</v>
      </c>
      <c r="G1785" s="62" t="s">
        <v>25</v>
      </c>
      <c r="H1785" s="62" t="s">
        <v>36</v>
      </c>
      <c r="I1785" s="75">
        <v>44621</v>
      </c>
      <c r="J1785" s="76">
        <f>EFEITO!$J$1785*EFEITO!$Y$1785</f>
        <v>0</v>
      </c>
      <c r="K1785" s="76">
        <f ca="1">EFEITO!$L$1785*EFEITO!$Z$1785</f>
        <v>168.78848620580195</v>
      </c>
      <c r="L1785" s="76">
        <f>EFEITO!$N$1785*EFEITO!$AA$1785</f>
        <v>74.861748320159748</v>
      </c>
      <c r="M1785" s="76">
        <f>$J$1785-EFEITO!$K$1785*EFEITO!$Y$1785</f>
        <v>0</v>
      </c>
      <c r="N1785" s="76">
        <f ca="1">$K$1785-EFEITO!$M$1785*EFEITO!$Z$1785</f>
        <v>0</v>
      </c>
      <c r="O1785" s="76">
        <f>$L$1785-EFEITO!$O$1785*EFEITO!$AA$1785</f>
        <v>0</v>
      </c>
      <c r="P1785" s="18"/>
      <c r="Q1785" s="18"/>
      <c r="R1785" s="18"/>
      <c r="S1785" s="18"/>
      <c r="T1785" s="18"/>
      <c r="U1785" s="18"/>
      <c r="V1785" s="18"/>
      <c r="W1785" s="18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</row>
    <row r="1786" spans="1:36" ht="11.25" customHeight="1" x14ac:dyDescent="0.2">
      <c r="A1786" s="62" t="s">
        <v>21</v>
      </c>
      <c r="B1786" s="62" t="s">
        <v>37</v>
      </c>
      <c r="C1786" s="62" t="s">
        <v>33</v>
      </c>
      <c r="D1786" s="62" t="s">
        <v>38</v>
      </c>
      <c r="E1786" s="62" t="s">
        <v>25</v>
      </c>
      <c r="F1786" s="62" t="s">
        <v>25</v>
      </c>
      <c r="G1786" s="62" t="s">
        <v>25</v>
      </c>
      <c r="H1786" s="62" t="s">
        <v>36</v>
      </c>
      <c r="I1786" s="75">
        <v>44652</v>
      </c>
      <c r="J1786" s="76">
        <f>EFEITO!$J$1786*EFEITO!$Y$1786</f>
        <v>0</v>
      </c>
      <c r="K1786" s="76">
        <f ca="1">EFEITO!$L$1786*EFEITO!$Z$1786</f>
        <v>399.0188063024188</v>
      </c>
      <c r="L1786" s="76">
        <f>EFEITO!$N$1786*EFEITO!$AA$1786</f>
        <v>176.97442594514752</v>
      </c>
      <c r="M1786" s="76">
        <f>$J$1786-EFEITO!$K$1786*EFEITO!$Y$1786</f>
        <v>0</v>
      </c>
      <c r="N1786" s="76">
        <f ca="1">$K$1786-EFEITO!$M$1786*EFEITO!$Z$1786</f>
        <v>0</v>
      </c>
      <c r="O1786" s="76">
        <f>$L$1786-EFEITO!$O$1786*EFEITO!$AA$1786</f>
        <v>0</v>
      </c>
      <c r="P1786" s="18"/>
      <c r="Q1786" s="18"/>
      <c r="R1786" s="18"/>
      <c r="S1786" s="18"/>
      <c r="T1786" s="18"/>
      <c r="U1786" s="18"/>
      <c r="V1786" s="18"/>
      <c r="W1786" s="18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</row>
    <row r="1787" spans="1:36" ht="11.25" customHeight="1" x14ac:dyDescent="0.2">
      <c r="A1787" s="62" t="s">
        <v>58</v>
      </c>
      <c r="B1787" s="62" t="s">
        <v>37</v>
      </c>
      <c r="C1787" s="62" t="s">
        <v>33</v>
      </c>
      <c r="D1787" s="62" t="s">
        <v>38</v>
      </c>
      <c r="E1787" s="62" t="s">
        <v>25</v>
      </c>
      <c r="F1787" s="62" t="s">
        <v>25</v>
      </c>
      <c r="G1787" s="62" t="s">
        <v>25</v>
      </c>
      <c r="H1787" s="62" t="s">
        <v>36</v>
      </c>
      <c r="I1787" s="75">
        <v>44682</v>
      </c>
      <c r="J1787" s="76">
        <f>EFEITO!$J$1787*EFEITO!$Y$1787</f>
        <v>0</v>
      </c>
      <c r="K1787" s="76">
        <f ca="1">EFEITO!$L$1787*EFEITO!$Z$1787</f>
        <v>399.0188063024188</v>
      </c>
      <c r="L1787" s="76">
        <f>EFEITO!$N$1787*EFEITO!$AA$1787</f>
        <v>176.97442594514752</v>
      </c>
      <c r="M1787" s="76">
        <f>$J$1787-EFEITO!$K$1787*EFEITO!$Y$1787</f>
        <v>0</v>
      </c>
      <c r="N1787" s="76">
        <f ca="1">$K$1787-EFEITO!$M$1787*EFEITO!$Z$1787</f>
        <v>0</v>
      </c>
      <c r="O1787" s="76">
        <f>$L$1787-EFEITO!$O$1787*EFEITO!$AA$1787</f>
        <v>0</v>
      </c>
      <c r="P1787" s="18"/>
      <c r="Q1787" s="18"/>
      <c r="R1787" s="18"/>
      <c r="S1787" s="18"/>
      <c r="T1787" s="18"/>
      <c r="U1787" s="18"/>
      <c r="V1787" s="18"/>
      <c r="W1787" s="18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</row>
    <row r="1788" spans="1:36" ht="11.25" customHeight="1" x14ac:dyDescent="0.2">
      <c r="A1788" s="62" t="s">
        <v>21</v>
      </c>
      <c r="B1788" s="62" t="s">
        <v>37</v>
      </c>
      <c r="C1788" s="62" t="s">
        <v>33</v>
      </c>
      <c r="D1788" s="62" t="s">
        <v>38</v>
      </c>
      <c r="E1788" s="62" t="s">
        <v>25</v>
      </c>
      <c r="F1788" s="62" t="s">
        <v>25</v>
      </c>
      <c r="G1788" s="62" t="s">
        <v>25</v>
      </c>
      <c r="H1788" s="62" t="s">
        <v>34</v>
      </c>
      <c r="I1788" s="75">
        <v>44348</v>
      </c>
      <c r="J1788" s="76">
        <f>EFEITO!$J$1788*EFEITO!$Y$1788</f>
        <v>0</v>
      </c>
      <c r="K1788" s="76">
        <f ca="1">EFEITO!$L$1788*EFEITO!$Z$1788</f>
        <v>248.76551161051546</v>
      </c>
      <c r="L1788" s="76">
        <f>EFEITO!$N$1788*EFEITO!$AA$1788</f>
        <v>119.86173432835554</v>
      </c>
      <c r="M1788" s="76">
        <f>$J$1788-EFEITO!$K$1788*EFEITO!$Y$1788</f>
        <v>0</v>
      </c>
      <c r="N1788" s="76">
        <f ca="1">$K$1788-EFEITO!$M$1788*EFEITO!$Z$1788</f>
        <v>0</v>
      </c>
      <c r="O1788" s="76">
        <f>$L$1788-EFEITO!$O$1788*EFEITO!$AA$1788</f>
        <v>0</v>
      </c>
      <c r="P1788" s="18"/>
      <c r="Q1788" s="18"/>
      <c r="R1788" s="18"/>
      <c r="S1788" s="18"/>
      <c r="T1788" s="18"/>
      <c r="U1788" s="18"/>
      <c r="V1788" s="18"/>
      <c r="W1788" s="18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</row>
    <row r="1789" spans="1:36" ht="11.25" customHeight="1" x14ac:dyDescent="0.2">
      <c r="A1789" s="62" t="s">
        <v>21</v>
      </c>
      <c r="B1789" s="62" t="s">
        <v>37</v>
      </c>
      <c r="C1789" s="62" t="s">
        <v>33</v>
      </c>
      <c r="D1789" s="62" t="s">
        <v>38</v>
      </c>
      <c r="E1789" s="62" t="s">
        <v>25</v>
      </c>
      <c r="F1789" s="62" t="s">
        <v>25</v>
      </c>
      <c r="G1789" s="62" t="s">
        <v>25</v>
      </c>
      <c r="H1789" s="62" t="s">
        <v>34</v>
      </c>
      <c r="I1789" s="75">
        <v>44378</v>
      </c>
      <c r="J1789" s="76">
        <f>EFEITO!$J$1789*EFEITO!$Y$1789</f>
        <v>0</v>
      </c>
      <c r="K1789" s="76">
        <f ca="1">EFEITO!$L$1789*EFEITO!$Z$1789</f>
        <v>302.75292051322305</v>
      </c>
      <c r="L1789" s="76">
        <f>EFEITO!$N$1789*EFEITO!$AA$1789</f>
        <v>145.87428092727524</v>
      </c>
      <c r="M1789" s="76">
        <f>$J$1789-EFEITO!$K$1789*EFEITO!$Y$1789</f>
        <v>0</v>
      </c>
      <c r="N1789" s="76">
        <f ca="1">$K$1789-EFEITO!$M$1789*EFEITO!$Z$1789</f>
        <v>0</v>
      </c>
      <c r="O1789" s="76">
        <f>$L$1789-EFEITO!$O$1789*EFEITO!$AA$1789</f>
        <v>0</v>
      </c>
      <c r="P1789" s="18"/>
      <c r="Q1789" s="18"/>
      <c r="R1789" s="18"/>
      <c r="S1789" s="18"/>
      <c r="T1789" s="18"/>
      <c r="U1789" s="18"/>
      <c r="V1789" s="18"/>
      <c r="W1789" s="18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</row>
    <row r="1790" spans="1:36" ht="11.25" customHeight="1" x14ac:dyDescent="0.2">
      <c r="A1790" s="62" t="s">
        <v>21</v>
      </c>
      <c r="B1790" s="62" t="s">
        <v>37</v>
      </c>
      <c r="C1790" s="62" t="s">
        <v>33</v>
      </c>
      <c r="D1790" s="62" t="s">
        <v>38</v>
      </c>
      <c r="E1790" s="62" t="s">
        <v>25</v>
      </c>
      <c r="F1790" s="62" t="s">
        <v>25</v>
      </c>
      <c r="G1790" s="62" t="s">
        <v>25</v>
      </c>
      <c r="H1790" s="62" t="s">
        <v>34</v>
      </c>
      <c r="I1790" s="75">
        <v>44409</v>
      </c>
      <c r="J1790" s="76">
        <f>EFEITO!$J$1790*EFEITO!$Y$1790</f>
        <v>0</v>
      </c>
      <c r="K1790" s="76">
        <f ca="1">EFEITO!$L$1790*EFEITO!$Z$1790</f>
        <v>492.23813999527533</v>
      </c>
      <c r="L1790" s="76">
        <f>EFEITO!$N$1790*EFEITO!$AA$1790</f>
        <v>237.17321899015036</v>
      </c>
      <c r="M1790" s="76">
        <f>$J$1790-EFEITO!$K$1790*EFEITO!$Y$1790</f>
        <v>0</v>
      </c>
      <c r="N1790" s="76">
        <f ca="1">$K$1790-EFEITO!$M$1790*EFEITO!$Z$1790</f>
        <v>0</v>
      </c>
      <c r="O1790" s="76">
        <f>$L$1790-EFEITO!$O$1790*EFEITO!$AA$1790</f>
        <v>0</v>
      </c>
      <c r="P1790" s="18"/>
      <c r="Q1790" s="18"/>
      <c r="R1790" s="18"/>
      <c r="S1790" s="18"/>
      <c r="T1790" s="18"/>
      <c r="U1790" s="18"/>
      <c r="V1790" s="18"/>
      <c r="W1790" s="18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</row>
    <row r="1791" spans="1:36" ht="11.25" customHeight="1" x14ac:dyDescent="0.2">
      <c r="A1791" s="62" t="s">
        <v>21</v>
      </c>
      <c r="B1791" s="62" t="s">
        <v>37</v>
      </c>
      <c r="C1791" s="62" t="s">
        <v>33</v>
      </c>
      <c r="D1791" s="62" t="s">
        <v>38</v>
      </c>
      <c r="E1791" s="62" t="s">
        <v>25</v>
      </c>
      <c r="F1791" s="62" t="s">
        <v>25</v>
      </c>
      <c r="G1791" s="62" t="s">
        <v>25</v>
      </c>
      <c r="H1791" s="62" t="s">
        <v>34</v>
      </c>
      <c r="I1791" s="75">
        <v>44440</v>
      </c>
      <c r="J1791" s="76">
        <f>EFEITO!$J$1791*EFEITO!$Y$1791</f>
        <v>0</v>
      </c>
      <c r="K1791" s="76">
        <f ca="1">EFEITO!$L$1791*EFEITO!$Z$1791</f>
        <v>461.53941728589257</v>
      </c>
      <c r="L1791" s="76">
        <f>EFEITO!$N$1791*EFEITO!$AA$1791</f>
        <v>222.38177092409796</v>
      </c>
      <c r="M1791" s="76">
        <f>$J$1791-EFEITO!$K$1791*EFEITO!$Y$1791</f>
        <v>0</v>
      </c>
      <c r="N1791" s="76">
        <f ca="1">$K$1791-EFEITO!$M$1791*EFEITO!$Z$1791</f>
        <v>0</v>
      </c>
      <c r="O1791" s="76">
        <f>$L$1791-EFEITO!$O$1791*EFEITO!$AA$1791</f>
        <v>0</v>
      </c>
      <c r="P1791" s="18"/>
      <c r="Q1791" s="18"/>
      <c r="R1791" s="18"/>
      <c r="S1791" s="18"/>
      <c r="T1791" s="18"/>
      <c r="U1791" s="18"/>
      <c r="V1791" s="18"/>
      <c r="W1791" s="18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</row>
    <row r="1792" spans="1:36" ht="11.25" customHeight="1" x14ac:dyDescent="0.2">
      <c r="A1792" s="62" t="s">
        <v>21</v>
      </c>
      <c r="B1792" s="62" t="s">
        <v>37</v>
      </c>
      <c r="C1792" s="62" t="s">
        <v>33</v>
      </c>
      <c r="D1792" s="62" t="s">
        <v>38</v>
      </c>
      <c r="E1792" s="62" t="s">
        <v>25</v>
      </c>
      <c r="F1792" s="62" t="s">
        <v>25</v>
      </c>
      <c r="G1792" s="62" t="s">
        <v>25</v>
      </c>
      <c r="H1792" s="62" t="s">
        <v>34</v>
      </c>
      <c r="I1792" s="75">
        <v>44470</v>
      </c>
      <c r="J1792" s="76">
        <f>EFEITO!$J$1792*EFEITO!$Y$1792</f>
        <v>0</v>
      </c>
      <c r="K1792" s="76">
        <f ca="1">EFEITO!$L$1792*EFEITO!$Z$1792</f>
        <v>310.16295702928096</v>
      </c>
      <c r="L1792" s="76">
        <f>EFEITO!$N$1792*EFEITO!$AA$1792</f>
        <v>149.4446304604603</v>
      </c>
      <c r="M1792" s="76">
        <f>$J$1792-EFEITO!$K$1792*EFEITO!$Y$1792</f>
        <v>0</v>
      </c>
      <c r="N1792" s="76">
        <f ca="1">$K$1792-EFEITO!$M$1792*EFEITO!$Z$1792</f>
        <v>0</v>
      </c>
      <c r="O1792" s="76">
        <f>$L$1792-EFEITO!$O$1792*EFEITO!$AA$1792</f>
        <v>0</v>
      </c>
      <c r="P1792" s="18"/>
      <c r="Q1792" s="18"/>
      <c r="R1792" s="18"/>
      <c r="S1792" s="18"/>
      <c r="T1792" s="18"/>
      <c r="U1792" s="18"/>
      <c r="V1792" s="18"/>
      <c r="W1792" s="18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</row>
    <row r="1793" spans="1:36" ht="11.25" customHeight="1" x14ac:dyDescent="0.2">
      <c r="A1793" s="62" t="s">
        <v>21</v>
      </c>
      <c r="B1793" s="62" t="s">
        <v>37</v>
      </c>
      <c r="C1793" s="62" t="s">
        <v>33</v>
      </c>
      <c r="D1793" s="62" t="s">
        <v>38</v>
      </c>
      <c r="E1793" s="62" t="s">
        <v>25</v>
      </c>
      <c r="F1793" s="62" t="s">
        <v>25</v>
      </c>
      <c r="G1793" s="62" t="s">
        <v>25</v>
      </c>
      <c r="H1793" s="62" t="s">
        <v>34</v>
      </c>
      <c r="I1793" s="75">
        <v>44501</v>
      </c>
      <c r="J1793" s="76">
        <f>EFEITO!$J$1793*EFEITO!$Y$1793</f>
        <v>0</v>
      </c>
      <c r="K1793" s="76">
        <f ca="1">EFEITO!$L$1793*EFEITO!$Z$1793</f>
        <v>559.98704528494761</v>
      </c>
      <c r="L1793" s="76">
        <f>EFEITO!$N$1793*EFEITO!$AA$1793</f>
        <v>269.81641472212806</v>
      </c>
      <c r="M1793" s="76">
        <f>$J$1793-EFEITO!$K$1793*EFEITO!$Y$1793</f>
        <v>0</v>
      </c>
      <c r="N1793" s="76">
        <f ca="1">$K$1793-EFEITO!$M$1793*EFEITO!$Z$1793</f>
        <v>0</v>
      </c>
      <c r="O1793" s="76">
        <f>$L$1793-EFEITO!$O$1793*EFEITO!$AA$1793</f>
        <v>0</v>
      </c>
      <c r="P1793" s="18"/>
      <c r="Q1793" s="18"/>
      <c r="R1793" s="18"/>
      <c r="S1793" s="18"/>
      <c r="T1793" s="18"/>
      <c r="U1793" s="18"/>
      <c r="V1793" s="18"/>
      <c r="W1793" s="18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</row>
    <row r="1794" spans="1:36" ht="11.25" customHeight="1" x14ac:dyDescent="0.2">
      <c r="A1794" s="62" t="s">
        <v>21</v>
      </c>
      <c r="B1794" s="62" t="s">
        <v>37</v>
      </c>
      <c r="C1794" s="62" t="s">
        <v>33</v>
      </c>
      <c r="D1794" s="62" t="s">
        <v>38</v>
      </c>
      <c r="E1794" s="62" t="s">
        <v>25</v>
      </c>
      <c r="F1794" s="62" t="s">
        <v>25</v>
      </c>
      <c r="G1794" s="62" t="s">
        <v>25</v>
      </c>
      <c r="H1794" s="62" t="s">
        <v>34</v>
      </c>
      <c r="I1794" s="75">
        <v>44531</v>
      </c>
      <c r="J1794" s="76">
        <f>EFEITO!$J$1794*EFEITO!$Y$1794</f>
        <v>0</v>
      </c>
      <c r="K1794" s="76">
        <f ca="1">EFEITO!$L$1794*EFEITO!$Z$1794</f>
        <v>354.62317612562845</v>
      </c>
      <c r="L1794" s="76">
        <f>EFEITO!$N$1794*EFEITO!$AA$1794</f>
        <v>170.86672765957067</v>
      </c>
      <c r="M1794" s="76">
        <f>$J$1794-EFEITO!$K$1794*EFEITO!$Y$1794</f>
        <v>0</v>
      </c>
      <c r="N1794" s="76">
        <f ca="1">$K$1794-EFEITO!$M$1794*EFEITO!$Z$1794</f>
        <v>0</v>
      </c>
      <c r="O1794" s="76">
        <f>$L$1794-EFEITO!$O$1794*EFEITO!$AA$1794</f>
        <v>0</v>
      </c>
      <c r="P1794" s="18"/>
      <c r="Q1794" s="18"/>
      <c r="R1794" s="18"/>
      <c r="S1794" s="18"/>
      <c r="T1794" s="18"/>
      <c r="U1794" s="18"/>
      <c r="V1794" s="18"/>
      <c r="W1794" s="18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</row>
    <row r="1795" spans="1:36" ht="11.25" customHeight="1" x14ac:dyDescent="0.2">
      <c r="A1795" s="62" t="s">
        <v>21</v>
      </c>
      <c r="B1795" s="62" t="s">
        <v>37</v>
      </c>
      <c r="C1795" s="62" t="s">
        <v>33</v>
      </c>
      <c r="D1795" s="62" t="s">
        <v>38</v>
      </c>
      <c r="E1795" s="62" t="s">
        <v>25</v>
      </c>
      <c r="F1795" s="62" t="s">
        <v>25</v>
      </c>
      <c r="G1795" s="62" t="s">
        <v>25</v>
      </c>
      <c r="H1795" s="62" t="s">
        <v>34</v>
      </c>
      <c r="I1795" s="75">
        <v>44562</v>
      </c>
      <c r="J1795" s="76">
        <f>EFEITO!$J$1795*EFEITO!$Y$1795</f>
        <v>0</v>
      </c>
      <c r="K1795" s="76">
        <f ca="1">EFEITO!$L$1795*EFEITO!$Z$1795</f>
        <v>648.90748347764247</v>
      </c>
      <c r="L1795" s="76">
        <f>EFEITO!$N$1795*EFEITO!$AA$1795</f>
        <v>312.66060912034874</v>
      </c>
      <c r="M1795" s="76">
        <f>$J$1795-EFEITO!$K$1795*EFEITO!$Y$1795</f>
        <v>0</v>
      </c>
      <c r="N1795" s="76">
        <f ca="1">$K$1795-EFEITO!$M$1795*EFEITO!$Z$1795</f>
        <v>0</v>
      </c>
      <c r="O1795" s="76">
        <f>$L$1795-EFEITO!$O$1795*EFEITO!$AA$1795</f>
        <v>0</v>
      </c>
      <c r="P1795" s="18"/>
      <c r="Q1795" s="18"/>
      <c r="R1795" s="18"/>
      <c r="S1795" s="18"/>
      <c r="T1795" s="18"/>
      <c r="U1795" s="18"/>
      <c r="V1795" s="18"/>
      <c r="W1795" s="18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</row>
    <row r="1796" spans="1:36" ht="11.25" customHeight="1" x14ac:dyDescent="0.2">
      <c r="A1796" s="62" t="s">
        <v>21</v>
      </c>
      <c r="B1796" s="62" t="s">
        <v>37</v>
      </c>
      <c r="C1796" s="62" t="s">
        <v>33</v>
      </c>
      <c r="D1796" s="62" t="s">
        <v>38</v>
      </c>
      <c r="E1796" s="62" t="s">
        <v>25</v>
      </c>
      <c r="F1796" s="62" t="s">
        <v>25</v>
      </c>
      <c r="G1796" s="62" t="s">
        <v>25</v>
      </c>
      <c r="H1796" s="62" t="s">
        <v>34</v>
      </c>
      <c r="I1796" s="75">
        <v>44593</v>
      </c>
      <c r="J1796" s="76">
        <f>EFEITO!$J$1796*EFEITO!$Y$1796</f>
        <v>0</v>
      </c>
      <c r="K1796" s="76">
        <f ca="1">EFEITO!$L$1796*EFEITO!$Z$1796</f>
        <v>262.52700799748015</v>
      </c>
      <c r="L1796" s="76">
        <f>EFEITO!$N$1796*EFEITO!$AA$1796</f>
        <v>126.49238346141351</v>
      </c>
      <c r="M1796" s="76">
        <f>$J$1796-EFEITO!$K$1796*EFEITO!$Y$1796</f>
        <v>0</v>
      </c>
      <c r="N1796" s="76">
        <f ca="1">$K$1796-EFEITO!$M$1796*EFEITO!$Z$1796</f>
        <v>0</v>
      </c>
      <c r="O1796" s="76">
        <f>$L$1796-EFEITO!$O$1796*EFEITO!$AA$1796</f>
        <v>0</v>
      </c>
      <c r="P1796" s="18"/>
      <c r="Q1796" s="18"/>
      <c r="R1796" s="18"/>
      <c r="S1796" s="18"/>
      <c r="T1796" s="18"/>
      <c r="U1796" s="18"/>
      <c r="V1796" s="18"/>
      <c r="W1796" s="18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</row>
    <row r="1797" spans="1:36" ht="11.25" customHeight="1" x14ac:dyDescent="0.2">
      <c r="A1797" s="62" t="s">
        <v>21</v>
      </c>
      <c r="B1797" s="62" t="s">
        <v>37</v>
      </c>
      <c r="C1797" s="62" t="s">
        <v>33</v>
      </c>
      <c r="D1797" s="62" t="s">
        <v>38</v>
      </c>
      <c r="E1797" s="62" t="s">
        <v>25</v>
      </c>
      <c r="F1797" s="62" t="s">
        <v>25</v>
      </c>
      <c r="G1797" s="62" t="s">
        <v>25</v>
      </c>
      <c r="H1797" s="62" t="s">
        <v>34</v>
      </c>
      <c r="I1797" s="75">
        <v>44621</v>
      </c>
      <c r="J1797" s="76">
        <f>EFEITO!$J$1797*EFEITO!$Y$1797</f>
        <v>0</v>
      </c>
      <c r="K1797" s="76">
        <f ca="1">EFEITO!$L$1797*EFEITO!$Z$1797</f>
        <v>191.60237277235447</v>
      </c>
      <c r="L1797" s="76">
        <f>EFEITO!$N$1797*EFEITO!$AA$1797</f>
        <v>92.319037929499373</v>
      </c>
      <c r="M1797" s="76">
        <f>$J$1797-EFEITO!$K$1797*EFEITO!$Y$1797</f>
        <v>0</v>
      </c>
      <c r="N1797" s="76">
        <f ca="1">$K$1797-EFEITO!$M$1797*EFEITO!$Z$1797</f>
        <v>0</v>
      </c>
      <c r="O1797" s="76">
        <f>$L$1797-EFEITO!$O$1797*EFEITO!$AA$1797</f>
        <v>0</v>
      </c>
      <c r="P1797" s="18"/>
      <c r="Q1797" s="18"/>
      <c r="R1797" s="18"/>
      <c r="S1797" s="18"/>
      <c r="T1797" s="18"/>
      <c r="U1797" s="18"/>
      <c r="V1797" s="18"/>
      <c r="W1797" s="18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</row>
    <row r="1798" spans="1:36" ht="11.25" customHeight="1" x14ac:dyDescent="0.2">
      <c r="A1798" s="62" t="s">
        <v>21</v>
      </c>
      <c r="B1798" s="62" t="s">
        <v>37</v>
      </c>
      <c r="C1798" s="62" t="s">
        <v>33</v>
      </c>
      <c r="D1798" s="62" t="s">
        <v>38</v>
      </c>
      <c r="E1798" s="62" t="s">
        <v>25</v>
      </c>
      <c r="F1798" s="62" t="s">
        <v>25</v>
      </c>
      <c r="G1798" s="62" t="s">
        <v>25</v>
      </c>
      <c r="H1798" s="62" t="s">
        <v>34</v>
      </c>
      <c r="I1798" s="75">
        <v>44652</v>
      </c>
      <c r="J1798" s="76">
        <f>EFEITO!$J$1798*EFEITO!$Y$1798</f>
        <v>0</v>
      </c>
      <c r="K1798" s="76">
        <f ca="1">EFEITO!$L$1798*EFEITO!$Z$1798</f>
        <v>312.28011031958323</v>
      </c>
      <c r="L1798" s="76">
        <f>EFEITO!$N$1798*EFEITO!$AA$1798</f>
        <v>150.46473032708462</v>
      </c>
      <c r="M1798" s="76">
        <f>$J$1798-EFEITO!$K$1798*EFEITO!$Y$1798</f>
        <v>0</v>
      </c>
      <c r="N1798" s="76">
        <f ca="1">$K$1798-EFEITO!$M$1798*EFEITO!$Z$1798</f>
        <v>0</v>
      </c>
      <c r="O1798" s="76">
        <f>$L$1798-EFEITO!$O$1798*EFEITO!$AA$1798</f>
        <v>0</v>
      </c>
      <c r="P1798" s="18"/>
      <c r="Q1798" s="18"/>
      <c r="R1798" s="18"/>
      <c r="S1798" s="18"/>
      <c r="T1798" s="18"/>
      <c r="U1798" s="18"/>
      <c r="V1798" s="18"/>
      <c r="W1798" s="18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</row>
    <row r="1799" spans="1:36" ht="11.25" customHeight="1" x14ac:dyDescent="0.2">
      <c r="A1799" s="62" t="s">
        <v>58</v>
      </c>
      <c r="B1799" s="62" t="s">
        <v>37</v>
      </c>
      <c r="C1799" s="62" t="s">
        <v>33</v>
      </c>
      <c r="D1799" s="62" t="s">
        <v>38</v>
      </c>
      <c r="E1799" s="62" t="s">
        <v>25</v>
      </c>
      <c r="F1799" s="62" t="s">
        <v>25</v>
      </c>
      <c r="G1799" s="62" t="s">
        <v>25</v>
      </c>
      <c r="H1799" s="62" t="s">
        <v>34</v>
      </c>
      <c r="I1799" s="75">
        <v>44682</v>
      </c>
      <c r="J1799" s="76">
        <f>EFEITO!$J$1799*EFEITO!$Y$1799</f>
        <v>0</v>
      </c>
      <c r="K1799" s="76">
        <f ca="1">EFEITO!$L$1799*EFEITO!$Z$1799</f>
        <v>312.28011031958323</v>
      </c>
      <c r="L1799" s="76">
        <f>EFEITO!$N$1799*EFEITO!$AA$1799</f>
        <v>150.46473032708462</v>
      </c>
      <c r="M1799" s="76">
        <f>$J$1799-EFEITO!$K$1799*EFEITO!$Y$1799</f>
        <v>0</v>
      </c>
      <c r="N1799" s="76">
        <f ca="1">$K$1799-EFEITO!$M$1799*EFEITO!$Z$1799</f>
        <v>0</v>
      </c>
      <c r="O1799" s="76">
        <f>$L$1799-EFEITO!$O$1799*EFEITO!$AA$1799</f>
        <v>0</v>
      </c>
      <c r="P1799" s="18"/>
      <c r="Q1799" s="18"/>
      <c r="R1799" s="18"/>
      <c r="S1799" s="18"/>
      <c r="T1799" s="18"/>
      <c r="U1799" s="18"/>
      <c r="V1799" s="18"/>
      <c r="W1799" s="18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</row>
    <row r="1800" spans="1:36" ht="11.25" customHeight="1" x14ac:dyDescent="0.2">
      <c r="A1800" s="62" t="s">
        <v>21</v>
      </c>
      <c r="B1800" s="62" t="s">
        <v>37</v>
      </c>
      <c r="C1800" s="62" t="s">
        <v>33</v>
      </c>
      <c r="D1800" s="62" t="s">
        <v>46</v>
      </c>
      <c r="E1800" s="62" t="s">
        <v>25</v>
      </c>
      <c r="F1800" s="62" t="s">
        <v>25</v>
      </c>
      <c r="G1800" s="62" t="s">
        <v>25</v>
      </c>
      <c r="H1800" s="62" t="s">
        <v>35</v>
      </c>
      <c r="I1800" s="75">
        <v>44348</v>
      </c>
      <c r="J1800" s="76">
        <f>EFEITO!$J$1800*EFEITO!$Y$1800</f>
        <v>0</v>
      </c>
      <c r="K1800" s="76">
        <f ca="1">EFEITO!$L$1800*EFEITO!$Z$1800</f>
        <v>131.28922266024901</v>
      </c>
      <c r="L1800" s="76">
        <f>EFEITO!$N$1800*EFEITO!$AA$1800</f>
        <v>116.20798588610572</v>
      </c>
      <c r="M1800" s="76">
        <f>$J$1800-EFEITO!$K$1800*EFEITO!$Y$1800</f>
        <v>0</v>
      </c>
      <c r="N1800" s="76">
        <f ca="1">$K$1800-EFEITO!$M$1800*EFEITO!$Z$1800</f>
        <v>0</v>
      </c>
      <c r="O1800" s="76">
        <f>$L$1800-EFEITO!$O$1800*EFEITO!$AA$1800</f>
        <v>0</v>
      </c>
      <c r="P1800" s="18"/>
      <c r="Q1800" s="18"/>
      <c r="R1800" s="18"/>
      <c r="S1800" s="18"/>
      <c r="T1800" s="18"/>
      <c r="U1800" s="18"/>
      <c r="V1800" s="18"/>
      <c r="W1800" s="18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</row>
    <row r="1801" spans="1:36" ht="11.25" customHeight="1" x14ac:dyDescent="0.2">
      <c r="A1801" s="62" t="s">
        <v>21</v>
      </c>
      <c r="B1801" s="62" t="s">
        <v>37</v>
      </c>
      <c r="C1801" s="62" t="s">
        <v>33</v>
      </c>
      <c r="D1801" s="62" t="s">
        <v>46</v>
      </c>
      <c r="E1801" s="62" t="s">
        <v>25</v>
      </c>
      <c r="F1801" s="62" t="s">
        <v>25</v>
      </c>
      <c r="G1801" s="62" t="s">
        <v>25</v>
      </c>
      <c r="H1801" s="62" t="s">
        <v>35</v>
      </c>
      <c r="I1801" s="75">
        <v>44378</v>
      </c>
      <c r="J1801" s="76">
        <f>EFEITO!$J$1801*EFEITO!$Y$1801</f>
        <v>0</v>
      </c>
      <c r="K1801" s="76">
        <f ca="1">EFEITO!$L$1801*EFEITO!$Z$1801</f>
        <v>138.72068809384803</v>
      </c>
      <c r="L1801" s="76">
        <f>EFEITO!$N$1801*EFEITO!$AA$1801</f>
        <v>122.78579640796076</v>
      </c>
      <c r="M1801" s="76">
        <f>$J$1801-EFEITO!$K$1801*EFEITO!$Y$1801</f>
        <v>0</v>
      </c>
      <c r="N1801" s="76">
        <f ca="1">$K$1801-EFEITO!$M$1801*EFEITO!$Z$1801</f>
        <v>0</v>
      </c>
      <c r="O1801" s="76">
        <f>$L$1801-EFEITO!$O$1801*EFEITO!$AA$1801</f>
        <v>0</v>
      </c>
      <c r="P1801" s="18"/>
      <c r="Q1801" s="18"/>
      <c r="R1801" s="18"/>
      <c r="S1801" s="18"/>
      <c r="T1801" s="18"/>
      <c r="U1801" s="18"/>
      <c r="V1801" s="18"/>
      <c r="W1801" s="18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</row>
    <row r="1802" spans="1:36" ht="11.25" customHeight="1" x14ac:dyDescent="0.2">
      <c r="A1802" s="62" t="s">
        <v>21</v>
      </c>
      <c r="B1802" s="62" t="s">
        <v>37</v>
      </c>
      <c r="C1802" s="62" t="s">
        <v>33</v>
      </c>
      <c r="D1802" s="62" t="s">
        <v>46</v>
      </c>
      <c r="E1802" s="62" t="s">
        <v>25</v>
      </c>
      <c r="F1802" s="62" t="s">
        <v>25</v>
      </c>
      <c r="G1802" s="62" t="s">
        <v>25</v>
      </c>
      <c r="H1802" s="62" t="s">
        <v>35</v>
      </c>
      <c r="I1802" s="75">
        <v>44409</v>
      </c>
      <c r="J1802" s="76">
        <f>EFEITO!$J$1802*EFEITO!$Y$1802</f>
        <v>0</v>
      </c>
      <c r="K1802" s="76">
        <f ca="1">EFEITO!$L$1802*EFEITO!$Z$1802</f>
        <v>135.53577433659129</v>
      </c>
      <c r="L1802" s="76">
        <f>EFEITO!$N$1802*EFEITO!$AA$1802</f>
        <v>119.96673475573716</v>
      </c>
      <c r="M1802" s="76">
        <f>$J$1802-EFEITO!$K$1802*EFEITO!$Y$1802</f>
        <v>0</v>
      </c>
      <c r="N1802" s="76">
        <f ca="1">$K$1802-EFEITO!$M$1802*EFEITO!$Z$1802</f>
        <v>0</v>
      </c>
      <c r="O1802" s="76">
        <f>$L$1802-EFEITO!$O$1802*EFEITO!$AA$1802</f>
        <v>0</v>
      </c>
      <c r="P1802" s="18"/>
      <c r="Q1802" s="18"/>
      <c r="R1802" s="18"/>
      <c r="S1802" s="18"/>
      <c r="T1802" s="18"/>
      <c r="U1802" s="18"/>
      <c r="V1802" s="18"/>
      <c r="W1802" s="18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</row>
    <row r="1803" spans="1:36" ht="11.25" customHeight="1" x14ac:dyDescent="0.2">
      <c r="A1803" s="62" t="s">
        <v>21</v>
      </c>
      <c r="B1803" s="62" t="s">
        <v>37</v>
      </c>
      <c r="C1803" s="62" t="s">
        <v>33</v>
      </c>
      <c r="D1803" s="62" t="s">
        <v>46</v>
      </c>
      <c r="E1803" s="62" t="s">
        <v>25</v>
      </c>
      <c r="F1803" s="62" t="s">
        <v>25</v>
      </c>
      <c r="G1803" s="62" t="s">
        <v>25</v>
      </c>
      <c r="H1803" s="62" t="s">
        <v>35</v>
      </c>
      <c r="I1803" s="75">
        <v>44440</v>
      </c>
      <c r="J1803" s="76">
        <f>EFEITO!$J$1803*EFEITO!$Y$1803</f>
        <v>0</v>
      </c>
      <c r="K1803" s="76">
        <f ca="1">EFEITO!$L$1803*EFEITO!$Z$1803</f>
        <v>141.55172254474289</v>
      </c>
      <c r="L1803" s="76">
        <f>EFEITO!$N$1803*EFEITO!$AA$1803</f>
        <v>125.29162898771506</v>
      </c>
      <c r="M1803" s="76">
        <f>$J$1803-EFEITO!$K$1803*EFEITO!$Y$1803</f>
        <v>0</v>
      </c>
      <c r="N1803" s="76">
        <f ca="1">$K$1803-EFEITO!$M$1803*EFEITO!$Z$1803</f>
        <v>0</v>
      </c>
      <c r="O1803" s="76">
        <f>$L$1803-EFEITO!$O$1803*EFEITO!$AA$1803</f>
        <v>0</v>
      </c>
      <c r="P1803" s="18"/>
      <c r="Q1803" s="18"/>
      <c r="R1803" s="18"/>
      <c r="S1803" s="18"/>
      <c r="T1803" s="18"/>
      <c r="U1803" s="18"/>
      <c r="V1803" s="18"/>
      <c r="W1803" s="18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</row>
    <row r="1804" spans="1:36" ht="11.25" customHeight="1" x14ac:dyDescent="0.2">
      <c r="A1804" s="62" t="s">
        <v>21</v>
      </c>
      <c r="B1804" s="62" t="s">
        <v>37</v>
      </c>
      <c r="C1804" s="62" t="s">
        <v>33</v>
      </c>
      <c r="D1804" s="62" t="s">
        <v>46</v>
      </c>
      <c r="E1804" s="62" t="s">
        <v>25</v>
      </c>
      <c r="F1804" s="62" t="s">
        <v>25</v>
      </c>
      <c r="G1804" s="62" t="s">
        <v>25</v>
      </c>
      <c r="H1804" s="62" t="s">
        <v>35</v>
      </c>
      <c r="I1804" s="75">
        <v>44470</v>
      </c>
      <c r="J1804" s="76">
        <f>EFEITO!$J$1804*EFEITO!$Y$1804</f>
        <v>0</v>
      </c>
      <c r="K1804" s="76">
        <f ca="1">EFEITO!$L$1804*EFEITO!$Z$1804</f>
        <v>116.78017109941287</v>
      </c>
      <c r="L1804" s="76">
        <f>EFEITO!$N$1804*EFEITO!$AA$1804</f>
        <v>103.36559391486493</v>
      </c>
      <c r="M1804" s="76">
        <f>$J$1804-EFEITO!$K$1804*EFEITO!$Y$1804</f>
        <v>0</v>
      </c>
      <c r="N1804" s="76">
        <f ca="1">$K$1804-EFEITO!$M$1804*EFEITO!$Z$1804</f>
        <v>0</v>
      </c>
      <c r="O1804" s="76">
        <f>$L$1804-EFEITO!$O$1804*EFEITO!$AA$1804</f>
        <v>0</v>
      </c>
      <c r="P1804" s="18"/>
      <c r="Q1804" s="18"/>
      <c r="R1804" s="18"/>
      <c r="S1804" s="18"/>
      <c r="T1804" s="18"/>
      <c r="U1804" s="18"/>
      <c r="V1804" s="18"/>
      <c r="W1804" s="18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</row>
    <row r="1805" spans="1:36" ht="11.25" customHeight="1" x14ac:dyDescent="0.2">
      <c r="A1805" s="62" t="s">
        <v>21</v>
      </c>
      <c r="B1805" s="62" t="s">
        <v>37</v>
      </c>
      <c r="C1805" s="62" t="s">
        <v>33</v>
      </c>
      <c r="D1805" s="62" t="s">
        <v>46</v>
      </c>
      <c r="E1805" s="62" t="s">
        <v>25</v>
      </c>
      <c r="F1805" s="62" t="s">
        <v>25</v>
      </c>
      <c r="G1805" s="62" t="s">
        <v>25</v>
      </c>
      <c r="H1805" s="62" t="s">
        <v>35</v>
      </c>
      <c r="I1805" s="75">
        <v>44501</v>
      </c>
      <c r="J1805" s="76">
        <f>EFEITO!$J$1805*EFEITO!$Y$1805</f>
        <v>0</v>
      </c>
      <c r="K1805" s="76">
        <f ca="1">EFEITO!$L$1805*EFEITO!$Z$1805</f>
        <v>128.45818820935415</v>
      </c>
      <c r="L1805" s="76">
        <f>EFEITO!$N$1805*EFEITO!$AA$1805</f>
        <v>113.70215330635141</v>
      </c>
      <c r="M1805" s="76">
        <f>$J$1805-EFEITO!$K$1805*EFEITO!$Y$1805</f>
        <v>0</v>
      </c>
      <c r="N1805" s="76">
        <f ca="1">$K$1805-EFEITO!$M$1805*EFEITO!$Z$1805</f>
        <v>0</v>
      </c>
      <c r="O1805" s="76">
        <f>$L$1805-EFEITO!$O$1805*EFEITO!$AA$1805</f>
        <v>0</v>
      </c>
      <c r="P1805" s="18"/>
      <c r="Q1805" s="18"/>
      <c r="R1805" s="18"/>
      <c r="S1805" s="18"/>
      <c r="T1805" s="18"/>
      <c r="U1805" s="18"/>
      <c r="V1805" s="18"/>
      <c r="W1805" s="18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</row>
    <row r="1806" spans="1:36" ht="11.25" customHeight="1" x14ac:dyDescent="0.2">
      <c r="A1806" s="62" t="s">
        <v>21</v>
      </c>
      <c r="B1806" s="62" t="s">
        <v>37</v>
      </c>
      <c r="C1806" s="62" t="s">
        <v>33</v>
      </c>
      <c r="D1806" s="62" t="s">
        <v>46</v>
      </c>
      <c r="E1806" s="62" t="s">
        <v>25</v>
      </c>
      <c r="F1806" s="62" t="s">
        <v>25</v>
      </c>
      <c r="G1806" s="62" t="s">
        <v>25</v>
      </c>
      <c r="H1806" s="62" t="s">
        <v>35</v>
      </c>
      <c r="I1806" s="75">
        <v>44531</v>
      </c>
      <c r="J1806" s="76">
        <f>EFEITO!$J$1806*EFEITO!$Y$1806</f>
        <v>0</v>
      </c>
      <c r="K1806" s="76">
        <f ca="1">EFEITO!$L$1806*EFEITO!$Z$1806</f>
        <v>128.812067515716</v>
      </c>
      <c r="L1806" s="76">
        <f>EFEITO!$N$1806*EFEITO!$AA$1806</f>
        <v>114.0153823788207</v>
      </c>
      <c r="M1806" s="76">
        <f>$J$1806-EFEITO!$K$1806*EFEITO!$Y$1806</f>
        <v>0</v>
      </c>
      <c r="N1806" s="76">
        <f ca="1">$K$1806-EFEITO!$M$1806*EFEITO!$Z$1806</f>
        <v>0</v>
      </c>
      <c r="O1806" s="76">
        <f>$L$1806-EFEITO!$O$1806*EFEITO!$AA$1806</f>
        <v>0</v>
      </c>
      <c r="P1806" s="18"/>
      <c r="Q1806" s="18"/>
      <c r="R1806" s="18"/>
      <c r="S1806" s="18"/>
      <c r="T1806" s="18"/>
      <c r="U1806" s="18"/>
      <c r="V1806" s="18"/>
      <c r="W1806" s="18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</row>
    <row r="1807" spans="1:36" ht="11.25" customHeight="1" x14ac:dyDescent="0.2">
      <c r="A1807" s="62" t="s">
        <v>21</v>
      </c>
      <c r="B1807" s="62" t="s">
        <v>37</v>
      </c>
      <c r="C1807" s="62" t="s">
        <v>33</v>
      </c>
      <c r="D1807" s="62" t="s">
        <v>46</v>
      </c>
      <c r="E1807" s="62" t="s">
        <v>25</v>
      </c>
      <c r="F1807" s="62" t="s">
        <v>25</v>
      </c>
      <c r="G1807" s="62" t="s">
        <v>25</v>
      </c>
      <c r="H1807" s="62" t="s">
        <v>35</v>
      </c>
      <c r="I1807" s="75">
        <v>44562</v>
      </c>
      <c r="J1807" s="76">
        <f>EFEITO!$J$1807*EFEITO!$Y$1807</f>
        <v>0</v>
      </c>
      <c r="K1807" s="76">
        <f ca="1">EFEITO!$L$1807*EFEITO!$Z$1807</f>
        <v>107.93318844036644</v>
      </c>
      <c r="L1807" s="76">
        <f>EFEITO!$N$1807*EFEITO!$AA$1807</f>
        <v>95.534867103132726</v>
      </c>
      <c r="M1807" s="76">
        <f>$J$1807-EFEITO!$K$1807*EFEITO!$Y$1807</f>
        <v>0</v>
      </c>
      <c r="N1807" s="76">
        <f ca="1">$K$1807-EFEITO!$M$1807*EFEITO!$Z$1807</f>
        <v>0</v>
      </c>
      <c r="O1807" s="76">
        <f>$L$1807-EFEITO!$O$1807*EFEITO!$AA$1807</f>
        <v>0</v>
      </c>
      <c r="P1807" s="18"/>
      <c r="Q1807" s="18"/>
      <c r="R1807" s="18"/>
      <c r="S1807" s="18"/>
      <c r="T1807" s="18"/>
      <c r="U1807" s="18"/>
      <c r="V1807" s="18"/>
      <c r="W1807" s="18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</row>
    <row r="1808" spans="1:36" ht="11.25" customHeight="1" x14ac:dyDescent="0.2">
      <c r="A1808" s="62" t="s">
        <v>21</v>
      </c>
      <c r="B1808" s="62" t="s">
        <v>37</v>
      </c>
      <c r="C1808" s="62" t="s">
        <v>33</v>
      </c>
      <c r="D1808" s="62" t="s">
        <v>46</v>
      </c>
      <c r="E1808" s="62" t="s">
        <v>25</v>
      </c>
      <c r="F1808" s="62" t="s">
        <v>25</v>
      </c>
      <c r="G1808" s="62" t="s">
        <v>25</v>
      </c>
      <c r="H1808" s="62" t="s">
        <v>35</v>
      </c>
      <c r="I1808" s="75">
        <v>44593</v>
      </c>
      <c r="J1808" s="76">
        <f>EFEITO!$J$1808*EFEITO!$Y$1808</f>
        <v>0</v>
      </c>
      <c r="K1808" s="76">
        <f ca="1">EFEITO!$L$1808*EFEITO!$Z$1808</f>
        <v>87.762067977740585</v>
      </c>
      <c r="L1808" s="76">
        <f>EFEITO!$N$1808*EFEITO!$AA$1808</f>
        <v>77.680809972383329</v>
      </c>
      <c r="M1808" s="76">
        <f>$J$1808-EFEITO!$K$1808*EFEITO!$Y$1808</f>
        <v>0</v>
      </c>
      <c r="N1808" s="76">
        <f ca="1">$K$1808-EFEITO!$M$1808*EFEITO!$Z$1808</f>
        <v>0</v>
      </c>
      <c r="O1808" s="76">
        <f>$L$1808-EFEITO!$O$1808*EFEITO!$AA$1808</f>
        <v>0</v>
      </c>
      <c r="P1808" s="18"/>
      <c r="Q1808" s="18"/>
      <c r="R1808" s="18"/>
      <c r="S1808" s="18"/>
      <c r="T1808" s="18"/>
      <c r="U1808" s="18"/>
      <c r="V1808" s="18"/>
      <c r="W1808" s="18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</row>
    <row r="1809" spans="1:36" ht="11.25" customHeight="1" x14ac:dyDescent="0.2">
      <c r="A1809" s="62" t="s">
        <v>21</v>
      </c>
      <c r="B1809" s="62" t="s">
        <v>37</v>
      </c>
      <c r="C1809" s="62" t="s">
        <v>33</v>
      </c>
      <c r="D1809" s="62" t="s">
        <v>46</v>
      </c>
      <c r="E1809" s="62" t="s">
        <v>25</v>
      </c>
      <c r="F1809" s="62" t="s">
        <v>25</v>
      </c>
      <c r="G1809" s="62" t="s">
        <v>25</v>
      </c>
      <c r="H1809" s="62" t="s">
        <v>35</v>
      </c>
      <c r="I1809" s="75">
        <v>44621</v>
      </c>
      <c r="J1809" s="76">
        <f>EFEITO!$J$1809*EFEITO!$Y$1809</f>
        <v>0</v>
      </c>
      <c r="K1809" s="76">
        <f ca="1">EFEITO!$L$1809*EFEITO!$Z$1809</f>
        <v>110.7642228912613</v>
      </c>
      <c r="L1809" s="76">
        <f>EFEITO!$N$1809*EFEITO!$AA$1809</f>
        <v>98.040699682887038</v>
      </c>
      <c r="M1809" s="76">
        <f>$J$1809-EFEITO!$K$1809*EFEITO!$Y$1809</f>
        <v>0</v>
      </c>
      <c r="N1809" s="76">
        <f ca="1">$K$1809-EFEITO!$M$1809*EFEITO!$Z$1809</f>
        <v>0</v>
      </c>
      <c r="O1809" s="76">
        <f>$L$1809-EFEITO!$O$1809*EFEITO!$AA$1809</f>
        <v>0</v>
      </c>
      <c r="P1809" s="18"/>
      <c r="Q1809" s="18"/>
      <c r="R1809" s="18"/>
      <c r="S1809" s="18"/>
      <c r="T1809" s="18"/>
      <c r="U1809" s="18"/>
      <c r="V1809" s="18"/>
      <c r="W1809" s="18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</row>
    <row r="1810" spans="1:36" ht="11.25" customHeight="1" x14ac:dyDescent="0.2">
      <c r="A1810" s="62" t="s">
        <v>21</v>
      </c>
      <c r="B1810" s="62" t="s">
        <v>37</v>
      </c>
      <c r="C1810" s="62" t="s">
        <v>33</v>
      </c>
      <c r="D1810" s="62" t="s">
        <v>46</v>
      </c>
      <c r="E1810" s="62" t="s">
        <v>25</v>
      </c>
      <c r="F1810" s="62" t="s">
        <v>25</v>
      </c>
      <c r="G1810" s="62" t="s">
        <v>25</v>
      </c>
      <c r="H1810" s="62" t="s">
        <v>35</v>
      </c>
      <c r="I1810" s="75">
        <v>44652</v>
      </c>
      <c r="J1810" s="76">
        <f>EFEITO!$J$1810*EFEITO!$Y$1810</f>
        <v>0</v>
      </c>
      <c r="K1810" s="76">
        <f ca="1">EFEITO!$L$1810*EFEITO!$Z$1810</f>
        <v>112.53361942307059</v>
      </c>
      <c r="L1810" s="76">
        <f>EFEITO!$N$1810*EFEITO!$AA$1810</f>
        <v>99.60684504523347</v>
      </c>
      <c r="M1810" s="76">
        <f>$J$1810-EFEITO!$K$1810*EFEITO!$Y$1810</f>
        <v>0</v>
      </c>
      <c r="N1810" s="76">
        <f ca="1">$K$1810-EFEITO!$M$1810*EFEITO!$Z$1810</f>
        <v>0</v>
      </c>
      <c r="O1810" s="76">
        <f>$L$1810-EFEITO!$O$1810*EFEITO!$AA$1810</f>
        <v>0</v>
      </c>
      <c r="P1810" s="18"/>
      <c r="Q1810" s="18"/>
      <c r="R1810" s="18"/>
      <c r="S1810" s="18"/>
      <c r="T1810" s="18"/>
      <c r="U1810" s="18"/>
      <c r="V1810" s="18"/>
      <c r="W1810" s="18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</row>
    <row r="1811" spans="1:36" ht="11.25" customHeight="1" x14ac:dyDescent="0.2">
      <c r="A1811" s="62" t="s">
        <v>58</v>
      </c>
      <c r="B1811" s="62" t="s">
        <v>37</v>
      </c>
      <c r="C1811" s="62" t="s">
        <v>33</v>
      </c>
      <c r="D1811" s="62" t="s">
        <v>46</v>
      </c>
      <c r="E1811" s="62" t="s">
        <v>25</v>
      </c>
      <c r="F1811" s="62" t="s">
        <v>25</v>
      </c>
      <c r="G1811" s="62" t="s">
        <v>25</v>
      </c>
      <c r="H1811" s="62" t="s">
        <v>35</v>
      </c>
      <c r="I1811" s="75">
        <v>44682</v>
      </c>
      <c r="J1811" s="76">
        <f>EFEITO!$J$1811*EFEITO!$Y$1811</f>
        <v>0</v>
      </c>
      <c r="K1811" s="76">
        <f ca="1">EFEITO!$L$1811*EFEITO!$Z$1811</f>
        <v>112.53361942307059</v>
      </c>
      <c r="L1811" s="76">
        <f>EFEITO!$N$1811*EFEITO!$AA$1811</f>
        <v>99.60684504523347</v>
      </c>
      <c r="M1811" s="76">
        <f>$J$1811-EFEITO!$K$1811*EFEITO!$Y$1811</f>
        <v>0</v>
      </c>
      <c r="N1811" s="76">
        <f ca="1">$K$1811-EFEITO!$M$1811*EFEITO!$Z$1811</f>
        <v>0</v>
      </c>
      <c r="O1811" s="76">
        <f>$L$1811-EFEITO!$O$1811*EFEITO!$AA$1811</f>
        <v>0</v>
      </c>
      <c r="P1811" s="18"/>
      <c r="Q1811" s="18"/>
      <c r="R1811" s="18"/>
      <c r="S1811" s="18"/>
      <c r="T1811" s="18"/>
      <c r="U1811" s="18"/>
      <c r="V1811" s="18"/>
      <c r="W1811" s="18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</row>
    <row r="1812" spans="1:36" ht="11.25" customHeight="1" x14ac:dyDescent="0.2">
      <c r="A1812" s="62" t="s">
        <v>21</v>
      </c>
      <c r="B1812" s="62" t="s">
        <v>37</v>
      </c>
      <c r="C1812" s="62" t="s">
        <v>33</v>
      </c>
      <c r="D1812" s="62" t="s">
        <v>46</v>
      </c>
      <c r="E1812" s="62" t="s">
        <v>25</v>
      </c>
      <c r="F1812" s="62" t="s">
        <v>25</v>
      </c>
      <c r="G1812" s="62" t="s">
        <v>25</v>
      </c>
      <c r="H1812" s="62" t="s">
        <v>36</v>
      </c>
      <c r="I1812" s="75">
        <v>44348</v>
      </c>
      <c r="J1812" s="76">
        <f>EFEITO!$J$1812*EFEITO!$Y$1812</f>
        <v>0</v>
      </c>
      <c r="K1812" s="76">
        <f ca="1">EFEITO!$L$1812*EFEITO!$Z$1812</f>
        <v>14.124559515129871</v>
      </c>
      <c r="L1812" s="76">
        <f>EFEITO!$N$1812*EFEITO!$AA$1812</f>
        <v>6.2645814493857532</v>
      </c>
      <c r="M1812" s="76">
        <f>$J$1812-EFEITO!$K$1812*EFEITO!$Y$1812</f>
        <v>0</v>
      </c>
      <c r="N1812" s="76">
        <f ca="1">$K$1812-EFEITO!$M$1812*EFEITO!$Z$1812</f>
        <v>0</v>
      </c>
      <c r="O1812" s="76">
        <f>$L$1812-EFEITO!$O$1812*EFEITO!$AA$1812</f>
        <v>0</v>
      </c>
      <c r="P1812" s="18"/>
      <c r="Q1812" s="18"/>
      <c r="R1812" s="18"/>
      <c r="S1812" s="18"/>
      <c r="T1812" s="18"/>
      <c r="U1812" s="18"/>
      <c r="V1812" s="18"/>
      <c r="W1812" s="18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</row>
    <row r="1813" spans="1:36" ht="11.25" customHeight="1" x14ac:dyDescent="0.2">
      <c r="A1813" s="62" t="s">
        <v>21</v>
      </c>
      <c r="B1813" s="62" t="s">
        <v>37</v>
      </c>
      <c r="C1813" s="62" t="s">
        <v>33</v>
      </c>
      <c r="D1813" s="62" t="s">
        <v>46</v>
      </c>
      <c r="E1813" s="62" t="s">
        <v>25</v>
      </c>
      <c r="F1813" s="62" t="s">
        <v>25</v>
      </c>
      <c r="G1813" s="62" t="s">
        <v>25</v>
      </c>
      <c r="H1813" s="62" t="s">
        <v>36</v>
      </c>
      <c r="I1813" s="75">
        <v>44378</v>
      </c>
      <c r="J1813" s="76">
        <f>EFEITO!$J$1813*EFEITO!$Y$1813</f>
        <v>0</v>
      </c>
      <c r="K1813" s="76">
        <f ca="1">EFEITO!$L$1813*EFEITO!$Z$1813</f>
        <v>14.124559515129871</v>
      </c>
      <c r="L1813" s="76">
        <f>EFEITO!$N$1813*EFEITO!$AA$1813</f>
        <v>6.2645814493857532</v>
      </c>
      <c r="M1813" s="76">
        <f>$J$1813-EFEITO!$K$1813*EFEITO!$Y$1813</f>
        <v>0</v>
      </c>
      <c r="N1813" s="76">
        <f ca="1">$K$1813-EFEITO!$M$1813*EFEITO!$Z$1813</f>
        <v>0</v>
      </c>
      <c r="O1813" s="76">
        <f>$L$1813-EFEITO!$O$1813*EFEITO!$AA$1813</f>
        <v>0</v>
      </c>
      <c r="P1813" s="18"/>
      <c r="Q1813" s="18"/>
      <c r="R1813" s="18"/>
      <c r="S1813" s="18"/>
      <c r="T1813" s="18"/>
      <c r="U1813" s="18"/>
      <c r="V1813" s="18"/>
      <c r="W1813" s="18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</row>
    <row r="1814" spans="1:36" ht="11.25" customHeight="1" x14ac:dyDescent="0.2">
      <c r="A1814" s="62" t="s">
        <v>21</v>
      </c>
      <c r="B1814" s="62" t="s">
        <v>37</v>
      </c>
      <c r="C1814" s="62" t="s">
        <v>33</v>
      </c>
      <c r="D1814" s="62" t="s">
        <v>46</v>
      </c>
      <c r="E1814" s="62" t="s">
        <v>25</v>
      </c>
      <c r="F1814" s="62" t="s">
        <v>25</v>
      </c>
      <c r="G1814" s="62" t="s">
        <v>25</v>
      </c>
      <c r="H1814" s="62" t="s">
        <v>36</v>
      </c>
      <c r="I1814" s="75">
        <v>44409</v>
      </c>
      <c r="J1814" s="76">
        <f>EFEITO!$J$1814*EFEITO!$Y$1814</f>
        <v>0</v>
      </c>
      <c r="K1814" s="76">
        <f ca="1">EFEITO!$L$1814*EFEITO!$Z$1814</f>
        <v>14.830787490886363</v>
      </c>
      <c r="L1814" s="76">
        <f>EFEITO!$N$1814*EFEITO!$AA$1814</f>
        <v>6.5778105218550413</v>
      </c>
      <c r="M1814" s="76">
        <f>$J$1814-EFEITO!$K$1814*EFEITO!$Y$1814</f>
        <v>0</v>
      </c>
      <c r="N1814" s="76">
        <f ca="1">$K$1814-EFEITO!$M$1814*EFEITO!$Z$1814</f>
        <v>0</v>
      </c>
      <c r="O1814" s="76">
        <f>$L$1814-EFEITO!$O$1814*EFEITO!$AA$1814</f>
        <v>0</v>
      </c>
      <c r="P1814" s="18"/>
      <c r="Q1814" s="18"/>
      <c r="R1814" s="18"/>
      <c r="S1814" s="18"/>
      <c r="T1814" s="18"/>
      <c r="U1814" s="18"/>
      <c r="V1814" s="18"/>
      <c r="W1814" s="18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</row>
    <row r="1815" spans="1:36" ht="11.25" customHeight="1" x14ac:dyDescent="0.2">
      <c r="A1815" s="62" t="s">
        <v>21</v>
      </c>
      <c r="B1815" s="62" t="s">
        <v>37</v>
      </c>
      <c r="C1815" s="62" t="s">
        <v>33</v>
      </c>
      <c r="D1815" s="62" t="s">
        <v>46</v>
      </c>
      <c r="E1815" s="62" t="s">
        <v>25</v>
      </c>
      <c r="F1815" s="62" t="s">
        <v>25</v>
      </c>
      <c r="G1815" s="62" t="s">
        <v>25</v>
      </c>
      <c r="H1815" s="62" t="s">
        <v>36</v>
      </c>
      <c r="I1815" s="75">
        <v>44440</v>
      </c>
      <c r="J1815" s="76">
        <f>EFEITO!$J$1815*EFEITO!$Y$1815</f>
        <v>0</v>
      </c>
      <c r="K1815" s="76">
        <f ca="1">EFEITO!$L$1815*EFEITO!$Z$1815</f>
        <v>13.418331539373376</v>
      </c>
      <c r="L1815" s="76">
        <f>EFEITO!$N$1815*EFEITO!$AA$1815</f>
        <v>5.9513523769164651</v>
      </c>
      <c r="M1815" s="76">
        <f>$J$1815-EFEITO!$K$1815*EFEITO!$Y$1815</f>
        <v>0</v>
      </c>
      <c r="N1815" s="76">
        <f ca="1">$K$1815-EFEITO!$M$1815*EFEITO!$Z$1815</f>
        <v>0</v>
      </c>
      <c r="O1815" s="76">
        <f>$L$1815-EFEITO!$O$1815*EFEITO!$AA$1815</f>
        <v>0</v>
      </c>
      <c r="P1815" s="18"/>
      <c r="Q1815" s="18"/>
      <c r="R1815" s="18"/>
      <c r="S1815" s="18"/>
      <c r="T1815" s="18"/>
      <c r="U1815" s="18"/>
      <c r="V1815" s="18"/>
      <c r="W1815" s="18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</row>
    <row r="1816" spans="1:36" ht="11.25" customHeight="1" x14ac:dyDescent="0.2">
      <c r="A1816" s="62" t="s">
        <v>21</v>
      </c>
      <c r="B1816" s="62" t="s">
        <v>37</v>
      </c>
      <c r="C1816" s="62" t="s">
        <v>33</v>
      </c>
      <c r="D1816" s="62" t="s">
        <v>46</v>
      </c>
      <c r="E1816" s="62" t="s">
        <v>25</v>
      </c>
      <c r="F1816" s="62" t="s">
        <v>25</v>
      </c>
      <c r="G1816" s="62" t="s">
        <v>25</v>
      </c>
      <c r="H1816" s="62" t="s">
        <v>36</v>
      </c>
      <c r="I1816" s="75">
        <v>44470</v>
      </c>
      <c r="J1816" s="76">
        <f>EFEITO!$J$1816*EFEITO!$Y$1816</f>
        <v>0</v>
      </c>
      <c r="K1816" s="76">
        <f ca="1">EFEITO!$L$1816*EFEITO!$Z$1816</f>
        <v>12.712103563616882</v>
      </c>
      <c r="L1816" s="76">
        <f>EFEITO!$N$1816*EFEITO!$AA$1816</f>
        <v>5.638123304447177</v>
      </c>
      <c r="M1816" s="76">
        <f>$J$1816-EFEITO!$K$1816*EFEITO!$Y$1816</f>
        <v>0</v>
      </c>
      <c r="N1816" s="76">
        <f ca="1">$K$1816-EFEITO!$M$1816*EFEITO!$Z$1816</f>
        <v>0</v>
      </c>
      <c r="O1816" s="76">
        <f>$L$1816-EFEITO!$O$1816*EFEITO!$AA$1816</f>
        <v>0</v>
      </c>
      <c r="P1816" s="18"/>
      <c r="Q1816" s="18"/>
      <c r="R1816" s="18"/>
      <c r="S1816" s="18"/>
      <c r="T1816" s="18"/>
      <c r="U1816" s="18"/>
      <c r="V1816" s="18"/>
      <c r="W1816" s="18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</row>
    <row r="1817" spans="1:36" ht="11.25" customHeight="1" x14ac:dyDescent="0.2">
      <c r="A1817" s="62" t="s">
        <v>21</v>
      </c>
      <c r="B1817" s="62" t="s">
        <v>37</v>
      </c>
      <c r="C1817" s="62" t="s">
        <v>33</v>
      </c>
      <c r="D1817" s="62" t="s">
        <v>46</v>
      </c>
      <c r="E1817" s="62" t="s">
        <v>25</v>
      </c>
      <c r="F1817" s="62" t="s">
        <v>25</v>
      </c>
      <c r="G1817" s="62" t="s">
        <v>25</v>
      </c>
      <c r="H1817" s="62" t="s">
        <v>36</v>
      </c>
      <c r="I1817" s="75">
        <v>44501</v>
      </c>
      <c r="J1817" s="76">
        <f>EFEITO!$J$1817*EFEITO!$Y$1817</f>
        <v>0</v>
      </c>
      <c r="K1817" s="76">
        <f ca="1">EFEITO!$L$1817*EFEITO!$Z$1817</f>
        <v>12.712103563616882</v>
      </c>
      <c r="L1817" s="76">
        <f>EFEITO!$N$1817*EFEITO!$AA$1817</f>
        <v>5.638123304447177</v>
      </c>
      <c r="M1817" s="76">
        <f>$J$1817-EFEITO!$K$1817*EFEITO!$Y$1817</f>
        <v>0</v>
      </c>
      <c r="N1817" s="76">
        <f ca="1">$K$1817-EFEITO!$M$1817*EFEITO!$Z$1817</f>
        <v>0</v>
      </c>
      <c r="O1817" s="76">
        <f>$L$1817-EFEITO!$O$1817*EFEITO!$AA$1817</f>
        <v>0</v>
      </c>
      <c r="P1817" s="18"/>
      <c r="Q1817" s="18"/>
      <c r="R1817" s="18"/>
      <c r="S1817" s="18"/>
      <c r="T1817" s="18"/>
      <c r="U1817" s="18"/>
      <c r="V1817" s="18"/>
      <c r="W1817" s="18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</row>
    <row r="1818" spans="1:36" ht="11.25" customHeight="1" x14ac:dyDescent="0.2">
      <c r="A1818" s="62" t="s">
        <v>21</v>
      </c>
      <c r="B1818" s="62" t="s">
        <v>37</v>
      </c>
      <c r="C1818" s="62" t="s">
        <v>33</v>
      </c>
      <c r="D1818" s="62" t="s">
        <v>46</v>
      </c>
      <c r="E1818" s="62" t="s">
        <v>25</v>
      </c>
      <c r="F1818" s="62" t="s">
        <v>25</v>
      </c>
      <c r="G1818" s="62" t="s">
        <v>25</v>
      </c>
      <c r="H1818" s="62" t="s">
        <v>36</v>
      </c>
      <c r="I1818" s="75">
        <v>44531</v>
      </c>
      <c r="J1818" s="76">
        <f>EFEITO!$J$1818*EFEITO!$Y$1818</f>
        <v>0</v>
      </c>
      <c r="K1818" s="76">
        <f ca="1">EFEITO!$L$1818*EFEITO!$Z$1818</f>
        <v>12.005875587860391</v>
      </c>
      <c r="L1818" s="76">
        <f>EFEITO!$N$1818*EFEITO!$AA$1818</f>
        <v>5.3248942319778907</v>
      </c>
      <c r="M1818" s="76">
        <f>$J$1818-EFEITO!$K$1818*EFEITO!$Y$1818</f>
        <v>0</v>
      </c>
      <c r="N1818" s="76">
        <f ca="1">$K$1818-EFEITO!$M$1818*EFEITO!$Z$1818</f>
        <v>0</v>
      </c>
      <c r="O1818" s="76">
        <f>$L$1818-EFEITO!$O$1818*EFEITO!$AA$1818</f>
        <v>0</v>
      </c>
      <c r="P1818" s="18"/>
      <c r="Q1818" s="18"/>
      <c r="R1818" s="18"/>
      <c r="S1818" s="18"/>
      <c r="T1818" s="18"/>
      <c r="U1818" s="18"/>
      <c r="V1818" s="18"/>
      <c r="W1818" s="18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</row>
    <row r="1819" spans="1:36" ht="11.25" customHeight="1" x14ac:dyDescent="0.2">
      <c r="A1819" s="62" t="s">
        <v>21</v>
      </c>
      <c r="B1819" s="62" t="s">
        <v>37</v>
      </c>
      <c r="C1819" s="62" t="s">
        <v>33</v>
      </c>
      <c r="D1819" s="62" t="s">
        <v>46</v>
      </c>
      <c r="E1819" s="62" t="s">
        <v>25</v>
      </c>
      <c r="F1819" s="62" t="s">
        <v>25</v>
      </c>
      <c r="G1819" s="62" t="s">
        <v>25</v>
      </c>
      <c r="H1819" s="62" t="s">
        <v>36</v>
      </c>
      <c r="I1819" s="75">
        <v>44562</v>
      </c>
      <c r="J1819" s="76">
        <f>EFEITO!$J$1819*EFEITO!$Y$1819</f>
        <v>0</v>
      </c>
      <c r="K1819" s="76">
        <f ca="1">EFEITO!$L$1819*EFEITO!$Z$1819</f>
        <v>9.8871916605909096</v>
      </c>
      <c r="L1819" s="76">
        <f>EFEITO!$N$1819*EFEITO!$AA$1819</f>
        <v>4.3852070145700273</v>
      </c>
      <c r="M1819" s="76">
        <f>$J$1819-EFEITO!$K$1819*EFEITO!$Y$1819</f>
        <v>0</v>
      </c>
      <c r="N1819" s="76">
        <f ca="1">$K$1819-EFEITO!$M$1819*EFEITO!$Z$1819</f>
        <v>0</v>
      </c>
      <c r="O1819" s="76">
        <f>$L$1819-EFEITO!$O$1819*EFEITO!$AA$1819</f>
        <v>0</v>
      </c>
      <c r="P1819" s="18"/>
      <c r="Q1819" s="18"/>
      <c r="R1819" s="18"/>
      <c r="S1819" s="18"/>
      <c r="T1819" s="18"/>
      <c r="U1819" s="18"/>
      <c r="V1819" s="18"/>
      <c r="W1819" s="18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</row>
    <row r="1820" spans="1:36" ht="11.25" customHeight="1" x14ac:dyDescent="0.2">
      <c r="A1820" s="62" t="s">
        <v>21</v>
      </c>
      <c r="B1820" s="62" t="s">
        <v>37</v>
      </c>
      <c r="C1820" s="62" t="s">
        <v>33</v>
      </c>
      <c r="D1820" s="62" t="s">
        <v>46</v>
      </c>
      <c r="E1820" s="62" t="s">
        <v>25</v>
      </c>
      <c r="F1820" s="62" t="s">
        <v>25</v>
      </c>
      <c r="G1820" s="62" t="s">
        <v>25</v>
      </c>
      <c r="H1820" s="62" t="s">
        <v>36</v>
      </c>
      <c r="I1820" s="75">
        <v>44593</v>
      </c>
      <c r="J1820" s="76">
        <f>EFEITO!$J$1820*EFEITO!$Y$1820</f>
        <v>0</v>
      </c>
      <c r="K1820" s="76">
        <f ca="1">EFEITO!$L$1820*EFEITO!$Z$1820</f>
        <v>8.4747357090779225</v>
      </c>
      <c r="L1820" s="76">
        <f>EFEITO!$N$1820*EFEITO!$AA$1820</f>
        <v>3.7587488696314519</v>
      </c>
      <c r="M1820" s="76">
        <f>$J$1820-EFEITO!$K$1820*EFEITO!$Y$1820</f>
        <v>0</v>
      </c>
      <c r="N1820" s="76">
        <f ca="1">$K$1820-EFEITO!$M$1820*EFEITO!$Z$1820</f>
        <v>0</v>
      </c>
      <c r="O1820" s="76">
        <f>$L$1820-EFEITO!$O$1820*EFEITO!$AA$1820</f>
        <v>0</v>
      </c>
      <c r="P1820" s="18"/>
      <c r="Q1820" s="18"/>
      <c r="R1820" s="18"/>
      <c r="S1820" s="18"/>
      <c r="T1820" s="18"/>
      <c r="U1820" s="18"/>
      <c r="V1820" s="18"/>
      <c r="W1820" s="18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</row>
    <row r="1821" spans="1:36" ht="11.25" customHeight="1" x14ac:dyDescent="0.2">
      <c r="A1821" s="62" t="s">
        <v>21</v>
      </c>
      <c r="B1821" s="62" t="s">
        <v>37</v>
      </c>
      <c r="C1821" s="62" t="s">
        <v>33</v>
      </c>
      <c r="D1821" s="62" t="s">
        <v>46</v>
      </c>
      <c r="E1821" s="62" t="s">
        <v>25</v>
      </c>
      <c r="F1821" s="62" t="s">
        <v>25</v>
      </c>
      <c r="G1821" s="62" t="s">
        <v>25</v>
      </c>
      <c r="H1821" s="62" t="s">
        <v>36</v>
      </c>
      <c r="I1821" s="75">
        <v>44621</v>
      </c>
      <c r="J1821" s="76">
        <f>EFEITO!$J$1821*EFEITO!$Y$1821</f>
        <v>0</v>
      </c>
      <c r="K1821" s="76">
        <f ca="1">EFEITO!$L$1821*EFEITO!$Z$1821</f>
        <v>9.8871916605909096</v>
      </c>
      <c r="L1821" s="76">
        <f>EFEITO!$N$1821*EFEITO!$AA$1821</f>
        <v>4.3852070145700273</v>
      </c>
      <c r="M1821" s="76">
        <f>$J$1821-EFEITO!$K$1821*EFEITO!$Y$1821</f>
        <v>0</v>
      </c>
      <c r="N1821" s="76">
        <f ca="1">$K$1821-EFEITO!$M$1821*EFEITO!$Z$1821</f>
        <v>0</v>
      </c>
      <c r="O1821" s="76">
        <f>$L$1821-EFEITO!$O$1821*EFEITO!$AA$1821</f>
        <v>0</v>
      </c>
      <c r="P1821" s="18"/>
      <c r="Q1821" s="18"/>
      <c r="R1821" s="18"/>
      <c r="S1821" s="18"/>
      <c r="T1821" s="18"/>
      <c r="U1821" s="18"/>
      <c r="V1821" s="18"/>
      <c r="W1821" s="18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</row>
    <row r="1822" spans="1:36" ht="11.25" customHeight="1" x14ac:dyDescent="0.2">
      <c r="A1822" s="62" t="s">
        <v>21</v>
      </c>
      <c r="B1822" s="62" t="s">
        <v>37</v>
      </c>
      <c r="C1822" s="62" t="s">
        <v>33</v>
      </c>
      <c r="D1822" s="62" t="s">
        <v>46</v>
      </c>
      <c r="E1822" s="62" t="s">
        <v>25</v>
      </c>
      <c r="F1822" s="62" t="s">
        <v>25</v>
      </c>
      <c r="G1822" s="62" t="s">
        <v>25</v>
      </c>
      <c r="H1822" s="62" t="s">
        <v>36</v>
      </c>
      <c r="I1822" s="75">
        <v>44652</v>
      </c>
      <c r="J1822" s="76">
        <f>EFEITO!$J$1822*EFEITO!$Y$1822</f>
        <v>0</v>
      </c>
      <c r="K1822" s="76">
        <f ca="1">EFEITO!$L$1822*EFEITO!$Z$1822</f>
        <v>11.299647612103897</v>
      </c>
      <c r="L1822" s="76">
        <f>EFEITO!$N$1822*EFEITO!$AA$1822</f>
        <v>5.0116651595086026</v>
      </c>
      <c r="M1822" s="76">
        <f>$J$1822-EFEITO!$K$1822*EFEITO!$Y$1822</f>
        <v>0</v>
      </c>
      <c r="N1822" s="76">
        <f ca="1">$K$1822-EFEITO!$M$1822*EFEITO!$Z$1822</f>
        <v>0</v>
      </c>
      <c r="O1822" s="76">
        <f>$L$1822-EFEITO!$O$1822*EFEITO!$AA$1822</f>
        <v>0</v>
      </c>
      <c r="P1822" s="18"/>
      <c r="Q1822" s="18"/>
      <c r="R1822" s="18"/>
      <c r="S1822" s="18"/>
      <c r="T1822" s="18"/>
      <c r="U1822" s="18"/>
      <c r="V1822" s="18"/>
      <c r="W1822" s="18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</row>
    <row r="1823" spans="1:36" ht="11.25" customHeight="1" x14ac:dyDescent="0.2">
      <c r="A1823" s="62" t="s">
        <v>58</v>
      </c>
      <c r="B1823" s="62" t="s">
        <v>37</v>
      </c>
      <c r="C1823" s="62" t="s">
        <v>33</v>
      </c>
      <c r="D1823" s="62" t="s">
        <v>46</v>
      </c>
      <c r="E1823" s="62" t="s">
        <v>25</v>
      </c>
      <c r="F1823" s="62" t="s">
        <v>25</v>
      </c>
      <c r="G1823" s="62" t="s">
        <v>25</v>
      </c>
      <c r="H1823" s="62" t="s">
        <v>36</v>
      </c>
      <c r="I1823" s="75">
        <v>44682</v>
      </c>
      <c r="J1823" s="76">
        <f>EFEITO!$J$1823*EFEITO!$Y$1823</f>
        <v>0</v>
      </c>
      <c r="K1823" s="76">
        <f ca="1">EFEITO!$L$1823*EFEITO!$Z$1823</f>
        <v>11.299647612103897</v>
      </c>
      <c r="L1823" s="76">
        <f>EFEITO!$N$1823*EFEITO!$AA$1823</f>
        <v>5.0116651595086026</v>
      </c>
      <c r="M1823" s="76">
        <f>$J$1823-EFEITO!$K$1823*EFEITO!$Y$1823</f>
        <v>0</v>
      </c>
      <c r="N1823" s="76">
        <f ca="1">$K$1823-EFEITO!$M$1823*EFEITO!$Z$1823</f>
        <v>0</v>
      </c>
      <c r="O1823" s="76">
        <f>$L$1823-EFEITO!$O$1823*EFEITO!$AA$1823</f>
        <v>0</v>
      </c>
      <c r="P1823" s="18"/>
      <c r="Q1823" s="18"/>
      <c r="R1823" s="18"/>
      <c r="S1823" s="18"/>
      <c r="T1823" s="18"/>
      <c r="U1823" s="18"/>
      <c r="V1823" s="18"/>
      <c r="W1823" s="18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</row>
    <row r="1824" spans="1:36" ht="11.25" customHeight="1" x14ac:dyDescent="0.2">
      <c r="A1824" s="62" t="s">
        <v>21</v>
      </c>
      <c r="B1824" s="62" t="s">
        <v>37</v>
      </c>
      <c r="C1824" s="62" t="s">
        <v>33</v>
      </c>
      <c r="D1824" s="62" t="s">
        <v>46</v>
      </c>
      <c r="E1824" s="62" t="s">
        <v>25</v>
      </c>
      <c r="F1824" s="62" t="s">
        <v>25</v>
      </c>
      <c r="G1824" s="62" t="s">
        <v>25</v>
      </c>
      <c r="H1824" s="62" t="s">
        <v>34</v>
      </c>
      <c r="I1824" s="75">
        <v>44348</v>
      </c>
      <c r="J1824" s="76">
        <f>EFEITO!$J$1824*EFEITO!$Y$1824</f>
        <v>0</v>
      </c>
      <c r="K1824" s="76">
        <f ca="1">EFEITO!$L$1824*EFEITO!$Z$1824</f>
        <v>33.874452644836154</v>
      </c>
      <c r="L1824" s="76">
        <f>EFEITO!$N$1824*EFEITO!$AA$1824</f>
        <v>16.321597865988842</v>
      </c>
      <c r="M1824" s="76">
        <f>$J$1824-EFEITO!$K$1824*EFEITO!$Y$1824</f>
        <v>0</v>
      </c>
      <c r="N1824" s="76">
        <f ca="1">$K$1824-EFEITO!$M$1824*EFEITO!$Z$1824</f>
        <v>0</v>
      </c>
      <c r="O1824" s="76">
        <f>$L$1824-EFEITO!$O$1824*EFEITO!$AA$1824</f>
        <v>0</v>
      </c>
      <c r="P1824" s="18"/>
      <c r="Q1824" s="18"/>
      <c r="R1824" s="18"/>
      <c r="S1824" s="18"/>
      <c r="T1824" s="18"/>
      <c r="U1824" s="18"/>
      <c r="V1824" s="18"/>
      <c r="W1824" s="18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</row>
    <row r="1825" spans="1:36" ht="11.25" customHeight="1" x14ac:dyDescent="0.2">
      <c r="A1825" s="62" t="s">
        <v>21</v>
      </c>
      <c r="B1825" s="62" t="s">
        <v>37</v>
      </c>
      <c r="C1825" s="62" t="s">
        <v>33</v>
      </c>
      <c r="D1825" s="62" t="s">
        <v>46</v>
      </c>
      <c r="E1825" s="62" t="s">
        <v>25</v>
      </c>
      <c r="F1825" s="62" t="s">
        <v>25</v>
      </c>
      <c r="G1825" s="62" t="s">
        <v>25</v>
      </c>
      <c r="H1825" s="62" t="s">
        <v>34</v>
      </c>
      <c r="I1825" s="75">
        <v>44378</v>
      </c>
      <c r="J1825" s="76">
        <f>EFEITO!$J$1825*EFEITO!$Y$1825</f>
        <v>0</v>
      </c>
      <c r="K1825" s="76">
        <f ca="1">EFEITO!$L$1825*EFEITO!$Z$1825</f>
        <v>34.933029289987282</v>
      </c>
      <c r="L1825" s="76">
        <f>EFEITO!$N$1825*EFEITO!$AA$1825</f>
        <v>16.831647799300992</v>
      </c>
      <c r="M1825" s="76">
        <f>$J$1825-EFEITO!$K$1825*EFEITO!$Y$1825</f>
        <v>0</v>
      </c>
      <c r="N1825" s="76">
        <f ca="1">$K$1825-EFEITO!$M$1825*EFEITO!$Z$1825</f>
        <v>0</v>
      </c>
      <c r="O1825" s="76">
        <f>$L$1825-EFEITO!$O$1825*EFEITO!$AA$1825</f>
        <v>0</v>
      </c>
      <c r="P1825" s="18"/>
      <c r="Q1825" s="18"/>
      <c r="R1825" s="18"/>
      <c r="S1825" s="18"/>
      <c r="T1825" s="18"/>
      <c r="U1825" s="18"/>
      <c r="V1825" s="18"/>
      <c r="W1825" s="18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</row>
    <row r="1826" spans="1:36" ht="11.25" customHeight="1" x14ac:dyDescent="0.2">
      <c r="A1826" s="62" t="s">
        <v>21</v>
      </c>
      <c r="B1826" s="62" t="s">
        <v>37</v>
      </c>
      <c r="C1826" s="62" t="s">
        <v>33</v>
      </c>
      <c r="D1826" s="62" t="s">
        <v>46</v>
      </c>
      <c r="E1826" s="62" t="s">
        <v>25</v>
      </c>
      <c r="F1826" s="62" t="s">
        <v>25</v>
      </c>
      <c r="G1826" s="62" t="s">
        <v>25</v>
      </c>
      <c r="H1826" s="62" t="s">
        <v>34</v>
      </c>
      <c r="I1826" s="75">
        <v>44409</v>
      </c>
      <c r="J1826" s="76">
        <f>EFEITO!$J$1826*EFEITO!$Y$1826</f>
        <v>0</v>
      </c>
      <c r="K1826" s="76">
        <f ca="1">EFEITO!$L$1826*EFEITO!$Z$1826</f>
        <v>38.108759225440664</v>
      </c>
      <c r="L1826" s="76">
        <f>EFEITO!$N$1826*EFEITO!$AA$1826</f>
        <v>18.361797599237445</v>
      </c>
      <c r="M1826" s="76">
        <f>$J$1826-EFEITO!$K$1826*EFEITO!$Y$1826</f>
        <v>0</v>
      </c>
      <c r="N1826" s="76">
        <f ca="1">$K$1826-EFEITO!$M$1826*EFEITO!$Z$1826</f>
        <v>0</v>
      </c>
      <c r="O1826" s="76">
        <f>$L$1826-EFEITO!$O$1826*EFEITO!$AA$1826</f>
        <v>0</v>
      </c>
      <c r="P1826" s="18"/>
      <c r="Q1826" s="18"/>
      <c r="R1826" s="18"/>
      <c r="S1826" s="18"/>
      <c r="T1826" s="18"/>
      <c r="U1826" s="18"/>
      <c r="V1826" s="18"/>
      <c r="W1826" s="18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</row>
    <row r="1827" spans="1:36" ht="11.25" customHeight="1" x14ac:dyDescent="0.2">
      <c r="A1827" s="62" t="s">
        <v>21</v>
      </c>
      <c r="B1827" s="62" t="s">
        <v>37</v>
      </c>
      <c r="C1827" s="62" t="s">
        <v>33</v>
      </c>
      <c r="D1827" s="62" t="s">
        <v>46</v>
      </c>
      <c r="E1827" s="62" t="s">
        <v>25</v>
      </c>
      <c r="F1827" s="62" t="s">
        <v>25</v>
      </c>
      <c r="G1827" s="62" t="s">
        <v>25</v>
      </c>
      <c r="H1827" s="62" t="s">
        <v>34</v>
      </c>
      <c r="I1827" s="75">
        <v>44440</v>
      </c>
      <c r="J1827" s="76">
        <f>EFEITO!$J$1827*EFEITO!$Y$1827</f>
        <v>0</v>
      </c>
      <c r="K1827" s="76">
        <f ca="1">EFEITO!$L$1827*EFEITO!$Z$1827</f>
        <v>33.874452644836154</v>
      </c>
      <c r="L1827" s="76">
        <f>EFEITO!$N$1827*EFEITO!$AA$1827</f>
        <v>16.321597865988842</v>
      </c>
      <c r="M1827" s="76">
        <f>$J$1827-EFEITO!$K$1827*EFEITO!$Y$1827</f>
        <v>0</v>
      </c>
      <c r="N1827" s="76">
        <f ca="1">$K$1827-EFEITO!$M$1827*EFEITO!$Z$1827</f>
        <v>0</v>
      </c>
      <c r="O1827" s="76">
        <f>$L$1827-EFEITO!$O$1827*EFEITO!$AA$1827</f>
        <v>0</v>
      </c>
      <c r="P1827" s="18"/>
      <c r="Q1827" s="18"/>
      <c r="R1827" s="18"/>
      <c r="S1827" s="18"/>
      <c r="T1827" s="18"/>
      <c r="U1827" s="18"/>
      <c r="V1827" s="18"/>
      <c r="W1827" s="18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</row>
    <row r="1828" spans="1:36" ht="11.25" customHeight="1" x14ac:dyDescent="0.2">
      <c r="A1828" s="62" t="s">
        <v>21</v>
      </c>
      <c r="B1828" s="62" t="s">
        <v>37</v>
      </c>
      <c r="C1828" s="62" t="s">
        <v>33</v>
      </c>
      <c r="D1828" s="62" t="s">
        <v>46</v>
      </c>
      <c r="E1828" s="62" t="s">
        <v>25</v>
      </c>
      <c r="F1828" s="62" t="s">
        <v>25</v>
      </c>
      <c r="G1828" s="62" t="s">
        <v>25</v>
      </c>
      <c r="H1828" s="62" t="s">
        <v>34</v>
      </c>
      <c r="I1828" s="75">
        <v>44470</v>
      </c>
      <c r="J1828" s="76">
        <f>EFEITO!$J$1828*EFEITO!$Y$1828</f>
        <v>0</v>
      </c>
      <c r="K1828" s="76">
        <f ca="1">EFEITO!$L$1828*EFEITO!$Z$1828</f>
        <v>30.698722709382764</v>
      </c>
      <c r="L1828" s="76">
        <f>EFEITO!$N$1828*EFEITO!$AA$1828</f>
        <v>14.791448066052387</v>
      </c>
      <c r="M1828" s="76">
        <f>$J$1828-EFEITO!$K$1828*EFEITO!$Y$1828</f>
        <v>0</v>
      </c>
      <c r="N1828" s="76">
        <f ca="1">$K$1828-EFEITO!$M$1828*EFEITO!$Z$1828</f>
        <v>0</v>
      </c>
      <c r="O1828" s="76">
        <f>$L$1828-EFEITO!$O$1828*EFEITO!$AA$1828</f>
        <v>0</v>
      </c>
      <c r="P1828" s="18"/>
      <c r="Q1828" s="18"/>
      <c r="R1828" s="18"/>
      <c r="S1828" s="18"/>
      <c r="T1828" s="18"/>
      <c r="U1828" s="18"/>
      <c r="V1828" s="18"/>
      <c r="W1828" s="18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</row>
    <row r="1829" spans="1:36" ht="11.25" customHeight="1" x14ac:dyDescent="0.2">
      <c r="A1829" s="62" t="s">
        <v>21</v>
      </c>
      <c r="B1829" s="62" t="s">
        <v>37</v>
      </c>
      <c r="C1829" s="62" t="s">
        <v>33</v>
      </c>
      <c r="D1829" s="62" t="s">
        <v>46</v>
      </c>
      <c r="E1829" s="62" t="s">
        <v>25</v>
      </c>
      <c r="F1829" s="62" t="s">
        <v>25</v>
      </c>
      <c r="G1829" s="62" t="s">
        <v>25</v>
      </c>
      <c r="H1829" s="62" t="s">
        <v>34</v>
      </c>
      <c r="I1829" s="75">
        <v>44501</v>
      </c>
      <c r="J1829" s="76">
        <f>EFEITO!$J$1829*EFEITO!$Y$1829</f>
        <v>0</v>
      </c>
      <c r="K1829" s="76">
        <f ca="1">EFEITO!$L$1829*EFEITO!$Z$1829</f>
        <v>32.815875999685019</v>
      </c>
      <c r="L1829" s="76">
        <f>EFEITO!$N$1829*EFEITO!$AA$1829</f>
        <v>15.811547932676689</v>
      </c>
      <c r="M1829" s="76">
        <f>$J$1829-EFEITO!$K$1829*EFEITO!$Y$1829</f>
        <v>0</v>
      </c>
      <c r="N1829" s="76">
        <f ca="1">$K$1829-EFEITO!$M$1829*EFEITO!$Z$1829</f>
        <v>0</v>
      </c>
      <c r="O1829" s="76">
        <f>$L$1829-EFEITO!$O$1829*EFEITO!$AA$1829</f>
        <v>0</v>
      </c>
      <c r="P1829" s="18"/>
      <c r="Q1829" s="18"/>
      <c r="R1829" s="18"/>
      <c r="S1829" s="18"/>
      <c r="T1829" s="18"/>
      <c r="U1829" s="18"/>
      <c r="V1829" s="18"/>
      <c r="W1829" s="18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</row>
    <row r="1830" spans="1:36" ht="11.25" customHeight="1" x14ac:dyDescent="0.2">
      <c r="A1830" s="62" t="s">
        <v>21</v>
      </c>
      <c r="B1830" s="62" t="s">
        <v>37</v>
      </c>
      <c r="C1830" s="62" t="s">
        <v>33</v>
      </c>
      <c r="D1830" s="62" t="s">
        <v>46</v>
      </c>
      <c r="E1830" s="62" t="s">
        <v>25</v>
      </c>
      <c r="F1830" s="62" t="s">
        <v>25</v>
      </c>
      <c r="G1830" s="62" t="s">
        <v>25</v>
      </c>
      <c r="H1830" s="62" t="s">
        <v>34</v>
      </c>
      <c r="I1830" s="75">
        <v>44531</v>
      </c>
      <c r="J1830" s="76">
        <f>EFEITO!$J$1830*EFEITO!$Y$1830</f>
        <v>0</v>
      </c>
      <c r="K1830" s="76">
        <f ca="1">EFEITO!$L$1830*EFEITO!$Z$1830</f>
        <v>29.640146064231633</v>
      </c>
      <c r="L1830" s="76">
        <f>EFEITO!$N$1830*EFEITO!$AA$1830</f>
        <v>14.281398132740236</v>
      </c>
      <c r="M1830" s="76">
        <f>$J$1830-EFEITO!$K$1830*EFEITO!$Y$1830</f>
        <v>0</v>
      </c>
      <c r="N1830" s="76">
        <f ca="1">$K$1830-EFEITO!$M$1830*EFEITO!$Z$1830</f>
        <v>0</v>
      </c>
      <c r="O1830" s="76">
        <f>$L$1830-EFEITO!$O$1830*EFEITO!$AA$1830</f>
        <v>0</v>
      </c>
      <c r="P1830" s="18"/>
      <c r="Q1830" s="18"/>
      <c r="R1830" s="18"/>
      <c r="S1830" s="18"/>
      <c r="T1830" s="18"/>
      <c r="U1830" s="18"/>
      <c r="V1830" s="18"/>
      <c r="W1830" s="18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</row>
    <row r="1831" spans="1:36" ht="11.25" customHeight="1" x14ac:dyDescent="0.2">
      <c r="A1831" s="62" t="s">
        <v>21</v>
      </c>
      <c r="B1831" s="62" t="s">
        <v>37</v>
      </c>
      <c r="C1831" s="62" t="s">
        <v>33</v>
      </c>
      <c r="D1831" s="62" t="s">
        <v>46</v>
      </c>
      <c r="E1831" s="62" t="s">
        <v>25</v>
      </c>
      <c r="F1831" s="62" t="s">
        <v>25</v>
      </c>
      <c r="G1831" s="62" t="s">
        <v>25</v>
      </c>
      <c r="H1831" s="62" t="s">
        <v>34</v>
      </c>
      <c r="I1831" s="75">
        <v>44562</v>
      </c>
      <c r="J1831" s="76">
        <f>EFEITO!$J$1831*EFEITO!$Y$1831</f>
        <v>0</v>
      </c>
      <c r="K1831" s="76">
        <f ca="1">EFEITO!$L$1831*EFEITO!$Z$1831</f>
        <v>24.347262838475984</v>
      </c>
      <c r="L1831" s="76">
        <f>EFEITO!$N$1831*EFEITO!$AA$1831</f>
        <v>11.731148466179478</v>
      </c>
      <c r="M1831" s="76">
        <f>$J$1831-EFEITO!$K$1831*EFEITO!$Y$1831</f>
        <v>0</v>
      </c>
      <c r="N1831" s="76">
        <f ca="1">$K$1831-EFEITO!$M$1831*EFEITO!$Z$1831</f>
        <v>0</v>
      </c>
      <c r="O1831" s="76">
        <f>$L$1831-EFEITO!$O$1831*EFEITO!$AA$1831</f>
        <v>0</v>
      </c>
      <c r="P1831" s="18"/>
      <c r="Q1831" s="18"/>
      <c r="R1831" s="18"/>
      <c r="S1831" s="18"/>
      <c r="T1831" s="18"/>
      <c r="U1831" s="18"/>
      <c r="V1831" s="18"/>
      <c r="W1831" s="18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</row>
    <row r="1832" spans="1:36" ht="11.25" customHeight="1" x14ac:dyDescent="0.2">
      <c r="A1832" s="62" t="s">
        <v>21</v>
      </c>
      <c r="B1832" s="62" t="s">
        <v>37</v>
      </c>
      <c r="C1832" s="62" t="s">
        <v>33</v>
      </c>
      <c r="D1832" s="62" t="s">
        <v>46</v>
      </c>
      <c r="E1832" s="62" t="s">
        <v>25</v>
      </c>
      <c r="F1832" s="62" t="s">
        <v>25</v>
      </c>
      <c r="G1832" s="62" t="s">
        <v>25</v>
      </c>
      <c r="H1832" s="62" t="s">
        <v>34</v>
      </c>
      <c r="I1832" s="75">
        <v>44593</v>
      </c>
      <c r="J1832" s="76">
        <f>EFEITO!$J$1832*EFEITO!$Y$1832</f>
        <v>0</v>
      </c>
      <c r="K1832" s="76">
        <f ca="1">EFEITO!$L$1832*EFEITO!$Z$1832</f>
        <v>21.171532903022594</v>
      </c>
      <c r="L1832" s="76">
        <f>EFEITO!$N$1832*EFEITO!$AA$1832</f>
        <v>10.200998666243025</v>
      </c>
      <c r="M1832" s="76">
        <f>$J$1832-EFEITO!$K$1832*EFEITO!$Y$1832</f>
        <v>0</v>
      </c>
      <c r="N1832" s="76">
        <f ca="1">$K$1832-EFEITO!$M$1832*EFEITO!$Z$1832</f>
        <v>0</v>
      </c>
      <c r="O1832" s="76">
        <f>$L$1832-EFEITO!$O$1832*EFEITO!$AA$1832</f>
        <v>0</v>
      </c>
      <c r="P1832" s="18"/>
      <c r="Q1832" s="18"/>
      <c r="R1832" s="18"/>
      <c r="S1832" s="18"/>
      <c r="T1832" s="18"/>
      <c r="U1832" s="18"/>
      <c r="V1832" s="18"/>
      <c r="W1832" s="18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</row>
    <row r="1833" spans="1:36" ht="11.25" customHeight="1" x14ac:dyDescent="0.2">
      <c r="A1833" s="62" t="s">
        <v>21</v>
      </c>
      <c r="B1833" s="62" t="s">
        <v>37</v>
      </c>
      <c r="C1833" s="62" t="s">
        <v>33</v>
      </c>
      <c r="D1833" s="62" t="s">
        <v>46</v>
      </c>
      <c r="E1833" s="62" t="s">
        <v>25</v>
      </c>
      <c r="F1833" s="62" t="s">
        <v>25</v>
      </c>
      <c r="G1833" s="62" t="s">
        <v>25</v>
      </c>
      <c r="H1833" s="62" t="s">
        <v>34</v>
      </c>
      <c r="I1833" s="75">
        <v>44621</v>
      </c>
      <c r="J1833" s="76">
        <f>EFEITO!$J$1833*EFEITO!$Y$1833</f>
        <v>0</v>
      </c>
      <c r="K1833" s="76">
        <f ca="1">EFEITO!$L$1833*EFEITO!$Z$1833</f>
        <v>25.405839483627112</v>
      </c>
      <c r="L1833" s="76">
        <f>EFEITO!$N$1833*EFEITO!$AA$1833</f>
        <v>12.24119839949163</v>
      </c>
      <c r="M1833" s="76">
        <f>$J$1833-EFEITO!$K$1833*EFEITO!$Y$1833</f>
        <v>0</v>
      </c>
      <c r="N1833" s="76">
        <f ca="1">$K$1833-EFEITO!$M$1833*EFEITO!$Z$1833</f>
        <v>0</v>
      </c>
      <c r="O1833" s="76">
        <f>$L$1833-EFEITO!$O$1833*EFEITO!$AA$1833</f>
        <v>0</v>
      </c>
      <c r="P1833" s="18"/>
      <c r="Q1833" s="18"/>
      <c r="R1833" s="18"/>
      <c r="S1833" s="18"/>
      <c r="T1833" s="18"/>
      <c r="U1833" s="18"/>
      <c r="V1833" s="18"/>
      <c r="W1833" s="18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</row>
    <row r="1834" spans="1:36" ht="11.25" customHeight="1" x14ac:dyDescent="0.2">
      <c r="A1834" s="62" t="s">
        <v>21</v>
      </c>
      <c r="B1834" s="62" t="s">
        <v>37</v>
      </c>
      <c r="C1834" s="62" t="s">
        <v>33</v>
      </c>
      <c r="D1834" s="62" t="s">
        <v>46</v>
      </c>
      <c r="E1834" s="62" t="s">
        <v>25</v>
      </c>
      <c r="F1834" s="62" t="s">
        <v>25</v>
      </c>
      <c r="G1834" s="62" t="s">
        <v>25</v>
      </c>
      <c r="H1834" s="62" t="s">
        <v>34</v>
      </c>
      <c r="I1834" s="75">
        <v>44652</v>
      </c>
      <c r="J1834" s="76">
        <f>EFEITO!$J$1834*EFEITO!$Y$1834</f>
        <v>0</v>
      </c>
      <c r="K1834" s="76">
        <f ca="1">EFEITO!$L$1834*EFEITO!$Z$1834</f>
        <v>27.522992773929371</v>
      </c>
      <c r="L1834" s="76">
        <f>EFEITO!$N$1834*EFEITO!$AA$1834</f>
        <v>13.261298266115933</v>
      </c>
      <c r="M1834" s="76">
        <f>$J$1834-EFEITO!$K$1834*EFEITO!$Y$1834</f>
        <v>0</v>
      </c>
      <c r="N1834" s="76">
        <f ca="1">$K$1834-EFEITO!$M$1834*EFEITO!$Z$1834</f>
        <v>0</v>
      </c>
      <c r="O1834" s="76">
        <f>$L$1834-EFEITO!$O$1834*EFEITO!$AA$1834</f>
        <v>0</v>
      </c>
      <c r="P1834" s="18"/>
      <c r="Q1834" s="18"/>
      <c r="R1834" s="18"/>
      <c r="S1834" s="18"/>
      <c r="T1834" s="18"/>
      <c r="U1834" s="18"/>
      <c r="V1834" s="18"/>
      <c r="W1834" s="18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</row>
    <row r="1835" spans="1:36" ht="11.25" customHeight="1" x14ac:dyDescent="0.2">
      <c r="A1835" s="62" t="s">
        <v>58</v>
      </c>
      <c r="B1835" s="62" t="s">
        <v>37</v>
      </c>
      <c r="C1835" s="62" t="s">
        <v>33</v>
      </c>
      <c r="D1835" s="62" t="s">
        <v>46</v>
      </c>
      <c r="E1835" s="62" t="s">
        <v>25</v>
      </c>
      <c r="F1835" s="62" t="s">
        <v>25</v>
      </c>
      <c r="G1835" s="62" t="s">
        <v>25</v>
      </c>
      <c r="H1835" s="62" t="s">
        <v>34</v>
      </c>
      <c r="I1835" s="75">
        <v>44682</v>
      </c>
      <c r="J1835" s="76">
        <f>EFEITO!$J$1835*EFEITO!$Y$1835</f>
        <v>0</v>
      </c>
      <c r="K1835" s="76">
        <f ca="1">EFEITO!$L$1835*EFEITO!$Z$1835</f>
        <v>27.522992773929371</v>
      </c>
      <c r="L1835" s="76">
        <f>EFEITO!$N$1835*EFEITO!$AA$1835</f>
        <v>13.261298266115933</v>
      </c>
      <c r="M1835" s="76">
        <f>$J$1835-EFEITO!$K$1835*EFEITO!$Y$1835</f>
        <v>0</v>
      </c>
      <c r="N1835" s="76">
        <f ca="1">$K$1835-EFEITO!$M$1835*EFEITO!$Z$1835</f>
        <v>0</v>
      </c>
      <c r="O1835" s="76">
        <f>$L$1835-EFEITO!$O$1835*EFEITO!$AA$1835</f>
        <v>0</v>
      </c>
      <c r="P1835" s="18"/>
      <c r="Q1835" s="18"/>
      <c r="R1835" s="18"/>
      <c r="S1835" s="18"/>
      <c r="T1835" s="18"/>
      <c r="U1835" s="18"/>
      <c r="V1835" s="18"/>
      <c r="W1835" s="18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</row>
    <row r="1836" spans="1:36" ht="11.25" customHeight="1" x14ac:dyDescent="0.2">
      <c r="A1836" s="62" t="s">
        <v>21</v>
      </c>
      <c r="B1836" s="62" t="s">
        <v>37</v>
      </c>
      <c r="C1836" s="62" t="s">
        <v>23</v>
      </c>
      <c r="D1836" s="62" t="s">
        <v>43</v>
      </c>
      <c r="E1836" s="62" t="s">
        <v>25</v>
      </c>
      <c r="F1836" s="62" t="s">
        <v>25</v>
      </c>
      <c r="G1836" s="62" t="s">
        <v>25</v>
      </c>
      <c r="H1836" s="62" t="s">
        <v>25</v>
      </c>
      <c r="I1836" s="75">
        <v>44348</v>
      </c>
      <c r="J1836" s="76">
        <f>EFEITO!$J$1836*EFEITO!$Y$1836</f>
        <v>0</v>
      </c>
      <c r="K1836" s="76">
        <f ca="1">EFEITO!$L$1836*EFEITO!$Z$1836</f>
        <v>4541614.3216131404</v>
      </c>
      <c r="L1836" s="76">
        <f>EFEITO!$N$1836*EFEITO!$AA$1836</f>
        <v>3427444.4749565246</v>
      </c>
      <c r="M1836" s="76">
        <f>$J$1836-EFEITO!$K$1836*EFEITO!$Y$1836</f>
        <v>0</v>
      </c>
      <c r="N1836" s="76">
        <f ca="1">$K$1836-EFEITO!$M$1836*EFEITO!$Z$1836</f>
        <v>0</v>
      </c>
      <c r="O1836" s="76">
        <f>$L$1836-EFEITO!$O$1836*EFEITO!$AA$1836</f>
        <v>0</v>
      </c>
      <c r="P1836" s="18"/>
      <c r="Q1836" s="18"/>
      <c r="R1836" s="18"/>
      <c r="S1836" s="18"/>
      <c r="T1836" s="18"/>
      <c r="U1836" s="18"/>
      <c r="V1836" s="18"/>
      <c r="W1836" s="18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</row>
    <row r="1837" spans="1:36" ht="11.25" customHeight="1" x14ac:dyDescent="0.2">
      <c r="A1837" s="62" t="s">
        <v>27</v>
      </c>
      <c r="B1837" s="62" t="s">
        <v>37</v>
      </c>
      <c r="C1837" s="62" t="s">
        <v>23</v>
      </c>
      <c r="D1837" s="62" t="s">
        <v>43</v>
      </c>
      <c r="E1837" s="62" t="s">
        <v>25</v>
      </c>
      <c r="F1837" s="62" t="s">
        <v>25</v>
      </c>
      <c r="G1837" s="62" t="s">
        <v>25</v>
      </c>
      <c r="H1837" s="62" t="s">
        <v>25</v>
      </c>
      <c r="I1837" s="75">
        <v>44348</v>
      </c>
      <c r="J1837" s="76">
        <f>EFEITO!$J$1837*EFEITO!$Y$1837</f>
        <v>0</v>
      </c>
      <c r="K1837" s="76">
        <f ca="1">EFEITO!$L$1837*EFEITO!$Z$1837</f>
        <v>-761.31609049233202</v>
      </c>
      <c r="L1837" s="76">
        <f>EFEITO!$N$1837*EFEITO!$AA$1837</f>
        <v>-574.54650335139445</v>
      </c>
      <c r="M1837" s="76">
        <f>$J$1837-EFEITO!$K$1837*EFEITO!$Y$1837</f>
        <v>0</v>
      </c>
      <c r="N1837" s="76">
        <f ca="1">$K$1837-EFEITO!$M$1837*EFEITO!$Z$1837</f>
        <v>0</v>
      </c>
      <c r="O1837" s="76">
        <f>$L$1837-EFEITO!$O$1837*EFEITO!$AA$1837</f>
        <v>0</v>
      </c>
      <c r="P1837" s="18"/>
      <c r="Q1837" s="18"/>
      <c r="R1837" s="18"/>
      <c r="S1837" s="18"/>
      <c r="T1837" s="18"/>
      <c r="U1837" s="18"/>
      <c r="V1837" s="18"/>
      <c r="W1837" s="18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</row>
    <row r="1838" spans="1:36" ht="11.25" customHeight="1" x14ac:dyDescent="0.2">
      <c r="A1838" s="62" t="s">
        <v>28</v>
      </c>
      <c r="B1838" s="62" t="s">
        <v>37</v>
      </c>
      <c r="C1838" s="62" t="s">
        <v>23</v>
      </c>
      <c r="D1838" s="62" t="s">
        <v>43</v>
      </c>
      <c r="E1838" s="62" t="s">
        <v>25</v>
      </c>
      <c r="F1838" s="62" t="s">
        <v>25</v>
      </c>
      <c r="G1838" s="62" t="s">
        <v>25</v>
      </c>
      <c r="H1838" s="62" t="s">
        <v>25</v>
      </c>
      <c r="I1838" s="75">
        <v>44348</v>
      </c>
      <c r="J1838" s="76">
        <f>EFEITO!$J$1838*EFEITO!$Y$1838</f>
        <v>0</v>
      </c>
      <c r="K1838" s="76">
        <f ca="1">EFEITO!$L$1838*EFEITO!$Z$1838</f>
        <v>458248.95266506926</v>
      </c>
      <c r="L1838" s="76">
        <f>EFEITO!$N$1838*EFEITO!$AA$1838</f>
        <v>345829.19854996289</v>
      </c>
      <c r="M1838" s="76">
        <f>$J$1838-EFEITO!$K$1838*EFEITO!$Y$1838</f>
        <v>0</v>
      </c>
      <c r="N1838" s="76">
        <f ca="1">$K$1838-EFEITO!$M$1838*EFEITO!$Z$1838</f>
        <v>0</v>
      </c>
      <c r="O1838" s="76">
        <f>$L$1838-EFEITO!$O$1838*EFEITO!$AA$1838</f>
        <v>0</v>
      </c>
      <c r="P1838" s="18"/>
      <c r="Q1838" s="18"/>
      <c r="R1838" s="18"/>
      <c r="S1838" s="18"/>
      <c r="T1838" s="18"/>
      <c r="U1838" s="18"/>
      <c r="V1838" s="18"/>
      <c r="W1838" s="18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</row>
    <row r="1839" spans="1:36" ht="11.25" customHeight="1" x14ac:dyDescent="0.2">
      <c r="A1839" s="62" t="s">
        <v>28</v>
      </c>
      <c r="B1839" s="62" t="s">
        <v>37</v>
      </c>
      <c r="C1839" s="62" t="s">
        <v>23</v>
      </c>
      <c r="D1839" s="62" t="s">
        <v>43</v>
      </c>
      <c r="E1839" s="62" t="s">
        <v>25</v>
      </c>
      <c r="F1839" s="62" t="s">
        <v>25</v>
      </c>
      <c r="G1839" s="62" t="s">
        <v>25</v>
      </c>
      <c r="H1839" s="62" t="s">
        <v>25</v>
      </c>
      <c r="I1839" s="75">
        <v>44348</v>
      </c>
      <c r="J1839" s="76">
        <f>EFEITO!$J$1839*EFEITO!$Y$1839</f>
        <v>0</v>
      </c>
      <c r="K1839" s="76">
        <f ca="1">EFEITO!$L$1839*EFEITO!$Z$1839</f>
        <v>-2647.3533129512475</v>
      </c>
      <c r="L1839" s="76">
        <f>EFEITO!$N$1839*EFEITO!$AA$1839</f>
        <v>-1997.8923447004024</v>
      </c>
      <c r="M1839" s="76">
        <f>$J$1839-EFEITO!$K$1839*EFEITO!$Y$1839</f>
        <v>0</v>
      </c>
      <c r="N1839" s="76">
        <f ca="1">$K$1839-EFEITO!$M$1839*EFEITO!$Z$1839</f>
        <v>0</v>
      </c>
      <c r="O1839" s="76">
        <f>$L$1839-EFEITO!$O$1839*EFEITO!$AA$1839</f>
        <v>0</v>
      </c>
      <c r="P1839" s="18"/>
      <c r="Q1839" s="18"/>
      <c r="R1839" s="18"/>
      <c r="S1839" s="18"/>
      <c r="T1839" s="18"/>
      <c r="U1839" s="18"/>
      <c r="V1839" s="18"/>
      <c r="W1839" s="18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</row>
    <row r="1840" spans="1:36" ht="11.25" customHeight="1" x14ac:dyDescent="0.2">
      <c r="A1840" s="62" t="s">
        <v>21</v>
      </c>
      <c r="B1840" s="62" t="s">
        <v>37</v>
      </c>
      <c r="C1840" s="62" t="s">
        <v>23</v>
      </c>
      <c r="D1840" s="62" t="s">
        <v>43</v>
      </c>
      <c r="E1840" s="62" t="s">
        <v>25</v>
      </c>
      <c r="F1840" s="62" t="s">
        <v>25</v>
      </c>
      <c r="G1840" s="62" t="s">
        <v>25</v>
      </c>
      <c r="H1840" s="62" t="s">
        <v>25</v>
      </c>
      <c r="I1840" s="75">
        <v>44378</v>
      </c>
      <c r="J1840" s="76">
        <f>EFEITO!$J$1840*EFEITO!$Y$1840</f>
        <v>0</v>
      </c>
      <c r="K1840" s="76">
        <f ca="1">EFEITO!$L$1840*EFEITO!$Z$1840</f>
        <v>4372793.8980974089</v>
      </c>
      <c r="L1840" s="76">
        <f>EFEITO!$N$1840*EFEITO!$AA$1840</f>
        <v>3300039.8591384883</v>
      </c>
      <c r="M1840" s="76">
        <f>$J$1840-EFEITO!$K$1840*EFEITO!$Y$1840</f>
        <v>0</v>
      </c>
      <c r="N1840" s="76">
        <f ca="1">$K$1840-EFEITO!$M$1840*EFEITO!$Z$1840</f>
        <v>0</v>
      </c>
      <c r="O1840" s="76">
        <f>$L$1840-EFEITO!$O$1840*EFEITO!$AA$1840</f>
        <v>0</v>
      </c>
      <c r="P1840" s="18"/>
      <c r="Q1840" s="18"/>
      <c r="R1840" s="18"/>
      <c r="S1840" s="18"/>
      <c r="T1840" s="18"/>
      <c r="U1840" s="18"/>
      <c r="V1840" s="18"/>
      <c r="W1840" s="18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</row>
    <row r="1841" spans="1:36" ht="11.25" customHeight="1" x14ac:dyDescent="0.2">
      <c r="A1841" s="62" t="s">
        <v>27</v>
      </c>
      <c r="B1841" s="62" t="s">
        <v>37</v>
      </c>
      <c r="C1841" s="62" t="s">
        <v>23</v>
      </c>
      <c r="D1841" s="62" t="s">
        <v>43</v>
      </c>
      <c r="E1841" s="62" t="s">
        <v>25</v>
      </c>
      <c r="F1841" s="62" t="s">
        <v>25</v>
      </c>
      <c r="G1841" s="62" t="s">
        <v>25</v>
      </c>
      <c r="H1841" s="62" t="s">
        <v>25</v>
      </c>
      <c r="I1841" s="75">
        <v>44378</v>
      </c>
      <c r="J1841" s="76">
        <f>EFEITO!$J$1841*EFEITO!$Y$1841</f>
        <v>0</v>
      </c>
      <c r="K1841" s="76">
        <f ca="1">EFEITO!$L$1841*EFEITO!$Z$1841</f>
        <v>-4303.204890149429</v>
      </c>
      <c r="L1841" s="76">
        <f>EFEITO!$N$1841*EFEITO!$AA$1841</f>
        <v>-3247.5227487194138</v>
      </c>
      <c r="M1841" s="76">
        <f>$J$1841-EFEITO!$K$1841*EFEITO!$Y$1841</f>
        <v>0</v>
      </c>
      <c r="N1841" s="76">
        <f ca="1">$K$1841-EFEITO!$M$1841*EFEITO!$Z$1841</f>
        <v>0</v>
      </c>
      <c r="O1841" s="76">
        <f>$L$1841-EFEITO!$O$1841*EFEITO!$AA$1841</f>
        <v>0</v>
      </c>
      <c r="P1841" s="18"/>
      <c r="Q1841" s="18"/>
      <c r="R1841" s="18"/>
      <c r="S1841" s="18"/>
      <c r="T1841" s="18"/>
      <c r="U1841" s="18"/>
      <c r="V1841" s="18"/>
      <c r="W1841" s="18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</row>
    <row r="1842" spans="1:36" ht="11.25" customHeight="1" x14ac:dyDescent="0.2">
      <c r="A1842" s="62" t="s">
        <v>28</v>
      </c>
      <c r="B1842" s="62" t="s">
        <v>37</v>
      </c>
      <c r="C1842" s="62" t="s">
        <v>23</v>
      </c>
      <c r="D1842" s="62" t="s">
        <v>43</v>
      </c>
      <c r="E1842" s="62" t="s">
        <v>25</v>
      </c>
      <c r="F1842" s="62" t="s">
        <v>25</v>
      </c>
      <c r="G1842" s="62" t="s">
        <v>25</v>
      </c>
      <c r="H1842" s="62" t="s">
        <v>25</v>
      </c>
      <c r="I1842" s="75">
        <v>44378</v>
      </c>
      <c r="J1842" s="76">
        <f>EFEITO!$J$1842*EFEITO!$Y$1842</f>
        <v>0</v>
      </c>
      <c r="K1842" s="76">
        <f ca="1">EFEITO!$L$1842*EFEITO!$Z$1842</f>
        <v>460513.68240069906</v>
      </c>
      <c r="L1842" s="76">
        <f>EFEITO!$N$1842*EFEITO!$AA$1842</f>
        <v>347538.33430433867</v>
      </c>
      <c r="M1842" s="76">
        <f>$J$1842-EFEITO!$K$1842*EFEITO!$Y$1842</f>
        <v>0</v>
      </c>
      <c r="N1842" s="76">
        <f ca="1">$K$1842-EFEITO!$M$1842*EFEITO!$Z$1842</f>
        <v>0</v>
      </c>
      <c r="O1842" s="76">
        <f>$L$1842-EFEITO!$O$1842*EFEITO!$AA$1842</f>
        <v>0</v>
      </c>
      <c r="P1842" s="18"/>
      <c r="Q1842" s="18"/>
      <c r="R1842" s="18"/>
      <c r="S1842" s="18"/>
      <c r="T1842" s="18"/>
      <c r="U1842" s="18"/>
      <c r="V1842" s="18"/>
      <c r="W1842" s="18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</row>
    <row r="1843" spans="1:36" ht="11.25" customHeight="1" x14ac:dyDescent="0.2">
      <c r="A1843" s="62" t="s">
        <v>28</v>
      </c>
      <c r="B1843" s="62" t="s">
        <v>37</v>
      </c>
      <c r="C1843" s="62" t="s">
        <v>23</v>
      </c>
      <c r="D1843" s="62" t="s">
        <v>43</v>
      </c>
      <c r="E1843" s="62" t="s">
        <v>25</v>
      </c>
      <c r="F1843" s="62" t="s">
        <v>25</v>
      </c>
      <c r="G1843" s="62" t="s">
        <v>25</v>
      </c>
      <c r="H1843" s="62" t="s">
        <v>25</v>
      </c>
      <c r="I1843" s="75">
        <v>44378</v>
      </c>
      <c r="J1843" s="76">
        <f>EFEITO!$J$1843*EFEITO!$Y$1843</f>
        <v>0</v>
      </c>
      <c r="K1843" s="76">
        <f ca="1">EFEITO!$L$1843*EFEITO!$Z$1843</f>
        <v>313.61156223378907</v>
      </c>
      <c r="L1843" s="76">
        <f>EFEITO!$N$1843*EFEITO!$AA$1843</f>
        <v>236.67492220671323</v>
      </c>
      <c r="M1843" s="76">
        <f>$J$1843-EFEITO!$K$1843*EFEITO!$Y$1843</f>
        <v>0</v>
      </c>
      <c r="N1843" s="76">
        <f ca="1">$K$1843-EFEITO!$M$1843*EFEITO!$Z$1843</f>
        <v>0</v>
      </c>
      <c r="O1843" s="76">
        <f>$L$1843-EFEITO!$O$1843*EFEITO!$AA$1843</f>
        <v>0</v>
      </c>
      <c r="P1843" s="18"/>
      <c r="Q1843" s="18"/>
      <c r="R1843" s="18"/>
      <c r="S1843" s="18"/>
      <c r="T1843" s="18"/>
      <c r="U1843" s="18"/>
      <c r="V1843" s="18"/>
      <c r="W1843" s="18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</row>
    <row r="1844" spans="1:36" ht="11.25" customHeight="1" x14ac:dyDescent="0.2">
      <c r="A1844" s="62" t="s">
        <v>21</v>
      </c>
      <c r="B1844" s="62" t="s">
        <v>37</v>
      </c>
      <c r="C1844" s="62" t="s">
        <v>23</v>
      </c>
      <c r="D1844" s="62" t="s">
        <v>43</v>
      </c>
      <c r="E1844" s="62" t="s">
        <v>25</v>
      </c>
      <c r="F1844" s="62" t="s">
        <v>25</v>
      </c>
      <c r="G1844" s="62" t="s">
        <v>25</v>
      </c>
      <c r="H1844" s="62" t="s">
        <v>25</v>
      </c>
      <c r="I1844" s="75">
        <v>44409</v>
      </c>
      <c r="J1844" s="76">
        <f>EFEITO!$J$1844*EFEITO!$Y$1844</f>
        <v>0</v>
      </c>
      <c r="K1844" s="76">
        <f ca="1">EFEITO!$L$1844*EFEITO!$Z$1844</f>
        <v>4421595.4388172124</v>
      </c>
      <c r="L1844" s="76">
        <f>EFEITO!$N$1844*EFEITO!$AA$1844</f>
        <v>3336869.1800065022</v>
      </c>
      <c r="M1844" s="76">
        <f>$J$1844-EFEITO!$K$1844*EFEITO!$Y$1844</f>
        <v>0</v>
      </c>
      <c r="N1844" s="76">
        <f ca="1">$K$1844-EFEITO!$M$1844*EFEITO!$Z$1844</f>
        <v>0</v>
      </c>
      <c r="O1844" s="76">
        <f>$L$1844-EFEITO!$O$1844*EFEITO!$AA$1844</f>
        <v>0</v>
      </c>
      <c r="P1844" s="18"/>
      <c r="Q1844" s="18"/>
      <c r="R1844" s="18"/>
      <c r="S1844" s="18"/>
      <c r="T1844" s="18"/>
      <c r="U1844" s="18"/>
      <c r="V1844" s="18"/>
      <c r="W1844" s="18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</row>
    <row r="1845" spans="1:36" ht="11.25" customHeight="1" x14ac:dyDescent="0.2">
      <c r="A1845" s="62" t="s">
        <v>27</v>
      </c>
      <c r="B1845" s="62" t="s">
        <v>37</v>
      </c>
      <c r="C1845" s="62" t="s">
        <v>23</v>
      </c>
      <c r="D1845" s="62" t="s">
        <v>43</v>
      </c>
      <c r="E1845" s="62" t="s">
        <v>25</v>
      </c>
      <c r="F1845" s="62" t="s">
        <v>25</v>
      </c>
      <c r="G1845" s="62" t="s">
        <v>25</v>
      </c>
      <c r="H1845" s="62" t="s">
        <v>25</v>
      </c>
      <c r="I1845" s="75">
        <v>44409</v>
      </c>
      <c r="J1845" s="76">
        <f>EFEITO!$J$1845*EFEITO!$Y$1845</f>
        <v>0</v>
      </c>
      <c r="K1845" s="76">
        <f ca="1">EFEITO!$L$1845*EFEITO!$Z$1845</f>
        <v>-3332.2320449604135</v>
      </c>
      <c r="L1845" s="76">
        <f>EFEITO!$N$1845*EFEITO!$AA$1845</f>
        <v>-2514.7534561490465</v>
      </c>
      <c r="M1845" s="76">
        <f>$J$1845-EFEITO!$K$1845*EFEITO!$Y$1845</f>
        <v>0</v>
      </c>
      <c r="N1845" s="76">
        <f ca="1">$K$1845-EFEITO!$M$1845*EFEITO!$Z$1845</f>
        <v>0</v>
      </c>
      <c r="O1845" s="76">
        <f>$L$1845-EFEITO!$O$1845*EFEITO!$AA$1845</f>
        <v>0</v>
      </c>
      <c r="P1845" s="18"/>
      <c r="Q1845" s="18"/>
      <c r="R1845" s="18"/>
      <c r="S1845" s="18"/>
      <c r="T1845" s="18"/>
      <c r="U1845" s="18"/>
      <c r="V1845" s="18"/>
      <c r="W1845" s="18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</row>
    <row r="1846" spans="1:36" ht="11.25" customHeight="1" x14ac:dyDescent="0.2">
      <c r="A1846" s="62" t="s">
        <v>28</v>
      </c>
      <c r="B1846" s="62" t="s">
        <v>37</v>
      </c>
      <c r="C1846" s="62" t="s">
        <v>23</v>
      </c>
      <c r="D1846" s="62" t="s">
        <v>43</v>
      </c>
      <c r="E1846" s="62" t="s">
        <v>25</v>
      </c>
      <c r="F1846" s="62" t="s">
        <v>25</v>
      </c>
      <c r="G1846" s="62" t="s">
        <v>25</v>
      </c>
      <c r="H1846" s="62" t="s">
        <v>25</v>
      </c>
      <c r="I1846" s="75">
        <v>44409</v>
      </c>
      <c r="J1846" s="76">
        <f>EFEITO!$J$1846*EFEITO!$Y$1846</f>
        <v>0</v>
      </c>
      <c r="K1846" s="76">
        <f ca="1">EFEITO!$L$1846*EFEITO!$Z$1846</f>
        <v>426831.8879737712</v>
      </c>
      <c r="L1846" s="76">
        <f>EFEITO!$N$1846*EFEITO!$AA$1846</f>
        <v>322119.51358549984</v>
      </c>
      <c r="M1846" s="76">
        <f>$J$1846-EFEITO!$K$1846*EFEITO!$Y$1846</f>
        <v>0</v>
      </c>
      <c r="N1846" s="76">
        <f ca="1">$K$1846-EFEITO!$M$1846*EFEITO!$Z$1846</f>
        <v>0</v>
      </c>
      <c r="O1846" s="76">
        <f>$L$1846-EFEITO!$O$1846*EFEITO!$AA$1846</f>
        <v>0</v>
      </c>
      <c r="P1846" s="18"/>
      <c r="Q1846" s="18"/>
      <c r="R1846" s="18"/>
      <c r="S1846" s="18"/>
      <c r="T1846" s="18"/>
      <c r="U1846" s="18"/>
      <c r="V1846" s="18"/>
      <c r="W1846" s="18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</row>
    <row r="1847" spans="1:36" ht="11.25" customHeight="1" x14ac:dyDescent="0.2">
      <c r="A1847" s="62" t="s">
        <v>21</v>
      </c>
      <c r="B1847" s="62" t="s">
        <v>37</v>
      </c>
      <c r="C1847" s="62" t="s">
        <v>23</v>
      </c>
      <c r="D1847" s="62" t="s">
        <v>43</v>
      </c>
      <c r="E1847" s="62" t="s">
        <v>25</v>
      </c>
      <c r="F1847" s="62" t="s">
        <v>25</v>
      </c>
      <c r="G1847" s="62" t="s">
        <v>25</v>
      </c>
      <c r="H1847" s="62" t="s">
        <v>25</v>
      </c>
      <c r="I1847" s="75">
        <v>44440</v>
      </c>
      <c r="J1847" s="76">
        <f>EFEITO!$J$1847*EFEITO!$Y$1847</f>
        <v>0</v>
      </c>
      <c r="K1847" s="76">
        <f ca="1">EFEITO!$L$1847*EFEITO!$Z$1847</f>
        <v>5012904.7979901545</v>
      </c>
      <c r="L1847" s="76">
        <f>EFEITO!$N$1847*EFEITO!$AA$1847</f>
        <v>3783115.7902575294</v>
      </c>
      <c r="M1847" s="76">
        <f>$J$1847-EFEITO!$K$1847*EFEITO!$Y$1847</f>
        <v>0</v>
      </c>
      <c r="N1847" s="76">
        <f ca="1">$K$1847-EFEITO!$M$1847*EFEITO!$Z$1847</f>
        <v>0</v>
      </c>
      <c r="O1847" s="76">
        <f>$L$1847-EFEITO!$O$1847*EFEITO!$AA$1847</f>
        <v>0</v>
      </c>
      <c r="P1847" s="18"/>
      <c r="Q1847" s="18"/>
      <c r="R1847" s="18"/>
      <c r="S1847" s="18"/>
      <c r="T1847" s="18"/>
      <c r="U1847" s="18"/>
      <c r="V1847" s="18"/>
      <c r="W1847" s="18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</row>
    <row r="1848" spans="1:36" ht="11.25" customHeight="1" x14ac:dyDescent="0.2">
      <c r="A1848" s="62" t="s">
        <v>27</v>
      </c>
      <c r="B1848" s="62" t="s">
        <v>37</v>
      </c>
      <c r="C1848" s="62" t="s">
        <v>23</v>
      </c>
      <c r="D1848" s="62" t="s">
        <v>43</v>
      </c>
      <c r="E1848" s="62" t="s">
        <v>25</v>
      </c>
      <c r="F1848" s="62" t="s">
        <v>25</v>
      </c>
      <c r="G1848" s="62" t="s">
        <v>25</v>
      </c>
      <c r="H1848" s="62" t="s">
        <v>25</v>
      </c>
      <c r="I1848" s="75">
        <v>44440</v>
      </c>
      <c r="J1848" s="76">
        <f>EFEITO!$J$1848*EFEITO!$Y$1848</f>
        <v>0</v>
      </c>
      <c r="K1848" s="76">
        <f ca="1">EFEITO!$L$1848*EFEITO!$Z$1848</f>
        <v>-2396.6387771264635</v>
      </c>
      <c r="L1848" s="76">
        <f>EFEITO!$N$1848*EFEITO!$AA$1848</f>
        <v>-1808.6842592593812</v>
      </c>
      <c r="M1848" s="76">
        <f>$J$1848-EFEITO!$K$1848*EFEITO!$Y$1848</f>
        <v>0</v>
      </c>
      <c r="N1848" s="76">
        <f ca="1">$K$1848-EFEITO!$M$1848*EFEITO!$Z$1848</f>
        <v>0</v>
      </c>
      <c r="O1848" s="76">
        <f>$L$1848-EFEITO!$O$1848*EFEITO!$AA$1848</f>
        <v>0</v>
      </c>
      <c r="P1848" s="18"/>
      <c r="Q1848" s="18"/>
      <c r="R1848" s="18"/>
      <c r="S1848" s="18"/>
      <c r="T1848" s="18"/>
      <c r="U1848" s="18"/>
      <c r="V1848" s="18"/>
      <c r="W1848" s="18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</row>
    <row r="1849" spans="1:36" ht="11.25" customHeight="1" x14ac:dyDescent="0.2">
      <c r="A1849" s="62" t="s">
        <v>28</v>
      </c>
      <c r="B1849" s="62" t="s">
        <v>37</v>
      </c>
      <c r="C1849" s="62" t="s">
        <v>23</v>
      </c>
      <c r="D1849" s="62" t="s">
        <v>43</v>
      </c>
      <c r="E1849" s="62" t="s">
        <v>25</v>
      </c>
      <c r="F1849" s="62" t="s">
        <v>25</v>
      </c>
      <c r="G1849" s="62" t="s">
        <v>25</v>
      </c>
      <c r="H1849" s="62" t="s">
        <v>25</v>
      </c>
      <c r="I1849" s="75">
        <v>44440</v>
      </c>
      <c r="J1849" s="76">
        <f>EFEITO!$J$1849*EFEITO!$Y$1849</f>
        <v>0</v>
      </c>
      <c r="K1849" s="76">
        <f ca="1">EFEITO!$L$1849*EFEITO!$Z$1849</f>
        <v>601985.69262096495</v>
      </c>
      <c r="L1849" s="76">
        <f>EFEITO!$N$1849*EFEITO!$AA$1849</f>
        <v>454303.77616119268</v>
      </c>
      <c r="M1849" s="76">
        <f>$J$1849-EFEITO!$K$1849*EFEITO!$Y$1849</f>
        <v>0</v>
      </c>
      <c r="N1849" s="76">
        <f ca="1">$K$1849-EFEITO!$M$1849*EFEITO!$Z$1849</f>
        <v>0</v>
      </c>
      <c r="O1849" s="76">
        <f>$L$1849-EFEITO!$O$1849*EFEITO!$AA$1849</f>
        <v>0</v>
      </c>
      <c r="P1849" s="18"/>
      <c r="Q1849" s="18"/>
      <c r="R1849" s="18"/>
      <c r="S1849" s="18"/>
      <c r="T1849" s="18"/>
      <c r="U1849" s="18"/>
      <c r="V1849" s="18"/>
      <c r="W1849" s="18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</row>
    <row r="1850" spans="1:36" ht="11.25" customHeight="1" x14ac:dyDescent="0.2">
      <c r="A1850" s="62" t="s">
        <v>28</v>
      </c>
      <c r="B1850" s="62" t="s">
        <v>37</v>
      </c>
      <c r="C1850" s="62" t="s">
        <v>23</v>
      </c>
      <c r="D1850" s="62" t="s">
        <v>43</v>
      </c>
      <c r="E1850" s="62" t="s">
        <v>25</v>
      </c>
      <c r="F1850" s="62" t="s">
        <v>25</v>
      </c>
      <c r="G1850" s="62" t="s">
        <v>25</v>
      </c>
      <c r="H1850" s="62" t="s">
        <v>25</v>
      </c>
      <c r="I1850" s="75">
        <v>44440</v>
      </c>
      <c r="J1850" s="76">
        <f>EFEITO!$J$1850*EFEITO!$Y$1850</f>
        <v>0</v>
      </c>
      <c r="K1850" s="76">
        <f ca="1">EFEITO!$L$1850*EFEITO!$Z$1850</f>
        <v>-5923.6768899925455</v>
      </c>
      <c r="L1850" s="76">
        <f>EFEITO!$N$1850*EFEITO!$AA$1850</f>
        <v>-4470.4530570577226</v>
      </c>
      <c r="M1850" s="76">
        <f>$J$1850-EFEITO!$K$1850*EFEITO!$Y$1850</f>
        <v>0</v>
      </c>
      <c r="N1850" s="76">
        <f ca="1">$K$1850-EFEITO!$M$1850*EFEITO!$Z$1850</f>
        <v>0</v>
      </c>
      <c r="O1850" s="76">
        <f>$L$1850-EFEITO!$O$1850*EFEITO!$AA$1850</f>
        <v>0</v>
      </c>
      <c r="P1850" s="18"/>
      <c r="Q1850" s="18"/>
      <c r="R1850" s="18"/>
      <c r="S1850" s="18"/>
      <c r="T1850" s="18"/>
      <c r="U1850" s="18"/>
      <c r="V1850" s="18"/>
      <c r="W1850" s="18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</row>
    <row r="1851" spans="1:36" ht="11.25" customHeight="1" x14ac:dyDescent="0.2">
      <c r="A1851" s="62" t="s">
        <v>21</v>
      </c>
      <c r="B1851" s="62" t="s">
        <v>37</v>
      </c>
      <c r="C1851" s="62" t="s">
        <v>23</v>
      </c>
      <c r="D1851" s="62" t="s">
        <v>43</v>
      </c>
      <c r="E1851" s="62" t="s">
        <v>25</v>
      </c>
      <c r="F1851" s="62" t="s">
        <v>25</v>
      </c>
      <c r="G1851" s="62" t="s">
        <v>25</v>
      </c>
      <c r="H1851" s="62" t="s">
        <v>25</v>
      </c>
      <c r="I1851" s="75">
        <v>44470</v>
      </c>
      <c r="J1851" s="76">
        <f>EFEITO!$J$1851*EFEITO!$Y$1851</f>
        <v>0</v>
      </c>
      <c r="K1851" s="76">
        <f ca="1">EFEITO!$L$1851*EFEITO!$Z$1851</f>
        <v>4979368.4529367974</v>
      </c>
      <c r="L1851" s="76">
        <f>EFEITO!$N$1851*EFEITO!$AA$1851</f>
        <v>3757806.7365987115</v>
      </c>
      <c r="M1851" s="76">
        <f>$J$1851-EFEITO!$K$1851*EFEITO!$Y$1851</f>
        <v>0</v>
      </c>
      <c r="N1851" s="76">
        <f ca="1">$K$1851-EFEITO!$M$1851*EFEITO!$Z$1851</f>
        <v>0</v>
      </c>
      <c r="O1851" s="76">
        <f>$L$1851-EFEITO!$O$1851*EFEITO!$AA$1851</f>
        <v>0</v>
      </c>
      <c r="P1851" s="18"/>
      <c r="Q1851" s="18"/>
      <c r="R1851" s="18"/>
      <c r="S1851" s="18"/>
      <c r="T1851" s="18"/>
      <c r="U1851" s="18"/>
      <c r="V1851" s="18"/>
      <c r="W1851" s="18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</row>
    <row r="1852" spans="1:36" ht="11.25" customHeight="1" x14ac:dyDescent="0.2">
      <c r="A1852" s="62" t="s">
        <v>27</v>
      </c>
      <c r="B1852" s="62" t="s">
        <v>37</v>
      </c>
      <c r="C1852" s="62" t="s">
        <v>23</v>
      </c>
      <c r="D1852" s="62" t="s">
        <v>43</v>
      </c>
      <c r="E1852" s="62" t="s">
        <v>25</v>
      </c>
      <c r="F1852" s="62" t="s">
        <v>25</v>
      </c>
      <c r="G1852" s="62" t="s">
        <v>25</v>
      </c>
      <c r="H1852" s="62" t="s">
        <v>25</v>
      </c>
      <c r="I1852" s="75">
        <v>44470</v>
      </c>
      <c r="J1852" s="76">
        <f>EFEITO!$J$1852*EFEITO!$Y$1852</f>
        <v>0</v>
      </c>
      <c r="K1852" s="76">
        <f ca="1">EFEITO!$L$1852*EFEITO!$Z$1852</f>
        <v>-6079.1723163925853</v>
      </c>
      <c r="L1852" s="76">
        <f>EFEITO!$N$1852*EFEITO!$AA$1852</f>
        <v>-4587.8016257284607</v>
      </c>
      <c r="M1852" s="76">
        <f>$J$1852-EFEITO!$K$1852*EFEITO!$Y$1852</f>
        <v>0</v>
      </c>
      <c r="N1852" s="76">
        <f ca="1">$K$1852-EFEITO!$M$1852*EFEITO!$Z$1852</f>
        <v>0</v>
      </c>
      <c r="O1852" s="76">
        <f>$L$1852-EFEITO!$O$1852*EFEITO!$AA$1852</f>
        <v>0</v>
      </c>
      <c r="P1852" s="18"/>
      <c r="Q1852" s="18"/>
      <c r="R1852" s="18"/>
      <c r="S1852" s="18"/>
      <c r="T1852" s="18"/>
      <c r="U1852" s="18"/>
      <c r="V1852" s="18"/>
      <c r="W1852" s="18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</row>
    <row r="1853" spans="1:36" ht="11.25" customHeight="1" x14ac:dyDescent="0.2">
      <c r="A1853" s="62" t="s">
        <v>28</v>
      </c>
      <c r="B1853" s="62" t="s">
        <v>37</v>
      </c>
      <c r="C1853" s="62" t="s">
        <v>23</v>
      </c>
      <c r="D1853" s="62" t="s">
        <v>43</v>
      </c>
      <c r="E1853" s="62" t="s">
        <v>25</v>
      </c>
      <c r="F1853" s="62" t="s">
        <v>25</v>
      </c>
      <c r="G1853" s="62" t="s">
        <v>25</v>
      </c>
      <c r="H1853" s="62" t="s">
        <v>25</v>
      </c>
      <c r="I1853" s="75">
        <v>44470</v>
      </c>
      <c r="J1853" s="76">
        <f>EFEITO!$J$1853*EFEITO!$Y$1853</f>
        <v>0</v>
      </c>
      <c r="K1853" s="76">
        <f ca="1">EFEITO!$L$1853*EFEITO!$Z$1853</f>
        <v>509115.17563372961</v>
      </c>
      <c r="L1853" s="76">
        <f>EFEITO!$N$1853*EFEITO!$AA$1853</f>
        <v>384216.6842609726</v>
      </c>
      <c r="M1853" s="76">
        <f>$J$1853-EFEITO!$K$1853*EFEITO!$Y$1853</f>
        <v>0</v>
      </c>
      <c r="N1853" s="76">
        <f ca="1">$K$1853-EFEITO!$M$1853*EFEITO!$Z$1853</f>
        <v>0</v>
      </c>
      <c r="O1853" s="76">
        <f>$L$1853-EFEITO!$O$1853*EFEITO!$AA$1853</f>
        <v>0</v>
      </c>
      <c r="P1853" s="18"/>
      <c r="Q1853" s="18"/>
      <c r="R1853" s="18"/>
      <c r="S1853" s="18"/>
      <c r="T1853" s="18"/>
      <c r="U1853" s="18"/>
      <c r="V1853" s="18"/>
      <c r="W1853" s="18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</row>
    <row r="1854" spans="1:36" ht="11.25" customHeight="1" x14ac:dyDescent="0.2">
      <c r="A1854" s="62" t="s">
        <v>28</v>
      </c>
      <c r="B1854" s="62" t="s">
        <v>37</v>
      </c>
      <c r="C1854" s="62" t="s">
        <v>23</v>
      </c>
      <c r="D1854" s="62" t="s">
        <v>43</v>
      </c>
      <c r="E1854" s="62" t="s">
        <v>25</v>
      </c>
      <c r="F1854" s="62" t="s">
        <v>25</v>
      </c>
      <c r="G1854" s="62" t="s">
        <v>25</v>
      </c>
      <c r="H1854" s="62" t="s">
        <v>25</v>
      </c>
      <c r="I1854" s="75">
        <v>44470</v>
      </c>
      <c r="J1854" s="76">
        <f>EFEITO!$J$1854*EFEITO!$Y$1854</f>
        <v>0</v>
      </c>
      <c r="K1854" s="76">
        <f ca="1">EFEITO!$L$1854*EFEITO!$Z$1854</f>
        <v>-2095.693977155599</v>
      </c>
      <c r="L1854" s="76">
        <f>EFEITO!$N$1854*EFEITO!$AA$1854</f>
        <v>-1581.5686305679808</v>
      </c>
      <c r="M1854" s="76">
        <f>$J$1854-EFEITO!$K$1854*EFEITO!$Y$1854</f>
        <v>0</v>
      </c>
      <c r="N1854" s="76">
        <f ca="1">$K$1854-EFEITO!$M$1854*EFEITO!$Z$1854</f>
        <v>0</v>
      </c>
      <c r="O1854" s="76">
        <f>$L$1854-EFEITO!$O$1854*EFEITO!$AA$1854</f>
        <v>0</v>
      </c>
      <c r="P1854" s="18"/>
      <c r="Q1854" s="18"/>
      <c r="R1854" s="18"/>
      <c r="S1854" s="18"/>
      <c r="T1854" s="18"/>
      <c r="U1854" s="18"/>
      <c r="V1854" s="18"/>
      <c r="W1854" s="18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</row>
    <row r="1855" spans="1:36" ht="11.25" customHeight="1" x14ac:dyDescent="0.2">
      <c r="A1855" s="62" t="s">
        <v>21</v>
      </c>
      <c r="B1855" s="62" t="s">
        <v>37</v>
      </c>
      <c r="C1855" s="62" t="s">
        <v>23</v>
      </c>
      <c r="D1855" s="62" t="s">
        <v>43</v>
      </c>
      <c r="E1855" s="62" t="s">
        <v>25</v>
      </c>
      <c r="F1855" s="62" t="s">
        <v>25</v>
      </c>
      <c r="G1855" s="62" t="s">
        <v>25</v>
      </c>
      <c r="H1855" s="62" t="s">
        <v>25</v>
      </c>
      <c r="I1855" s="75">
        <v>44501</v>
      </c>
      <c r="J1855" s="76">
        <f>EFEITO!$J$1855*EFEITO!$Y$1855</f>
        <v>0</v>
      </c>
      <c r="K1855" s="76">
        <f ca="1">EFEITO!$L$1855*EFEITO!$Z$1855</f>
        <v>4867862.9447362721</v>
      </c>
      <c r="L1855" s="76">
        <f>EFEITO!$N$1855*EFEITO!$AA$1855</f>
        <v>3673656.2757834117</v>
      </c>
      <c r="M1855" s="76">
        <f>$J$1855-EFEITO!$K$1855*EFEITO!$Y$1855</f>
        <v>0</v>
      </c>
      <c r="N1855" s="76">
        <f ca="1">$K$1855-EFEITO!$M$1855*EFEITO!$Z$1855</f>
        <v>0</v>
      </c>
      <c r="O1855" s="76">
        <f>$L$1855-EFEITO!$O$1855*EFEITO!$AA$1855</f>
        <v>0</v>
      </c>
      <c r="P1855" s="18"/>
      <c r="Q1855" s="18"/>
      <c r="R1855" s="18"/>
      <c r="S1855" s="18"/>
      <c r="T1855" s="18"/>
      <c r="U1855" s="18"/>
      <c r="V1855" s="18"/>
      <c r="W1855" s="18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</row>
    <row r="1856" spans="1:36" ht="11.25" customHeight="1" x14ac:dyDescent="0.2">
      <c r="A1856" s="62" t="s">
        <v>27</v>
      </c>
      <c r="B1856" s="62" t="s">
        <v>37</v>
      </c>
      <c r="C1856" s="62" t="s">
        <v>23</v>
      </c>
      <c r="D1856" s="62" t="s">
        <v>43</v>
      </c>
      <c r="E1856" s="62" t="s">
        <v>25</v>
      </c>
      <c r="F1856" s="62" t="s">
        <v>25</v>
      </c>
      <c r="G1856" s="62" t="s">
        <v>25</v>
      </c>
      <c r="H1856" s="62" t="s">
        <v>25</v>
      </c>
      <c r="I1856" s="75">
        <v>44501</v>
      </c>
      <c r="J1856" s="76">
        <f>EFEITO!$J$1856*EFEITO!$Y$1856</f>
        <v>0</v>
      </c>
      <c r="K1856" s="76">
        <f ca="1">EFEITO!$L$1856*EFEITO!$Z$1856</f>
        <v>-1578.1038639981616</v>
      </c>
      <c r="L1856" s="76">
        <f>EFEITO!$N$1856*EFEITO!$AA$1856</f>
        <v>-1190.9561196836421</v>
      </c>
      <c r="M1856" s="76">
        <f>$J$1856-EFEITO!$K$1856*EFEITO!$Y$1856</f>
        <v>0</v>
      </c>
      <c r="N1856" s="76">
        <f ca="1">$K$1856-EFEITO!$M$1856*EFEITO!$Z$1856</f>
        <v>0</v>
      </c>
      <c r="O1856" s="76">
        <f>$L$1856-EFEITO!$O$1856*EFEITO!$AA$1856</f>
        <v>0</v>
      </c>
      <c r="P1856" s="18"/>
      <c r="Q1856" s="18"/>
      <c r="R1856" s="18"/>
      <c r="S1856" s="18"/>
      <c r="T1856" s="18"/>
      <c r="U1856" s="18"/>
      <c r="V1856" s="18"/>
      <c r="W1856" s="18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</row>
    <row r="1857" spans="1:36" ht="11.25" customHeight="1" x14ac:dyDescent="0.2">
      <c r="A1857" s="62" t="s">
        <v>28</v>
      </c>
      <c r="B1857" s="62" t="s">
        <v>37</v>
      </c>
      <c r="C1857" s="62" t="s">
        <v>23</v>
      </c>
      <c r="D1857" s="62" t="s">
        <v>43</v>
      </c>
      <c r="E1857" s="62" t="s">
        <v>25</v>
      </c>
      <c r="F1857" s="62" t="s">
        <v>25</v>
      </c>
      <c r="G1857" s="62" t="s">
        <v>25</v>
      </c>
      <c r="H1857" s="62" t="s">
        <v>25</v>
      </c>
      <c r="I1857" s="75">
        <v>44501</v>
      </c>
      <c r="J1857" s="76">
        <f>EFEITO!$J$1857*EFEITO!$Y$1857</f>
        <v>0</v>
      </c>
      <c r="K1857" s="76">
        <f ca="1">EFEITO!$L$1857*EFEITO!$Z$1857</f>
        <v>564591.66328118893</v>
      </c>
      <c r="L1857" s="76">
        <f>EFEITO!$N$1857*EFEITO!$AA$1857</f>
        <v>426083.42318074539</v>
      </c>
      <c r="M1857" s="76">
        <f>$J$1857-EFEITO!$K$1857*EFEITO!$Y$1857</f>
        <v>0</v>
      </c>
      <c r="N1857" s="76">
        <f ca="1">$K$1857-EFEITO!$M$1857*EFEITO!$Z$1857</f>
        <v>0</v>
      </c>
      <c r="O1857" s="76">
        <f>$L$1857-EFEITO!$O$1857*EFEITO!$AA$1857</f>
        <v>0</v>
      </c>
      <c r="P1857" s="18"/>
      <c r="Q1857" s="18"/>
      <c r="R1857" s="18"/>
      <c r="S1857" s="18"/>
      <c r="T1857" s="18"/>
      <c r="U1857" s="18"/>
      <c r="V1857" s="18"/>
      <c r="W1857" s="18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</row>
    <row r="1858" spans="1:36" ht="11.25" customHeight="1" x14ac:dyDescent="0.2">
      <c r="A1858" s="62" t="s">
        <v>28</v>
      </c>
      <c r="B1858" s="62" t="s">
        <v>37</v>
      </c>
      <c r="C1858" s="62" t="s">
        <v>23</v>
      </c>
      <c r="D1858" s="62" t="s">
        <v>43</v>
      </c>
      <c r="E1858" s="62" t="s">
        <v>25</v>
      </c>
      <c r="F1858" s="62" t="s">
        <v>25</v>
      </c>
      <c r="G1858" s="62" t="s">
        <v>25</v>
      </c>
      <c r="H1858" s="62" t="s">
        <v>25</v>
      </c>
      <c r="I1858" s="75">
        <v>44501</v>
      </c>
      <c r="J1858" s="76">
        <f>EFEITO!$J$1858*EFEITO!$Y$1858</f>
        <v>0</v>
      </c>
      <c r="K1858" s="76">
        <f ca="1">EFEITO!$L$1858*EFEITO!$Z$1858</f>
        <v>-572.18822635969877</v>
      </c>
      <c r="L1858" s="76">
        <f>EFEITO!$N$1858*EFEITO!$AA$1858</f>
        <v>-431.81636224344618</v>
      </c>
      <c r="M1858" s="76">
        <f>$J$1858-EFEITO!$K$1858*EFEITO!$Y$1858</f>
        <v>0</v>
      </c>
      <c r="N1858" s="76">
        <f ca="1">$K$1858-EFEITO!$M$1858*EFEITO!$Z$1858</f>
        <v>0</v>
      </c>
      <c r="O1858" s="76">
        <f>$L$1858-EFEITO!$O$1858*EFEITO!$AA$1858</f>
        <v>0</v>
      </c>
      <c r="P1858" s="18"/>
      <c r="Q1858" s="18"/>
      <c r="R1858" s="18"/>
      <c r="S1858" s="18"/>
      <c r="T1858" s="18"/>
      <c r="U1858" s="18"/>
      <c r="V1858" s="18"/>
      <c r="W1858" s="18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</row>
    <row r="1859" spans="1:36" ht="11.25" customHeight="1" x14ac:dyDescent="0.2">
      <c r="A1859" s="62" t="s">
        <v>21</v>
      </c>
      <c r="B1859" s="62" t="s">
        <v>37</v>
      </c>
      <c r="C1859" s="62" t="s">
        <v>23</v>
      </c>
      <c r="D1859" s="62" t="s">
        <v>43</v>
      </c>
      <c r="E1859" s="62" t="s">
        <v>25</v>
      </c>
      <c r="F1859" s="62" t="s">
        <v>25</v>
      </c>
      <c r="G1859" s="62" t="s">
        <v>25</v>
      </c>
      <c r="H1859" s="62" t="s">
        <v>25</v>
      </c>
      <c r="I1859" s="75">
        <v>44531</v>
      </c>
      <c r="J1859" s="76">
        <f>EFEITO!$J$1859*EFEITO!$Y$1859</f>
        <v>0</v>
      </c>
      <c r="K1859" s="76">
        <f ca="1">EFEITO!$L$1859*EFEITO!$Z$1859</f>
        <v>5373204.2987854611</v>
      </c>
      <c r="L1859" s="76">
        <f>EFEITO!$N$1859*EFEITO!$AA$1859</f>
        <v>4055024.9498384432</v>
      </c>
      <c r="M1859" s="76">
        <f>$J$1859-EFEITO!$K$1859*EFEITO!$Y$1859</f>
        <v>0</v>
      </c>
      <c r="N1859" s="76">
        <f ca="1">$K$1859-EFEITO!$M$1859*EFEITO!$Z$1859</f>
        <v>0</v>
      </c>
      <c r="O1859" s="76">
        <f>$L$1859-EFEITO!$O$1859*EFEITO!$AA$1859</f>
        <v>0</v>
      </c>
      <c r="P1859" s="18"/>
      <c r="Q1859" s="18"/>
      <c r="R1859" s="18"/>
      <c r="S1859" s="18"/>
      <c r="T1859" s="18"/>
      <c r="U1859" s="18"/>
      <c r="V1859" s="18"/>
      <c r="W1859" s="18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</row>
    <row r="1860" spans="1:36" ht="11.25" customHeight="1" x14ac:dyDescent="0.2">
      <c r="A1860" s="62" t="s">
        <v>27</v>
      </c>
      <c r="B1860" s="62" t="s">
        <v>37</v>
      </c>
      <c r="C1860" s="62" t="s">
        <v>23</v>
      </c>
      <c r="D1860" s="62" t="s">
        <v>43</v>
      </c>
      <c r="E1860" s="62" t="s">
        <v>25</v>
      </c>
      <c r="F1860" s="62" t="s">
        <v>25</v>
      </c>
      <c r="G1860" s="62" t="s">
        <v>25</v>
      </c>
      <c r="H1860" s="62" t="s">
        <v>25</v>
      </c>
      <c r="I1860" s="75">
        <v>44531</v>
      </c>
      <c r="J1860" s="76">
        <f>EFEITO!$J$1860*EFEITO!$Y$1860</f>
        <v>0</v>
      </c>
      <c r="K1860" s="76">
        <f ca="1">EFEITO!$L$1860*EFEITO!$Z$1860</f>
        <v>-1382.861011186875</v>
      </c>
      <c r="L1860" s="76">
        <f>EFEITO!$N$1860*EFEITO!$AA$1860</f>
        <v>-1043.6111472234738</v>
      </c>
      <c r="M1860" s="76">
        <f>$J$1860-EFEITO!$K$1860*EFEITO!$Y$1860</f>
        <v>0</v>
      </c>
      <c r="N1860" s="76">
        <f ca="1">$K$1860-EFEITO!$M$1860*EFEITO!$Z$1860</f>
        <v>0</v>
      </c>
      <c r="O1860" s="76">
        <f>$L$1860-EFEITO!$O$1860*EFEITO!$AA$1860</f>
        <v>0</v>
      </c>
      <c r="P1860" s="18"/>
      <c r="Q1860" s="18"/>
      <c r="R1860" s="18"/>
      <c r="S1860" s="18"/>
      <c r="T1860" s="18"/>
      <c r="U1860" s="18"/>
      <c r="V1860" s="18"/>
      <c r="W1860" s="18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</row>
    <row r="1861" spans="1:36" ht="11.25" customHeight="1" x14ac:dyDescent="0.2">
      <c r="A1861" s="62" t="s">
        <v>28</v>
      </c>
      <c r="B1861" s="62" t="s">
        <v>37</v>
      </c>
      <c r="C1861" s="62" t="s">
        <v>23</v>
      </c>
      <c r="D1861" s="62" t="s">
        <v>43</v>
      </c>
      <c r="E1861" s="62" t="s">
        <v>25</v>
      </c>
      <c r="F1861" s="62" t="s">
        <v>25</v>
      </c>
      <c r="G1861" s="62" t="s">
        <v>25</v>
      </c>
      <c r="H1861" s="62" t="s">
        <v>25</v>
      </c>
      <c r="I1861" s="75">
        <v>44531</v>
      </c>
      <c r="J1861" s="76">
        <f>EFEITO!$J$1861*EFEITO!$Y$1861</f>
        <v>0</v>
      </c>
      <c r="K1861" s="76">
        <f ca="1">EFEITO!$L$1861*EFEITO!$Z$1861</f>
        <v>672077.8767802167</v>
      </c>
      <c r="L1861" s="76">
        <f>EFEITO!$N$1861*EFEITO!$AA$1861</f>
        <v>507200.62127439305</v>
      </c>
      <c r="M1861" s="76">
        <f>$J$1861-EFEITO!$K$1861*EFEITO!$Y$1861</f>
        <v>0</v>
      </c>
      <c r="N1861" s="76">
        <f ca="1">$K$1861-EFEITO!$M$1861*EFEITO!$Z$1861</f>
        <v>0</v>
      </c>
      <c r="O1861" s="76">
        <f>$L$1861-EFEITO!$O$1861*EFEITO!$AA$1861</f>
        <v>0</v>
      </c>
      <c r="P1861" s="18"/>
      <c r="Q1861" s="18"/>
      <c r="R1861" s="18"/>
      <c r="S1861" s="18"/>
      <c r="T1861" s="18"/>
      <c r="U1861" s="18"/>
      <c r="V1861" s="18"/>
      <c r="W1861" s="18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</row>
    <row r="1862" spans="1:36" ht="11.25" customHeight="1" x14ac:dyDescent="0.2">
      <c r="A1862" s="62" t="s">
        <v>28</v>
      </c>
      <c r="B1862" s="62" t="s">
        <v>37</v>
      </c>
      <c r="C1862" s="62" t="s">
        <v>23</v>
      </c>
      <c r="D1862" s="62" t="s">
        <v>43</v>
      </c>
      <c r="E1862" s="62" t="s">
        <v>25</v>
      </c>
      <c r="F1862" s="62" t="s">
        <v>25</v>
      </c>
      <c r="G1862" s="62" t="s">
        <v>25</v>
      </c>
      <c r="H1862" s="62" t="s">
        <v>25</v>
      </c>
      <c r="I1862" s="75">
        <v>44531</v>
      </c>
      <c r="J1862" s="76">
        <f>EFEITO!$J$1862*EFEITO!$Y$1862</f>
        <v>0</v>
      </c>
      <c r="K1862" s="76">
        <f ca="1">EFEITO!$L$1862*EFEITO!$Z$1862</f>
        <v>-317.10584147873379</v>
      </c>
      <c r="L1862" s="76">
        <f>EFEITO!$N$1862*EFEITO!$AA$1862</f>
        <v>-239.31196869369612</v>
      </c>
      <c r="M1862" s="76">
        <f>$J$1862-EFEITO!$K$1862*EFEITO!$Y$1862</f>
        <v>0</v>
      </c>
      <c r="N1862" s="76">
        <f ca="1">$K$1862-EFEITO!$M$1862*EFEITO!$Z$1862</f>
        <v>0</v>
      </c>
      <c r="O1862" s="76">
        <f>$L$1862-EFEITO!$O$1862*EFEITO!$AA$1862</f>
        <v>0</v>
      </c>
      <c r="P1862" s="18"/>
      <c r="Q1862" s="18"/>
      <c r="R1862" s="18"/>
      <c r="S1862" s="18"/>
      <c r="T1862" s="18"/>
      <c r="U1862" s="18"/>
      <c r="V1862" s="18"/>
      <c r="W1862" s="18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</row>
    <row r="1863" spans="1:36" ht="11.25" customHeight="1" x14ac:dyDescent="0.2">
      <c r="A1863" s="62" t="s">
        <v>21</v>
      </c>
      <c r="B1863" s="62" t="s">
        <v>37</v>
      </c>
      <c r="C1863" s="62" t="s">
        <v>23</v>
      </c>
      <c r="D1863" s="62" t="s">
        <v>43</v>
      </c>
      <c r="E1863" s="62" t="s">
        <v>25</v>
      </c>
      <c r="F1863" s="62" t="s">
        <v>25</v>
      </c>
      <c r="G1863" s="62" t="s">
        <v>25</v>
      </c>
      <c r="H1863" s="62" t="s">
        <v>25</v>
      </c>
      <c r="I1863" s="75">
        <v>44562</v>
      </c>
      <c r="J1863" s="76">
        <f>EFEITO!$J$1863*EFEITO!$Y$1863</f>
        <v>0</v>
      </c>
      <c r="K1863" s="76">
        <f ca="1">EFEITO!$L$1863*EFEITO!$Z$1863</f>
        <v>5103579.5972568477</v>
      </c>
      <c r="L1863" s="76">
        <f>EFEITO!$N$1863*EFEITO!$AA$1863</f>
        <v>3851545.8280714918</v>
      </c>
      <c r="M1863" s="76">
        <f>$J$1863-EFEITO!$K$1863*EFEITO!$Y$1863</f>
        <v>0</v>
      </c>
      <c r="N1863" s="76">
        <f ca="1">$K$1863-EFEITO!$M$1863*EFEITO!$Z$1863</f>
        <v>0</v>
      </c>
      <c r="O1863" s="76">
        <f>$L$1863-EFEITO!$O$1863*EFEITO!$AA$1863</f>
        <v>0</v>
      </c>
      <c r="P1863" s="18"/>
      <c r="Q1863" s="18"/>
      <c r="R1863" s="18"/>
      <c r="S1863" s="18"/>
      <c r="T1863" s="18"/>
      <c r="U1863" s="18"/>
      <c r="V1863" s="18"/>
      <c r="W1863" s="18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</row>
    <row r="1864" spans="1:36" ht="11.25" customHeight="1" x14ac:dyDescent="0.2">
      <c r="A1864" s="62" t="s">
        <v>27</v>
      </c>
      <c r="B1864" s="62" t="s">
        <v>37</v>
      </c>
      <c r="C1864" s="62" t="s">
        <v>23</v>
      </c>
      <c r="D1864" s="62" t="s">
        <v>43</v>
      </c>
      <c r="E1864" s="62" t="s">
        <v>25</v>
      </c>
      <c r="F1864" s="62" t="s">
        <v>25</v>
      </c>
      <c r="G1864" s="62" t="s">
        <v>25</v>
      </c>
      <c r="H1864" s="62" t="s">
        <v>25</v>
      </c>
      <c r="I1864" s="75">
        <v>44562</v>
      </c>
      <c r="J1864" s="76">
        <f>EFEITO!$J$1864*EFEITO!$Y$1864</f>
        <v>0</v>
      </c>
      <c r="K1864" s="76">
        <f ca="1">EFEITO!$L$1864*EFEITO!$Z$1864</f>
        <v>-1380.2403017531665</v>
      </c>
      <c r="L1864" s="76">
        <f>EFEITO!$N$1864*EFEITO!$AA$1864</f>
        <v>-1041.6333623582366</v>
      </c>
      <c r="M1864" s="76">
        <f>$J$1864-EFEITO!$K$1864*EFEITO!$Y$1864</f>
        <v>0</v>
      </c>
      <c r="N1864" s="76">
        <f ca="1">$K$1864-EFEITO!$M$1864*EFEITO!$Z$1864</f>
        <v>0</v>
      </c>
      <c r="O1864" s="76">
        <f>$L$1864-EFEITO!$O$1864*EFEITO!$AA$1864</f>
        <v>0</v>
      </c>
      <c r="P1864" s="18"/>
      <c r="Q1864" s="18"/>
      <c r="R1864" s="18"/>
      <c r="S1864" s="18"/>
      <c r="T1864" s="18"/>
      <c r="U1864" s="18"/>
      <c r="V1864" s="18"/>
      <c r="W1864" s="18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</row>
    <row r="1865" spans="1:36" ht="11.25" customHeight="1" x14ac:dyDescent="0.2">
      <c r="A1865" s="62" t="s">
        <v>28</v>
      </c>
      <c r="B1865" s="62" t="s">
        <v>37</v>
      </c>
      <c r="C1865" s="62" t="s">
        <v>23</v>
      </c>
      <c r="D1865" s="62" t="s">
        <v>43</v>
      </c>
      <c r="E1865" s="62" t="s">
        <v>25</v>
      </c>
      <c r="F1865" s="62" t="s">
        <v>25</v>
      </c>
      <c r="G1865" s="62" t="s">
        <v>25</v>
      </c>
      <c r="H1865" s="62" t="s">
        <v>25</v>
      </c>
      <c r="I1865" s="75">
        <v>44562</v>
      </c>
      <c r="J1865" s="76">
        <f>EFEITO!$J$1865*EFEITO!$Y$1865</f>
        <v>0</v>
      </c>
      <c r="K1865" s="76">
        <f ca="1">EFEITO!$L$1865*EFEITO!$Z$1865</f>
        <v>681009.2545302955</v>
      </c>
      <c r="L1865" s="76">
        <f>EFEITO!$N$1865*EFEITO!$AA$1865</f>
        <v>513940.91209512134</v>
      </c>
      <c r="M1865" s="76">
        <f>$J$1865-EFEITO!$K$1865*EFEITO!$Y$1865</f>
        <v>0</v>
      </c>
      <c r="N1865" s="76">
        <f ca="1">$K$1865-EFEITO!$M$1865*EFEITO!$Z$1865</f>
        <v>0</v>
      </c>
      <c r="O1865" s="76">
        <f>$L$1865-EFEITO!$O$1865*EFEITO!$AA$1865</f>
        <v>0</v>
      </c>
      <c r="P1865" s="18"/>
      <c r="Q1865" s="18"/>
      <c r="R1865" s="18"/>
      <c r="S1865" s="18"/>
      <c r="T1865" s="18"/>
      <c r="U1865" s="18"/>
      <c r="V1865" s="18"/>
      <c r="W1865" s="18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</row>
    <row r="1866" spans="1:36" ht="11.25" customHeight="1" x14ac:dyDescent="0.2">
      <c r="A1866" s="62" t="s">
        <v>28</v>
      </c>
      <c r="B1866" s="62" t="s">
        <v>37</v>
      </c>
      <c r="C1866" s="62" t="s">
        <v>23</v>
      </c>
      <c r="D1866" s="62" t="s">
        <v>43</v>
      </c>
      <c r="E1866" s="62" t="s">
        <v>25</v>
      </c>
      <c r="F1866" s="62" t="s">
        <v>25</v>
      </c>
      <c r="G1866" s="62" t="s">
        <v>25</v>
      </c>
      <c r="H1866" s="62" t="s">
        <v>25</v>
      </c>
      <c r="I1866" s="75">
        <v>44562</v>
      </c>
      <c r="J1866" s="76">
        <f>EFEITO!$J$1866*EFEITO!$Y$1866</f>
        <v>0</v>
      </c>
      <c r="K1866" s="76">
        <f ca="1">EFEITO!$L$1866*EFEITO!$Z$1866</f>
        <v>-1148.7443017755784</v>
      </c>
      <c r="L1866" s="76">
        <f>EFEITO!$N$1866*EFEITO!$AA$1866</f>
        <v>-866.92903259562092</v>
      </c>
      <c r="M1866" s="76">
        <f>$J$1866-EFEITO!$K$1866*EFEITO!$Y$1866</f>
        <v>0</v>
      </c>
      <c r="N1866" s="76">
        <f ca="1">$K$1866-EFEITO!$M$1866*EFEITO!$Z$1866</f>
        <v>0</v>
      </c>
      <c r="O1866" s="76">
        <f>$L$1866-EFEITO!$O$1866*EFEITO!$AA$1866</f>
        <v>0</v>
      </c>
      <c r="P1866" s="18"/>
      <c r="Q1866" s="18"/>
      <c r="R1866" s="18"/>
      <c r="S1866" s="18"/>
      <c r="T1866" s="18"/>
      <c r="U1866" s="18"/>
      <c r="V1866" s="18"/>
      <c r="W1866" s="18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</row>
    <row r="1867" spans="1:36" ht="11.25" customHeight="1" x14ac:dyDescent="0.2">
      <c r="A1867" s="62" t="s">
        <v>21</v>
      </c>
      <c r="B1867" s="62" t="s">
        <v>37</v>
      </c>
      <c r="C1867" s="62" t="s">
        <v>23</v>
      </c>
      <c r="D1867" s="62" t="s">
        <v>43</v>
      </c>
      <c r="E1867" s="62" t="s">
        <v>25</v>
      </c>
      <c r="F1867" s="62" t="s">
        <v>25</v>
      </c>
      <c r="G1867" s="62" t="s">
        <v>25</v>
      </c>
      <c r="H1867" s="62" t="s">
        <v>25</v>
      </c>
      <c r="I1867" s="75">
        <v>44593</v>
      </c>
      <c r="J1867" s="76">
        <f>EFEITO!$J$1867*EFEITO!$Y$1867</f>
        <v>0</v>
      </c>
      <c r="K1867" s="76">
        <f ca="1">EFEITO!$L$1867*EFEITO!$Z$1867</f>
        <v>5039182.2146970443</v>
      </c>
      <c r="L1867" s="76">
        <f>EFEITO!$N$1867*EFEITO!$AA$1867</f>
        <v>3802946.7094704513</v>
      </c>
      <c r="M1867" s="76">
        <f>$J$1867-EFEITO!$K$1867*EFEITO!$Y$1867</f>
        <v>0</v>
      </c>
      <c r="N1867" s="76">
        <f ca="1">$K$1867-EFEITO!$M$1867*EFEITO!$Z$1867</f>
        <v>0</v>
      </c>
      <c r="O1867" s="76">
        <f>$L$1867-EFEITO!$O$1867*EFEITO!$AA$1867</f>
        <v>0</v>
      </c>
      <c r="P1867" s="18"/>
      <c r="Q1867" s="18"/>
      <c r="R1867" s="18"/>
      <c r="S1867" s="18"/>
      <c r="T1867" s="18"/>
      <c r="U1867" s="18"/>
      <c r="V1867" s="18"/>
      <c r="W1867" s="18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</row>
    <row r="1868" spans="1:36" ht="11.25" customHeight="1" x14ac:dyDescent="0.2">
      <c r="A1868" s="62" t="s">
        <v>27</v>
      </c>
      <c r="B1868" s="62" t="s">
        <v>37</v>
      </c>
      <c r="C1868" s="62" t="s">
        <v>23</v>
      </c>
      <c r="D1868" s="62" t="s">
        <v>43</v>
      </c>
      <c r="E1868" s="62" t="s">
        <v>25</v>
      </c>
      <c r="F1868" s="62" t="s">
        <v>25</v>
      </c>
      <c r="G1868" s="62" t="s">
        <v>25</v>
      </c>
      <c r="H1868" s="62" t="s">
        <v>25</v>
      </c>
      <c r="I1868" s="75">
        <v>44593</v>
      </c>
      <c r="J1868" s="76">
        <f>EFEITO!$J$1868*EFEITO!$Y$1868</f>
        <v>0</v>
      </c>
      <c r="K1868" s="76">
        <f ca="1">EFEITO!$L$1868*EFEITO!$Z$1868</f>
        <v>-858.71912444516624</v>
      </c>
      <c r="L1868" s="76">
        <f>EFEITO!$N$1868*EFEITO!$AA$1868</f>
        <v>-648.05417417604212</v>
      </c>
      <c r="M1868" s="76">
        <f>$J$1868-EFEITO!$K$1868*EFEITO!$Y$1868</f>
        <v>0</v>
      </c>
      <c r="N1868" s="76">
        <f ca="1">$K$1868-EFEITO!$M$1868*EFEITO!$Z$1868</f>
        <v>0</v>
      </c>
      <c r="O1868" s="76">
        <f>$L$1868-EFEITO!$O$1868*EFEITO!$AA$1868</f>
        <v>0</v>
      </c>
      <c r="P1868" s="18"/>
      <c r="Q1868" s="18"/>
      <c r="R1868" s="18"/>
      <c r="S1868" s="18"/>
      <c r="T1868" s="18"/>
      <c r="U1868" s="18"/>
      <c r="V1868" s="18"/>
      <c r="W1868" s="18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</row>
    <row r="1869" spans="1:36" ht="11.25" customHeight="1" x14ac:dyDescent="0.2">
      <c r="A1869" s="62" t="s">
        <v>28</v>
      </c>
      <c r="B1869" s="62" t="s">
        <v>37</v>
      </c>
      <c r="C1869" s="62" t="s">
        <v>23</v>
      </c>
      <c r="D1869" s="62" t="s">
        <v>43</v>
      </c>
      <c r="E1869" s="62" t="s">
        <v>25</v>
      </c>
      <c r="F1869" s="62" t="s">
        <v>25</v>
      </c>
      <c r="G1869" s="62" t="s">
        <v>25</v>
      </c>
      <c r="H1869" s="62" t="s">
        <v>25</v>
      </c>
      <c r="I1869" s="75">
        <v>44593</v>
      </c>
      <c r="J1869" s="76">
        <f>EFEITO!$J$1869*EFEITO!$Y$1869</f>
        <v>0</v>
      </c>
      <c r="K1869" s="76">
        <f ca="1">EFEITO!$L$1869*EFEITO!$Z$1869</f>
        <v>677536.81453063164</v>
      </c>
      <c r="L1869" s="76">
        <f>EFEITO!$N$1869*EFEITO!$AA$1869</f>
        <v>511320.34714868211</v>
      </c>
      <c r="M1869" s="76">
        <f>$J$1869-EFEITO!$K$1869*EFEITO!$Y$1869</f>
        <v>0</v>
      </c>
      <c r="N1869" s="76">
        <f ca="1">$K$1869-EFEITO!$M$1869*EFEITO!$Z$1869</f>
        <v>0</v>
      </c>
      <c r="O1869" s="76">
        <f>$L$1869-EFEITO!$O$1869*EFEITO!$AA$1869</f>
        <v>0</v>
      </c>
      <c r="P1869" s="18"/>
      <c r="Q1869" s="18"/>
      <c r="R1869" s="18"/>
      <c r="S1869" s="18"/>
      <c r="T1869" s="18"/>
      <c r="U1869" s="18"/>
      <c r="V1869" s="18"/>
      <c r="W1869" s="18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</row>
    <row r="1870" spans="1:36" ht="11.25" customHeight="1" x14ac:dyDescent="0.2">
      <c r="A1870" s="62" t="s">
        <v>28</v>
      </c>
      <c r="B1870" s="62" t="s">
        <v>37</v>
      </c>
      <c r="C1870" s="62" t="s">
        <v>23</v>
      </c>
      <c r="D1870" s="62" t="s">
        <v>43</v>
      </c>
      <c r="E1870" s="62" t="s">
        <v>25</v>
      </c>
      <c r="F1870" s="62" t="s">
        <v>25</v>
      </c>
      <c r="G1870" s="62" t="s">
        <v>25</v>
      </c>
      <c r="H1870" s="62" t="s">
        <v>25</v>
      </c>
      <c r="I1870" s="75">
        <v>44593</v>
      </c>
      <c r="J1870" s="76">
        <f>EFEITO!$J$1870*EFEITO!$Y$1870</f>
        <v>0</v>
      </c>
      <c r="K1870" s="76">
        <f ca="1">EFEITO!$L$1870*EFEITO!$Z$1870</f>
        <v>-4171.7326335583839</v>
      </c>
      <c r="L1870" s="76">
        <f>EFEITO!$N$1870*EFEITO!$AA$1870</f>
        <v>-3148.3038746466827</v>
      </c>
      <c r="M1870" s="76">
        <f>$J$1870-EFEITO!$K$1870*EFEITO!$Y$1870</f>
        <v>0</v>
      </c>
      <c r="N1870" s="76">
        <f ca="1">$K$1870-EFEITO!$M$1870*EFEITO!$Z$1870</f>
        <v>0</v>
      </c>
      <c r="O1870" s="76">
        <f>$L$1870-EFEITO!$O$1870*EFEITO!$AA$1870</f>
        <v>0</v>
      </c>
      <c r="P1870" s="18"/>
      <c r="Q1870" s="18"/>
      <c r="R1870" s="18"/>
      <c r="S1870" s="18"/>
      <c r="T1870" s="18"/>
      <c r="U1870" s="18"/>
      <c r="V1870" s="18"/>
      <c r="W1870" s="18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</row>
    <row r="1871" spans="1:36" ht="11.25" customHeight="1" x14ac:dyDescent="0.2">
      <c r="A1871" s="62" t="s">
        <v>21</v>
      </c>
      <c r="B1871" s="62" t="s">
        <v>37</v>
      </c>
      <c r="C1871" s="62" t="s">
        <v>23</v>
      </c>
      <c r="D1871" s="62" t="s">
        <v>43</v>
      </c>
      <c r="E1871" s="62" t="s">
        <v>25</v>
      </c>
      <c r="F1871" s="62" t="s">
        <v>25</v>
      </c>
      <c r="G1871" s="62" t="s">
        <v>25</v>
      </c>
      <c r="H1871" s="62" t="s">
        <v>25</v>
      </c>
      <c r="I1871" s="75">
        <v>44621</v>
      </c>
      <c r="J1871" s="76">
        <f>EFEITO!$J$1871*EFEITO!$Y$1871</f>
        <v>0</v>
      </c>
      <c r="K1871" s="76">
        <f ca="1">EFEITO!$L$1871*EFEITO!$Z$1871</f>
        <v>5464718.598640753</v>
      </c>
      <c r="L1871" s="76">
        <f>EFEITO!$N$1871*EFEITO!$AA$1871</f>
        <v>4124088.5380709027</v>
      </c>
      <c r="M1871" s="76">
        <f>$J$1871-EFEITO!$K$1871*EFEITO!$Y$1871</f>
        <v>0</v>
      </c>
      <c r="N1871" s="76">
        <f ca="1">$K$1871-EFEITO!$M$1871*EFEITO!$Z$1871</f>
        <v>0</v>
      </c>
      <c r="O1871" s="76">
        <f>$L$1871-EFEITO!$O$1871*EFEITO!$AA$1871</f>
        <v>0</v>
      </c>
      <c r="P1871" s="18"/>
      <c r="Q1871" s="18"/>
      <c r="R1871" s="18"/>
      <c r="S1871" s="18"/>
      <c r="T1871" s="18"/>
      <c r="U1871" s="18"/>
      <c r="V1871" s="18"/>
      <c r="W1871" s="18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</row>
    <row r="1872" spans="1:36" ht="11.25" customHeight="1" x14ac:dyDescent="0.2">
      <c r="A1872" s="62" t="s">
        <v>27</v>
      </c>
      <c r="B1872" s="62" t="s">
        <v>37</v>
      </c>
      <c r="C1872" s="62" t="s">
        <v>23</v>
      </c>
      <c r="D1872" s="62" t="s">
        <v>43</v>
      </c>
      <c r="E1872" s="62" t="s">
        <v>25</v>
      </c>
      <c r="F1872" s="62" t="s">
        <v>25</v>
      </c>
      <c r="G1872" s="62" t="s">
        <v>25</v>
      </c>
      <c r="H1872" s="62" t="s">
        <v>25</v>
      </c>
      <c r="I1872" s="75">
        <v>44621</v>
      </c>
      <c r="J1872" s="76">
        <f>EFEITO!$J$1872*EFEITO!$Y$1872</f>
        <v>0</v>
      </c>
      <c r="K1872" s="76">
        <f ca="1">EFEITO!$L$1872*EFEITO!$Z$1872</f>
        <v>20396.544737647979</v>
      </c>
      <c r="L1872" s="76">
        <f>EFEITO!$N$1872*EFEITO!$AA$1872</f>
        <v>15392.769975329929</v>
      </c>
      <c r="M1872" s="76">
        <f>$J$1872-EFEITO!$K$1872*EFEITO!$Y$1872</f>
        <v>0</v>
      </c>
      <c r="N1872" s="76">
        <f ca="1">$K$1872-EFEITO!$M$1872*EFEITO!$Z$1872</f>
        <v>0</v>
      </c>
      <c r="O1872" s="76">
        <f>$L$1872-EFEITO!$O$1872*EFEITO!$AA$1872</f>
        <v>0</v>
      </c>
      <c r="P1872" s="18"/>
      <c r="Q1872" s="18"/>
      <c r="R1872" s="18"/>
      <c r="S1872" s="18"/>
      <c r="T1872" s="18"/>
      <c r="U1872" s="18"/>
      <c r="V1872" s="18"/>
      <c r="W1872" s="18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</row>
    <row r="1873" spans="1:36" ht="11.25" customHeight="1" x14ac:dyDescent="0.2">
      <c r="A1873" s="62" t="s">
        <v>28</v>
      </c>
      <c r="B1873" s="62" t="s">
        <v>37</v>
      </c>
      <c r="C1873" s="62" t="s">
        <v>23</v>
      </c>
      <c r="D1873" s="62" t="s">
        <v>43</v>
      </c>
      <c r="E1873" s="62" t="s">
        <v>25</v>
      </c>
      <c r="F1873" s="62" t="s">
        <v>25</v>
      </c>
      <c r="G1873" s="62" t="s">
        <v>25</v>
      </c>
      <c r="H1873" s="62" t="s">
        <v>25</v>
      </c>
      <c r="I1873" s="75">
        <v>44621</v>
      </c>
      <c r="J1873" s="76">
        <f>EFEITO!$J$1873*EFEITO!$Y$1873</f>
        <v>0</v>
      </c>
      <c r="K1873" s="76">
        <f ca="1">EFEITO!$L$1873*EFEITO!$Z$1873</f>
        <v>778740.75073215447</v>
      </c>
      <c r="L1873" s="76">
        <f>EFEITO!$N$1873*EFEITO!$AA$1873</f>
        <v>587696.46528954548</v>
      </c>
      <c r="M1873" s="76">
        <f>$J$1873-EFEITO!$K$1873*EFEITO!$Y$1873</f>
        <v>0</v>
      </c>
      <c r="N1873" s="76">
        <f ca="1">$K$1873-EFEITO!$M$1873*EFEITO!$Z$1873</f>
        <v>0</v>
      </c>
      <c r="O1873" s="76">
        <f>$L$1873-EFEITO!$O$1873*EFEITO!$AA$1873</f>
        <v>0</v>
      </c>
      <c r="P1873" s="18"/>
      <c r="Q1873" s="18"/>
      <c r="R1873" s="18"/>
      <c r="S1873" s="18"/>
      <c r="T1873" s="18"/>
      <c r="U1873" s="18"/>
      <c r="V1873" s="18"/>
      <c r="W1873" s="18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</row>
    <row r="1874" spans="1:36" ht="11.25" customHeight="1" x14ac:dyDescent="0.2">
      <c r="A1874" s="62" t="s">
        <v>28</v>
      </c>
      <c r="B1874" s="62" t="s">
        <v>37</v>
      </c>
      <c r="C1874" s="62" t="s">
        <v>23</v>
      </c>
      <c r="D1874" s="62" t="s">
        <v>43</v>
      </c>
      <c r="E1874" s="62" t="s">
        <v>25</v>
      </c>
      <c r="F1874" s="62" t="s">
        <v>25</v>
      </c>
      <c r="G1874" s="62" t="s">
        <v>25</v>
      </c>
      <c r="H1874" s="62" t="s">
        <v>25</v>
      </c>
      <c r="I1874" s="75">
        <v>44621</v>
      </c>
      <c r="J1874" s="76">
        <f>EFEITO!$J$1874*EFEITO!$Y$1874</f>
        <v>0</v>
      </c>
      <c r="K1874" s="76">
        <f ca="1">EFEITO!$L$1874*EFEITO!$Z$1874</f>
        <v>-179.95538111465333</v>
      </c>
      <c r="L1874" s="76">
        <f>EFEITO!$N$1874*EFEITO!$AA$1874</f>
        <v>-135.80789407961819</v>
      </c>
      <c r="M1874" s="76">
        <f>$J$1874-EFEITO!$K$1874*EFEITO!$Y$1874</f>
        <v>0</v>
      </c>
      <c r="N1874" s="76">
        <f ca="1">$K$1874-EFEITO!$M$1874*EFEITO!$Z$1874</f>
        <v>0</v>
      </c>
      <c r="O1874" s="76">
        <f>$L$1874-EFEITO!$O$1874*EFEITO!$AA$1874</f>
        <v>0</v>
      </c>
      <c r="P1874" s="18"/>
      <c r="Q1874" s="18"/>
      <c r="R1874" s="18"/>
      <c r="S1874" s="18"/>
      <c r="T1874" s="18"/>
      <c r="U1874" s="18"/>
      <c r="V1874" s="18"/>
      <c r="W1874" s="18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</row>
    <row r="1875" spans="1:36" ht="11.25" customHeight="1" x14ac:dyDescent="0.2">
      <c r="A1875" s="62" t="s">
        <v>21</v>
      </c>
      <c r="B1875" s="62" t="s">
        <v>37</v>
      </c>
      <c r="C1875" s="62" t="s">
        <v>23</v>
      </c>
      <c r="D1875" s="62" t="s">
        <v>43</v>
      </c>
      <c r="E1875" s="62" t="s">
        <v>25</v>
      </c>
      <c r="F1875" s="62" t="s">
        <v>25</v>
      </c>
      <c r="G1875" s="62" t="s">
        <v>25</v>
      </c>
      <c r="H1875" s="62" t="s">
        <v>25</v>
      </c>
      <c r="I1875" s="75">
        <v>44652</v>
      </c>
      <c r="J1875" s="76">
        <f>EFEITO!$J$1875*EFEITO!$Y$1875</f>
        <v>0</v>
      </c>
      <c r="K1875" s="76">
        <f ca="1">EFEITO!$L$1875*EFEITO!$Z$1875</f>
        <v>5258899.872909735</v>
      </c>
      <c r="L1875" s="76">
        <f>EFEITO!$N$1875*EFEITO!$AA$1875</f>
        <v>3968762.2147870702</v>
      </c>
      <c r="M1875" s="76">
        <f>$J$1875-EFEITO!$K$1875*EFEITO!$Y$1875</f>
        <v>0</v>
      </c>
      <c r="N1875" s="76">
        <f ca="1">$K$1875-EFEITO!$M$1875*EFEITO!$Z$1875</f>
        <v>0</v>
      </c>
      <c r="O1875" s="76">
        <f>$L$1875-EFEITO!$O$1875*EFEITO!$AA$1875</f>
        <v>0</v>
      </c>
      <c r="P1875" s="18"/>
      <c r="Q1875" s="18"/>
      <c r="R1875" s="18"/>
      <c r="S1875" s="18"/>
      <c r="T1875" s="18"/>
      <c r="U1875" s="18"/>
      <c r="V1875" s="18"/>
      <c r="W1875" s="18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</row>
    <row r="1876" spans="1:36" ht="11.25" customHeight="1" x14ac:dyDescent="0.2">
      <c r="A1876" s="62" t="s">
        <v>27</v>
      </c>
      <c r="B1876" s="62" t="s">
        <v>37</v>
      </c>
      <c r="C1876" s="62" t="s">
        <v>23</v>
      </c>
      <c r="D1876" s="62" t="s">
        <v>43</v>
      </c>
      <c r="E1876" s="62" t="s">
        <v>25</v>
      </c>
      <c r="F1876" s="62" t="s">
        <v>25</v>
      </c>
      <c r="G1876" s="62" t="s">
        <v>25</v>
      </c>
      <c r="H1876" s="62" t="s">
        <v>25</v>
      </c>
      <c r="I1876" s="75">
        <v>44652</v>
      </c>
      <c r="J1876" s="76">
        <f>EFEITO!$J$1876*EFEITO!$Y$1876</f>
        <v>0</v>
      </c>
      <c r="K1876" s="76">
        <f ca="1">EFEITO!$L$1876*EFEITO!$Z$1876</f>
        <v>-2007.9002111263628</v>
      </c>
      <c r="L1876" s="76">
        <f>EFEITO!$N$1876*EFEITO!$AA$1876</f>
        <v>-1515.3128375825361</v>
      </c>
      <c r="M1876" s="76">
        <f>$J$1876-EFEITO!$K$1876*EFEITO!$Y$1876</f>
        <v>0</v>
      </c>
      <c r="N1876" s="76">
        <f ca="1">$K$1876-EFEITO!$M$1876*EFEITO!$Z$1876</f>
        <v>0</v>
      </c>
      <c r="O1876" s="76">
        <f>$L$1876-EFEITO!$O$1876*EFEITO!$AA$1876</f>
        <v>0</v>
      </c>
      <c r="P1876" s="18"/>
      <c r="Q1876" s="18"/>
      <c r="R1876" s="18"/>
      <c r="S1876" s="18"/>
      <c r="T1876" s="18"/>
      <c r="U1876" s="18"/>
      <c r="V1876" s="18"/>
      <c r="W1876" s="18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</row>
    <row r="1877" spans="1:36" ht="11.25" customHeight="1" x14ac:dyDescent="0.2">
      <c r="A1877" s="62" t="s">
        <v>28</v>
      </c>
      <c r="B1877" s="62" t="s">
        <v>37</v>
      </c>
      <c r="C1877" s="62" t="s">
        <v>23</v>
      </c>
      <c r="D1877" s="62" t="s">
        <v>43</v>
      </c>
      <c r="E1877" s="62" t="s">
        <v>25</v>
      </c>
      <c r="F1877" s="62" t="s">
        <v>25</v>
      </c>
      <c r="G1877" s="62" t="s">
        <v>25</v>
      </c>
      <c r="H1877" s="62" t="s">
        <v>25</v>
      </c>
      <c r="I1877" s="75">
        <v>44652</v>
      </c>
      <c r="J1877" s="76">
        <f>EFEITO!$J$1877*EFEITO!$Y$1877</f>
        <v>0</v>
      </c>
      <c r="K1877" s="76">
        <f ca="1">EFEITO!$L$1877*EFEITO!$Z$1877</f>
        <v>778029.66490580828</v>
      </c>
      <c r="L1877" s="76">
        <f>EFEITO!$N$1877*EFEITO!$AA$1877</f>
        <v>587159.82632944442</v>
      </c>
      <c r="M1877" s="76">
        <f>$J$1877-EFEITO!$K$1877*EFEITO!$Y$1877</f>
        <v>0</v>
      </c>
      <c r="N1877" s="76">
        <f ca="1">$K$1877-EFEITO!$M$1877*EFEITO!$Z$1877</f>
        <v>0</v>
      </c>
      <c r="O1877" s="76">
        <f>$L$1877-EFEITO!$O$1877*EFEITO!$AA$1877</f>
        <v>0</v>
      </c>
      <c r="P1877" s="18"/>
      <c r="Q1877" s="18"/>
      <c r="R1877" s="18"/>
      <c r="S1877" s="18"/>
      <c r="T1877" s="18"/>
      <c r="U1877" s="18"/>
      <c r="V1877" s="18"/>
      <c r="W1877" s="18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</row>
    <row r="1878" spans="1:36" ht="11.25" customHeight="1" x14ac:dyDescent="0.2">
      <c r="A1878" s="62" t="s">
        <v>28</v>
      </c>
      <c r="B1878" s="62" t="s">
        <v>37</v>
      </c>
      <c r="C1878" s="62" t="s">
        <v>23</v>
      </c>
      <c r="D1878" s="62" t="s">
        <v>43</v>
      </c>
      <c r="E1878" s="62" t="s">
        <v>25</v>
      </c>
      <c r="F1878" s="62" t="s">
        <v>25</v>
      </c>
      <c r="G1878" s="62" t="s">
        <v>25</v>
      </c>
      <c r="H1878" s="62" t="s">
        <v>25</v>
      </c>
      <c r="I1878" s="75">
        <v>44652</v>
      </c>
      <c r="J1878" s="76">
        <f>EFEITO!$J$1878*EFEITO!$Y$1878</f>
        <v>0</v>
      </c>
      <c r="K1878" s="76">
        <f ca="1">EFEITO!$L$1878*EFEITO!$Z$1878</f>
        <v>-1096.3301131014075</v>
      </c>
      <c r="L1878" s="76">
        <f>EFEITO!$N$1878*EFEITO!$AA$1878</f>
        <v>-827.37333529087778</v>
      </c>
      <c r="M1878" s="76">
        <f>$J$1878-EFEITO!$K$1878*EFEITO!$Y$1878</f>
        <v>0</v>
      </c>
      <c r="N1878" s="76">
        <f ca="1">$K$1878-EFEITO!$M$1878*EFEITO!$Z$1878</f>
        <v>0</v>
      </c>
      <c r="O1878" s="76">
        <f>$L$1878-EFEITO!$O$1878*EFEITO!$AA$1878</f>
        <v>0</v>
      </c>
      <c r="P1878" s="18"/>
      <c r="Q1878" s="18"/>
      <c r="R1878" s="18"/>
      <c r="S1878" s="18"/>
      <c r="T1878" s="18"/>
      <c r="U1878" s="18"/>
      <c r="V1878" s="18"/>
      <c r="W1878" s="18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</row>
    <row r="1879" spans="1:36" ht="11.25" customHeight="1" x14ac:dyDescent="0.2">
      <c r="A1879" s="62" t="s">
        <v>58</v>
      </c>
      <c r="B1879" s="62" t="s">
        <v>37</v>
      </c>
      <c r="C1879" s="62" t="s">
        <v>23</v>
      </c>
      <c r="D1879" s="62" t="s">
        <v>43</v>
      </c>
      <c r="E1879" s="62" t="s">
        <v>25</v>
      </c>
      <c r="F1879" s="62" t="s">
        <v>25</v>
      </c>
      <c r="G1879" s="62" t="s">
        <v>25</v>
      </c>
      <c r="H1879" s="62" t="s">
        <v>25</v>
      </c>
      <c r="I1879" s="75">
        <v>44682</v>
      </c>
      <c r="J1879" s="76">
        <f>EFEITO!$J$1879*EFEITO!$Y$1879</f>
        <v>0</v>
      </c>
      <c r="K1879" s="76">
        <f ca="1">EFEITO!$L$1879*EFEITO!$Z$1879</f>
        <v>5258899.872909735</v>
      </c>
      <c r="L1879" s="76">
        <f>EFEITO!$N$1879*EFEITO!$AA$1879</f>
        <v>3968762.2147870702</v>
      </c>
      <c r="M1879" s="76">
        <f>$J$1879-EFEITO!$K$1879*EFEITO!$Y$1879</f>
        <v>0</v>
      </c>
      <c r="N1879" s="76">
        <f ca="1">$K$1879-EFEITO!$M$1879*EFEITO!$Z$1879</f>
        <v>0</v>
      </c>
      <c r="O1879" s="76">
        <f>$L$1879-EFEITO!$O$1879*EFEITO!$AA$1879</f>
        <v>0</v>
      </c>
      <c r="P1879" s="18"/>
      <c r="Q1879" s="18"/>
      <c r="R1879" s="18"/>
      <c r="S1879" s="18"/>
      <c r="T1879" s="18"/>
      <c r="U1879" s="18"/>
      <c r="V1879" s="18"/>
      <c r="W1879" s="18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</row>
    <row r="1880" spans="1:36" ht="11.25" customHeight="1" x14ac:dyDescent="0.2">
      <c r="A1880" s="62" t="s">
        <v>58</v>
      </c>
      <c r="B1880" s="62" t="s">
        <v>37</v>
      </c>
      <c r="C1880" s="62" t="s">
        <v>23</v>
      </c>
      <c r="D1880" s="62" t="s">
        <v>43</v>
      </c>
      <c r="E1880" s="62" t="s">
        <v>25</v>
      </c>
      <c r="F1880" s="62" t="s">
        <v>25</v>
      </c>
      <c r="G1880" s="62" t="s">
        <v>25</v>
      </c>
      <c r="H1880" s="62" t="s">
        <v>25</v>
      </c>
      <c r="I1880" s="75">
        <v>44682</v>
      </c>
      <c r="J1880" s="76">
        <f>EFEITO!$J$1880*EFEITO!$Y$1880</f>
        <v>0</v>
      </c>
      <c r="K1880" s="76">
        <f ca="1">EFEITO!$L$1880*EFEITO!$Z$1880</f>
        <v>-2007.9002111263628</v>
      </c>
      <c r="L1880" s="76">
        <f>EFEITO!$N$1880*EFEITO!$AA$1880</f>
        <v>-1515.3128375825361</v>
      </c>
      <c r="M1880" s="76">
        <f>$J$1880-EFEITO!$K$1880*EFEITO!$Y$1880</f>
        <v>0</v>
      </c>
      <c r="N1880" s="76">
        <f ca="1">$K$1880-EFEITO!$M$1880*EFEITO!$Z$1880</f>
        <v>0</v>
      </c>
      <c r="O1880" s="76">
        <f>$L$1880-EFEITO!$O$1880*EFEITO!$AA$1880</f>
        <v>0</v>
      </c>
      <c r="P1880" s="18"/>
      <c r="Q1880" s="18"/>
      <c r="R1880" s="18"/>
      <c r="S1880" s="18"/>
      <c r="T1880" s="18"/>
      <c r="U1880" s="18"/>
      <c r="V1880" s="18"/>
      <c r="W1880" s="18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</row>
    <row r="1881" spans="1:36" ht="11.25" customHeight="1" x14ac:dyDescent="0.2">
      <c r="A1881" s="62" t="s">
        <v>58</v>
      </c>
      <c r="B1881" s="62" t="s">
        <v>37</v>
      </c>
      <c r="C1881" s="62" t="s">
        <v>23</v>
      </c>
      <c r="D1881" s="62" t="s">
        <v>43</v>
      </c>
      <c r="E1881" s="62" t="s">
        <v>25</v>
      </c>
      <c r="F1881" s="62" t="s">
        <v>25</v>
      </c>
      <c r="G1881" s="62" t="s">
        <v>25</v>
      </c>
      <c r="H1881" s="62" t="s">
        <v>25</v>
      </c>
      <c r="I1881" s="75">
        <v>44682</v>
      </c>
      <c r="J1881" s="76">
        <f>EFEITO!$J$1881*EFEITO!$Y$1881</f>
        <v>0</v>
      </c>
      <c r="K1881" s="76">
        <f ca="1">EFEITO!$L$1881*EFEITO!$Z$1881</f>
        <v>778029.66490580828</v>
      </c>
      <c r="L1881" s="76">
        <f>EFEITO!$N$1881*EFEITO!$AA$1881</f>
        <v>587159.82632944442</v>
      </c>
      <c r="M1881" s="76">
        <f>$J$1881-EFEITO!$K$1881*EFEITO!$Y$1881</f>
        <v>0</v>
      </c>
      <c r="N1881" s="76">
        <f ca="1">$K$1881-EFEITO!$M$1881*EFEITO!$Z$1881</f>
        <v>0</v>
      </c>
      <c r="O1881" s="76">
        <f>$L$1881-EFEITO!$O$1881*EFEITO!$AA$1881</f>
        <v>0</v>
      </c>
      <c r="P1881" s="18"/>
      <c r="Q1881" s="18"/>
      <c r="R1881" s="18"/>
      <c r="S1881" s="18"/>
      <c r="T1881" s="18"/>
      <c r="U1881" s="18"/>
      <c r="V1881" s="18"/>
      <c r="W1881" s="18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</row>
    <row r="1882" spans="1:36" ht="11.25" customHeight="1" x14ac:dyDescent="0.2">
      <c r="A1882" s="62" t="s">
        <v>58</v>
      </c>
      <c r="B1882" s="62" t="s">
        <v>37</v>
      </c>
      <c r="C1882" s="62" t="s">
        <v>23</v>
      </c>
      <c r="D1882" s="62" t="s">
        <v>43</v>
      </c>
      <c r="E1882" s="62" t="s">
        <v>25</v>
      </c>
      <c r="F1882" s="62" t="s">
        <v>25</v>
      </c>
      <c r="G1882" s="62" t="s">
        <v>25</v>
      </c>
      <c r="H1882" s="62" t="s">
        <v>25</v>
      </c>
      <c r="I1882" s="75">
        <v>44682</v>
      </c>
      <c r="J1882" s="76">
        <f>EFEITO!$J$1882*EFEITO!$Y$1882</f>
        <v>0</v>
      </c>
      <c r="K1882" s="76">
        <f ca="1">EFEITO!$L$1882*EFEITO!$Z$1882</f>
        <v>-1096.3301131014075</v>
      </c>
      <c r="L1882" s="76">
        <f>EFEITO!$N$1882*EFEITO!$AA$1882</f>
        <v>-827.37333529087778</v>
      </c>
      <c r="M1882" s="76">
        <f>$J$1882-EFEITO!$K$1882*EFEITO!$Y$1882</f>
        <v>0</v>
      </c>
      <c r="N1882" s="76">
        <f ca="1">$K$1882-EFEITO!$M$1882*EFEITO!$Z$1882</f>
        <v>0</v>
      </c>
      <c r="O1882" s="76">
        <f>$L$1882-EFEITO!$O$1882*EFEITO!$AA$1882</f>
        <v>0</v>
      </c>
      <c r="P1882" s="18"/>
      <c r="Q1882" s="18"/>
      <c r="R1882" s="18"/>
      <c r="S1882" s="18"/>
      <c r="T1882" s="18"/>
      <c r="U1882" s="18"/>
      <c r="V1882" s="18"/>
      <c r="W1882" s="18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</row>
    <row r="1883" spans="1:36" ht="11.25" customHeight="1" x14ac:dyDescent="0.2">
      <c r="A1883" s="62" t="s">
        <v>21</v>
      </c>
      <c r="B1883" s="62" t="s">
        <v>37</v>
      </c>
      <c r="C1883" s="62" t="s">
        <v>23</v>
      </c>
      <c r="D1883" s="62" t="s">
        <v>53</v>
      </c>
      <c r="E1883" s="62" t="s">
        <v>25</v>
      </c>
      <c r="F1883" s="62" t="s">
        <v>25</v>
      </c>
      <c r="G1883" s="62" t="s">
        <v>25</v>
      </c>
      <c r="H1883" s="62" t="s">
        <v>25</v>
      </c>
      <c r="I1883" s="75">
        <v>44348</v>
      </c>
      <c r="J1883" s="76">
        <f>EFEITO!$J$1883*EFEITO!$Y$1883</f>
        <v>0</v>
      </c>
      <c r="K1883" s="76">
        <f ca="1">EFEITO!$L$1883*EFEITO!$Z$1883</f>
        <v>63545.651993847925</v>
      </c>
      <c r="L1883" s="76">
        <f>EFEITO!$N$1883*EFEITO!$AA$1883</f>
        <v>47956.338519837998</v>
      </c>
      <c r="M1883" s="76">
        <f>$J$1883-EFEITO!$K$1883*EFEITO!$Y$1883</f>
        <v>0</v>
      </c>
      <c r="N1883" s="76">
        <f ca="1">$K$1883-EFEITO!$M$1883*EFEITO!$Z$1883</f>
        <v>0</v>
      </c>
      <c r="O1883" s="76">
        <f>$L$1883-EFEITO!$O$1883*EFEITO!$AA$1883</f>
        <v>0</v>
      </c>
      <c r="P1883" s="18"/>
      <c r="Q1883" s="18"/>
      <c r="R1883" s="18"/>
      <c r="S1883" s="18"/>
      <c r="T1883" s="18"/>
      <c r="U1883" s="18"/>
      <c r="V1883" s="18"/>
      <c r="W1883" s="18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</row>
    <row r="1884" spans="1:36" ht="11.25" customHeight="1" x14ac:dyDescent="0.2">
      <c r="A1884" s="62" t="s">
        <v>28</v>
      </c>
      <c r="B1884" s="62" t="s">
        <v>37</v>
      </c>
      <c r="C1884" s="62" t="s">
        <v>23</v>
      </c>
      <c r="D1884" s="62" t="s">
        <v>53</v>
      </c>
      <c r="E1884" s="62" t="s">
        <v>25</v>
      </c>
      <c r="F1884" s="62" t="s">
        <v>25</v>
      </c>
      <c r="G1884" s="62" t="s">
        <v>25</v>
      </c>
      <c r="H1884" s="62" t="s">
        <v>25</v>
      </c>
      <c r="I1884" s="75">
        <v>44348</v>
      </c>
      <c r="J1884" s="76">
        <f>EFEITO!$J$1884*EFEITO!$Y$1884</f>
        <v>0</v>
      </c>
      <c r="K1884" s="76">
        <f ca="1">EFEITO!$L$1884*EFEITO!$Z$1884</f>
        <v>741.22398483389986</v>
      </c>
      <c r="L1884" s="76">
        <f>EFEITO!$N$1884*EFEITO!$AA$1884</f>
        <v>559.38348605124293</v>
      </c>
      <c r="M1884" s="76">
        <f>$J$1884-EFEITO!$K$1884*EFEITO!$Y$1884</f>
        <v>0</v>
      </c>
      <c r="N1884" s="76">
        <f ca="1">$K$1884-EFEITO!$M$1884*EFEITO!$Z$1884</f>
        <v>0</v>
      </c>
      <c r="O1884" s="76">
        <f>$L$1884-EFEITO!$O$1884*EFEITO!$AA$1884</f>
        <v>0</v>
      </c>
      <c r="P1884" s="18"/>
      <c r="Q1884" s="18"/>
      <c r="R1884" s="18"/>
      <c r="S1884" s="18"/>
      <c r="T1884" s="18"/>
      <c r="U1884" s="18"/>
      <c r="V1884" s="18"/>
      <c r="W1884" s="18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</row>
    <row r="1885" spans="1:36" ht="11.25" customHeight="1" x14ac:dyDescent="0.2">
      <c r="A1885" s="62" t="s">
        <v>21</v>
      </c>
      <c r="B1885" s="62" t="s">
        <v>37</v>
      </c>
      <c r="C1885" s="62" t="s">
        <v>23</v>
      </c>
      <c r="D1885" s="62" t="s">
        <v>53</v>
      </c>
      <c r="E1885" s="62" t="s">
        <v>25</v>
      </c>
      <c r="F1885" s="62" t="s">
        <v>25</v>
      </c>
      <c r="G1885" s="62" t="s">
        <v>25</v>
      </c>
      <c r="H1885" s="62" t="s">
        <v>25</v>
      </c>
      <c r="I1885" s="75">
        <v>44378</v>
      </c>
      <c r="J1885" s="76">
        <f>EFEITO!$J$1885*EFEITO!$Y$1885</f>
        <v>0</v>
      </c>
      <c r="K1885" s="76">
        <f ca="1">EFEITO!$L$1885*EFEITO!$Z$1885</f>
        <v>56348.310319073025</v>
      </c>
      <c r="L1885" s="76">
        <f>EFEITO!$N$1885*EFEITO!$AA$1885</f>
        <v>42524.682018275009</v>
      </c>
      <c r="M1885" s="76">
        <f>$J$1885-EFEITO!$K$1885*EFEITO!$Y$1885</f>
        <v>0</v>
      </c>
      <c r="N1885" s="76">
        <f ca="1">$K$1885-EFEITO!$M$1885*EFEITO!$Z$1885</f>
        <v>0</v>
      </c>
      <c r="O1885" s="76">
        <f>$L$1885-EFEITO!$O$1885*EFEITO!$AA$1885</f>
        <v>0</v>
      </c>
      <c r="P1885" s="18"/>
      <c r="Q1885" s="18"/>
      <c r="R1885" s="18"/>
      <c r="S1885" s="18"/>
      <c r="T1885" s="18"/>
      <c r="U1885" s="18"/>
      <c r="V1885" s="18"/>
      <c r="W1885" s="18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</row>
    <row r="1886" spans="1:36" ht="11.25" customHeight="1" x14ac:dyDescent="0.2">
      <c r="A1886" s="62" t="s">
        <v>28</v>
      </c>
      <c r="B1886" s="62" t="s">
        <v>37</v>
      </c>
      <c r="C1886" s="62" t="s">
        <v>23</v>
      </c>
      <c r="D1886" s="62" t="s">
        <v>53</v>
      </c>
      <c r="E1886" s="62" t="s">
        <v>25</v>
      </c>
      <c r="F1886" s="62" t="s">
        <v>25</v>
      </c>
      <c r="G1886" s="62" t="s">
        <v>25</v>
      </c>
      <c r="H1886" s="62" t="s">
        <v>25</v>
      </c>
      <c r="I1886" s="75">
        <v>44378</v>
      </c>
      <c r="J1886" s="76">
        <f>EFEITO!$J$1886*EFEITO!$Y$1886</f>
        <v>0</v>
      </c>
      <c r="K1886" s="76">
        <f ca="1">EFEITO!$L$1886*EFEITO!$Z$1886</f>
        <v>413.63530562033185</v>
      </c>
      <c r="L1886" s="76">
        <f>EFEITO!$N$1886*EFEITO!$AA$1886</f>
        <v>312.16037789659811</v>
      </c>
      <c r="M1886" s="76">
        <f>$J$1886-EFEITO!$K$1886*EFEITO!$Y$1886</f>
        <v>0</v>
      </c>
      <c r="N1886" s="76">
        <f ca="1">$K$1886-EFEITO!$M$1886*EFEITO!$Z$1886</f>
        <v>0</v>
      </c>
      <c r="O1886" s="76">
        <f>$L$1886-EFEITO!$O$1886*EFEITO!$AA$1886</f>
        <v>0</v>
      </c>
      <c r="P1886" s="18"/>
      <c r="Q1886" s="18"/>
      <c r="R1886" s="18"/>
      <c r="S1886" s="18"/>
      <c r="T1886" s="18"/>
      <c r="U1886" s="18"/>
      <c r="V1886" s="18"/>
      <c r="W1886" s="18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</row>
    <row r="1887" spans="1:36" ht="11.25" customHeight="1" x14ac:dyDescent="0.2">
      <c r="A1887" s="62" t="s">
        <v>21</v>
      </c>
      <c r="B1887" s="62" t="s">
        <v>37</v>
      </c>
      <c r="C1887" s="62" t="s">
        <v>23</v>
      </c>
      <c r="D1887" s="62" t="s">
        <v>53</v>
      </c>
      <c r="E1887" s="62" t="s">
        <v>25</v>
      </c>
      <c r="F1887" s="62" t="s">
        <v>25</v>
      </c>
      <c r="G1887" s="62" t="s">
        <v>25</v>
      </c>
      <c r="H1887" s="62" t="s">
        <v>25</v>
      </c>
      <c r="I1887" s="75">
        <v>44409</v>
      </c>
      <c r="J1887" s="76">
        <f>EFEITO!$J$1887*EFEITO!$Y$1887</f>
        <v>0</v>
      </c>
      <c r="K1887" s="76">
        <f ca="1">EFEITO!$L$1887*EFEITO!$Z$1887</f>
        <v>61419.383073299046</v>
      </c>
      <c r="L1887" s="76">
        <f>EFEITO!$N$1887*EFEITO!$AA$1887</f>
        <v>46351.69573250891</v>
      </c>
      <c r="M1887" s="76">
        <f>$J$1887-EFEITO!$K$1887*EFEITO!$Y$1887</f>
        <v>0</v>
      </c>
      <c r="N1887" s="76">
        <f ca="1">$K$1887-EFEITO!$M$1887*EFEITO!$Z$1887</f>
        <v>0</v>
      </c>
      <c r="O1887" s="76">
        <f>$L$1887-EFEITO!$O$1887*EFEITO!$AA$1887</f>
        <v>0</v>
      </c>
      <c r="P1887" s="18"/>
      <c r="Q1887" s="18"/>
      <c r="R1887" s="18"/>
      <c r="S1887" s="18"/>
      <c r="T1887" s="18"/>
      <c r="U1887" s="18"/>
      <c r="V1887" s="18"/>
      <c r="W1887" s="18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</row>
    <row r="1888" spans="1:36" ht="11.25" customHeight="1" x14ac:dyDescent="0.2">
      <c r="A1888" s="62" t="s">
        <v>28</v>
      </c>
      <c r="B1888" s="62" t="s">
        <v>37</v>
      </c>
      <c r="C1888" s="62" t="s">
        <v>23</v>
      </c>
      <c r="D1888" s="62" t="s">
        <v>53</v>
      </c>
      <c r="E1888" s="62" t="s">
        <v>25</v>
      </c>
      <c r="F1888" s="62" t="s">
        <v>25</v>
      </c>
      <c r="G1888" s="62" t="s">
        <v>25</v>
      </c>
      <c r="H1888" s="62" t="s">
        <v>25</v>
      </c>
      <c r="I1888" s="75">
        <v>44409</v>
      </c>
      <c r="J1888" s="76">
        <f>EFEITO!$J$1888*EFEITO!$Y$1888</f>
        <v>0</v>
      </c>
      <c r="K1888" s="76">
        <f ca="1">EFEITO!$L$1888*EFEITO!$Z$1888</f>
        <v>783.5921206788546</v>
      </c>
      <c r="L1888" s="76">
        <f>EFEITO!$N$1888*EFEITO!$AA$1888</f>
        <v>591.35767470591031</v>
      </c>
      <c r="M1888" s="76">
        <f>$J$1888-EFEITO!$K$1888*EFEITO!$Y$1888</f>
        <v>0</v>
      </c>
      <c r="N1888" s="76">
        <f ca="1">$K$1888-EFEITO!$M$1888*EFEITO!$Z$1888</f>
        <v>0</v>
      </c>
      <c r="O1888" s="76">
        <f>$L$1888-EFEITO!$O$1888*EFEITO!$AA$1888</f>
        <v>0</v>
      </c>
      <c r="P1888" s="18"/>
      <c r="Q1888" s="18"/>
      <c r="R1888" s="18"/>
      <c r="S1888" s="18"/>
      <c r="T1888" s="18"/>
      <c r="U1888" s="18"/>
      <c r="V1888" s="18"/>
      <c r="W1888" s="18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</row>
    <row r="1889" spans="1:36" ht="11.25" customHeight="1" x14ac:dyDescent="0.2">
      <c r="A1889" s="62" t="s">
        <v>21</v>
      </c>
      <c r="B1889" s="62" t="s">
        <v>37</v>
      </c>
      <c r="C1889" s="62" t="s">
        <v>23</v>
      </c>
      <c r="D1889" s="62" t="s">
        <v>53</v>
      </c>
      <c r="E1889" s="62" t="s">
        <v>25</v>
      </c>
      <c r="F1889" s="62" t="s">
        <v>25</v>
      </c>
      <c r="G1889" s="62" t="s">
        <v>25</v>
      </c>
      <c r="H1889" s="62" t="s">
        <v>25</v>
      </c>
      <c r="I1889" s="75">
        <v>44440</v>
      </c>
      <c r="J1889" s="76">
        <f>EFEITO!$J$1889*EFEITO!$Y$1889</f>
        <v>0</v>
      </c>
      <c r="K1889" s="76">
        <f ca="1">EFEITO!$L$1889*EFEITO!$Z$1889</f>
        <v>72653.927630701961</v>
      </c>
      <c r="L1889" s="76">
        <f>EFEITO!$N$1889*EFEITO!$AA$1889</f>
        <v>54830.129818969734</v>
      </c>
      <c r="M1889" s="76">
        <f>$J$1889-EFEITO!$K$1889*EFEITO!$Y$1889</f>
        <v>0</v>
      </c>
      <c r="N1889" s="76">
        <f ca="1">$K$1889-EFEITO!$M$1889*EFEITO!$Z$1889</f>
        <v>0</v>
      </c>
      <c r="O1889" s="76">
        <f>$L$1889-EFEITO!$O$1889*EFEITO!$AA$1889</f>
        <v>0</v>
      </c>
      <c r="P1889" s="18"/>
      <c r="Q1889" s="18"/>
      <c r="R1889" s="18"/>
      <c r="S1889" s="18"/>
      <c r="T1889" s="18"/>
      <c r="U1889" s="18"/>
      <c r="V1889" s="18"/>
      <c r="W1889" s="18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</row>
    <row r="1890" spans="1:36" ht="11.25" customHeight="1" x14ac:dyDescent="0.2">
      <c r="A1890" s="62" t="s">
        <v>28</v>
      </c>
      <c r="B1890" s="62" t="s">
        <v>37</v>
      </c>
      <c r="C1890" s="62" t="s">
        <v>23</v>
      </c>
      <c r="D1890" s="62" t="s">
        <v>53</v>
      </c>
      <c r="E1890" s="62" t="s">
        <v>25</v>
      </c>
      <c r="F1890" s="62" t="s">
        <v>25</v>
      </c>
      <c r="G1890" s="62" t="s">
        <v>25</v>
      </c>
      <c r="H1890" s="62" t="s">
        <v>25</v>
      </c>
      <c r="I1890" s="75">
        <v>44440</v>
      </c>
      <c r="J1890" s="76">
        <f>EFEITO!$J$1890*EFEITO!$Y$1890</f>
        <v>0</v>
      </c>
      <c r="K1890" s="76">
        <f ca="1">EFEITO!$L$1890*EFEITO!$Z$1890</f>
        <v>225.81779620455288</v>
      </c>
      <c r="L1890" s="76">
        <f>EFEITO!$N$1890*EFEITO!$AA$1890</f>
        <v>170.41912922126846</v>
      </c>
      <c r="M1890" s="76">
        <f>$J$1890-EFEITO!$K$1890*EFEITO!$Y$1890</f>
        <v>0</v>
      </c>
      <c r="N1890" s="76">
        <f ca="1">$K$1890-EFEITO!$M$1890*EFEITO!$Z$1890</f>
        <v>0</v>
      </c>
      <c r="O1890" s="76">
        <f>$L$1890-EFEITO!$O$1890*EFEITO!$AA$1890</f>
        <v>0</v>
      </c>
      <c r="P1890" s="18"/>
      <c r="Q1890" s="18"/>
      <c r="R1890" s="18"/>
      <c r="S1890" s="18"/>
      <c r="T1890" s="18"/>
      <c r="U1890" s="18"/>
      <c r="V1890" s="18"/>
      <c r="W1890" s="18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</row>
    <row r="1891" spans="1:36" ht="11.25" customHeight="1" x14ac:dyDescent="0.2">
      <c r="A1891" s="62" t="s">
        <v>21</v>
      </c>
      <c r="B1891" s="62" t="s">
        <v>37</v>
      </c>
      <c r="C1891" s="62" t="s">
        <v>23</v>
      </c>
      <c r="D1891" s="62" t="s">
        <v>53</v>
      </c>
      <c r="E1891" s="62" t="s">
        <v>25</v>
      </c>
      <c r="F1891" s="62" t="s">
        <v>25</v>
      </c>
      <c r="G1891" s="62" t="s">
        <v>25</v>
      </c>
      <c r="H1891" s="62" t="s">
        <v>25</v>
      </c>
      <c r="I1891" s="75">
        <v>44470</v>
      </c>
      <c r="J1891" s="76">
        <f>EFEITO!$J$1891*EFEITO!$Y$1891</f>
        <v>0</v>
      </c>
      <c r="K1891" s="76">
        <f ca="1">EFEITO!$L$1891*EFEITO!$Z$1891</f>
        <v>66507.053653938565</v>
      </c>
      <c r="L1891" s="76">
        <f>EFEITO!$N$1891*EFEITO!$AA$1891</f>
        <v>50191.235417555974</v>
      </c>
      <c r="M1891" s="76">
        <f>$J$1891-EFEITO!$K$1891*EFEITO!$Y$1891</f>
        <v>0</v>
      </c>
      <c r="N1891" s="76">
        <f ca="1">$K$1891-EFEITO!$M$1891*EFEITO!$Z$1891</f>
        <v>0</v>
      </c>
      <c r="O1891" s="76">
        <f>$L$1891-EFEITO!$O$1891*EFEITO!$AA$1891</f>
        <v>0</v>
      </c>
      <c r="P1891" s="18"/>
      <c r="Q1891" s="18"/>
      <c r="R1891" s="18"/>
      <c r="S1891" s="18"/>
      <c r="T1891" s="18"/>
      <c r="U1891" s="18"/>
      <c r="V1891" s="18"/>
      <c r="W1891" s="18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</row>
    <row r="1892" spans="1:36" ht="11.25" customHeight="1" x14ac:dyDescent="0.2">
      <c r="A1892" s="62" t="s">
        <v>28</v>
      </c>
      <c r="B1892" s="62" t="s">
        <v>37</v>
      </c>
      <c r="C1892" s="62" t="s">
        <v>23</v>
      </c>
      <c r="D1892" s="62" t="s">
        <v>53</v>
      </c>
      <c r="E1892" s="62" t="s">
        <v>25</v>
      </c>
      <c r="F1892" s="62" t="s">
        <v>25</v>
      </c>
      <c r="G1892" s="62" t="s">
        <v>25</v>
      </c>
      <c r="H1892" s="62" t="s">
        <v>25</v>
      </c>
      <c r="I1892" s="75">
        <v>44470</v>
      </c>
      <c r="J1892" s="76">
        <f>EFEITO!$J$1892*EFEITO!$Y$1892</f>
        <v>0</v>
      </c>
      <c r="K1892" s="76">
        <f ca="1">EFEITO!$L$1892*EFEITO!$Z$1892</f>
        <v>795.38531313054307</v>
      </c>
      <c r="L1892" s="76">
        <f>EFEITO!$N$1892*EFEITO!$AA$1892</f>
        <v>600.2577065994775</v>
      </c>
      <c r="M1892" s="76">
        <f>$J$1892-EFEITO!$K$1892*EFEITO!$Y$1892</f>
        <v>0</v>
      </c>
      <c r="N1892" s="76">
        <f ca="1">$K$1892-EFEITO!$M$1892*EFEITO!$Z$1892</f>
        <v>0</v>
      </c>
      <c r="O1892" s="76">
        <f>$L$1892-EFEITO!$O$1892*EFEITO!$AA$1892</f>
        <v>0</v>
      </c>
      <c r="P1892" s="18"/>
      <c r="Q1892" s="18"/>
      <c r="R1892" s="18"/>
      <c r="S1892" s="18"/>
      <c r="T1892" s="18"/>
      <c r="U1892" s="18"/>
      <c r="V1892" s="18"/>
      <c r="W1892" s="18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</row>
    <row r="1893" spans="1:36" ht="11.25" customHeight="1" x14ac:dyDescent="0.2">
      <c r="A1893" s="62" t="s">
        <v>21</v>
      </c>
      <c r="B1893" s="62" t="s">
        <v>37</v>
      </c>
      <c r="C1893" s="62" t="s">
        <v>23</v>
      </c>
      <c r="D1893" s="62" t="s">
        <v>53</v>
      </c>
      <c r="E1893" s="62" t="s">
        <v>25</v>
      </c>
      <c r="F1893" s="62" t="s">
        <v>25</v>
      </c>
      <c r="G1893" s="62" t="s">
        <v>25</v>
      </c>
      <c r="H1893" s="62" t="s">
        <v>25</v>
      </c>
      <c r="I1893" s="75">
        <v>44501</v>
      </c>
      <c r="J1893" s="76">
        <f>EFEITO!$J$1893*EFEITO!$Y$1893</f>
        <v>0</v>
      </c>
      <c r="K1893" s="76">
        <f ca="1">EFEITO!$L$1893*EFEITO!$Z$1893</f>
        <v>67002.367736909495</v>
      </c>
      <c r="L1893" s="76">
        <f>EFEITO!$N$1893*EFEITO!$AA$1893</f>
        <v>50565.0367570858</v>
      </c>
      <c r="M1893" s="76">
        <f>$J$1893-EFEITO!$K$1893*EFEITO!$Y$1893</f>
        <v>0</v>
      </c>
      <c r="N1893" s="76">
        <f ca="1">$K$1893-EFEITO!$M$1893*EFEITO!$Z$1893</f>
        <v>0</v>
      </c>
      <c r="O1893" s="76">
        <f>$L$1893-EFEITO!$O$1893*EFEITO!$AA$1893</f>
        <v>0</v>
      </c>
      <c r="P1893" s="18"/>
      <c r="Q1893" s="18"/>
      <c r="R1893" s="18"/>
      <c r="S1893" s="18"/>
      <c r="T1893" s="18"/>
      <c r="U1893" s="18"/>
      <c r="V1893" s="18"/>
      <c r="W1893" s="18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</row>
    <row r="1894" spans="1:36" ht="11.25" customHeight="1" x14ac:dyDescent="0.2">
      <c r="A1894" s="62" t="s">
        <v>28</v>
      </c>
      <c r="B1894" s="62" t="s">
        <v>37</v>
      </c>
      <c r="C1894" s="62" t="s">
        <v>23</v>
      </c>
      <c r="D1894" s="62" t="s">
        <v>53</v>
      </c>
      <c r="E1894" s="62" t="s">
        <v>25</v>
      </c>
      <c r="F1894" s="62" t="s">
        <v>25</v>
      </c>
      <c r="G1894" s="62" t="s">
        <v>25</v>
      </c>
      <c r="H1894" s="62" t="s">
        <v>25</v>
      </c>
      <c r="I1894" s="75">
        <v>44501</v>
      </c>
      <c r="J1894" s="76">
        <f>EFEITO!$J$1894*EFEITO!$Y$1894</f>
        <v>0</v>
      </c>
      <c r="K1894" s="76">
        <f ca="1">EFEITO!$L$1894*EFEITO!$Z$1894</f>
        <v>525.0154565529449</v>
      </c>
      <c r="L1894" s="76">
        <f>EFEITO!$N$1894*EFEITO!$AA$1894</f>
        <v>396.21623466917731</v>
      </c>
      <c r="M1894" s="76">
        <f>$J$1894-EFEITO!$K$1894*EFEITO!$Y$1894</f>
        <v>0</v>
      </c>
      <c r="N1894" s="76">
        <f ca="1">$K$1894-EFEITO!$M$1894*EFEITO!$Z$1894</f>
        <v>0</v>
      </c>
      <c r="O1894" s="76">
        <f>$L$1894-EFEITO!$O$1894*EFEITO!$AA$1894</f>
        <v>0</v>
      </c>
      <c r="P1894" s="18"/>
      <c r="Q1894" s="18"/>
      <c r="R1894" s="18"/>
      <c r="S1894" s="18"/>
      <c r="T1894" s="18"/>
      <c r="U1894" s="18"/>
      <c r="V1894" s="18"/>
      <c r="W1894" s="18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</row>
    <row r="1895" spans="1:36" ht="11.25" customHeight="1" x14ac:dyDescent="0.2">
      <c r="A1895" s="62" t="s">
        <v>21</v>
      </c>
      <c r="B1895" s="62" t="s">
        <v>37</v>
      </c>
      <c r="C1895" s="62" t="s">
        <v>23</v>
      </c>
      <c r="D1895" s="62" t="s">
        <v>53</v>
      </c>
      <c r="E1895" s="62" t="s">
        <v>25</v>
      </c>
      <c r="F1895" s="62" t="s">
        <v>25</v>
      </c>
      <c r="G1895" s="62" t="s">
        <v>25</v>
      </c>
      <c r="H1895" s="62" t="s">
        <v>25</v>
      </c>
      <c r="I1895" s="75">
        <v>44531</v>
      </c>
      <c r="J1895" s="76">
        <f>EFEITO!$J$1895*EFEITO!$Y$1895</f>
        <v>0</v>
      </c>
      <c r="K1895" s="76">
        <f ca="1">EFEITO!$L$1895*EFEITO!$Z$1895</f>
        <v>70114.460189438381</v>
      </c>
      <c r="L1895" s="76">
        <f>EFEITO!$N$1895*EFEITO!$AA$1895</f>
        <v>52913.656284554927</v>
      </c>
      <c r="M1895" s="76">
        <f>$J$1895-EFEITO!$K$1895*EFEITO!$Y$1895</f>
        <v>0</v>
      </c>
      <c r="N1895" s="76">
        <f ca="1">$K$1895-EFEITO!$M$1895*EFEITO!$Z$1895</f>
        <v>0</v>
      </c>
      <c r="O1895" s="76">
        <f>$L$1895-EFEITO!$O$1895*EFEITO!$AA$1895</f>
        <v>0</v>
      </c>
      <c r="P1895" s="18"/>
      <c r="Q1895" s="18"/>
      <c r="R1895" s="18"/>
      <c r="S1895" s="18"/>
      <c r="T1895" s="18"/>
      <c r="U1895" s="18"/>
      <c r="V1895" s="18"/>
      <c r="W1895" s="18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</row>
    <row r="1896" spans="1:36" ht="11.25" customHeight="1" x14ac:dyDescent="0.2">
      <c r="A1896" s="62" t="s">
        <v>27</v>
      </c>
      <c r="B1896" s="62" t="s">
        <v>37</v>
      </c>
      <c r="C1896" s="62" t="s">
        <v>23</v>
      </c>
      <c r="D1896" s="62" t="s">
        <v>53</v>
      </c>
      <c r="E1896" s="62" t="s">
        <v>25</v>
      </c>
      <c r="F1896" s="62" t="s">
        <v>25</v>
      </c>
      <c r="G1896" s="62" t="s">
        <v>25</v>
      </c>
      <c r="H1896" s="62" t="s">
        <v>25</v>
      </c>
      <c r="I1896" s="75">
        <v>44531</v>
      </c>
      <c r="J1896" s="76">
        <f>EFEITO!$J$1896*EFEITO!$Y$1896</f>
        <v>0</v>
      </c>
      <c r="K1896" s="76">
        <f ca="1">EFEITO!$L$1896*EFEITO!$Z$1896</f>
        <v>110.50658112137694</v>
      </c>
      <c r="L1896" s="76">
        <f>EFEITO!$N$1896*EFEITO!$AA$1896</f>
        <v>83.396595150833505</v>
      </c>
      <c r="M1896" s="76">
        <f>$J$1896-EFEITO!$K$1896*EFEITO!$Y$1896</f>
        <v>0</v>
      </c>
      <c r="N1896" s="76">
        <f ca="1">$K$1896-EFEITO!$M$1896*EFEITO!$Z$1896</f>
        <v>0</v>
      </c>
      <c r="O1896" s="76">
        <f>$L$1896-EFEITO!$O$1896*EFEITO!$AA$1896</f>
        <v>0</v>
      </c>
      <c r="P1896" s="18"/>
      <c r="Q1896" s="18"/>
      <c r="R1896" s="18"/>
      <c r="S1896" s="18"/>
      <c r="T1896" s="18"/>
      <c r="U1896" s="18"/>
      <c r="V1896" s="18"/>
      <c r="W1896" s="18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</row>
    <row r="1897" spans="1:36" ht="11.25" customHeight="1" x14ac:dyDescent="0.2">
      <c r="A1897" s="62" t="s">
        <v>28</v>
      </c>
      <c r="B1897" s="62" t="s">
        <v>37</v>
      </c>
      <c r="C1897" s="62" t="s">
        <v>23</v>
      </c>
      <c r="D1897" s="62" t="s">
        <v>53</v>
      </c>
      <c r="E1897" s="62" t="s">
        <v>25</v>
      </c>
      <c r="F1897" s="62" t="s">
        <v>25</v>
      </c>
      <c r="G1897" s="62" t="s">
        <v>25</v>
      </c>
      <c r="H1897" s="62" t="s">
        <v>25</v>
      </c>
      <c r="I1897" s="75">
        <v>44531</v>
      </c>
      <c r="J1897" s="76">
        <f>EFEITO!$J$1897*EFEITO!$Y$1897</f>
        <v>0</v>
      </c>
      <c r="K1897" s="76">
        <f ca="1">EFEITO!$L$1897*EFEITO!$Z$1897</f>
        <v>765.24715464289477</v>
      </c>
      <c r="L1897" s="76">
        <f>EFEITO!$N$1897*EFEITO!$AA$1897</f>
        <v>577.51318064925022</v>
      </c>
      <c r="M1897" s="76">
        <f>$J$1897-EFEITO!$K$1897*EFEITO!$Y$1897</f>
        <v>0</v>
      </c>
      <c r="N1897" s="76">
        <f ca="1">$K$1897-EFEITO!$M$1897*EFEITO!$Z$1897</f>
        <v>0</v>
      </c>
      <c r="O1897" s="76">
        <f>$L$1897-EFEITO!$O$1897*EFEITO!$AA$1897</f>
        <v>0</v>
      </c>
      <c r="P1897" s="18"/>
      <c r="Q1897" s="18"/>
      <c r="R1897" s="18"/>
      <c r="S1897" s="18"/>
      <c r="T1897" s="18"/>
      <c r="U1897" s="18"/>
      <c r="V1897" s="18"/>
      <c r="W1897" s="18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</row>
    <row r="1898" spans="1:36" ht="11.25" customHeight="1" x14ac:dyDescent="0.2">
      <c r="A1898" s="62" t="s">
        <v>21</v>
      </c>
      <c r="B1898" s="62" t="s">
        <v>37</v>
      </c>
      <c r="C1898" s="62" t="s">
        <v>23</v>
      </c>
      <c r="D1898" s="62" t="s">
        <v>53</v>
      </c>
      <c r="E1898" s="62" t="s">
        <v>25</v>
      </c>
      <c r="F1898" s="62" t="s">
        <v>25</v>
      </c>
      <c r="G1898" s="62" t="s">
        <v>25</v>
      </c>
      <c r="H1898" s="62" t="s">
        <v>25</v>
      </c>
      <c r="I1898" s="75">
        <v>44562</v>
      </c>
      <c r="J1898" s="76">
        <f>EFEITO!$J$1898*EFEITO!$Y$1898</f>
        <v>0</v>
      </c>
      <c r="K1898" s="76">
        <f ca="1">EFEITO!$L$1898*EFEITO!$Z$1898</f>
        <v>66635.03163128467</v>
      </c>
      <c r="L1898" s="76">
        <f>EFEITO!$N$1898*EFEITO!$AA$1898</f>
        <v>50287.817245141727</v>
      </c>
      <c r="M1898" s="76">
        <f>$J$1898-EFEITO!$K$1898*EFEITO!$Y$1898</f>
        <v>0</v>
      </c>
      <c r="N1898" s="76">
        <f ca="1">$K$1898-EFEITO!$M$1898*EFEITO!$Z$1898</f>
        <v>0</v>
      </c>
      <c r="O1898" s="76">
        <f>$L$1898-EFEITO!$O$1898*EFEITO!$AA$1898</f>
        <v>0</v>
      </c>
      <c r="P1898" s="18"/>
      <c r="Q1898" s="18"/>
      <c r="R1898" s="18"/>
      <c r="S1898" s="18"/>
      <c r="T1898" s="18"/>
      <c r="U1898" s="18"/>
      <c r="V1898" s="18"/>
      <c r="W1898" s="18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</row>
    <row r="1899" spans="1:36" ht="11.25" customHeight="1" x14ac:dyDescent="0.2">
      <c r="A1899" s="62" t="s">
        <v>28</v>
      </c>
      <c r="B1899" s="62" t="s">
        <v>37</v>
      </c>
      <c r="C1899" s="62" t="s">
        <v>23</v>
      </c>
      <c r="D1899" s="62" t="s">
        <v>53</v>
      </c>
      <c r="E1899" s="62" t="s">
        <v>25</v>
      </c>
      <c r="F1899" s="62" t="s">
        <v>25</v>
      </c>
      <c r="G1899" s="62" t="s">
        <v>25</v>
      </c>
      <c r="H1899" s="62" t="s">
        <v>25</v>
      </c>
      <c r="I1899" s="75">
        <v>44562</v>
      </c>
      <c r="J1899" s="76">
        <f>EFEITO!$J$1899*EFEITO!$Y$1899</f>
        <v>0</v>
      </c>
      <c r="K1899" s="76">
        <f ca="1">EFEITO!$L$1899*EFEITO!$Z$1899</f>
        <v>524.14188674170873</v>
      </c>
      <c r="L1899" s="76">
        <f>EFEITO!$N$1899*EFEITO!$AA$1899</f>
        <v>395.5569730474316</v>
      </c>
      <c r="M1899" s="76">
        <f>$J$1899-EFEITO!$K$1899*EFEITO!$Y$1899</f>
        <v>0</v>
      </c>
      <c r="N1899" s="76">
        <f ca="1">$K$1899-EFEITO!$M$1899*EFEITO!$Z$1899</f>
        <v>0</v>
      </c>
      <c r="O1899" s="76">
        <f>$L$1899-EFEITO!$O$1899*EFEITO!$AA$1899</f>
        <v>0</v>
      </c>
      <c r="P1899" s="18"/>
      <c r="Q1899" s="18"/>
      <c r="R1899" s="18"/>
      <c r="S1899" s="18"/>
      <c r="T1899" s="18"/>
      <c r="U1899" s="18"/>
      <c r="V1899" s="18"/>
      <c r="W1899" s="18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</row>
    <row r="1900" spans="1:36" ht="11.25" customHeight="1" x14ac:dyDescent="0.2">
      <c r="A1900" s="62" t="s">
        <v>21</v>
      </c>
      <c r="B1900" s="62" t="s">
        <v>37</v>
      </c>
      <c r="C1900" s="62" t="s">
        <v>23</v>
      </c>
      <c r="D1900" s="62" t="s">
        <v>53</v>
      </c>
      <c r="E1900" s="62" t="s">
        <v>25</v>
      </c>
      <c r="F1900" s="62" t="s">
        <v>25</v>
      </c>
      <c r="G1900" s="62" t="s">
        <v>25</v>
      </c>
      <c r="H1900" s="62" t="s">
        <v>25</v>
      </c>
      <c r="I1900" s="75">
        <v>44593</v>
      </c>
      <c r="J1900" s="76">
        <f>EFEITO!$J$1900*EFEITO!$Y$1900</f>
        <v>0</v>
      </c>
      <c r="K1900" s="76">
        <f ca="1">EFEITO!$L$1900*EFEITO!$Z$1900</f>
        <v>66266.385170943002</v>
      </c>
      <c r="L1900" s="76">
        <f>EFEITO!$N$1900*EFEITO!$AA$1900</f>
        <v>50009.608840765031</v>
      </c>
      <c r="M1900" s="76">
        <f>$J$1900-EFEITO!$K$1900*EFEITO!$Y$1900</f>
        <v>0</v>
      </c>
      <c r="N1900" s="76">
        <f ca="1">$K$1900-EFEITO!$M$1900*EFEITO!$Z$1900</f>
        <v>0</v>
      </c>
      <c r="O1900" s="76">
        <f>$L$1900-EFEITO!$O$1900*EFEITO!$AA$1900</f>
        <v>0</v>
      </c>
      <c r="P1900" s="18"/>
      <c r="Q1900" s="18"/>
      <c r="R1900" s="18"/>
      <c r="S1900" s="18"/>
      <c r="T1900" s="18"/>
      <c r="U1900" s="18"/>
      <c r="V1900" s="18"/>
      <c r="W1900" s="18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</row>
    <row r="1901" spans="1:36" ht="11.25" customHeight="1" x14ac:dyDescent="0.2">
      <c r="A1901" s="62" t="s">
        <v>28</v>
      </c>
      <c r="B1901" s="62" t="s">
        <v>37</v>
      </c>
      <c r="C1901" s="62" t="s">
        <v>23</v>
      </c>
      <c r="D1901" s="62" t="s">
        <v>53</v>
      </c>
      <c r="E1901" s="62" t="s">
        <v>25</v>
      </c>
      <c r="F1901" s="62" t="s">
        <v>25</v>
      </c>
      <c r="G1901" s="62" t="s">
        <v>25</v>
      </c>
      <c r="H1901" s="62" t="s">
        <v>25</v>
      </c>
      <c r="I1901" s="75">
        <v>44593</v>
      </c>
      <c r="J1901" s="76">
        <f>EFEITO!$J$1901*EFEITO!$Y$1901</f>
        <v>0</v>
      </c>
      <c r="K1901" s="76">
        <f ca="1">EFEITO!$L$1901*EFEITO!$Z$1901</f>
        <v>457.75058108775903</v>
      </c>
      <c r="L1901" s="76">
        <f>EFEITO!$N$1901*EFEITO!$AA$1901</f>
        <v>345.45308979475698</v>
      </c>
      <c r="M1901" s="76">
        <f>$J$1901-EFEITO!$K$1901*EFEITO!$Y$1901</f>
        <v>0</v>
      </c>
      <c r="N1901" s="76">
        <f ca="1">$K$1901-EFEITO!$M$1901*EFEITO!$Z$1901</f>
        <v>0</v>
      </c>
      <c r="O1901" s="76">
        <f>$L$1901-EFEITO!$O$1901*EFEITO!$AA$1901</f>
        <v>0</v>
      </c>
      <c r="P1901" s="18"/>
      <c r="Q1901" s="18"/>
      <c r="R1901" s="18"/>
      <c r="S1901" s="18"/>
      <c r="T1901" s="18"/>
      <c r="U1901" s="18"/>
      <c r="V1901" s="18"/>
      <c r="W1901" s="18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</row>
    <row r="1902" spans="1:36" ht="11.25" customHeight="1" x14ac:dyDescent="0.2">
      <c r="A1902" s="62" t="s">
        <v>21</v>
      </c>
      <c r="B1902" s="62" t="s">
        <v>37</v>
      </c>
      <c r="C1902" s="62" t="s">
        <v>23</v>
      </c>
      <c r="D1902" s="62" t="s">
        <v>53</v>
      </c>
      <c r="E1902" s="62" t="s">
        <v>25</v>
      </c>
      <c r="F1902" s="62" t="s">
        <v>25</v>
      </c>
      <c r="G1902" s="62" t="s">
        <v>25</v>
      </c>
      <c r="H1902" s="62" t="s">
        <v>25</v>
      </c>
      <c r="I1902" s="75">
        <v>44621</v>
      </c>
      <c r="J1902" s="76">
        <f>EFEITO!$J$1902*EFEITO!$Y$1902</f>
        <v>0</v>
      </c>
      <c r="K1902" s="76">
        <f ca="1">EFEITO!$L$1902*EFEITO!$Z$1902</f>
        <v>18283.379364267657</v>
      </c>
      <c r="L1902" s="76">
        <f>EFEITO!$N$1902*EFEITO!$AA$1902</f>
        <v>13798.016112327034</v>
      </c>
      <c r="M1902" s="76">
        <f>$J$1902-EFEITO!$K$1902*EFEITO!$Y$1902</f>
        <v>0</v>
      </c>
      <c r="N1902" s="76">
        <f ca="1">$K$1902-EFEITO!$M$1902*EFEITO!$Z$1902</f>
        <v>0</v>
      </c>
      <c r="O1902" s="76">
        <f>$L$1902-EFEITO!$O$1902*EFEITO!$AA$1902</f>
        <v>0</v>
      </c>
      <c r="P1902" s="18"/>
      <c r="Q1902" s="18"/>
      <c r="R1902" s="18"/>
      <c r="S1902" s="18"/>
      <c r="T1902" s="18"/>
      <c r="U1902" s="18"/>
      <c r="V1902" s="18"/>
      <c r="W1902" s="18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</row>
    <row r="1903" spans="1:36" ht="11.25" customHeight="1" x14ac:dyDescent="0.2">
      <c r="A1903" s="62" t="s">
        <v>28</v>
      </c>
      <c r="B1903" s="62" t="s">
        <v>37</v>
      </c>
      <c r="C1903" s="62" t="s">
        <v>23</v>
      </c>
      <c r="D1903" s="62" t="s">
        <v>53</v>
      </c>
      <c r="E1903" s="62" t="s">
        <v>25</v>
      </c>
      <c r="F1903" s="62" t="s">
        <v>25</v>
      </c>
      <c r="G1903" s="62" t="s">
        <v>25</v>
      </c>
      <c r="H1903" s="62" t="s">
        <v>25</v>
      </c>
      <c r="I1903" s="75">
        <v>44621</v>
      </c>
      <c r="J1903" s="76">
        <f>EFEITO!$J$1903*EFEITO!$Y$1903</f>
        <v>0</v>
      </c>
      <c r="K1903" s="76">
        <f ca="1">EFEITO!$L$1903*EFEITO!$Z$1903</f>
        <v>58953.732281084936</v>
      </c>
      <c r="L1903" s="76">
        <f>EFEITO!$N$1903*EFEITO!$AA$1903</f>
        <v>44490.929805131622</v>
      </c>
      <c r="M1903" s="76">
        <f>$J$1903-EFEITO!$K$1903*EFEITO!$Y$1903</f>
        <v>0</v>
      </c>
      <c r="N1903" s="76">
        <f ca="1">$K$1903-EFEITO!$M$1903*EFEITO!$Z$1903</f>
        <v>0</v>
      </c>
      <c r="O1903" s="76">
        <f>$L$1903-EFEITO!$O$1903*EFEITO!$AA$1903</f>
        <v>0</v>
      </c>
      <c r="P1903" s="18"/>
      <c r="Q1903" s="18"/>
      <c r="R1903" s="18"/>
      <c r="S1903" s="18"/>
      <c r="T1903" s="18"/>
      <c r="U1903" s="18"/>
      <c r="V1903" s="18"/>
      <c r="W1903" s="18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</row>
    <row r="1904" spans="1:36" ht="11.25" customHeight="1" x14ac:dyDescent="0.2">
      <c r="A1904" s="62" t="s">
        <v>21</v>
      </c>
      <c r="B1904" s="62" t="s">
        <v>37</v>
      </c>
      <c r="C1904" s="62" t="s">
        <v>23</v>
      </c>
      <c r="D1904" s="62" t="s">
        <v>53</v>
      </c>
      <c r="E1904" s="62" t="s">
        <v>25</v>
      </c>
      <c r="F1904" s="62" t="s">
        <v>25</v>
      </c>
      <c r="G1904" s="62" t="s">
        <v>25</v>
      </c>
      <c r="H1904" s="62" t="s">
        <v>25</v>
      </c>
      <c r="I1904" s="75">
        <v>44652</v>
      </c>
      <c r="J1904" s="76">
        <f>EFEITO!$J$1904*EFEITO!$Y$1904</f>
        <v>0</v>
      </c>
      <c r="K1904" s="76">
        <f ca="1">EFEITO!$L$1904*EFEITO!$Z$1904</f>
        <v>8923.0788368719732</v>
      </c>
      <c r="L1904" s="76">
        <f>EFEITO!$N$1904*EFEITO!$AA$1904</f>
        <v>6734.0278353216499</v>
      </c>
      <c r="M1904" s="76">
        <f>$J$1904-EFEITO!$K$1904*EFEITO!$Y$1904</f>
        <v>0</v>
      </c>
      <c r="N1904" s="76">
        <f ca="1">$K$1904-EFEITO!$M$1904*EFEITO!$Z$1904</f>
        <v>0</v>
      </c>
      <c r="O1904" s="76">
        <f>$L$1904-EFEITO!$O$1904*EFEITO!$AA$1904</f>
        <v>0</v>
      </c>
      <c r="P1904" s="18"/>
      <c r="Q1904" s="18"/>
      <c r="R1904" s="18"/>
      <c r="S1904" s="18"/>
      <c r="T1904" s="18"/>
      <c r="U1904" s="18"/>
      <c r="V1904" s="18"/>
      <c r="W1904" s="18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</row>
    <row r="1905" spans="1:36" ht="11.25" customHeight="1" x14ac:dyDescent="0.2">
      <c r="A1905" s="62" t="s">
        <v>28</v>
      </c>
      <c r="B1905" s="62" t="s">
        <v>37</v>
      </c>
      <c r="C1905" s="62" t="s">
        <v>23</v>
      </c>
      <c r="D1905" s="62" t="s">
        <v>53</v>
      </c>
      <c r="E1905" s="62" t="s">
        <v>25</v>
      </c>
      <c r="F1905" s="62" t="s">
        <v>25</v>
      </c>
      <c r="G1905" s="62" t="s">
        <v>25</v>
      </c>
      <c r="H1905" s="62" t="s">
        <v>25</v>
      </c>
      <c r="I1905" s="75">
        <v>44652</v>
      </c>
      <c r="J1905" s="76">
        <f>EFEITO!$J$1905*EFEITO!$Y$1905</f>
        <v>0</v>
      </c>
      <c r="K1905" s="76">
        <f ca="1">EFEITO!$L$1905*EFEITO!$Z$1905</f>
        <v>11314.476195131019</v>
      </c>
      <c r="L1905" s="76">
        <f>EFEITO!$N$1905*EFEITO!$AA$1905</f>
        <v>8538.756524850558</v>
      </c>
      <c r="M1905" s="76">
        <f>$J$1905-EFEITO!$K$1905*EFEITO!$Y$1905</f>
        <v>0</v>
      </c>
      <c r="N1905" s="76">
        <f ca="1">$K$1905-EFEITO!$M$1905*EFEITO!$Z$1905</f>
        <v>0</v>
      </c>
      <c r="O1905" s="76">
        <f>$L$1905-EFEITO!$O$1905*EFEITO!$AA$1905</f>
        <v>0</v>
      </c>
      <c r="P1905" s="18"/>
      <c r="Q1905" s="18"/>
      <c r="R1905" s="18"/>
      <c r="S1905" s="18"/>
      <c r="T1905" s="18"/>
      <c r="U1905" s="18"/>
      <c r="V1905" s="18"/>
      <c r="W1905" s="18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</row>
    <row r="1906" spans="1:36" ht="11.25" customHeight="1" x14ac:dyDescent="0.2">
      <c r="A1906" s="62" t="s">
        <v>58</v>
      </c>
      <c r="B1906" s="62" t="s">
        <v>37</v>
      </c>
      <c r="C1906" s="62" t="s">
        <v>23</v>
      </c>
      <c r="D1906" s="62" t="s">
        <v>53</v>
      </c>
      <c r="E1906" s="62" t="s">
        <v>25</v>
      </c>
      <c r="F1906" s="62" t="s">
        <v>25</v>
      </c>
      <c r="G1906" s="62" t="s">
        <v>25</v>
      </c>
      <c r="H1906" s="62" t="s">
        <v>25</v>
      </c>
      <c r="I1906" s="75">
        <v>44682</v>
      </c>
      <c r="J1906" s="76">
        <f>EFEITO!$J$1906*EFEITO!$Y$1906</f>
        <v>0</v>
      </c>
      <c r="K1906" s="76">
        <f ca="1">EFEITO!$L$1906*EFEITO!$Z$1906</f>
        <v>8923.0788368719732</v>
      </c>
      <c r="L1906" s="76">
        <f>EFEITO!$N$1906*EFEITO!$AA$1906</f>
        <v>6734.0278353216499</v>
      </c>
      <c r="M1906" s="76">
        <f>$J$1906-EFEITO!$K$1906*EFEITO!$Y$1906</f>
        <v>0</v>
      </c>
      <c r="N1906" s="76">
        <f ca="1">$K$1906-EFEITO!$M$1906*EFEITO!$Z$1906</f>
        <v>0</v>
      </c>
      <c r="O1906" s="76">
        <f>$L$1906-EFEITO!$O$1906*EFEITO!$AA$1906</f>
        <v>0</v>
      </c>
      <c r="P1906" s="18"/>
      <c r="Q1906" s="18"/>
      <c r="R1906" s="18"/>
      <c r="S1906" s="18"/>
      <c r="T1906" s="18"/>
      <c r="U1906" s="18"/>
      <c r="V1906" s="18"/>
      <c r="W1906" s="18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</row>
    <row r="1907" spans="1:36" ht="11.25" customHeight="1" x14ac:dyDescent="0.2">
      <c r="A1907" s="62" t="s">
        <v>58</v>
      </c>
      <c r="B1907" s="62" t="s">
        <v>37</v>
      </c>
      <c r="C1907" s="62" t="s">
        <v>23</v>
      </c>
      <c r="D1907" s="62" t="s">
        <v>53</v>
      </c>
      <c r="E1907" s="62" t="s">
        <v>25</v>
      </c>
      <c r="F1907" s="62" t="s">
        <v>25</v>
      </c>
      <c r="G1907" s="62" t="s">
        <v>25</v>
      </c>
      <c r="H1907" s="62" t="s">
        <v>25</v>
      </c>
      <c r="I1907" s="75">
        <v>44682</v>
      </c>
      <c r="J1907" s="76">
        <f>EFEITO!$J$1907*EFEITO!$Y$1907</f>
        <v>0</v>
      </c>
      <c r="K1907" s="76">
        <f ca="1">EFEITO!$L$1907*EFEITO!$Z$1907</f>
        <v>11314.476195131019</v>
      </c>
      <c r="L1907" s="76">
        <f>EFEITO!$N$1907*EFEITO!$AA$1907</f>
        <v>8538.756524850558</v>
      </c>
      <c r="M1907" s="76">
        <f>$J$1907-EFEITO!$K$1907*EFEITO!$Y$1907</f>
        <v>0</v>
      </c>
      <c r="N1907" s="76">
        <f ca="1">$K$1907-EFEITO!$M$1907*EFEITO!$Z$1907</f>
        <v>0</v>
      </c>
      <c r="O1907" s="76">
        <f>$L$1907-EFEITO!$O$1907*EFEITO!$AA$1907</f>
        <v>0</v>
      </c>
      <c r="P1907" s="18"/>
      <c r="Q1907" s="18"/>
      <c r="R1907" s="18"/>
      <c r="S1907" s="18"/>
      <c r="T1907" s="18"/>
      <c r="U1907" s="18"/>
      <c r="V1907" s="18"/>
      <c r="W1907" s="18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</row>
    <row r="1908" spans="1:36" ht="11.25" customHeight="1" x14ac:dyDescent="0.2">
      <c r="A1908" s="62" t="s">
        <v>21</v>
      </c>
      <c r="B1908" s="62" t="s">
        <v>37</v>
      </c>
      <c r="C1908" s="62" t="s">
        <v>23</v>
      </c>
      <c r="D1908" s="62" t="s">
        <v>38</v>
      </c>
      <c r="E1908" s="62" t="s">
        <v>25</v>
      </c>
      <c r="F1908" s="62" t="s">
        <v>25</v>
      </c>
      <c r="G1908" s="62" t="s">
        <v>25</v>
      </c>
      <c r="H1908" s="62" t="s">
        <v>25</v>
      </c>
      <c r="I1908" s="75">
        <v>44348</v>
      </c>
      <c r="J1908" s="76">
        <f>EFEITO!$J$1908*EFEITO!$Y$1908</f>
        <v>0</v>
      </c>
      <c r="K1908" s="76">
        <f ca="1">EFEITO!$L$1908*EFEITO!$Z$1908</f>
        <v>853788.69643054926</v>
      </c>
      <c r="L1908" s="76">
        <f>EFEITO!$N$1908*EFEITO!$AA$1908</f>
        <v>644333.30158290931</v>
      </c>
      <c r="M1908" s="76">
        <f>$J$1908-EFEITO!$K$1908*EFEITO!$Y$1908</f>
        <v>0</v>
      </c>
      <c r="N1908" s="76">
        <f ca="1">$K$1908-EFEITO!$M$1908*EFEITO!$Z$1908</f>
        <v>0</v>
      </c>
      <c r="O1908" s="76">
        <f>$L$1908-EFEITO!$O$1908*EFEITO!$AA$1908</f>
        <v>0</v>
      </c>
      <c r="P1908" s="18"/>
      <c r="Q1908" s="18"/>
      <c r="R1908" s="18"/>
      <c r="S1908" s="18"/>
      <c r="T1908" s="18"/>
      <c r="U1908" s="18"/>
      <c r="V1908" s="18"/>
      <c r="W1908" s="18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</row>
    <row r="1909" spans="1:36" ht="11.25" customHeight="1" x14ac:dyDescent="0.2">
      <c r="A1909" s="62" t="s">
        <v>28</v>
      </c>
      <c r="B1909" s="62" t="s">
        <v>37</v>
      </c>
      <c r="C1909" s="62" t="s">
        <v>23</v>
      </c>
      <c r="D1909" s="62" t="s">
        <v>38</v>
      </c>
      <c r="E1909" s="62" t="s">
        <v>25</v>
      </c>
      <c r="F1909" s="62" t="s">
        <v>25</v>
      </c>
      <c r="G1909" s="62" t="s">
        <v>25</v>
      </c>
      <c r="H1909" s="62" t="s">
        <v>25</v>
      </c>
      <c r="I1909" s="75">
        <v>44348</v>
      </c>
      <c r="J1909" s="76">
        <f>EFEITO!$J$1909*EFEITO!$Y$1909</f>
        <v>0</v>
      </c>
      <c r="K1909" s="76">
        <f ca="1">EFEITO!$L$1909*EFEITO!$Z$1909</f>
        <v>99996.225937488824</v>
      </c>
      <c r="L1909" s="76">
        <f>EFEITO!$N$1909*EFEITO!$AA$1909</f>
        <v>75464.688948799885</v>
      </c>
      <c r="M1909" s="76">
        <f>$J$1909-EFEITO!$K$1909*EFEITO!$Y$1909</f>
        <v>0</v>
      </c>
      <c r="N1909" s="76">
        <f ca="1">$K$1909-EFEITO!$M$1909*EFEITO!$Z$1909</f>
        <v>0</v>
      </c>
      <c r="O1909" s="76">
        <f>$L$1909-EFEITO!$O$1909*EFEITO!$AA$1909</f>
        <v>0</v>
      </c>
      <c r="P1909" s="18"/>
      <c r="Q1909" s="18"/>
      <c r="R1909" s="18"/>
      <c r="S1909" s="18"/>
      <c r="T1909" s="18"/>
      <c r="U1909" s="18"/>
      <c r="V1909" s="18"/>
      <c r="W1909" s="18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</row>
    <row r="1910" spans="1:36" ht="11.25" customHeight="1" x14ac:dyDescent="0.2">
      <c r="A1910" s="62" t="s">
        <v>28</v>
      </c>
      <c r="B1910" s="62" t="s">
        <v>37</v>
      </c>
      <c r="C1910" s="62" t="s">
        <v>23</v>
      </c>
      <c r="D1910" s="62" t="s">
        <v>38</v>
      </c>
      <c r="E1910" s="62" t="s">
        <v>25</v>
      </c>
      <c r="F1910" s="62" t="s">
        <v>25</v>
      </c>
      <c r="G1910" s="62" t="s">
        <v>25</v>
      </c>
      <c r="H1910" s="62" t="s">
        <v>25</v>
      </c>
      <c r="I1910" s="75">
        <v>44348</v>
      </c>
      <c r="J1910" s="76">
        <f>EFEITO!$J$1910*EFEITO!$Y$1910</f>
        <v>0</v>
      </c>
      <c r="K1910" s="76">
        <f ca="1">EFEITO!$L$1910*EFEITO!$Z$1910</f>
        <v>-746.46540370131697</v>
      </c>
      <c r="L1910" s="76">
        <f>EFEITO!$N$1910*EFEITO!$AA$1910</f>
        <v>-563.33905578171721</v>
      </c>
      <c r="M1910" s="76">
        <f>$J$1910-EFEITO!$K$1910*EFEITO!$Y$1910</f>
        <v>0</v>
      </c>
      <c r="N1910" s="76">
        <f ca="1">$K$1910-EFEITO!$M$1910*EFEITO!$Z$1910</f>
        <v>0</v>
      </c>
      <c r="O1910" s="76">
        <f>$L$1910-EFEITO!$O$1910*EFEITO!$AA$1910</f>
        <v>0</v>
      </c>
      <c r="P1910" s="18"/>
      <c r="Q1910" s="18"/>
      <c r="R1910" s="18"/>
      <c r="S1910" s="18"/>
      <c r="T1910" s="18"/>
      <c r="U1910" s="18"/>
      <c r="V1910" s="18"/>
      <c r="W1910" s="18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</row>
    <row r="1911" spans="1:36" ht="11.25" customHeight="1" x14ac:dyDescent="0.2">
      <c r="A1911" s="62" t="s">
        <v>21</v>
      </c>
      <c r="B1911" s="62" t="s">
        <v>37</v>
      </c>
      <c r="C1911" s="62" t="s">
        <v>23</v>
      </c>
      <c r="D1911" s="62" t="s">
        <v>38</v>
      </c>
      <c r="E1911" s="62" t="s">
        <v>25</v>
      </c>
      <c r="F1911" s="62" t="s">
        <v>25</v>
      </c>
      <c r="G1911" s="62" t="s">
        <v>25</v>
      </c>
      <c r="H1911" s="62" t="s">
        <v>25</v>
      </c>
      <c r="I1911" s="75">
        <v>44378</v>
      </c>
      <c r="J1911" s="76">
        <f>EFEITO!$J$1911*EFEITO!$Y$1911</f>
        <v>0</v>
      </c>
      <c r="K1911" s="76">
        <f ca="1">EFEITO!$L$1911*EFEITO!$Z$1911</f>
        <v>869307.66412715998</v>
      </c>
      <c r="L1911" s="76">
        <f>EFEITO!$N$1911*EFEITO!$AA$1911</f>
        <v>656045.08429322194</v>
      </c>
      <c r="M1911" s="76">
        <f>$J$1911-EFEITO!$K$1911*EFEITO!$Y$1911</f>
        <v>0</v>
      </c>
      <c r="N1911" s="76">
        <f ca="1">$K$1911-EFEITO!$M$1911*EFEITO!$Z$1911</f>
        <v>0</v>
      </c>
      <c r="O1911" s="76">
        <f>$L$1911-EFEITO!$O$1911*EFEITO!$AA$1911</f>
        <v>0</v>
      </c>
      <c r="P1911" s="18"/>
      <c r="Q1911" s="18"/>
      <c r="R1911" s="18"/>
      <c r="S1911" s="18"/>
      <c r="T1911" s="18"/>
      <c r="U1911" s="18"/>
      <c r="V1911" s="18"/>
      <c r="W1911" s="18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</row>
    <row r="1912" spans="1:36" ht="11.25" customHeight="1" x14ac:dyDescent="0.2">
      <c r="A1912" s="62" t="s">
        <v>28</v>
      </c>
      <c r="B1912" s="62" t="s">
        <v>37</v>
      </c>
      <c r="C1912" s="62" t="s">
        <v>23</v>
      </c>
      <c r="D1912" s="62" t="s">
        <v>38</v>
      </c>
      <c r="E1912" s="62" t="s">
        <v>25</v>
      </c>
      <c r="F1912" s="62" t="s">
        <v>25</v>
      </c>
      <c r="G1912" s="62" t="s">
        <v>25</v>
      </c>
      <c r="H1912" s="62" t="s">
        <v>25</v>
      </c>
      <c r="I1912" s="75">
        <v>44378</v>
      </c>
      <c r="J1912" s="76">
        <f>EFEITO!$J$1912*EFEITO!$Y$1912</f>
        <v>0</v>
      </c>
      <c r="K1912" s="76">
        <f ca="1">EFEITO!$L$1912*EFEITO!$Z$1912</f>
        <v>97601.771084890453</v>
      </c>
      <c r="L1912" s="76">
        <f>EFEITO!$N$1912*EFEITO!$AA$1912</f>
        <v>73657.652843594871</v>
      </c>
      <c r="M1912" s="76">
        <f>$J$1912-EFEITO!$K$1912*EFEITO!$Y$1912</f>
        <v>0</v>
      </c>
      <c r="N1912" s="76">
        <f ca="1">$K$1912-EFEITO!$M$1912*EFEITO!$Z$1912</f>
        <v>0</v>
      </c>
      <c r="O1912" s="76">
        <f>$L$1912-EFEITO!$O$1912*EFEITO!$AA$1912</f>
        <v>0</v>
      </c>
      <c r="P1912" s="18"/>
      <c r="Q1912" s="18"/>
      <c r="R1912" s="18"/>
      <c r="S1912" s="18"/>
      <c r="T1912" s="18"/>
      <c r="U1912" s="18"/>
      <c r="V1912" s="18"/>
      <c r="W1912" s="18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</row>
    <row r="1913" spans="1:36" ht="11.25" customHeight="1" x14ac:dyDescent="0.2">
      <c r="A1913" s="62" t="s">
        <v>21</v>
      </c>
      <c r="B1913" s="62" t="s">
        <v>37</v>
      </c>
      <c r="C1913" s="62" t="s">
        <v>23</v>
      </c>
      <c r="D1913" s="62" t="s">
        <v>38</v>
      </c>
      <c r="E1913" s="62" t="s">
        <v>25</v>
      </c>
      <c r="F1913" s="62" t="s">
        <v>25</v>
      </c>
      <c r="G1913" s="62" t="s">
        <v>25</v>
      </c>
      <c r="H1913" s="62" t="s">
        <v>25</v>
      </c>
      <c r="I1913" s="75">
        <v>44409</v>
      </c>
      <c r="J1913" s="76">
        <f>EFEITO!$J$1913*EFEITO!$Y$1913</f>
        <v>0</v>
      </c>
      <c r="K1913" s="76">
        <f ca="1">EFEITO!$L$1913*EFEITO!$Z$1913</f>
        <v>940498.79910894705</v>
      </c>
      <c r="L1913" s="76">
        <f>EFEITO!$N$1913*EFEITO!$AA$1913</f>
        <v>709771.28052657866</v>
      </c>
      <c r="M1913" s="76">
        <f>$J$1913-EFEITO!$K$1913*EFEITO!$Y$1913</f>
        <v>0</v>
      </c>
      <c r="N1913" s="76">
        <f ca="1">$K$1913-EFEITO!$M$1913*EFEITO!$Z$1913</f>
        <v>0</v>
      </c>
      <c r="O1913" s="76">
        <f>$L$1913-EFEITO!$O$1913*EFEITO!$AA$1913</f>
        <v>0</v>
      </c>
      <c r="P1913" s="18"/>
      <c r="Q1913" s="18"/>
      <c r="R1913" s="18"/>
      <c r="S1913" s="18"/>
      <c r="T1913" s="18"/>
      <c r="U1913" s="18"/>
      <c r="V1913" s="18"/>
      <c r="W1913" s="18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</row>
    <row r="1914" spans="1:36" ht="11.25" customHeight="1" x14ac:dyDescent="0.2">
      <c r="A1914" s="62" t="s">
        <v>27</v>
      </c>
      <c r="B1914" s="62" t="s">
        <v>37</v>
      </c>
      <c r="C1914" s="62" t="s">
        <v>23</v>
      </c>
      <c r="D1914" s="62" t="s">
        <v>38</v>
      </c>
      <c r="E1914" s="62" t="s">
        <v>25</v>
      </c>
      <c r="F1914" s="62" t="s">
        <v>25</v>
      </c>
      <c r="G1914" s="62" t="s">
        <v>25</v>
      </c>
      <c r="H1914" s="62" t="s">
        <v>25</v>
      </c>
      <c r="I1914" s="75">
        <v>44409</v>
      </c>
      <c r="J1914" s="76">
        <f>EFEITO!$J$1914*EFEITO!$Y$1914</f>
        <v>0</v>
      </c>
      <c r="K1914" s="76">
        <f ca="1">EFEITO!$L$1914*EFEITO!$Z$1914</f>
        <v>-839.50058859797025</v>
      </c>
      <c r="L1914" s="76">
        <f>EFEITO!$N$1914*EFEITO!$AA$1914</f>
        <v>-633.55041849763631</v>
      </c>
      <c r="M1914" s="76">
        <f>$J$1914-EFEITO!$K$1914*EFEITO!$Y$1914</f>
        <v>0</v>
      </c>
      <c r="N1914" s="76">
        <f ca="1">$K$1914-EFEITO!$M$1914*EFEITO!$Z$1914</f>
        <v>0</v>
      </c>
      <c r="O1914" s="76">
        <f>$L$1914-EFEITO!$O$1914*EFEITO!$AA$1914</f>
        <v>0</v>
      </c>
      <c r="P1914" s="18"/>
      <c r="Q1914" s="18"/>
      <c r="R1914" s="18"/>
      <c r="S1914" s="18"/>
      <c r="T1914" s="18"/>
      <c r="U1914" s="18"/>
      <c r="V1914" s="18"/>
      <c r="W1914" s="18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</row>
    <row r="1915" spans="1:36" ht="11.25" customHeight="1" x14ac:dyDescent="0.2">
      <c r="A1915" s="62" t="s">
        <v>28</v>
      </c>
      <c r="B1915" s="62" t="s">
        <v>37</v>
      </c>
      <c r="C1915" s="62" t="s">
        <v>23</v>
      </c>
      <c r="D1915" s="62" t="s">
        <v>38</v>
      </c>
      <c r="E1915" s="62" t="s">
        <v>25</v>
      </c>
      <c r="F1915" s="62" t="s">
        <v>25</v>
      </c>
      <c r="G1915" s="62" t="s">
        <v>25</v>
      </c>
      <c r="H1915" s="62" t="s">
        <v>25</v>
      </c>
      <c r="I1915" s="75">
        <v>44409</v>
      </c>
      <c r="J1915" s="76">
        <f>EFEITO!$J$1915*EFEITO!$Y$1915</f>
        <v>0</v>
      </c>
      <c r="K1915" s="76">
        <f ca="1">EFEITO!$L$1915*EFEITO!$Z$1915</f>
        <v>108116.05733292912</v>
      </c>
      <c r="L1915" s="76">
        <f>EFEITO!$N$1915*EFEITO!$AA$1915</f>
        <v>81592.525722926337</v>
      </c>
      <c r="M1915" s="76">
        <f>$J$1915-EFEITO!$K$1915*EFEITO!$Y$1915</f>
        <v>0</v>
      </c>
      <c r="N1915" s="76">
        <f ca="1">$K$1915-EFEITO!$M$1915*EFEITO!$Z$1915</f>
        <v>0</v>
      </c>
      <c r="O1915" s="76">
        <f>$L$1915-EFEITO!$O$1915*EFEITO!$AA$1915</f>
        <v>0</v>
      </c>
      <c r="P1915" s="18"/>
      <c r="Q1915" s="18"/>
      <c r="R1915" s="18"/>
      <c r="S1915" s="18"/>
      <c r="T1915" s="18"/>
      <c r="U1915" s="18"/>
      <c r="V1915" s="18"/>
      <c r="W1915" s="18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</row>
    <row r="1916" spans="1:36" ht="11.25" customHeight="1" x14ac:dyDescent="0.2">
      <c r="A1916" s="62" t="s">
        <v>21</v>
      </c>
      <c r="B1916" s="62" t="s">
        <v>37</v>
      </c>
      <c r="C1916" s="62" t="s">
        <v>23</v>
      </c>
      <c r="D1916" s="62" t="s">
        <v>38</v>
      </c>
      <c r="E1916" s="62" t="s">
        <v>25</v>
      </c>
      <c r="F1916" s="62" t="s">
        <v>25</v>
      </c>
      <c r="G1916" s="62" t="s">
        <v>25</v>
      </c>
      <c r="H1916" s="62" t="s">
        <v>25</v>
      </c>
      <c r="I1916" s="75">
        <v>44440</v>
      </c>
      <c r="J1916" s="76">
        <f>EFEITO!$J$1916*EFEITO!$Y$1916</f>
        <v>0</v>
      </c>
      <c r="K1916" s="76">
        <f ca="1">EFEITO!$L$1916*EFEITO!$Z$1916</f>
        <v>961857.14420876605</v>
      </c>
      <c r="L1916" s="76">
        <f>EFEITO!$N$1916*EFEITO!$AA$1916</f>
        <v>725889.8975474505</v>
      </c>
      <c r="M1916" s="76">
        <f>$J$1916-EFEITO!$K$1916*EFEITO!$Y$1916</f>
        <v>0</v>
      </c>
      <c r="N1916" s="76">
        <f ca="1">$K$1916-EFEITO!$M$1916*EFEITO!$Z$1916</f>
        <v>0</v>
      </c>
      <c r="O1916" s="76">
        <f>$L$1916-EFEITO!$O$1916*EFEITO!$AA$1916</f>
        <v>0</v>
      </c>
      <c r="P1916" s="18"/>
      <c r="Q1916" s="18"/>
      <c r="R1916" s="18"/>
      <c r="S1916" s="18"/>
      <c r="T1916" s="18"/>
      <c r="U1916" s="18"/>
      <c r="V1916" s="18"/>
      <c r="W1916" s="18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</row>
    <row r="1917" spans="1:36" ht="11.25" customHeight="1" x14ac:dyDescent="0.2">
      <c r="A1917" s="62" t="s">
        <v>27</v>
      </c>
      <c r="B1917" s="62" t="s">
        <v>37</v>
      </c>
      <c r="C1917" s="62" t="s">
        <v>23</v>
      </c>
      <c r="D1917" s="62" t="s">
        <v>38</v>
      </c>
      <c r="E1917" s="62" t="s">
        <v>25</v>
      </c>
      <c r="F1917" s="62" t="s">
        <v>25</v>
      </c>
      <c r="G1917" s="62" t="s">
        <v>25</v>
      </c>
      <c r="H1917" s="62" t="s">
        <v>25</v>
      </c>
      <c r="I1917" s="75">
        <v>44440</v>
      </c>
      <c r="J1917" s="76">
        <f>EFEITO!$J$1917*EFEITO!$Y$1917</f>
        <v>0</v>
      </c>
      <c r="K1917" s="76">
        <f ca="1">EFEITO!$L$1917*EFEITO!$Z$1917</f>
        <v>-5967.3553805543552</v>
      </c>
      <c r="L1917" s="76">
        <f>EFEITO!$N$1917*EFEITO!$AA$1917</f>
        <v>-4503.4161381450094</v>
      </c>
      <c r="M1917" s="76">
        <f>$J$1917-EFEITO!$K$1917*EFEITO!$Y$1917</f>
        <v>0</v>
      </c>
      <c r="N1917" s="76">
        <f ca="1">$K$1917-EFEITO!$M$1917*EFEITO!$Z$1917</f>
        <v>0</v>
      </c>
      <c r="O1917" s="76">
        <f>$L$1917-EFEITO!$O$1917*EFEITO!$AA$1917</f>
        <v>0</v>
      </c>
      <c r="P1917" s="18"/>
      <c r="Q1917" s="18"/>
      <c r="R1917" s="18"/>
      <c r="S1917" s="18"/>
      <c r="T1917" s="18"/>
      <c r="U1917" s="18"/>
      <c r="V1917" s="18"/>
      <c r="W1917" s="18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</row>
    <row r="1918" spans="1:36" ht="11.25" customHeight="1" x14ac:dyDescent="0.2">
      <c r="A1918" s="62" t="s">
        <v>28</v>
      </c>
      <c r="B1918" s="62" t="s">
        <v>37</v>
      </c>
      <c r="C1918" s="62" t="s">
        <v>23</v>
      </c>
      <c r="D1918" s="62" t="s">
        <v>38</v>
      </c>
      <c r="E1918" s="62" t="s">
        <v>25</v>
      </c>
      <c r="F1918" s="62" t="s">
        <v>25</v>
      </c>
      <c r="G1918" s="62" t="s">
        <v>25</v>
      </c>
      <c r="H1918" s="62" t="s">
        <v>25</v>
      </c>
      <c r="I1918" s="75">
        <v>44440</v>
      </c>
      <c r="J1918" s="76">
        <f>EFEITO!$J$1918*EFEITO!$Y$1918</f>
        <v>0</v>
      </c>
      <c r="K1918" s="76">
        <f ca="1">EFEITO!$L$1918*EFEITO!$Z$1918</f>
        <v>128048.29971590507</v>
      </c>
      <c r="L1918" s="76">
        <f>EFEITO!$N$1918*EFEITO!$AA$1918</f>
        <v>96634.898146298423</v>
      </c>
      <c r="M1918" s="76">
        <f>$J$1918-EFEITO!$K$1918*EFEITO!$Y$1918</f>
        <v>0</v>
      </c>
      <c r="N1918" s="76">
        <f ca="1">$K$1918-EFEITO!$M$1918*EFEITO!$Z$1918</f>
        <v>0</v>
      </c>
      <c r="O1918" s="76">
        <f>$L$1918-EFEITO!$O$1918*EFEITO!$AA$1918</f>
        <v>0</v>
      </c>
      <c r="P1918" s="18"/>
      <c r="Q1918" s="18"/>
      <c r="R1918" s="18"/>
      <c r="S1918" s="18"/>
      <c r="T1918" s="18"/>
      <c r="U1918" s="18"/>
      <c r="V1918" s="18"/>
      <c r="W1918" s="18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</row>
    <row r="1919" spans="1:36" ht="11.25" customHeight="1" x14ac:dyDescent="0.2">
      <c r="A1919" s="62" t="s">
        <v>28</v>
      </c>
      <c r="B1919" s="62" t="s">
        <v>37</v>
      </c>
      <c r="C1919" s="62" t="s">
        <v>23</v>
      </c>
      <c r="D1919" s="62" t="s">
        <v>38</v>
      </c>
      <c r="E1919" s="62" t="s">
        <v>25</v>
      </c>
      <c r="F1919" s="62" t="s">
        <v>25</v>
      </c>
      <c r="G1919" s="62" t="s">
        <v>25</v>
      </c>
      <c r="H1919" s="62" t="s">
        <v>25</v>
      </c>
      <c r="I1919" s="75">
        <v>44440</v>
      </c>
      <c r="J1919" s="76">
        <f>EFEITO!$J$1919*EFEITO!$Y$1919</f>
        <v>0</v>
      </c>
      <c r="K1919" s="76">
        <f ca="1">EFEITO!$L$1919*EFEITO!$Z$1919</f>
        <v>-673.95910936871383</v>
      </c>
      <c r="L1919" s="76">
        <f>EFEITO!$N$1919*EFEITO!$AA$1919</f>
        <v>-508.62034117682248</v>
      </c>
      <c r="M1919" s="76">
        <f>$J$1919-EFEITO!$K$1919*EFEITO!$Y$1919</f>
        <v>0</v>
      </c>
      <c r="N1919" s="76">
        <f ca="1">$K$1919-EFEITO!$M$1919*EFEITO!$Z$1919</f>
        <v>0</v>
      </c>
      <c r="O1919" s="76">
        <f>$L$1919-EFEITO!$O$1919*EFEITO!$AA$1919</f>
        <v>0</v>
      </c>
      <c r="P1919" s="18"/>
      <c r="Q1919" s="18"/>
      <c r="R1919" s="18"/>
      <c r="S1919" s="18"/>
      <c r="T1919" s="18"/>
      <c r="U1919" s="18"/>
      <c r="V1919" s="18"/>
      <c r="W1919" s="18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</row>
    <row r="1920" spans="1:36" ht="11.25" customHeight="1" x14ac:dyDescent="0.2">
      <c r="A1920" s="62" t="s">
        <v>21</v>
      </c>
      <c r="B1920" s="62" t="s">
        <v>37</v>
      </c>
      <c r="C1920" s="62" t="s">
        <v>23</v>
      </c>
      <c r="D1920" s="62" t="s">
        <v>38</v>
      </c>
      <c r="E1920" s="62" t="s">
        <v>25</v>
      </c>
      <c r="F1920" s="62" t="s">
        <v>25</v>
      </c>
      <c r="G1920" s="62" t="s">
        <v>25</v>
      </c>
      <c r="H1920" s="62" t="s">
        <v>25</v>
      </c>
      <c r="I1920" s="75">
        <v>44470</v>
      </c>
      <c r="J1920" s="76">
        <f>EFEITO!$J$1920*EFEITO!$Y$1920</f>
        <v>0</v>
      </c>
      <c r="K1920" s="76">
        <f ca="1">EFEITO!$L$1920*EFEITO!$Z$1920</f>
        <v>910680.36717221118</v>
      </c>
      <c r="L1920" s="76">
        <f>EFEITO!$N$1920*EFEITO!$AA$1920</f>
        <v>687268.04432991019</v>
      </c>
      <c r="M1920" s="76">
        <f>$J$1920-EFEITO!$K$1920*EFEITO!$Y$1920</f>
        <v>0</v>
      </c>
      <c r="N1920" s="76">
        <f ca="1">$K$1920-EFEITO!$M$1920*EFEITO!$Z$1920</f>
        <v>0</v>
      </c>
      <c r="O1920" s="76">
        <f>$L$1920-EFEITO!$O$1920*EFEITO!$AA$1920</f>
        <v>0</v>
      </c>
      <c r="P1920" s="18"/>
      <c r="Q1920" s="18"/>
      <c r="R1920" s="18"/>
      <c r="S1920" s="18"/>
      <c r="T1920" s="18"/>
      <c r="U1920" s="18"/>
      <c r="V1920" s="18"/>
      <c r="W1920" s="18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</row>
    <row r="1921" spans="1:36" ht="11.25" customHeight="1" x14ac:dyDescent="0.2">
      <c r="A1921" s="62" t="s">
        <v>27</v>
      </c>
      <c r="B1921" s="62" t="s">
        <v>37</v>
      </c>
      <c r="C1921" s="62" t="s">
        <v>23</v>
      </c>
      <c r="D1921" s="62" t="s">
        <v>38</v>
      </c>
      <c r="E1921" s="62" t="s">
        <v>25</v>
      </c>
      <c r="F1921" s="62" t="s">
        <v>25</v>
      </c>
      <c r="G1921" s="62" t="s">
        <v>25</v>
      </c>
      <c r="H1921" s="62" t="s">
        <v>25</v>
      </c>
      <c r="I1921" s="75">
        <v>44470</v>
      </c>
      <c r="J1921" s="76">
        <f>EFEITO!$J$1921*EFEITO!$Y$1921</f>
        <v>0</v>
      </c>
      <c r="K1921" s="76">
        <f ca="1">EFEITO!$L$1921*EFEITO!$Z$1921</f>
        <v>-222.76030186522624</v>
      </c>
      <c r="L1921" s="76">
        <f>EFEITO!$N$1921*EFEITO!$AA$1921</f>
        <v>-168.11171354515844</v>
      </c>
      <c r="M1921" s="76">
        <f>$J$1921-EFEITO!$K$1921*EFEITO!$Y$1921</f>
        <v>0</v>
      </c>
      <c r="N1921" s="76">
        <f ca="1">$K$1921-EFEITO!$M$1921*EFEITO!$Z$1921</f>
        <v>0</v>
      </c>
      <c r="O1921" s="76">
        <f>$L$1921-EFEITO!$O$1921*EFEITO!$AA$1921</f>
        <v>0</v>
      </c>
      <c r="P1921" s="18"/>
      <c r="Q1921" s="18"/>
      <c r="R1921" s="18"/>
      <c r="S1921" s="18"/>
      <c r="T1921" s="18"/>
      <c r="U1921" s="18"/>
      <c r="V1921" s="18"/>
      <c r="W1921" s="18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</row>
    <row r="1922" spans="1:36" ht="11.25" customHeight="1" x14ac:dyDescent="0.2">
      <c r="A1922" s="62" t="s">
        <v>28</v>
      </c>
      <c r="B1922" s="62" t="s">
        <v>37</v>
      </c>
      <c r="C1922" s="62" t="s">
        <v>23</v>
      </c>
      <c r="D1922" s="62" t="s">
        <v>38</v>
      </c>
      <c r="E1922" s="62" t="s">
        <v>25</v>
      </c>
      <c r="F1922" s="62" t="s">
        <v>25</v>
      </c>
      <c r="G1922" s="62" t="s">
        <v>25</v>
      </c>
      <c r="H1922" s="62" t="s">
        <v>25</v>
      </c>
      <c r="I1922" s="75">
        <v>44470</v>
      </c>
      <c r="J1922" s="76">
        <f>EFEITO!$J$1922*EFEITO!$Y$1922</f>
        <v>0</v>
      </c>
      <c r="K1922" s="76">
        <f ca="1">EFEITO!$L$1922*EFEITO!$Z$1922</f>
        <v>136345.02899812072</v>
      </c>
      <c r="L1922" s="76">
        <f>EFEITO!$N$1922*EFEITO!$AA$1922</f>
        <v>102896.23539882839</v>
      </c>
      <c r="M1922" s="76">
        <f>$J$1922-EFEITO!$K$1922*EFEITO!$Y$1922</f>
        <v>0</v>
      </c>
      <c r="N1922" s="76">
        <f ca="1">$K$1922-EFEITO!$M$1922*EFEITO!$Z$1922</f>
        <v>0</v>
      </c>
      <c r="O1922" s="76">
        <f>$L$1922-EFEITO!$O$1922*EFEITO!$AA$1922</f>
        <v>0</v>
      </c>
      <c r="P1922" s="18"/>
      <c r="Q1922" s="18"/>
      <c r="R1922" s="18"/>
      <c r="S1922" s="18"/>
      <c r="T1922" s="18"/>
      <c r="U1922" s="18"/>
      <c r="V1922" s="18"/>
      <c r="W1922" s="18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</row>
    <row r="1923" spans="1:36" ht="11.25" customHeight="1" x14ac:dyDescent="0.2">
      <c r="A1923" s="62" t="s">
        <v>21</v>
      </c>
      <c r="B1923" s="62" t="s">
        <v>37</v>
      </c>
      <c r="C1923" s="62" t="s">
        <v>23</v>
      </c>
      <c r="D1923" s="62" t="s">
        <v>38</v>
      </c>
      <c r="E1923" s="62" t="s">
        <v>25</v>
      </c>
      <c r="F1923" s="62" t="s">
        <v>25</v>
      </c>
      <c r="G1923" s="62" t="s">
        <v>25</v>
      </c>
      <c r="H1923" s="62" t="s">
        <v>25</v>
      </c>
      <c r="I1923" s="75">
        <v>44501</v>
      </c>
      <c r="J1923" s="76">
        <f>EFEITO!$J$1923*EFEITO!$Y$1923</f>
        <v>0</v>
      </c>
      <c r="K1923" s="76">
        <f ca="1">EFEITO!$L$1923*EFEITO!$Z$1923</f>
        <v>878056.90257159586</v>
      </c>
      <c r="L1923" s="76">
        <f>EFEITO!$N$1923*EFEITO!$AA$1923</f>
        <v>662647.91906581621</v>
      </c>
      <c r="M1923" s="76">
        <f>$J$1923-EFEITO!$K$1923*EFEITO!$Y$1923</f>
        <v>0</v>
      </c>
      <c r="N1923" s="76">
        <f ca="1">$K$1923-EFEITO!$M$1923*EFEITO!$Z$1923</f>
        <v>0</v>
      </c>
      <c r="O1923" s="76">
        <f>$L$1923-EFEITO!$O$1923*EFEITO!$AA$1923</f>
        <v>0</v>
      </c>
      <c r="P1923" s="18"/>
      <c r="Q1923" s="18"/>
      <c r="R1923" s="18"/>
      <c r="S1923" s="18"/>
      <c r="T1923" s="18"/>
      <c r="U1923" s="18"/>
      <c r="V1923" s="18"/>
      <c r="W1923" s="18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</row>
    <row r="1924" spans="1:36" ht="11.25" customHeight="1" x14ac:dyDescent="0.2">
      <c r="A1924" s="62" t="s">
        <v>27</v>
      </c>
      <c r="B1924" s="62" t="s">
        <v>37</v>
      </c>
      <c r="C1924" s="62" t="s">
        <v>23</v>
      </c>
      <c r="D1924" s="62" t="s">
        <v>38</v>
      </c>
      <c r="E1924" s="62" t="s">
        <v>25</v>
      </c>
      <c r="F1924" s="62" t="s">
        <v>25</v>
      </c>
      <c r="G1924" s="62" t="s">
        <v>25</v>
      </c>
      <c r="H1924" s="62" t="s">
        <v>25</v>
      </c>
      <c r="I1924" s="75">
        <v>44501</v>
      </c>
      <c r="J1924" s="76">
        <f>EFEITO!$J$1924*EFEITO!$Y$1924</f>
        <v>0</v>
      </c>
      <c r="K1924" s="76">
        <f ca="1">EFEITO!$L$1924*EFEITO!$Z$1924</f>
        <v>-98.713388669688484</v>
      </c>
      <c r="L1924" s="76">
        <f>EFEITO!$N$1924*EFEITO!$AA$1924</f>
        <v>-74.496563257266288</v>
      </c>
      <c r="M1924" s="76">
        <f>$J$1924-EFEITO!$K$1924*EFEITO!$Y$1924</f>
        <v>0</v>
      </c>
      <c r="N1924" s="76">
        <f ca="1">$K$1924-EFEITO!$M$1924*EFEITO!$Z$1924</f>
        <v>0</v>
      </c>
      <c r="O1924" s="76">
        <f>$L$1924-EFEITO!$O$1924*EFEITO!$AA$1924</f>
        <v>0</v>
      </c>
      <c r="P1924" s="18"/>
      <c r="Q1924" s="18"/>
      <c r="R1924" s="18"/>
      <c r="S1924" s="18"/>
      <c r="T1924" s="18"/>
      <c r="U1924" s="18"/>
      <c r="V1924" s="18"/>
      <c r="W1924" s="18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</row>
    <row r="1925" spans="1:36" ht="11.25" customHeight="1" x14ac:dyDescent="0.2">
      <c r="A1925" s="62" t="s">
        <v>28</v>
      </c>
      <c r="B1925" s="62" t="s">
        <v>37</v>
      </c>
      <c r="C1925" s="62" t="s">
        <v>23</v>
      </c>
      <c r="D1925" s="62" t="s">
        <v>38</v>
      </c>
      <c r="E1925" s="62" t="s">
        <v>25</v>
      </c>
      <c r="F1925" s="62" t="s">
        <v>25</v>
      </c>
      <c r="G1925" s="62" t="s">
        <v>25</v>
      </c>
      <c r="H1925" s="62" t="s">
        <v>25</v>
      </c>
      <c r="I1925" s="75">
        <v>44501</v>
      </c>
      <c r="J1925" s="76">
        <f>EFEITO!$J$1925*EFEITO!$Y$1925</f>
        <v>0</v>
      </c>
      <c r="K1925" s="76">
        <f ca="1">EFEITO!$L$1925*EFEITO!$Z$1925</f>
        <v>145232.291472732</v>
      </c>
      <c r="L1925" s="76">
        <f>EFEITO!$N$1925*EFEITO!$AA$1925</f>
        <v>109603.23350765846</v>
      </c>
      <c r="M1925" s="76">
        <f>$J$1925-EFEITO!$K$1925*EFEITO!$Y$1925</f>
        <v>0</v>
      </c>
      <c r="N1925" s="76">
        <f ca="1">$K$1925-EFEITO!$M$1925*EFEITO!$Z$1925</f>
        <v>0</v>
      </c>
      <c r="O1925" s="76">
        <f>$L$1925-EFEITO!$O$1925*EFEITO!$AA$1925</f>
        <v>0</v>
      </c>
      <c r="P1925" s="18"/>
      <c r="Q1925" s="18"/>
      <c r="R1925" s="18"/>
      <c r="S1925" s="18"/>
      <c r="T1925" s="18"/>
      <c r="U1925" s="18"/>
      <c r="V1925" s="18"/>
      <c r="W1925" s="18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</row>
    <row r="1926" spans="1:36" ht="11.25" customHeight="1" x14ac:dyDescent="0.2">
      <c r="A1926" s="62" t="s">
        <v>28</v>
      </c>
      <c r="B1926" s="62" t="s">
        <v>37</v>
      </c>
      <c r="C1926" s="62" t="s">
        <v>23</v>
      </c>
      <c r="D1926" s="62" t="s">
        <v>38</v>
      </c>
      <c r="E1926" s="62" t="s">
        <v>25</v>
      </c>
      <c r="F1926" s="62" t="s">
        <v>25</v>
      </c>
      <c r="G1926" s="62" t="s">
        <v>25</v>
      </c>
      <c r="H1926" s="62" t="s">
        <v>25</v>
      </c>
      <c r="I1926" s="75">
        <v>44501</v>
      </c>
      <c r="J1926" s="76">
        <f>EFEITO!$J$1926*EFEITO!$Y$1926</f>
        <v>0</v>
      </c>
      <c r="K1926" s="76">
        <f ca="1">EFEITO!$L$1926*EFEITO!$Z$1926</f>
        <v>-210.96710941353777</v>
      </c>
      <c r="L1926" s="76">
        <f>EFEITO!$N$1926*EFEITO!$AA$1926</f>
        <v>-159.21168165159122</v>
      </c>
      <c r="M1926" s="76">
        <f>$J$1926-EFEITO!$K$1926*EFEITO!$Y$1926</f>
        <v>0</v>
      </c>
      <c r="N1926" s="76">
        <f ca="1">$K$1926-EFEITO!$M$1926*EFEITO!$Z$1926</f>
        <v>0</v>
      </c>
      <c r="O1926" s="76">
        <f>$L$1926-EFEITO!$O$1926*EFEITO!$AA$1926</f>
        <v>0</v>
      </c>
      <c r="P1926" s="18"/>
      <c r="Q1926" s="18"/>
      <c r="R1926" s="18"/>
      <c r="S1926" s="18"/>
      <c r="T1926" s="18"/>
      <c r="U1926" s="18"/>
      <c r="V1926" s="18"/>
      <c r="W1926" s="18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</row>
    <row r="1927" spans="1:36" ht="11.25" customHeight="1" x14ac:dyDescent="0.2">
      <c r="A1927" s="62" t="s">
        <v>21</v>
      </c>
      <c r="B1927" s="62" t="s">
        <v>37</v>
      </c>
      <c r="C1927" s="62" t="s">
        <v>23</v>
      </c>
      <c r="D1927" s="62" t="s">
        <v>38</v>
      </c>
      <c r="E1927" s="62" t="s">
        <v>25</v>
      </c>
      <c r="F1927" s="62" t="s">
        <v>25</v>
      </c>
      <c r="G1927" s="62" t="s">
        <v>25</v>
      </c>
      <c r="H1927" s="62" t="s">
        <v>25</v>
      </c>
      <c r="I1927" s="75">
        <v>44531</v>
      </c>
      <c r="J1927" s="76">
        <f>EFEITO!$J$1927*EFEITO!$Y$1927</f>
        <v>0</v>
      </c>
      <c r="K1927" s="76">
        <f ca="1">EFEITO!$L$1927*EFEITO!$Z$1927</f>
        <v>923068.46066535136</v>
      </c>
      <c r="L1927" s="76">
        <f>EFEITO!$N$1927*EFEITO!$AA$1927</f>
        <v>696617.03338788613</v>
      </c>
      <c r="M1927" s="76">
        <f>$J$1927-EFEITO!$K$1927*EFEITO!$Y$1927</f>
        <v>0</v>
      </c>
      <c r="N1927" s="76">
        <f ca="1">$K$1927-EFEITO!$M$1927*EFEITO!$Z$1927</f>
        <v>0</v>
      </c>
      <c r="O1927" s="76">
        <f>$L$1927-EFEITO!$O$1927*EFEITO!$AA$1927</f>
        <v>0</v>
      </c>
      <c r="P1927" s="18"/>
      <c r="Q1927" s="18"/>
      <c r="R1927" s="18"/>
      <c r="S1927" s="18"/>
      <c r="T1927" s="18"/>
      <c r="U1927" s="18"/>
      <c r="V1927" s="18"/>
      <c r="W1927" s="18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</row>
    <row r="1928" spans="1:36" ht="11.25" customHeight="1" x14ac:dyDescent="0.2">
      <c r="A1928" s="62" t="s">
        <v>28</v>
      </c>
      <c r="B1928" s="62" t="s">
        <v>37</v>
      </c>
      <c r="C1928" s="62" t="s">
        <v>23</v>
      </c>
      <c r="D1928" s="62" t="s">
        <v>38</v>
      </c>
      <c r="E1928" s="62" t="s">
        <v>25</v>
      </c>
      <c r="F1928" s="62" t="s">
        <v>25</v>
      </c>
      <c r="G1928" s="62" t="s">
        <v>25</v>
      </c>
      <c r="H1928" s="62" t="s">
        <v>25</v>
      </c>
      <c r="I1928" s="75">
        <v>44531</v>
      </c>
      <c r="J1928" s="76">
        <f>EFEITO!$J$1928*EFEITO!$Y$1928</f>
        <v>0</v>
      </c>
      <c r="K1928" s="76">
        <f ca="1">EFEITO!$L$1928*EFEITO!$Z$1928</f>
        <v>150068.81073264111</v>
      </c>
      <c r="L1928" s="76">
        <f>EFEITO!$N$1928*EFEITO!$AA$1928</f>
        <v>113253.23547645364</v>
      </c>
      <c r="M1928" s="76">
        <f>$J$1928-EFEITO!$K$1928*EFEITO!$Y$1928</f>
        <v>0</v>
      </c>
      <c r="N1928" s="76">
        <f ca="1">$K$1928-EFEITO!$M$1928*EFEITO!$Z$1928</f>
        <v>0</v>
      </c>
      <c r="O1928" s="76">
        <f>$L$1928-EFEITO!$O$1928*EFEITO!$AA$1928</f>
        <v>0</v>
      </c>
      <c r="P1928" s="18"/>
      <c r="Q1928" s="18"/>
      <c r="R1928" s="18"/>
      <c r="S1928" s="18"/>
      <c r="T1928" s="18"/>
      <c r="U1928" s="18"/>
      <c r="V1928" s="18"/>
      <c r="W1928" s="18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</row>
    <row r="1929" spans="1:36" ht="11.25" customHeight="1" x14ac:dyDescent="0.2">
      <c r="A1929" s="62" t="s">
        <v>28</v>
      </c>
      <c r="B1929" s="62" t="s">
        <v>37</v>
      </c>
      <c r="C1929" s="62" t="s">
        <v>23</v>
      </c>
      <c r="D1929" s="62" t="s">
        <v>38</v>
      </c>
      <c r="E1929" s="62" t="s">
        <v>25</v>
      </c>
      <c r="F1929" s="62" t="s">
        <v>25</v>
      </c>
      <c r="G1929" s="62" t="s">
        <v>25</v>
      </c>
      <c r="H1929" s="62" t="s">
        <v>25</v>
      </c>
      <c r="I1929" s="75">
        <v>44531</v>
      </c>
      <c r="J1929" s="76">
        <f>EFEITO!$J$1929*EFEITO!$Y$1929</f>
        <v>0</v>
      </c>
      <c r="K1929" s="76">
        <f ca="1">EFEITO!$L$1929*EFEITO!$Z$1929</f>
        <v>-2590.1344903152776</v>
      </c>
      <c r="L1929" s="76">
        <f>EFEITO!$N$1929*EFEITO!$AA$1929</f>
        <v>-1954.7107084760578</v>
      </c>
      <c r="M1929" s="76">
        <f>$J$1929-EFEITO!$K$1929*EFEITO!$Y$1929</f>
        <v>0</v>
      </c>
      <c r="N1929" s="76">
        <f ca="1">$K$1929-EFEITO!$M$1929*EFEITO!$Z$1929</f>
        <v>0</v>
      </c>
      <c r="O1929" s="76">
        <f>$L$1929-EFEITO!$O$1929*EFEITO!$AA$1929</f>
        <v>0</v>
      </c>
      <c r="P1929" s="18"/>
      <c r="Q1929" s="18"/>
      <c r="R1929" s="18"/>
      <c r="S1929" s="18"/>
      <c r="T1929" s="18"/>
      <c r="U1929" s="18"/>
      <c r="V1929" s="18"/>
      <c r="W1929" s="18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</row>
    <row r="1930" spans="1:36" ht="11.25" customHeight="1" x14ac:dyDescent="0.2">
      <c r="A1930" s="62" t="s">
        <v>21</v>
      </c>
      <c r="B1930" s="62" t="s">
        <v>37</v>
      </c>
      <c r="C1930" s="62" t="s">
        <v>23</v>
      </c>
      <c r="D1930" s="62" t="s">
        <v>38</v>
      </c>
      <c r="E1930" s="62" t="s">
        <v>25</v>
      </c>
      <c r="F1930" s="62" t="s">
        <v>25</v>
      </c>
      <c r="G1930" s="62" t="s">
        <v>25</v>
      </c>
      <c r="H1930" s="62" t="s">
        <v>25</v>
      </c>
      <c r="I1930" s="75">
        <v>44562</v>
      </c>
      <c r="J1930" s="76">
        <f>EFEITO!$J$1930*EFEITO!$Y$1930</f>
        <v>0</v>
      </c>
      <c r="K1930" s="76">
        <f ca="1">EFEITO!$L$1930*EFEITO!$Z$1930</f>
        <v>790834.88798381388</v>
      </c>
      <c r="L1930" s="76">
        <f>EFEITO!$N$1930*EFEITO!$AA$1930</f>
        <v>596823.61281180405</v>
      </c>
      <c r="M1930" s="76">
        <f>$J$1930-EFEITO!$K$1930*EFEITO!$Y$1930</f>
        <v>0</v>
      </c>
      <c r="N1930" s="76">
        <f ca="1">$K$1930-EFEITO!$M$1930*EFEITO!$Z$1930</f>
        <v>0</v>
      </c>
      <c r="O1930" s="76">
        <f>$L$1930-EFEITO!$O$1930*EFEITO!$AA$1930</f>
        <v>0</v>
      </c>
      <c r="P1930" s="18"/>
      <c r="Q1930" s="18"/>
      <c r="R1930" s="18"/>
      <c r="S1930" s="18"/>
      <c r="T1930" s="18"/>
      <c r="U1930" s="18"/>
      <c r="V1930" s="18"/>
      <c r="W1930" s="18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</row>
    <row r="1931" spans="1:36" ht="11.25" customHeight="1" x14ac:dyDescent="0.2">
      <c r="A1931" s="62" t="s">
        <v>27</v>
      </c>
      <c r="B1931" s="62" t="s">
        <v>37</v>
      </c>
      <c r="C1931" s="62" t="s">
        <v>23</v>
      </c>
      <c r="D1931" s="62" t="s">
        <v>38</v>
      </c>
      <c r="E1931" s="62" t="s">
        <v>25</v>
      </c>
      <c r="F1931" s="62" t="s">
        <v>25</v>
      </c>
      <c r="G1931" s="62" t="s">
        <v>25</v>
      </c>
      <c r="H1931" s="62" t="s">
        <v>25</v>
      </c>
      <c r="I1931" s="75">
        <v>44562</v>
      </c>
      <c r="J1931" s="76">
        <f>EFEITO!$J$1931*EFEITO!$Y$1931</f>
        <v>0</v>
      </c>
      <c r="K1931" s="76">
        <f ca="1">EFEITO!$L$1931*EFEITO!$Z$1931</f>
        <v>-71299.457638380263</v>
      </c>
      <c r="L1931" s="76">
        <f>EFEITO!$N$1931*EFEITO!$AA$1931</f>
        <v>-53807.944674452992</v>
      </c>
      <c r="M1931" s="76">
        <f>$J$1931-EFEITO!$K$1931*EFEITO!$Y$1931</f>
        <v>0</v>
      </c>
      <c r="N1931" s="76">
        <f ca="1">$K$1931-EFEITO!$M$1931*EFEITO!$Z$1931</f>
        <v>0</v>
      </c>
      <c r="O1931" s="76">
        <f>$L$1931-EFEITO!$O$1931*EFEITO!$AA$1931</f>
        <v>0</v>
      </c>
      <c r="P1931" s="18"/>
      <c r="Q1931" s="18"/>
      <c r="R1931" s="18"/>
      <c r="S1931" s="18"/>
      <c r="T1931" s="18"/>
      <c r="U1931" s="18"/>
      <c r="V1931" s="18"/>
      <c r="W1931" s="18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</row>
    <row r="1932" spans="1:36" ht="11.25" customHeight="1" x14ac:dyDescent="0.2">
      <c r="A1932" s="62" t="s">
        <v>28</v>
      </c>
      <c r="B1932" s="62" t="s">
        <v>37</v>
      </c>
      <c r="C1932" s="62" t="s">
        <v>23</v>
      </c>
      <c r="D1932" s="62" t="s">
        <v>38</v>
      </c>
      <c r="E1932" s="62" t="s">
        <v>25</v>
      </c>
      <c r="F1932" s="62" t="s">
        <v>25</v>
      </c>
      <c r="G1932" s="62" t="s">
        <v>25</v>
      </c>
      <c r="H1932" s="62" t="s">
        <v>25</v>
      </c>
      <c r="I1932" s="75">
        <v>44562</v>
      </c>
      <c r="J1932" s="76">
        <f>EFEITO!$J$1932*EFEITO!$Y$1932</f>
        <v>0</v>
      </c>
      <c r="K1932" s="76">
        <f ca="1">EFEITO!$L$1932*EFEITO!$Z$1932</f>
        <v>128818.35150450976</v>
      </c>
      <c r="L1932" s="76">
        <f>EFEITO!$N$1932*EFEITO!$AA$1932</f>
        <v>97216.037265867257</v>
      </c>
      <c r="M1932" s="76">
        <f>$J$1932-EFEITO!$K$1932*EFEITO!$Y$1932</f>
        <v>0</v>
      </c>
      <c r="N1932" s="76">
        <f ca="1">$K$1932-EFEITO!$M$1932*EFEITO!$Z$1932</f>
        <v>0</v>
      </c>
      <c r="O1932" s="76">
        <f>$L$1932-EFEITO!$O$1932*EFEITO!$AA$1932</f>
        <v>0</v>
      </c>
      <c r="P1932" s="18"/>
      <c r="Q1932" s="18"/>
      <c r="R1932" s="18"/>
      <c r="S1932" s="18"/>
      <c r="T1932" s="18"/>
      <c r="U1932" s="18"/>
      <c r="V1932" s="18"/>
      <c r="W1932" s="18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</row>
    <row r="1933" spans="1:36" ht="11.25" customHeight="1" x14ac:dyDescent="0.2">
      <c r="A1933" s="62" t="s">
        <v>28</v>
      </c>
      <c r="B1933" s="62" t="s">
        <v>37</v>
      </c>
      <c r="C1933" s="62" t="s">
        <v>23</v>
      </c>
      <c r="D1933" s="62" t="s">
        <v>38</v>
      </c>
      <c r="E1933" s="62" t="s">
        <v>25</v>
      </c>
      <c r="F1933" s="62" t="s">
        <v>25</v>
      </c>
      <c r="G1933" s="62" t="s">
        <v>25</v>
      </c>
      <c r="H1933" s="62" t="s">
        <v>25</v>
      </c>
      <c r="I1933" s="75">
        <v>44562</v>
      </c>
      <c r="J1933" s="76">
        <f>EFEITO!$J$1933*EFEITO!$Y$1933</f>
        <v>0</v>
      </c>
      <c r="K1933" s="76">
        <f ca="1">EFEITO!$L$1933*EFEITO!$Z$1933</f>
        <v>-21.839245280904535</v>
      </c>
      <c r="L1933" s="76">
        <f>EFEITO!$N$1933*EFEITO!$AA$1933</f>
        <v>-16.481540543642986</v>
      </c>
      <c r="M1933" s="76">
        <f>$J$1933-EFEITO!$K$1933*EFEITO!$Y$1933</f>
        <v>0</v>
      </c>
      <c r="N1933" s="76">
        <f ca="1">$K$1933-EFEITO!$M$1933*EFEITO!$Z$1933</f>
        <v>0</v>
      </c>
      <c r="O1933" s="76">
        <f>$L$1933-EFEITO!$O$1933*EFEITO!$AA$1933</f>
        <v>0</v>
      </c>
      <c r="P1933" s="18"/>
      <c r="Q1933" s="18"/>
      <c r="R1933" s="18"/>
      <c r="S1933" s="18"/>
      <c r="T1933" s="18"/>
      <c r="U1933" s="18"/>
      <c r="V1933" s="18"/>
      <c r="W1933" s="18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</row>
    <row r="1934" spans="1:36" ht="11.25" customHeight="1" x14ac:dyDescent="0.2">
      <c r="A1934" s="62" t="s">
        <v>21</v>
      </c>
      <c r="B1934" s="62" t="s">
        <v>37</v>
      </c>
      <c r="C1934" s="62" t="s">
        <v>23</v>
      </c>
      <c r="D1934" s="62" t="s">
        <v>38</v>
      </c>
      <c r="E1934" s="62" t="s">
        <v>25</v>
      </c>
      <c r="F1934" s="62" t="s">
        <v>25</v>
      </c>
      <c r="G1934" s="62" t="s">
        <v>25</v>
      </c>
      <c r="H1934" s="62" t="s">
        <v>25</v>
      </c>
      <c r="I1934" s="75">
        <v>44593</v>
      </c>
      <c r="J1934" s="76">
        <f>EFEITO!$J$1934*EFEITO!$Y$1934</f>
        <v>0</v>
      </c>
      <c r="K1934" s="76">
        <f ca="1">EFEITO!$L$1934*EFEITO!$Z$1934</f>
        <v>849990.41489129432</v>
      </c>
      <c r="L1934" s="76">
        <f>EFEITO!$N$1934*EFEITO!$AA$1934</f>
        <v>641466.83205155889</v>
      </c>
      <c r="M1934" s="76">
        <f>$J$1934-EFEITO!$K$1934*EFEITO!$Y$1934</f>
        <v>0</v>
      </c>
      <c r="N1934" s="76">
        <f ca="1">$K$1934-EFEITO!$M$1934*EFEITO!$Z$1934</f>
        <v>0</v>
      </c>
      <c r="O1934" s="76">
        <f>$L$1934-EFEITO!$O$1934*EFEITO!$AA$1934</f>
        <v>0</v>
      </c>
      <c r="P1934" s="18"/>
      <c r="Q1934" s="18"/>
      <c r="R1934" s="18"/>
      <c r="S1934" s="18"/>
      <c r="T1934" s="18"/>
      <c r="U1934" s="18"/>
      <c r="V1934" s="18"/>
      <c r="W1934" s="18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</row>
    <row r="1935" spans="1:36" ht="11.25" customHeight="1" x14ac:dyDescent="0.2">
      <c r="A1935" s="62" t="s">
        <v>28</v>
      </c>
      <c r="B1935" s="62" t="s">
        <v>37</v>
      </c>
      <c r="C1935" s="62" t="s">
        <v>23</v>
      </c>
      <c r="D1935" s="62" t="s">
        <v>38</v>
      </c>
      <c r="E1935" s="62" t="s">
        <v>25</v>
      </c>
      <c r="F1935" s="62" t="s">
        <v>25</v>
      </c>
      <c r="G1935" s="62" t="s">
        <v>25</v>
      </c>
      <c r="H1935" s="62" t="s">
        <v>25</v>
      </c>
      <c r="I1935" s="75">
        <v>44593</v>
      </c>
      <c r="J1935" s="76">
        <f>EFEITO!$J$1935*EFEITO!$Y$1935</f>
        <v>0</v>
      </c>
      <c r="K1935" s="76">
        <f ca="1">EFEITO!$L$1935*EFEITO!$Z$1935</f>
        <v>153876.70153981962</v>
      </c>
      <c r="L1935" s="76">
        <f>EFEITO!$N$1935*EFEITO!$AA$1935</f>
        <v>116126.95688564323</v>
      </c>
      <c r="M1935" s="76">
        <f>$J$1935-EFEITO!$K$1935*EFEITO!$Y$1935</f>
        <v>0</v>
      </c>
      <c r="N1935" s="76">
        <f ca="1">$K$1935-EFEITO!$M$1935*EFEITO!$Z$1935</f>
        <v>0</v>
      </c>
      <c r="O1935" s="76">
        <f>$L$1935-EFEITO!$O$1935*EFEITO!$AA$1935</f>
        <v>0</v>
      </c>
      <c r="P1935" s="18"/>
      <c r="Q1935" s="18"/>
      <c r="R1935" s="18"/>
      <c r="S1935" s="18"/>
      <c r="T1935" s="18"/>
      <c r="U1935" s="18"/>
      <c r="V1935" s="18"/>
      <c r="W1935" s="18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</row>
    <row r="1936" spans="1:36" ht="11.25" customHeight="1" x14ac:dyDescent="0.2">
      <c r="A1936" s="62" t="s">
        <v>21</v>
      </c>
      <c r="B1936" s="62" t="s">
        <v>37</v>
      </c>
      <c r="C1936" s="62" t="s">
        <v>23</v>
      </c>
      <c r="D1936" s="62" t="s">
        <v>38</v>
      </c>
      <c r="E1936" s="62" t="s">
        <v>25</v>
      </c>
      <c r="F1936" s="62" t="s">
        <v>25</v>
      </c>
      <c r="G1936" s="62" t="s">
        <v>25</v>
      </c>
      <c r="H1936" s="62" t="s">
        <v>25</v>
      </c>
      <c r="I1936" s="75">
        <v>44621</v>
      </c>
      <c r="J1936" s="76">
        <f>EFEITO!$J$1936*EFEITO!$Y$1936</f>
        <v>0</v>
      </c>
      <c r="K1936" s="76">
        <f ca="1">EFEITO!$L$1936*EFEITO!$Z$1936</f>
        <v>880693.33626190678</v>
      </c>
      <c r="L1936" s="76">
        <f>EFEITO!$N$1936*EFEITO!$AA$1936</f>
        <v>664637.57064024487</v>
      </c>
      <c r="M1936" s="76">
        <f>$J$1936-EFEITO!$K$1936*EFEITO!$Y$1936</f>
        <v>0</v>
      </c>
      <c r="N1936" s="76">
        <f ca="1">$K$1936-EFEITO!$M$1936*EFEITO!$Z$1936</f>
        <v>0</v>
      </c>
      <c r="O1936" s="76">
        <f>$L$1936-EFEITO!$O$1936*EFEITO!$AA$1936</f>
        <v>0</v>
      </c>
      <c r="P1936" s="18"/>
      <c r="Q1936" s="18"/>
      <c r="R1936" s="18"/>
      <c r="S1936" s="18"/>
      <c r="T1936" s="18"/>
      <c r="U1936" s="18"/>
      <c r="V1936" s="18"/>
      <c r="W1936" s="18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</row>
    <row r="1937" spans="1:36" ht="11.25" customHeight="1" x14ac:dyDescent="0.2">
      <c r="A1937" s="62" t="s">
        <v>27</v>
      </c>
      <c r="B1937" s="62" t="s">
        <v>37</v>
      </c>
      <c r="C1937" s="62" t="s">
        <v>23</v>
      </c>
      <c r="D1937" s="62" t="s">
        <v>38</v>
      </c>
      <c r="E1937" s="62" t="s">
        <v>25</v>
      </c>
      <c r="F1937" s="62" t="s">
        <v>25</v>
      </c>
      <c r="G1937" s="62" t="s">
        <v>25</v>
      </c>
      <c r="H1937" s="62" t="s">
        <v>25</v>
      </c>
      <c r="I1937" s="75">
        <v>44621</v>
      </c>
      <c r="J1937" s="76">
        <f>EFEITO!$J$1937*EFEITO!$Y$1937</f>
        <v>0</v>
      </c>
      <c r="K1937" s="76">
        <f ca="1">EFEITO!$L$1937*EFEITO!$Z$1937</f>
        <v>-2261.2354563848553</v>
      </c>
      <c r="L1937" s="76">
        <f>EFEITO!$N$1937*EFEITO!$AA$1937</f>
        <v>-1706.4987078887943</v>
      </c>
      <c r="M1937" s="76">
        <f>$J$1937-EFEITO!$K$1937*EFEITO!$Y$1937</f>
        <v>0</v>
      </c>
      <c r="N1937" s="76">
        <f ca="1">$K$1937-EFEITO!$M$1937*EFEITO!$Z$1937</f>
        <v>0</v>
      </c>
      <c r="O1937" s="76">
        <f>$L$1937-EFEITO!$O$1937*EFEITO!$AA$1937</f>
        <v>0</v>
      </c>
      <c r="P1937" s="18"/>
      <c r="Q1937" s="18"/>
      <c r="R1937" s="18"/>
      <c r="S1937" s="18"/>
      <c r="T1937" s="18"/>
      <c r="U1937" s="18"/>
      <c r="V1937" s="18"/>
      <c r="W1937" s="18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</row>
    <row r="1938" spans="1:36" ht="11.25" customHeight="1" x14ac:dyDescent="0.2">
      <c r="A1938" s="62" t="s">
        <v>28</v>
      </c>
      <c r="B1938" s="62" t="s">
        <v>37</v>
      </c>
      <c r="C1938" s="62" t="s">
        <v>23</v>
      </c>
      <c r="D1938" s="62" t="s">
        <v>38</v>
      </c>
      <c r="E1938" s="62" t="s">
        <v>25</v>
      </c>
      <c r="F1938" s="62" t="s">
        <v>25</v>
      </c>
      <c r="G1938" s="62" t="s">
        <v>25</v>
      </c>
      <c r="H1938" s="62" t="s">
        <v>25</v>
      </c>
      <c r="I1938" s="75">
        <v>44621</v>
      </c>
      <c r="J1938" s="76">
        <f>EFEITO!$J$1938*EFEITO!$Y$1938</f>
        <v>0</v>
      </c>
      <c r="K1938" s="76">
        <f ca="1">EFEITO!$L$1938*EFEITO!$Z$1938</f>
        <v>153601.09026437462</v>
      </c>
      <c r="L1938" s="76">
        <f>EFEITO!$N$1938*EFEITO!$AA$1938</f>
        <v>115918.95984398246</v>
      </c>
      <c r="M1938" s="76">
        <f>$J$1938-EFEITO!$K$1938*EFEITO!$Y$1938</f>
        <v>0</v>
      </c>
      <c r="N1938" s="76">
        <f ca="1">$K$1938-EFEITO!$M$1938*EFEITO!$Z$1938</f>
        <v>0</v>
      </c>
      <c r="O1938" s="76">
        <f>$L$1938-EFEITO!$O$1938*EFEITO!$AA$1938</f>
        <v>0</v>
      </c>
      <c r="P1938" s="18"/>
      <c r="Q1938" s="18"/>
      <c r="R1938" s="18"/>
      <c r="S1938" s="18"/>
      <c r="T1938" s="18"/>
      <c r="U1938" s="18"/>
      <c r="V1938" s="18"/>
      <c r="W1938" s="18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</row>
    <row r="1939" spans="1:36" ht="11.25" customHeight="1" x14ac:dyDescent="0.2">
      <c r="A1939" s="62" t="s">
        <v>21</v>
      </c>
      <c r="B1939" s="62" t="s">
        <v>37</v>
      </c>
      <c r="C1939" s="62" t="s">
        <v>23</v>
      </c>
      <c r="D1939" s="62" t="s">
        <v>38</v>
      </c>
      <c r="E1939" s="62" t="s">
        <v>25</v>
      </c>
      <c r="F1939" s="62" t="s">
        <v>25</v>
      </c>
      <c r="G1939" s="62" t="s">
        <v>25</v>
      </c>
      <c r="H1939" s="62" t="s">
        <v>25</v>
      </c>
      <c r="I1939" s="75">
        <v>44652</v>
      </c>
      <c r="J1939" s="76">
        <f>EFEITO!$J$1939*EFEITO!$Y$1939</f>
        <v>0</v>
      </c>
      <c r="K1939" s="76">
        <f ca="1">EFEITO!$L$1939*EFEITO!$Z$1939</f>
        <v>872172.09953820333</v>
      </c>
      <c r="L1939" s="76">
        <f>EFEITO!$N$1939*EFEITO!$AA$1939</f>
        <v>658206.80315092625</v>
      </c>
      <c r="M1939" s="76">
        <f>$J$1939-EFEITO!$K$1939*EFEITO!$Y$1939</f>
        <v>0</v>
      </c>
      <c r="N1939" s="76">
        <f ca="1">$K$1939-EFEITO!$M$1939*EFEITO!$Z$1939</f>
        <v>0</v>
      </c>
      <c r="O1939" s="76">
        <f>$L$1939-EFEITO!$O$1939*EFEITO!$AA$1939</f>
        <v>0</v>
      </c>
      <c r="P1939" s="18"/>
      <c r="Q1939" s="18"/>
      <c r="R1939" s="18"/>
      <c r="S1939" s="18"/>
      <c r="T1939" s="18"/>
      <c r="U1939" s="18"/>
      <c r="V1939" s="18"/>
      <c r="W1939" s="18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</row>
    <row r="1940" spans="1:36" ht="11.25" customHeight="1" x14ac:dyDescent="0.2">
      <c r="A1940" s="62" t="s">
        <v>27</v>
      </c>
      <c r="B1940" s="62" t="s">
        <v>37</v>
      </c>
      <c r="C1940" s="62" t="s">
        <v>23</v>
      </c>
      <c r="D1940" s="62" t="s">
        <v>38</v>
      </c>
      <c r="E1940" s="62" t="s">
        <v>25</v>
      </c>
      <c r="F1940" s="62" t="s">
        <v>25</v>
      </c>
      <c r="G1940" s="62" t="s">
        <v>25</v>
      </c>
      <c r="H1940" s="62" t="s">
        <v>25</v>
      </c>
      <c r="I1940" s="75">
        <v>44652</v>
      </c>
      <c r="J1940" s="76">
        <f>EFEITO!$J$1940*EFEITO!$Y$1940</f>
        <v>0</v>
      </c>
      <c r="K1940" s="76">
        <f ca="1">EFEITO!$L$1940*EFEITO!$Z$1940</f>
        <v>1022.9502489575683</v>
      </c>
      <c r="L1940" s="76">
        <f>EFEITO!$N$1940*EFEITO!$AA$1940</f>
        <v>771.99535906423739</v>
      </c>
      <c r="M1940" s="76">
        <f>$J$1940-EFEITO!$K$1940*EFEITO!$Y$1940</f>
        <v>0</v>
      </c>
      <c r="N1940" s="76">
        <f ca="1">$K$1940-EFEITO!$M$1940*EFEITO!$Z$1940</f>
        <v>0</v>
      </c>
      <c r="O1940" s="76">
        <f>$L$1940-EFEITO!$O$1940*EFEITO!$AA$1940</f>
        <v>0</v>
      </c>
      <c r="P1940" s="18"/>
      <c r="Q1940" s="18"/>
      <c r="R1940" s="18"/>
      <c r="S1940" s="18"/>
      <c r="T1940" s="18"/>
      <c r="U1940" s="18"/>
      <c r="V1940" s="18"/>
      <c r="W1940" s="18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</row>
    <row r="1941" spans="1:36" ht="11.25" customHeight="1" x14ac:dyDescent="0.2">
      <c r="A1941" s="62" t="s">
        <v>28</v>
      </c>
      <c r="B1941" s="62" t="s">
        <v>37</v>
      </c>
      <c r="C1941" s="62" t="s">
        <v>23</v>
      </c>
      <c r="D1941" s="62" t="s">
        <v>38</v>
      </c>
      <c r="E1941" s="62" t="s">
        <v>25</v>
      </c>
      <c r="F1941" s="62" t="s">
        <v>25</v>
      </c>
      <c r="G1941" s="62" t="s">
        <v>25</v>
      </c>
      <c r="H1941" s="62" t="s">
        <v>25</v>
      </c>
      <c r="I1941" s="75">
        <v>44652</v>
      </c>
      <c r="J1941" s="76">
        <f>EFEITO!$J$1941*EFEITO!$Y$1941</f>
        <v>0</v>
      </c>
      <c r="K1941" s="76">
        <f ca="1">EFEITO!$L$1941*EFEITO!$Z$1941</f>
        <v>153211.47812856329</v>
      </c>
      <c r="L1941" s="76">
        <f>EFEITO!$N$1941*EFEITO!$AA$1941</f>
        <v>115624.92916068387</v>
      </c>
      <c r="M1941" s="76">
        <f>$J$1941-EFEITO!$K$1941*EFEITO!$Y$1941</f>
        <v>0</v>
      </c>
      <c r="N1941" s="76">
        <f ca="1">$K$1941-EFEITO!$M$1941*EFEITO!$Z$1941</f>
        <v>0</v>
      </c>
      <c r="O1941" s="76">
        <f>$L$1941-EFEITO!$O$1941*EFEITO!$AA$1941</f>
        <v>0</v>
      </c>
      <c r="P1941" s="18"/>
      <c r="Q1941" s="18"/>
      <c r="R1941" s="18"/>
      <c r="S1941" s="18"/>
      <c r="T1941" s="18"/>
      <c r="U1941" s="18"/>
      <c r="V1941" s="18"/>
      <c r="W1941" s="18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</row>
    <row r="1942" spans="1:36" ht="11.25" customHeight="1" x14ac:dyDescent="0.2">
      <c r="A1942" s="62" t="s">
        <v>28</v>
      </c>
      <c r="B1942" s="62" t="s">
        <v>37</v>
      </c>
      <c r="C1942" s="62" t="s">
        <v>23</v>
      </c>
      <c r="D1942" s="62" t="s">
        <v>38</v>
      </c>
      <c r="E1942" s="62" t="s">
        <v>25</v>
      </c>
      <c r="F1942" s="62" t="s">
        <v>25</v>
      </c>
      <c r="G1942" s="62" t="s">
        <v>25</v>
      </c>
      <c r="H1942" s="62" t="s">
        <v>25</v>
      </c>
      <c r="I1942" s="75">
        <v>44652</v>
      </c>
      <c r="J1942" s="76">
        <f>EFEITO!$J$1942*EFEITO!$Y$1942</f>
        <v>0</v>
      </c>
      <c r="K1942" s="76">
        <f ca="1">EFEITO!$L$1942*EFEITO!$Z$1942</f>
        <v>6289.7026409005057</v>
      </c>
      <c r="L1942" s="76">
        <f>EFEITO!$N$1942*EFEITO!$AA$1942</f>
        <v>4746.6836765691796</v>
      </c>
      <c r="M1942" s="76">
        <f>$J$1942-EFEITO!$K$1942*EFEITO!$Y$1942</f>
        <v>0</v>
      </c>
      <c r="N1942" s="76">
        <f ca="1">$K$1942-EFEITO!$M$1942*EFEITO!$Z$1942</f>
        <v>0</v>
      </c>
      <c r="O1942" s="76">
        <f>$L$1942-EFEITO!$O$1942*EFEITO!$AA$1942</f>
        <v>0</v>
      </c>
      <c r="P1942" s="18"/>
      <c r="Q1942" s="18"/>
      <c r="R1942" s="18"/>
      <c r="S1942" s="18"/>
      <c r="T1942" s="18"/>
      <c r="U1942" s="18"/>
      <c r="V1942" s="18"/>
      <c r="W1942" s="18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</row>
    <row r="1943" spans="1:36" ht="11.25" customHeight="1" x14ac:dyDescent="0.2">
      <c r="A1943" s="62" t="s">
        <v>58</v>
      </c>
      <c r="B1943" s="62" t="s">
        <v>37</v>
      </c>
      <c r="C1943" s="62" t="s">
        <v>23</v>
      </c>
      <c r="D1943" s="62" t="s">
        <v>38</v>
      </c>
      <c r="E1943" s="62" t="s">
        <v>25</v>
      </c>
      <c r="F1943" s="62" t="s">
        <v>25</v>
      </c>
      <c r="G1943" s="62" t="s">
        <v>25</v>
      </c>
      <c r="H1943" s="62" t="s">
        <v>25</v>
      </c>
      <c r="I1943" s="75">
        <v>44682</v>
      </c>
      <c r="J1943" s="76">
        <f>EFEITO!$J$1943*EFEITO!$Y$1943</f>
        <v>0</v>
      </c>
      <c r="K1943" s="76">
        <f ca="1">EFEITO!$L$1943*EFEITO!$Z$1943</f>
        <v>872172.09953820333</v>
      </c>
      <c r="L1943" s="76">
        <f>EFEITO!$N$1943*EFEITO!$AA$1943</f>
        <v>658206.80315092625</v>
      </c>
      <c r="M1943" s="76">
        <f>$J$1943-EFEITO!$K$1943*EFEITO!$Y$1943</f>
        <v>0</v>
      </c>
      <c r="N1943" s="76">
        <f ca="1">$K$1943-EFEITO!$M$1943*EFEITO!$Z$1943</f>
        <v>0</v>
      </c>
      <c r="O1943" s="76">
        <f>$L$1943-EFEITO!$O$1943*EFEITO!$AA$1943</f>
        <v>0</v>
      </c>
      <c r="P1943" s="18"/>
      <c r="Q1943" s="18"/>
      <c r="R1943" s="18"/>
      <c r="S1943" s="18"/>
      <c r="T1943" s="18"/>
      <c r="U1943" s="18"/>
      <c r="V1943" s="18"/>
      <c r="W1943" s="18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</row>
    <row r="1944" spans="1:36" ht="11.25" customHeight="1" x14ac:dyDescent="0.2">
      <c r="A1944" s="62" t="s">
        <v>58</v>
      </c>
      <c r="B1944" s="62" t="s">
        <v>37</v>
      </c>
      <c r="C1944" s="62" t="s">
        <v>23</v>
      </c>
      <c r="D1944" s="62" t="s">
        <v>38</v>
      </c>
      <c r="E1944" s="62" t="s">
        <v>25</v>
      </c>
      <c r="F1944" s="62" t="s">
        <v>25</v>
      </c>
      <c r="G1944" s="62" t="s">
        <v>25</v>
      </c>
      <c r="H1944" s="62" t="s">
        <v>25</v>
      </c>
      <c r="I1944" s="75">
        <v>44682</v>
      </c>
      <c r="J1944" s="76">
        <f>EFEITO!$J$1944*EFEITO!$Y$1944</f>
        <v>0</v>
      </c>
      <c r="K1944" s="76">
        <f ca="1">EFEITO!$L$1944*EFEITO!$Z$1944</f>
        <v>1022.9502489575683</v>
      </c>
      <c r="L1944" s="76">
        <f>EFEITO!$N$1944*EFEITO!$AA$1944</f>
        <v>771.99535906423739</v>
      </c>
      <c r="M1944" s="76">
        <f>$J$1944-EFEITO!$K$1944*EFEITO!$Y$1944</f>
        <v>0</v>
      </c>
      <c r="N1944" s="76">
        <f ca="1">$K$1944-EFEITO!$M$1944*EFEITO!$Z$1944</f>
        <v>0</v>
      </c>
      <c r="O1944" s="76">
        <f>$L$1944-EFEITO!$O$1944*EFEITO!$AA$1944</f>
        <v>0</v>
      </c>
      <c r="P1944" s="18"/>
      <c r="Q1944" s="18"/>
      <c r="R1944" s="18"/>
      <c r="S1944" s="18"/>
      <c r="T1944" s="18"/>
      <c r="U1944" s="18"/>
      <c r="V1944" s="18"/>
      <c r="W1944" s="18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</row>
    <row r="1945" spans="1:36" ht="11.25" customHeight="1" x14ac:dyDescent="0.2">
      <c r="A1945" s="62" t="s">
        <v>58</v>
      </c>
      <c r="B1945" s="62" t="s">
        <v>37</v>
      </c>
      <c r="C1945" s="62" t="s">
        <v>23</v>
      </c>
      <c r="D1945" s="62" t="s">
        <v>38</v>
      </c>
      <c r="E1945" s="62" t="s">
        <v>25</v>
      </c>
      <c r="F1945" s="62" t="s">
        <v>25</v>
      </c>
      <c r="G1945" s="62" t="s">
        <v>25</v>
      </c>
      <c r="H1945" s="62" t="s">
        <v>25</v>
      </c>
      <c r="I1945" s="75">
        <v>44682</v>
      </c>
      <c r="J1945" s="76">
        <f>EFEITO!$J$1945*EFEITO!$Y$1945</f>
        <v>0</v>
      </c>
      <c r="K1945" s="76">
        <f ca="1">EFEITO!$L$1945*EFEITO!$Z$1945</f>
        <v>153211.47812856329</v>
      </c>
      <c r="L1945" s="76">
        <f>EFEITO!$N$1945*EFEITO!$AA$1945</f>
        <v>115624.92916068387</v>
      </c>
      <c r="M1945" s="76">
        <f>$J$1945-EFEITO!$K$1945*EFEITO!$Y$1945</f>
        <v>0</v>
      </c>
      <c r="N1945" s="76">
        <f ca="1">$K$1945-EFEITO!$M$1945*EFEITO!$Z$1945</f>
        <v>0</v>
      </c>
      <c r="O1945" s="76">
        <f>$L$1945-EFEITO!$O$1945*EFEITO!$AA$1945</f>
        <v>0</v>
      </c>
      <c r="P1945" s="18"/>
      <c r="Q1945" s="18"/>
      <c r="R1945" s="18"/>
      <c r="S1945" s="18"/>
      <c r="T1945" s="18"/>
      <c r="U1945" s="18"/>
      <c r="V1945" s="18"/>
      <c r="W1945" s="18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</row>
    <row r="1946" spans="1:36" ht="11.25" customHeight="1" x14ac:dyDescent="0.2">
      <c r="A1946" s="62" t="s">
        <v>58</v>
      </c>
      <c r="B1946" s="62" t="s">
        <v>37</v>
      </c>
      <c r="C1946" s="62" t="s">
        <v>23</v>
      </c>
      <c r="D1946" s="62" t="s">
        <v>38</v>
      </c>
      <c r="E1946" s="62" t="s">
        <v>25</v>
      </c>
      <c r="F1946" s="62" t="s">
        <v>25</v>
      </c>
      <c r="G1946" s="62" t="s">
        <v>25</v>
      </c>
      <c r="H1946" s="62" t="s">
        <v>25</v>
      </c>
      <c r="I1946" s="75">
        <v>44682</v>
      </c>
      <c r="J1946" s="76">
        <f>EFEITO!$J$1946*EFEITO!$Y$1946</f>
        <v>0</v>
      </c>
      <c r="K1946" s="76">
        <f ca="1">EFEITO!$L$1946*EFEITO!$Z$1946</f>
        <v>6289.7026409005057</v>
      </c>
      <c r="L1946" s="76">
        <f>EFEITO!$N$1946*EFEITO!$AA$1946</f>
        <v>4746.6836765691796</v>
      </c>
      <c r="M1946" s="76">
        <f>$J$1946-EFEITO!$K$1946*EFEITO!$Y$1946</f>
        <v>0</v>
      </c>
      <c r="N1946" s="76">
        <f ca="1">$K$1946-EFEITO!$M$1946*EFEITO!$Z$1946</f>
        <v>0</v>
      </c>
      <c r="O1946" s="76">
        <f>$L$1946-EFEITO!$O$1946*EFEITO!$AA$1946</f>
        <v>0</v>
      </c>
      <c r="P1946" s="18"/>
      <c r="Q1946" s="18"/>
      <c r="R1946" s="18"/>
      <c r="S1946" s="18"/>
      <c r="T1946" s="18"/>
      <c r="U1946" s="18"/>
      <c r="V1946" s="18"/>
      <c r="W1946" s="18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</row>
    <row r="1947" spans="1:36" ht="11.25" customHeight="1" x14ac:dyDescent="0.2">
      <c r="A1947" s="62" t="s">
        <v>21</v>
      </c>
      <c r="B1947" s="62" t="s">
        <v>37</v>
      </c>
      <c r="C1947" s="62" t="s">
        <v>23</v>
      </c>
      <c r="D1947" s="62" t="s">
        <v>46</v>
      </c>
      <c r="E1947" s="62" t="s">
        <v>25</v>
      </c>
      <c r="F1947" s="62" t="s">
        <v>25</v>
      </c>
      <c r="G1947" s="62" t="s">
        <v>25</v>
      </c>
      <c r="H1947" s="62" t="s">
        <v>25</v>
      </c>
      <c r="I1947" s="75">
        <v>44348</v>
      </c>
      <c r="J1947" s="76">
        <f>EFEITO!$J$1947*EFEITO!$Y$1947</f>
        <v>0</v>
      </c>
      <c r="K1947" s="76">
        <f ca="1">EFEITO!$L$1947*EFEITO!$Z$1947</f>
        <v>687055.23119386111</v>
      </c>
      <c r="L1947" s="76">
        <f>EFEITO!$N$1947*EFEITO!$AA$1947</f>
        <v>518503.66177922342</v>
      </c>
      <c r="M1947" s="76">
        <f>$J$1947-EFEITO!$K$1947*EFEITO!$Y$1947</f>
        <v>0</v>
      </c>
      <c r="N1947" s="76">
        <f ca="1">$K$1947-EFEITO!$M$1947*EFEITO!$Z$1947</f>
        <v>0</v>
      </c>
      <c r="O1947" s="76">
        <f>$L$1947-EFEITO!$O$1947*EFEITO!$AA$1947</f>
        <v>0</v>
      </c>
      <c r="P1947" s="18"/>
      <c r="Q1947" s="18"/>
      <c r="R1947" s="18"/>
      <c r="S1947" s="18"/>
      <c r="T1947" s="18"/>
      <c r="U1947" s="18"/>
      <c r="V1947" s="18"/>
      <c r="W1947" s="18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</row>
    <row r="1948" spans="1:36" ht="11.25" customHeight="1" x14ac:dyDescent="0.2">
      <c r="A1948" s="62" t="s">
        <v>27</v>
      </c>
      <c r="B1948" s="62" t="s">
        <v>37</v>
      </c>
      <c r="C1948" s="62" t="s">
        <v>23</v>
      </c>
      <c r="D1948" s="62" t="s">
        <v>46</v>
      </c>
      <c r="E1948" s="62" t="s">
        <v>25</v>
      </c>
      <c r="F1948" s="62" t="s">
        <v>25</v>
      </c>
      <c r="G1948" s="62" t="s">
        <v>25</v>
      </c>
      <c r="H1948" s="62" t="s">
        <v>25</v>
      </c>
      <c r="I1948" s="75">
        <v>44348</v>
      </c>
      <c r="J1948" s="76">
        <f>EFEITO!$J$1948*EFEITO!$Y$1948</f>
        <v>0</v>
      </c>
      <c r="K1948" s="76">
        <f ca="1">EFEITO!$L$1948*EFEITO!$Z$1948</f>
        <v>-63.770596220241231</v>
      </c>
      <c r="L1948" s="76">
        <f>EFEITO!$N$1948*EFEITO!$AA$1948</f>
        <v>-48.126098387437509</v>
      </c>
      <c r="M1948" s="76">
        <f>$J$1948-EFEITO!$K$1948*EFEITO!$Y$1948</f>
        <v>0</v>
      </c>
      <c r="N1948" s="76">
        <f ca="1">$K$1948-EFEITO!$M$1948*EFEITO!$Z$1948</f>
        <v>0</v>
      </c>
      <c r="O1948" s="76">
        <f>$L$1948-EFEITO!$O$1948*EFEITO!$AA$1948</f>
        <v>0</v>
      </c>
      <c r="P1948" s="18"/>
      <c r="Q1948" s="18"/>
      <c r="R1948" s="18"/>
      <c r="S1948" s="18"/>
      <c r="T1948" s="18"/>
      <c r="U1948" s="18"/>
      <c r="V1948" s="18"/>
      <c r="W1948" s="18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</row>
    <row r="1949" spans="1:36" ht="11.25" customHeight="1" x14ac:dyDescent="0.2">
      <c r="A1949" s="62" t="s">
        <v>28</v>
      </c>
      <c r="B1949" s="62" t="s">
        <v>37</v>
      </c>
      <c r="C1949" s="62" t="s">
        <v>23</v>
      </c>
      <c r="D1949" s="62" t="s">
        <v>46</v>
      </c>
      <c r="E1949" s="62" t="s">
        <v>25</v>
      </c>
      <c r="F1949" s="62" t="s">
        <v>25</v>
      </c>
      <c r="G1949" s="62" t="s">
        <v>25</v>
      </c>
      <c r="H1949" s="62" t="s">
        <v>25</v>
      </c>
      <c r="I1949" s="75">
        <v>44348</v>
      </c>
      <c r="J1949" s="76">
        <f>EFEITO!$J$1949*EFEITO!$Y$1949</f>
        <v>0</v>
      </c>
      <c r="K1949" s="76">
        <f ca="1">EFEITO!$L$1949*EFEITO!$Z$1949</f>
        <v>1887.3475771757696</v>
      </c>
      <c r="L1949" s="76">
        <f>EFEITO!$N$1949*EFEITO!$AA$1949</f>
        <v>1424.3347337816267</v>
      </c>
      <c r="M1949" s="76">
        <f>$J$1949-EFEITO!$K$1949*EFEITO!$Y$1949</f>
        <v>0</v>
      </c>
      <c r="N1949" s="76">
        <f ca="1">$K$1949-EFEITO!$M$1949*EFEITO!$Z$1949</f>
        <v>0</v>
      </c>
      <c r="O1949" s="76">
        <f>$L$1949-EFEITO!$O$1949*EFEITO!$AA$1949</f>
        <v>0</v>
      </c>
      <c r="P1949" s="18"/>
      <c r="Q1949" s="18"/>
      <c r="R1949" s="18"/>
      <c r="S1949" s="18"/>
      <c r="T1949" s="18"/>
      <c r="U1949" s="18"/>
      <c r="V1949" s="18"/>
      <c r="W1949" s="18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</row>
    <row r="1950" spans="1:36" ht="11.25" customHeight="1" x14ac:dyDescent="0.2">
      <c r="A1950" s="62" t="s">
        <v>21</v>
      </c>
      <c r="B1950" s="62" t="s">
        <v>37</v>
      </c>
      <c r="C1950" s="62" t="s">
        <v>23</v>
      </c>
      <c r="D1950" s="62" t="s">
        <v>46</v>
      </c>
      <c r="E1950" s="62" t="s">
        <v>25</v>
      </c>
      <c r="F1950" s="62" t="s">
        <v>25</v>
      </c>
      <c r="G1950" s="62" t="s">
        <v>25</v>
      </c>
      <c r="H1950" s="62" t="s">
        <v>25</v>
      </c>
      <c r="I1950" s="75">
        <v>44378</v>
      </c>
      <c r="J1950" s="76">
        <f>EFEITO!$J$1950*EFEITO!$Y$1950</f>
        <v>0</v>
      </c>
      <c r="K1950" s="76">
        <f ca="1">EFEITO!$L$1950*EFEITO!$Z$1950</f>
        <v>673542.41656875424</v>
      </c>
      <c r="L1950" s="76">
        <f>EFEITO!$N$1950*EFEITO!$AA$1950</f>
        <v>508305.8733832498</v>
      </c>
      <c r="M1950" s="76">
        <f>$J$1950-EFEITO!$K$1950*EFEITO!$Y$1950</f>
        <v>0</v>
      </c>
      <c r="N1950" s="76">
        <f ca="1">$K$1950-EFEITO!$M$1950*EFEITO!$Z$1950</f>
        <v>0</v>
      </c>
      <c r="O1950" s="76">
        <f>$L$1950-EFEITO!$O$1950*EFEITO!$AA$1950</f>
        <v>0</v>
      </c>
      <c r="P1950" s="18"/>
      <c r="Q1950" s="18"/>
      <c r="R1950" s="18"/>
      <c r="S1950" s="18"/>
      <c r="T1950" s="18"/>
      <c r="U1950" s="18"/>
      <c r="V1950" s="18"/>
      <c r="W1950" s="18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</row>
    <row r="1951" spans="1:36" ht="11.25" customHeight="1" x14ac:dyDescent="0.2">
      <c r="A1951" s="62" t="s">
        <v>27</v>
      </c>
      <c r="B1951" s="62" t="s">
        <v>37</v>
      </c>
      <c r="C1951" s="62" t="s">
        <v>23</v>
      </c>
      <c r="D1951" s="62" t="s">
        <v>46</v>
      </c>
      <c r="E1951" s="62" t="s">
        <v>25</v>
      </c>
      <c r="F1951" s="62" t="s">
        <v>25</v>
      </c>
      <c r="G1951" s="62" t="s">
        <v>25</v>
      </c>
      <c r="H1951" s="62" t="s">
        <v>25</v>
      </c>
      <c r="I1951" s="75">
        <v>44378</v>
      </c>
      <c r="J1951" s="76">
        <f>EFEITO!$J$1951*EFEITO!$Y$1951</f>
        <v>0</v>
      </c>
      <c r="K1951" s="76">
        <f ca="1">EFEITO!$L$1951*EFEITO!$Z$1951</f>
        <v>-1628.334128144242</v>
      </c>
      <c r="L1951" s="76">
        <f>EFEITO!$N$1951*EFEITO!$AA$1951</f>
        <v>-1228.863662934021</v>
      </c>
      <c r="M1951" s="76">
        <f>$J$1951-EFEITO!$K$1951*EFEITO!$Y$1951</f>
        <v>0</v>
      </c>
      <c r="N1951" s="76">
        <f ca="1">$K$1951-EFEITO!$M$1951*EFEITO!$Z$1951</f>
        <v>0</v>
      </c>
      <c r="O1951" s="76">
        <f>$L$1951-EFEITO!$O$1951*EFEITO!$AA$1951</f>
        <v>0</v>
      </c>
      <c r="P1951" s="18"/>
      <c r="Q1951" s="18"/>
      <c r="R1951" s="18"/>
      <c r="S1951" s="18"/>
      <c r="T1951" s="18"/>
      <c r="U1951" s="18"/>
      <c r="V1951" s="18"/>
      <c r="W1951" s="18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</row>
    <row r="1952" spans="1:36" ht="11.25" customHeight="1" x14ac:dyDescent="0.2">
      <c r="A1952" s="62" t="s">
        <v>28</v>
      </c>
      <c r="B1952" s="62" t="s">
        <v>37</v>
      </c>
      <c r="C1952" s="62" t="s">
        <v>23</v>
      </c>
      <c r="D1952" s="62" t="s">
        <v>46</v>
      </c>
      <c r="E1952" s="62" t="s">
        <v>25</v>
      </c>
      <c r="F1952" s="62" t="s">
        <v>25</v>
      </c>
      <c r="G1952" s="62" t="s">
        <v>25</v>
      </c>
      <c r="H1952" s="62" t="s">
        <v>25</v>
      </c>
      <c r="I1952" s="75">
        <v>44378</v>
      </c>
      <c r="J1952" s="76">
        <f>EFEITO!$J$1952*EFEITO!$Y$1952</f>
        <v>0</v>
      </c>
      <c r="K1952" s="76">
        <f ca="1">EFEITO!$L$1952*EFEITO!$Z$1952</f>
        <v>1813.5309281263123</v>
      </c>
      <c r="L1952" s="76">
        <f>EFEITO!$N$1952*EFEITO!$AA$1952</f>
        <v>1368.6271267441134</v>
      </c>
      <c r="M1952" s="76">
        <f>$J$1952-EFEITO!$K$1952*EFEITO!$Y$1952</f>
        <v>0</v>
      </c>
      <c r="N1952" s="76">
        <f ca="1">$K$1952-EFEITO!$M$1952*EFEITO!$Z$1952</f>
        <v>0</v>
      </c>
      <c r="O1952" s="76">
        <f>$L$1952-EFEITO!$O$1952*EFEITO!$AA$1952</f>
        <v>0</v>
      </c>
      <c r="P1952" s="18"/>
      <c r="Q1952" s="18"/>
      <c r="R1952" s="18"/>
      <c r="S1952" s="18"/>
      <c r="T1952" s="18"/>
      <c r="U1952" s="18"/>
      <c r="V1952" s="18"/>
      <c r="W1952" s="18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</row>
    <row r="1953" spans="1:36" ht="11.25" customHeight="1" x14ac:dyDescent="0.2">
      <c r="A1953" s="62" t="s">
        <v>21</v>
      </c>
      <c r="B1953" s="62" t="s">
        <v>37</v>
      </c>
      <c r="C1953" s="62" t="s">
        <v>23</v>
      </c>
      <c r="D1953" s="62" t="s">
        <v>46</v>
      </c>
      <c r="E1953" s="62" t="s">
        <v>25</v>
      </c>
      <c r="F1953" s="62" t="s">
        <v>25</v>
      </c>
      <c r="G1953" s="62" t="s">
        <v>25</v>
      </c>
      <c r="H1953" s="62" t="s">
        <v>25</v>
      </c>
      <c r="I1953" s="75">
        <v>44409</v>
      </c>
      <c r="J1953" s="76">
        <f>EFEITO!$J$1953*EFEITO!$Y$1953</f>
        <v>0</v>
      </c>
      <c r="K1953" s="76">
        <f ca="1">EFEITO!$L$1953*EFEITO!$Z$1953</f>
        <v>689789.94148793595</v>
      </c>
      <c r="L1953" s="76">
        <f>EFEITO!$N$1953*EFEITO!$AA$1953</f>
        <v>520567.48028609838</v>
      </c>
      <c r="M1953" s="76">
        <f>$J$1953-EFEITO!$K$1953*EFEITO!$Y$1953</f>
        <v>0</v>
      </c>
      <c r="N1953" s="76">
        <f ca="1">$K$1953-EFEITO!$M$1953*EFEITO!$Z$1953</f>
        <v>0</v>
      </c>
      <c r="O1953" s="76">
        <f>$L$1953-EFEITO!$O$1953*EFEITO!$AA$1953</f>
        <v>0</v>
      </c>
      <c r="P1953" s="18"/>
      <c r="Q1953" s="18"/>
      <c r="R1953" s="18"/>
      <c r="S1953" s="18"/>
      <c r="T1953" s="18"/>
      <c r="U1953" s="18"/>
      <c r="V1953" s="18"/>
      <c r="W1953" s="18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</row>
    <row r="1954" spans="1:36" ht="11.25" customHeight="1" x14ac:dyDescent="0.2">
      <c r="A1954" s="62" t="s">
        <v>27</v>
      </c>
      <c r="B1954" s="62" t="s">
        <v>37</v>
      </c>
      <c r="C1954" s="62" t="s">
        <v>23</v>
      </c>
      <c r="D1954" s="62" t="s">
        <v>46</v>
      </c>
      <c r="E1954" s="62" t="s">
        <v>25</v>
      </c>
      <c r="F1954" s="62" t="s">
        <v>25</v>
      </c>
      <c r="G1954" s="62" t="s">
        <v>25</v>
      </c>
      <c r="H1954" s="62" t="s">
        <v>25</v>
      </c>
      <c r="I1954" s="75">
        <v>44409</v>
      </c>
      <c r="J1954" s="76">
        <f>EFEITO!$J$1954*EFEITO!$Y$1954</f>
        <v>0</v>
      </c>
      <c r="K1954" s="76">
        <f ca="1">EFEITO!$L$1954*EFEITO!$Z$1954</f>
        <v>-1203.7791998834577</v>
      </c>
      <c r="L1954" s="76">
        <f>EFEITO!$N$1954*EFEITO!$AA$1954</f>
        <v>-908.46251476560121</v>
      </c>
      <c r="M1954" s="76">
        <f>$J$1954-EFEITO!$K$1954*EFEITO!$Y$1954</f>
        <v>0</v>
      </c>
      <c r="N1954" s="76">
        <f ca="1">$K$1954-EFEITO!$M$1954*EFEITO!$Z$1954</f>
        <v>0</v>
      </c>
      <c r="O1954" s="76">
        <f>$L$1954-EFEITO!$O$1954*EFEITO!$AA$1954</f>
        <v>0</v>
      </c>
      <c r="P1954" s="18"/>
      <c r="Q1954" s="18"/>
      <c r="R1954" s="18"/>
      <c r="S1954" s="18"/>
      <c r="T1954" s="18"/>
      <c r="U1954" s="18"/>
      <c r="V1954" s="18"/>
      <c r="W1954" s="18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</row>
    <row r="1955" spans="1:36" ht="11.25" customHeight="1" x14ac:dyDescent="0.2">
      <c r="A1955" s="62" t="s">
        <v>28</v>
      </c>
      <c r="B1955" s="62" t="s">
        <v>37</v>
      </c>
      <c r="C1955" s="62" t="s">
        <v>23</v>
      </c>
      <c r="D1955" s="62" t="s">
        <v>46</v>
      </c>
      <c r="E1955" s="62" t="s">
        <v>25</v>
      </c>
      <c r="F1955" s="62" t="s">
        <v>25</v>
      </c>
      <c r="G1955" s="62" t="s">
        <v>25</v>
      </c>
      <c r="H1955" s="62" t="s">
        <v>25</v>
      </c>
      <c r="I1955" s="75">
        <v>44409</v>
      </c>
      <c r="J1955" s="76">
        <f>EFEITO!$J$1955*EFEITO!$Y$1955</f>
        <v>0</v>
      </c>
      <c r="K1955" s="76">
        <f ca="1">EFEITO!$L$1955*EFEITO!$Z$1955</f>
        <v>2129.7631997938101</v>
      </c>
      <c r="L1955" s="76">
        <f>EFEITO!$N$1955*EFEITO!$AA$1955</f>
        <v>1607.279833816064</v>
      </c>
      <c r="M1955" s="76">
        <f>$J$1955-EFEITO!$K$1955*EFEITO!$Y$1955</f>
        <v>0</v>
      </c>
      <c r="N1955" s="76">
        <f ca="1">$K$1955-EFEITO!$M$1955*EFEITO!$Z$1955</f>
        <v>0</v>
      </c>
      <c r="O1955" s="76">
        <f>$L$1955-EFEITO!$O$1955*EFEITO!$AA$1955</f>
        <v>0</v>
      </c>
      <c r="P1955" s="18"/>
      <c r="Q1955" s="18"/>
      <c r="R1955" s="18"/>
      <c r="S1955" s="18"/>
      <c r="T1955" s="18"/>
      <c r="U1955" s="18"/>
      <c r="V1955" s="18"/>
      <c r="W1955" s="18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</row>
    <row r="1956" spans="1:36" ht="11.25" customHeight="1" x14ac:dyDescent="0.2">
      <c r="A1956" s="62" t="s">
        <v>21</v>
      </c>
      <c r="B1956" s="62" t="s">
        <v>37</v>
      </c>
      <c r="C1956" s="62" t="s">
        <v>23</v>
      </c>
      <c r="D1956" s="62" t="s">
        <v>46</v>
      </c>
      <c r="E1956" s="62" t="s">
        <v>25</v>
      </c>
      <c r="F1956" s="62" t="s">
        <v>25</v>
      </c>
      <c r="G1956" s="62" t="s">
        <v>25</v>
      </c>
      <c r="H1956" s="62" t="s">
        <v>25</v>
      </c>
      <c r="I1956" s="75">
        <v>44440</v>
      </c>
      <c r="J1956" s="76">
        <f>EFEITO!$J$1956*EFEITO!$Y$1956</f>
        <v>0</v>
      </c>
      <c r="K1956" s="76">
        <f ca="1">EFEITO!$L$1956*EFEITO!$Z$1956</f>
        <v>850258.60082334385</v>
      </c>
      <c r="L1956" s="76">
        <f>EFEITO!$N$1956*EFEITO!$AA$1956</f>
        <v>641669.22536943492</v>
      </c>
      <c r="M1956" s="76">
        <f>$J$1956-EFEITO!$K$1956*EFEITO!$Y$1956</f>
        <v>0</v>
      </c>
      <c r="N1956" s="76">
        <f ca="1">$K$1956-EFEITO!$M$1956*EFEITO!$Z$1956</f>
        <v>0</v>
      </c>
      <c r="O1956" s="76">
        <f>$L$1956-EFEITO!$O$1956*EFEITO!$AA$1956</f>
        <v>0</v>
      </c>
      <c r="P1956" s="18"/>
      <c r="Q1956" s="18"/>
      <c r="R1956" s="18"/>
      <c r="S1956" s="18"/>
      <c r="T1956" s="18"/>
      <c r="U1956" s="18"/>
      <c r="V1956" s="18"/>
      <c r="W1956" s="18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</row>
    <row r="1957" spans="1:36" ht="11.25" customHeight="1" x14ac:dyDescent="0.2">
      <c r="A1957" s="62" t="s">
        <v>27</v>
      </c>
      <c r="B1957" s="62" t="s">
        <v>37</v>
      </c>
      <c r="C1957" s="62" t="s">
        <v>23</v>
      </c>
      <c r="D1957" s="62" t="s">
        <v>46</v>
      </c>
      <c r="E1957" s="62" t="s">
        <v>25</v>
      </c>
      <c r="F1957" s="62" t="s">
        <v>25</v>
      </c>
      <c r="G1957" s="62" t="s">
        <v>25</v>
      </c>
      <c r="H1957" s="62" t="s">
        <v>25</v>
      </c>
      <c r="I1957" s="75">
        <v>44440</v>
      </c>
      <c r="J1957" s="76">
        <f>EFEITO!$J$1957*EFEITO!$Y$1957</f>
        <v>0</v>
      </c>
      <c r="K1957" s="76">
        <f ca="1">EFEITO!$L$1957*EFEITO!$Z$1957</f>
        <v>-55.471683013497511</v>
      </c>
      <c r="L1957" s="76">
        <f>EFEITO!$N$1957*EFEITO!$AA$1957</f>
        <v>-41.863112980853181</v>
      </c>
      <c r="M1957" s="76">
        <f>$J$1957-EFEITO!$K$1957*EFEITO!$Y$1957</f>
        <v>0</v>
      </c>
      <c r="N1957" s="76">
        <f ca="1">$K$1957-EFEITO!$M$1957*EFEITO!$Z$1957</f>
        <v>0</v>
      </c>
      <c r="O1957" s="76">
        <f>$L$1957-EFEITO!$O$1957*EFEITO!$AA$1957</f>
        <v>0</v>
      </c>
      <c r="P1957" s="18"/>
      <c r="Q1957" s="18"/>
      <c r="R1957" s="18"/>
      <c r="S1957" s="18"/>
      <c r="T1957" s="18"/>
      <c r="U1957" s="18"/>
      <c r="V1957" s="18"/>
      <c r="W1957" s="18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</row>
    <row r="1958" spans="1:36" ht="11.25" customHeight="1" x14ac:dyDescent="0.2">
      <c r="A1958" s="62" t="s">
        <v>28</v>
      </c>
      <c r="B1958" s="62" t="s">
        <v>37</v>
      </c>
      <c r="C1958" s="62" t="s">
        <v>23</v>
      </c>
      <c r="D1958" s="62" t="s">
        <v>46</v>
      </c>
      <c r="E1958" s="62" t="s">
        <v>25</v>
      </c>
      <c r="F1958" s="62" t="s">
        <v>25</v>
      </c>
      <c r="G1958" s="62" t="s">
        <v>25</v>
      </c>
      <c r="H1958" s="62" t="s">
        <v>25</v>
      </c>
      <c r="I1958" s="75">
        <v>44440</v>
      </c>
      <c r="J1958" s="76">
        <f>EFEITO!$J$1958*EFEITO!$Y$1958</f>
        <v>0</v>
      </c>
      <c r="K1958" s="76">
        <f ca="1">EFEITO!$L$1958*EFEITO!$Z$1958</f>
        <v>1556.264618717257</v>
      </c>
      <c r="L1958" s="76">
        <f>EFEITO!$N$1958*EFEITO!$AA$1958</f>
        <v>1174.4745791399992</v>
      </c>
      <c r="M1958" s="76">
        <f>$J$1958-EFEITO!$K$1958*EFEITO!$Y$1958</f>
        <v>0</v>
      </c>
      <c r="N1958" s="76">
        <f ca="1">$K$1958-EFEITO!$M$1958*EFEITO!$Z$1958</f>
        <v>0</v>
      </c>
      <c r="O1958" s="76">
        <f>$L$1958-EFEITO!$O$1958*EFEITO!$AA$1958</f>
        <v>0</v>
      </c>
      <c r="P1958" s="18"/>
      <c r="Q1958" s="18"/>
      <c r="R1958" s="18"/>
      <c r="S1958" s="18"/>
      <c r="T1958" s="18"/>
      <c r="U1958" s="18"/>
      <c r="V1958" s="18"/>
      <c r="W1958" s="18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</row>
    <row r="1959" spans="1:36" ht="11.25" customHeight="1" x14ac:dyDescent="0.2">
      <c r="A1959" s="62" t="s">
        <v>21</v>
      </c>
      <c r="B1959" s="62" t="s">
        <v>37</v>
      </c>
      <c r="C1959" s="62" t="s">
        <v>23</v>
      </c>
      <c r="D1959" s="62" t="s">
        <v>46</v>
      </c>
      <c r="E1959" s="62" t="s">
        <v>25</v>
      </c>
      <c r="F1959" s="62" t="s">
        <v>25</v>
      </c>
      <c r="G1959" s="62" t="s">
        <v>25</v>
      </c>
      <c r="H1959" s="62" t="s">
        <v>25</v>
      </c>
      <c r="I1959" s="75">
        <v>44470</v>
      </c>
      <c r="J1959" s="76">
        <f>EFEITO!$J$1959*EFEITO!$Y$1959</f>
        <v>0</v>
      </c>
      <c r="K1959" s="76">
        <f ca="1">EFEITO!$L$1959*EFEITO!$Z$1959</f>
        <v>886690.39301604312</v>
      </c>
      <c r="L1959" s="76">
        <f>EFEITO!$N$1959*EFEITO!$AA$1959</f>
        <v>669163.40167352918</v>
      </c>
      <c r="M1959" s="76">
        <f>$J$1959-EFEITO!$K$1959*EFEITO!$Y$1959</f>
        <v>0</v>
      </c>
      <c r="N1959" s="76">
        <f ca="1">$K$1959-EFEITO!$M$1959*EFEITO!$Z$1959</f>
        <v>0</v>
      </c>
      <c r="O1959" s="76">
        <f>$L$1959-EFEITO!$O$1959*EFEITO!$AA$1959</f>
        <v>0</v>
      </c>
      <c r="P1959" s="18"/>
      <c r="Q1959" s="18"/>
      <c r="R1959" s="18"/>
      <c r="S1959" s="18"/>
      <c r="T1959" s="18"/>
      <c r="U1959" s="18"/>
      <c r="V1959" s="18"/>
      <c r="W1959" s="18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</row>
    <row r="1960" spans="1:36" ht="11.25" customHeight="1" x14ac:dyDescent="0.2">
      <c r="A1960" s="62" t="s">
        <v>27</v>
      </c>
      <c r="B1960" s="62" t="s">
        <v>37</v>
      </c>
      <c r="C1960" s="62" t="s">
        <v>23</v>
      </c>
      <c r="D1960" s="62" t="s">
        <v>46</v>
      </c>
      <c r="E1960" s="62" t="s">
        <v>25</v>
      </c>
      <c r="F1960" s="62" t="s">
        <v>25</v>
      </c>
      <c r="G1960" s="62" t="s">
        <v>25</v>
      </c>
      <c r="H1960" s="62" t="s">
        <v>25</v>
      </c>
      <c r="I1960" s="75">
        <v>44470</v>
      </c>
      <c r="J1960" s="76">
        <f>EFEITO!$J$1960*EFEITO!$Y$1960</f>
        <v>0</v>
      </c>
      <c r="K1960" s="76">
        <f ca="1">EFEITO!$L$1960*EFEITO!$Z$1960</f>
        <v>91.724830179799028</v>
      </c>
      <c r="L1960" s="76">
        <f>EFEITO!$N$1960*EFEITO!$AA$1960</f>
        <v>69.222470283300524</v>
      </c>
      <c r="M1960" s="76">
        <f>$J$1960-EFEITO!$K$1960*EFEITO!$Y$1960</f>
        <v>0</v>
      </c>
      <c r="N1960" s="76">
        <f ca="1">$K$1960-EFEITO!$M$1960*EFEITO!$Z$1960</f>
        <v>0</v>
      </c>
      <c r="O1960" s="76">
        <f>$L$1960-EFEITO!$O$1960*EFEITO!$AA$1960</f>
        <v>0</v>
      </c>
      <c r="P1960" s="18"/>
      <c r="Q1960" s="18"/>
      <c r="R1960" s="18"/>
      <c r="S1960" s="18"/>
      <c r="T1960" s="18"/>
      <c r="U1960" s="18"/>
      <c r="V1960" s="18"/>
      <c r="W1960" s="18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</row>
    <row r="1961" spans="1:36" ht="11.25" customHeight="1" x14ac:dyDescent="0.2">
      <c r="A1961" s="62" t="s">
        <v>28</v>
      </c>
      <c r="B1961" s="62" t="s">
        <v>37</v>
      </c>
      <c r="C1961" s="62" t="s">
        <v>23</v>
      </c>
      <c r="D1961" s="62" t="s">
        <v>46</v>
      </c>
      <c r="E1961" s="62" t="s">
        <v>25</v>
      </c>
      <c r="F1961" s="62" t="s">
        <v>25</v>
      </c>
      <c r="G1961" s="62" t="s">
        <v>25</v>
      </c>
      <c r="H1961" s="62" t="s">
        <v>25</v>
      </c>
      <c r="I1961" s="75">
        <v>44470</v>
      </c>
      <c r="J1961" s="76">
        <f>EFEITO!$J$1961*EFEITO!$Y$1961</f>
        <v>0</v>
      </c>
      <c r="K1961" s="76">
        <f ca="1">EFEITO!$L$1961*EFEITO!$Z$1961</f>
        <v>2319.3278488320611</v>
      </c>
      <c r="L1961" s="76">
        <f>EFEITO!$N$1961*EFEITO!$AA$1961</f>
        <v>1750.3396057348848</v>
      </c>
      <c r="M1961" s="76">
        <f>$J$1961-EFEITO!$K$1961*EFEITO!$Y$1961</f>
        <v>0</v>
      </c>
      <c r="N1961" s="76">
        <f ca="1">$K$1961-EFEITO!$M$1961*EFEITO!$Z$1961</f>
        <v>0</v>
      </c>
      <c r="O1961" s="76">
        <f>$L$1961-EFEITO!$O$1961*EFEITO!$AA$1961</f>
        <v>0</v>
      </c>
      <c r="P1961" s="18"/>
      <c r="Q1961" s="18"/>
      <c r="R1961" s="18"/>
      <c r="S1961" s="18"/>
      <c r="T1961" s="18"/>
      <c r="U1961" s="18"/>
      <c r="V1961" s="18"/>
      <c r="W1961" s="18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</row>
    <row r="1962" spans="1:36" ht="11.25" customHeight="1" x14ac:dyDescent="0.2">
      <c r="A1962" s="62" t="s">
        <v>21</v>
      </c>
      <c r="B1962" s="62" t="s">
        <v>37</v>
      </c>
      <c r="C1962" s="62" t="s">
        <v>23</v>
      </c>
      <c r="D1962" s="62" t="s">
        <v>46</v>
      </c>
      <c r="E1962" s="62" t="s">
        <v>25</v>
      </c>
      <c r="F1962" s="62" t="s">
        <v>25</v>
      </c>
      <c r="G1962" s="62" t="s">
        <v>25</v>
      </c>
      <c r="H1962" s="62" t="s">
        <v>25</v>
      </c>
      <c r="I1962" s="75">
        <v>44501</v>
      </c>
      <c r="J1962" s="76">
        <f>EFEITO!$J$1962*EFEITO!$Y$1962</f>
        <v>0</v>
      </c>
      <c r="K1962" s="76">
        <f ca="1">EFEITO!$L$1962*EFEITO!$Z$1962</f>
        <v>892640.71378527838</v>
      </c>
      <c r="L1962" s="76">
        <f>EFEITO!$N$1962*EFEITO!$AA$1962</f>
        <v>673653.9622100502</v>
      </c>
      <c r="M1962" s="76">
        <f>$J$1962-EFEITO!$K$1962*EFEITO!$Y$1962</f>
        <v>0</v>
      </c>
      <c r="N1962" s="76">
        <f ca="1">$K$1962-EFEITO!$M$1962*EFEITO!$Z$1962</f>
        <v>0</v>
      </c>
      <c r="O1962" s="76">
        <f>$L$1962-EFEITO!$O$1962*EFEITO!$AA$1962</f>
        <v>0</v>
      </c>
      <c r="P1962" s="18"/>
      <c r="Q1962" s="18"/>
      <c r="R1962" s="18"/>
      <c r="S1962" s="18"/>
      <c r="T1962" s="18"/>
      <c r="U1962" s="18"/>
      <c r="V1962" s="18"/>
      <c r="W1962" s="18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</row>
    <row r="1963" spans="1:36" ht="11.25" customHeight="1" x14ac:dyDescent="0.2">
      <c r="A1963" s="62" t="s">
        <v>27</v>
      </c>
      <c r="B1963" s="62" t="s">
        <v>37</v>
      </c>
      <c r="C1963" s="62" t="s">
        <v>23</v>
      </c>
      <c r="D1963" s="62" t="s">
        <v>46</v>
      </c>
      <c r="E1963" s="62" t="s">
        <v>25</v>
      </c>
      <c r="F1963" s="62" t="s">
        <v>25</v>
      </c>
      <c r="G1963" s="62" t="s">
        <v>25</v>
      </c>
      <c r="H1963" s="62" t="s">
        <v>25</v>
      </c>
      <c r="I1963" s="75">
        <v>44501</v>
      </c>
      <c r="J1963" s="76">
        <f>EFEITO!$J$1963*EFEITO!$Y$1963</f>
        <v>0</v>
      </c>
      <c r="K1963" s="76">
        <f ca="1">EFEITO!$L$1963*EFEITO!$Z$1963</f>
        <v>64.207381125859328</v>
      </c>
      <c r="L1963" s="76">
        <f>EFEITO!$N$1963*EFEITO!$AA$1963</f>
        <v>48.455729198310372</v>
      </c>
      <c r="M1963" s="76">
        <f>$J$1963-EFEITO!$K$1963*EFEITO!$Y$1963</f>
        <v>0</v>
      </c>
      <c r="N1963" s="76">
        <f ca="1">$K$1963-EFEITO!$M$1963*EFEITO!$Z$1963</f>
        <v>0</v>
      </c>
      <c r="O1963" s="76">
        <f>$L$1963-EFEITO!$O$1963*EFEITO!$AA$1963</f>
        <v>0</v>
      </c>
      <c r="P1963" s="18"/>
      <c r="Q1963" s="18"/>
      <c r="R1963" s="18"/>
      <c r="S1963" s="18"/>
      <c r="T1963" s="18"/>
      <c r="U1963" s="18"/>
      <c r="V1963" s="18"/>
      <c r="W1963" s="18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</row>
    <row r="1964" spans="1:36" ht="11.25" customHeight="1" x14ac:dyDescent="0.2">
      <c r="A1964" s="62" t="s">
        <v>28</v>
      </c>
      <c r="B1964" s="62" t="s">
        <v>37</v>
      </c>
      <c r="C1964" s="62" t="s">
        <v>23</v>
      </c>
      <c r="D1964" s="62" t="s">
        <v>46</v>
      </c>
      <c r="E1964" s="62" t="s">
        <v>25</v>
      </c>
      <c r="F1964" s="62" t="s">
        <v>25</v>
      </c>
      <c r="G1964" s="62" t="s">
        <v>25</v>
      </c>
      <c r="H1964" s="62" t="s">
        <v>25</v>
      </c>
      <c r="I1964" s="75">
        <v>44501</v>
      </c>
      <c r="J1964" s="76">
        <f>EFEITO!$J$1964*EFEITO!$Y$1964</f>
        <v>0</v>
      </c>
      <c r="K1964" s="76">
        <f ca="1">EFEITO!$L$1964*EFEITO!$Z$1964</f>
        <v>3876.4660373605543</v>
      </c>
      <c r="L1964" s="76">
        <f>EFEITO!$N$1964*EFEITO!$AA$1964</f>
        <v>2925.4734464966295</v>
      </c>
      <c r="M1964" s="76">
        <f>$J$1964-EFEITO!$K$1964*EFEITO!$Y$1964</f>
        <v>0</v>
      </c>
      <c r="N1964" s="76">
        <f ca="1">$K$1964-EFEITO!$M$1964*EFEITO!$Z$1964</f>
        <v>0</v>
      </c>
      <c r="O1964" s="76">
        <f>$L$1964-EFEITO!$O$1964*EFEITO!$AA$1964</f>
        <v>0</v>
      </c>
      <c r="P1964" s="18"/>
      <c r="Q1964" s="18"/>
      <c r="R1964" s="18"/>
      <c r="S1964" s="18"/>
      <c r="T1964" s="18"/>
      <c r="U1964" s="18"/>
      <c r="V1964" s="18"/>
      <c r="W1964" s="18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</row>
    <row r="1965" spans="1:36" ht="11.25" customHeight="1" x14ac:dyDescent="0.2">
      <c r="A1965" s="62" t="s">
        <v>21</v>
      </c>
      <c r="B1965" s="62" t="s">
        <v>37</v>
      </c>
      <c r="C1965" s="62" t="s">
        <v>23</v>
      </c>
      <c r="D1965" s="62" t="s">
        <v>46</v>
      </c>
      <c r="E1965" s="62" t="s">
        <v>25</v>
      </c>
      <c r="F1965" s="62" t="s">
        <v>25</v>
      </c>
      <c r="G1965" s="62" t="s">
        <v>25</v>
      </c>
      <c r="H1965" s="62" t="s">
        <v>25</v>
      </c>
      <c r="I1965" s="75">
        <v>44531</v>
      </c>
      <c r="J1965" s="76">
        <f>EFEITO!$J$1965*EFEITO!$Y$1965</f>
        <v>0</v>
      </c>
      <c r="K1965" s="76">
        <f ca="1">EFEITO!$L$1965*EFEITO!$Z$1965</f>
        <v>1059327.0062521596</v>
      </c>
      <c r="L1965" s="76">
        <f>EFEITO!$N$1965*EFEITO!$AA$1965</f>
        <v>799448.00188616174</v>
      </c>
      <c r="M1965" s="76">
        <f>$J$1965-EFEITO!$K$1965*EFEITO!$Y$1965</f>
        <v>0</v>
      </c>
      <c r="N1965" s="76">
        <f ca="1">$K$1965-EFEITO!$M$1965*EFEITO!$Z$1965</f>
        <v>0</v>
      </c>
      <c r="O1965" s="76">
        <f>$L$1965-EFEITO!$O$1965*EFEITO!$AA$1965</f>
        <v>0</v>
      </c>
      <c r="P1965" s="18"/>
      <c r="Q1965" s="18"/>
      <c r="R1965" s="18"/>
      <c r="S1965" s="18"/>
      <c r="T1965" s="18"/>
      <c r="U1965" s="18"/>
      <c r="V1965" s="18"/>
      <c r="W1965" s="18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</row>
    <row r="1966" spans="1:36" ht="11.25" customHeight="1" x14ac:dyDescent="0.2">
      <c r="A1966" s="62" t="s">
        <v>27</v>
      </c>
      <c r="B1966" s="62" t="s">
        <v>37</v>
      </c>
      <c r="C1966" s="62" t="s">
        <v>23</v>
      </c>
      <c r="D1966" s="62" t="s">
        <v>46</v>
      </c>
      <c r="E1966" s="62" t="s">
        <v>25</v>
      </c>
      <c r="F1966" s="62" t="s">
        <v>25</v>
      </c>
      <c r="G1966" s="62" t="s">
        <v>25</v>
      </c>
      <c r="H1966" s="62" t="s">
        <v>25</v>
      </c>
      <c r="I1966" s="75">
        <v>44531</v>
      </c>
      <c r="J1966" s="76">
        <f>EFEITO!$J$1966*EFEITO!$Y$1966</f>
        <v>0</v>
      </c>
      <c r="K1966" s="76">
        <f ca="1">EFEITO!$L$1966*EFEITO!$Z$1966</f>
        <v>-1008.0995621665531</v>
      </c>
      <c r="L1966" s="76">
        <f>EFEITO!$N$1966*EFEITO!$AA$1966</f>
        <v>-760.78791149456015</v>
      </c>
      <c r="M1966" s="76">
        <f>$J$1966-EFEITO!$K$1966*EFEITO!$Y$1966</f>
        <v>0</v>
      </c>
      <c r="N1966" s="76">
        <f ca="1">$K$1966-EFEITO!$M$1966*EFEITO!$Z$1966</f>
        <v>0</v>
      </c>
      <c r="O1966" s="76">
        <f>$L$1966-EFEITO!$O$1966*EFEITO!$AA$1966</f>
        <v>0</v>
      </c>
      <c r="P1966" s="18"/>
      <c r="Q1966" s="18"/>
      <c r="R1966" s="18"/>
      <c r="S1966" s="18"/>
      <c r="T1966" s="18"/>
      <c r="U1966" s="18"/>
      <c r="V1966" s="18"/>
      <c r="W1966" s="18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</row>
    <row r="1967" spans="1:36" ht="11.25" customHeight="1" x14ac:dyDescent="0.2">
      <c r="A1967" s="62" t="s">
        <v>28</v>
      </c>
      <c r="B1967" s="62" t="s">
        <v>37</v>
      </c>
      <c r="C1967" s="62" t="s">
        <v>23</v>
      </c>
      <c r="D1967" s="62" t="s">
        <v>46</v>
      </c>
      <c r="E1967" s="62" t="s">
        <v>25</v>
      </c>
      <c r="F1967" s="62" t="s">
        <v>25</v>
      </c>
      <c r="G1967" s="62" t="s">
        <v>25</v>
      </c>
      <c r="H1967" s="62" t="s">
        <v>25</v>
      </c>
      <c r="I1967" s="75">
        <v>44531</v>
      </c>
      <c r="J1967" s="76">
        <f>EFEITO!$J$1967*EFEITO!$Y$1967</f>
        <v>0</v>
      </c>
      <c r="K1967" s="76">
        <f ca="1">EFEITO!$L$1967*EFEITO!$Z$1967</f>
        <v>6984.1906408332698</v>
      </c>
      <c r="L1967" s="76">
        <f>EFEITO!$N$1967*EFEITO!$AA$1967</f>
        <v>5270.7966658570267</v>
      </c>
      <c r="M1967" s="76">
        <f>$J$1967-EFEITO!$K$1967*EFEITO!$Y$1967</f>
        <v>0</v>
      </c>
      <c r="N1967" s="76">
        <f ca="1">$K$1967-EFEITO!$M$1967*EFEITO!$Z$1967</f>
        <v>0</v>
      </c>
      <c r="O1967" s="76">
        <f>$L$1967-EFEITO!$O$1967*EFEITO!$AA$1967</f>
        <v>0</v>
      </c>
      <c r="P1967" s="18"/>
      <c r="Q1967" s="18"/>
      <c r="R1967" s="18"/>
      <c r="S1967" s="18"/>
      <c r="T1967" s="18"/>
      <c r="U1967" s="18"/>
      <c r="V1967" s="18"/>
      <c r="W1967" s="18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</row>
    <row r="1968" spans="1:36" ht="11.25" customHeight="1" x14ac:dyDescent="0.2">
      <c r="A1968" s="62" t="s">
        <v>21</v>
      </c>
      <c r="B1968" s="62" t="s">
        <v>37</v>
      </c>
      <c r="C1968" s="62" t="s">
        <v>23</v>
      </c>
      <c r="D1968" s="62" t="s">
        <v>46</v>
      </c>
      <c r="E1968" s="62" t="s">
        <v>25</v>
      </c>
      <c r="F1968" s="62" t="s">
        <v>25</v>
      </c>
      <c r="G1968" s="62" t="s">
        <v>25</v>
      </c>
      <c r="H1968" s="62" t="s">
        <v>25</v>
      </c>
      <c r="I1968" s="75">
        <v>44562</v>
      </c>
      <c r="J1968" s="76">
        <f>EFEITO!$J$1968*EFEITO!$Y$1968</f>
        <v>0</v>
      </c>
      <c r="K1968" s="76">
        <f ca="1">EFEITO!$L$1968*EFEITO!$Z$1968</f>
        <v>925391.7195783339</v>
      </c>
      <c r="L1968" s="76">
        <f>EFEITO!$N$1968*EFEITO!$AA$1968</f>
        <v>698370.33967091888</v>
      </c>
      <c r="M1968" s="76">
        <f>$J$1968-EFEITO!$K$1968*EFEITO!$Y$1968</f>
        <v>0</v>
      </c>
      <c r="N1968" s="76">
        <f ca="1">$K$1968-EFEITO!$M$1968*EFEITO!$Z$1968</f>
        <v>0</v>
      </c>
      <c r="O1968" s="76">
        <f>$L$1968-EFEITO!$O$1968*EFEITO!$AA$1968</f>
        <v>0</v>
      </c>
      <c r="P1968" s="18"/>
      <c r="Q1968" s="18"/>
      <c r="R1968" s="18"/>
      <c r="S1968" s="18"/>
      <c r="T1968" s="18"/>
      <c r="U1968" s="18"/>
      <c r="V1968" s="18"/>
      <c r="W1968" s="18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</row>
    <row r="1969" spans="1:36" ht="11.25" customHeight="1" x14ac:dyDescent="0.2">
      <c r="A1969" s="62" t="s">
        <v>27</v>
      </c>
      <c r="B1969" s="62" t="s">
        <v>37</v>
      </c>
      <c r="C1969" s="62" t="s">
        <v>23</v>
      </c>
      <c r="D1969" s="62" t="s">
        <v>46</v>
      </c>
      <c r="E1969" s="62" t="s">
        <v>25</v>
      </c>
      <c r="F1969" s="62" t="s">
        <v>25</v>
      </c>
      <c r="G1969" s="62" t="s">
        <v>25</v>
      </c>
      <c r="H1969" s="62" t="s">
        <v>25</v>
      </c>
      <c r="I1969" s="75">
        <v>44562</v>
      </c>
      <c r="J1969" s="76">
        <f>EFEITO!$J$1969*EFEITO!$Y$1969</f>
        <v>0</v>
      </c>
      <c r="K1969" s="76">
        <f ca="1">EFEITO!$L$1969*EFEITO!$Z$1969</f>
        <v>42.804920750572883</v>
      </c>
      <c r="L1969" s="76">
        <f>EFEITO!$N$1969*EFEITO!$AA$1969</f>
        <v>32.303819465540251</v>
      </c>
      <c r="M1969" s="76">
        <f>$J$1969-EFEITO!$K$1969*EFEITO!$Y$1969</f>
        <v>0</v>
      </c>
      <c r="N1969" s="76">
        <f ca="1">$K$1969-EFEITO!$M$1969*EFEITO!$Z$1969</f>
        <v>0</v>
      </c>
      <c r="O1969" s="76">
        <f>$L$1969-EFEITO!$O$1969*EFEITO!$AA$1969</f>
        <v>0</v>
      </c>
      <c r="P1969" s="18"/>
      <c r="Q1969" s="18"/>
      <c r="R1969" s="18"/>
      <c r="S1969" s="18"/>
      <c r="T1969" s="18"/>
      <c r="U1969" s="18"/>
      <c r="V1969" s="18"/>
      <c r="W1969" s="18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</row>
    <row r="1970" spans="1:36" ht="11.25" customHeight="1" x14ac:dyDescent="0.2">
      <c r="A1970" s="62" t="s">
        <v>28</v>
      </c>
      <c r="B1970" s="62" t="s">
        <v>37</v>
      </c>
      <c r="C1970" s="62" t="s">
        <v>23</v>
      </c>
      <c r="D1970" s="62" t="s">
        <v>46</v>
      </c>
      <c r="E1970" s="62" t="s">
        <v>25</v>
      </c>
      <c r="F1970" s="62" t="s">
        <v>25</v>
      </c>
      <c r="G1970" s="62" t="s">
        <v>25</v>
      </c>
      <c r="H1970" s="62" t="s">
        <v>25</v>
      </c>
      <c r="I1970" s="75">
        <v>44562</v>
      </c>
      <c r="J1970" s="76">
        <f>EFEITO!$J$1970*EFEITO!$Y$1970</f>
        <v>0</v>
      </c>
      <c r="K1970" s="76">
        <f ca="1">EFEITO!$L$1970*EFEITO!$Z$1970</f>
        <v>4438.6082108910377</v>
      </c>
      <c r="L1970" s="76">
        <f>EFEITO!$N$1970*EFEITO!$AA$1970</f>
        <v>3349.7083000900002</v>
      </c>
      <c r="M1970" s="76">
        <f>$J$1970-EFEITO!$K$1970*EFEITO!$Y$1970</f>
        <v>0</v>
      </c>
      <c r="N1970" s="76">
        <f ca="1">$K$1970-EFEITO!$M$1970*EFEITO!$Z$1970</f>
        <v>0</v>
      </c>
      <c r="O1970" s="76">
        <f>$L$1970-EFEITO!$O$1970*EFEITO!$AA$1970</f>
        <v>0</v>
      </c>
      <c r="P1970" s="18"/>
      <c r="Q1970" s="18"/>
      <c r="R1970" s="18"/>
      <c r="S1970" s="18"/>
      <c r="T1970" s="18"/>
      <c r="U1970" s="18"/>
      <c r="V1970" s="18"/>
      <c r="W1970" s="18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</row>
    <row r="1971" spans="1:36" ht="11.25" customHeight="1" x14ac:dyDescent="0.2">
      <c r="A1971" s="62" t="s">
        <v>21</v>
      </c>
      <c r="B1971" s="62" t="s">
        <v>37</v>
      </c>
      <c r="C1971" s="62" t="s">
        <v>23</v>
      </c>
      <c r="D1971" s="62" t="s">
        <v>46</v>
      </c>
      <c r="E1971" s="62" t="s">
        <v>25</v>
      </c>
      <c r="F1971" s="62" t="s">
        <v>25</v>
      </c>
      <c r="G1971" s="62" t="s">
        <v>25</v>
      </c>
      <c r="H1971" s="62" t="s">
        <v>25</v>
      </c>
      <c r="I1971" s="75">
        <v>44593</v>
      </c>
      <c r="J1971" s="76">
        <f>EFEITO!$J$1971*EFEITO!$Y$1971</f>
        <v>0</v>
      </c>
      <c r="K1971" s="76">
        <f ca="1">EFEITO!$L$1971*EFEITO!$Z$1971</f>
        <v>1015358.4905130203</v>
      </c>
      <c r="L1971" s="76">
        <f>EFEITO!$N$1971*EFEITO!$AA$1971</f>
        <v>766266.04594045621</v>
      </c>
      <c r="M1971" s="76">
        <f>$J$1971-EFEITO!$K$1971*EFEITO!$Y$1971</f>
        <v>0</v>
      </c>
      <c r="N1971" s="76">
        <f ca="1">$K$1971-EFEITO!$M$1971*EFEITO!$Z$1971</f>
        <v>0</v>
      </c>
      <c r="O1971" s="76">
        <f>$L$1971-EFEITO!$O$1971*EFEITO!$AA$1971</f>
        <v>0</v>
      </c>
      <c r="P1971" s="18"/>
      <c r="Q1971" s="18"/>
      <c r="R1971" s="18"/>
      <c r="S1971" s="18"/>
      <c r="T1971" s="18"/>
      <c r="U1971" s="18"/>
      <c r="V1971" s="18"/>
      <c r="W1971" s="18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</row>
    <row r="1972" spans="1:36" ht="11.25" customHeight="1" x14ac:dyDescent="0.2">
      <c r="A1972" s="62" t="s">
        <v>27</v>
      </c>
      <c r="B1972" s="62" t="s">
        <v>37</v>
      </c>
      <c r="C1972" s="62" t="s">
        <v>23</v>
      </c>
      <c r="D1972" s="62" t="s">
        <v>46</v>
      </c>
      <c r="E1972" s="62" t="s">
        <v>25</v>
      </c>
      <c r="F1972" s="62" t="s">
        <v>25</v>
      </c>
      <c r="G1972" s="62" t="s">
        <v>25</v>
      </c>
      <c r="H1972" s="62" t="s">
        <v>25</v>
      </c>
      <c r="I1972" s="75">
        <v>44593</v>
      </c>
      <c r="J1972" s="76">
        <f>EFEITO!$J$1972*EFEITO!$Y$1972</f>
        <v>0</v>
      </c>
      <c r="K1972" s="76">
        <f ca="1">EFEITO!$L$1972*EFEITO!$Z$1972</f>
        <v>-973.15676971710604</v>
      </c>
      <c r="L1972" s="76">
        <f>EFEITO!$N$1972*EFEITO!$AA$1972</f>
        <v>-734.4174466247315</v>
      </c>
      <c r="M1972" s="76">
        <f>$J$1972-EFEITO!$K$1972*EFEITO!$Y$1972</f>
        <v>0</v>
      </c>
      <c r="N1972" s="76">
        <f ca="1">$K$1972-EFEITO!$M$1972*EFEITO!$Z$1972</f>
        <v>0</v>
      </c>
      <c r="O1972" s="76">
        <f>$L$1972-EFEITO!$O$1972*EFEITO!$AA$1972</f>
        <v>0</v>
      </c>
      <c r="P1972" s="18"/>
      <c r="Q1972" s="18"/>
      <c r="R1972" s="18"/>
      <c r="S1972" s="18"/>
      <c r="T1972" s="18"/>
      <c r="U1972" s="18"/>
      <c r="V1972" s="18"/>
      <c r="W1972" s="18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</row>
    <row r="1973" spans="1:36" ht="11.25" customHeight="1" x14ac:dyDescent="0.2">
      <c r="A1973" s="62" t="s">
        <v>28</v>
      </c>
      <c r="B1973" s="62" t="s">
        <v>37</v>
      </c>
      <c r="C1973" s="62" t="s">
        <v>23</v>
      </c>
      <c r="D1973" s="62" t="s">
        <v>46</v>
      </c>
      <c r="E1973" s="62" t="s">
        <v>25</v>
      </c>
      <c r="F1973" s="62" t="s">
        <v>25</v>
      </c>
      <c r="G1973" s="62" t="s">
        <v>25</v>
      </c>
      <c r="H1973" s="62" t="s">
        <v>25</v>
      </c>
      <c r="I1973" s="75">
        <v>44593</v>
      </c>
      <c r="J1973" s="76">
        <f>EFEITO!$J$1973*EFEITO!$Y$1973</f>
        <v>0</v>
      </c>
      <c r="K1973" s="76">
        <f ca="1">EFEITO!$L$1973*EFEITO!$Z$1973</f>
        <v>4573.5747467270276</v>
      </c>
      <c r="L1973" s="76">
        <f>EFEITO!$N$1973*EFEITO!$AA$1973</f>
        <v>3451.5642206497137</v>
      </c>
      <c r="M1973" s="76">
        <f>$J$1973-EFEITO!$K$1973*EFEITO!$Y$1973</f>
        <v>0</v>
      </c>
      <c r="N1973" s="76">
        <f ca="1">$K$1973-EFEITO!$M$1973*EFEITO!$Z$1973</f>
        <v>0</v>
      </c>
      <c r="O1973" s="76">
        <f>$L$1973-EFEITO!$O$1973*EFEITO!$AA$1973</f>
        <v>0</v>
      </c>
      <c r="P1973" s="18"/>
      <c r="Q1973" s="18"/>
      <c r="R1973" s="18"/>
      <c r="S1973" s="18"/>
      <c r="T1973" s="18"/>
      <c r="U1973" s="18"/>
      <c r="V1973" s="18"/>
      <c r="W1973" s="18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</row>
    <row r="1974" spans="1:36" ht="11.25" customHeight="1" x14ac:dyDescent="0.2">
      <c r="A1974" s="62" t="s">
        <v>21</v>
      </c>
      <c r="B1974" s="62" t="s">
        <v>37</v>
      </c>
      <c r="C1974" s="62" t="s">
        <v>23</v>
      </c>
      <c r="D1974" s="62" t="s">
        <v>46</v>
      </c>
      <c r="E1974" s="62" t="s">
        <v>25</v>
      </c>
      <c r="F1974" s="62" t="s">
        <v>25</v>
      </c>
      <c r="G1974" s="62" t="s">
        <v>25</v>
      </c>
      <c r="H1974" s="62" t="s">
        <v>25</v>
      </c>
      <c r="I1974" s="75">
        <v>44621</v>
      </c>
      <c r="J1974" s="76">
        <f>EFEITO!$J$1974*EFEITO!$Y$1974</f>
        <v>0</v>
      </c>
      <c r="K1974" s="76">
        <f ca="1">EFEITO!$L$1974*EFEITO!$Z$1974</f>
        <v>1217596.0168028749</v>
      </c>
      <c r="L1974" s="76">
        <f>EFEITO!$N$1974*EFEITO!$AA$1974</f>
        <v>918889.72620594245</v>
      </c>
      <c r="M1974" s="76">
        <f>$J$1974-EFEITO!$K$1974*EFEITO!$Y$1974</f>
        <v>0</v>
      </c>
      <c r="N1974" s="76">
        <f ca="1">$K$1974-EFEITO!$M$1974*EFEITO!$Z$1974</f>
        <v>0</v>
      </c>
      <c r="O1974" s="76">
        <f>$L$1974-EFEITO!$O$1974*EFEITO!$AA$1974</f>
        <v>0</v>
      </c>
      <c r="P1974" s="18"/>
      <c r="Q1974" s="18"/>
      <c r="R1974" s="18"/>
      <c r="S1974" s="18"/>
      <c r="T1974" s="18"/>
      <c r="U1974" s="18"/>
      <c r="V1974" s="18"/>
      <c r="W1974" s="18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</row>
    <row r="1975" spans="1:36" ht="11.25" customHeight="1" x14ac:dyDescent="0.2">
      <c r="A1975" s="62" t="s">
        <v>27</v>
      </c>
      <c r="B1975" s="62" t="s">
        <v>37</v>
      </c>
      <c r="C1975" s="62" t="s">
        <v>23</v>
      </c>
      <c r="D1975" s="62" t="s">
        <v>46</v>
      </c>
      <c r="E1975" s="62" t="s">
        <v>25</v>
      </c>
      <c r="F1975" s="62" t="s">
        <v>25</v>
      </c>
      <c r="G1975" s="62" t="s">
        <v>25</v>
      </c>
      <c r="H1975" s="62" t="s">
        <v>25</v>
      </c>
      <c r="I1975" s="75">
        <v>44621</v>
      </c>
      <c r="J1975" s="76">
        <f>EFEITO!$J$1975*EFEITO!$Y$1975</f>
        <v>0</v>
      </c>
      <c r="K1975" s="76">
        <f ca="1">EFEITO!$L$1975*EFEITO!$Z$1975</f>
        <v>-12165.76997618068</v>
      </c>
      <c r="L1975" s="76">
        <f>EFEITO!$N$1975*EFEITO!$AA$1975</f>
        <v>-9181.206975241761</v>
      </c>
      <c r="M1975" s="76">
        <f>$J$1975-EFEITO!$K$1975*EFEITO!$Y$1975</f>
        <v>0</v>
      </c>
      <c r="N1975" s="76">
        <f ca="1">$K$1975-EFEITO!$M$1975*EFEITO!$Z$1975</f>
        <v>0</v>
      </c>
      <c r="O1975" s="76">
        <f>$L$1975-EFEITO!$O$1975*EFEITO!$AA$1975</f>
        <v>0</v>
      </c>
      <c r="P1975" s="18"/>
      <c r="Q1975" s="18"/>
      <c r="R1975" s="18"/>
      <c r="S1975" s="18"/>
      <c r="T1975" s="18"/>
      <c r="U1975" s="18"/>
      <c r="V1975" s="18"/>
      <c r="W1975" s="18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</row>
    <row r="1976" spans="1:36" ht="11.25" customHeight="1" x14ac:dyDescent="0.2">
      <c r="A1976" s="62" t="s">
        <v>28</v>
      </c>
      <c r="B1976" s="62" t="s">
        <v>37</v>
      </c>
      <c r="C1976" s="62" t="s">
        <v>23</v>
      </c>
      <c r="D1976" s="62" t="s">
        <v>46</v>
      </c>
      <c r="E1976" s="62" t="s">
        <v>25</v>
      </c>
      <c r="F1976" s="62" t="s">
        <v>25</v>
      </c>
      <c r="G1976" s="62" t="s">
        <v>25</v>
      </c>
      <c r="H1976" s="62" t="s">
        <v>25</v>
      </c>
      <c r="I1976" s="75">
        <v>44621</v>
      </c>
      <c r="J1976" s="76">
        <f>EFEITO!$J$1976*EFEITO!$Y$1976</f>
        <v>0</v>
      </c>
      <c r="K1976" s="76">
        <f ca="1">EFEITO!$L$1976*EFEITO!$Z$1976</f>
        <v>7152.7896144018532</v>
      </c>
      <c r="L1976" s="76">
        <f>EFEITO!$N$1976*EFEITO!$AA$1976</f>
        <v>5398.0341588539504</v>
      </c>
      <c r="M1976" s="76">
        <f>$J$1976-EFEITO!$K$1976*EFEITO!$Y$1976</f>
        <v>0</v>
      </c>
      <c r="N1976" s="76">
        <f ca="1">$K$1976-EFEITO!$M$1976*EFEITO!$Z$1976</f>
        <v>0</v>
      </c>
      <c r="O1976" s="76">
        <f>$L$1976-EFEITO!$O$1976*EFEITO!$AA$1976</f>
        <v>0</v>
      </c>
      <c r="P1976" s="18"/>
      <c r="Q1976" s="18"/>
      <c r="R1976" s="18"/>
      <c r="S1976" s="18"/>
      <c r="T1976" s="18"/>
      <c r="U1976" s="18"/>
      <c r="V1976" s="18"/>
      <c r="W1976" s="18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</row>
    <row r="1977" spans="1:36" ht="11.25" customHeight="1" x14ac:dyDescent="0.2">
      <c r="A1977" s="62" t="s">
        <v>21</v>
      </c>
      <c r="B1977" s="62" t="s">
        <v>37</v>
      </c>
      <c r="C1977" s="62" t="s">
        <v>23</v>
      </c>
      <c r="D1977" s="62" t="s">
        <v>46</v>
      </c>
      <c r="E1977" s="62" t="s">
        <v>25</v>
      </c>
      <c r="F1977" s="62" t="s">
        <v>25</v>
      </c>
      <c r="G1977" s="62" t="s">
        <v>25</v>
      </c>
      <c r="H1977" s="62" t="s">
        <v>25</v>
      </c>
      <c r="I1977" s="75">
        <v>44652</v>
      </c>
      <c r="J1977" s="76">
        <f>EFEITO!$J$1977*EFEITO!$Y$1977</f>
        <v>0</v>
      </c>
      <c r="K1977" s="76">
        <f ca="1">EFEITO!$L$1977*EFEITO!$Z$1977</f>
        <v>1192689.2311298146</v>
      </c>
      <c r="L1977" s="76">
        <f>EFEITO!$N$1977*EFEITO!$AA$1977</f>
        <v>900093.18847753946</v>
      </c>
      <c r="M1977" s="76">
        <f>$J$1977-EFEITO!$K$1977*EFEITO!$Y$1977</f>
        <v>0</v>
      </c>
      <c r="N1977" s="76">
        <f ca="1">$K$1977-EFEITO!$M$1977*EFEITO!$Z$1977</f>
        <v>0</v>
      </c>
      <c r="O1977" s="76">
        <f>$L$1977-EFEITO!$O$1977*EFEITO!$AA$1977</f>
        <v>0</v>
      </c>
      <c r="P1977" s="18"/>
      <c r="Q1977" s="18"/>
      <c r="R1977" s="18"/>
      <c r="S1977" s="18"/>
      <c r="T1977" s="18"/>
      <c r="U1977" s="18"/>
      <c r="V1977" s="18"/>
      <c r="W1977" s="18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</row>
    <row r="1978" spans="1:36" ht="11.25" customHeight="1" x14ac:dyDescent="0.2">
      <c r="A1978" s="62" t="s">
        <v>27</v>
      </c>
      <c r="B1978" s="62" t="s">
        <v>37</v>
      </c>
      <c r="C1978" s="62" t="s">
        <v>23</v>
      </c>
      <c r="D1978" s="62" t="s">
        <v>46</v>
      </c>
      <c r="E1978" s="62" t="s">
        <v>25</v>
      </c>
      <c r="F1978" s="62" t="s">
        <v>25</v>
      </c>
      <c r="G1978" s="62" t="s">
        <v>25</v>
      </c>
      <c r="H1978" s="62" t="s">
        <v>25</v>
      </c>
      <c r="I1978" s="75">
        <v>44652</v>
      </c>
      <c r="J1978" s="76">
        <f>EFEITO!$J$1978*EFEITO!$Y$1978</f>
        <v>0</v>
      </c>
      <c r="K1978" s="76">
        <f ca="1">EFEITO!$L$1978*EFEITO!$Z$1978</f>
        <v>966.1682112272166</v>
      </c>
      <c r="L1978" s="76">
        <f>EFEITO!$N$1978*EFEITO!$AA$1978</f>
        <v>729.14335365076568</v>
      </c>
      <c r="M1978" s="76">
        <f>$J$1978-EFEITO!$K$1978*EFEITO!$Y$1978</f>
        <v>0</v>
      </c>
      <c r="N1978" s="76">
        <f ca="1">$K$1978-EFEITO!$M$1978*EFEITO!$Z$1978</f>
        <v>0</v>
      </c>
      <c r="O1978" s="76">
        <f>$L$1978-EFEITO!$O$1978*EFEITO!$AA$1978</f>
        <v>0</v>
      </c>
      <c r="P1978" s="18"/>
      <c r="Q1978" s="18"/>
      <c r="R1978" s="18"/>
      <c r="S1978" s="18"/>
      <c r="T1978" s="18"/>
      <c r="U1978" s="18"/>
      <c r="V1978" s="18"/>
      <c r="W1978" s="18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</row>
    <row r="1979" spans="1:36" ht="11.25" customHeight="1" x14ac:dyDescent="0.2">
      <c r="A1979" s="62" t="s">
        <v>28</v>
      </c>
      <c r="B1979" s="62" t="s">
        <v>37</v>
      </c>
      <c r="C1979" s="62" t="s">
        <v>23</v>
      </c>
      <c r="D1979" s="62" t="s">
        <v>46</v>
      </c>
      <c r="E1979" s="62" t="s">
        <v>25</v>
      </c>
      <c r="F1979" s="62" t="s">
        <v>25</v>
      </c>
      <c r="G1979" s="62" t="s">
        <v>25</v>
      </c>
      <c r="H1979" s="62" t="s">
        <v>25</v>
      </c>
      <c r="I1979" s="75">
        <v>44652</v>
      </c>
      <c r="J1979" s="76">
        <f>EFEITO!$J$1979*EFEITO!$Y$1979</f>
        <v>0</v>
      </c>
      <c r="K1979" s="76">
        <f ca="1">EFEITO!$L$1979*EFEITO!$Z$1979</f>
        <v>5711.8362107677713</v>
      </c>
      <c r="L1979" s="76">
        <f>EFEITO!$N$1979*EFEITO!$AA$1979</f>
        <v>4310.5821137843859</v>
      </c>
      <c r="M1979" s="76">
        <f>$J$1979-EFEITO!$K$1979*EFEITO!$Y$1979</f>
        <v>0</v>
      </c>
      <c r="N1979" s="76">
        <f ca="1">$K$1979-EFEITO!$M$1979*EFEITO!$Z$1979</f>
        <v>0</v>
      </c>
      <c r="O1979" s="76">
        <f>$L$1979-EFEITO!$O$1979*EFEITO!$AA$1979</f>
        <v>0</v>
      </c>
      <c r="P1979" s="18"/>
      <c r="Q1979" s="18"/>
      <c r="R1979" s="18"/>
      <c r="S1979" s="18"/>
      <c r="T1979" s="18"/>
      <c r="U1979" s="18"/>
      <c r="V1979" s="18"/>
      <c r="W1979" s="18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</row>
    <row r="1980" spans="1:36" ht="11.25" customHeight="1" x14ac:dyDescent="0.2">
      <c r="A1980" s="62" t="s">
        <v>58</v>
      </c>
      <c r="B1980" s="62" t="s">
        <v>37</v>
      </c>
      <c r="C1980" s="62" t="s">
        <v>23</v>
      </c>
      <c r="D1980" s="62" t="s">
        <v>46</v>
      </c>
      <c r="E1980" s="62" t="s">
        <v>25</v>
      </c>
      <c r="F1980" s="62" t="s">
        <v>25</v>
      </c>
      <c r="G1980" s="62" t="s">
        <v>25</v>
      </c>
      <c r="H1980" s="62" t="s">
        <v>25</v>
      </c>
      <c r="I1980" s="75">
        <v>44682</v>
      </c>
      <c r="J1980" s="76">
        <f>EFEITO!$J$1980*EFEITO!$Y$1980</f>
        <v>0</v>
      </c>
      <c r="K1980" s="76">
        <f ca="1">EFEITO!$L$1980*EFEITO!$Z$1980</f>
        <v>1192689.2311298146</v>
      </c>
      <c r="L1980" s="76">
        <f>EFEITO!$N$1980*EFEITO!$AA$1980</f>
        <v>900093.18847753946</v>
      </c>
      <c r="M1980" s="76">
        <f>$J$1980-EFEITO!$K$1980*EFEITO!$Y$1980</f>
        <v>0</v>
      </c>
      <c r="N1980" s="76">
        <f ca="1">$K$1980-EFEITO!$M$1980*EFEITO!$Z$1980</f>
        <v>0</v>
      </c>
      <c r="O1980" s="76">
        <f>$L$1980-EFEITO!$O$1980*EFEITO!$AA$1980</f>
        <v>0</v>
      </c>
      <c r="P1980" s="18"/>
      <c r="Q1980" s="18"/>
      <c r="R1980" s="18"/>
      <c r="S1980" s="18"/>
      <c r="T1980" s="18"/>
      <c r="U1980" s="18"/>
      <c r="V1980" s="18"/>
      <c r="W1980" s="18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</row>
    <row r="1981" spans="1:36" ht="11.25" customHeight="1" x14ac:dyDescent="0.2">
      <c r="A1981" s="62" t="s">
        <v>58</v>
      </c>
      <c r="B1981" s="62" t="s">
        <v>37</v>
      </c>
      <c r="C1981" s="62" t="s">
        <v>23</v>
      </c>
      <c r="D1981" s="62" t="s">
        <v>46</v>
      </c>
      <c r="E1981" s="62" t="s">
        <v>25</v>
      </c>
      <c r="F1981" s="62" t="s">
        <v>25</v>
      </c>
      <c r="G1981" s="62" t="s">
        <v>25</v>
      </c>
      <c r="H1981" s="62" t="s">
        <v>25</v>
      </c>
      <c r="I1981" s="75">
        <v>44682</v>
      </c>
      <c r="J1981" s="76">
        <f>EFEITO!$J$1981*EFEITO!$Y$1981</f>
        <v>0</v>
      </c>
      <c r="K1981" s="76">
        <f ca="1">EFEITO!$L$1981*EFEITO!$Z$1981</f>
        <v>966.1682112272166</v>
      </c>
      <c r="L1981" s="76">
        <f>EFEITO!$N$1981*EFEITO!$AA$1981</f>
        <v>729.14335365076568</v>
      </c>
      <c r="M1981" s="76">
        <f>$J$1981-EFEITO!$K$1981*EFEITO!$Y$1981</f>
        <v>0</v>
      </c>
      <c r="N1981" s="76">
        <f ca="1">$K$1981-EFEITO!$M$1981*EFEITO!$Z$1981</f>
        <v>0</v>
      </c>
      <c r="O1981" s="76">
        <f>$L$1981-EFEITO!$O$1981*EFEITO!$AA$1981</f>
        <v>0</v>
      </c>
      <c r="P1981" s="18"/>
      <c r="Q1981" s="18"/>
      <c r="R1981" s="18"/>
      <c r="S1981" s="18"/>
      <c r="T1981" s="18"/>
      <c r="U1981" s="18"/>
      <c r="V1981" s="18"/>
      <c r="W1981" s="18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</row>
    <row r="1982" spans="1:36" ht="11.25" customHeight="1" x14ac:dyDescent="0.2">
      <c r="A1982" s="62" t="s">
        <v>58</v>
      </c>
      <c r="B1982" s="62" t="s">
        <v>37</v>
      </c>
      <c r="C1982" s="62" t="s">
        <v>23</v>
      </c>
      <c r="D1982" s="62" t="s">
        <v>46</v>
      </c>
      <c r="E1982" s="62" t="s">
        <v>25</v>
      </c>
      <c r="F1982" s="62" t="s">
        <v>25</v>
      </c>
      <c r="G1982" s="62" t="s">
        <v>25</v>
      </c>
      <c r="H1982" s="62" t="s">
        <v>25</v>
      </c>
      <c r="I1982" s="75">
        <v>44682</v>
      </c>
      <c r="J1982" s="76">
        <f>EFEITO!$J$1982*EFEITO!$Y$1982</f>
        <v>0</v>
      </c>
      <c r="K1982" s="76">
        <f ca="1">EFEITO!$L$1982*EFEITO!$Z$1982</f>
        <v>5711.8362107677713</v>
      </c>
      <c r="L1982" s="76">
        <f>EFEITO!$N$1982*EFEITO!$AA$1982</f>
        <v>4310.5821137843859</v>
      </c>
      <c r="M1982" s="76">
        <f>$J$1982-EFEITO!$K$1982*EFEITO!$Y$1982</f>
        <v>0</v>
      </c>
      <c r="N1982" s="76">
        <f ca="1">$K$1982-EFEITO!$M$1982*EFEITO!$Z$1982</f>
        <v>0</v>
      </c>
      <c r="O1982" s="76">
        <f>$L$1982-EFEITO!$O$1982*EFEITO!$AA$1982</f>
        <v>0</v>
      </c>
      <c r="P1982" s="18"/>
      <c r="Q1982" s="18"/>
      <c r="R1982" s="18"/>
      <c r="S1982" s="18"/>
      <c r="T1982" s="18"/>
      <c r="U1982" s="18"/>
      <c r="V1982" s="18"/>
      <c r="W1982" s="18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</row>
    <row r="1983" spans="1:36" ht="11.25" customHeight="1" x14ac:dyDescent="0.2">
      <c r="A1983" s="62" t="s">
        <v>21</v>
      </c>
      <c r="B1983" s="62" t="s">
        <v>37</v>
      </c>
      <c r="C1983" s="62" t="s">
        <v>23</v>
      </c>
      <c r="D1983" s="62" t="s">
        <v>51</v>
      </c>
      <c r="E1983" s="62" t="s">
        <v>52</v>
      </c>
      <c r="F1983" s="62" t="s">
        <v>25</v>
      </c>
      <c r="G1983" s="62" t="s">
        <v>25</v>
      </c>
      <c r="H1983" s="62" t="s">
        <v>25</v>
      </c>
      <c r="I1983" s="75">
        <v>44348</v>
      </c>
      <c r="J1983" s="76">
        <f>EFEITO!$J$1983*EFEITO!$Y$1982</f>
        <v>0</v>
      </c>
      <c r="K1983" s="76">
        <f ca="1">EFEITO!$L$1983*EFEITO!$Z$1982</f>
        <v>602289.69491527509</v>
      </c>
      <c r="L1983" s="76">
        <f>EFEITO!$N$1983*EFEITO!$AA$1982</f>
        <v>454533.19920556014</v>
      </c>
      <c r="M1983" s="76">
        <f>$J$1983-EFEITO!$K$1983*EFEITO!$Y$1983</f>
        <v>0</v>
      </c>
      <c r="N1983" s="76">
        <f ca="1">$K$1983-EFEITO!$M$1983*EFEITO!$Z$1983</f>
        <v>18068.690847458318</v>
      </c>
      <c r="O1983" s="76">
        <f>$L$1983-EFEITO!$O$1983*EFEITO!$AA$1983</f>
        <v>13635.9959761668</v>
      </c>
      <c r="P1983" s="18"/>
      <c r="Q1983" s="18"/>
      <c r="R1983" s="18"/>
      <c r="S1983" s="18"/>
      <c r="T1983" s="18"/>
      <c r="U1983" s="18"/>
      <c r="V1983" s="18"/>
      <c r="W1983" s="18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</row>
    <row r="1984" spans="1:36" ht="11.25" customHeight="1" x14ac:dyDescent="0.2">
      <c r="A1984" s="62" t="s">
        <v>21</v>
      </c>
      <c r="B1984" s="62" t="s">
        <v>37</v>
      </c>
      <c r="C1984" s="62" t="s">
        <v>23</v>
      </c>
      <c r="D1984" s="62" t="s">
        <v>51</v>
      </c>
      <c r="E1984" s="62" t="s">
        <v>52</v>
      </c>
      <c r="F1984" s="62" t="s">
        <v>25</v>
      </c>
      <c r="G1984" s="62" t="s">
        <v>25</v>
      </c>
      <c r="H1984" s="62" t="s">
        <v>25</v>
      </c>
      <c r="I1984" s="75">
        <v>44378</v>
      </c>
      <c r="J1984" s="76">
        <f>EFEITO!$J$1984*EFEITO!$Y$1982</f>
        <v>0</v>
      </c>
      <c r="K1984" s="76">
        <f ca="1">EFEITO!$L$1984*EFEITO!$Z$1982</f>
        <v>605955.19384322211</v>
      </c>
      <c r="L1984" s="76">
        <f>EFEITO!$N$1984*EFEITO!$AA$1982</f>
        <v>457299.4609704052</v>
      </c>
      <c r="M1984" s="76">
        <f>$J$1984-EFEITO!$K$1984*EFEITO!$Y$1984</f>
        <v>0</v>
      </c>
      <c r="N1984" s="76">
        <f ca="1">$K$1984-EFEITO!$M$1984*EFEITO!$Z$1984</f>
        <v>18178.65581529669</v>
      </c>
      <c r="O1984" s="76">
        <f>$L$1984-EFEITO!$O$1984*EFEITO!$AA$1984</f>
        <v>13718.983829112141</v>
      </c>
      <c r="P1984" s="18"/>
      <c r="Q1984" s="18"/>
      <c r="R1984" s="18"/>
      <c r="S1984" s="18"/>
      <c r="T1984" s="18"/>
      <c r="U1984" s="18"/>
      <c r="V1984" s="18"/>
      <c r="W1984" s="18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</row>
    <row r="1985" spans="1:36" ht="11.25" customHeight="1" x14ac:dyDescent="0.2">
      <c r="A1985" s="62" t="s">
        <v>21</v>
      </c>
      <c r="B1985" s="62" t="s">
        <v>37</v>
      </c>
      <c r="C1985" s="62" t="s">
        <v>23</v>
      </c>
      <c r="D1985" s="62" t="s">
        <v>51</v>
      </c>
      <c r="E1985" s="62" t="s">
        <v>52</v>
      </c>
      <c r="F1985" s="62" t="s">
        <v>25</v>
      </c>
      <c r="G1985" s="62" t="s">
        <v>25</v>
      </c>
      <c r="H1985" s="62" t="s">
        <v>25</v>
      </c>
      <c r="I1985" s="75">
        <v>44409</v>
      </c>
      <c r="J1985" s="76">
        <f>EFEITO!$J$1985*EFEITO!$Y$1982</f>
        <v>0</v>
      </c>
      <c r="K1985" s="76">
        <f ca="1">EFEITO!$L$1985*EFEITO!$Z$1982</f>
        <v>632911.81107834808</v>
      </c>
      <c r="L1985" s="76">
        <f>EFEITO!$N$1985*EFEITO!$AA$1982</f>
        <v>477642.9560942346</v>
      </c>
      <c r="M1985" s="76">
        <f>$J$1985-EFEITO!$K$1985*EFEITO!$Y$1985</f>
        <v>0</v>
      </c>
      <c r="N1985" s="76">
        <f ca="1">$K$1985-EFEITO!$M$1985*EFEITO!$Z$1985</f>
        <v>18987.354332350427</v>
      </c>
      <c r="O1985" s="76">
        <f>$L$1985-EFEITO!$O$1985*EFEITO!$AA$1985</f>
        <v>14329.288682827086</v>
      </c>
      <c r="P1985" s="18"/>
      <c r="Q1985" s="18"/>
      <c r="R1985" s="18"/>
      <c r="S1985" s="18"/>
      <c r="T1985" s="18"/>
      <c r="U1985" s="18"/>
      <c r="V1985" s="18"/>
      <c r="W1985" s="18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</row>
    <row r="1986" spans="1:36" ht="11.25" customHeight="1" x14ac:dyDescent="0.2">
      <c r="A1986" s="62" t="s">
        <v>21</v>
      </c>
      <c r="B1986" s="62" t="s">
        <v>37</v>
      </c>
      <c r="C1986" s="62" t="s">
        <v>23</v>
      </c>
      <c r="D1986" s="62" t="s">
        <v>51</v>
      </c>
      <c r="E1986" s="62" t="s">
        <v>52</v>
      </c>
      <c r="F1986" s="62" t="s">
        <v>25</v>
      </c>
      <c r="G1986" s="62" t="s">
        <v>25</v>
      </c>
      <c r="H1986" s="62" t="s">
        <v>25</v>
      </c>
      <c r="I1986" s="75">
        <v>44440</v>
      </c>
      <c r="J1986" s="76">
        <f>EFEITO!$J$1986*EFEITO!$Y$1982</f>
        <v>0</v>
      </c>
      <c r="K1986" s="76">
        <f ca="1">EFEITO!$L$1986*EFEITO!$Z$1982</f>
        <v>687461.87794099154</v>
      </c>
      <c r="L1986" s="76">
        <f>EFEITO!$N$1986*EFEITO!$AA$1982</f>
        <v>518810.54806414607</v>
      </c>
      <c r="M1986" s="76">
        <f>$J$1986-EFEITO!$K$1986*EFEITO!$Y$1986</f>
        <v>0</v>
      </c>
      <c r="N1986" s="76">
        <f ca="1">$K$1986-EFEITO!$M$1986*EFEITO!$Z$1986</f>
        <v>20623.856338229729</v>
      </c>
      <c r="O1986" s="76">
        <f>$L$1986-EFEITO!$O$1986*EFEITO!$AA$1986</f>
        <v>15564.316441924428</v>
      </c>
      <c r="P1986" s="18"/>
      <c r="Q1986" s="18"/>
      <c r="R1986" s="18"/>
      <c r="S1986" s="18"/>
      <c r="T1986" s="18"/>
      <c r="U1986" s="18"/>
      <c r="V1986" s="18"/>
      <c r="W1986" s="18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</row>
    <row r="1987" spans="1:36" ht="11.25" customHeight="1" x14ac:dyDescent="0.2">
      <c r="A1987" s="62" t="s">
        <v>21</v>
      </c>
      <c r="B1987" s="62" t="s">
        <v>37</v>
      </c>
      <c r="C1987" s="62" t="s">
        <v>23</v>
      </c>
      <c r="D1987" s="62" t="s">
        <v>51</v>
      </c>
      <c r="E1987" s="62" t="s">
        <v>52</v>
      </c>
      <c r="F1987" s="62" t="s">
        <v>25</v>
      </c>
      <c r="G1987" s="62" t="s">
        <v>25</v>
      </c>
      <c r="H1987" s="62" t="s">
        <v>25</v>
      </c>
      <c r="I1987" s="75">
        <v>44470</v>
      </c>
      <c r="J1987" s="76">
        <f>EFEITO!$J$1987*EFEITO!$Y$1982</f>
        <v>0</v>
      </c>
      <c r="K1987" s="76">
        <f ca="1">EFEITO!$L$1987*EFEITO!$Z$1982</f>
        <v>658784.76496263582</v>
      </c>
      <c r="L1987" s="76">
        <f>EFEITO!$N$1987*EFEITO!$AA$1982</f>
        <v>497168.63717628847</v>
      </c>
      <c r="M1987" s="76">
        <f>$J$1987-EFEITO!$K$1987*EFEITO!$Y$1987</f>
        <v>0</v>
      </c>
      <c r="N1987" s="76">
        <f ca="1">$K$1987-EFEITO!$M$1987*EFEITO!$Z$1987</f>
        <v>19763.542948879069</v>
      </c>
      <c r="O1987" s="76">
        <f>$L$1987-EFEITO!$O$1987*EFEITO!$AA$1987</f>
        <v>14915.059115288663</v>
      </c>
      <c r="P1987" s="18"/>
      <c r="Q1987" s="18"/>
      <c r="R1987" s="18"/>
      <c r="S1987" s="18"/>
      <c r="T1987" s="18"/>
      <c r="U1987" s="18"/>
      <c r="V1987" s="18"/>
      <c r="W1987" s="18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</row>
    <row r="1988" spans="1:36" ht="11.25" customHeight="1" x14ac:dyDescent="0.2">
      <c r="A1988" s="62" t="s">
        <v>21</v>
      </c>
      <c r="B1988" s="62" t="s">
        <v>37</v>
      </c>
      <c r="C1988" s="62" t="s">
        <v>23</v>
      </c>
      <c r="D1988" s="62" t="s">
        <v>51</v>
      </c>
      <c r="E1988" s="62" t="s">
        <v>52</v>
      </c>
      <c r="F1988" s="62" t="s">
        <v>25</v>
      </c>
      <c r="G1988" s="62" t="s">
        <v>25</v>
      </c>
      <c r="H1988" s="62" t="s">
        <v>25</v>
      </c>
      <c r="I1988" s="75">
        <v>44501</v>
      </c>
      <c r="J1988" s="76">
        <f>EFEITO!$J$1988*EFEITO!$Y$1982</f>
        <v>0</v>
      </c>
      <c r="K1988" s="76">
        <f ca="1">EFEITO!$L$1988*EFEITO!$Z$1982</f>
        <v>624606.34609802021</v>
      </c>
      <c r="L1988" s="76">
        <f>EFEITO!$N$1988*EFEITO!$AA$1982</f>
        <v>471375.02622548724</v>
      </c>
      <c r="M1988" s="76">
        <f>$J$1988-EFEITO!$K$1988*EFEITO!$Y$1988</f>
        <v>0</v>
      </c>
      <c r="N1988" s="76">
        <f ca="1">$K$1988-EFEITO!$M$1988*EFEITO!$Z$1988</f>
        <v>18738.190382940578</v>
      </c>
      <c r="O1988" s="76">
        <f>$L$1988-EFEITO!$O$1988*EFEITO!$AA$1988</f>
        <v>14141.250786764664</v>
      </c>
      <c r="P1988" s="18"/>
      <c r="Q1988" s="18"/>
      <c r="R1988" s="18"/>
      <c r="S1988" s="18"/>
      <c r="T1988" s="18"/>
      <c r="U1988" s="18"/>
      <c r="V1988" s="18"/>
      <c r="W1988" s="18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</row>
    <row r="1989" spans="1:36" ht="11.25" customHeight="1" x14ac:dyDescent="0.2">
      <c r="A1989" s="62" t="s">
        <v>21</v>
      </c>
      <c r="B1989" s="62" t="s">
        <v>37</v>
      </c>
      <c r="C1989" s="62" t="s">
        <v>23</v>
      </c>
      <c r="D1989" s="62" t="s">
        <v>51</v>
      </c>
      <c r="E1989" s="62" t="s">
        <v>52</v>
      </c>
      <c r="F1989" s="62" t="s">
        <v>25</v>
      </c>
      <c r="G1989" s="62" t="s">
        <v>25</v>
      </c>
      <c r="H1989" s="62" t="s">
        <v>25</v>
      </c>
      <c r="I1989" s="75">
        <v>44531</v>
      </c>
      <c r="J1989" s="76">
        <f>EFEITO!$J$1989*EFEITO!$Y$1982</f>
        <v>0</v>
      </c>
      <c r="K1989" s="76">
        <f ca="1">EFEITO!$L$1989*EFEITO!$Z$1982</f>
        <v>657878.43628347828</v>
      </c>
      <c r="L1989" s="76">
        <f>EFEITO!$N$1989*EFEITO!$AA$1982</f>
        <v>496484.65324372728</v>
      </c>
      <c r="M1989" s="76">
        <f>$J$1989-EFEITO!$K$1989*EFEITO!$Y$1989</f>
        <v>0</v>
      </c>
      <c r="N1989" s="76">
        <f ca="1">$K$1989-EFEITO!$M$1989*EFEITO!$Z$1989</f>
        <v>19736.353088504402</v>
      </c>
      <c r="O1989" s="76">
        <f>$L$1989-EFEITO!$O$1989*EFEITO!$AA$1989</f>
        <v>14894.539597311872</v>
      </c>
      <c r="P1989" s="18"/>
      <c r="Q1989" s="18"/>
      <c r="R1989" s="18"/>
      <c r="S1989" s="18"/>
      <c r="T1989" s="18"/>
      <c r="U1989" s="18"/>
      <c r="V1989" s="18"/>
      <c r="W1989" s="18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</row>
    <row r="1990" spans="1:36" ht="11.25" customHeight="1" x14ac:dyDescent="0.2">
      <c r="A1990" s="62" t="s">
        <v>21</v>
      </c>
      <c r="B1990" s="62" t="s">
        <v>37</v>
      </c>
      <c r="C1990" s="62" t="s">
        <v>23</v>
      </c>
      <c r="D1990" s="62" t="s">
        <v>51</v>
      </c>
      <c r="E1990" s="62" t="s">
        <v>52</v>
      </c>
      <c r="F1990" s="62" t="s">
        <v>25</v>
      </c>
      <c r="G1990" s="62" t="s">
        <v>25</v>
      </c>
      <c r="H1990" s="62" t="s">
        <v>25</v>
      </c>
      <c r="I1990" s="75">
        <v>44562</v>
      </c>
      <c r="J1990" s="76">
        <f>EFEITO!$J$1990*EFEITO!$Y$1982</f>
        <v>0</v>
      </c>
      <c r="K1990" s="76">
        <f ca="1">EFEITO!$L$1990*EFEITO!$Z$1982</f>
        <v>629812.38538808224</v>
      </c>
      <c r="L1990" s="76">
        <f>EFEITO!$N$1990*EFEITO!$AA$1982</f>
        <v>475303.89586028084</v>
      </c>
      <c r="M1990" s="76">
        <f>$J$1990-EFEITO!$K$1990*EFEITO!$Y$1990</f>
        <v>0</v>
      </c>
      <c r="N1990" s="76">
        <f ca="1">$K$1990-EFEITO!$M$1990*EFEITO!$Z$1990</f>
        <v>18894.371561642503</v>
      </c>
      <c r="O1990" s="76">
        <f>$L$1990-EFEITO!$O$1990*EFEITO!$AA$1990</f>
        <v>14259.116875808453</v>
      </c>
      <c r="P1990" s="18"/>
      <c r="Q1990" s="18"/>
      <c r="R1990" s="18"/>
      <c r="S1990" s="18"/>
      <c r="T1990" s="18"/>
      <c r="U1990" s="18"/>
      <c r="V1990" s="18"/>
      <c r="W1990" s="18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</row>
    <row r="1991" spans="1:36" ht="11.25" customHeight="1" x14ac:dyDescent="0.2">
      <c r="A1991" s="62" t="s">
        <v>21</v>
      </c>
      <c r="B1991" s="62" t="s">
        <v>37</v>
      </c>
      <c r="C1991" s="62" t="s">
        <v>23</v>
      </c>
      <c r="D1991" s="62" t="s">
        <v>51</v>
      </c>
      <c r="E1991" s="62" t="s">
        <v>52</v>
      </c>
      <c r="F1991" s="62" t="s">
        <v>25</v>
      </c>
      <c r="G1991" s="62" t="s">
        <v>25</v>
      </c>
      <c r="H1991" s="62" t="s">
        <v>25</v>
      </c>
      <c r="I1991" s="75">
        <v>44593</v>
      </c>
      <c r="J1991" s="76">
        <f>EFEITO!$J$1991*EFEITO!$Y$1982</f>
        <v>0</v>
      </c>
      <c r="K1991" s="76">
        <f ca="1">EFEITO!$L$1991*EFEITO!$Z$1982</f>
        <v>619456.21527587727</v>
      </c>
      <c r="L1991" s="76">
        <f>EFEITO!$N$1991*EFEITO!$AA$1982</f>
        <v>467488.34933448536</v>
      </c>
      <c r="M1991" s="76">
        <f>$J$1991-EFEITO!$K$1991*EFEITO!$Y$1991</f>
        <v>0</v>
      </c>
      <c r="N1991" s="76">
        <f ca="1">$K$1991-EFEITO!$M$1991*EFEITO!$Z$1991</f>
        <v>18583.686458276235</v>
      </c>
      <c r="O1991" s="76">
        <f>$L$1991-EFEITO!$O$1991*EFEITO!$AA$1991</f>
        <v>14024.650480034645</v>
      </c>
      <c r="P1991" s="18"/>
      <c r="Q1991" s="18"/>
      <c r="R1991" s="18"/>
      <c r="S1991" s="18"/>
      <c r="T1991" s="18"/>
      <c r="U1991" s="18"/>
      <c r="V1991" s="18"/>
      <c r="W1991" s="18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</row>
    <row r="1992" spans="1:36" ht="11.25" customHeight="1" x14ac:dyDescent="0.2">
      <c r="A1992" s="62" t="s">
        <v>21</v>
      </c>
      <c r="B1992" s="62" t="s">
        <v>37</v>
      </c>
      <c r="C1992" s="62" t="s">
        <v>23</v>
      </c>
      <c r="D1992" s="62" t="s">
        <v>51</v>
      </c>
      <c r="E1992" s="62" t="s">
        <v>52</v>
      </c>
      <c r="F1992" s="62" t="s">
        <v>25</v>
      </c>
      <c r="G1992" s="62" t="s">
        <v>25</v>
      </c>
      <c r="H1992" s="62" t="s">
        <v>25</v>
      </c>
      <c r="I1992" s="75">
        <v>44621</v>
      </c>
      <c r="J1992" s="76">
        <f>EFEITO!$J$1992*EFEITO!$Y$1982</f>
        <v>0</v>
      </c>
      <c r="K1992" s="76">
        <f ca="1">EFEITO!$L$1992*EFEITO!$Z$1982</f>
        <v>682895.29175275436</v>
      </c>
      <c r="L1992" s="76">
        <f>EFEITO!$N$1992*EFEITO!$AA$1982</f>
        <v>515364.25793647033</v>
      </c>
      <c r="M1992" s="76">
        <f>$J$1992-EFEITO!$K$1992*EFEITO!$Y$1992</f>
        <v>0</v>
      </c>
      <c r="N1992" s="76">
        <f ca="1">$K$1992-EFEITO!$M$1992*EFEITO!$Z$1992</f>
        <v>20486.858752582571</v>
      </c>
      <c r="O1992" s="76">
        <f>$L$1992-EFEITO!$O$1992*EFEITO!$AA$1992</f>
        <v>15460.92773809412</v>
      </c>
      <c r="P1992" s="18"/>
      <c r="Q1992" s="18"/>
      <c r="R1992" s="18"/>
      <c r="S1992" s="18"/>
      <c r="T1992" s="18"/>
      <c r="U1992" s="18"/>
      <c r="V1992" s="18"/>
      <c r="W1992" s="18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</row>
    <row r="1993" spans="1:36" ht="11.25" customHeight="1" x14ac:dyDescent="0.2">
      <c r="A1993" s="62" t="s">
        <v>21</v>
      </c>
      <c r="B1993" s="62" t="s">
        <v>37</v>
      </c>
      <c r="C1993" s="62" t="s">
        <v>23</v>
      </c>
      <c r="D1993" s="62" t="s">
        <v>51</v>
      </c>
      <c r="E1993" s="62" t="s">
        <v>52</v>
      </c>
      <c r="F1993" s="62" t="s">
        <v>25</v>
      </c>
      <c r="G1993" s="62" t="s">
        <v>25</v>
      </c>
      <c r="H1993" s="62" t="s">
        <v>25</v>
      </c>
      <c r="I1993" s="75">
        <v>44652</v>
      </c>
      <c r="J1993" s="76">
        <f>EFEITO!$J$1993*EFEITO!$Y$1982</f>
        <v>0</v>
      </c>
      <c r="K1993" s="76">
        <f ca="1">EFEITO!$L$1993*EFEITO!$Z$1982</f>
        <v>649434.51048806938</v>
      </c>
      <c r="L1993" s="76">
        <f>EFEITO!$N$1993*EFEITO!$AA$1982</f>
        <v>490112.23040793318</v>
      </c>
      <c r="M1993" s="76">
        <f>$J$1993-EFEITO!$K$1993*EFEITO!$Y$1993</f>
        <v>0</v>
      </c>
      <c r="N1993" s="76">
        <f ca="1">$K$1993-EFEITO!$M$1993*EFEITO!$Z$1993</f>
        <v>19483.035314642126</v>
      </c>
      <c r="O1993" s="76">
        <f>$L$1993-EFEITO!$O$1993*EFEITO!$AA$1993</f>
        <v>14703.366912238009</v>
      </c>
      <c r="P1993" s="18"/>
      <c r="Q1993" s="18"/>
      <c r="R1993" s="18"/>
      <c r="S1993" s="18"/>
      <c r="T1993" s="18"/>
      <c r="U1993" s="18"/>
      <c r="V1993" s="18"/>
      <c r="W1993" s="18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</row>
    <row r="1994" spans="1:36" ht="11.25" customHeight="1" x14ac:dyDescent="0.2">
      <c r="A1994" s="62" t="s">
        <v>58</v>
      </c>
      <c r="B1994" s="62" t="s">
        <v>37</v>
      </c>
      <c r="C1994" s="62" t="s">
        <v>23</v>
      </c>
      <c r="D1994" s="62" t="s">
        <v>51</v>
      </c>
      <c r="E1994" s="62" t="s">
        <v>52</v>
      </c>
      <c r="F1994" s="62" t="s">
        <v>25</v>
      </c>
      <c r="G1994" s="62" t="s">
        <v>25</v>
      </c>
      <c r="H1994" s="62" t="s">
        <v>25</v>
      </c>
      <c r="I1994" s="75">
        <v>44682</v>
      </c>
      <c r="J1994" s="76">
        <f>EFEITO!$J$1994*EFEITO!$Y$1982</f>
        <v>0</v>
      </c>
      <c r="K1994" s="76">
        <f ca="1">EFEITO!$L$1994*EFEITO!$Z$1982</f>
        <v>649434.51048806938</v>
      </c>
      <c r="L1994" s="76">
        <f>EFEITO!$N$1994*EFEITO!$AA$1982</f>
        <v>490112.23040793318</v>
      </c>
      <c r="M1994" s="76">
        <f>$J$1994-EFEITO!$K$1994*EFEITO!$Y$1994</f>
        <v>0</v>
      </c>
      <c r="N1994" s="76">
        <f ca="1">$K$1994-EFEITO!$M$1994*EFEITO!$Z$1994</f>
        <v>19483.035314642126</v>
      </c>
      <c r="O1994" s="76">
        <f>$L$1994-EFEITO!$O$1994*EFEITO!$AA$1994</f>
        <v>14703.366912238009</v>
      </c>
      <c r="P1994" s="18"/>
      <c r="Q1994" s="18"/>
      <c r="R1994" s="18"/>
      <c r="S1994" s="18"/>
      <c r="T1994" s="18"/>
      <c r="U1994" s="18"/>
      <c r="V1994" s="18"/>
      <c r="W1994" s="18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</row>
    <row r="1995" spans="1:36" ht="11.25" customHeight="1" x14ac:dyDescent="0.2">
      <c r="A1995" s="62" t="s">
        <v>21</v>
      </c>
      <c r="B1995" s="62" t="s">
        <v>47</v>
      </c>
      <c r="C1995" s="62" t="s">
        <v>23</v>
      </c>
      <c r="D1995" s="62" t="s">
        <v>48</v>
      </c>
      <c r="E1995" s="62" t="s">
        <v>49</v>
      </c>
      <c r="F1995" s="62" t="s">
        <v>25</v>
      </c>
      <c r="G1995" s="62" t="s">
        <v>25</v>
      </c>
      <c r="H1995" s="62" t="s">
        <v>25</v>
      </c>
      <c r="I1995" s="75">
        <v>44348</v>
      </c>
      <c r="J1995" s="76">
        <f>EFEITO!$J$1995*EFEITO!$Y$1995</f>
        <v>0</v>
      </c>
      <c r="K1995" s="76">
        <f ca="1">EFEITO!$L$1995*EFEITO!$Z$1995</f>
        <v>1616857.5829098809</v>
      </c>
      <c r="L1995" s="76">
        <f>EFEITO!$N$1995*EFEITO!$AA$1995</f>
        <v>1220202.5968967958</v>
      </c>
      <c r="M1995" s="76">
        <f>$J$1995-EFEITO!$K$1995*EFEITO!$Y$1995</f>
        <v>0</v>
      </c>
      <c r="N1995" s="76">
        <f ca="1">$K$1995-EFEITO!$M$1995*EFEITO!$Z$1995</f>
        <v>0</v>
      </c>
      <c r="O1995" s="76">
        <f>$L$1995-EFEITO!$O$1995*EFEITO!$AA$1995</f>
        <v>0</v>
      </c>
      <c r="P1995" s="18"/>
      <c r="Q1995" s="18"/>
      <c r="R1995" s="18"/>
      <c r="S1995" s="18"/>
      <c r="T1995" s="18"/>
      <c r="U1995" s="18"/>
      <c r="V1995" s="18"/>
      <c r="W1995" s="18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</row>
    <row r="1996" spans="1:36" ht="11.25" customHeight="1" x14ac:dyDescent="0.2">
      <c r="A1996" s="62" t="s">
        <v>21</v>
      </c>
      <c r="B1996" s="62" t="s">
        <v>47</v>
      </c>
      <c r="C1996" s="62" t="s">
        <v>23</v>
      </c>
      <c r="D1996" s="62" t="s">
        <v>48</v>
      </c>
      <c r="E1996" s="62" t="s">
        <v>49</v>
      </c>
      <c r="F1996" s="62" t="s">
        <v>25</v>
      </c>
      <c r="G1996" s="62" t="s">
        <v>25</v>
      </c>
      <c r="H1996" s="62" t="s">
        <v>25</v>
      </c>
      <c r="I1996" s="75">
        <v>44378</v>
      </c>
      <c r="J1996" s="76">
        <f>EFEITO!$J$1996*EFEITO!$Y$1996</f>
        <v>0</v>
      </c>
      <c r="K1996" s="76">
        <f ca="1">EFEITO!$L$1996*EFEITO!$Z$1996</f>
        <v>1670958.4820148321</v>
      </c>
      <c r="L1996" s="76">
        <f>EFEITO!$N$1996*EFEITO!$AA$1996</f>
        <v>1261031.2130223464</v>
      </c>
      <c r="M1996" s="76">
        <f>$J$1996-EFEITO!$K$1996*EFEITO!$Y$1996</f>
        <v>0</v>
      </c>
      <c r="N1996" s="76">
        <f ca="1">$K$1996-EFEITO!$M$1996*EFEITO!$Z$1996</f>
        <v>0</v>
      </c>
      <c r="O1996" s="76">
        <f>$L$1996-EFEITO!$O$1996*EFEITO!$AA$1996</f>
        <v>0</v>
      </c>
      <c r="P1996" s="18"/>
      <c r="Q1996" s="18"/>
      <c r="R1996" s="18"/>
      <c r="S1996" s="18"/>
      <c r="T1996" s="18"/>
      <c r="U1996" s="18"/>
      <c r="V1996" s="18"/>
      <c r="W1996" s="18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</row>
    <row r="1997" spans="1:36" ht="11.25" customHeight="1" x14ac:dyDescent="0.2">
      <c r="A1997" s="62" t="s">
        <v>21</v>
      </c>
      <c r="B1997" s="62" t="s">
        <v>47</v>
      </c>
      <c r="C1997" s="62" t="s">
        <v>23</v>
      </c>
      <c r="D1997" s="62" t="s">
        <v>48</v>
      </c>
      <c r="E1997" s="62" t="s">
        <v>49</v>
      </c>
      <c r="F1997" s="62" t="s">
        <v>25</v>
      </c>
      <c r="G1997" s="62" t="s">
        <v>25</v>
      </c>
      <c r="H1997" s="62" t="s">
        <v>25</v>
      </c>
      <c r="I1997" s="75">
        <v>44409</v>
      </c>
      <c r="J1997" s="76">
        <f>EFEITO!$J$1997*EFEITO!$Y$1997</f>
        <v>0</v>
      </c>
      <c r="K1997" s="76">
        <f ca="1">EFEITO!$L$1997*EFEITO!$Z$1997</f>
        <v>1671317.6284034764</v>
      </c>
      <c r="L1997" s="76">
        <f>EFEITO!$N$1997*EFEITO!$AA$1997</f>
        <v>1261302.2519565865</v>
      </c>
      <c r="M1997" s="76">
        <f>$J$1997-EFEITO!$K$1997*EFEITO!$Y$1997</f>
        <v>0</v>
      </c>
      <c r="N1997" s="76">
        <f ca="1">$K$1997-EFEITO!$M$1997*EFEITO!$Z$1997</f>
        <v>0</v>
      </c>
      <c r="O1997" s="76">
        <f>$L$1997-EFEITO!$O$1997*EFEITO!$AA$1997</f>
        <v>0</v>
      </c>
      <c r="P1997" s="18"/>
      <c r="Q1997" s="18"/>
      <c r="R1997" s="18"/>
      <c r="S1997" s="18"/>
      <c r="T1997" s="18"/>
      <c r="U1997" s="18"/>
      <c r="V1997" s="18"/>
      <c r="W1997" s="18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</row>
    <row r="1998" spans="1:36" ht="11.25" customHeight="1" x14ac:dyDescent="0.2">
      <c r="A1998" s="62" t="s">
        <v>27</v>
      </c>
      <c r="B1998" s="62" t="s">
        <v>47</v>
      </c>
      <c r="C1998" s="62" t="s">
        <v>23</v>
      </c>
      <c r="D1998" s="62" t="s">
        <v>48</v>
      </c>
      <c r="E1998" s="62" t="s">
        <v>49</v>
      </c>
      <c r="F1998" s="62" t="s">
        <v>25</v>
      </c>
      <c r="G1998" s="62" t="s">
        <v>25</v>
      </c>
      <c r="H1998" s="62" t="s">
        <v>25</v>
      </c>
      <c r="I1998" s="75">
        <v>44409</v>
      </c>
      <c r="J1998" s="76">
        <f>EFEITO!$J$1998*EFEITO!$Y$1998</f>
        <v>0</v>
      </c>
      <c r="K1998" s="76">
        <f ca="1">EFEITO!$L$1998*EFEITO!$Z$1998</f>
        <v>116.75260527171561</v>
      </c>
      <c r="L1998" s="76">
        <f>EFEITO!$N$1998*EFEITO!$AA$1998</f>
        <v>88.110315746315393</v>
      </c>
      <c r="M1998" s="76">
        <f>$J$1998-EFEITO!$K$1998*EFEITO!$Y$1998</f>
        <v>0</v>
      </c>
      <c r="N1998" s="76">
        <f ca="1">$K$1998-EFEITO!$M$1998*EFEITO!$Z$1998</f>
        <v>0</v>
      </c>
      <c r="O1998" s="76">
        <f>$L$1998-EFEITO!$O$1998*EFEITO!$AA$1998</f>
        <v>0</v>
      </c>
      <c r="P1998" s="18"/>
      <c r="Q1998" s="18"/>
      <c r="R1998" s="18"/>
      <c r="S1998" s="18"/>
      <c r="T1998" s="18"/>
      <c r="U1998" s="18"/>
      <c r="V1998" s="18"/>
      <c r="W1998" s="18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</row>
    <row r="1999" spans="1:36" ht="11.25" customHeight="1" x14ac:dyDescent="0.2">
      <c r="A1999" s="62" t="s">
        <v>21</v>
      </c>
      <c r="B1999" s="62" t="s">
        <v>47</v>
      </c>
      <c r="C1999" s="62" t="s">
        <v>23</v>
      </c>
      <c r="D1999" s="62" t="s">
        <v>48</v>
      </c>
      <c r="E1999" s="62" t="s">
        <v>49</v>
      </c>
      <c r="F1999" s="62" t="s">
        <v>25</v>
      </c>
      <c r="G1999" s="62" t="s">
        <v>25</v>
      </c>
      <c r="H1999" s="62" t="s">
        <v>25</v>
      </c>
      <c r="I1999" s="75">
        <v>44440</v>
      </c>
      <c r="J1999" s="76">
        <f>EFEITO!$J$1999*EFEITO!$Y$1999</f>
        <v>0</v>
      </c>
      <c r="K1999" s="76">
        <f ca="1">EFEITO!$L$1999*EFEITO!$Z$1999</f>
        <v>1618805.3815179942</v>
      </c>
      <c r="L1999" s="76">
        <f>EFEITO!$N$1999*EFEITO!$AA$1999</f>
        <v>1221672.5525348024</v>
      </c>
      <c r="M1999" s="76">
        <f>$J$1999-EFEITO!$K$1999*EFEITO!$Y$1999</f>
        <v>0</v>
      </c>
      <c r="N1999" s="76">
        <f ca="1">$K$1999-EFEITO!$M$1999*EFEITO!$Z$1999</f>
        <v>0</v>
      </c>
      <c r="O1999" s="76">
        <f>$L$1999-EFEITO!$O$1999*EFEITO!$AA$1999</f>
        <v>0</v>
      </c>
      <c r="P1999" s="18"/>
      <c r="Q1999" s="18"/>
      <c r="R1999" s="18"/>
      <c r="S1999" s="18"/>
      <c r="T1999" s="18"/>
      <c r="U1999" s="18"/>
      <c r="V1999" s="18"/>
      <c r="W1999" s="18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</row>
    <row r="2000" spans="1:36" ht="11.25" customHeight="1" x14ac:dyDescent="0.2">
      <c r="A2000" s="62" t="s">
        <v>27</v>
      </c>
      <c r="B2000" s="62" t="s">
        <v>47</v>
      </c>
      <c r="C2000" s="62" t="s">
        <v>23</v>
      </c>
      <c r="D2000" s="62" t="s">
        <v>48</v>
      </c>
      <c r="E2000" s="62" t="s">
        <v>49</v>
      </c>
      <c r="F2000" s="62" t="s">
        <v>25</v>
      </c>
      <c r="G2000" s="62" t="s">
        <v>25</v>
      </c>
      <c r="H2000" s="62" t="s">
        <v>25</v>
      </c>
      <c r="I2000" s="75">
        <v>44440</v>
      </c>
      <c r="J2000" s="76">
        <f>EFEITO!$J$2000*EFEITO!$Y$2000</f>
        <v>0</v>
      </c>
      <c r="K2000" s="76">
        <f ca="1">EFEITO!$L$2000*EFEITO!$Z$2000</f>
        <v>1389.25991005418</v>
      </c>
      <c r="L2000" s="76">
        <f>EFEITO!$N$2000*EFEITO!$AA$2000</f>
        <v>1048.4402386027612</v>
      </c>
      <c r="M2000" s="76">
        <f>$J$2000-EFEITO!$K$2000*EFEITO!$Y$2000</f>
        <v>0</v>
      </c>
      <c r="N2000" s="76">
        <f ca="1">$K$2000-EFEITO!$M$2000*EFEITO!$Z$2000</f>
        <v>0</v>
      </c>
      <c r="O2000" s="76">
        <f>$L$2000-EFEITO!$O$2000*EFEITO!$AA$2000</f>
        <v>0</v>
      </c>
      <c r="P2000" s="18"/>
      <c r="Q2000" s="18"/>
      <c r="R2000" s="18"/>
      <c r="S2000" s="18"/>
      <c r="T2000" s="18"/>
      <c r="U2000" s="18"/>
      <c r="V2000" s="18"/>
      <c r="W2000" s="18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</row>
    <row r="2001" spans="1:36" ht="11.25" customHeight="1" x14ac:dyDescent="0.2">
      <c r="A2001" s="62" t="s">
        <v>21</v>
      </c>
      <c r="B2001" s="62" t="s">
        <v>47</v>
      </c>
      <c r="C2001" s="62" t="s">
        <v>23</v>
      </c>
      <c r="D2001" s="62" t="s">
        <v>48</v>
      </c>
      <c r="E2001" s="62" t="s">
        <v>49</v>
      </c>
      <c r="F2001" s="62" t="s">
        <v>25</v>
      </c>
      <c r="G2001" s="62" t="s">
        <v>25</v>
      </c>
      <c r="H2001" s="62" t="s">
        <v>25</v>
      </c>
      <c r="I2001" s="75">
        <v>44470</v>
      </c>
      <c r="J2001" s="76">
        <f>EFEITO!$J$2001*EFEITO!$Y$2001</f>
        <v>0</v>
      </c>
      <c r="K2001" s="76">
        <f ca="1">EFEITO!$L$2001*EFEITO!$Z$2001</f>
        <v>1667687.2469819412</v>
      </c>
      <c r="L2001" s="76">
        <f>EFEITO!$N$2001*EFEITO!$AA$2001</f>
        <v>1258562.4925089355</v>
      </c>
      <c r="M2001" s="76">
        <f>$J$2001-EFEITO!$K$2001*EFEITO!$Y$2001</f>
        <v>0</v>
      </c>
      <c r="N2001" s="76">
        <f ca="1">$K$2001-EFEITO!$M$2001*EFEITO!$Z$2001</f>
        <v>0</v>
      </c>
      <c r="O2001" s="76">
        <f>$L$2001-EFEITO!$O$2001*EFEITO!$AA$2001</f>
        <v>0</v>
      </c>
      <c r="P2001" s="18"/>
      <c r="Q2001" s="18"/>
      <c r="R2001" s="18"/>
      <c r="S2001" s="18"/>
      <c r="T2001" s="18"/>
      <c r="U2001" s="18"/>
      <c r="V2001" s="18"/>
      <c r="W2001" s="18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</row>
    <row r="2002" spans="1:36" ht="11.25" customHeight="1" x14ac:dyDescent="0.2">
      <c r="A2002" s="62" t="s">
        <v>21</v>
      </c>
      <c r="B2002" s="62" t="s">
        <v>47</v>
      </c>
      <c r="C2002" s="62" t="s">
        <v>23</v>
      </c>
      <c r="D2002" s="62" t="s">
        <v>48</v>
      </c>
      <c r="E2002" s="62" t="s">
        <v>49</v>
      </c>
      <c r="F2002" s="62" t="s">
        <v>25</v>
      </c>
      <c r="G2002" s="62" t="s">
        <v>25</v>
      </c>
      <c r="H2002" s="62" t="s">
        <v>25</v>
      </c>
      <c r="I2002" s="75">
        <v>44501</v>
      </c>
      <c r="J2002" s="76">
        <f>EFEITO!$J$2002*EFEITO!$Y$2002</f>
        <v>0</v>
      </c>
      <c r="K2002" s="76">
        <f ca="1">EFEITO!$L$2002*EFEITO!$Z$2002</f>
        <v>1614219.8388648534</v>
      </c>
      <c r="L2002" s="76">
        <f>EFEITO!$N$2002*EFEITO!$AA$2002</f>
        <v>1218211.9564299348</v>
      </c>
      <c r="M2002" s="76">
        <f>$J$2002-EFEITO!$K$2002*EFEITO!$Y$2002</f>
        <v>0</v>
      </c>
      <c r="N2002" s="76">
        <f ca="1">$K$2002-EFEITO!$M$2002*EFEITO!$Z$2002</f>
        <v>0</v>
      </c>
      <c r="O2002" s="76">
        <f>$L$2002-EFEITO!$O$2002*EFEITO!$AA$2002</f>
        <v>0</v>
      </c>
      <c r="P2002" s="18"/>
      <c r="Q2002" s="18"/>
      <c r="R2002" s="18"/>
      <c r="S2002" s="18"/>
      <c r="T2002" s="18"/>
      <c r="U2002" s="18"/>
      <c r="V2002" s="18"/>
      <c r="W2002" s="18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</row>
    <row r="2003" spans="1:36" ht="11.25" customHeight="1" x14ac:dyDescent="0.2">
      <c r="A2003" s="62" t="s">
        <v>27</v>
      </c>
      <c r="B2003" s="62" t="s">
        <v>47</v>
      </c>
      <c r="C2003" s="62" t="s">
        <v>23</v>
      </c>
      <c r="D2003" s="62" t="s">
        <v>48</v>
      </c>
      <c r="E2003" s="62" t="s">
        <v>49</v>
      </c>
      <c r="F2003" s="62" t="s">
        <v>25</v>
      </c>
      <c r="G2003" s="62" t="s">
        <v>25</v>
      </c>
      <c r="H2003" s="62" t="s">
        <v>25</v>
      </c>
      <c r="I2003" s="75">
        <v>44501</v>
      </c>
      <c r="J2003" s="76">
        <f>EFEITO!$J$2003*EFEITO!$Y$2003</f>
        <v>0</v>
      </c>
      <c r="K2003" s="76">
        <f ca="1">EFEITO!$L$2003*EFEITO!$Z$2003</f>
        <v>2265.6251446863166</v>
      </c>
      <c r="L2003" s="76">
        <f>EFEITO!$N$2003*EFEITO!$AA$2003</f>
        <v>1709.8114975380665</v>
      </c>
      <c r="M2003" s="76">
        <f>$J$2003-EFEITO!$K$2003*EFEITO!$Y$2003</f>
        <v>0</v>
      </c>
      <c r="N2003" s="76">
        <f ca="1">$K$2003-EFEITO!$M$2003*EFEITO!$Z$2003</f>
        <v>0</v>
      </c>
      <c r="O2003" s="76">
        <f>$L$2003-EFEITO!$O$2003*EFEITO!$AA$2003</f>
        <v>0</v>
      </c>
      <c r="P2003" s="18"/>
      <c r="Q2003" s="18"/>
      <c r="R2003" s="18"/>
      <c r="S2003" s="18"/>
      <c r="T2003" s="18"/>
      <c r="U2003" s="18"/>
      <c r="V2003" s="18"/>
      <c r="W2003" s="18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</row>
    <row r="2004" spans="1:36" ht="11.25" customHeight="1" x14ac:dyDescent="0.2">
      <c r="A2004" s="62" t="s">
        <v>21</v>
      </c>
      <c r="B2004" s="62" t="s">
        <v>47</v>
      </c>
      <c r="C2004" s="62" t="s">
        <v>23</v>
      </c>
      <c r="D2004" s="62" t="s">
        <v>48</v>
      </c>
      <c r="E2004" s="62" t="s">
        <v>49</v>
      </c>
      <c r="F2004" s="62" t="s">
        <v>25</v>
      </c>
      <c r="G2004" s="62" t="s">
        <v>25</v>
      </c>
      <c r="H2004" s="62" t="s">
        <v>25</v>
      </c>
      <c r="I2004" s="75">
        <v>44531</v>
      </c>
      <c r="J2004" s="76">
        <f>EFEITO!$J$2004*EFEITO!$Y$2004</f>
        <v>0</v>
      </c>
      <c r="K2004" s="76">
        <f ca="1">EFEITO!$L$2004*EFEITO!$Z$2004</f>
        <v>1663253.530761993</v>
      </c>
      <c r="L2004" s="76">
        <f>EFEITO!$N$2004*EFEITO!$AA$2004</f>
        <v>1255216.4760739272</v>
      </c>
      <c r="M2004" s="76">
        <f>$J$2004-EFEITO!$K$2004*EFEITO!$Y$2004</f>
        <v>0</v>
      </c>
      <c r="N2004" s="76">
        <f ca="1">$K$2004-EFEITO!$M$2004*EFEITO!$Z$2004</f>
        <v>0</v>
      </c>
      <c r="O2004" s="76">
        <f>$L$2004-EFEITO!$O$2004*EFEITO!$AA$2004</f>
        <v>0</v>
      </c>
      <c r="P2004" s="18"/>
      <c r="Q2004" s="18"/>
      <c r="R2004" s="18"/>
      <c r="S2004" s="18"/>
      <c r="T2004" s="18"/>
      <c r="U2004" s="18"/>
      <c r="V2004" s="18"/>
      <c r="W2004" s="18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</row>
    <row r="2005" spans="1:36" ht="11.25" customHeight="1" x14ac:dyDescent="0.2">
      <c r="A2005" s="62" t="s">
        <v>21</v>
      </c>
      <c r="B2005" s="62" t="s">
        <v>47</v>
      </c>
      <c r="C2005" s="62" t="s">
        <v>23</v>
      </c>
      <c r="D2005" s="62" t="s">
        <v>48</v>
      </c>
      <c r="E2005" s="62" t="s">
        <v>49</v>
      </c>
      <c r="F2005" s="62" t="s">
        <v>25</v>
      </c>
      <c r="G2005" s="62" t="s">
        <v>25</v>
      </c>
      <c r="H2005" s="62" t="s">
        <v>25</v>
      </c>
      <c r="I2005" s="75">
        <v>44562</v>
      </c>
      <c r="J2005" s="76">
        <f>EFEITO!$J$2005*EFEITO!$Y$2005</f>
        <v>0</v>
      </c>
      <c r="K2005" s="76">
        <f ca="1">EFEITO!$L$2005*EFEITO!$Z$2005</f>
        <v>1662476.8616820681</v>
      </c>
      <c r="L2005" s="76">
        <f>EFEITO!$N$2005*EFEITO!$AA$2005</f>
        <v>1254630.3430475737</v>
      </c>
      <c r="M2005" s="76">
        <f>$J$2005-EFEITO!$K$2005*EFEITO!$Y$2005</f>
        <v>0</v>
      </c>
      <c r="N2005" s="76">
        <f ca="1">$K$2005-EFEITO!$M$2005*EFEITO!$Z$2005</f>
        <v>0</v>
      </c>
      <c r="O2005" s="76">
        <f>$L$2005-EFEITO!$O$2005*EFEITO!$AA$2005</f>
        <v>0</v>
      </c>
      <c r="P2005" s="18"/>
      <c r="Q2005" s="18"/>
      <c r="R2005" s="18"/>
      <c r="S2005" s="18"/>
      <c r="T2005" s="18"/>
      <c r="U2005" s="18"/>
      <c r="V2005" s="18"/>
      <c r="W2005" s="18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</row>
    <row r="2006" spans="1:36" ht="11.25" customHeight="1" x14ac:dyDescent="0.2">
      <c r="A2006" s="62" t="s">
        <v>27</v>
      </c>
      <c r="B2006" s="62" t="s">
        <v>47</v>
      </c>
      <c r="C2006" s="62" t="s">
        <v>23</v>
      </c>
      <c r="D2006" s="62" t="s">
        <v>48</v>
      </c>
      <c r="E2006" s="62" t="s">
        <v>49</v>
      </c>
      <c r="F2006" s="62" t="s">
        <v>25</v>
      </c>
      <c r="G2006" s="62" t="s">
        <v>25</v>
      </c>
      <c r="H2006" s="62" t="s">
        <v>25</v>
      </c>
      <c r="I2006" s="75">
        <v>44562</v>
      </c>
      <c r="J2006" s="76">
        <f>EFEITO!$J$2006*EFEITO!$Y$2006</f>
        <v>0</v>
      </c>
      <c r="K2006" s="76">
        <f ca="1">EFEITO!$L$2006*EFEITO!$Z$2006</f>
        <v>173.68751771903371</v>
      </c>
      <c r="L2006" s="76">
        <f>EFEITO!$N$2006*EFEITO!$AA$2006</f>
        <v>131.07769194359264</v>
      </c>
      <c r="M2006" s="76">
        <f>$J$2006-EFEITO!$K$2006*EFEITO!$Y$2006</f>
        <v>0</v>
      </c>
      <c r="N2006" s="76">
        <f ca="1">$K$2006-EFEITO!$M$2006*EFEITO!$Z$2006</f>
        <v>0</v>
      </c>
      <c r="O2006" s="76">
        <f>$L$2006-EFEITO!$O$2006*EFEITO!$AA$2006</f>
        <v>0</v>
      </c>
      <c r="P2006" s="18"/>
      <c r="Q2006" s="18"/>
      <c r="R2006" s="18"/>
      <c r="S2006" s="18"/>
      <c r="T2006" s="18"/>
      <c r="U2006" s="18"/>
      <c r="V2006" s="18"/>
      <c r="W2006" s="18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</row>
    <row r="2007" spans="1:36" ht="11.25" customHeight="1" x14ac:dyDescent="0.2">
      <c r="A2007" s="62" t="s">
        <v>21</v>
      </c>
      <c r="B2007" s="62" t="s">
        <v>47</v>
      </c>
      <c r="C2007" s="62" t="s">
        <v>23</v>
      </c>
      <c r="D2007" s="62" t="s">
        <v>48</v>
      </c>
      <c r="E2007" s="62" t="s">
        <v>49</v>
      </c>
      <c r="F2007" s="62" t="s">
        <v>25</v>
      </c>
      <c r="G2007" s="62" t="s">
        <v>25</v>
      </c>
      <c r="H2007" s="62" t="s">
        <v>25</v>
      </c>
      <c r="I2007" s="75">
        <v>44593</v>
      </c>
      <c r="J2007" s="76">
        <f>EFEITO!$J$2007*EFEITO!$Y$2007</f>
        <v>0</v>
      </c>
      <c r="K2007" s="76">
        <f ca="1">EFEITO!$L$2007*EFEITO!$Z$2007</f>
        <v>1483852.5825672862</v>
      </c>
      <c r="L2007" s="76">
        <f>EFEITO!$N$2007*EFEITO!$AA$2007</f>
        <v>1119826.9988640908</v>
      </c>
      <c r="M2007" s="76">
        <f>$J$2007-EFEITO!$K$2007*EFEITO!$Y$2007</f>
        <v>0</v>
      </c>
      <c r="N2007" s="76">
        <f ca="1">$K$2007-EFEITO!$M$2007*EFEITO!$Z$2007</f>
        <v>0</v>
      </c>
      <c r="O2007" s="76">
        <f>$L$2007-EFEITO!$O$2007*EFEITO!$AA$2007</f>
        <v>0</v>
      </c>
      <c r="P2007" s="18"/>
      <c r="Q2007" s="18"/>
      <c r="R2007" s="18"/>
      <c r="S2007" s="18"/>
      <c r="T2007" s="18"/>
      <c r="U2007" s="18"/>
      <c r="V2007" s="18"/>
      <c r="W2007" s="18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</row>
    <row r="2008" spans="1:36" ht="11.25" customHeight="1" x14ac:dyDescent="0.2">
      <c r="A2008" s="62" t="s">
        <v>21</v>
      </c>
      <c r="B2008" s="62" t="s">
        <v>47</v>
      </c>
      <c r="C2008" s="62" t="s">
        <v>23</v>
      </c>
      <c r="D2008" s="62" t="s">
        <v>48</v>
      </c>
      <c r="E2008" s="62" t="s">
        <v>49</v>
      </c>
      <c r="F2008" s="62" t="s">
        <v>25</v>
      </c>
      <c r="G2008" s="62" t="s">
        <v>25</v>
      </c>
      <c r="H2008" s="62" t="s">
        <v>25</v>
      </c>
      <c r="I2008" s="75">
        <v>44621</v>
      </c>
      <c r="J2008" s="76">
        <f>EFEITO!$J$2008*EFEITO!$Y$2008</f>
        <v>0</v>
      </c>
      <c r="K2008" s="76">
        <f ca="1">EFEITO!$L$2008*EFEITO!$Z$2008</f>
        <v>1654526.1534020833</v>
      </c>
      <c r="L2008" s="76">
        <f>EFEITO!$N$2008*EFEITO!$AA$2008</f>
        <v>1248630.1393234173</v>
      </c>
      <c r="M2008" s="76">
        <f>$J$2008-EFEITO!$K$2008*EFEITO!$Y$2008</f>
        <v>0</v>
      </c>
      <c r="N2008" s="76">
        <f ca="1">$K$2008-EFEITO!$M$2008*EFEITO!$Z$2008</f>
        <v>0</v>
      </c>
      <c r="O2008" s="76">
        <f>$L$2008-EFEITO!$O$2008*EFEITO!$AA$2008</f>
        <v>0</v>
      </c>
      <c r="P2008" s="18"/>
      <c r="Q2008" s="18"/>
      <c r="R2008" s="18"/>
      <c r="S2008" s="18"/>
      <c r="T2008" s="18"/>
      <c r="U2008" s="18"/>
      <c r="V2008" s="18"/>
      <c r="W2008" s="18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</row>
    <row r="2009" spans="1:36" ht="11.25" customHeight="1" x14ac:dyDescent="0.2">
      <c r="A2009" s="62" t="s">
        <v>21</v>
      </c>
      <c r="B2009" s="62" t="s">
        <v>47</v>
      </c>
      <c r="C2009" s="62" t="s">
        <v>23</v>
      </c>
      <c r="D2009" s="62" t="s">
        <v>48</v>
      </c>
      <c r="E2009" s="62" t="s">
        <v>49</v>
      </c>
      <c r="F2009" s="62" t="s">
        <v>25</v>
      </c>
      <c r="G2009" s="62" t="s">
        <v>25</v>
      </c>
      <c r="H2009" s="62" t="s">
        <v>25</v>
      </c>
      <c r="I2009" s="75">
        <v>44652</v>
      </c>
      <c r="J2009" s="76">
        <f>EFEITO!$J$2009*EFEITO!$Y$2009</f>
        <v>0</v>
      </c>
      <c r="K2009" s="76">
        <f ca="1">EFEITO!$L$2009*EFEITO!$Z$2009</f>
        <v>1602287.7706524238</v>
      </c>
      <c r="L2009" s="76">
        <f>EFEITO!$N$2009*EFEITO!$AA$2009</f>
        <v>1209207.1184200505</v>
      </c>
      <c r="M2009" s="76">
        <f>$J$2009-EFEITO!$K$2009*EFEITO!$Y$2009</f>
        <v>0</v>
      </c>
      <c r="N2009" s="76">
        <f ca="1">$K$2009-EFEITO!$M$2009*EFEITO!$Z$2009</f>
        <v>0</v>
      </c>
      <c r="O2009" s="76">
        <f>$L$2009-EFEITO!$O$2009*EFEITO!$AA$2009</f>
        <v>0</v>
      </c>
      <c r="P2009" s="18"/>
      <c r="Q2009" s="18"/>
      <c r="R2009" s="18"/>
      <c r="S2009" s="18"/>
      <c r="T2009" s="18"/>
      <c r="U2009" s="18"/>
      <c r="V2009" s="18"/>
      <c r="W2009" s="18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</row>
    <row r="2010" spans="1:36" ht="11.25" customHeight="1" x14ac:dyDescent="0.2">
      <c r="A2010" s="62" t="s">
        <v>58</v>
      </c>
      <c r="B2010" s="62" t="s">
        <v>47</v>
      </c>
      <c r="C2010" s="62" t="s">
        <v>23</v>
      </c>
      <c r="D2010" s="62" t="s">
        <v>48</v>
      </c>
      <c r="E2010" s="62" t="s">
        <v>49</v>
      </c>
      <c r="F2010" s="62" t="s">
        <v>25</v>
      </c>
      <c r="G2010" s="62" t="s">
        <v>25</v>
      </c>
      <c r="H2010" s="62" t="s">
        <v>25</v>
      </c>
      <c r="I2010" s="75">
        <v>44682</v>
      </c>
      <c r="J2010" s="76">
        <f>EFEITO!$J$2010*EFEITO!$Y$2010</f>
        <v>0</v>
      </c>
      <c r="K2010" s="76">
        <f ca="1">EFEITO!$L$2010*EFEITO!$Z$2010</f>
        <v>1602287.7706524238</v>
      </c>
      <c r="L2010" s="76">
        <f>EFEITO!$N$2010*EFEITO!$AA$2010</f>
        <v>1209207.1184200505</v>
      </c>
      <c r="M2010" s="76">
        <f>$J$2010-EFEITO!$K$2010*EFEITO!$Y$2010</f>
        <v>0</v>
      </c>
      <c r="N2010" s="76">
        <f ca="1">$K$2010-EFEITO!$M$2010*EFEITO!$Z$2010</f>
        <v>0</v>
      </c>
      <c r="O2010" s="76">
        <f>$L$2010-EFEITO!$O$2010*EFEITO!$AA$2010</f>
        <v>0</v>
      </c>
      <c r="P2010" s="18"/>
      <c r="Q2010" s="18"/>
      <c r="R2010" s="18"/>
      <c r="S2010" s="18"/>
      <c r="T2010" s="18"/>
      <c r="U2010" s="18"/>
      <c r="V2010" s="18"/>
      <c r="W2010" s="18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</row>
    <row r="2011" spans="1:36" ht="11.25" customHeight="1" x14ac:dyDescent="0.2">
      <c r="A2011" s="62" t="s">
        <v>21</v>
      </c>
      <c r="B2011" s="62" t="s">
        <v>47</v>
      </c>
      <c r="C2011" s="62" t="s">
        <v>23</v>
      </c>
      <c r="D2011" s="62" t="s">
        <v>48</v>
      </c>
      <c r="E2011" s="62" t="s">
        <v>50</v>
      </c>
      <c r="F2011" s="62" t="s">
        <v>25</v>
      </c>
      <c r="G2011" s="62" t="s">
        <v>25</v>
      </c>
      <c r="H2011" s="62" t="s">
        <v>25</v>
      </c>
      <c r="I2011" s="75">
        <v>44348</v>
      </c>
      <c r="J2011" s="76">
        <f>EFEITO!$J$2011*EFEITO!$Y$2011</f>
        <v>0</v>
      </c>
      <c r="K2011" s="76">
        <f ca="1">EFEITO!$L$2011*EFEITO!$Z$2011</f>
        <v>36353.170909688066</v>
      </c>
      <c r="L2011" s="76">
        <f>EFEITO!$N$2011*EFEITO!$AA$2011</f>
        <v>27434.842758137234</v>
      </c>
      <c r="M2011" s="76">
        <f>$J$2011-EFEITO!$K$2011*EFEITO!$Y$2011</f>
        <v>0</v>
      </c>
      <c r="N2011" s="76">
        <f ca="1">$K$2011-EFEITO!$M$2011*EFEITO!$Z$2011</f>
        <v>0</v>
      </c>
      <c r="O2011" s="76">
        <f>$L$2011-EFEITO!$O$2011*EFEITO!$AA$2011</f>
        <v>0</v>
      </c>
      <c r="P2011" s="18"/>
      <c r="Q2011" s="18"/>
      <c r="R2011" s="18"/>
      <c r="S2011" s="18"/>
      <c r="T2011" s="18"/>
      <c r="U2011" s="18"/>
      <c r="V2011" s="18"/>
      <c r="W2011" s="18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</row>
    <row r="2012" spans="1:36" ht="11.25" customHeight="1" x14ac:dyDescent="0.2">
      <c r="A2012" s="62" t="s">
        <v>21</v>
      </c>
      <c r="B2012" s="62" t="s">
        <v>47</v>
      </c>
      <c r="C2012" s="62" t="s">
        <v>23</v>
      </c>
      <c r="D2012" s="62" t="s">
        <v>48</v>
      </c>
      <c r="E2012" s="62" t="s">
        <v>50</v>
      </c>
      <c r="F2012" s="62" t="s">
        <v>25</v>
      </c>
      <c r="G2012" s="62" t="s">
        <v>25</v>
      </c>
      <c r="H2012" s="62" t="s">
        <v>25</v>
      </c>
      <c r="I2012" s="75">
        <v>44378</v>
      </c>
      <c r="J2012" s="76">
        <f>EFEITO!$J$2012*EFEITO!$Y$2012</f>
        <v>0</v>
      </c>
      <c r="K2012" s="76">
        <f ca="1">EFEITO!$L$2012*EFEITO!$Z$2012</f>
        <v>37564.724880891525</v>
      </c>
      <c r="L2012" s="76">
        <f>EFEITO!$N$2012*EFEITO!$AA$2012</f>
        <v>28349.172701336371</v>
      </c>
      <c r="M2012" s="76">
        <f>$J$2012-EFEITO!$K$2012*EFEITO!$Y$2012</f>
        <v>0</v>
      </c>
      <c r="N2012" s="76">
        <f ca="1">$K$2012-EFEITO!$M$2012*EFEITO!$Z$2012</f>
        <v>0</v>
      </c>
      <c r="O2012" s="76">
        <f>$L$2012-EFEITO!$O$2012*EFEITO!$AA$2012</f>
        <v>0</v>
      </c>
      <c r="P2012" s="18"/>
      <c r="Q2012" s="18"/>
      <c r="R2012" s="18"/>
      <c r="S2012" s="18"/>
      <c r="T2012" s="18"/>
      <c r="U2012" s="18"/>
      <c r="V2012" s="18"/>
      <c r="W2012" s="18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</row>
    <row r="2013" spans="1:36" ht="11.25" customHeight="1" x14ac:dyDescent="0.2">
      <c r="A2013" s="62" t="s">
        <v>21</v>
      </c>
      <c r="B2013" s="62" t="s">
        <v>47</v>
      </c>
      <c r="C2013" s="62" t="s">
        <v>23</v>
      </c>
      <c r="D2013" s="62" t="s">
        <v>48</v>
      </c>
      <c r="E2013" s="62" t="s">
        <v>50</v>
      </c>
      <c r="F2013" s="62" t="s">
        <v>25</v>
      </c>
      <c r="G2013" s="62" t="s">
        <v>25</v>
      </c>
      <c r="H2013" s="62" t="s">
        <v>25</v>
      </c>
      <c r="I2013" s="75">
        <v>44409</v>
      </c>
      <c r="J2013" s="76">
        <f>EFEITO!$J$2013*EFEITO!$Y$2013</f>
        <v>0</v>
      </c>
      <c r="K2013" s="76">
        <f ca="1">EFEITO!$L$2013*EFEITO!$Z$2013</f>
        <v>37569.442157872196</v>
      </c>
      <c r="L2013" s="76">
        <f>EFEITO!$N$2013*EFEITO!$AA$2013</f>
        <v>28352.732714093796</v>
      </c>
      <c r="M2013" s="76">
        <f>$J$2013-EFEITO!$K$2013*EFEITO!$Y$2013</f>
        <v>0</v>
      </c>
      <c r="N2013" s="76">
        <f ca="1">$K$2013-EFEITO!$M$2013*EFEITO!$Z$2013</f>
        <v>0</v>
      </c>
      <c r="O2013" s="76">
        <f>$L$2013-EFEITO!$O$2013*EFEITO!$AA$2013</f>
        <v>0</v>
      </c>
      <c r="P2013" s="18"/>
      <c r="Q2013" s="18"/>
      <c r="R2013" s="18"/>
      <c r="S2013" s="18"/>
      <c r="T2013" s="18"/>
      <c r="U2013" s="18"/>
      <c r="V2013" s="18"/>
      <c r="W2013" s="18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</row>
    <row r="2014" spans="1:36" ht="11.25" customHeight="1" x14ac:dyDescent="0.2">
      <c r="A2014" s="62" t="s">
        <v>21</v>
      </c>
      <c r="B2014" s="62" t="s">
        <v>47</v>
      </c>
      <c r="C2014" s="62" t="s">
        <v>23</v>
      </c>
      <c r="D2014" s="62" t="s">
        <v>48</v>
      </c>
      <c r="E2014" s="62" t="s">
        <v>50</v>
      </c>
      <c r="F2014" s="62" t="s">
        <v>25</v>
      </c>
      <c r="G2014" s="62" t="s">
        <v>25</v>
      </c>
      <c r="H2014" s="62" t="s">
        <v>25</v>
      </c>
      <c r="I2014" s="75">
        <v>44440</v>
      </c>
      <c r="J2014" s="76">
        <f>EFEITO!$J$2014*EFEITO!$Y$2014</f>
        <v>0</v>
      </c>
      <c r="K2014" s="76">
        <f ca="1">EFEITO!$L$2014*EFEITO!$Z$2014</f>
        <v>33506.294251850471</v>
      </c>
      <c r="L2014" s="76">
        <f>EFEITO!$N$2014*EFEITO!$AA$2014</f>
        <v>25286.37505903011</v>
      </c>
      <c r="M2014" s="76">
        <f>$J$2014-EFEITO!$K$2014*EFEITO!$Y$2014</f>
        <v>0</v>
      </c>
      <c r="N2014" s="76">
        <f ca="1">$K$2014-EFEITO!$M$2014*EFEITO!$Z$2014</f>
        <v>0</v>
      </c>
      <c r="O2014" s="76">
        <f>$L$2014-EFEITO!$O$2014*EFEITO!$AA$2014</f>
        <v>0</v>
      </c>
      <c r="P2014" s="18"/>
      <c r="Q2014" s="18"/>
      <c r="R2014" s="18"/>
      <c r="S2014" s="18"/>
      <c r="T2014" s="18"/>
      <c r="U2014" s="18"/>
      <c r="V2014" s="18"/>
      <c r="W2014" s="18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</row>
    <row r="2015" spans="1:36" ht="11.25" customHeight="1" x14ac:dyDescent="0.2">
      <c r="A2015" s="62" t="s">
        <v>21</v>
      </c>
      <c r="B2015" s="62" t="s">
        <v>47</v>
      </c>
      <c r="C2015" s="62" t="s">
        <v>23</v>
      </c>
      <c r="D2015" s="62" t="s">
        <v>48</v>
      </c>
      <c r="E2015" s="62" t="s">
        <v>50</v>
      </c>
      <c r="F2015" s="62" t="s">
        <v>25</v>
      </c>
      <c r="G2015" s="62" t="s">
        <v>25</v>
      </c>
      <c r="H2015" s="62" t="s">
        <v>25</v>
      </c>
      <c r="I2015" s="75">
        <v>44470</v>
      </c>
      <c r="J2015" s="76">
        <f>EFEITO!$J$2015*EFEITO!$Y$2015</f>
        <v>0</v>
      </c>
      <c r="K2015" s="76">
        <f ca="1">EFEITO!$L$2015*EFEITO!$Z$2015</f>
        <v>34620.881974006712</v>
      </c>
      <c r="L2015" s="76">
        <f>EFEITO!$N$2015*EFEITO!$AA$2015</f>
        <v>26127.52696221547</v>
      </c>
      <c r="M2015" s="76">
        <f>$J$2015-EFEITO!$K$2015*EFEITO!$Y$2015</f>
        <v>0</v>
      </c>
      <c r="N2015" s="76">
        <f ca="1">$K$2015-EFEITO!$M$2015*EFEITO!$Z$2015</f>
        <v>0</v>
      </c>
      <c r="O2015" s="76">
        <f>$L$2015-EFEITO!$O$2015*EFEITO!$AA$2015</f>
        <v>0</v>
      </c>
      <c r="P2015" s="18"/>
      <c r="Q2015" s="18"/>
      <c r="R2015" s="18"/>
      <c r="S2015" s="18"/>
      <c r="T2015" s="18"/>
      <c r="U2015" s="18"/>
      <c r="V2015" s="18"/>
      <c r="W2015" s="18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</row>
    <row r="2016" spans="1:36" ht="11.25" customHeight="1" x14ac:dyDescent="0.2">
      <c r="A2016" s="62" t="s">
        <v>21</v>
      </c>
      <c r="B2016" s="62" t="s">
        <v>47</v>
      </c>
      <c r="C2016" s="62" t="s">
        <v>23</v>
      </c>
      <c r="D2016" s="62" t="s">
        <v>48</v>
      </c>
      <c r="E2016" s="62" t="s">
        <v>50</v>
      </c>
      <c r="F2016" s="62" t="s">
        <v>25</v>
      </c>
      <c r="G2016" s="62" t="s">
        <v>25</v>
      </c>
      <c r="H2016" s="62" t="s">
        <v>25</v>
      </c>
      <c r="I2016" s="75">
        <v>44501</v>
      </c>
      <c r="J2016" s="76">
        <f>EFEITO!$J$2016*EFEITO!$Y$2016</f>
        <v>0</v>
      </c>
      <c r="K2016" s="76">
        <f ca="1">EFEITO!$L$2016*EFEITO!$Z$2016</f>
        <v>33504.459755246877</v>
      </c>
      <c r="L2016" s="76">
        <f>EFEITO!$N$2016*EFEITO!$AA$2016</f>
        <v>25284.990609624441</v>
      </c>
      <c r="M2016" s="76">
        <f>$J$2016-EFEITO!$K$2016*EFEITO!$Y$2016</f>
        <v>0</v>
      </c>
      <c r="N2016" s="76">
        <f ca="1">$K$2016-EFEITO!$M$2016*EFEITO!$Z$2016</f>
        <v>0</v>
      </c>
      <c r="O2016" s="76">
        <f>$L$2016-EFEITO!$O$2016*EFEITO!$AA$2016</f>
        <v>0</v>
      </c>
      <c r="P2016" s="18"/>
      <c r="Q2016" s="18"/>
      <c r="R2016" s="18"/>
      <c r="S2016" s="18"/>
      <c r="T2016" s="18"/>
      <c r="U2016" s="18"/>
      <c r="V2016" s="18"/>
      <c r="W2016" s="18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</row>
    <row r="2017" spans="1:36" ht="11.25" customHeight="1" x14ac:dyDescent="0.2">
      <c r="A2017" s="62" t="s">
        <v>21</v>
      </c>
      <c r="B2017" s="62" t="s">
        <v>47</v>
      </c>
      <c r="C2017" s="62" t="s">
        <v>23</v>
      </c>
      <c r="D2017" s="62" t="s">
        <v>48</v>
      </c>
      <c r="E2017" s="62" t="s">
        <v>50</v>
      </c>
      <c r="F2017" s="62" t="s">
        <v>25</v>
      </c>
      <c r="G2017" s="62" t="s">
        <v>25</v>
      </c>
      <c r="H2017" s="62" t="s">
        <v>25</v>
      </c>
      <c r="I2017" s="75">
        <v>44531</v>
      </c>
      <c r="J2017" s="76">
        <f>EFEITO!$J$2017*EFEITO!$Y$2017</f>
        <v>0</v>
      </c>
      <c r="K2017" s="76">
        <f ca="1">EFEITO!$L$2017*EFEITO!$Z$2017</f>
        <v>34379.252564218783</v>
      </c>
      <c r="L2017" s="76">
        <f>EFEITO!$N$2017*EFEITO!$AA$2017</f>
        <v>25945.175197640605</v>
      </c>
      <c r="M2017" s="76">
        <f>$J$2017-EFEITO!$K$2017*EFEITO!$Y$2017</f>
        <v>0</v>
      </c>
      <c r="N2017" s="76">
        <f ca="1">$K$2017-EFEITO!$M$2017*EFEITO!$Z$2017</f>
        <v>0</v>
      </c>
      <c r="O2017" s="76">
        <f>$L$2017-EFEITO!$O$2017*EFEITO!$AA$2017</f>
        <v>0</v>
      </c>
      <c r="P2017" s="18"/>
      <c r="Q2017" s="18"/>
      <c r="R2017" s="18"/>
      <c r="S2017" s="18"/>
      <c r="T2017" s="18"/>
      <c r="U2017" s="18"/>
      <c r="V2017" s="18"/>
      <c r="W2017" s="18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</row>
    <row r="2018" spans="1:36" ht="11.25" customHeight="1" x14ac:dyDescent="0.2">
      <c r="A2018" s="62" t="s">
        <v>21</v>
      </c>
      <c r="B2018" s="62" t="s">
        <v>47</v>
      </c>
      <c r="C2018" s="62" t="s">
        <v>23</v>
      </c>
      <c r="D2018" s="62" t="s">
        <v>48</v>
      </c>
      <c r="E2018" s="62" t="s">
        <v>50</v>
      </c>
      <c r="F2018" s="62" t="s">
        <v>25</v>
      </c>
      <c r="G2018" s="62" t="s">
        <v>25</v>
      </c>
      <c r="H2018" s="62" t="s">
        <v>25</v>
      </c>
      <c r="I2018" s="75">
        <v>44562</v>
      </c>
      <c r="J2018" s="76">
        <f>EFEITO!$J$2018*EFEITO!$Y$2018</f>
        <v>0</v>
      </c>
      <c r="K2018" s="76">
        <f ca="1">EFEITO!$L$2018*EFEITO!$Z$2018</f>
        <v>34371.390435917659</v>
      </c>
      <c r="L2018" s="76">
        <f>EFEITO!$N$2018*EFEITO!$AA$2018</f>
        <v>25939.241843044892</v>
      </c>
      <c r="M2018" s="76">
        <f>$J$2018-EFEITO!$K$2018*EFEITO!$Y$2018</f>
        <v>0</v>
      </c>
      <c r="N2018" s="76">
        <f ca="1">$K$2018-EFEITO!$M$2018*EFEITO!$Z$2018</f>
        <v>0</v>
      </c>
      <c r="O2018" s="76">
        <f>$L$2018-EFEITO!$O$2018*EFEITO!$AA$2018</f>
        <v>0</v>
      </c>
      <c r="P2018" s="18"/>
      <c r="Q2018" s="18"/>
      <c r="R2018" s="18"/>
      <c r="S2018" s="18"/>
      <c r="T2018" s="18"/>
      <c r="U2018" s="18"/>
      <c r="V2018" s="18"/>
      <c r="W2018" s="18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</row>
    <row r="2019" spans="1:36" ht="11.25" customHeight="1" x14ac:dyDescent="0.2">
      <c r="A2019" s="62" t="s">
        <v>21</v>
      </c>
      <c r="B2019" s="62" t="s">
        <v>47</v>
      </c>
      <c r="C2019" s="62" t="s">
        <v>23</v>
      </c>
      <c r="D2019" s="62" t="s">
        <v>48</v>
      </c>
      <c r="E2019" s="62" t="s">
        <v>50</v>
      </c>
      <c r="F2019" s="62" t="s">
        <v>25</v>
      </c>
      <c r="G2019" s="62" t="s">
        <v>25</v>
      </c>
      <c r="H2019" s="62" t="s">
        <v>25</v>
      </c>
      <c r="I2019" s="75">
        <v>44593</v>
      </c>
      <c r="J2019" s="76">
        <f>EFEITO!$J$2019*EFEITO!$Y$2019</f>
        <v>0</v>
      </c>
      <c r="K2019" s="76">
        <f ca="1">EFEITO!$L$2019*EFEITO!$Z$2019</f>
        <v>31046.234306428265</v>
      </c>
      <c r="L2019" s="76">
        <f>EFEITO!$N$2019*EFEITO!$AA$2019</f>
        <v>23429.828406031989</v>
      </c>
      <c r="M2019" s="76">
        <f>$J$2019-EFEITO!$K$2019*EFEITO!$Y$2019</f>
        <v>0</v>
      </c>
      <c r="N2019" s="76">
        <f ca="1">$K$2019-EFEITO!$M$2019*EFEITO!$Z$2019</f>
        <v>0</v>
      </c>
      <c r="O2019" s="76">
        <f>$L$2019-EFEITO!$O$2019*EFEITO!$AA$2019</f>
        <v>0</v>
      </c>
      <c r="P2019" s="18"/>
      <c r="Q2019" s="18"/>
      <c r="R2019" s="18"/>
      <c r="S2019" s="18"/>
      <c r="T2019" s="18"/>
      <c r="U2019" s="18"/>
      <c r="V2019" s="18"/>
      <c r="W2019" s="18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</row>
    <row r="2020" spans="1:36" ht="11.25" customHeight="1" x14ac:dyDescent="0.2">
      <c r="A2020" s="62" t="s">
        <v>21</v>
      </c>
      <c r="B2020" s="62" t="s">
        <v>47</v>
      </c>
      <c r="C2020" s="62" t="s">
        <v>23</v>
      </c>
      <c r="D2020" s="62" t="s">
        <v>48</v>
      </c>
      <c r="E2020" s="62" t="s">
        <v>50</v>
      </c>
      <c r="F2020" s="62" t="s">
        <v>25</v>
      </c>
      <c r="G2020" s="62" t="s">
        <v>25</v>
      </c>
      <c r="H2020" s="62" t="s">
        <v>25</v>
      </c>
      <c r="I2020" s="75">
        <v>44621</v>
      </c>
      <c r="J2020" s="76">
        <f>EFEITO!$J$2020*EFEITO!$Y$2020</f>
        <v>0</v>
      </c>
      <c r="K2020" s="76">
        <f ca="1">EFEITO!$L$2020*EFEITO!$Z$2020</f>
        <v>34371.652506861035</v>
      </c>
      <c r="L2020" s="76">
        <f>EFEITO!$N$2020*EFEITO!$AA$2020</f>
        <v>25939.439621531419</v>
      </c>
      <c r="M2020" s="76">
        <f>$J$2020-EFEITO!$K$2020*EFEITO!$Y$2020</f>
        <v>0</v>
      </c>
      <c r="N2020" s="76">
        <f ca="1">$K$2020-EFEITO!$M$2020*EFEITO!$Z$2020</f>
        <v>0</v>
      </c>
      <c r="O2020" s="76">
        <f>$L$2020-EFEITO!$O$2020*EFEITO!$AA$2020</f>
        <v>0</v>
      </c>
      <c r="P2020" s="18"/>
      <c r="Q2020" s="18"/>
      <c r="R2020" s="18"/>
      <c r="S2020" s="18"/>
      <c r="T2020" s="18"/>
      <c r="U2020" s="18"/>
      <c r="V2020" s="18"/>
      <c r="W2020" s="18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</row>
    <row r="2021" spans="1:36" ht="11.25" customHeight="1" x14ac:dyDescent="0.2">
      <c r="A2021" s="62" t="s">
        <v>21</v>
      </c>
      <c r="B2021" s="62" t="s">
        <v>47</v>
      </c>
      <c r="C2021" s="62" t="s">
        <v>23</v>
      </c>
      <c r="D2021" s="62" t="s">
        <v>48</v>
      </c>
      <c r="E2021" s="62" t="s">
        <v>50</v>
      </c>
      <c r="F2021" s="62" t="s">
        <v>25</v>
      </c>
      <c r="G2021" s="62" t="s">
        <v>25</v>
      </c>
      <c r="H2021" s="62" t="s">
        <v>25</v>
      </c>
      <c r="I2021" s="75">
        <v>44652</v>
      </c>
      <c r="J2021" s="76">
        <f>EFEITO!$J$2021*EFEITO!$Y$2021</f>
        <v>0</v>
      </c>
      <c r="K2021" s="76">
        <f ca="1">EFEITO!$L$2021*EFEITO!$Z$2021</f>
        <v>33263.616558289061</v>
      </c>
      <c r="L2021" s="76">
        <f>EFEITO!$N$2021*EFEITO!$AA$2021</f>
        <v>25103.232180509149</v>
      </c>
      <c r="M2021" s="76">
        <f>$J$2021-EFEITO!$K$2021*EFEITO!$Y$2021</f>
        <v>0</v>
      </c>
      <c r="N2021" s="76">
        <f ca="1">$K$2021-EFEITO!$M$2021*EFEITO!$Z$2021</f>
        <v>0</v>
      </c>
      <c r="O2021" s="76">
        <f>$L$2021-EFEITO!$O$2021*EFEITO!$AA$2021</f>
        <v>0</v>
      </c>
      <c r="P2021" s="18"/>
      <c r="Q2021" s="18"/>
      <c r="R2021" s="18"/>
      <c r="S2021" s="18"/>
      <c r="T2021" s="18"/>
      <c r="U2021" s="18"/>
      <c r="V2021" s="18"/>
      <c r="W2021" s="18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</row>
    <row r="2022" spans="1:36" ht="11.25" customHeight="1" x14ac:dyDescent="0.2">
      <c r="A2022" s="62" t="s">
        <v>58</v>
      </c>
      <c r="B2022" s="62" t="s">
        <v>47</v>
      </c>
      <c r="C2022" s="62" t="s">
        <v>23</v>
      </c>
      <c r="D2022" s="62" t="s">
        <v>48</v>
      </c>
      <c r="E2022" s="62" t="s">
        <v>50</v>
      </c>
      <c r="F2022" s="62" t="s">
        <v>25</v>
      </c>
      <c r="G2022" s="62" t="s">
        <v>25</v>
      </c>
      <c r="H2022" s="62" t="s">
        <v>25</v>
      </c>
      <c r="I2022" s="75">
        <v>44682</v>
      </c>
      <c r="J2022" s="76">
        <f>EFEITO!$J$2022*EFEITO!$Y$2022</f>
        <v>0</v>
      </c>
      <c r="K2022" s="76">
        <f ca="1">EFEITO!$L$2022*EFEITO!$Z$2022</f>
        <v>33263.616558289061</v>
      </c>
      <c r="L2022" s="76">
        <f>EFEITO!$N$2022*EFEITO!$AA$2022</f>
        <v>25103.232180509149</v>
      </c>
      <c r="M2022" s="76">
        <f>$J$2022-EFEITO!$K$2022*EFEITO!$Y$2022</f>
        <v>0</v>
      </c>
      <c r="N2022" s="76">
        <f ca="1">$K$2022-EFEITO!$M$2022*EFEITO!$Z$2022</f>
        <v>0</v>
      </c>
      <c r="O2022" s="76">
        <f>$L$2022-EFEITO!$O$2022*EFEITO!$AA$2022</f>
        <v>0</v>
      </c>
      <c r="P2022" s="18"/>
      <c r="Q2022" s="18"/>
      <c r="R2022" s="18"/>
      <c r="S2022" s="18"/>
      <c r="T2022" s="18"/>
      <c r="U2022" s="18"/>
      <c r="V2022" s="18"/>
      <c r="W2022" s="18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</row>
  </sheetData>
  <mergeCells count="1">
    <mergeCell ref="Q1:AJ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76469-2350-4F47-A0B4-55F3C93EEECF}">
  <dimension ref="A1:BD149"/>
  <sheetViews>
    <sheetView showGridLines="0" topLeftCell="E63" workbookViewId="0">
      <selection activeCell="L76" sqref="L76:BD149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7.57031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" style="9" bestFit="1" customWidth="1"/>
    <col min="21" max="21" width="8.7109375" style="9" bestFit="1" customWidth="1"/>
    <col min="22" max="23" width="9.85546875" style="9" bestFit="1" customWidth="1"/>
    <col min="24" max="24" width="10.8554687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10" style="9" bestFit="1" customWidth="1"/>
    <col min="34" max="34" width="9.140625" style="9"/>
    <col min="35" max="35" width="13.42578125" style="9" bestFit="1" customWidth="1"/>
    <col min="36" max="36" width="8.7109375" style="9" bestFit="1" customWidth="1"/>
    <col min="37" max="37" width="10" style="9" bestFit="1" customWidth="1"/>
    <col min="38" max="38" width="7.57031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3" width="10" style="9" bestFit="1" customWidth="1"/>
    <col min="44" max="44" width="8.7109375" style="9" bestFit="1" customWidth="1"/>
    <col min="45" max="46" width="9.85546875" style="9" bestFit="1" customWidth="1"/>
    <col min="47" max="47" width="10.8554687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10" style="9" bestFit="1" customWidth="1"/>
    <col min="57" max="16384" width="9.140625" style="9"/>
  </cols>
  <sheetData>
    <row r="1" spans="1:56" ht="11.25" customHeight="1" x14ac:dyDescent="0.25">
      <c r="A1" s="118" t="s">
        <v>107</v>
      </c>
      <c r="B1" s="118" t="s">
        <v>108</v>
      </c>
      <c r="C1" s="118" t="s">
        <v>109</v>
      </c>
      <c r="D1" s="118" t="s">
        <v>110</v>
      </c>
      <c r="E1" s="118" t="s">
        <v>111</v>
      </c>
      <c r="F1" s="118" t="s">
        <v>15</v>
      </c>
      <c r="G1" s="118" t="s">
        <v>113</v>
      </c>
      <c r="H1" s="118" t="s">
        <v>114</v>
      </c>
      <c r="I1" s="118" t="s">
        <v>1040</v>
      </c>
      <c r="J1" s="114"/>
      <c r="L1" s="117" t="s">
        <v>1217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I1" s="117" t="s">
        <v>1218</v>
      </c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  <c r="AV1" s="117"/>
      <c r="AW1" s="117"/>
      <c r="AX1" s="117"/>
      <c r="AY1" s="117"/>
      <c r="AZ1" s="117"/>
      <c r="BA1" s="117"/>
      <c r="BB1" s="117"/>
      <c r="BC1" s="117"/>
      <c r="BD1" s="117"/>
    </row>
    <row r="2" spans="1:56" ht="11.25" customHeight="1" x14ac:dyDescent="0.25">
      <c r="A2" s="118"/>
      <c r="B2" s="118"/>
      <c r="C2" s="118"/>
      <c r="D2" s="118"/>
      <c r="E2" s="118"/>
      <c r="F2" s="118"/>
      <c r="G2" s="118"/>
      <c r="H2" s="118"/>
      <c r="I2" s="118"/>
      <c r="J2" s="114"/>
      <c r="L2" s="117" t="s">
        <v>951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I2" s="117" t="s">
        <v>951</v>
      </c>
      <c r="AJ2" s="117"/>
      <c r="AK2" s="117"/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</row>
    <row r="3" spans="1:56" ht="11.25" customHeight="1" x14ac:dyDescent="0.25">
      <c r="A3" s="118"/>
      <c r="B3" s="118"/>
      <c r="C3" s="118"/>
      <c r="D3" s="118"/>
      <c r="E3" s="118"/>
      <c r="F3" s="118"/>
      <c r="G3" s="118"/>
      <c r="H3" s="118"/>
      <c r="I3" s="118"/>
      <c r="J3" s="114"/>
      <c r="L3" s="117" t="s">
        <v>952</v>
      </c>
      <c r="M3" s="117"/>
      <c r="N3" s="117"/>
      <c r="O3" s="117"/>
      <c r="P3" s="117"/>
      <c r="Q3" s="117"/>
      <c r="R3" s="117"/>
      <c r="S3" s="117"/>
      <c r="T3" s="117" t="s">
        <v>961</v>
      </c>
      <c r="U3" s="117"/>
      <c r="V3" s="117"/>
      <c r="W3" s="117"/>
      <c r="X3" s="117"/>
      <c r="Y3" s="117"/>
      <c r="Z3" s="117"/>
      <c r="AA3" s="79" t="s">
        <v>969</v>
      </c>
      <c r="AB3" s="117" t="s">
        <v>971</v>
      </c>
      <c r="AC3" s="117"/>
      <c r="AD3" s="117" t="s">
        <v>974</v>
      </c>
      <c r="AE3" s="117"/>
      <c r="AF3" s="117"/>
      <c r="AG3" s="117"/>
      <c r="AI3" s="117" t="s">
        <v>952</v>
      </c>
      <c r="AJ3" s="117"/>
      <c r="AK3" s="117"/>
      <c r="AL3" s="117"/>
      <c r="AM3" s="117"/>
      <c r="AN3" s="117"/>
      <c r="AO3" s="117"/>
      <c r="AP3" s="117"/>
      <c r="AQ3" s="117" t="s">
        <v>961</v>
      </c>
      <c r="AR3" s="117"/>
      <c r="AS3" s="117"/>
      <c r="AT3" s="117"/>
      <c r="AU3" s="117"/>
      <c r="AV3" s="117"/>
      <c r="AW3" s="117"/>
      <c r="AX3" s="79" t="s">
        <v>969</v>
      </c>
      <c r="AY3" s="117" t="s">
        <v>971</v>
      </c>
      <c r="AZ3" s="117"/>
      <c r="BA3" s="117" t="s">
        <v>974</v>
      </c>
      <c r="BB3" s="117"/>
      <c r="BC3" s="117"/>
      <c r="BD3" s="117"/>
    </row>
    <row r="4" spans="1:56" ht="11.25" customHeight="1" x14ac:dyDescent="0.25">
      <c r="A4" s="118"/>
      <c r="B4" s="118"/>
      <c r="C4" s="118"/>
      <c r="D4" s="118"/>
      <c r="E4" s="118"/>
      <c r="F4" s="118"/>
      <c r="G4" s="118"/>
      <c r="H4" s="118"/>
      <c r="I4" s="118"/>
      <c r="J4" s="114"/>
      <c r="L4" s="79" t="s">
        <v>1036</v>
      </c>
      <c r="M4" s="79" t="s">
        <v>953</v>
      </c>
      <c r="N4" s="79" t="s">
        <v>954</v>
      </c>
      <c r="O4" s="79" t="s">
        <v>955</v>
      </c>
      <c r="P4" s="79" t="s">
        <v>956</v>
      </c>
      <c r="Q4" s="79" t="s">
        <v>957</v>
      </c>
      <c r="R4" s="79" t="s">
        <v>958</v>
      </c>
      <c r="S4" s="79" t="s">
        <v>959</v>
      </c>
      <c r="T4" s="79" t="s">
        <v>962</v>
      </c>
      <c r="U4" s="79" t="s">
        <v>963</v>
      </c>
      <c r="V4" s="79" t="s">
        <v>964</v>
      </c>
      <c r="W4" s="79" t="s">
        <v>965</v>
      </c>
      <c r="X4" s="79" t="s">
        <v>966</v>
      </c>
      <c r="Y4" s="79" t="s">
        <v>967</v>
      </c>
      <c r="Z4" s="79" t="s">
        <v>968</v>
      </c>
      <c r="AA4" s="79" t="s">
        <v>970</v>
      </c>
      <c r="AB4" s="79" t="s">
        <v>972</v>
      </c>
      <c r="AC4" s="79" t="s">
        <v>973</v>
      </c>
      <c r="AD4" s="79" t="s">
        <v>975</v>
      </c>
      <c r="AE4" s="79" t="s">
        <v>976</v>
      </c>
      <c r="AF4" s="79" t="s">
        <v>977</v>
      </c>
      <c r="AG4" s="79" t="s">
        <v>978</v>
      </c>
      <c r="AI4" s="79" t="s">
        <v>1036</v>
      </c>
      <c r="AJ4" s="79" t="s">
        <v>953</v>
      </c>
      <c r="AK4" s="79" t="s">
        <v>954</v>
      </c>
      <c r="AL4" s="79" t="s">
        <v>955</v>
      </c>
      <c r="AM4" s="79" t="s">
        <v>956</v>
      </c>
      <c r="AN4" s="79" t="s">
        <v>957</v>
      </c>
      <c r="AO4" s="79" t="s">
        <v>958</v>
      </c>
      <c r="AP4" s="79" t="s">
        <v>959</v>
      </c>
      <c r="AQ4" s="79" t="s">
        <v>962</v>
      </c>
      <c r="AR4" s="79" t="s">
        <v>963</v>
      </c>
      <c r="AS4" s="79" t="s">
        <v>964</v>
      </c>
      <c r="AT4" s="79" t="s">
        <v>965</v>
      </c>
      <c r="AU4" s="79" t="s">
        <v>966</v>
      </c>
      <c r="AV4" s="79" t="s">
        <v>967</v>
      </c>
      <c r="AW4" s="79" t="s">
        <v>968</v>
      </c>
      <c r="AX4" s="79" t="s">
        <v>970</v>
      </c>
      <c r="AY4" s="79" t="s">
        <v>972</v>
      </c>
      <c r="AZ4" s="79" t="s">
        <v>973</v>
      </c>
      <c r="BA4" s="79" t="s">
        <v>975</v>
      </c>
      <c r="BB4" s="79" t="s">
        <v>976</v>
      </c>
      <c r="BC4" s="79" t="s">
        <v>977</v>
      </c>
      <c r="BD4" s="79" t="s">
        <v>978</v>
      </c>
    </row>
    <row r="5" spans="1:56" ht="11.25" customHeight="1" x14ac:dyDescent="0.25">
      <c r="A5" s="116" t="s">
        <v>59</v>
      </c>
      <c r="B5" s="116" t="s">
        <v>40</v>
      </c>
      <c r="C5" s="116" t="s">
        <v>25</v>
      </c>
      <c r="D5" s="116" t="s">
        <v>25</v>
      </c>
      <c r="E5" s="116" t="s">
        <v>25</v>
      </c>
      <c r="F5" s="116" t="s">
        <v>25</v>
      </c>
      <c r="G5" s="36" t="s">
        <v>121</v>
      </c>
      <c r="H5" s="36" t="s">
        <v>120</v>
      </c>
      <c r="I5" s="36">
        <f>'MERCADO TUSD'!$U$2</f>
        <v>103200</v>
      </c>
      <c r="J5" s="16"/>
      <c r="L5" s="33">
        <f>('TUSD BE'!$L$5+'TUSD BF'!$L$5+'TUSD CVA'!$L$5)*1</f>
        <v>0</v>
      </c>
      <c r="M5" s="33">
        <f>('TUSD BE'!$M$5+'TUSD BF'!$M$5+'TUSD CVA'!$M$5)*1</f>
        <v>0</v>
      </c>
      <c r="N5" s="33">
        <f ca="1">('TUSD BE'!$N$5+'TUSD BF'!$N$5+'TUSD CVA'!$N$5)*1</f>
        <v>0</v>
      </c>
      <c r="O5" s="33">
        <f>('TUSD BE'!$O$5+'TUSD BF'!$O$5+'TUSD CVA'!$O$5)*1</f>
        <v>0</v>
      </c>
      <c r="P5" s="33">
        <f>('TUSD BE'!$P$5+'TUSD BF'!$P$5+'TUSD CVA'!$P$5)*1</f>
        <v>0</v>
      </c>
      <c r="Q5" s="33">
        <f>('TUSD BE'!$Q$5+'TUSD BF'!$Q$5+'TUSD CVA'!$Q$5)*1</f>
        <v>0</v>
      </c>
      <c r="R5" s="33">
        <f>('TUSD BE'!$R$5+'TUSD BF'!$R$5+'TUSD CVA'!$R$5)*1</f>
        <v>0</v>
      </c>
      <c r="S5" s="33">
        <f>('TUSD BE'!$S$5+'TUSD BF'!$S$5+'TUSD CVA'!$S$5)*1</f>
        <v>0</v>
      </c>
      <c r="T5" s="33">
        <f>('TUSD BE'!$U$5+'TUSD BF'!$U$5+'TUSD CVA'!$U$5)*1</f>
        <v>3.5430882546490081</v>
      </c>
      <c r="U5" s="33">
        <f>('TUSD BE'!$V$5+'TUSD BF'!$V$5+'TUSD CVA'!$V$5)*1</f>
        <v>3.9983102653303529E-2</v>
      </c>
      <c r="V5" s="33">
        <f>('TUSD BE'!$W$5+'TUSD BF'!$W$5+'TUSD CVA'!$W$5)*1</f>
        <v>0</v>
      </c>
      <c r="W5" s="33">
        <f>('TUSD BE'!$X$5+'TUSD BF'!$X$5+'TUSD CVA'!$X$5)*1</f>
        <v>0</v>
      </c>
      <c r="X5" s="33">
        <f>('TUSD BE'!$Y$5+'TUSD BF'!$Y$5+'TUSD CVA'!$Y$5)*1</f>
        <v>11.456917099355683</v>
      </c>
      <c r="Y5" s="33">
        <f>('TUSD BE'!$Z$5+'TUSD BF'!$Z$5+'TUSD CVA'!$Z$5)*1</f>
        <v>0</v>
      </c>
      <c r="Z5" s="33">
        <f>('TUSD BE'!$AA$5+'TUSD BF'!$AA$5+'TUSD CVA'!$AA$5)*1</f>
        <v>0</v>
      </c>
      <c r="AA5" s="33">
        <f>('TUSD BE'!$AC$5+'TUSD BF'!$AC$5+'TUSD CVA'!$AC$5)*1</f>
        <v>4.7043679012456812</v>
      </c>
      <c r="AB5" s="33">
        <f ca="1">('TUSD BE'!$AE$5+'TUSD BF'!$AE$5+'TUSD CVA'!$AE$5)*1</f>
        <v>0</v>
      </c>
      <c r="AC5" s="33">
        <f ca="1">('TUSD BE'!$AF$5+'TUSD BF'!$AF$5+'TUSD CVA'!$AF$5)*1</f>
        <v>0</v>
      </c>
      <c r="AD5" s="33">
        <f>('TUSD BE'!$AH$5+'TUSD BF'!$AH$5+'TUSD CVA'!$AH$5)*1</f>
        <v>0</v>
      </c>
      <c r="AE5" s="33">
        <f>('TUSD BE'!$AI$5+'TUSD BF'!$AI$5+'TUSD CVA'!$AI$5)*1</f>
        <v>0</v>
      </c>
      <c r="AF5" s="33">
        <f ca="1">('TUSD BE'!$AJ$5+'TUSD BF'!$AJ$5+'TUSD CVA'!$AJ$5)*1</f>
        <v>0</v>
      </c>
      <c r="AG5" s="33">
        <f ca="1">('TUSD BE'!$AK$5+'TUSD BF'!$AK$5+'TUSD CVA'!$AK$5)*1</f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2.7030730801912801</v>
      </c>
      <c r="AR5" s="33">
        <v>-1.14107066439459E-3</v>
      </c>
      <c r="AS5" s="33">
        <v>0</v>
      </c>
      <c r="AT5" s="33">
        <v>0</v>
      </c>
      <c r="AU5" s="33">
        <v>9.1847670840569897</v>
      </c>
      <c r="AV5" s="33">
        <v>0</v>
      </c>
      <c r="AW5" s="33">
        <v>0</v>
      </c>
      <c r="AX5" s="33">
        <v>4.1876864445455597</v>
      </c>
      <c r="AY5" s="33">
        <v>-2.9248710663782101E-3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</row>
    <row r="6" spans="1:56" ht="11.25" customHeight="1" x14ac:dyDescent="0.25">
      <c r="A6" s="116"/>
      <c r="B6" s="116"/>
      <c r="C6" s="116"/>
      <c r="D6" s="116"/>
      <c r="E6" s="116"/>
      <c r="F6" s="116"/>
      <c r="G6" s="36" t="s">
        <v>122</v>
      </c>
      <c r="H6" s="36" t="s">
        <v>120</v>
      </c>
      <c r="I6" s="36">
        <f>'MERCADO TUSD'!$U$3</f>
        <v>151200</v>
      </c>
      <c r="J6" s="16"/>
      <c r="L6" s="33">
        <f>('TUSD BE'!$L$6+'TUSD BF'!$L$6+'TUSD CVA'!$L$6)*1</f>
        <v>0</v>
      </c>
      <c r="M6" s="33">
        <f>('TUSD BE'!$M$6+'TUSD BF'!$M$6+'TUSD CVA'!$M$6)*1</f>
        <v>0</v>
      </c>
      <c r="N6" s="33">
        <f ca="1">('TUSD BE'!$N$6+'TUSD BF'!$N$6+'TUSD CVA'!$N$6)*1</f>
        <v>0</v>
      </c>
      <c r="O6" s="33">
        <f>('TUSD BE'!$O$6+'TUSD BF'!$O$6+'TUSD CVA'!$O$6)*1</f>
        <v>0</v>
      </c>
      <c r="P6" s="33">
        <f>('TUSD BE'!$P$6+'TUSD BF'!$P$6+'TUSD CVA'!$P$6)*1</f>
        <v>0</v>
      </c>
      <c r="Q6" s="33">
        <f>('TUSD BE'!$Q$6+'TUSD BF'!$Q$6+'TUSD CVA'!$Q$6)*1</f>
        <v>0</v>
      </c>
      <c r="R6" s="33">
        <f>('TUSD BE'!$R$6+'TUSD BF'!$R$6+'TUSD CVA'!$R$6)*1</f>
        <v>0</v>
      </c>
      <c r="S6" s="33">
        <f>('TUSD BE'!$S$6+'TUSD BF'!$S$6+'TUSD CVA'!$S$6)*1</f>
        <v>0</v>
      </c>
      <c r="T6" s="33">
        <f>('TUSD BE'!$U$6+'TUSD BF'!$U$6+'TUSD CVA'!$U$6)*1</f>
        <v>1.038232683135716</v>
      </c>
      <c r="U6" s="33">
        <f>('TUSD BE'!$V$6+'TUSD BF'!$V$6+'TUSD CVA'!$V$6)*1</f>
        <v>1.1904452887622281E-2</v>
      </c>
      <c r="V6" s="33">
        <f>('TUSD BE'!$W$6+'TUSD BF'!$W$6+'TUSD CVA'!$W$6)*1</f>
        <v>0</v>
      </c>
      <c r="W6" s="33">
        <f>('TUSD BE'!$X$6+'TUSD BF'!$X$6+'TUSD CVA'!$X$6)*1</f>
        <v>0</v>
      </c>
      <c r="X6" s="33">
        <f>('TUSD BE'!$Y$6+'TUSD BF'!$Y$6+'TUSD CVA'!$Y$6)*1</f>
        <v>2.3502299077726216</v>
      </c>
      <c r="Y6" s="33">
        <f>('TUSD BE'!$Z$6+'TUSD BF'!$Z$6+'TUSD CVA'!$Z$6)*1</f>
        <v>0</v>
      </c>
      <c r="Z6" s="33">
        <f>('TUSD BE'!$AA$6+'TUSD BF'!$AA$6+'TUSD CVA'!$AA$6)*1</f>
        <v>0</v>
      </c>
      <c r="AA6" s="33">
        <f>('TUSD BE'!$AC$6+'TUSD BF'!$AC$6+'TUSD CVA'!$AC$6)*1</f>
        <v>4.7043679012456812</v>
      </c>
      <c r="AB6" s="33">
        <f ca="1">('TUSD BE'!$AE$6+'TUSD BF'!$AE$6+'TUSD CVA'!$AE$6)*1</f>
        <v>0</v>
      </c>
      <c r="AC6" s="33">
        <f ca="1">('TUSD BE'!$AF$6+'TUSD BF'!$AF$6+'TUSD CVA'!$AF$6)*1</f>
        <v>0</v>
      </c>
      <c r="AD6" s="33">
        <f>('TUSD BE'!$AH$6+'TUSD BF'!$AH$6+'TUSD CVA'!$AH$6)*1</f>
        <v>0</v>
      </c>
      <c r="AE6" s="33">
        <f>('TUSD BE'!$AI$6+'TUSD BF'!$AI$6+'TUSD CVA'!$AI$6)*1</f>
        <v>0</v>
      </c>
      <c r="AF6" s="33">
        <f ca="1">('TUSD BE'!$AJ$6+'TUSD BF'!$AJ$6+'TUSD CVA'!$AJ$6)*1</f>
        <v>0</v>
      </c>
      <c r="AG6" s="33">
        <f ca="1">('TUSD BE'!$AK$6+'TUSD BF'!$AK$6+'TUSD CVA'!$AK$6)*1</f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0.79208267337866001</v>
      </c>
      <c r="AR6" s="33">
        <v>-3.3973906636309799E-4</v>
      </c>
      <c r="AS6" s="33">
        <v>0</v>
      </c>
      <c r="AT6" s="33">
        <v>0</v>
      </c>
      <c r="AU6" s="33">
        <v>1.88412939621342</v>
      </c>
      <c r="AV6" s="33">
        <v>0</v>
      </c>
      <c r="AW6" s="33">
        <v>0</v>
      </c>
      <c r="AX6" s="33">
        <v>4.1876864445455597</v>
      </c>
      <c r="AY6" s="33">
        <v>-1.2163203900166901E-3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</row>
    <row r="7" spans="1:56" ht="11.25" customHeight="1" x14ac:dyDescent="0.25">
      <c r="A7" s="116"/>
      <c r="B7" s="116"/>
      <c r="C7" s="116"/>
      <c r="D7" s="116"/>
      <c r="E7" s="116"/>
      <c r="F7" s="116"/>
      <c r="G7" s="36" t="s">
        <v>123</v>
      </c>
      <c r="H7" s="36" t="s">
        <v>117</v>
      </c>
      <c r="I7" s="36">
        <f>'MERCADO TUSD'!$U$4</f>
        <v>30201.055</v>
      </c>
      <c r="J7" s="16"/>
      <c r="L7" s="33">
        <f>('TUSD BE'!$L$7+'TUSD BF'!$L$7+'TUSD CVA'!$L$7)*1</f>
        <v>1.4459138572841299</v>
      </c>
      <c r="M7" s="33">
        <f>('TUSD BE'!$M$7+'TUSD BF'!$M$7+'TUSD CVA'!$M$7)*1</f>
        <v>0.1445514405041386</v>
      </c>
      <c r="N7" s="33">
        <f ca="1">('TUSD BE'!$N$7+'TUSD BF'!$N$7+'TUSD CVA'!$N$7)*1</f>
        <v>0.22664920059480406</v>
      </c>
      <c r="O7" s="33">
        <f>('TUSD BE'!$O$7+'TUSD BF'!$O$7+'TUSD CVA'!$O$7)*1</f>
        <v>-5.032809553728302E-3</v>
      </c>
      <c r="P7" s="33">
        <f>('TUSD BE'!$P$7+'TUSD BF'!$P$7+'TUSD CVA'!$P$7)*1</f>
        <v>0</v>
      </c>
      <c r="Q7" s="33">
        <f>('TUSD BE'!$Q$7+'TUSD BF'!$Q$7+'TUSD CVA'!$Q$7)*1</f>
        <v>66.304323923291321</v>
      </c>
      <c r="R7" s="33">
        <f>('TUSD BE'!$R$7+'TUSD BF'!$R$7+'TUSD CVA'!$R$7)*1</f>
        <v>18.096353551137963</v>
      </c>
      <c r="S7" s="33">
        <f>('TUSD BE'!$S$7+'TUSD BF'!$S$7+'TUSD CVA'!$S$7)*1</f>
        <v>0</v>
      </c>
      <c r="T7" s="33">
        <f>('TUSD BE'!$U$7+'TUSD BF'!$U$7+'TUSD CVA'!$U$7)*1</f>
        <v>0</v>
      </c>
      <c r="U7" s="33">
        <f>('TUSD BE'!$V$7+'TUSD BF'!$V$7+'TUSD CVA'!$V$7)*1</f>
        <v>0</v>
      </c>
      <c r="V7" s="33">
        <f>('TUSD BE'!$W$7+'TUSD BF'!$W$7+'TUSD CVA'!$W$7)*1</f>
        <v>0</v>
      </c>
      <c r="W7" s="33">
        <f>('TUSD BE'!$X$7+'TUSD BF'!$X$7+'TUSD CVA'!$X$7)*1</f>
        <v>0</v>
      </c>
      <c r="X7" s="33">
        <f>('TUSD BE'!$Y$7+'TUSD BF'!$Y$7+'TUSD CVA'!$Y$7)*1</f>
        <v>0</v>
      </c>
      <c r="Y7" s="33">
        <f>('TUSD BE'!$Z$7+'TUSD BF'!$Z$7+'TUSD CVA'!$Z$7)*1</f>
        <v>0</v>
      </c>
      <c r="Z7" s="33">
        <f>('TUSD BE'!$AA$7+'TUSD BF'!$AA$7+'TUSD CVA'!$AA$7)*1</f>
        <v>0</v>
      </c>
      <c r="AA7" s="33">
        <f>('TUSD BE'!$AC$7+'TUSD BF'!$AC$7+'TUSD CVA'!$AC$7)*1</f>
        <v>0</v>
      </c>
      <c r="AB7" s="33">
        <f ca="1">('TUSD BE'!$AE$7+'TUSD BF'!$AE$7+'TUSD CVA'!$AE$7)*1</f>
        <v>0</v>
      </c>
      <c r="AC7" s="33">
        <f ca="1">('TUSD BE'!$AF$7+'TUSD BF'!$AF$7+'TUSD CVA'!$AF$7)*1</f>
        <v>0</v>
      </c>
      <c r="AD7" s="33">
        <f>('TUSD BE'!$AH$7+'TUSD BF'!$AH$7+'TUSD CVA'!$AH$7)*1</f>
        <v>8.5423362486555359</v>
      </c>
      <c r="AE7" s="33">
        <f>('TUSD BE'!$AI$7+'TUSD BF'!$AI$7+'TUSD CVA'!$AI$7)*1</f>
        <v>1.8967435064920931E-2</v>
      </c>
      <c r="AF7" s="33">
        <f ca="1">('TUSD BE'!$AJ$7+'TUSD BF'!$AJ$7+'TUSD CVA'!$AJ$7)*1</f>
        <v>0.32883138168594994</v>
      </c>
      <c r="AG7" s="33">
        <f ca="1">('TUSD BE'!$AK$7+'TUSD BF'!$AK$7+'TUSD CVA'!$AK$7)*1</f>
        <v>2.1181989457250587</v>
      </c>
      <c r="AI7" s="33">
        <v>6.7960615823703296</v>
      </c>
      <c r="AJ7" s="33">
        <v>0.21419027814403799</v>
      </c>
      <c r="AK7" s="33">
        <v>0.19262838316111</v>
      </c>
      <c r="AL7" s="33">
        <v>-4.4728017133853397E-3</v>
      </c>
      <c r="AM7" s="33">
        <v>0</v>
      </c>
      <c r="AN7" s="33">
        <v>35.546742520843303</v>
      </c>
      <c r="AO7" s="33">
        <v>9.9180435169181695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-1.1407302728402E-2</v>
      </c>
      <c r="AZ7" s="33">
        <v>0</v>
      </c>
      <c r="BA7" s="33">
        <v>7.8948482664870303</v>
      </c>
      <c r="BB7" s="33">
        <v>2.7433386209463301E-2</v>
      </c>
      <c r="BC7" s="33">
        <v>0.45793782497418201</v>
      </c>
      <c r="BD7" s="33">
        <v>1.90537769113609</v>
      </c>
    </row>
    <row r="8" spans="1:56" ht="11.25" customHeight="1" x14ac:dyDescent="0.25">
      <c r="A8" s="116"/>
      <c r="B8" s="116"/>
      <c r="C8" s="116"/>
      <c r="D8" s="116"/>
      <c r="E8" s="80" t="s">
        <v>61</v>
      </c>
      <c r="F8" s="80" t="s">
        <v>25</v>
      </c>
      <c r="G8" s="36" t="s">
        <v>123</v>
      </c>
      <c r="H8" s="36" t="s">
        <v>117</v>
      </c>
      <c r="I8" s="36">
        <f>'MERCADO TUSD'!$U$5</f>
        <v>4666.2299999999996</v>
      </c>
      <c r="J8" s="16"/>
      <c r="L8" s="33">
        <f>('TUSD BE'!$L$8+'TUSD BF'!$L$8+'TUSD CVA'!$L$8)*1</f>
        <v>0</v>
      </c>
      <c r="M8" s="33">
        <f>('TUSD BE'!$M$8+'TUSD BF'!$M$8+'TUSD CVA'!$M$8)*1</f>
        <v>0.1445514405041386</v>
      </c>
      <c r="N8" s="33">
        <f ca="1">('TUSD BE'!$N$8+'TUSD BF'!$N$8+'TUSD CVA'!$N$8)*1</f>
        <v>0.21499064820069774</v>
      </c>
      <c r="O8" s="33">
        <f>('TUSD BE'!$O$8+'TUSD BF'!$O$8+'TUSD CVA'!$O$8)*1</f>
        <v>-5.032809553728302E-3</v>
      </c>
      <c r="P8" s="33">
        <f>('TUSD BE'!$P$8+'TUSD BF'!$P$8+'TUSD CVA'!$P$8)*1</f>
        <v>0</v>
      </c>
      <c r="Q8" s="33">
        <f>('TUSD BE'!$Q$8+'TUSD BF'!$Q$8+'TUSD CVA'!$Q$8)*1</f>
        <v>0</v>
      </c>
      <c r="R8" s="33">
        <f>('TUSD BE'!$R$8+'TUSD BF'!$R$8+'TUSD CVA'!$R$8)*1</f>
        <v>0</v>
      </c>
      <c r="S8" s="33">
        <f>('TUSD BE'!$S$8+'TUSD BF'!$S$8+'TUSD CVA'!$S$8)*1</f>
        <v>0</v>
      </c>
      <c r="T8" s="33">
        <f>('TUSD BE'!$U$8+'TUSD BF'!$U$8+'TUSD CVA'!$U$8)*1</f>
        <v>0</v>
      </c>
      <c r="U8" s="33">
        <f>('TUSD BE'!$V$8+'TUSD BF'!$V$8+'TUSD CVA'!$V$8)*1</f>
        <v>0</v>
      </c>
      <c r="V8" s="33">
        <f>('TUSD BE'!$W$8+'TUSD BF'!$W$8+'TUSD CVA'!$W$8)*1</f>
        <v>0</v>
      </c>
      <c r="W8" s="33">
        <f>('TUSD BE'!$X$8+'TUSD BF'!$X$8+'TUSD CVA'!$X$8)*1</f>
        <v>0</v>
      </c>
      <c r="X8" s="33">
        <f>('TUSD BE'!$Y$8+'TUSD BF'!$Y$8+'TUSD CVA'!$Y$8)*1</f>
        <v>0</v>
      </c>
      <c r="Y8" s="33">
        <f>('TUSD BE'!$Z$8+'TUSD BF'!$Z$8+'TUSD CVA'!$Z$8)*1</f>
        <v>0</v>
      </c>
      <c r="Z8" s="33">
        <f>('TUSD BE'!$AA$8+'TUSD BF'!$AA$8+'TUSD CVA'!$AA$8)*1</f>
        <v>0</v>
      </c>
      <c r="AA8" s="33">
        <f>('TUSD BE'!$AC$8+'TUSD BF'!$AC$8+'TUSD CVA'!$AC$8)*1</f>
        <v>0</v>
      </c>
      <c r="AB8" s="33">
        <f ca="1">('TUSD BE'!$AE$8+'TUSD BF'!$AE$8+'TUSD CVA'!$AE$8)*1</f>
        <v>0</v>
      </c>
      <c r="AC8" s="33">
        <f ca="1">('TUSD BE'!$AF$8+'TUSD BF'!$AF$8+'TUSD CVA'!$AF$8)*1</f>
        <v>0</v>
      </c>
      <c r="AD8" s="33">
        <f>('TUSD BE'!$AH$8+'TUSD BF'!$AH$8+'TUSD CVA'!$AH$8)*1</f>
        <v>8.5423362486555359</v>
      </c>
      <c r="AE8" s="33">
        <f>('TUSD BE'!$AI$8+'TUSD BF'!$AI$8+'TUSD CVA'!$AI$8)*1</f>
        <v>1.8967435064920931E-2</v>
      </c>
      <c r="AF8" s="33">
        <f ca="1">('TUSD BE'!$AJ$8+'TUSD BF'!$AJ$8+'TUSD CVA'!$AJ$8)*1</f>
        <v>0.32883138168594994</v>
      </c>
      <c r="AG8" s="33">
        <f ca="1">('TUSD BE'!$AK$8+'TUSD BF'!$AK$8+'TUSD CVA'!$AK$8)*1</f>
        <v>2.1181989457250587</v>
      </c>
      <c r="AI8" s="33">
        <v>0</v>
      </c>
      <c r="AJ8" s="33">
        <v>0.21419027814403799</v>
      </c>
      <c r="AK8" s="33">
        <v>0.182910079401116</v>
      </c>
      <c r="AL8" s="33">
        <v>-4.4728017133853397E-3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-1.8846374213291499E-3</v>
      </c>
      <c r="AZ8" s="33">
        <v>0</v>
      </c>
      <c r="BA8" s="33">
        <v>7.8948482664870303</v>
      </c>
      <c r="BB8" s="33">
        <v>2.7433386209463301E-2</v>
      </c>
      <c r="BC8" s="33">
        <v>0.45793782497418201</v>
      </c>
      <c r="BD8" s="33">
        <v>1.90537769113609</v>
      </c>
    </row>
    <row r="9" spans="1:56" ht="11.25" customHeight="1" x14ac:dyDescent="0.25">
      <c r="A9" s="116"/>
      <c r="B9" s="116" t="s">
        <v>64</v>
      </c>
      <c r="C9" s="116" t="s">
        <v>25</v>
      </c>
      <c r="D9" s="116" t="s">
        <v>25</v>
      </c>
      <c r="E9" s="116" t="s">
        <v>25</v>
      </c>
      <c r="F9" s="80" t="s">
        <v>65</v>
      </c>
      <c r="G9" s="36" t="s">
        <v>9</v>
      </c>
      <c r="H9" s="36" t="s">
        <v>120</v>
      </c>
      <c r="I9" s="36">
        <f>'MERCADO TUSD'!$U$6</f>
        <v>19680</v>
      </c>
      <c r="J9" s="16"/>
      <c r="L9" s="33">
        <f>('TUSD BE'!$L$9+'TUSD BF'!$L$9+'TUSD CVA'!$L$9)*1</f>
        <v>0</v>
      </c>
      <c r="M9" s="33">
        <f>('TUSD BE'!$M$9+'TUSD BF'!$M$9+'TUSD CVA'!$M$9)*1</f>
        <v>9.5984357024623143E-2</v>
      </c>
      <c r="N9" s="33">
        <f ca="1">('TUSD BE'!$N$9+'TUSD BF'!$N$9+'TUSD CVA'!$N$9)*1</f>
        <v>0.23739986518340461</v>
      </c>
      <c r="O9" s="33">
        <f>('TUSD BE'!$O$9+'TUSD BF'!$O$9+'TUSD CVA'!$O$9)*1</f>
        <v>0</v>
      </c>
      <c r="P9" s="33">
        <f>('TUSD BE'!$P$9+'TUSD BF'!$P$9+'TUSD CVA'!$P$9)*1</f>
        <v>0</v>
      </c>
      <c r="Q9" s="33">
        <f>('TUSD BE'!$Q$9+'TUSD BF'!$Q$9+'TUSD CVA'!$Q$9)*1</f>
        <v>0</v>
      </c>
      <c r="R9" s="33">
        <f>('TUSD BE'!$R$9+'TUSD BF'!$R$9+'TUSD CVA'!$R$9)*1</f>
        <v>0</v>
      </c>
      <c r="S9" s="33">
        <f>('TUSD BE'!$S$9+'TUSD BF'!$S$9+'TUSD CVA'!$S$9)*1</f>
        <v>0</v>
      </c>
      <c r="T9" s="33">
        <f>('TUSD BE'!$U$9+'TUSD BF'!$U$9+'TUSD CVA'!$U$9)*1</f>
        <v>0</v>
      </c>
      <c r="U9" s="33">
        <f>('TUSD BE'!$V$9+'TUSD BF'!$V$9+'TUSD CVA'!$V$9)*1</f>
        <v>1.8004972272043414</v>
      </c>
      <c r="V9" s="33">
        <f>('TUSD BE'!$W$9+'TUSD BF'!$W$9+'TUSD CVA'!$W$9)*1</f>
        <v>0</v>
      </c>
      <c r="W9" s="33">
        <f>('TUSD BE'!$X$9+'TUSD BF'!$X$9+'TUSD CVA'!$X$9)*1</f>
        <v>0</v>
      </c>
      <c r="X9" s="33">
        <f>('TUSD BE'!$Y$9+'TUSD BF'!$Y$9+'TUSD CVA'!$Y$9)*1</f>
        <v>0</v>
      </c>
      <c r="Y9" s="33">
        <f>('TUSD BE'!$Z$9+'TUSD BF'!$Z$9+'TUSD CVA'!$Z$9)*1</f>
        <v>0</v>
      </c>
      <c r="Z9" s="33">
        <f>('TUSD BE'!$AA$9+'TUSD BF'!$AA$9+'TUSD CVA'!$AA$9)*1</f>
        <v>0.25573924196645892</v>
      </c>
      <c r="AA9" s="33">
        <f>('TUSD BE'!$AC$9+'TUSD BF'!$AC$9+'TUSD CVA'!$AC$9)*1</f>
        <v>2.9621987891610226</v>
      </c>
      <c r="AB9" s="33">
        <f ca="1">('TUSD BE'!$AE$9+'TUSD BF'!$AE$9+'TUSD CVA'!$AE$9)*1</f>
        <v>0</v>
      </c>
      <c r="AC9" s="33">
        <f ca="1">('TUSD BE'!$AF$9+'TUSD BF'!$AF$9+'TUSD CVA'!$AF$9)*1</f>
        <v>0</v>
      </c>
      <c r="AD9" s="33">
        <f>('TUSD BE'!$AH$9+'TUSD BF'!$AH$9+'TUSD CVA'!$AH$9)*1</f>
        <v>0</v>
      </c>
      <c r="AE9" s="33">
        <f>('TUSD BE'!$AI$9+'TUSD BF'!$AI$9+'TUSD CVA'!$AI$9)*1</f>
        <v>0</v>
      </c>
      <c r="AF9" s="33">
        <f ca="1">('TUSD BE'!$AJ$9+'TUSD BF'!$AJ$9+'TUSD CVA'!$AJ$9)*1</f>
        <v>0</v>
      </c>
      <c r="AG9" s="33">
        <f ca="1">('TUSD BE'!$AK$9+'TUSD BF'!$AK$9+'TUSD CVA'!$AK$9)*1</f>
        <v>0</v>
      </c>
      <c r="AI9" s="33">
        <v>0</v>
      </c>
      <c r="AJ9" s="33">
        <v>7.6905806205049707E-2</v>
      </c>
      <c r="AK9" s="33">
        <v>0.21439731180624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1.9247016122181999</v>
      </c>
      <c r="AS9" s="33">
        <v>0</v>
      </c>
      <c r="AT9" s="33">
        <v>0</v>
      </c>
      <c r="AU9" s="33">
        <v>0</v>
      </c>
      <c r="AV9" s="33">
        <v>0</v>
      </c>
      <c r="AW9" s="33">
        <v>0.27744483827105798</v>
      </c>
      <c r="AX9" s="33">
        <v>2.60803992462148</v>
      </c>
      <c r="AY9" s="33">
        <v>-8.0032940755096901E-4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</row>
    <row r="10" spans="1:56" ht="11.25" customHeight="1" x14ac:dyDescent="0.25">
      <c r="A10" s="116"/>
      <c r="B10" s="116"/>
      <c r="C10" s="116"/>
      <c r="D10" s="116"/>
      <c r="E10" s="116"/>
      <c r="F10" s="80" t="s">
        <v>67</v>
      </c>
      <c r="G10" s="36" t="s">
        <v>9</v>
      </c>
      <c r="H10" s="36" t="s">
        <v>120</v>
      </c>
      <c r="I10" s="36">
        <f>'MERCADO TUSD'!$U$7</f>
        <v>474000</v>
      </c>
      <c r="J10" s="16"/>
      <c r="L10" s="33">
        <f>('TUSD BE'!$L$10+'TUSD BF'!$L$10+'TUSD CVA'!$L$10)*1</f>
        <v>0</v>
      </c>
      <c r="M10" s="33">
        <f>('TUSD BE'!$M$10+'TUSD BF'!$M$10+'TUSD CVA'!$M$10)*1</f>
        <v>7.2907266931469067E-2</v>
      </c>
      <c r="N10" s="33">
        <f ca="1">('TUSD BE'!$N$10+'TUSD BF'!$N$10+'TUSD CVA'!$N$10)*1</f>
        <v>0.18029989760980561</v>
      </c>
      <c r="O10" s="33">
        <f>('TUSD BE'!$O$10+'TUSD BF'!$O$10+'TUSD CVA'!$O$10)*1</f>
        <v>0</v>
      </c>
      <c r="P10" s="33">
        <f>('TUSD BE'!$P$10+'TUSD BF'!$P$10+'TUSD CVA'!$P$10)*1</f>
        <v>0</v>
      </c>
      <c r="Q10" s="33">
        <f>('TUSD BE'!$Q$10+'TUSD BF'!$Q$10+'TUSD CVA'!$Q$10)*1</f>
        <v>0</v>
      </c>
      <c r="R10" s="33">
        <f>('TUSD BE'!$R$10+'TUSD BF'!$R$10+'TUSD CVA'!$R$10)*1</f>
        <v>0</v>
      </c>
      <c r="S10" s="33">
        <f>('TUSD BE'!$S$10+'TUSD BF'!$S$10+'TUSD CVA'!$S$10)*1</f>
        <v>0</v>
      </c>
      <c r="T10" s="33">
        <f>('TUSD BE'!$U$10+'TUSD BF'!$U$10+'TUSD CVA'!$U$10)*1</f>
        <v>0</v>
      </c>
      <c r="U10" s="33">
        <f>('TUSD BE'!$V$10+'TUSD BF'!$V$10+'TUSD CVA'!$V$10)*1</f>
        <v>1.3674980685503129</v>
      </c>
      <c r="V10" s="33">
        <f>('TUSD BE'!$W$10+'TUSD BF'!$W$10+'TUSD CVA'!$W$10)*1</f>
        <v>0</v>
      </c>
      <c r="W10" s="33">
        <f>('TUSD BE'!$X$10+'TUSD BF'!$X$10+'TUSD CVA'!$X$10)*1</f>
        <v>0</v>
      </c>
      <c r="X10" s="33">
        <f>('TUSD BE'!$Y$10+'TUSD BF'!$Y$10+'TUSD CVA'!$Y$10)*1</f>
        <v>0</v>
      </c>
      <c r="Y10" s="33">
        <f>('TUSD BE'!$Z$10+'TUSD BF'!$Z$10+'TUSD CVA'!$Z$10)*1</f>
        <v>0</v>
      </c>
      <c r="Z10" s="33">
        <f>('TUSD BE'!$AA$10+'TUSD BF'!$AA$10+'TUSD CVA'!$AA$10)*1</f>
        <v>0.25573924196645892</v>
      </c>
      <c r="AA10" s="33">
        <f>('TUSD BE'!$AC$10+'TUSD BF'!$AC$10+'TUSD CVA'!$AC$10)*1</f>
        <v>2.2498990803232002</v>
      </c>
      <c r="AB10" s="33">
        <f ca="1">('TUSD BE'!$AE$10+'TUSD BF'!$AE$10+'TUSD CVA'!$AE$10)*1</f>
        <v>0</v>
      </c>
      <c r="AC10" s="33">
        <f ca="1">('TUSD BE'!$AF$10+'TUSD BF'!$AF$10+'TUSD CVA'!$AF$10)*1</f>
        <v>0</v>
      </c>
      <c r="AD10" s="33">
        <f>('TUSD BE'!$AH$10+'TUSD BF'!$AH$10+'TUSD CVA'!$AH$10)*1</f>
        <v>0</v>
      </c>
      <c r="AE10" s="33">
        <f>('TUSD BE'!$AI$10+'TUSD BF'!$AI$10+'TUSD CVA'!$AI$10)*1</f>
        <v>0</v>
      </c>
      <c r="AF10" s="33">
        <f ca="1">('TUSD BE'!$AJ$10+'TUSD BF'!$AJ$10+'TUSD CVA'!$AJ$10)*1</f>
        <v>0</v>
      </c>
      <c r="AG10" s="33">
        <f ca="1">('TUSD BE'!$AK$10+'TUSD BF'!$AK$10+'TUSD CVA'!$AK$10)*1</f>
        <v>0</v>
      </c>
      <c r="AI10" s="33">
        <v>0</v>
      </c>
      <c r="AJ10" s="33">
        <v>5.8426672558606702E-2</v>
      </c>
      <c r="AK10" s="33">
        <v>0.16279795877824599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1.4619054049131699</v>
      </c>
      <c r="AS10" s="33">
        <v>0</v>
      </c>
      <c r="AT10" s="33">
        <v>0</v>
      </c>
      <c r="AU10" s="33">
        <v>0</v>
      </c>
      <c r="AV10" s="33">
        <v>0</v>
      </c>
      <c r="AW10" s="33">
        <v>0.27744483827105798</v>
      </c>
      <c r="AX10" s="33">
        <v>1.9808213871685201</v>
      </c>
      <c r="AY10" s="33">
        <v>-6.1697749123063202E-4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</row>
    <row r="11" spans="1:56" ht="11.25" customHeight="1" x14ac:dyDescent="0.25">
      <c r="A11" s="116"/>
      <c r="B11" s="116"/>
      <c r="C11" s="116"/>
      <c r="D11" s="116"/>
      <c r="E11" s="116"/>
      <c r="F11" s="80" t="s">
        <v>69</v>
      </c>
      <c r="G11" s="36" t="s">
        <v>9</v>
      </c>
      <c r="H11" s="36" t="s">
        <v>120</v>
      </c>
      <c r="I11" s="36">
        <f>'MERCADO TUSD'!$U$8</f>
        <v>264004</v>
      </c>
      <c r="J11" s="16"/>
      <c r="L11" s="33">
        <f>('TUSD BE'!$L$11+'TUSD BF'!$L$11+'TUSD CVA'!$L$11)*1</f>
        <v>0</v>
      </c>
      <c r="M11" s="33">
        <f>('TUSD BE'!$M$11+'TUSD BF'!$M$11+'TUSD CVA'!$M$11)*1</f>
        <v>0.10762501308931148</v>
      </c>
      <c r="N11" s="33">
        <f ca="1">('TUSD BE'!$N$11+'TUSD BF'!$N$11+'TUSD CVA'!$N$11)*1</f>
        <v>0.2662998487714433</v>
      </c>
      <c r="O11" s="33">
        <f>('TUSD BE'!$O$11+'TUSD BF'!$O$11+'TUSD CVA'!$O$11)*1</f>
        <v>0</v>
      </c>
      <c r="P11" s="33">
        <f>('TUSD BE'!$P$11+'TUSD BF'!$P$11+'TUSD CVA'!$P$11)*1</f>
        <v>0</v>
      </c>
      <c r="Q11" s="33">
        <f>('TUSD BE'!$Q$11+'TUSD BF'!$Q$11+'TUSD CVA'!$Q$11)*1</f>
        <v>0</v>
      </c>
      <c r="R11" s="33">
        <f>('TUSD BE'!$R$11+'TUSD BF'!$R$11+'TUSD CVA'!$R$11)*1</f>
        <v>0</v>
      </c>
      <c r="S11" s="33">
        <f>('TUSD BE'!$S$11+'TUSD BF'!$S$11+'TUSD CVA'!$S$11)*1</f>
        <v>0</v>
      </c>
      <c r="T11" s="33">
        <f>('TUSD BE'!$U$11+'TUSD BF'!$U$11+'TUSD CVA'!$U$11)*1</f>
        <v>0</v>
      </c>
      <c r="U11" s="33">
        <f>('TUSD BE'!$V$11+'TUSD BF'!$V$11+'TUSD CVA'!$V$11)*1</f>
        <v>2.019824812647383</v>
      </c>
      <c r="V11" s="33">
        <f>('TUSD BE'!$W$11+'TUSD BF'!$W$11+'TUSD CVA'!$W$11)*1</f>
        <v>0</v>
      </c>
      <c r="W11" s="33">
        <f>('TUSD BE'!$X$11+'TUSD BF'!$X$11+'TUSD CVA'!$X$11)*1</f>
        <v>0</v>
      </c>
      <c r="X11" s="33">
        <f>('TUSD BE'!$Y$11+'TUSD BF'!$Y$11+'TUSD CVA'!$Y$11)*1</f>
        <v>0</v>
      </c>
      <c r="Y11" s="33">
        <f>('TUSD BE'!$Z$11+'TUSD BF'!$Z$11+'TUSD CVA'!$Z$11)*1</f>
        <v>0</v>
      </c>
      <c r="Z11" s="33">
        <f>('TUSD BE'!$AA$11+'TUSD BF'!$AA$11+'TUSD CVA'!$AA$11)*1</f>
        <v>0.25573924196645892</v>
      </c>
      <c r="AA11" s="33">
        <f>('TUSD BE'!$AC$11+'TUSD BF'!$AC$11+'TUSD CVA'!$AC$11)*1</f>
        <v>3.3230986416383077</v>
      </c>
      <c r="AB11" s="33">
        <f ca="1">('TUSD BE'!$AE$11+'TUSD BF'!$AE$11+'TUSD CVA'!$AE$11)*1</f>
        <v>0</v>
      </c>
      <c r="AC11" s="33">
        <f ca="1">('TUSD BE'!$AF$11+'TUSD BF'!$AF$11+'TUSD CVA'!$AF$11)*1</f>
        <v>0</v>
      </c>
      <c r="AD11" s="33">
        <f>('TUSD BE'!$AH$11+'TUSD BF'!$AH$11+'TUSD CVA'!$AH$11)*1</f>
        <v>0</v>
      </c>
      <c r="AE11" s="33">
        <f>('TUSD BE'!$AI$11+'TUSD BF'!$AI$11+'TUSD CVA'!$AI$11)*1</f>
        <v>0</v>
      </c>
      <c r="AF11" s="33">
        <f ca="1">('TUSD BE'!$AJ$11+'TUSD BF'!$AJ$11+'TUSD CVA'!$AJ$11)*1</f>
        <v>0</v>
      </c>
      <c r="AG11" s="33">
        <f ca="1">('TUSD BE'!$AK$11+'TUSD BF'!$AK$11+'TUSD CVA'!$AK$11)*1</f>
        <v>0</v>
      </c>
      <c r="AI11" s="33">
        <v>0</v>
      </c>
      <c r="AJ11" s="33">
        <v>8.6235957016734199E-2</v>
      </c>
      <c r="AK11" s="33">
        <v>0.240496984558772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2.1591370871750102</v>
      </c>
      <c r="AS11" s="33">
        <v>0</v>
      </c>
      <c r="AT11" s="33">
        <v>0</v>
      </c>
      <c r="AU11" s="33">
        <v>0</v>
      </c>
      <c r="AV11" s="33">
        <v>0</v>
      </c>
      <c r="AW11" s="33">
        <v>0.27744483827105798</v>
      </c>
      <c r="AX11" s="33">
        <v>2.92578941432844</v>
      </c>
      <c r="AY11" s="33">
        <v>-8.93200396823096E-4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</row>
    <row r="12" spans="1:56" ht="11.25" customHeight="1" x14ac:dyDescent="0.25">
      <c r="A12" s="116"/>
      <c r="B12" s="116"/>
      <c r="C12" s="116"/>
      <c r="D12" s="116"/>
      <c r="E12" s="116"/>
      <c r="F12" s="80" t="s">
        <v>72</v>
      </c>
      <c r="G12" s="36" t="s">
        <v>9</v>
      </c>
      <c r="H12" s="36" t="s">
        <v>120</v>
      </c>
      <c r="I12" s="36">
        <f>'MERCADO TUSD'!$U$9</f>
        <v>198000</v>
      </c>
      <c r="J12" s="16"/>
      <c r="L12" s="33">
        <f>('TUSD BE'!$L$12+'TUSD BF'!$L$12+'TUSD CVA'!$L$12)*1</f>
        <v>0</v>
      </c>
      <c r="M12" s="33">
        <f>('TUSD BE'!$M$12+'TUSD BF'!$M$12+'TUSD CVA'!$M$12)*1</f>
        <v>0.10211101811130122</v>
      </c>
      <c r="N12" s="33">
        <f ca="1">('TUSD BE'!$N$12+'TUSD BF'!$N$12+'TUSD CVA'!$N$12)*1</f>
        <v>0.25249985660829682</v>
      </c>
      <c r="O12" s="33">
        <f>('TUSD BE'!$O$12+'TUSD BF'!$O$12+'TUSD CVA'!$O$12)*1</f>
        <v>0</v>
      </c>
      <c r="P12" s="33">
        <f>('TUSD BE'!$P$12+'TUSD BF'!$P$12+'TUSD CVA'!$P$12)*1</f>
        <v>0</v>
      </c>
      <c r="Q12" s="33">
        <f>('TUSD BE'!$Q$12+'TUSD BF'!$Q$12+'TUSD CVA'!$Q$12)*1</f>
        <v>0</v>
      </c>
      <c r="R12" s="33">
        <f>('TUSD BE'!$R$12+'TUSD BF'!$R$12+'TUSD CVA'!$R$12)*1</f>
        <v>0</v>
      </c>
      <c r="S12" s="33">
        <f>('TUSD BE'!$S$12+'TUSD BF'!$S$12+'TUSD CVA'!$S$12)*1</f>
        <v>0</v>
      </c>
      <c r="T12" s="33">
        <f>('TUSD BE'!$U$12+'TUSD BF'!$U$12+'TUSD CVA'!$U$12)*1</f>
        <v>0</v>
      </c>
      <c r="U12" s="33">
        <f>('TUSD BE'!$V$12+'TUSD BF'!$V$12+'TUSD CVA'!$V$12)*1</f>
        <v>1.9153980682888765</v>
      </c>
      <c r="V12" s="33">
        <f>('TUSD BE'!$W$12+'TUSD BF'!$W$12+'TUSD CVA'!$W$12)*1</f>
        <v>0</v>
      </c>
      <c r="W12" s="33">
        <f>('TUSD BE'!$X$12+'TUSD BF'!$X$12+'TUSD CVA'!$X$12)*1</f>
        <v>0</v>
      </c>
      <c r="X12" s="33">
        <f>('TUSD BE'!$Y$12+'TUSD BF'!$Y$12+'TUSD CVA'!$Y$12)*1</f>
        <v>0</v>
      </c>
      <c r="Y12" s="33">
        <f>('TUSD BE'!$Z$12+'TUSD BF'!$Z$12+'TUSD CVA'!$Z$12)*1</f>
        <v>0</v>
      </c>
      <c r="Z12" s="33">
        <f>('TUSD BE'!$AA$12+'TUSD BF'!$AA$12+'TUSD CVA'!$AA$12)*1</f>
        <v>0.25573924196645892</v>
      </c>
      <c r="AA12" s="33">
        <f>('TUSD BE'!$AC$12+'TUSD BF'!$AC$12+'TUSD CVA'!$AC$12)*1</f>
        <v>3.1512987118638613</v>
      </c>
      <c r="AB12" s="33">
        <f ca="1">('TUSD BE'!$AE$12+'TUSD BF'!$AE$12+'TUSD CVA'!$AE$12)*1</f>
        <v>0</v>
      </c>
      <c r="AC12" s="33">
        <f ca="1">('TUSD BE'!$AF$12+'TUSD BF'!$AF$12+'TUSD CVA'!$AF$12)*1</f>
        <v>0</v>
      </c>
      <c r="AD12" s="33">
        <f>('TUSD BE'!$AH$12+'TUSD BF'!$AH$12+'TUSD CVA'!$AH$12)*1</f>
        <v>0</v>
      </c>
      <c r="AE12" s="33">
        <f>('TUSD BE'!$AI$12+'TUSD BF'!$AI$12+'TUSD CVA'!$AI$12)*1</f>
        <v>0</v>
      </c>
      <c r="AF12" s="33">
        <f ca="1">('TUSD BE'!$AJ$12+'TUSD BF'!$AJ$12+'TUSD CVA'!$AJ$12)*1</f>
        <v>0</v>
      </c>
      <c r="AG12" s="33">
        <f ca="1">('TUSD BE'!$AK$12+'TUSD BF'!$AK$12+'TUSD CVA'!$AK$12)*1</f>
        <v>0</v>
      </c>
      <c r="AI12" s="33">
        <v>0</v>
      </c>
      <c r="AJ12" s="33">
        <v>8.1797341582049404E-2</v>
      </c>
      <c r="AK12" s="33">
        <v>0.22799714128648699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2.04756018211889</v>
      </c>
      <c r="AS12" s="33">
        <v>0</v>
      </c>
      <c r="AT12" s="33">
        <v>0</v>
      </c>
      <c r="AU12" s="33">
        <v>0</v>
      </c>
      <c r="AV12" s="33">
        <v>0</v>
      </c>
      <c r="AW12" s="33">
        <v>0.27744483827105798</v>
      </c>
      <c r="AX12" s="33">
        <v>2.7745466430895802</v>
      </c>
      <c r="AY12" s="33">
        <v>-8.4898424568066798E-4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</row>
    <row r="13" spans="1:56" ht="11.25" customHeight="1" x14ac:dyDescent="0.25">
      <c r="A13" s="116"/>
      <c r="B13" s="116"/>
      <c r="C13" s="116"/>
      <c r="D13" s="116"/>
      <c r="E13" s="116"/>
      <c r="F13" s="80" t="s">
        <v>73</v>
      </c>
      <c r="G13" s="36" t="s">
        <v>9</v>
      </c>
      <c r="H13" s="36" t="s">
        <v>120</v>
      </c>
      <c r="I13" s="36">
        <f>'MERCADO TUSD'!$U$10</f>
        <v>63840</v>
      </c>
      <c r="J13" s="16"/>
      <c r="L13" s="33">
        <f>('TUSD BE'!$L$13+'TUSD BF'!$L$13+'TUSD CVA'!$L$13)*1</f>
        <v>0</v>
      </c>
      <c r="M13" s="33">
        <f>('TUSD BE'!$M$13+'TUSD BF'!$M$13+'TUSD CVA'!$M$13)*1</f>
        <v>9.5984357024623143E-2</v>
      </c>
      <c r="N13" s="33">
        <f ca="1">('TUSD BE'!$N$13+'TUSD BF'!$N$13+'TUSD CVA'!$N$13)*1</f>
        <v>0.23739986518340461</v>
      </c>
      <c r="O13" s="33">
        <f>('TUSD BE'!$O$13+'TUSD BF'!$O$13+'TUSD CVA'!$O$13)*1</f>
        <v>0</v>
      </c>
      <c r="P13" s="33">
        <f>('TUSD BE'!$P$13+'TUSD BF'!$P$13+'TUSD CVA'!$P$13)*1</f>
        <v>0</v>
      </c>
      <c r="Q13" s="33">
        <f>('TUSD BE'!$Q$13+'TUSD BF'!$Q$13+'TUSD CVA'!$Q$13)*1</f>
        <v>0</v>
      </c>
      <c r="R13" s="33">
        <f>('TUSD BE'!$R$13+'TUSD BF'!$R$13+'TUSD CVA'!$R$13)*1</f>
        <v>0</v>
      </c>
      <c r="S13" s="33">
        <f>('TUSD BE'!$S$13+'TUSD BF'!$S$13+'TUSD CVA'!$S$13)*1</f>
        <v>0</v>
      </c>
      <c r="T13" s="33">
        <f>('TUSD BE'!$U$13+'TUSD BF'!$U$13+'TUSD CVA'!$U$13)*1</f>
        <v>0</v>
      </c>
      <c r="U13" s="33">
        <f>('TUSD BE'!$V$13+'TUSD BF'!$V$13+'TUSD CVA'!$V$13)*1</f>
        <v>1.8004972272043414</v>
      </c>
      <c r="V13" s="33">
        <f>('TUSD BE'!$W$13+'TUSD BF'!$W$13+'TUSD CVA'!$W$13)*1</f>
        <v>0</v>
      </c>
      <c r="W13" s="33">
        <f>('TUSD BE'!$X$13+'TUSD BF'!$X$13+'TUSD CVA'!$X$13)*1</f>
        <v>0</v>
      </c>
      <c r="X13" s="33">
        <f>('TUSD BE'!$Y$13+'TUSD BF'!$Y$13+'TUSD CVA'!$Y$13)*1</f>
        <v>0</v>
      </c>
      <c r="Y13" s="33">
        <f>('TUSD BE'!$Z$13+'TUSD BF'!$Z$13+'TUSD CVA'!$Z$13)*1</f>
        <v>0</v>
      </c>
      <c r="Z13" s="33">
        <f>('TUSD BE'!$AA$13+'TUSD BF'!$AA$13+'TUSD CVA'!$AA$13)*1</f>
        <v>0.25573924196645892</v>
      </c>
      <c r="AA13" s="33">
        <f>('TUSD BE'!$AC$13+'TUSD BF'!$AC$13+'TUSD CVA'!$AC$13)*1</f>
        <v>2.9621987891610226</v>
      </c>
      <c r="AB13" s="33">
        <f ca="1">('TUSD BE'!$AE$13+'TUSD BF'!$AE$13+'TUSD CVA'!$AE$13)*1</f>
        <v>0</v>
      </c>
      <c r="AC13" s="33">
        <f ca="1">('TUSD BE'!$AF$13+'TUSD BF'!$AF$13+'TUSD CVA'!$AF$13)*1</f>
        <v>0</v>
      </c>
      <c r="AD13" s="33">
        <f>('TUSD BE'!$AH$13+'TUSD BF'!$AH$13+'TUSD CVA'!$AH$13)*1</f>
        <v>0</v>
      </c>
      <c r="AE13" s="33">
        <f>('TUSD BE'!$AI$13+'TUSD BF'!$AI$13+'TUSD CVA'!$AI$13)*1</f>
        <v>0</v>
      </c>
      <c r="AF13" s="33">
        <f ca="1">('TUSD BE'!$AJ$13+'TUSD BF'!$AJ$13+'TUSD CVA'!$AJ$13)*1</f>
        <v>0</v>
      </c>
      <c r="AG13" s="33">
        <f ca="1">('TUSD BE'!$AK$13+'TUSD BF'!$AK$13+'TUSD CVA'!$AK$13)*1</f>
        <v>0</v>
      </c>
      <c r="AI13" s="33">
        <v>0</v>
      </c>
      <c r="AJ13" s="33">
        <v>7.6905806205049707E-2</v>
      </c>
      <c r="AK13" s="33">
        <v>0.21439731180624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1.9247016122181999</v>
      </c>
      <c r="AS13" s="33">
        <v>0</v>
      </c>
      <c r="AT13" s="33">
        <v>0</v>
      </c>
      <c r="AU13" s="33">
        <v>0</v>
      </c>
      <c r="AV13" s="33">
        <v>0</v>
      </c>
      <c r="AW13" s="33">
        <v>0.27744483827105798</v>
      </c>
      <c r="AX13" s="33">
        <v>2.60803992462148</v>
      </c>
      <c r="AY13" s="33">
        <v>-8.0032940755096901E-4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</row>
    <row r="14" spans="1:56" ht="11.25" customHeight="1" x14ac:dyDescent="0.25">
      <c r="A14" s="116"/>
      <c r="B14" s="116"/>
      <c r="C14" s="116"/>
      <c r="D14" s="116"/>
      <c r="E14" s="116"/>
      <c r="F14" s="80" t="s">
        <v>75</v>
      </c>
      <c r="G14" s="36" t="s">
        <v>9</v>
      </c>
      <c r="H14" s="36" t="s">
        <v>120</v>
      </c>
      <c r="I14" s="36">
        <f>'MERCADO TUSD'!$U$11</f>
        <v>513773</v>
      </c>
      <c r="J14" s="16"/>
      <c r="L14" s="33">
        <f>('TUSD BE'!$L$14+'TUSD BF'!$L$14+'TUSD CVA'!$L$14)*1</f>
        <v>0</v>
      </c>
      <c r="M14" s="33">
        <f>('TUSD BE'!$M$14+'TUSD BF'!$M$14+'TUSD CVA'!$M$14)*1</f>
        <v>9.5984357024623143E-2</v>
      </c>
      <c r="N14" s="33">
        <f ca="1">('TUSD BE'!$N$14+'TUSD BF'!$N$14+'TUSD CVA'!$N$14)*1</f>
        <v>0.23739986518340461</v>
      </c>
      <c r="O14" s="33">
        <f>('TUSD BE'!$O$14+'TUSD BF'!$O$14+'TUSD CVA'!$O$14)*1</f>
        <v>0</v>
      </c>
      <c r="P14" s="33">
        <f>('TUSD BE'!$P$14+'TUSD BF'!$P$14+'TUSD CVA'!$P$14)*1</f>
        <v>0</v>
      </c>
      <c r="Q14" s="33">
        <f>('TUSD BE'!$Q$14+'TUSD BF'!$Q$14+'TUSD CVA'!$Q$14)*1</f>
        <v>0</v>
      </c>
      <c r="R14" s="33">
        <f>('TUSD BE'!$R$14+'TUSD BF'!$R$14+'TUSD CVA'!$R$14)*1</f>
        <v>0</v>
      </c>
      <c r="S14" s="33">
        <f>('TUSD BE'!$S$14+'TUSD BF'!$S$14+'TUSD CVA'!$S$14)*1</f>
        <v>0</v>
      </c>
      <c r="T14" s="33">
        <f>('TUSD BE'!$U$14+'TUSD BF'!$U$14+'TUSD CVA'!$U$14)*1</f>
        <v>0</v>
      </c>
      <c r="U14" s="33">
        <f>('TUSD BE'!$V$14+'TUSD BF'!$V$14+'TUSD CVA'!$V$14)*1</f>
        <v>1.8004972272043414</v>
      </c>
      <c r="V14" s="33">
        <f>('TUSD BE'!$W$14+'TUSD BF'!$W$14+'TUSD CVA'!$W$14)*1</f>
        <v>0</v>
      </c>
      <c r="W14" s="33">
        <f>('TUSD BE'!$X$14+'TUSD BF'!$X$14+'TUSD CVA'!$X$14)*1</f>
        <v>0</v>
      </c>
      <c r="X14" s="33">
        <f>('TUSD BE'!$Y$14+'TUSD BF'!$Y$14+'TUSD CVA'!$Y$14)*1</f>
        <v>0</v>
      </c>
      <c r="Y14" s="33">
        <f>('TUSD BE'!$Z$14+'TUSD BF'!$Z$14+'TUSD CVA'!$Z$14)*1</f>
        <v>0</v>
      </c>
      <c r="Z14" s="33">
        <f>('TUSD BE'!$AA$14+'TUSD BF'!$AA$14+'TUSD CVA'!$AA$14)*1</f>
        <v>0.25573924196645892</v>
      </c>
      <c r="AA14" s="33">
        <f>('TUSD BE'!$AC$14+'TUSD BF'!$AC$14+'TUSD CVA'!$AC$14)*1</f>
        <v>2.9621987891610226</v>
      </c>
      <c r="AB14" s="33">
        <f ca="1">('TUSD BE'!$AE$14+'TUSD BF'!$AE$14+'TUSD CVA'!$AE$14)*1</f>
        <v>0</v>
      </c>
      <c r="AC14" s="33">
        <f ca="1">('TUSD BE'!$AF$14+'TUSD BF'!$AF$14+'TUSD CVA'!$AF$14)*1</f>
        <v>0</v>
      </c>
      <c r="AD14" s="33">
        <f>('TUSD BE'!$AH$14+'TUSD BF'!$AH$14+'TUSD CVA'!$AH$14)*1</f>
        <v>0</v>
      </c>
      <c r="AE14" s="33">
        <f>('TUSD BE'!$AI$14+'TUSD BF'!$AI$14+'TUSD CVA'!$AI$14)*1</f>
        <v>0</v>
      </c>
      <c r="AF14" s="33">
        <f ca="1">('TUSD BE'!$AJ$14+'TUSD BF'!$AJ$14+'TUSD CVA'!$AJ$14)*1</f>
        <v>0</v>
      </c>
      <c r="AG14" s="33">
        <f ca="1">('TUSD BE'!$AK$14+'TUSD BF'!$AK$14+'TUSD CVA'!$AK$14)*1</f>
        <v>0</v>
      </c>
      <c r="AI14" s="33">
        <v>0</v>
      </c>
      <c r="AJ14" s="33">
        <v>7.6905806205049707E-2</v>
      </c>
      <c r="AK14" s="33">
        <v>0.21439731180624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1.9247016122181999</v>
      </c>
      <c r="AS14" s="33">
        <v>0</v>
      </c>
      <c r="AT14" s="33">
        <v>0</v>
      </c>
      <c r="AU14" s="33">
        <v>0</v>
      </c>
      <c r="AV14" s="33">
        <v>0</v>
      </c>
      <c r="AW14" s="33">
        <v>0.27744483827105798</v>
      </c>
      <c r="AX14" s="33">
        <v>2.60803992462148</v>
      </c>
      <c r="AY14" s="33">
        <v>-8.0032940755096901E-4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</row>
    <row r="15" spans="1:56" ht="11.25" customHeight="1" x14ac:dyDescent="0.25">
      <c r="A15" s="116"/>
      <c r="B15" s="116"/>
      <c r="C15" s="116"/>
      <c r="D15" s="116"/>
      <c r="E15" s="116"/>
      <c r="F15" s="80" t="s">
        <v>86</v>
      </c>
      <c r="G15" s="36" t="s">
        <v>9</v>
      </c>
      <c r="H15" s="36" t="s">
        <v>120</v>
      </c>
      <c r="I15" s="36">
        <f>'MERCADO TUSD'!$U$12</f>
        <v>292800</v>
      </c>
      <c r="J15" s="16"/>
      <c r="L15" s="33">
        <f>('TUSD BE'!$L$15+'TUSD BF'!$L$15+'TUSD CVA'!$L$15)*1</f>
        <v>0</v>
      </c>
      <c r="M15" s="33">
        <f>('TUSD BE'!$M$15+'TUSD BF'!$M$15+'TUSD CVA'!$M$15)*1</f>
        <v>8.6590143358383428E-2</v>
      </c>
      <c r="N15" s="33">
        <f ca="1">('TUSD BE'!$N$15+'TUSD BF'!$N$15+'TUSD CVA'!$N$15)*1</f>
        <v>0.21409987841519348</v>
      </c>
      <c r="O15" s="33">
        <f>('TUSD BE'!$O$15+'TUSD BF'!$O$15+'TUSD CVA'!$O$15)*1</f>
        <v>0</v>
      </c>
      <c r="P15" s="33">
        <f>('TUSD BE'!$P$15+'TUSD BF'!$P$15+'TUSD CVA'!$P$15)*1</f>
        <v>0</v>
      </c>
      <c r="Q15" s="33">
        <f>('TUSD BE'!$Q$15+'TUSD BF'!$Q$15+'TUSD CVA'!$Q$15)*1</f>
        <v>0</v>
      </c>
      <c r="R15" s="33">
        <f>('TUSD BE'!$R$15+'TUSD BF'!$R$15+'TUSD CVA'!$R$15)*1</f>
        <v>0</v>
      </c>
      <c r="S15" s="33">
        <f>('TUSD BE'!$S$15+'TUSD BF'!$S$15+'TUSD CVA'!$S$15)*1</f>
        <v>0</v>
      </c>
      <c r="T15" s="33">
        <f>('TUSD BE'!$U$15+'TUSD BF'!$U$15+'TUSD CVA'!$U$15)*1</f>
        <v>0</v>
      </c>
      <c r="U15" s="33">
        <f>('TUSD BE'!$V$15+'TUSD BF'!$V$15+'TUSD CVA'!$V$15)*1</f>
        <v>1.6239039564034967</v>
      </c>
      <c r="V15" s="33">
        <f>('TUSD BE'!$W$15+'TUSD BF'!$W$15+'TUSD CVA'!$W$15)*1</f>
        <v>0</v>
      </c>
      <c r="W15" s="33">
        <f>('TUSD BE'!$X$15+'TUSD BF'!$X$15+'TUSD CVA'!$X$15)*1</f>
        <v>0</v>
      </c>
      <c r="X15" s="33">
        <f>('TUSD BE'!$Y$15+'TUSD BF'!$Y$15+'TUSD CVA'!$Y$15)*1</f>
        <v>0</v>
      </c>
      <c r="Y15" s="33">
        <f>('TUSD BE'!$Z$15+'TUSD BF'!$Z$15+'TUSD CVA'!$Z$15)*1</f>
        <v>0</v>
      </c>
      <c r="Z15" s="33">
        <f>('TUSD BE'!$AA$15+'TUSD BF'!$AA$15+'TUSD CVA'!$AA$15)*1</f>
        <v>0.25573924196645892</v>
      </c>
      <c r="AA15" s="33">
        <f>('TUSD BE'!$AC$15+'TUSD BF'!$AC$15+'TUSD CVA'!$AC$15)*1</f>
        <v>2.6716989079067934</v>
      </c>
      <c r="AB15" s="33">
        <f ca="1">('TUSD BE'!$AE$15+'TUSD BF'!$AE$15+'TUSD CVA'!$AE$15)*1</f>
        <v>0</v>
      </c>
      <c r="AC15" s="33">
        <f ca="1">('TUSD BE'!$AF$15+'TUSD BF'!$AF$15+'TUSD CVA'!$AF$15)*1</f>
        <v>0</v>
      </c>
      <c r="AD15" s="33">
        <f>('TUSD BE'!$AH$15+'TUSD BF'!$AH$15+'TUSD CVA'!$AH$15)*1</f>
        <v>0</v>
      </c>
      <c r="AE15" s="33">
        <f>('TUSD BE'!$AI$15+'TUSD BF'!$AI$15+'TUSD CVA'!$AI$15)*1</f>
        <v>0</v>
      </c>
      <c r="AF15" s="33">
        <f ca="1">('TUSD BE'!$AJ$15+'TUSD BF'!$AJ$15+'TUSD CVA'!$AJ$15)*1</f>
        <v>0</v>
      </c>
      <c r="AG15" s="33">
        <f ca="1">('TUSD BE'!$AK$15+'TUSD BF'!$AK$15+'TUSD CVA'!$AK$15)*1</f>
        <v>0</v>
      </c>
      <c r="AI15" s="33">
        <v>0</v>
      </c>
      <c r="AJ15" s="33">
        <v>6.9387335162624394E-2</v>
      </c>
      <c r="AK15" s="33">
        <v>0.19329757636262199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1.7360126683343899</v>
      </c>
      <c r="AS15" s="33">
        <v>0</v>
      </c>
      <c r="AT15" s="33">
        <v>0</v>
      </c>
      <c r="AU15" s="33">
        <v>0</v>
      </c>
      <c r="AV15" s="33">
        <v>0</v>
      </c>
      <c r="AW15" s="33">
        <v>0.27744483827105798</v>
      </c>
      <c r="AX15" s="33">
        <v>2.3522441030803001</v>
      </c>
      <c r="AY15" s="33">
        <v>-7.2555460368848505E-4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</row>
    <row r="16" spans="1:56" ht="11.25" customHeight="1" x14ac:dyDescent="0.25">
      <c r="A16" s="116"/>
      <c r="B16" s="116"/>
      <c r="C16" s="116"/>
      <c r="D16" s="116"/>
      <c r="E16" s="116"/>
      <c r="F16" s="80" t="s">
        <v>87</v>
      </c>
      <c r="G16" s="36" t="s">
        <v>9</v>
      </c>
      <c r="H16" s="36" t="s">
        <v>120</v>
      </c>
      <c r="I16" s="36">
        <f>'MERCADO TUSD'!$U$13</f>
        <v>300000</v>
      </c>
      <c r="J16" s="16"/>
      <c r="L16" s="33">
        <f>('TUSD BE'!$L$16+'TUSD BF'!$L$16+'TUSD CVA'!$L$16)*1</f>
        <v>0</v>
      </c>
      <c r="M16" s="33">
        <f>('TUSD BE'!$M$16+'TUSD BF'!$M$16+'TUSD CVA'!$M$16)*1</f>
        <v>0.10558279272708546</v>
      </c>
      <c r="N16" s="33">
        <f ca="1">('TUSD BE'!$N$16+'TUSD BF'!$N$16+'TUSD CVA'!$N$16)*1</f>
        <v>0.26119985166767179</v>
      </c>
      <c r="O16" s="33">
        <f>('TUSD BE'!$O$16+'TUSD BF'!$O$16+'TUSD CVA'!$O$16)*1</f>
        <v>0</v>
      </c>
      <c r="P16" s="33">
        <f>('TUSD BE'!$P$16+'TUSD BF'!$P$16+'TUSD CVA'!$P$16)*1</f>
        <v>0</v>
      </c>
      <c r="Q16" s="33">
        <f>('TUSD BE'!$Q$16+'TUSD BF'!$Q$16+'TUSD CVA'!$Q$16)*1</f>
        <v>0</v>
      </c>
      <c r="R16" s="33">
        <f>('TUSD BE'!$R$16+'TUSD BF'!$R$16+'TUSD CVA'!$R$16)*1</f>
        <v>0</v>
      </c>
      <c r="S16" s="33">
        <f>('TUSD BE'!$S$16+'TUSD BF'!$S$16+'TUSD CVA'!$S$16)*1</f>
        <v>0</v>
      </c>
      <c r="T16" s="33">
        <f>('TUSD BE'!$U$16+'TUSD BF'!$U$16+'TUSD CVA'!$U$16)*1</f>
        <v>0</v>
      </c>
      <c r="U16" s="33">
        <f>('TUSD BE'!$V$16+'TUSD BF'!$V$16+'TUSD CVA'!$V$16)*1</f>
        <v>1.9810706547610766</v>
      </c>
      <c r="V16" s="33">
        <f>('TUSD BE'!$W$16+'TUSD BF'!$W$16+'TUSD CVA'!$W$16)*1</f>
        <v>0</v>
      </c>
      <c r="W16" s="33">
        <f>('TUSD BE'!$X$16+'TUSD BF'!$X$16+'TUSD CVA'!$X$16)*1</f>
        <v>0</v>
      </c>
      <c r="X16" s="33">
        <f>('TUSD BE'!$Y$16+'TUSD BF'!$Y$16+'TUSD CVA'!$Y$16)*1</f>
        <v>0</v>
      </c>
      <c r="Y16" s="33">
        <f>('TUSD BE'!$Z$16+'TUSD BF'!$Z$16+'TUSD CVA'!$Z$16)*1</f>
        <v>0</v>
      </c>
      <c r="Z16" s="33">
        <f>('TUSD BE'!$AA$16+'TUSD BF'!$AA$16+'TUSD CVA'!$AA$16)*1</f>
        <v>0.25573924196645892</v>
      </c>
      <c r="AA16" s="33">
        <f>('TUSD BE'!$AC$16+'TUSD BF'!$AC$16+'TUSD CVA'!$AC$16)*1</f>
        <v>3.2593986676765367</v>
      </c>
      <c r="AB16" s="33">
        <f ca="1">('TUSD BE'!$AE$16+'TUSD BF'!$AE$16+'TUSD CVA'!$AE$16)*1</f>
        <v>0</v>
      </c>
      <c r="AC16" s="33">
        <f ca="1">('TUSD BE'!$AF$16+'TUSD BF'!$AF$16+'TUSD CVA'!$AF$16)*1</f>
        <v>0</v>
      </c>
      <c r="AD16" s="33">
        <f>('TUSD BE'!$AH$16+'TUSD BF'!$AH$16+'TUSD CVA'!$AH$16)*1</f>
        <v>0</v>
      </c>
      <c r="AE16" s="33">
        <f>('TUSD BE'!$AI$16+'TUSD BF'!$AI$16+'TUSD CVA'!$AI$16)*1</f>
        <v>0</v>
      </c>
      <c r="AF16" s="33">
        <f ca="1">('TUSD BE'!$AJ$16+'TUSD BF'!$AJ$16+'TUSD CVA'!$AJ$16)*1</f>
        <v>0</v>
      </c>
      <c r="AG16" s="33">
        <f ca="1">('TUSD BE'!$AK$16+'TUSD BF'!$AK$16+'TUSD CVA'!$AK$16)*1</f>
        <v>0</v>
      </c>
      <c r="AI16" s="33">
        <v>0</v>
      </c>
      <c r="AJ16" s="33">
        <v>8.4605445224400999E-2</v>
      </c>
      <c r="AK16" s="33">
        <v>0.235897042234571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2.1178536323042501</v>
      </c>
      <c r="AS16" s="33">
        <v>0</v>
      </c>
      <c r="AT16" s="33">
        <v>0</v>
      </c>
      <c r="AU16" s="33">
        <v>0</v>
      </c>
      <c r="AV16" s="33">
        <v>0</v>
      </c>
      <c r="AW16" s="33">
        <v>0.27744483827105798</v>
      </c>
      <c r="AX16" s="33">
        <v>2.8697218434602099</v>
      </c>
      <c r="AY16" s="33">
        <v>-8.7682847058927801E-4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</row>
    <row r="17" spans="1:56" ht="11.25" customHeight="1" x14ac:dyDescent="0.25">
      <c r="A17" s="116"/>
      <c r="B17" s="116"/>
      <c r="C17" s="116"/>
      <c r="D17" s="116"/>
      <c r="E17" s="116"/>
      <c r="F17" s="80" t="s">
        <v>89</v>
      </c>
      <c r="G17" s="36" t="s">
        <v>9</v>
      </c>
      <c r="H17" s="36" t="s">
        <v>120</v>
      </c>
      <c r="I17" s="36">
        <f>'MERCADO TUSD'!$U$14</f>
        <v>151200</v>
      </c>
      <c r="J17" s="16"/>
      <c r="L17" s="33">
        <f>('TUSD BE'!$L$17+'TUSD BF'!$L$17+'TUSD CVA'!$L$17)*1</f>
        <v>0</v>
      </c>
      <c r="M17" s="33">
        <f>('TUSD BE'!$M$17+'TUSD BF'!$M$17+'TUSD CVA'!$M$17)*1</f>
        <v>0.1012941299664108</v>
      </c>
      <c r="N17" s="33">
        <f ca="1">('TUSD BE'!$N$17+'TUSD BF'!$N$17+'TUSD CVA'!$N$17)*1</f>
        <v>0.25049985774407268</v>
      </c>
      <c r="O17" s="33">
        <f>('TUSD BE'!$O$17+'TUSD BF'!$O$17+'TUSD CVA'!$O$17)*1</f>
        <v>0</v>
      </c>
      <c r="P17" s="33">
        <f>('TUSD BE'!$P$17+'TUSD BF'!$P$17+'TUSD CVA'!$P$17)*1</f>
        <v>0</v>
      </c>
      <c r="Q17" s="33">
        <f>('TUSD BE'!$Q$17+'TUSD BF'!$Q$17+'TUSD CVA'!$Q$17)*1</f>
        <v>0</v>
      </c>
      <c r="R17" s="33">
        <f>('TUSD BE'!$R$17+'TUSD BF'!$R$17+'TUSD CVA'!$R$17)*1</f>
        <v>0</v>
      </c>
      <c r="S17" s="33">
        <f>('TUSD BE'!$S$17+'TUSD BF'!$S$17+'TUSD CVA'!$S$17)*1</f>
        <v>0</v>
      </c>
      <c r="T17" s="33">
        <f>('TUSD BE'!$U$17+'TUSD BF'!$U$17+'TUSD CVA'!$U$17)*1</f>
        <v>0</v>
      </c>
      <c r="U17" s="33">
        <f>('TUSD BE'!$V$17+'TUSD BF'!$V$17+'TUSD CVA'!$V$17)*1</f>
        <v>1.9005248509379158</v>
      </c>
      <c r="V17" s="33">
        <f>('TUSD BE'!$W$17+'TUSD BF'!$W$17+'TUSD CVA'!$W$17)*1</f>
        <v>0</v>
      </c>
      <c r="W17" s="33">
        <f>('TUSD BE'!$X$17+'TUSD BF'!$X$17+'TUSD CVA'!$X$17)*1</f>
        <v>0</v>
      </c>
      <c r="X17" s="33">
        <f>('TUSD BE'!$Y$17+'TUSD BF'!$Y$17+'TUSD CVA'!$Y$17)*1</f>
        <v>0</v>
      </c>
      <c r="Y17" s="33">
        <f>('TUSD BE'!$Z$17+'TUSD BF'!$Z$17+'TUSD CVA'!$Z$17)*1</f>
        <v>0</v>
      </c>
      <c r="Z17" s="33">
        <f>('TUSD BE'!$AA$17+'TUSD BF'!$AA$17+'TUSD CVA'!$AA$17)*1</f>
        <v>0.25573924196645892</v>
      </c>
      <c r="AA17" s="33">
        <f>('TUSD BE'!$AC$17+'TUSD BF'!$AC$17+'TUSD CVA'!$AC$17)*1</f>
        <v>3.1266987219194413</v>
      </c>
      <c r="AB17" s="33">
        <f ca="1">('TUSD BE'!$AE$17+'TUSD BF'!$AE$17+'TUSD CVA'!$AE$17)*1</f>
        <v>0</v>
      </c>
      <c r="AC17" s="33">
        <f ca="1">('TUSD BE'!$AF$17+'TUSD BF'!$AF$17+'TUSD CVA'!$AF$17)*1</f>
        <v>0</v>
      </c>
      <c r="AD17" s="33">
        <f>('TUSD BE'!$AH$17+'TUSD BF'!$AH$17+'TUSD CVA'!$AH$17)*1</f>
        <v>0</v>
      </c>
      <c r="AE17" s="33">
        <f>('TUSD BE'!$AI$17+'TUSD BF'!$AI$17+'TUSD CVA'!$AI$17)*1</f>
        <v>0</v>
      </c>
      <c r="AF17" s="33">
        <f ca="1">('TUSD BE'!$AJ$17+'TUSD BF'!$AJ$17+'TUSD CVA'!$AJ$17)*1</f>
        <v>0</v>
      </c>
      <c r="AG17" s="33">
        <f ca="1">('TUSD BE'!$AK$17+'TUSD BF'!$AK$17+'TUSD CVA'!$AK$17)*1</f>
        <v>0</v>
      </c>
      <c r="AI17" s="33">
        <v>0</v>
      </c>
      <c r="AJ17" s="33">
        <v>8.1163253662808701E-2</v>
      </c>
      <c r="AK17" s="33">
        <v>0.22629716260145599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2.0315674923941698</v>
      </c>
      <c r="AS17" s="33">
        <v>0</v>
      </c>
      <c r="AT17" s="33">
        <v>0</v>
      </c>
      <c r="AU17" s="33">
        <v>0</v>
      </c>
      <c r="AV17" s="33">
        <v>0</v>
      </c>
      <c r="AW17" s="33">
        <v>0.27744483827105798</v>
      </c>
      <c r="AX17" s="33">
        <v>2.7528977767579002</v>
      </c>
      <c r="AY17" s="33">
        <v>-8.4266765266032104E-4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</row>
    <row r="18" spans="1:56" ht="11.25" customHeight="1" x14ac:dyDescent="0.25">
      <c r="A18" s="116"/>
      <c r="B18" s="116"/>
      <c r="C18" s="116"/>
      <c r="D18" s="116"/>
      <c r="E18" s="116"/>
      <c r="F18" s="80" t="s">
        <v>92</v>
      </c>
      <c r="G18" s="36" t="s">
        <v>9</v>
      </c>
      <c r="H18" s="36" t="s">
        <v>120</v>
      </c>
      <c r="I18" s="36">
        <f>'MERCADO TUSD'!$U$15</f>
        <v>97200</v>
      </c>
      <c r="J18" s="16"/>
      <c r="L18" s="33">
        <f>('TUSD BE'!$L$18+'TUSD BF'!$L$18+'TUSD CVA'!$L$18)*1</f>
        <v>0</v>
      </c>
      <c r="M18" s="33">
        <f>('TUSD BE'!$M$18+'TUSD BF'!$M$18+'TUSD CVA'!$M$18)*1</f>
        <v>9.4656913789176234E-2</v>
      </c>
      <c r="N18" s="33">
        <f ca="1">('TUSD BE'!$N$18+'TUSD BF'!$N$18+'TUSD CVA'!$N$18)*1</f>
        <v>0.23419986700064599</v>
      </c>
      <c r="O18" s="33">
        <f>('TUSD BE'!$O$18+'TUSD BF'!$O$18+'TUSD CVA'!$O$18)*1</f>
        <v>0</v>
      </c>
      <c r="P18" s="33">
        <f>('TUSD BE'!$P$18+'TUSD BF'!$P$18+'TUSD CVA'!$P$18)*1</f>
        <v>0</v>
      </c>
      <c r="Q18" s="33">
        <f>('TUSD BE'!$Q$18+'TUSD BF'!$Q$18+'TUSD CVA'!$Q$18)*1</f>
        <v>0</v>
      </c>
      <c r="R18" s="33">
        <f>('TUSD BE'!$R$18+'TUSD BF'!$R$18+'TUSD CVA'!$R$18)*1</f>
        <v>0</v>
      </c>
      <c r="S18" s="33">
        <f>('TUSD BE'!$S$18+'TUSD BF'!$S$18+'TUSD CVA'!$S$18)*1</f>
        <v>0</v>
      </c>
      <c r="T18" s="33">
        <f>('TUSD BE'!$U$18+'TUSD BF'!$U$18+'TUSD CVA'!$U$18)*1</f>
        <v>0</v>
      </c>
      <c r="U18" s="33">
        <f>('TUSD BE'!$V$18+'TUSD BF'!$V$18+'TUSD CVA'!$V$18)*1</f>
        <v>1.7763020637672147</v>
      </c>
      <c r="V18" s="33">
        <f>('TUSD BE'!$W$18+'TUSD BF'!$W$18+'TUSD CVA'!$W$18)*1</f>
        <v>0</v>
      </c>
      <c r="W18" s="33">
        <f>('TUSD BE'!$X$18+'TUSD BF'!$X$18+'TUSD CVA'!$X$18)*1</f>
        <v>0</v>
      </c>
      <c r="X18" s="33">
        <f>('TUSD BE'!$Y$18+'TUSD BF'!$Y$18+'TUSD CVA'!$Y$18)*1</f>
        <v>0</v>
      </c>
      <c r="Y18" s="33">
        <f>('TUSD BE'!$Z$18+'TUSD BF'!$Z$18+'TUSD CVA'!$Z$18)*1</f>
        <v>0</v>
      </c>
      <c r="Z18" s="33">
        <f>('TUSD BE'!$AA$18+'TUSD BF'!$AA$18+'TUSD CVA'!$AA$18)*1</f>
        <v>0.25573924196645892</v>
      </c>
      <c r="AA18" s="33">
        <f>('TUSD BE'!$AC$18+'TUSD BF'!$AC$18+'TUSD CVA'!$AC$18)*1</f>
        <v>2.9223988054298067</v>
      </c>
      <c r="AB18" s="33">
        <f ca="1">('TUSD BE'!$AE$18+'TUSD BF'!$AE$18+'TUSD CVA'!$AE$18)*1</f>
        <v>0</v>
      </c>
      <c r="AC18" s="33">
        <f ca="1">('TUSD BE'!$AF$18+'TUSD BF'!$AF$18+'TUSD CVA'!$AF$18)*1</f>
        <v>0</v>
      </c>
      <c r="AD18" s="33">
        <f>('TUSD BE'!$AH$18+'TUSD BF'!$AH$18+'TUSD CVA'!$AH$18)*1</f>
        <v>0</v>
      </c>
      <c r="AE18" s="33">
        <f>('TUSD BE'!$AI$18+'TUSD BF'!$AI$18+'TUSD CVA'!$AI$18)*1</f>
        <v>0</v>
      </c>
      <c r="AF18" s="33">
        <f ca="1">('TUSD BE'!$AJ$18+'TUSD BF'!$AJ$18+'TUSD CVA'!$AJ$18)*1</f>
        <v>0</v>
      </c>
      <c r="AG18" s="33">
        <f ca="1">('TUSD BE'!$AK$18+'TUSD BF'!$AK$18+'TUSD CVA'!$AK$18)*1</f>
        <v>0</v>
      </c>
      <c r="AI18" s="33">
        <v>0</v>
      </c>
      <c r="AJ18" s="33">
        <v>7.5818798343494295E-2</v>
      </c>
      <c r="AK18" s="33">
        <v>0.21149734816707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1.89891494971633</v>
      </c>
      <c r="AS18" s="33">
        <v>0</v>
      </c>
      <c r="AT18" s="33">
        <v>0</v>
      </c>
      <c r="AU18" s="33">
        <v>0</v>
      </c>
      <c r="AV18" s="33">
        <v>0</v>
      </c>
      <c r="AW18" s="33">
        <v>0.27744483827105798</v>
      </c>
      <c r="AX18" s="33">
        <v>2.5730226339190798</v>
      </c>
      <c r="AY18" s="33">
        <v>-7.9008628373419105E-4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</row>
    <row r="19" spans="1:56" ht="11.25" customHeight="1" x14ac:dyDescent="0.25">
      <c r="A19" s="116"/>
      <c r="B19" s="116"/>
      <c r="C19" s="116"/>
      <c r="D19" s="116"/>
      <c r="E19" s="116"/>
      <c r="F19" s="80" t="s">
        <v>124</v>
      </c>
      <c r="G19" s="36" t="s">
        <v>9</v>
      </c>
      <c r="H19" s="36" t="s">
        <v>120</v>
      </c>
      <c r="I19" s="36">
        <f>'MERCADO TUSD'!$U$16</f>
        <v>0</v>
      </c>
      <c r="J19" s="16"/>
      <c r="L19" s="33">
        <f>('TUSD BE'!$L$19+'TUSD BF'!$L$19+'TUSD CVA'!$L$19)*1</f>
        <v>0</v>
      </c>
      <c r="M19" s="33">
        <f>('TUSD BE'!$M$19+'TUSD BF'!$M$19+'TUSD CVA'!$M$19)*1</f>
        <v>0.13294854558091418</v>
      </c>
      <c r="N19" s="33">
        <f ca="1">('TUSD BE'!$N$19+'TUSD BF'!$N$19+'TUSD CVA'!$N$19)*1</f>
        <v>0.32869981333523629</v>
      </c>
      <c r="O19" s="33">
        <f>('TUSD BE'!$O$19+'TUSD BF'!$O$19+'TUSD CVA'!$O$19)*1</f>
        <v>0</v>
      </c>
      <c r="P19" s="33">
        <f>('TUSD BE'!$P$19+'TUSD BF'!$P$19+'TUSD CVA'!$P$19)*1</f>
        <v>0</v>
      </c>
      <c r="Q19" s="33">
        <f>('TUSD BE'!$Q$19+'TUSD BF'!$Q$19+'TUSD CVA'!$Q$19)*1</f>
        <v>0</v>
      </c>
      <c r="R19" s="33">
        <f>('TUSD BE'!$R$19+'TUSD BF'!$R$19+'TUSD CVA'!$R$19)*1</f>
        <v>0</v>
      </c>
      <c r="S19" s="33">
        <f>('TUSD BE'!$S$19+'TUSD BF'!$S$19+'TUSD CVA'!$S$19)*1</f>
        <v>0</v>
      </c>
      <c r="T19" s="33">
        <f>('TUSD BE'!$U$19+'TUSD BF'!$U$19+'TUSD CVA'!$U$19)*1</f>
        <v>0</v>
      </c>
      <c r="U19" s="33">
        <f>('TUSD BE'!$V$19+'TUSD BF'!$V$19+'TUSD CVA'!$V$19)*1</f>
        <v>0.94486826565505311</v>
      </c>
      <c r="V19" s="33">
        <f>('TUSD BE'!$W$19+'TUSD BF'!$W$19+'TUSD CVA'!$W$19)*1</f>
        <v>0.29409999999999997</v>
      </c>
      <c r="W19" s="33">
        <f>('TUSD BE'!$X$19+'TUSD BF'!$X$19+'TUSD CVA'!$X$19)*1</f>
        <v>0</v>
      </c>
      <c r="X19" s="33">
        <f>('TUSD BE'!$Y$19+'TUSD BF'!$Y$19+'TUSD CVA'!$Y$19)*1</f>
        <v>0</v>
      </c>
      <c r="Y19" s="33">
        <f>('TUSD BE'!$Z$19+'TUSD BF'!$Z$19+'TUSD CVA'!$Z$19)*1</f>
        <v>0</v>
      </c>
      <c r="Z19" s="33">
        <f>('TUSD BE'!$AA$19+'TUSD BF'!$AA$19+'TUSD CVA'!$AA$19)*1</f>
        <v>0</v>
      </c>
      <c r="AA19" s="33">
        <f>('TUSD BE'!$AC$19+'TUSD BF'!$AC$19+'TUSD CVA'!$AC$19)*1</f>
        <v>3.5578985456606587</v>
      </c>
      <c r="AB19" s="33">
        <f ca="1">('TUSD BE'!$AE$19+'TUSD BF'!$AE$19+'TUSD CVA'!$AE$19)*1</f>
        <v>0</v>
      </c>
      <c r="AC19" s="33">
        <f ca="1">('TUSD BE'!$AF$19+'TUSD BF'!$AF$19+'TUSD CVA'!$AF$19)*1</f>
        <v>0</v>
      </c>
      <c r="AD19" s="33">
        <f>('TUSD BE'!$AH$19+'TUSD BF'!$AH$19+'TUSD CVA'!$AH$19)*1</f>
        <v>0</v>
      </c>
      <c r="AE19" s="33">
        <f>('TUSD BE'!$AI$19+'TUSD BF'!$AI$19+'TUSD CVA'!$AI$19)*1</f>
        <v>0</v>
      </c>
      <c r="AF19" s="33">
        <f ca="1">('TUSD BE'!$AJ$19+'TUSD BF'!$AJ$19+'TUSD CVA'!$AJ$19)*1</f>
        <v>0</v>
      </c>
      <c r="AG19" s="33">
        <f ca="1">('TUSD BE'!$AK$19+'TUSD BF'!$AK$19+'TUSD CVA'!$AK$19)*1</f>
        <v>0</v>
      </c>
      <c r="AI19" s="33">
        <v>0</v>
      </c>
      <c r="AJ19" s="33">
        <v>7.6815222216586806E-2</v>
      </c>
      <c r="AK19" s="33">
        <v>0.214197314313884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1.92296597147288</v>
      </c>
      <c r="AS19" s="33">
        <v>0</v>
      </c>
      <c r="AT19" s="33">
        <v>0</v>
      </c>
      <c r="AU19" s="33">
        <v>0</v>
      </c>
      <c r="AV19" s="33">
        <v>0</v>
      </c>
      <c r="AW19" s="33">
        <v>0.27744483827105798</v>
      </c>
      <c r="AX19" s="33">
        <v>2.6057453443190401</v>
      </c>
      <c r="AY19" s="33">
        <v>-7.9964653262985103E-4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</row>
    <row r="20" spans="1:56" ht="11.25" customHeight="1" x14ac:dyDescent="0.25">
      <c r="A20" s="116" t="s">
        <v>39</v>
      </c>
      <c r="B20" s="116" t="s">
        <v>40</v>
      </c>
      <c r="C20" s="116" t="s">
        <v>25</v>
      </c>
      <c r="D20" s="116" t="s">
        <v>25</v>
      </c>
      <c r="E20" s="116" t="s">
        <v>25</v>
      </c>
      <c r="F20" s="116" t="s">
        <v>25</v>
      </c>
      <c r="G20" s="36" t="s">
        <v>121</v>
      </c>
      <c r="H20" s="36" t="s">
        <v>120</v>
      </c>
      <c r="I20" s="36">
        <f>'MERCADO TUSD'!$U$17</f>
        <v>180459</v>
      </c>
      <c r="J20" s="16"/>
      <c r="L20" s="33">
        <f>('TUSD BE'!$L$20+'TUSD BF'!$L$20+'TUSD CVA'!$L$20)*1</f>
        <v>0</v>
      </c>
      <c r="M20" s="33">
        <f>('TUSD BE'!$M$20+'TUSD BF'!$M$20+'TUSD CVA'!$M$20)*1</f>
        <v>0</v>
      </c>
      <c r="N20" s="33">
        <f ca="1">('TUSD BE'!$N$20+'TUSD BF'!$N$20+'TUSD CVA'!$N$20)*1</f>
        <v>0</v>
      </c>
      <c r="O20" s="33">
        <f>('TUSD BE'!$O$20+'TUSD BF'!$O$20+'TUSD CVA'!$O$20)*1</f>
        <v>0</v>
      </c>
      <c r="P20" s="33">
        <f>('TUSD BE'!$P$20+'TUSD BF'!$P$20+'TUSD CVA'!$P$20)*1</f>
        <v>0</v>
      </c>
      <c r="Q20" s="33">
        <f>('TUSD BE'!$Q$20+'TUSD BF'!$Q$20+'TUSD CVA'!$Q$20)*1</f>
        <v>0</v>
      </c>
      <c r="R20" s="33">
        <f>('TUSD BE'!$R$20+'TUSD BF'!$R$20+'TUSD CVA'!$R$20)*1</f>
        <v>0</v>
      </c>
      <c r="S20" s="33">
        <f>('TUSD BE'!$S$20+'TUSD BF'!$S$20+'TUSD CVA'!$S$20)*1</f>
        <v>0</v>
      </c>
      <c r="T20" s="33">
        <f>('TUSD BE'!$U$20+'TUSD BF'!$U$20+'TUSD CVA'!$U$20)*1</f>
        <v>3.4360779400080874</v>
      </c>
      <c r="U20" s="33">
        <f>('TUSD BE'!$V$20+'TUSD BF'!$V$20+'TUSD CVA'!$V$20)*1</f>
        <v>3.8773341856013131E-2</v>
      </c>
      <c r="V20" s="33">
        <f>('TUSD BE'!$W$20+'TUSD BF'!$W$20+'TUSD CVA'!$W$20)*1</f>
        <v>0</v>
      </c>
      <c r="W20" s="33">
        <f>('TUSD BE'!$X$20+'TUSD BF'!$X$20+'TUSD CVA'!$X$20)*1</f>
        <v>0</v>
      </c>
      <c r="X20" s="33">
        <f>('TUSD BE'!$Y$20+'TUSD BF'!$Y$20+'TUSD CVA'!$Y$20)*1</f>
        <v>11.563932001747162</v>
      </c>
      <c r="Y20" s="33">
        <f>('TUSD BE'!$Z$20+'TUSD BF'!$Z$20+'TUSD CVA'!$Z$20)*1</f>
        <v>0</v>
      </c>
      <c r="Z20" s="33">
        <f>('TUSD BE'!$AA$20+'TUSD BF'!$AA$20+'TUSD CVA'!$AA$20)*1</f>
        <v>0</v>
      </c>
      <c r="AA20" s="33">
        <f>('TUSD BE'!$AC$20+'TUSD BF'!$AC$20+'TUSD CVA'!$AC$20)*1</f>
        <v>13.502792301942254</v>
      </c>
      <c r="AB20" s="33">
        <f ca="1">('TUSD BE'!$AE$20+'TUSD BF'!$AE$20+'TUSD CVA'!$AE$20)*1</f>
        <v>0</v>
      </c>
      <c r="AC20" s="33">
        <f ca="1">('TUSD BE'!$AF$20+'TUSD BF'!$AF$20+'TUSD CVA'!$AF$20)*1</f>
        <v>0</v>
      </c>
      <c r="AD20" s="33">
        <f>('TUSD BE'!$AH$20+'TUSD BF'!$AH$20+'TUSD CVA'!$AH$20)*1</f>
        <v>0</v>
      </c>
      <c r="AE20" s="33">
        <f>('TUSD BE'!$AI$20+'TUSD BF'!$AI$20+'TUSD CVA'!$AI$20)*1</f>
        <v>0</v>
      </c>
      <c r="AF20" s="33">
        <f ca="1">('TUSD BE'!$AJ$20+'TUSD BF'!$AJ$20+'TUSD CVA'!$AJ$20)*1</f>
        <v>0</v>
      </c>
      <c r="AG20" s="33">
        <f ca="1">('TUSD BE'!$AK$20+'TUSD BF'!$AK$20+'TUSD CVA'!$AK$20)*1</f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2.6214333692895999</v>
      </c>
      <c r="AR20" s="33">
        <v>-1.1065455158914201E-3</v>
      </c>
      <c r="AS20" s="33">
        <v>0</v>
      </c>
      <c r="AT20" s="33">
        <v>0</v>
      </c>
      <c r="AU20" s="33">
        <v>9.2705586582182509</v>
      </c>
      <c r="AV20" s="33">
        <v>0</v>
      </c>
      <c r="AW20" s="33">
        <v>0</v>
      </c>
      <c r="AX20" s="33">
        <v>12.0197785278199</v>
      </c>
      <c r="AY20" s="33">
        <v>-4.2647213026444598E-3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</row>
    <row r="21" spans="1:56" ht="11.25" customHeight="1" x14ac:dyDescent="0.25">
      <c r="A21" s="116"/>
      <c r="B21" s="116"/>
      <c r="C21" s="116"/>
      <c r="D21" s="116"/>
      <c r="E21" s="116"/>
      <c r="F21" s="116"/>
      <c r="G21" s="36" t="s">
        <v>122</v>
      </c>
      <c r="H21" s="36" t="s">
        <v>120</v>
      </c>
      <c r="I21" s="36">
        <f>'MERCADO TUSD'!$U$18</f>
        <v>183466</v>
      </c>
      <c r="J21" s="16"/>
      <c r="L21" s="33">
        <f>('TUSD BE'!$L$21+'TUSD BF'!$L$21+'TUSD CVA'!$L$21)*1</f>
        <v>0</v>
      </c>
      <c r="M21" s="33">
        <f>('TUSD BE'!$M$21+'TUSD BF'!$M$21+'TUSD CVA'!$M$21)*1</f>
        <v>0</v>
      </c>
      <c r="N21" s="33">
        <f ca="1">('TUSD BE'!$N$21+'TUSD BF'!$N$21+'TUSD CVA'!$N$21)*1</f>
        <v>0</v>
      </c>
      <c r="O21" s="33">
        <f>('TUSD BE'!$O$21+'TUSD BF'!$O$21+'TUSD CVA'!$O$21)*1</f>
        <v>0</v>
      </c>
      <c r="P21" s="33">
        <f>('TUSD BE'!$P$21+'TUSD BF'!$P$21+'TUSD CVA'!$P$21)*1</f>
        <v>0</v>
      </c>
      <c r="Q21" s="33">
        <f>('TUSD BE'!$Q$21+'TUSD BF'!$Q$21+'TUSD CVA'!$Q$21)*1</f>
        <v>0</v>
      </c>
      <c r="R21" s="33">
        <f>('TUSD BE'!$R$21+'TUSD BF'!$R$21+'TUSD CVA'!$R$21)*1</f>
        <v>0</v>
      </c>
      <c r="S21" s="33">
        <f>('TUSD BE'!$S$21+'TUSD BF'!$S$21+'TUSD CVA'!$S$21)*1</f>
        <v>0</v>
      </c>
      <c r="T21" s="33">
        <f>('TUSD BE'!$U$21+'TUSD BF'!$U$21+'TUSD CVA'!$U$21)*1</f>
        <v>3.0813154838615566</v>
      </c>
      <c r="U21" s="33">
        <f>('TUSD BE'!$V$21+'TUSD BF'!$V$21+'TUSD CVA'!$V$21)*1</f>
        <v>3.533721454942361E-2</v>
      </c>
      <c r="V21" s="33">
        <f>('TUSD BE'!$W$21+'TUSD BF'!$W$21+'TUSD CVA'!$W$21)*1</f>
        <v>0</v>
      </c>
      <c r="W21" s="33">
        <f>('TUSD BE'!$X$21+'TUSD BF'!$X$21+'TUSD CVA'!$X$21)*1</f>
        <v>0</v>
      </c>
      <c r="X21" s="33">
        <f>('TUSD BE'!$Y$21+'TUSD BF'!$Y$21+'TUSD CVA'!$Y$21)*1</f>
        <v>7.2103924879370984</v>
      </c>
      <c r="Y21" s="33">
        <f>('TUSD BE'!$Z$21+'TUSD BF'!$Z$21+'TUSD CVA'!$Z$21)*1</f>
        <v>0</v>
      </c>
      <c r="Z21" s="33">
        <f>('TUSD BE'!$AA$21+'TUSD BF'!$AA$21+'TUSD CVA'!$AA$21)*1</f>
        <v>0</v>
      </c>
      <c r="AA21" s="33">
        <f>('TUSD BE'!$AC$21+'TUSD BF'!$AC$21+'TUSD CVA'!$AC$21)*1</f>
        <v>1.3502681113856665</v>
      </c>
      <c r="AB21" s="33">
        <f ca="1">('TUSD BE'!$AE$21+'TUSD BF'!$AE$21+'TUSD CVA'!$AE$21)*1</f>
        <v>0</v>
      </c>
      <c r="AC21" s="33">
        <f ca="1">('TUSD BE'!$AF$21+'TUSD BF'!$AF$21+'TUSD CVA'!$AF$21)*1</f>
        <v>0</v>
      </c>
      <c r="AD21" s="33">
        <f>('TUSD BE'!$AH$21+'TUSD BF'!$AH$21+'TUSD CVA'!$AH$21)*1</f>
        <v>0</v>
      </c>
      <c r="AE21" s="33">
        <f>('TUSD BE'!$AI$21+'TUSD BF'!$AI$21+'TUSD CVA'!$AI$21)*1</f>
        <v>0</v>
      </c>
      <c r="AF21" s="33">
        <f ca="1">('TUSD BE'!$AJ$21+'TUSD BF'!$AJ$21+'TUSD CVA'!$AJ$21)*1</f>
        <v>0</v>
      </c>
      <c r="AG21" s="33">
        <f ca="1">('TUSD BE'!$AK$21+'TUSD BF'!$AK$21+'TUSD CVA'!$AK$21)*1</f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2.3507799798873101</v>
      </c>
      <c r="AR21" s="33">
        <v>-1.00848248905049E-3</v>
      </c>
      <c r="AS21" s="33">
        <v>0</v>
      </c>
      <c r="AT21" s="33">
        <v>0</v>
      </c>
      <c r="AU21" s="33">
        <v>5.7804185028152899</v>
      </c>
      <c r="AV21" s="33">
        <v>0</v>
      </c>
      <c r="AW21" s="33">
        <v>0</v>
      </c>
      <c r="AX21" s="33">
        <v>1.2019679551539</v>
      </c>
      <c r="AY21" s="33">
        <v>-1.7231930932001501E-3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</row>
    <row r="22" spans="1:56" ht="11.25" customHeight="1" x14ac:dyDescent="0.25">
      <c r="A22" s="116"/>
      <c r="B22" s="116"/>
      <c r="C22" s="116"/>
      <c r="D22" s="116"/>
      <c r="E22" s="116"/>
      <c r="F22" s="116"/>
      <c r="G22" s="36" t="s">
        <v>123</v>
      </c>
      <c r="H22" s="36" t="s">
        <v>117</v>
      </c>
      <c r="I22" s="36">
        <f>'MERCADO TUSD'!$U$19</f>
        <v>99874.462</v>
      </c>
      <c r="J22" s="16"/>
      <c r="L22" s="33">
        <f>('TUSD BE'!$L$22+'TUSD BF'!$L$22+'TUSD CVA'!$L$22)*1</f>
        <v>1.4459138572841299</v>
      </c>
      <c r="M22" s="33">
        <f>('TUSD BE'!$M$22+'TUSD BF'!$M$22+'TUSD CVA'!$M$22)*1</f>
        <v>0.11319300475496265</v>
      </c>
      <c r="N22" s="33">
        <f ca="1">('TUSD BE'!$N$22+'TUSD BF'!$N$22+'TUSD CVA'!$N$22)*1</f>
        <v>0.31731915871838107</v>
      </c>
      <c r="O22" s="33">
        <f>('TUSD BE'!$O$22+'TUSD BF'!$O$22+'TUSD CVA'!$O$22)*1</f>
        <v>-5.032809553728302E-3</v>
      </c>
      <c r="P22" s="33">
        <f>('TUSD BE'!$P$22+'TUSD BF'!$P$22+'TUSD CVA'!$P$22)*1</f>
        <v>0</v>
      </c>
      <c r="Q22" s="33">
        <f>('TUSD BE'!$Q$22+'TUSD BF'!$Q$22+'TUSD CVA'!$Q$22)*1</f>
        <v>66.304323923291321</v>
      </c>
      <c r="R22" s="33">
        <f>('TUSD BE'!$R$22+'TUSD BF'!$R$22+'TUSD CVA'!$R$22)*1</f>
        <v>18.096353551137963</v>
      </c>
      <c r="S22" s="33">
        <f>('TUSD BE'!$S$22+'TUSD BF'!$S$22+'TUSD CVA'!$S$22)*1</f>
        <v>0</v>
      </c>
      <c r="T22" s="33">
        <f>('TUSD BE'!$U$22+'TUSD BF'!$U$22+'TUSD CVA'!$U$22)*1</f>
        <v>0</v>
      </c>
      <c r="U22" s="33">
        <f>('TUSD BE'!$V$22+'TUSD BF'!$V$22+'TUSD CVA'!$V$22)*1</f>
        <v>0</v>
      </c>
      <c r="V22" s="33">
        <f>('TUSD BE'!$W$22+'TUSD BF'!$W$22+'TUSD CVA'!$W$22)*1</f>
        <v>0</v>
      </c>
      <c r="W22" s="33">
        <f>('TUSD BE'!$X$22+'TUSD BF'!$X$22+'TUSD CVA'!$X$22)*1</f>
        <v>0</v>
      </c>
      <c r="X22" s="33">
        <f>('TUSD BE'!$Y$22+'TUSD BF'!$Y$22+'TUSD CVA'!$Y$22)*1</f>
        <v>0</v>
      </c>
      <c r="Y22" s="33">
        <f>('TUSD BE'!$Z$22+'TUSD BF'!$Z$22+'TUSD CVA'!$Z$22)*1</f>
        <v>0</v>
      </c>
      <c r="Z22" s="33">
        <f>('TUSD BE'!$AA$22+'TUSD BF'!$AA$22+'TUSD CVA'!$AA$22)*1</f>
        <v>0</v>
      </c>
      <c r="AA22" s="33">
        <f>('TUSD BE'!$AC$22+'TUSD BF'!$AC$22+'TUSD CVA'!$AC$22)*1</f>
        <v>0</v>
      </c>
      <c r="AB22" s="33">
        <f ca="1">('TUSD BE'!$AE$22+'TUSD BF'!$AE$22+'TUSD CVA'!$AE$22)*1</f>
        <v>0</v>
      </c>
      <c r="AC22" s="33">
        <f ca="1">('TUSD BE'!$AF$22+'TUSD BF'!$AF$22+'TUSD CVA'!$AF$22)*1</f>
        <v>0</v>
      </c>
      <c r="AD22" s="33">
        <f>('TUSD BE'!$AH$22+'TUSD BF'!$AH$22+'TUSD CVA'!$AH$22)*1</f>
        <v>12.571491740321585</v>
      </c>
      <c r="AE22" s="33">
        <f>('TUSD BE'!$AI$22+'TUSD BF'!$AI$22+'TUSD CVA'!$AI$22)*1</f>
        <v>2.7913786850906102E-2</v>
      </c>
      <c r="AF22" s="33">
        <f ca="1">('TUSD BE'!$AJ$22+'TUSD BF'!$AJ$22+'TUSD CVA'!$AJ$22)*1</f>
        <v>0.31862562193138744</v>
      </c>
      <c r="AG22" s="33">
        <f ca="1">('TUSD BE'!$AK$22+'TUSD BF'!$AK$22+'TUSD CVA'!$AK$22)*1</f>
        <v>2.0524575634956599</v>
      </c>
      <c r="AI22" s="33">
        <v>6.7960615823703296</v>
      </c>
      <c r="AJ22" s="33">
        <v>8.7371706085061507E-2</v>
      </c>
      <c r="AK22" s="33">
        <v>0.26392681742393698</v>
      </c>
      <c r="AL22" s="33">
        <v>-4.4728017133853397E-3</v>
      </c>
      <c r="AM22" s="33">
        <v>0</v>
      </c>
      <c r="AN22" s="33">
        <v>35.546742520843303</v>
      </c>
      <c r="AO22" s="33">
        <v>9.9180435169181695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-1.1907112247627E-2</v>
      </c>
      <c r="AZ22" s="33">
        <v>0</v>
      </c>
      <c r="BA22" s="33">
        <v>11.618603726686</v>
      </c>
      <c r="BB22" s="33">
        <v>4.0372864998799302E-2</v>
      </c>
      <c r="BC22" s="33">
        <v>0.29511095771106899</v>
      </c>
      <c r="BD22" s="33">
        <v>1.2278912213992801</v>
      </c>
    </row>
    <row r="23" spans="1:56" ht="11.25" customHeight="1" x14ac:dyDescent="0.25">
      <c r="A23" s="116"/>
      <c r="B23" s="116"/>
      <c r="C23" s="116"/>
      <c r="D23" s="116"/>
      <c r="E23" s="80" t="s">
        <v>61</v>
      </c>
      <c r="F23" s="80" t="s">
        <v>25</v>
      </c>
      <c r="G23" s="36" t="s">
        <v>123</v>
      </c>
      <c r="H23" s="36" t="s">
        <v>117</v>
      </c>
      <c r="I23" s="36">
        <f>'MERCADO TUSD'!$U$20</f>
        <v>0</v>
      </c>
      <c r="J23" s="16"/>
      <c r="L23" s="33">
        <f>('TUSD BE'!$L$23+'TUSD BF'!$L$23+'TUSD CVA'!$L$23)*1</f>
        <v>0</v>
      </c>
      <c r="M23" s="33">
        <f>('TUSD BE'!$M$23+'TUSD BF'!$M$23+'TUSD CVA'!$M$23)*1</f>
        <v>0.11319300475496265</v>
      </c>
      <c r="N23" s="33">
        <f ca="1">('TUSD BE'!$N$23+'TUSD BF'!$N$23+'TUSD CVA'!$N$23)*1</f>
        <v>0.30566060632427472</v>
      </c>
      <c r="O23" s="33">
        <f>('TUSD BE'!$O$23+'TUSD BF'!$O$23+'TUSD CVA'!$O$23)*1</f>
        <v>-5.032809553728302E-3</v>
      </c>
      <c r="P23" s="33">
        <f>('TUSD BE'!$P$23+'TUSD BF'!$P$23+'TUSD CVA'!$P$23)*1</f>
        <v>0</v>
      </c>
      <c r="Q23" s="33">
        <f>('TUSD BE'!$Q$23+'TUSD BF'!$Q$23+'TUSD CVA'!$Q$23)*1</f>
        <v>0</v>
      </c>
      <c r="R23" s="33">
        <f>('TUSD BE'!$R$23+'TUSD BF'!$R$23+'TUSD CVA'!$R$23)*1</f>
        <v>0</v>
      </c>
      <c r="S23" s="33">
        <f>('TUSD BE'!$S$23+'TUSD BF'!$S$23+'TUSD CVA'!$S$23)*1</f>
        <v>0</v>
      </c>
      <c r="T23" s="33">
        <f>('TUSD BE'!$U$23+'TUSD BF'!$U$23+'TUSD CVA'!$U$23)*1</f>
        <v>0</v>
      </c>
      <c r="U23" s="33">
        <f>('TUSD BE'!$V$23+'TUSD BF'!$V$23+'TUSD CVA'!$V$23)*1</f>
        <v>0</v>
      </c>
      <c r="V23" s="33">
        <f>('TUSD BE'!$W$23+'TUSD BF'!$W$23+'TUSD CVA'!$W$23)*1</f>
        <v>0</v>
      </c>
      <c r="W23" s="33">
        <f>('TUSD BE'!$X$23+'TUSD BF'!$X$23+'TUSD CVA'!$X$23)*1</f>
        <v>0</v>
      </c>
      <c r="X23" s="33">
        <f>('TUSD BE'!$Y$23+'TUSD BF'!$Y$23+'TUSD CVA'!$Y$23)*1</f>
        <v>0</v>
      </c>
      <c r="Y23" s="33">
        <f>('TUSD BE'!$Z$23+'TUSD BF'!$Z$23+'TUSD CVA'!$Z$23)*1</f>
        <v>0</v>
      </c>
      <c r="Z23" s="33">
        <f>('TUSD BE'!$AA$23+'TUSD BF'!$AA$23+'TUSD CVA'!$AA$23)*1</f>
        <v>0</v>
      </c>
      <c r="AA23" s="33">
        <f>('TUSD BE'!$AC$23+'TUSD BF'!$AC$23+'TUSD CVA'!$AC$23)*1</f>
        <v>0</v>
      </c>
      <c r="AB23" s="33">
        <f ca="1">('TUSD BE'!$AE$23+'TUSD BF'!$AE$23+'TUSD CVA'!$AE$23)*1</f>
        <v>0</v>
      </c>
      <c r="AC23" s="33">
        <f ca="1">('TUSD BE'!$AF$23+'TUSD BF'!$AF$23+'TUSD CVA'!$AF$23)*1</f>
        <v>0</v>
      </c>
      <c r="AD23" s="33">
        <f>('TUSD BE'!$AH$23+'TUSD BF'!$AH$23+'TUSD CVA'!$AH$23)*1</f>
        <v>12.571491740321585</v>
      </c>
      <c r="AE23" s="33">
        <f>('TUSD BE'!$AI$23+'TUSD BF'!$AI$23+'TUSD CVA'!$AI$23)*1</f>
        <v>2.7913786850906102E-2</v>
      </c>
      <c r="AF23" s="33">
        <f ca="1">('TUSD BE'!$AJ$23+'TUSD BF'!$AJ$23+'TUSD CVA'!$AJ$23)*1</f>
        <v>0.31862562193138744</v>
      </c>
      <c r="AG23" s="33">
        <f ca="1">('TUSD BE'!$AK$23+'TUSD BF'!$AK$23+'TUSD CVA'!$AK$23)*1</f>
        <v>2.0524575634956599</v>
      </c>
      <c r="AI23" s="33">
        <v>0</v>
      </c>
      <c r="AJ23" s="33">
        <v>8.7371706085061507E-2</v>
      </c>
      <c r="AK23" s="33">
        <v>0.25420851366394298</v>
      </c>
      <c r="AL23" s="33">
        <v>-4.4728017133853397E-3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-2.38444694055411E-3</v>
      </c>
      <c r="AZ23" s="33">
        <v>0</v>
      </c>
      <c r="BA23" s="33">
        <v>11.618603726686</v>
      </c>
      <c r="BB23" s="33">
        <v>4.0372864998799302E-2</v>
      </c>
      <c r="BC23" s="33">
        <v>0.29511095771106899</v>
      </c>
      <c r="BD23" s="33">
        <v>1.2278912213992801</v>
      </c>
    </row>
    <row r="24" spans="1:56" ht="11.25" customHeight="1" x14ac:dyDescent="0.25">
      <c r="A24" s="116"/>
      <c r="B24" s="80" t="s">
        <v>64</v>
      </c>
      <c r="C24" s="80" t="s">
        <v>25</v>
      </c>
      <c r="D24" s="80" t="s">
        <v>25</v>
      </c>
      <c r="E24" s="80" t="s">
        <v>25</v>
      </c>
      <c r="F24" s="80" t="s">
        <v>25</v>
      </c>
      <c r="G24" s="36" t="s">
        <v>9</v>
      </c>
      <c r="H24" s="36" t="s">
        <v>120</v>
      </c>
      <c r="I24" s="36">
        <f>'MERCADO TUSD'!$U$21</f>
        <v>866358</v>
      </c>
      <c r="J24" s="16"/>
      <c r="L24" s="33">
        <f>('TUSD BE'!$L$24+'TUSD BF'!$L$24+'TUSD CVA'!$L$24)*1</f>
        <v>0</v>
      </c>
      <c r="M24" s="33">
        <f>('TUSD BE'!$M$24+'TUSD BF'!$M$24+'TUSD CVA'!$M$24)*1</f>
        <v>3.8738374446952877E-2</v>
      </c>
      <c r="N24" s="33">
        <f ca="1">('TUSD BE'!$N$24+'TUSD BF'!$N$24+'TUSD CVA'!$N$24)*1</f>
        <v>0.11401601037129774</v>
      </c>
      <c r="O24" s="33">
        <f>('TUSD BE'!$O$24+'TUSD BF'!$O$24+'TUSD CVA'!$O$24)*1</f>
        <v>8.7835537972141969E-3</v>
      </c>
      <c r="P24" s="33">
        <f>('TUSD BE'!$P$24+'TUSD BF'!$P$24+'TUSD CVA'!$P$24)*1</f>
        <v>0</v>
      </c>
      <c r="Q24" s="33">
        <f>('TUSD BE'!$Q$24+'TUSD BF'!$Q$24+'TUSD CVA'!$Q$24)*1</f>
        <v>0</v>
      </c>
      <c r="R24" s="33">
        <f>('TUSD BE'!$R$24+'TUSD BF'!$R$24+'TUSD CVA'!$R$24)*1</f>
        <v>0</v>
      </c>
      <c r="S24" s="33">
        <f>('TUSD BE'!$S$24+'TUSD BF'!$S$24+'TUSD CVA'!$S$24)*1</f>
        <v>0</v>
      </c>
      <c r="T24" s="33">
        <f>('TUSD BE'!$U$24+'TUSD BF'!$U$24+'TUSD CVA'!$U$24)*1</f>
        <v>0</v>
      </c>
      <c r="U24" s="33">
        <f>('TUSD BE'!$V$24+'TUSD BF'!$V$24+'TUSD CVA'!$V$24)*1</f>
        <v>0</v>
      </c>
      <c r="V24" s="33">
        <f>('TUSD BE'!$W$24+'TUSD BF'!$W$24+'TUSD CVA'!$W$24)*1</f>
        <v>0</v>
      </c>
      <c r="W24" s="33">
        <f>('TUSD BE'!$X$24+'TUSD BF'!$X$24+'TUSD CVA'!$X$24)*1</f>
        <v>0</v>
      </c>
      <c r="X24" s="33">
        <f>('TUSD BE'!$Y$24+'TUSD BF'!$Y$24+'TUSD CVA'!$Y$24)*1</f>
        <v>13.407525735042073</v>
      </c>
      <c r="Y24" s="33">
        <f>('TUSD BE'!$Z$24+'TUSD BF'!$Z$24+'TUSD CVA'!$Z$24)*1</f>
        <v>0</v>
      </c>
      <c r="Z24" s="33">
        <f>('TUSD BE'!$AA$24+'TUSD BF'!$AA$24+'TUSD CVA'!$AA$24)*1</f>
        <v>0</v>
      </c>
      <c r="AA24" s="33">
        <f>('TUSD BE'!$AC$24+'TUSD BF'!$AC$24+'TUSD CVA'!$AC$24)*1</f>
        <v>6.6121408796833032</v>
      </c>
      <c r="AB24" s="33">
        <f ca="1">('TUSD BE'!$AE$24+'TUSD BF'!$AE$24+'TUSD CVA'!$AE$24)*1</f>
        <v>0</v>
      </c>
      <c r="AC24" s="33">
        <f ca="1">('TUSD BE'!$AF$24+'TUSD BF'!$AF$24+'TUSD CVA'!$AF$24)*1</f>
        <v>0</v>
      </c>
      <c r="AD24" s="33">
        <f>('TUSD BE'!$AH$24+'TUSD BF'!$AH$24+'TUSD CVA'!$AH$24)*1</f>
        <v>0.69199776223071852</v>
      </c>
      <c r="AE24" s="33">
        <f>('TUSD BE'!$AI$24+'TUSD BF'!$AI$24+'TUSD CVA'!$AI$24)*1</f>
        <v>0.16120440986663959</v>
      </c>
      <c r="AF24" s="33">
        <f ca="1">('TUSD BE'!$AJ$24+'TUSD BF'!$AJ$24+'TUSD CVA'!$AJ$24)*1</f>
        <v>0</v>
      </c>
      <c r="AG24" s="33">
        <f ca="1">('TUSD BE'!$AK$24+'TUSD BF'!$AK$24+'TUSD CVA'!$AK$24)*1</f>
        <v>0</v>
      </c>
      <c r="AI24" s="33">
        <v>0</v>
      </c>
      <c r="AJ24" s="33">
        <v>3.10370804682015E-2</v>
      </c>
      <c r="AK24" s="33">
        <v>0.10297250510589601</v>
      </c>
      <c r="AL24" s="33">
        <v>7.9328803223348999E-3</v>
      </c>
      <c r="AM24" s="33">
        <v>0</v>
      </c>
      <c r="AN24" s="33">
        <v>0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11.054312322485901</v>
      </c>
      <c r="AV24" s="33">
        <v>0</v>
      </c>
      <c r="AW24" s="33">
        <v>0</v>
      </c>
      <c r="AX24" s="33">
        <v>5.9576959821324804</v>
      </c>
      <c r="AY24" s="33">
        <v>-3.1973738763618302E-3</v>
      </c>
      <c r="AZ24" s="33">
        <v>0</v>
      </c>
      <c r="BA24" s="33">
        <v>0.62091782087398695</v>
      </c>
      <c r="BB24" s="33">
        <v>0.14464597481790401</v>
      </c>
      <c r="BC24" s="33">
        <v>0</v>
      </c>
      <c r="BD24" s="33">
        <v>0</v>
      </c>
    </row>
    <row r="25" spans="1:56" ht="11.25" customHeight="1" x14ac:dyDescent="0.25">
      <c r="A25" s="116" t="s">
        <v>41</v>
      </c>
      <c r="B25" s="116" t="s">
        <v>40</v>
      </c>
      <c r="C25" s="116" t="s">
        <v>25</v>
      </c>
      <c r="D25" s="116" t="s">
        <v>25</v>
      </c>
      <c r="E25" s="116" t="s">
        <v>25</v>
      </c>
      <c r="F25" s="116" t="s">
        <v>25</v>
      </c>
      <c r="G25" s="36" t="s">
        <v>121</v>
      </c>
      <c r="H25" s="36" t="s">
        <v>120</v>
      </c>
      <c r="I25" s="36">
        <f>'MERCADO TUSD'!$U$22</f>
        <v>269137</v>
      </c>
      <c r="J25" s="16"/>
      <c r="L25" s="33">
        <f>('TUSD BE'!$L$25+'TUSD BF'!$L$25+'TUSD CVA'!$L$25)*1</f>
        <v>0</v>
      </c>
      <c r="M25" s="33">
        <f>('TUSD BE'!$M$25+'TUSD BF'!$M$25+'TUSD CVA'!$M$25)*1</f>
        <v>0</v>
      </c>
      <c r="N25" s="33">
        <f ca="1">('TUSD BE'!$N$25+'TUSD BF'!$N$25+'TUSD CVA'!$N$25)*1</f>
        <v>0</v>
      </c>
      <c r="O25" s="33">
        <f>('TUSD BE'!$O$25+'TUSD BF'!$O$25+'TUSD CVA'!$O$25)*1</f>
        <v>0</v>
      </c>
      <c r="P25" s="33">
        <f>('TUSD BE'!$P$25+'TUSD BF'!$P$25+'TUSD CVA'!$P$25)*1</f>
        <v>0</v>
      </c>
      <c r="Q25" s="33">
        <f>('TUSD BE'!$Q$25+'TUSD BF'!$Q$25+'TUSD CVA'!$Q$25)*1</f>
        <v>0</v>
      </c>
      <c r="R25" s="33">
        <f>('TUSD BE'!$R$25+'TUSD BF'!$R$25+'TUSD CVA'!$R$25)*1</f>
        <v>0</v>
      </c>
      <c r="S25" s="33">
        <f>('TUSD BE'!$S$25+'TUSD BF'!$S$25+'TUSD CVA'!$S$25)*1</f>
        <v>0</v>
      </c>
      <c r="T25" s="33">
        <f>('TUSD BE'!$U$25+'TUSD BF'!$U$25+'TUSD CVA'!$U$25)*1</f>
        <v>3.4489889671006333</v>
      </c>
      <c r="U25" s="33">
        <f>('TUSD BE'!$V$25+'TUSD BF'!$V$25+'TUSD CVA'!$V$25)*1</f>
        <v>3.8915666655694348E-2</v>
      </c>
      <c r="V25" s="33">
        <f>('TUSD BE'!$W$25+'TUSD BF'!$W$25+'TUSD CVA'!$W$25)*1</f>
        <v>0</v>
      </c>
      <c r="W25" s="33">
        <f>('TUSD BE'!$X$25+'TUSD BF'!$X$25+'TUSD CVA'!$X$25)*1</f>
        <v>0</v>
      </c>
      <c r="X25" s="33">
        <f>('TUSD BE'!$Y$25+'TUSD BF'!$Y$25+'TUSD CVA'!$Y$25)*1</f>
        <v>11.744592827119213</v>
      </c>
      <c r="Y25" s="33">
        <f>('TUSD BE'!$Z$25+'TUSD BF'!$Z$25+'TUSD CVA'!$Z$25)*1</f>
        <v>0</v>
      </c>
      <c r="Z25" s="33">
        <f>('TUSD BE'!$AA$25+'TUSD BF'!$AA$25+'TUSD CVA'!$AA$25)*1</f>
        <v>0</v>
      </c>
      <c r="AA25" s="33">
        <f>('TUSD BE'!$AC$25+'TUSD BF'!$AC$25+'TUSD CVA'!$AC$25)*1</f>
        <v>60.175325484704949</v>
      </c>
      <c r="AB25" s="33">
        <f ca="1">('TUSD BE'!$AE$25+'TUSD BF'!$AE$25+'TUSD CVA'!$AE$25)*1</f>
        <v>0</v>
      </c>
      <c r="AC25" s="33">
        <f ca="1">('TUSD BE'!$AF$25+'TUSD BF'!$AF$25+'TUSD CVA'!$AF$25)*1</f>
        <v>0</v>
      </c>
      <c r="AD25" s="33">
        <f>('TUSD BE'!$AH$25+'TUSD BF'!$AH$25+'TUSD CVA'!$AH$25)*1</f>
        <v>0</v>
      </c>
      <c r="AE25" s="33">
        <f>('TUSD BE'!$AI$25+'TUSD BF'!$AI$25+'TUSD CVA'!$AI$25)*1</f>
        <v>0</v>
      </c>
      <c r="AF25" s="33">
        <f ca="1">('TUSD BE'!$AJ$25+'TUSD BF'!$AJ$25+'TUSD CVA'!$AJ$25)*1</f>
        <v>0</v>
      </c>
      <c r="AG25" s="33">
        <f ca="1">('TUSD BE'!$AK$25+'TUSD BF'!$AK$25+'TUSD CVA'!$AK$25)*1</f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2.6312833778875202</v>
      </c>
      <c r="AR25" s="33">
        <v>-1.1106072980682699E-3</v>
      </c>
      <c r="AS25" s="33">
        <v>0</v>
      </c>
      <c r="AT25" s="33">
        <v>0</v>
      </c>
      <c r="AU25" s="33">
        <v>9.4153906045320692</v>
      </c>
      <c r="AV25" s="33">
        <v>0</v>
      </c>
      <c r="AW25" s="33">
        <v>0</v>
      </c>
      <c r="AX25" s="33">
        <v>53.566260147657601</v>
      </c>
      <c r="AY25" s="33">
        <v>-1.1402613273154101E-2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</row>
    <row r="26" spans="1:56" ht="11.25" customHeight="1" x14ac:dyDescent="0.25">
      <c r="A26" s="116"/>
      <c r="B26" s="116"/>
      <c r="C26" s="116"/>
      <c r="D26" s="116"/>
      <c r="E26" s="116"/>
      <c r="F26" s="116"/>
      <c r="G26" s="36" t="s">
        <v>122</v>
      </c>
      <c r="H26" s="36" t="s">
        <v>120</v>
      </c>
      <c r="I26" s="36">
        <f>'MERCADO TUSD'!$U$23</f>
        <v>306985</v>
      </c>
      <c r="J26" s="16"/>
      <c r="L26" s="33">
        <f>('TUSD BE'!$L$26+'TUSD BF'!$L$26+'TUSD CVA'!$L$26)*1</f>
        <v>0</v>
      </c>
      <c r="M26" s="33">
        <f>('TUSD BE'!$M$26+'TUSD BF'!$M$26+'TUSD CVA'!$M$26)*1</f>
        <v>0</v>
      </c>
      <c r="N26" s="33">
        <f ca="1">('TUSD BE'!$N$26+'TUSD BF'!$N$26+'TUSD CVA'!$N$26)*1</f>
        <v>0</v>
      </c>
      <c r="O26" s="33">
        <f>('TUSD BE'!$O$26+'TUSD BF'!$O$26+'TUSD CVA'!$O$26)*1</f>
        <v>0</v>
      </c>
      <c r="P26" s="33">
        <f>('TUSD BE'!$P$26+'TUSD BF'!$P$26+'TUSD CVA'!$P$26)*1</f>
        <v>0</v>
      </c>
      <c r="Q26" s="33">
        <f>('TUSD BE'!$Q$26+'TUSD BF'!$Q$26+'TUSD CVA'!$Q$26)*1</f>
        <v>0</v>
      </c>
      <c r="R26" s="33">
        <f>('TUSD BE'!$R$26+'TUSD BF'!$R$26+'TUSD CVA'!$R$26)*1</f>
        <v>0</v>
      </c>
      <c r="S26" s="33">
        <f>('TUSD BE'!$S$26+'TUSD BF'!$S$26+'TUSD CVA'!$S$26)*1</f>
        <v>0</v>
      </c>
      <c r="T26" s="33">
        <f>('TUSD BE'!$U$26+'TUSD BF'!$U$26+'TUSD CVA'!$U$26)*1</f>
        <v>2.9137047627772446</v>
      </c>
      <c r="U26" s="33">
        <f>('TUSD BE'!$V$26+'TUSD BF'!$V$26+'TUSD CVA'!$V$26)*1</f>
        <v>3.341582975372711E-2</v>
      </c>
      <c r="V26" s="33">
        <f>('TUSD BE'!$W$26+'TUSD BF'!$W$26+'TUSD CVA'!$W$26)*1</f>
        <v>0</v>
      </c>
      <c r="W26" s="33">
        <f>('TUSD BE'!$X$26+'TUSD BF'!$X$26+'TUSD CVA'!$X$26)*1</f>
        <v>0</v>
      </c>
      <c r="X26" s="33">
        <f>('TUSD BE'!$Y$26+'TUSD BF'!$Y$26+'TUSD CVA'!$Y$26)*1</f>
        <v>6.8866548455821297</v>
      </c>
      <c r="Y26" s="33">
        <f>('TUSD BE'!$Z$26+'TUSD BF'!$Z$26+'TUSD CVA'!$Z$26)*1</f>
        <v>0</v>
      </c>
      <c r="Z26" s="33">
        <f>('TUSD BE'!$AA$26+'TUSD BF'!$AA$26+'TUSD CVA'!$AA$26)*1</f>
        <v>0</v>
      </c>
      <c r="AA26" s="33">
        <f>('TUSD BE'!$AC$26+'TUSD BF'!$AC$26+'TUSD CVA'!$AC$26)*1</f>
        <v>19.969491359764255</v>
      </c>
      <c r="AB26" s="33">
        <f ca="1">('TUSD BE'!$AE$26+'TUSD BF'!$AE$26+'TUSD CVA'!$AE$26)*1</f>
        <v>0</v>
      </c>
      <c r="AC26" s="33">
        <f ca="1">('TUSD BE'!$AF$26+'TUSD BF'!$AF$26+'TUSD CVA'!$AF$26)*1</f>
        <v>0</v>
      </c>
      <c r="AD26" s="33">
        <f>('TUSD BE'!$AH$26+'TUSD BF'!$AH$26+'TUSD CVA'!$AH$26)*1</f>
        <v>0</v>
      </c>
      <c r="AE26" s="33">
        <f>('TUSD BE'!$AI$26+'TUSD BF'!$AI$26+'TUSD CVA'!$AI$26)*1</f>
        <v>0</v>
      </c>
      <c r="AF26" s="33">
        <f ca="1">('TUSD BE'!$AJ$26+'TUSD BF'!$AJ$26+'TUSD CVA'!$AJ$26)*1</f>
        <v>0</v>
      </c>
      <c r="AG26" s="33">
        <f ca="1">('TUSD BE'!$AK$26+'TUSD BF'!$AK$26+'TUSD CVA'!$AK$26)*1</f>
        <v>0</v>
      </c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0</v>
      </c>
      <c r="AO26" s="33">
        <v>0</v>
      </c>
      <c r="AP26" s="33">
        <v>0</v>
      </c>
      <c r="AQ26" s="33">
        <v>2.2229073457467399</v>
      </c>
      <c r="AR26" s="33">
        <v>-9.5364842966311105E-4</v>
      </c>
      <c r="AS26" s="33">
        <v>0</v>
      </c>
      <c r="AT26" s="33">
        <v>0</v>
      </c>
      <c r="AU26" s="33">
        <v>5.5208849113974603</v>
      </c>
      <c r="AV26" s="33">
        <v>0</v>
      </c>
      <c r="AW26" s="33">
        <v>0</v>
      </c>
      <c r="AX26" s="33">
        <v>17.7762390245055</v>
      </c>
      <c r="AY26" s="33">
        <v>-4.4868902884272997E-3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</row>
    <row r="27" spans="1:56" ht="11.25" customHeight="1" x14ac:dyDescent="0.25">
      <c r="A27" s="116"/>
      <c r="B27" s="116"/>
      <c r="C27" s="116"/>
      <c r="D27" s="116"/>
      <c r="E27" s="116"/>
      <c r="F27" s="116"/>
      <c r="G27" s="36" t="s">
        <v>123</v>
      </c>
      <c r="H27" s="36" t="s">
        <v>117</v>
      </c>
      <c r="I27" s="36">
        <f>'MERCADO TUSD'!$U$24</f>
        <v>121039.205</v>
      </c>
      <c r="J27" s="16"/>
      <c r="L27" s="33">
        <f>('TUSD BE'!$L$27+'TUSD BF'!$L$27+'TUSD CVA'!$L$27)*1</f>
        <v>1.9589800647075313</v>
      </c>
      <c r="M27" s="33">
        <f>('TUSD BE'!$M$27+'TUSD BF'!$M$27+'TUSD CVA'!$M$27)*1</f>
        <v>0.77645739067888253</v>
      </c>
      <c r="N27" s="33">
        <f ca="1">('TUSD BE'!$N$27+'TUSD BF'!$N$27+'TUSD CVA'!$N$27)*1</f>
        <v>0.52230124230932318</v>
      </c>
      <c r="O27" s="33">
        <f>('TUSD BE'!$O$27+'TUSD BF'!$O$27+'TUSD CVA'!$O$27)*1</f>
        <v>-5.032809553728302E-3</v>
      </c>
      <c r="P27" s="33">
        <f>('TUSD BE'!$P$27+'TUSD BF'!$P$27+'TUSD CVA'!$P$27)*1</f>
        <v>0</v>
      </c>
      <c r="Q27" s="33">
        <f>('TUSD BE'!$Q$27+'TUSD BF'!$Q$27+'TUSD CVA'!$Q$27)*1</f>
        <v>89.831664670265667</v>
      </c>
      <c r="R27" s="33">
        <f>('TUSD BE'!$R$27+'TUSD BF'!$R$27+'TUSD CVA'!$R$27)*1</f>
        <v>18.096353551137963</v>
      </c>
      <c r="S27" s="33">
        <f>('TUSD BE'!$S$27+'TUSD BF'!$S$27+'TUSD CVA'!$S$27)*1</f>
        <v>0</v>
      </c>
      <c r="T27" s="33">
        <f>('TUSD BE'!$U$27+'TUSD BF'!$U$27+'TUSD CVA'!$U$27)*1</f>
        <v>0</v>
      </c>
      <c r="U27" s="33">
        <f>('TUSD BE'!$V$27+'TUSD BF'!$V$27+'TUSD CVA'!$V$27)*1</f>
        <v>0</v>
      </c>
      <c r="V27" s="33">
        <f>('TUSD BE'!$W$27+'TUSD BF'!$W$27+'TUSD CVA'!$W$27)*1</f>
        <v>0</v>
      </c>
      <c r="W27" s="33">
        <f>('TUSD BE'!$X$27+'TUSD BF'!$X$27+'TUSD CVA'!$X$27)*1</f>
        <v>0</v>
      </c>
      <c r="X27" s="33">
        <f>('TUSD BE'!$Y$27+'TUSD BF'!$Y$27+'TUSD CVA'!$Y$27)*1</f>
        <v>0</v>
      </c>
      <c r="Y27" s="33">
        <f>('TUSD BE'!$Z$27+'TUSD BF'!$Z$27+'TUSD CVA'!$Z$27)*1</f>
        <v>0</v>
      </c>
      <c r="Z27" s="33">
        <f>('TUSD BE'!$AA$27+'TUSD BF'!$AA$27+'TUSD CVA'!$AA$27)*1</f>
        <v>0</v>
      </c>
      <c r="AA27" s="33">
        <f>('TUSD BE'!$AC$27+'TUSD BF'!$AC$27+'TUSD CVA'!$AC$27)*1</f>
        <v>0</v>
      </c>
      <c r="AB27" s="33">
        <f ca="1">('TUSD BE'!$AE$27+'TUSD BF'!$AE$27+'TUSD CVA'!$AE$27)*1</f>
        <v>0</v>
      </c>
      <c r="AC27" s="33">
        <f ca="1">('TUSD BE'!$AF$27+'TUSD BF'!$AF$27+'TUSD CVA'!$AF$27)*1</f>
        <v>0</v>
      </c>
      <c r="AD27" s="33">
        <f>('TUSD BE'!$AH$27+'TUSD BF'!$AH$27+'TUSD CVA'!$AH$27)*1</f>
        <v>20.78603612314928</v>
      </c>
      <c r="AE27" s="33">
        <f>('TUSD BE'!$AI$27+'TUSD BF'!$AI$27+'TUSD CVA'!$AI$27)*1</f>
        <v>4.6153391642126743E-2</v>
      </c>
      <c r="AF27" s="33">
        <f ca="1">('TUSD BE'!$AJ$27+'TUSD BF'!$AJ$27+'TUSD CVA'!$AJ$27)*1</f>
        <v>0.72873354259930523</v>
      </c>
      <c r="AG27" s="33">
        <f ca="1">('TUSD BE'!$AK$27+'TUSD BF'!$AK$27+'TUSD CVA'!$AK$27)*1</f>
        <v>4.6942071457235546</v>
      </c>
      <c r="AI27" s="33">
        <v>8.8247366815853496</v>
      </c>
      <c r="AJ27" s="33">
        <v>0.58093211929962696</v>
      </c>
      <c r="AK27" s="33">
        <v>0.43304023701931199</v>
      </c>
      <c r="AL27" s="33">
        <v>-4.4728017133853397E-3</v>
      </c>
      <c r="AM27" s="33">
        <v>0</v>
      </c>
      <c r="AN27" s="33">
        <v>46.157710437512897</v>
      </c>
      <c r="AO27" s="33">
        <v>9.9180435169181695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-1.60946484802061E-2</v>
      </c>
      <c r="AZ27" s="33">
        <v>0</v>
      </c>
      <c r="BA27" s="33">
        <v>19.210505940902301</v>
      </c>
      <c r="BB27" s="33">
        <v>6.6753560165693199E-2</v>
      </c>
      <c r="BC27" s="33">
        <v>0.67528171205480403</v>
      </c>
      <c r="BD27" s="33">
        <v>2.8096973851285401</v>
      </c>
    </row>
    <row r="28" spans="1:56" ht="11.25" customHeight="1" x14ac:dyDescent="0.25">
      <c r="A28" s="116"/>
      <c r="B28" s="116"/>
      <c r="C28" s="116"/>
      <c r="D28" s="116"/>
      <c r="E28" s="80" t="s">
        <v>61</v>
      </c>
      <c r="F28" s="80" t="s">
        <v>25</v>
      </c>
      <c r="G28" s="36" t="s">
        <v>123</v>
      </c>
      <c r="H28" s="36" t="s">
        <v>117</v>
      </c>
      <c r="I28" s="36">
        <f>'MERCADO TUSD'!$U$25</f>
        <v>0</v>
      </c>
      <c r="J28" s="16"/>
      <c r="L28" s="33">
        <f>('TUSD BE'!$L$28+'TUSD BF'!$L$28+'TUSD CVA'!$L$28)*1</f>
        <v>0</v>
      </c>
      <c r="M28" s="33">
        <f>('TUSD BE'!$M$28+'TUSD BF'!$M$28+'TUSD CVA'!$M$28)*1</f>
        <v>0.77645739067888253</v>
      </c>
      <c r="N28" s="33">
        <f ca="1">('TUSD BE'!$N$28+'TUSD BF'!$N$28+'TUSD CVA'!$N$28)*1</f>
        <v>0.51064268991521689</v>
      </c>
      <c r="O28" s="33">
        <f>('TUSD BE'!$O$28+'TUSD BF'!$O$28+'TUSD CVA'!$O$28)*1</f>
        <v>-5.032809553728302E-3</v>
      </c>
      <c r="P28" s="33">
        <f>('TUSD BE'!$P$28+'TUSD BF'!$P$28+'TUSD CVA'!$P$28)*1</f>
        <v>0</v>
      </c>
      <c r="Q28" s="33">
        <f>('TUSD BE'!$Q$28+'TUSD BF'!$Q$28+'TUSD CVA'!$Q$28)*1</f>
        <v>0</v>
      </c>
      <c r="R28" s="33">
        <f>('TUSD BE'!$R$28+'TUSD BF'!$R$28+'TUSD CVA'!$R$28)*1</f>
        <v>0</v>
      </c>
      <c r="S28" s="33">
        <f>('TUSD BE'!$S$28+'TUSD BF'!$S$28+'TUSD CVA'!$S$28)*1</f>
        <v>0</v>
      </c>
      <c r="T28" s="33">
        <f>('TUSD BE'!$U$28+'TUSD BF'!$U$28+'TUSD CVA'!$U$28)*1</f>
        <v>0</v>
      </c>
      <c r="U28" s="33">
        <f>('TUSD BE'!$V$28+'TUSD BF'!$V$28+'TUSD CVA'!$V$28)*1</f>
        <v>0</v>
      </c>
      <c r="V28" s="33">
        <f>('TUSD BE'!$W$28+'TUSD BF'!$W$28+'TUSD CVA'!$W$28)*1</f>
        <v>0</v>
      </c>
      <c r="W28" s="33">
        <f>('TUSD BE'!$X$28+'TUSD BF'!$X$28+'TUSD CVA'!$X$28)*1</f>
        <v>0</v>
      </c>
      <c r="X28" s="33">
        <f>('TUSD BE'!$Y$28+'TUSD BF'!$Y$28+'TUSD CVA'!$Y$28)*1</f>
        <v>0</v>
      </c>
      <c r="Y28" s="33">
        <f>('TUSD BE'!$Z$28+'TUSD BF'!$Z$28+'TUSD CVA'!$Z$28)*1</f>
        <v>0</v>
      </c>
      <c r="Z28" s="33">
        <f>('TUSD BE'!$AA$28+'TUSD BF'!$AA$28+'TUSD CVA'!$AA$28)*1</f>
        <v>0</v>
      </c>
      <c r="AA28" s="33">
        <f>('TUSD BE'!$AC$28+'TUSD BF'!$AC$28+'TUSD CVA'!$AC$28)*1</f>
        <v>0</v>
      </c>
      <c r="AB28" s="33">
        <f ca="1">('TUSD BE'!$AE$28+'TUSD BF'!$AE$28+'TUSD CVA'!$AE$28)*1</f>
        <v>0</v>
      </c>
      <c r="AC28" s="33">
        <f ca="1">('TUSD BE'!$AF$28+'TUSD BF'!$AF$28+'TUSD CVA'!$AF$28)*1</f>
        <v>0</v>
      </c>
      <c r="AD28" s="33">
        <f>('TUSD BE'!$AH$28+'TUSD BF'!$AH$28+'TUSD CVA'!$AH$28)*1</f>
        <v>20.78603612314928</v>
      </c>
      <c r="AE28" s="33">
        <f>('TUSD BE'!$AI$28+'TUSD BF'!$AI$28+'TUSD CVA'!$AI$28)*1</f>
        <v>4.6153391642126743E-2</v>
      </c>
      <c r="AF28" s="33">
        <f ca="1">('TUSD BE'!$AJ$28+'TUSD BF'!$AJ$28+'TUSD CVA'!$AJ$28)*1</f>
        <v>0.72873354259930523</v>
      </c>
      <c r="AG28" s="33">
        <f ca="1">('TUSD BE'!$AK$28+'TUSD BF'!$AK$28+'TUSD CVA'!$AK$28)*1</f>
        <v>4.6942071457235546</v>
      </c>
      <c r="AI28" s="33">
        <v>0</v>
      </c>
      <c r="AJ28" s="33">
        <v>0.58093211929962696</v>
      </c>
      <c r="AK28" s="33">
        <v>0.423321933259318</v>
      </c>
      <c r="AL28" s="33">
        <v>-4.4728017133853397E-3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-4.19588524083495E-3</v>
      </c>
      <c r="AZ28" s="33">
        <v>0</v>
      </c>
      <c r="BA28" s="33">
        <v>19.210505940902301</v>
      </c>
      <c r="BB28" s="33">
        <v>6.6753560165693199E-2</v>
      </c>
      <c r="BC28" s="33">
        <v>0.67528171205480403</v>
      </c>
      <c r="BD28" s="33">
        <v>2.8096973851285401</v>
      </c>
    </row>
    <row r="29" spans="1:56" ht="11.25" customHeight="1" x14ac:dyDescent="0.25">
      <c r="A29" s="116"/>
      <c r="B29" s="116" t="s">
        <v>81</v>
      </c>
      <c r="C29" s="116" t="s">
        <v>25</v>
      </c>
      <c r="D29" s="116" t="s">
        <v>25</v>
      </c>
      <c r="E29" s="116" t="s">
        <v>25</v>
      </c>
      <c r="F29" s="116" t="s">
        <v>82</v>
      </c>
      <c r="G29" s="36" t="s">
        <v>121</v>
      </c>
      <c r="H29" s="36" t="s">
        <v>120</v>
      </c>
      <c r="I29" s="36">
        <f>'MERCADO TUSD'!$U$26</f>
        <v>42000</v>
      </c>
      <c r="J29" s="16"/>
      <c r="L29" s="33">
        <f>('TUSD BE'!$L$29+'TUSD BF'!$L$29+'TUSD CVA'!$L$29)*1</f>
        <v>0</v>
      </c>
      <c r="M29" s="33">
        <f>('TUSD BE'!$M$29+'TUSD BF'!$M$29+'TUSD CVA'!$M$29)*1</f>
        <v>0</v>
      </c>
      <c r="N29" s="33">
        <f ca="1">('TUSD BE'!$N$29+'TUSD BF'!$N$29+'TUSD CVA'!$N$29)*1</f>
        <v>0</v>
      </c>
      <c r="O29" s="33">
        <f>('TUSD BE'!$O$29+'TUSD BF'!$O$29+'TUSD CVA'!$O$29)*1</f>
        <v>0</v>
      </c>
      <c r="P29" s="33">
        <f>('TUSD BE'!$P$29+'TUSD BF'!$P$29+'TUSD CVA'!$P$29)*1</f>
        <v>0</v>
      </c>
      <c r="Q29" s="33">
        <f>('TUSD BE'!$Q$29+'TUSD BF'!$Q$29+'TUSD CVA'!$Q$29)*1</f>
        <v>0</v>
      </c>
      <c r="R29" s="33">
        <f>('TUSD BE'!$R$29+'TUSD BF'!$R$29+'TUSD CVA'!$R$29)*1</f>
        <v>0</v>
      </c>
      <c r="S29" s="33">
        <f>('TUSD BE'!$S$29+'TUSD BF'!$S$29+'TUSD CVA'!$S$29)*1</f>
        <v>0</v>
      </c>
      <c r="T29" s="33">
        <f>('TUSD BE'!$U$29+'TUSD BF'!$U$29+'TUSD CVA'!$U$29)*1</f>
        <v>3.4489889671006333</v>
      </c>
      <c r="U29" s="33">
        <f>('TUSD BE'!$V$29+'TUSD BF'!$V$29+'TUSD CVA'!$V$29)*1</f>
        <v>3.8915666655694348E-2</v>
      </c>
      <c r="V29" s="33">
        <f>('TUSD BE'!$W$29+'TUSD BF'!$W$29+'TUSD CVA'!$W$29)*1</f>
        <v>0</v>
      </c>
      <c r="W29" s="33">
        <f>('TUSD BE'!$X$29+'TUSD BF'!$X$29+'TUSD CVA'!$X$29)*1</f>
        <v>0</v>
      </c>
      <c r="X29" s="33">
        <f>('TUSD BE'!$Y$29+'TUSD BF'!$Y$29+'TUSD CVA'!$Y$29)*1</f>
        <v>11.744592827119213</v>
      </c>
      <c r="Y29" s="33">
        <f>('TUSD BE'!$Z$29+'TUSD BF'!$Z$29+'TUSD CVA'!$Z$29)*1</f>
        <v>0</v>
      </c>
      <c r="Z29" s="33">
        <f>('TUSD BE'!$AA$29+'TUSD BF'!$AA$29+'TUSD CVA'!$AA$29)*1</f>
        <v>0</v>
      </c>
      <c r="AA29" s="33">
        <f>('TUSD BE'!$AC$29+'TUSD BF'!$AC$29+'TUSD CVA'!$AC$29)*1</f>
        <v>17.771747660023717</v>
      </c>
      <c r="AB29" s="33">
        <f>('TUSD BE'!$AE$29+'TUSD BF'!$AE$29+'TUSD CVA'!$AE$29)*1</f>
        <v>0</v>
      </c>
      <c r="AC29" s="33">
        <f ca="1">('TUSD BE'!$AF$29+'TUSD BF'!$AF$29+'TUSD CVA'!$AF$29)*1</f>
        <v>0</v>
      </c>
      <c r="AD29" s="33">
        <f>('TUSD BE'!$AH$29+'TUSD BF'!$AH$29+'TUSD CVA'!$AH$29)*1</f>
        <v>0</v>
      </c>
      <c r="AE29" s="33">
        <f>('TUSD BE'!$AI$29+'TUSD BF'!$AI$29+'TUSD CVA'!$AI$29)*1</f>
        <v>0</v>
      </c>
      <c r="AF29" s="33">
        <f ca="1">('TUSD BE'!$AJ$29+'TUSD BF'!$AJ$29+'TUSD CVA'!$AJ$29)*1</f>
        <v>0</v>
      </c>
      <c r="AG29" s="33">
        <f ca="1">('TUSD BE'!$AK$29+'TUSD BF'!$AK$29+'TUSD CVA'!$AK$29)*1</f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2.6312833778875202</v>
      </c>
      <c r="AR29" s="33">
        <v>-1.1106072980682699E-3</v>
      </c>
      <c r="AS29" s="33">
        <v>0</v>
      </c>
      <c r="AT29" s="33">
        <v>0</v>
      </c>
      <c r="AU29" s="33">
        <v>9.4153906045320692</v>
      </c>
      <c r="AV29" s="33">
        <v>0</v>
      </c>
      <c r="AW29" s="33">
        <v>0</v>
      </c>
      <c r="AX29" s="33">
        <v>15.819873856391901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</row>
    <row r="30" spans="1:56" ht="11.25" customHeight="1" x14ac:dyDescent="0.25">
      <c r="A30" s="116"/>
      <c r="B30" s="116"/>
      <c r="C30" s="116"/>
      <c r="D30" s="116"/>
      <c r="E30" s="116"/>
      <c r="F30" s="116"/>
      <c r="G30" s="36" t="s">
        <v>122</v>
      </c>
      <c r="H30" s="36" t="s">
        <v>120</v>
      </c>
      <c r="I30" s="36">
        <f>'MERCADO TUSD'!$U$27</f>
        <v>42000</v>
      </c>
      <c r="J30" s="16"/>
      <c r="L30" s="33">
        <f>('TUSD BE'!$L$30+'TUSD BF'!$L$30+'TUSD CVA'!$L$30)*1</f>
        <v>0</v>
      </c>
      <c r="M30" s="33">
        <f>('TUSD BE'!$M$30+'TUSD BF'!$M$30+'TUSD CVA'!$M$30)*1</f>
        <v>0</v>
      </c>
      <c r="N30" s="33">
        <f ca="1">('TUSD BE'!$N$30+'TUSD BF'!$N$30+'TUSD CVA'!$N$30)*1</f>
        <v>0</v>
      </c>
      <c r="O30" s="33">
        <f>('TUSD BE'!$O$30+'TUSD BF'!$O$30+'TUSD CVA'!$O$30)*1</f>
        <v>0</v>
      </c>
      <c r="P30" s="33">
        <f>('TUSD BE'!$P$30+'TUSD BF'!$P$30+'TUSD CVA'!$P$30)*1</f>
        <v>0</v>
      </c>
      <c r="Q30" s="33">
        <f>('TUSD BE'!$Q$30+'TUSD BF'!$Q$30+'TUSD CVA'!$Q$30)*1</f>
        <v>0</v>
      </c>
      <c r="R30" s="33">
        <f>('TUSD BE'!$R$30+'TUSD BF'!$R$30+'TUSD CVA'!$R$30)*1</f>
        <v>0</v>
      </c>
      <c r="S30" s="33">
        <f>('TUSD BE'!$S$30+'TUSD BF'!$S$30+'TUSD CVA'!$S$30)*1</f>
        <v>0</v>
      </c>
      <c r="T30" s="33">
        <f>('TUSD BE'!$U$30+'TUSD BF'!$U$30+'TUSD CVA'!$U$30)*1</f>
        <v>2.9137047627772446</v>
      </c>
      <c r="U30" s="33">
        <f>('TUSD BE'!$V$30+'TUSD BF'!$V$30+'TUSD CVA'!$V$30)*1</f>
        <v>3.341582975372711E-2</v>
      </c>
      <c r="V30" s="33">
        <f>('TUSD BE'!$W$30+'TUSD BF'!$W$30+'TUSD CVA'!$W$30)*1</f>
        <v>0</v>
      </c>
      <c r="W30" s="33">
        <f>('TUSD BE'!$X$30+'TUSD BF'!$X$30+'TUSD CVA'!$X$30)*1</f>
        <v>0</v>
      </c>
      <c r="X30" s="33">
        <f>('TUSD BE'!$Y$30+'TUSD BF'!$Y$30+'TUSD CVA'!$Y$30)*1</f>
        <v>6.8866548455821297</v>
      </c>
      <c r="Y30" s="33">
        <f>('TUSD BE'!$Z$30+'TUSD BF'!$Z$30+'TUSD CVA'!$Z$30)*1</f>
        <v>0</v>
      </c>
      <c r="Z30" s="33">
        <f>('TUSD BE'!$AA$30+'TUSD BF'!$AA$30+'TUSD CVA'!$AA$30)*1</f>
        <v>0</v>
      </c>
      <c r="AA30" s="33">
        <f>('TUSD BE'!$AC$30+'TUSD BF'!$AC$30+'TUSD CVA'!$AC$30)*1</f>
        <v>5.8976384357805109</v>
      </c>
      <c r="AB30" s="33">
        <f>('TUSD BE'!$AE$30+'TUSD BF'!$AE$30+'TUSD CVA'!$AE$30)*1</f>
        <v>0</v>
      </c>
      <c r="AC30" s="33">
        <f ca="1">('TUSD BE'!$AF$30+'TUSD BF'!$AF$30+'TUSD CVA'!$AF$30)*1</f>
        <v>0</v>
      </c>
      <c r="AD30" s="33">
        <f>('TUSD BE'!$AH$30+'TUSD BF'!$AH$30+'TUSD CVA'!$AH$30)*1</f>
        <v>0</v>
      </c>
      <c r="AE30" s="33">
        <f>('TUSD BE'!$AI$30+'TUSD BF'!$AI$30+'TUSD CVA'!$AI$30)*1</f>
        <v>0</v>
      </c>
      <c r="AF30" s="33">
        <f ca="1">('TUSD BE'!$AJ$30+'TUSD BF'!$AJ$30+'TUSD CVA'!$AJ$30)*1</f>
        <v>0</v>
      </c>
      <c r="AG30" s="33">
        <f ca="1">('TUSD BE'!$AK$30+'TUSD BF'!$AK$30+'TUSD CVA'!$AK$30)*1</f>
        <v>0</v>
      </c>
      <c r="AI30" s="33">
        <v>0</v>
      </c>
      <c r="AJ30" s="33">
        <v>0</v>
      </c>
      <c r="AK30" s="33">
        <v>0</v>
      </c>
      <c r="AL30" s="33">
        <v>0</v>
      </c>
      <c r="AM30" s="33">
        <v>0</v>
      </c>
      <c r="AN30" s="33">
        <v>0</v>
      </c>
      <c r="AO30" s="33">
        <v>0</v>
      </c>
      <c r="AP30" s="33">
        <v>0</v>
      </c>
      <c r="AQ30" s="33">
        <v>2.2229073457467399</v>
      </c>
      <c r="AR30" s="33">
        <v>-9.5364842966311105E-4</v>
      </c>
      <c r="AS30" s="33">
        <v>0</v>
      </c>
      <c r="AT30" s="33">
        <v>0</v>
      </c>
      <c r="AU30" s="33">
        <v>5.5208849113974603</v>
      </c>
      <c r="AV30" s="33">
        <v>0</v>
      </c>
      <c r="AW30" s="33">
        <v>0</v>
      </c>
      <c r="AX30" s="33">
        <v>5.2498998910797896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</row>
    <row r="31" spans="1:56" ht="11.25" customHeight="1" x14ac:dyDescent="0.25">
      <c r="A31" s="116"/>
      <c r="B31" s="116"/>
      <c r="C31" s="116"/>
      <c r="D31" s="116"/>
      <c r="E31" s="116"/>
      <c r="F31" s="116"/>
      <c r="G31" s="36" t="s">
        <v>123</v>
      </c>
      <c r="H31" s="36" t="s">
        <v>117</v>
      </c>
      <c r="I31" s="36">
        <f>'MERCADO TUSD'!$U$28</f>
        <v>10288.219999999999</v>
      </c>
      <c r="J31" s="16"/>
      <c r="L31" s="33">
        <f>('TUSD BE'!$L$31+'TUSD BF'!$L$31+'TUSD CVA'!$L$31)*1</f>
        <v>0</v>
      </c>
      <c r="M31" s="33">
        <f>('TUSD BE'!$M$31+'TUSD BF'!$M$31+'TUSD CVA'!$M$31)*1</f>
        <v>0</v>
      </c>
      <c r="N31" s="33">
        <f ca="1">('TUSD BE'!$N$31+'TUSD BF'!$N$31+'TUSD CVA'!$N$31)*1</f>
        <v>0</v>
      </c>
      <c r="O31" s="33">
        <f>('TUSD BE'!$O$31+'TUSD BF'!$O$31+'TUSD CVA'!$O$31)*1</f>
        <v>0</v>
      </c>
      <c r="P31" s="33">
        <f>('TUSD BE'!$P$31+'TUSD BF'!$P$31+'TUSD CVA'!$P$31)*1</f>
        <v>0</v>
      </c>
      <c r="Q31" s="33">
        <f>('TUSD BE'!$Q$31+'TUSD BF'!$Q$31+'TUSD CVA'!$Q$31)*1</f>
        <v>0</v>
      </c>
      <c r="R31" s="33">
        <f>('TUSD BE'!$R$31+'TUSD BF'!$R$31+'TUSD CVA'!$R$31)*1</f>
        <v>0</v>
      </c>
      <c r="S31" s="33">
        <f>('TUSD BE'!$S$31+'TUSD BF'!$S$31+'TUSD CVA'!$S$31)*1</f>
        <v>0</v>
      </c>
      <c r="T31" s="33">
        <f>('TUSD BE'!$U$31+'TUSD BF'!$U$31+'TUSD CVA'!$U$31)*1</f>
        <v>0</v>
      </c>
      <c r="U31" s="33">
        <f>('TUSD BE'!$V$31+'TUSD BF'!$V$31+'TUSD CVA'!$V$31)*1</f>
        <v>0</v>
      </c>
      <c r="V31" s="33">
        <f>('TUSD BE'!$W$31+'TUSD BF'!$W$31+'TUSD CVA'!$W$31)*1</f>
        <v>0</v>
      </c>
      <c r="W31" s="33">
        <f>('TUSD BE'!$X$31+'TUSD BF'!$X$31+'TUSD CVA'!$X$31)*1</f>
        <v>0</v>
      </c>
      <c r="X31" s="33">
        <f>('TUSD BE'!$Y$31+'TUSD BF'!$Y$31+'TUSD CVA'!$Y$31)*1</f>
        <v>0</v>
      </c>
      <c r="Y31" s="33">
        <f>('TUSD BE'!$Z$31+'TUSD BF'!$Z$31+'TUSD CVA'!$Z$31)*1</f>
        <v>0</v>
      </c>
      <c r="Z31" s="33">
        <f>('TUSD BE'!$AA$31+'TUSD BF'!$AA$31+'TUSD CVA'!$AA$31)*1</f>
        <v>0</v>
      </c>
      <c r="AA31" s="33">
        <f>('TUSD BE'!$AC$31+'TUSD BF'!$AC$31+'TUSD CVA'!$AC$31)*1</f>
        <v>0</v>
      </c>
      <c r="AB31" s="33">
        <f>('TUSD BE'!$AE$31+'TUSD BF'!$AE$31+'TUSD CVA'!$AE$31)*1</f>
        <v>0</v>
      </c>
      <c r="AC31" s="33">
        <f ca="1">('TUSD BE'!$AF$31+'TUSD BF'!$AF$31+'TUSD CVA'!$AF$31)*1</f>
        <v>0</v>
      </c>
      <c r="AD31" s="33">
        <f>('TUSD BE'!$AH$31+'TUSD BF'!$AH$31+'TUSD CVA'!$AH$31)*1</f>
        <v>20.78603612314928</v>
      </c>
      <c r="AE31" s="33">
        <f>('TUSD BE'!$AI$31+'TUSD BF'!$AI$31+'TUSD CVA'!$AI$31)*1</f>
        <v>4.6153391642126743E-2</v>
      </c>
      <c r="AF31" s="33">
        <f ca="1">('TUSD BE'!$AJ$31+'TUSD BF'!$AJ$31+'TUSD CVA'!$AJ$31)*1</f>
        <v>0</v>
      </c>
      <c r="AG31" s="33">
        <f ca="1">('TUSD BE'!$AK$31+'TUSD BF'!$AK$31+'TUSD CVA'!$AK$31)*1</f>
        <v>0</v>
      </c>
      <c r="AI31" s="33">
        <v>0</v>
      </c>
      <c r="AJ31" s="33">
        <v>0</v>
      </c>
      <c r="AK31" s="33">
        <v>0</v>
      </c>
      <c r="AL31" s="33">
        <v>0</v>
      </c>
      <c r="AM31" s="33">
        <v>0</v>
      </c>
      <c r="AN31" s="33">
        <v>0</v>
      </c>
      <c r="AO31" s="33">
        <v>0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19.210505940902301</v>
      </c>
      <c r="BB31" s="33">
        <v>6.6753560165693199E-2</v>
      </c>
      <c r="BC31" s="33">
        <v>0</v>
      </c>
      <c r="BD31" s="33">
        <v>0</v>
      </c>
    </row>
    <row r="32" spans="1:56" ht="11.25" customHeight="1" x14ac:dyDescent="0.25">
      <c r="A32" s="116"/>
      <c r="B32" s="80" t="s">
        <v>64</v>
      </c>
      <c r="C32" s="80" t="s">
        <v>25</v>
      </c>
      <c r="D32" s="80" t="s">
        <v>25</v>
      </c>
      <c r="E32" s="80" t="s">
        <v>25</v>
      </c>
      <c r="F32" s="80" t="s">
        <v>25</v>
      </c>
      <c r="G32" s="36" t="s">
        <v>9</v>
      </c>
      <c r="H32" s="36" t="s">
        <v>120</v>
      </c>
      <c r="I32" s="36">
        <f>'MERCADO TUSD'!$U$29</f>
        <v>481675</v>
      </c>
      <c r="J32" s="16"/>
      <c r="L32" s="33">
        <f>('TUSD BE'!$L$32+'TUSD BF'!$L$32+'TUSD CVA'!$L$32)*1</f>
        <v>0</v>
      </c>
      <c r="M32" s="33">
        <f>('TUSD BE'!$M$32+'TUSD BF'!$M$32+'TUSD CVA'!$M$32)*1</f>
        <v>5.1174736025678146E-2</v>
      </c>
      <c r="N32" s="33">
        <f ca="1">('TUSD BE'!$N$32+'TUSD BF'!$N$32+'TUSD CVA'!$N$32)*1</f>
        <v>0.17802609505800343</v>
      </c>
      <c r="O32" s="33">
        <f>('TUSD BE'!$O$32+'TUSD BF'!$O$32+'TUSD CVA'!$O$32)*1</f>
        <v>0</v>
      </c>
      <c r="P32" s="33">
        <f>('TUSD BE'!$P$32+'TUSD BF'!$P$32+'TUSD CVA'!$P$32)*1</f>
        <v>0</v>
      </c>
      <c r="Q32" s="33">
        <f>('TUSD BE'!$Q$32+'TUSD BF'!$Q$32+'TUSD CVA'!$Q$32)*1</f>
        <v>0</v>
      </c>
      <c r="R32" s="33">
        <f>('TUSD BE'!$R$32+'TUSD BF'!$R$32+'TUSD CVA'!$R$32)*1</f>
        <v>0</v>
      </c>
      <c r="S32" s="33">
        <f>('TUSD BE'!$S$32+'TUSD BF'!$S$32+'TUSD CVA'!$S$32)*1</f>
        <v>0</v>
      </c>
      <c r="T32" s="33">
        <f>('TUSD BE'!$U$32+'TUSD BF'!$U$32+'TUSD CVA'!$U$32)*1</f>
        <v>0</v>
      </c>
      <c r="U32" s="33">
        <f>('TUSD BE'!$V$32+'TUSD BF'!$V$32+'TUSD CVA'!$V$32)*1</f>
        <v>0</v>
      </c>
      <c r="V32" s="33">
        <f>('TUSD BE'!$W$32+'TUSD BF'!$W$32+'TUSD CVA'!$W$32)*1</f>
        <v>0</v>
      </c>
      <c r="W32" s="33">
        <f>('TUSD BE'!$X$32+'TUSD BF'!$X$32+'TUSD CVA'!$X$32)*1</f>
        <v>0</v>
      </c>
      <c r="X32" s="33">
        <f>('TUSD BE'!$Y$32+'TUSD BF'!$Y$32+'TUSD CVA'!$Y$32)*1</f>
        <v>0</v>
      </c>
      <c r="Y32" s="33">
        <f>('TUSD BE'!$Z$32+'TUSD BF'!$Z$32+'TUSD CVA'!$Z$32)*1</f>
        <v>0</v>
      </c>
      <c r="Z32" s="33">
        <f>('TUSD BE'!$AA$32+'TUSD BF'!$AA$32+'TUSD CVA'!$AA$32)*1</f>
        <v>0</v>
      </c>
      <c r="AA32" s="33">
        <f>('TUSD BE'!$AC$32+'TUSD BF'!$AC$32+'TUSD CVA'!$AC$32)*1</f>
        <v>16.905147720947639</v>
      </c>
      <c r="AB32" s="33">
        <f ca="1">('TUSD BE'!$AE$32+'TUSD BF'!$AE$32+'TUSD CVA'!$AE$32)*1</f>
        <v>0</v>
      </c>
      <c r="AC32" s="33">
        <f ca="1">('TUSD BE'!$AF$32+'TUSD BF'!$AF$32+'TUSD CVA'!$AF$32)*1</f>
        <v>0</v>
      </c>
      <c r="AD32" s="33">
        <f>('TUSD BE'!$AH$32+'TUSD BF'!$AH$32+'TUSD CVA'!$AH$32)*1</f>
        <v>4.5255230926968433E-3</v>
      </c>
      <c r="AE32" s="33">
        <f>('TUSD BE'!$AI$32+'TUSD BF'!$AI$32+'TUSD CVA'!$AI$32)*1</f>
        <v>0</v>
      </c>
      <c r="AF32" s="33">
        <f ca="1">('TUSD BE'!$AJ$32+'TUSD BF'!$AJ$32+'TUSD CVA'!$AJ$32)*1</f>
        <v>0</v>
      </c>
      <c r="AG32" s="33">
        <f ca="1">('TUSD BE'!$AK$32+'TUSD BF'!$AK$32+'TUSD CVA'!$AK$32)*1</f>
        <v>0</v>
      </c>
      <c r="AI32" s="33">
        <v>0</v>
      </c>
      <c r="AJ32" s="33">
        <v>4.5352213057679801E-2</v>
      </c>
      <c r="AK32" s="33">
        <v>0.148398498415099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15.0484527231187</v>
      </c>
      <c r="AY32" s="33">
        <v>-2.6097407939742099E-3</v>
      </c>
      <c r="AZ32" s="33">
        <v>0</v>
      </c>
      <c r="BA32" s="33">
        <v>4.1824996234429397E-3</v>
      </c>
      <c r="BB32" s="33">
        <v>0</v>
      </c>
      <c r="BC32" s="33">
        <v>0</v>
      </c>
      <c r="BD32" s="33">
        <v>0</v>
      </c>
    </row>
    <row r="33" spans="1:56" ht="11.25" customHeight="1" x14ac:dyDescent="0.25">
      <c r="A33" s="116"/>
      <c r="B33" s="116" t="s">
        <v>42</v>
      </c>
      <c r="C33" s="116" t="s">
        <v>25</v>
      </c>
      <c r="D33" s="116" t="s">
        <v>25</v>
      </c>
      <c r="E33" s="116" t="s">
        <v>25</v>
      </c>
      <c r="F33" s="116" t="s">
        <v>25</v>
      </c>
      <c r="G33" s="36" t="s">
        <v>9</v>
      </c>
      <c r="H33" s="36" t="s">
        <v>120</v>
      </c>
      <c r="I33" s="36">
        <f>'MERCADO TUSD'!$U$30</f>
        <v>1292343</v>
      </c>
      <c r="J33" s="16"/>
      <c r="L33" s="33">
        <f>('TUSD BE'!$L$33+'TUSD BF'!$L$33+'TUSD CVA'!$L$33)*1</f>
        <v>0</v>
      </c>
      <c r="M33" s="33">
        <f>('TUSD BE'!$M$33+'TUSD BF'!$M$33+'TUSD CVA'!$M$33)*1</f>
        <v>0</v>
      </c>
      <c r="N33" s="33">
        <f ca="1">('TUSD BE'!$N$33+'TUSD BF'!$N$33+'TUSD CVA'!$N$33)*1</f>
        <v>0</v>
      </c>
      <c r="O33" s="33">
        <f>('TUSD BE'!$O$33+'TUSD BF'!$O$33+'TUSD CVA'!$O$33)*1</f>
        <v>0</v>
      </c>
      <c r="P33" s="33">
        <f>('TUSD BE'!$P$33+'TUSD BF'!$P$33+'TUSD CVA'!$P$33)*1</f>
        <v>0</v>
      </c>
      <c r="Q33" s="33">
        <f>('TUSD BE'!$Q$33+'TUSD BF'!$Q$33+'TUSD CVA'!$Q$33)*1</f>
        <v>0</v>
      </c>
      <c r="R33" s="33">
        <f>('TUSD BE'!$R$33+'TUSD BF'!$R$33+'TUSD CVA'!$R$33)*1</f>
        <v>0</v>
      </c>
      <c r="S33" s="33">
        <f>('TUSD BE'!$S$33+'TUSD BF'!$S$33+'TUSD CVA'!$S$33)*1</f>
        <v>0</v>
      </c>
      <c r="T33" s="33">
        <f>('TUSD BE'!$U$33+'TUSD BF'!$U$33+'TUSD CVA'!$U$33)*1</f>
        <v>2.9137047627772446</v>
      </c>
      <c r="U33" s="33">
        <f>('TUSD BE'!$V$33+'TUSD BF'!$V$33+'TUSD CVA'!$V$33)*1</f>
        <v>3.341582975372711E-2</v>
      </c>
      <c r="V33" s="33">
        <f>('TUSD BE'!$W$33+'TUSD BF'!$W$33+'TUSD CVA'!$W$33)*1</f>
        <v>0</v>
      </c>
      <c r="W33" s="33">
        <f>('TUSD BE'!$X$33+'TUSD BF'!$X$33+'TUSD CVA'!$X$33)*1</f>
        <v>0</v>
      </c>
      <c r="X33" s="33">
        <f>('TUSD BE'!$Y$33+'TUSD BF'!$Y$33+'TUSD CVA'!$Y$33)*1</f>
        <v>6.8866548455821297</v>
      </c>
      <c r="Y33" s="33">
        <f>('TUSD BE'!$Z$33+'TUSD BF'!$Z$33+'TUSD CVA'!$Z$33)*1</f>
        <v>0</v>
      </c>
      <c r="Z33" s="33">
        <f>('TUSD BE'!$AA$33+'TUSD BF'!$AA$33+'TUSD CVA'!$AA$33)*1</f>
        <v>0</v>
      </c>
      <c r="AA33" s="33">
        <f>('TUSD BE'!$AC$33+'TUSD BF'!$AC$33+'TUSD CVA'!$AC$33)*1</f>
        <v>19.969491359764255</v>
      </c>
      <c r="AB33" s="33">
        <f ca="1">('TUSD BE'!$AE$33+'TUSD BF'!$AE$33+'TUSD CVA'!$AE$33)*1</f>
        <v>0</v>
      </c>
      <c r="AC33" s="33">
        <f ca="1">('TUSD BE'!$AF$33+'TUSD BF'!$AF$33+'TUSD CVA'!$AF$33)*1</f>
        <v>0</v>
      </c>
      <c r="AD33" s="33">
        <f>('TUSD BE'!$AH$33+'TUSD BF'!$AH$33+'TUSD CVA'!$AH$33)*1</f>
        <v>0</v>
      </c>
      <c r="AE33" s="33">
        <f>('TUSD BE'!$AI$33+'TUSD BF'!$AI$33+'TUSD CVA'!$AI$33)*1</f>
        <v>0</v>
      </c>
      <c r="AF33" s="33">
        <f ca="1">('TUSD BE'!$AJ$33+'TUSD BF'!$AJ$33+'TUSD CVA'!$AJ$33)*1</f>
        <v>0</v>
      </c>
      <c r="AG33" s="33">
        <f ca="1">('TUSD BE'!$AK$33+'TUSD BF'!$AK$33+'TUSD CVA'!$AK$33)*1</f>
        <v>0</v>
      </c>
      <c r="AI33" s="33">
        <v>0</v>
      </c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>
        <v>0</v>
      </c>
      <c r="AQ33" s="33">
        <v>2.2229073457467399</v>
      </c>
      <c r="AR33" s="33">
        <v>-9.5364842966311105E-4</v>
      </c>
      <c r="AS33" s="33">
        <v>0</v>
      </c>
      <c r="AT33" s="33">
        <v>0</v>
      </c>
      <c r="AU33" s="33">
        <v>5.5208849113974603</v>
      </c>
      <c r="AV33" s="33">
        <v>0</v>
      </c>
      <c r="AW33" s="33">
        <v>0</v>
      </c>
      <c r="AX33" s="33">
        <v>17.7762390245055</v>
      </c>
      <c r="AY33" s="33">
        <v>-4.4868902884272997E-3</v>
      </c>
      <c r="AZ33" s="33">
        <v>0</v>
      </c>
      <c r="BA33" s="33">
        <v>0</v>
      </c>
      <c r="BB33" s="33">
        <v>0</v>
      </c>
      <c r="BC33" s="33">
        <v>0</v>
      </c>
      <c r="BD33" s="33">
        <v>0</v>
      </c>
    </row>
    <row r="34" spans="1:56" ht="11.25" customHeight="1" x14ac:dyDescent="0.25">
      <c r="A34" s="116"/>
      <c r="B34" s="116"/>
      <c r="C34" s="116"/>
      <c r="D34" s="116"/>
      <c r="E34" s="116"/>
      <c r="F34" s="116"/>
      <c r="G34" s="36" t="s">
        <v>118</v>
      </c>
      <c r="H34" s="36" t="s">
        <v>117</v>
      </c>
      <c r="I34" s="36">
        <f>'MERCADO TUSD'!$U$31</f>
        <v>14035.833999999999</v>
      </c>
      <c r="J34" s="16"/>
      <c r="L34" s="33">
        <f>('TUSD BE'!$L$34+'TUSD BF'!$L$34+'TUSD CVA'!$L$34)*1</f>
        <v>1.9589800647075313</v>
      </c>
      <c r="M34" s="33">
        <f>('TUSD BE'!$M$34+'TUSD BF'!$M$34+'TUSD CVA'!$M$34)*1</f>
        <v>0.77645739067888253</v>
      </c>
      <c r="N34" s="33">
        <f ca="1">('TUSD BE'!$N$34+'TUSD BF'!$N$34+'TUSD CVA'!$N$34)*1</f>
        <v>19.448281056740932</v>
      </c>
      <c r="O34" s="33">
        <f>('TUSD BE'!$O$34+'TUSD BF'!$O$34+'TUSD CVA'!$O$34)*1</f>
        <v>-5.032809553728302E-3</v>
      </c>
      <c r="P34" s="33">
        <f>('TUSD BE'!$P$34+'TUSD BF'!$P$34+'TUSD CVA'!$P$34)*1</f>
        <v>0</v>
      </c>
      <c r="Q34" s="33">
        <f>('TUSD BE'!$Q$34+'TUSD BF'!$Q$34+'TUSD CVA'!$Q$34)*1</f>
        <v>89.831664670265667</v>
      </c>
      <c r="R34" s="33">
        <f>('TUSD BE'!$R$34+'TUSD BF'!$R$34+'TUSD CVA'!$R$34)*1</f>
        <v>18.096353551137963</v>
      </c>
      <c r="S34" s="33">
        <f>('TUSD BE'!$S$34+'TUSD BF'!$S$34+'TUSD CVA'!$S$34)*1</f>
        <v>0</v>
      </c>
      <c r="T34" s="33">
        <f>('TUSD BE'!$U$34+'TUSD BF'!$U$34+'TUSD CVA'!$U$34)*1</f>
        <v>82.947765922756432</v>
      </c>
      <c r="U34" s="33">
        <f>('TUSD BE'!$V$34+'TUSD BF'!$V$34+'TUSD CVA'!$V$34)*1</f>
        <v>0.93593804876084152</v>
      </c>
      <c r="V34" s="33">
        <f>('TUSD BE'!$W$34+'TUSD BF'!$W$34+'TUSD CVA'!$W$34)*1</f>
        <v>0</v>
      </c>
      <c r="W34" s="33">
        <f>('TUSD BE'!$X$34+'TUSD BF'!$X$34+'TUSD CVA'!$X$34)*1</f>
        <v>0</v>
      </c>
      <c r="X34" s="33">
        <f>('TUSD BE'!$Y$34+'TUSD BF'!$Y$34+'TUSD CVA'!$Y$34)*1</f>
        <v>282.45752188849309</v>
      </c>
      <c r="Y34" s="33">
        <f>('TUSD BE'!$Z$34+'TUSD BF'!$Z$34+'TUSD CVA'!$Z$34)*1</f>
        <v>0</v>
      </c>
      <c r="Z34" s="33">
        <f>('TUSD BE'!$AA$34+'TUSD BF'!$AA$34+'TUSD CVA'!$AA$34)*1</f>
        <v>0</v>
      </c>
      <c r="AA34" s="33">
        <f>('TUSD BE'!$AC$34+'TUSD BF'!$AC$34+'TUSD CVA'!$AC$34)*1</f>
        <v>1447.216894793198</v>
      </c>
      <c r="AB34" s="33">
        <f ca="1">('TUSD BE'!$AE$34+'TUSD BF'!$AE$34+'TUSD CVA'!$AE$34)*1</f>
        <v>0</v>
      </c>
      <c r="AC34" s="33">
        <f ca="1">('TUSD BE'!$AF$34+'TUSD BF'!$AF$34+'TUSD CVA'!$AF$34)*1</f>
        <v>0</v>
      </c>
      <c r="AD34" s="33">
        <f>('TUSD BE'!$AH$34+'TUSD BF'!$AH$34+'TUSD CVA'!$AH$34)*1</f>
        <v>20.78603612314928</v>
      </c>
      <c r="AE34" s="33">
        <f>('TUSD BE'!$AI$34+'TUSD BF'!$AI$34+'TUSD CVA'!$AI$34)*1</f>
        <v>4.6153391642126743E-2</v>
      </c>
      <c r="AF34" s="33">
        <f ca="1">('TUSD BE'!$AJ$34+'TUSD BF'!$AJ$34+'TUSD CVA'!$AJ$34)*1</f>
        <v>0.72873354259930523</v>
      </c>
      <c r="AG34" s="33">
        <f ca="1">('TUSD BE'!$AK$34+'TUSD BF'!$AK$34+'TUSD CVA'!$AK$34)*1</f>
        <v>4.6942071457235546</v>
      </c>
      <c r="AI34" s="33">
        <v>8.8247366815853496</v>
      </c>
      <c r="AJ34" s="33">
        <v>0.58093211929962696</v>
      </c>
      <c r="AK34" s="33">
        <v>16.2093059837967</v>
      </c>
      <c r="AL34" s="33">
        <v>-4.4728017133853397E-3</v>
      </c>
      <c r="AM34" s="33">
        <v>0</v>
      </c>
      <c r="AN34" s="33">
        <v>46.157710437512897</v>
      </c>
      <c r="AO34" s="33">
        <v>9.9180435169181695</v>
      </c>
      <c r="AP34" s="33">
        <v>0</v>
      </c>
      <c r="AQ34" s="33">
        <v>63.282045778456599</v>
      </c>
      <c r="AR34" s="33">
        <v>-2.67105697222191E-2</v>
      </c>
      <c r="AS34" s="33">
        <v>0</v>
      </c>
      <c r="AT34" s="33">
        <v>0</v>
      </c>
      <c r="AU34" s="33">
        <v>226.440195664123</v>
      </c>
      <c r="AV34" s="33">
        <v>0</v>
      </c>
      <c r="AW34" s="33">
        <v>0</v>
      </c>
      <c r="AX34" s="33">
        <v>1288.2688386335701</v>
      </c>
      <c r="AY34" s="33">
        <v>-0.29302083031730602</v>
      </c>
      <c r="AZ34" s="33">
        <v>0</v>
      </c>
      <c r="BA34" s="33">
        <v>19.210505940902301</v>
      </c>
      <c r="BB34" s="33">
        <v>6.6753560165693199E-2</v>
      </c>
      <c r="BC34" s="33">
        <v>0.67528171205480403</v>
      </c>
      <c r="BD34" s="33">
        <v>2.8096973851285401</v>
      </c>
    </row>
    <row r="35" spans="1:56" ht="11.25" customHeight="1" x14ac:dyDescent="0.25">
      <c r="A35" s="116"/>
      <c r="B35" s="116"/>
      <c r="C35" s="116"/>
      <c r="D35" s="116"/>
      <c r="E35" s="116"/>
      <c r="F35" s="116"/>
      <c r="G35" s="36" t="s">
        <v>119</v>
      </c>
      <c r="H35" s="36" t="s">
        <v>117</v>
      </c>
      <c r="I35" s="36">
        <f>'MERCADO TUSD'!$U$32</f>
        <v>241555.38800000004</v>
      </c>
      <c r="J35" s="16"/>
      <c r="L35" s="33">
        <f>('TUSD BE'!$L$35+'TUSD BF'!$L$35+'TUSD CVA'!$L$35)*1</f>
        <v>1.9589800647075313</v>
      </c>
      <c r="M35" s="33">
        <f>('TUSD BE'!$M$35+'TUSD BF'!$M$35+'TUSD CVA'!$M$35)*1</f>
        <v>0.77645739067888253</v>
      </c>
      <c r="N35" s="33">
        <f ca="1">('TUSD BE'!$N$35+'TUSD BF'!$N$35+'TUSD CVA'!$N$35)*1</f>
        <v>0.52230124230932318</v>
      </c>
      <c r="O35" s="33">
        <f>('TUSD BE'!$O$35+'TUSD BF'!$O$35+'TUSD CVA'!$O$35)*1</f>
        <v>-5.032809553728302E-3</v>
      </c>
      <c r="P35" s="33">
        <f>('TUSD BE'!$P$35+'TUSD BF'!$P$35+'TUSD CVA'!$P$35)*1</f>
        <v>0</v>
      </c>
      <c r="Q35" s="33">
        <f>('TUSD BE'!$Q$35+'TUSD BF'!$Q$35+'TUSD CVA'!$Q$35)*1</f>
        <v>89.831664670265667</v>
      </c>
      <c r="R35" s="33">
        <f>('TUSD BE'!$R$35+'TUSD BF'!$R$35+'TUSD CVA'!$R$35)*1</f>
        <v>18.096353551137963</v>
      </c>
      <c r="S35" s="33">
        <f>('TUSD BE'!$S$35+'TUSD BF'!$S$35+'TUSD CVA'!$S$35)*1</f>
        <v>0</v>
      </c>
      <c r="T35" s="33">
        <f>('TUSD BE'!$U$35+'TUSD BF'!$U$35+'TUSD CVA'!$U$35)*1</f>
        <v>0</v>
      </c>
      <c r="U35" s="33">
        <f>('TUSD BE'!$V$35+'TUSD BF'!$V$35+'TUSD CVA'!$V$35)*1</f>
        <v>0</v>
      </c>
      <c r="V35" s="33">
        <f>('TUSD BE'!$W$35+'TUSD BF'!$W$35+'TUSD CVA'!$W$35)*1</f>
        <v>0</v>
      </c>
      <c r="W35" s="33">
        <f>('TUSD BE'!$X$35+'TUSD BF'!$X$35+'TUSD CVA'!$X$35)*1</f>
        <v>0</v>
      </c>
      <c r="X35" s="33">
        <f>('TUSD BE'!$Y$35+'TUSD BF'!$Y$35+'TUSD CVA'!$Y$35)*1</f>
        <v>0</v>
      </c>
      <c r="Y35" s="33">
        <f>('TUSD BE'!$Z$35+'TUSD BF'!$Z$35+'TUSD CVA'!$Z$35)*1</f>
        <v>0</v>
      </c>
      <c r="Z35" s="33">
        <f>('TUSD BE'!$AA$35+'TUSD BF'!$AA$35+'TUSD CVA'!$AA$35)*1</f>
        <v>0</v>
      </c>
      <c r="AA35" s="33">
        <f>('TUSD BE'!$AC$35+'TUSD BF'!$AC$35+'TUSD CVA'!$AC$35)*1</f>
        <v>0</v>
      </c>
      <c r="AB35" s="33">
        <f ca="1">('TUSD BE'!$AE$35+'TUSD BF'!$AE$35+'TUSD CVA'!$AE$35)*1</f>
        <v>0</v>
      </c>
      <c r="AC35" s="33">
        <f ca="1">('TUSD BE'!$AF$35+'TUSD BF'!$AF$35+'TUSD CVA'!$AF$35)*1</f>
        <v>0</v>
      </c>
      <c r="AD35" s="33">
        <f>('TUSD BE'!$AH$35+'TUSD BF'!$AH$35+'TUSD CVA'!$AH$35)*1</f>
        <v>20.78603612314928</v>
      </c>
      <c r="AE35" s="33">
        <f>('TUSD BE'!$AI$35+'TUSD BF'!$AI$35+'TUSD CVA'!$AI$35)*1</f>
        <v>4.6153391642126743E-2</v>
      </c>
      <c r="AF35" s="33">
        <f ca="1">('TUSD BE'!$AJ$35+'TUSD BF'!$AJ$35+'TUSD CVA'!$AJ$35)*1</f>
        <v>0.72873354259930523</v>
      </c>
      <c r="AG35" s="33">
        <f ca="1">('TUSD BE'!$AK$35+'TUSD BF'!$AK$35+'TUSD CVA'!$AK$35)*1</f>
        <v>4.6942071457235546</v>
      </c>
      <c r="AI35" s="33">
        <v>8.8247366815853496</v>
      </c>
      <c r="AJ35" s="33">
        <v>0.58093211929962696</v>
      </c>
      <c r="AK35" s="33">
        <v>0.43304023701931199</v>
      </c>
      <c r="AL35" s="33">
        <v>-4.4728017133853397E-3</v>
      </c>
      <c r="AM35" s="33">
        <v>0</v>
      </c>
      <c r="AN35" s="33">
        <v>46.157710437512897</v>
      </c>
      <c r="AO35" s="33">
        <v>9.9180435169181695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-1.60946484802061E-2</v>
      </c>
      <c r="AZ35" s="33">
        <v>0</v>
      </c>
      <c r="BA35" s="33">
        <v>19.210505940902301</v>
      </c>
      <c r="BB35" s="33">
        <v>6.6753560165693199E-2</v>
      </c>
      <c r="BC35" s="33">
        <v>0.67528171205480403</v>
      </c>
      <c r="BD35" s="33">
        <v>2.8096973851285401</v>
      </c>
    </row>
    <row r="36" spans="1:56" ht="11.25" customHeight="1" x14ac:dyDescent="0.25">
      <c r="A36" s="116"/>
      <c r="B36" s="116"/>
      <c r="C36" s="116"/>
      <c r="D36" s="116"/>
      <c r="E36" s="116" t="s">
        <v>61</v>
      </c>
      <c r="F36" s="116" t="s">
        <v>25</v>
      </c>
      <c r="G36" s="36" t="s">
        <v>118</v>
      </c>
      <c r="H36" s="36" t="s">
        <v>117</v>
      </c>
      <c r="I36" s="36">
        <f>'MERCADO TUSD'!$U$33</f>
        <v>0</v>
      </c>
      <c r="J36" s="16"/>
      <c r="L36" s="33">
        <f>('TUSD BE'!$L$36+'TUSD BF'!$L$36+'TUSD CVA'!$L$36)*1</f>
        <v>0</v>
      </c>
      <c r="M36" s="33">
        <f>('TUSD BE'!$M$36+'TUSD BF'!$M$36+'TUSD CVA'!$M$36)*1</f>
        <v>0.77645739067888253</v>
      </c>
      <c r="N36" s="33">
        <f ca="1">('TUSD BE'!$N$36+'TUSD BF'!$N$36+'TUSD CVA'!$N$36)*1</f>
        <v>19.436622504346829</v>
      </c>
      <c r="O36" s="33">
        <f>('TUSD BE'!$O$36+'TUSD BF'!$O$36+'TUSD CVA'!$O$36)*1</f>
        <v>-5.032809553728302E-3</v>
      </c>
      <c r="P36" s="33">
        <f>('TUSD BE'!$P$36+'TUSD BF'!$P$36+'TUSD CVA'!$P$36)*1</f>
        <v>0</v>
      </c>
      <c r="Q36" s="33">
        <f>('TUSD BE'!$Q$36+'TUSD BF'!$Q$36+'TUSD CVA'!$Q$36)*1</f>
        <v>0</v>
      </c>
      <c r="R36" s="33">
        <f>('TUSD BE'!$R$36+'TUSD BF'!$R$36+'TUSD CVA'!$R$36)*1</f>
        <v>0</v>
      </c>
      <c r="S36" s="33">
        <f>('TUSD BE'!$S$36+'TUSD BF'!$S$36+'TUSD CVA'!$S$36)*1</f>
        <v>0</v>
      </c>
      <c r="T36" s="33">
        <f>('TUSD BE'!$U$36+'TUSD BF'!$U$36+'TUSD CVA'!$U$36)*1</f>
        <v>82.947765922756432</v>
      </c>
      <c r="U36" s="33">
        <f>('TUSD BE'!$V$36+'TUSD BF'!$V$36+'TUSD CVA'!$V$36)*1</f>
        <v>0.93593804876084152</v>
      </c>
      <c r="V36" s="33">
        <f>('TUSD BE'!$W$36+'TUSD BF'!$W$36+'TUSD CVA'!$W$36)*1</f>
        <v>0</v>
      </c>
      <c r="W36" s="33">
        <f>('TUSD BE'!$X$36+'TUSD BF'!$X$36+'TUSD CVA'!$X$36)*1</f>
        <v>0</v>
      </c>
      <c r="X36" s="33">
        <f>('TUSD BE'!$Y$36+'TUSD BF'!$Y$36+'TUSD CVA'!$Y$36)*1</f>
        <v>282.45752188849309</v>
      </c>
      <c r="Y36" s="33">
        <f>('TUSD BE'!$Z$36+'TUSD BF'!$Z$36+'TUSD CVA'!$Z$36)*1</f>
        <v>0</v>
      </c>
      <c r="Z36" s="33">
        <f>('TUSD BE'!$AA$36+'TUSD BF'!$AA$36+'TUSD CVA'!$AA$36)*1</f>
        <v>0</v>
      </c>
      <c r="AA36" s="33">
        <f>('TUSD BE'!$AC$36+'TUSD BF'!$AC$36+'TUSD CVA'!$AC$36)*1</f>
        <v>1447.216894793198</v>
      </c>
      <c r="AB36" s="33">
        <f ca="1">('TUSD BE'!$AE$36+'TUSD BF'!$AE$36+'TUSD CVA'!$AE$36)*1</f>
        <v>0</v>
      </c>
      <c r="AC36" s="33">
        <f ca="1">('TUSD BE'!$AF$36+'TUSD BF'!$AF$36+'TUSD CVA'!$AF$36)*1</f>
        <v>0</v>
      </c>
      <c r="AD36" s="33">
        <f>('TUSD BE'!$AH$36+'TUSD BF'!$AH$36+'TUSD CVA'!$AH$36)*1</f>
        <v>20.78603612314928</v>
      </c>
      <c r="AE36" s="33">
        <f>('TUSD BE'!$AI$36+'TUSD BF'!$AI$36+'TUSD CVA'!$AI$36)*1</f>
        <v>4.6153391642126743E-2</v>
      </c>
      <c r="AF36" s="33">
        <f ca="1">('TUSD BE'!$AJ$36+'TUSD BF'!$AJ$36+'TUSD CVA'!$AJ$36)*1</f>
        <v>0.72873354259930523</v>
      </c>
      <c r="AG36" s="33">
        <f ca="1">('TUSD BE'!$AK$36+'TUSD BF'!$AK$36+'TUSD CVA'!$AK$36)*1</f>
        <v>4.6942071457235546</v>
      </c>
      <c r="AI36" s="33">
        <v>0</v>
      </c>
      <c r="AJ36" s="33">
        <v>0.58093211929962696</v>
      </c>
      <c r="AK36" s="33">
        <v>16.1995876800367</v>
      </c>
      <c r="AL36" s="33">
        <v>-4.4728017133853397E-3</v>
      </c>
      <c r="AM36" s="33">
        <v>0</v>
      </c>
      <c r="AN36" s="33">
        <v>0</v>
      </c>
      <c r="AO36" s="33">
        <v>0</v>
      </c>
      <c r="AP36" s="33">
        <v>0</v>
      </c>
      <c r="AQ36" s="33">
        <v>63.282045778456599</v>
      </c>
      <c r="AR36" s="33">
        <v>-2.67105697222191E-2</v>
      </c>
      <c r="AS36" s="33">
        <v>0</v>
      </c>
      <c r="AT36" s="33">
        <v>0</v>
      </c>
      <c r="AU36" s="33">
        <v>226.440195664123</v>
      </c>
      <c r="AV36" s="33">
        <v>0</v>
      </c>
      <c r="AW36" s="33">
        <v>0</v>
      </c>
      <c r="AX36" s="33">
        <v>1288.2688386335701</v>
      </c>
      <c r="AY36" s="33">
        <v>-0.28112206707793502</v>
      </c>
      <c r="AZ36" s="33">
        <v>0</v>
      </c>
      <c r="BA36" s="33">
        <v>19.210505940902301</v>
      </c>
      <c r="BB36" s="33">
        <v>6.6753560165693199E-2</v>
      </c>
      <c r="BC36" s="33">
        <v>0.67528171205480403</v>
      </c>
      <c r="BD36" s="33">
        <v>2.8096973851285401</v>
      </c>
    </row>
    <row r="37" spans="1:56" ht="11.25" customHeight="1" x14ac:dyDescent="0.25">
      <c r="A37" s="116"/>
      <c r="B37" s="116"/>
      <c r="C37" s="116"/>
      <c r="D37" s="116"/>
      <c r="E37" s="116"/>
      <c r="F37" s="116"/>
      <c r="G37" s="36" t="s">
        <v>119</v>
      </c>
      <c r="H37" s="36" t="s">
        <v>117</v>
      </c>
      <c r="I37" s="36">
        <f>'MERCADO TUSD'!$U$34</f>
        <v>0</v>
      </c>
      <c r="J37" s="16"/>
      <c r="L37" s="33">
        <f>('TUSD BE'!$L$37+'TUSD BF'!$L$37+'TUSD CVA'!$L$37)*1</f>
        <v>0</v>
      </c>
      <c r="M37" s="33">
        <f>('TUSD BE'!$M$37+'TUSD BF'!$M$37+'TUSD CVA'!$M$37)*1</f>
        <v>0.77645739067888253</v>
      </c>
      <c r="N37" s="33">
        <f ca="1">('TUSD BE'!$N$37+'TUSD BF'!$N$37+'TUSD CVA'!$N$37)*1</f>
        <v>0.51064268991521689</v>
      </c>
      <c r="O37" s="33">
        <f>('TUSD BE'!$O$37+'TUSD BF'!$O$37+'TUSD CVA'!$O$37)*1</f>
        <v>-5.032809553728302E-3</v>
      </c>
      <c r="P37" s="33">
        <f>('TUSD BE'!$P$37+'TUSD BF'!$P$37+'TUSD CVA'!$P$37)*1</f>
        <v>0</v>
      </c>
      <c r="Q37" s="33">
        <f>('TUSD BE'!$Q$37+'TUSD BF'!$Q$37+'TUSD CVA'!$Q$37)*1</f>
        <v>0</v>
      </c>
      <c r="R37" s="33">
        <f>('TUSD BE'!$R$37+'TUSD BF'!$R$37+'TUSD CVA'!$R$37)*1</f>
        <v>0</v>
      </c>
      <c r="S37" s="33">
        <f>('TUSD BE'!$S$37+'TUSD BF'!$S$37+'TUSD CVA'!$S$37)*1</f>
        <v>0</v>
      </c>
      <c r="T37" s="33">
        <f>('TUSD BE'!$U$37+'TUSD BF'!$U$37+'TUSD CVA'!$U$37)*1</f>
        <v>0</v>
      </c>
      <c r="U37" s="33">
        <f>('TUSD BE'!$V$37+'TUSD BF'!$V$37+'TUSD CVA'!$V$37)*1</f>
        <v>0</v>
      </c>
      <c r="V37" s="33">
        <f>('TUSD BE'!$W$37+'TUSD BF'!$W$37+'TUSD CVA'!$W$37)*1</f>
        <v>0</v>
      </c>
      <c r="W37" s="33">
        <f>('TUSD BE'!$X$37+'TUSD BF'!$X$37+'TUSD CVA'!$X$37)*1</f>
        <v>0</v>
      </c>
      <c r="X37" s="33">
        <f>('TUSD BE'!$Y$37+'TUSD BF'!$Y$37+'TUSD CVA'!$Y$37)*1</f>
        <v>0</v>
      </c>
      <c r="Y37" s="33">
        <f>('TUSD BE'!$Z$37+'TUSD BF'!$Z$37+'TUSD CVA'!$Z$37)*1</f>
        <v>0</v>
      </c>
      <c r="Z37" s="33">
        <f>('TUSD BE'!$AA$37+'TUSD BF'!$AA$37+'TUSD CVA'!$AA$37)*1</f>
        <v>0</v>
      </c>
      <c r="AA37" s="33">
        <f>('TUSD BE'!$AC$37+'TUSD BF'!$AC$37+'TUSD CVA'!$AC$37)*1</f>
        <v>0</v>
      </c>
      <c r="AB37" s="33">
        <f ca="1">('TUSD BE'!$AE$37+'TUSD BF'!$AE$37+'TUSD CVA'!$AE$37)*1</f>
        <v>0</v>
      </c>
      <c r="AC37" s="33">
        <f ca="1">('TUSD BE'!$AF$37+'TUSD BF'!$AF$37+'TUSD CVA'!$AF$37)*1</f>
        <v>0</v>
      </c>
      <c r="AD37" s="33">
        <f>('TUSD BE'!$AH$37+'TUSD BF'!$AH$37+'TUSD CVA'!$AH$37)*1</f>
        <v>20.78603612314928</v>
      </c>
      <c r="AE37" s="33">
        <f>('TUSD BE'!$AI$37+'TUSD BF'!$AI$37+'TUSD CVA'!$AI$37)*1</f>
        <v>4.6153391642126743E-2</v>
      </c>
      <c r="AF37" s="33">
        <f ca="1">('TUSD BE'!$AJ$37+'TUSD BF'!$AJ$37+'TUSD CVA'!$AJ$37)*1</f>
        <v>0.72873354259930523</v>
      </c>
      <c r="AG37" s="33">
        <f ca="1">('TUSD BE'!$AK$37+'TUSD BF'!$AK$37+'TUSD CVA'!$AK$37)*1</f>
        <v>4.6942071457235546</v>
      </c>
      <c r="AI37" s="33">
        <v>0</v>
      </c>
      <c r="AJ37" s="33">
        <v>0.58093211929962696</v>
      </c>
      <c r="AK37" s="33">
        <v>0.423321933259318</v>
      </c>
      <c r="AL37" s="33">
        <v>-4.4728017133853397E-3</v>
      </c>
      <c r="AM37" s="33">
        <v>0</v>
      </c>
      <c r="AN37" s="33">
        <v>0</v>
      </c>
      <c r="AO37" s="33">
        <v>0</v>
      </c>
      <c r="AP37" s="33">
        <v>0</v>
      </c>
      <c r="AQ37" s="33">
        <v>0</v>
      </c>
      <c r="AR37" s="33">
        <v>0</v>
      </c>
      <c r="AS37" s="33">
        <v>0</v>
      </c>
      <c r="AT37" s="33">
        <v>0</v>
      </c>
      <c r="AU37" s="33">
        <v>0</v>
      </c>
      <c r="AV37" s="33">
        <v>0</v>
      </c>
      <c r="AW37" s="33">
        <v>0</v>
      </c>
      <c r="AX37" s="33">
        <v>0</v>
      </c>
      <c r="AY37" s="33">
        <v>-4.19588524083495E-3</v>
      </c>
      <c r="AZ37" s="33">
        <v>0</v>
      </c>
      <c r="BA37" s="33">
        <v>19.210505940902301</v>
      </c>
      <c r="BB37" s="33">
        <v>6.6753560165693199E-2</v>
      </c>
      <c r="BC37" s="33">
        <v>0.67528171205480403</v>
      </c>
      <c r="BD37" s="33">
        <v>2.8096973851285401</v>
      </c>
    </row>
    <row r="38" spans="1:56" ht="11.25" customHeight="1" x14ac:dyDescent="0.25">
      <c r="A38" s="116" t="s">
        <v>125</v>
      </c>
      <c r="B38" s="116" t="s">
        <v>64</v>
      </c>
      <c r="C38" s="116" t="s">
        <v>25</v>
      </c>
      <c r="D38" s="116" t="s">
        <v>25</v>
      </c>
      <c r="E38" s="80" t="s">
        <v>126</v>
      </c>
      <c r="F38" s="80" t="s">
        <v>25</v>
      </c>
      <c r="G38" s="36" t="s">
        <v>9</v>
      </c>
      <c r="H38" s="36" t="s">
        <v>120</v>
      </c>
      <c r="I38" s="36">
        <f>'MERCADO TUSD'!$U$35+0.00000001</f>
        <v>1E-8</v>
      </c>
      <c r="J38" s="16"/>
      <c r="L38" s="33">
        <f>('TUSD BE'!$L$38+'TUSD BF'!$L$38+'TUSD CVA'!$L$38)*1</f>
        <v>0</v>
      </c>
      <c r="M38" s="33">
        <f>('TUSD BE'!$M$38+'TUSD BF'!$M$38+'TUSD CVA'!$M$38)*1</f>
        <v>3.5350968965106614E-3</v>
      </c>
      <c r="N38" s="33">
        <f ca="1">('TUSD BE'!$N$38+'TUSD BF'!$N$38+'TUSD CVA'!$N$38)*1</f>
        <v>1.2241480013811633E-2</v>
      </c>
      <c r="O38" s="33">
        <f>('TUSD BE'!$O$38+'TUSD BF'!$O$38+'TUSD CVA'!$O$38)*1</f>
        <v>0</v>
      </c>
      <c r="P38" s="33">
        <f>('TUSD BE'!$P$38+'TUSD BF'!$P$38+'TUSD CVA'!$P$38)*1</f>
        <v>0</v>
      </c>
      <c r="Q38" s="33">
        <f>('TUSD BE'!$Q$38+'TUSD BF'!$Q$38+'TUSD CVA'!$Q$38)*1</f>
        <v>0</v>
      </c>
      <c r="R38" s="33">
        <f>('TUSD BE'!$R$38+'TUSD BF'!$R$38+'TUSD CVA'!$R$38)*1</f>
        <v>0</v>
      </c>
      <c r="S38" s="33">
        <f>('TUSD BE'!$S$38+'TUSD BF'!$S$38+'TUSD CVA'!$S$38)*1</f>
        <v>0</v>
      </c>
      <c r="T38" s="33">
        <f>('TUSD BE'!$U$38+'TUSD BF'!$U$38+'TUSD CVA'!$U$38)*1</f>
        <v>0</v>
      </c>
      <c r="U38" s="33">
        <f>('TUSD BE'!$V$38+'TUSD BF'!$V$38+'TUSD CVA'!$V$38)*1</f>
        <v>0</v>
      </c>
      <c r="V38" s="33">
        <f>('TUSD BE'!$W$38+'TUSD BF'!$W$38+'TUSD CVA'!$W$38)*1</f>
        <v>0</v>
      </c>
      <c r="W38" s="33">
        <f>('TUSD BE'!$X$38+'TUSD BF'!$X$38+'TUSD CVA'!$X$38)*1</f>
        <v>0</v>
      </c>
      <c r="X38" s="33">
        <f>('TUSD BE'!$Y$38+'TUSD BF'!$Y$38+'TUSD CVA'!$Y$38)*1</f>
        <v>0</v>
      </c>
      <c r="Y38" s="33">
        <f>('TUSD BE'!$Z$38+'TUSD BF'!$Z$38+'TUSD CVA'!$Z$38)*1</f>
        <v>0</v>
      </c>
      <c r="Z38" s="33">
        <f>('TUSD BE'!$AA$38+'TUSD BF'!$AA$38+'TUSD CVA'!$AA$38)*1</f>
        <v>0</v>
      </c>
      <c r="AA38" s="33">
        <f>('TUSD BE'!$AC$38+'TUSD BF'!$AC$38+'TUSD CVA'!$AC$38)*1</f>
        <v>1.1580239114033035</v>
      </c>
      <c r="AB38" s="33">
        <f ca="1">('TUSD BE'!$AE$38+'TUSD BF'!$AE$38+'TUSD CVA'!$AE$38)*1</f>
        <v>0</v>
      </c>
      <c r="AC38" s="33">
        <f ca="1">('TUSD BE'!$AF$38+'TUSD BF'!$AF$38+'TUSD CVA'!$AF$38)*1</f>
        <v>0</v>
      </c>
      <c r="AD38" s="33">
        <f>('TUSD BE'!$AH$38+'TUSD BF'!$AH$38+'TUSD CVA'!$AH$38)*1</f>
        <v>0</v>
      </c>
      <c r="AE38" s="33">
        <f>('TUSD BE'!$AI$38+'TUSD BF'!$AI$38+'TUSD CVA'!$AI$38)*1</f>
        <v>0</v>
      </c>
      <c r="AF38" s="33">
        <f ca="1">('TUSD BE'!$AJ$38+'TUSD BF'!$AJ$38+'TUSD CVA'!$AJ$38)*1</f>
        <v>0</v>
      </c>
      <c r="AG38" s="33">
        <f ca="1">('TUSD BE'!$AK$38+'TUSD BF'!$AK$38+'TUSD CVA'!$AK$38)*1</f>
        <v>0</v>
      </c>
      <c r="AI38" s="33">
        <v>0</v>
      </c>
      <c r="AJ38" s="33">
        <v>3.1328831388528801E-3</v>
      </c>
      <c r="AK38" s="33">
        <v>1.0204218947992999E-2</v>
      </c>
      <c r="AL38" s="33">
        <v>0</v>
      </c>
      <c r="AM38" s="33">
        <v>0</v>
      </c>
      <c r="AN38" s="33">
        <v>0</v>
      </c>
      <c r="AO38" s="33">
        <v>0</v>
      </c>
      <c r="AP38" s="33">
        <v>0</v>
      </c>
      <c r="AQ38" s="33">
        <v>0</v>
      </c>
      <c r="AR38" s="33">
        <v>0</v>
      </c>
      <c r="AS38" s="33">
        <v>0</v>
      </c>
      <c r="AT38" s="33">
        <v>0</v>
      </c>
      <c r="AU38" s="33">
        <v>0</v>
      </c>
      <c r="AV38" s="33">
        <v>0</v>
      </c>
      <c r="AW38" s="33">
        <v>0</v>
      </c>
      <c r="AX38" s="33">
        <v>1.0308379654914199</v>
      </c>
      <c r="AY38" s="33">
        <v>-1.78731524146342E-4</v>
      </c>
      <c r="AZ38" s="33">
        <v>0</v>
      </c>
      <c r="BA38" s="33">
        <v>0</v>
      </c>
      <c r="BB38" s="33">
        <v>0</v>
      </c>
      <c r="BC38" s="33">
        <v>0</v>
      </c>
      <c r="BD38" s="33">
        <v>0</v>
      </c>
    </row>
    <row r="39" spans="1:56" ht="11.25" customHeight="1" x14ac:dyDescent="0.25">
      <c r="A39" s="116"/>
      <c r="B39" s="116"/>
      <c r="C39" s="116"/>
      <c r="D39" s="116"/>
      <c r="E39" s="80" t="s">
        <v>127</v>
      </c>
      <c r="F39" s="80" t="s">
        <v>25</v>
      </c>
      <c r="G39" s="36" t="s">
        <v>9</v>
      </c>
      <c r="H39" s="36" t="s">
        <v>120</v>
      </c>
      <c r="I39" s="36">
        <f>'MERCADO TUSD'!$U$36+0.00000001</f>
        <v>1E-8</v>
      </c>
      <c r="J39" s="16"/>
      <c r="L39" s="33">
        <f>('TUSD BE'!$L$39+'TUSD BF'!$L$39+'TUSD CVA'!$L$39)*1</f>
        <v>0</v>
      </c>
      <c r="M39" s="33">
        <f>('TUSD BE'!$M$39+'TUSD BF'!$M$39+'TUSD CVA'!$M$39)*1</f>
        <v>3.5350968965106614E-3</v>
      </c>
      <c r="N39" s="33">
        <f ca="1">('TUSD BE'!$N$39+'TUSD BF'!$N$39+'TUSD CVA'!$N$39)*1</f>
        <v>1.2241480013811633E-2</v>
      </c>
      <c r="O39" s="33">
        <f>('TUSD BE'!$O$39+'TUSD BF'!$O$39+'TUSD CVA'!$O$39)*1</f>
        <v>0</v>
      </c>
      <c r="P39" s="33">
        <f>('TUSD BE'!$P$39+'TUSD BF'!$P$39+'TUSD CVA'!$P$39)*1</f>
        <v>0</v>
      </c>
      <c r="Q39" s="33">
        <f>('TUSD BE'!$Q$39+'TUSD BF'!$Q$39+'TUSD CVA'!$Q$39)*1</f>
        <v>0</v>
      </c>
      <c r="R39" s="33">
        <f>('TUSD BE'!$R$39+'TUSD BF'!$R$39+'TUSD CVA'!$R$39)*1</f>
        <v>0</v>
      </c>
      <c r="S39" s="33">
        <f>('TUSD BE'!$S$39+'TUSD BF'!$S$39+'TUSD CVA'!$S$39)*1</f>
        <v>0</v>
      </c>
      <c r="T39" s="33">
        <f>('TUSD BE'!$U$39+'TUSD BF'!$U$39+'TUSD CVA'!$U$39)*1</f>
        <v>0</v>
      </c>
      <c r="U39" s="33">
        <f>('TUSD BE'!$V$39+'TUSD BF'!$V$39+'TUSD CVA'!$V$39)*1</f>
        <v>0</v>
      </c>
      <c r="V39" s="33">
        <f>('TUSD BE'!$W$39+'TUSD BF'!$W$39+'TUSD CVA'!$W$39)*1</f>
        <v>0</v>
      </c>
      <c r="W39" s="33">
        <f>('TUSD BE'!$X$39+'TUSD BF'!$X$39+'TUSD CVA'!$X$39)*1</f>
        <v>0</v>
      </c>
      <c r="X39" s="33">
        <f>('TUSD BE'!$Y$39+'TUSD BF'!$Y$39+'TUSD CVA'!$Y$39)*1</f>
        <v>0</v>
      </c>
      <c r="Y39" s="33">
        <f>('TUSD BE'!$Z$39+'TUSD BF'!$Z$39+'TUSD CVA'!$Z$39)*1</f>
        <v>0</v>
      </c>
      <c r="Z39" s="33">
        <f>('TUSD BE'!$AA$39+'TUSD BF'!$AA$39+'TUSD CVA'!$AA$39)*1</f>
        <v>0</v>
      </c>
      <c r="AA39" s="33">
        <f>('TUSD BE'!$AC$39+'TUSD BF'!$AC$39+'TUSD CVA'!$AC$39)*1</f>
        <v>11.055764914312498</v>
      </c>
      <c r="AB39" s="33">
        <f ca="1">('TUSD BE'!$AE$39+'TUSD BF'!$AE$39+'TUSD CVA'!$AE$39)*1</f>
        <v>0</v>
      </c>
      <c r="AC39" s="33">
        <f ca="1">('TUSD BE'!$AF$39+'TUSD BF'!$AF$39+'TUSD CVA'!$AF$39)*1</f>
        <v>0</v>
      </c>
      <c r="AD39" s="33">
        <f>('TUSD BE'!$AH$39+'TUSD BF'!$AH$39+'TUSD CVA'!$AH$39)*1</f>
        <v>0</v>
      </c>
      <c r="AE39" s="33">
        <f>('TUSD BE'!$AI$39+'TUSD BF'!$AI$39+'TUSD CVA'!$AI$39)*1</f>
        <v>0</v>
      </c>
      <c r="AF39" s="33">
        <f ca="1">('TUSD BE'!$AJ$39+'TUSD BF'!$AJ$39+'TUSD CVA'!$AJ$39)*1</f>
        <v>0</v>
      </c>
      <c r="AG39" s="33">
        <f ca="1">('TUSD BE'!$AK$39+'TUSD BF'!$AK$39+'TUSD CVA'!$AK$39)*1</f>
        <v>0</v>
      </c>
      <c r="AI39" s="33">
        <v>0</v>
      </c>
      <c r="AJ39" s="33">
        <v>3.1328831388528801E-3</v>
      </c>
      <c r="AK39" s="33">
        <v>1.0204218947992999E-2</v>
      </c>
      <c r="AL39" s="33">
        <v>0</v>
      </c>
      <c r="AM39" s="33">
        <v>0</v>
      </c>
      <c r="AN39" s="33">
        <v>0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9.8415085379460905</v>
      </c>
      <c r="AY39" s="33">
        <v>-1.6864307449242801E-3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</row>
    <row r="40" spans="1:56" ht="11.25" customHeight="1" x14ac:dyDescent="0.25">
      <c r="A40" s="116" t="s">
        <v>22</v>
      </c>
      <c r="B40" s="116" t="s">
        <v>33</v>
      </c>
      <c r="C40" s="116" t="s">
        <v>24</v>
      </c>
      <c r="D40" s="116" t="s">
        <v>24</v>
      </c>
      <c r="E40" s="116" t="s">
        <v>25</v>
      </c>
      <c r="F40" s="116" t="s">
        <v>25</v>
      </c>
      <c r="G40" s="36" t="s">
        <v>118</v>
      </c>
      <c r="H40" s="36" t="s">
        <v>117</v>
      </c>
      <c r="I40" s="36">
        <f>'MERCADO TUSD'!$U$37</f>
        <v>17.429000000000002</v>
      </c>
      <c r="J40" s="16"/>
      <c r="L40" s="33">
        <f>('TUSD BE'!$L$40+'TUSD BF'!$L$40+'TUSD CVA'!$L$40)*1</f>
        <v>2.3321191246518227</v>
      </c>
      <c r="M40" s="33">
        <f>('TUSD BE'!$M$40+'TUSD BF'!$M$40+'TUSD CVA'!$M$40)*1</f>
        <v>0.82974117203281739</v>
      </c>
      <c r="N40" s="33">
        <f ca="1">('TUSD BE'!$N$40+'TUSD BF'!$N$40+'TUSD CVA'!$N$40)*1</f>
        <v>8.111542148968315</v>
      </c>
      <c r="O40" s="33">
        <f>('TUSD BE'!$O$40+'TUSD BF'!$O$40+'TUSD CVA'!$O$40)*1</f>
        <v>-5.032809553728302E-3</v>
      </c>
      <c r="P40" s="33">
        <f>('TUSD BE'!$P$40+'TUSD BF'!$P$40+'TUSD CVA'!$P$40)*1</f>
        <v>0</v>
      </c>
      <c r="Q40" s="33">
        <f>('TUSD BE'!$Q$40+'TUSD BF'!$Q$40+'TUSD CVA'!$Q$40)*1</f>
        <v>106.94245794079245</v>
      </c>
      <c r="R40" s="33">
        <f>('TUSD BE'!$R$40+'TUSD BF'!$R$40+'TUSD CVA'!$R$40)*1</f>
        <v>18.096353551137963</v>
      </c>
      <c r="S40" s="33">
        <f>('TUSD BE'!$S$40+'TUSD BF'!$S$40+'TUSD CVA'!$S$40)*1</f>
        <v>0</v>
      </c>
      <c r="T40" s="33">
        <f>('TUSD BE'!$U$40+'TUSD BF'!$U$40+'TUSD CVA'!$U$40)*1</f>
        <v>39.682565188957021</v>
      </c>
      <c r="U40" s="33">
        <f>('TUSD BE'!$V$40+'TUSD BF'!$V$40+'TUSD CVA'!$V$40)*1</f>
        <v>0.45092562961859428</v>
      </c>
      <c r="V40" s="33">
        <f>('TUSD BE'!$W$40+'TUSD BF'!$W$40+'TUSD CVA'!$W$40)*1</f>
        <v>0</v>
      </c>
      <c r="W40" s="33">
        <f>('TUSD BE'!$X$40+'TUSD BF'!$X$40+'TUSD CVA'!$X$40)*1</f>
        <v>0</v>
      </c>
      <c r="X40" s="33">
        <f>('TUSD BE'!$Y$40+'TUSD BF'!$Y$40+'TUSD CVA'!$Y$40)*1</f>
        <v>117.20379827322101</v>
      </c>
      <c r="Y40" s="33">
        <f>('TUSD BE'!$Z$40+'TUSD BF'!$Z$40+'TUSD CVA'!$Z$40)*1</f>
        <v>0</v>
      </c>
      <c r="Z40" s="33">
        <f>('TUSD BE'!$AA$40+'TUSD BF'!$AA$40+'TUSD CVA'!$AA$40)*1</f>
        <v>0</v>
      </c>
      <c r="AA40" s="33">
        <f>('TUSD BE'!$AC$40+'TUSD BF'!$AC$40+'TUSD CVA'!$AC$40)*1</f>
        <v>522.13324576655759</v>
      </c>
      <c r="AB40" s="33">
        <f ca="1">('TUSD BE'!$AE$40+'TUSD BF'!$AE$40+'TUSD CVA'!$AE$40)*1</f>
        <v>0</v>
      </c>
      <c r="AC40" s="33">
        <f ca="1">('TUSD BE'!$AF$40+'TUSD BF'!$AF$40+'TUSD CVA'!$AF$40)*1</f>
        <v>0</v>
      </c>
      <c r="AD40" s="33">
        <f>('TUSD BE'!$AH$40+'TUSD BF'!$AH$40+'TUSD CVA'!$AH$40)*1</f>
        <v>42.677225556094648</v>
      </c>
      <c r="AE40" s="33">
        <f>('TUSD BE'!$AI$40+'TUSD BF'!$AI$40+'TUSD CVA'!$AI$40)*1</f>
        <v>9.4760669789088606E-2</v>
      </c>
      <c r="AF40" s="33">
        <f ca="1">('TUSD BE'!$AJ$40+'TUSD BF'!$AJ$40+'TUSD CVA'!$AJ$40)*1</f>
        <v>0.76826275007336631</v>
      </c>
      <c r="AG40" s="33">
        <f ca="1">('TUSD BE'!$AK$40+'TUSD BF'!$AK$40+'TUSD CVA'!$AK$40)*1</f>
        <v>4.9488383344124429</v>
      </c>
      <c r="AI40" s="33">
        <v>10.1433754960751</v>
      </c>
      <c r="AJ40" s="33">
        <v>0.65504092213433596</v>
      </c>
      <c r="AK40" s="33">
        <v>6.7602259657230404</v>
      </c>
      <c r="AL40" s="33">
        <v>-4.4728017133853397E-3</v>
      </c>
      <c r="AM40" s="33">
        <v>0</v>
      </c>
      <c r="AN40" s="33">
        <v>53.054839583348198</v>
      </c>
      <c r="AO40" s="33">
        <v>9.9180435169181695</v>
      </c>
      <c r="AP40" s="33">
        <v>0</v>
      </c>
      <c r="AQ40" s="33">
        <v>30.274400750379101</v>
      </c>
      <c r="AR40" s="33">
        <v>-1.28688864454326E-2</v>
      </c>
      <c r="AS40" s="33">
        <v>0</v>
      </c>
      <c r="AT40" s="33">
        <v>0</v>
      </c>
      <c r="AU40" s="33">
        <v>93.959795568990799</v>
      </c>
      <c r="AV40" s="33">
        <v>0</v>
      </c>
      <c r="AW40" s="33">
        <v>0</v>
      </c>
      <c r="AX40" s="33">
        <v>464.78727035022399</v>
      </c>
      <c r="AY40" s="33">
        <v>-0.12502146586819199</v>
      </c>
      <c r="AZ40" s="33">
        <v>0</v>
      </c>
      <c r="BA40" s="33">
        <v>39.442397301211201</v>
      </c>
      <c r="BB40" s="33">
        <v>0.13705627792548999</v>
      </c>
      <c r="BC40" s="33">
        <v>0.74601180575154902</v>
      </c>
      <c r="BD40" s="33">
        <v>3.10398961274556</v>
      </c>
    </row>
    <row r="41" spans="1:56" ht="11.25" customHeight="1" x14ac:dyDescent="0.25">
      <c r="A41" s="116"/>
      <c r="B41" s="116"/>
      <c r="C41" s="116"/>
      <c r="D41" s="116"/>
      <c r="E41" s="116"/>
      <c r="F41" s="116"/>
      <c r="G41" s="36" t="s">
        <v>128</v>
      </c>
      <c r="H41" s="36" t="s">
        <v>117</v>
      </c>
      <c r="I41" s="36">
        <f>'MERCADO TUSD'!$U$38</f>
        <v>10.807000000000002</v>
      </c>
      <c r="J41" s="16"/>
      <c r="L41" s="33">
        <f>('TUSD BE'!$L$41+'TUSD BF'!$L$41+'TUSD CVA'!$L$41)*1</f>
        <v>2.3321191246518227</v>
      </c>
      <c r="M41" s="33">
        <f>('TUSD BE'!$M$41+'TUSD BF'!$M$41+'TUSD CVA'!$M$41)*1</f>
        <v>0.82974117203281739</v>
      </c>
      <c r="N41" s="33">
        <f ca="1">('TUSD BE'!$N$41+'TUSD BF'!$N$41+'TUSD CVA'!$N$41)*1</f>
        <v>5.2750221807584445</v>
      </c>
      <c r="O41" s="33">
        <f>('TUSD BE'!$O$41+'TUSD BF'!$O$41+'TUSD CVA'!$O$41)*1</f>
        <v>-5.032809553728302E-3</v>
      </c>
      <c r="P41" s="33">
        <f>('TUSD BE'!$P$41+'TUSD BF'!$P$41+'TUSD CVA'!$P$41)*1</f>
        <v>0</v>
      </c>
      <c r="Q41" s="33">
        <f>('TUSD BE'!$Q$41+'TUSD BF'!$Q$41+'TUSD CVA'!$Q$41)*1</f>
        <v>106.94245794079245</v>
      </c>
      <c r="R41" s="33">
        <f>('TUSD BE'!$R$41+'TUSD BF'!$R$41+'TUSD CVA'!$R$41)*1</f>
        <v>18.096353551137963</v>
      </c>
      <c r="S41" s="33">
        <f>('TUSD BE'!$S$41+'TUSD BF'!$S$41+'TUSD CVA'!$S$41)*1</f>
        <v>0</v>
      </c>
      <c r="T41" s="33">
        <f>('TUSD BE'!$U$41+'TUSD BF'!$U$41+'TUSD CVA'!$U$41)*1</f>
        <v>23.809562376486088</v>
      </c>
      <c r="U41" s="33">
        <f>('TUSD BE'!$V$41+'TUSD BF'!$V$41+'TUSD CVA'!$V$41)*1</f>
        <v>0.27055944419400463</v>
      </c>
      <c r="V41" s="33">
        <f>('TUSD BE'!$W$41+'TUSD BF'!$W$41+'TUSD CVA'!$W$41)*1</f>
        <v>0</v>
      </c>
      <c r="W41" s="33">
        <f>('TUSD BE'!$X$41+'TUSD BF'!$X$41+'TUSD CVA'!$X$41)*1</f>
        <v>0</v>
      </c>
      <c r="X41" s="33">
        <f>('TUSD BE'!$Y$41+'TUSD BF'!$Y$41+'TUSD CVA'!$Y$41)*1</f>
        <v>70.322255547104959</v>
      </c>
      <c r="Y41" s="33">
        <f>('TUSD BE'!$Z$41+'TUSD BF'!$Z$41+'TUSD CVA'!$Z$41)*1</f>
        <v>0</v>
      </c>
      <c r="Z41" s="33">
        <f>('TUSD BE'!$AA$41+'TUSD BF'!$AA$41+'TUSD CVA'!$AA$41)*1</f>
        <v>0</v>
      </c>
      <c r="AA41" s="33">
        <f>('TUSD BE'!$AC$41+'TUSD BF'!$AC$41+'TUSD CVA'!$AC$41)*1</f>
        <v>313.27988074708327</v>
      </c>
      <c r="AB41" s="33">
        <f ca="1">('TUSD BE'!$AE$41+'TUSD BF'!$AE$41+'TUSD CVA'!$AE$41)*1</f>
        <v>0</v>
      </c>
      <c r="AC41" s="33">
        <f ca="1">('TUSD BE'!$AF$41+'TUSD BF'!$AF$41+'TUSD CVA'!$AF$41)*1</f>
        <v>0</v>
      </c>
      <c r="AD41" s="33">
        <f>('TUSD BE'!$AH$41+'TUSD BF'!$AH$41+'TUSD CVA'!$AH$41)*1</f>
        <v>42.677225556094648</v>
      </c>
      <c r="AE41" s="33">
        <f>('TUSD BE'!$AI$41+'TUSD BF'!$AI$41+'TUSD CVA'!$AI$41)*1</f>
        <v>9.4760669789088606E-2</v>
      </c>
      <c r="AF41" s="33">
        <f ca="1">('TUSD BE'!$AJ$41+'TUSD BF'!$AJ$41+'TUSD CVA'!$AJ$41)*1</f>
        <v>0.76826275007336631</v>
      </c>
      <c r="AG41" s="33">
        <f ca="1">('TUSD BE'!$AK$41+'TUSD BF'!$AK$41+'TUSD CVA'!$AK$41)*1</f>
        <v>4.9488383344124429</v>
      </c>
      <c r="AI41" s="33">
        <v>10.1433754960751</v>
      </c>
      <c r="AJ41" s="33">
        <v>0.65504092213433596</v>
      </c>
      <c r="AK41" s="33">
        <v>4.3957675200685404</v>
      </c>
      <c r="AL41" s="33">
        <v>-4.4728017133853397E-3</v>
      </c>
      <c r="AM41" s="33">
        <v>0</v>
      </c>
      <c r="AN41" s="33">
        <v>53.054839583348198</v>
      </c>
      <c r="AO41" s="33">
        <v>9.9180435169181695</v>
      </c>
      <c r="AP41" s="33">
        <v>0</v>
      </c>
      <c r="AQ41" s="33">
        <v>18.1646581979907</v>
      </c>
      <c r="AR41" s="33">
        <v>-7.7214479181789003E-3</v>
      </c>
      <c r="AS41" s="33">
        <v>0</v>
      </c>
      <c r="AT41" s="33">
        <v>0</v>
      </c>
      <c r="AU41" s="33">
        <v>56.375858568621197</v>
      </c>
      <c r="AV41" s="33">
        <v>0</v>
      </c>
      <c r="AW41" s="33">
        <v>0</v>
      </c>
      <c r="AX41" s="33">
        <v>278.87230282436599</v>
      </c>
      <c r="AY41" s="33">
        <v>-8.3561236079039605E-2</v>
      </c>
      <c r="AZ41" s="33">
        <v>0</v>
      </c>
      <c r="BA41" s="33">
        <v>39.442397301211201</v>
      </c>
      <c r="BB41" s="33">
        <v>0.13705627792548999</v>
      </c>
      <c r="BC41" s="33">
        <v>0.74601180575154902</v>
      </c>
      <c r="BD41" s="33">
        <v>3.10398961274556</v>
      </c>
    </row>
    <row r="42" spans="1:56" ht="11.25" customHeight="1" x14ac:dyDescent="0.25">
      <c r="A42" s="116"/>
      <c r="B42" s="116"/>
      <c r="C42" s="116"/>
      <c r="D42" s="116"/>
      <c r="E42" s="116"/>
      <c r="F42" s="116"/>
      <c r="G42" s="36" t="s">
        <v>119</v>
      </c>
      <c r="H42" s="36" t="s">
        <v>117</v>
      </c>
      <c r="I42" s="36">
        <f>'MERCADO TUSD'!$U$39</f>
        <v>120.55500000000001</v>
      </c>
      <c r="J42" s="16"/>
      <c r="L42" s="33">
        <f>('TUSD BE'!$L$42+'TUSD BF'!$L$42+'TUSD CVA'!$L$42)*1</f>
        <v>2.3321191246518227</v>
      </c>
      <c r="M42" s="33">
        <f>('TUSD BE'!$M$42+'TUSD BF'!$M$42+'TUSD CVA'!$M$42)*1</f>
        <v>0.82974117203281739</v>
      </c>
      <c r="N42" s="33">
        <f ca="1">('TUSD BE'!$N$42+'TUSD BF'!$N$42+'TUSD CVA'!$N$42)*1</f>
        <v>2.4385022125485745</v>
      </c>
      <c r="O42" s="33">
        <f>('TUSD BE'!$O$42+'TUSD BF'!$O$42+'TUSD CVA'!$O$42)*1</f>
        <v>-5.032809553728302E-3</v>
      </c>
      <c r="P42" s="33">
        <f>('TUSD BE'!$P$42+'TUSD BF'!$P$42+'TUSD CVA'!$P$42)*1</f>
        <v>0</v>
      </c>
      <c r="Q42" s="33">
        <f>('TUSD BE'!$Q$42+'TUSD BF'!$Q$42+'TUSD CVA'!$Q$42)*1</f>
        <v>106.94245794079245</v>
      </c>
      <c r="R42" s="33">
        <f>('TUSD BE'!$R$42+'TUSD BF'!$R$42+'TUSD CVA'!$R$42)*1</f>
        <v>18.096353551137963</v>
      </c>
      <c r="S42" s="33">
        <f>('TUSD BE'!$S$42+'TUSD BF'!$S$42+'TUSD CVA'!$S$42)*1</f>
        <v>0</v>
      </c>
      <c r="T42" s="33">
        <f>('TUSD BE'!$U$42+'TUSD BF'!$U$42+'TUSD CVA'!$U$42)*1</f>
        <v>7.9365595640151589</v>
      </c>
      <c r="U42" s="33">
        <f>('TUSD BE'!$V$42+'TUSD BF'!$V$42+'TUSD CVA'!$V$42)*1</f>
        <v>9.0183092712294827E-2</v>
      </c>
      <c r="V42" s="33">
        <f>('TUSD BE'!$W$42+'TUSD BF'!$W$42+'TUSD CVA'!$W$42)*1</f>
        <v>0</v>
      </c>
      <c r="W42" s="33">
        <f>('TUSD BE'!$X$42+'TUSD BF'!$X$42+'TUSD CVA'!$X$42)*1</f>
        <v>0</v>
      </c>
      <c r="X42" s="33">
        <f>('TUSD BE'!$Y$42+'TUSD BF'!$Y$42+'TUSD CVA'!$Y$42)*1</f>
        <v>23.440712820988892</v>
      </c>
      <c r="Y42" s="33">
        <f>('TUSD BE'!$Z$42+'TUSD BF'!$Z$42+'TUSD CVA'!$Z$42)*1</f>
        <v>0</v>
      </c>
      <c r="Z42" s="33">
        <f>('TUSD BE'!$AA$42+'TUSD BF'!$AA$42+'TUSD CVA'!$AA$42)*1</f>
        <v>0</v>
      </c>
      <c r="AA42" s="33">
        <f>('TUSD BE'!$AC$42+'TUSD BF'!$AC$42+'TUSD CVA'!$AC$42)*1</f>
        <v>104.42662691569438</v>
      </c>
      <c r="AB42" s="33">
        <f ca="1">('TUSD BE'!$AE$42+'TUSD BF'!$AE$42+'TUSD CVA'!$AE$42)*1</f>
        <v>0</v>
      </c>
      <c r="AC42" s="33">
        <f ca="1">('TUSD BE'!$AF$42+'TUSD BF'!$AF$42+'TUSD CVA'!$AF$42)*1</f>
        <v>0</v>
      </c>
      <c r="AD42" s="33">
        <f>('TUSD BE'!$AH$42+'TUSD BF'!$AH$42+'TUSD CVA'!$AH$42)*1</f>
        <v>42.677225556094648</v>
      </c>
      <c r="AE42" s="33">
        <f>('TUSD BE'!$AI$42+'TUSD BF'!$AI$42+'TUSD CVA'!$AI$42)*1</f>
        <v>9.4760669789088606E-2</v>
      </c>
      <c r="AF42" s="33">
        <f ca="1">('TUSD BE'!$AJ$42+'TUSD BF'!$AJ$42+'TUSD CVA'!$AJ$42)*1</f>
        <v>0.76826275007336631</v>
      </c>
      <c r="AG42" s="33">
        <f ca="1">('TUSD BE'!$AK$42+'TUSD BF'!$AK$42+'TUSD CVA'!$AK$42)*1</f>
        <v>4.9488383344124429</v>
      </c>
      <c r="AI42" s="33">
        <v>10.1433754960751</v>
      </c>
      <c r="AJ42" s="33">
        <v>0.65504092213433596</v>
      </c>
      <c r="AK42" s="33">
        <v>2.0313090744140299</v>
      </c>
      <c r="AL42" s="33">
        <v>-4.4728017133853397E-3</v>
      </c>
      <c r="AM42" s="33">
        <v>0</v>
      </c>
      <c r="AN42" s="33">
        <v>53.054839583348198</v>
      </c>
      <c r="AO42" s="33">
        <v>9.9180435169181695</v>
      </c>
      <c r="AP42" s="33">
        <v>0</v>
      </c>
      <c r="AQ42" s="33">
        <v>6.0549156456022999</v>
      </c>
      <c r="AR42" s="33">
        <v>-2.5737192636268499E-3</v>
      </c>
      <c r="AS42" s="33">
        <v>0</v>
      </c>
      <c r="AT42" s="33">
        <v>0</v>
      </c>
      <c r="AU42" s="33">
        <v>18.7919215682515</v>
      </c>
      <c r="AV42" s="33">
        <v>0</v>
      </c>
      <c r="AW42" s="33">
        <v>0</v>
      </c>
      <c r="AX42" s="33">
        <v>92.957434274788596</v>
      </c>
      <c r="AY42" s="33">
        <v>-4.2101023266854401E-2</v>
      </c>
      <c r="AZ42" s="33">
        <v>0</v>
      </c>
      <c r="BA42" s="33">
        <v>39.442397301211201</v>
      </c>
      <c r="BB42" s="33">
        <v>0.13705627792548999</v>
      </c>
      <c r="BC42" s="33">
        <v>0.74601180575154902</v>
      </c>
      <c r="BD42" s="33">
        <v>3.10398961274556</v>
      </c>
    </row>
    <row r="43" spans="1:56" ht="11.25" customHeight="1" x14ac:dyDescent="0.25">
      <c r="A43" s="116"/>
      <c r="B43" s="116" t="s">
        <v>23</v>
      </c>
      <c r="C43" s="116" t="s">
        <v>24</v>
      </c>
      <c r="D43" s="80" t="s">
        <v>24</v>
      </c>
      <c r="E43" s="80" t="s">
        <v>25</v>
      </c>
      <c r="F43" s="80" t="s">
        <v>25</v>
      </c>
      <c r="G43" s="36" t="s">
        <v>123</v>
      </c>
      <c r="H43" s="36" t="s">
        <v>117</v>
      </c>
      <c r="I43" s="36">
        <f>'MERCADO TUSD'!$U$40</f>
        <v>426447.22100000002</v>
      </c>
      <c r="J43" s="16"/>
      <c r="L43" s="33">
        <f>('TUSD BE'!$L$43+'TUSD BF'!$L$43+'TUSD CVA'!$L$43)*1</f>
        <v>2.3321191246518227</v>
      </c>
      <c r="M43" s="33">
        <f>('TUSD BE'!$M$43+'TUSD BF'!$M$43+'TUSD CVA'!$M$43)*1</f>
        <v>0.82974117203281739</v>
      </c>
      <c r="N43" s="33">
        <f ca="1">('TUSD BE'!$N$43+'TUSD BF'!$N$43+'TUSD CVA'!$N$43)*1</f>
        <v>3.6962046935752149</v>
      </c>
      <c r="O43" s="33">
        <f>('TUSD BE'!$O$43+'TUSD BF'!$O$43+'TUSD CVA'!$O$43)*1</f>
        <v>-5.032809553728302E-3</v>
      </c>
      <c r="P43" s="33">
        <f>('TUSD BE'!$P$43+'TUSD BF'!$P$43+'TUSD CVA'!$P$43)*1</f>
        <v>0</v>
      </c>
      <c r="Q43" s="33">
        <f>('TUSD BE'!$Q$43+'TUSD BF'!$Q$43+'TUSD CVA'!$Q$43)*1</f>
        <v>106.94245794079245</v>
      </c>
      <c r="R43" s="33">
        <f>('TUSD BE'!$R$43+'TUSD BF'!$R$43+'TUSD CVA'!$R$43)*1</f>
        <v>18.096353551137963</v>
      </c>
      <c r="S43" s="33">
        <f>('TUSD BE'!$S$43+'TUSD BF'!$S$43+'TUSD CVA'!$S$43)*1</f>
        <v>0</v>
      </c>
      <c r="T43" s="33">
        <f>('TUSD BE'!$U$43+'TUSD BF'!$U$43+'TUSD CVA'!$U$43)*1</f>
        <v>14.974581431724761</v>
      </c>
      <c r="U43" s="33">
        <f>('TUSD BE'!$V$43+'TUSD BF'!$V$43+'TUSD CVA'!$V$43)*1</f>
        <v>0.17015946407602195</v>
      </c>
      <c r="V43" s="33">
        <f>('TUSD BE'!$W$43+'TUSD BF'!$W$43+'TUSD CVA'!$W$43)*1</f>
        <v>0</v>
      </c>
      <c r="W43" s="33">
        <f>('TUSD BE'!$X$43+'TUSD BF'!$X$43+'TUSD CVA'!$X$43)*1</f>
        <v>0</v>
      </c>
      <c r="X43" s="33">
        <f>('TUSD BE'!$Y$43+'TUSD BF'!$Y$43+'TUSD CVA'!$Y$43)*1</f>
        <v>44.227830731911588</v>
      </c>
      <c r="Y43" s="33">
        <f>('TUSD BE'!$Z$43+'TUSD BF'!$Z$43+'TUSD CVA'!$Z$43)*1</f>
        <v>0</v>
      </c>
      <c r="Z43" s="33">
        <f>('TUSD BE'!$AA$43+'TUSD BF'!$AA$43+'TUSD CVA'!$AA$43)*1</f>
        <v>0</v>
      </c>
      <c r="AA43" s="33">
        <f>('TUSD BE'!$AC$43+'TUSD BF'!$AC$43+'TUSD CVA'!$AC$43)*1</f>
        <v>197.03140300737215</v>
      </c>
      <c r="AB43" s="33">
        <f ca="1">('TUSD BE'!$AE$43+'TUSD BF'!$AE$43+'TUSD CVA'!$AE$43)*1</f>
        <v>0</v>
      </c>
      <c r="AC43" s="33">
        <f ca="1">('TUSD BE'!$AF$43+'TUSD BF'!$AF$43+'TUSD CVA'!$AF$43)*1</f>
        <v>0</v>
      </c>
      <c r="AD43" s="33">
        <f>('TUSD BE'!$AH$43+'TUSD BF'!$AH$43+'TUSD CVA'!$AH$43)*1</f>
        <v>42.677225556094648</v>
      </c>
      <c r="AE43" s="33">
        <f>('TUSD BE'!$AI$43+'TUSD BF'!$AI$43+'TUSD CVA'!$AI$43)*1</f>
        <v>9.4760669789088606E-2</v>
      </c>
      <c r="AF43" s="33">
        <f ca="1">('TUSD BE'!$AJ$43+'TUSD BF'!$AJ$43+'TUSD CVA'!$AJ$43)*1</f>
        <v>0.76826275007336631</v>
      </c>
      <c r="AG43" s="33">
        <f ca="1">('TUSD BE'!$AK$43+'TUSD BF'!$AK$43+'TUSD CVA'!$AK$43)*1</f>
        <v>4.9488383344124429</v>
      </c>
      <c r="AI43" s="33">
        <v>10.1433754960751</v>
      </c>
      <c r="AJ43" s="33">
        <v>0.65504092213433596</v>
      </c>
      <c r="AK43" s="33">
        <v>3.0797012192649702</v>
      </c>
      <c r="AL43" s="33">
        <v>-4.4728017133853397E-3</v>
      </c>
      <c r="AM43" s="33">
        <v>0</v>
      </c>
      <c r="AN43" s="33">
        <v>53.054839583348198</v>
      </c>
      <c r="AO43" s="33">
        <v>9.9180435169181695</v>
      </c>
      <c r="AP43" s="33">
        <v>0</v>
      </c>
      <c r="AQ43" s="33">
        <v>11.4243239360791</v>
      </c>
      <c r="AR43" s="33">
        <v>-4.8561507197143697E-3</v>
      </c>
      <c r="AS43" s="33">
        <v>0</v>
      </c>
      <c r="AT43" s="33">
        <v>0</v>
      </c>
      <c r="AU43" s="33">
        <v>35.456512461677001</v>
      </c>
      <c r="AV43" s="33">
        <v>0</v>
      </c>
      <c r="AW43" s="33">
        <v>0</v>
      </c>
      <c r="AX43" s="33">
        <v>175.39141343628401</v>
      </c>
      <c r="AY43" s="33">
        <v>-6.0484331603045699E-2</v>
      </c>
      <c r="AZ43" s="33">
        <v>0</v>
      </c>
      <c r="BA43" s="33">
        <v>39.442397301211201</v>
      </c>
      <c r="BB43" s="33">
        <v>0.13705627792548999</v>
      </c>
      <c r="BC43" s="33">
        <v>0.74601180575154902</v>
      </c>
      <c r="BD43" s="33">
        <v>3.10398961274556</v>
      </c>
    </row>
    <row r="44" spans="1:56" ht="11.25" customHeight="1" x14ac:dyDescent="0.25">
      <c r="A44" s="116"/>
      <c r="B44" s="116"/>
      <c r="C44" s="116"/>
      <c r="D44" s="80" t="s">
        <v>29</v>
      </c>
      <c r="E44" s="80" t="s">
        <v>25</v>
      </c>
      <c r="F44" s="80" t="s">
        <v>25</v>
      </c>
      <c r="G44" s="36" t="s">
        <v>123</v>
      </c>
      <c r="H44" s="36" t="s">
        <v>117</v>
      </c>
      <c r="I44" s="36">
        <f>'MERCADO TUSD'!$U$41</f>
        <v>31822.650999999998</v>
      </c>
      <c r="J44" s="16"/>
      <c r="L44" s="33">
        <f>('TUSD BE'!$L$44+'TUSD BF'!$L$44+'TUSD CVA'!$L$44)*(1 - 0.65)</f>
        <v>0</v>
      </c>
      <c r="M44" s="33">
        <f>('TUSD BE'!$M$44+'TUSD BF'!$M$44+'TUSD CVA'!$M$44)*(1 - 0.65)</f>
        <v>0.29040941021148609</v>
      </c>
      <c r="N44" s="33">
        <f ca="1">('TUSD BE'!$N$44+'TUSD BF'!$N$44+'TUSD CVA'!$N$44)*(1 - 0.65)</f>
        <v>1.289591149413388</v>
      </c>
      <c r="O44" s="33">
        <f>('TUSD BE'!$O$44+'TUSD BF'!$O$44+'TUSD CVA'!$O$44)*(1 - 0.65)</f>
        <v>-1.7614833438049057E-3</v>
      </c>
      <c r="P44" s="33">
        <v>0</v>
      </c>
      <c r="Q44" s="33">
        <f>('TUSD BE'!$Q$44+'TUSD BF'!$Q$44+'TUSD CVA'!$Q$44)*(1 - 0.65)</f>
        <v>0</v>
      </c>
      <c r="R44" s="33">
        <v>0</v>
      </c>
      <c r="S44" s="33">
        <f>('TUSD BE'!$S$44+'TUSD BF'!$S$44+'TUSD CVA'!$S$44)*(1 - 0.65)</f>
        <v>0</v>
      </c>
      <c r="T44" s="33">
        <f>('TUSD BE'!$U$44+'TUSD BF'!$U$44+'TUSD CVA'!$U$44)*(1 - 0.65)</f>
        <v>5.241103501103666</v>
      </c>
      <c r="U44" s="33">
        <f>('TUSD BE'!$V$44+'TUSD BF'!$V$44+'TUSD CVA'!$V$44)*(1 - 0.65)</f>
        <v>5.9555812426607679E-2</v>
      </c>
      <c r="V44" s="33">
        <f>('TUSD BE'!$W$44+'TUSD BF'!$W$44+'TUSD CVA'!$W$44)*(1 - 0.65)</f>
        <v>0</v>
      </c>
      <c r="W44" s="33">
        <f>('TUSD BE'!$X$44+'TUSD BF'!$X$44+'TUSD CVA'!$X$44)*(1 - 0.65)</f>
        <v>0</v>
      </c>
      <c r="X44" s="33">
        <f>('TUSD BE'!$Y$44+'TUSD BF'!$Y$44+'TUSD CVA'!$Y$44)*(1 - 0.65)</f>
        <v>15.479740756169054</v>
      </c>
      <c r="Y44" s="33">
        <f>('TUSD BE'!$Z$44+'TUSD BF'!$Z$44+'TUSD CVA'!$Z$44)*(1 - 0.65)</f>
        <v>0</v>
      </c>
      <c r="Z44" s="33">
        <f>('TUSD BE'!$AA$44+'TUSD BF'!$AA$44+'TUSD CVA'!$AA$44)*(1 - 0.65)</f>
        <v>0</v>
      </c>
      <c r="AA44" s="33">
        <f>('TUSD BE'!$AC$44+'TUSD BF'!$AC$44+'TUSD CVA'!$AC$44)*(1 - 0.65)</f>
        <v>68.960991052580241</v>
      </c>
      <c r="AB44" s="33">
        <f ca="1">('TUSD BE'!$AE$44+'TUSD BF'!$AE$44+'TUSD CVA'!$AE$44)*(1 - 0.65)</f>
        <v>0</v>
      </c>
      <c r="AC44" s="33">
        <f ca="1">('TUSD BE'!$AF$44+'TUSD BF'!$AF$44+'TUSD CVA'!$AF$44)*(1 - 0.65)</f>
        <v>0</v>
      </c>
      <c r="AD44" s="33">
        <f>('TUSD BE'!$AH$44+'TUSD BF'!$AH$44+'TUSD CVA'!$AH$44)*(1 - 0.65)</f>
        <v>14.937028944633125</v>
      </c>
      <c r="AE44" s="33">
        <f>('TUSD BE'!$AI$44+'TUSD BF'!$AI$44+'TUSD CVA'!$AI$44)*(1 - 0.65)</f>
        <v>3.316623442618101E-2</v>
      </c>
      <c r="AF44" s="33">
        <f ca="1">('TUSD BE'!$AJ$44+'TUSD BF'!$AJ$44+'TUSD CVA'!$AJ$44)*(1 - 0.65)</f>
        <v>0.26889196252567821</v>
      </c>
      <c r="AG44" s="33">
        <f ca="1">('TUSD BE'!$AK$44+'TUSD BF'!$AK$44+'TUSD CVA'!$AK$44)*(1 - 0.65)</f>
        <v>1.7320934170443549</v>
      </c>
      <c r="AI44" s="33">
        <v>0</v>
      </c>
      <c r="AJ44" s="33">
        <v>0.229264322747018</v>
      </c>
      <c r="AK44" s="33">
        <v>1.0744940204267399</v>
      </c>
      <c r="AL44" s="33">
        <v>-1.5654805996848701E-3</v>
      </c>
      <c r="AM44" s="33">
        <v>0</v>
      </c>
      <c r="AN44" s="33">
        <v>0</v>
      </c>
      <c r="AO44" s="33">
        <v>0</v>
      </c>
      <c r="AP44" s="33">
        <v>0</v>
      </c>
      <c r="AQ44" s="33">
        <v>3.99851337762769</v>
      </c>
      <c r="AR44" s="33">
        <v>-1.6996527519000299E-3</v>
      </c>
      <c r="AS44" s="33">
        <v>0</v>
      </c>
      <c r="AT44" s="33">
        <v>0</v>
      </c>
      <c r="AU44" s="33">
        <v>12.409779361587001</v>
      </c>
      <c r="AV44" s="33">
        <v>0</v>
      </c>
      <c r="AW44" s="33">
        <v>0</v>
      </c>
      <c r="AX44" s="33">
        <v>61.386994702699504</v>
      </c>
      <c r="AY44" s="33">
        <v>-1.6464386647688199E-2</v>
      </c>
      <c r="AZ44" s="33">
        <v>0</v>
      </c>
      <c r="BA44" s="33">
        <v>13.8048390554239</v>
      </c>
      <c r="BB44" s="33">
        <v>4.7969697273921502E-2</v>
      </c>
      <c r="BC44" s="33">
        <v>0.261104132013042</v>
      </c>
      <c r="BD44" s="33">
        <v>1.08639636446095</v>
      </c>
    </row>
    <row r="45" spans="1:56" ht="11.25" customHeight="1" x14ac:dyDescent="0.25">
      <c r="A45" s="116"/>
      <c r="B45" s="116"/>
      <c r="C45" s="116"/>
      <c r="D45" s="80" t="s">
        <v>30</v>
      </c>
      <c r="E45" s="80" t="s">
        <v>25</v>
      </c>
      <c r="F45" s="80" t="s">
        <v>25</v>
      </c>
      <c r="G45" s="36" t="s">
        <v>123</v>
      </c>
      <c r="H45" s="36" t="s">
        <v>117</v>
      </c>
      <c r="I45" s="36">
        <f>'MERCADO TUSD'!$U$42</f>
        <v>61209.610999999997</v>
      </c>
      <c r="J45" s="16"/>
      <c r="L45" s="33">
        <f>('TUSD BE'!$L$45+'TUSD BF'!$L$45+'TUSD CVA'!$L$45)*(1 - 0.4)</f>
        <v>0</v>
      </c>
      <c r="M45" s="33">
        <f>('TUSD BE'!$M$45+'TUSD BF'!$M$45+'TUSD CVA'!$M$45)*(1 - 0.4)</f>
        <v>0.49784470321969043</v>
      </c>
      <c r="N45" s="33">
        <f ca="1">('TUSD BE'!$N$45+'TUSD BF'!$N$45+'TUSD CVA'!$N$45)*(1 - 0.4)</f>
        <v>2.2107276847086652</v>
      </c>
      <c r="O45" s="33">
        <f>('TUSD BE'!$O$45+'TUSD BF'!$O$45+'TUSD CVA'!$O$45)*(1 - 0.4)</f>
        <v>-3.0196857322369809E-3</v>
      </c>
      <c r="P45" s="33">
        <v>0</v>
      </c>
      <c r="Q45" s="33">
        <f>('TUSD BE'!$Q$45+'TUSD BF'!$Q$45+'TUSD CVA'!$Q$45)*(1 - 0.4)</f>
        <v>0</v>
      </c>
      <c r="R45" s="33">
        <v>0</v>
      </c>
      <c r="S45" s="33">
        <f>('TUSD BE'!$S$45+'TUSD BF'!$S$45+'TUSD CVA'!$S$45)*(1 - 0.4)</f>
        <v>0</v>
      </c>
      <c r="T45" s="33">
        <f>('TUSD BE'!$U$45+'TUSD BF'!$U$45+'TUSD CVA'!$U$45)*(1 - 0.4)</f>
        <v>8.9847488590348572</v>
      </c>
      <c r="U45" s="33">
        <f>('TUSD BE'!$V$45+'TUSD BF'!$V$45+'TUSD CVA'!$V$45)*(1 - 0.4)</f>
        <v>0.10209567844561317</v>
      </c>
      <c r="V45" s="33">
        <f>('TUSD BE'!$W$45+'TUSD BF'!$W$45+'TUSD CVA'!$W$45)*(1 - 0.4)</f>
        <v>0</v>
      </c>
      <c r="W45" s="33">
        <f>('TUSD BE'!$X$45+'TUSD BF'!$X$45+'TUSD CVA'!$X$45)*(1 - 0.4)</f>
        <v>0</v>
      </c>
      <c r="X45" s="33">
        <f>('TUSD BE'!$Y$45+'TUSD BF'!$Y$45+'TUSD CVA'!$Y$45)*(1 - 0.4)</f>
        <v>26.536698439146953</v>
      </c>
      <c r="Y45" s="33">
        <f>('TUSD BE'!$Z$45+'TUSD BF'!$Z$45+'TUSD CVA'!$Z$45)*(1 - 0.4)</f>
        <v>0</v>
      </c>
      <c r="Z45" s="33">
        <f>('TUSD BE'!$AA$45+'TUSD BF'!$AA$45+'TUSD CVA'!$AA$45)*(1 - 0.4)</f>
        <v>0</v>
      </c>
      <c r="AA45" s="33">
        <f>('TUSD BE'!$AC$45+'TUSD BF'!$AC$45+'TUSD CVA'!$AC$45)*(1 - 0.4)</f>
        <v>118.21884180442328</v>
      </c>
      <c r="AB45" s="33">
        <f ca="1">('TUSD BE'!$AE$45+'TUSD BF'!$AE$45+'TUSD CVA'!$AE$45)*(1 - 0.4)</f>
        <v>0</v>
      </c>
      <c r="AC45" s="33">
        <f ca="1">('TUSD BE'!$AF$45+'TUSD BF'!$AF$45+'TUSD CVA'!$AF$45)*(1 - 0.4)</f>
        <v>0</v>
      </c>
      <c r="AD45" s="33">
        <f>('TUSD BE'!$AH$45+'TUSD BF'!$AH$45+'TUSD CVA'!$AH$45)*(1 - 0.4)</f>
        <v>25.606335333656787</v>
      </c>
      <c r="AE45" s="33">
        <f>('TUSD BE'!$AI$45+'TUSD BF'!$AI$45+'TUSD CVA'!$AI$45)*(1 - 0.4)</f>
        <v>5.6856401873453158E-2</v>
      </c>
      <c r="AF45" s="33">
        <f ca="1">('TUSD BE'!$AJ$45+'TUSD BF'!$AJ$45+'TUSD CVA'!$AJ$45)*(1 - 0.4)</f>
        <v>0.46095765004401978</v>
      </c>
      <c r="AG45" s="33">
        <f ca="1">('TUSD BE'!$AK$45+'TUSD BF'!$AK$45+'TUSD CVA'!$AK$45)*(1 - 0.4)</f>
        <v>2.9693030006474657</v>
      </c>
      <c r="AI45" s="33">
        <v>0</v>
      </c>
      <c r="AJ45" s="33">
        <v>0.39302455328060198</v>
      </c>
      <c r="AK45" s="33">
        <v>1.84198974930299</v>
      </c>
      <c r="AL45" s="33">
        <v>-2.68368102803121E-3</v>
      </c>
      <c r="AM45" s="33">
        <v>0</v>
      </c>
      <c r="AN45" s="33">
        <v>0</v>
      </c>
      <c r="AO45" s="33">
        <v>0</v>
      </c>
      <c r="AP45" s="33">
        <v>0</v>
      </c>
      <c r="AQ45" s="33">
        <v>6.8545943616474698</v>
      </c>
      <c r="AR45" s="33">
        <v>-2.9136904318286202E-3</v>
      </c>
      <c r="AS45" s="33">
        <v>0</v>
      </c>
      <c r="AT45" s="33">
        <v>0</v>
      </c>
      <c r="AU45" s="33">
        <v>21.273907477006201</v>
      </c>
      <c r="AV45" s="33">
        <v>0</v>
      </c>
      <c r="AW45" s="33">
        <v>0</v>
      </c>
      <c r="AX45" s="33">
        <v>105.234848061771</v>
      </c>
      <c r="AY45" s="33">
        <v>-2.82246628246084E-2</v>
      </c>
      <c r="AZ45" s="33">
        <v>0</v>
      </c>
      <c r="BA45" s="33">
        <v>23.665438380726702</v>
      </c>
      <c r="BB45" s="33">
        <v>8.2233766755293994E-2</v>
      </c>
      <c r="BC45" s="33">
        <v>0.44760708345092898</v>
      </c>
      <c r="BD45" s="33">
        <v>1.8623937676473401</v>
      </c>
    </row>
    <row r="46" spans="1:56" ht="11.25" customHeight="1" x14ac:dyDescent="0.25">
      <c r="A46" s="116"/>
      <c r="B46" s="116"/>
      <c r="C46" s="116"/>
      <c r="D46" s="80" t="s">
        <v>31</v>
      </c>
      <c r="E46" s="80" t="s">
        <v>25</v>
      </c>
      <c r="F46" s="80" t="s">
        <v>25</v>
      </c>
      <c r="G46" s="36" t="s">
        <v>123</v>
      </c>
      <c r="H46" s="36" t="s">
        <v>117</v>
      </c>
      <c r="I46" s="36">
        <f>'MERCADO TUSD'!$U$43</f>
        <v>39801.019999999997</v>
      </c>
      <c r="J46" s="16"/>
      <c r="L46" s="33">
        <f>('TUSD BE'!$L$46+'TUSD BF'!$L$46+'TUSD CVA'!$L$46)*(1 - 0.1)</f>
        <v>0</v>
      </c>
      <c r="M46" s="33">
        <f>('TUSD BE'!$M$46+'TUSD BF'!$M$46+'TUSD CVA'!$M$46)*(1 - 0.1)</f>
        <v>0.74676705482953565</v>
      </c>
      <c r="N46" s="33">
        <f ca="1">('TUSD BE'!$N$46+'TUSD BF'!$N$46+'TUSD CVA'!$N$46)*(1 - 0.1)</f>
        <v>3.3160915270629978</v>
      </c>
      <c r="O46" s="33">
        <f>('TUSD BE'!$O$46+'TUSD BF'!$O$46+'TUSD CVA'!$O$46)*(1 - 0.1)</f>
        <v>-4.5295285983554716E-3</v>
      </c>
      <c r="P46" s="33">
        <v>0</v>
      </c>
      <c r="Q46" s="33">
        <f>('TUSD BE'!$Q$46+'TUSD BF'!$Q$46+'TUSD CVA'!$Q$46)*(1 - 0.1)</f>
        <v>0</v>
      </c>
      <c r="R46" s="33">
        <v>0</v>
      </c>
      <c r="S46" s="33">
        <f>('TUSD BE'!$S$46+'TUSD BF'!$S$46+'TUSD CVA'!$S$46)*(1 - 0.1)</f>
        <v>0</v>
      </c>
      <c r="T46" s="33">
        <f>('TUSD BE'!$U$46+'TUSD BF'!$U$46+'TUSD CVA'!$U$46)*(1 - 0.1)</f>
        <v>13.477123288552285</v>
      </c>
      <c r="U46" s="33">
        <f>('TUSD BE'!$V$46+'TUSD BF'!$V$46+'TUSD CVA'!$V$46)*(1 - 0.1)</f>
        <v>0.15314351766841977</v>
      </c>
      <c r="V46" s="33">
        <f>('TUSD BE'!$W$46+'TUSD BF'!$W$46+'TUSD CVA'!$W$46)*(1 - 0.1)</f>
        <v>0</v>
      </c>
      <c r="W46" s="33">
        <f>('TUSD BE'!$X$46+'TUSD BF'!$X$46+'TUSD CVA'!$X$46)*(1 - 0.1)</f>
        <v>0</v>
      </c>
      <c r="X46" s="33">
        <f>('TUSD BE'!$Y$46+'TUSD BF'!$Y$46+'TUSD CVA'!$Y$46)*(1 - 0.1)</f>
        <v>39.805047658720433</v>
      </c>
      <c r="Y46" s="33">
        <f>('TUSD BE'!$Z$46+'TUSD BF'!$Z$46+'TUSD CVA'!$Z$46)*(1 - 0.1)</f>
        <v>0</v>
      </c>
      <c r="Z46" s="33">
        <f>('TUSD BE'!$AA$46+'TUSD BF'!$AA$46+'TUSD CVA'!$AA$46)*(1 - 0.1)</f>
        <v>0</v>
      </c>
      <c r="AA46" s="33">
        <f>('TUSD BE'!$AC$46+'TUSD BF'!$AC$46+'TUSD CVA'!$AC$46)*(1 - 0.1)</f>
        <v>177.32826270663494</v>
      </c>
      <c r="AB46" s="33">
        <f ca="1">('TUSD BE'!$AE$46+'TUSD BF'!$AE$46+'TUSD CVA'!$AE$46)*(1 - 0.1)</f>
        <v>0</v>
      </c>
      <c r="AC46" s="33">
        <f ca="1">('TUSD BE'!$AF$46+'TUSD BF'!$AF$46+'TUSD CVA'!$AF$46)*(1 - 0.1)</f>
        <v>0</v>
      </c>
      <c r="AD46" s="33">
        <f>('TUSD BE'!$AH$46+'TUSD BF'!$AH$46+'TUSD CVA'!$AH$46)*(1 - 0.1)</f>
        <v>38.409503000485181</v>
      </c>
      <c r="AE46" s="33">
        <f>('TUSD BE'!$AI$46+'TUSD BF'!$AI$46+'TUSD CVA'!$AI$46)*(1 - 0.1)</f>
        <v>8.5284602810179744E-2</v>
      </c>
      <c r="AF46" s="33">
        <f ca="1">('TUSD BE'!$AJ$46+'TUSD BF'!$AJ$46+'TUSD CVA'!$AJ$46)*(1 - 0.1)</f>
        <v>0.69143647506602968</v>
      </c>
      <c r="AG46" s="33">
        <f ca="1">('TUSD BE'!$AK$46+'TUSD BF'!$AK$46+'TUSD CVA'!$AK$46)*(1 - 0.1)</f>
        <v>4.4539545009711992</v>
      </c>
      <c r="AI46" s="33">
        <v>0</v>
      </c>
      <c r="AJ46" s="33">
        <v>0.58953682992090295</v>
      </c>
      <c r="AK46" s="33">
        <v>2.76298462395448</v>
      </c>
      <c r="AL46" s="33">
        <v>-4.02552154204681E-3</v>
      </c>
      <c r="AM46" s="33">
        <v>0</v>
      </c>
      <c r="AN46" s="33">
        <v>0</v>
      </c>
      <c r="AO46" s="33">
        <v>0</v>
      </c>
      <c r="AP46" s="33">
        <v>0</v>
      </c>
      <c r="AQ46" s="33">
        <v>10.2818915424712</v>
      </c>
      <c r="AR46" s="33">
        <v>-4.3705356477429401E-3</v>
      </c>
      <c r="AS46" s="33">
        <v>0</v>
      </c>
      <c r="AT46" s="33">
        <v>0</v>
      </c>
      <c r="AU46" s="33">
        <v>31.9108612155093</v>
      </c>
      <c r="AV46" s="33">
        <v>0</v>
      </c>
      <c r="AW46" s="33">
        <v>0</v>
      </c>
      <c r="AX46" s="33">
        <v>157.85227209265599</v>
      </c>
      <c r="AY46" s="33">
        <v>-4.2336994236912603E-2</v>
      </c>
      <c r="AZ46" s="33">
        <v>0</v>
      </c>
      <c r="BA46" s="33">
        <v>35.498157571090097</v>
      </c>
      <c r="BB46" s="33">
        <v>0.123350650132941</v>
      </c>
      <c r="BC46" s="33">
        <v>0.67141062517639405</v>
      </c>
      <c r="BD46" s="33">
        <v>2.7935906514709998</v>
      </c>
    </row>
    <row r="47" spans="1:56" ht="11.25" customHeight="1" x14ac:dyDescent="0.25">
      <c r="A47" s="116"/>
      <c r="B47" s="116"/>
      <c r="C47" s="116"/>
      <c r="D47" s="80" t="s">
        <v>32</v>
      </c>
      <c r="E47" s="80" t="s">
        <v>25</v>
      </c>
      <c r="F47" s="80" t="s">
        <v>25</v>
      </c>
      <c r="G47" s="36" t="s">
        <v>123</v>
      </c>
      <c r="H47" s="36" t="s">
        <v>117</v>
      </c>
      <c r="I47" s="36">
        <f>'MERCADO TUSD'!$U$44</f>
        <v>7781.4139999999989</v>
      </c>
      <c r="J47" s="16"/>
      <c r="L47" s="33">
        <f>('TUSD BE'!$L$47+'TUSD BF'!$L$47+'TUSD CVA'!$L$47)*1</f>
        <v>0</v>
      </c>
      <c r="M47" s="33">
        <f>('TUSD BE'!$M$47+'TUSD BF'!$M$47+'TUSD CVA'!$M$47)*1</f>
        <v>0.82974117203281739</v>
      </c>
      <c r="N47" s="33">
        <f ca="1">('TUSD BE'!$N$47+'TUSD BF'!$N$47+'TUSD CVA'!$N$47)*1</f>
        <v>3.6845461411811087</v>
      </c>
      <c r="O47" s="33">
        <f>('TUSD BE'!$O$47+'TUSD BF'!$O$47+'TUSD CVA'!$O$47)*1</f>
        <v>-5.032809553728302E-3</v>
      </c>
      <c r="P47" s="33">
        <v>0</v>
      </c>
      <c r="Q47" s="33">
        <f>('TUSD BE'!$Q$47+'TUSD BF'!$Q$47+'TUSD CVA'!$Q$47)*1</f>
        <v>0</v>
      </c>
      <c r="R47" s="33">
        <v>0</v>
      </c>
      <c r="S47" s="33">
        <f>('TUSD BE'!$S$47+'TUSD BF'!$S$47+'TUSD CVA'!$S$47)*1</f>
        <v>0</v>
      </c>
      <c r="T47" s="33">
        <f>('TUSD BE'!$U$47+'TUSD BF'!$U$47+'TUSD CVA'!$U$47)*1</f>
        <v>14.974581431724761</v>
      </c>
      <c r="U47" s="33">
        <f>('TUSD BE'!$V$47+'TUSD BF'!$V$47+'TUSD CVA'!$V$47)*1</f>
        <v>0.17015946407602195</v>
      </c>
      <c r="V47" s="33">
        <f>('TUSD BE'!$W$47+'TUSD BF'!$W$47+'TUSD CVA'!$W$47)*1</f>
        <v>0</v>
      </c>
      <c r="W47" s="33">
        <f>('TUSD BE'!$X$47+'TUSD BF'!$X$47+'TUSD CVA'!$X$47)*1</f>
        <v>0</v>
      </c>
      <c r="X47" s="33">
        <f>('TUSD BE'!$Y$47+'TUSD BF'!$Y$47+'TUSD CVA'!$Y$47)*1</f>
        <v>44.227830731911588</v>
      </c>
      <c r="Y47" s="33">
        <f>('TUSD BE'!$Z$47+'TUSD BF'!$Z$47+'TUSD CVA'!$Z$47)*1</f>
        <v>0</v>
      </c>
      <c r="Z47" s="33">
        <f>('TUSD BE'!$AA$47+'TUSD BF'!$AA$47+'TUSD CVA'!$AA$47)*1</f>
        <v>0</v>
      </c>
      <c r="AA47" s="33">
        <f>('TUSD BE'!$AC$47+'TUSD BF'!$AC$47+'TUSD CVA'!$AC$47)*1</f>
        <v>197.03140300737215</v>
      </c>
      <c r="AB47" s="33">
        <f ca="1">('TUSD BE'!$AE$47+'TUSD BF'!$AE$47+'TUSD CVA'!$AE$47)*1</f>
        <v>0</v>
      </c>
      <c r="AC47" s="33">
        <f ca="1">('TUSD BE'!$AF$47+'TUSD BF'!$AF$47+'TUSD CVA'!$AF$47)*1</f>
        <v>0</v>
      </c>
      <c r="AD47" s="33">
        <f>('TUSD BE'!$AH$47+'TUSD BF'!$AH$47+'TUSD CVA'!$AH$47)*1</f>
        <v>42.677225556094648</v>
      </c>
      <c r="AE47" s="33">
        <f>('TUSD BE'!$AI$47+'TUSD BF'!$AI$47+'TUSD CVA'!$AI$47)*1</f>
        <v>9.4760669789088606E-2</v>
      </c>
      <c r="AF47" s="33">
        <f ca="1">('TUSD BE'!$AJ$47+'TUSD BF'!$AJ$47+'TUSD CVA'!$AJ$47)*1</f>
        <v>0.76826275007336631</v>
      </c>
      <c r="AG47" s="33">
        <f ca="1">('TUSD BE'!$AK$47+'TUSD BF'!$AK$47+'TUSD CVA'!$AK$47)*1</f>
        <v>4.9488383344124429</v>
      </c>
      <c r="AI47" s="33">
        <v>0</v>
      </c>
      <c r="AJ47" s="33">
        <v>0.65504092213433596</v>
      </c>
      <c r="AK47" s="33">
        <v>3.0699829155049798</v>
      </c>
      <c r="AL47" s="33">
        <v>-4.4728017133853397E-3</v>
      </c>
      <c r="AM47" s="33">
        <v>0</v>
      </c>
      <c r="AN47" s="33">
        <v>0</v>
      </c>
      <c r="AO47" s="33">
        <v>0</v>
      </c>
      <c r="AP47" s="33">
        <v>0</v>
      </c>
      <c r="AQ47" s="33">
        <v>11.4243239360791</v>
      </c>
      <c r="AR47" s="33">
        <v>-4.8561507197143697E-3</v>
      </c>
      <c r="AS47" s="33">
        <v>0</v>
      </c>
      <c r="AT47" s="33">
        <v>0</v>
      </c>
      <c r="AU47" s="33">
        <v>35.456512461677001</v>
      </c>
      <c r="AV47" s="33">
        <v>0</v>
      </c>
      <c r="AW47" s="33">
        <v>0</v>
      </c>
      <c r="AX47" s="33">
        <v>175.39141343628401</v>
      </c>
      <c r="AY47" s="33">
        <v>-4.7041104707680602E-2</v>
      </c>
      <c r="AZ47" s="33">
        <v>0</v>
      </c>
      <c r="BA47" s="33">
        <v>39.442397301211201</v>
      </c>
      <c r="BB47" s="33">
        <v>0.13705627792548999</v>
      </c>
      <c r="BC47" s="33">
        <v>0.74601180575154902</v>
      </c>
      <c r="BD47" s="33">
        <v>3.10398961274556</v>
      </c>
    </row>
    <row r="48" spans="1:56" ht="11.25" customHeight="1" x14ac:dyDescent="0.25">
      <c r="A48" s="116"/>
      <c r="B48" s="116" t="s">
        <v>131</v>
      </c>
      <c r="C48" s="116" t="s">
        <v>24</v>
      </c>
      <c r="D48" s="80" t="s">
        <v>24</v>
      </c>
      <c r="E48" s="80" t="s">
        <v>25</v>
      </c>
      <c r="F48" s="80" t="s">
        <v>25</v>
      </c>
      <c r="G48" s="36" t="s">
        <v>123</v>
      </c>
      <c r="H48" s="36" t="s">
        <v>117</v>
      </c>
      <c r="I48" s="36">
        <f>'MERCADO TUSD'!$U$45</f>
        <v>0</v>
      </c>
      <c r="J48" s="16"/>
      <c r="L48" s="33">
        <f>('TUSD BE'!$L$48+'TUSD BF'!$L$48+'TUSD CVA'!$L$48)*1</f>
        <v>2.3321191246518227</v>
      </c>
      <c r="M48" s="33">
        <f>('TUSD BE'!$M$48+'TUSD BF'!$M$48+'TUSD CVA'!$M$48)*1</f>
        <v>0.82974117203281739</v>
      </c>
      <c r="N48" s="33">
        <f ca="1">('TUSD BE'!$N$48+'TUSD BF'!$N$48+'TUSD CVA'!$N$48)*1</f>
        <v>3.6962046935752149</v>
      </c>
      <c r="O48" s="33">
        <f>('TUSD BE'!$O$48+'TUSD BF'!$O$48+'TUSD CVA'!$O$48)*1</f>
        <v>-5.032809553728302E-3</v>
      </c>
      <c r="P48" s="33">
        <f>('TUSD BE'!$P$48+'TUSD BF'!$P$48+'TUSD CVA'!$P$48)*1</f>
        <v>0</v>
      </c>
      <c r="Q48" s="33">
        <f>('TUSD BE'!$Q$48+'TUSD BF'!$Q$48+'TUSD CVA'!$Q$48)*1</f>
        <v>106.94245794079245</v>
      </c>
      <c r="R48" s="33">
        <f>('TUSD BE'!$R$48+'TUSD BF'!$R$48+'TUSD CVA'!$R$48)*1</f>
        <v>18.096353551137963</v>
      </c>
      <c r="S48" s="33">
        <f>('TUSD BE'!$S$48+'TUSD BF'!$S$48+'TUSD CVA'!$S$48)*1</f>
        <v>0</v>
      </c>
      <c r="T48" s="33">
        <f>('TUSD BE'!$U$48+'TUSD BF'!$U$48+'TUSD CVA'!$U$48)*1</f>
        <v>14.974581431724761</v>
      </c>
      <c r="U48" s="33">
        <f>('TUSD BE'!$V$48+'TUSD BF'!$V$48+'TUSD CVA'!$V$48)*1</f>
        <v>0.17015946407602195</v>
      </c>
      <c r="V48" s="33">
        <f>('TUSD BE'!$W$48+'TUSD BF'!$W$48+'TUSD CVA'!$W$48)*1</f>
        <v>0</v>
      </c>
      <c r="W48" s="33">
        <f>('TUSD BE'!$X$48+'TUSD BF'!$X$48+'TUSD CVA'!$X$48)*1</f>
        <v>0</v>
      </c>
      <c r="X48" s="33">
        <f>('TUSD BE'!$Y$48+'TUSD BF'!$Y$48+'TUSD CVA'!$Y$48)*1</f>
        <v>44.227830731911588</v>
      </c>
      <c r="Y48" s="33">
        <f>('TUSD BE'!$Z$48+'TUSD BF'!$Z$48+'TUSD CVA'!$Z$48)*1</f>
        <v>0</v>
      </c>
      <c r="Z48" s="33">
        <f>('TUSD BE'!$AA$48+'TUSD BF'!$AA$48+'TUSD CVA'!$AA$48)*1</f>
        <v>0</v>
      </c>
      <c r="AA48" s="33">
        <f>('TUSD BE'!$AC$48+'TUSD BF'!$AC$48+'TUSD CVA'!$AC$48)*1</f>
        <v>197.03140300737215</v>
      </c>
      <c r="AB48" s="33">
        <f ca="1">('TUSD BE'!$AE$48+'TUSD BF'!$AE$48+'TUSD CVA'!$AE$48)*1</f>
        <v>0</v>
      </c>
      <c r="AC48" s="33">
        <f ca="1">('TUSD BE'!$AF$48+'TUSD BF'!$AF$48+'TUSD CVA'!$AF$48)*1</f>
        <v>0</v>
      </c>
      <c r="AD48" s="33">
        <f>('TUSD BE'!$AH$48+'TUSD BF'!$AH$48+'TUSD CVA'!$AH$48)*1</f>
        <v>42.677225556094648</v>
      </c>
      <c r="AE48" s="33">
        <f>('TUSD BE'!$AI$48+'TUSD BF'!$AI$48+'TUSD CVA'!$AI$48)*1</f>
        <v>9.4760669789088606E-2</v>
      </c>
      <c r="AF48" s="33">
        <f ca="1">('TUSD BE'!$AJ$48+'TUSD BF'!$AJ$48+'TUSD CVA'!$AJ$48)*1</f>
        <v>0.76826275007336631</v>
      </c>
      <c r="AG48" s="33">
        <f ca="1">('TUSD BE'!$AK$48+'TUSD BF'!$AK$48+'TUSD CVA'!$AK$48)*1</f>
        <v>4.9488383344124429</v>
      </c>
      <c r="AI48" s="33">
        <v>10.1433754960751</v>
      </c>
      <c r="AJ48" s="33">
        <v>0.65504092213433596</v>
      </c>
      <c r="AK48" s="33">
        <v>3.0797012192649702</v>
      </c>
      <c r="AL48" s="33">
        <v>-4.4728017133853397E-3</v>
      </c>
      <c r="AM48" s="33">
        <v>0</v>
      </c>
      <c r="AN48" s="33">
        <v>53.054839583348198</v>
      </c>
      <c r="AO48" s="33">
        <v>9.9180435169181695</v>
      </c>
      <c r="AP48" s="33">
        <v>0</v>
      </c>
      <c r="AQ48" s="33">
        <v>11.4243239360791</v>
      </c>
      <c r="AR48" s="33">
        <v>-4.8561507197143697E-3</v>
      </c>
      <c r="AS48" s="33">
        <v>0</v>
      </c>
      <c r="AT48" s="33">
        <v>0</v>
      </c>
      <c r="AU48" s="33">
        <v>35.456512461677001</v>
      </c>
      <c r="AV48" s="33">
        <v>0</v>
      </c>
      <c r="AW48" s="33">
        <v>0</v>
      </c>
      <c r="AX48" s="33">
        <v>175.39141343628401</v>
      </c>
      <c r="AY48" s="33">
        <v>-6.0484331603045699E-2</v>
      </c>
      <c r="AZ48" s="33">
        <v>0</v>
      </c>
      <c r="BA48" s="33">
        <v>39.442397301211201</v>
      </c>
      <c r="BB48" s="33">
        <v>0.13705627792548999</v>
      </c>
      <c r="BC48" s="33">
        <v>0.74601180575154902</v>
      </c>
      <c r="BD48" s="33">
        <v>3.10398961274556</v>
      </c>
    </row>
    <row r="49" spans="1:56" ht="11.25" customHeight="1" x14ac:dyDescent="0.25">
      <c r="A49" s="116"/>
      <c r="B49" s="116"/>
      <c r="C49" s="116"/>
      <c r="D49" s="80" t="s">
        <v>29</v>
      </c>
      <c r="E49" s="80" t="s">
        <v>25</v>
      </c>
      <c r="F49" s="80" t="s">
        <v>25</v>
      </c>
      <c r="G49" s="36" t="s">
        <v>123</v>
      </c>
      <c r="H49" s="36" t="s">
        <v>117</v>
      </c>
      <c r="I49" s="36">
        <f>'MERCADO TUSD'!$U$46</f>
        <v>0</v>
      </c>
      <c r="J49" s="16"/>
      <c r="L49" s="33">
        <f>('TUSD BE'!$L$49+'TUSD BF'!$L$49+'TUSD CVA'!$L$49)*(1 - 0.65)</f>
        <v>0</v>
      </c>
      <c r="M49" s="33">
        <f>('TUSD BE'!$M$49+'TUSD BF'!$M$49+'TUSD CVA'!$M$49)*(1 - 0.65)</f>
        <v>0.29040941021148609</v>
      </c>
      <c r="N49" s="33">
        <f ca="1">('TUSD BE'!$N$49+'TUSD BF'!$N$49+'TUSD CVA'!$N$49)*(1 - 0.65)</f>
        <v>1.289591149413388</v>
      </c>
      <c r="O49" s="33">
        <f>('TUSD BE'!$O$49+'TUSD BF'!$O$49+'TUSD CVA'!$O$49)*(1 - 0.65)</f>
        <v>-1.7614833438049057E-3</v>
      </c>
      <c r="P49" s="33">
        <v>0</v>
      </c>
      <c r="Q49" s="33">
        <f>('TUSD BE'!$Q$49+'TUSD BF'!$Q$49+'TUSD CVA'!$Q$49)*(1 - 0.65)</f>
        <v>0</v>
      </c>
      <c r="R49" s="33">
        <v>0</v>
      </c>
      <c r="S49" s="33">
        <f>('TUSD BE'!$S$49+'TUSD BF'!$S$49+'TUSD CVA'!$S$49)*(1 - 0.65)</f>
        <v>0</v>
      </c>
      <c r="T49" s="33">
        <f>('TUSD BE'!$U$49+'TUSD BF'!$U$49+'TUSD CVA'!$U$49)*(1 - 0.65)</f>
        <v>5.241103501103666</v>
      </c>
      <c r="U49" s="33">
        <f>('TUSD BE'!$V$49+'TUSD BF'!$V$49+'TUSD CVA'!$V$49)*(1 - 0.65)</f>
        <v>5.9555812426607679E-2</v>
      </c>
      <c r="V49" s="33">
        <f>('TUSD BE'!$W$49+'TUSD BF'!$W$49+'TUSD CVA'!$W$49)*(1 - 0.65)</f>
        <v>0</v>
      </c>
      <c r="W49" s="33">
        <f>('TUSD BE'!$X$49+'TUSD BF'!$X$49+'TUSD CVA'!$X$49)*(1 - 0.65)</f>
        <v>0</v>
      </c>
      <c r="X49" s="33">
        <f>('TUSD BE'!$Y$49+'TUSD BF'!$Y$49+'TUSD CVA'!$Y$49)*(1 - 0.65)</f>
        <v>15.479740756169054</v>
      </c>
      <c r="Y49" s="33">
        <f>('TUSD BE'!$Z$49+'TUSD BF'!$Z$49+'TUSD CVA'!$Z$49)*(1 - 0.65)</f>
        <v>0</v>
      </c>
      <c r="Z49" s="33">
        <f>('TUSD BE'!$AA$49+'TUSD BF'!$AA$49+'TUSD CVA'!$AA$49)*(1 - 0.65)</f>
        <v>0</v>
      </c>
      <c r="AA49" s="33">
        <f>('TUSD BE'!$AC$49+'TUSD BF'!$AC$49+'TUSD CVA'!$AC$49)*(1 - 0.65)</f>
        <v>68.960991052580241</v>
      </c>
      <c r="AB49" s="33">
        <f ca="1">('TUSD BE'!$AE$49+'TUSD BF'!$AE$49+'TUSD CVA'!$AE$49)*(1 - 0.65)</f>
        <v>0</v>
      </c>
      <c r="AC49" s="33">
        <f ca="1">('TUSD BE'!$AF$49+'TUSD BF'!$AF$49+'TUSD CVA'!$AF$49)*(1 - 0.65)</f>
        <v>0</v>
      </c>
      <c r="AD49" s="33">
        <f>('TUSD BE'!$AH$49+'TUSD BF'!$AH$49+'TUSD CVA'!$AH$49)*(1 - 0.65)</f>
        <v>14.937028944633125</v>
      </c>
      <c r="AE49" s="33">
        <f>('TUSD BE'!$AI$49+'TUSD BF'!$AI$49+'TUSD CVA'!$AI$49)*(1 - 0.65)</f>
        <v>3.316623442618101E-2</v>
      </c>
      <c r="AF49" s="33">
        <f ca="1">('TUSD BE'!$AJ$49+'TUSD BF'!$AJ$49+'TUSD CVA'!$AJ$49)*(1 - 0.65)</f>
        <v>0.26889196252567821</v>
      </c>
      <c r="AG49" s="33">
        <f ca="1">('TUSD BE'!$AK$49+'TUSD BF'!$AK$49+'TUSD CVA'!$AK$49)*(1 - 0.65)</f>
        <v>1.7320934170443549</v>
      </c>
      <c r="AI49" s="33">
        <v>0</v>
      </c>
      <c r="AJ49" s="33">
        <v>0.229264322747018</v>
      </c>
      <c r="AK49" s="33">
        <v>1.0744940204267399</v>
      </c>
      <c r="AL49" s="33">
        <v>-1.5654805996848701E-3</v>
      </c>
      <c r="AM49" s="33">
        <v>0</v>
      </c>
      <c r="AN49" s="33">
        <v>0</v>
      </c>
      <c r="AO49" s="33">
        <v>0</v>
      </c>
      <c r="AP49" s="33">
        <v>0</v>
      </c>
      <c r="AQ49" s="33">
        <v>3.99851337762769</v>
      </c>
      <c r="AR49" s="33">
        <v>-1.6996527519000299E-3</v>
      </c>
      <c r="AS49" s="33">
        <v>0</v>
      </c>
      <c r="AT49" s="33">
        <v>0</v>
      </c>
      <c r="AU49" s="33">
        <v>12.409779361587001</v>
      </c>
      <c r="AV49" s="33">
        <v>0</v>
      </c>
      <c r="AW49" s="33">
        <v>0</v>
      </c>
      <c r="AX49" s="33">
        <v>61.386994702699504</v>
      </c>
      <c r="AY49" s="33">
        <v>-1.6464386647688199E-2</v>
      </c>
      <c r="AZ49" s="33">
        <v>0</v>
      </c>
      <c r="BA49" s="33">
        <v>13.8048390554239</v>
      </c>
      <c r="BB49" s="33">
        <v>4.7969697273921502E-2</v>
      </c>
      <c r="BC49" s="33">
        <v>0.261104132013042</v>
      </c>
      <c r="BD49" s="33">
        <v>1.08639636446095</v>
      </c>
    </row>
    <row r="50" spans="1:56" ht="11.25" customHeight="1" x14ac:dyDescent="0.25">
      <c r="A50" s="116"/>
      <c r="B50" s="116"/>
      <c r="C50" s="116"/>
      <c r="D50" s="80" t="s">
        <v>30</v>
      </c>
      <c r="E50" s="80" t="s">
        <v>25</v>
      </c>
      <c r="F50" s="80" t="s">
        <v>25</v>
      </c>
      <c r="G50" s="36" t="s">
        <v>123</v>
      </c>
      <c r="H50" s="36" t="s">
        <v>117</v>
      </c>
      <c r="I50" s="36">
        <f>'MERCADO TUSD'!$U$47</f>
        <v>0</v>
      </c>
      <c r="J50" s="16"/>
      <c r="L50" s="33">
        <f>('TUSD BE'!$L$50+'TUSD BF'!$L$50+'TUSD CVA'!$L$50)*(1 - 0.4)</f>
        <v>0</v>
      </c>
      <c r="M50" s="33">
        <f>('TUSD BE'!$M$50+'TUSD BF'!$M$50+'TUSD CVA'!$M$50)*(1 - 0.4)</f>
        <v>0.49784470321969043</v>
      </c>
      <c r="N50" s="33">
        <f ca="1">('TUSD BE'!$N$50+'TUSD BF'!$N$50+'TUSD CVA'!$N$50)*(1 - 0.4)</f>
        <v>2.2107276847086652</v>
      </c>
      <c r="O50" s="33">
        <f>('TUSD BE'!$O$50+'TUSD BF'!$O$50+'TUSD CVA'!$O$50)*(1 - 0.4)</f>
        <v>-3.0196857322369809E-3</v>
      </c>
      <c r="P50" s="33">
        <v>0</v>
      </c>
      <c r="Q50" s="33">
        <f>('TUSD BE'!$Q$50+'TUSD BF'!$Q$50+'TUSD CVA'!$Q$50)*(1 - 0.4)</f>
        <v>0</v>
      </c>
      <c r="R50" s="33">
        <v>0</v>
      </c>
      <c r="S50" s="33">
        <f>('TUSD BE'!$S$50+'TUSD BF'!$S$50+'TUSD CVA'!$S$50)*(1 - 0.4)</f>
        <v>0</v>
      </c>
      <c r="T50" s="33">
        <f>('TUSD BE'!$U$50+'TUSD BF'!$U$50+'TUSD CVA'!$U$50)*(1 - 0.4)</f>
        <v>8.9847488590348572</v>
      </c>
      <c r="U50" s="33">
        <f>('TUSD BE'!$V$50+'TUSD BF'!$V$50+'TUSD CVA'!$V$50)*(1 - 0.4)</f>
        <v>0.10209567844561317</v>
      </c>
      <c r="V50" s="33">
        <f>('TUSD BE'!$W$50+'TUSD BF'!$W$50+'TUSD CVA'!$W$50)*(1 - 0.4)</f>
        <v>0</v>
      </c>
      <c r="W50" s="33">
        <f>('TUSD BE'!$X$50+'TUSD BF'!$X$50+'TUSD CVA'!$X$50)*(1 - 0.4)</f>
        <v>0</v>
      </c>
      <c r="X50" s="33">
        <f>('TUSD BE'!$Y$50+'TUSD BF'!$Y$50+'TUSD CVA'!$Y$50)*(1 - 0.4)</f>
        <v>26.536698439146953</v>
      </c>
      <c r="Y50" s="33">
        <f>('TUSD BE'!$Z$50+'TUSD BF'!$Z$50+'TUSD CVA'!$Z$50)*(1 - 0.4)</f>
        <v>0</v>
      </c>
      <c r="Z50" s="33">
        <f>('TUSD BE'!$AA$50+'TUSD BF'!$AA$50+'TUSD CVA'!$AA$50)*(1 - 0.4)</f>
        <v>0</v>
      </c>
      <c r="AA50" s="33">
        <f>('TUSD BE'!$AC$50+'TUSD BF'!$AC$50+'TUSD CVA'!$AC$50)*(1 - 0.4)</f>
        <v>118.21884180442328</v>
      </c>
      <c r="AB50" s="33">
        <f ca="1">('TUSD BE'!$AE$50+'TUSD BF'!$AE$50+'TUSD CVA'!$AE$50)*(1 - 0.4)</f>
        <v>0</v>
      </c>
      <c r="AC50" s="33">
        <f ca="1">('TUSD BE'!$AF$50+'TUSD BF'!$AF$50+'TUSD CVA'!$AF$50)*(1 - 0.4)</f>
        <v>0</v>
      </c>
      <c r="AD50" s="33">
        <f>('TUSD BE'!$AH$50+'TUSD BF'!$AH$50+'TUSD CVA'!$AH$50)*(1 - 0.4)</f>
        <v>25.606335333656787</v>
      </c>
      <c r="AE50" s="33">
        <f>('TUSD BE'!$AI$50+'TUSD BF'!$AI$50+'TUSD CVA'!$AI$50)*(1 - 0.4)</f>
        <v>5.6856401873453158E-2</v>
      </c>
      <c r="AF50" s="33">
        <f ca="1">('TUSD BE'!$AJ$50+'TUSD BF'!$AJ$50+'TUSD CVA'!$AJ$50)*(1 - 0.4)</f>
        <v>0.46095765004401978</v>
      </c>
      <c r="AG50" s="33">
        <f ca="1">('TUSD BE'!$AK$50+'TUSD BF'!$AK$50+'TUSD CVA'!$AK$50)*(1 - 0.4)</f>
        <v>2.9693030006474657</v>
      </c>
      <c r="AI50" s="33">
        <v>0</v>
      </c>
      <c r="AJ50" s="33">
        <v>0.39302455328060198</v>
      </c>
      <c r="AK50" s="33">
        <v>1.84198974930299</v>
      </c>
      <c r="AL50" s="33">
        <v>-2.68368102803121E-3</v>
      </c>
      <c r="AM50" s="33">
        <v>0</v>
      </c>
      <c r="AN50" s="33">
        <v>0</v>
      </c>
      <c r="AO50" s="33">
        <v>0</v>
      </c>
      <c r="AP50" s="33">
        <v>0</v>
      </c>
      <c r="AQ50" s="33">
        <v>6.8545943616474698</v>
      </c>
      <c r="AR50" s="33">
        <v>-2.9136904318286202E-3</v>
      </c>
      <c r="AS50" s="33">
        <v>0</v>
      </c>
      <c r="AT50" s="33">
        <v>0</v>
      </c>
      <c r="AU50" s="33">
        <v>21.273907477006201</v>
      </c>
      <c r="AV50" s="33">
        <v>0</v>
      </c>
      <c r="AW50" s="33">
        <v>0</v>
      </c>
      <c r="AX50" s="33">
        <v>105.234848061771</v>
      </c>
      <c r="AY50" s="33">
        <v>-2.82246628246084E-2</v>
      </c>
      <c r="AZ50" s="33">
        <v>0</v>
      </c>
      <c r="BA50" s="33">
        <v>23.665438380726702</v>
      </c>
      <c r="BB50" s="33">
        <v>8.2233766755293994E-2</v>
      </c>
      <c r="BC50" s="33">
        <v>0.44760708345092898</v>
      </c>
      <c r="BD50" s="33">
        <v>1.8623937676473401</v>
      </c>
    </row>
    <row r="51" spans="1:56" ht="11.25" customHeight="1" x14ac:dyDescent="0.25">
      <c r="A51" s="116"/>
      <c r="B51" s="116"/>
      <c r="C51" s="116"/>
      <c r="D51" s="80" t="s">
        <v>31</v>
      </c>
      <c r="E51" s="80" t="s">
        <v>25</v>
      </c>
      <c r="F51" s="80" t="s">
        <v>25</v>
      </c>
      <c r="G51" s="36" t="s">
        <v>123</v>
      </c>
      <c r="H51" s="36" t="s">
        <v>117</v>
      </c>
      <c r="I51" s="36">
        <f>'MERCADO TUSD'!$U$48</f>
        <v>0</v>
      </c>
      <c r="J51" s="16"/>
      <c r="L51" s="33">
        <f>('TUSD BE'!$L$51+'TUSD BF'!$L$51+'TUSD CVA'!$L$51)*(1 - 0.1)</f>
        <v>0</v>
      </c>
      <c r="M51" s="33">
        <f>('TUSD BE'!$M$51+'TUSD BF'!$M$51+'TUSD CVA'!$M$51)*(1 - 0.1)</f>
        <v>0.74676705482953565</v>
      </c>
      <c r="N51" s="33">
        <f ca="1">('TUSD BE'!$N$51+'TUSD BF'!$N$51+'TUSD CVA'!$N$51)*(1 - 0.1)</f>
        <v>3.3160915270629978</v>
      </c>
      <c r="O51" s="33">
        <f>('TUSD BE'!$O$51+'TUSD BF'!$O$51+'TUSD CVA'!$O$51)*(1 - 0.1)</f>
        <v>-4.5295285983554716E-3</v>
      </c>
      <c r="P51" s="33">
        <v>0</v>
      </c>
      <c r="Q51" s="33">
        <f>('TUSD BE'!$Q$51+'TUSD BF'!$Q$51+'TUSD CVA'!$Q$51)*(1 - 0.1)</f>
        <v>0</v>
      </c>
      <c r="R51" s="33">
        <v>0</v>
      </c>
      <c r="S51" s="33">
        <f>('TUSD BE'!$S$51+'TUSD BF'!$S$51+'TUSD CVA'!$S$51)*(1 - 0.1)</f>
        <v>0</v>
      </c>
      <c r="T51" s="33">
        <f>('TUSD BE'!$U$51+'TUSD BF'!$U$51+'TUSD CVA'!$U$51)*(1 - 0.1)</f>
        <v>13.477123288552285</v>
      </c>
      <c r="U51" s="33">
        <f>('TUSD BE'!$V$51+'TUSD BF'!$V$51+'TUSD CVA'!$V$51)*(1 - 0.1)</f>
        <v>0.15314351766841977</v>
      </c>
      <c r="V51" s="33">
        <f>('TUSD BE'!$W$51+'TUSD BF'!$W$51+'TUSD CVA'!$W$51)*(1 - 0.1)</f>
        <v>0</v>
      </c>
      <c r="W51" s="33">
        <f>('TUSD BE'!$X$51+'TUSD BF'!$X$51+'TUSD CVA'!$X$51)*(1 - 0.1)</f>
        <v>0</v>
      </c>
      <c r="X51" s="33">
        <f>('TUSD BE'!$Y$51+'TUSD BF'!$Y$51+'TUSD CVA'!$Y$51)*(1 - 0.1)</f>
        <v>39.805047658720433</v>
      </c>
      <c r="Y51" s="33">
        <f>('TUSD BE'!$Z$51+'TUSD BF'!$Z$51+'TUSD CVA'!$Z$51)*(1 - 0.1)</f>
        <v>0</v>
      </c>
      <c r="Z51" s="33">
        <f>('TUSD BE'!$AA$51+'TUSD BF'!$AA$51+'TUSD CVA'!$AA$51)*(1 - 0.1)</f>
        <v>0</v>
      </c>
      <c r="AA51" s="33">
        <f>('TUSD BE'!$AC$51+'TUSD BF'!$AC$51+'TUSD CVA'!$AC$51)*(1 - 0.1)</f>
        <v>177.32826270663494</v>
      </c>
      <c r="AB51" s="33">
        <f ca="1">('TUSD BE'!$AE$51+'TUSD BF'!$AE$51+'TUSD CVA'!$AE$51)*(1 - 0.1)</f>
        <v>0</v>
      </c>
      <c r="AC51" s="33">
        <f ca="1">('TUSD BE'!$AF$51+'TUSD BF'!$AF$51+'TUSD CVA'!$AF$51)*(1 - 0.1)</f>
        <v>0</v>
      </c>
      <c r="AD51" s="33">
        <f>('TUSD BE'!$AH$51+'TUSD BF'!$AH$51+'TUSD CVA'!$AH$51)*(1 - 0.1)</f>
        <v>38.409503000485181</v>
      </c>
      <c r="AE51" s="33">
        <f>('TUSD BE'!$AI$51+'TUSD BF'!$AI$51+'TUSD CVA'!$AI$51)*(1 - 0.1)</f>
        <v>8.5284602810179744E-2</v>
      </c>
      <c r="AF51" s="33">
        <f ca="1">('TUSD BE'!$AJ$51+'TUSD BF'!$AJ$51+'TUSD CVA'!$AJ$51)*(1 - 0.1)</f>
        <v>0.69143647506602968</v>
      </c>
      <c r="AG51" s="33">
        <f ca="1">('TUSD BE'!$AK$51+'TUSD BF'!$AK$51+'TUSD CVA'!$AK$51)*(1 - 0.1)</f>
        <v>4.4539545009711992</v>
      </c>
      <c r="AI51" s="33">
        <v>0</v>
      </c>
      <c r="AJ51" s="33">
        <v>0.58953682992090295</v>
      </c>
      <c r="AK51" s="33">
        <v>2.76298462395448</v>
      </c>
      <c r="AL51" s="33">
        <v>-4.02552154204681E-3</v>
      </c>
      <c r="AM51" s="33">
        <v>0</v>
      </c>
      <c r="AN51" s="33">
        <v>0</v>
      </c>
      <c r="AO51" s="33">
        <v>0</v>
      </c>
      <c r="AP51" s="33">
        <v>0</v>
      </c>
      <c r="AQ51" s="33">
        <v>10.2818915424712</v>
      </c>
      <c r="AR51" s="33">
        <v>-4.3705356477429401E-3</v>
      </c>
      <c r="AS51" s="33">
        <v>0</v>
      </c>
      <c r="AT51" s="33">
        <v>0</v>
      </c>
      <c r="AU51" s="33">
        <v>31.9108612155093</v>
      </c>
      <c r="AV51" s="33">
        <v>0</v>
      </c>
      <c r="AW51" s="33">
        <v>0</v>
      </c>
      <c r="AX51" s="33">
        <v>157.85227209265599</v>
      </c>
      <c r="AY51" s="33">
        <v>-4.2336994236912603E-2</v>
      </c>
      <c r="AZ51" s="33">
        <v>0</v>
      </c>
      <c r="BA51" s="33">
        <v>35.498157571090097</v>
      </c>
      <c r="BB51" s="33">
        <v>0.123350650132941</v>
      </c>
      <c r="BC51" s="33">
        <v>0.67141062517639405</v>
      </c>
      <c r="BD51" s="33">
        <v>2.7935906514709998</v>
      </c>
    </row>
    <row r="52" spans="1:56" ht="11.25" customHeight="1" x14ac:dyDescent="0.25">
      <c r="A52" s="116"/>
      <c r="B52" s="116"/>
      <c r="C52" s="116"/>
      <c r="D52" s="80" t="s">
        <v>32</v>
      </c>
      <c r="E52" s="80" t="s">
        <v>25</v>
      </c>
      <c r="F52" s="80" t="s">
        <v>25</v>
      </c>
      <c r="G52" s="36" t="s">
        <v>123</v>
      </c>
      <c r="H52" s="36" t="s">
        <v>117</v>
      </c>
      <c r="I52" s="36">
        <f>'MERCADO TUSD'!$U$49</f>
        <v>0</v>
      </c>
      <c r="J52" s="16"/>
      <c r="L52" s="33">
        <f>('TUSD BE'!$L$52+'TUSD BF'!$L$52+'TUSD CVA'!$L$52)*1</f>
        <v>0</v>
      </c>
      <c r="M52" s="33">
        <f>('TUSD BE'!$M$52+'TUSD BF'!$M$52+'TUSD CVA'!$M$52)*1</f>
        <v>0.82974117203281739</v>
      </c>
      <c r="N52" s="33">
        <f ca="1">('TUSD BE'!$N$52+'TUSD BF'!$N$52+'TUSD CVA'!$N$52)*1</f>
        <v>3.6845461411811087</v>
      </c>
      <c r="O52" s="33">
        <f>('TUSD BE'!$O$52+'TUSD BF'!$O$52+'TUSD CVA'!$O$52)*1</f>
        <v>-5.032809553728302E-3</v>
      </c>
      <c r="P52" s="33">
        <v>0</v>
      </c>
      <c r="Q52" s="33">
        <f>('TUSD BE'!$Q$52+'TUSD BF'!$Q$52+'TUSD CVA'!$Q$52)*1</f>
        <v>0</v>
      </c>
      <c r="R52" s="33">
        <v>0</v>
      </c>
      <c r="S52" s="33">
        <f>('TUSD BE'!$S$52+'TUSD BF'!$S$52+'TUSD CVA'!$S$52)*1</f>
        <v>0</v>
      </c>
      <c r="T52" s="33">
        <f>('TUSD BE'!$U$52+'TUSD BF'!$U$52+'TUSD CVA'!$U$52)*1</f>
        <v>14.974581431724761</v>
      </c>
      <c r="U52" s="33">
        <f>('TUSD BE'!$V$52+'TUSD BF'!$V$52+'TUSD CVA'!$V$52)*1</f>
        <v>0.17015946407602195</v>
      </c>
      <c r="V52" s="33">
        <f>('TUSD BE'!$W$52+'TUSD BF'!$W$52+'TUSD CVA'!$W$52)*1</f>
        <v>0</v>
      </c>
      <c r="W52" s="33">
        <f>('TUSD BE'!$X$52+'TUSD BF'!$X$52+'TUSD CVA'!$X$52)*1</f>
        <v>0</v>
      </c>
      <c r="X52" s="33">
        <f>('TUSD BE'!$Y$52+'TUSD BF'!$Y$52+'TUSD CVA'!$Y$52)*1</f>
        <v>44.227830731911588</v>
      </c>
      <c r="Y52" s="33">
        <f>('TUSD BE'!$Z$52+'TUSD BF'!$Z$52+'TUSD CVA'!$Z$52)*1</f>
        <v>0</v>
      </c>
      <c r="Z52" s="33">
        <f>('TUSD BE'!$AA$52+'TUSD BF'!$AA$52+'TUSD CVA'!$AA$52)*1</f>
        <v>0</v>
      </c>
      <c r="AA52" s="33">
        <f>('TUSD BE'!$AC$52+'TUSD BF'!$AC$52+'TUSD CVA'!$AC$52)*1</f>
        <v>197.03140300737215</v>
      </c>
      <c r="AB52" s="33">
        <f ca="1">('TUSD BE'!$AE$52+'TUSD BF'!$AE$52+'TUSD CVA'!$AE$52)*1</f>
        <v>0</v>
      </c>
      <c r="AC52" s="33">
        <f ca="1">('TUSD BE'!$AF$52+'TUSD BF'!$AF$52+'TUSD CVA'!$AF$52)*1</f>
        <v>0</v>
      </c>
      <c r="AD52" s="33">
        <f>('TUSD BE'!$AH$52+'TUSD BF'!$AH$52+'TUSD CVA'!$AH$52)*1</f>
        <v>42.677225556094648</v>
      </c>
      <c r="AE52" s="33">
        <f>('TUSD BE'!$AI$52+'TUSD BF'!$AI$52+'TUSD CVA'!$AI$52)*1</f>
        <v>9.4760669789088606E-2</v>
      </c>
      <c r="AF52" s="33">
        <f ca="1">('TUSD BE'!$AJ$52+'TUSD BF'!$AJ$52+'TUSD CVA'!$AJ$52)*1</f>
        <v>0.76826275007336631</v>
      </c>
      <c r="AG52" s="33">
        <f ca="1">('TUSD BE'!$AK$52+'TUSD BF'!$AK$52+'TUSD CVA'!$AK$52)*1</f>
        <v>4.9488383344124429</v>
      </c>
      <c r="AI52" s="33">
        <v>0</v>
      </c>
      <c r="AJ52" s="33">
        <v>0.65504092213433596</v>
      </c>
      <c r="AK52" s="33">
        <v>3.0699829155049798</v>
      </c>
      <c r="AL52" s="33">
        <v>-4.4728017133853397E-3</v>
      </c>
      <c r="AM52" s="33">
        <v>0</v>
      </c>
      <c r="AN52" s="33">
        <v>0</v>
      </c>
      <c r="AO52" s="33">
        <v>0</v>
      </c>
      <c r="AP52" s="33">
        <v>0</v>
      </c>
      <c r="AQ52" s="33">
        <v>11.4243239360791</v>
      </c>
      <c r="AR52" s="33">
        <v>-4.8561507197143697E-3</v>
      </c>
      <c r="AS52" s="33">
        <v>0</v>
      </c>
      <c r="AT52" s="33">
        <v>0</v>
      </c>
      <c r="AU52" s="33">
        <v>35.456512461677001</v>
      </c>
      <c r="AV52" s="33">
        <v>0</v>
      </c>
      <c r="AW52" s="33">
        <v>0</v>
      </c>
      <c r="AX52" s="33">
        <v>175.39141343628401</v>
      </c>
      <c r="AY52" s="33">
        <v>-4.7041104707680602E-2</v>
      </c>
      <c r="AZ52" s="33">
        <v>0</v>
      </c>
      <c r="BA52" s="33">
        <v>39.442397301211201</v>
      </c>
      <c r="BB52" s="33">
        <v>0.13705627792548999</v>
      </c>
      <c r="BC52" s="33">
        <v>0.74601180575154902</v>
      </c>
      <c r="BD52" s="33">
        <v>3.10398961274556</v>
      </c>
    </row>
    <row r="53" spans="1:56" ht="11.25" customHeight="1" x14ac:dyDescent="0.25">
      <c r="A53" s="116" t="s">
        <v>44</v>
      </c>
      <c r="B53" s="116" t="s">
        <v>33</v>
      </c>
      <c r="C53" s="116" t="s">
        <v>45</v>
      </c>
      <c r="D53" s="116" t="s">
        <v>25</v>
      </c>
      <c r="E53" s="116" t="s">
        <v>25</v>
      </c>
      <c r="F53" s="116" t="s">
        <v>25</v>
      </c>
      <c r="G53" s="36" t="s">
        <v>118</v>
      </c>
      <c r="H53" s="36" t="s">
        <v>117</v>
      </c>
      <c r="I53" s="36">
        <f>'MERCADO TUSD'!$U$50</f>
        <v>0.49600000000000005</v>
      </c>
      <c r="J53" s="16"/>
      <c r="L53" s="33">
        <f>('TUSD BE'!$L$53+'TUSD BF'!$L$53+'TUSD CVA'!$L$53)*(1 - CUSTOS!$M$38)</f>
        <v>2.1921919771727132</v>
      </c>
      <c r="M53" s="33">
        <f>('TUSD BE'!$M$53+'TUSD BF'!$M$53+'TUSD CVA'!$M$53)*(1 - CUSTOS!$M$38)</f>
        <v>0.7799567017108483</v>
      </c>
      <c r="N53" s="33">
        <f ca="1">('TUSD BE'!$N$53+'TUSD BF'!$N$53+'TUSD CVA'!$N$53)*(1 - CUSTOS!$M$38)</f>
        <v>8.1279308922461286</v>
      </c>
      <c r="O53" s="33">
        <f>('TUSD BE'!$O$53+'TUSD BF'!$O$53+'TUSD CVA'!$O$53)*(1 - CUSTOS!$M$38)</f>
        <v>-4.7308409805046038E-3</v>
      </c>
      <c r="P53" s="33">
        <f>('TUSD BE'!$P$53+'TUSD BF'!$P$53+'TUSD CVA'!$P$53)*(1 - CUSTOS!$M$38)</f>
        <v>0</v>
      </c>
      <c r="Q53" s="33">
        <f>('TUSD BE'!$Q$53+'TUSD BF'!$Q$53+'TUSD CVA'!$Q$53)*(1 - CUSTOS!$M$38)</f>
        <v>100.5259104643449</v>
      </c>
      <c r="R53" s="33">
        <f>('TUSD BE'!$R$53+'TUSD BF'!$R$53+'TUSD CVA'!$R$53)*(1 - CUSTOS!$M$38)</f>
        <v>17.010572338069682</v>
      </c>
      <c r="S53" s="33">
        <f>('TUSD BE'!$S$53+'TUSD BF'!$S$53+'TUSD CVA'!$S$53)*(1 - CUSTOS!$M$38)</f>
        <v>0</v>
      </c>
      <c r="T53" s="33">
        <f>('TUSD BE'!$U$53+'TUSD BF'!$U$53+'TUSD CVA'!$U$53)*(1 - CUSTOS!$M$38)</f>
        <v>40.116810719458677</v>
      </c>
      <c r="U53" s="33">
        <f>('TUSD BE'!$V$53+'TUSD BF'!$V$53+'TUSD CVA'!$V$53)*(1 - CUSTOS!$M$38)</f>
        <v>0.45586389352524792</v>
      </c>
      <c r="V53" s="33">
        <f>('TUSD BE'!$W$53+'TUSD BF'!$W$53+'TUSD CVA'!$W$53)*(1 - CUSTOS!$M$38)</f>
        <v>0</v>
      </c>
      <c r="W53" s="33">
        <f>('TUSD BE'!$X$53+'TUSD BF'!$X$53+'TUSD CVA'!$X$53)*(1 - CUSTOS!$M$38)</f>
        <v>0</v>
      </c>
      <c r="X53" s="33">
        <f>('TUSD BE'!$Y$53+'TUSD BF'!$Y$53+'TUSD CVA'!$Y$53)*(1 - CUSTOS!$M$38)</f>
        <v>118.48642456624513</v>
      </c>
      <c r="Y53" s="33">
        <f>('TUSD BE'!$Z$53+'TUSD BF'!$Z$53+'TUSD CVA'!$Z$53)*(1 - CUSTOS!$M$38)</f>
        <v>0</v>
      </c>
      <c r="Z53" s="33">
        <f>('TUSD BE'!$AA$53+'TUSD BF'!$AA$53+'TUSD CVA'!$AA$53)*(1 - CUSTOS!$M$38)</f>
        <v>0</v>
      </c>
      <c r="AA53" s="33">
        <f>('TUSD BE'!$AC$53+'TUSD BF'!$AC$53+'TUSD CVA'!$AC$53)*(1 - CUSTOS!$M$38)</f>
        <v>527.84715478595001</v>
      </c>
      <c r="AB53" s="33">
        <f ca="1">('TUSD BE'!$AE$53+'TUSD BF'!$AE$53+'TUSD CVA'!$AE$53)*(1 - CUSTOS!$M$38)</f>
        <v>0</v>
      </c>
      <c r="AC53" s="33">
        <f ca="1">('TUSD BE'!$AF$53+'TUSD BF'!$AF$53+'TUSD CVA'!$AF$53)*(1 - CUSTOS!$M$38)</f>
        <v>0</v>
      </c>
      <c r="AD53" s="33">
        <f>('TUSD BE'!$AH$53+'TUSD BF'!$AH$53+'TUSD CVA'!$AH$53)*(1 - CUSTOS!$M$38)</f>
        <v>40.116592022728966</v>
      </c>
      <c r="AE53" s="33">
        <f>('TUSD BE'!$AI$53+'TUSD BF'!$AI$53+'TUSD CVA'!$AI$53)*(1 - CUSTOS!$M$38)</f>
        <v>8.907502960174328E-2</v>
      </c>
      <c r="AF53" s="33">
        <f ca="1">('TUSD BE'!$AJ$53+'TUSD BF'!$AJ$53+'TUSD CVA'!$AJ$53)*(1 - CUSTOS!$M$38)</f>
        <v>0.72216698506896426</v>
      </c>
      <c r="AG53" s="33">
        <f ca="1">('TUSD BE'!$AK$53+'TUSD BF'!$AK$53+'TUSD CVA'!$AK$53)*(1 - CUSTOS!$M$38)</f>
        <v>4.651908034347696</v>
      </c>
      <c r="AI53" s="33">
        <v>8.9261704365460997</v>
      </c>
      <c r="AJ53" s="33">
        <v>0.57643601147821599</v>
      </c>
      <c r="AK53" s="33">
        <v>6.34158846711086</v>
      </c>
      <c r="AL53" s="33">
        <v>-3.9360655077790999E-3</v>
      </c>
      <c r="AM53" s="33">
        <v>0</v>
      </c>
      <c r="AN53" s="33">
        <v>46.688258833346403</v>
      </c>
      <c r="AO53" s="33">
        <v>8.7278782948879901</v>
      </c>
      <c r="AP53" s="33">
        <v>0</v>
      </c>
      <c r="AQ53" s="33">
        <v>28.6521380550519</v>
      </c>
      <c r="AR53" s="33">
        <v>-1.21794047234594E-2</v>
      </c>
      <c r="AS53" s="33">
        <v>0</v>
      </c>
      <c r="AT53" s="33">
        <v>0</v>
      </c>
      <c r="AU53" s="33">
        <v>88.924982814007606</v>
      </c>
      <c r="AV53" s="33">
        <v>0</v>
      </c>
      <c r="AW53" s="33">
        <v>0</v>
      </c>
      <c r="AX53" s="33">
        <v>439.88168667298299</v>
      </c>
      <c r="AY53" s="33">
        <v>-0.11690285096372</v>
      </c>
      <c r="AZ53" s="33">
        <v>0</v>
      </c>
      <c r="BA53" s="33">
        <v>34.709309625065899</v>
      </c>
      <c r="BB53" s="33">
        <v>0.120609524574431</v>
      </c>
      <c r="BC53" s="33">
        <v>0.65649038906136303</v>
      </c>
      <c r="BD53" s="33">
        <v>2.7315108592160899</v>
      </c>
    </row>
    <row r="54" spans="1:56" ht="11.25" customHeight="1" x14ac:dyDescent="0.25">
      <c r="A54" s="116"/>
      <c r="B54" s="116"/>
      <c r="C54" s="116"/>
      <c r="D54" s="116"/>
      <c r="E54" s="116"/>
      <c r="F54" s="116"/>
      <c r="G54" s="36" t="s">
        <v>128</v>
      </c>
      <c r="H54" s="36" t="s">
        <v>117</v>
      </c>
      <c r="I54" s="36">
        <f>'MERCADO TUSD'!$U$51</f>
        <v>0.27600000000000002</v>
      </c>
      <c r="J54" s="16"/>
      <c r="L54" s="33">
        <f>('TUSD BE'!$L$54+'TUSD BF'!$L$54+'TUSD CVA'!$L$54)*(1 - CUSTOS!$M$38)</f>
        <v>2.1921919771727132</v>
      </c>
      <c r="M54" s="33">
        <f>('TUSD BE'!$M$54+'TUSD BF'!$M$54+'TUSD CVA'!$M$54)*(1 - CUSTOS!$M$38)</f>
        <v>0.7799567017108483</v>
      </c>
      <c r="N54" s="33">
        <f ca="1">('TUSD BE'!$N$54+'TUSD BF'!$N$54+'TUSD CVA'!$N$54)*(1 - CUSTOS!$M$38)</f>
        <v>5.2603689557001321</v>
      </c>
      <c r="O54" s="33">
        <f>('TUSD BE'!$O$54+'TUSD BF'!$O$54+'TUSD CVA'!$O$54)*(1 - CUSTOS!$M$38)</f>
        <v>-4.7308409805046038E-3</v>
      </c>
      <c r="P54" s="33">
        <f>('TUSD BE'!$P$54+'TUSD BF'!$P$54+'TUSD CVA'!$P$54)*(1 - CUSTOS!$M$38)</f>
        <v>0</v>
      </c>
      <c r="Q54" s="33">
        <f>('TUSD BE'!$Q$54+'TUSD BF'!$Q$54+'TUSD CVA'!$Q$54)*(1 - CUSTOS!$M$38)</f>
        <v>100.5259104643449</v>
      </c>
      <c r="R54" s="33">
        <f>('TUSD BE'!$R$54+'TUSD BF'!$R$54+'TUSD CVA'!$R$54)*(1 - CUSTOS!$M$38)</f>
        <v>17.010572338069682</v>
      </c>
      <c r="S54" s="33">
        <f>('TUSD BE'!$S$54+'TUSD BF'!$S$54+'TUSD CVA'!$S$54)*(1 - CUSTOS!$M$38)</f>
        <v>0</v>
      </c>
      <c r="T54" s="33">
        <f>('TUSD BE'!$U$54+'TUSD BF'!$U$54+'TUSD CVA'!$U$54)*(1 - CUSTOS!$M$38)</f>
        <v>24.070130166325541</v>
      </c>
      <c r="U54" s="33">
        <f>('TUSD BE'!$V$54+'TUSD BF'!$V$54+'TUSD CVA'!$V$54)*(1 - CUSTOS!$M$38)</f>
        <v>0.2735145136776716</v>
      </c>
      <c r="V54" s="33">
        <f>('TUSD BE'!$W$54+'TUSD BF'!$W$54+'TUSD CVA'!$W$54)*(1 - CUSTOS!$M$38)</f>
        <v>0</v>
      </c>
      <c r="W54" s="33">
        <f>('TUSD BE'!$X$54+'TUSD BF'!$X$54+'TUSD CVA'!$X$54)*(1 - CUSTOS!$M$38)</f>
        <v>0</v>
      </c>
      <c r="X54" s="33">
        <f>('TUSD BE'!$Y$54+'TUSD BF'!$Y$54+'TUSD CVA'!$Y$54)*(1 - CUSTOS!$M$38)</f>
        <v>71.091788704293094</v>
      </c>
      <c r="Y54" s="33">
        <f>('TUSD BE'!$Z$54+'TUSD BF'!$Z$54+'TUSD CVA'!$Z$54)*(1 - CUSTOS!$M$38)</f>
        <v>0</v>
      </c>
      <c r="Z54" s="33">
        <f>('TUSD BE'!$AA$54+'TUSD BF'!$AA$54+'TUSD CVA'!$AA$54)*(1 - CUSTOS!$M$38)</f>
        <v>0</v>
      </c>
      <c r="AA54" s="33">
        <f>('TUSD BE'!$AC$54+'TUSD BF'!$AC$54+'TUSD CVA'!$AC$54)*(1 - CUSTOS!$M$38)</f>
        <v>316.70827196821</v>
      </c>
      <c r="AB54" s="33">
        <f ca="1">('TUSD BE'!$AE$54+'TUSD BF'!$AE$54+'TUSD CVA'!$AE$54)*(1 - CUSTOS!$M$38)</f>
        <v>0</v>
      </c>
      <c r="AC54" s="33">
        <f ca="1">('TUSD BE'!$AF$54+'TUSD BF'!$AF$54+'TUSD CVA'!$AF$54)*(1 - CUSTOS!$M$38)</f>
        <v>0</v>
      </c>
      <c r="AD54" s="33">
        <f>('TUSD BE'!$AH$54+'TUSD BF'!$AH$54+'TUSD CVA'!$AH$54)*(1 - CUSTOS!$M$38)</f>
        <v>40.116592022728966</v>
      </c>
      <c r="AE54" s="33">
        <f>('TUSD BE'!$AI$54+'TUSD BF'!$AI$54+'TUSD CVA'!$AI$54)*(1 - CUSTOS!$M$38)</f>
        <v>8.907502960174328E-2</v>
      </c>
      <c r="AF54" s="33">
        <f ca="1">('TUSD BE'!$AJ$54+'TUSD BF'!$AJ$54+'TUSD CVA'!$AJ$54)*(1 - CUSTOS!$M$38)</f>
        <v>0.72216698506896426</v>
      </c>
      <c r="AG54" s="33">
        <f ca="1">('TUSD BE'!$AK$54+'TUSD BF'!$AK$54+'TUSD CVA'!$AK$54)*(1 - CUSTOS!$M$38)</f>
        <v>4.651908034347696</v>
      </c>
      <c r="AI54" s="33">
        <v>8.9261704365460997</v>
      </c>
      <c r="AJ54" s="33">
        <v>0.57643601147821599</v>
      </c>
      <c r="AK54" s="33">
        <v>4.1038286748986197</v>
      </c>
      <c r="AL54" s="33">
        <v>-3.9360655077790999E-3</v>
      </c>
      <c r="AM54" s="33">
        <v>0</v>
      </c>
      <c r="AN54" s="33">
        <v>46.688258833346403</v>
      </c>
      <c r="AO54" s="33">
        <v>8.7278782948879901</v>
      </c>
      <c r="AP54" s="33">
        <v>0</v>
      </c>
      <c r="AQ54" s="33">
        <v>17.1913140690944</v>
      </c>
      <c r="AR54" s="33">
        <v>-7.3075407092666397E-3</v>
      </c>
      <c r="AS54" s="33">
        <v>0</v>
      </c>
      <c r="AT54" s="33">
        <v>0</v>
      </c>
      <c r="AU54" s="33">
        <v>53.354940128282998</v>
      </c>
      <c r="AV54" s="33">
        <v>0</v>
      </c>
      <c r="AW54" s="33">
        <v>0</v>
      </c>
      <c r="AX54" s="33">
        <v>263.92899458396403</v>
      </c>
      <c r="AY54" s="33">
        <v>-7.7664267292312197E-2</v>
      </c>
      <c r="AZ54" s="33">
        <v>0</v>
      </c>
      <c r="BA54" s="33">
        <v>34.709309625065899</v>
      </c>
      <c r="BB54" s="33">
        <v>0.120609524574431</v>
      </c>
      <c r="BC54" s="33">
        <v>0.65649038906136303</v>
      </c>
      <c r="BD54" s="33">
        <v>2.7315108592160899</v>
      </c>
    </row>
    <row r="55" spans="1:56" ht="11.25" customHeight="1" x14ac:dyDescent="0.25">
      <c r="A55" s="116"/>
      <c r="B55" s="116"/>
      <c r="C55" s="116"/>
      <c r="D55" s="116"/>
      <c r="E55" s="116"/>
      <c r="F55" s="116"/>
      <c r="G55" s="36" t="s">
        <v>119</v>
      </c>
      <c r="H55" s="36" t="s">
        <v>117</v>
      </c>
      <c r="I55" s="36">
        <f>'MERCADO TUSD'!$U$52</f>
        <v>5.1340000000000003</v>
      </c>
      <c r="J55" s="16"/>
      <c r="L55" s="33">
        <f>('TUSD BE'!$L$55+'TUSD BF'!$L$55+'TUSD CVA'!$L$55)*(1 - CUSTOS!$M$38)</f>
        <v>2.1921919771727132</v>
      </c>
      <c r="M55" s="33">
        <f>('TUSD BE'!$M$55+'TUSD BF'!$M$55+'TUSD CVA'!$M$55)*(1 - CUSTOS!$M$38)</f>
        <v>0.7799567017108483</v>
      </c>
      <c r="N55" s="33">
        <f ca="1">('TUSD BE'!$N$55+'TUSD BF'!$N$55+'TUSD CVA'!$N$55)*(1 - CUSTOS!$M$38)</f>
        <v>2.3928081150580578</v>
      </c>
      <c r="O55" s="33">
        <f>('TUSD BE'!$O$55+'TUSD BF'!$O$55+'TUSD CVA'!$O$55)*(1 - CUSTOS!$M$38)</f>
        <v>-4.7308409805046038E-3</v>
      </c>
      <c r="P55" s="33">
        <f>('TUSD BE'!$P$55+'TUSD BF'!$P$55+'TUSD CVA'!$P$55)*(1 - CUSTOS!$M$38)</f>
        <v>0</v>
      </c>
      <c r="Q55" s="33">
        <f>('TUSD BE'!$Q$55+'TUSD BF'!$Q$55+'TUSD CVA'!$Q$55)*(1 - CUSTOS!$M$38)</f>
        <v>100.5259104643449</v>
      </c>
      <c r="R55" s="33">
        <f>('TUSD BE'!$R$55+'TUSD BF'!$R$55+'TUSD CVA'!$R$55)*(1 - CUSTOS!$M$38)</f>
        <v>17.010572338069682</v>
      </c>
      <c r="S55" s="33">
        <f>('TUSD BE'!$S$55+'TUSD BF'!$S$55+'TUSD CVA'!$S$55)*(1 - CUSTOS!$M$38)</f>
        <v>0</v>
      </c>
      <c r="T55" s="33">
        <f>('TUSD BE'!$U$55+'TUSD BF'!$U$55+'TUSD CVA'!$U$55)*(1 - CUSTOS!$M$38)</f>
        <v>8.0233402765665698</v>
      </c>
      <c r="U55" s="33">
        <f>('TUSD BE'!$V$55+'TUSD BF'!$V$55+'TUSD CVA'!$V$55)*(1 - CUSTOS!$M$38)</f>
        <v>9.1174689923788146E-2</v>
      </c>
      <c r="V55" s="33">
        <f>('TUSD BE'!$W$55+'TUSD BF'!$W$55+'TUSD CVA'!$W$55)*(1 - CUSTOS!$M$38)</f>
        <v>0</v>
      </c>
      <c r="W55" s="33">
        <f>('TUSD BE'!$X$55+'TUSD BF'!$X$55+'TUSD CVA'!$X$55)*(1 - CUSTOS!$M$38)</f>
        <v>0</v>
      </c>
      <c r="X55" s="33">
        <f>('TUSD BE'!$Y$55+'TUSD BF'!$Y$55+'TUSD CVA'!$Y$55)*(1 - CUSTOS!$M$38)</f>
        <v>23.697262901431031</v>
      </c>
      <c r="Y55" s="33">
        <f>('TUSD BE'!$Z$55+'TUSD BF'!$Z$55+'TUSD CVA'!$Z$55)*(1 - CUSTOS!$M$38)</f>
        <v>0</v>
      </c>
      <c r="Z55" s="33">
        <f>('TUSD BE'!$AA$55+'TUSD BF'!$AA$55+'TUSD CVA'!$AA$55)*(1 - CUSTOS!$M$38)</f>
        <v>0</v>
      </c>
      <c r="AA55" s="33">
        <f>('TUSD BE'!$AC$55+'TUSD BF'!$AC$55+'TUSD CVA'!$AC$55)*(1 - CUSTOS!$M$38)</f>
        <v>105.56938915046983</v>
      </c>
      <c r="AB55" s="33">
        <f ca="1">('TUSD BE'!$AE$55+'TUSD BF'!$AE$55+'TUSD CVA'!$AE$55)*(1 - CUSTOS!$M$38)</f>
        <v>0</v>
      </c>
      <c r="AC55" s="33">
        <f ca="1">('TUSD BE'!$AF$55+'TUSD BF'!$AF$55+'TUSD CVA'!$AF$55)*(1 - CUSTOS!$M$38)</f>
        <v>0</v>
      </c>
      <c r="AD55" s="33">
        <f>('TUSD BE'!$AH$55+'TUSD BF'!$AH$55+'TUSD CVA'!$AH$55)*(1 - CUSTOS!$M$38)</f>
        <v>40.116592022728966</v>
      </c>
      <c r="AE55" s="33">
        <f>('TUSD BE'!$AI$55+'TUSD BF'!$AI$55+'TUSD CVA'!$AI$55)*(1 - CUSTOS!$M$38)</f>
        <v>8.907502960174328E-2</v>
      </c>
      <c r="AF55" s="33">
        <f ca="1">('TUSD BE'!$AJ$55+'TUSD BF'!$AJ$55+'TUSD CVA'!$AJ$55)*(1 - CUSTOS!$M$38)</f>
        <v>0.72216698506896426</v>
      </c>
      <c r="AG55" s="33">
        <f ca="1">('TUSD BE'!$AK$55+'TUSD BF'!$AK$55+'TUSD CVA'!$AK$55)*(1 - CUSTOS!$M$38)</f>
        <v>4.651908034347696</v>
      </c>
      <c r="AI55" s="33">
        <v>8.9261704365460997</v>
      </c>
      <c r="AJ55" s="33">
        <v>0.57643601147821599</v>
      </c>
      <c r="AK55" s="33">
        <v>1.8660697378971201</v>
      </c>
      <c r="AL55" s="33">
        <v>-3.9360655077790999E-3</v>
      </c>
      <c r="AM55" s="33">
        <v>0</v>
      </c>
      <c r="AN55" s="33">
        <v>46.688258833346403</v>
      </c>
      <c r="AO55" s="33">
        <v>8.7278782948879901</v>
      </c>
      <c r="AP55" s="33">
        <v>0</v>
      </c>
      <c r="AQ55" s="33">
        <v>5.7304119929787296</v>
      </c>
      <c r="AR55" s="33">
        <v>-2.4359320070963999E-3</v>
      </c>
      <c r="AS55" s="33">
        <v>0</v>
      </c>
      <c r="AT55" s="33">
        <v>0</v>
      </c>
      <c r="AU55" s="33">
        <v>17.784980042760999</v>
      </c>
      <c r="AV55" s="33">
        <v>0</v>
      </c>
      <c r="AW55" s="33">
        <v>0</v>
      </c>
      <c r="AX55" s="33">
        <v>87.976302494945699</v>
      </c>
      <c r="AY55" s="33">
        <v>-3.8425683449902402E-2</v>
      </c>
      <c r="AZ55" s="33">
        <v>0</v>
      </c>
      <c r="BA55" s="33">
        <v>34.709309625065899</v>
      </c>
      <c r="BB55" s="33">
        <v>0.120609524574431</v>
      </c>
      <c r="BC55" s="33">
        <v>0.65649038906136303</v>
      </c>
      <c r="BD55" s="33">
        <v>2.7315108592160899</v>
      </c>
    </row>
    <row r="56" spans="1:56" ht="11.25" customHeight="1" x14ac:dyDescent="0.25">
      <c r="A56" s="116"/>
      <c r="B56" s="80" t="s">
        <v>23</v>
      </c>
      <c r="C56" s="80" t="s">
        <v>45</v>
      </c>
      <c r="D56" s="80" t="s">
        <v>25</v>
      </c>
      <c r="E56" s="80" t="s">
        <v>25</v>
      </c>
      <c r="F56" s="80" t="s">
        <v>25</v>
      </c>
      <c r="G56" s="36" t="s">
        <v>123</v>
      </c>
      <c r="H56" s="36" t="s">
        <v>117</v>
      </c>
      <c r="I56" s="36">
        <f>'MERCADO TUSD'!$U$53</f>
        <v>160826.64799999999</v>
      </c>
      <c r="J56" s="16"/>
      <c r="L56" s="33">
        <f>('TUSD BE'!$L$56+'TUSD BF'!$L$56+'TUSD CVA'!$L$56)*(1 - CUSTOS!$M$38)</f>
        <v>2.1921919771727132</v>
      </c>
      <c r="M56" s="33">
        <f>('TUSD BE'!$M$56+'TUSD BF'!$M$56+'TUSD CVA'!$M$56)*(1 - CUSTOS!$M$38)</f>
        <v>0.7799567017108483</v>
      </c>
      <c r="N56" s="33">
        <f ca="1">('TUSD BE'!$N$56+'TUSD BF'!$N$56+'TUSD CVA'!$N$56)*(1 - CUSTOS!$M$38)</f>
        <v>3.4744324119607017</v>
      </c>
      <c r="O56" s="33">
        <f>('TUSD BE'!$O$56+'TUSD BF'!$O$56+'TUSD CVA'!$O$56)*(1 - CUSTOS!$M$38)</f>
        <v>-4.7308409805046038E-3</v>
      </c>
      <c r="P56" s="33">
        <f>('TUSD BE'!$P$56+'TUSD BF'!$P$56+'TUSD CVA'!$P$56)*(1 - CUSTOS!$M$38)</f>
        <v>0</v>
      </c>
      <c r="Q56" s="33">
        <f>('TUSD BE'!$Q$56+'TUSD BF'!$Q$56+'TUSD CVA'!$Q$56)*(1 - CUSTOS!$M$38)</f>
        <v>100.5259104643449</v>
      </c>
      <c r="R56" s="33">
        <f>('TUSD BE'!$R$56+'TUSD BF'!$R$56+'TUSD CVA'!$R$56)*(1 - CUSTOS!$M$38)</f>
        <v>17.010572338069682</v>
      </c>
      <c r="S56" s="33">
        <f>('TUSD BE'!$S$56+'TUSD BF'!$S$56+'TUSD CVA'!$S$56)*(1 - CUSTOS!$M$38)</f>
        <v>0</v>
      </c>
      <c r="T56" s="33">
        <f>('TUSD BE'!$U$56+'TUSD BF'!$U$56+'TUSD CVA'!$U$56)*(1 - CUSTOS!$M$38)</f>
        <v>14.076106545821276</v>
      </c>
      <c r="U56" s="33">
        <f>('TUSD BE'!$V$56+'TUSD BF'!$V$56+'TUSD CVA'!$V$56)*(1 - CUSTOS!$M$38)</f>
        <v>0.15994989623146064</v>
      </c>
      <c r="V56" s="33">
        <f>('TUSD BE'!$W$56+'TUSD BF'!$W$56+'TUSD CVA'!$W$56)*(1 - CUSTOS!$M$38)</f>
        <v>0</v>
      </c>
      <c r="W56" s="33">
        <f>('TUSD BE'!$X$56+'TUSD BF'!$X$56+'TUSD CVA'!$X$56)*(1 - CUSTOS!$M$38)</f>
        <v>0</v>
      </c>
      <c r="X56" s="33">
        <f>('TUSD BE'!$Y$56+'TUSD BF'!$Y$56+'TUSD CVA'!$Y$56)*(1 - CUSTOS!$M$38)</f>
        <v>41.574160887996889</v>
      </c>
      <c r="Y56" s="33">
        <f>('TUSD BE'!$Z$56+'TUSD BF'!$Z$56+'TUSD CVA'!$Z$56)*(1 - CUSTOS!$M$38)</f>
        <v>0</v>
      </c>
      <c r="Z56" s="33">
        <f>('TUSD BE'!$AA$56+'TUSD BF'!$AA$56+'TUSD CVA'!$AA$56)*(1 - CUSTOS!$M$38)</f>
        <v>0</v>
      </c>
      <c r="AA56" s="33">
        <f>('TUSD BE'!$AC$56+'TUSD BF'!$AC$56+'TUSD CVA'!$AC$56)*(1 - CUSTOS!$M$38)</f>
        <v>185.20951882692981</v>
      </c>
      <c r="AB56" s="33">
        <f ca="1">('TUSD BE'!$AE$56+'TUSD BF'!$AE$56+'TUSD CVA'!$AE$56)*(1 - CUSTOS!$M$38)</f>
        <v>0</v>
      </c>
      <c r="AC56" s="33">
        <f ca="1">('TUSD BE'!$AF$56+'TUSD BF'!$AF$56+'TUSD CVA'!$AF$56)*(1 - CUSTOS!$M$38)</f>
        <v>0</v>
      </c>
      <c r="AD56" s="33">
        <f>('TUSD BE'!$AH$56+'TUSD BF'!$AH$56+'TUSD CVA'!$AH$56)*(1 - CUSTOS!$M$38)</f>
        <v>40.116592022728966</v>
      </c>
      <c r="AE56" s="33">
        <f>('TUSD BE'!$AI$56+'TUSD BF'!$AI$56+'TUSD CVA'!$AI$56)*(1 - CUSTOS!$M$38)</f>
        <v>8.907502960174328E-2</v>
      </c>
      <c r="AF56" s="33">
        <f ca="1">('TUSD BE'!$AJ$56+'TUSD BF'!$AJ$56+'TUSD CVA'!$AJ$56)*(1 - CUSTOS!$M$38)</f>
        <v>0.72216698506896426</v>
      </c>
      <c r="AG56" s="33">
        <f ca="1">('TUSD BE'!$AK$56+'TUSD BF'!$AK$56+'TUSD CVA'!$AK$56)*(1 - CUSTOS!$M$38)</f>
        <v>4.651908034347696</v>
      </c>
      <c r="AI56" s="33">
        <v>8.9261704365460997</v>
      </c>
      <c r="AJ56" s="33">
        <v>0.57643601147821599</v>
      </c>
      <c r="AK56" s="33">
        <v>2.7101370729531702</v>
      </c>
      <c r="AL56" s="33">
        <v>-3.9360655077790999E-3</v>
      </c>
      <c r="AM56" s="33">
        <v>0</v>
      </c>
      <c r="AN56" s="33">
        <v>46.688258833346403</v>
      </c>
      <c r="AO56" s="33">
        <v>8.7278782948879901</v>
      </c>
      <c r="AP56" s="33">
        <v>0</v>
      </c>
      <c r="AQ56" s="33">
        <v>10.053405063749601</v>
      </c>
      <c r="AR56" s="33">
        <v>-4.2734126333486503E-3</v>
      </c>
      <c r="AS56" s="33">
        <v>0</v>
      </c>
      <c r="AT56" s="33">
        <v>0</v>
      </c>
      <c r="AU56" s="33">
        <v>31.2017309662758</v>
      </c>
      <c r="AV56" s="33">
        <v>0</v>
      </c>
      <c r="AW56" s="33">
        <v>0</v>
      </c>
      <c r="AX56" s="33">
        <v>154.34444382392999</v>
      </c>
      <c r="AY56" s="33">
        <v>-5.3226211810680199E-2</v>
      </c>
      <c r="AZ56" s="33">
        <v>0</v>
      </c>
      <c r="BA56" s="33">
        <v>34.709309625065899</v>
      </c>
      <c r="BB56" s="33">
        <v>0.120609524574431</v>
      </c>
      <c r="BC56" s="33">
        <v>0.65649038906136303</v>
      </c>
      <c r="BD56" s="33">
        <v>2.7315108592160899</v>
      </c>
    </row>
    <row r="57" spans="1:56" ht="11.25" customHeight="1" x14ac:dyDescent="0.25">
      <c r="A57" s="116"/>
      <c r="B57" s="116" t="s">
        <v>33</v>
      </c>
      <c r="C57" s="116" t="s">
        <v>45</v>
      </c>
      <c r="D57" s="116" t="s">
        <v>132</v>
      </c>
      <c r="E57" s="116" t="s">
        <v>25</v>
      </c>
      <c r="F57" s="116" t="s">
        <v>25</v>
      </c>
      <c r="G57" s="36" t="s">
        <v>118</v>
      </c>
      <c r="H57" s="36" t="s">
        <v>117</v>
      </c>
      <c r="I57" s="36">
        <f>'MERCADO TUSD'!$U$54</f>
        <v>0</v>
      </c>
      <c r="J57" s="16"/>
      <c r="L57" s="33">
        <f>('TUSD BE'!$L$57+'TUSD BF'!$L$57+'TUSD CVA'!$L$57)*(1 - CUSTOS!$M$39)</f>
        <v>2.1921919771727132</v>
      </c>
      <c r="M57" s="33">
        <f>('TUSD BE'!$M$57+'TUSD BF'!$M$57+'TUSD CVA'!$M$57)*(1 - CUSTOS!$M$39)</f>
        <v>0.7799567017108483</v>
      </c>
      <c r="N57" s="33">
        <f ca="1">('TUSD BE'!$N$57+'TUSD BF'!$N$57+'TUSD CVA'!$N$57)*(1 - CUSTOS!$M$39)</f>
        <v>8.1279308922461286</v>
      </c>
      <c r="O57" s="33">
        <f>('TUSD BE'!$O$57+'TUSD BF'!$O$57+'TUSD CVA'!$O$57)*(1 - CUSTOS!$M$39)</f>
        <v>-4.7308409805046038E-3</v>
      </c>
      <c r="P57" s="33">
        <f>('TUSD BE'!$P$57+'TUSD BF'!$P$57+'TUSD CVA'!$P$57)*(1 - CUSTOS!$M$39)</f>
        <v>0</v>
      </c>
      <c r="Q57" s="33">
        <f>('TUSD BE'!$Q$57+'TUSD BF'!$Q$57+'TUSD CVA'!$Q$57)*(1 - CUSTOS!$M$39)</f>
        <v>100.5259104643449</v>
      </c>
      <c r="R57" s="33">
        <f>('TUSD BE'!$R$57+'TUSD BF'!$R$57+'TUSD CVA'!$R$57)*(1 - CUSTOS!$M$39)</f>
        <v>17.010572338069682</v>
      </c>
      <c r="S57" s="33">
        <f>('TUSD BE'!$S$57+'TUSD BF'!$S$57+'TUSD CVA'!$S$57)*(1 - CUSTOS!$M$39)</f>
        <v>0</v>
      </c>
      <c r="T57" s="33">
        <f>('TUSD BE'!$U$57+'TUSD BF'!$U$57+'TUSD CVA'!$U$57)*(1 - CUSTOS!$M$39)</f>
        <v>40.116810719458677</v>
      </c>
      <c r="U57" s="33">
        <f>('TUSD BE'!$V$57+'TUSD BF'!$V$57+'TUSD CVA'!$V$57)*(1 - CUSTOS!$M$39)</f>
        <v>0.45586389352524792</v>
      </c>
      <c r="V57" s="33">
        <f>('TUSD BE'!$W$57+'TUSD BF'!$W$57+'TUSD CVA'!$W$57)*(1 - CUSTOS!$M$39)</f>
        <v>0</v>
      </c>
      <c r="W57" s="33">
        <f>('TUSD BE'!$X$57+'TUSD BF'!$X$57+'TUSD CVA'!$X$57)*(1 - CUSTOS!$M$39)</f>
        <v>0</v>
      </c>
      <c r="X57" s="33">
        <f>('TUSD BE'!$Y$57+'TUSD BF'!$Y$57+'TUSD CVA'!$Y$57)*(1 - CUSTOS!$M$39)</f>
        <v>118.48642456624513</v>
      </c>
      <c r="Y57" s="33">
        <f>('TUSD BE'!$Z$57+'TUSD BF'!$Z$57+'TUSD CVA'!$Z$57)*(1 - CUSTOS!$M$39)</f>
        <v>0</v>
      </c>
      <c r="Z57" s="33">
        <f>('TUSD BE'!$AA$57+'TUSD BF'!$AA$57+'TUSD CVA'!$AA$57)*(1 - CUSTOS!$M$39)</f>
        <v>0</v>
      </c>
      <c r="AA57" s="33">
        <f>('TUSD BE'!$AC$57+'TUSD BF'!$AC$57+'TUSD CVA'!$AC$57)*(1 - CUSTOS!$M$39)</f>
        <v>527.84715478595001</v>
      </c>
      <c r="AB57" s="33">
        <f ca="1">('TUSD BE'!$AE$57+'TUSD BF'!$AE$57+'TUSD CVA'!$AE$57)*(1 - CUSTOS!$M$39)</f>
        <v>0</v>
      </c>
      <c r="AC57" s="33">
        <f ca="1">('TUSD BE'!$AF$57+'TUSD BF'!$AF$57+'TUSD CVA'!$AF$57)*(1 - CUSTOS!$M$39)</f>
        <v>0</v>
      </c>
      <c r="AD57" s="33">
        <f>('TUSD BE'!$AH$57+'TUSD BF'!$AH$57+'TUSD CVA'!$AH$57)*(1 - CUSTOS!$M$39)</f>
        <v>40.116592022728966</v>
      </c>
      <c r="AE57" s="33">
        <f>('TUSD BE'!$AI$57+'TUSD BF'!$AI$57+'TUSD CVA'!$AI$57)*(1 - CUSTOS!$M$39)</f>
        <v>8.907502960174328E-2</v>
      </c>
      <c r="AF57" s="33">
        <f ca="1">('TUSD BE'!$AJ$57+'TUSD BF'!$AJ$57+'TUSD CVA'!$AJ$57)*(1 - CUSTOS!$M$39)</f>
        <v>0.72216698506896426</v>
      </c>
      <c r="AG57" s="33">
        <f ca="1">('TUSD BE'!$AK$57+'TUSD BF'!$AK$57+'TUSD CVA'!$AK$57)*(1 - CUSTOS!$M$39)</f>
        <v>4.651908034347696</v>
      </c>
      <c r="AI57" s="33">
        <v>8.9261704365460997</v>
      </c>
      <c r="AJ57" s="33">
        <v>0.57643601147821599</v>
      </c>
      <c r="AK57" s="33">
        <v>6.34158846711086</v>
      </c>
      <c r="AL57" s="33">
        <v>-3.9360655077790999E-3</v>
      </c>
      <c r="AM57" s="33">
        <v>0</v>
      </c>
      <c r="AN57" s="33">
        <v>46.688258833346403</v>
      </c>
      <c r="AO57" s="33">
        <v>8.7278782948879901</v>
      </c>
      <c r="AP57" s="33">
        <v>0</v>
      </c>
      <c r="AQ57" s="33">
        <v>28.6521380550519</v>
      </c>
      <c r="AR57" s="33">
        <v>-1.21794047234594E-2</v>
      </c>
      <c r="AS57" s="33">
        <v>0</v>
      </c>
      <c r="AT57" s="33">
        <v>0</v>
      </c>
      <c r="AU57" s="33">
        <v>88.924982814007606</v>
      </c>
      <c r="AV57" s="33">
        <v>0</v>
      </c>
      <c r="AW57" s="33">
        <v>0</v>
      </c>
      <c r="AX57" s="33">
        <v>439.88168667298299</v>
      </c>
      <c r="AY57" s="33">
        <v>-0.11690285096372</v>
      </c>
      <c r="AZ57" s="33">
        <v>0</v>
      </c>
      <c r="BA57" s="33">
        <v>34.709309625065899</v>
      </c>
      <c r="BB57" s="33">
        <v>0.120609524574431</v>
      </c>
      <c r="BC57" s="33">
        <v>0.65649038906136303</v>
      </c>
      <c r="BD57" s="33">
        <v>2.7315108592160899</v>
      </c>
    </row>
    <row r="58" spans="1:56" ht="11.25" customHeight="1" x14ac:dyDescent="0.25">
      <c r="A58" s="116"/>
      <c r="B58" s="116"/>
      <c r="C58" s="116"/>
      <c r="D58" s="116"/>
      <c r="E58" s="116"/>
      <c r="F58" s="116"/>
      <c r="G58" s="36" t="s">
        <v>128</v>
      </c>
      <c r="H58" s="36" t="s">
        <v>117</v>
      </c>
      <c r="I58" s="36">
        <f>'MERCADO TUSD'!$U$55</f>
        <v>0</v>
      </c>
      <c r="J58" s="16"/>
      <c r="L58" s="33">
        <f>('TUSD BE'!$L$58+'TUSD BF'!$L$58+'TUSD CVA'!$L$58)*(1 - CUSTOS!$M$39)</f>
        <v>2.1921919771727132</v>
      </c>
      <c r="M58" s="33">
        <f>('TUSD BE'!$M$58+'TUSD BF'!$M$58+'TUSD CVA'!$M$58)*(1 - CUSTOS!$M$39)</f>
        <v>0.7799567017108483</v>
      </c>
      <c r="N58" s="33">
        <f ca="1">('TUSD BE'!$N$58+'TUSD BF'!$N$58+'TUSD CVA'!$N$58)*(1 - CUSTOS!$M$39)</f>
        <v>5.2603689557001321</v>
      </c>
      <c r="O58" s="33">
        <f>('TUSD BE'!$O$58+'TUSD BF'!$O$58+'TUSD CVA'!$O$58)*(1 - CUSTOS!$M$39)</f>
        <v>-4.7308409805046038E-3</v>
      </c>
      <c r="P58" s="33">
        <f>('TUSD BE'!$P$58+'TUSD BF'!$P$58+'TUSD CVA'!$P$58)*(1 - CUSTOS!$M$39)</f>
        <v>0</v>
      </c>
      <c r="Q58" s="33">
        <f>('TUSD BE'!$Q$58+'TUSD BF'!$Q$58+'TUSD CVA'!$Q$58)*(1 - CUSTOS!$M$39)</f>
        <v>100.5259104643449</v>
      </c>
      <c r="R58" s="33">
        <f>('TUSD BE'!$R$58+'TUSD BF'!$R$58+'TUSD CVA'!$R$58)*(1 - CUSTOS!$M$39)</f>
        <v>17.010572338069682</v>
      </c>
      <c r="S58" s="33">
        <f>('TUSD BE'!$S$58+'TUSD BF'!$S$58+'TUSD CVA'!$S$58)*(1 - CUSTOS!$M$39)</f>
        <v>0</v>
      </c>
      <c r="T58" s="33">
        <f>('TUSD BE'!$U$58+'TUSD BF'!$U$58+'TUSD CVA'!$U$58)*(1 - CUSTOS!$M$39)</f>
        <v>24.070130166325541</v>
      </c>
      <c r="U58" s="33">
        <f>('TUSD BE'!$V$58+'TUSD BF'!$V$58+'TUSD CVA'!$V$58)*(1 - CUSTOS!$M$39)</f>
        <v>0.2735145136776716</v>
      </c>
      <c r="V58" s="33">
        <f>('TUSD BE'!$W$58+'TUSD BF'!$W$58+'TUSD CVA'!$W$58)*(1 - CUSTOS!$M$39)</f>
        <v>0</v>
      </c>
      <c r="W58" s="33">
        <f>('TUSD BE'!$X$58+'TUSD BF'!$X$58+'TUSD CVA'!$X$58)*(1 - CUSTOS!$M$39)</f>
        <v>0</v>
      </c>
      <c r="X58" s="33">
        <f>('TUSD BE'!$Y$58+'TUSD BF'!$Y$58+'TUSD CVA'!$Y$58)*(1 - CUSTOS!$M$39)</f>
        <v>71.091788704293094</v>
      </c>
      <c r="Y58" s="33">
        <f>('TUSD BE'!$Z$58+'TUSD BF'!$Z$58+'TUSD CVA'!$Z$58)*(1 - CUSTOS!$M$39)</f>
        <v>0</v>
      </c>
      <c r="Z58" s="33">
        <f>('TUSD BE'!$AA$58+'TUSD BF'!$AA$58+'TUSD CVA'!$AA$58)*(1 - CUSTOS!$M$39)</f>
        <v>0</v>
      </c>
      <c r="AA58" s="33">
        <f>('TUSD BE'!$AC$58+'TUSD BF'!$AC$58+'TUSD CVA'!$AC$58)*(1 - CUSTOS!$M$39)</f>
        <v>316.70827196821</v>
      </c>
      <c r="AB58" s="33">
        <f ca="1">('TUSD BE'!$AE$58+'TUSD BF'!$AE$58+'TUSD CVA'!$AE$58)*(1 - CUSTOS!$M$39)</f>
        <v>0</v>
      </c>
      <c r="AC58" s="33">
        <f ca="1">('TUSD BE'!$AF$58+'TUSD BF'!$AF$58+'TUSD CVA'!$AF$58)*(1 - CUSTOS!$M$39)</f>
        <v>0</v>
      </c>
      <c r="AD58" s="33">
        <f>('TUSD BE'!$AH$58+'TUSD BF'!$AH$58+'TUSD CVA'!$AH$58)*(1 - CUSTOS!$M$39)</f>
        <v>40.116592022728966</v>
      </c>
      <c r="AE58" s="33">
        <f>('TUSD BE'!$AI$58+'TUSD BF'!$AI$58+'TUSD CVA'!$AI$58)*(1 - CUSTOS!$M$39)</f>
        <v>8.907502960174328E-2</v>
      </c>
      <c r="AF58" s="33">
        <f ca="1">('TUSD BE'!$AJ$58+'TUSD BF'!$AJ$58+'TUSD CVA'!$AJ$58)*(1 - CUSTOS!$M$39)</f>
        <v>0.72216698506896426</v>
      </c>
      <c r="AG58" s="33">
        <f ca="1">('TUSD BE'!$AK$58+'TUSD BF'!$AK$58+'TUSD CVA'!$AK$58)*(1 - CUSTOS!$M$39)</f>
        <v>4.651908034347696</v>
      </c>
      <c r="AI58" s="33">
        <v>8.9261704365460997</v>
      </c>
      <c r="AJ58" s="33">
        <v>0.57643601147821599</v>
      </c>
      <c r="AK58" s="33">
        <v>4.1038286748986197</v>
      </c>
      <c r="AL58" s="33">
        <v>-3.9360655077790999E-3</v>
      </c>
      <c r="AM58" s="33">
        <v>0</v>
      </c>
      <c r="AN58" s="33">
        <v>46.688258833346403</v>
      </c>
      <c r="AO58" s="33">
        <v>8.7278782948879901</v>
      </c>
      <c r="AP58" s="33">
        <v>0</v>
      </c>
      <c r="AQ58" s="33">
        <v>17.1913140690944</v>
      </c>
      <c r="AR58" s="33">
        <v>-7.3075407092666397E-3</v>
      </c>
      <c r="AS58" s="33">
        <v>0</v>
      </c>
      <c r="AT58" s="33">
        <v>0</v>
      </c>
      <c r="AU58" s="33">
        <v>53.354940128282998</v>
      </c>
      <c r="AV58" s="33">
        <v>0</v>
      </c>
      <c r="AW58" s="33">
        <v>0</v>
      </c>
      <c r="AX58" s="33">
        <v>263.92899458396403</v>
      </c>
      <c r="AY58" s="33">
        <v>-7.7664267292312197E-2</v>
      </c>
      <c r="AZ58" s="33">
        <v>0</v>
      </c>
      <c r="BA58" s="33">
        <v>34.709309625065899</v>
      </c>
      <c r="BB58" s="33">
        <v>0.120609524574431</v>
      </c>
      <c r="BC58" s="33">
        <v>0.65649038906136303</v>
      </c>
      <c r="BD58" s="33">
        <v>2.7315108592160899</v>
      </c>
    </row>
    <row r="59" spans="1:56" ht="11.25" customHeight="1" x14ac:dyDescent="0.25">
      <c r="A59" s="116"/>
      <c r="B59" s="116"/>
      <c r="C59" s="116"/>
      <c r="D59" s="116"/>
      <c r="E59" s="116"/>
      <c r="F59" s="116"/>
      <c r="G59" s="36" t="s">
        <v>119</v>
      </c>
      <c r="H59" s="36" t="s">
        <v>117</v>
      </c>
      <c r="I59" s="36">
        <f>'MERCADO TUSD'!$U$56</f>
        <v>0</v>
      </c>
      <c r="J59" s="16"/>
      <c r="L59" s="33">
        <f>('TUSD BE'!$L$59+'TUSD BF'!$L$59+'TUSD CVA'!$L$59)*(1 - CUSTOS!$M$39)</f>
        <v>2.1921919771727132</v>
      </c>
      <c r="M59" s="33">
        <f>('TUSD BE'!$M$59+'TUSD BF'!$M$59+'TUSD CVA'!$M$59)*(1 - CUSTOS!$M$39)</f>
        <v>0.7799567017108483</v>
      </c>
      <c r="N59" s="33">
        <f ca="1">('TUSD BE'!$N$59+'TUSD BF'!$N$59+'TUSD CVA'!$N$59)*(1 - CUSTOS!$M$39)</f>
        <v>2.3928081150580578</v>
      </c>
      <c r="O59" s="33">
        <f>('TUSD BE'!$O$59+'TUSD BF'!$O$59+'TUSD CVA'!$O$59)*(1 - CUSTOS!$M$39)</f>
        <v>-4.7308409805046038E-3</v>
      </c>
      <c r="P59" s="33">
        <f>('TUSD BE'!$P$59+'TUSD BF'!$P$59+'TUSD CVA'!$P$59)*(1 - CUSTOS!$M$39)</f>
        <v>0</v>
      </c>
      <c r="Q59" s="33">
        <f>('TUSD BE'!$Q$59+'TUSD BF'!$Q$59+'TUSD CVA'!$Q$59)*(1 - CUSTOS!$M$39)</f>
        <v>100.5259104643449</v>
      </c>
      <c r="R59" s="33">
        <f>('TUSD BE'!$R$59+'TUSD BF'!$R$59+'TUSD CVA'!$R$59)*(1 - CUSTOS!$M$39)</f>
        <v>17.010572338069682</v>
      </c>
      <c r="S59" s="33">
        <f>('TUSD BE'!$S$59+'TUSD BF'!$S$59+'TUSD CVA'!$S$59)*(1 - CUSTOS!$M$39)</f>
        <v>0</v>
      </c>
      <c r="T59" s="33">
        <f>('TUSD BE'!$U$59+'TUSD BF'!$U$59+'TUSD CVA'!$U$59)*(1 - CUSTOS!$M$39)</f>
        <v>8.0233402765665698</v>
      </c>
      <c r="U59" s="33">
        <f>('TUSD BE'!$V$59+'TUSD BF'!$V$59+'TUSD CVA'!$V$59)*(1 - CUSTOS!$M$39)</f>
        <v>9.1174689923788146E-2</v>
      </c>
      <c r="V59" s="33">
        <f>('TUSD BE'!$W$59+'TUSD BF'!$W$59+'TUSD CVA'!$W$59)*(1 - CUSTOS!$M$39)</f>
        <v>0</v>
      </c>
      <c r="W59" s="33">
        <f>('TUSD BE'!$X$59+'TUSD BF'!$X$59+'TUSD CVA'!$X$59)*(1 - CUSTOS!$M$39)</f>
        <v>0</v>
      </c>
      <c r="X59" s="33">
        <f>('TUSD BE'!$Y$59+'TUSD BF'!$Y$59+'TUSD CVA'!$Y$59)*(1 - CUSTOS!$M$39)</f>
        <v>23.697262901431031</v>
      </c>
      <c r="Y59" s="33">
        <f>('TUSD BE'!$Z$59+'TUSD BF'!$Z$59+'TUSD CVA'!$Z$59)*(1 - CUSTOS!$M$39)</f>
        <v>0</v>
      </c>
      <c r="Z59" s="33">
        <f>('TUSD BE'!$AA$59+'TUSD BF'!$AA$59+'TUSD CVA'!$AA$59)*(1 - CUSTOS!$M$39)</f>
        <v>0</v>
      </c>
      <c r="AA59" s="33">
        <f>('TUSD BE'!$AC$59+'TUSD BF'!$AC$59+'TUSD CVA'!$AC$59)*(1 - CUSTOS!$M$39)</f>
        <v>105.56938915046983</v>
      </c>
      <c r="AB59" s="33">
        <f ca="1">('TUSD BE'!$AE$59+'TUSD BF'!$AE$59+'TUSD CVA'!$AE$59)*(1 - CUSTOS!$M$39)</f>
        <v>0</v>
      </c>
      <c r="AC59" s="33">
        <f ca="1">('TUSD BE'!$AF$59+'TUSD BF'!$AF$59+'TUSD CVA'!$AF$59)*(1 - CUSTOS!$M$39)</f>
        <v>0</v>
      </c>
      <c r="AD59" s="33">
        <f>('TUSD BE'!$AH$59+'TUSD BF'!$AH$59+'TUSD CVA'!$AH$59)*(1 - CUSTOS!$M$39)</f>
        <v>40.116592022728966</v>
      </c>
      <c r="AE59" s="33">
        <f>('TUSD BE'!$AI$59+'TUSD BF'!$AI$59+'TUSD CVA'!$AI$59)*(1 - CUSTOS!$M$39)</f>
        <v>8.907502960174328E-2</v>
      </c>
      <c r="AF59" s="33">
        <f ca="1">('TUSD BE'!$AJ$59+'TUSD BF'!$AJ$59+'TUSD CVA'!$AJ$59)*(1 - CUSTOS!$M$39)</f>
        <v>0.72216698506896426</v>
      </c>
      <c r="AG59" s="33">
        <f ca="1">('TUSD BE'!$AK$59+'TUSD BF'!$AK$59+'TUSD CVA'!$AK$59)*(1 - CUSTOS!$M$39)</f>
        <v>4.651908034347696</v>
      </c>
      <c r="AI59" s="33">
        <v>8.9261704365460997</v>
      </c>
      <c r="AJ59" s="33">
        <v>0.57643601147821599</v>
      </c>
      <c r="AK59" s="33">
        <v>1.8660697378971201</v>
      </c>
      <c r="AL59" s="33">
        <v>-3.9360655077790999E-3</v>
      </c>
      <c r="AM59" s="33">
        <v>0</v>
      </c>
      <c r="AN59" s="33">
        <v>46.688258833346403</v>
      </c>
      <c r="AO59" s="33">
        <v>8.7278782948879901</v>
      </c>
      <c r="AP59" s="33">
        <v>0</v>
      </c>
      <c r="AQ59" s="33">
        <v>5.7304119929787296</v>
      </c>
      <c r="AR59" s="33">
        <v>-2.4359320070963999E-3</v>
      </c>
      <c r="AS59" s="33">
        <v>0</v>
      </c>
      <c r="AT59" s="33">
        <v>0</v>
      </c>
      <c r="AU59" s="33">
        <v>17.784980042760999</v>
      </c>
      <c r="AV59" s="33">
        <v>0</v>
      </c>
      <c r="AW59" s="33">
        <v>0</v>
      </c>
      <c r="AX59" s="33">
        <v>87.976302494945699</v>
      </c>
      <c r="AY59" s="33">
        <v>-3.8425683449902402E-2</v>
      </c>
      <c r="AZ59" s="33">
        <v>0</v>
      </c>
      <c r="BA59" s="33">
        <v>34.709309625065899</v>
      </c>
      <c r="BB59" s="33">
        <v>0.120609524574431</v>
      </c>
      <c r="BC59" s="33">
        <v>0.65649038906136303</v>
      </c>
      <c r="BD59" s="33">
        <v>2.7315108592160899</v>
      </c>
    </row>
    <row r="60" spans="1:56" ht="11.25" customHeight="1" x14ac:dyDescent="0.25">
      <c r="A60" s="116"/>
      <c r="B60" s="80" t="s">
        <v>23</v>
      </c>
      <c r="C60" s="80" t="s">
        <v>45</v>
      </c>
      <c r="D60" s="80" t="s">
        <v>132</v>
      </c>
      <c r="E60" s="80" t="s">
        <v>25</v>
      </c>
      <c r="F60" s="80" t="s">
        <v>25</v>
      </c>
      <c r="G60" s="36" t="s">
        <v>123</v>
      </c>
      <c r="H60" s="36" t="s">
        <v>117</v>
      </c>
      <c r="I60" s="36">
        <f>'MERCADO TUSD'!$U$57</f>
        <v>0</v>
      </c>
      <c r="J60" s="16"/>
      <c r="L60" s="33">
        <f>('TUSD BE'!$L$60+'TUSD BF'!$L$60+'TUSD CVA'!$L$60)*(1 - CUSTOS!$M$39)</f>
        <v>2.1921919771727132</v>
      </c>
      <c r="M60" s="33">
        <f>('TUSD BE'!$M$60+'TUSD BF'!$M$60+'TUSD CVA'!$M$60)*(1 - CUSTOS!$M$39)</f>
        <v>0.7799567017108483</v>
      </c>
      <c r="N60" s="33">
        <f ca="1">('TUSD BE'!$N$60+'TUSD BF'!$N$60+'TUSD CVA'!$N$60)*(1 - CUSTOS!$M$39)</f>
        <v>3.4744324119607017</v>
      </c>
      <c r="O60" s="33">
        <f>('TUSD BE'!$O$60+'TUSD BF'!$O$60+'TUSD CVA'!$O$60)*(1 - CUSTOS!$M$39)</f>
        <v>-4.7308409805046038E-3</v>
      </c>
      <c r="P60" s="33">
        <f>('TUSD BE'!$P$60+'TUSD BF'!$P$60+'TUSD CVA'!$P$60)*(1 - CUSTOS!$M$39)</f>
        <v>0</v>
      </c>
      <c r="Q60" s="33">
        <f>('TUSD BE'!$Q$60+'TUSD BF'!$Q$60+'TUSD CVA'!$Q$60)*(1 - CUSTOS!$M$39)</f>
        <v>100.5259104643449</v>
      </c>
      <c r="R60" s="33">
        <f>('TUSD BE'!$R$60+'TUSD BF'!$R$60+'TUSD CVA'!$R$60)*(1 - CUSTOS!$M$39)</f>
        <v>17.010572338069682</v>
      </c>
      <c r="S60" s="33">
        <f>('TUSD BE'!$S$60+'TUSD BF'!$S$60+'TUSD CVA'!$S$60)*(1 - CUSTOS!$M$39)</f>
        <v>0</v>
      </c>
      <c r="T60" s="33">
        <f>('TUSD BE'!$U$60+'TUSD BF'!$U$60+'TUSD CVA'!$U$60)*(1 - CUSTOS!$M$39)</f>
        <v>14.076106545821276</v>
      </c>
      <c r="U60" s="33">
        <f>('TUSD BE'!$V$60+'TUSD BF'!$V$60+'TUSD CVA'!$V$60)*(1 - CUSTOS!$M$39)</f>
        <v>0.15994989623146064</v>
      </c>
      <c r="V60" s="33">
        <f>('TUSD BE'!$W$60+'TUSD BF'!$W$60+'TUSD CVA'!$W$60)*(1 - CUSTOS!$M$39)</f>
        <v>0</v>
      </c>
      <c r="W60" s="33">
        <f>('TUSD BE'!$X$60+'TUSD BF'!$X$60+'TUSD CVA'!$X$60)*(1 - CUSTOS!$M$39)</f>
        <v>0</v>
      </c>
      <c r="X60" s="33">
        <f>('TUSD BE'!$Y$60+'TUSD BF'!$Y$60+'TUSD CVA'!$Y$60)*(1 - CUSTOS!$M$39)</f>
        <v>41.574160887996889</v>
      </c>
      <c r="Y60" s="33">
        <f>('TUSD BE'!$Z$60+'TUSD BF'!$Z$60+'TUSD CVA'!$Z$60)*(1 - CUSTOS!$M$39)</f>
        <v>0</v>
      </c>
      <c r="Z60" s="33">
        <f>('TUSD BE'!$AA$60+'TUSD BF'!$AA$60+'TUSD CVA'!$AA$60)*(1 - CUSTOS!$M$39)</f>
        <v>0</v>
      </c>
      <c r="AA60" s="33">
        <f>('TUSD BE'!$AC$60+'TUSD BF'!$AC$60+'TUSD CVA'!$AC$60)*(1 - CUSTOS!$M$39)</f>
        <v>185.20951882692981</v>
      </c>
      <c r="AB60" s="33">
        <f ca="1">('TUSD BE'!$AE$60+'TUSD BF'!$AE$60+'TUSD CVA'!$AE$60)*(1 - CUSTOS!$M$39)</f>
        <v>0</v>
      </c>
      <c r="AC60" s="33">
        <f ca="1">('TUSD BE'!$AF$60+'TUSD BF'!$AF$60+'TUSD CVA'!$AF$60)*(1 - CUSTOS!$M$39)</f>
        <v>0</v>
      </c>
      <c r="AD60" s="33">
        <f>('TUSD BE'!$AH$60+'TUSD BF'!$AH$60+'TUSD CVA'!$AH$60)*(1 - CUSTOS!$M$39)</f>
        <v>40.116592022728966</v>
      </c>
      <c r="AE60" s="33">
        <f>('TUSD BE'!$AI$60+'TUSD BF'!$AI$60+'TUSD CVA'!$AI$60)*(1 - CUSTOS!$M$39)</f>
        <v>8.907502960174328E-2</v>
      </c>
      <c r="AF60" s="33">
        <f ca="1">('TUSD BE'!$AJ$60+'TUSD BF'!$AJ$60+'TUSD CVA'!$AJ$60)*(1 - CUSTOS!$M$39)</f>
        <v>0.72216698506896426</v>
      </c>
      <c r="AG60" s="33">
        <f ca="1">('TUSD BE'!$AK$60+'TUSD BF'!$AK$60+'TUSD CVA'!$AK$60)*(1 - CUSTOS!$M$39)</f>
        <v>4.651908034347696</v>
      </c>
      <c r="AI60" s="33">
        <v>8.9261704365460997</v>
      </c>
      <c r="AJ60" s="33">
        <v>0.57643601147821599</v>
      </c>
      <c r="AK60" s="33">
        <v>2.7101370729531702</v>
      </c>
      <c r="AL60" s="33">
        <v>-3.9360655077790999E-3</v>
      </c>
      <c r="AM60" s="33">
        <v>0</v>
      </c>
      <c r="AN60" s="33">
        <v>46.688258833346403</v>
      </c>
      <c r="AO60" s="33">
        <v>8.7278782948879901</v>
      </c>
      <c r="AP60" s="33">
        <v>0</v>
      </c>
      <c r="AQ60" s="33">
        <v>10.053405063749601</v>
      </c>
      <c r="AR60" s="33">
        <v>-4.2734126333486503E-3</v>
      </c>
      <c r="AS60" s="33">
        <v>0</v>
      </c>
      <c r="AT60" s="33">
        <v>0</v>
      </c>
      <c r="AU60" s="33">
        <v>31.2017309662758</v>
      </c>
      <c r="AV60" s="33">
        <v>0</v>
      </c>
      <c r="AW60" s="33">
        <v>0</v>
      </c>
      <c r="AX60" s="33">
        <v>154.34444382392999</v>
      </c>
      <c r="AY60" s="33">
        <v>-5.3226211810680199E-2</v>
      </c>
      <c r="AZ60" s="33">
        <v>0</v>
      </c>
      <c r="BA60" s="33">
        <v>34.709309625065899</v>
      </c>
      <c r="BB60" s="33">
        <v>0.120609524574431</v>
      </c>
      <c r="BC60" s="33">
        <v>0.65649038906136303</v>
      </c>
      <c r="BD60" s="33">
        <v>2.7315108592160899</v>
      </c>
    </row>
    <row r="61" spans="1:56" ht="11.25" customHeight="1" x14ac:dyDescent="0.25">
      <c r="A61" s="116"/>
      <c r="B61" s="116" t="s">
        <v>33</v>
      </c>
      <c r="C61" s="116" t="s">
        <v>45</v>
      </c>
      <c r="D61" s="116" t="s">
        <v>133</v>
      </c>
      <c r="E61" s="116" t="s">
        <v>25</v>
      </c>
      <c r="F61" s="116" t="s">
        <v>25</v>
      </c>
      <c r="G61" s="36" t="s">
        <v>118</v>
      </c>
      <c r="H61" s="36" t="s">
        <v>117</v>
      </c>
      <c r="I61" s="36">
        <f>'MERCADO TUSD'!$U$58</f>
        <v>0</v>
      </c>
      <c r="J61" s="16"/>
      <c r="L61" s="33">
        <f>('TUSD BE'!$L$61+'TUSD BF'!$L$61+'TUSD CVA'!$L$61)*(1 - CUSTOS!$M$40)</f>
        <v>2.145549594679677</v>
      </c>
      <c r="M61" s="33">
        <f>('TUSD BE'!$M$61+'TUSD BF'!$M$61+'TUSD CVA'!$M$61)*(1 - CUSTOS!$M$40)</f>
        <v>0.76336187827019197</v>
      </c>
      <c r="N61" s="33">
        <f ca="1">('TUSD BE'!$N$61+'TUSD BF'!$N$61+'TUSD CVA'!$N$61)*(1 - CUSTOS!$M$40)</f>
        <v>7.9549961924111052</v>
      </c>
      <c r="O61" s="33">
        <f>('TUSD BE'!$O$61+'TUSD BF'!$O$61+'TUSD CVA'!$O$61)*(1 - CUSTOS!$M$40)</f>
        <v>-4.6301847894300377E-3</v>
      </c>
      <c r="P61" s="33">
        <f>('TUSD BE'!$P$61+'TUSD BF'!$P$61+'TUSD CVA'!$P$61)*(1 - CUSTOS!$M$40)</f>
        <v>0</v>
      </c>
      <c r="Q61" s="33">
        <f>('TUSD BE'!$Q$61+'TUSD BF'!$Q$61+'TUSD CVA'!$Q$61)*(1 - CUSTOS!$M$40)</f>
        <v>98.387061305529059</v>
      </c>
      <c r="R61" s="33">
        <f>('TUSD BE'!$R$61+'TUSD BF'!$R$61+'TUSD CVA'!$R$61)*(1 - CUSTOS!$M$40)</f>
        <v>16.648645267046927</v>
      </c>
      <c r="S61" s="33">
        <f>('TUSD BE'!$S$61+'TUSD BF'!$S$61+'TUSD CVA'!$S$61)*(1 - CUSTOS!$M$40)</f>
        <v>0</v>
      </c>
      <c r="T61" s="33">
        <f>('TUSD BE'!$U$61+'TUSD BF'!$U$61+'TUSD CVA'!$U$61)*(1 - CUSTOS!$M$40)</f>
        <v>39.263261555214875</v>
      </c>
      <c r="U61" s="33">
        <f>('TUSD BE'!$V$61+'TUSD BF'!$V$61+'TUSD CVA'!$V$61)*(1 - CUSTOS!$M$40)</f>
        <v>0.44616466174811503</v>
      </c>
      <c r="V61" s="33">
        <f>('TUSD BE'!$W$61+'TUSD BF'!$W$61+'TUSD CVA'!$W$61)*(1 - CUSTOS!$M$40)</f>
        <v>0</v>
      </c>
      <c r="W61" s="33">
        <f>('TUSD BE'!$X$61+'TUSD BF'!$X$61+'TUSD CVA'!$X$61)*(1 - CUSTOS!$M$40)</f>
        <v>0</v>
      </c>
      <c r="X61" s="33">
        <f>('TUSD BE'!$Y$61+'TUSD BF'!$Y$61+'TUSD CVA'!$Y$61)*(1 - CUSTOS!$M$40)</f>
        <v>115.96543680951652</v>
      </c>
      <c r="Y61" s="33">
        <f>('TUSD BE'!$Z$61+'TUSD BF'!$Z$61+'TUSD CVA'!$Z$61)*(1 - CUSTOS!$M$40)</f>
        <v>0</v>
      </c>
      <c r="Z61" s="33">
        <f>('TUSD BE'!$AA$61+'TUSD BF'!$AA$61+'TUSD CVA'!$AA$61)*(1 - CUSTOS!$M$40)</f>
        <v>0</v>
      </c>
      <c r="AA61" s="33">
        <f>('TUSD BE'!$AC$61+'TUSD BF'!$AC$61+'TUSD CVA'!$AC$61)*(1 - CUSTOS!$M$40)</f>
        <v>516.61636425858944</v>
      </c>
      <c r="AB61" s="33">
        <f ca="1">('TUSD BE'!$AE$61+'TUSD BF'!$AE$61+'TUSD CVA'!$AE$61)*(1 - CUSTOS!$M$40)</f>
        <v>0</v>
      </c>
      <c r="AC61" s="33">
        <f ca="1">('TUSD BE'!$AF$61+'TUSD BF'!$AF$61+'TUSD CVA'!$AF$61)*(1 - CUSTOS!$M$40)</f>
        <v>0</v>
      </c>
      <c r="AD61" s="33">
        <f>('TUSD BE'!$AH$61+'TUSD BF'!$AH$61+'TUSD CVA'!$AH$61)*(1 - CUSTOS!$M$40)</f>
        <v>39.263047511607077</v>
      </c>
      <c r="AE61" s="33">
        <f>('TUSD BE'!$AI$61+'TUSD BF'!$AI$61+'TUSD CVA'!$AI$61)*(1 - CUSTOS!$M$40)</f>
        <v>8.7179816205961519E-2</v>
      </c>
      <c r="AF61" s="33">
        <f ca="1">('TUSD BE'!$AJ$61+'TUSD BF'!$AJ$61+'TUSD CVA'!$AJ$61)*(1 - CUSTOS!$M$40)</f>
        <v>0.70680173006749702</v>
      </c>
      <c r="AG61" s="33">
        <f ca="1">('TUSD BE'!$AK$61+'TUSD BF'!$AK$61+'TUSD CVA'!$AK$61)*(1 - CUSTOS!$M$40)</f>
        <v>4.5529312676594476</v>
      </c>
      <c r="AI61" s="33">
        <v>8.5204354167030907</v>
      </c>
      <c r="AJ61" s="33">
        <v>0.55023437459284197</v>
      </c>
      <c r="AK61" s="33">
        <v>6.0533344458785399</v>
      </c>
      <c r="AL61" s="33">
        <v>-3.7571534392436901E-3</v>
      </c>
      <c r="AM61" s="33">
        <v>0</v>
      </c>
      <c r="AN61" s="33">
        <v>44.5660652500124</v>
      </c>
      <c r="AO61" s="33">
        <v>8.3311565542112707</v>
      </c>
      <c r="AP61" s="33">
        <v>0</v>
      </c>
      <c r="AQ61" s="33">
        <v>27.349768143458601</v>
      </c>
      <c r="AR61" s="33">
        <v>-1.16257954178476E-2</v>
      </c>
      <c r="AS61" s="33">
        <v>0</v>
      </c>
      <c r="AT61" s="33">
        <v>0</v>
      </c>
      <c r="AU61" s="33">
        <v>84.882938140643702</v>
      </c>
      <c r="AV61" s="33">
        <v>0</v>
      </c>
      <c r="AW61" s="33">
        <v>0</v>
      </c>
      <c r="AX61" s="33">
        <v>419.887064551484</v>
      </c>
      <c r="AY61" s="33">
        <v>-0.111589085010823</v>
      </c>
      <c r="AZ61" s="33">
        <v>0</v>
      </c>
      <c r="BA61" s="33">
        <v>33.131613733017403</v>
      </c>
      <c r="BB61" s="33">
        <v>0.115127273457412</v>
      </c>
      <c r="BC61" s="33">
        <v>0.626649916831301</v>
      </c>
      <c r="BD61" s="33">
        <v>2.6073512747062702</v>
      </c>
    </row>
    <row r="62" spans="1:56" ht="11.25" customHeight="1" x14ac:dyDescent="0.25">
      <c r="A62" s="116"/>
      <c r="B62" s="116"/>
      <c r="C62" s="116"/>
      <c r="D62" s="116"/>
      <c r="E62" s="116"/>
      <c r="F62" s="116"/>
      <c r="G62" s="36" t="s">
        <v>128</v>
      </c>
      <c r="H62" s="36" t="s">
        <v>117</v>
      </c>
      <c r="I62" s="36">
        <f>'MERCADO TUSD'!$U$59</f>
        <v>0</v>
      </c>
      <c r="J62" s="16"/>
      <c r="L62" s="33">
        <f>('TUSD BE'!$L$62+'TUSD BF'!$L$62+'TUSD CVA'!$L$62)*(1 - CUSTOS!$M$40)</f>
        <v>2.145549594679677</v>
      </c>
      <c r="M62" s="33">
        <f>('TUSD BE'!$M$62+'TUSD BF'!$M$62+'TUSD CVA'!$M$62)*(1 - CUSTOS!$M$40)</f>
        <v>0.76336187827019197</v>
      </c>
      <c r="N62" s="33">
        <f ca="1">('TUSD BE'!$N$62+'TUSD BF'!$N$62+'TUSD CVA'!$N$62)*(1 - CUSTOS!$M$40)</f>
        <v>5.1484462119618319</v>
      </c>
      <c r="O62" s="33">
        <f>('TUSD BE'!$O$62+'TUSD BF'!$O$62+'TUSD CVA'!$O$62)*(1 - CUSTOS!$M$40)</f>
        <v>-4.6301847894300377E-3</v>
      </c>
      <c r="P62" s="33">
        <f>('TUSD BE'!$P$62+'TUSD BF'!$P$62+'TUSD CVA'!$P$62)*(1 - CUSTOS!$M$40)</f>
        <v>0</v>
      </c>
      <c r="Q62" s="33">
        <f>('TUSD BE'!$Q$62+'TUSD BF'!$Q$62+'TUSD CVA'!$Q$62)*(1 - CUSTOS!$M$40)</f>
        <v>98.387061305529059</v>
      </c>
      <c r="R62" s="33">
        <f>('TUSD BE'!$R$62+'TUSD BF'!$R$62+'TUSD CVA'!$R$62)*(1 - CUSTOS!$M$40)</f>
        <v>16.648645267046927</v>
      </c>
      <c r="S62" s="33">
        <f>('TUSD BE'!$S$62+'TUSD BF'!$S$62+'TUSD CVA'!$S$62)*(1 - CUSTOS!$M$40)</f>
        <v>0</v>
      </c>
      <c r="T62" s="33">
        <f>('TUSD BE'!$U$62+'TUSD BF'!$U$62+'TUSD CVA'!$U$62)*(1 - CUSTOS!$M$40)</f>
        <v>23.557999737254789</v>
      </c>
      <c r="U62" s="33">
        <f>('TUSD BE'!$V$62+'TUSD BF'!$V$62+'TUSD CVA'!$V$62)*(1 - CUSTOS!$M$40)</f>
        <v>0.26769505593984882</v>
      </c>
      <c r="V62" s="33">
        <f>('TUSD BE'!$W$62+'TUSD BF'!$W$62+'TUSD CVA'!$W$62)*(1 - CUSTOS!$M$40)</f>
        <v>0</v>
      </c>
      <c r="W62" s="33">
        <f>('TUSD BE'!$X$62+'TUSD BF'!$X$62+'TUSD CVA'!$X$62)*(1 - CUSTOS!$M$40)</f>
        <v>0</v>
      </c>
      <c r="X62" s="33">
        <f>('TUSD BE'!$Y$62+'TUSD BF'!$Y$62+'TUSD CVA'!$Y$62)*(1 - CUSTOS!$M$40)</f>
        <v>69.579197455265586</v>
      </c>
      <c r="Y62" s="33">
        <f>('TUSD BE'!$Z$62+'TUSD BF'!$Z$62+'TUSD CVA'!$Z$62)*(1 - CUSTOS!$M$40)</f>
        <v>0</v>
      </c>
      <c r="Z62" s="33">
        <f>('TUSD BE'!$AA$62+'TUSD BF'!$AA$62+'TUSD CVA'!$AA$62)*(1 - CUSTOS!$M$40)</f>
        <v>0</v>
      </c>
      <c r="AA62" s="33">
        <f>('TUSD BE'!$AC$62+'TUSD BF'!$AC$62+'TUSD CVA'!$AC$62)*(1 - CUSTOS!$M$40)</f>
        <v>309.96979809654596</v>
      </c>
      <c r="AB62" s="33">
        <f ca="1">('TUSD BE'!$AE$62+'TUSD BF'!$AE$62+'TUSD CVA'!$AE$62)*(1 - CUSTOS!$M$40)</f>
        <v>0</v>
      </c>
      <c r="AC62" s="33">
        <f ca="1">('TUSD BE'!$AF$62+'TUSD BF'!$AF$62+'TUSD CVA'!$AF$62)*(1 - CUSTOS!$M$40)</f>
        <v>0</v>
      </c>
      <c r="AD62" s="33">
        <f>('TUSD BE'!$AH$62+'TUSD BF'!$AH$62+'TUSD CVA'!$AH$62)*(1 - CUSTOS!$M$40)</f>
        <v>39.263047511607077</v>
      </c>
      <c r="AE62" s="33">
        <f>('TUSD BE'!$AI$62+'TUSD BF'!$AI$62+'TUSD CVA'!$AI$62)*(1 - CUSTOS!$M$40)</f>
        <v>8.7179816205961519E-2</v>
      </c>
      <c r="AF62" s="33">
        <f ca="1">('TUSD BE'!$AJ$62+'TUSD BF'!$AJ$62+'TUSD CVA'!$AJ$62)*(1 - CUSTOS!$M$40)</f>
        <v>0.70680173006749702</v>
      </c>
      <c r="AG62" s="33">
        <f ca="1">('TUSD BE'!$AK$62+'TUSD BF'!$AK$62+'TUSD CVA'!$AK$62)*(1 - CUSTOS!$M$40)</f>
        <v>4.5529312676594476</v>
      </c>
      <c r="AI62" s="33">
        <v>8.5204354167030907</v>
      </c>
      <c r="AJ62" s="33">
        <v>0.55023437459284197</v>
      </c>
      <c r="AK62" s="33">
        <v>3.9172910078577701</v>
      </c>
      <c r="AL62" s="33">
        <v>-3.7571534392436901E-3</v>
      </c>
      <c r="AM62" s="33">
        <v>0</v>
      </c>
      <c r="AN62" s="33">
        <v>44.5660652500124</v>
      </c>
      <c r="AO62" s="33">
        <v>8.3311565542112707</v>
      </c>
      <c r="AP62" s="33">
        <v>0</v>
      </c>
      <c r="AQ62" s="33">
        <v>16.409890702317401</v>
      </c>
      <c r="AR62" s="33">
        <v>-6.9753797679363398E-3</v>
      </c>
      <c r="AS62" s="33">
        <v>0</v>
      </c>
      <c r="AT62" s="33">
        <v>0</v>
      </c>
      <c r="AU62" s="33">
        <v>50.929715576997403</v>
      </c>
      <c r="AV62" s="33">
        <v>0</v>
      </c>
      <c r="AW62" s="33">
        <v>0</v>
      </c>
      <c r="AX62" s="33">
        <v>251.93222210287499</v>
      </c>
      <c r="AY62" s="33">
        <v>-7.4134073324479799E-2</v>
      </c>
      <c r="AZ62" s="33">
        <v>0</v>
      </c>
      <c r="BA62" s="33">
        <v>33.131613733017403</v>
      </c>
      <c r="BB62" s="33">
        <v>0.115127273457412</v>
      </c>
      <c r="BC62" s="33">
        <v>0.626649916831301</v>
      </c>
      <c r="BD62" s="33">
        <v>2.6073512747062702</v>
      </c>
    </row>
    <row r="63" spans="1:56" ht="11.25" customHeight="1" x14ac:dyDescent="0.25">
      <c r="A63" s="116"/>
      <c r="B63" s="116"/>
      <c r="C63" s="116"/>
      <c r="D63" s="116"/>
      <c r="E63" s="116"/>
      <c r="F63" s="116"/>
      <c r="G63" s="36" t="s">
        <v>119</v>
      </c>
      <c r="H63" s="36" t="s">
        <v>117</v>
      </c>
      <c r="I63" s="36">
        <f>'MERCADO TUSD'!$U$60</f>
        <v>0</v>
      </c>
      <c r="J63" s="16"/>
      <c r="L63" s="33">
        <f>('TUSD BE'!$L$63+'TUSD BF'!$L$63+'TUSD CVA'!$L$63)*(1 - CUSTOS!$M$40)</f>
        <v>2.145549594679677</v>
      </c>
      <c r="M63" s="33">
        <f>('TUSD BE'!$M$63+'TUSD BF'!$M$63+'TUSD CVA'!$M$63)*(1 - CUSTOS!$M$40)</f>
        <v>0.76336187827019197</v>
      </c>
      <c r="N63" s="33">
        <f ca="1">('TUSD BE'!$N$63+'TUSD BF'!$N$63+'TUSD CVA'!$N$63)*(1 - CUSTOS!$M$40)</f>
        <v>2.3418973040993758</v>
      </c>
      <c r="O63" s="33">
        <f>('TUSD BE'!$O$63+'TUSD BF'!$O$63+'TUSD CVA'!$O$63)*(1 - CUSTOS!$M$40)</f>
        <v>-4.6301847894300377E-3</v>
      </c>
      <c r="P63" s="33">
        <f>('TUSD BE'!$P$63+'TUSD BF'!$P$63+'TUSD CVA'!$P$63)*(1 - CUSTOS!$M$40)</f>
        <v>0</v>
      </c>
      <c r="Q63" s="33">
        <f>('TUSD BE'!$Q$63+'TUSD BF'!$Q$63+'TUSD CVA'!$Q$63)*(1 - CUSTOS!$M$40)</f>
        <v>98.387061305529059</v>
      </c>
      <c r="R63" s="33">
        <f>('TUSD BE'!$R$63+'TUSD BF'!$R$63+'TUSD CVA'!$R$63)*(1 - CUSTOS!$M$40)</f>
        <v>16.648645267046927</v>
      </c>
      <c r="S63" s="33">
        <f>('TUSD BE'!$S$63+'TUSD BF'!$S$63+'TUSD CVA'!$S$63)*(1 - CUSTOS!$M$40)</f>
        <v>0</v>
      </c>
      <c r="T63" s="33">
        <f>('TUSD BE'!$U$63+'TUSD BF'!$U$63+'TUSD CVA'!$U$63)*(1 - CUSTOS!$M$40)</f>
        <v>7.8526309089800472</v>
      </c>
      <c r="U63" s="33">
        <f>('TUSD BE'!$V$63+'TUSD BF'!$V$63+'TUSD CVA'!$V$63)*(1 - CUSTOS!$M$40)</f>
        <v>8.923480290413309E-2</v>
      </c>
      <c r="V63" s="33">
        <f>('TUSD BE'!$W$63+'TUSD BF'!$W$63+'TUSD CVA'!$W$63)*(1 - CUSTOS!$M$40)</f>
        <v>0</v>
      </c>
      <c r="W63" s="33">
        <f>('TUSD BE'!$X$63+'TUSD BF'!$X$63+'TUSD CVA'!$X$63)*(1 - CUSTOS!$M$40)</f>
        <v>0</v>
      </c>
      <c r="X63" s="33">
        <f>('TUSD BE'!$Y$63+'TUSD BF'!$Y$63+'TUSD CVA'!$Y$63)*(1 - CUSTOS!$M$40)</f>
        <v>23.193065818421864</v>
      </c>
      <c r="Y63" s="33">
        <f>('TUSD BE'!$Z$63+'TUSD BF'!$Z$63+'TUSD CVA'!$Z$63)*(1 - CUSTOS!$M$40)</f>
        <v>0</v>
      </c>
      <c r="Z63" s="33">
        <f>('TUSD BE'!$AA$63+'TUSD BF'!$AA$63+'TUSD CVA'!$AA$63)*(1 - CUSTOS!$M$40)</f>
        <v>0</v>
      </c>
      <c r="AA63" s="33">
        <f>('TUSD BE'!$AC$63+'TUSD BF'!$AC$63+'TUSD CVA'!$AC$63)*(1 - CUSTOS!$M$40)</f>
        <v>103.32323193450239</v>
      </c>
      <c r="AB63" s="33">
        <f ca="1">('TUSD BE'!$AE$63+'TUSD BF'!$AE$63+'TUSD CVA'!$AE$63)*(1 - CUSTOS!$M$40)</f>
        <v>0</v>
      </c>
      <c r="AC63" s="33">
        <f ca="1">('TUSD BE'!$AF$63+'TUSD BF'!$AF$63+'TUSD CVA'!$AF$63)*(1 - CUSTOS!$M$40)</f>
        <v>0</v>
      </c>
      <c r="AD63" s="33">
        <f>('TUSD BE'!$AH$63+'TUSD BF'!$AH$63+'TUSD CVA'!$AH$63)*(1 - CUSTOS!$M$40)</f>
        <v>39.263047511607077</v>
      </c>
      <c r="AE63" s="33">
        <f>('TUSD BE'!$AI$63+'TUSD BF'!$AI$63+'TUSD CVA'!$AI$63)*(1 - CUSTOS!$M$40)</f>
        <v>8.7179816205961519E-2</v>
      </c>
      <c r="AF63" s="33">
        <f ca="1">('TUSD BE'!$AJ$63+'TUSD BF'!$AJ$63+'TUSD CVA'!$AJ$63)*(1 - CUSTOS!$M$40)</f>
        <v>0.70680173006749702</v>
      </c>
      <c r="AG63" s="33">
        <f ca="1">('TUSD BE'!$AK$63+'TUSD BF'!$AK$63+'TUSD CVA'!$AK$63)*(1 - CUSTOS!$M$40)</f>
        <v>4.5529312676594476</v>
      </c>
      <c r="AI63" s="33">
        <v>8.5204354167030907</v>
      </c>
      <c r="AJ63" s="33">
        <v>0.55023437459284197</v>
      </c>
      <c r="AK63" s="33">
        <v>1.7812483861745201</v>
      </c>
      <c r="AL63" s="33">
        <v>-3.7571534392436901E-3</v>
      </c>
      <c r="AM63" s="33">
        <v>0</v>
      </c>
      <c r="AN63" s="33">
        <v>44.5660652500124</v>
      </c>
      <c r="AO63" s="33">
        <v>8.3311565542112707</v>
      </c>
      <c r="AP63" s="33">
        <v>0</v>
      </c>
      <c r="AQ63" s="33">
        <v>5.4699387205705996</v>
      </c>
      <c r="AR63" s="33">
        <v>-2.3252078249556499E-3</v>
      </c>
      <c r="AS63" s="33">
        <v>0</v>
      </c>
      <c r="AT63" s="33">
        <v>0</v>
      </c>
      <c r="AU63" s="33">
        <v>16.976571858999101</v>
      </c>
      <c r="AV63" s="33">
        <v>0</v>
      </c>
      <c r="AW63" s="33">
        <v>0</v>
      </c>
      <c r="AX63" s="33">
        <v>83.977379654266301</v>
      </c>
      <c r="AY63" s="33">
        <v>-3.66790614749068E-2</v>
      </c>
      <c r="AZ63" s="33">
        <v>0</v>
      </c>
      <c r="BA63" s="33">
        <v>33.131613733017403</v>
      </c>
      <c r="BB63" s="33">
        <v>0.115127273457412</v>
      </c>
      <c r="BC63" s="33">
        <v>0.626649916831301</v>
      </c>
      <c r="BD63" s="33">
        <v>2.6073512747062702</v>
      </c>
    </row>
    <row r="64" spans="1:56" ht="11.25" customHeight="1" x14ac:dyDescent="0.25">
      <c r="A64" s="116"/>
      <c r="B64" s="80" t="s">
        <v>23</v>
      </c>
      <c r="C64" s="80" t="s">
        <v>45</v>
      </c>
      <c r="D64" s="80" t="s">
        <v>133</v>
      </c>
      <c r="E64" s="80" t="s">
        <v>25</v>
      </c>
      <c r="F64" s="80" t="s">
        <v>25</v>
      </c>
      <c r="G64" s="36" t="s">
        <v>123</v>
      </c>
      <c r="H64" s="36" t="s">
        <v>117</v>
      </c>
      <c r="I64" s="36">
        <f>'MERCADO TUSD'!$U$61</f>
        <v>0</v>
      </c>
      <c r="J64" s="16"/>
      <c r="L64" s="33">
        <f>('TUSD BE'!$L$64+'TUSD BF'!$L$64+'TUSD CVA'!$L$64)*(1 - CUSTOS!$M$40)</f>
        <v>2.145549594679677</v>
      </c>
      <c r="M64" s="33">
        <f>('TUSD BE'!$M$64+'TUSD BF'!$M$64+'TUSD CVA'!$M$64)*(1 - CUSTOS!$M$40)</f>
        <v>0.76336187827019197</v>
      </c>
      <c r="N64" s="33">
        <f ca="1">('TUSD BE'!$N$64+'TUSD BF'!$N$64+'TUSD CVA'!$N$64)*(1 - CUSTOS!$M$40)</f>
        <v>3.400508318089198</v>
      </c>
      <c r="O64" s="33">
        <f>('TUSD BE'!$O$64+'TUSD BF'!$O$64+'TUSD CVA'!$O$64)*(1 - CUSTOS!$M$40)</f>
        <v>-4.6301847894300377E-3</v>
      </c>
      <c r="P64" s="33">
        <f>('TUSD BE'!$P$64+'TUSD BF'!$P$64+'TUSD CVA'!$P$64)*(1 - CUSTOS!$M$40)</f>
        <v>0</v>
      </c>
      <c r="Q64" s="33">
        <f>('TUSD BE'!$Q$64+'TUSD BF'!$Q$64+'TUSD CVA'!$Q$64)*(1 - CUSTOS!$M$40)</f>
        <v>98.387061305529059</v>
      </c>
      <c r="R64" s="33">
        <f>('TUSD BE'!$R$64+'TUSD BF'!$R$64+'TUSD CVA'!$R$64)*(1 - CUSTOS!$M$40)</f>
        <v>16.648645267046927</v>
      </c>
      <c r="S64" s="33">
        <f>('TUSD BE'!$S$64+'TUSD BF'!$S$64+'TUSD CVA'!$S$64)*(1 - CUSTOS!$M$40)</f>
        <v>0</v>
      </c>
      <c r="T64" s="33">
        <f>('TUSD BE'!$U$64+'TUSD BF'!$U$64+'TUSD CVA'!$U$64)*(1 - CUSTOS!$M$40)</f>
        <v>13.77661491718678</v>
      </c>
      <c r="U64" s="33">
        <f>('TUSD BE'!$V$64+'TUSD BF'!$V$64+'TUSD CVA'!$V$64)*(1 - CUSTOS!$M$40)</f>
        <v>0.15654670694994019</v>
      </c>
      <c r="V64" s="33">
        <f>('TUSD BE'!$W$64+'TUSD BF'!$W$64+'TUSD CVA'!$W$64)*(1 - CUSTOS!$M$40)</f>
        <v>0</v>
      </c>
      <c r="W64" s="33">
        <f>('TUSD BE'!$X$64+'TUSD BF'!$X$64+'TUSD CVA'!$X$64)*(1 - CUSTOS!$M$40)</f>
        <v>0</v>
      </c>
      <c r="X64" s="33">
        <f>('TUSD BE'!$Y$64+'TUSD BF'!$Y$64+'TUSD CVA'!$Y$64)*(1 - CUSTOS!$M$40)</f>
        <v>40.689604273358661</v>
      </c>
      <c r="Y64" s="33">
        <f>('TUSD BE'!$Z$64+'TUSD BF'!$Z$64+'TUSD CVA'!$Z$64)*(1 - CUSTOS!$M$40)</f>
        <v>0</v>
      </c>
      <c r="Z64" s="33">
        <f>('TUSD BE'!$AA$64+'TUSD BF'!$AA$64+'TUSD CVA'!$AA$64)*(1 - CUSTOS!$M$40)</f>
        <v>0</v>
      </c>
      <c r="AA64" s="33">
        <f>('TUSD BE'!$AC$64+'TUSD BF'!$AC$64+'TUSD CVA'!$AC$64)*(1 - CUSTOS!$M$40)</f>
        <v>181.26889076678239</v>
      </c>
      <c r="AB64" s="33">
        <f ca="1">('TUSD BE'!$AE$64+'TUSD BF'!$AE$64+'TUSD CVA'!$AE$64)*(1 - CUSTOS!$M$40)</f>
        <v>0</v>
      </c>
      <c r="AC64" s="33">
        <f ca="1">('TUSD BE'!$AF$64+'TUSD BF'!$AF$64+'TUSD CVA'!$AF$64)*(1 - CUSTOS!$M$40)</f>
        <v>0</v>
      </c>
      <c r="AD64" s="33">
        <f>('TUSD BE'!$AH$64+'TUSD BF'!$AH$64+'TUSD CVA'!$AH$64)*(1 - CUSTOS!$M$40)</f>
        <v>39.263047511607077</v>
      </c>
      <c r="AE64" s="33">
        <f>('TUSD BE'!$AI$64+'TUSD BF'!$AI$64+'TUSD CVA'!$AI$64)*(1 - CUSTOS!$M$40)</f>
        <v>8.7179816205961519E-2</v>
      </c>
      <c r="AF64" s="33">
        <f ca="1">('TUSD BE'!$AJ$64+'TUSD BF'!$AJ$64+'TUSD CVA'!$AJ$64)*(1 - CUSTOS!$M$40)</f>
        <v>0.70680173006749702</v>
      </c>
      <c r="AG64" s="33">
        <f ca="1">('TUSD BE'!$AK$64+'TUSD BF'!$AK$64+'TUSD CVA'!$AK$64)*(1 - CUSTOS!$M$40)</f>
        <v>4.5529312676594476</v>
      </c>
      <c r="AI64" s="33">
        <v>8.5204354167030907</v>
      </c>
      <c r="AJ64" s="33">
        <v>0.55023437459284197</v>
      </c>
      <c r="AK64" s="33">
        <v>2.5869490241825699</v>
      </c>
      <c r="AL64" s="33">
        <v>-3.7571534392436901E-3</v>
      </c>
      <c r="AM64" s="33">
        <v>0</v>
      </c>
      <c r="AN64" s="33">
        <v>44.5660652500124</v>
      </c>
      <c r="AO64" s="33">
        <v>8.3311565542112707</v>
      </c>
      <c r="AP64" s="33">
        <v>0</v>
      </c>
      <c r="AQ64" s="33">
        <v>9.5964321063064499</v>
      </c>
      <c r="AR64" s="33">
        <v>-4.0791666045600699E-3</v>
      </c>
      <c r="AS64" s="33">
        <v>0</v>
      </c>
      <c r="AT64" s="33">
        <v>0</v>
      </c>
      <c r="AU64" s="33">
        <v>29.783470467808701</v>
      </c>
      <c r="AV64" s="33">
        <v>0</v>
      </c>
      <c r="AW64" s="33">
        <v>0</v>
      </c>
      <c r="AX64" s="33">
        <v>147.32878728647901</v>
      </c>
      <c r="AY64" s="33">
        <v>-5.0806838546558403E-2</v>
      </c>
      <c r="AZ64" s="33">
        <v>0</v>
      </c>
      <c r="BA64" s="33">
        <v>33.131613733017403</v>
      </c>
      <c r="BB64" s="33">
        <v>0.115127273457412</v>
      </c>
      <c r="BC64" s="33">
        <v>0.626649916831301</v>
      </c>
      <c r="BD64" s="33">
        <v>2.6073512747062702</v>
      </c>
    </row>
    <row r="65" spans="1:56" ht="11.25" customHeight="1" x14ac:dyDescent="0.25">
      <c r="A65" s="116"/>
      <c r="B65" s="116" t="s">
        <v>131</v>
      </c>
      <c r="C65" s="116" t="s">
        <v>45</v>
      </c>
      <c r="D65" s="80" t="s">
        <v>25</v>
      </c>
      <c r="E65" s="80" t="s">
        <v>25</v>
      </c>
      <c r="F65" s="80" t="s">
        <v>25</v>
      </c>
      <c r="G65" s="36" t="s">
        <v>123</v>
      </c>
      <c r="H65" s="36" t="s">
        <v>117</v>
      </c>
      <c r="I65" s="36">
        <f>'MERCADO TUSD'!$U$62</f>
        <v>0</v>
      </c>
      <c r="J65" s="16"/>
      <c r="L65" s="33">
        <f>('TUSD BE'!$L$65+'TUSD BF'!$L$65+'TUSD CVA'!$L$65)*(1 - CUSTOS!$M$38)</f>
        <v>2.1921919771727132</v>
      </c>
      <c r="M65" s="33">
        <f>('TUSD BE'!$M$65+'TUSD BF'!$M$65+'TUSD CVA'!$M$65)*(1 - CUSTOS!$M$38)</f>
        <v>0.7799567017108483</v>
      </c>
      <c r="N65" s="33">
        <f ca="1">('TUSD BE'!$N$65+'TUSD BF'!$N$65+'TUSD CVA'!$N$65)*(1 - CUSTOS!$M$38)</f>
        <v>3.4744324119607017</v>
      </c>
      <c r="O65" s="33">
        <f>('TUSD BE'!$O$65+'TUSD BF'!$O$65+'TUSD CVA'!$O$65)*(1 - CUSTOS!$M$38)</f>
        <v>-4.7308409805046038E-3</v>
      </c>
      <c r="P65" s="33">
        <f>('TUSD BE'!$P$65+'TUSD BF'!$P$65+'TUSD CVA'!$P$65)*(1 - CUSTOS!$M$38)</f>
        <v>0</v>
      </c>
      <c r="Q65" s="33">
        <f>('TUSD BE'!$Q$65+'TUSD BF'!$Q$65+'TUSD CVA'!$Q$65)*(1 - CUSTOS!$M$38)</f>
        <v>100.5259104643449</v>
      </c>
      <c r="R65" s="33">
        <f>('TUSD BE'!$R$65+'TUSD BF'!$R$65+'TUSD CVA'!$R$65)*(1 - CUSTOS!$M$38)</f>
        <v>17.010572338069682</v>
      </c>
      <c r="S65" s="33">
        <f>('TUSD BE'!$S$65+'TUSD BF'!$S$65+'TUSD CVA'!$S$65)*(1 - CUSTOS!$M$38)</f>
        <v>0</v>
      </c>
      <c r="T65" s="33">
        <f>('TUSD BE'!$U$65+'TUSD BF'!$U$65+'TUSD CVA'!$U$65)*(1 - CUSTOS!$M$38)</f>
        <v>14.076106545821276</v>
      </c>
      <c r="U65" s="33">
        <f>('TUSD BE'!$V$65+'TUSD BF'!$V$65+'TUSD CVA'!$V$65)*(1 - CUSTOS!$M$38)</f>
        <v>0.15994989623146064</v>
      </c>
      <c r="V65" s="33">
        <f>('TUSD BE'!$W$65+'TUSD BF'!$W$65+'TUSD CVA'!$W$65)*(1 - CUSTOS!$M$38)</f>
        <v>0</v>
      </c>
      <c r="W65" s="33">
        <f>('TUSD BE'!$X$65+'TUSD BF'!$X$65+'TUSD CVA'!$X$65)*(1 - CUSTOS!$M$38)</f>
        <v>0</v>
      </c>
      <c r="X65" s="33">
        <f>('TUSD BE'!$Y$65+'TUSD BF'!$Y$65+'TUSD CVA'!$Y$65)*(1 - CUSTOS!$M$38)</f>
        <v>41.574160887996889</v>
      </c>
      <c r="Y65" s="33">
        <f>('TUSD BE'!$Z$65+'TUSD BF'!$Z$65+'TUSD CVA'!$Z$65)*(1 - CUSTOS!$M$38)</f>
        <v>0</v>
      </c>
      <c r="Z65" s="33">
        <f>('TUSD BE'!$AA$65+'TUSD BF'!$AA$65+'TUSD CVA'!$AA$65)*(1 - CUSTOS!$M$38)</f>
        <v>0</v>
      </c>
      <c r="AA65" s="33">
        <f>('TUSD BE'!$AC$65+'TUSD BF'!$AC$65+'TUSD CVA'!$AC$65)*(1 - CUSTOS!$M$38)</f>
        <v>185.20951882692981</v>
      </c>
      <c r="AB65" s="33">
        <f ca="1">('TUSD BE'!$AE$65+'TUSD BF'!$AE$65+'TUSD CVA'!$AE$65)*(1 - CUSTOS!$M$38)</f>
        <v>0</v>
      </c>
      <c r="AC65" s="33">
        <f ca="1">('TUSD BE'!$AF$65+'TUSD BF'!$AF$65+'TUSD CVA'!$AF$65)*(1 - CUSTOS!$M$38)</f>
        <v>0</v>
      </c>
      <c r="AD65" s="33">
        <f>('TUSD BE'!$AH$65+'TUSD BF'!$AH$65+'TUSD CVA'!$AH$65)*(1 - CUSTOS!$M$38)</f>
        <v>40.116592022728966</v>
      </c>
      <c r="AE65" s="33">
        <f>('TUSD BE'!$AI$65+'TUSD BF'!$AI$65+'TUSD CVA'!$AI$65)*(1 - CUSTOS!$M$38)</f>
        <v>8.907502960174328E-2</v>
      </c>
      <c r="AF65" s="33">
        <f ca="1">('TUSD BE'!$AJ$65+'TUSD BF'!$AJ$65+'TUSD CVA'!$AJ$65)*(1 - CUSTOS!$M$38)</f>
        <v>0.72216698506896426</v>
      </c>
      <c r="AG65" s="33">
        <f ca="1">('TUSD BE'!$AK$65+'TUSD BF'!$AK$65+'TUSD CVA'!$AK$65)*(1 - CUSTOS!$M$38)</f>
        <v>4.651908034347696</v>
      </c>
      <c r="AI65" s="33">
        <v>8.9261704365460997</v>
      </c>
      <c r="AJ65" s="33">
        <v>0.57643601147821599</v>
      </c>
      <c r="AK65" s="33">
        <v>2.7101370729531702</v>
      </c>
      <c r="AL65" s="33">
        <v>-3.9360655077790999E-3</v>
      </c>
      <c r="AM65" s="33">
        <v>0</v>
      </c>
      <c r="AN65" s="33">
        <v>46.688258833346403</v>
      </c>
      <c r="AO65" s="33">
        <v>8.7278782948879901</v>
      </c>
      <c r="AP65" s="33">
        <v>0</v>
      </c>
      <c r="AQ65" s="33">
        <v>10.053405063749601</v>
      </c>
      <c r="AR65" s="33">
        <v>-4.2734126333486503E-3</v>
      </c>
      <c r="AS65" s="33">
        <v>0</v>
      </c>
      <c r="AT65" s="33">
        <v>0</v>
      </c>
      <c r="AU65" s="33">
        <v>31.2017309662758</v>
      </c>
      <c r="AV65" s="33">
        <v>0</v>
      </c>
      <c r="AW65" s="33">
        <v>0</v>
      </c>
      <c r="AX65" s="33">
        <v>154.34444382392999</v>
      </c>
      <c r="AY65" s="33">
        <v>-5.3226211810680199E-2</v>
      </c>
      <c r="AZ65" s="33">
        <v>0</v>
      </c>
      <c r="BA65" s="33">
        <v>34.709309625065899</v>
      </c>
      <c r="BB65" s="33">
        <v>0.120609524574431</v>
      </c>
      <c r="BC65" s="33">
        <v>0.65649038906136303</v>
      </c>
      <c r="BD65" s="33">
        <v>2.7315108592160899</v>
      </c>
    </row>
    <row r="66" spans="1:56" ht="11.25" customHeight="1" x14ac:dyDescent="0.25">
      <c r="A66" s="116"/>
      <c r="B66" s="116"/>
      <c r="C66" s="116"/>
      <c r="D66" s="80" t="s">
        <v>132</v>
      </c>
      <c r="E66" s="80" t="s">
        <v>25</v>
      </c>
      <c r="F66" s="80" t="s">
        <v>25</v>
      </c>
      <c r="G66" s="36" t="s">
        <v>123</v>
      </c>
      <c r="H66" s="36" t="s">
        <v>117</v>
      </c>
      <c r="I66" s="36">
        <f>'MERCADO TUSD'!$U$63</f>
        <v>0</v>
      </c>
      <c r="J66" s="16"/>
      <c r="L66" s="33">
        <f>('TUSD BE'!$L$66+'TUSD BF'!$L$66+'TUSD CVA'!$L$66)*(1 - CUSTOS!$M$39)</f>
        <v>2.1921919771727132</v>
      </c>
      <c r="M66" s="33">
        <f>('TUSD BE'!$M$66+'TUSD BF'!$M$66+'TUSD CVA'!$M$66)*(1 - CUSTOS!$M$39)</f>
        <v>0.7799567017108483</v>
      </c>
      <c r="N66" s="33">
        <f ca="1">('TUSD BE'!$N$66+'TUSD BF'!$N$66+'TUSD CVA'!$N$66)*(1 - CUSTOS!$M$39)</f>
        <v>3.4744324119607017</v>
      </c>
      <c r="O66" s="33">
        <f>('TUSD BE'!$O$66+'TUSD BF'!$O$66+'TUSD CVA'!$O$66)*(1 - CUSTOS!$M$39)</f>
        <v>-4.7308409805046038E-3</v>
      </c>
      <c r="P66" s="33">
        <f>('TUSD BE'!$P$66+'TUSD BF'!$P$66+'TUSD CVA'!$P$66)*(1 - CUSTOS!$M$39)</f>
        <v>0</v>
      </c>
      <c r="Q66" s="33">
        <f>('TUSD BE'!$Q$66+'TUSD BF'!$Q$66+'TUSD CVA'!$Q$66)*(1 - CUSTOS!$M$39)</f>
        <v>100.5259104643449</v>
      </c>
      <c r="R66" s="33">
        <f>('TUSD BE'!$R$66+'TUSD BF'!$R$66+'TUSD CVA'!$R$66)*(1 - CUSTOS!$M$39)</f>
        <v>17.010572338069682</v>
      </c>
      <c r="S66" s="33">
        <f>('TUSD BE'!$S$66+'TUSD BF'!$S$66+'TUSD CVA'!$S$66)*(1 - CUSTOS!$M$39)</f>
        <v>0</v>
      </c>
      <c r="T66" s="33">
        <f>('TUSD BE'!$U$66+'TUSD BF'!$U$66+'TUSD CVA'!$U$66)*(1 - CUSTOS!$M$39)</f>
        <v>14.076106545821276</v>
      </c>
      <c r="U66" s="33">
        <f>('TUSD BE'!$V$66+'TUSD BF'!$V$66+'TUSD CVA'!$V$66)*(1 - CUSTOS!$M$39)</f>
        <v>0.15994989623146064</v>
      </c>
      <c r="V66" s="33">
        <f>('TUSD BE'!$W$66+'TUSD BF'!$W$66+'TUSD CVA'!$W$66)*(1 - CUSTOS!$M$39)</f>
        <v>0</v>
      </c>
      <c r="W66" s="33">
        <f>('TUSD BE'!$X$66+'TUSD BF'!$X$66+'TUSD CVA'!$X$66)*(1 - CUSTOS!$M$39)</f>
        <v>0</v>
      </c>
      <c r="X66" s="33">
        <f>('TUSD BE'!$Y$66+'TUSD BF'!$Y$66+'TUSD CVA'!$Y$66)*(1 - CUSTOS!$M$39)</f>
        <v>41.574160887996889</v>
      </c>
      <c r="Y66" s="33">
        <f>('TUSD BE'!$Z$66+'TUSD BF'!$Z$66+'TUSD CVA'!$Z$66)*(1 - CUSTOS!$M$39)</f>
        <v>0</v>
      </c>
      <c r="Z66" s="33">
        <f>('TUSD BE'!$AA$66+'TUSD BF'!$AA$66+'TUSD CVA'!$AA$66)*(1 - CUSTOS!$M$39)</f>
        <v>0</v>
      </c>
      <c r="AA66" s="33">
        <f>('TUSD BE'!$AC$66+'TUSD BF'!$AC$66+'TUSD CVA'!$AC$66)*(1 - CUSTOS!$M$39)</f>
        <v>185.20951882692981</v>
      </c>
      <c r="AB66" s="33">
        <f ca="1">('TUSD BE'!$AE$66+'TUSD BF'!$AE$66+'TUSD CVA'!$AE$66)*(1 - CUSTOS!$M$39)</f>
        <v>0</v>
      </c>
      <c r="AC66" s="33">
        <f ca="1">('TUSD BE'!$AF$66+'TUSD BF'!$AF$66+'TUSD CVA'!$AF$66)*(1 - CUSTOS!$M$39)</f>
        <v>0</v>
      </c>
      <c r="AD66" s="33">
        <f>('TUSD BE'!$AH$66+'TUSD BF'!$AH$66+'TUSD CVA'!$AH$66)*(1 - CUSTOS!$M$39)</f>
        <v>40.116592022728966</v>
      </c>
      <c r="AE66" s="33">
        <f>('TUSD BE'!$AI$66+'TUSD BF'!$AI$66+'TUSD CVA'!$AI$66)*(1 - CUSTOS!$M$39)</f>
        <v>8.907502960174328E-2</v>
      </c>
      <c r="AF66" s="33">
        <f ca="1">('TUSD BE'!$AJ$66+'TUSD BF'!$AJ$66+'TUSD CVA'!$AJ$66)*(1 - CUSTOS!$M$39)</f>
        <v>0.72216698506896426</v>
      </c>
      <c r="AG66" s="33">
        <f ca="1">('TUSD BE'!$AK$66+'TUSD BF'!$AK$66+'TUSD CVA'!$AK$66)*(1 - CUSTOS!$M$39)</f>
        <v>4.651908034347696</v>
      </c>
      <c r="AI66" s="33">
        <v>8.9261704365460997</v>
      </c>
      <c r="AJ66" s="33">
        <v>0.57643601147821599</v>
      </c>
      <c r="AK66" s="33">
        <v>2.7101370729531702</v>
      </c>
      <c r="AL66" s="33">
        <v>-3.9360655077790999E-3</v>
      </c>
      <c r="AM66" s="33">
        <v>0</v>
      </c>
      <c r="AN66" s="33">
        <v>46.688258833346403</v>
      </c>
      <c r="AO66" s="33">
        <v>8.7278782948879901</v>
      </c>
      <c r="AP66" s="33">
        <v>0</v>
      </c>
      <c r="AQ66" s="33">
        <v>10.053405063749601</v>
      </c>
      <c r="AR66" s="33">
        <v>-4.2734126333486503E-3</v>
      </c>
      <c r="AS66" s="33">
        <v>0</v>
      </c>
      <c r="AT66" s="33">
        <v>0</v>
      </c>
      <c r="AU66" s="33">
        <v>31.2017309662758</v>
      </c>
      <c r="AV66" s="33">
        <v>0</v>
      </c>
      <c r="AW66" s="33">
        <v>0</v>
      </c>
      <c r="AX66" s="33">
        <v>154.34444382392999</v>
      </c>
      <c r="AY66" s="33">
        <v>-5.3226211810680199E-2</v>
      </c>
      <c r="AZ66" s="33">
        <v>0</v>
      </c>
      <c r="BA66" s="33">
        <v>34.709309625065899</v>
      </c>
      <c r="BB66" s="33">
        <v>0.120609524574431</v>
      </c>
      <c r="BC66" s="33">
        <v>0.65649038906136303</v>
      </c>
      <c r="BD66" s="33">
        <v>2.7315108592160899</v>
      </c>
    </row>
    <row r="67" spans="1:56" ht="11.25" customHeight="1" x14ac:dyDescent="0.25">
      <c r="A67" s="116"/>
      <c r="B67" s="116"/>
      <c r="C67" s="116"/>
      <c r="D67" s="80" t="s">
        <v>133</v>
      </c>
      <c r="E67" s="80" t="s">
        <v>25</v>
      </c>
      <c r="F67" s="80" t="s">
        <v>25</v>
      </c>
      <c r="G67" s="36" t="s">
        <v>123</v>
      </c>
      <c r="H67" s="36" t="s">
        <v>117</v>
      </c>
      <c r="I67" s="36">
        <f>'MERCADO TUSD'!$U$64</f>
        <v>0</v>
      </c>
      <c r="J67" s="16"/>
      <c r="L67" s="33">
        <f>('TUSD BE'!$L$67+'TUSD BF'!$L$67+'TUSD CVA'!$L$67)*(1 - CUSTOS!$M$40)</f>
        <v>2.145549594679677</v>
      </c>
      <c r="M67" s="33">
        <f>('TUSD BE'!$M$67+'TUSD BF'!$M$67+'TUSD CVA'!$M$67)*(1 - CUSTOS!$M$40)</f>
        <v>0.76336187827019197</v>
      </c>
      <c r="N67" s="33">
        <f ca="1">('TUSD BE'!$N$67+'TUSD BF'!$N$67+'TUSD CVA'!$N$67)*(1 - CUSTOS!$M$40)</f>
        <v>3.400508318089198</v>
      </c>
      <c r="O67" s="33">
        <f>('TUSD BE'!$O$67+'TUSD BF'!$O$67+'TUSD CVA'!$O$67)*(1 - CUSTOS!$M$40)</f>
        <v>-4.6301847894300377E-3</v>
      </c>
      <c r="P67" s="33">
        <f>('TUSD BE'!$P$67+'TUSD BF'!$P$67+'TUSD CVA'!$P$67)*(1 - CUSTOS!$M$40)</f>
        <v>0</v>
      </c>
      <c r="Q67" s="33">
        <f>('TUSD BE'!$Q$67+'TUSD BF'!$Q$67+'TUSD CVA'!$Q$67)*(1 - CUSTOS!$M$40)</f>
        <v>98.387061305529059</v>
      </c>
      <c r="R67" s="33">
        <f>('TUSD BE'!$R$67+'TUSD BF'!$R$67+'TUSD CVA'!$R$67)*(1 - CUSTOS!$M$40)</f>
        <v>16.648645267046927</v>
      </c>
      <c r="S67" s="33">
        <f>('TUSD BE'!$S$67+'TUSD BF'!$S$67+'TUSD CVA'!$S$67)*(1 - CUSTOS!$M$40)</f>
        <v>0</v>
      </c>
      <c r="T67" s="33">
        <f>('TUSD BE'!$U$67+'TUSD BF'!$U$67+'TUSD CVA'!$U$67)*(1 - CUSTOS!$M$40)</f>
        <v>13.77661491718678</v>
      </c>
      <c r="U67" s="33">
        <f>('TUSD BE'!$V$67+'TUSD BF'!$V$67+'TUSD CVA'!$V$67)*(1 - CUSTOS!$M$40)</f>
        <v>0.15654670694994019</v>
      </c>
      <c r="V67" s="33">
        <f>('TUSD BE'!$W$67+'TUSD BF'!$W$67+'TUSD CVA'!$W$67)*(1 - CUSTOS!$M$40)</f>
        <v>0</v>
      </c>
      <c r="W67" s="33">
        <f>('TUSD BE'!$X$67+'TUSD BF'!$X$67+'TUSD CVA'!$X$67)*(1 - CUSTOS!$M$40)</f>
        <v>0</v>
      </c>
      <c r="X67" s="33">
        <f>('TUSD BE'!$Y$67+'TUSD BF'!$Y$67+'TUSD CVA'!$Y$67)*(1 - CUSTOS!$M$40)</f>
        <v>40.689604273358661</v>
      </c>
      <c r="Y67" s="33">
        <f>('TUSD BE'!$Z$67+'TUSD BF'!$Z$67+'TUSD CVA'!$Z$67)*(1 - CUSTOS!$M$40)</f>
        <v>0</v>
      </c>
      <c r="Z67" s="33">
        <f>('TUSD BE'!$AA$67+'TUSD BF'!$AA$67+'TUSD CVA'!$AA$67)*(1 - CUSTOS!$M$40)</f>
        <v>0</v>
      </c>
      <c r="AA67" s="33">
        <f>('TUSD BE'!$AC$67+'TUSD BF'!$AC$67+'TUSD CVA'!$AC$67)*(1 - CUSTOS!$M$40)</f>
        <v>181.26889076678239</v>
      </c>
      <c r="AB67" s="33">
        <f ca="1">('TUSD BE'!$AE$67+'TUSD BF'!$AE$67+'TUSD CVA'!$AE$67)*(1 - CUSTOS!$M$40)</f>
        <v>0</v>
      </c>
      <c r="AC67" s="33">
        <f ca="1">('TUSD BE'!$AF$67+'TUSD BF'!$AF$67+'TUSD CVA'!$AF$67)*(1 - CUSTOS!$M$40)</f>
        <v>0</v>
      </c>
      <c r="AD67" s="33">
        <f>('TUSD BE'!$AH$67+'TUSD BF'!$AH$67+'TUSD CVA'!$AH$67)*(1 - CUSTOS!$M$40)</f>
        <v>39.263047511607077</v>
      </c>
      <c r="AE67" s="33">
        <f>('TUSD BE'!$AI$67+'TUSD BF'!$AI$67+'TUSD CVA'!$AI$67)*(1 - CUSTOS!$M$40)</f>
        <v>8.7179816205961519E-2</v>
      </c>
      <c r="AF67" s="33">
        <f ca="1">('TUSD BE'!$AJ$67+'TUSD BF'!$AJ$67+'TUSD CVA'!$AJ$67)*(1 - CUSTOS!$M$40)</f>
        <v>0.70680173006749702</v>
      </c>
      <c r="AG67" s="33">
        <f ca="1">('TUSD BE'!$AK$67+'TUSD BF'!$AK$67+'TUSD CVA'!$AK$67)*(1 - CUSTOS!$M$40)</f>
        <v>4.5529312676594476</v>
      </c>
      <c r="AI67" s="33">
        <v>8.5204354167030907</v>
      </c>
      <c r="AJ67" s="33">
        <v>0.55023437459284197</v>
      </c>
      <c r="AK67" s="33">
        <v>2.5869490241825699</v>
      </c>
      <c r="AL67" s="33">
        <v>-3.7571534392436901E-3</v>
      </c>
      <c r="AM67" s="33">
        <v>0</v>
      </c>
      <c r="AN67" s="33">
        <v>44.5660652500124</v>
      </c>
      <c r="AO67" s="33">
        <v>8.3311565542112707</v>
      </c>
      <c r="AP67" s="33">
        <v>0</v>
      </c>
      <c r="AQ67" s="33">
        <v>9.5964321063064499</v>
      </c>
      <c r="AR67" s="33">
        <v>-4.0791666045600699E-3</v>
      </c>
      <c r="AS67" s="33">
        <v>0</v>
      </c>
      <c r="AT67" s="33">
        <v>0</v>
      </c>
      <c r="AU67" s="33">
        <v>29.783470467808701</v>
      </c>
      <c r="AV67" s="33">
        <v>0</v>
      </c>
      <c r="AW67" s="33">
        <v>0</v>
      </c>
      <c r="AX67" s="33">
        <v>147.32878728647901</v>
      </c>
      <c r="AY67" s="33">
        <v>-5.0806838546558403E-2</v>
      </c>
      <c r="AZ67" s="33">
        <v>0</v>
      </c>
      <c r="BA67" s="33">
        <v>33.131613733017403</v>
      </c>
      <c r="BB67" s="33">
        <v>0.115127273457412</v>
      </c>
      <c r="BC67" s="33">
        <v>0.626649916831301</v>
      </c>
      <c r="BD67" s="33">
        <v>2.6073512747062702</v>
      </c>
    </row>
    <row r="68" spans="1:56" ht="11.25" customHeight="1" x14ac:dyDescent="0.25">
      <c r="A68" s="116" t="s">
        <v>37</v>
      </c>
      <c r="B68" s="116" t="s">
        <v>33</v>
      </c>
      <c r="C68" s="116" t="s">
        <v>25</v>
      </c>
      <c r="D68" s="116" t="s">
        <v>25</v>
      </c>
      <c r="E68" s="116" t="s">
        <v>25</v>
      </c>
      <c r="F68" s="116" t="s">
        <v>25</v>
      </c>
      <c r="G68" s="36" t="s">
        <v>118</v>
      </c>
      <c r="H68" s="36" t="s">
        <v>117</v>
      </c>
      <c r="I68" s="36">
        <f>'MERCADO TUSD'!$U$65</f>
        <v>31.868999999999996</v>
      </c>
      <c r="J68" s="16"/>
      <c r="L68" s="33">
        <f>('TUSD BE'!$L$68+'TUSD BF'!$L$68+'TUSD CVA'!$L$68)*1</f>
        <v>2.3321191246518227</v>
      </c>
      <c r="M68" s="33">
        <f>('TUSD BE'!$M$68+'TUSD BF'!$M$68+'TUSD CVA'!$M$68)*1</f>
        <v>0.82974117203281739</v>
      </c>
      <c r="N68" s="33">
        <f ca="1">('TUSD BE'!$N$68+'TUSD BF'!$N$68+'TUSD CVA'!$N$68)*1</f>
        <v>10.11851297769366</v>
      </c>
      <c r="O68" s="33">
        <f>('TUSD BE'!$O$68+'TUSD BF'!$O$68+'TUSD CVA'!$O$68)*1</f>
        <v>-5.032809553728302E-3</v>
      </c>
      <c r="P68" s="33">
        <f>('TUSD BE'!$P$68+'TUSD BF'!$P$68+'TUSD CVA'!$P$68)*1</f>
        <v>0</v>
      </c>
      <c r="Q68" s="33">
        <f>('TUSD BE'!$Q$68+'TUSD BF'!$Q$68+'TUSD CVA'!$Q$68)*1</f>
        <v>106.94245794079245</v>
      </c>
      <c r="R68" s="33">
        <f>('TUSD BE'!$R$68+'TUSD BF'!$R$68+'TUSD CVA'!$R$68)*1</f>
        <v>18.096353551137963</v>
      </c>
      <c r="S68" s="33">
        <f>('TUSD BE'!$S$68+'TUSD BF'!$S$68+'TUSD CVA'!$S$68)*1</f>
        <v>0</v>
      </c>
      <c r="T68" s="33">
        <f>('TUSD BE'!$U$68+'TUSD BF'!$U$68+'TUSD CVA'!$U$68)*1</f>
        <v>50.913414026081043</v>
      </c>
      <c r="U68" s="33">
        <f>('TUSD BE'!$V$68+'TUSD BF'!$V$68+'TUSD CVA'!$V$68)*1</f>
        <v>0.57855031070417073</v>
      </c>
      <c r="V68" s="33">
        <f>('TUSD BE'!$W$68+'TUSD BF'!$W$68+'TUSD CVA'!$W$68)*1</f>
        <v>0</v>
      </c>
      <c r="W68" s="33">
        <f>('TUSD BE'!$X$68+'TUSD BF'!$X$68+'TUSD CVA'!$X$68)*1</f>
        <v>0</v>
      </c>
      <c r="X68" s="33">
        <f>('TUSD BE'!$Y$68+'TUSD BF'!$Y$68+'TUSD CVA'!$Y$68)*1</f>
        <v>150.37467132215471</v>
      </c>
      <c r="Y68" s="33">
        <f>('TUSD BE'!$Z$68+'TUSD BF'!$Z$68+'TUSD CVA'!$Z$68)*1</f>
        <v>0</v>
      </c>
      <c r="Z68" s="33">
        <f>('TUSD BE'!$AA$68+'TUSD BF'!$AA$68+'TUSD CVA'!$AA$68)*1</f>
        <v>0</v>
      </c>
      <c r="AA68" s="33">
        <f>('TUSD BE'!$AC$68+'TUSD BF'!$AC$68+'TUSD CVA'!$AC$68)*1</f>
        <v>669.90677022506532</v>
      </c>
      <c r="AB68" s="33">
        <f ca="1">('TUSD BE'!$AE$68+'TUSD BF'!$AE$68+'TUSD CVA'!$AE$68)*1</f>
        <v>0</v>
      </c>
      <c r="AC68" s="33">
        <f ca="1">('TUSD BE'!$AF$68+'TUSD BF'!$AF$68+'TUSD CVA'!$AF$68)*1</f>
        <v>0</v>
      </c>
      <c r="AD68" s="33">
        <f>('TUSD BE'!$AH$68+'TUSD BF'!$AH$68+'TUSD CVA'!$AH$68)*1</f>
        <v>42.677225556094648</v>
      </c>
      <c r="AE68" s="33">
        <f>('TUSD BE'!$AI$68+'TUSD BF'!$AI$68+'TUSD CVA'!$AI$68)*1</f>
        <v>9.4760669789088606E-2</v>
      </c>
      <c r="AF68" s="33">
        <f ca="1">('TUSD BE'!$AJ$68+'TUSD BF'!$AJ$68+'TUSD CVA'!$AJ$68)*1</f>
        <v>0.76826275007336631</v>
      </c>
      <c r="AG68" s="33">
        <f ca="1">('TUSD BE'!$AK$68+'TUSD BF'!$AK$68+'TUSD CVA'!$AK$68)*1</f>
        <v>4.9488383344124429</v>
      </c>
      <c r="AI68" s="33">
        <v>10.1433754960751</v>
      </c>
      <c r="AJ68" s="33">
        <v>0.65504092213433596</v>
      </c>
      <c r="AK68" s="33">
        <v>8.4331911411301004</v>
      </c>
      <c r="AL68" s="33">
        <v>-4.4728017133853397E-3</v>
      </c>
      <c r="AM68" s="33">
        <v>0</v>
      </c>
      <c r="AN68" s="33">
        <v>53.054839583348198</v>
      </c>
      <c r="AO68" s="33">
        <v>9.9180435169181695</v>
      </c>
      <c r="AP68" s="33">
        <v>0</v>
      </c>
      <c r="AQ68" s="33">
        <v>38.842577148326299</v>
      </c>
      <c r="AR68" s="33">
        <v>-1.6511144548867498E-2</v>
      </c>
      <c r="AS68" s="33">
        <v>0</v>
      </c>
      <c r="AT68" s="33">
        <v>0</v>
      </c>
      <c r="AU68" s="33">
        <v>120.552179915249</v>
      </c>
      <c r="AV68" s="33">
        <v>0</v>
      </c>
      <c r="AW68" s="33">
        <v>0</v>
      </c>
      <c r="AX68" s="33">
        <v>596.33080568336698</v>
      </c>
      <c r="AY68" s="33">
        <v>-0.15435650956899</v>
      </c>
      <c r="AZ68" s="33">
        <v>0</v>
      </c>
      <c r="BA68" s="33">
        <v>39.442397301211201</v>
      </c>
      <c r="BB68" s="33">
        <v>0.13705627792548999</v>
      </c>
      <c r="BC68" s="33">
        <v>0.74601180575154902</v>
      </c>
      <c r="BD68" s="33">
        <v>3.10398961274556</v>
      </c>
    </row>
    <row r="69" spans="1:56" ht="11.25" customHeight="1" x14ac:dyDescent="0.25">
      <c r="A69" s="116"/>
      <c r="B69" s="116"/>
      <c r="C69" s="116"/>
      <c r="D69" s="116"/>
      <c r="E69" s="116"/>
      <c r="F69" s="116"/>
      <c r="G69" s="36" t="s">
        <v>128</v>
      </c>
      <c r="H69" s="36" t="s">
        <v>117</v>
      </c>
      <c r="I69" s="36">
        <f>'MERCADO TUSD'!$U$66</f>
        <v>31.273999999999997</v>
      </c>
      <c r="J69" s="16"/>
      <c r="L69" s="33">
        <f>('TUSD BE'!$L$69+'TUSD BF'!$L$69+'TUSD CVA'!$L$69)*1</f>
        <v>2.3321191246518227</v>
      </c>
      <c r="M69" s="33">
        <f>('TUSD BE'!$M$69+'TUSD BF'!$M$69+'TUSD CVA'!$M$69)*1</f>
        <v>0.82974117203281739</v>
      </c>
      <c r="N69" s="33">
        <f ca="1">('TUSD BE'!$N$69+'TUSD BF'!$N$69+'TUSD CVA'!$N$69)*1</f>
        <v>6.4792049111646985</v>
      </c>
      <c r="O69" s="33">
        <f>('TUSD BE'!$O$69+'TUSD BF'!$O$69+'TUSD CVA'!$O$69)*1</f>
        <v>-5.032809553728302E-3</v>
      </c>
      <c r="P69" s="33">
        <f>('TUSD BE'!$P$69+'TUSD BF'!$P$69+'TUSD CVA'!$P$69)*1</f>
        <v>0</v>
      </c>
      <c r="Q69" s="33">
        <f>('TUSD BE'!$Q$69+'TUSD BF'!$Q$69+'TUSD CVA'!$Q$69)*1</f>
        <v>106.94245794079245</v>
      </c>
      <c r="R69" s="33">
        <f>('TUSD BE'!$R$69+'TUSD BF'!$R$69+'TUSD CVA'!$R$69)*1</f>
        <v>18.096353551137963</v>
      </c>
      <c r="S69" s="33">
        <f>('TUSD BE'!$S$69+'TUSD BF'!$S$69+'TUSD CVA'!$S$69)*1</f>
        <v>0</v>
      </c>
      <c r="T69" s="33">
        <f>('TUSD BE'!$U$69+'TUSD BF'!$U$69+'TUSD CVA'!$U$69)*1</f>
        <v>30.548071678760504</v>
      </c>
      <c r="U69" s="33">
        <f>('TUSD BE'!$V$69+'TUSD BF'!$V$69+'TUSD CVA'!$V$69)*1</f>
        <v>0.34713018642250248</v>
      </c>
      <c r="V69" s="33">
        <f>('TUSD BE'!$W$69+'TUSD BF'!$W$69+'TUSD CVA'!$W$69)*1</f>
        <v>0</v>
      </c>
      <c r="W69" s="33">
        <f>('TUSD BE'!$X$69+'TUSD BF'!$X$69+'TUSD CVA'!$X$69)*1</f>
        <v>0</v>
      </c>
      <c r="X69" s="33">
        <f>('TUSD BE'!$Y$69+'TUSD BF'!$Y$69+'TUSD CVA'!$Y$69)*1</f>
        <v>90.224802793292824</v>
      </c>
      <c r="Y69" s="33">
        <f>('TUSD BE'!$Z$69+'TUSD BF'!$Z$69+'TUSD CVA'!$Z$69)*1</f>
        <v>0</v>
      </c>
      <c r="Z69" s="33">
        <f>('TUSD BE'!$AA$69+'TUSD BF'!$AA$69+'TUSD CVA'!$AA$69)*1</f>
        <v>0</v>
      </c>
      <c r="AA69" s="33">
        <f>('TUSD BE'!$AC$69+'TUSD BF'!$AC$69+'TUSD CVA'!$AC$69)*1</f>
        <v>401.94403989742204</v>
      </c>
      <c r="AB69" s="33">
        <f ca="1">('TUSD BE'!$AE$69+'TUSD BF'!$AE$69+'TUSD CVA'!$AE$69)*1</f>
        <v>0</v>
      </c>
      <c r="AC69" s="33">
        <f ca="1">('TUSD BE'!$AF$69+'TUSD BF'!$AF$69+'TUSD CVA'!$AF$69)*1</f>
        <v>0</v>
      </c>
      <c r="AD69" s="33">
        <f>('TUSD BE'!$AH$69+'TUSD BF'!$AH$69+'TUSD CVA'!$AH$69)*1</f>
        <v>42.677225556094648</v>
      </c>
      <c r="AE69" s="33">
        <f>('TUSD BE'!$AI$69+'TUSD BF'!$AI$69+'TUSD CVA'!$AI$69)*1</f>
        <v>9.4760669789088606E-2</v>
      </c>
      <c r="AF69" s="33">
        <f ca="1">('TUSD BE'!$AJ$69+'TUSD BF'!$AJ$69+'TUSD CVA'!$AJ$69)*1</f>
        <v>0.76826275007336631</v>
      </c>
      <c r="AG69" s="33">
        <f ca="1">('TUSD BE'!$AK$69+'TUSD BF'!$AK$69+'TUSD CVA'!$AK$69)*1</f>
        <v>4.9488383344124429</v>
      </c>
      <c r="AI69" s="33">
        <v>10.1433754960751</v>
      </c>
      <c r="AJ69" s="33">
        <v>0.65504092213433596</v>
      </c>
      <c r="AK69" s="33">
        <v>5.3995468196788501</v>
      </c>
      <c r="AL69" s="33">
        <v>-4.4728017133853397E-3</v>
      </c>
      <c r="AM69" s="33">
        <v>0</v>
      </c>
      <c r="AN69" s="33">
        <v>53.054839583348198</v>
      </c>
      <c r="AO69" s="33">
        <v>9.9180435169181695</v>
      </c>
      <c r="AP69" s="33">
        <v>0</v>
      </c>
      <c r="AQ69" s="33">
        <v>23.305564036759002</v>
      </c>
      <c r="AR69" s="33">
        <v>-9.9066867293205307E-3</v>
      </c>
      <c r="AS69" s="33">
        <v>0</v>
      </c>
      <c r="AT69" s="33">
        <v>0</v>
      </c>
      <c r="AU69" s="33">
        <v>72.331307949149206</v>
      </c>
      <c r="AV69" s="33">
        <v>0</v>
      </c>
      <c r="AW69" s="33">
        <v>0</v>
      </c>
      <c r="AX69" s="33">
        <v>357.79846361476399</v>
      </c>
      <c r="AY69" s="33">
        <v>-0.101162272550525</v>
      </c>
      <c r="AZ69" s="33">
        <v>0</v>
      </c>
      <c r="BA69" s="33">
        <v>39.442397301211201</v>
      </c>
      <c r="BB69" s="33">
        <v>0.13705627792548999</v>
      </c>
      <c r="BC69" s="33">
        <v>0.74601180575154902</v>
      </c>
      <c r="BD69" s="33">
        <v>3.10398961274556</v>
      </c>
    </row>
    <row r="70" spans="1:56" ht="11.25" customHeight="1" x14ac:dyDescent="0.25">
      <c r="A70" s="116"/>
      <c r="B70" s="116"/>
      <c r="C70" s="116"/>
      <c r="D70" s="116"/>
      <c r="E70" s="116"/>
      <c r="F70" s="116"/>
      <c r="G70" s="36" t="s">
        <v>119</v>
      </c>
      <c r="H70" s="36" t="s">
        <v>117</v>
      </c>
      <c r="I70" s="36">
        <f>'MERCADO TUSD'!$U$67</f>
        <v>381.83600000000001</v>
      </c>
      <c r="J70" s="16"/>
      <c r="L70" s="33">
        <f>('TUSD BE'!$L$70+'TUSD BF'!$L$70+'TUSD CVA'!$L$70)*1</f>
        <v>2.3321191246518227</v>
      </c>
      <c r="M70" s="33">
        <f>('TUSD BE'!$M$70+'TUSD BF'!$M$70+'TUSD CVA'!$M$70)*1</f>
        <v>0.82974117203281739</v>
      </c>
      <c r="N70" s="33">
        <f ca="1">('TUSD BE'!$N$70+'TUSD BF'!$N$70+'TUSD CVA'!$N$70)*1</f>
        <v>2.83989684463574</v>
      </c>
      <c r="O70" s="33">
        <f>('TUSD BE'!$O$70+'TUSD BF'!$O$70+'TUSD CVA'!$O$70)*1</f>
        <v>-5.032809553728302E-3</v>
      </c>
      <c r="P70" s="33">
        <f>('TUSD BE'!$P$70+'TUSD BF'!$P$70+'TUSD CVA'!$P$70)*1</f>
        <v>0</v>
      </c>
      <c r="Q70" s="33">
        <f>('TUSD BE'!$Q$70+'TUSD BF'!$Q$70+'TUSD CVA'!$Q$70)*1</f>
        <v>106.94245794079245</v>
      </c>
      <c r="R70" s="33">
        <f>('TUSD BE'!$R$70+'TUSD BF'!$R$70+'TUSD CVA'!$R$70)*1</f>
        <v>18.096353551137963</v>
      </c>
      <c r="S70" s="33">
        <f>('TUSD BE'!$S$70+'TUSD BF'!$S$70+'TUSD CVA'!$S$70)*1</f>
        <v>0</v>
      </c>
      <c r="T70" s="33">
        <f>('TUSD BE'!$U$70+'TUSD BF'!$U$70+'TUSD CVA'!$U$70)*1</f>
        <v>10.182729331439965</v>
      </c>
      <c r="U70" s="33">
        <f>('TUSD BE'!$V$70+'TUSD BF'!$V$70+'TUSD CVA'!$V$70)*1</f>
        <v>0.11571006214083417</v>
      </c>
      <c r="V70" s="33">
        <f>('TUSD BE'!$W$70+'TUSD BF'!$W$70+'TUSD CVA'!$W$70)*1</f>
        <v>0</v>
      </c>
      <c r="W70" s="33">
        <f>('TUSD BE'!$X$70+'TUSD BF'!$X$70+'TUSD CVA'!$X$70)*1</f>
        <v>0</v>
      </c>
      <c r="X70" s="33">
        <f>('TUSD BE'!$Y$70+'TUSD BF'!$Y$70+'TUSD CVA'!$Y$70)*1</f>
        <v>30.07493426443094</v>
      </c>
      <c r="Y70" s="33">
        <f>('TUSD BE'!$Z$70+'TUSD BF'!$Z$70+'TUSD CVA'!$Z$70)*1</f>
        <v>0</v>
      </c>
      <c r="Z70" s="33">
        <f>('TUSD BE'!$AA$70+'TUSD BF'!$AA$70+'TUSD CVA'!$AA$70)*1</f>
        <v>0</v>
      </c>
      <c r="AA70" s="33">
        <f>('TUSD BE'!$AC$70+'TUSD BF'!$AC$70+'TUSD CVA'!$AC$70)*1</f>
        <v>133.9813095697788</v>
      </c>
      <c r="AB70" s="33">
        <f ca="1">('TUSD BE'!$AE$70+'TUSD BF'!$AE$70+'TUSD CVA'!$AE$70)*1</f>
        <v>0</v>
      </c>
      <c r="AC70" s="33">
        <f ca="1">('TUSD BE'!$AF$70+'TUSD BF'!$AF$70+'TUSD CVA'!$AF$70)*1</f>
        <v>0</v>
      </c>
      <c r="AD70" s="33">
        <f>('TUSD BE'!$AH$70+'TUSD BF'!$AH$70+'TUSD CVA'!$AH$70)*1</f>
        <v>42.677225556094648</v>
      </c>
      <c r="AE70" s="33">
        <f>('TUSD BE'!$AI$70+'TUSD BF'!$AI$70+'TUSD CVA'!$AI$70)*1</f>
        <v>9.4760669789088606E-2</v>
      </c>
      <c r="AF70" s="33">
        <f ca="1">('TUSD BE'!$AJ$70+'TUSD BF'!$AJ$70+'TUSD CVA'!$AJ$70)*1</f>
        <v>0.76826275007336631</v>
      </c>
      <c r="AG70" s="33">
        <f ca="1">('TUSD BE'!$AK$70+'TUSD BF'!$AK$70+'TUSD CVA'!$AK$70)*1</f>
        <v>4.9488383344124429</v>
      </c>
      <c r="AI70" s="33">
        <v>10.1433754960751</v>
      </c>
      <c r="AJ70" s="33">
        <v>0.65504092213433596</v>
      </c>
      <c r="AK70" s="33">
        <v>2.36590249822759</v>
      </c>
      <c r="AL70" s="33">
        <v>-4.4728017133853397E-3</v>
      </c>
      <c r="AM70" s="33">
        <v>0</v>
      </c>
      <c r="AN70" s="33">
        <v>53.054839583348198</v>
      </c>
      <c r="AO70" s="33">
        <v>9.9180435169181695</v>
      </c>
      <c r="AP70" s="33">
        <v>0</v>
      </c>
      <c r="AQ70" s="33">
        <v>7.7685509251917404</v>
      </c>
      <c r="AR70" s="33">
        <v>-3.3022289097735099E-3</v>
      </c>
      <c r="AS70" s="33">
        <v>0</v>
      </c>
      <c r="AT70" s="33">
        <v>0</v>
      </c>
      <c r="AU70" s="33">
        <v>24.110435983049701</v>
      </c>
      <c r="AV70" s="33">
        <v>0</v>
      </c>
      <c r="AW70" s="33">
        <v>0</v>
      </c>
      <c r="AX70" s="33">
        <v>119.266121546161</v>
      </c>
      <c r="AY70" s="33">
        <v>-4.7968035532059403E-2</v>
      </c>
      <c r="AZ70" s="33">
        <v>0</v>
      </c>
      <c r="BA70" s="33">
        <v>39.442397301211201</v>
      </c>
      <c r="BB70" s="33">
        <v>0.13705627792548999</v>
      </c>
      <c r="BC70" s="33">
        <v>0.74601180575154902</v>
      </c>
      <c r="BD70" s="33">
        <v>3.10398961274556</v>
      </c>
    </row>
    <row r="71" spans="1:56" ht="11.25" customHeight="1" x14ac:dyDescent="0.25">
      <c r="A71" s="116"/>
      <c r="B71" s="80" t="s">
        <v>23</v>
      </c>
      <c r="C71" s="80" t="s">
        <v>25</v>
      </c>
      <c r="D71" s="80" t="s">
        <v>25</v>
      </c>
      <c r="E71" s="80" t="s">
        <v>25</v>
      </c>
      <c r="F71" s="80" t="s">
        <v>25</v>
      </c>
      <c r="G71" s="36" t="s">
        <v>123</v>
      </c>
      <c r="H71" s="36" t="s">
        <v>117</v>
      </c>
      <c r="I71" s="36">
        <f>'MERCADO TUSD'!$U$68</f>
        <v>226492.11000000002</v>
      </c>
      <c r="J71" s="16"/>
      <c r="L71" s="33">
        <f>('TUSD BE'!$L$71+'TUSD BF'!$L$71+'TUSD CVA'!$L$71)*1</f>
        <v>2.3321191246518227</v>
      </c>
      <c r="M71" s="33">
        <f>('TUSD BE'!$M$71+'TUSD BF'!$M$71+'TUSD CVA'!$M$71)*1</f>
        <v>0.82974117203281739</v>
      </c>
      <c r="N71" s="33">
        <f ca="1">('TUSD BE'!$N$71+'TUSD BF'!$N$71+'TUSD CVA'!$N$71)*1</f>
        <v>3.6962046935752149</v>
      </c>
      <c r="O71" s="33">
        <f>('TUSD BE'!$O$71+'TUSD BF'!$O$71+'TUSD CVA'!$O$71)*1</f>
        <v>-5.032809553728302E-3</v>
      </c>
      <c r="P71" s="33">
        <f>('TUSD BE'!$P$71+'TUSD BF'!$P$71+'TUSD CVA'!$P$71)*1</f>
        <v>0</v>
      </c>
      <c r="Q71" s="33">
        <f>('TUSD BE'!$Q$71+'TUSD BF'!$Q$71+'TUSD CVA'!$Q$71)*1</f>
        <v>106.94245794079245</v>
      </c>
      <c r="R71" s="33">
        <f>('TUSD BE'!$R$71+'TUSD BF'!$R$71+'TUSD CVA'!$R$71)*1</f>
        <v>18.096353551137963</v>
      </c>
      <c r="S71" s="33">
        <f>('TUSD BE'!$S$71+'TUSD BF'!$S$71+'TUSD CVA'!$S$71)*1</f>
        <v>0</v>
      </c>
      <c r="T71" s="33">
        <f>('TUSD BE'!$U$71+'TUSD BF'!$U$71+'TUSD CVA'!$U$71)*1</f>
        <v>14.974581431724761</v>
      </c>
      <c r="U71" s="33">
        <f>('TUSD BE'!$V$71+'TUSD BF'!$V$71+'TUSD CVA'!$V$71)*1</f>
        <v>0.17015946407602195</v>
      </c>
      <c r="V71" s="33">
        <f>('TUSD BE'!$W$71+'TUSD BF'!$W$71+'TUSD CVA'!$W$71)*1</f>
        <v>0</v>
      </c>
      <c r="W71" s="33">
        <f>('TUSD BE'!$X$71+'TUSD BF'!$X$71+'TUSD CVA'!$X$71)*1</f>
        <v>0</v>
      </c>
      <c r="X71" s="33">
        <f>('TUSD BE'!$Y$71+'TUSD BF'!$Y$71+'TUSD CVA'!$Y$71)*1</f>
        <v>44.227830731911588</v>
      </c>
      <c r="Y71" s="33">
        <f>('TUSD BE'!$Z$71+'TUSD BF'!$Z$71+'TUSD CVA'!$Z$71)*1</f>
        <v>0</v>
      </c>
      <c r="Z71" s="33">
        <f>('TUSD BE'!$AA$71+'TUSD BF'!$AA$71+'TUSD CVA'!$AA$71)*1</f>
        <v>0</v>
      </c>
      <c r="AA71" s="33">
        <f>('TUSD BE'!$AC$71+'TUSD BF'!$AC$71+'TUSD CVA'!$AC$71)*1</f>
        <v>197.03140300737215</v>
      </c>
      <c r="AB71" s="33">
        <f ca="1">('TUSD BE'!$AE$71+'TUSD BF'!$AE$71+'TUSD CVA'!$AE$71)*1</f>
        <v>0</v>
      </c>
      <c r="AC71" s="33">
        <f ca="1">('TUSD BE'!$AF$71+'TUSD BF'!$AF$71+'TUSD CVA'!$AF$71)*1</f>
        <v>0</v>
      </c>
      <c r="AD71" s="33">
        <f>('TUSD BE'!$AH$71+'TUSD BF'!$AH$71+'TUSD CVA'!$AH$71)*1</f>
        <v>42.677225556094648</v>
      </c>
      <c r="AE71" s="33">
        <f>('TUSD BE'!$AI$71+'TUSD BF'!$AI$71+'TUSD CVA'!$AI$71)*1</f>
        <v>9.4760669789088606E-2</v>
      </c>
      <c r="AF71" s="33">
        <f ca="1">('TUSD BE'!$AJ$71+'TUSD BF'!$AJ$71+'TUSD CVA'!$AJ$71)*1</f>
        <v>0.76826275007336631</v>
      </c>
      <c r="AG71" s="33">
        <f ca="1">('TUSD BE'!$AK$71+'TUSD BF'!$AK$71+'TUSD CVA'!$AK$71)*1</f>
        <v>4.9488383344124429</v>
      </c>
      <c r="AI71" s="33">
        <v>10.1433754960751</v>
      </c>
      <c r="AJ71" s="33">
        <v>0.65504092213433596</v>
      </c>
      <c r="AK71" s="33">
        <v>3.0797012192649702</v>
      </c>
      <c r="AL71" s="33">
        <v>-4.4728017133853397E-3</v>
      </c>
      <c r="AM71" s="33">
        <v>0</v>
      </c>
      <c r="AN71" s="33">
        <v>53.054839583348198</v>
      </c>
      <c r="AO71" s="33">
        <v>9.9180435169181695</v>
      </c>
      <c r="AP71" s="33">
        <v>0</v>
      </c>
      <c r="AQ71" s="33">
        <v>11.4243239360791</v>
      </c>
      <c r="AR71" s="33">
        <v>-4.8561507197143697E-3</v>
      </c>
      <c r="AS71" s="33">
        <v>0</v>
      </c>
      <c r="AT71" s="33">
        <v>0</v>
      </c>
      <c r="AU71" s="33">
        <v>35.456512461677001</v>
      </c>
      <c r="AV71" s="33">
        <v>0</v>
      </c>
      <c r="AW71" s="33">
        <v>0</v>
      </c>
      <c r="AX71" s="33">
        <v>175.39141343628401</v>
      </c>
      <c r="AY71" s="33">
        <v>-6.0484331603045699E-2</v>
      </c>
      <c r="AZ71" s="33">
        <v>0</v>
      </c>
      <c r="BA71" s="33">
        <v>39.442397301211201</v>
      </c>
      <c r="BB71" s="33">
        <v>0.13705627792548999</v>
      </c>
      <c r="BC71" s="33">
        <v>0.74601180575154902</v>
      </c>
      <c r="BD71" s="33">
        <v>3.10398961274556</v>
      </c>
    </row>
    <row r="72" spans="1:56" ht="11.25" customHeight="1" x14ac:dyDescent="0.25">
      <c r="A72" s="116"/>
      <c r="B72" s="80" t="s">
        <v>131</v>
      </c>
      <c r="C72" s="80" t="s">
        <v>25</v>
      </c>
      <c r="D72" s="80" t="s">
        <v>25</v>
      </c>
      <c r="E72" s="80" t="s">
        <v>25</v>
      </c>
      <c r="F72" s="80" t="s">
        <v>25</v>
      </c>
      <c r="G72" s="36" t="s">
        <v>123</v>
      </c>
      <c r="H72" s="36" t="s">
        <v>117</v>
      </c>
      <c r="I72" s="36">
        <f>'MERCADO TUSD'!$U$69</f>
        <v>0</v>
      </c>
      <c r="J72" s="16"/>
      <c r="L72" s="33">
        <f>('TUSD BE'!$L$72+'TUSD BF'!$L$72+'TUSD CVA'!$L$72)*1</f>
        <v>2.3321191246518227</v>
      </c>
      <c r="M72" s="33">
        <f>('TUSD BE'!$M$72+'TUSD BF'!$M$72+'TUSD CVA'!$M$72)*1</f>
        <v>0.82974117203281739</v>
      </c>
      <c r="N72" s="33">
        <f ca="1">('TUSD BE'!$N$72+'TUSD BF'!$N$72+'TUSD CVA'!$N$72)*1</f>
        <v>3.6962046935752149</v>
      </c>
      <c r="O72" s="33">
        <f>('TUSD BE'!$O$72+'TUSD BF'!$O$72+'TUSD CVA'!$O$72)*1</f>
        <v>-5.032809553728302E-3</v>
      </c>
      <c r="P72" s="33">
        <f>('TUSD BE'!$P$72+'TUSD BF'!$P$72+'TUSD CVA'!$P$72)*1</f>
        <v>0</v>
      </c>
      <c r="Q72" s="33">
        <f>('TUSD BE'!$Q$72+'TUSD BF'!$Q$72+'TUSD CVA'!$Q$72)*1</f>
        <v>106.94245794079245</v>
      </c>
      <c r="R72" s="33">
        <f>('TUSD BE'!$R$72+'TUSD BF'!$R$72+'TUSD CVA'!$R$72)*1</f>
        <v>18.096353551137963</v>
      </c>
      <c r="S72" s="33">
        <f>('TUSD BE'!$S$72+'TUSD BF'!$S$72+'TUSD CVA'!$S$72)*1</f>
        <v>0</v>
      </c>
      <c r="T72" s="33">
        <f>('TUSD BE'!$U$72+'TUSD BF'!$U$72+'TUSD CVA'!$U$72)*1</f>
        <v>14.974581431724761</v>
      </c>
      <c r="U72" s="33">
        <f>('TUSD BE'!$V$72+'TUSD BF'!$V$72+'TUSD CVA'!$V$72)*1</f>
        <v>0.17015946407602195</v>
      </c>
      <c r="V72" s="33">
        <f>('TUSD BE'!$W$72+'TUSD BF'!$W$72+'TUSD CVA'!$W$72)*1</f>
        <v>0</v>
      </c>
      <c r="W72" s="33">
        <f>('TUSD BE'!$X$72+'TUSD BF'!$X$72+'TUSD CVA'!$X$72)*1</f>
        <v>0</v>
      </c>
      <c r="X72" s="33">
        <f>('TUSD BE'!$Y$72+'TUSD BF'!$Y$72+'TUSD CVA'!$Y$72)*1</f>
        <v>44.227830731911588</v>
      </c>
      <c r="Y72" s="33">
        <f>('TUSD BE'!$Z$72+'TUSD BF'!$Z$72+'TUSD CVA'!$Z$72)*1</f>
        <v>0</v>
      </c>
      <c r="Z72" s="33">
        <f>('TUSD BE'!$AA$72+'TUSD BF'!$AA$72+'TUSD CVA'!$AA$72)*1</f>
        <v>0</v>
      </c>
      <c r="AA72" s="33">
        <f>('TUSD BE'!$AC$72+'TUSD BF'!$AC$72+'TUSD CVA'!$AC$72)*1</f>
        <v>197.03140300737215</v>
      </c>
      <c r="AB72" s="33">
        <f ca="1">('TUSD BE'!$AE$72+'TUSD BF'!$AE$72+'TUSD CVA'!$AE$72)*1</f>
        <v>0</v>
      </c>
      <c r="AC72" s="33">
        <f ca="1">('TUSD BE'!$AF$72+'TUSD BF'!$AF$72+'TUSD CVA'!$AF$72)*1</f>
        <v>0</v>
      </c>
      <c r="AD72" s="33">
        <f>('TUSD BE'!$AH$72+'TUSD BF'!$AH$72+'TUSD CVA'!$AH$72)*1</f>
        <v>42.677225556094648</v>
      </c>
      <c r="AE72" s="33">
        <f>('TUSD BE'!$AI$72+'TUSD BF'!$AI$72+'TUSD CVA'!$AI$72)*1</f>
        <v>9.4760669789088606E-2</v>
      </c>
      <c r="AF72" s="33">
        <f ca="1">('TUSD BE'!$AJ$72+'TUSD BF'!$AJ$72+'TUSD CVA'!$AJ$72)*1</f>
        <v>0.76826275007336631</v>
      </c>
      <c r="AG72" s="33">
        <f ca="1">('TUSD BE'!$AK$72+'TUSD BF'!$AK$72+'TUSD CVA'!$AK$72)*1</f>
        <v>4.9488383344124429</v>
      </c>
      <c r="AI72" s="33">
        <v>10.1433754960751</v>
      </c>
      <c r="AJ72" s="33">
        <v>0.65504092213433596</v>
      </c>
      <c r="AK72" s="33">
        <v>3.0797012192649702</v>
      </c>
      <c r="AL72" s="33">
        <v>-4.4728017133853397E-3</v>
      </c>
      <c r="AM72" s="33">
        <v>0</v>
      </c>
      <c r="AN72" s="33">
        <v>53.054839583348198</v>
      </c>
      <c r="AO72" s="33">
        <v>9.9180435169181695</v>
      </c>
      <c r="AP72" s="33">
        <v>0</v>
      </c>
      <c r="AQ72" s="33">
        <v>11.4243239360791</v>
      </c>
      <c r="AR72" s="33">
        <v>-4.8561507197143697E-3</v>
      </c>
      <c r="AS72" s="33">
        <v>0</v>
      </c>
      <c r="AT72" s="33">
        <v>0</v>
      </c>
      <c r="AU72" s="33">
        <v>35.456512461677001</v>
      </c>
      <c r="AV72" s="33">
        <v>0</v>
      </c>
      <c r="AW72" s="33">
        <v>0</v>
      </c>
      <c r="AX72" s="33">
        <v>175.39141343628401</v>
      </c>
      <c r="AY72" s="33">
        <v>-6.0484331603045699E-2</v>
      </c>
      <c r="AZ72" s="33">
        <v>0</v>
      </c>
      <c r="BA72" s="33">
        <v>39.442397301211201</v>
      </c>
      <c r="BB72" s="33">
        <v>0.13705627792548999</v>
      </c>
      <c r="BC72" s="33">
        <v>0.74601180575154902</v>
      </c>
      <c r="BD72" s="33">
        <v>3.10398961274556</v>
      </c>
    </row>
    <row r="73" spans="1:56" ht="11.25" customHeight="1" x14ac:dyDescent="0.25">
      <c r="A73" s="116" t="s">
        <v>47</v>
      </c>
      <c r="B73" s="116" t="s">
        <v>23</v>
      </c>
      <c r="C73" s="116" t="s">
        <v>48</v>
      </c>
      <c r="D73" s="80" t="s">
        <v>49</v>
      </c>
      <c r="E73" s="80" t="s">
        <v>25</v>
      </c>
      <c r="F73" s="80" t="s">
        <v>25</v>
      </c>
      <c r="G73" s="36" t="s">
        <v>123</v>
      </c>
      <c r="H73" s="36" t="s">
        <v>117</v>
      </c>
      <c r="I73" s="36">
        <f>'MERCADO TUSD'!$U$70</f>
        <v>81306.822999999989</v>
      </c>
      <c r="J73" s="16"/>
      <c r="L73" s="33">
        <f>('TUSD BE'!$L$73+'TUSD BF'!$L$73+'TUSD CVA'!$L$73)*1</f>
        <v>1.2826655185585025</v>
      </c>
      <c r="M73" s="33">
        <f>('TUSD BE'!$M$73+'TUSD BF'!$M$73+'TUSD CVA'!$M$73)*1</f>
        <v>0.45635764461804962</v>
      </c>
      <c r="N73" s="33">
        <f ca="1">('TUSD BE'!$N$73+'TUSD BF'!$N$73+'TUSD CVA'!$N$73)*1</f>
        <v>2.0329125814663684</v>
      </c>
      <c r="O73" s="33">
        <f>('TUSD BE'!$O$73+'TUSD BF'!$O$73+'TUSD CVA'!$O$73)*1</f>
        <v>-2.7680452545505662E-3</v>
      </c>
      <c r="P73" s="33">
        <f>('TUSD BE'!$P$73+'TUSD BF'!$P$73+'TUSD CVA'!$P$73)*1</f>
        <v>0</v>
      </c>
      <c r="Q73" s="33">
        <f>('TUSD BE'!$Q$73+'TUSD BF'!$Q$73+'TUSD CVA'!$Q$73)*1</f>
        <v>58.818351867435858</v>
      </c>
      <c r="R73" s="33">
        <f>('TUSD BE'!$R$73+'TUSD BF'!$R$73+'TUSD CVA'!$R$73)*1</f>
        <v>9.9529944531258803</v>
      </c>
      <c r="S73" s="33">
        <f>('TUSD BE'!$S$73+'TUSD BF'!$S$73+'TUSD CVA'!$S$73)*1</f>
        <v>0</v>
      </c>
      <c r="T73" s="33">
        <f>('TUSD BE'!$U$73+'TUSD BF'!$U$73+'TUSD CVA'!$U$73)*1</f>
        <v>8.2360197874486207</v>
      </c>
      <c r="U73" s="33">
        <f>('TUSD BE'!$V$73+'TUSD BF'!$V$73+'TUSD CVA'!$V$73)*1</f>
        <v>9.3587705241812091E-2</v>
      </c>
      <c r="V73" s="33">
        <f>('TUSD BE'!$W$73+'TUSD BF'!$W$73+'TUSD CVA'!$W$73)*1</f>
        <v>0</v>
      </c>
      <c r="W73" s="33">
        <f>('TUSD BE'!$X$73+'TUSD BF'!$X$73+'TUSD CVA'!$X$73)*1</f>
        <v>0</v>
      </c>
      <c r="X73" s="33">
        <f>('TUSD BE'!$Y$73+'TUSD BF'!$Y$73+'TUSD CVA'!$Y$73)*1</f>
        <v>24.325306902551379</v>
      </c>
      <c r="Y73" s="33">
        <f>('TUSD BE'!$Z$73+'TUSD BF'!$Z$73+'TUSD CVA'!$Z$73)*1</f>
        <v>0</v>
      </c>
      <c r="Z73" s="33">
        <f>('TUSD BE'!$AA$73+'TUSD BF'!$AA$73+'TUSD CVA'!$AA$73)*1</f>
        <v>0</v>
      </c>
      <c r="AA73" s="33">
        <f>('TUSD BE'!$AC$73+'TUSD BF'!$AC$73+'TUSD CVA'!$AC$73)*1</f>
        <v>108.36727165405468</v>
      </c>
      <c r="AB73" s="33">
        <f ca="1">('TUSD BE'!$AE$73+'TUSD BF'!$AE$73+'TUSD CVA'!$AE$73)*1</f>
        <v>0</v>
      </c>
      <c r="AC73" s="33">
        <f ca="1">('TUSD BE'!$AF$73+'TUSD BF'!$AF$73+'TUSD CVA'!$AF$73)*1</f>
        <v>0</v>
      </c>
      <c r="AD73" s="33">
        <f>('TUSD BE'!$AH$73+'TUSD BF'!$AH$73+'TUSD CVA'!$AH$73)*1</f>
        <v>23.472474055852057</v>
      </c>
      <c r="AE73" s="33">
        <f>('TUSD BE'!$AI$73+'TUSD BF'!$AI$73+'TUSD CVA'!$AI$73)*1</f>
        <v>5.2118368383998741E-2</v>
      </c>
      <c r="AF73" s="33">
        <f ca="1">('TUSD BE'!$AJ$73+'TUSD BF'!$AJ$73+'TUSD CVA'!$AJ$73)*1</f>
        <v>0.42254451254035158</v>
      </c>
      <c r="AG73" s="33">
        <f ca="1">('TUSD BE'!$AK$73+'TUSD BF'!$AK$73+'TUSD CVA'!$AK$73)*1</f>
        <v>2.7218610839268442</v>
      </c>
      <c r="AI73" s="33">
        <v>5.5788565228413098</v>
      </c>
      <c r="AJ73" s="33">
        <v>0.36027250717388498</v>
      </c>
      <c r="AK73" s="33">
        <v>1.69383567059573</v>
      </c>
      <c r="AL73" s="33">
        <v>-2.4600409423619399E-3</v>
      </c>
      <c r="AM73" s="33">
        <v>0</v>
      </c>
      <c r="AN73" s="33">
        <v>29.180161770841501</v>
      </c>
      <c r="AO73" s="33">
        <v>5.4549239343050004</v>
      </c>
      <c r="AP73" s="33">
        <v>0</v>
      </c>
      <c r="AQ73" s="33">
        <v>6.2833781648435103</v>
      </c>
      <c r="AR73" s="33">
        <v>-2.6708828958429101E-3</v>
      </c>
      <c r="AS73" s="33">
        <v>0</v>
      </c>
      <c r="AT73" s="33">
        <v>0</v>
      </c>
      <c r="AU73" s="33">
        <v>19.5010818539224</v>
      </c>
      <c r="AV73" s="33">
        <v>0</v>
      </c>
      <c r="AW73" s="33">
        <v>0</v>
      </c>
      <c r="AX73" s="33">
        <v>96.465277389956398</v>
      </c>
      <c r="AY73" s="33">
        <v>-3.3266382381675202E-2</v>
      </c>
      <c r="AZ73" s="33">
        <v>0</v>
      </c>
      <c r="BA73" s="33">
        <v>21.693318515666199</v>
      </c>
      <c r="BB73" s="33">
        <v>7.5380952859019495E-2</v>
      </c>
      <c r="BC73" s="33">
        <v>0.41030649316335199</v>
      </c>
      <c r="BD73" s="33">
        <v>1.70719428701006</v>
      </c>
    </row>
    <row r="74" spans="1:56" ht="11.25" customHeight="1" x14ac:dyDescent="0.25">
      <c r="A74" s="116"/>
      <c r="B74" s="116"/>
      <c r="C74" s="116"/>
      <c r="D74" s="36" t="s">
        <v>50</v>
      </c>
      <c r="E74" s="36" t="s">
        <v>25</v>
      </c>
      <c r="F74" s="36" t="s">
        <v>25</v>
      </c>
      <c r="G74" s="36" t="s">
        <v>123</v>
      </c>
      <c r="H74" s="36" t="s">
        <v>117</v>
      </c>
      <c r="I74" s="36">
        <f>'MERCADO TUSD'!$U$71</f>
        <v>1579.0179999999998</v>
      </c>
      <c r="J74" s="16"/>
      <c r="L74" s="33">
        <f>('TUSD BE'!$L$74+'TUSD BF'!$L$74+'TUSD CVA'!$L$74)*1</f>
        <v>1.3992714747910937</v>
      </c>
      <c r="M74" s="33">
        <f>('TUSD BE'!$M$74+'TUSD BF'!$M$74+'TUSD CVA'!$M$74)*1</f>
        <v>0.49784470321969043</v>
      </c>
      <c r="N74" s="33">
        <f ca="1">('TUSD BE'!$N$74+'TUSD BF'!$N$74+'TUSD CVA'!$N$74)*1</f>
        <v>2.2177228161451286</v>
      </c>
      <c r="O74" s="33">
        <f>('TUSD BE'!$O$74+'TUSD BF'!$O$74+'TUSD CVA'!$O$74)*1</f>
        <v>-3.0196857322369809E-3</v>
      </c>
      <c r="P74" s="33">
        <f>('TUSD BE'!$P$74+'TUSD BF'!$P$74+'TUSD CVA'!$P$74)*1</f>
        <v>0</v>
      </c>
      <c r="Q74" s="33">
        <f>('TUSD BE'!$Q$74+'TUSD BF'!$Q$74+'TUSD CVA'!$Q$74)*1</f>
        <v>64.165474764475462</v>
      </c>
      <c r="R74" s="33">
        <f>('TUSD BE'!$R$74+'TUSD BF'!$R$74+'TUSD CVA'!$R$74)*1</f>
        <v>10.857812130682778</v>
      </c>
      <c r="S74" s="33">
        <f>('TUSD BE'!$S$74+'TUSD BF'!$S$74+'TUSD CVA'!$S$74)*1</f>
        <v>0</v>
      </c>
      <c r="T74" s="33">
        <f>('TUSD BE'!$U$74+'TUSD BF'!$U$74+'TUSD CVA'!$U$74)*1</f>
        <v>8.9847488590348572</v>
      </c>
      <c r="U74" s="33">
        <f>('TUSD BE'!$V$74+'TUSD BF'!$V$74+'TUSD CVA'!$V$74)*1</f>
        <v>0.10209567844561318</v>
      </c>
      <c r="V74" s="33">
        <f>('TUSD BE'!$W$74+'TUSD BF'!$W$74+'TUSD CVA'!$W$74)*1</f>
        <v>0</v>
      </c>
      <c r="W74" s="33">
        <f>('TUSD BE'!$X$74+'TUSD BF'!$X$74+'TUSD CVA'!$X$74)*1</f>
        <v>0</v>
      </c>
      <c r="X74" s="33">
        <f>('TUSD BE'!$Y$74+'TUSD BF'!$Y$74+'TUSD CVA'!$Y$74)*1</f>
        <v>26.536698439146953</v>
      </c>
      <c r="Y74" s="33">
        <f>('TUSD BE'!$Z$74+'TUSD BF'!$Z$74+'TUSD CVA'!$Z$74)*1</f>
        <v>0</v>
      </c>
      <c r="Z74" s="33">
        <f>('TUSD BE'!$AA$74+'TUSD BF'!$AA$74+'TUSD CVA'!$AA$74)*1</f>
        <v>0</v>
      </c>
      <c r="AA74" s="33">
        <f>('TUSD BE'!$AC$74+'TUSD BF'!$AC$74+'TUSD CVA'!$AC$74)*1</f>
        <v>118.21884180442329</v>
      </c>
      <c r="AB74" s="33">
        <f ca="1">('TUSD BE'!$AE$74+'TUSD BF'!$AE$74+'TUSD CVA'!$AE$74)*1</f>
        <v>0</v>
      </c>
      <c r="AC74" s="33">
        <f ca="1">('TUSD BE'!$AF$74+'TUSD BF'!$AF$74+'TUSD CVA'!$AF$74)*1</f>
        <v>0</v>
      </c>
      <c r="AD74" s="33">
        <f>('TUSD BE'!$AH$74+'TUSD BF'!$AH$74+'TUSD CVA'!$AH$74)*1</f>
        <v>25.606335333656787</v>
      </c>
      <c r="AE74" s="33">
        <f>('TUSD BE'!$AI$74+'TUSD BF'!$AI$74+'TUSD CVA'!$AI$74)*1</f>
        <v>5.6856401873453158E-2</v>
      </c>
      <c r="AF74" s="33">
        <f ca="1">('TUSD BE'!$AJ$74+'TUSD BF'!$AJ$74+'TUSD CVA'!$AJ$74)*1</f>
        <v>0.46095765004401978</v>
      </c>
      <c r="AG74" s="33">
        <f ca="1">('TUSD BE'!$AK$74+'TUSD BF'!$AK$74+'TUSD CVA'!$AK$74)*1</f>
        <v>2.9693030006474661</v>
      </c>
      <c r="AI74" s="33">
        <v>6.0860252976450697</v>
      </c>
      <c r="AJ74" s="33">
        <v>0.39302455328060198</v>
      </c>
      <c r="AK74" s="33">
        <v>1.8478207315589801</v>
      </c>
      <c r="AL74" s="33">
        <v>-2.68368102803121E-3</v>
      </c>
      <c r="AM74" s="33">
        <v>0</v>
      </c>
      <c r="AN74" s="33">
        <v>31.832903750008899</v>
      </c>
      <c r="AO74" s="33">
        <v>5.9508261101509001</v>
      </c>
      <c r="AP74" s="33">
        <v>0</v>
      </c>
      <c r="AQ74" s="33">
        <v>6.8545943616474698</v>
      </c>
      <c r="AR74" s="33">
        <v>-2.9136904318286202E-3</v>
      </c>
      <c r="AS74" s="33">
        <v>0</v>
      </c>
      <c r="AT74" s="33">
        <v>0</v>
      </c>
      <c r="AU74" s="33">
        <v>21.273907477006201</v>
      </c>
      <c r="AV74" s="33">
        <v>0</v>
      </c>
      <c r="AW74" s="33">
        <v>0</v>
      </c>
      <c r="AX74" s="33">
        <v>105.234848061771</v>
      </c>
      <c r="AY74" s="33">
        <v>-3.6290598961827403E-2</v>
      </c>
      <c r="AZ74" s="33">
        <v>0</v>
      </c>
      <c r="BA74" s="33">
        <v>23.665438380726702</v>
      </c>
      <c r="BB74" s="33">
        <v>8.2233766755293994E-2</v>
      </c>
      <c r="BC74" s="33">
        <v>0.44760708345092898</v>
      </c>
      <c r="BD74" s="33">
        <v>1.8623937676473401</v>
      </c>
    </row>
    <row r="76" spans="1:56" ht="11.25" customHeight="1" x14ac:dyDescent="0.25">
      <c r="L76" s="117" t="s">
        <v>1217</v>
      </c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I76" s="117" t="s">
        <v>1218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</row>
    <row r="77" spans="1:56" ht="11.25" customHeight="1" x14ac:dyDescent="0.25">
      <c r="L77" s="117" t="s">
        <v>951</v>
      </c>
      <c r="M77" s="117"/>
      <c r="N77" s="117"/>
      <c r="O77" s="117"/>
      <c r="P77" s="117"/>
      <c r="Q77" s="117"/>
      <c r="R77" s="117"/>
      <c r="S77" s="117"/>
      <c r="T77" s="117"/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I77" s="117" t="s">
        <v>951</v>
      </c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</row>
    <row r="78" spans="1:56" ht="11.25" customHeight="1" x14ac:dyDescent="0.25">
      <c r="L78" s="117" t="s">
        <v>952</v>
      </c>
      <c r="M78" s="117"/>
      <c r="N78" s="117"/>
      <c r="O78" s="117"/>
      <c r="P78" s="117"/>
      <c r="Q78" s="117"/>
      <c r="R78" s="117"/>
      <c r="S78" s="117"/>
      <c r="T78" s="117" t="s">
        <v>961</v>
      </c>
      <c r="U78" s="117"/>
      <c r="V78" s="117"/>
      <c r="W78" s="117"/>
      <c r="X78" s="117"/>
      <c r="Y78" s="117"/>
      <c r="Z78" s="117"/>
      <c r="AA78" s="79" t="s">
        <v>969</v>
      </c>
      <c r="AB78" s="117" t="s">
        <v>971</v>
      </c>
      <c r="AC78" s="117"/>
      <c r="AD78" s="117" t="s">
        <v>974</v>
      </c>
      <c r="AE78" s="117"/>
      <c r="AF78" s="117"/>
      <c r="AG78" s="117"/>
      <c r="AI78" s="117" t="s">
        <v>952</v>
      </c>
      <c r="AJ78" s="117"/>
      <c r="AK78" s="117"/>
      <c r="AL78" s="117"/>
      <c r="AM78" s="117"/>
      <c r="AN78" s="117"/>
      <c r="AO78" s="117"/>
      <c r="AP78" s="117"/>
      <c r="AQ78" s="117" t="s">
        <v>961</v>
      </c>
      <c r="AR78" s="117"/>
      <c r="AS78" s="117"/>
      <c r="AT78" s="117"/>
      <c r="AU78" s="117"/>
      <c r="AV78" s="117"/>
      <c r="AW78" s="117"/>
      <c r="AX78" s="79" t="s">
        <v>969</v>
      </c>
      <c r="AY78" s="117" t="s">
        <v>971</v>
      </c>
      <c r="AZ78" s="117"/>
      <c r="BA78" s="117" t="s">
        <v>974</v>
      </c>
      <c r="BB78" s="117"/>
      <c r="BC78" s="117"/>
      <c r="BD78" s="117"/>
    </row>
    <row r="79" spans="1:56" ht="11.25" customHeight="1" x14ac:dyDescent="0.25">
      <c r="L79" s="79" t="s">
        <v>1036</v>
      </c>
      <c r="M79" s="79" t="s">
        <v>953</v>
      </c>
      <c r="N79" s="79" t="s">
        <v>954</v>
      </c>
      <c r="O79" s="79" t="s">
        <v>955</v>
      </c>
      <c r="P79" s="79" t="s">
        <v>956</v>
      </c>
      <c r="Q79" s="79" t="s">
        <v>957</v>
      </c>
      <c r="R79" s="79" t="s">
        <v>958</v>
      </c>
      <c r="S79" s="79" t="s">
        <v>959</v>
      </c>
      <c r="T79" s="79" t="s">
        <v>962</v>
      </c>
      <c r="U79" s="79" t="s">
        <v>963</v>
      </c>
      <c r="V79" s="79" t="s">
        <v>964</v>
      </c>
      <c r="W79" s="79" t="s">
        <v>965</v>
      </c>
      <c r="X79" s="79" t="s">
        <v>966</v>
      </c>
      <c r="Y79" s="79" t="s">
        <v>967</v>
      </c>
      <c r="Z79" s="79" t="s">
        <v>968</v>
      </c>
      <c r="AA79" s="79" t="s">
        <v>970</v>
      </c>
      <c r="AB79" s="79" t="s">
        <v>972</v>
      </c>
      <c r="AC79" s="79" t="s">
        <v>973</v>
      </c>
      <c r="AD79" s="79" t="s">
        <v>975</v>
      </c>
      <c r="AE79" s="79" t="s">
        <v>976</v>
      </c>
      <c r="AF79" s="79" t="s">
        <v>977</v>
      </c>
      <c r="AG79" s="79" t="s">
        <v>978</v>
      </c>
      <c r="AI79" s="79" t="s">
        <v>1036</v>
      </c>
      <c r="AJ79" s="79" t="s">
        <v>953</v>
      </c>
      <c r="AK79" s="79" t="s">
        <v>954</v>
      </c>
      <c r="AL79" s="79" t="s">
        <v>955</v>
      </c>
      <c r="AM79" s="79" t="s">
        <v>956</v>
      </c>
      <c r="AN79" s="79" t="s">
        <v>957</v>
      </c>
      <c r="AO79" s="79" t="s">
        <v>958</v>
      </c>
      <c r="AP79" s="79" t="s">
        <v>959</v>
      </c>
      <c r="AQ79" s="79" t="s">
        <v>962</v>
      </c>
      <c r="AR79" s="79" t="s">
        <v>963</v>
      </c>
      <c r="AS79" s="79" t="s">
        <v>964</v>
      </c>
      <c r="AT79" s="79" t="s">
        <v>965</v>
      </c>
      <c r="AU79" s="79" t="s">
        <v>966</v>
      </c>
      <c r="AV79" s="79" t="s">
        <v>967</v>
      </c>
      <c r="AW79" s="79" t="s">
        <v>968</v>
      </c>
      <c r="AX79" s="79" t="s">
        <v>970</v>
      </c>
      <c r="AY79" s="79" t="s">
        <v>972</v>
      </c>
      <c r="AZ79" s="79" t="s">
        <v>973</v>
      </c>
      <c r="BA79" s="79" t="s">
        <v>975</v>
      </c>
      <c r="BB79" s="79" t="s">
        <v>976</v>
      </c>
      <c r="BC79" s="79" t="s">
        <v>977</v>
      </c>
      <c r="BD79" s="79" t="s">
        <v>978</v>
      </c>
    </row>
    <row r="80" spans="1:56" ht="11.25" customHeight="1" x14ac:dyDescent="0.25">
      <c r="A80" s="9" t="s">
        <v>59</v>
      </c>
      <c r="B80" s="9" t="s">
        <v>1219</v>
      </c>
      <c r="C80" s="9" t="s">
        <v>1220</v>
      </c>
      <c r="D80" s="9" t="s">
        <v>1221</v>
      </c>
      <c r="E80" s="9" t="s">
        <v>1222</v>
      </c>
      <c r="F80" s="9" t="s">
        <v>1223</v>
      </c>
      <c r="G80" s="9" t="s">
        <v>1224</v>
      </c>
      <c r="L80" s="33">
        <f>$I$5*$L$5</f>
        <v>0</v>
      </c>
      <c r="M80" s="33">
        <f>$I$5*$M$5</f>
        <v>0</v>
      </c>
      <c r="N80" s="33">
        <f ca="1">$I$5*$N$5</f>
        <v>0</v>
      </c>
      <c r="O80" s="33">
        <f>$I$5*$O$5</f>
        <v>0</v>
      </c>
      <c r="P80" s="33">
        <f>$I$5*$P$5</f>
        <v>0</v>
      </c>
      <c r="Q80" s="33">
        <f>$I$5*$Q$5</f>
        <v>0</v>
      </c>
      <c r="R80" s="33">
        <f>$I$5*$R$5</f>
        <v>0</v>
      </c>
      <c r="S80" s="33">
        <f>$I$5*$S$5</f>
        <v>0</v>
      </c>
      <c r="T80" s="33">
        <f>$I$5*$T$5</f>
        <v>365646.70787977765</v>
      </c>
      <c r="U80" s="33">
        <f>$I$5*$U$5</f>
        <v>4126.2561938209237</v>
      </c>
      <c r="V80" s="33">
        <f>$I$5*$V$5</f>
        <v>0</v>
      </c>
      <c r="W80" s="33">
        <f>$I$5*$W$5</f>
        <v>0</v>
      </c>
      <c r="X80" s="33">
        <f>$I$5*$X$5</f>
        <v>1182353.8446535065</v>
      </c>
      <c r="Y80" s="33">
        <f>$I$5*$Y$5</f>
        <v>0</v>
      </c>
      <c r="Z80" s="33">
        <f>$I$5*$Z$5</f>
        <v>0</v>
      </c>
      <c r="AA80" s="33">
        <f>$I$5*$AA$5</f>
        <v>485490.76740855427</v>
      </c>
      <c r="AB80" s="33">
        <f ca="1">$I$5*$AB$5</f>
        <v>0</v>
      </c>
      <c r="AC80" s="33">
        <f ca="1">$I$5*$AC$5</f>
        <v>0</v>
      </c>
      <c r="AD80" s="33">
        <f>$I$5*$AD$5</f>
        <v>0</v>
      </c>
      <c r="AE80" s="33">
        <f>$I$5*$AE$5</f>
        <v>0</v>
      </c>
      <c r="AF80" s="33">
        <f ca="1">$I$5*$AF$5</f>
        <v>0</v>
      </c>
      <c r="AG80" s="33">
        <f ca="1">$I$5*$AG$5</f>
        <v>0</v>
      </c>
      <c r="AI80" s="33">
        <f>$I$5*$AI$5</f>
        <v>0</v>
      </c>
      <c r="AJ80" s="33">
        <f>$I$5*$AJ$5</f>
        <v>0</v>
      </c>
      <c r="AK80" s="33">
        <f>$I$5*$AK$5</f>
        <v>0</v>
      </c>
      <c r="AL80" s="33">
        <f>$I$5*$AL$5</f>
        <v>0</v>
      </c>
      <c r="AM80" s="33">
        <f>$I$5*$AM$5</f>
        <v>0</v>
      </c>
      <c r="AN80" s="33">
        <f>$I$5*$AN$5</f>
        <v>0</v>
      </c>
      <c r="AO80" s="33">
        <f>$I$5*$AO$5</f>
        <v>0</v>
      </c>
      <c r="AP80" s="33">
        <f>$I$5*$AP$5</f>
        <v>0</v>
      </c>
      <c r="AQ80" s="33">
        <f>$I$5*$AQ$5</f>
        <v>278957.14187574008</v>
      </c>
      <c r="AR80" s="33">
        <f>$I$5*$AR$5</f>
        <v>-117.75849256552169</v>
      </c>
      <c r="AS80" s="33">
        <f>$I$5*$AS$5</f>
        <v>0</v>
      </c>
      <c r="AT80" s="33">
        <f>$I$5*$AT$5</f>
        <v>0</v>
      </c>
      <c r="AU80" s="33">
        <f>$I$5*$AU$5</f>
        <v>947867.96307468135</v>
      </c>
      <c r="AV80" s="33">
        <f>$I$5*$AV$5</f>
        <v>0</v>
      </c>
      <c r="AW80" s="33">
        <f>$I$5*$AW$5</f>
        <v>0</v>
      </c>
      <c r="AX80" s="33">
        <f>$I$5*$AX$5</f>
        <v>432169.24107710179</v>
      </c>
      <c r="AY80" s="33">
        <f>$I$5*$AY$5</f>
        <v>-301.84669405023129</v>
      </c>
      <c r="AZ80" s="33">
        <f>$I$5*$AZ$5</f>
        <v>0</v>
      </c>
      <c r="BA80" s="33">
        <f>$I$5*$BA$5</f>
        <v>0</v>
      </c>
      <c r="BB80" s="33">
        <f>$I$5*$BB$5</f>
        <v>0</v>
      </c>
      <c r="BC80" s="33">
        <f>$I$5*$BC$5</f>
        <v>0</v>
      </c>
      <c r="BD80" s="33">
        <f>$I$5*$BD$5</f>
        <v>0</v>
      </c>
    </row>
    <row r="81" spans="1:56" ht="11.25" customHeight="1" x14ac:dyDescent="0.25">
      <c r="A81" s="9" t="s">
        <v>59</v>
      </c>
      <c r="B81" s="9" t="s">
        <v>1219</v>
      </c>
      <c r="C81" s="9" t="s">
        <v>1220</v>
      </c>
      <c r="D81" s="9" t="s">
        <v>1221</v>
      </c>
      <c r="E81" s="9" t="s">
        <v>1222</v>
      </c>
      <c r="F81" s="9" t="s">
        <v>1223</v>
      </c>
      <c r="G81" s="9" t="s">
        <v>1225</v>
      </c>
      <c r="L81" s="33">
        <f>$I$6*$L$6</f>
        <v>0</v>
      </c>
      <c r="M81" s="33">
        <f>$I$6*$M$6</f>
        <v>0</v>
      </c>
      <c r="N81" s="33">
        <f ca="1">$I$6*$N$6</f>
        <v>0</v>
      </c>
      <c r="O81" s="33">
        <f>$I$6*$O$6</f>
        <v>0</v>
      </c>
      <c r="P81" s="33">
        <f>$I$6*$P$6</f>
        <v>0</v>
      </c>
      <c r="Q81" s="33">
        <f>$I$6*$Q$6</f>
        <v>0</v>
      </c>
      <c r="R81" s="33">
        <f>$I$6*$R$6</f>
        <v>0</v>
      </c>
      <c r="S81" s="33">
        <f>$I$6*$S$6</f>
        <v>0</v>
      </c>
      <c r="T81" s="33">
        <f>$I$6*$T$6</f>
        <v>156980.78169012026</v>
      </c>
      <c r="U81" s="33">
        <f>$I$6*$U$6</f>
        <v>1799.9532766084887</v>
      </c>
      <c r="V81" s="33">
        <f>$I$6*$V$6</f>
        <v>0</v>
      </c>
      <c r="W81" s="33">
        <f>$I$6*$W$6</f>
        <v>0</v>
      </c>
      <c r="X81" s="33">
        <f>$I$6*$X$6</f>
        <v>355354.76205522037</v>
      </c>
      <c r="Y81" s="33">
        <f>$I$6*$Y$6</f>
        <v>0</v>
      </c>
      <c r="Z81" s="33">
        <f>$I$6*$Z$6</f>
        <v>0</v>
      </c>
      <c r="AA81" s="33">
        <f>$I$6*$AA$6</f>
        <v>711300.42666834698</v>
      </c>
      <c r="AB81" s="33">
        <f ca="1">$I$6*$AB$6</f>
        <v>0</v>
      </c>
      <c r="AC81" s="33">
        <f ca="1">$I$6*$AC$6</f>
        <v>0</v>
      </c>
      <c r="AD81" s="33">
        <f>$I$6*$AD$6</f>
        <v>0</v>
      </c>
      <c r="AE81" s="33">
        <f>$I$6*$AE$6</f>
        <v>0</v>
      </c>
      <c r="AF81" s="33">
        <f ca="1">$I$6*$AF$6</f>
        <v>0</v>
      </c>
      <c r="AG81" s="33">
        <f ca="1">$I$6*$AG$6</f>
        <v>0</v>
      </c>
      <c r="AI81" s="33">
        <f>$I$6*$AI$6</f>
        <v>0</v>
      </c>
      <c r="AJ81" s="33">
        <f>$I$6*$AJ$6</f>
        <v>0</v>
      </c>
      <c r="AK81" s="33">
        <f>$I$6*$AK$6</f>
        <v>0</v>
      </c>
      <c r="AL81" s="33">
        <f>$I$6*$AL$6</f>
        <v>0</v>
      </c>
      <c r="AM81" s="33">
        <f>$I$6*$AM$6</f>
        <v>0</v>
      </c>
      <c r="AN81" s="33">
        <f>$I$6*$AN$6</f>
        <v>0</v>
      </c>
      <c r="AO81" s="33">
        <f>$I$6*$AO$6</f>
        <v>0</v>
      </c>
      <c r="AP81" s="33">
        <f>$I$6*$AP$6</f>
        <v>0</v>
      </c>
      <c r="AQ81" s="33">
        <f>$I$6*$AQ$6</f>
        <v>119762.90021485339</v>
      </c>
      <c r="AR81" s="33">
        <f>$I$6*$AR$6</f>
        <v>-51.368546834100414</v>
      </c>
      <c r="AS81" s="33">
        <f>$I$6*$AS$6</f>
        <v>0</v>
      </c>
      <c r="AT81" s="33">
        <f>$I$6*$AT$6</f>
        <v>0</v>
      </c>
      <c r="AU81" s="33">
        <f>$I$6*$AU$6</f>
        <v>284880.36470746913</v>
      </c>
      <c r="AV81" s="33">
        <f>$I$6*$AV$6</f>
        <v>0</v>
      </c>
      <c r="AW81" s="33">
        <f>$I$6*$AW$6</f>
        <v>0</v>
      </c>
      <c r="AX81" s="33">
        <f>$I$6*$AX$6</f>
        <v>633178.19041528867</v>
      </c>
      <c r="AY81" s="33">
        <f>$I$6*$AY$6</f>
        <v>-183.90764297052354</v>
      </c>
      <c r="AZ81" s="33">
        <f>$I$6*$AZ$6</f>
        <v>0</v>
      </c>
      <c r="BA81" s="33">
        <f>$I$6*$BA$6</f>
        <v>0</v>
      </c>
      <c r="BB81" s="33">
        <f>$I$6*$BB$6</f>
        <v>0</v>
      </c>
      <c r="BC81" s="33">
        <f>$I$6*$BC$6</f>
        <v>0</v>
      </c>
      <c r="BD81" s="33">
        <f>$I$6*$BD$6</f>
        <v>0</v>
      </c>
    </row>
    <row r="82" spans="1:56" ht="11.25" customHeight="1" x14ac:dyDescent="0.25">
      <c r="A82" s="9" t="s">
        <v>59</v>
      </c>
      <c r="B82" s="9" t="s">
        <v>1219</v>
      </c>
      <c r="C82" s="9" t="s">
        <v>1220</v>
      </c>
      <c r="D82" s="9" t="s">
        <v>1221</v>
      </c>
      <c r="E82" s="9" t="s">
        <v>1222</v>
      </c>
      <c r="F82" s="9" t="s">
        <v>1223</v>
      </c>
      <c r="G82" s="9" t="s">
        <v>1226</v>
      </c>
      <c r="L82" s="33">
        <f>$I$7*$L$7</f>
        <v>43668.123929100162</v>
      </c>
      <c r="M82" s="33">
        <f>$I$7*$M$7</f>
        <v>4365.6060049947173</v>
      </c>
      <c r="N82" s="33">
        <f ca="1">$I$7*$N$7</f>
        <v>6845.0449728697104</v>
      </c>
      <c r="O82" s="33">
        <f>$I$7*$O$7</f>
        <v>-151.9961581366739</v>
      </c>
      <c r="P82" s="33">
        <f>$I$7*$P$7</f>
        <v>0</v>
      </c>
      <c r="Q82" s="33">
        <f>$I$7*$Q$7</f>
        <v>2002460.5335451369</v>
      </c>
      <c r="R82" s="33">
        <f>$I$7*$R$7</f>
        <v>546528.96889736294</v>
      </c>
      <c r="S82" s="33">
        <f>$I$7*$S$7</f>
        <v>0</v>
      </c>
      <c r="T82" s="33">
        <f>$I$7*$T$7</f>
        <v>0</v>
      </c>
      <c r="U82" s="33">
        <f>$I$7*$U$7</f>
        <v>0</v>
      </c>
      <c r="V82" s="33">
        <f>$I$7*$V$7</f>
        <v>0</v>
      </c>
      <c r="W82" s="33">
        <f>$I$7*$W$7</f>
        <v>0</v>
      </c>
      <c r="X82" s="33">
        <f>$I$7*$X$7</f>
        <v>0</v>
      </c>
      <c r="Y82" s="33">
        <f>$I$7*$Y$7</f>
        <v>0</v>
      </c>
      <c r="Z82" s="33">
        <f>$I$7*$Z$7</f>
        <v>0</v>
      </c>
      <c r="AA82" s="33">
        <f>$I$7*$AA$7</f>
        <v>0</v>
      </c>
      <c r="AB82" s="33">
        <f ca="1">$I$7*$AB$7</f>
        <v>0</v>
      </c>
      <c r="AC82" s="33">
        <f ca="1">$I$7*$AC$7</f>
        <v>0</v>
      </c>
      <c r="AD82" s="33">
        <f>$I$7*$AD$7</f>
        <v>257987.56687413951</v>
      </c>
      <c r="AE82" s="33">
        <f>$I$7*$AE$7</f>
        <v>572.83654960460558</v>
      </c>
      <c r="AF82" s="33">
        <f ca="1">$I$7*$AF$7</f>
        <v>9931.0546440233666</v>
      </c>
      <c r="AG82" s="33">
        <f ca="1">$I$7*$AG$7</f>
        <v>63971.842860784513</v>
      </c>
      <c r="AI82" s="33">
        <f>$I$7*$AI$7</f>
        <v>205248.22963255335</v>
      </c>
      <c r="AJ82" s="33">
        <f>$I$7*$AJ$7</f>
        <v>6468.7723706933893</v>
      </c>
      <c r="AK82" s="33">
        <f>$I$7*$AK$7</f>
        <v>5817.580394409757</v>
      </c>
      <c r="AL82" s="33">
        <f>$I$7*$AL$7</f>
        <v>-135.08333055004488</v>
      </c>
      <c r="AM82" s="33">
        <f>$I$7*$AM$7</f>
        <v>0</v>
      </c>
      <c r="AN82" s="33">
        <f>$I$7*$AN$7</f>
        <v>1073549.1259428272</v>
      </c>
      <c r="AO82" s="33">
        <f>$I$7*$AO$7</f>
        <v>299535.37774683908</v>
      </c>
      <c r="AP82" s="33">
        <f>$I$7*$AP$7</f>
        <v>0</v>
      </c>
      <c r="AQ82" s="33">
        <f>$I$7*$AQ$7</f>
        <v>0</v>
      </c>
      <c r="AR82" s="33">
        <f>$I$7*$AR$7</f>
        <v>0</v>
      </c>
      <c r="AS82" s="33">
        <f>$I$7*$AS$7</f>
        <v>0</v>
      </c>
      <c r="AT82" s="33">
        <f>$I$7*$AT$7</f>
        <v>0</v>
      </c>
      <c r="AU82" s="33">
        <f>$I$7*$AU$7</f>
        <v>0</v>
      </c>
      <c r="AV82" s="33">
        <f>$I$7*$AV$7</f>
        <v>0</v>
      </c>
      <c r="AW82" s="33">
        <f>$I$7*$AW$7</f>
        <v>0</v>
      </c>
      <c r="AX82" s="33">
        <f>$I$7*$AX$7</f>
        <v>0</v>
      </c>
      <c r="AY82" s="33">
        <f>$I$7*$AY$7</f>
        <v>-344.51257710211883</v>
      </c>
      <c r="AZ82" s="33">
        <f>$I$7*$AZ$7</f>
        <v>0</v>
      </c>
      <c r="BA82" s="33">
        <f>$I$7*$BA$7</f>
        <v>238432.74671282945</v>
      </c>
      <c r="BB82" s="33">
        <f>$I$7*$BB$7</f>
        <v>828.51720574824265</v>
      </c>
      <c r="BC82" s="33">
        <f>$I$7*$BC$7</f>
        <v>13830.205438625644</v>
      </c>
      <c r="BD82" s="33">
        <f>$I$7*$BD$7</f>
        <v>57544.41644577407</v>
      </c>
    </row>
    <row r="83" spans="1:56" ht="11.25" customHeight="1" x14ac:dyDescent="0.25">
      <c r="A83" s="9" t="s">
        <v>59</v>
      </c>
      <c r="B83" s="9" t="s">
        <v>1219</v>
      </c>
      <c r="C83" s="9" t="s">
        <v>1220</v>
      </c>
      <c r="D83" s="9" t="s">
        <v>1221</v>
      </c>
      <c r="E83" s="9" t="s">
        <v>1227</v>
      </c>
      <c r="F83" s="9" t="s">
        <v>1228</v>
      </c>
      <c r="G83" s="9" t="s">
        <v>1229</v>
      </c>
      <c r="L83" s="33">
        <f>$I$8*$L$8</f>
        <v>0</v>
      </c>
      <c r="M83" s="33">
        <f>$I$8*$M$8</f>
        <v>674.51026822362655</v>
      </c>
      <c r="N83" s="33">
        <f ca="1">$I$8*$N$8</f>
        <v>1003.1958123535418</v>
      </c>
      <c r="O83" s="33">
        <f>$I$8*$O$8</f>
        <v>-23.484246923893611</v>
      </c>
      <c r="P83" s="33">
        <f>$I$8*$P$8</f>
        <v>0</v>
      </c>
      <c r="Q83" s="33">
        <f>$I$8*$Q$8</f>
        <v>0</v>
      </c>
      <c r="R83" s="33">
        <f>$I$8*$R$8</f>
        <v>0</v>
      </c>
      <c r="S83" s="33">
        <f>$I$8*$S$8</f>
        <v>0</v>
      </c>
      <c r="T83" s="33">
        <f>$I$8*$T$8</f>
        <v>0</v>
      </c>
      <c r="U83" s="33">
        <f>$I$8*$U$8</f>
        <v>0</v>
      </c>
      <c r="V83" s="33">
        <f>$I$8*$V$8</f>
        <v>0</v>
      </c>
      <c r="W83" s="33">
        <f>$I$8*$W$8</f>
        <v>0</v>
      </c>
      <c r="X83" s="33">
        <f>$I$8*$X$8</f>
        <v>0</v>
      </c>
      <c r="Y83" s="33">
        <f>$I$8*$Y$8</f>
        <v>0</v>
      </c>
      <c r="Z83" s="33">
        <f>$I$8*$Z$8</f>
        <v>0</v>
      </c>
      <c r="AA83" s="33">
        <f>$I$8*$AA$8</f>
        <v>0</v>
      </c>
      <c r="AB83" s="33">
        <f ca="1">$I$8*$AB$8</f>
        <v>0</v>
      </c>
      <c r="AC83" s="33">
        <f ca="1">$I$8*$AC$8</f>
        <v>0</v>
      </c>
      <c r="AD83" s="33">
        <f>$I$8*$AD$8</f>
        <v>39860.505673563915</v>
      </c>
      <c r="AE83" s="33">
        <f>$I$8*$AE$8</f>
        <v>88.506414522985992</v>
      </c>
      <c r="AF83" s="33">
        <f ca="1">$I$8*$AF$8</f>
        <v>1534.40285816443</v>
      </c>
      <c r="AG83" s="33">
        <f ca="1">$I$8*$AG$8</f>
        <v>9884.0034665106396</v>
      </c>
      <c r="AI83" s="33">
        <f>$I$8*$AI$8</f>
        <v>0</v>
      </c>
      <c r="AJ83" s="33">
        <f>$I$8*$AJ$8</f>
        <v>999.46110158405429</v>
      </c>
      <c r="AK83" s="33">
        <f>$I$8*$AK$8</f>
        <v>853.5004998038695</v>
      </c>
      <c r="AL83" s="33">
        <f>$I$8*$AL$8</f>
        <v>-20.871121539050073</v>
      </c>
      <c r="AM83" s="33">
        <f>$I$8*$AM$8</f>
        <v>0</v>
      </c>
      <c r="AN83" s="33">
        <f>$I$8*$AN$8</f>
        <v>0</v>
      </c>
      <c r="AO83" s="33">
        <f>$I$8*$AO$8</f>
        <v>0</v>
      </c>
      <c r="AP83" s="33">
        <f>$I$8*$AP$8</f>
        <v>0</v>
      </c>
      <c r="AQ83" s="33">
        <f>$I$8*$AQ$8</f>
        <v>0</v>
      </c>
      <c r="AR83" s="33">
        <f>$I$8*$AR$8</f>
        <v>0</v>
      </c>
      <c r="AS83" s="33">
        <f>$I$8*$AS$8</f>
        <v>0</v>
      </c>
      <c r="AT83" s="33">
        <f>$I$8*$AT$8</f>
        <v>0</v>
      </c>
      <c r="AU83" s="33">
        <f>$I$8*$AU$8</f>
        <v>0</v>
      </c>
      <c r="AV83" s="33">
        <f>$I$8*$AV$8</f>
        <v>0</v>
      </c>
      <c r="AW83" s="33">
        <f>$I$8*$AW$8</f>
        <v>0</v>
      </c>
      <c r="AX83" s="33">
        <f>$I$8*$AX$8</f>
        <v>0</v>
      </c>
      <c r="AY83" s="33">
        <f>$I$8*$AY$8</f>
        <v>-8.7941516745287185</v>
      </c>
      <c r="AZ83" s="33">
        <f>$I$8*$AZ$8</f>
        <v>0</v>
      </c>
      <c r="BA83" s="33">
        <f>$I$8*$BA$8</f>
        <v>36839.177826529769</v>
      </c>
      <c r="BB83" s="33">
        <f>$I$8*$BB$8</f>
        <v>128.01048973218394</v>
      </c>
      <c r="BC83" s="33">
        <f>$I$8*$BC$8</f>
        <v>2136.8432170292772</v>
      </c>
      <c r="BD83" s="33">
        <f>$I$8*$BD$8</f>
        <v>8890.9305437099556</v>
      </c>
    </row>
    <row r="84" spans="1:56" ht="11.25" customHeight="1" x14ac:dyDescent="0.25">
      <c r="A84" s="9" t="s">
        <v>59</v>
      </c>
      <c r="B84" s="9" t="s">
        <v>1230</v>
      </c>
      <c r="C84" s="9" t="s">
        <v>1231</v>
      </c>
      <c r="D84" s="9" t="s">
        <v>1232</v>
      </c>
      <c r="E84" s="9" t="s">
        <v>1233</v>
      </c>
      <c r="F84" s="9" t="s">
        <v>1234</v>
      </c>
      <c r="G84" s="9" t="s">
        <v>1235</v>
      </c>
      <c r="L84" s="33">
        <f>$I$9*$L$9</f>
        <v>0</v>
      </c>
      <c r="M84" s="33">
        <f>$I$9*$M$9</f>
        <v>1888.9721462445834</v>
      </c>
      <c r="N84" s="33">
        <f ca="1">$I$9*$N$9</f>
        <v>4672.0293468094023</v>
      </c>
      <c r="O84" s="33">
        <f>$I$9*$O$9</f>
        <v>0</v>
      </c>
      <c r="P84" s="33">
        <f>$I$9*$P$9</f>
        <v>0</v>
      </c>
      <c r="Q84" s="33">
        <f>$I$9*$Q$9</f>
        <v>0</v>
      </c>
      <c r="R84" s="33">
        <f>$I$9*$R$9</f>
        <v>0</v>
      </c>
      <c r="S84" s="33">
        <f>$I$9*$S$9</f>
        <v>0</v>
      </c>
      <c r="T84" s="33">
        <f>$I$9*$T$9</f>
        <v>0</v>
      </c>
      <c r="U84" s="33">
        <f>$I$9*$U$9</f>
        <v>35433.785431381439</v>
      </c>
      <c r="V84" s="33">
        <f>$I$9*$V$9</f>
        <v>0</v>
      </c>
      <c r="W84" s="33">
        <f>$I$9*$W$9</f>
        <v>0</v>
      </c>
      <c r="X84" s="33">
        <f>$I$9*$X$9</f>
        <v>0</v>
      </c>
      <c r="Y84" s="33">
        <f>$I$9*$Y$9</f>
        <v>0</v>
      </c>
      <c r="Z84" s="33">
        <f>$I$9*$Z$9</f>
        <v>5032.9482818999113</v>
      </c>
      <c r="AA84" s="33">
        <f>$I$9*$AA$9</f>
        <v>58296.072170688924</v>
      </c>
      <c r="AB84" s="33">
        <f ca="1">$I$9*$AB$9</f>
        <v>0</v>
      </c>
      <c r="AC84" s="33">
        <f ca="1">$I$9*$AC$9</f>
        <v>0</v>
      </c>
      <c r="AD84" s="33">
        <f>$I$9*$AD$9</f>
        <v>0</v>
      </c>
      <c r="AE84" s="33">
        <f>$I$9*$AE$9</f>
        <v>0</v>
      </c>
      <c r="AF84" s="33">
        <f ca="1">$I$9*$AF$9</f>
        <v>0</v>
      </c>
      <c r="AG84" s="33">
        <f ca="1">$I$9*$AG$9</f>
        <v>0</v>
      </c>
      <c r="AI84" s="33">
        <f>$I$9*$AI$9</f>
        <v>0</v>
      </c>
      <c r="AJ84" s="33">
        <f>$I$9*$AJ$9</f>
        <v>1513.5062661153781</v>
      </c>
      <c r="AK84" s="33">
        <f>$I$9*$AK$9</f>
        <v>4219.3390963468028</v>
      </c>
      <c r="AL84" s="33">
        <f>$I$9*$AL$9</f>
        <v>0</v>
      </c>
      <c r="AM84" s="33">
        <f>$I$9*$AM$9</f>
        <v>0</v>
      </c>
      <c r="AN84" s="33">
        <f>$I$9*$AN$9</f>
        <v>0</v>
      </c>
      <c r="AO84" s="33">
        <f>$I$9*$AO$9</f>
        <v>0</v>
      </c>
      <c r="AP84" s="33">
        <f>$I$9*$AP$9</f>
        <v>0</v>
      </c>
      <c r="AQ84" s="33">
        <f>$I$9*$AQ$9</f>
        <v>0</v>
      </c>
      <c r="AR84" s="33">
        <f>$I$9*$AR$9</f>
        <v>37878.127728454172</v>
      </c>
      <c r="AS84" s="33">
        <f>$I$9*$AS$9</f>
        <v>0</v>
      </c>
      <c r="AT84" s="33">
        <f>$I$9*$AT$9</f>
        <v>0</v>
      </c>
      <c r="AU84" s="33">
        <f>$I$9*$AU$9</f>
        <v>0</v>
      </c>
      <c r="AV84" s="33">
        <f>$I$9*$AV$9</f>
        <v>0</v>
      </c>
      <c r="AW84" s="33">
        <f>$I$9*$AW$9</f>
        <v>5460.1144171744209</v>
      </c>
      <c r="AX84" s="33">
        <f>$I$9*$AX$9</f>
        <v>51326.225716550725</v>
      </c>
      <c r="AY84" s="33">
        <f>$I$9*$AY$9</f>
        <v>-15.75048274060307</v>
      </c>
      <c r="AZ84" s="33">
        <f>$I$9*$AZ$9</f>
        <v>0</v>
      </c>
      <c r="BA84" s="33">
        <f>$I$9*$BA$9</f>
        <v>0</v>
      </c>
      <c r="BB84" s="33">
        <f>$I$9*$BB$9</f>
        <v>0</v>
      </c>
      <c r="BC84" s="33">
        <f>$I$9*$BC$9</f>
        <v>0</v>
      </c>
      <c r="BD84" s="33">
        <f>$I$9*$BD$9</f>
        <v>0</v>
      </c>
    </row>
    <row r="85" spans="1:56" ht="11.25" customHeight="1" x14ac:dyDescent="0.25">
      <c r="A85" s="9" t="s">
        <v>59</v>
      </c>
      <c r="B85" s="9" t="s">
        <v>1230</v>
      </c>
      <c r="C85" s="9" t="s">
        <v>1231</v>
      </c>
      <c r="D85" s="9" t="s">
        <v>1232</v>
      </c>
      <c r="E85" s="9" t="s">
        <v>1233</v>
      </c>
      <c r="F85" s="9" t="s">
        <v>1236</v>
      </c>
      <c r="G85" s="9" t="s">
        <v>1237</v>
      </c>
      <c r="L85" s="33">
        <f>$I$10*$L$10</f>
        <v>0</v>
      </c>
      <c r="M85" s="33">
        <f>$I$10*$M$10</f>
        <v>34558.044525516336</v>
      </c>
      <c r="N85" s="33">
        <f ca="1">$I$10*$N$10</f>
        <v>85462.151467047865</v>
      </c>
      <c r="O85" s="33">
        <f>$I$10*$O$10</f>
        <v>0</v>
      </c>
      <c r="P85" s="33">
        <f>$I$10*$P$10</f>
        <v>0</v>
      </c>
      <c r="Q85" s="33">
        <f>$I$10*$Q$10</f>
        <v>0</v>
      </c>
      <c r="R85" s="33">
        <f>$I$10*$R$10</f>
        <v>0</v>
      </c>
      <c r="S85" s="33">
        <f>$I$10*$S$10</f>
        <v>0</v>
      </c>
      <c r="T85" s="33">
        <f>$I$10*$T$10</f>
        <v>0</v>
      </c>
      <c r="U85" s="33">
        <f>$I$10*$U$10</f>
        <v>648194.08449284825</v>
      </c>
      <c r="V85" s="33">
        <f>$I$10*$V$10</f>
        <v>0</v>
      </c>
      <c r="W85" s="33">
        <f>$I$10*$W$10</f>
        <v>0</v>
      </c>
      <c r="X85" s="33">
        <f>$I$10*$X$10</f>
        <v>0</v>
      </c>
      <c r="Y85" s="33">
        <f>$I$10*$Y$10</f>
        <v>0</v>
      </c>
      <c r="Z85" s="33">
        <f>$I$10*$Z$10</f>
        <v>121220.40069210152</v>
      </c>
      <c r="AA85" s="33">
        <f>$I$10*$AA$10</f>
        <v>1066452.1640731969</v>
      </c>
      <c r="AB85" s="33">
        <f ca="1">$I$10*$AB$10</f>
        <v>0</v>
      </c>
      <c r="AC85" s="33">
        <f ca="1">$I$10*$AC$10</f>
        <v>0</v>
      </c>
      <c r="AD85" s="33">
        <f>$I$10*$AD$10</f>
        <v>0</v>
      </c>
      <c r="AE85" s="33">
        <f>$I$10*$AE$10</f>
        <v>0</v>
      </c>
      <c r="AF85" s="33">
        <f ca="1">$I$10*$AF$10</f>
        <v>0</v>
      </c>
      <c r="AG85" s="33">
        <f ca="1">$I$10*$AG$10</f>
        <v>0</v>
      </c>
      <c r="AI85" s="33">
        <f>$I$10*$AI$10</f>
        <v>0</v>
      </c>
      <c r="AJ85" s="33">
        <f>$I$10*$AJ$10</f>
        <v>27694.242792779576</v>
      </c>
      <c r="AK85" s="33">
        <f>$I$10*$AK$10</f>
        <v>77166.232460888597</v>
      </c>
      <c r="AL85" s="33">
        <f>$I$10*$AL$10</f>
        <v>0</v>
      </c>
      <c r="AM85" s="33">
        <f>$I$10*$AM$10</f>
        <v>0</v>
      </c>
      <c r="AN85" s="33">
        <f>$I$10*$AN$10</f>
        <v>0</v>
      </c>
      <c r="AO85" s="33">
        <f>$I$10*$AO$10</f>
        <v>0</v>
      </c>
      <c r="AP85" s="33">
        <f>$I$10*$AP$10</f>
        <v>0</v>
      </c>
      <c r="AQ85" s="33">
        <f>$I$10*$AQ$10</f>
        <v>0</v>
      </c>
      <c r="AR85" s="33">
        <f>$I$10*$AR$10</f>
        <v>692943.16192884254</v>
      </c>
      <c r="AS85" s="33">
        <f>$I$10*$AS$10</f>
        <v>0</v>
      </c>
      <c r="AT85" s="33">
        <f>$I$10*$AT$10</f>
        <v>0</v>
      </c>
      <c r="AU85" s="33">
        <f>$I$10*$AU$10</f>
        <v>0</v>
      </c>
      <c r="AV85" s="33">
        <f>$I$10*$AV$10</f>
        <v>0</v>
      </c>
      <c r="AW85" s="33">
        <f>$I$10*$AW$10</f>
        <v>131508.8533404815</v>
      </c>
      <c r="AX85" s="33">
        <f>$I$10*$AX$10</f>
        <v>938909.33751787851</v>
      </c>
      <c r="AY85" s="33">
        <f>$I$10*$AY$10</f>
        <v>-292.44733084331955</v>
      </c>
      <c r="AZ85" s="33">
        <f>$I$10*$AZ$10</f>
        <v>0</v>
      </c>
      <c r="BA85" s="33">
        <f>$I$10*$BA$10</f>
        <v>0</v>
      </c>
      <c r="BB85" s="33">
        <f>$I$10*$BB$10</f>
        <v>0</v>
      </c>
      <c r="BC85" s="33">
        <f>$I$10*$BC$10</f>
        <v>0</v>
      </c>
      <c r="BD85" s="33">
        <f>$I$10*$BD$10</f>
        <v>0</v>
      </c>
    </row>
    <row r="86" spans="1:56" ht="11.25" customHeight="1" x14ac:dyDescent="0.25">
      <c r="A86" s="9" t="s">
        <v>59</v>
      </c>
      <c r="B86" s="9" t="s">
        <v>1230</v>
      </c>
      <c r="C86" s="9" t="s">
        <v>1231</v>
      </c>
      <c r="D86" s="9" t="s">
        <v>1232</v>
      </c>
      <c r="E86" s="9" t="s">
        <v>1233</v>
      </c>
      <c r="F86" s="9" t="s">
        <v>1238</v>
      </c>
      <c r="G86" s="9" t="s">
        <v>1239</v>
      </c>
      <c r="L86" s="33">
        <f>$I$11*$L$11</f>
        <v>0</v>
      </c>
      <c r="M86" s="33">
        <f>$I$11*$M$11</f>
        <v>28413.433955630589</v>
      </c>
      <c r="N86" s="33">
        <f ca="1">$I$11*$N$11</f>
        <v>70304.225275056117</v>
      </c>
      <c r="O86" s="33">
        <f>$I$11*$O$11</f>
        <v>0</v>
      </c>
      <c r="P86" s="33">
        <f>$I$11*$P$11</f>
        <v>0</v>
      </c>
      <c r="Q86" s="33">
        <f>$I$11*$Q$11</f>
        <v>0</v>
      </c>
      <c r="R86" s="33">
        <f>$I$11*$R$11</f>
        <v>0</v>
      </c>
      <c r="S86" s="33">
        <f>$I$11*$S$11</f>
        <v>0</v>
      </c>
      <c r="T86" s="33">
        <f>$I$11*$T$11</f>
        <v>0</v>
      </c>
      <c r="U86" s="33">
        <f>$I$11*$U$11</f>
        <v>533241.82983815973</v>
      </c>
      <c r="V86" s="33">
        <f>$I$11*$V$11</f>
        <v>0</v>
      </c>
      <c r="W86" s="33">
        <f>$I$11*$W$11</f>
        <v>0</v>
      </c>
      <c r="X86" s="33">
        <f>$I$11*$X$11</f>
        <v>0</v>
      </c>
      <c r="Y86" s="33">
        <f>$I$11*$Y$11</f>
        <v>0</v>
      </c>
      <c r="Z86" s="33">
        <f>$I$11*$Z$11</f>
        <v>67516.182836113017</v>
      </c>
      <c r="AA86" s="33">
        <f>$I$11*$AA$11</f>
        <v>877311.33378707978</v>
      </c>
      <c r="AB86" s="33">
        <f ca="1">$I$11*$AB$11</f>
        <v>0</v>
      </c>
      <c r="AC86" s="33">
        <f ca="1">$I$11*$AC$11</f>
        <v>0</v>
      </c>
      <c r="AD86" s="33">
        <f>$I$11*$AD$11</f>
        <v>0</v>
      </c>
      <c r="AE86" s="33">
        <f>$I$11*$AE$11</f>
        <v>0</v>
      </c>
      <c r="AF86" s="33">
        <f ca="1">$I$11*$AF$11</f>
        <v>0</v>
      </c>
      <c r="AG86" s="33">
        <f ca="1">$I$11*$AG$11</f>
        <v>0</v>
      </c>
      <c r="AI86" s="33">
        <f>$I$11*$AI$11</f>
        <v>0</v>
      </c>
      <c r="AJ86" s="33">
        <f>$I$11*$AJ$11</f>
        <v>22766.637596245895</v>
      </c>
      <c r="AK86" s="33">
        <f>$I$11*$AK$11</f>
        <v>63492.165911454045</v>
      </c>
      <c r="AL86" s="33">
        <f>$I$11*$AL$11</f>
        <v>0</v>
      </c>
      <c r="AM86" s="33">
        <f>$I$11*$AM$11</f>
        <v>0</v>
      </c>
      <c r="AN86" s="33">
        <f>$I$11*$AN$11</f>
        <v>0</v>
      </c>
      <c r="AO86" s="33">
        <f>$I$11*$AO$11</f>
        <v>0</v>
      </c>
      <c r="AP86" s="33">
        <f>$I$11*$AP$11</f>
        <v>0</v>
      </c>
      <c r="AQ86" s="33">
        <f>$I$11*$AQ$11</f>
        <v>0</v>
      </c>
      <c r="AR86" s="33">
        <f>$I$11*$AR$11</f>
        <v>570020.82756255136</v>
      </c>
      <c r="AS86" s="33">
        <f>$I$11*$AS$11</f>
        <v>0</v>
      </c>
      <c r="AT86" s="33">
        <f>$I$11*$AT$11</f>
        <v>0</v>
      </c>
      <c r="AU86" s="33">
        <f>$I$11*$AU$11</f>
        <v>0</v>
      </c>
      <c r="AV86" s="33">
        <f>$I$11*$AV$11</f>
        <v>0</v>
      </c>
      <c r="AW86" s="33">
        <f>$I$11*$AW$11</f>
        <v>73246.547082912395</v>
      </c>
      <c r="AX86" s="33">
        <f>$I$11*$AX$11</f>
        <v>772420.10854036547</v>
      </c>
      <c r="AY86" s="33">
        <f>$I$11*$AY$11</f>
        <v>-235.80847756288463</v>
      </c>
      <c r="AZ86" s="33">
        <f>$I$11*$AZ$11</f>
        <v>0</v>
      </c>
      <c r="BA86" s="33">
        <f>$I$11*$BA$11</f>
        <v>0</v>
      </c>
      <c r="BB86" s="33">
        <f>$I$11*$BB$11</f>
        <v>0</v>
      </c>
      <c r="BC86" s="33">
        <f>$I$11*$BC$11</f>
        <v>0</v>
      </c>
      <c r="BD86" s="33">
        <f>$I$11*$BD$11</f>
        <v>0</v>
      </c>
    </row>
    <row r="87" spans="1:56" ht="11.25" customHeight="1" x14ac:dyDescent="0.25">
      <c r="A87" s="9" t="s">
        <v>59</v>
      </c>
      <c r="B87" s="9" t="s">
        <v>1230</v>
      </c>
      <c r="C87" s="9" t="s">
        <v>1231</v>
      </c>
      <c r="D87" s="9" t="s">
        <v>1232</v>
      </c>
      <c r="E87" s="9" t="s">
        <v>1233</v>
      </c>
      <c r="F87" s="9" t="s">
        <v>1240</v>
      </c>
      <c r="G87" s="9" t="s">
        <v>1241</v>
      </c>
      <c r="L87" s="33">
        <f>$I$12*$L$12</f>
        <v>0</v>
      </c>
      <c r="M87" s="33">
        <f>$I$12*$M$12</f>
        <v>20217.98158603764</v>
      </c>
      <c r="N87" s="33">
        <f ca="1">$I$12*$N$12</f>
        <v>49994.971608442771</v>
      </c>
      <c r="O87" s="33">
        <f>$I$12*$O$12</f>
        <v>0</v>
      </c>
      <c r="P87" s="33">
        <f>$I$12*$P$12</f>
        <v>0</v>
      </c>
      <c r="Q87" s="33">
        <f>$I$12*$Q$12</f>
        <v>0</v>
      </c>
      <c r="R87" s="33">
        <f>$I$12*$R$12</f>
        <v>0</v>
      </c>
      <c r="S87" s="33">
        <f>$I$12*$S$12</f>
        <v>0</v>
      </c>
      <c r="T87" s="33">
        <f>$I$12*$T$12</f>
        <v>0</v>
      </c>
      <c r="U87" s="33">
        <f>$I$12*$U$12</f>
        <v>379248.81752119755</v>
      </c>
      <c r="V87" s="33">
        <f>$I$12*$V$12</f>
        <v>0</v>
      </c>
      <c r="W87" s="33">
        <f>$I$12*$W$12</f>
        <v>0</v>
      </c>
      <c r="X87" s="33">
        <f>$I$12*$X$12</f>
        <v>0</v>
      </c>
      <c r="Y87" s="33">
        <f>$I$12*$Y$12</f>
        <v>0</v>
      </c>
      <c r="Z87" s="33">
        <f>$I$12*$Z$12</f>
        <v>50636.369909358866</v>
      </c>
      <c r="AA87" s="33">
        <f>$I$12*$AA$12</f>
        <v>623957.14494904457</v>
      </c>
      <c r="AB87" s="33">
        <f ca="1">$I$12*$AB$12</f>
        <v>0</v>
      </c>
      <c r="AC87" s="33">
        <f ca="1">$I$12*$AC$12</f>
        <v>0</v>
      </c>
      <c r="AD87" s="33">
        <f>$I$12*$AD$12</f>
        <v>0</v>
      </c>
      <c r="AE87" s="33">
        <f>$I$12*$AE$12</f>
        <v>0</v>
      </c>
      <c r="AF87" s="33">
        <f ca="1">$I$12*$AF$12</f>
        <v>0</v>
      </c>
      <c r="AG87" s="33">
        <f ca="1">$I$12*$AG$12</f>
        <v>0</v>
      </c>
      <c r="AI87" s="33">
        <f>$I$12*$AI$12</f>
        <v>0</v>
      </c>
      <c r="AJ87" s="33">
        <f>$I$12*$AJ$12</f>
        <v>16195.873633245783</v>
      </c>
      <c r="AK87" s="33">
        <f>$I$12*$AK$12</f>
        <v>45143.433974724423</v>
      </c>
      <c r="AL87" s="33">
        <f>$I$12*$AL$12</f>
        <v>0</v>
      </c>
      <c r="AM87" s="33">
        <f>$I$12*$AM$12</f>
        <v>0</v>
      </c>
      <c r="AN87" s="33">
        <f>$I$12*$AN$12</f>
        <v>0</v>
      </c>
      <c r="AO87" s="33">
        <f>$I$12*$AO$12</f>
        <v>0</v>
      </c>
      <c r="AP87" s="33">
        <f>$I$12*$AP$12</f>
        <v>0</v>
      </c>
      <c r="AQ87" s="33">
        <f>$I$12*$AQ$12</f>
        <v>0</v>
      </c>
      <c r="AR87" s="33">
        <f>$I$12*$AR$12</f>
        <v>405416.91605954024</v>
      </c>
      <c r="AS87" s="33">
        <f>$I$12*$AS$12</f>
        <v>0</v>
      </c>
      <c r="AT87" s="33">
        <f>$I$12*$AT$12</f>
        <v>0</v>
      </c>
      <c r="AU87" s="33">
        <f>$I$12*$AU$12</f>
        <v>0</v>
      </c>
      <c r="AV87" s="33">
        <f>$I$12*$AV$12</f>
        <v>0</v>
      </c>
      <c r="AW87" s="33">
        <f>$I$12*$AW$12</f>
        <v>54934.077977669484</v>
      </c>
      <c r="AX87" s="33">
        <f>$I$12*$AX$12</f>
        <v>549360.23533173685</v>
      </c>
      <c r="AY87" s="33">
        <f>$I$12*$AY$12</f>
        <v>-168.09888064477227</v>
      </c>
      <c r="AZ87" s="33">
        <f>$I$12*$AZ$12</f>
        <v>0</v>
      </c>
      <c r="BA87" s="33">
        <f>$I$12*$BA$12</f>
        <v>0</v>
      </c>
      <c r="BB87" s="33">
        <f>$I$12*$BB$12</f>
        <v>0</v>
      </c>
      <c r="BC87" s="33">
        <f>$I$12*$BC$12</f>
        <v>0</v>
      </c>
      <c r="BD87" s="33">
        <f>$I$12*$BD$12</f>
        <v>0</v>
      </c>
    </row>
    <row r="88" spans="1:56" ht="11.25" customHeight="1" x14ac:dyDescent="0.25">
      <c r="A88" s="9" t="s">
        <v>59</v>
      </c>
      <c r="B88" s="9" t="s">
        <v>1230</v>
      </c>
      <c r="C88" s="9" t="s">
        <v>1231</v>
      </c>
      <c r="D88" s="9" t="s">
        <v>1232</v>
      </c>
      <c r="E88" s="9" t="s">
        <v>1233</v>
      </c>
      <c r="F88" s="9" t="s">
        <v>1242</v>
      </c>
      <c r="G88" s="9" t="s">
        <v>1243</v>
      </c>
      <c r="L88" s="33">
        <f>$I$13*$L$13</f>
        <v>0</v>
      </c>
      <c r="M88" s="33">
        <f>$I$13*$M$13</f>
        <v>6127.6413524519412</v>
      </c>
      <c r="N88" s="33">
        <f ca="1">$I$13*$N$13</f>
        <v>15155.60739330855</v>
      </c>
      <c r="O88" s="33">
        <f>$I$13*$O$13</f>
        <v>0</v>
      </c>
      <c r="P88" s="33">
        <f>$I$13*$P$13</f>
        <v>0</v>
      </c>
      <c r="Q88" s="33">
        <f>$I$13*$Q$13</f>
        <v>0</v>
      </c>
      <c r="R88" s="33">
        <f>$I$13*$R$13</f>
        <v>0</v>
      </c>
      <c r="S88" s="33">
        <f>$I$13*$S$13</f>
        <v>0</v>
      </c>
      <c r="T88" s="33">
        <f>$I$13*$T$13</f>
        <v>0</v>
      </c>
      <c r="U88" s="33">
        <f>$I$13*$U$13</f>
        <v>114943.74298472515</v>
      </c>
      <c r="V88" s="33">
        <f>$I$13*$V$13</f>
        <v>0</v>
      </c>
      <c r="W88" s="33">
        <f>$I$13*$W$13</f>
        <v>0</v>
      </c>
      <c r="X88" s="33">
        <f>$I$13*$X$13</f>
        <v>0</v>
      </c>
      <c r="Y88" s="33">
        <f>$I$13*$Y$13</f>
        <v>0</v>
      </c>
      <c r="Z88" s="33">
        <f>$I$13*$Z$13</f>
        <v>16326.393207138737</v>
      </c>
      <c r="AA88" s="33">
        <f>$I$13*$AA$13</f>
        <v>189106.77070003969</v>
      </c>
      <c r="AB88" s="33">
        <f ca="1">$I$13*$AB$13</f>
        <v>0</v>
      </c>
      <c r="AC88" s="33">
        <f ca="1">$I$13*$AC$13</f>
        <v>0</v>
      </c>
      <c r="AD88" s="33">
        <f>$I$13*$AD$13</f>
        <v>0</v>
      </c>
      <c r="AE88" s="33">
        <f>$I$13*$AE$13</f>
        <v>0</v>
      </c>
      <c r="AF88" s="33">
        <f ca="1">$I$13*$AF$13</f>
        <v>0</v>
      </c>
      <c r="AG88" s="33">
        <f ca="1">$I$13*$AG$13</f>
        <v>0</v>
      </c>
      <c r="AI88" s="33">
        <f>$I$13*$AI$13</f>
        <v>0</v>
      </c>
      <c r="AJ88" s="33">
        <f>$I$13*$AJ$13</f>
        <v>4909.6666681303732</v>
      </c>
      <c r="AK88" s="33">
        <f>$I$13*$AK$13</f>
        <v>13687.124385710362</v>
      </c>
      <c r="AL88" s="33">
        <f>$I$13*$AL$13</f>
        <v>0</v>
      </c>
      <c r="AM88" s="33">
        <f>$I$13*$AM$13</f>
        <v>0</v>
      </c>
      <c r="AN88" s="33">
        <f>$I$13*$AN$13</f>
        <v>0</v>
      </c>
      <c r="AO88" s="33">
        <f>$I$13*$AO$13</f>
        <v>0</v>
      </c>
      <c r="AP88" s="33">
        <f>$I$13*$AP$13</f>
        <v>0</v>
      </c>
      <c r="AQ88" s="33">
        <f>$I$13*$AQ$13</f>
        <v>0</v>
      </c>
      <c r="AR88" s="33">
        <f>$I$13*$AR$13</f>
        <v>122872.95092400989</v>
      </c>
      <c r="AS88" s="33">
        <f>$I$13*$AS$13</f>
        <v>0</v>
      </c>
      <c r="AT88" s="33">
        <f>$I$13*$AT$13</f>
        <v>0</v>
      </c>
      <c r="AU88" s="33">
        <f>$I$13*$AU$13</f>
        <v>0</v>
      </c>
      <c r="AV88" s="33">
        <f>$I$13*$AV$13</f>
        <v>0</v>
      </c>
      <c r="AW88" s="33">
        <f>$I$13*$AW$13</f>
        <v>17712.078475224342</v>
      </c>
      <c r="AX88" s="33">
        <f>$I$13*$AX$13</f>
        <v>166497.26878783529</v>
      </c>
      <c r="AY88" s="33">
        <f>$I$13*$AY$13</f>
        <v>-51.093029378053863</v>
      </c>
      <c r="AZ88" s="33">
        <f>$I$13*$AZ$13</f>
        <v>0</v>
      </c>
      <c r="BA88" s="33">
        <f>$I$13*$BA$13</f>
        <v>0</v>
      </c>
      <c r="BB88" s="33">
        <f>$I$13*$BB$13</f>
        <v>0</v>
      </c>
      <c r="BC88" s="33">
        <f>$I$13*$BC$13</f>
        <v>0</v>
      </c>
      <c r="BD88" s="33">
        <f>$I$13*$BD$13</f>
        <v>0</v>
      </c>
    </row>
    <row r="89" spans="1:56" ht="11.25" customHeight="1" x14ac:dyDescent="0.25">
      <c r="A89" s="9" t="s">
        <v>59</v>
      </c>
      <c r="B89" s="9" t="s">
        <v>1230</v>
      </c>
      <c r="C89" s="9" t="s">
        <v>1231</v>
      </c>
      <c r="D89" s="9" t="s">
        <v>1232</v>
      </c>
      <c r="E89" s="9" t="s">
        <v>1233</v>
      </c>
      <c r="F89" s="9" t="s">
        <v>1244</v>
      </c>
      <c r="G89" s="9" t="s">
        <v>1245</v>
      </c>
      <c r="L89" s="33">
        <f>$I$14*$L$14</f>
        <v>0</v>
      </c>
      <c r="M89" s="33">
        <f>$I$14*$M$14</f>
        <v>49314.171061611705</v>
      </c>
      <c r="N89" s="33">
        <f ca="1">$I$14*$N$14</f>
        <v>121969.64093487334</v>
      </c>
      <c r="O89" s="33">
        <f>$I$14*$O$14</f>
        <v>0</v>
      </c>
      <c r="P89" s="33">
        <f>$I$14*$P$14</f>
        <v>0</v>
      </c>
      <c r="Q89" s="33">
        <f>$I$14*$Q$14</f>
        <v>0</v>
      </c>
      <c r="R89" s="33">
        <f>$I$14*$R$14</f>
        <v>0</v>
      </c>
      <c r="S89" s="33">
        <f>$I$14*$S$14</f>
        <v>0</v>
      </c>
      <c r="T89" s="33">
        <f>$I$14*$T$14</f>
        <v>0</v>
      </c>
      <c r="U89" s="33">
        <f>$I$14*$U$14</f>
        <v>925046.86191245611</v>
      </c>
      <c r="V89" s="33">
        <f>$I$14*$V$14</f>
        <v>0</v>
      </c>
      <c r="W89" s="33">
        <f>$I$14*$W$14</f>
        <v>0</v>
      </c>
      <c r="X89" s="33">
        <f>$I$14*$X$14</f>
        <v>0</v>
      </c>
      <c r="Y89" s="33">
        <f>$I$14*$Y$14</f>
        <v>0</v>
      </c>
      <c r="Z89" s="33">
        <f>$I$14*$Z$14</f>
        <v>131391.91756283349</v>
      </c>
      <c r="AA89" s="33">
        <f>$I$14*$AA$14</f>
        <v>1521897.7585036261</v>
      </c>
      <c r="AB89" s="33">
        <f ca="1">$I$14*$AB$14</f>
        <v>0</v>
      </c>
      <c r="AC89" s="33">
        <f ca="1">$I$14*$AC$14</f>
        <v>0</v>
      </c>
      <c r="AD89" s="33">
        <f>$I$14*$AD$14</f>
        <v>0</v>
      </c>
      <c r="AE89" s="33">
        <f>$I$14*$AE$14</f>
        <v>0</v>
      </c>
      <c r="AF89" s="33">
        <f ca="1">$I$14*$AF$14</f>
        <v>0</v>
      </c>
      <c r="AG89" s="33">
        <f ca="1">$I$14*$AG$14</f>
        <v>0</v>
      </c>
      <c r="AI89" s="33">
        <f>$I$14*$AI$14</f>
        <v>0</v>
      </c>
      <c r="AJ89" s="33">
        <f>$I$14*$AJ$14</f>
        <v>39512.126771387004</v>
      </c>
      <c r="AK89" s="33">
        <f>$I$14*$AK$14</f>
        <v>110151.55007862735</v>
      </c>
      <c r="AL89" s="33">
        <f>$I$14*$AL$14</f>
        <v>0</v>
      </c>
      <c r="AM89" s="33">
        <f>$I$14*$AM$14</f>
        <v>0</v>
      </c>
      <c r="AN89" s="33">
        <f>$I$14*$AN$14</f>
        <v>0</v>
      </c>
      <c r="AO89" s="33">
        <f>$I$14*$AO$14</f>
        <v>0</v>
      </c>
      <c r="AP89" s="33">
        <f>$I$14*$AP$14</f>
        <v>0</v>
      </c>
      <c r="AQ89" s="33">
        <f>$I$14*$AQ$14</f>
        <v>0</v>
      </c>
      <c r="AR89" s="33">
        <f>$I$14*$AR$14</f>
        <v>988859.72141418117</v>
      </c>
      <c r="AS89" s="33">
        <f>$I$14*$AS$14</f>
        <v>0</v>
      </c>
      <c r="AT89" s="33">
        <f>$I$14*$AT$14</f>
        <v>0</v>
      </c>
      <c r="AU89" s="33">
        <f>$I$14*$AU$14</f>
        <v>0</v>
      </c>
      <c r="AV89" s="33">
        <f>$I$14*$AV$14</f>
        <v>0</v>
      </c>
      <c r="AW89" s="33">
        <f>$I$14*$AW$14</f>
        <v>142543.66689303628</v>
      </c>
      <c r="AX89" s="33">
        <f>$I$14*$AX$14</f>
        <v>1339940.4961925517</v>
      </c>
      <c r="AY89" s="33">
        <f>$I$14*$AY$14</f>
        <v>-411.18764070568398</v>
      </c>
      <c r="AZ89" s="33">
        <f>$I$14*$AZ$14</f>
        <v>0</v>
      </c>
      <c r="BA89" s="33">
        <f>$I$14*$BA$14</f>
        <v>0</v>
      </c>
      <c r="BB89" s="33">
        <f>$I$14*$BB$14</f>
        <v>0</v>
      </c>
      <c r="BC89" s="33">
        <f>$I$14*$BC$14</f>
        <v>0</v>
      </c>
      <c r="BD89" s="33">
        <f>$I$14*$BD$14</f>
        <v>0</v>
      </c>
    </row>
    <row r="90" spans="1:56" ht="11.25" customHeight="1" x14ac:dyDescent="0.25">
      <c r="A90" s="9" t="s">
        <v>59</v>
      </c>
      <c r="B90" s="9" t="s">
        <v>1230</v>
      </c>
      <c r="C90" s="9" t="s">
        <v>1231</v>
      </c>
      <c r="D90" s="9" t="s">
        <v>1232</v>
      </c>
      <c r="E90" s="9" t="s">
        <v>1233</v>
      </c>
      <c r="F90" s="9" t="s">
        <v>1246</v>
      </c>
      <c r="G90" s="9" t="s">
        <v>1247</v>
      </c>
      <c r="L90" s="33">
        <f>$I$15*$L$15</f>
        <v>0</v>
      </c>
      <c r="M90" s="33">
        <f>$I$15*$M$15</f>
        <v>25353.593975334668</v>
      </c>
      <c r="N90" s="33">
        <f ca="1">$I$15*$N$15</f>
        <v>62688.444399968655</v>
      </c>
      <c r="O90" s="33">
        <f>$I$15*$O$15</f>
        <v>0</v>
      </c>
      <c r="P90" s="33">
        <f>$I$15*$P$15</f>
        <v>0</v>
      </c>
      <c r="Q90" s="33">
        <f>$I$15*$Q$15</f>
        <v>0</v>
      </c>
      <c r="R90" s="33">
        <f>$I$15*$R$15</f>
        <v>0</v>
      </c>
      <c r="S90" s="33">
        <f>$I$15*$S$15</f>
        <v>0</v>
      </c>
      <c r="T90" s="33">
        <f>$I$15*$T$15</f>
        <v>0</v>
      </c>
      <c r="U90" s="33">
        <f>$I$15*$U$15</f>
        <v>475479.07843494386</v>
      </c>
      <c r="V90" s="33">
        <f>$I$15*$V$15</f>
        <v>0</v>
      </c>
      <c r="W90" s="33">
        <f>$I$15*$W$15</f>
        <v>0</v>
      </c>
      <c r="X90" s="33">
        <f>$I$15*$X$15</f>
        <v>0</v>
      </c>
      <c r="Y90" s="33">
        <f>$I$15*$Y$15</f>
        <v>0</v>
      </c>
      <c r="Z90" s="33">
        <f>$I$15*$Z$15</f>
        <v>74880.450047779173</v>
      </c>
      <c r="AA90" s="33">
        <f>$I$15*$AA$15</f>
        <v>782273.44023510907</v>
      </c>
      <c r="AB90" s="33">
        <f ca="1">$I$15*$AB$15</f>
        <v>0</v>
      </c>
      <c r="AC90" s="33">
        <f ca="1">$I$15*$AC$15</f>
        <v>0</v>
      </c>
      <c r="AD90" s="33">
        <f>$I$15*$AD$15</f>
        <v>0</v>
      </c>
      <c r="AE90" s="33">
        <f>$I$15*$AE$15</f>
        <v>0</v>
      </c>
      <c r="AF90" s="33">
        <f ca="1">$I$15*$AF$15</f>
        <v>0</v>
      </c>
      <c r="AG90" s="33">
        <f ca="1">$I$15*$AG$15</f>
        <v>0</v>
      </c>
      <c r="AI90" s="33">
        <f>$I$15*$AI$15</f>
        <v>0</v>
      </c>
      <c r="AJ90" s="33">
        <f>$I$15*$AJ$15</f>
        <v>20316.611735616421</v>
      </c>
      <c r="AK90" s="33">
        <f>$I$15*$AK$15</f>
        <v>56597.530358975717</v>
      </c>
      <c r="AL90" s="33">
        <f>$I$15*$AL$15</f>
        <v>0</v>
      </c>
      <c r="AM90" s="33">
        <f>$I$15*$AM$15</f>
        <v>0</v>
      </c>
      <c r="AN90" s="33">
        <f>$I$15*$AN$15</f>
        <v>0</v>
      </c>
      <c r="AO90" s="33">
        <f>$I$15*$AO$15</f>
        <v>0</v>
      </c>
      <c r="AP90" s="33">
        <f>$I$15*$AP$15</f>
        <v>0</v>
      </c>
      <c r="AQ90" s="33">
        <f>$I$15*$AQ$15</f>
        <v>0</v>
      </c>
      <c r="AR90" s="33">
        <f>$I$15*$AR$15</f>
        <v>508304.50928830937</v>
      </c>
      <c r="AS90" s="33">
        <f>$I$15*$AS$15</f>
        <v>0</v>
      </c>
      <c r="AT90" s="33">
        <f>$I$15*$AT$15</f>
        <v>0</v>
      </c>
      <c r="AU90" s="33">
        <f>$I$15*$AU$15</f>
        <v>0</v>
      </c>
      <c r="AV90" s="33">
        <f>$I$15*$AV$15</f>
        <v>0</v>
      </c>
      <c r="AW90" s="33">
        <f>$I$15*$AW$15</f>
        <v>81235.848645765771</v>
      </c>
      <c r="AX90" s="33">
        <f>$I$15*$AX$15</f>
        <v>688737.07338191185</v>
      </c>
      <c r="AY90" s="33">
        <f>$I$15*$AY$15</f>
        <v>-212.44238795998842</v>
      </c>
      <c r="AZ90" s="33">
        <f>$I$15*$AZ$15</f>
        <v>0</v>
      </c>
      <c r="BA90" s="33">
        <f>$I$15*$BA$15</f>
        <v>0</v>
      </c>
      <c r="BB90" s="33">
        <f>$I$15*$BB$15</f>
        <v>0</v>
      </c>
      <c r="BC90" s="33">
        <f>$I$15*$BC$15</f>
        <v>0</v>
      </c>
      <c r="BD90" s="33">
        <f>$I$15*$BD$15</f>
        <v>0</v>
      </c>
    </row>
    <row r="91" spans="1:56" ht="11.25" customHeight="1" x14ac:dyDescent="0.25">
      <c r="A91" s="9" t="s">
        <v>59</v>
      </c>
      <c r="B91" s="9" t="s">
        <v>1230</v>
      </c>
      <c r="C91" s="9" t="s">
        <v>1231</v>
      </c>
      <c r="D91" s="9" t="s">
        <v>1232</v>
      </c>
      <c r="E91" s="9" t="s">
        <v>1233</v>
      </c>
      <c r="F91" s="9" t="s">
        <v>1248</v>
      </c>
      <c r="G91" s="9" t="s">
        <v>1249</v>
      </c>
      <c r="L91" s="33">
        <f>$I$16*$L$16</f>
        <v>0</v>
      </c>
      <c r="M91" s="33">
        <f>$I$16*$M$16</f>
        <v>31674.837818125638</v>
      </c>
      <c r="N91" s="33">
        <f ca="1">$I$16*$N$16</f>
        <v>78359.955500301541</v>
      </c>
      <c r="O91" s="33">
        <f>$I$16*$O$16</f>
        <v>0</v>
      </c>
      <c r="P91" s="33">
        <f>$I$16*$P$16</f>
        <v>0</v>
      </c>
      <c r="Q91" s="33">
        <f>$I$16*$Q$16</f>
        <v>0</v>
      </c>
      <c r="R91" s="33">
        <f>$I$16*$R$16</f>
        <v>0</v>
      </c>
      <c r="S91" s="33">
        <f>$I$16*$S$16</f>
        <v>0</v>
      </c>
      <c r="T91" s="33">
        <f>$I$16*$T$16</f>
        <v>0</v>
      </c>
      <c r="U91" s="33">
        <f>$I$16*$U$16</f>
        <v>594321.19642832293</v>
      </c>
      <c r="V91" s="33">
        <f>$I$16*$V$16</f>
        <v>0</v>
      </c>
      <c r="W91" s="33">
        <f>$I$16*$W$16</f>
        <v>0</v>
      </c>
      <c r="X91" s="33">
        <f>$I$16*$X$16</f>
        <v>0</v>
      </c>
      <c r="Y91" s="33">
        <f>$I$16*$Y$16</f>
        <v>0</v>
      </c>
      <c r="Z91" s="33">
        <f>$I$16*$Z$16</f>
        <v>76721.772589937682</v>
      </c>
      <c r="AA91" s="33">
        <f>$I$16*$AA$16</f>
        <v>977819.60030296107</v>
      </c>
      <c r="AB91" s="33">
        <f ca="1">$I$16*$AB$16</f>
        <v>0</v>
      </c>
      <c r="AC91" s="33">
        <f ca="1">$I$16*$AC$16</f>
        <v>0</v>
      </c>
      <c r="AD91" s="33">
        <f>$I$16*$AD$16</f>
        <v>0</v>
      </c>
      <c r="AE91" s="33">
        <f>$I$16*$AE$16</f>
        <v>0</v>
      </c>
      <c r="AF91" s="33">
        <f ca="1">$I$16*$AF$16</f>
        <v>0</v>
      </c>
      <c r="AG91" s="33">
        <f ca="1">$I$16*$AG$16</f>
        <v>0</v>
      </c>
      <c r="AI91" s="33">
        <f>$I$16*$AI$16</f>
        <v>0</v>
      </c>
      <c r="AJ91" s="33">
        <f>$I$16*$AJ$16</f>
        <v>25381.633567320299</v>
      </c>
      <c r="AK91" s="33">
        <f>$I$16*$AK$16</f>
        <v>70769.112670371294</v>
      </c>
      <c r="AL91" s="33">
        <f>$I$16*$AL$16</f>
        <v>0</v>
      </c>
      <c r="AM91" s="33">
        <f>$I$16*$AM$16</f>
        <v>0</v>
      </c>
      <c r="AN91" s="33">
        <f>$I$16*$AN$16</f>
        <v>0</v>
      </c>
      <c r="AO91" s="33">
        <f>$I$16*$AO$16</f>
        <v>0</v>
      </c>
      <c r="AP91" s="33">
        <f>$I$16*$AP$16</f>
        <v>0</v>
      </c>
      <c r="AQ91" s="33">
        <f>$I$16*$AQ$16</f>
        <v>0</v>
      </c>
      <c r="AR91" s="33">
        <f>$I$16*$AR$16</f>
        <v>635356.08969127503</v>
      </c>
      <c r="AS91" s="33">
        <f>$I$16*$AS$16</f>
        <v>0</v>
      </c>
      <c r="AT91" s="33">
        <f>$I$16*$AT$16</f>
        <v>0</v>
      </c>
      <c r="AU91" s="33">
        <f>$I$16*$AU$16</f>
        <v>0</v>
      </c>
      <c r="AV91" s="33">
        <f>$I$16*$AV$16</f>
        <v>0</v>
      </c>
      <c r="AW91" s="33">
        <f>$I$16*$AW$16</f>
        <v>83233.451481317388</v>
      </c>
      <c r="AX91" s="33">
        <f>$I$16*$AX$16</f>
        <v>860916.55303806299</v>
      </c>
      <c r="AY91" s="33">
        <f>$I$16*$AY$16</f>
        <v>-263.04854117678343</v>
      </c>
      <c r="AZ91" s="33">
        <f>$I$16*$AZ$16</f>
        <v>0</v>
      </c>
      <c r="BA91" s="33">
        <f>$I$16*$BA$16</f>
        <v>0</v>
      </c>
      <c r="BB91" s="33">
        <f>$I$16*$BB$16</f>
        <v>0</v>
      </c>
      <c r="BC91" s="33">
        <f>$I$16*$BC$16</f>
        <v>0</v>
      </c>
      <c r="BD91" s="33">
        <f>$I$16*$BD$16</f>
        <v>0</v>
      </c>
    </row>
    <row r="92" spans="1:56" ht="11.25" customHeight="1" x14ac:dyDescent="0.25">
      <c r="A92" s="9" t="s">
        <v>59</v>
      </c>
      <c r="B92" s="9" t="s">
        <v>1230</v>
      </c>
      <c r="C92" s="9" t="s">
        <v>1231</v>
      </c>
      <c r="D92" s="9" t="s">
        <v>1232</v>
      </c>
      <c r="E92" s="9" t="s">
        <v>1233</v>
      </c>
      <c r="F92" s="9" t="s">
        <v>1250</v>
      </c>
      <c r="G92" s="9" t="s">
        <v>1251</v>
      </c>
      <c r="L92" s="33">
        <f>$I$17*$L$17</f>
        <v>0</v>
      </c>
      <c r="M92" s="33">
        <f>$I$17*$M$17</f>
        <v>15315.672450921313</v>
      </c>
      <c r="N92" s="33">
        <f ca="1">$I$17*$N$17</f>
        <v>37875.57849090379</v>
      </c>
      <c r="O92" s="33">
        <f>$I$17*$O$17</f>
        <v>0</v>
      </c>
      <c r="P92" s="33">
        <f>$I$17*$P$17</f>
        <v>0</v>
      </c>
      <c r="Q92" s="33">
        <f>$I$17*$Q$17</f>
        <v>0</v>
      </c>
      <c r="R92" s="33">
        <f>$I$17*$R$17</f>
        <v>0</v>
      </c>
      <c r="S92" s="33">
        <f>$I$17*$S$17</f>
        <v>0</v>
      </c>
      <c r="T92" s="33">
        <f>$I$17*$T$17</f>
        <v>0</v>
      </c>
      <c r="U92" s="33">
        <f>$I$17*$U$17</f>
        <v>287359.35746181285</v>
      </c>
      <c r="V92" s="33">
        <f>$I$17*$V$17</f>
        <v>0</v>
      </c>
      <c r="W92" s="33">
        <f>$I$17*$W$17</f>
        <v>0</v>
      </c>
      <c r="X92" s="33">
        <f>$I$17*$X$17</f>
        <v>0</v>
      </c>
      <c r="Y92" s="33">
        <f>$I$17*$Y$17</f>
        <v>0</v>
      </c>
      <c r="Z92" s="33">
        <f>$I$17*$Z$17</f>
        <v>38667.77338532859</v>
      </c>
      <c r="AA92" s="33">
        <f>$I$17*$AA$17</f>
        <v>472756.8467542195</v>
      </c>
      <c r="AB92" s="33">
        <f ca="1">$I$17*$AB$17</f>
        <v>0</v>
      </c>
      <c r="AC92" s="33">
        <f ca="1">$I$17*$AC$17</f>
        <v>0</v>
      </c>
      <c r="AD92" s="33">
        <f>$I$17*$AD$17</f>
        <v>0</v>
      </c>
      <c r="AE92" s="33">
        <f>$I$17*$AE$17</f>
        <v>0</v>
      </c>
      <c r="AF92" s="33">
        <f ca="1">$I$17*$AF$17</f>
        <v>0</v>
      </c>
      <c r="AG92" s="33">
        <f ca="1">$I$17*$AG$17</f>
        <v>0</v>
      </c>
      <c r="AI92" s="33">
        <f>$I$17*$AI$17</f>
        <v>0</v>
      </c>
      <c r="AJ92" s="33">
        <f>$I$17*$AJ$17</f>
        <v>12271.883953816676</v>
      </c>
      <c r="AK92" s="33">
        <f>$I$17*$AK$17</f>
        <v>34216.130985340147</v>
      </c>
      <c r="AL92" s="33">
        <f>$I$17*$AL$17</f>
        <v>0</v>
      </c>
      <c r="AM92" s="33">
        <f>$I$17*$AM$17</f>
        <v>0</v>
      </c>
      <c r="AN92" s="33">
        <f>$I$17*$AN$17</f>
        <v>0</v>
      </c>
      <c r="AO92" s="33">
        <f>$I$17*$AO$17</f>
        <v>0</v>
      </c>
      <c r="AP92" s="33">
        <f>$I$17*$AP$17</f>
        <v>0</v>
      </c>
      <c r="AQ92" s="33">
        <f>$I$17*$AQ$17</f>
        <v>0</v>
      </c>
      <c r="AR92" s="33">
        <f>$I$17*$AR$17</f>
        <v>307173.00484999846</v>
      </c>
      <c r="AS92" s="33">
        <f>$I$17*$AS$17</f>
        <v>0</v>
      </c>
      <c r="AT92" s="33">
        <f>$I$17*$AT$17</f>
        <v>0</v>
      </c>
      <c r="AU92" s="33">
        <f>$I$17*$AU$17</f>
        <v>0</v>
      </c>
      <c r="AV92" s="33">
        <f>$I$17*$AV$17</f>
        <v>0</v>
      </c>
      <c r="AW92" s="33">
        <f>$I$17*$AW$17</f>
        <v>41949.659546583964</v>
      </c>
      <c r="AX92" s="33">
        <f>$I$17*$AX$17</f>
        <v>416238.14384579449</v>
      </c>
      <c r="AY92" s="33">
        <f>$I$17*$AY$17</f>
        <v>-127.41134908224055</v>
      </c>
      <c r="AZ92" s="33">
        <f>$I$17*$AZ$17</f>
        <v>0</v>
      </c>
      <c r="BA92" s="33">
        <f>$I$17*$BA$17</f>
        <v>0</v>
      </c>
      <c r="BB92" s="33">
        <f>$I$17*$BB$17</f>
        <v>0</v>
      </c>
      <c r="BC92" s="33">
        <f>$I$17*$BC$17</f>
        <v>0</v>
      </c>
      <c r="BD92" s="33">
        <f>$I$17*$BD$17</f>
        <v>0</v>
      </c>
    </row>
    <row r="93" spans="1:56" ht="11.25" customHeight="1" x14ac:dyDescent="0.25">
      <c r="A93" s="9" t="s">
        <v>59</v>
      </c>
      <c r="B93" s="9" t="s">
        <v>1230</v>
      </c>
      <c r="C93" s="9" t="s">
        <v>1231</v>
      </c>
      <c r="D93" s="9" t="s">
        <v>1232</v>
      </c>
      <c r="E93" s="9" t="s">
        <v>1233</v>
      </c>
      <c r="F93" s="9" t="s">
        <v>1252</v>
      </c>
      <c r="G93" s="9" t="s">
        <v>1253</v>
      </c>
      <c r="L93" s="33">
        <f>$I$18*$L$18</f>
        <v>0</v>
      </c>
      <c r="M93" s="33">
        <f>$I$18*$M$18</f>
        <v>9200.6520203079308</v>
      </c>
      <c r="N93" s="33">
        <f ca="1">$I$18*$N$18</f>
        <v>22764.227072462789</v>
      </c>
      <c r="O93" s="33">
        <f>$I$18*$O$18</f>
        <v>0</v>
      </c>
      <c r="P93" s="33">
        <f>$I$18*$P$18</f>
        <v>0</v>
      </c>
      <c r="Q93" s="33">
        <f>$I$18*$Q$18</f>
        <v>0</v>
      </c>
      <c r="R93" s="33">
        <f>$I$18*$R$18</f>
        <v>0</v>
      </c>
      <c r="S93" s="33">
        <f>$I$18*$S$18</f>
        <v>0</v>
      </c>
      <c r="T93" s="33">
        <f>$I$18*$T$18</f>
        <v>0</v>
      </c>
      <c r="U93" s="33">
        <f>$I$18*$U$18</f>
        <v>172656.56059817327</v>
      </c>
      <c r="V93" s="33">
        <f>$I$18*$V$18</f>
        <v>0</v>
      </c>
      <c r="W93" s="33">
        <f>$I$18*$W$18</f>
        <v>0</v>
      </c>
      <c r="X93" s="33">
        <f>$I$18*$X$18</f>
        <v>0</v>
      </c>
      <c r="Y93" s="33">
        <f>$I$18*$Y$18</f>
        <v>0</v>
      </c>
      <c r="Z93" s="33">
        <f>$I$18*$Z$18</f>
        <v>24857.854319139806</v>
      </c>
      <c r="AA93" s="33">
        <f>$I$18*$AA$18</f>
        <v>284057.16388777719</v>
      </c>
      <c r="AB93" s="33">
        <f ca="1">$I$18*$AB$18</f>
        <v>0</v>
      </c>
      <c r="AC93" s="33">
        <f ca="1">$I$18*$AC$18</f>
        <v>0</v>
      </c>
      <c r="AD93" s="33">
        <f>$I$18*$AD$18</f>
        <v>0</v>
      </c>
      <c r="AE93" s="33">
        <f>$I$18*$AE$18</f>
        <v>0</v>
      </c>
      <c r="AF93" s="33">
        <f ca="1">$I$18*$AF$18</f>
        <v>0</v>
      </c>
      <c r="AG93" s="33">
        <f ca="1">$I$18*$AG$18</f>
        <v>0</v>
      </c>
      <c r="AI93" s="33">
        <f>$I$18*$AI$18</f>
        <v>0</v>
      </c>
      <c r="AJ93" s="33">
        <f>$I$18*$AJ$18</f>
        <v>7369.5871989876459</v>
      </c>
      <c r="AK93" s="33">
        <f>$I$18*$AK$18</f>
        <v>20557.542241839205</v>
      </c>
      <c r="AL93" s="33">
        <f>$I$18*$AL$18</f>
        <v>0</v>
      </c>
      <c r="AM93" s="33">
        <f>$I$18*$AM$18</f>
        <v>0</v>
      </c>
      <c r="AN93" s="33">
        <f>$I$18*$AN$18</f>
        <v>0</v>
      </c>
      <c r="AO93" s="33">
        <f>$I$18*$AO$18</f>
        <v>0</v>
      </c>
      <c r="AP93" s="33">
        <f>$I$18*$AP$18</f>
        <v>0</v>
      </c>
      <c r="AQ93" s="33">
        <f>$I$18*$AQ$18</f>
        <v>0</v>
      </c>
      <c r="AR93" s="33">
        <f>$I$18*$AR$18</f>
        <v>184574.53311242728</v>
      </c>
      <c r="AS93" s="33">
        <f>$I$18*$AS$18</f>
        <v>0</v>
      </c>
      <c r="AT93" s="33">
        <f>$I$18*$AT$18</f>
        <v>0</v>
      </c>
      <c r="AU93" s="33">
        <f>$I$18*$AU$18</f>
        <v>0</v>
      </c>
      <c r="AV93" s="33">
        <f>$I$18*$AV$18</f>
        <v>0</v>
      </c>
      <c r="AW93" s="33">
        <f>$I$18*$AW$18</f>
        <v>26967.638279946837</v>
      </c>
      <c r="AX93" s="33">
        <f>$I$18*$AX$18</f>
        <v>250097.80001693455</v>
      </c>
      <c r="AY93" s="33">
        <f>$I$18*$AY$18</f>
        <v>-76.796386778963367</v>
      </c>
      <c r="AZ93" s="33">
        <f>$I$18*$AZ$18</f>
        <v>0</v>
      </c>
      <c r="BA93" s="33">
        <f>$I$18*$BA$18</f>
        <v>0</v>
      </c>
      <c r="BB93" s="33">
        <f>$I$18*$BB$18</f>
        <v>0</v>
      </c>
      <c r="BC93" s="33">
        <f>$I$18*$BC$18</f>
        <v>0</v>
      </c>
      <c r="BD93" s="33">
        <f>$I$18*$BD$18</f>
        <v>0</v>
      </c>
    </row>
    <row r="94" spans="1:56" ht="11.25" customHeight="1" x14ac:dyDescent="0.25">
      <c r="A94" s="9" t="s">
        <v>59</v>
      </c>
      <c r="B94" s="9" t="s">
        <v>1230</v>
      </c>
      <c r="C94" s="9" t="s">
        <v>1231</v>
      </c>
      <c r="D94" s="9" t="s">
        <v>1232</v>
      </c>
      <c r="E94" s="9" t="s">
        <v>1233</v>
      </c>
      <c r="F94" s="9" t="s">
        <v>1254</v>
      </c>
      <c r="G94" s="9" t="s">
        <v>1255</v>
      </c>
      <c r="L94" s="33">
        <f>$I$19*$L$19</f>
        <v>0</v>
      </c>
      <c r="M94" s="33">
        <f>$I$19*$M$19</f>
        <v>0</v>
      </c>
      <c r="N94" s="33">
        <f ca="1">$I$19*$N$19</f>
        <v>0</v>
      </c>
      <c r="O94" s="33">
        <f>$I$19*$O$19</f>
        <v>0</v>
      </c>
      <c r="P94" s="33">
        <f>$I$19*$P$19</f>
        <v>0</v>
      </c>
      <c r="Q94" s="33">
        <f>$I$19*$Q$19</f>
        <v>0</v>
      </c>
      <c r="R94" s="33">
        <f>$I$19*$R$19</f>
        <v>0</v>
      </c>
      <c r="S94" s="33">
        <f>$I$19*$S$19</f>
        <v>0</v>
      </c>
      <c r="T94" s="33">
        <f>$I$19*$T$19</f>
        <v>0</v>
      </c>
      <c r="U94" s="33">
        <f>$I$19*$U$19</f>
        <v>0</v>
      </c>
      <c r="V94" s="33">
        <f>$I$19*$V$19</f>
        <v>0</v>
      </c>
      <c r="W94" s="33">
        <f>$I$19*$W$19</f>
        <v>0</v>
      </c>
      <c r="X94" s="33">
        <f>$I$19*$X$19</f>
        <v>0</v>
      </c>
      <c r="Y94" s="33">
        <f>$I$19*$Y$19</f>
        <v>0</v>
      </c>
      <c r="Z94" s="33">
        <f>$I$19*$Z$19</f>
        <v>0</v>
      </c>
      <c r="AA94" s="33">
        <f>$I$19*$AA$19</f>
        <v>0</v>
      </c>
      <c r="AB94" s="33">
        <f ca="1">$I$19*$AB$19</f>
        <v>0</v>
      </c>
      <c r="AC94" s="33">
        <f ca="1">$I$19*$AC$19</f>
        <v>0</v>
      </c>
      <c r="AD94" s="33">
        <f>$I$19*$AD$19</f>
        <v>0</v>
      </c>
      <c r="AE94" s="33">
        <f>$I$19*$AE$19</f>
        <v>0</v>
      </c>
      <c r="AF94" s="33">
        <f ca="1">$I$19*$AF$19</f>
        <v>0</v>
      </c>
      <c r="AG94" s="33">
        <f ca="1">$I$19*$AG$19</f>
        <v>0</v>
      </c>
      <c r="AI94" s="33">
        <f>$I$19*$AI$19</f>
        <v>0</v>
      </c>
      <c r="AJ94" s="33">
        <f>$I$19*$AJ$19</f>
        <v>0</v>
      </c>
      <c r="AK94" s="33">
        <f>$I$19*$AK$19</f>
        <v>0</v>
      </c>
      <c r="AL94" s="33">
        <f>$I$19*$AL$19</f>
        <v>0</v>
      </c>
      <c r="AM94" s="33">
        <f>$I$19*$AM$19</f>
        <v>0</v>
      </c>
      <c r="AN94" s="33">
        <f>$I$19*$AN$19</f>
        <v>0</v>
      </c>
      <c r="AO94" s="33">
        <f>$I$19*$AO$19</f>
        <v>0</v>
      </c>
      <c r="AP94" s="33">
        <f>$I$19*$AP$19</f>
        <v>0</v>
      </c>
      <c r="AQ94" s="33">
        <f>$I$19*$AQ$19</f>
        <v>0</v>
      </c>
      <c r="AR94" s="33">
        <f>$I$19*$AR$19</f>
        <v>0</v>
      </c>
      <c r="AS94" s="33">
        <f>$I$19*$AS$19</f>
        <v>0</v>
      </c>
      <c r="AT94" s="33">
        <f>$I$19*$AT$19</f>
        <v>0</v>
      </c>
      <c r="AU94" s="33">
        <f>$I$19*$AU$19</f>
        <v>0</v>
      </c>
      <c r="AV94" s="33">
        <f>$I$19*$AV$19</f>
        <v>0</v>
      </c>
      <c r="AW94" s="33">
        <f>$I$19*$AW$19</f>
        <v>0</v>
      </c>
      <c r="AX94" s="33">
        <f>$I$19*$AX$19</f>
        <v>0</v>
      </c>
      <c r="AY94" s="33">
        <f>$I$19*$AY$19</f>
        <v>0</v>
      </c>
      <c r="AZ94" s="33">
        <f>$I$19*$AZ$19</f>
        <v>0</v>
      </c>
      <c r="BA94" s="33">
        <f>$I$19*$BA$19</f>
        <v>0</v>
      </c>
      <c r="BB94" s="33">
        <f>$I$19*$BB$19</f>
        <v>0</v>
      </c>
      <c r="BC94" s="33">
        <f>$I$19*$BC$19</f>
        <v>0</v>
      </c>
      <c r="BD94" s="33">
        <f>$I$19*$BD$19</f>
        <v>0</v>
      </c>
    </row>
    <row r="95" spans="1:56" ht="11.25" customHeight="1" x14ac:dyDescent="0.25">
      <c r="A95" s="9" t="s">
        <v>39</v>
      </c>
      <c r="B95" s="9" t="s">
        <v>1256</v>
      </c>
      <c r="C95" s="9" t="s">
        <v>1257</v>
      </c>
      <c r="D95" s="9" t="s">
        <v>1258</v>
      </c>
      <c r="E95" s="9" t="s">
        <v>1259</v>
      </c>
      <c r="F95" s="9" t="s">
        <v>1260</v>
      </c>
      <c r="G95" s="9" t="s">
        <v>1261</v>
      </c>
      <c r="L95" s="33">
        <f>$I$20*$L$20</f>
        <v>0</v>
      </c>
      <c r="M95" s="33">
        <f>$I$20*$M$20</f>
        <v>0</v>
      </c>
      <c r="N95" s="33">
        <f ca="1">$I$20*$N$20</f>
        <v>0</v>
      </c>
      <c r="O95" s="33">
        <f>$I$20*$O$20</f>
        <v>0</v>
      </c>
      <c r="P95" s="33">
        <f>$I$20*$P$20</f>
        <v>0</v>
      </c>
      <c r="Q95" s="33">
        <f>$I$20*$Q$20</f>
        <v>0</v>
      </c>
      <c r="R95" s="33">
        <f>$I$20*$R$20</f>
        <v>0</v>
      </c>
      <c r="S95" s="33">
        <f>$I$20*$S$20</f>
        <v>0</v>
      </c>
      <c r="T95" s="33">
        <f>$I$20*$T$20</f>
        <v>620071.1889759195</v>
      </c>
      <c r="U95" s="33">
        <f>$I$20*$U$20</f>
        <v>6996.9984979942737</v>
      </c>
      <c r="V95" s="33">
        <f>$I$20*$V$20</f>
        <v>0</v>
      </c>
      <c r="W95" s="33">
        <f>$I$20*$W$20</f>
        <v>0</v>
      </c>
      <c r="X95" s="33">
        <f>$I$20*$X$20</f>
        <v>2086815.6051032911</v>
      </c>
      <c r="Y95" s="33">
        <f>$I$20*$Y$20</f>
        <v>0</v>
      </c>
      <c r="Z95" s="33">
        <f>$I$20*$Z$20</f>
        <v>0</v>
      </c>
      <c r="AA95" s="33">
        <f>$I$20*$AA$20</f>
        <v>2436700.3960161973</v>
      </c>
      <c r="AB95" s="33">
        <f ca="1">$I$20*$AB$20</f>
        <v>0</v>
      </c>
      <c r="AC95" s="33">
        <f ca="1">$I$20*$AC$20</f>
        <v>0</v>
      </c>
      <c r="AD95" s="33">
        <f>$I$20*$AD$20</f>
        <v>0</v>
      </c>
      <c r="AE95" s="33">
        <f>$I$20*$AE$20</f>
        <v>0</v>
      </c>
      <c r="AF95" s="33">
        <f ca="1">$I$20*$AF$20</f>
        <v>0</v>
      </c>
      <c r="AG95" s="33">
        <f ca="1">$I$20*$AG$20</f>
        <v>0</v>
      </c>
      <c r="AI95" s="33">
        <f>$I$20*$AI$20</f>
        <v>0</v>
      </c>
      <c r="AJ95" s="33">
        <f>$I$20*$AJ$20</f>
        <v>0</v>
      </c>
      <c r="AK95" s="33">
        <f>$I$20*$AK$20</f>
        <v>0</v>
      </c>
      <c r="AL95" s="33">
        <f>$I$20*$AL$20</f>
        <v>0</v>
      </c>
      <c r="AM95" s="33">
        <f>$I$20*$AM$20</f>
        <v>0</v>
      </c>
      <c r="AN95" s="33">
        <f>$I$20*$AN$20</f>
        <v>0</v>
      </c>
      <c r="AO95" s="33">
        <f>$I$20*$AO$20</f>
        <v>0</v>
      </c>
      <c r="AP95" s="33">
        <f>$I$20*$AP$20</f>
        <v>0</v>
      </c>
      <c r="AQ95" s="33">
        <f>$I$20*$AQ$20</f>
        <v>473061.24438863189</v>
      </c>
      <c r="AR95" s="33">
        <f>$I$20*$AR$20</f>
        <v>-199.68609725224977</v>
      </c>
      <c r="AS95" s="33">
        <f>$I$20*$AS$20</f>
        <v>0</v>
      </c>
      <c r="AT95" s="33">
        <f>$I$20*$AT$20</f>
        <v>0</v>
      </c>
      <c r="AU95" s="33">
        <f>$I$20*$AU$20</f>
        <v>1672955.7449034073</v>
      </c>
      <c r="AV95" s="33">
        <f>$I$20*$AV$20</f>
        <v>0</v>
      </c>
      <c r="AW95" s="33">
        <f>$I$20*$AW$20</f>
        <v>0</v>
      </c>
      <c r="AX95" s="33">
        <f>$I$20*$AX$20</f>
        <v>2169077.2133518513</v>
      </c>
      <c r="AY95" s="33">
        <f>$I$20*$AY$20</f>
        <v>-769.60734155391663</v>
      </c>
      <c r="AZ95" s="33">
        <f>$I$20*$AZ$20</f>
        <v>0</v>
      </c>
      <c r="BA95" s="33">
        <f>$I$20*$BA$20</f>
        <v>0</v>
      </c>
      <c r="BB95" s="33">
        <f>$I$20*$BB$20</f>
        <v>0</v>
      </c>
      <c r="BC95" s="33">
        <f>$I$20*$BC$20</f>
        <v>0</v>
      </c>
      <c r="BD95" s="33">
        <f>$I$20*$BD$20</f>
        <v>0</v>
      </c>
    </row>
    <row r="96" spans="1:56" ht="11.25" customHeight="1" x14ac:dyDescent="0.25">
      <c r="A96" s="9" t="s">
        <v>39</v>
      </c>
      <c r="B96" s="9" t="s">
        <v>1256</v>
      </c>
      <c r="C96" s="9" t="s">
        <v>1257</v>
      </c>
      <c r="D96" s="9" t="s">
        <v>1258</v>
      </c>
      <c r="E96" s="9" t="s">
        <v>1259</v>
      </c>
      <c r="F96" s="9" t="s">
        <v>1260</v>
      </c>
      <c r="G96" s="9" t="s">
        <v>1262</v>
      </c>
      <c r="L96" s="33">
        <f>$I$21*$L$21</f>
        <v>0</v>
      </c>
      <c r="M96" s="33">
        <f>$I$21*$M$21</f>
        <v>0</v>
      </c>
      <c r="N96" s="33">
        <f ca="1">$I$21*$N$21</f>
        <v>0</v>
      </c>
      <c r="O96" s="33">
        <f>$I$21*$O$21</f>
        <v>0</v>
      </c>
      <c r="P96" s="33">
        <f>$I$21*$P$21</f>
        <v>0</v>
      </c>
      <c r="Q96" s="33">
        <f>$I$21*$Q$21</f>
        <v>0</v>
      </c>
      <c r="R96" s="33">
        <f>$I$21*$R$21</f>
        <v>0</v>
      </c>
      <c r="S96" s="33">
        <f>$I$21*$S$21</f>
        <v>0</v>
      </c>
      <c r="T96" s="33">
        <f>$I$21*$T$21</f>
        <v>565316.62656214437</v>
      </c>
      <c r="U96" s="33">
        <f>$I$21*$U$21</f>
        <v>6483.177404524552</v>
      </c>
      <c r="V96" s="33">
        <f>$I$21*$V$21</f>
        <v>0</v>
      </c>
      <c r="W96" s="33">
        <f>$I$21*$W$21</f>
        <v>0</v>
      </c>
      <c r="X96" s="33">
        <f>$I$21*$X$21</f>
        <v>1322861.8681918676</v>
      </c>
      <c r="Y96" s="33">
        <f>$I$21*$Y$21</f>
        <v>0</v>
      </c>
      <c r="Z96" s="33">
        <f>$I$21*$Z$21</f>
        <v>0</v>
      </c>
      <c r="AA96" s="33">
        <f>$I$21*$AA$21</f>
        <v>247728.28932348269</v>
      </c>
      <c r="AB96" s="33">
        <f ca="1">$I$21*$AB$21</f>
        <v>0</v>
      </c>
      <c r="AC96" s="33">
        <f ca="1">$I$21*$AC$21</f>
        <v>0</v>
      </c>
      <c r="AD96" s="33">
        <f>$I$21*$AD$21</f>
        <v>0</v>
      </c>
      <c r="AE96" s="33">
        <f>$I$21*$AE$21</f>
        <v>0</v>
      </c>
      <c r="AF96" s="33">
        <f ca="1">$I$21*$AF$21</f>
        <v>0</v>
      </c>
      <c r="AG96" s="33">
        <f ca="1">$I$21*$AG$21</f>
        <v>0</v>
      </c>
      <c r="AI96" s="33">
        <f>$I$21*$AI$21</f>
        <v>0</v>
      </c>
      <c r="AJ96" s="33">
        <f>$I$21*$AJ$21</f>
        <v>0</v>
      </c>
      <c r="AK96" s="33">
        <f>$I$21*$AK$21</f>
        <v>0</v>
      </c>
      <c r="AL96" s="33">
        <f>$I$21*$AL$21</f>
        <v>0</v>
      </c>
      <c r="AM96" s="33">
        <f>$I$21*$AM$21</f>
        <v>0</v>
      </c>
      <c r="AN96" s="33">
        <f>$I$21*$AN$21</f>
        <v>0</v>
      </c>
      <c r="AO96" s="33">
        <f>$I$21*$AO$21</f>
        <v>0</v>
      </c>
      <c r="AP96" s="33">
        <f>$I$21*$AP$21</f>
        <v>0</v>
      </c>
      <c r="AQ96" s="33">
        <f>$I$21*$AQ$21</f>
        <v>431288.19979000522</v>
      </c>
      <c r="AR96" s="33">
        <f>$I$21*$AR$21</f>
        <v>-185.02224833613721</v>
      </c>
      <c r="AS96" s="33">
        <f>$I$21*$AS$21</f>
        <v>0</v>
      </c>
      <c r="AT96" s="33">
        <f>$I$21*$AT$21</f>
        <v>0</v>
      </c>
      <c r="AU96" s="33">
        <f>$I$21*$AU$21</f>
        <v>1060510.2610375099</v>
      </c>
      <c r="AV96" s="33">
        <f>$I$21*$AV$21</f>
        <v>0</v>
      </c>
      <c r="AW96" s="33">
        <f>$I$21*$AW$21</f>
        <v>0</v>
      </c>
      <c r="AX96" s="33">
        <f>$I$21*$AX$21</f>
        <v>220520.25286026541</v>
      </c>
      <c r="AY96" s="33">
        <f>$I$21*$AY$21</f>
        <v>-316.14734403705876</v>
      </c>
      <c r="AZ96" s="33">
        <f>$I$21*$AZ$21</f>
        <v>0</v>
      </c>
      <c r="BA96" s="33">
        <f>$I$21*$BA$21</f>
        <v>0</v>
      </c>
      <c r="BB96" s="33">
        <f>$I$21*$BB$21</f>
        <v>0</v>
      </c>
      <c r="BC96" s="33">
        <f>$I$21*$BC$21</f>
        <v>0</v>
      </c>
      <c r="BD96" s="33">
        <f>$I$21*$BD$21</f>
        <v>0</v>
      </c>
    </row>
    <row r="97" spans="1:56" ht="11.25" customHeight="1" x14ac:dyDescent="0.25">
      <c r="A97" s="9" t="s">
        <v>39</v>
      </c>
      <c r="B97" s="9" t="s">
        <v>1256</v>
      </c>
      <c r="C97" s="9" t="s">
        <v>1257</v>
      </c>
      <c r="D97" s="9" t="s">
        <v>1258</v>
      </c>
      <c r="E97" s="9" t="s">
        <v>1259</v>
      </c>
      <c r="F97" s="9" t="s">
        <v>1260</v>
      </c>
      <c r="G97" s="9" t="s">
        <v>1263</v>
      </c>
      <c r="L97" s="33">
        <f>$I$22*$L$22</f>
        <v>144409.86859459727</v>
      </c>
      <c r="M97" s="33">
        <f>$I$22*$M$22</f>
        <v>11305.090452065337</v>
      </c>
      <c r="N97" s="33">
        <f ca="1">$I$22*$N$22</f>
        <v>31692.080259290917</v>
      </c>
      <c r="O97" s="33">
        <f>$I$22*$O$22</f>
        <v>-502.64914652707427</v>
      </c>
      <c r="P97" s="33">
        <f>$I$22*$P$22</f>
        <v>0</v>
      </c>
      <c r="Q97" s="33">
        <f>$I$22*$Q$22</f>
        <v>6622108.6801124495</v>
      </c>
      <c r="R97" s="33">
        <f>$I$22*$R$22</f>
        <v>1807363.5750816935</v>
      </c>
      <c r="S97" s="33">
        <f>$I$22*$S$22</f>
        <v>0</v>
      </c>
      <c r="T97" s="33">
        <f>$I$22*$T$22</f>
        <v>0</v>
      </c>
      <c r="U97" s="33">
        <f>$I$22*$U$22</f>
        <v>0</v>
      </c>
      <c r="V97" s="33">
        <f>$I$22*$V$22</f>
        <v>0</v>
      </c>
      <c r="W97" s="33">
        <f>$I$22*$W$22</f>
        <v>0</v>
      </c>
      <c r="X97" s="33">
        <f>$I$22*$X$22</f>
        <v>0</v>
      </c>
      <c r="Y97" s="33">
        <f>$I$22*$Y$22</f>
        <v>0</v>
      </c>
      <c r="Z97" s="33">
        <f>$I$22*$Z$22</f>
        <v>0</v>
      </c>
      <c r="AA97" s="33">
        <f>$I$22*$AA$22</f>
        <v>0</v>
      </c>
      <c r="AB97" s="33">
        <f ca="1">$I$22*$AB$22</f>
        <v>0</v>
      </c>
      <c r="AC97" s="33">
        <f ca="1">$I$22*$AC$22</f>
        <v>0</v>
      </c>
      <c r="AD97" s="33">
        <f>$I$22*$AD$22</f>
        <v>1255570.9741020619</v>
      </c>
      <c r="AE97" s="33">
        <f>$I$22*$AE$22</f>
        <v>2787.874444116921</v>
      </c>
      <c r="AF97" s="33">
        <f ca="1">$I$22*$AF$22</f>
        <v>31822.562569812722</v>
      </c>
      <c r="AG97" s="33">
        <f ca="1">$I$22*$AG$22</f>
        <v>204988.09493195987</v>
      </c>
      <c r="AI97" s="33">
        <f>$I$22*$AI$22</f>
        <v>678752.99425810541</v>
      </c>
      <c r="AJ97" s="33">
        <f>$I$22*$AJ$22</f>
        <v>8726.2021392676434</v>
      </c>
      <c r="AK97" s="33">
        <f>$I$22*$AK$22</f>
        <v>26359.548897587931</v>
      </c>
      <c r="AL97" s="33">
        <f>$I$22*$AL$22</f>
        <v>-446.71866475703899</v>
      </c>
      <c r="AM97" s="33">
        <f>$I$22*$AM$22</f>
        <v>0</v>
      </c>
      <c r="AN97" s="33">
        <f>$I$22*$AN$22</f>
        <v>3550211.7851217487</v>
      </c>
      <c r="AO97" s="33">
        <f>$I$22*$AO$22</f>
        <v>990559.26034479006</v>
      </c>
      <c r="AP97" s="33">
        <f>$I$22*$AP$22</f>
        <v>0</v>
      </c>
      <c r="AQ97" s="33">
        <f>$I$22*$AQ$22</f>
        <v>0</v>
      </c>
      <c r="AR97" s="33">
        <f>$I$22*$AR$22</f>
        <v>0</v>
      </c>
      <c r="AS97" s="33">
        <f>$I$22*$AS$22</f>
        <v>0</v>
      </c>
      <c r="AT97" s="33">
        <f>$I$22*$AT$22</f>
        <v>0</v>
      </c>
      <c r="AU97" s="33">
        <f>$I$22*$AU$22</f>
        <v>0</v>
      </c>
      <c r="AV97" s="33">
        <f>$I$22*$AV$22</f>
        <v>0</v>
      </c>
      <c r="AW97" s="33">
        <f>$I$22*$AW$22</f>
        <v>0</v>
      </c>
      <c r="AX97" s="33">
        <f>$I$22*$AX$22</f>
        <v>0</v>
      </c>
      <c r="AY97" s="33">
        <f>$I$22*$AY$22</f>
        <v>-1189.2164297053573</v>
      </c>
      <c r="AZ97" s="33">
        <f>$I$22*$AZ$22</f>
        <v>0</v>
      </c>
      <c r="BA97" s="33">
        <f>$I$22*$BA$22</f>
        <v>1160401.7963939593</v>
      </c>
      <c r="BB97" s="33">
        <f>$I$22*$BB$22</f>
        <v>4032.218171153711</v>
      </c>
      <c r="BC97" s="33">
        <f>$I$22*$BC$22</f>
        <v>29474.048131697768</v>
      </c>
      <c r="BD97" s="33">
        <f>$I$22*$BD$22</f>
        <v>122634.97513177598</v>
      </c>
    </row>
    <row r="98" spans="1:56" ht="11.25" customHeight="1" x14ac:dyDescent="0.25">
      <c r="A98" s="9" t="s">
        <v>39</v>
      </c>
      <c r="B98" s="9" t="s">
        <v>1256</v>
      </c>
      <c r="C98" s="9" t="s">
        <v>1257</v>
      </c>
      <c r="D98" s="9" t="s">
        <v>1258</v>
      </c>
      <c r="E98" s="9" t="s">
        <v>1264</v>
      </c>
      <c r="F98" s="9" t="s">
        <v>1265</v>
      </c>
      <c r="G98" s="9" t="s">
        <v>1266</v>
      </c>
      <c r="L98" s="33">
        <f>$I$23*$L$23</f>
        <v>0</v>
      </c>
      <c r="M98" s="33">
        <f>$I$23*$M$23</f>
        <v>0</v>
      </c>
      <c r="N98" s="33">
        <f ca="1">$I$23*$N$23</f>
        <v>0</v>
      </c>
      <c r="O98" s="33">
        <f>$I$23*$O$23</f>
        <v>0</v>
      </c>
      <c r="P98" s="33">
        <f>$I$23*$P$23</f>
        <v>0</v>
      </c>
      <c r="Q98" s="33">
        <f>$I$23*$Q$23</f>
        <v>0</v>
      </c>
      <c r="R98" s="33">
        <f>$I$23*$R$23</f>
        <v>0</v>
      </c>
      <c r="S98" s="33">
        <f>$I$23*$S$23</f>
        <v>0</v>
      </c>
      <c r="T98" s="33">
        <f>$I$23*$T$23</f>
        <v>0</v>
      </c>
      <c r="U98" s="33">
        <f>$I$23*$U$23</f>
        <v>0</v>
      </c>
      <c r="V98" s="33">
        <f>$I$23*$V$23</f>
        <v>0</v>
      </c>
      <c r="W98" s="33">
        <f>$I$23*$W$23</f>
        <v>0</v>
      </c>
      <c r="X98" s="33">
        <f>$I$23*$X$23</f>
        <v>0</v>
      </c>
      <c r="Y98" s="33">
        <f>$I$23*$Y$23</f>
        <v>0</v>
      </c>
      <c r="Z98" s="33">
        <f>$I$23*$Z$23</f>
        <v>0</v>
      </c>
      <c r="AA98" s="33">
        <f>$I$23*$AA$23</f>
        <v>0</v>
      </c>
      <c r="AB98" s="33">
        <f ca="1">$I$23*$AB$23</f>
        <v>0</v>
      </c>
      <c r="AC98" s="33">
        <f ca="1">$I$23*$AC$23</f>
        <v>0</v>
      </c>
      <c r="AD98" s="33">
        <f>$I$23*$AD$23</f>
        <v>0</v>
      </c>
      <c r="AE98" s="33">
        <f>$I$23*$AE$23</f>
        <v>0</v>
      </c>
      <c r="AF98" s="33">
        <f ca="1">$I$23*$AF$23</f>
        <v>0</v>
      </c>
      <c r="AG98" s="33">
        <f ca="1">$I$23*$AG$23</f>
        <v>0</v>
      </c>
      <c r="AI98" s="33">
        <f>$I$23*$AI$23</f>
        <v>0</v>
      </c>
      <c r="AJ98" s="33">
        <f>$I$23*$AJ$23</f>
        <v>0</v>
      </c>
      <c r="AK98" s="33">
        <f>$I$23*$AK$23</f>
        <v>0</v>
      </c>
      <c r="AL98" s="33">
        <f>$I$23*$AL$23</f>
        <v>0</v>
      </c>
      <c r="AM98" s="33">
        <f>$I$23*$AM$23</f>
        <v>0</v>
      </c>
      <c r="AN98" s="33">
        <f>$I$23*$AN$23</f>
        <v>0</v>
      </c>
      <c r="AO98" s="33">
        <f>$I$23*$AO$23</f>
        <v>0</v>
      </c>
      <c r="AP98" s="33">
        <f>$I$23*$AP$23</f>
        <v>0</v>
      </c>
      <c r="AQ98" s="33">
        <f>$I$23*$AQ$23</f>
        <v>0</v>
      </c>
      <c r="AR98" s="33">
        <f>$I$23*$AR$23</f>
        <v>0</v>
      </c>
      <c r="AS98" s="33">
        <f>$I$23*$AS$23</f>
        <v>0</v>
      </c>
      <c r="AT98" s="33">
        <f>$I$23*$AT$23</f>
        <v>0</v>
      </c>
      <c r="AU98" s="33">
        <f>$I$23*$AU$23</f>
        <v>0</v>
      </c>
      <c r="AV98" s="33">
        <f>$I$23*$AV$23</f>
        <v>0</v>
      </c>
      <c r="AW98" s="33">
        <f>$I$23*$AW$23</f>
        <v>0</v>
      </c>
      <c r="AX98" s="33">
        <f>$I$23*$AX$23</f>
        <v>0</v>
      </c>
      <c r="AY98" s="33">
        <f>$I$23*$AY$23</f>
        <v>0</v>
      </c>
      <c r="AZ98" s="33">
        <f>$I$23*$AZ$23</f>
        <v>0</v>
      </c>
      <c r="BA98" s="33">
        <f>$I$23*$BA$23</f>
        <v>0</v>
      </c>
      <c r="BB98" s="33">
        <f>$I$23*$BB$23</f>
        <v>0</v>
      </c>
      <c r="BC98" s="33">
        <f>$I$23*$BC$23</f>
        <v>0</v>
      </c>
      <c r="BD98" s="33">
        <f>$I$23*$BD$23</f>
        <v>0</v>
      </c>
    </row>
    <row r="99" spans="1:56" ht="11.25" customHeight="1" x14ac:dyDescent="0.25">
      <c r="A99" s="9" t="s">
        <v>39</v>
      </c>
      <c r="B99" s="9" t="s">
        <v>1267</v>
      </c>
      <c r="C99" s="9" t="s">
        <v>1268</v>
      </c>
      <c r="D99" s="9" t="s">
        <v>1269</v>
      </c>
      <c r="E99" s="9" t="s">
        <v>1270</v>
      </c>
      <c r="F99" s="9" t="s">
        <v>1271</v>
      </c>
      <c r="G99" s="9" t="s">
        <v>1272</v>
      </c>
      <c r="L99" s="33">
        <f>$I$24*$L$24</f>
        <v>0</v>
      </c>
      <c r="M99" s="33">
        <f>$I$24*$M$24</f>
        <v>33561.300609113197</v>
      </c>
      <c r="N99" s="33">
        <f ca="1">$I$24*$N$24</f>
        <v>98778.682713256771</v>
      </c>
      <c r="O99" s="33">
        <f>$I$24*$O$24</f>
        <v>7609.7021006468976</v>
      </c>
      <c r="P99" s="33">
        <f>$I$24*$P$24</f>
        <v>0</v>
      </c>
      <c r="Q99" s="33">
        <f>$I$24*$Q$24</f>
        <v>0</v>
      </c>
      <c r="R99" s="33">
        <f>$I$24*$R$24</f>
        <v>0</v>
      </c>
      <c r="S99" s="33">
        <f>$I$24*$S$24</f>
        <v>0</v>
      </c>
      <c r="T99" s="33">
        <f>$I$24*$T$24</f>
        <v>0</v>
      </c>
      <c r="U99" s="33">
        <f>$I$24*$U$24</f>
        <v>0</v>
      </c>
      <c r="V99" s="33">
        <f>$I$24*$V$24</f>
        <v>0</v>
      </c>
      <c r="W99" s="33">
        <f>$I$24*$W$24</f>
        <v>0</v>
      </c>
      <c r="X99" s="33">
        <f>$I$24*$X$24</f>
        <v>11615717.180759581</v>
      </c>
      <c r="Y99" s="33">
        <f>$I$24*$Y$24</f>
        <v>0</v>
      </c>
      <c r="Z99" s="33">
        <f>$I$24*$Z$24</f>
        <v>0</v>
      </c>
      <c r="AA99" s="33">
        <f>$I$24*$AA$24</f>
        <v>5728481.1482406668</v>
      </c>
      <c r="AB99" s="33">
        <f ca="1">$I$24*$AB$24</f>
        <v>0</v>
      </c>
      <c r="AC99" s="33">
        <f ca="1">$I$24*$AC$24</f>
        <v>0</v>
      </c>
      <c r="AD99" s="33">
        <f>$I$24*$AD$24</f>
        <v>599517.79729068081</v>
      </c>
      <c r="AE99" s="33">
        <f>$I$24*$AE$24</f>
        <v>139660.73012324213</v>
      </c>
      <c r="AF99" s="33">
        <f ca="1">$I$24*$AF$24</f>
        <v>0</v>
      </c>
      <c r="AG99" s="33">
        <f ca="1">$I$24*$AG$24</f>
        <v>0</v>
      </c>
      <c r="AI99" s="33">
        <f>$I$24*$AI$24</f>
        <v>0</v>
      </c>
      <c r="AJ99" s="33">
        <f>$I$24*$AJ$24</f>
        <v>26889.222960270115</v>
      </c>
      <c r="AK99" s="33">
        <f>$I$24*$AK$24</f>
        <v>89211.053578533858</v>
      </c>
      <c r="AL99" s="33">
        <f>$I$24*$AL$24</f>
        <v>6872.7143302974191</v>
      </c>
      <c r="AM99" s="33">
        <f>$I$24*$AM$24</f>
        <v>0</v>
      </c>
      <c r="AN99" s="33">
        <f>$I$24*$AN$24</f>
        <v>0</v>
      </c>
      <c r="AO99" s="33">
        <f>$I$24*$AO$24</f>
        <v>0</v>
      </c>
      <c r="AP99" s="33">
        <f>$I$24*$AP$24</f>
        <v>0</v>
      </c>
      <c r="AQ99" s="33">
        <f>$I$24*$AQ$24</f>
        <v>0</v>
      </c>
      <c r="AR99" s="33">
        <f>$I$24*$AR$24</f>
        <v>0</v>
      </c>
      <c r="AS99" s="33">
        <f>$I$24*$AS$24</f>
        <v>0</v>
      </c>
      <c r="AT99" s="33">
        <f>$I$24*$AT$24</f>
        <v>0</v>
      </c>
      <c r="AU99" s="33">
        <f>$I$24*$AU$24</f>
        <v>9576991.9150842391</v>
      </c>
      <c r="AV99" s="33">
        <f>$I$24*$AV$24</f>
        <v>0</v>
      </c>
      <c r="AW99" s="33">
        <f>$I$24*$AW$24</f>
        <v>0</v>
      </c>
      <c r="AX99" s="33">
        <f>$I$24*$AX$24</f>
        <v>5161497.5756883314</v>
      </c>
      <c r="AY99" s="33">
        <f>$I$24*$AY$24</f>
        <v>-2770.0704367770827</v>
      </c>
      <c r="AZ99" s="33">
        <f>$I$24*$AZ$24</f>
        <v>0</v>
      </c>
      <c r="BA99" s="33">
        <f>$I$24*$BA$24</f>
        <v>537937.12145674555</v>
      </c>
      <c r="BB99" s="33">
        <f>$I$24*$BB$24</f>
        <v>125315.19745128968</v>
      </c>
      <c r="BC99" s="33">
        <f>$I$24*$BC$24</f>
        <v>0</v>
      </c>
      <c r="BD99" s="33">
        <f>$I$24*$BD$24</f>
        <v>0</v>
      </c>
    </row>
    <row r="100" spans="1:56" ht="11.25" customHeight="1" x14ac:dyDescent="0.25">
      <c r="A100" s="9" t="s">
        <v>41</v>
      </c>
      <c r="B100" s="9" t="s">
        <v>1273</v>
      </c>
      <c r="C100" s="9" t="s">
        <v>1274</v>
      </c>
      <c r="D100" s="9" t="s">
        <v>1275</v>
      </c>
      <c r="E100" s="9" t="s">
        <v>1276</v>
      </c>
      <c r="F100" s="9" t="s">
        <v>1277</v>
      </c>
      <c r="G100" s="9" t="s">
        <v>1278</v>
      </c>
      <c r="L100" s="33">
        <f>$I$25*$L$25</f>
        <v>0</v>
      </c>
      <c r="M100" s="33">
        <f>$I$25*$M$25</f>
        <v>0</v>
      </c>
      <c r="N100" s="33">
        <f ca="1">$I$25*$N$25</f>
        <v>0</v>
      </c>
      <c r="O100" s="33">
        <f>$I$25*$O$25</f>
        <v>0</v>
      </c>
      <c r="P100" s="33">
        <f>$I$25*$P$25</f>
        <v>0</v>
      </c>
      <c r="Q100" s="33">
        <f>$I$25*$Q$25</f>
        <v>0</v>
      </c>
      <c r="R100" s="33">
        <f>$I$25*$R$25</f>
        <v>0</v>
      </c>
      <c r="S100" s="33">
        <f>$I$25*$S$25</f>
        <v>0</v>
      </c>
      <c r="T100" s="33">
        <f>$I$25*$T$25</f>
        <v>928250.54363856313</v>
      </c>
      <c r="U100" s="33">
        <f>$I$25*$U$25</f>
        <v>10473.645776713609</v>
      </c>
      <c r="V100" s="33">
        <f>$I$25*$V$25</f>
        <v>0</v>
      </c>
      <c r="W100" s="33">
        <f>$I$25*$W$25</f>
        <v>0</v>
      </c>
      <c r="X100" s="33">
        <f>$I$25*$X$25</f>
        <v>3160904.4797123838</v>
      </c>
      <c r="Y100" s="33">
        <f>$I$25*$Y$25</f>
        <v>0</v>
      </c>
      <c r="Z100" s="33">
        <f>$I$25*$Z$25</f>
        <v>0</v>
      </c>
      <c r="AA100" s="33">
        <f>$I$25*$AA$25</f>
        <v>16195406.574977037</v>
      </c>
      <c r="AB100" s="33">
        <f ca="1">$I$25*$AB$25</f>
        <v>0</v>
      </c>
      <c r="AC100" s="33">
        <f ca="1">$I$25*$AC$25</f>
        <v>0</v>
      </c>
      <c r="AD100" s="33">
        <f>$I$25*$AD$25</f>
        <v>0</v>
      </c>
      <c r="AE100" s="33">
        <f>$I$25*$AE$25</f>
        <v>0</v>
      </c>
      <c r="AF100" s="33">
        <f ca="1">$I$25*$AF$25</f>
        <v>0</v>
      </c>
      <c r="AG100" s="33">
        <f ca="1">$I$25*$AG$25</f>
        <v>0</v>
      </c>
      <c r="AI100" s="33">
        <f>$I$25*$AI$25</f>
        <v>0</v>
      </c>
      <c r="AJ100" s="33">
        <f>$I$25*$AJ$25</f>
        <v>0</v>
      </c>
      <c r="AK100" s="33">
        <f>$I$25*$AK$25</f>
        <v>0</v>
      </c>
      <c r="AL100" s="33">
        <f>$I$25*$AL$25</f>
        <v>0</v>
      </c>
      <c r="AM100" s="33">
        <f>$I$25*$AM$25</f>
        <v>0</v>
      </c>
      <c r="AN100" s="33">
        <f>$I$25*$AN$25</f>
        <v>0</v>
      </c>
      <c r="AO100" s="33">
        <f>$I$25*$AO$25</f>
        <v>0</v>
      </c>
      <c r="AP100" s="33">
        <f>$I$25*$AP$25</f>
        <v>0</v>
      </c>
      <c r="AQ100" s="33">
        <f>$I$25*$AQ$25</f>
        <v>708175.71447451354</v>
      </c>
      <c r="AR100" s="33">
        <f>$I$25*$AR$25</f>
        <v>-298.90551638019997</v>
      </c>
      <c r="AS100" s="33">
        <f>$I$25*$AS$25</f>
        <v>0</v>
      </c>
      <c r="AT100" s="33">
        <f>$I$25*$AT$25</f>
        <v>0</v>
      </c>
      <c r="AU100" s="33">
        <f>$I$25*$AU$25</f>
        <v>2534029.9811319476</v>
      </c>
      <c r="AV100" s="33">
        <f>$I$25*$AV$25</f>
        <v>0</v>
      </c>
      <c r="AW100" s="33">
        <f>$I$25*$AW$25</f>
        <v>0</v>
      </c>
      <c r="AX100" s="33">
        <f>$I$25*$AX$25</f>
        <v>14416662.557360124</v>
      </c>
      <c r="AY100" s="33">
        <f>$I$25*$AY$25</f>
        <v>-3068.8651284968751</v>
      </c>
      <c r="AZ100" s="33">
        <f>$I$25*$AZ$25</f>
        <v>0</v>
      </c>
      <c r="BA100" s="33">
        <f>$I$25*$BA$25</f>
        <v>0</v>
      </c>
      <c r="BB100" s="33">
        <f>$I$25*$BB$25</f>
        <v>0</v>
      </c>
      <c r="BC100" s="33">
        <f>$I$25*$BC$25</f>
        <v>0</v>
      </c>
      <c r="BD100" s="33">
        <f>$I$25*$BD$25</f>
        <v>0</v>
      </c>
    </row>
    <row r="101" spans="1:56" ht="11.25" customHeight="1" x14ac:dyDescent="0.25">
      <c r="A101" s="9" t="s">
        <v>41</v>
      </c>
      <c r="B101" s="9" t="s">
        <v>1273</v>
      </c>
      <c r="C101" s="9" t="s">
        <v>1274</v>
      </c>
      <c r="D101" s="9" t="s">
        <v>1275</v>
      </c>
      <c r="E101" s="9" t="s">
        <v>1276</v>
      </c>
      <c r="F101" s="9" t="s">
        <v>1277</v>
      </c>
      <c r="G101" s="9" t="s">
        <v>1279</v>
      </c>
      <c r="L101" s="33">
        <f>$I$26*$L$26</f>
        <v>0</v>
      </c>
      <c r="M101" s="33">
        <f>$I$26*$M$26</f>
        <v>0</v>
      </c>
      <c r="N101" s="33">
        <f ca="1">$I$26*$N$26</f>
        <v>0</v>
      </c>
      <c r="O101" s="33">
        <f>$I$26*$O$26</f>
        <v>0</v>
      </c>
      <c r="P101" s="33">
        <f>$I$26*$P$26</f>
        <v>0</v>
      </c>
      <c r="Q101" s="33">
        <f>$I$26*$Q$26</f>
        <v>0</v>
      </c>
      <c r="R101" s="33">
        <f>$I$26*$R$26</f>
        <v>0</v>
      </c>
      <c r="S101" s="33">
        <f>$I$26*$S$26</f>
        <v>0</v>
      </c>
      <c r="T101" s="33">
        <f>$I$26*$T$26</f>
        <v>894463.65660117241</v>
      </c>
      <c r="U101" s="33">
        <f>$I$26*$U$26</f>
        <v>10258.158496947917</v>
      </c>
      <c r="V101" s="33">
        <f>$I$26*$V$26</f>
        <v>0</v>
      </c>
      <c r="W101" s="33">
        <f>$I$26*$W$26</f>
        <v>0</v>
      </c>
      <c r="X101" s="33">
        <f>$I$26*$X$26</f>
        <v>2114099.73777103</v>
      </c>
      <c r="Y101" s="33">
        <f>$I$26*$Y$26</f>
        <v>0</v>
      </c>
      <c r="Z101" s="33">
        <f>$I$26*$Z$26</f>
        <v>0</v>
      </c>
      <c r="AA101" s="33">
        <f>$I$26*$AA$26</f>
        <v>6130334.3050772296</v>
      </c>
      <c r="AB101" s="33">
        <f ca="1">$I$26*$AB$26</f>
        <v>0</v>
      </c>
      <c r="AC101" s="33">
        <f ca="1">$I$26*$AC$26</f>
        <v>0</v>
      </c>
      <c r="AD101" s="33">
        <f>$I$26*$AD$26</f>
        <v>0</v>
      </c>
      <c r="AE101" s="33">
        <f>$I$26*$AE$26</f>
        <v>0</v>
      </c>
      <c r="AF101" s="33">
        <f ca="1">$I$26*$AF$26</f>
        <v>0</v>
      </c>
      <c r="AG101" s="33">
        <f ca="1">$I$26*$AG$26</f>
        <v>0</v>
      </c>
      <c r="AI101" s="33">
        <f>$I$26*$AI$26</f>
        <v>0</v>
      </c>
      <c r="AJ101" s="33">
        <f>$I$26*$AJ$26</f>
        <v>0</v>
      </c>
      <c r="AK101" s="33">
        <f>$I$26*$AK$26</f>
        <v>0</v>
      </c>
      <c r="AL101" s="33">
        <f>$I$26*$AL$26</f>
        <v>0</v>
      </c>
      <c r="AM101" s="33">
        <f>$I$26*$AM$26</f>
        <v>0</v>
      </c>
      <c r="AN101" s="33">
        <f>$I$26*$AN$26</f>
        <v>0</v>
      </c>
      <c r="AO101" s="33">
        <f>$I$26*$AO$26</f>
        <v>0</v>
      </c>
      <c r="AP101" s="33">
        <f>$I$26*$AP$26</f>
        <v>0</v>
      </c>
      <c r="AQ101" s="33">
        <f>$I$26*$AQ$26</f>
        <v>682399.21153406298</v>
      </c>
      <c r="AR101" s="33">
        <f>$I$26*$AR$26</f>
        <v>-292.75576318013015</v>
      </c>
      <c r="AS101" s="33">
        <f>$I$26*$AS$26</f>
        <v>0</v>
      </c>
      <c r="AT101" s="33">
        <f>$I$26*$AT$26</f>
        <v>0</v>
      </c>
      <c r="AU101" s="33">
        <f>$I$26*$AU$26</f>
        <v>1694828.8545253493</v>
      </c>
      <c r="AV101" s="33">
        <f>$I$26*$AV$26</f>
        <v>0</v>
      </c>
      <c r="AW101" s="33">
        <f>$I$26*$AW$26</f>
        <v>0</v>
      </c>
      <c r="AX101" s="33">
        <f>$I$26*$AX$26</f>
        <v>5457038.7369378209</v>
      </c>
      <c r="AY101" s="33">
        <f>$I$26*$AY$26</f>
        <v>-1377.4080151928547</v>
      </c>
      <c r="AZ101" s="33">
        <f>$I$26*$AZ$26</f>
        <v>0</v>
      </c>
      <c r="BA101" s="33">
        <f>$I$26*$BA$26</f>
        <v>0</v>
      </c>
      <c r="BB101" s="33">
        <f>$I$26*$BB$26</f>
        <v>0</v>
      </c>
      <c r="BC101" s="33">
        <f>$I$26*$BC$26</f>
        <v>0</v>
      </c>
      <c r="BD101" s="33">
        <f>$I$26*$BD$26</f>
        <v>0</v>
      </c>
    </row>
    <row r="102" spans="1:56" ht="11.25" customHeight="1" x14ac:dyDescent="0.25">
      <c r="A102" s="9" t="s">
        <v>41</v>
      </c>
      <c r="B102" s="9" t="s">
        <v>1273</v>
      </c>
      <c r="C102" s="9" t="s">
        <v>1274</v>
      </c>
      <c r="D102" s="9" t="s">
        <v>1275</v>
      </c>
      <c r="E102" s="9" t="s">
        <v>1276</v>
      </c>
      <c r="F102" s="9" t="s">
        <v>1277</v>
      </c>
      <c r="G102" s="9" t="s">
        <v>1280</v>
      </c>
      <c r="L102" s="33">
        <f>$I$27*$L$27</f>
        <v>237113.38964304814</v>
      </c>
      <c r="M102" s="33">
        <f>$I$27*$M$27</f>
        <v>93981.785284146346</v>
      </c>
      <c r="N102" s="33">
        <f ca="1">$I$27*$N$27</f>
        <v>63218.92713963284</v>
      </c>
      <c r="O102" s="33">
        <f>$I$27*$O$27</f>
        <v>-609.16726729967843</v>
      </c>
      <c r="P102" s="33">
        <f>$I$27*$P$27</f>
        <v>0</v>
      </c>
      <c r="Q102" s="33">
        <f>$I$27*$Q$27</f>
        <v>10873153.275515543</v>
      </c>
      <c r="R102" s="33">
        <f>$I$27*$R$27</f>
        <v>2190368.2472286657</v>
      </c>
      <c r="S102" s="33">
        <f>$I$27*$S$27</f>
        <v>0</v>
      </c>
      <c r="T102" s="33">
        <f>$I$27*$T$27</f>
        <v>0</v>
      </c>
      <c r="U102" s="33">
        <f>$I$27*$U$27</f>
        <v>0</v>
      </c>
      <c r="V102" s="33">
        <f>$I$27*$V$27</f>
        <v>0</v>
      </c>
      <c r="W102" s="33">
        <f>$I$27*$W$27</f>
        <v>0</v>
      </c>
      <c r="X102" s="33">
        <f>$I$27*$X$27</f>
        <v>0</v>
      </c>
      <c r="Y102" s="33">
        <f>$I$27*$Y$27</f>
        <v>0</v>
      </c>
      <c r="Z102" s="33">
        <f>$I$27*$Z$27</f>
        <v>0</v>
      </c>
      <c r="AA102" s="33">
        <f>$I$27*$AA$27</f>
        <v>0</v>
      </c>
      <c r="AB102" s="33">
        <f ca="1">$I$27*$AB$27</f>
        <v>0</v>
      </c>
      <c r="AC102" s="33">
        <f ca="1">$I$27*$AC$27</f>
        <v>0</v>
      </c>
      <c r="AD102" s="33">
        <f>$I$27*$AD$27</f>
        <v>2515925.2874472709</v>
      </c>
      <c r="AE102" s="33">
        <f>$I$27*$AE$27</f>
        <v>5586.3698324166653</v>
      </c>
      <c r="AF102" s="33">
        <f ca="1">$I$27*$AF$27</f>
        <v>88205.328653053541</v>
      </c>
      <c r="AG102" s="33">
        <f ca="1">$I$27*$AG$27</f>
        <v>568183.10102369823</v>
      </c>
      <c r="AI102" s="33">
        <f>$I$27*$AI$27</f>
        <v>1068139.1122734288</v>
      </c>
      <c r="AJ102" s="33">
        <f>$I$27*$AJ$27</f>
        <v>70315.561878992012</v>
      </c>
      <c r="AK102" s="33">
        <f>$I$27*$AK$27</f>
        <v>52414.846021829093</v>
      </c>
      <c r="AL102" s="33">
        <f>$I$27*$AL$27</f>
        <v>-541.3843635107994</v>
      </c>
      <c r="AM102" s="33">
        <f>$I$27*$AM$27</f>
        <v>0</v>
      </c>
      <c r="AN102" s="33">
        <f>$I$27*$AN$27</f>
        <v>5586892.5759767629</v>
      </c>
      <c r="AO102" s="33">
        <f>$I$27*$AO$27</f>
        <v>1200472.1024431793</v>
      </c>
      <c r="AP102" s="33">
        <f>$I$27*$AP$27</f>
        <v>0</v>
      </c>
      <c r="AQ102" s="33">
        <f>$I$27*$AQ$27</f>
        <v>0</v>
      </c>
      <c r="AR102" s="33">
        <f>$I$27*$AR$27</f>
        <v>0</v>
      </c>
      <c r="AS102" s="33">
        <f>$I$27*$AS$27</f>
        <v>0</v>
      </c>
      <c r="AT102" s="33">
        <f>$I$27*$AT$27</f>
        <v>0</v>
      </c>
      <c r="AU102" s="33">
        <f>$I$27*$AU$27</f>
        <v>0</v>
      </c>
      <c r="AV102" s="33">
        <f>$I$27*$AV$27</f>
        <v>0</v>
      </c>
      <c r="AW102" s="33">
        <f>$I$27*$AW$27</f>
        <v>0</v>
      </c>
      <c r="AX102" s="33">
        <f>$I$27*$AX$27</f>
        <v>0</v>
      </c>
      <c r="AY102" s="33">
        <f>$I$27*$AY$27</f>
        <v>-1948.0834567986046</v>
      </c>
      <c r="AZ102" s="33">
        <f>$I$27*$AZ$27</f>
        <v>0</v>
      </c>
      <c r="BA102" s="33">
        <f>$I$27*$BA$27</f>
        <v>2325224.3667345918</v>
      </c>
      <c r="BB102" s="33">
        <f>$I$27*$BB$27</f>
        <v>8079.797853375173</v>
      </c>
      <c r="BC102" s="33">
        <f>$I$27*$BC$27</f>
        <v>81735.561578152396</v>
      </c>
      <c r="BD102" s="33">
        <f>$I$27*$BD$27</f>
        <v>340083.53778653732</v>
      </c>
    </row>
    <row r="103" spans="1:56" ht="11.25" customHeight="1" x14ac:dyDescent="0.25">
      <c r="A103" s="9" t="s">
        <v>41</v>
      </c>
      <c r="B103" s="9" t="s">
        <v>1273</v>
      </c>
      <c r="C103" s="9" t="s">
        <v>1274</v>
      </c>
      <c r="D103" s="9" t="s">
        <v>1275</v>
      </c>
      <c r="E103" s="9" t="s">
        <v>1281</v>
      </c>
      <c r="F103" s="9" t="s">
        <v>1282</v>
      </c>
      <c r="G103" s="9" t="s">
        <v>1283</v>
      </c>
      <c r="L103" s="33">
        <f>$I$28*$L$28</f>
        <v>0</v>
      </c>
      <c r="M103" s="33">
        <f>$I$28*$M$28</f>
        <v>0</v>
      </c>
      <c r="N103" s="33">
        <f ca="1">$I$28*$N$28</f>
        <v>0</v>
      </c>
      <c r="O103" s="33">
        <f>$I$28*$O$28</f>
        <v>0</v>
      </c>
      <c r="P103" s="33">
        <f>$I$28*$P$28</f>
        <v>0</v>
      </c>
      <c r="Q103" s="33">
        <f>$I$28*$Q$28</f>
        <v>0</v>
      </c>
      <c r="R103" s="33">
        <f>$I$28*$R$28</f>
        <v>0</v>
      </c>
      <c r="S103" s="33">
        <f>$I$28*$S$28</f>
        <v>0</v>
      </c>
      <c r="T103" s="33">
        <f>$I$28*$T$28</f>
        <v>0</v>
      </c>
      <c r="U103" s="33">
        <f>$I$28*$U$28</f>
        <v>0</v>
      </c>
      <c r="V103" s="33">
        <f>$I$28*$V$28</f>
        <v>0</v>
      </c>
      <c r="W103" s="33">
        <f>$I$28*$W$28</f>
        <v>0</v>
      </c>
      <c r="X103" s="33">
        <f>$I$28*$X$28</f>
        <v>0</v>
      </c>
      <c r="Y103" s="33">
        <f>$I$28*$Y$28</f>
        <v>0</v>
      </c>
      <c r="Z103" s="33">
        <f>$I$28*$Z$28</f>
        <v>0</v>
      </c>
      <c r="AA103" s="33">
        <f>$I$28*$AA$28</f>
        <v>0</v>
      </c>
      <c r="AB103" s="33">
        <f ca="1">$I$28*$AB$28</f>
        <v>0</v>
      </c>
      <c r="AC103" s="33">
        <f ca="1">$I$28*$AC$28</f>
        <v>0</v>
      </c>
      <c r="AD103" s="33">
        <f>$I$28*$AD$28</f>
        <v>0</v>
      </c>
      <c r="AE103" s="33">
        <f>$I$28*$AE$28</f>
        <v>0</v>
      </c>
      <c r="AF103" s="33">
        <f ca="1">$I$28*$AF$28</f>
        <v>0</v>
      </c>
      <c r="AG103" s="33">
        <f ca="1">$I$28*$AG$28</f>
        <v>0</v>
      </c>
      <c r="AI103" s="33">
        <f>$I$28*$AI$28</f>
        <v>0</v>
      </c>
      <c r="AJ103" s="33">
        <f>$I$28*$AJ$28</f>
        <v>0</v>
      </c>
      <c r="AK103" s="33">
        <f>$I$28*$AK$28</f>
        <v>0</v>
      </c>
      <c r="AL103" s="33">
        <f>$I$28*$AL$28</f>
        <v>0</v>
      </c>
      <c r="AM103" s="33">
        <f>$I$28*$AM$28</f>
        <v>0</v>
      </c>
      <c r="AN103" s="33">
        <f>$I$28*$AN$28</f>
        <v>0</v>
      </c>
      <c r="AO103" s="33">
        <f>$I$28*$AO$28</f>
        <v>0</v>
      </c>
      <c r="AP103" s="33">
        <f>$I$28*$AP$28</f>
        <v>0</v>
      </c>
      <c r="AQ103" s="33">
        <f>$I$28*$AQ$28</f>
        <v>0</v>
      </c>
      <c r="AR103" s="33">
        <f>$I$28*$AR$28</f>
        <v>0</v>
      </c>
      <c r="AS103" s="33">
        <f>$I$28*$AS$28</f>
        <v>0</v>
      </c>
      <c r="AT103" s="33">
        <f>$I$28*$AT$28</f>
        <v>0</v>
      </c>
      <c r="AU103" s="33">
        <f>$I$28*$AU$28</f>
        <v>0</v>
      </c>
      <c r="AV103" s="33">
        <f>$I$28*$AV$28</f>
        <v>0</v>
      </c>
      <c r="AW103" s="33">
        <f>$I$28*$AW$28</f>
        <v>0</v>
      </c>
      <c r="AX103" s="33">
        <f>$I$28*$AX$28</f>
        <v>0</v>
      </c>
      <c r="AY103" s="33">
        <f>$I$28*$AY$28</f>
        <v>0</v>
      </c>
      <c r="AZ103" s="33">
        <f>$I$28*$AZ$28</f>
        <v>0</v>
      </c>
      <c r="BA103" s="33">
        <f>$I$28*$BA$28</f>
        <v>0</v>
      </c>
      <c r="BB103" s="33">
        <f>$I$28*$BB$28</f>
        <v>0</v>
      </c>
      <c r="BC103" s="33">
        <f>$I$28*$BC$28</f>
        <v>0</v>
      </c>
      <c r="BD103" s="33">
        <f>$I$28*$BD$28</f>
        <v>0</v>
      </c>
    </row>
    <row r="104" spans="1:56" ht="11.25" customHeight="1" x14ac:dyDescent="0.25">
      <c r="A104" s="9" t="s">
        <v>41</v>
      </c>
      <c r="B104" s="9" t="s">
        <v>1284</v>
      </c>
      <c r="C104" s="9" t="s">
        <v>1285</v>
      </c>
      <c r="D104" s="9" t="s">
        <v>1286</v>
      </c>
      <c r="E104" s="9" t="s">
        <v>1287</v>
      </c>
      <c r="F104" s="9" t="s">
        <v>1288</v>
      </c>
      <c r="G104" s="9" t="s">
        <v>1289</v>
      </c>
      <c r="L104" s="33">
        <f>$I$29*$L$29</f>
        <v>0</v>
      </c>
      <c r="M104" s="33">
        <f>$I$29*$M$29</f>
        <v>0</v>
      </c>
      <c r="N104" s="33">
        <f ca="1">$I$29*$N$29</f>
        <v>0</v>
      </c>
      <c r="O104" s="33">
        <f>$I$29*$O$29</f>
        <v>0</v>
      </c>
      <c r="P104" s="33">
        <f>$I$29*$P$29</f>
        <v>0</v>
      </c>
      <c r="Q104" s="33">
        <f>$I$29*$Q$29</f>
        <v>0</v>
      </c>
      <c r="R104" s="33">
        <f>$I$29*$R$29</f>
        <v>0</v>
      </c>
      <c r="S104" s="33">
        <f>$I$29*$S$29</f>
        <v>0</v>
      </c>
      <c r="T104" s="33">
        <f>$I$29*$T$29</f>
        <v>144857.53661822659</v>
      </c>
      <c r="U104" s="33">
        <f>$I$29*$U$29</f>
        <v>1634.4579995391625</v>
      </c>
      <c r="V104" s="33">
        <f>$I$29*$V$29</f>
        <v>0</v>
      </c>
      <c r="W104" s="33">
        <f>$I$29*$W$29</f>
        <v>0</v>
      </c>
      <c r="X104" s="33">
        <f>$I$29*$X$29</f>
        <v>493272.89873900695</v>
      </c>
      <c r="Y104" s="33">
        <f>$I$29*$Y$29</f>
        <v>0</v>
      </c>
      <c r="Z104" s="33">
        <f>$I$29*$Z$29</f>
        <v>0</v>
      </c>
      <c r="AA104" s="33">
        <f>$I$29*$AA$29</f>
        <v>746413.40172099613</v>
      </c>
      <c r="AB104" s="33">
        <f>$I$29*$AB$29</f>
        <v>0</v>
      </c>
      <c r="AC104" s="33">
        <f ca="1">$I$29*$AC$29</f>
        <v>0</v>
      </c>
      <c r="AD104" s="33">
        <f>$I$29*$AD$29</f>
        <v>0</v>
      </c>
      <c r="AE104" s="33">
        <f>$I$29*$AE$29</f>
        <v>0</v>
      </c>
      <c r="AF104" s="33">
        <f ca="1">$I$29*$AF$29</f>
        <v>0</v>
      </c>
      <c r="AG104" s="33">
        <f ca="1">$I$29*$AG$29</f>
        <v>0</v>
      </c>
      <c r="AI104" s="33">
        <f>$I$29*$AI$29</f>
        <v>0</v>
      </c>
      <c r="AJ104" s="33">
        <f>$I$29*$AJ$29</f>
        <v>0</v>
      </c>
      <c r="AK104" s="33">
        <f>$I$29*$AK$29</f>
        <v>0</v>
      </c>
      <c r="AL104" s="33">
        <f>$I$29*$AL$29</f>
        <v>0</v>
      </c>
      <c r="AM104" s="33">
        <f>$I$29*$AM$29</f>
        <v>0</v>
      </c>
      <c r="AN104" s="33">
        <f>$I$29*$AN$29</f>
        <v>0</v>
      </c>
      <c r="AO104" s="33">
        <f>$I$29*$AO$29</f>
        <v>0</v>
      </c>
      <c r="AP104" s="33">
        <f>$I$29*$AP$29</f>
        <v>0</v>
      </c>
      <c r="AQ104" s="33">
        <f>$I$29*$AQ$29</f>
        <v>110513.90187127586</v>
      </c>
      <c r="AR104" s="33">
        <f>$I$29*$AR$29</f>
        <v>-46.645506518867336</v>
      </c>
      <c r="AS104" s="33">
        <f>$I$29*$AS$29</f>
        <v>0</v>
      </c>
      <c r="AT104" s="33">
        <f>$I$29*$AT$29</f>
        <v>0</v>
      </c>
      <c r="AU104" s="33">
        <f>$I$29*$AU$29</f>
        <v>395446.40539034689</v>
      </c>
      <c r="AV104" s="33">
        <f>$I$29*$AV$29</f>
        <v>0</v>
      </c>
      <c r="AW104" s="33">
        <f>$I$29*$AW$29</f>
        <v>0</v>
      </c>
      <c r="AX104" s="33">
        <f>$I$29*$AX$29</f>
        <v>664434.70196845988</v>
      </c>
      <c r="AY104" s="33">
        <f>$I$29*$AY$29</f>
        <v>0</v>
      </c>
      <c r="AZ104" s="33">
        <f>$I$29*$AZ$29</f>
        <v>0</v>
      </c>
      <c r="BA104" s="33">
        <f>$I$29*$BA$29</f>
        <v>0</v>
      </c>
      <c r="BB104" s="33">
        <f>$I$29*$BB$29</f>
        <v>0</v>
      </c>
      <c r="BC104" s="33">
        <f>$I$29*$BC$29</f>
        <v>0</v>
      </c>
      <c r="BD104" s="33">
        <f>$I$29*$BD$29</f>
        <v>0</v>
      </c>
    </row>
    <row r="105" spans="1:56" ht="11.25" customHeight="1" x14ac:dyDescent="0.25">
      <c r="A105" s="9" t="s">
        <v>41</v>
      </c>
      <c r="B105" s="9" t="s">
        <v>1284</v>
      </c>
      <c r="C105" s="9" t="s">
        <v>1285</v>
      </c>
      <c r="D105" s="9" t="s">
        <v>1286</v>
      </c>
      <c r="E105" s="9" t="s">
        <v>1287</v>
      </c>
      <c r="F105" s="9" t="s">
        <v>1288</v>
      </c>
      <c r="G105" s="9" t="s">
        <v>1290</v>
      </c>
      <c r="L105" s="33">
        <f>$I$30*$L$30</f>
        <v>0</v>
      </c>
      <c r="M105" s="33">
        <f>$I$30*$M$30</f>
        <v>0</v>
      </c>
      <c r="N105" s="33">
        <f ca="1">$I$30*$N$30</f>
        <v>0</v>
      </c>
      <c r="O105" s="33">
        <f>$I$30*$O$30</f>
        <v>0</v>
      </c>
      <c r="P105" s="33">
        <f>$I$30*$P$30</f>
        <v>0</v>
      </c>
      <c r="Q105" s="33">
        <f>$I$30*$Q$30</f>
        <v>0</v>
      </c>
      <c r="R105" s="33">
        <f>$I$30*$R$30</f>
        <v>0</v>
      </c>
      <c r="S105" s="33">
        <f>$I$30*$S$30</f>
        <v>0</v>
      </c>
      <c r="T105" s="33">
        <f>$I$30*$T$30</f>
        <v>122375.60003664427</v>
      </c>
      <c r="U105" s="33">
        <f>$I$30*$U$30</f>
        <v>1403.4648496565385</v>
      </c>
      <c r="V105" s="33">
        <f>$I$30*$V$30</f>
        <v>0</v>
      </c>
      <c r="W105" s="33">
        <f>$I$30*$W$30</f>
        <v>0</v>
      </c>
      <c r="X105" s="33">
        <f>$I$30*$X$30</f>
        <v>289239.50351444946</v>
      </c>
      <c r="Y105" s="33">
        <f>$I$30*$Y$30</f>
        <v>0</v>
      </c>
      <c r="Z105" s="33">
        <f>$I$30*$Z$30</f>
        <v>0</v>
      </c>
      <c r="AA105" s="33">
        <f>$I$30*$AA$30</f>
        <v>247700.81430278145</v>
      </c>
      <c r="AB105" s="33">
        <f>$I$30*$AB$30</f>
        <v>0</v>
      </c>
      <c r="AC105" s="33">
        <f ca="1">$I$30*$AC$30</f>
        <v>0</v>
      </c>
      <c r="AD105" s="33">
        <f>$I$30*$AD$30</f>
        <v>0</v>
      </c>
      <c r="AE105" s="33">
        <f>$I$30*$AE$30</f>
        <v>0</v>
      </c>
      <c r="AF105" s="33">
        <f ca="1">$I$30*$AF$30</f>
        <v>0</v>
      </c>
      <c r="AG105" s="33">
        <f ca="1">$I$30*$AG$30</f>
        <v>0</v>
      </c>
      <c r="AI105" s="33">
        <f>$I$30*$AI$30</f>
        <v>0</v>
      </c>
      <c r="AJ105" s="33">
        <f>$I$30*$AJ$30</f>
        <v>0</v>
      </c>
      <c r="AK105" s="33">
        <f>$I$30*$AK$30</f>
        <v>0</v>
      </c>
      <c r="AL105" s="33">
        <f>$I$30*$AL$30</f>
        <v>0</v>
      </c>
      <c r="AM105" s="33">
        <f>$I$30*$AM$30</f>
        <v>0</v>
      </c>
      <c r="AN105" s="33">
        <f>$I$30*$AN$30</f>
        <v>0</v>
      </c>
      <c r="AO105" s="33">
        <f>$I$30*$AO$30</f>
        <v>0</v>
      </c>
      <c r="AP105" s="33">
        <f>$I$30*$AP$30</f>
        <v>0</v>
      </c>
      <c r="AQ105" s="33">
        <f>$I$30*$AQ$30</f>
        <v>93362.108521363072</v>
      </c>
      <c r="AR105" s="33">
        <f>$I$30*$AR$30</f>
        <v>-40.053234045850665</v>
      </c>
      <c r="AS105" s="33">
        <f>$I$30*$AS$30</f>
        <v>0</v>
      </c>
      <c r="AT105" s="33">
        <f>$I$30*$AT$30</f>
        <v>0</v>
      </c>
      <c r="AU105" s="33">
        <f>$I$30*$AU$30</f>
        <v>231877.16627869333</v>
      </c>
      <c r="AV105" s="33">
        <f>$I$30*$AV$30</f>
        <v>0</v>
      </c>
      <c r="AW105" s="33">
        <f>$I$30*$AW$30</f>
        <v>0</v>
      </c>
      <c r="AX105" s="33">
        <f>$I$30*$AX$30</f>
        <v>220495.79542535116</v>
      </c>
      <c r="AY105" s="33">
        <f>$I$30*$AY$30</f>
        <v>0</v>
      </c>
      <c r="AZ105" s="33">
        <f>$I$30*$AZ$30</f>
        <v>0</v>
      </c>
      <c r="BA105" s="33">
        <f>$I$30*$BA$30</f>
        <v>0</v>
      </c>
      <c r="BB105" s="33">
        <f>$I$30*$BB$30</f>
        <v>0</v>
      </c>
      <c r="BC105" s="33">
        <f>$I$30*$BC$30</f>
        <v>0</v>
      </c>
      <c r="BD105" s="33">
        <f>$I$30*$BD$30</f>
        <v>0</v>
      </c>
    </row>
    <row r="106" spans="1:56" ht="11.25" customHeight="1" x14ac:dyDescent="0.25">
      <c r="A106" s="9" t="s">
        <v>41</v>
      </c>
      <c r="B106" s="9" t="s">
        <v>1284</v>
      </c>
      <c r="C106" s="9" t="s">
        <v>1285</v>
      </c>
      <c r="D106" s="9" t="s">
        <v>1286</v>
      </c>
      <c r="E106" s="9" t="s">
        <v>1287</v>
      </c>
      <c r="F106" s="9" t="s">
        <v>1288</v>
      </c>
      <c r="G106" s="9" t="s">
        <v>1291</v>
      </c>
      <c r="L106" s="33">
        <f>$I$31*$L$31</f>
        <v>0</v>
      </c>
      <c r="M106" s="33">
        <f>$I$31*$M$31</f>
        <v>0</v>
      </c>
      <c r="N106" s="33">
        <f ca="1">$I$31*$N$31</f>
        <v>0</v>
      </c>
      <c r="O106" s="33">
        <f>$I$31*$O$31</f>
        <v>0</v>
      </c>
      <c r="P106" s="33">
        <f>$I$31*$P$31</f>
        <v>0</v>
      </c>
      <c r="Q106" s="33">
        <f>$I$31*$Q$31</f>
        <v>0</v>
      </c>
      <c r="R106" s="33">
        <f>$I$31*$R$31</f>
        <v>0</v>
      </c>
      <c r="S106" s="33">
        <f>$I$31*$S$31</f>
        <v>0</v>
      </c>
      <c r="T106" s="33">
        <f>$I$31*$T$31</f>
        <v>0</v>
      </c>
      <c r="U106" s="33">
        <f>$I$31*$U$31</f>
        <v>0</v>
      </c>
      <c r="V106" s="33">
        <f>$I$31*$V$31</f>
        <v>0</v>
      </c>
      <c r="W106" s="33">
        <f>$I$31*$W$31</f>
        <v>0</v>
      </c>
      <c r="X106" s="33">
        <f>$I$31*$X$31</f>
        <v>0</v>
      </c>
      <c r="Y106" s="33">
        <f>$I$31*$Y$31</f>
        <v>0</v>
      </c>
      <c r="Z106" s="33">
        <f>$I$31*$Z$31</f>
        <v>0</v>
      </c>
      <c r="AA106" s="33">
        <f>$I$31*$AA$31</f>
        <v>0</v>
      </c>
      <c r="AB106" s="33">
        <f>$I$31*$AB$31</f>
        <v>0</v>
      </c>
      <c r="AC106" s="33">
        <f ca="1">$I$31*$AC$31</f>
        <v>0</v>
      </c>
      <c r="AD106" s="33">
        <f>$I$31*$AD$31</f>
        <v>213851.31256290688</v>
      </c>
      <c r="AE106" s="33">
        <f>$I$31*$AE$31</f>
        <v>474.83624696036117</v>
      </c>
      <c r="AF106" s="33">
        <f ca="1">$I$31*$AF$31</f>
        <v>0</v>
      </c>
      <c r="AG106" s="33">
        <f ca="1">$I$31*$AG$31</f>
        <v>0</v>
      </c>
      <c r="AI106" s="33">
        <f>$I$31*$AI$31</f>
        <v>0</v>
      </c>
      <c r="AJ106" s="33">
        <f>$I$31*$AJ$31</f>
        <v>0</v>
      </c>
      <c r="AK106" s="33">
        <f>$I$31*$AK$31</f>
        <v>0</v>
      </c>
      <c r="AL106" s="33">
        <f>$I$31*$AL$31</f>
        <v>0</v>
      </c>
      <c r="AM106" s="33">
        <f>$I$31*$AM$31</f>
        <v>0</v>
      </c>
      <c r="AN106" s="33">
        <f>$I$31*$AN$31</f>
        <v>0</v>
      </c>
      <c r="AO106" s="33">
        <f>$I$31*$AO$31</f>
        <v>0</v>
      </c>
      <c r="AP106" s="33">
        <f>$I$31*$AP$31</f>
        <v>0</v>
      </c>
      <c r="AQ106" s="33">
        <f>$I$31*$AQ$31</f>
        <v>0</v>
      </c>
      <c r="AR106" s="33">
        <f>$I$31*$AR$31</f>
        <v>0</v>
      </c>
      <c r="AS106" s="33">
        <f>$I$31*$AS$31</f>
        <v>0</v>
      </c>
      <c r="AT106" s="33">
        <f>$I$31*$AT$31</f>
        <v>0</v>
      </c>
      <c r="AU106" s="33">
        <f>$I$31*$AU$31</f>
        <v>0</v>
      </c>
      <c r="AV106" s="33">
        <f>$I$31*$AV$31</f>
        <v>0</v>
      </c>
      <c r="AW106" s="33">
        <f>$I$31*$AW$31</f>
        <v>0</v>
      </c>
      <c r="AX106" s="33">
        <f>$I$31*$AX$31</f>
        <v>0</v>
      </c>
      <c r="AY106" s="33">
        <f>$I$31*$AY$31</f>
        <v>0</v>
      </c>
      <c r="AZ106" s="33">
        <f>$I$31*$AZ$31</f>
        <v>0</v>
      </c>
      <c r="BA106" s="33">
        <f>$I$31*$BA$31</f>
        <v>197641.91143130985</v>
      </c>
      <c r="BB106" s="33">
        <f>$I$31*$BB$31</f>
        <v>686.77531276788807</v>
      </c>
      <c r="BC106" s="33">
        <f>$I$31*$BC$31</f>
        <v>0</v>
      </c>
      <c r="BD106" s="33">
        <f>$I$31*$BD$31</f>
        <v>0</v>
      </c>
    </row>
    <row r="107" spans="1:56" ht="11.25" customHeight="1" x14ac:dyDescent="0.25">
      <c r="A107" s="9" t="s">
        <v>41</v>
      </c>
      <c r="B107" s="9" t="s">
        <v>1292</v>
      </c>
      <c r="C107" s="9" t="s">
        <v>1293</v>
      </c>
      <c r="D107" s="9" t="s">
        <v>1294</v>
      </c>
      <c r="E107" s="9" t="s">
        <v>1295</v>
      </c>
      <c r="F107" s="9" t="s">
        <v>1296</v>
      </c>
      <c r="G107" s="9" t="s">
        <v>1297</v>
      </c>
      <c r="L107" s="33">
        <f>$I$32*$L$32</f>
        <v>0</v>
      </c>
      <c r="M107" s="33">
        <f>$I$32*$M$32</f>
        <v>24649.590975168521</v>
      </c>
      <c r="N107" s="33">
        <f ca="1">$I$32*$N$32</f>
        <v>85750.719337063798</v>
      </c>
      <c r="O107" s="33">
        <f>$I$32*$O$32</f>
        <v>0</v>
      </c>
      <c r="P107" s="33">
        <f>$I$32*$P$32</f>
        <v>0</v>
      </c>
      <c r="Q107" s="33">
        <f>$I$32*$Q$32</f>
        <v>0</v>
      </c>
      <c r="R107" s="33">
        <f>$I$32*$R$32</f>
        <v>0</v>
      </c>
      <c r="S107" s="33">
        <f>$I$32*$S$32</f>
        <v>0</v>
      </c>
      <c r="T107" s="33">
        <f>$I$32*$T$32</f>
        <v>0</v>
      </c>
      <c r="U107" s="33">
        <f>$I$32*$U$32</f>
        <v>0</v>
      </c>
      <c r="V107" s="33">
        <f>$I$32*$V$32</f>
        <v>0</v>
      </c>
      <c r="W107" s="33">
        <f>$I$32*$W$32</f>
        <v>0</v>
      </c>
      <c r="X107" s="33">
        <f>$I$32*$X$32</f>
        <v>0</v>
      </c>
      <c r="Y107" s="33">
        <f>$I$32*$Y$32</f>
        <v>0</v>
      </c>
      <c r="Z107" s="33">
        <f>$I$32*$Z$32</f>
        <v>0</v>
      </c>
      <c r="AA107" s="33">
        <f>$I$32*$AA$32</f>
        <v>8142787.0284874542</v>
      </c>
      <c r="AB107" s="33">
        <f ca="1">$I$32*$AB$32</f>
        <v>0</v>
      </c>
      <c r="AC107" s="33">
        <f ca="1">$I$32*$AC$32</f>
        <v>0</v>
      </c>
      <c r="AD107" s="33">
        <f>$I$32*$AD$32</f>
        <v>2179.8313356747522</v>
      </c>
      <c r="AE107" s="33">
        <f>$I$32*$AE$32</f>
        <v>0</v>
      </c>
      <c r="AF107" s="33">
        <f ca="1">$I$32*$AF$32</f>
        <v>0</v>
      </c>
      <c r="AG107" s="33">
        <f ca="1">$I$32*$AG$32</f>
        <v>0</v>
      </c>
      <c r="AI107" s="33">
        <f>$I$32*$AI$32</f>
        <v>0</v>
      </c>
      <c r="AJ107" s="33">
        <f>$I$32*$AJ$32</f>
        <v>21845.027224557918</v>
      </c>
      <c r="AK107" s="33">
        <f>$I$32*$AK$32</f>
        <v>71479.846724092815</v>
      </c>
      <c r="AL107" s="33">
        <f>$I$32*$AL$32</f>
        <v>0</v>
      </c>
      <c r="AM107" s="33">
        <f>$I$32*$AM$32</f>
        <v>0</v>
      </c>
      <c r="AN107" s="33">
        <f>$I$32*$AN$32</f>
        <v>0</v>
      </c>
      <c r="AO107" s="33">
        <f>$I$32*$AO$32</f>
        <v>0</v>
      </c>
      <c r="AP107" s="33">
        <f>$I$32*$AP$32</f>
        <v>0</v>
      </c>
      <c r="AQ107" s="33">
        <f>$I$32*$AQ$32</f>
        <v>0</v>
      </c>
      <c r="AR107" s="33">
        <f>$I$32*$AR$32</f>
        <v>0</v>
      </c>
      <c r="AS107" s="33">
        <f>$I$32*$AS$32</f>
        <v>0</v>
      </c>
      <c r="AT107" s="33">
        <f>$I$32*$AT$32</f>
        <v>0</v>
      </c>
      <c r="AU107" s="33">
        <f>$I$32*$AU$32</f>
        <v>0</v>
      </c>
      <c r="AV107" s="33">
        <f>$I$32*$AV$32</f>
        <v>0</v>
      </c>
      <c r="AW107" s="33">
        <f>$I$32*$AW$32</f>
        <v>0</v>
      </c>
      <c r="AX107" s="33">
        <f>$I$32*$AX$32</f>
        <v>7248463.4654081995</v>
      </c>
      <c r="AY107" s="33">
        <f>$I$32*$AY$32</f>
        <v>-1257.0468969375274</v>
      </c>
      <c r="AZ107" s="33">
        <f>$I$32*$AZ$32</f>
        <v>0</v>
      </c>
      <c r="BA107" s="33">
        <f>$I$32*$BA$32</f>
        <v>2014.6055061218781</v>
      </c>
      <c r="BB107" s="33">
        <f>$I$32*$BB$32</f>
        <v>0</v>
      </c>
      <c r="BC107" s="33">
        <f>$I$32*$BC$32</f>
        <v>0</v>
      </c>
      <c r="BD107" s="33">
        <f>$I$32*$BD$32</f>
        <v>0</v>
      </c>
    </row>
    <row r="108" spans="1:56" ht="11.25" customHeight="1" x14ac:dyDescent="0.25">
      <c r="A108" s="9" t="s">
        <v>41</v>
      </c>
      <c r="B108" s="9" t="s">
        <v>1298</v>
      </c>
      <c r="C108" s="9" t="s">
        <v>1299</v>
      </c>
      <c r="D108" s="9" t="s">
        <v>1300</v>
      </c>
      <c r="E108" s="9" t="s">
        <v>1301</v>
      </c>
      <c r="F108" s="9" t="s">
        <v>1302</v>
      </c>
      <c r="G108" s="9" t="s">
        <v>1303</v>
      </c>
      <c r="L108" s="33">
        <f>$I$33*$L$33</f>
        <v>0</v>
      </c>
      <c r="M108" s="33">
        <f>$I$33*$M$33</f>
        <v>0</v>
      </c>
      <c r="N108" s="33">
        <f ca="1">$I$33*$N$33</f>
        <v>0</v>
      </c>
      <c r="O108" s="33">
        <f>$I$33*$O$33</f>
        <v>0</v>
      </c>
      <c r="P108" s="33">
        <f>$I$33*$P$33</f>
        <v>0</v>
      </c>
      <c r="Q108" s="33">
        <f>$I$33*$Q$33</f>
        <v>0</v>
      </c>
      <c r="R108" s="33">
        <f>$I$33*$R$33</f>
        <v>0</v>
      </c>
      <c r="S108" s="33">
        <f>$I$33*$S$33</f>
        <v>0</v>
      </c>
      <c r="T108" s="33">
        <f>$I$33*$T$33</f>
        <v>3765505.9542418327</v>
      </c>
      <c r="U108" s="33">
        <f>$I$33*$U$33</f>
        <v>43184.713671420956</v>
      </c>
      <c r="V108" s="33">
        <f>$I$33*$V$33</f>
        <v>0</v>
      </c>
      <c r="W108" s="33">
        <f>$I$33*$W$33</f>
        <v>0</v>
      </c>
      <c r="X108" s="33">
        <f>$I$33*$X$33</f>
        <v>8899920.1831041463</v>
      </c>
      <c r="Y108" s="33">
        <f>$I$33*$Y$33</f>
        <v>0</v>
      </c>
      <c r="Z108" s="33">
        <f>$I$33*$Z$33</f>
        <v>0</v>
      </c>
      <c r="AA108" s="33">
        <f>$I$33*$AA$33</f>
        <v>25807432.372351818</v>
      </c>
      <c r="AB108" s="33">
        <f ca="1">$I$33*$AB$33</f>
        <v>0</v>
      </c>
      <c r="AC108" s="33">
        <f ca="1">$I$33*$AC$33</f>
        <v>0</v>
      </c>
      <c r="AD108" s="33">
        <f>$I$33*$AD$33</f>
        <v>0</v>
      </c>
      <c r="AE108" s="33">
        <f>$I$33*$AE$33</f>
        <v>0</v>
      </c>
      <c r="AF108" s="33">
        <f ca="1">$I$33*$AF$33</f>
        <v>0</v>
      </c>
      <c r="AG108" s="33">
        <f ca="1">$I$33*$AG$33</f>
        <v>0</v>
      </c>
      <c r="AI108" s="33">
        <f>$I$33*$AI$33</f>
        <v>0</v>
      </c>
      <c r="AJ108" s="33">
        <f>$I$33*$AJ$33</f>
        <v>0</v>
      </c>
      <c r="AK108" s="33">
        <f>$I$33*$AK$33</f>
        <v>0</v>
      </c>
      <c r="AL108" s="33">
        <f>$I$33*$AL$33</f>
        <v>0</v>
      </c>
      <c r="AM108" s="33">
        <f>$I$33*$AM$33</f>
        <v>0</v>
      </c>
      <c r="AN108" s="33">
        <f>$I$33*$AN$33</f>
        <v>0</v>
      </c>
      <c r="AO108" s="33">
        <f>$I$33*$AO$33</f>
        <v>0</v>
      </c>
      <c r="AP108" s="33">
        <f>$I$33*$AP$33</f>
        <v>0</v>
      </c>
      <c r="AQ108" s="33">
        <f>$I$33*$AQ$33</f>
        <v>2872758.7479243791</v>
      </c>
      <c r="AR108" s="33">
        <f>$I$33*$AR$33</f>
        <v>-1232.4408725361138</v>
      </c>
      <c r="AS108" s="33">
        <f>$I$33*$AS$33</f>
        <v>0</v>
      </c>
      <c r="AT108" s="33">
        <f>$I$33*$AT$33</f>
        <v>0</v>
      </c>
      <c r="AU108" s="33">
        <f>$I$33*$AU$33</f>
        <v>7134876.969050128</v>
      </c>
      <c r="AV108" s="33">
        <f>$I$33*$AV$33</f>
        <v>0</v>
      </c>
      <c r="AW108" s="33">
        <f>$I$33*$AW$33</f>
        <v>0</v>
      </c>
      <c r="AX108" s="33">
        <f>$I$33*$AX$33</f>
        <v>22972998.069646511</v>
      </c>
      <c r="AY108" s="33">
        <f>$I$33*$AY$33</f>
        <v>-5798.601256017002</v>
      </c>
      <c r="AZ108" s="33">
        <f>$I$33*$AZ$33</f>
        <v>0</v>
      </c>
      <c r="BA108" s="33">
        <f>$I$33*$BA$33</f>
        <v>0</v>
      </c>
      <c r="BB108" s="33">
        <f>$I$33*$BB$33</f>
        <v>0</v>
      </c>
      <c r="BC108" s="33">
        <f>$I$33*$BC$33</f>
        <v>0</v>
      </c>
      <c r="BD108" s="33">
        <f>$I$33*$BD$33</f>
        <v>0</v>
      </c>
    </row>
    <row r="109" spans="1:56" ht="11.25" customHeight="1" x14ac:dyDescent="0.25">
      <c r="A109" s="9" t="s">
        <v>41</v>
      </c>
      <c r="B109" s="9" t="s">
        <v>1298</v>
      </c>
      <c r="C109" s="9" t="s">
        <v>1299</v>
      </c>
      <c r="D109" s="9" t="s">
        <v>1300</v>
      </c>
      <c r="E109" s="9" t="s">
        <v>1301</v>
      </c>
      <c r="F109" s="9" t="s">
        <v>1302</v>
      </c>
      <c r="G109" s="9" t="s">
        <v>1304</v>
      </c>
      <c r="L109" s="33">
        <f>$I$34*$L$34</f>
        <v>27495.918997544166</v>
      </c>
      <c r="M109" s="33">
        <f>$I$34*$M$34</f>
        <v>10898.227043641942</v>
      </c>
      <c r="N109" s="33">
        <f ca="1">$I$34*$N$34</f>
        <v>272972.84449776029</v>
      </c>
      <c r="O109" s="33">
        <f>$I$34*$O$34</f>
        <v>-70.63967944974452</v>
      </c>
      <c r="P109" s="33">
        <f>$I$34*$P$34</f>
        <v>0</v>
      </c>
      <c r="Q109" s="33">
        <f>$I$34*$Q$34</f>
        <v>1260862.3332555136</v>
      </c>
      <c r="R109" s="33">
        <f>$I$34*$R$34</f>
        <v>253997.41444908292</v>
      </c>
      <c r="S109" s="33">
        <f>$I$34*$S$34</f>
        <v>0</v>
      </c>
      <c r="T109" s="33">
        <f>$I$34*$T$34</f>
        <v>1164241.0731626661</v>
      </c>
      <c r="U109" s="33">
        <f>$I$34*$U$34</f>
        <v>13136.671086691076</v>
      </c>
      <c r="V109" s="33">
        <f>$I$34*$V$34</f>
        <v>0</v>
      </c>
      <c r="W109" s="33">
        <f>$I$34*$W$34</f>
        <v>0</v>
      </c>
      <c r="X109" s="33">
        <f>$I$34*$X$34</f>
        <v>3964526.8892782554</v>
      </c>
      <c r="Y109" s="33">
        <f>$I$34*$Y$34</f>
        <v>0</v>
      </c>
      <c r="Z109" s="33">
        <f>$I$34*$Z$34</f>
        <v>0</v>
      </c>
      <c r="AA109" s="33">
        <f>$I$34*$AA$34</f>
        <v>20312896.097312789</v>
      </c>
      <c r="AB109" s="33">
        <f ca="1">$I$34*$AB$34</f>
        <v>0</v>
      </c>
      <c r="AC109" s="33">
        <f ca="1">$I$34*$AC$34</f>
        <v>0</v>
      </c>
      <c r="AD109" s="33">
        <f>$I$34*$AD$34</f>
        <v>291749.35254252685</v>
      </c>
      <c r="AE109" s="33">
        <f>$I$34*$AE$34</f>
        <v>647.8013436258783</v>
      </c>
      <c r="AF109" s="33">
        <f ca="1">$I$34*$AF$34</f>
        <v>10228.383034155775</v>
      </c>
      <c r="AG109" s="33">
        <f ca="1">$I$34*$AG$34</f>
        <v>65887.112258989611</v>
      </c>
      <c r="AI109" s="33">
        <f>$I$34*$AI$34</f>
        <v>123862.53915644281</v>
      </c>
      <c r="AJ109" s="33">
        <f>$I$34*$AJ$34</f>
        <v>8153.8667917577595</v>
      </c>
      <c r="AK109" s="33">
        <f>$I$34*$AK$34</f>
        <v>227511.12804377716</v>
      </c>
      <c r="AL109" s="33">
        <f>$I$34*$AL$34</f>
        <v>-62.779502363992201</v>
      </c>
      <c r="AM109" s="33">
        <f>$I$34*$AM$34</f>
        <v>0</v>
      </c>
      <c r="AN109" s="33">
        <f>$I$34*$AN$34</f>
        <v>647861.96152099839</v>
      </c>
      <c r="AO109" s="33">
        <f>$I$34*$AO$34</f>
        <v>139208.01240823962</v>
      </c>
      <c r="AP109" s="33">
        <f>$I$34*$AP$34</f>
        <v>0</v>
      </c>
      <c r="AQ109" s="33">
        <f>$I$34*$AQ$34</f>
        <v>888216.28972681751</v>
      </c>
      <c r="AR109" s="33">
        <f>$I$34*$AR$34</f>
        <v>-374.90512266649336</v>
      </c>
      <c r="AS109" s="33">
        <f>$I$34*$AS$34</f>
        <v>0</v>
      </c>
      <c r="AT109" s="33">
        <f>$I$34*$AT$34</f>
        <v>0</v>
      </c>
      <c r="AU109" s="33">
        <f>$I$34*$AU$34</f>
        <v>3178276.9972691499</v>
      </c>
      <c r="AV109" s="33">
        <f>$I$34*$AV$34</f>
        <v>0</v>
      </c>
      <c r="AW109" s="33">
        <f>$I$34*$AW$34</f>
        <v>0</v>
      </c>
      <c r="AX109" s="33">
        <f>$I$34*$AX$34</f>
        <v>18081927.566433575</v>
      </c>
      <c r="AY109" s="33">
        <f>$I$34*$AY$34</f>
        <v>-4112.791732875874</v>
      </c>
      <c r="AZ109" s="33">
        <f>$I$34*$AZ$34</f>
        <v>0</v>
      </c>
      <c r="BA109" s="33">
        <f>$I$34*$BA$34</f>
        <v>269635.47244251851</v>
      </c>
      <c r="BB109" s="33">
        <f>$I$34*$BB$34</f>
        <v>936.94188939468211</v>
      </c>
      <c r="BC109" s="33">
        <f>$I$34*$BC$34</f>
        <v>9478.142013637027</v>
      </c>
      <c r="BD109" s="33">
        <f>$I$34*$BD$34</f>
        <v>39436.446087898257</v>
      </c>
    </row>
    <row r="110" spans="1:56" ht="11.25" customHeight="1" x14ac:dyDescent="0.25">
      <c r="A110" s="9" t="s">
        <v>41</v>
      </c>
      <c r="B110" s="9" t="s">
        <v>1298</v>
      </c>
      <c r="C110" s="9" t="s">
        <v>1299</v>
      </c>
      <c r="D110" s="9" t="s">
        <v>1300</v>
      </c>
      <c r="E110" s="9" t="s">
        <v>1301</v>
      </c>
      <c r="F110" s="9" t="s">
        <v>1302</v>
      </c>
      <c r="G110" s="9" t="s">
        <v>1305</v>
      </c>
      <c r="L110" s="33">
        <f>$I$35*$L$35</f>
        <v>473202.18961469288</v>
      </c>
      <c r="M110" s="33">
        <f>$I$35*$M$35</f>
        <v>187557.46627090508</v>
      </c>
      <c r="N110" s="33">
        <f ca="1">$I$35*$N$35</f>
        <v>126164.6792389106</v>
      </c>
      <c r="O110" s="33">
        <f>$I$35*$O$35</f>
        <v>-1215.702264480947</v>
      </c>
      <c r="P110" s="33">
        <f>$I$35*$P$35</f>
        <v>0</v>
      </c>
      <c r="Q110" s="33">
        <f>$I$35*$Q$35</f>
        <v>21699322.614111919</v>
      </c>
      <c r="R110" s="33">
        <f>$I$35*$R$35</f>
        <v>4371271.703430309</v>
      </c>
      <c r="S110" s="33">
        <f>$I$35*$S$35</f>
        <v>0</v>
      </c>
      <c r="T110" s="33">
        <f>$I$35*$T$35</f>
        <v>0</v>
      </c>
      <c r="U110" s="33">
        <f>$I$35*$U$35</f>
        <v>0</v>
      </c>
      <c r="V110" s="33">
        <f>$I$35*$V$35</f>
        <v>0</v>
      </c>
      <c r="W110" s="33">
        <f>$I$35*$W$35</f>
        <v>0</v>
      </c>
      <c r="X110" s="33">
        <f>$I$35*$X$35</f>
        <v>0</v>
      </c>
      <c r="Y110" s="33">
        <f>$I$35*$Y$35</f>
        <v>0</v>
      </c>
      <c r="Z110" s="33">
        <f>$I$35*$Z$35</f>
        <v>0</v>
      </c>
      <c r="AA110" s="33">
        <f>$I$35*$AA$35</f>
        <v>0</v>
      </c>
      <c r="AB110" s="33">
        <f ca="1">$I$35*$AB$35</f>
        <v>0</v>
      </c>
      <c r="AC110" s="33">
        <f ca="1">$I$35*$AC$35</f>
        <v>0</v>
      </c>
      <c r="AD110" s="33">
        <f>$I$35*$AD$35</f>
        <v>5020979.0207093405</v>
      </c>
      <c r="AE110" s="33">
        <f>$I$35*$AE$35</f>
        <v>11148.600425629884</v>
      </c>
      <c r="AF110" s="33">
        <f ca="1">$I$35*$AF$35</f>
        <v>176029.51363118974</v>
      </c>
      <c r="AG110" s="33">
        <f ca="1">$I$35*$AG$35</f>
        <v>1133911.0284376258</v>
      </c>
      <c r="AI110" s="33">
        <f>$I$35*$AI$35</f>
        <v>2131662.693118182</v>
      </c>
      <c r="AJ110" s="33">
        <f>$I$35*$AJ$35</f>
        <v>140327.28347908371</v>
      </c>
      <c r="AK110" s="33">
        <f>$I$35*$AK$35</f>
        <v>104603.20247281188</v>
      </c>
      <c r="AL110" s="33">
        <f>$I$35*$AL$35</f>
        <v>-1080.4293533238606</v>
      </c>
      <c r="AM110" s="33">
        <f>$I$35*$AM$35</f>
        <v>0</v>
      </c>
      <c r="AN110" s="33">
        <f>$I$35*$AN$35</f>
        <v>11149643.65392508</v>
      </c>
      <c r="AO110" s="33">
        <f>$I$35*$AO$35</f>
        <v>2395756.8499300536</v>
      </c>
      <c r="AP110" s="33">
        <f>$I$35*$AP$35</f>
        <v>0</v>
      </c>
      <c r="AQ110" s="33">
        <f>$I$35*$AQ$35</f>
        <v>0</v>
      </c>
      <c r="AR110" s="33">
        <f>$I$35*$AR$35</f>
        <v>0</v>
      </c>
      <c r="AS110" s="33">
        <f>$I$35*$AS$35</f>
        <v>0</v>
      </c>
      <c r="AT110" s="33">
        <f>$I$35*$AT$35</f>
        <v>0</v>
      </c>
      <c r="AU110" s="33">
        <f>$I$35*$AU$35</f>
        <v>0</v>
      </c>
      <c r="AV110" s="33">
        <f>$I$35*$AV$35</f>
        <v>0</v>
      </c>
      <c r="AW110" s="33">
        <f>$I$35*$AW$35</f>
        <v>0</v>
      </c>
      <c r="AX110" s="33">
        <f>$I$35*$AX$35</f>
        <v>0</v>
      </c>
      <c r="AY110" s="33">
        <f>$I$35*$AY$35</f>
        <v>-3887.7490583597955</v>
      </c>
      <c r="AZ110" s="33">
        <f>$I$35*$AZ$35</f>
        <v>0</v>
      </c>
      <c r="BA110" s="33">
        <f>$I$35*$BA$35</f>
        <v>4640401.2162309615</v>
      </c>
      <c r="BB110" s="33">
        <f>$I$35*$BB$35</f>
        <v>16124.682126205367</v>
      </c>
      <c r="BC110" s="33">
        <f>$I$35*$BC$35</f>
        <v>163117.93596470248</v>
      </c>
      <c r="BD110" s="33">
        <f>$I$35*$BD$35</f>
        <v>678697.54202731</v>
      </c>
    </row>
    <row r="111" spans="1:56" ht="11.25" customHeight="1" x14ac:dyDescent="0.25">
      <c r="A111" s="9" t="s">
        <v>41</v>
      </c>
      <c r="B111" s="9" t="s">
        <v>1298</v>
      </c>
      <c r="C111" s="9" t="s">
        <v>1299</v>
      </c>
      <c r="D111" s="9" t="s">
        <v>1300</v>
      </c>
      <c r="E111" s="9" t="s">
        <v>1306</v>
      </c>
      <c r="F111" s="9" t="s">
        <v>1307</v>
      </c>
      <c r="G111" s="9" t="s">
        <v>1308</v>
      </c>
      <c r="L111" s="33">
        <f>$I$36*$L$36</f>
        <v>0</v>
      </c>
      <c r="M111" s="33">
        <f>$I$36*$M$36</f>
        <v>0</v>
      </c>
      <c r="N111" s="33">
        <f ca="1">$I$36*$N$36</f>
        <v>0</v>
      </c>
      <c r="O111" s="33">
        <f>$I$36*$O$36</f>
        <v>0</v>
      </c>
      <c r="P111" s="33">
        <f>$I$36*$P$36</f>
        <v>0</v>
      </c>
      <c r="Q111" s="33">
        <f>$I$36*$Q$36</f>
        <v>0</v>
      </c>
      <c r="R111" s="33">
        <f>$I$36*$R$36</f>
        <v>0</v>
      </c>
      <c r="S111" s="33">
        <f>$I$36*$S$36</f>
        <v>0</v>
      </c>
      <c r="T111" s="33">
        <f>$I$36*$T$36</f>
        <v>0</v>
      </c>
      <c r="U111" s="33">
        <f>$I$36*$U$36</f>
        <v>0</v>
      </c>
      <c r="V111" s="33">
        <f>$I$36*$V$36</f>
        <v>0</v>
      </c>
      <c r="W111" s="33">
        <f>$I$36*$W$36</f>
        <v>0</v>
      </c>
      <c r="X111" s="33">
        <f>$I$36*$X$36</f>
        <v>0</v>
      </c>
      <c r="Y111" s="33">
        <f>$I$36*$Y$36</f>
        <v>0</v>
      </c>
      <c r="Z111" s="33">
        <f>$I$36*$Z$36</f>
        <v>0</v>
      </c>
      <c r="AA111" s="33">
        <f>$I$36*$AA$36</f>
        <v>0</v>
      </c>
      <c r="AB111" s="33">
        <f ca="1">$I$36*$AB$36</f>
        <v>0</v>
      </c>
      <c r="AC111" s="33">
        <f ca="1">$I$36*$AC$36</f>
        <v>0</v>
      </c>
      <c r="AD111" s="33">
        <f>$I$36*$AD$36</f>
        <v>0</v>
      </c>
      <c r="AE111" s="33">
        <f>$I$36*$AE$36</f>
        <v>0</v>
      </c>
      <c r="AF111" s="33">
        <f ca="1">$I$36*$AF$36</f>
        <v>0</v>
      </c>
      <c r="AG111" s="33">
        <f ca="1">$I$36*$AG$36</f>
        <v>0</v>
      </c>
      <c r="AI111" s="33">
        <f>$I$36*$AI$36</f>
        <v>0</v>
      </c>
      <c r="AJ111" s="33">
        <f>$I$36*$AJ$36</f>
        <v>0</v>
      </c>
      <c r="AK111" s="33">
        <f>$I$36*$AK$36</f>
        <v>0</v>
      </c>
      <c r="AL111" s="33">
        <f>$I$36*$AL$36</f>
        <v>0</v>
      </c>
      <c r="AM111" s="33">
        <f>$I$36*$AM$36</f>
        <v>0</v>
      </c>
      <c r="AN111" s="33">
        <f>$I$36*$AN$36</f>
        <v>0</v>
      </c>
      <c r="AO111" s="33">
        <f>$I$36*$AO$36</f>
        <v>0</v>
      </c>
      <c r="AP111" s="33">
        <f>$I$36*$AP$36</f>
        <v>0</v>
      </c>
      <c r="AQ111" s="33">
        <f>$I$36*$AQ$36</f>
        <v>0</v>
      </c>
      <c r="AR111" s="33">
        <f>$I$36*$AR$36</f>
        <v>0</v>
      </c>
      <c r="AS111" s="33">
        <f>$I$36*$AS$36</f>
        <v>0</v>
      </c>
      <c r="AT111" s="33">
        <f>$I$36*$AT$36</f>
        <v>0</v>
      </c>
      <c r="AU111" s="33">
        <f>$I$36*$AU$36</f>
        <v>0</v>
      </c>
      <c r="AV111" s="33">
        <f>$I$36*$AV$36</f>
        <v>0</v>
      </c>
      <c r="AW111" s="33">
        <f>$I$36*$AW$36</f>
        <v>0</v>
      </c>
      <c r="AX111" s="33">
        <f>$I$36*$AX$36</f>
        <v>0</v>
      </c>
      <c r="AY111" s="33">
        <f>$I$36*$AY$36</f>
        <v>0</v>
      </c>
      <c r="AZ111" s="33">
        <f>$I$36*$AZ$36</f>
        <v>0</v>
      </c>
      <c r="BA111" s="33">
        <f>$I$36*$BA$36</f>
        <v>0</v>
      </c>
      <c r="BB111" s="33">
        <f>$I$36*$BB$36</f>
        <v>0</v>
      </c>
      <c r="BC111" s="33">
        <f>$I$36*$BC$36</f>
        <v>0</v>
      </c>
      <c r="BD111" s="33">
        <f>$I$36*$BD$36</f>
        <v>0</v>
      </c>
    </row>
    <row r="112" spans="1:56" ht="11.25" customHeight="1" x14ac:dyDescent="0.25">
      <c r="A112" s="9" t="s">
        <v>41</v>
      </c>
      <c r="B112" s="9" t="s">
        <v>1298</v>
      </c>
      <c r="C112" s="9" t="s">
        <v>1299</v>
      </c>
      <c r="D112" s="9" t="s">
        <v>1300</v>
      </c>
      <c r="E112" s="9" t="s">
        <v>1306</v>
      </c>
      <c r="F112" s="9" t="s">
        <v>1307</v>
      </c>
      <c r="G112" s="9" t="s">
        <v>1309</v>
      </c>
      <c r="L112" s="33">
        <f>$I$37*$L$37</f>
        <v>0</v>
      </c>
      <c r="M112" s="33">
        <f>$I$37*$M$37</f>
        <v>0</v>
      </c>
      <c r="N112" s="33">
        <f ca="1">$I$37*$N$37</f>
        <v>0</v>
      </c>
      <c r="O112" s="33">
        <f>$I$37*$O$37</f>
        <v>0</v>
      </c>
      <c r="P112" s="33">
        <f>$I$37*$P$37</f>
        <v>0</v>
      </c>
      <c r="Q112" s="33">
        <f>$I$37*$Q$37</f>
        <v>0</v>
      </c>
      <c r="R112" s="33">
        <f>$I$37*$R$37</f>
        <v>0</v>
      </c>
      <c r="S112" s="33">
        <f>$I$37*$S$37</f>
        <v>0</v>
      </c>
      <c r="T112" s="33">
        <f>$I$37*$T$37</f>
        <v>0</v>
      </c>
      <c r="U112" s="33">
        <f>$I$37*$U$37</f>
        <v>0</v>
      </c>
      <c r="V112" s="33">
        <f>$I$37*$V$37</f>
        <v>0</v>
      </c>
      <c r="W112" s="33">
        <f>$I$37*$W$37</f>
        <v>0</v>
      </c>
      <c r="X112" s="33">
        <f>$I$37*$X$37</f>
        <v>0</v>
      </c>
      <c r="Y112" s="33">
        <f>$I$37*$Y$37</f>
        <v>0</v>
      </c>
      <c r="Z112" s="33">
        <f>$I$37*$Z$37</f>
        <v>0</v>
      </c>
      <c r="AA112" s="33">
        <f>$I$37*$AA$37</f>
        <v>0</v>
      </c>
      <c r="AB112" s="33">
        <f ca="1">$I$37*$AB$37</f>
        <v>0</v>
      </c>
      <c r="AC112" s="33">
        <f ca="1">$I$37*$AC$37</f>
        <v>0</v>
      </c>
      <c r="AD112" s="33">
        <f>$I$37*$AD$37</f>
        <v>0</v>
      </c>
      <c r="AE112" s="33">
        <f>$I$37*$AE$37</f>
        <v>0</v>
      </c>
      <c r="AF112" s="33">
        <f ca="1">$I$37*$AF$37</f>
        <v>0</v>
      </c>
      <c r="AG112" s="33">
        <f ca="1">$I$37*$AG$37</f>
        <v>0</v>
      </c>
      <c r="AI112" s="33">
        <f>$I$37*$AI$37</f>
        <v>0</v>
      </c>
      <c r="AJ112" s="33">
        <f>$I$37*$AJ$37</f>
        <v>0</v>
      </c>
      <c r="AK112" s="33">
        <f>$I$37*$AK$37</f>
        <v>0</v>
      </c>
      <c r="AL112" s="33">
        <f>$I$37*$AL$37</f>
        <v>0</v>
      </c>
      <c r="AM112" s="33">
        <f>$I$37*$AM$37</f>
        <v>0</v>
      </c>
      <c r="AN112" s="33">
        <f>$I$37*$AN$37</f>
        <v>0</v>
      </c>
      <c r="AO112" s="33">
        <f>$I$37*$AO$37</f>
        <v>0</v>
      </c>
      <c r="AP112" s="33">
        <f>$I$37*$AP$37</f>
        <v>0</v>
      </c>
      <c r="AQ112" s="33">
        <f>$I$37*$AQ$37</f>
        <v>0</v>
      </c>
      <c r="AR112" s="33">
        <f>$I$37*$AR$37</f>
        <v>0</v>
      </c>
      <c r="AS112" s="33">
        <f>$I$37*$AS$37</f>
        <v>0</v>
      </c>
      <c r="AT112" s="33">
        <f>$I$37*$AT$37</f>
        <v>0</v>
      </c>
      <c r="AU112" s="33">
        <f>$I$37*$AU$37</f>
        <v>0</v>
      </c>
      <c r="AV112" s="33">
        <f>$I$37*$AV$37</f>
        <v>0</v>
      </c>
      <c r="AW112" s="33">
        <f>$I$37*$AW$37</f>
        <v>0</v>
      </c>
      <c r="AX112" s="33">
        <f>$I$37*$AX$37</f>
        <v>0</v>
      </c>
      <c r="AY112" s="33">
        <f>$I$37*$AY$37</f>
        <v>0</v>
      </c>
      <c r="AZ112" s="33">
        <f>$I$37*$AZ$37</f>
        <v>0</v>
      </c>
      <c r="BA112" s="33">
        <f>$I$37*$BA$37</f>
        <v>0</v>
      </c>
      <c r="BB112" s="33">
        <f>$I$37*$BB$37</f>
        <v>0</v>
      </c>
      <c r="BC112" s="33">
        <f>$I$37*$BC$37</f>
        <v>0</v>
      </c>
      <c r="BD112" s="33">
        <f>$I$37*$BD$37</f>
        <v>0</v>
      </c>
    </row>
    <row r="113" spans="1:56" ht="11.25" customHeight="1" x14ac:dyDescent="0.25">
      <c r="A113" s="9" t="s">
        <v>125</v>
      </c>
      <c r="B113" s="9" t="s">
        <v>1310</v>
      </c>
      <c r="C113" s="9" t="s">
        <v>1311</v>
      </c>
      <c r="D113" s="9" t="s">
        <v>1312</v>
      </c>
      <c r="E113" s="9" t="s">
        <v>1313</v>
      </c>
      <c r="F113" s="9" t="s">
        <v>1314</v>
      </c>
      <c r="G113" s="9" t="s">
        <v>1315</v>
      </c>
      <c r="L113" s="33">
        <f>$I$38*$L$38</f>
        <v>0</v>
      </c>
      <c r="M113" s="33">
        <f>$I$38*$M$38</f>
        <v>3.5350968965106617E-11</v>
      </c>
      <c r="N113" s="33">
        <f ca="1">$I$38*$N$38</f>
        <v>1.2241480013811634E-10</v>
      </c>
      <c r="O113" s="33">
        <f>$I$38*$O$38</f>
        <v>0</v>
      </c>
      <c r="P113" s="33">
        <f>$I$38*$P$38</f>
        <v>0</v>
      </c>
      <c r="Q113" s="33">
        <f>$I$38*$Q$38</f>
        <v>0</v>
      </c>
      <c r="R113" s="33">
        <f>$I$38*$R$38</f>
        <v>0</v>
      </c>
      <c r="S113" s="33">
        <f>$I$38*$S$38</f>
        <v>0</v>
      </c>
      <c r="T113" s="33">
        <f>$I$38*$T$38</f>
        <v>0</v>
      </c>
      <c r="U113" s="33">
        <f>$I$38*$U$38</f>
        <v>0</v>
      </c>
      <c r="V113" s="33">
        <f>$I$38*$V$38</f>
        <v>0</v>
      </c>
      <c r="W113" s="33">
        <f>$I$38*$W$38</f>
        <v>0</v>
      </c>
      <c r="X113" s="33">
        <f>$I$38*$X$38</f>
        <v>0</v>
      </c>
      <c r="Y113" s="33">
        <f>$I$38*$Y$38</f>
        <v>0</v>
      </c>
      <c r="Z113" s="33">
        <f>$I$38*$Z$38</f>
        <v>0</v>
      </c>
      <c r="AA113" s="33">
        <f>$I$38*$AA$38</f>
        <v>1.1580239114033035E-8</v>
      </c>
      <c r="AB113" s="33">
        <f ca="1">$I$38*$AB$38</f>
        <v>0</v>
      </c>
      <c r="AC113" s="33">
        <f ca="1">$I$38*$AC$38</f>
        <v>0</v>
      </c>
      <c r="AD113" s="33">
        <f>$I$38*$AD$38</f>
        <v>0</v>
      </c>
      <c r="AE113" s="33">
        <f>$I$38*$AE$38</f>
        <v>0</v>
      </c>
      <c r="AF113" s="33">
        <f ca="1">$I$38*$AF$38</f>
        <v>0</v>
      </c>
      <c r="AG113" s="33">
        <f ca="1">$I$38*$AG$38</f>
        <v>0</v>
      </c>
      <c r="AI113" s="33">
        <f>$I$38*$AI$38</f>
        <v>0</v>
      </c>
      <c r="AJ113" s="33">
        <f>$I$38*$AJ$38</f>
        <v>3.1328831388528802E-11</v>
      </c>
      <c r="AK113" s="33">
        <f>$I$38*$AK$38</f>
        <v>1.0204218947992999E-10</v>
      </c>
      <c r="AL113" s="33">
        <f>$I$38*$AL$38</f>
        <v>0</v>
      </c>
      <c r="AM113" s="33">
        <f>$I$38*$AM$38</f>
        <v>0</v>
      </c>
      <c r="AN113" s="33">
        <f>$I$38*$AN$38</f>
        <v>0</v>
      </c>
      <c r="AO113" s="33">
        <f>$I$38*$AO$38</f>
        <v>0</v>
      </c>
      <c r="AP113" s="33">
        <f>$I$38*$AP$38</f>
        <v>0</v>
      </c>
      <c r="AQ113" s="33">
        <f>$I$38*$AQ$38</f>
        <v>0</v>
      </c>
      <c r="AR113" s="33">
        <f>$I$38*$AR$38</f>
        <v>0</v>
      </c>
      <c r="AS113" s="33">
        <f>$I$38*$AS$38</f>
        <v>0</v>
      </c>
      <c r="AT113" s="33">
        <f>$I$38*$AT$38</f>
        <v>0</v>
      </c>
      <c r="AU113" s="33">
        <f>$I$38*$AU$38</f>
        <v>0</v>
      </c>
      <c r="AV113" s="33">
        <f>$I$38*$AV$38</f>
        <v>0</v>
      </c>
      <c r="AW113" s="33">
        <f>$I$38*$AW$38</f>
        <v>0</v>
      </c>
      <c r="AX113" s="33">
        <f>$I$38*$AX$38</f>
        <v>1.0308379654914199E-8</v>
      </c>
      <c r="AY113" s="33">
        <f>$I$38*$AY$38</f>
        <v>-1.7873152414634201E-12</v>
      </c>
      <c r="AZ113" s="33">
        <f>$I$38*$AZ$38</f>
        <v>0</v>
      </c>
      <c r="BA113" s="33">
        <f>$I$38*$BA$38</f>
        <v>0</v>
      </c>
      <c r="BB113" s="33">
        <f>$I$38*$BB$38</f>
        <v>0</v>
      </c>
      <c r="BC113" s="33">
        <f>$I$38*$BC$38</f>
        <v>0</v>
      </c>
      <c r="BD113" s="33">
        <f>$I$38*$BD$38</f>
        <v>0</v>
      </c>
    </row>
    <row r="114" spans="1:56" ht="11.25" customHeight="1" x14ac:dyDescent="0.25">
      <c r="A114" s="9" t="s">
        <v>125</v>
      </c>
      <c r="B114" s="9" t="s">
        <v>1310</v>
      </c>
      <c r="C114" s="9" t="s">
        <v>1311</v>
      </c>
      <c r="D114" s="9" t="s">
        <v>1312</v>
      </c>
      <c r="E114" s="9" t="s">
        <v>1316</v>
      </c>
      <c r="F114" s="9" t="s">
        <v>1317</v>
      </c>
      <c r="G114" s="9" t="s">
        <v>1318</v>
      </c>
      <c r="L114" s="33">
        <f>$I$39*$L$39</f>
        <v>0</v>
      </c>
      <c r="M114" s="33">
        <f>$I$39*$M$39</f>
        <v>3.5350968965106617E-11</v>
      </c>
      <c r="N114" s="33">
        <f ca="1">$I$39*$N$39</f>
        <v>1.2241480013811634E-10</v>
      </c>
      <c r="O114" s="33">
        <f>$I$39*$O$39</f>
        <v>0</v>
      </c>
      <c r="P114" s="33">
        <f>$I$39*$P$39</f>
        <v>0</v>
      </c>
      <c r="Q114" s="33">
        <f>$I$39*$Q$39</f>
        <v>0</v>
      </c>
      <c r="R114" s="33">
        <f>$I$39*$R$39</f>
        <v>0</v>
      </c>
      <c r="S114" s="33">
        <f>$I$39*$S$39</f>
        <v>0</v>
      </c>
      <c r="T114" s="33">
        <f>$I$39*$T$39</f>
        <v>0</v>
      </c>
      <c r="U114" s="33">
        <f>$I$39*$U$39</f>
        <v>0</v>
      </c>
      <c r="V114" s="33">
        <f>$I$39*$V$39</f>
        <v>0</v>
      </c>
      <c r="W114" s="33">
        <f>$I$39*$W$39</f>
        <v>0</v>
      </c>
      <c r="X114" s="33">
        <f>$I$39*$X$39</f>
        <v>0</v>
      </c>
      <c r="Y114" s="33">
        <f>$I$39*$Y$39</f>
        <v>0</v>
      </c>
      <c r="Z114" s="33">
        <f>$I$39*$Z$39</f>
        <v>0</v>
      </c>
      <c r="AA114" s="33">
        <f>$I$39*$AA$39</f>
        <v>1.1055764914312498E-7</v>
      </c>
      <c r="AB114" s="33">
        <f ca="1">$I$39*$AB$39</f>
        <v>0</v>
      </c>
      <c r="AC114" s="33">
        <f ca="1">$I$39*$AC$39</f>
        <v>0</v>
      </c>
      <c r="AD114" s="33">
        <f>$I$39*$AD$39</f>
        <v>0</v>
      </c>
      <c r="AE114" s="33">
        <f>$I$39*$AE$39</f>
        <v>0</v>
      </c>
      <c r="AF114" s="33">
        <f ca="1">$I$39*$AF$39</f>
        <v>0</v>
      </c>
      <c r="AG114" s="33">
        <f ca="1">$I$39*$AG$39</f>
        <v>0</v>
      </c>
      <c r="AI114" s="33">
        <f>$I$39*$AI$39</f>
        <v>0</v>
      </c>
      <c r="AJ114" s="33">
        <f>$I$39*$AJ$39</f>
        <v>3.1328831388528802E-11</v>
      </c>
      <c r="AK114" s="33">
        <f>$I$39*$AK$39</f>
        <v>1.0204218947992999E-10</v>
      </c>
      <c r="AL114" s="33">
        <f>$I$39*$AL$39</f>
        <v>0</v>
      </c>
      <c r="AM114" s="33">
        <f>$I$39*$AM$39</f>
        <v>0</v>
      </c>
      <c r="AN114" s="33">
        <f>$I$39*$AN$39</f>
        <v>0</v>
      </c>
      <c r="AO114" s="33">
        <f>$I$39*$AO$39</f>
        <v>0</v>
      </c>
      <c r="AP114" s="33">
        <f>$I$39*$AP$39</f>
        <v>0</v>
      </c>
      <c r="AQ114" s="33">
        <f>$I$39*$AQ$39</f>
        <v>0</v>
      </c>
      <c r="AR114" s="33">
        <f>$I$39*$AR$39</f>
        <v>0</v>
      </c>
      <c r="AS114" s="33">
        <f>$I$39*$AS$39</f>
        <v>0</v>
      </c>
      <c r="AT114" s="33">
        <f>$I$39*$AT$39</f>
        <v>0</v>
      </c>
      <c r="AU114" s="33">
        <f>$I$39*$AU$39</f>
        <v>0</v>
      </c>
      <c r="AV114" s="33">
        <f>$I$39*$AV$39</f>
        <v>0</v>
      </c>
      <c r="AW114" s="33">
        <f>$I$39*$AW$39</f>
        <v>0</v>
      </c>
      <c r="AX114" s="33">
        <f>$I$39*$AX$39</f>
        <v>9.8415085379460902E-8</v>
      </c>
      <c r="AY114" s="33">
        <f>$I$39*$AY$39</f>
        <v>-1.6864307449242801E-11</v>
      </c>
      <c r="AZ114" s="33">
        <f>$I$39*$AZ$39</f>
        <v>0</v>
      </c>
      <c r="BA114" s="33">
        <f>$I$39*$BA$39</f>
        <v>0</v>
      </c>
      <c r="BB114" s="33">
        <f>$I$39*$BB$39</f>
        <v>0</v>
      </c>
      <c r="BC114" s="33">
        <f>$I$39*$BC$39</f>
        <v>0</v>
      </c>
      <c r="BD114" s="33">
        <f>$I$39*$BD$39</f>
        <v>0</v>
      </c>
    </row>
    <row r="115" spans="1:56" ht="11.25" customHeight="1" x14ac:dyDescent="0.25">
      <c r="A115" s="9" t="s">
        <v>22</v>
      </c>
      <c r="B115" s="9" t="s">
        <v>1319</v>
      </c>
      <c r="C115" s="9" t="s">
        <v>1320</v>
      </c>
      <c r="D115" s="9" t="s">
        <v>1321</v>
      </c>
      <c r="E115" s="9" t="s">
        <v>1322</v>
      </c>
      <c r="F115" s="9" t="s">
        <v>1323</v>
      </c>
      <c r="G115" s="9" t="s">
        <v>1324</v>
      </c>
      <c r="L115" s="33">
        <f>$I$40*$L$40</f>
        <v>40.646504223556626</v>
      </c>
      <c r="M115" s="33">
        <f>$I$40*$M$40</f>
        <v>14.461558887359976</v>
      </c>
      <c r="N115" s="33">
        <f ca="1">$I$40*$N$40</f>
        <v>141.37606811436879</v>
      </c>
      <c r="O115" s="33">
        <f>$I$40*$O$40</f>
        <v>-8.771683771193059E-2</v>
      </c>
      <c r="P115" s="33">
        <f>$I$40*$P$40</f>
        <v>0</v>
      </c>
      <c r="Q115" s="33">
        <f>$I$40*$Q$40</f>
        <v>1863.9000994500718</v>
      </c>
      <c r="R115" s="33">
        <f>$I$40*$R$40</f>
        <v>315.40134604278359</v>
      </c>
      <c r="S115" s="33">
        <f>$I$40*$S$40</f>
        <v>0</v>
      </c>
      <c r="T115" s="33">
        <f>$I$40*$T$40</f>
        <v>691.62742867833197</v>
      </c>
      <c r="U115" s="33">
        <f>$I$40*$U$40</f>
        <v>7.8591827986224807</v>
      </c>
      <c r="V115" s="33">
        <f>$I$40*$V$40</f>
        <v>0</v>
      </c>
      <c r="W115" s="33">
        <f>$I$40*$W$40</f>
        <v>0</v>
      </c>
      <c r="X115" s="33">
        <f>$I$40*$X$40</f>
        <v>2042.7450001039692</v>
      </c>
      <c r="Y115" s="33">
        <f>$I$40*$Y$40</f>
        <v>0</v>
      </c>
      <c r="Z115" s="33">
        <f>$I$40*$Z$40</f>
        <v>0</v>
      </c>
      <c r="AA115" s="33">
        <f>$I$40*$AA$40</f>
        <v>9100.2603404653328</v>
      </c>
      <c r="AB115" s="33">
        <f ca="1">$I$40*$AB$40</f>
        <v>0</v>
      </c>
      <c r="AC115" s="33">
        <f ca="1">$I$40*$AC$40</f>
        <v>0</v>
      </c>
      <c r="AD115" s="33">
        <f>$I$40*$AD$40</f>
        <v>743.82136421717371</v>
      </c>
      <c r="AE115" s="33">
        <f>$I$40*$AE$40</f>
        <v>1.6515837137540255</v>
      </c>
      <c r="AF115" s="33">
        <f ca="1">$I$40*$AF$40</f>
        <v>13.390051471028704</v>
      </c>
      <c r="AG115" s="33">
        <f ca="1">$I$40*$AG$40</f>
        <v>86.253303330474481</v>
      </c>
      <c r="AI115" s="33">
        <f>$I$40*$AI$40</f>
        <v>176.78889152109295</v>
      </c>
      <c r="AJ115" s="33">
        <f>$I$40*$AJ$40</f>
        <v>11.416708231879342</v>
      </c>
      <c r="AK115" s="33">
        <f>$I$40*$AK$40</f>
        <v>117.82397835658688</v>
      </c>
      <c r="AL115" s="33">
        <f>$I$40*$AL$40</f>
        <v>-7.7956461062593102E-2</v>
      </c>
      <c r="AM115" s="33">
        <f>$I$40*$AM$40</f>
        <v>0</v>
      </c>
      <c r="AN115" s="33">
        <f>$I$40*$AN$40</f>
        <v>924.6927990981759</v>
      </c>
      <c r="AO115" s="33">
        <f>$I$40*$AO$40</f>
        <v>172.8615804563668</v>
      </c>
      <c r="AP115" s="33">
        <f>$I$40*$AP$40</f>
        <v>0</v>
      </c>
      <c r="AQ115" s="33">
        <f>$I$40*$AQ$40</f>
        <v>527.65253067835738</v>
      </c>
      <c r="AR115" s="33">
        <f>$I$40*$AR$40</f>
        <v>-0.22429182185744481</v>
      </c>
      <c r="AS115" s="33">
        <f>$I$40*$AS$40</f>
        <v>0</v>
      </c>
      <c r="AT115" s="33">
        <f>$I$40*$AT$40</f>
        <v>0</v>
      </c>
      <c r="AU115" s="33">
        <f>$I$40*$AU$40</f>
        <v>1637.6252769719408</v>
      </c>
      <c r="AV115" s="33">
        <f>$I$40*$AV$40</f>
        <v>0</v>
      </c>
      <c r="AW115" s="33">
        <f>$I$40*$AW$40</f>
        <v>0</v>
      </c>
      <c r="AX115" s="33">
        <f>$I$40*$AX$40</f>
        <v>8100.777334934055</v>
      </c>
      <c r="AY115" s="33">
        <f>$I$40*$AY$40</f>
        <v>-2.1789991286167183</v>
      </c>
      <c r="AZ115" s="33">
        <f>$I$40*$AZ$40</f>
        <v>0</v>
      </c>
      <c r="BA115" s="33">
        <f>$I$40*$BA$40</f>
        <v>687.44154256281013</v>
      </c>
      <c r="BB115" s="33">
        <f>$I$40*$BB$40</f>
        <v>2.3887538679633655</v>
      </c>
      <c r="BC115" s="33">
        <f>$I$40*$BC$40</f>
        <v>13.00223976244375</v>
      </c>
      <c r="BD115" s="33">
        <f>$I$40*$BD$40</f>
        <v>54.099434960542368</v>
      </c>
    </row>
    <row r="116" spans="1:56" ht="11.25" customHeight="1" x14ac:dyDescent="0.25">
      <c r="A116" s="9" t="s">
        <v>22</v>
      </c>
      <c r="B116" s="9" t="s">
        <v>1319</v>
      </c>
      <c r="C116" s="9" t="s">
        <v>1320</v>
      </c>
      <c r="D116" s="9" t="s">
        <v>1321</v>
      </c>
      <c r="E116" s="9" t="s">
        <v>1322</v>
      </c>
      <c r="F116" s="9" t="s">
        <v>1323</v>
      </c>
      <c r="G116" s="9" t="s">
        <v>1325</v>
      </c>
      <c r="L116" s="33">
        <f>$I$41*$L$41</f>
        <v>25.203211380112254</v>
      </c>
      <c r="M116" s="33">
        <f>$I$41*$M$41</f>
        <v>8.96701284615866</v>
      </c>
      <c r="N116" s="33">
        <f ca="1">$I$41*$N$41</f>
        <v>57.007164707456525</v>
      </c>
      <c r="O116" s="33">
        <f>$I$41*$O$41</f>
        <v>-5.4389572847141771E-2</v>
      </c>
      <c r="P116" s="33">
        <f>$I$41*$P$41</f>
        <v>0</v>
      </c>
      <c r="Q116" s="33">
        <f>$I$41*$Q$41</f>
        <v>1155.7271429661444</v>
      </c>
      <c r="R116" s="33">
        <f>$I$41*$R$41</f>
        <v>195.56729282714801</v>
      </c>
      <c r="S116" s="33">
        <f>$I$41*$S$41</f>
        <v>0</v>
      </c>
      <c r="T116" s="33">
        <f>$I$41*$T$41</f>
        <v>257.30994060268523</v>
      </c>
      <c r="U116" s="33">
        <f>$I$41*$U$41</f>
        <v>2.9239359134046086</v>
      </c>
      <c r="V116" s="33">
        <f>$I$41*$V$41</f>
        <v>0</v>
      </c>
      <c r="W116" s="33">
        <f>$I$41*$W$41</f>
        <v>0</v>
      </c>
      <c r="X116" s="33">
        <f>$I$41*$X$41</f>
        <v>759.97261569756347</v>
      </c>
      <c r="Y116" s="33">
        <f>$I$41*$Y$41</f>
        <v>0</v>
      </c>
      <c r="Z116" s="33">
        <f>$I$41*$Z$41</f>
        <v>0</v>
      </c>
      <c r="AA116" s="33">
        <f>$I$41*$AA$41</f>
        <v>3385.6156712337297</v>
      </c>
      <c r="AB116" s="33">
        <f ca="1">$I$41*$AB$41</f>
        <v>0</v>
      </c>
      <c r="AC116" s="33">
        <f ca="1">$I$41*$AC$41</f>
        <v>0</v>
      </c>
      <c r="AD116" s="33">
        <f>$I$41*$AD$41</f>
        <v>461.21277658471496</v>
      </c>
      <c r="AE116" s="33">
        <f>$I$41*$AE$41</f>
        <v>1.0240785584106809</v>
      </c>
      <c r="AF116" s="33">
        <f ca="1">$I$41*$AF$41</f>
        <v>8.3026155400428721</v>
      </c>
      <c r="AG116" s="33">
        <f ca="1">$I$41*$AG$41</f>
        <v>53.482095879995285</v>
      </c>
      <c r="AI116" s="33">
        <f>$I$41*$AI$41</f>
        <v>109.61945898608363</v>
      </c>
      <c r="AJ116" s="33">
        <f>$I$41*$AJ$41</f>
        <v>7.0790272455057703</v>
      </c>
      <c r="AK116" s="33">
        <f>$I$41*$AK$41</f>
        <v>47.505059589380728</v>
      </c>
      <c r="AL116" s="33">
        <f>$I$41*$AL$41</f>
        <v>-4.8337568116555374E-2</v>
      </c>
      <c r="AM116" s="33">
        <f>$I$41*$AM$41</f>
        <v>0</v>
      </c>
      <c r="AN116" s="33">
        <f>$I$41*$AN$41</f>
        <v>573.36365137724408</v>
      </c>
      <c r="AO116" s="33">
        <f>$I$41*$AO$41</f>
        <v>107.18429628733467</v>
      </c>
      <c r="AP116" s="33">
        <f>$I$41*$AP$41</f>
        <v>0</v>
      </c>
      <c r="AQ116" s="33">
        <f>$I$41*$AQ$41</f>
        <v>196.30546114568554</v>
      </c>
      <c r="AR116" s="33">
        <f>$I$41*$AR$41</f>
        <v>-8.3445687651759387E-2</v>
      </c>
      <c r="AS116" s="33">
        <f>$I$41*$AS$41</f>
        <v>0</v>
      </c>
      <c r="AT116" s="33">
        <f>$I$41*$AT$41</f>
        <v>0</v>
      </c>
      <c r="AU116" s="33">
        <f>$I$41*$AU$41</f>
        <v>609.25390355108937</v>
      </c>
      <c r="AV116" s="33">
        <f>$I$41*$AV$41</f>
        <v>0</v>
      </c>
      <c r="AW116" s="33">
        <f>$I$41*$AW$41</f>
        <v>0</v>
      </c>
      <c r="AX116" s="33">
        <f>$I$41*$AX$41</f>
        <v>3013.772976622924</v>
      </c>
      <c r="AY116" s="33">
        <f>$I$41*$AY$41</f>
        <v>-0.90304627830618123</v>
      </c>
      <c r="AZ116" s="33">
        <f>$I$41*$AZ$41</f>
        <v>0</v>
      </c>
      <c r="BA116" s="33">
        <f>$I$41*$BA$41</f>
        <v>426.25398763418951</v>
      </c>
      <c r="BB116" s="33">
        <f>$I$41*$BB$41</f>
        <v>1.4811671955407706</v>
      </c>
      <c r="BC116" s="33">
        <f>$I$41*$BC$41</f>
        <v>8.0621495847569911</v>
      </c>
      <c r="BD116" s="33">
        <f>$I$41*$BD$41</f>
        <v>33.544815744941275</v>
      </c>
    </row>
    <row r="117" spans="1:56" ht="11.25" customHeight="1" x14ac:dyDescent="0.25">
      <c r="A117" s="9" t="s">
        <v>22</v>
      </c>
      <c r="B117" s="9" t="s">
        <v>1319</v>
      </c>
      <c r="C117" s="9" t="s">
        <v>1320</v>
      </c>
      <c r="D117" s="9" t="s">
        <v>1321</v>
      </c>
      <c r="E117" s="9" t="s">
        <v>1322</v>
      </c>
      <c r="F117" s="9" t="s">
        <v>1323</v>
      </c>
      <c r="G117" s="9" t="s">
        <v>1326</v>
      </c>
      <c r="L117" s="33">
        <f>$I$42*$L$42</f>
        <v>281.14862107240049</v>
      </c>
      <c r="M117" s="33">
        <f>$I$42*$M$42</f>
        <v>100.0294469944163</v>
      </c>
      <c r="N117" s="33">
        <f ca="1">$I$42*$N$42</f>
        <v>293.9736342337934</v>
      </c>
      <c r="O117" s="33">
        <f>$I$42*$O$42</f>
        <v>-0.60673035574971546</v>
      </c>
      <c r="P117" s="33">
        <f>$I$42*$P$42</f>
        <v>0</v>
      </c>
      <c r="Q117" s="33">
        <f>$I$42*$Q$42</f>
        <v>12892.448017052235</v>
      </c>
      <c r="R117" s="33">
        <f>$I$42*$R$42</f>
        <v>2181.6059023574371</v>
      </c>
      <c r="S117" s="33">
        <f>$I$42*$S$42</f>
        <v>0</v>
      </c>
      <c r="T117" s="33">
        <f>$I$42*$T$42</f>
        <v>956.79193823984758</v>
      </c>
      <c r="U117" s="33">
        <f>$I$42*$U$42</f>
        <v>10.872022741930703</v>
      </c>
      <c r="V117" s="33">
        <f>$I$42*$V$42</f>
        <v>0</v>
      </c>
      <c r="W117" s="33">
        <f>$I$42*$W$42</f>
        <v>0</v>
      </c>
      <c r="X117" s="33">
        <f>$I$42*$X$42</f>
        <v>2825.8951341343159</v>
      </c>
      <c r="Y117" s="33">
        <f>$I$42*$Y$42</f>
        <v>0</v>
      </c>
      <c r="Z117" s="33">
        <f>$I$42*$Z$42</f>
        <v>0</v>
      </c>
      <c r="AA117" s="33">
        <f>$I$42*$AA$42</f>
        <v>12589.152007821538</v>
      </c>
      <c r="AB117" s="33">
        <f ca="1">$I$42*$AB$42</f>
        <v>0</v>
      </c>
      <c r="AC117" s="33">
        <f ca="1">$I$42*$AC$42</f>
        <v>0</v>
      </c>
      <c r="AD117" s="33">
        <f>$I$42*$AD$42</f>
        <v>5144.9529269149907</v>
      </c>
      <c r="AE117" s="33">
        <f>$I$42*$AE$42</f>
        <v>11.423872546423578</v>
      </c>
      <c r="AF117" s="33">
        <f ca="1">$I$42*$AF$42</f>
        <v>92.617915835094678</v>
      </c>
      <c r="AG117" s="33">
        <f ca="1">$I$42*$AG$42</f>
        <v>596.60720540509215</v>
      </c>
      <c r="AI117" s="33">
        <f>$I$42*$AI$42</f>
        <v>1222.8346329293338</v>
      </c>
      <c r="AJ117" s="33">
        <f>$I$42*$AJ$42</f>
        <v>78.968458367904873</v>
      </c>
      <c r="AK117" s="33">
        <f>$I$42*$AK$42</f>
        <v>244.8844654659834</v>
      </c>
      <c r="AL117" s="33">
        <f>$I$42*$AL$42</f>
        <v>-0.53921861055716969</v>
      </c>
      <c r="AM117" s="33">
        <f>$I$42*$AM$42</f>
        <v>0</v>
      </c>
      <c r="AN117" s="33">
        <f>$I$42*$AN$42</f>
        <v>6396.0261859705424</v>
      </c>
      <c r="AO117" s="33">
        <f>$I$42*$AO$42</f>
        <v>1195.66973618207</v>
      </c>
      <c r="AP117" s="33">
        <f>$I$42*$AP$42</f>
        <v>0</v>
      </c>
      <c r="AQ117" s="33">
        <f>$I$42*$AQ$42</f>
        <v>729.95035565558533</v>
      </c>
      <c r="AR117" s="33">
        <f>$I$42*$AR$42</f>
        <v>-0.31027472582653493</v>
      </c>
      <c r="AS117" s="33">
        <f>$I$42*$AS$42</f>
        <v>0</v>
      </c>
      <c r="AT117" s="33">
        <f>$I$42*$AT$42</f>
        <v>0</v>
      </c>
      <c r="AU117" s="33">
        <f>$I$42*$AU$42</f>
        <v>2265.4601046605599</v>
      </c>
      <c r="AV117" s="33">
        <f>$I$42*$AV$42</f>
        <v>0</v>
      </c>
      <c r="AW117" s="33">
        <f>$I$42*$AW$42</f>
        <v>0</v>
      </c>
      <c r="AX117" s="33">
        <f>$I$42*$AX$42</f>
        <v>11206.483488997141</v>
      </c>
      <c r="AY117" s="33">
        <f>$I$42*$AY$42</f>
        <v>-5.0754888599356329</v>
      </c>
      <c r="AZ117" s="33">
        <f>$I$42*$AZ$42</f>
        <v>0</v>
      </c>
      <c r="BA117" s="33">
        <f>$I$42*$BA$42</f>
        <v>4754.9782066475163</v>
      </c>
      <c r="BB117" s="33">
        <f>$I$42*$BB$42</f>
        <v>16.522819585307449</v>
      </c>
      <c r="BC117" s="33">
        <f>$I$42*$BC$42</f>
        <v>89.935453242378003</v>
      </c>
      <c r="BD117" s="33">
        <f>$I$42*$BD$42</f>
        <v>374.20146776454101</v>
      </c>
    </row>
    <row r="118" spans="1:56" ht="11.25" customHeight="1" x14ac:dyDescent="0.25">
      <c r="A118" s="9" t="s">
        <v>22</v>
      </c>
      <c r="B118" s="9" t="s">
        <v>1327</v>
      </c>
      <c r="C118" s="9" t="s">
        <v>1328</v>
      </c>
      <c r="D118" s="9" t="s">
        <v>1329</v>
      </c>
      <c r="E118" s="9" t="s">
        <v>1330</v>
      </c>
      <c r="F118" s="9" t="s">
        <v>1331</v>
      </c>
      <c r="G118" s="9" t="s">
        <v>1332</v>
      </c>
      <c r="L118" s="33">
        <f>$I$43*$L$43</f>
        <v>994525.71974872239</v>
      </c>
      <c r="M118" s="33">
        <f>$I$43*$M$43</f>
        <v>353840.81696267793</v>
      </c>
      <c r="N118" s="33">
        <f ca="1">$I$43*$N$43</f>
        <v>1576236.2198223071</v>
      </c>
      <c r="O118" s="33">
        <f>$I$43*$O$43</f>
        <v>-2146.2276480096848</v>
      </c>
      <c r="P118" s="33">
        <f>$I$43*$P$43</f>
        <v>0</v>
      </c>
      <c r="Q118" s="33">
        <f>$I$43*$Q$43</f>
        <v>45605313.995760329</v>
      </c>
      <c r="R118" s="33">
        <f>$I$43*$R$43</f>
        <v>7717139.6821162654</v>
      </c>
      <c r="S118" s="33">
        <f>$I$43*$S$43</f>
        <v>0</v>
      </c>
      <c r="T118" s="33">
        <f>$I$43*$T$43</f>
        <v>6385868.6371972263</v>
      </c>
      <c r="U118" s="33">
        <f>$I$43*$U$43</f>
        <v>72564.030582068895</v>
      </c>
      <c r="V118" s="33">
        <f>$I$43*$V$43</f>
        <v>0</v>
      </c>
      <c r="W118" s="33">
        <f>$I$43*$W$43</f>
        <v>0</v>
      </c>
      <c r="X118" s="33">
        <f>$I$43*$X$43</f>
        <v>18860835.506482095</v>
      </c>
      <c r="Y118" s="33">
        <f>$I$43*$Y$43</f>
        <v>0</v>
      </c>
      <c r="Z118" s="33">
        <f>$I$43*$Z$43</f>
        <v>0</v>
      </c>
      <c r="AA118" s="33">
        <f>$I$43*$AA$43</f>
        <v>84023494.262224898</v>
      </c>
      <c r="AB118" s="33">
        <f ca="1">$I$43*$AB$43</f>
        <v>0</v>
      </c>
      <c r="AC118" s="33">
        <f ca="1">$I$43*$AC$43</f>
        <v>0</v>
      </c>
      <c r="AD118" s="33">
        <f>$I$43*$AD$43</f>
        <v>18199584.238386743</v>
      </c>
      <c r="AE118" s="33">
        <f>$I$43*$AE$43</f>
        <v>40410.424291655494</v>
      </c>
      <c r="AF118" s="33">
        <f ca="1">$I$43*$AF$43</f>
        <v>327623.51476660464</v>
      </c>
      <c r="AG118" s="33">
        <f ca="1">$I$43*$AG$43</f>
        <v>2110418.354888455</v>
      </c>
      <c r="AI118" s="33">
        <f>$I$43*$AI$43</f>
        <v>4325614.2918607229</v>
      </c>
      <c r="AJ118" s="33">
        <f>$I$43*$AJ$43</f>
        <v>279340.38088546495</v>
      </c>
      <c r="AK118" s="33">
        <f>$I$43*$AK$43</f>
        <v>1313330.0264658583</v>
      </c>
      <c r="AL118" s="33">
        <f>$I$43*$AL$43</f>
        <v>-1907.4138607572168</v>
      </c>
      <c r="AM118" s="33">
        <f>$I$43*$AM$43</f>
        <v>0</v>
      </c>
      <c r="AN118" s="33">
        <f>$I$43*$AN$43</f>
        <v>22625088.900919639</v>
      </c>
      <c r="AO118" s="33">
        <f>$I$43*$AO$43</f>
        <v>4229522.0955468202</v>
      </c>
      <c r="AP118" s="33">
        <f>$I$43*$AP$43</f>
        <v>0</v>
      </c>
      <c r="AQ118" s="33">
        <f>$I$43*$AQ$43</f>
        <v>4871871.1943447143</v>
      </c>
      <c r="AR118" s="33">
        <f>$I$43*$AR$43</f>
        <v>-2070.8919791793428</v>
      </c>
      <c r="AS118" s="33">
        <f>$I$43*$AS$43</f>
        <v>0</v>
      </c>
      <c r="AT118" s="33">
        <f>$I$43*$AT$43</f>
        <v>0</v>
      </c>
      <c r="AU118" s="33">
        <f>$I$43*$AU$43</f>
        <v>15120331.205634026</v>
      </c>
      <c r="AV118" s="33">
        <f>$I$43*$AV$43</f>
        <v>0</v>
      </c>
      <c r="AW118" s="33">
        <f>$I$43*$AW$43</f>
        <v>0</v>
      </c>
      <c r="AX118" s="33">
        <f>$I$43*$AX$43</f>
        <v>74795180.847165376</v>
      </c>
      <c r="AY118" s="33">
        <f>$I$43*$AY$43</f>
        <v>-25793.375126161314</v>
      </c>
      <c r="AZ118" s="33">
        <f>$I$43*$AZ$43</f>
        <v>0</v>
      </c>
      <c r="BA118" s="33">
        <f>$I$43*$BA$43</f>
        <v>16820100.718679417</v>
      </c>
      <c r="BB118" s="33">
        <f>$I$43*$BB$43</f>
        <v>58447.268841928853</v>
      </c>
      <c r="BC118" s="33">
        <f>$I$43*$BC$43</f>
        <v>318134.66139593988</v>
      </c>
      <c r="BD118" s="33">
        <f>$I$43*$BD$43</f>
        <v>1323687.7443682102</v>
      </c>
    </row>
    <row r="119" spans="1:56" ht="11.25" customHeight="1" x14ac:dyDescent="0.25">
      <c r="A119" s="9" t="s">
        <v>22</v>
      </c>
      <c r="B119" s="9" t="s">
        <v>1327</v>
      </c>
      <c r="C119" s="9" t="s">
        <v>1328</v>
      </c>
      <c r="D119" s="9" t="s">
        <v>1333</v>
      </c>
      <c r="E119" s="9" t="s">
        <v>1334</v>
      </c>
      <c r="F119" s="9" t="s">
        <v>1335</v>
      </c>
      <c r="G119" s="9" t="s">
        <v>1336</v>
      </c>
      <c r="L119" s="33">
        <f>$I$44*$L$44</f>
        <v>0</v>
      </c>
      <c r="M119" s="33">
        <f>$I$44*$M$44</f>
        <v>9241.5973082759574</v>
      </c>
      <c r="N119" s="33">
        <f ca="1">$I$44*$N$44</f>
        <v>41038.209080471097</v>
      </c>
      <c r="O119" s="33">
        <f>$I$44*$O$44</f>
        <v>-56.05506969221652</v>
      </c>
      <c r="P119" s="33">
        <f>$I$44*$P$44</f>
        <v>0</v>
      </c>
      <c r="Q119" s="33">
        <f>$I$44*$Q$44</f>
        <v>0</v>
      </c>
      <c r="R119" s="33">
        <f>$I$44*$R$44</f>
        <v>0</v>
      </c>
      <c r="S119" s="33">
        <f>$I$44*$S$44</f>
        <v>0</v>
      </c>
      <c r="T119" s="33">
        <f>$I$44*$T$44</f>
        <v>166785.80757050007</v>
      </c>
      <c r="U119" s="33">
        <f>$I$44*$U$44</f>
        <v>1895.2238338733991</v>
      </c>
      <c r="V119" s="33">
        <f>$I$44*$V$44</f>
        <v>0</v>
      </c>
      <c r="W119" s="33">
        <f>$I$44*$W$44</f>
        <v>0</v>
      </c>
      <c r="X119" s="33">
        <f>$I$44*$X$44</f>
        <v>492606.38765404385</v>
      </c>
      <c r="Y119" s="33">
        <f>$I$44*$Y$44</f>
        <v>0</v>
      </c>
      <c r="Z119" s="33">
        <f>$I$44*$Z$44</f>
        <v>0</v>
      </c>
      <c r="AA119" s="33">
        <f>$I$44*$AA$44</f>
        <v>2194521.5508803837</v>
      </c>
      <c r="AB119" s="33">
        <f ca="1">$I$44*$AB$44</f>
        <v>0</v>
      </c>
      <c r="AC119" s="33">
        <f ca="1">$I$44*$AC$44</f>
        <v>0</v>
      </c>
      <c r="AD119" s="33">
        <f>$I$44*$AD$44</f>
        <v>475335.85908195825</v>
      </c>
      <c r="AE119" s="33">
        <f>$I$44*$AE$44</f>
        <v>1055.4375031285435</v>
      </c>
      <c r="AF119" s="33">
        <f ca="1">$I$44*$AF$44</f>
        <v>8556.8550801597357</v>
      </c>
      <c r="AG119" s="33">
        <f ca="1">$I$44*$AG$44</f>
        <v>55119.804309999956</v>
      </c>
      <c r="AI119" s="33">
        <f>$I$44*$AI$44</f>
        <v>0</v>
      </c>
      <c r="AJ119" s="33">
        <f>$I$44*$AJ$44</f>
        <v>7295.7985295297149</v>
      </c>
      <c r="AK119" s="33">
        <f>$I$44*$AK$44</f>
        <v>34193.248213627012</v>
      </c>
      <c r="AL119" s="33">
        <f>$I$44*$AL$44</f>
        <v>-49.817742771042326</v>
      </c>
      <c r="AM119" s="33">
        <f>$I$44*$AM$44</f>
        <v>0</v>
      </c>
      <c r="AN119" s="33">
        <f>$I$44*$AN$44</f>
        <v>0</v>
      </c>
      <c r="AO119" s="33">
        <f>$I$44*$AO$44</f>
        <v>0</v>
      </c>
      <c r="AP119" s="33">
        <f>$I$44*$AP$44</f>
        <v>0</v>
      </c>
      <c r="AQ119" s="33">
        <f>$I$44*$AQ$44</f>
        <v>127243.29573507718</v>
      </c>
      <c r="AR119" s="33">
        <f>$I$44*$AR$44</f>
        <v>-54.087456344904233</v>
      </c>
      <c r="AS119" s="33">
        <f>$I$44*$AS$44</f>
        <v>0</v>
      </c>
      <c r="AT119" s="33">
        <f>$I$44*$AT$44</f>
        <v>0</v>
      </c>
      <c r="AU119" s="33">
        <f>$I$44*$AU$44</f>
        <v>394912.0776107859</v>
      </c>
      <c r="AV119" s="33">
        <f>$I$44*$AV$44</f>
        <v>0</v>
      </c>
      <c r="AW119" s="33">
        <f>$I$44*$AW$44</f>
        <v>0</v>
      </c>
      <c r="AX119" s="33">
        <f>$I$44*$AX$44</f>
        <v>1953496.908362855</v>
      </c>
      <c r="AY119" s="33">
        <f>$I$44*$AY$44</f>
        <v>-523.94043021844152</v>
      </c>
      <c r="AZ119" s="33">
        <f>$I$44*$AZ$44</f>
        <v>0</v>
      </c>
      <c r="BA119" s="33">
        <f>$I$44*$BA$44</f>
        <v>439306.57537192438</v>
      </c>
      <c r="BB119" s="33">
        <f>$I$44*$BB$44</f>
        <v>1526.5229349236552</v>
      </c>
      <c r="BC119" s="33">
        <f>$I$44*$BC$44</f>
        <v>8309.0256677089619</v>
      </c>
      <c r="BD119" s="33">
        <f>$I$44*$BD$44</f>
        <v>34572.012353909609</v>
      </c>
    </row>
    <row r="120" spans="1:56" ht="11.25" customHeight="1" x14ac:dyDescent="0.25">
      <c r="A120" s="9" t="s">
        <v>22</v>
      </c>
      <c r="B120" s="9" t="s">
        <v>1327</v>
      </c>
      <c r="C120" s="9" t="s">
        <v>1328</v>
      </c>
      <c r="D120" s="9" t="s">
        <v>1337</v>
      </c>
      <c r="E120" s="9" t="s">
        <v>1338</v>
      </c>
      <c r="F120" s="9" t="s">
        <v>1339</v>
      </c>
      <c r="G120" s="9" t="s">
        <v>1340</v>
      </c>
      <c r="L120" s="33">
        <f>$I$45*$L$45</f>
        <v>0</v>
      </c>
      <c r="M120" s="33">
        <f>$I$45*$M$45</f>
        <v>30472.880622487697</v>
      </c>
      <c r="N120" s="33">
        <f ca="1">$I$45*$N$45</f>
        <v>135317.78160794804</v>
      </c>
      <c r="O120" s="33">
        <f>$I$45*$O$45</f>
        <v>-184.83378901247576</v>
      </c>
      <c r="P120" s="33">
        <f>$I$45*$P$45</f>
        <v>0</v>
      </c>
      <c r="Q120" s="33">
        <f>$I$45*$Q$45</f>
        <v>0</v>
      </c>
      <c r="R120" s="33">
        <f>$I$45*$R$45</f>
        <v>0</v>
      </c>
      <c r="S120" s="33">
        <f>$I$45*$S$45</f>
        <v>0</v>
      </c>
      <c r="T120" s="33">
        <f>$I$45*$T$45</f>
        <v>549952.98259421741</v>
      </c>
      <c r="U120" s="33">
        <f>$I$45*$U$45</f>
        <v>6249.2367624370663</v>
      </c>
      <c r="V120" s="33">
        <f>$I$45*$V$45</f>
        <v>0</v>
      </c>
      <c r="W120" s="33">
        <f>$I$45*$W$45</f>
        <v>0</v>
      </c>
      <c r="X120" s="33">
        <f>$I$45*$X$45</f>
        <v>1624300.9886844922</v>
      </c>
      <c r="Y120" s="33">
        <f>$I$45*$Y$45</f>
        <v>0</v>
      </c>
      <c r="Z120" s="33">
        <f>$I$45*$Z$45</f>
        <v>0</v>
      </c>
      <c r="AA120" s="33">
        <f>$I$45*$AA$45</f>
        <v>7236129.3197192866</v>
      </c>
      <c r="AB120" s="33">
        <f ca="1">$I$45*$AB$45</f>
        <v>0</v>
      </c>
      <c r="AC120" s="33">
        <f ca="1">$I$45*$AC$45</f>
        <v>0</v>
      </c>
      <c r="AD120" s="33">
        <f>$I$45*$AD$45</f>
        <v>1567353.824908687</v>
      </c>
      <c r="AE120" s="33">
        <f>$I$45*$AE$45</f>
        <v>3480.1582415337389</v>
      </c>
      <c r="AF120" s="33">
        <f ca="1">$I$45*$AF$45</f>
        <v>28215.038446668583</v>
      </c>
      <c r="AG120" s="33">
        <f ca="1">$I$45*$AG$45</f>
        <v>181749.8816107641</v>
      </c>
      <c r="AI120" s="33">
        <f>$I$45*$AI$45</f>
        <v>0</v>
      </c>
      <c r="AJ120" s="33">
        <f>$I$45*$AJ$45</f>
        <v>24056.880019754419</v>
      </c>
      <c r="AK120" s="33">
        <f>$I$45*$AK$45</f>
        <v>112747.47602082354</v>
      </c>
      <c r="AL120" s="33">
        <f>$I$45*$AL$45</f>
        <v>-164.26707177387044</v>
      </c>
      <c r="AM120" s="33">
        <f>$I$45*$AM$45</f>
        <v>0</v>
      </c>
      <c r="AN120" s="33">
        <f>$I$45*$AN$45</f>
        <v>0</v>
      </c>
      <c r="AO120" s="33">
        <f>$I$45*$AO$45</f>
        <v>0</v>
      </c>
      <c r="AP120" s="33">
        <f>$I$45*$AP$45</f>
        <v>0</v>
      </c>
      <c r="AQ120" s="33">
        <f>$I$45*$AQ$45</f>
        <v>419567.05443923495</v>
      </c>
      <c r="AR120" s="33">
        <f>$I$45*$AR$45</f>
        <v>-178.34585790665184</v>
      </c>
      <c r="AS120" s="33">
        <f>$I$45*$AS$45</f>
        <v>0</v>
      </c>
      <c r="AT120" s="33">
        <f>$I$45*$AT$45</f>
        <v>0</v>
      </c>
      <c r="AU120" s="33">
        <f>$I$45*$AU$45</f>
        <v>1302167.6011175408</v>
      </c>
      <c r="AV120" s="33">
        <f>$I$45*$AV$45</f>
        <v>0</v>
      </c>
      <c r="AW120" s="33">
        <f>$I$45*$AW$45</f>
        <v>0</v>
      </c>
      <c r="AX120" s="33">
        <f>$I$45*$AX$45</f>
        <v>6441384.1135051064</v>
      </c>
      <c r="AY120" s="33">
        <f>$I$45*$AY$45</f>
        <v>-1727.6206321004413</v>
      </c>
      <c r="AZ120" s="33">
        <f>$I$45*$AZ$45</f>
        <v>0</v>
      </c>
      <c r="BA120" s="33">
        <f>$I$45*$BA$45</f>
        <v>1448552.2774287513</v>
      </c>
      <c r="BB120" s="33">
        <f>$I$45*$BB$45</f>
        <v>5033.496874156277</v>
      </c>
      <c r="BC120" s="33">
        <f>$I$45*$BC$45</f>
        <v>27397.8554588759</v>
      </c>
      <c r="BD120" s="33">
        <f>$I$45*$BD$45</f>
        <v>113996.39804651806</v>
      </c>
    </row>
    <row r="121" spans="1:56" ht="11.25" customHeight="1" x14ac:dyDescent="0.25">
      <c r="A121" s="9" t="s">
        <v>22</v>
      </c>
      <c r="B121" s="9" t="s">
        <v>1327</v>
      </c>
      <c r="C121" s="9" t="s">
        <v>1328</v>
      </c>
      <c r="D121" s="9" t="s">
        <v>1341</v>
      </c>
      <c r="E121" s="9" t="s">
        <v>1342</v>
      </c>
      <c r="F121" s="9" t="s">
        <v>1343</v>
      </c>
      <c r="G121" s="9" t="s">
        <v>1344</v>
      </c>
      <c r="L121" s="33">
        <f>$I$46*$L$46</f>
        <v>0</v>
      </c>
      <c r="M121" s="33">
        <f>$I$46*$M$46</f>
        <v>29722.090484611443</v>
      </c>
      <c r="N121" s="33">
        <f ca="1">$I$46*$N$46</f>
        <v>131983.82519046491</v>
      </c>
      <c r="O121" s="33">
        <f>$I$46*$O$46</f>
        <v>-180.27985833371807</v>
      </c>
      <c r="P121" s="33">
        <f>$I$46*$P$46</f>
        <v>0</v>
      </c>
      <c r="Q121" s="33">
        <f>$I$46*$Q$46</f>
        <v>0</v>
      </c>
      <c r="R121" s="33">
        <f>$I$46*$R$46</f>
        <v>0</v>
      </c>
      <c r="S121" s="33">
        <f>$I$46*$S$46</f>
        <v>0</v>
      </c>
      <c r="T121" s="33">
        <f>$I$46*$T$46</f>
        <v>536403.25355013518</v>
      </c>
      <c r="U121" s="33">
        <f>$I$46*$U$46</f>
        <v>6095.2682095911277</v>
      </c>
      <c r="V121" s="33">
        <f>$I$46*$V$46</f>
        <v>0</v>
      </c>
      <c r="W121" s="33">
        <f>$I$46*$W$46</f>
        <v>0</v>
      </c>
      <c r="X121" s="33">
        <f>$I$46*$X$46</f>
        <v>1584281.4979656851</v>
      </c>
      <c r="Y121" s="33">
        <f>$I$46*$Y$46</f>
        <v>0</v>
      </c>
      <c r="Z121" s="33">
        <f>$I$46*$Z$46</f>
        <v>0</v>
      </c>
      <c r="AA121" s="33">
        <f>$I$46*$AA$46</f>
        <v>7057845.7305520307</v>
      </c>
      <c r="AB121" s="33">
        <f ca="1">$I$46*$AB$46</f>
        <v>0</v>
      </c>
      <c r="AC121" s="33">
        <f ca="1">$I$46*$AC$46</f>
        <v>0</v>
      </c>
      <c r="AD121" s="33">
        <f>$I$46*$AD$46</f>
        <v>1528737.3971123705</v>
      </c>
      <c r="AE121" s="33">
        <f>$I$46*$AE$46</f>
        <v>3394.4141821400199</v>
      </c>
      <c r="AF121" s="33">
        <f ca="1">$I$46*$AF$46</f>
        <v>27519.876972832546</v>
      </c>
      <c r="AG121" s="33">
        <f ca="1">$I$46*$AG$46</f>
        <v>177271.93217224471</v>
      </c>
      <c r="AI121" s="33">
        <f>$I$46*$AI$46</f>
        <v>0</v>
      </c>
      <c r="AJ121" s="33">
        <f>$I$46*$AJ$46</f>
        <v>23464.167158418455</v>
      </c>
      <c r="AK121" s="33">
        <f>$I$46*$AK$46</f>
        <v>109969.60627770473</v>
      </c>
      <c r="AL121" s="33">
        <f>$I$46*$AL$46</f>
        <v>-160.21986340543592</v>
      </c>
      <c r="AM121" s="33">
        <f>$I$46*$AM$46</f>
        <v>0</v>
      </c>
      <c r="AN121" s="33">
        <f>$I$46*$AN$46</f>
        <v>0</v>
      </c>
      <c r="AO121" s="33">
        <f>$I$46*$AO$46</f>
        <v>0</v>
      </c>
      <c r="AP121" s="33">
        <f>$I$46*$AP$46</f>
        <v>0</v>
      </c>
      <c r="AQ121" s="33">
        <f>$I$46*$AQ$46</f>
        <v>409229.77091972705</v>
      </c>
      <c r="AR121" s="33">
        <f>$I$46*$AR$46</f>
        <v>-173.95177672652969</v>
      </c>
      <c r="AS121" s="33">
        <f>$I$46*$AS$46</f>
        <v>0</v>
      </c>
      <c r="AT121" s="33">
        <f>$I$46*$AT$46</f>
        <v>0</v>
      </c>
      <c r="AU121" s="33">
        <f>$I$46*$AU$46</f>
        <v>1270084.8254557098</v>
      </c>
      <c r="AV121" s="33">
        <f>$I$46*$AV$46</f>
        <v>0</v>
      </c>
      <c r="AW121" s="33">
        <f>$I$46*$AW$46</f>
        <v>0</v>
      </c>
      <c r="AX121" s="33">
        <f>$I$46*$AX$46</f>
        <v>6282681.4386052424</v>
      </c>
      <c r="AY121" s="33">
        <f>$I$46*$AY$46</f>
        <v>-1685.0555543632431</v>
      </c>
      <c r="AZ121" s="33">
        <f>$I$46*$AZ$46</f>
        <v>0</v>
      </c>
      <c r="BA121" s="33">
        <f>$I$46*$BA$46</f>
        <v>1412862.8794501082</v>
      </c>
      <c r="BB121" s="33">
        <f>$I$46*$BB$46</f>
        <v>4909.4816929541867</v>
      </c>
      <c r="BC121" s="33">
        <f>$I$46*$BC$46</f>
        <v>26722.82772085816</v>
      </c>
      <c r="BD121" s="33">
        <f>$I$46*$BD$46</f>
        <v>111187.75739101028</v>
      </c>
    </row>
    <row r="122" spans="1:56" ht="11.25" customHeight="1" x14ac:dyDescent="0.25">
      <c r="A122" s="9" t="s">
        <v>22</v>
      </c>
      <c r="B122" s="9" t="s">
        <v>1327</v>
      </c>
      <c r="C122" s="9" t="s">
        <v>1328</v>
      </c>
      <c r="D122" s="9" t="s">
        <v>1345</v>
      </c>
      <c r="E122" s="9" t="s">
        <v>1346</v>
      </c>
      <c r="F122" s="9" t="s">
        <v>1347</v>
      </c>
      <c r="G122" s="9" t="s">
        <v>1348</v>
      </c>
      <c r="L122" s="33">
        <f>$I$47*$L$47</f>
        <v>0</v>
      </c>
      <c r="M122" s="33">
        <f>$I$47*$M$47</f>
        <v>6456.5595724325731</v>
      </c>
      <c r="N122" s="33">
        <f ca="1">$I$47*$N$47</f>
        <v>28670.978926632652</v>
      </c>
      <c r="O122" s="33">
        <f>$I$47*$O$47</f>
        <v>-39.162374720715157</v>
      </c>
      <c r="P122" s="33">
        <f>$I$47*$P$47</f>
        <v>0</v>
      </c>
      <c r="Q122" s="33">
        <f>$I$47*$Q$47</f>
        <v>0</v>
      </c>
      <c r="R122" s="33">
        <f>$I$47*$R$47</f>
        <v>0</v>
      </c>
      <c r="S122" s="33">
        <f>$I$47*$S$47</f>
        <v>0</v>
      </c>
      <c r="T122" s="33">
        <f>$I$47*$T$47</f>
        <v>116523.41759696309</v>
      </c>
      <c r="U122" s="33">
        <f>$I$47*$U$47</f>
        <v>1324.081235993654</v>
      </c>
      <c r="V122" s="33">
        <f>$I$47*$V$47</f>
        <v>0</v>
      </c>
      <c r="W122" s="33">
        <f>$I$47*$W$47</f>
        <v>0</v>
      </c>
      <c r="X122" s="33">
        <f>$I$47*$X$47</f>
        <v>344155.06124692701</v>
      </c>
      <c r="Y122" s="33">
        <f>$I$47*$Y$47</f>
        <v>0</v>
      </c>
      <c r="Z122" s="33">
        <f>$I$47*$Z$47</f>
        <v>0</v>
      </c>
      <c r="AA122" s="33">
        <f>$I$47*$AA$47</f>
        <v>1533182.9178012074</v>
      </c>
      <c r="AB122" s="33">
        <f ca="1">$I$47*$AB$47</f>
        <v>0</v>
      </c>
      <c r="AC122" s="33">
        <f ca="1">$I$47*$AC$47</f>
        <v>0</v>
      </c>
      <c r="AD122" s="33">
        <f>$I$47*$AD$47</f>
        <v>332089.16042335262</v>
      </c>
      <c r="AE122" s="33">
        <f>$I$47*$AE$47</f>
        <v>737.37200254619097</v>
      </c>
      <c r="AF122" s="33">
        <f ca="1">$I$47*$AF$47</f>
        <v>5978.1705190993925</v>
      </c>
      <c r="AG122" s="33">
        <f ca="1">$I$47*$AG$47</f>
        <v>38508.959899133661</v>
      </c>
      <c r="AI122" s="33">
        <f>$I$47*$AI$47</f>
        <v>0</v>
      </c>
      <c r="AJ122" s="33">
        <f>$I$47*$AJ$47</f>
        <v>5097.144602069031</v>
      </c>
      <c r="AK122" s="33">
        <f>$I$47*$AK$47</f>
        <v>23888.808038471263</v>
      </c>
      <c r="AL122" s="33">
        <f>$I$47*$AL$47</f>
        <v>-34.804721871760663</v>
      </c>
      <c r="AM122" s="33">
        <f>$I$47*$AM$47</f>
        <v>0</v>
      </c>
      <c r="AN122" s="33">
        <f>$I$47*$AN$47</f>
        <v>0</v>
      </c>
      <c r="AO122" s="33">
        <f>$I$47*$AO$47</f>
        <v>0</v>
      </c>
      <c r="AP122" s="33">
        <f>$I$47*$AP$47</f>
        <v>0</v>
      </c>
      <c r="AQ122" s="33">
        <f>$I$47*$AQ$47</f>
        <v>88897.394216740999</v>
      </c>
      <c r="AR122" s="33">
        <f>$I$47*$AR$47</f>
        <v>-37.787719196495466</v>
      </c>
      <c r="AS122" s="33">
        <f>$I$47*$AS$47</f>
        <v>0</v>
      </c>
      <c r="AT122" s="33">
        <f>$I$47*$AT$47</f>
        <v>0</v>
      </c>
      <c r="AU122" s="33">
        <f>$I$47*$AU$47</f>
        <v>275901.80246046785</v>
      </c>
      <c r="AV122" s="33">
        <f>$I$47*$AV$47</f>
        <v>0</v>
      </c>
      <c r="AW122" s="33">
        <f>$I$47*$AW$47</f>
        <v>0</v>
      </c>
      <c r="AX122" s="33">
        <f>$I$47*$AX$47</f>
        <v>1364793.1999928884</v>
      </c>
      <c r="AY122" s="33">
        <f>$I$47*$AY$47</f>
        <v>-366.04631074781167</v>
      </c>
      <c r="AZ122" s="33">
        <f>$I$47*$AZ$47</f>
        <v>0</v>
      </c>
      <c r="BA122" s="33">
        <f>$I$47*$BA$47</f>
        <v>306917.62255320704</v>
      </c>
      <c r="BB122" s="33">
        <f>$I$47*$BB$47</f>
        <v>1066.4916398372986</v>
      </c>
      <c r="BC122" s="33">
        <f>$I$47*$BC$47</f>
        <v>5805.0267094403835</v>
      </c>
      <c r="BD122" s="33">
        <f>$I$47*$BD$47</f>
        <v>24153.428228472876</v>
      </c>
    </row>
    <row r="123" spans="1:56" ht="11.25" customHeight="1" x14ac:dyDescent="0.25">
      <c r="A123" s="9" t="s">
        <v>22</v>
      </c>
      <c r="B123" s="9" t="s">
        <v>1349</v>
      </c>
      <c r="C123" s="9" t="s">
        <v>1350</v>
      </c>
      <c r="D123" s="9" t="s">
        <v>1351</v>
      </c>
      <c r="E123" s="9" t="s">
        <v>1352</v>
      </c>
      <c r="F123" s="9" t="s">
        <v>1353</v>
      </c>
      <c r="G123" s="9" t="s">
        <v>1354</v>
      </c>
      <c r="L123" s="33">
        <f>$I$48*$L$48</f>
        <v>0</v>
      </c>
      <c r="M123" s="33">
        <f>$I$48*$M$48</f>
        <v>0</v>
      </c>
      <c r="N123" s="33">
        <f ca="1">$I$48*$N$48</f>
        <v>0</v>
      </c>
      <c r="O123" s="33">
        <f>$I$48*$O$48</f>
        <v>0</v>
      </c>
      <c r="P123" s="33">
        <f>$I$48*$P$48</f>
        <v>0</v>
      </c>
      <c r="Q123" s="33">
        <f>$I$48*$Q$48</f>
        <v>0</v>
      </c>
      <c r="R123" s="33">
        <f>$I$48*$R$48</f>
        <v>0</v>
      </c>
      <c r="S123" s="33">
        <f>$I$48*$S$48</f>
        <v>0</v>
      </c>
      <c r="T123" s="33">
        <f>$I$48*$T$48</f>
        <v>0</v>
      </c>
      <c r="U123" s="33">
        <f>$I$48*$U$48</f>
        <v>0</v>
      </c>
      <c r="V123" s="33">
        <f>$I$48*$V$48</f>
        <v>0</v>
      </c>
      <c r="W123" s="33">
        <f>$I$48*$W$48</f>
        <v>0</v>
      </c>
      <c r="X123" s="33">
        <f>$I$48*$X$48</f>
        <v>0</v>
      </c>
      <c r="Y123" s="33">
        <f>$I$48*$Y$48</f>
        <v>0</v>
      </c>
      <c r="Z123" s="33">
        <f>$I$48*$Z$48</f>
        <v>0</v>
      </c>
      <c r="AA123" s="33">
        <f>$I$48*$AA$48</f>
        <v>0</v>
      </c>
      <c r="AB123" s="33">
        <f ca="1">$I$48*$AB$48</f>
        <v>0</v>
      </c>
      <c r="AC123" s="33">
        <f ca="1">$I$48*$AC$48</f>
        <v>0</v>
      </c>
      <c r="AD123" s="33">
        <f>$I$48*$AD$48</f>
        <v>0</v>
      </c>
      <c r="AE123" s="33">
        <f>$I$48*$AE$48</f>
        <v>0</v>
      </c>
      <c r="AF123" s="33">
        <f ca="1">$I$48*$AF$48</f>
        <v>0</v>
      </c>
      <c r="AG123" s="33">
        <f ca="1">$I$48*$AG$48</f>
        <v>0</v>
      </c>
      <c r="AI123" s="33">
        <f>$I$48*$AI$48</f>
        <v>0</v>
      </c>
      <c r="AJ123" s="33">
        <f>$I$48*$AJ$48</f>
        <v>0</v>
      </c>
      <c r="AK123" s="33">
        <f>$I$48*$AK$48</f>
        <v>0</v>
      </c>
      <c r="AL123" s="33">
        <f>$I$48*$AL$48</f>
        <v>0</v>
      </c>
      <c r="AM123" s="33">
        <f>$I$48*$AM$48</f>
        <v>0</v>
      </c>
      <c r="AN123" s="33">
        <f>$I$48*$AN$48</f>
        <v>0</v>
      </c>
      <c r="AO123" s="33">
        <f>$I$48*$AO$48</f>
        <v>0</v>
      </c>
      <c r="AP123" s="33">
        <f>$I$48*$AP$48</f>
        <v>0</v>
      </c>
      <c r="AQ123" s="33">
        <f>$I$48*$AQ$48</f>
        <v>0</v>
      </c>
      <c r="AR123" s="33">
        <f>$I$48*$AR$48</f>
        <v>0</v>
      </c>
      <c r="AS123" s="33">
        <f>$I$48*$AS$48</f>
        <v>0</v>
      </c>
      <c r="AT123" s="33">
        <f>$I$48*$AT$48</f>
        <v>0</v>
      </c>
      <c r="AU123" s="33">
        <f>$I$48*$AU$48</f>
        <v>0</v>
      </c>
      <c r="AV123" s="33">
        <f>$I$48*$AV$48</f>
        <v>0</v>
      </c>
      <c r="AW123" s="33">
        <f>$I$48*$AW$48</f>
        <v>0</v>
      </c>
      <c r="AX123" s="33">
        <f>$I$48*$AX$48</f>
        <v>0</v>
      </c>
      <c r="AY123" s="33">
        <f>$I$48*$AY$48</f>
        <v>0</v>
      </c>
      <c r="AZ123" s="33">
        <f>$I$48*$AZ$48</f>
        <v>0</v>
      </c>
      <c r="BA123" s="33">
        <f>$I$48*$BA$48</f>
        <v>0</v>
      </c>
      <c r="BB123" s="33">
        <f>$I$48*$BB$48</f>
        <v>0</v>
      </c>
      <c r="BC123" s="33">
        <f>$I$48*$BC$48</f>
        <v>0</v>
      </c>
      <c r="BD123" s="33">
        <f>$I$48*$BD$48</f>
        <v>0</v>
      </c>
    </row>
    <row r="124" spans="1:56" ht="11.25" customHeight="1" x14ac:dyDescent="0.25">
      <c r="A124" s="9" t="s">
        <v>22</v>
      </c>
      <c r="B124" s="9" t="s">
        <v>1349</v>
      </c>
      <c r="C124" s="9" t="s">
        <v>1350</v>
      </c>
      <c r="D124" s="9" t="s">
        <v>1355</v>
      </c>
      <c r="E124" s="9" t="s">
        <v>1356</v>
      </c>
      <c r="F124" s="9" t="s">
        <v>1357</v>
      </c>
      <c r="G124" s="9" t="s">
        <v>1358</v>
      </c>
      <c r="L124" s="33">
        <f>$I$49*$L$49</f>
        <v>0</v>
      </c>
      <c r="M124" s="33">
        <f>$I$49*$M$49</f>
        <v>0</v>
      </c>
      <c r="N124" s="33">
        <f ca="1">$I$49*$N$49</f>
        <v>0</v>
      </c>
      <c r="O124" s="33">
        <f>$I$49*$O$49</f>
        <v>0</v>
      </c>
      <c r="P124" s="33">
        <f>$I$49*$P$49</f>
        <v>0</v>
      </c>
      <c r="Q124" s="33">
        <f>$I$49*$Q$49</f>
        <v>0</v>
      </c>
      <c r="R124" s="33">
        <f>$I$49*$R$49</f>
        <v>0</v>
      </c>
      <c r="S124" s="33">
        <f>$I$49*$S$49</f>
        <v>0</v>
      </c>
      <c r="T124" s="33">
        <f>$I$49*$T$49</f>
        <v>0</v>
      </c>
      <c r="U124" s="33">
        <f>$I$49*$U$49</f>
        <v>0</v>
      </c>
      <c r="V124" s="33">
        <f>$I$49*$V$49</f>
        <v>0</v>
      </c>
      <c r="W124" s="33">
        <f>$I$49*$W$49</f>
        <v>0</v>
      </c>
      <c r="X124" s="33">
        <f>$I$49*$X$49</f>
        <v>0</v>
      </c>
      <c r="Y124" s="33">
        <f>$I$49*$Y$49</f>
        <v>0</v>
      </c>
      <c r="Z124" s="33">
        <f>$I$49*$Z$49</f>
        <v>0</v>
      </c>
      <c r="AA124" s="33">
        <f>$I$49*$AA$49</f>
        <v>0</v>
      </c>
      <c r="AB124" s="33">
        <f ca="1">$I$49*$AB$49</f>
        <v>0</v>
      </c>
      <c r="AC124" s="33">
        <f ca="1">$I$49*$AC$49</f>
        <v>0</v>
      </c>
      <c r="AD124" s="33">
        <f>$I$49*$AD$49</f>
        <v>0</v>
      </c>
      <c r="AE124" s="33">
        <f>$I$49*$AE$49</f>
        <v>0</v>
      </c>
      <c r="AF124" s="33">
        <f ca="1">$I$49*$AF$49</f>
        <v>0</v>
      </c>
      <c r="AG124" s="33">
        <f ca="1">$I$49*$AG$49</f>
        <v>0</v>
      </c>
      <c r="AI124" s="33">
        <f>$I$49*$AI$49</f>
        <v>0</v>
      </c>
      <c r="AJ124" s="33">
        <f>$I$49*$AJ$49</f>
        <v>0</v>
      </c>
      <c r="AK124" s="33">
        <f>$I$49*$AK$49</f>
        <v>0</v>
      </c>
      <c r="AL124" s="33">
        <f>$I$49*$AL$49</f>
        <v>0</v>
      </c>
      <c r="AM124" s="33">
        <f>$I$49*$AM$49</f>
        <v>0</v>
      </c>
      <c r="AN124" s="33">
        <f>$I$49*$AN$49</f>
        <v>0</v>
      </c>
      <c r="AO124" s="33">
        <f>$I$49*$AO$49</f>
        <v>0</v>
      </c>
      <c r="AP124" s="33">
        <f>$I$49*$AP$49</f>
        <v>0</v>
      </c>
      <c r="AQ124" s="33">
        <f>$I$49*$AQ$49</f>
        <v>0</v>
      </c>
      <c r="AR124" s="33">
        <f>$I$49*$AR$49</f>
        <v>0</v>
      </c>
      <c r="AS124" s="33">
        <f>$I$49*$AS$49</f>
        <v>0</v>
      </c>
      <c r="AT124" s="33">
        <f>$I$49*$AT$49</f>
        <v>0</v>
      </c>
      <c r="AU124" s="33">
        <f>$I$49*$AU$49</f>
        <v>0</v>
      </c>
      <c r="AV124" s="33">
        <f>$I$49*$AV$49</f>
        <v>0</v>
      </c>
      <c r="AW124" s="33">
        <f>$I$49*$AW$49</f>
        <v>0</v>
      </c>
      <c r="AX124" s="33">
        <f>$I$49*$AX$49</f>
        <v>0</v>
      </c>
      <c r="AY124" s="33">
        <f>$I$49*$AY$49</f>
        <v>0</v>
      </c>
      <c r="AZ124" s="33">
        <f>$I$49*$AZ$49</f>
        <v>0</v>
      </c>
      <c r="BA124" s="33">
        <f>$I$49*$BA$49</f>
        <v>0</v>
      </c>
      <c r="BB124" s="33">
        <f>$I$49*$BB$49</f>
        <v>0</v>
      </c>
      <c r="BC124" s="33">
        <f>$I$49*$BC$49</f>
        <v>0</v>
      </c>
      <c r="BD124" s="33">
        <f>$I$49*$BD$49</f>
        <v>0</v>
      </c>
    </row>
    <row r="125" spans="1:56" ht="11.25" customHeight="1" x14ac:dyDescent="0.25">
      <c r="A125" s="9" t="s">
        <v>22</v>
      </c>
      <c r="B125" s="9" t="s">
        <v>1349</v>
      </c>
      <c r="C125" s="9" t="s">
        <v>1350</v>
      </c>
      <c r="D125" s="9" t="s">
        <v>1359</v>
      </c>
      <c r="E125" s="9" t="s">
        <v>1360</v>
      </c>
      <c r="F125" s="9" t="s">
        <v>1361</v>
      </c>
      <c r="G125" s="9" t="s">
        <v>1362</v>
      </c>
      <c r="L125" s="33">
        <f>$I$50*$L$50</f>
        <v>0</v>
      </c>
      <c r="M125" s="33">
        <f>$I$50*$M$50</f>
        <v>0</v>
      </c>
      <c r="N125" s="33">
        <f ca="1">$I$50*$N$50</f>
        <v>0</v>
      </c>
      <c r="O125" s="33">
        <f>$I$50*$O$50</f>
        <v>0</v>
      </c>
      <c r="P125" s="33">
        <f>$I$50*$P$50</f>
        <v>0</v>
      </c>
      <c r="Q125" s="33">
        <f>$I$50*$Q$50</f>
        <v>0</v>
      </c>
      <c r="R125" s="33">
        <f>$I$50*$R$50</f>
        <v>0</v>
      </c>
      <c r="S125" s="33">
        <f>$I$50*$S$50</f>
        <v>0</v>
      </c>
      <c r="T125" s="33">
        <f>$I$50*$T$50</f>
        <v>0</v>
      </c>
      <c r="U125" s="33">
        <f>$I$50*$U$50</f>
        <v>0</v>
      </c>
      <c r="V125" s="33">
        <f>$I$50*$V$50</f>
        <v>0</v>
      </c>
      <c r="W125" s="33">
        <f>$I$50*$W$50</f>
        <v>0</v>
      </c>
      <c r="X125" s="33">
        <f>$I$50*$X$50</f>
        <v>0</v>
      </c>
      <c r="Y125" s="33">
        <f>$I$50*$Y$50</f>
        <v>0</v>
      </c>
      <c r="Z125" s="33">
        <f>$I$50*$Z$50</f>
        <v>0</v>
      </c>
      <c r="AA125" s="33">
        <f>$I$50*$AA$50</f>
        <v>0</v>
      </c>
      <c r="AB125" s="33">
        <f ca="1">$I$50*$AB$50</f>
        <v>0</v>
      </c>
      <c r="AC125" s="33">
        <f ca="1">$I$50*$AC$50</f>
        <v>0</v>
      </c>
      <c r="AD125" s="33">
        <f>$I$50*$AD$50</f>
        <v>0</v>
      </c>
      <c r="AE125" s="33">
        <f>$I$50*$AE$50</f>
        <v>0</v>
      </c>
      <c r="AF125" s="33">
        <f ca="1">$I$50*$AF$50</f>
        <v>0</v>
      </c>
      <c r="AG125" s="33">
        <f ca="1">$I$50*$AG$50</f>
        <v>0</v>
      </c>
      <c r="AI125" s="33">
        <f>$I$50*$AI$50</f>
        <v>0</v>
      </c>
      <c r="AJ125" s="33">
        <f>$I$50*$AJ$50</f>
        <v>0</v>
      </c>
      <c r="AK125" s="33">
        <f>$I$50*$AK$50</f>
        <v>0</v>
      </c>
      <c r="AL125" s="33">
        <f>$I$50*$AL$50</f>
        <v>0</v>
      </c>
      <c r="AM125" s="33">
        <f>$I$50*$AM$50</f>
        <v>0</v>
      </c>
      <c r="AN125" s="33">
        <f>$I$50*$AN$50</f>
        <v>0</v>
      </c>
      <c r="AO125" s="33">
        <f>$I$50*$AO$50</f>
        <v>0</v>
      </c>
      <c r="AP125" s="33">
        <f>$I$50*$AP$50</f>
        <v>0</v>
      </c>
      <c r="AQ125" s="33">
        <f>$I$50*$AQ$50</f>
        <v>0</v>
      </c>
      <c r="AR125" s="33">
        <f>$I$50*$AR$50</f>
        <v>0</v>
      </c>
      <c r="AS125" s="33">
        <f>$I$50*$AS$50</f>
        <v>0</v>
      </c>
      <c r="AT125" s="33">
        <f>$I$50*$AT$50</f>
        <v>0</v>
      </c>
      <c r="AU125" s="33">
        <f>$I$50*$AU$50</f>
        <v>0</v>
      </c>
      <c r="AV125" s="33">
        <f>$I$50*$AV$50</f>
        <v>0</v>
      </c>
      <c r="AW125" s="33">
        <f>$I$50*$AW$50</f>
        <v>0</v>
      </c>
      <c r="AX125" s="33">
        <f>$I$50*$AX$50</f>
        <v>0</v>
      </c>
      <c r="AY125" s="33">
        <f>$I$50*$AY$50</f>
        <v>0</v>
      </c>
      <c r="AZ125" s="33">
        <f>$I$50*$AZ$50</f>
        <v>0</v>
      </c>
      <c r="BA125" s="33">
        <f>$I$50*$BA$50</f>
        <v>0</v>
      </c>
      <c r="BB125" s="33">
        <f>$I$50*$BB$50</f>
        <v>0</v>
      </c>
      <c r="BC125" s="33">
        <f>$I$50*$BC$50</f>
        <v>0</v>
      </c>
      <c r="BD125" s="33">
        <f>$I$50*$BD$50</f>
        <v>0</v>
      </c>
    </row>
    <row r="126" spans="1:56" ht="11.25" customHeight="1" x14ac:dyDescent="0.25">
      <c r="A126" s="9" t="s">
        <v>22</v>
      </c>
      <c r="B126" s="9" t="s">
        <v>1349</v>
      </c>
      <c r="C126" s="9" t="s">
        <v>1350</v>
      </c>
      <c r="D126" s="9" t="s">
        <v>1363</v>
      </c>
      <c r="E126" s="9" t="s">
        <v>1364</v>
      </c>
      <c r="F126" s="9" t="s">
        <v>1365</v>
      </c>
      <c r="G126" s="9" t="s">
        <v>1366</v>
      </c>
      <c r="L126" s="33">
        <f>$I$51*$L$51</f>
        <v>0</v>
      </c>
      <c r="M126" s="33">
        <f>$I$51*$M$51</f>
        <v>0</v>
      </c>
      <c r="N126" s="33">
        <f ca="1">$I$51*$N$51</f>
        <v>0</v>
      </c>
      <c r="O126" s="33">
        <f>$I$51*$O$51</f>
        <v>0</v>
      </c>
      <c r="P126" s="33">
        <f>$I$51*$P$51</f>
        <v>0</v>
      </c>
      <c r="Q126" s="33">
        <f>$I$51*$Q$51</f>
        <v>0</v>
      </c>
      <c r="R126" s="33">
        <f>$I$51*$R$51</f>
        <v>0</v>
      </c>
      <c r="S126" s="33">
        <f>$I$51*$S$51</f>
        <v>0</v>
      </c>
      <c r="T126" s="33">
        <f>$I$51*$T$51</f>
        <v>0</v>
      </c>
      <c r="U126" s="33">
        <f>$I$51*$U$51</f>
        <v>0</v>
      </c>
      <c r="V126" s="33">
        <f>$I$51*$V$51</f>
        <v>0</v>
      </c>
      <c r="W126" s="33">
        <f>$I$51*$W$51</f>
        <v>0</v>
      </c>
      <c r="X126" s="33">
        <f>$I$51*$X$51</f>
        <v>0</v>
      </c>
      <c r="Y126" s="33">
        <f>$I$51*$Y$51</f>
        <v>0</v>
      </c>
      <c r="Z126" s="33">
        <f>$I$51*$Z$51</f>
        <v>0</v>
      </c>
      <c r="AA126" s="33">
        <f>$I$51*$AA$51</f>
        <v>0</v>
      </c>
      <c r="AB126" s="33">
        <f ca="1">$I$51*$AB$51</f>
        <v>0</v>
      </c>
      <c r="AC126" s="33">
        <f ca="1">$I$51*$AC$51</f>
        <v>0</v>
      </c>
      <c r="AD126" s="33">
        <f>$I$51*$AD$51</f>
        <v>0</v>
      </c>
      <c r="AE126" s="33">
        <f>$I$51*$AE$51</f>
        <v>0</v>
      </c>
      <c r="AF126" s="33">
        <f ca="1">$I$51*$AF$51</f>
        <v>0</v>
      </c>
      <c r="AG126" s="33">
        <f ca="1">$I$51*$AG$51</f>
        <v>0</v>
      </c>
      <c r="AI126" s="33">
        <f>$I$51*$AI$51</f>
        <v>0</v>
      </c>
      <c r="AJ126" s="33">
        <f>$I$51*$AJ$51</f>
        <v>0</v>
      </c>
      <c r="AK126" s="33">
        <f>$I$51*$AK$51</f>
        <v>0</v>
      </c>
      <c r="AL126" s="33">
        <f>$I$51*$AL$51</f>
        <v>0</v>
      </c>
      <c r="AM126" s="33">
        <f>$I$51*$AM$51</f>
        <v>0</v>
      </c>
      <c r="AN126" s="33">
        <f>$I$51*$AN$51</f>
        <v>0</v>
      </c>
      <c r="AO126" s="33">
        <f>$I$51*$AO$51</f>
        <v>0</v>
      </c>
      <c r="AP126" s="33">
        <f>$I$51*$AP$51</f>
        <v>0</v>
      </c>
      <c r="AQ126" s="33">
        <f>$I$51*$AQ$51</f>
        <v>0</v>
      </c>
      <c r="AR126" s="33">
        <f>$I$51*$AR$51</f>
        <v>0</v>
      </c>
      <c r="AS126" s="33">
        <f>$I$51*$AS$51</f>
        <v>0</v>
      </c>
      <c r="AT126" s="33">
        <f>$I$51*$AT$51</f>
        <v>0</v>
      </c>
      <c r="AU126" s="33">
        <f>$I$51*$AU$51</f>
        <v>0</v>
      </c>
      <c r="AV126" s="33">
        <f>$I$51*$AV$51</f>
        <v>0</v>
      </c>
      <c r="AW126" s="33">
        <f>$I$51*$AW$51</f>
        <v>0</v>
      </c>
      <c r="AX126" s="33">
        <f>$I$51*$AX$51</f>
        <v>0</v>
      </c>
      <c r="AY126" s="33">
        <f>$I$51*$AY$51</f>
        <v>0</v>
      </c>
      <c r="AZ126" s="33">
        <f>$I$51*$AZ$51</f>
        <v>0</v>
      </c>
      <c r="BA126" s="33">
        <f>$I$51*$BA$51</f>
        <v>0</v>
      </c>
      <c r="BB126" s="33">
        <f>$I$51*$BB$51</f>
        <v>0</v>
      </c>
      <c r="BC126" s="33">
        <f>$I$51*$BC$51</f>
        <v>0</v>
      </c>
      <c r="BD126" s="33">
        <f>$I$51*$BD$51</f>
        <v>0</v>
      </c>
    </row>
    <row r="127" spans="1:56" ht="11.25" customHeight="1" x14ac:dyDescent="0.25">
      <c r="A127" s="9" t="s">
        <v>22</v>
      </c>
      <c r="B127" s="9" t="s">
        <v>1349</v>
      </c>
      <c r="C127" s="9" t="s">
        <v>1350</v>
      </c>
      <c r="D127" s="9" t="s">
        <v>1367</v>
      </c>
      <c r="E127" s="9" t="s">
        <v>1368</v>
      </c>
      <c r="F127" s="9" t="s">
        <v>1369</v>
      </c>
      <c r="G127" s="9" t="s">
        <v>1370</v>
      </c>
      <c r="L127" s="33">
        <f>$I$52*$L$52</f>
        <v>0</v>
      </c>
      <c r="M127" s="33">
        <f>$I$52*$M$52</f>
        <v>0</v>
      </c>
      <c r="N127" s="33">
        <f ca="1">$I$52*$N$52</f>
        <v>0</v>
      </c>
      <c r="O127" s="33">
        <f>$I$52*$O$52</f>
        <v>0</v>
      </c>
      <c r="P127" s="33">
        <f>$I$52*$P$52</f>
        <v>0</v>
      </c>
      <c r="Q127" s="33">
        <f>$I$52*$Q$52</f>
        <v>0</v>
      </c>
      <c r="R127" s="33">
        <f>$I$52*$R$52</f>
        <v>0</v>
      </c>
      <c r="S127" s="33">
        <f>$I$52*$S$52</f>
        <v>0</v>
      </c>
      <c r="T127" s="33">
        <f>$I$52*$T$52</f>
        <v>0</v>
      </c>
      <c r="U127" s="33">
        <f>$I$52*$U$52</f>
        <v>0</v>
      </c>
      <c r="V127" s="33">
        <f>$I$52*$V$52</f>
        <v>0</v>
      </c>
      <c r="W127" s="33">
        <f>$I$52*$W$52</f>
        <v>0</v>
      </c>
      <c r="X127" s="33">
        <f>$I$52*$X$52</f>
        <v>0</v>
      </c>
      <c r="Y127" s="33">
        <f>$I$52*$Y$52</f>
        <v>0</v>
      </c>
      <c r="Z127" s="33">
        <f>$I$52*$Z$52</f>
        <v>0</v>
      </c>
      <c r="AA127" s="33">
        <f>$I$52*$AA$52</f>
        <v>0</v>
      </c>
      <c r="AB127" s="33">
        <f ca="1">$I$52*$AB$52</f>
        <v>0</v>
      </c>
      <c r="AC127" s="33">
        <f ca="1">$I$52*$AC$52</f>
        <v>0</v>
      </c>
      <c r="AD127" s="33">
        <f>$I$52*$AD$52</f>
        <v>0</v>
      </c>
      <c r="AE127" s="33">
        <f>$I$52*$AE$52</f>
        <v>0</v>
      </c>
      <c r="AF127" s="33">
        <f ca="1">$I$52*$AF$52</f>
        <v>0</v>
      </c>
      <c r="AG127" s="33">
        <f ca="1">$I$52*$AG$52</f>
        <v>0</v>
      </c>
      <c r="AI127" s="33">
        <f>$I$52*$AI$52</f>
        <v>0</v>
      </c>
      <c r="AJ127" s="33">
        <f>$I$52*$AJ$52</f>
        <v>0</v>
      </c>
      <c r="AK127" s="33">
        <f>$I$52*$AK$52</f>
        <v>0</v>
      </c>
      <c r="AL127" s="33">
        <f>$I$52*$AL$52</f>
        <v>0</v>
      </c>
      <c r="AM127" s="33">
        <f>$I$52*$AM$52</f>
        <v>0</v>
      </c>
      <c r="AN127" s="33">
        <f>$I$52*$AN$52</f>
        <v>0</v>
      </c>
      <c r="AO127" s="33">
        <f>$I$52*$AO$52</f>
        <v>0</v>
      </c>
      <c r="AP127" s="33">
        <f>$I$52*$AP$52</f>
        <v>0</v>
      </c>
      <c r="AQ127" s="33">
        <f>$I$52*$AQ$52</f>
        <v>0</v>
      </c>
      <c r="AR127" s="33">
        <f>$I$52*$AR$52</f>
        <v>0</v>
      </c>
      <c r="AS127" s="33">
        <f>$I$52*$AS$52</f>
        <v>0</v>
      </c>
      <c r="AT127" s="33">
        <f>$I$52*$AT$52</f>
        <v>0</v>
      </c>
      <c r="AU127" s="33">
        <f>$I$52*$AU$52</f>
        <v>0</v>
      </c>
      <c r="AV127" s="33">
        <f>$I$52*$AV$52</f>
        <v>0</v>
      </c>
      <c r="AW127" s="33">
        <f>$I$52*$AW$52</f>
        <v>0</v>
      </c>
      <c r="AX127" s="33">
        <f>$I$52*$AX$52</f>
        <v>0</v>
      </c>
      <c r="AY127" s="33">
        <f>$I$52*$AY$52</f>
        <v>0</v>
      </c>
      <c r="AZ127" s="33">
        <f>$I$52*$AZ$52</f>
        <v>0</v>
      </c>
      <c r="BA127" s="33">
        <f>$I$52*$BA$52</f>
        <v>0</v>
      </c>
      <c r="BB127" s="33">
        <f>$I$52*$BB$52</f>
        <v>0</v>
      </c>
      <c r="BC127" s="33">
        <f>$I$52*$BC$52</f>
        <v>0</v>
      </c>
      <c r="BD127" s="33">
        <f>$I$52*$BD$52</f>
        <v>0</v>
      </c>
    </row>
    <row r="128" spans="1:56" ht="11.25" customHeight="1" x14ac:dyDescent="0.25">
      <c r="A128" s="9" t="s">
        <v>44</v>
      </c>
      <c r="B128" s="9" t="s">
        <v>1371</v>
      </c>
      <c r="C128" s="9" t="s">
        <v>1372</v>
      </c>
      <c r="D128" s="9" t="s">
        <v>1373</v>
      </c>
      <c r="E128" s="9" t="s">
        <v>1374</v>
      </c>
      <c r="F128" s="9" t="s">
        <v>1375</v>
      </c>
      <c r="G128" s="9" t="s">
        <v>1376</v>
      </c>
      <c r="L128" s="33">
        <f>$I$53*$L$53</f>
        <v>1.0873272206776659</v>
      </c>
      <c r="M128" s="33">
        <f>$I$53*$M$53</f>
        <v>0.38685852404858079</v>
      </c>
      <c r="N128" s="33">
        <f ca="1">$I$53*$N$53</f>
        <v>4.0314537225540805</v>
      </c>
      <c r="O128" s="33">
        <f>$I$53*$O$53</f>
        <v>-2.3464971263302838E-3</v>
      </c>
      <c r="P128" s="33">
        <f>$I$53*$P$53</f>
        <v>0</v>
      </c>
      <c r="Q128" s="33">
        <f>$I$53*$Q$53</f>
        <v>49.860851590315079</v>
      </c>
      <c r="R128" s="33">
        <f>$I$53*$R$53</f>
        <v>8.4372438796825637</v>
      </c>
      <c r="S128" s="33">
        <f>$I$53*$S$53</f>
        <v>0</v>
      </c>
      <c r="T128" s="33">
        <f>$I$53*$T$53</f>
        <v>19.897938116851506</v>
      </c>
      <c r="U128" s="33">
        <f>$I$53*$U$53</f>
        <v>0.226108491188523</v>
      </c>
      <c r="V128" s="33">
        <f>$I$53*$V$53</f>
        <v>0</v>
      </c>
      <c r="W128" s="33">
        <f>$I$53*$W$53</f>
        <v>0</v>
      </c>
      <c r="X128" s="33">
        <f>$I$53*$X$53</f>
        <v>58.76926658485759</v>
      </c>
      <c r="Y128" s="33">
        <f>$I$53*$Y$53</f>
        <v>0</v>
      </c>
      <c r="Z128" s="33">
        <f>$I$53*$Z$53</f>
        <v>0</v>
      </c>
      <c r="AA128" s="33">
        <f>$I$53*$AA$53</f>
        <v>261.81218877383122</v>
      </c>
      <c r="AB128" s="33">
        <f ca="1">$I$53*$AB$53</f>
        <v>0</v>
      </c>
      <c r="AC128" s="33">
        <f ca="1">$I$53*$AC$53</f>
        <v>0</v>
      </c>
      <c r="AD128" s="33">
        <f>$I$53*$AD$53</f>
        <v>19.897829643273568</v>
      </c>
      <c r="AE128" s="33">
        <f>$I$53*$AE$53</f>
        <v>4.4181214682464671E-2</v>
      </c>
      <c r="AF128" s="33">
        <f ca="1">$I$53*$AF$53</f>
        <v>0.35819482459420632</v>
      </c>
      <c r="AG128" s="33">
        <f ca="1">$I$53*$AG$53</f>
        <v>2.3073463850364573</v>
      </c>
      <c r="AI128" s="33">
        <f>$I$53*$AI$53</f>
        <v>4.4273805365268659</v>
      </c>
      <c r="AJ128" s="33">
        <f>$I$53*$AJ$53</f>
        <v>0.28591226169319517</v>
      </c>
      <c r="AK128" s="33">
        <f>$I$53*$AK$53</f>
        <v>3.145427879686987</v>
      </c>
      <c r="AL128" s="33">
        <f>$I$53*$AL$53</f>
        <v>-1.9522884918584337E-3</v>
      </c>
      <c r="AM128" s="33">
        <f>$I$53*$AM$53</f>
        <v>0</v>
      </c>
      <c r="AN128" s="33">
        <f>$I$53*$AN$53</f>
        <v>23.157376381339819</v>
      </c>
      <c r="AO128" s="33">
        <f>$I$53*$AO$53</f>
        <v>4.3290276342644436</v>
      </c>
      <c r="AP128" s="33">
        <f>$I$53*$AP$53</f>
        <v>0</v>
      </c>
      <c r="AQ128" s="33">
        <f>$I$53*$AQ$53</f>
        <v>14.211460475305744</v>
      </c>
      <c r="AR128" s="33">
        <f>$I$53*$AR$53</f>
        <v>-6.0409847428358632E-3</v>
      </c>
      <c r="AS128" s="33">
        <f>$I$53*$AS$53</f>
        <v>0</v>
      </c>
      <c r="AT128" s="33">
        <f>$I$53*$AT$53</f>
        <v>0</v>
      </c>
      <c r="AU128" s="33">
        <f>$I$53*$AU$53</f>
        <v>44.106791475747777</v>
      </c>
      <c r="AV128" s="33">
        <f>$I$53*$AV$53</f>
        <v>0</v>
      </c>
      <c r="AW128" s="33">
        <f>$I$53*$AW$53</f>
        <v>0</v>
      </c>
      <c r="AX128" s="33">
        <f>$I$53*$AX$53</f>
        <v>218.18131658979959</v>
      </c>
      <c r="AY128" s="33">
        <f>$I$53*$AY$53</f>
        <v>-5.7983814078005125E-2</v>
      </c>
      <c r="AZ128" s="33">
        <f>$I$53*$AZ$53</f>
        <v>0</v>
      </c>
      <c r="BA128" s="33">
        <f>$I$53*$BA$53</f>
        <v>17.215817574032688</v>
      </c>
      <c r="BB128" s="33">
        <f>$I$53*$BB$53</f>
        <v>5.982232418891778E-2</v>
      </c>
      <c r="BC128" s="33">
        <f>$I$53*$BC$53</f>
        <v>0.32561923297443612</v>
      </c>
      <c r="BD128" s="33">
        <f>$I$53*$BD$53</f>
        <v>1.3548293861711806</v>
      </c>
    </row>
    <row r="129" spans="1:56" ht="11.25" customHeight="1" x14ac:dyDescent="0.25">
      <c r="A129" s="9" t="s">
        <v>44</v>
      </c>
      <c r="B129" s="9" t="s">
        <v>1371</v>
      </c>
      <c r="C129" s="9" t="s">
        <v>1372</v>
      </c>
      <c r="D129" s="9" t="s">
        <v>1373</v>
      </c>
      <c r="E129" s="9" t="s">
        <v>1374</v>
      </c>
      <c r="F129" s="9" t="s">
        <v>1375</v>
      </c>
      <c r="G129" s="9" t="s">
        <v>1377</v>
      </c>
      <c r="L129" s="33">
        <f>$I$54*$L$54</f>
        <v>0.60504498569966891</v>
      </c>
      <c r="M129" s="33">
        <f>$I$54*$M$54</f>
        <v>0.21526804967219415</v>
      </c>
      <c r="N129" s="33">
        <f ca="1">$I$54*$N$54</f>
        <v>1.4518618317732366</v>
      </c>
      <c r="O129" s="33">
        <f>$I$54*$O$54</f>
        <v>-1.3057121106192708E-3</v>
      </c>
      <c r="P129" s="33">
        <f>$I$54*$P$54</f>
        <v>0</v>
      </c>
      <c r="Q129" s="33">
        <f>$I$54*$Q$54</f>
        <v>27.745151288159196</v>
      </c>
      <c r="R129" s="33">
        <f>$I$54*$R$54</f>
        <v>4.6949179653072326</v>
      </c>
      <c r="S129" s="33">
        <f>$I$54*$S$54</f>
        <v>0</v>
      </c>
      <c r="T129" s="33">
        <f>$I$54*$T$54</f>
        <v>6.6433559259058494</v>
      </c>
      <c r="U129" s="33">
        <f>$I$54*$U$54</f>
        <v>7.5490005775037367E-2</v>
      </c>
      <c r="V129" s="33">
        <f>$I$54*$V$54</f>
        <v>0</v>
      </c>
      <c r="W129" s="33">
        <f>$I$54*$W$54</f>
        <v>0</v>
      </c>
      <c r="X129" s="33">
        <f>$I$54*$X$54</f>
        <v>19.621333682384897</v>
      </c>
      <c r="Y129" s="33">
        <f>$I$54*$Y$54</f>
        <v>0</v>
      </c>
      <c r="Z129" s="33">
        <f>$I$54*$Z$54</f>
        <v>0</v>
      </c>
      <c r="AA129" s="33">
        <f>$I$54*$AA$54</f>
        <v>87.411483063225973</v>
      </c>
      <c r="AB129" s="33">
        <f ca="1">$I$54*$AB$54</f>
        <v>0</v>
      </c>
      <c r="AC129" s="33">
        <f ca="1">$I$54*$AC$54</f>
        <v>0</v>
      </c>
      <c r="AD129" s="33">
        <f>$I$54*$AD$54</f>
        <v>11.072179398273196</v>
      </c>
      <c r="AE129" s="33">
        <f>$I$54*$AE$54</f>
        <v>2.4584708170081147E-2</v>
      </c>
      <c r="AF129" s="33">
        <f ca="1">$I$54*$AF$54</f>
        <v>0.19931808787903416</v>
      </c>
      <c r="AG129" s="33">
        <f ca="1">$I$54*$AG$54</f>
        <v>1.2839266174799642</v>
      </c>
      <c r="AI129" s="33">
        <f>$I$54*$AI$54</f>
        <v>2.4636230404867239</v>
      </c>
      <c r="AJ129" s="33">
        <f>$I$54*$AJ$54</f>
        <v>0.15909633916798763</v>
      </c>
      <c r="AK129" s="33">
        <f>$I$54*$AK$54</f>
        <v>1.1326567142720192</v>
      </c>
      <c r="AL129" s="33">
        <f>$I$54*$AL$54</f>
        <v>-1.0863540801470317E-3</v>
      </c>
      <c r="AM129" s="33">
        <f>$I$54*$AM$54</f>
        <v>0</v>
      </c>
      <c r="AN129" s="33">
        <f>$I$54*$AN$54</f>
        <v>12.885959438003608</v>
      </c>
      <c r="AO129" s="33">
        <f>$I$54*$AO$54</f>
        <v>2.4088944093890854</v>
      </c>
      <c r="AP129" s="33">
        <f>$I$54*$AP$54</f>
        <v>0</v>
      </c>
      <c r="AQ129" s="33">
        <f>$I$54*$AQ$54</f>
        <v>4.7448026830700547</v>
      </c>
      <c r="AR129" s="33">
        <f>$I$54*$AR$54</f>
        <v>-2.0168812357575926E-3</v>
      </c>
      <c r="AS129" s="33">
        <f>$I$54*$AS$54</f>
        <v>0</v>
      </c>
      <c r="AT129" s="33">
        <f>$I$54*$AT$54</f>
        <v>0</v>
      </c>
      <c r="AU129" s="33">
        <f>$I$54*$AU$54</f>
        <v>14.725963475406109</v>
      </c>
      <c r="AV129" s="33">
        <f>$I$54*$AV$54</f>
        <v>0</v>
      </c>
      <c r="AW129" s="33">
        <f>$I$54*$AW$54</f>
        <v>0</v>
      </c>
      <c r="AX129" s="33">
        <f>$I$54*$AX$54</f>
        <v>72.844402505174074</v>
      </c>
      <c r="AY129" s="33">
        <f>$I$54*$AY$54</f>
        <v>-2.1435337772678167E-2</v>
      </c>
      <c r="AZ129" s="33">
        <f>$I$54*$AZ$54</f>
        <v>0</v>
      </c>
      <c r="BA129" s="33">
        <f>$I$54*$BA$54</f>
        <v>9.5797694565181892</v>
      </c>
      <c r="BB129" s="33">
        <f>$I$54*$BB$54</f>
        <v>3.3288228782542957E-2</v>
      </c>
      <c r="BC129" s="33">
        <f>$I$54*$BC$54</f>
        <v>0.1811913473809362</v>
      </c>
      <c r="BD129" s="33">
        <f>$I$54*$BD$54</f>
        <v>0.75389699714364089</v>
      </c>
    </row>
    <row r="130" spans="1:56" ht="11.25" customHeight="1" x14ac:dyDescent="0.25">
      <c r="A130" s="9" t="s">
        <v>44</v>
      </c>
      <c r="B130" s="9" t="s">
        <v>1371</v>
      </c>
      <c r="C130" s="9" t="s">
        <v>1372</v>
      </c>
      <c r="D130" s="9" t="s">
        <v>1373</v>
      </c>
      <c r="E130" s="9" t="s">
        <v>1374</v>
      </c>
      <c r="F130" s="9" t="s">
        <v>1375</v>
      </c>
      <c r="G130" s="9" t="s">
        <v>1378</v>
      </c>
      <c r="L130" s="33">
        <f>$I$55*$L$55</f>
        <v>11.254713610804711</v>
      </c>
      <c r="M130" s="33">
        <f>$I$55*$M$55</f>
        <v>4.004297706583495</v>
      </c>
      <c r="N130" s="33">
        <f ca="1">$I$55*$N$55</f>
        <v>12.28467686270807</v>
      </c>
      <c r="O130" s="33">
        <f>$I$55*$O$55</f>
        <v>-2.4288137593910637E-2</v>
      </c>
      <c r="P130" s="33">
        <f>$I$55*$P$55</f>
        <v>0</v>
      </c>
      <c r="Q130" s="33">
        <f>$I$55*$Q$55</f>
        <v>516.10002432394674</v>
      </c>
      <c r="R130" s="33">
        <f>$I$55*$R$55</f>
        <v>87.332278383649751</v>
      </c>
      <c r="S130" s="33">
        <f>$I$55*$S$55</f>
        <v>0</v>
      </c>
      <c r="T130" s="33">
        <f>$I$55*$T$55</f>
        <v>41.191828979892769</v>
      </c>
      <c r="U130" s="33">
        <f>$I$55*$U$55</f>
        <v>0.46809085806872835</v>
      </c>
      <c r="V130" s="33">
        <f>$I$55*$V$55</f>
        <v>0</v>
      </c>
      <c r="W130" s="33">
        <f>$I$55*$W$55</f>
        <v>0</v>
      </c>
      <c r="X130" s="33">
        <f>$I$55*$X$55</f>
        <v>121.66174773594692</v>
      </c>
      <c r="Y130" s="33">
        <f>$I$55*$Y$55</f>
        <v>0</v>
      </c>
      <c r="Z130" s="33">
        <f>$I$55*$Z$55</f>
        <v>0</v>
      </c>
      <c r="AA130" s="33">
        <f>$I$55*$AA$55</f>
        <v>541.99324389851211</v>
      </c>
      <c r="AB130" s="33">
        <f ca="1">$I$55*$AB$55</f>
        <v>0</v>
      </c>
      <c r="AC130" s="33">
        <f ca="1">$I$55*$AC$55</f>
        <v>0</v>
      </c>
      <c r="AD130" s="33">
        <f>$I$55*$AD$55</f>
        <v>205.95858344469053</v>
      </c>
      <c r="AE130" s="33">
        <f>$I$55*$AE$55</f>
        <v>0.45731120197535002</v>
      </c>
      <c r="AF130" s="33">
        <f ca="1">$I$55*$AF$55</f>
        <v>3.7076053013440626</v>
      </c>
      <c r="AG130" s="33">
        <f ca="1">$I$55*$AG$55</f>
        <v>23.882895848341072</v>
      </c>
      <c r="AI130" s="33">
        <f>$I$55*$AI$55</f>
        <v>45.82695902122768</v>
      </c>
      <c r="AJ130" s="33">
        <f>$I$55*$AJ$55</f>
        <v>2.9594224829291611</v>
      </c>
      <c r="AK130" s="33">
        <f>$I$55*$AK$55</f>
        <v>9.5804020343638143</v>
      </c>
      <c r="AL130" s="33">
        <f>$I$55*$AL$55</f>
        <v>-2.0207760316937901E-2</v>
      </c>
      <c r="AM130" s="33">
        <f>$I$55*$AM$55</f>
        <v>0</v>
      </c>
      <c r="AN130" s="33">
        <f>$I$55*$AN$55</f>
        <v>239.69752085040045</v>
      </c>
      <c r="AO130" s="33">
        <f>$I$55*$AO$55</f>
        <v>44.808927165954941</v>
      </c>
      <c r="AP130" s="33">
        <f>$I$55*$AP$55</f>
        <v>0</v>
      </c>
      <c r="AQ130" s="33">
        <f>$I$55*$AQ$55</f>
        <v>29.419935171952801</v>
      </c>
      <c r="AR130" s="33">
        <f>$I$55*$AR$55</f>
        <v>-1.2506074924432918E-2</v>
      </c>
      <c r="AS130" s="33">
        <f>$I$55*$AS$55</f>
        <v>0</v>
      </c>
      <c r="AT130" s="33">
        <f>$I$55*$AT$55</f>
        <v>0</v>
      </c>
      <c r="AU130" s="33">
        <f>$I$55*$AU$55</f>
        <v>91.308087539534981</v>
      </c>
      <c r="AV130" s="33">
        <f>$I$55*$AV$55</f>
        <v>0</v>
      </c>
      <c r="AW130" s="33">
        <f>$I$55*$AW$55</f>
        <v>0</v>
      </c>
      <c r="AX130" s="33">
        <f>$I$55*$AX$55</f>
        <v>451.67033700905125</v>
      </c>
      <c r="AY130" s="33">
        <f>$I$55*$AY$55</f>
        <v>-0.19727745883179895</v>
      </c>
      <c r="AZ130" s="33">
        <f>$I$55*$AZ$55</f>
        <v>0</v>
      </c>
      <c r="BA130" s="33">
        <f>$I$55*$BA$55</f>
        <v>178.19759561508835</v>
      </c>
      <c r="BB130" s="33">
        <f>$I$55*$BB$55</f>
        <v>0.61920929916512879</v>
      </c>
      <c r="BC130" s="33">
        <f>$I$55*$BC$55</f>
        <v>3.3704216574410379</v>
      </c>
      <c r="BD130" s="33">
        <f>$I$55*$BD$55</f>
        <v>14.023576751215407</v>
      </c>
    </row>
    <row r="131" spans="1:56" ht="11.25" customHeight="1" x14ac:dyDescent="0.25">
      <c r="A131" s="9" t="s">
        <v>44</v>
      </c>
      <c r="B131" s="9" t="s">
        <v>1379</v>
      </c>
      <c r="C131" s="9" t="s">
        <v>1380</v>
      </c>
      <c r="D131" s="9" t="s">
        <v>1381</v>
      </c>
      <c r="E131" s="9" t="s">
        <v>1382</v>
      </c>
      <c r="F131" s="9" t="s">
        <v>1383</v>
      </c>
      <c r="G131" s="9" t="s">
        <v>1384</v>
      </c>
      <c r="L131" s="33">
        <f>$I$56*$L$56</f>
        <v>352562.88746117993</v>
      </c>
      <c r="M131" s="33">
        <f>$I$56*$M$56</f>
        <v>125437.82192129159</v>
      </c>
      <c r="N131" s="33">
        <f ca="1">$I$56*$N$56</f>
        <v>558781.31851819472</v>
      </c>
      <c r="O131" s="33">
        <f>$I$56*$O$56</f>
        <v>-760.84529711558866</v>
      </c>
      <c r="P131" s="33">
        <f>$I$56*$P$56</f>
        <v>0</v>
      </c>
      <c r="Q131" s="33">
        <f>$I$56*$Q$56</f>
        <v>16167245.217128713</v>
      </c>
      <c r="R131" s="33">
        <f>$I$56*$R$56</f>
        <v>2735753.3296932695</v>
      </c>
      <c r="S131" s="33">
        <f>$I$56*$S$56</f>
        <v>0</v>
      </c>
      <c r="T131" s="33">
        <f>$I$56*$T$56</f>
        <v>2263813.0326552941</v>
      </c>
      <c r="U131" s="33">
        <f>$I$56*$U$56</f>
        <v>25724.205658853643</v>
      </c>
      <c r="V131" s="33">
        <f>$I$56*$V$56</f>
        <v>0</v>
      </c>
      <c r="W131" s="33">
        <f>$I$56*$W$56</f>
        <v>0</v>
      </c>
      <c r="X131" s="33">
        <f>$I$56*$X$56</f>
        <v>6686232.9390292428</v>
      </c>
      <c r="Y131" s="33">
        <f>$I$56*$Y$56</f>
        <v>0</v>
      </c>
      <c r="Z131" s="33">
        <f>$I$56*$Z$56</f>
        <v>0</v>
      </c>
      <c r="AA131" s="33">
        <f>$I$56*$AA$56</f>
        <v>29786626.090628009</v>
      </c>
      <c r="AB131" s="33">
        <f ca="1">$I$56*$AB$56</f>
        <v>0</v>
      </c>
      <c r="AC131" s="33">
        <f ca="1">$I$56*$AC$56</f>
        <v>0</v>
      </c>
      <c r="AD131" s="33">
        <f>$I$56*$AD$56</f>
        <v>6451817.0241990387</v>
      </c>
      <c r="AE131" s="33">
        <f>$I$56*$AE$56</f>
        <v>14325.638431349145</v>
      </c>
      <c r="AF131" s="33">
        <f ca="1">$I$56*$AF$56</f>
        <v>116143.69550490756</v>
      </c>
      <c r="AG131" s="33">
        <f ca="1">$I$56*$AG$56</f>
        <v>748150.77596840879</v>
      </c>
      <c r="AI131" s="33">
        <f>$I$56*$AI$56</f>
        <v>1435566.0707864058</v>
      </c>
      <c r="AJ131" s="33">
        <f>$I$56*$AJ$56</f>
        <v>92706.271512530991</v>
      </c>
      <c r="AK131" s="33">
        <f>$I$56*$AK$56</f>
        <v>435862.26106358977</v>
      </c>
      <c r="AL131" s="33">
        <f>$I$56*$AL$56</f>
        <v>-633.02422192453048</v>
      </c>
      <c r="AM131" s="33">
        <f>$I$56*$AM$56</f>
        <v>0</v>
      </c>
      <c r="AN131" s="33">
        <f>$I$56*$AN$56</f>
        <v>7508716.1691234922</v>
      </c>
      <c r="AO131" s="33">
        <f>$I$56*$AO$56</f>
        <v>1403675.4103187909</v>
      </c>
      <c r="AP131" s="33">
        <f>$I$56*$AP$56</f>
        <v>0</v>
      </c>
      <c r="AQ131" s="33">
        <f>$I$56*$AQ$56</f>
        <v>1616855.4373890746</v>
      </c>
      <c r="AR131" s="33">
        <f>$I$56*$AR$56</f>
        <v>-687.27862934231644</v>
      </c>
      <c r="AS131" s="33">
        <f>$I$56*$AS$56</f>
        <v>0</v>
      </c>
      <c r="AT131" s="33">
        <f>$I$56*$AT$56</f>
        <v>0</v>
      </c>
      <c r="AU131" s="33">
        <f>$I$56*$AU$56</f>
        <v>5018069.8031039378</v>
      </c>
      <c r="AV131" s="33">
        <f>$I$56*$AV$56</f>
        <v>0</v>
      </c>
      <c r="AW131" s="33">
        <f>$I$56*$AW$56</f>
        <v>0</v>
      </c>
      <c r="AX131" s="33">
        <f>$I$56*$AX$56</f>
        <v>24822699.537626959</v>
      </c>
      <c r="AY131" s="33">
        <f>$I$56*$AY$56</f>
        <v>-8560.1932312497065</v>
      </c>
      <c r="AZ131" s="33">
        <f>$I$56*$AZ$56</f>
        <v>0</v>
      </c>
      <c r="BA131" s="33">
        <f>$I$56*$BA$56</f>
        <v>5582181.9213934848</v>
      </c>
      <c r="BB131" s="33">
        <f>$I$56*$BB$56</f>
        <v>19397.225554179364</v>
      </c>
      <c r="BC131" s="33">
        <f>$I$56*$BC$56</f>
        <v>105581.14871695488</v>
      </c>
      <c r="BD131" s="33">
        <f>$I$56*$BD$56</f>
        <v>439299.7354633236</v>
      </c>
    </row>
    <row r="132" spans="1:56" ht="11.25" customHeight="1" x14ac:dyDescent="0.25">
      <c r="A132" s="9" t="s">
        <v>44</v>
      </c>
      <c r="B132" s="9" t="s">
        <v>1371</v>
      </c>
      <c r="C132" s="9" t="s">
        <v>1372</v>
      </c>
      <c r="D132" s="9" t="s">
        <v>1385</v>
      </c>
      <c r="E132" s="9" t="s">
        <v>1386</v>
      </c>
      <c r="F132" s="9" t="s">
        <v>1387</v>
      </c>
      <c r="G132" s="9" t="s">
        <v>1388</v>
      </c>
      <c r="L132" s="33">
        <f>$I$57*$L$57</f>
        <v>0</v>
      </c>
      <c r="M132" s="33">
        <f>$I$57*$M$57</f>
        <v>0</v>
      </c>
      <c r="N132" s="33">
        <f ca="1">$I$57*$N$57</f>
        <v>0</v>
      </c>
      <c r="O132" s="33">
        <f>$I$57*$O$57</f>
        <v>0</v>
      </c>
      <c r="P132" s="33">
        <f>$I$57*$P$57</f>
        <v>0</v>
      </c>
      <c r="Q132" s="33">
        <f>$I$57*$Q$57</f>
        <v>0</v>
      </c>
      <c r="R132" s="33">
        <f>$I$57*$R$57</f>
        <v>0</v>
      </c>
      <c r="S132" s="33">
        <f>$I$57*$S$57</f>
        <v>0</v>
      </c>
      <c r="T132" s="33">
        <f>$I$57*$T$57</f>
        <v>0</v>
      </c>
      <c r="U132" s="33">
        <f>$I$57*$U$57</f>
        <v>0</v>
      </c>
      <c r="V132" s="33">
        <f>$I$57*$V$57</f>
        <v>0</v>
      </c>
      <c r="W132" s="33">
        <f>$I$57*$W$57</f>
        <v>0</v>
      </c>
      <c r="X132" s="33">
        <f>$I$57*$X$57</f>
        <v>0</v>
      </c>
      <c r="Y132" s="33">
        <f>$I$57*$Y$57</f>
        <v>0</v>
      </c>
      <c r="Z132" s="33">
        <f>$I$57*$Z$57</f>
        <v>0</v>
      </c>
      <c r="AA132" s="33">
        <f>$I$57*$AA$57</f>
        <v>0</v>
      </c>
      <c r="AB132" s="33">
        <f ca="1">$I$57*$AB$57</f>
        <v>0</v>
      </c>
      <c r="AC132" s="33">
        <f ca="1">$I$57*$AC$57</f>
        <v>0</v>
      </c>
      <c r="AD132" s="33">
        <f>$I$57*$AD$57</f>
        <v>0</v>
      </c>
      <c r="AE132" s="33">
        <f>$I$57*$AE$57</f>
        <v>0</v>
      </c>
      <c r="AF132" s="33">
        <f ca="1">$I$57*$AF$57</f>
        <v>0</v>
      </c>
      <c r="AG132" s="33">
        <f ca="1">$I$57*$AG$57</f>
        <v>0</v>
      </c>
      <c r="AI132" s="33">
        <f>$I$57*$AI$57</f>
        <v>0</v>
      </c>
      <c r="AJ132" s="33">
        <f>$I$57*$AJ$57</f>
        <v>0</v>
      </c>
      <c r="AK132" s="33">
        <f>$I$57*$AK$57</f>
        <v>0</v>
      </c>
      <c r="AL132" s="33">
        <f>$I$57*$AL$57</f>
        <v>0</v>
      </c>
      <c r="AM132" s="33">
        <f>$I$57*$AM$57</f>
        <v>0</v>
      </c>
      <c r="AN132" s="33">
        <f>$I$57*$AN$57</f>
        <v>0</v>
      </c>
      <c r="AO132" s="33">
        <f>$I$57*$AO$57</f>
        <v>0</v>
      </c>
      <c r="AP132" s="33">
        <f>$I$57*$AP$57</f>
        <v>0</v>
      </c>
      <c r="AQ132" s="33">
        <f>$I$57*$AQ$57</f>
        <v>0</v>
      </c>
      <c r="AR132" s="33">
        <f>$I$57*$AR$57</f>
        <v>0</v>
      </c>
      <c r="AS132" s="33">
        <f>$I$57*$AS$57</f>
        <v>0</v>
      </c>
      <c r="AT132" s="33">
        <f>$I$57*$AT$57</f>
        <v>0</v>
      </c>
      <c r="AU132" s="33">
        <f>$I$57*$AU$57</f>
        <v>0</v>
      </c>
      <c r="AV132" s="33">
        <f>$I$57*$AV$57</f>
        <v>0</v>
      </c>
      <c r="AW132" s="33">
        <f>$I$57*$AW$57</f>
        <v>0</v>
      </c>
      <c r="AX132" s="33">
        <f>$I$57*$AX$57</f>
        <v>0</v>
      </c>
      <c r="AY132" s="33">
        <f>$I$57*$AY$57</f>
        <v>0</v>
      </c>
      <c r="AZ132" s="33">
        <f>$I$57*$AZ$57</f>
        <v>0</v>
      </c>
      <c r="BA132" s="33">
        <f>$I$57*$BA$57</f>
        <v>0</v>
      </c>
      <c r="BB132" s="33">
        <f>$I$57*$BB$57</f>
        <v>0</v>
      </c>
      <c r="BC132" s="33">
        <f>$I$57*$BC$57</f>
        <v>0</v>
      </c>
      <c r="BD132" s="33">
        <f>$I$57*$BD$57</f>
        <v>0</v>
      </c>
    </row>
    <row r="133" spans="1:56" ht="11.25" customHeight="1" x14ac:dyDescent="0.25">
      <c r="A133" s="9" t="s">
        <v>44</v>
      </c>
      <c r="B133" s="9" t="s">
        <v>1371</v>
      </c>
      <c r="C133" s="9" t="s">
        <v>1372</v>
      </c>
      <c r="D133" s="9" t="s">
        <v>1385</v>
      </c>
      <c r="E133" s="9" t="s">
        <v>1386</v>
      </c>
      <c r="F133" s="9" t="s">
        <v>1387</v>
      </c>
      <c r="G133" s="9" t="s">
        <v>1389</v>
      </c>
      <c r="L133" s="33">
        <f>$I$58*$L$58</f>
        <v>0</v>
      </c>
      <c r="M133" s="33">
        <f>$I$58*$M$58</f>
        <v>0</v>
      </c>
      <c r="N133" s="33">
        <f ca="1">$I$58*$N$58</f>
        <v>0</v>
      </c>
      <c r="O133" s="33">
        <f>$I$58*$O$58</f>
        <v>0</v>
      </c>
      <c r="P133" s="33">
        <f>$I$58*$P$58</f>
        <v>0</v>
      </c>
      <c r="Q133" s="33">
        <f>$I$58*$Q$58</f>
        <v>0</v>
      </c>
      <c r="R133" s="33">
        <f>$I$58*$R$58</f>
        <v>0</v>
      </c>
      <c r="S133" s="33">
        <f>$I$58*$S$58</f>
        <v>0</v>
      </c>
      <c r="T133" s="33">
        <f>$I$58*$T$58</f>
        <v>0</v>
      </c>
      <c r="U133" s="33">
        <f>$I$58*$U$58</f>
        <v>0</v>
      </c>
      <c r="V133" s="33">
        <f>$I$58*$V$58</f>
        <v>0</v>
      </c>
      <c r="W133" s="33">
        <f>$I$58*$W$58</f>
        <v>0</v>
      </c>
      <c r="X133" s="33">
        <f>$I$58*$X$58</f>
        <v>0</v>
      </c>
      <c r="Y133" s="33">
        <f>$I$58*$Y$58</f>
        <v>0</v>
      </c>
      <c r="Z133" s="33">
        <f>$I$58*$Z$58</f>
        <v>0</v>
      </c>
      <c r="AA133" s="33">
        <f>$I$58*$AA$58</f>
        <v>0</v>
      </c>
      <c r="AB133" s="33">
        <f ca="1">$I$58*$AB$58</f>
        <v>0</v>
      </c>
      <c r="AC133" s="33">
        <f ca="1">$I$58*$AC$58</f>
        <v>0</v>
      </c>
      <c r="AD133" s="33">
        <f>$I$58*$AD$58</f>
        <v>0</v>
      </c>
      <c r="AE133" s="33">
        <f>$I$58*$AE$58</f>
        <v>0</v>
      </c>
      <c r="AF133" s="33">
        <f ca="1">$I$58*$AF$58</f>
        <v>0</v>
      </c>
      <c r="AG133" s="33">
        <f ca="1">$I$58*$AG$58</f>
        <v>0</v>
      </c>
      <c r="AI133" s="33">
        <f>$I$58*$AI$58</f>
        <v>0</v>
      </c>
      <c r="AJ133" s="33">
        <f>$I$58*$AJ$58</f>
        <v>0</v>
      </c>
      <c r="AK133" s="33">
        <f>$I$58*$AK$58</f>
        <v>0</v>
      </c>
      <c r="AL133" s="33">
        <f>$I$58*$AL$58</f>
        <v>0</v>
      </c>
      <c r="AM133" s="33">
        <f>$I$58*$AM$58</f>
        <v>0</v>
      </c>
      <c r="AN133" s="33">
        <f>$I$58*$AN$58</f>
        <v>0</v>
      </c>
      <c r="AO133" s="33">
        <f>$I$58*$AO$58</f>
        <v>0</v>
      </c>
      <c r="AP133" s="33">
        <f>$I$58*$AP$58</f>
        <v>0</v>
      </c>
      <c r="AQ133" s="33">
        <f>$I$58*$AQ$58</f>
        <v>0</v>
      </c>
      <c r="AR133" s="33">
        <f>$I$58*$AR$58</f>
        <v>0</v>
      </c>
      <c r="AS133" s="33">
        <f>$I$58*$AS$58</f>
        <v>0</v>
      </c>
      <c r="AT133" s="33">
        <f>$I$58*$AT$58</f>
        <v>0</v>
      </c>
      <c r="AU133" s="33">
        <f>$I$58*$AU$58</f>
        <v>0</v>
      </c>
      <c r="AV133" s="33">
        <f>$I$58*$AV$58</f>
        <v>0</v>
      </c>
      <c r="AW133" s="33">
        <f>$I$58*$AW$58</f>
        <v>0</v>
      </c>
      <c r="AX133" s="33">
        <f>$I$58*$AX$58</f>
        <v>0</v>
      </c>
      <c r="AY133" s="33">
        <f>$I$58*$AY$58</f>
        <v>0</v>
      </c>
      <c r="AZ133" s="33">
        <f>$I$58*$AZ$58</f>
        <v>0</v>
      </c>
      <c r="BA133" s="33">
        <f>$I$58*$BA$58</f>
        <v>0</v>
      </c>
      <c r="BB133" s="33">
        <f>$I$58*$BB$58</f>
        <v>0</v>
      </c>
      <c r="BC133" s="33">
        <f>$I$58*$BC$58</f>
        <v>0</v>
      </c>
      <c r="BD133" s="33">
        <f>$I$58*$BD$58</f>
        <v>0</v>
      </c>
    </row>
    <row r="134" spans="1:56" ht="11.25" customHeight="1" x14ac:dyDescent="0.25">
      <c r="A134" s="9" t="s">
        <v>44</v>
      </c>
      <c r="B134" s="9" t="s">
        <v>1371</v>
      </c>
      <c r="C134" s="9" t="s">
        <v>1372</v>
      </c>
      <c r="D134" s="9" t="s">
        <v>1385</v>
      </c>
      <c r="E134" s="9" t="s">
        <v>1386</v>
      </c>
      <c r="F134" s="9" t="s">
        <v>1387</v>
      </c>
      <c r="G134" s="9" t="s">
        <v>1390</v>
      </c>
      <c r="L134" s="33">
        <f>$I$59*$L$59</f>
        <v>0</v>
      </c>
      <c r="M134" s="33">
        <f>$I$59*$M$59</f>
        <v>0</v>
      </c>
      <c r="N134" s="33">
        <f ca="1">$I$59*$N$59</f>
        <v>0</v>
      </c>
      <c r="O134" s="33">
        <f>$I$59*$O$59</f>
        <v>0</v>
      </c>
      <c r="P134" s="33">
        <f>$I$59*$P$59</f>
        <v>0</v>
      </c>
      <c r="Q134" s="33">
        <f>$I$59*$Q$59</f>
        <v>0</v>
      </c>
      <c r="R134" s="33">
        <f>$I$59*$R$59</f>
        <v>0</v>
      </c>
      <c r="S134" s="33">
        <f>$I$59*$S$59</f>
        <v>0</v>
      </c>
      <c r="T134" s="33">
        <f>$I$59*$T$59</f>
        <v>0</v>
      </c>
      <c r="U134" s="33">
        <f>$I$59*$U$59</f>
        <v>0</v>
      </c>
      <c r="V134" s="33">
        <f>$I$59*$V$59</f>
        <v>0</v>
      </c>
      <c r="W134" s="33">
        <f>$I$59*$W$59</f>
        <v>0</v>
      </c>
      <c r="X134" s="33">
        <f>$I$59*$X$59</f>
        <v>0</v>
      </c>
      <c r="Y134" s="33">
        <f>$I$59*$Y$59</f>
        <v>0</v>
      </c>
      <c r="Z134" s="33">
        <f>$I$59*$Z$59</f>
        <v>0</v>
      </c>
      <c r="AA134" s="33">
        <f>$I$59*$AA$59</f>
        <v>0</v>
      </c>
      <c r="AB134" s="33">
        <f ca="1">$I$59*$AB$59</f>
        <v>0</v>
      </c>
      <c r="AC134" s="33">
        <f ca="1">$I$59*$AC$59</f>
        <v>0</v>
      </c>
      <c r="AD134" s="33">
        <f>$I$59*$AD$59</f>
        <v>0</v>
      </c>
      <c r="AE134" s="33">
        <f>$I$59*$AE$59</f>
        <v>0</v>
      </c>
      <c r="AF134" s="33">
        <f ca="1">$I$59*$AF$59</f>
        <v>0</v>
      </c>
      <c r="AG134" s="33">
        <f ca="1">$I$59*$AG$59</f>
        <v>0</v>
      </c>
      <c r="AI134" s="33">
        <f>$I$59*$AI$59</f>
        <v>0</v>
      </c>
      <c r="AJ134" s="33">
        <f>$I$59*$AJ$59</f>
        <v>0</v>
      </c>
      <c r="AK134" s="33">
        <f>$I$59*$AK$59</f>
        <v>0</v>
      </c>
      <c r="AL134" s="33">
        <f>$I$59*$AL$59</f>
        <v>0</v>
      </c>
      <c r="AM134" s="33">
        <f>$I$59*$AM$59</f>
        <v>0</v>
      </c>
      <c r="AN134" s="33">
        <f>$I$59*$AN$59</f>
        <v>0</v>
      </c>
      <c r="AO134" s="33">
        <f>$I$59*$AO$59</f>
        <v>0</v>
      </c>
      <c r="AP134" s="33">
        <f>$I$59*$AP$59</f>
        <v>0</v>
      </c>
      <c r="AQ134" s="33">
        <f>$I$59*$AQ$59</f>
        <v>0</v>
      </c>
      <c r="AR134" s="33">
        <f>$I$59*$AR$59</f>
        <v>0</v>
      </c>
      <c r="AS134" s="33">
        <f>$I$59*$AS$59</f>
        <v>0</v>
      </c>
      <c r="AT134" s="33">
        <f>$I$59*$AT$59</f>
        <v>0</v>
      </c>
      <c r="AU134" s="33">
        <f>$I$59*$AU$59</f>
        <v>0</v>
      </c>
      <c r="AV134" s="33">
        <f>$I$59*$AV$59</f>
        <v>0</v>
      </c>
      <c r="AW134" s="33">
        <f>$I$59*$AW$59</f>
        <v>0</v>
      </c>
      <c r="AX134" s="33">
        <f>$I$59*$AX$59</f>
        <v>0</v>
      </c>
      <c r="AY134" s="33">
        <f>$I$59*$AY$59</f>
        <v>0</v>
      </c>
      <c r="AZ134" s="33">
        <f>$I$59*$AZ$59</f>
        <v>0</v>
      </c>
      <c r="BA134" s="33">
        <f>$I$59*$BA$59</f>
        <v>0</v>
      </c>
      <c r="BB134" s="33">
        <f>$I$59*$BB$59</f>
        <v>0</v>
      </c>
      <c r="BC134" s="33">
        <f>$I$59*$BC$59</f>
        <v>0</v>
      </c>
      <c r="BD134" s="33">
        <f>$I$59*$BD$59</f>
        <v>0</v>
      </c>
    </row>
    <row r="135" spans="1:56" ht="11.25" customHeight="1" x14ac:dyDescent="0.25">
      <c r="A135" s="9" t="s">
        <v>44</v>
      </c>
      <c r="B135" s="9" t="s">
        <v>1379</v>
      </c>
      <c r="C135" s="9" t="s">
        <v>1380</v>
      </c>
      <c r="D135" s="9" t="s">
        <v>1391</v>
      </c>
      <c r="E135" s="9" t="s">
        <v>1392</v>
      </c>
      <c r="F135" s="9" t="s">
        <v>1393</v>
      </c>
      <c r="G135" s="9" t="s">
        <v>1394</v>
      </c>
      <c r="L135" s="33">
        <f>$I$60*$L$60</f>
        <v>0</v>
      </c>
      <c r="M135" s="33">
        <f>$I$60*$M$60</f>
        <v>0</v>
      </c>
      <c r="N135" s="33">
        <f ca="1">$I$60*$N$60</f>
        <v>0</v>
      </c>
      <c r="O135" s="33">
        <f>$I$60*$O$60</f>
        <v>0</v>
      </c>
      <c r="P135" s="33">
        <f>$I$60*$P$60</f>
        <v>0</v>
      </c>
      <c r="Q135" s="33">
        <f>$I$60*$Q$60</f>
        <v>0</v>
      </c>
      <c r="R135" s="33">
        <f>$I$60*$R$60</f>
        <v>0</v>
      </c>
      <c r="S135" s="33">
        <f>$I$60*$S$60</f>
        <v>0</v>
      </c>
      <c r="T135" s="33">
        <f>$I$60*$T$60</f>
        <v>0</v>
      </c>
      <c r="U135" s="33">
        <f>$I$60*$U$60</f>
        <v>0</v>
      </c>
      <c r="V135" s="33">
        <f>$I$60*$V$60</f>
        <v>0</v>
      </c>
      <c r="W135" s="33">
        <f>$I$60*$W$60</f>
        <v>0</v>
      </c>
      <c r="X135" s="33">
        <f>$I$60*$X$60</f>
        <v>0</v>
      </c>
      <c r="Y135" s="33">
        <f>$I$60*$Y$60</f>
        <v>0</v>
      </c>
      <c r="Z135" s="33">
        <f>$I$60*$Z$60</f>
        <v>0</v>
      </c>
      <c r="AA135" s="33">
        <f>$I$60*$AA$60</f>
        <v>0</v>
      </c>
      <c r="AB135" s="33">
        <f ca="1">$I$60*$AB$60</f>
        <v>0</v>
      </c>
      <c r="AC135" s="33">
        <f ca="1">$I$60*$AC$60</f>
        <v>0</v>
      </c>
      <c r="AD135" s="33">
        <f>$I$60*$AD$60</f>
        <v>0</v>
      </c>
      <c r="AE135" s="33">
        <f>$I$60*$AE$60</f>
        <v>0</v>
      </c>
      <c r="AF135" s="33">
        <f ca="1">$I$60*$AF$60</f>
        <v>0</v>
      </c>
      <c r="AG135" s="33">
        <f ca="1">$I$60*$AG$60</f>
        <v>0</v>
      </c>
      <c r="AI135" s="33">
        <f>$I$60*$AI$60</f>
        <v>0</v>
      </c>
      <c r="AJ135" s="33">
        <f>$I$60*$AJ$60</f>
        <v>0</v>
      </c>
      <c r="AK135" s="33">
        <f>$I$60*$AK$60</f>
        <v>0</v>
      </c>
      <c r="AL135" s="33">
        <f>$I$60*$AL$60</f>
        <v>0</v>
      </c>
      <c r="AM135" s="33">
        <f>$I$60*$AM$60</f>
        <v>0</v>
      </c>
      <c r="AN135" s="33">
        <f>$I$60*$AN$60</f>
        <v>0</v>
      </c>
      <c r="AO135" s="33">
        <f>$I$60*$AO$60</f>
        <v>0</v>
      </c>
      <c r="AP135" s="33">
        <f>$I$60*$AP$60</f>
        <v>0</v>
      </c>
      <c r="AQ135" s="33">
        <f>$I$60*$AQ$60</f>
        <v>0</v>
      </c>
      <c r="AR135" s="33">
        <f>$I$60*$AR$60</f>
        <v>0</v>
      </c>
      <c r="AS135" s="33">
        <f>$I$60*$AS$60</f>
        <v>0</v>
      </c>
      <c r="AT135" s="33">
        <f>$I$60*$AT$60</f>
        <v>0</v>
      </c>
      <c r="AU135" s="33">
        <f>$I$60*$AU$60</f>
        <v>0</v>
      </c>
      <c r="AV135" s="33">
        <f>$I$60*$AV$60</f>
        <v>0</v>
      </c>
      <c r="AW135" s="33">
        <f>$I$60*$AW$60</f>
        <v>0</v>
      </c>
      <c r="AX135" s="33">
        <f>$I$60*$AX$60</f>
        <v>0</v>
      </c>
      <c r="AY135" s="33">
        <f>$I$60*$AY$60</f>
        <v>0</v>
      </c>
      <c r="AZ135" s="33">
        <f>$I$60*$AZ$60</f>
        <v>0</v>
      </c>
      <c r="BA135" s="33">
        <f>$I$60*$BA$60</f>
        <v>0</v>
      </c>
      <c r="BB135" s="33">
        <f>$I$60*$BB$60</f>
        <v>0</v>
      </c>
      <c r="BC135" s="33">
        <f>$I$60*$BC$60</f>
        <v>0</v>
      </c>
      <c r="BD135" s="33">
        <f>$I$60*$BD$60</f>
        <v>0</v>
      </c>
    </row>
    <row r="136" spans="1:56" ht="11.25" customHeight="1" x14ac:dyDescent="0.25">
      <c r="A136" s="9" t="s">
        <v>44</v>
      </c>
      <c r="B136" s="9" t="s">
        <v>1371</v>
      </c>
      <c r="C136" s="9" t="s">
        <v>1372</v>
      </c>
      <c r="D136" s="9" t="s">
        <v>1395</v>
      </c>
      <c r="E136" s="9" t="s">
        <v>1396</v>
      </c>
      <c r="F136" s="9" t="s">
        <v>1397</v>
      </c>
      <c r="G136" s="9" t="s">
        <v>1398</v>
      </c>
      <c r="L136" s="33">
        <f>$I$61*$L$61</f>
        <v>0</v>
      </c>
      <c r="M136" s="33">
        <f>$I$61*$M$61</f>
        <v>0</v>
      </c>
      <c r="N136" s="33">
        <f ca="1">$I$61*$N$61</f>
        <v>0</v>
      </c>
      <c r="O136" s="33">
        <f>$I$61*$O$61</f>
        <v>0</v>
      </c>
      <c r="P136" s="33">
        <f>$I$61*$P$61</f>
        <v>0</v>
      </c>
      <c r="Q136" s="33">
        <f>$I$61*$Q$61</f>
        <v>0</v>
      </c>
      <c r="R136" s="33">
        <f>$I$61*$R$61</f>
        <v>0</v>
      </c>
      <c r="S136" s="33">
        <f>$I$61*$S$61</f>
        <v>0</v>
      </c>
      <c r="T136" s="33">
        <f>$I$61*$T$61</f>
        <v>0</v>
      </c>
      <c r="U136" s="33">
        <f>$I$61*$U$61</f>
        <v>0</v>
      </c>
      <c r="V136" s="33">
        <f>$I$61*$V$61</f>
        <v>0</v>
      </c>
      <c r="W136" s="33">
        <f>$I$61*$W$61</f>
        <v>0</v>
      </c>
      <c r="X136" s="33">
        <f>$I$61*$X$61</f>
        <v>0</v>
      </c>
      <c r="Y136" s="33">
        <f>$I$61*$Y$61</f>
        <v>0</v>
      </c>
      <c r="Z136" s="33">
        <f>$I$61*$Z$61</f>
        <v>0</v>
      </c>
      <c r="AA136" s="33">
        <f>$I$61*$AA$61</f>
        <v>0</v>
      </c>
      <c r="AB136" s="33">
        <f ca="1">$I$61*$AB$61</f>
        <v>0</v>
      </c>
      <c r="AC136" s="33">
        <f ca="1">$I$61*$AC$61</f>
        <v>0</v>
      </c>
      <c r="AD136" s="33">
        <f>$I$61*$AD$61</f>
        <v>0</v>
      </c>
      <c r="AE136" s="33">
        <f>$I$61*$AE$61</f>
        <v>0</v>
      </c>
      <c r="AF136" s="33">
        <f ca="1">$I$61*$AF$61</f>
        <v>0</v>
      </c>
      <c r="AG136" s="33">
        <f ca="1">$I$61*$AG$61</f>
        <v>0</v>
      </c>
      <c r="AI136" s="33">
        <f>$I$61*$AI$61</f>
        <v>0</v>
      </c>
      <c r="AJ136" s="33">
        <f>$I$61*$AJ$61</f>
        <v>0</v>
      </c>
      <c r="AK136" s="33">
        <f>$I$61*$AK$61</f>
        <v>0</v>
      </c>
      <c r="AL136" s="33">
        <f>$I$61*$AL$61</f>
        <v>0</v>
      </c>
      <c r="AM136" s="33">
        <f>$I$61*$AM$61</f>
        <v>0</v>
      </c>
      <c r="AN136" s="33">
        <f>$I$61*$AN$61</f>
        <v>0</v>
      </c>
      <c r="AO136" s="33">
        <f>$I$61*$AO$61</f>
        <v>0</v>
      </c>
      <c r="AP136" s="33">
        <f>$I$61*$AP$61</f>
        <v>0</v>
      </c>
      <c r="AQ136" s="33">
        <f>$I$61*$AQ$61</f>
        <v>0</v>
      </c>
      <c r="AR136" s="33">
        <f>$I$61*$AR$61</f>
        <v>0</v>
      </c>
      <c r="AS136" s="33">
        <f>$I$61*$AS$61</f>
        <v>0</v>
      </c>
      <c r="AT136" s="33">
        <f>$I$61*$AT$61</f>
        <v>0</v>
      </c>
      <c r="AU136" s="33">
        <f>$I$61*$AU$61</f>
        <v>0</v>
      </c>
      <c r="AV136" s="33">
        <f>$I$61*$AV$61</f>
        <v>0</v>
      </c>
      <c r="AW136" s="33">
        <f>$I$61*$AW$61</f>
        <v>0</v>
      </c>
      <c r="AX136" s="33">
        <f>$I$61*$AX$61</f>
        <v>0</v>
      </c>
      <c r="AY136" s="33">
        <f>$I$61*$AY$61</f>
        <v>0</v>
      </c>
      <c r="AZ136" s="33">
        <f>$I$61*$AZ$61</f>
        <v>0</v>
      </c>
      <c r="BA136" s="33">
        <f>$I$61*$BA$61</f>
        <v>0</v>
      </c>
      <c r="BB136" s="33">
        <f>$I$61*$BB$61</f>
        <v>0</v>
      </c>
      <c r="BC136" s="33">
        <f>$I$61*$BC$61</f>
        <v>0</v>
      </c>
      <c r="BD136" s="33">
        <f>$I$61*$BD$61</f>
        <v>0</v>
      </c>
    </row>
    <row r="137" spans="1:56" ht="11.25" customHeight="1" x14ac:dyDescent="0.25">
      <c r="A137" s="9" t="s">
        <v>44</v>
      </c>
      <c r="B137" s="9" t="s">
        <v>1371</v>
      </c>
      <c r="C137" s="9" t="s">
        <v>1372</v>
      </c>
      <c r="D137" s="9" t="s">
        <v>1395</v>
      </c>
      <c r="E137" s="9" t="s">
        <v>1396</v>
      </c>
      <c r="F137" s="9" t="s">
        <v>1397</v>
      </c>
      <c r="G137" s="9" t="s">
        <v>1399</v>
      </c>
      <c r="L137" s="33">
        <f>$I$62*$L$62</f>
        <v>0</v>
      </c>
      <c r="M137" s="33">
        <f>$I$62*$M$62</f>
        <v>0</v>
      </c>
      <c r="N137" s="33">
        <f ca="1">$I$62*$N$62</f>
        <v>0</v>
      </c>
      <c r="O137" s="33">
        <f>$I$62*$O$62</f>
        <v>0</v>
      </c>
      <c r="P137" s="33">
        <f>$I$62*$P$62</f>
        <v>0</v>
      </c>
      <c r="Q137" s="33">
        <f>$I$62*$Q$62</f>
        <v>0</v>
      </c>
      <c r="R137" s="33">
        <f>$I$62*$R$62</f>
        <v>0</v>
      </c>
      <c r="S137" s="33">
        <f>$I$62*$S$62</f>
        <v>0</v>
      </c>
      <c r="T137" s="33">
        <f>$I$62*$T$62</f>
        <v>0</v>
      </c>
      <c r="U137" s="33">
        <f>$I$62*$U$62</f>
        <v>0</v>
      </c>
      <c r="V137" s="33">
        <f>$I$62*$V$62</f>
        <v>0</v>
      </c>
      <c r="W137" s="33">
        <f>$I$62*$W$62</f>
        <v>0</v>
      </c>
      <c r="X137" s="33">
        <f>$I$62*$X$62</f>
        <v>0</v>
      </c>
      <c r="Y137" s="33">
        <f>$I$62*$Y$62</f>
        <v>0</v>
      </c>
      <c r="Z137" s="33">
        <f>$I$62*$Z$62</f>
        <v>0</v>
      </c>
      <c r="AA137" s="33">
        <f>$I$62*$AA$62</f>
        <v>0</v>
      </c>
      <c r="AB137" s="33">
        <f ca="1">$I$62*$AB$62</f>
        <v>0</v>
      </c>
      <c r="AC137" s="33">
        <f ca="1">$I$62*$AC$62</f>
        <v>0</v>
      </c>
      <c r="AD137" s="33">
        <f>$I$62*$AD$62</f>
        <v>0</v>
      </c>
      <c r="AE137" s="33">
        <f>$I$62*$AE$62</f>
        <v>0</v>
      </c>
      <c r="AF137" s="33">
        <f ca="1">$I$62*$AF$62</f>
        <v>0</v>
      </c>
      <c r="AG137" s="33">
        <f ca="1">$I$62*$AG$62</f>
        <v>0</v>
      </c>
      <c r="AI137" s="33">
        <f>$I$62*$AI$62</f>
        <v>0</v>
      </c>
      <c r="AJ137" s="33">
        <f>$I$62*$AJ$62</f>
        <v>0</v>
      </c>
      <c r="AK137" s="33">
        <f>$I$62*$AK$62</f>
        <v>0</v>
      </c>
      <c r="AL137" s="33">
        <f>$I$62*$AL$62</f>
        <v>0</v>
      </c>
      <c r="AM137" s="33">
        <f>$I$62*$AM$62</f>
        <v>0</v>
      </c>
      <c r="AN137" s="33">
        <f>$I$62*$AN$62</f>
        <v>0</v>
      </c>
      <c r="AO137" s="33">
        <f>$I$62*$AO$62</f>
        <v>0</v>
      </c>
      <c r="AP137" s="33">
        <f>$I$62*$AP$62</f>
        <v>0</v>
      </c>
      <c r="AQ137" s="33">
        <f>$I$62*$AQ$62</f>
        <v>0</v>
      </c>
      <c r="AR137" s="33">
        <f>$I$62*$AR$62</f>
        <v>0</v>
      </c>
      <c r="AS137" s="33">
        <f>$I$62*$AS$62</f>
        <v>0</v>
      </c>
      <c r="AT137" s="33">
        <f>$I$62*$AT$62</f>
        <v>0</v>
      </c>
      <c r="AU137" s="33">
        <f>$I$62*$AU$62</f>
        <v>0</v>
      </c>
      <c r="AV137" s="33">
        <f>$I$62*$AV$62</f>
        <v>0</v>
      </c>
      <c r="AW137" s="33">
        <f>$I$62*$AW$62</f>
        <v>0</v>
      </c>
      <c r="AX137" s="33">
        <f>$I$62*$AX$62</f>
        <v>0</v>
      </c>
      <c r="AY137" s="33">
        <f>$I$62*$AY$62</f>
        <v>0</v>
      </c>
      <c r="AZ137" s="33">
        <f>$I$62*$AZ$62</f>
        <v>0</v>
      </c>
      <c r="BA137" s="33">
        <f>$I$62*$BA$62</f>
        <v>0</v>
      </c>
      <c r="BB137" s="33">
        <f>$I$62*$BB$62</f>
        <v>0</v>
      </c>
      <c r="BC137" s="33">
        <f>$I$62*$BC$62</f>
        <v>0</v>
      </c>
      <c r="BD137" s="33">
        <f>$I$62*$BD$62</f>
        <v>0</v>
      </c>
    </row>
    <row r="138" spans="1:56" ht="11.25" customHeight="1" x14ac:dyDescent="0.25">
      <c r="A138" s="9" t="s">
        <v>44</v>
      </c>
      <c r="B138" s="9" t="s">
        <v>1371</v>
      </c>
      <c r="C138" s="9" t="s">
        <v>1372</v>
      </c>
      <c r="D138" s="9" t="s">
        <v>1395</v>
      </c>
      <c r="E138" s="9" t="s">
        <v>1396</v>
      </c>
      <c r="F138" s="9" t="s">
        <v>1397</v>
      </c>
      <c r="G138" s="9" t="s">
        <v>1400</v>
      </c>
      <c r="L138" s="33">
        <f>$I$63*$L$63</f>
        <v>0</v>
      </c>
      <c r="M138" s="33">
        <f>$I$63*$M$63</f>
        <v>0</v>
      </c>
      <c r="N138" s="33">
        <f ca="1">$I$63*$N$63</f>
        <v>0</v>
      </c>
      <c r="O138" s="33">
        <f>$I$63*$O$63</f>
        <v>0</v>
      </c>
      <c r="P138" s="33">
        <f>$I$63*$P$63</f>
        <v>0</v>
      </c>
      <c r="Q138" s="33">
        <f>$I$63*$Q$63</f>
        <v>0</v>
      </c>
      <c r="R138" s="33">
        <f>$I$63*$R$63</f>
        <v>0</v>
      </c>
      <c r="S138" s="33">
        <f>$I$63*$S$63</f>
        <v>0</v>
      </c>
      <c r="T138" s="33">
        <f>$I$63*$T$63</f>
        <v>0</v>
      </c>
      <c r="U138" s="33">
        <f>$I$63*$U$63</f>
        <v>0</v>
      </c>
      <c r="V138" s="33">
        <f>$I$63*$V$63</f>
        <v>0</v>
      </c>
      <c r="W138" s="33">
        <f>$I$63*$W$63</f>
        <v>0</v>
      </c>
      <c r="X138" s="33">
        <f>$I$63*$X$63</f>
        <v>0</v>
      </c>
      <c r="Y138" s="33">
        <f>$I$63*$Y$63</f>
        <v>0</v>
      </c>
      <c r="Z138" s="33">
        <f>$I$63*$Z$63</f>
        <v>0</v>
      </c>
      <c r="AA138" s="33">
        <f>$I$63*$AA$63</f>
        <v>0</v>
      </c>
      <c r="AB138" s="33">
        <f ca="1">$I$63*$AB$63</f>
        <v>0</v>
      </c>
      <c r="AC138" s="33">
        <f ca="1">$I$63*$AC$63</f>
        <v>0</v>
      </c>
      <c r="AD138" s="33">
        <f>$I$63*$AD$63</f>
        <v>0</v>
      </c>
      <c r="AE138" s="33">
        <f>$I$63*$AE$63</f>
        <v>0</v>
      </c>
      <c r="AF138" s="33">
        <f ca="1">$I$63*$AF$63</f>
        <v>0</v>
      </c>
      <c r="AG138" s="33">
        <f ca="1">$I$63*$AG$63</f>
        <v>0</v>
      </c>
      <c r="AI138" s="33">
        <f>$I$63*$AI$63</f>
        <v>0</v>
      </c>
      <c r="AJ138" s="33">
        <f>$I$63*$AJ$63</f>
        <v>0</v>
      </c>
      <c r="AK138" s="33">
        <f>$I$63*$AK$63</f>
        <v>0</v>
      </c>
      <c r="AL138" s="33">
        <f>$I$63*$AL$63</f>
        <v>0</v>
      </c>
      <c r="AM138" s="33">
        <f>$I$63*$AM$63</f>
        <v>0</v>
      </c>
      <c r="AN138" s="33">
        <f>$I$63*$AN$63</f>
        <v>0</v>
      </c>
      <c r="AO138" s="33">
        <f>$I$63*$AO$63</f>
        <v>0</v>
      </c>
      <c r="AP138" s="33">
        <f>$I$63*$AP$63</f>
        <v>0</v>
      </c>
      <c r="AQ138" s="33">
        <f>$I$63*$AQ$63</f>
        <v>0</v>
      </c>
      <c r="AR138" s="33">
        <f>$I$63*$AR$63</f>
        <v>0</v>
      </c>
      <c r="AS138" s="33">
        <f>$I$63*$AS$63</f>
        <v>0</v>
      </c>
      <c r="AT138" s="33">
        <f>$I$63*$AT$63</f>
        <v>0</v>
      </c>
      <c r="AU138" s="33">
        <f>$I$63*$AU$63</f>
        <v>0</v>
      </c>
      <c r="AV138" s="33">
        <f>$I$63*$AV$63</f>
        <v>0</v>
      </c>
      <c r="AW138" s="33">
        <f>$I$63*$AW$63</f>
        <v>0</v>
      </c>
      <c r="AX138" s="33">
        <f>$I$63*$AX$63</f>
        <v>0</v>
      </c>
      <c r="AY138" s="33">
        <f>$I$63*$AY$63</f>
        <v>0</v>
      </c>
      <c r="AZ138" s="33">
        <f>$I$63*$AZ$63</f>
        <v>0</v>
      </c>
      <c r="BA138" s="33">
        <f>$I$63*$BA$63</f>
        <v>0</v>
      </c>
      <c r="BB138" s="33">
        <f>$I$63*$BB$63</f>
        <v>0</v>
      </c>
      <c r="BC138" s="33">
        <f>$I$63*$BC$63</f>
        <v>0</v>
      </c>
      <c r="BD138" s="33">
        <f>$I$63*$BD$63</f>
        <v>0</v>
      </c>
    </row>
    <row r="139" spans="1:56" ht="11.25" customHeight="1" x14ac:dyDescent="0.25">
      <c r="A139" s="9" t="s">
        <v>44</v>
      </c>
      <c r="B139" s="9" t="s">
        <v>1379</v>
      </c>
      <c r="C139" s="9" t="s">
        <v>1380</v>
      </c>
      <c r="D139" s="9" t="s">
        <v>1401</v>
      </c>
      <c r="E139" s="9" t="s">
        <v>1402</v>
      </c>
      <c r="F139" s="9" t="s">
        <v>1403</v>
      </c>
      <c r="G139" s="9" t="s">
        <v>1404</v>
      </c>
      <c r="L139" s="33">
        <f>$I$64*$L$64</f>
        <v>0</v>
      </c>
      <c r="M139" s="33">
        <f>$I$64*$M$64</f>
        <v>0</v>
      </c>
      <c r="N139" s="33">
        <f ca="1">$I$64*$N$64</f>
        <v>0</v>
      </c>
      <c r="O139" s="33">
        <f>$I$64*$O$64</f>
        <v>0</v>
      </c>
      <c r="P139" s="33">
        <f>$I$64*$P$64</f>
        <v>0</v>
      </c>
      <c r="Q139" s="33">
        <f>$I$64*$Q$64</f>
        <v>0</v>
      </c>
      <c r="R139" s="33">
        <f>$I$64*$R$64</f>
        <v>0</v>
      </c>
      <c r="S139" s="33">
        <f>$I$64*$S$64</f>
        <v>0</v>
      </c>
      <c r="T139" s="33">
        <f>$I$64*$T$64</f>
        <v>0</v>
      </c>
      <c r="U139" s="33">
        <f>$I$64*$U$64</f>
        <v>0</v>
      </c>
      <c r="V139" s="33">
        <f>$I$64*$V$64</f>
        <v>0</v>
      </c>
      <c r="W139" s="33">
        <f>$I$64*$W$64</f>
        <v>0</v>
      </c>
      <c r="X139" s="33">
        <f>$I$64*$X$64</f>
        <v>0</v>
      </c>
      <c r="Y139" s="33">
        <f>$I$64*$Y$64</f>
        <v>0</v>
      </c>
      <c r="Z139" s="33">
        <f>$I$64*$Z$64</f>
        <v>0</v>
      </c>
      <c r="AA139" s="33">
        <f>$I$64*$AA$64</f>
        <v>0</v>
      </c>
      <c r="AB139" s="33">
        <f ca="1">$I$64*$AB$64</f>
        <v>0</v>
      </c>
      <c r="AC139" s="33">
        <f ca="1">$I$64*$AC$64</f>
        <v>0</v>
      </c>
      <c r="AD139" s="33">
        <f>$I$64*$AD$64</f>
        <v>0</v>
      </c>
      <c r="AE139" s="33">
        <f>$I$64*$AE$64</f>
        <v>0</v>
      </c>
      <c r="AF139" s="33">
        <f ca="1">$I$64*$AF$64</f>
        <v>0</v>
      </c>
      <c r="AG139" s="33">
        <f ca="1">$I$64*$AG$64</f>
        <v>0</v>
      </c>
      <c r="AI139" s="33">
        <f>$I$64*$AI$64</f>
        <v>0</v>
      </c>
      <c r="AJ139" s="33">
        <f>$I$64*$AJ$64</f>
        <v>0</v>
      </c>
      <c r="AK139" s="33">
        <f>$I$64*$AK$64</f>
        <v>0</v>
      </c>
      <c r="AL139" s="33">
        <f>$I$64*$AL$64</f>
        <v>0</v>
      </c>
      <c r="AM139" s="33">
        <f>$I$64*$AM$64</f>
        <v>0</v>
      </c>
      <c r="AN139" s="33">
        <f>$I$64*$AN$64</f>
        <v>0</v>
      </c>
      <c r="AO139" s="33">
        <f>$I$64*$AO$64</f>
        <v>0</v>
      </c>
      <c r="AP139" s="33">
        <f>$I$64*$AP$64</f>
        <v>0</v>
      </c>
      <c r="AQ139" s="33">
        <f>$I$64*$AQ$64</f>
        <v>0</v>
      </c>
      <c r="AR139" s="33">
        <f>$I$64*$AR$64</f>
        <v>0</v>
      </c>
      <c r="AS139" s="33">
        <f>$I$64*$AS$64</f>
        <v>0</v>
      </c>
      <c r="AT139" s="33">
        <f>$I$64*$AT$64</f>
        <v>0</v>
      </c>
      <c r="AU139" s="33">
        <f>$I$64*$AU$64</f>
        <v>0</v>
      </c>
      <c r="AV139" s="33">
        <f>$I$64*$AV$64</f>
        <v>0</v>
      </c>
      <c r="AW139" s="33">
        <f>$I$64*$AW$64</f>
        <v>0</v>
      </c>
      <c r="AX139" s="33">
        <f>$I$64*$AX$64</f>
        <v>0</v>
      </c>
      <c r="AY139" s="33">
        <f>$I$64*$AY$64</f>
        <v>0</v>
      </c>
      <c r="AZ139" s="33">
        <f>$I$64*$AZ$64</f>
        <v>0</v>
      </c>
      <c r="BA139" s="33">
        <f>$I$64*$BA$64</f>
        <v>0</v>
      </c>
      <c r="BB139" s="33">
        <f>$I$64*$BB$64</f>
        <v>0</v>
      </c>
      <c r="BC139" s="33">
        <f>$I$64*$BC$64</f>
        <v>0</v>
      </c>
      <c r="BD139" s="33">
        <f>$I$64*$BD$64</f>
        <v>0</v>
      </c>
    </row>
    <row r="140" spans="1:56" ht="11.25" customHeight="1" x14ac:dyDescent="0.25">
      <c r="A140" s="9" t="s">
        <v>44</v>
      </c>
      <c r="B140" s="9" t="s">
        <v>1405</v>
      </c>
      <c r="C140" s="9" t="s">
        <v>1406</v>
      </c>
      <c r="D140" s="9" t="s">
        <v>1407</v>
      </c>
      <c r="E140" s="9" t="s">
        <v>1408</v>
      </c>
      <c r="F140" s="9" t="s">
        <v>1409</v>
      </c>
      <c r="G140" s="9" t="s">
        <v>1410</v>
      </c>
      <c r="L140" s="33">
        <f>$I$65*$L$65</f>
        <v>0</v>
      </c>
      <c r="M140" s="33">
        <f>$I$65*$M$65</f>
        <v>0</v>
      </c>
      <c r="N140" s="33">
        <f ca="1">$I$65*$N$65</f>
        <v>0</v>
      </c>
      <c r="O140" s="33">
        <f>$I$65*$O$65</f>
        <v>0</v>
      </c>
      <c r="P140" s="33">
        <f>$I$65*$P$65</f>
        <v>0</v>
      </c>
      <c r="Q140" s="33">
        <f>$I$65*$Q$65</f>
        <v>0</v>
      </c>
      <c r="R140" s="33">
        <f>$I$65*$R$65</f>
        <v>0</v>
      </c>
      <c r="S140" s="33">
        <f>$I$65*$S$65</f>
        <v>0</v>
      </c>
      <c r="T140" s="33">
        <f>$I$65*$T$65</f>
        <v>0</v>
      </c>
      <c r="U140" s="33">
        <f>$I$65*$U$65</f>
        <v>0</v>
      </c>
      <c r="V140" s="33">
        <f>$I$65*$V$65</f>
        <v>0</v>
      </c>
      <c r="W140" s="33">
        <f>$I$65*$W$65</f>
        <v>0</v>
      </c>
      <c r="X140" s="33">
        <f>$I$65*$X$65</f>
        <v>0</v>
      </c>
      <c r="Y140" s="33">
        <f>$I$65*$Y$65</f>
        <v>0</v>
      </c>
      <c r="Z140" s="33">
        <f>$I$65*$Z$65</f>
        <v>0</v>
      </c>
      <c r="AA140" s="33">
        <f>$I$65*$AA$65</f>
        <v>0</v>
      </c>
      <c r="AB140" s="33">
        <f ca="1">$I$65*$AB$65</f>
        <v>0</v>
      </c>
      <c r="AC140" s="33">
        <f ca="1">$I$65*$AC$65</f>
        <v>0</v>
      </c>
      <c r="AD140" s="33">
        <f>$I$65*$AD$65</f>
        <v>0</v>
      </c>
      <c r="AE140" s="33">
        <f>$I$65*$AE$65</f>
        <v>0</v>
      </c>
      <c r="AF140" s="33">
        <f ca="1">$I$65*$AF$65</f>
        <v>0</v>
      </c>
      <c r="AG140" s="33">
        <f ca="1">$I$65*$AG$65</f>
        <v>0</v>
      </c>
      <c r="AI140" s="33">
        <f>$I$65*$AI$65</f>
        <v>0</v>
      </c>
      <c r="AJ140" s="33">
        <f>$I$65*$AJ$65</f>
        <v>0</v>
      </c>
      <c r="AK140" s="33">
        <f>$I$65*$AK$65</f>
        <v>0</v>
      </c>
      <c r="AL140" s="33">
        <f>$I$65*$AL$65</f>
        <v>0</v>
      </c>
      <c r="AM140" s="33">
        <f>$I$65*$AM$65</f>
        <v>0</v>
      </c>
      <c r="AN140" s="33">
        <f>$I$65*$AN$65</f>
        <v>0</v>
      </c>
      <c r="AO140" s="33">
        <f>$I$65*$AO$65</f>
        <v>0</v>
      </c>
      <c r="AP140" s="33">
        <f>$I$65*$AP$65</f>
        <v>0</v>
      </c>
      <c r="AQ140" s="33">
        <f>$I$65*$AQ$65</f>
        <v>0</v>
      </c>
      <c r="AR140" s="33">
        <f>$I$65*$AR$65</f>
        <v>0</v>
      </c>
      <c r="AS140" s="33">
        <f>$I$65*$AS$65</f>
        <v>0</v>
      </c>
      <c r="AT140" s="33">
        <f>$I$65*$AT$65</f>
        <v>0</v>
      </c>
      <c r="AU140" s="33">
        <f>$I$65*$AU$65</f>
        <v>0</v>
      </c>
      <c r="AV140" s="33">
        <f>$I$65*$AV$65</f>
        <v>0</v>
      </c>
      <c r="AW140" s="33">
        <f>$I$65*$AW$65</f>
        <v>0</v>
      </c>
      <c r="AX140" s="33">
        <f>$I$65*$AX$65</f>
        <v>0</v>
      </c>
      <c r="AY140" s="33">
        <f>$I$65*$AY$65</f>
        <v>0</v>
      </c>
      <c r="AZ140" s="33">
        <f>$I$65*$AZ$65</f>
        <v>0</v>
      </c>
      <c r="BA140" s="33">
        <f>$I$65*$BA$65</f>
        <v>0</v>
      </c>
      <c r="BB140" s="33">
        <f>$I$65*$BB$65</f>
        <v>0</v>
      </c>
      <c r="BC140" s="33">
        <f>$I$65*$BC$65</f>
        <v>0</v>
      </c>
      <c r="BD140" s="33">
        <f>$I$65*$BD$65</f>
        <v>0</v>
      </c>
    </row>
    <row r="141" spans="1:56" ht="11.25" customHeight="1" x14ac:dyDescent="0.25">
      <c r="A141" s="9" t="s">
        <v>44</v>
      </c>
      <c r="B141" s="9" t="s">
        <v>1405</v>
      </c>
      <c r="C141" s="9" t="s">
        <v>1406</v>
      </c>
      <c r="D141" s="9" t="s">
        <v>1411</v>
      </c>
      <c r="E141" s="9" t="s">
        <v>1412</v>
      </c>
      <c r="F141" s="9" t="s">
        <v>1413</v>
      </c>
      <c r="G141" s="9" t="s">
        <v>1414</v>
      </c>
      <c r="L141" s="33">
        <f>$I$66*$L$66</f>
        <v>0</v>
      </c>
      <c r="M141" s="33">
        <f>$I$66*$M$66</f>
        <v>0</v>
      </c>
      <c r="N141" s="33">
        <f ca="1">$I$66*$N$66</f>
        <v>0</v>
      </c>
      <c r="O141" s="33">
        <f>$I$66*$O$66</f>
        <v>0</v>
      </c>
      <c r="P141" s="33">
        <f>$I$66*$P$66</f>
        <v>0</v>
      </c>
      <c r="Q141" s="33">
        <f>$I$66*$Q$66</f>
        <v>0</v>
      </c>
      <c r="R141" s="33">
        <f>$I$66*$R$66</f>
        <v>0</v>
      </c>
      <c r="S141" s="33">
        <f>$I$66*$S$66</f>
        <v>0</v>
      </c>
      <c r="T141" s="33">
        <f>$I$66*$T$66</f>
        <v>0</v>
      </c>
      <c r="U141" s="33">
        <f>$I$66*$U$66</f>
        <v>0</v>
      </c>
      <c r="V141" s="33">
        <f>$I$66*$V$66</f>
        <v>0</v>
      </c>
      <c r="W141" s="33">
        <f>$I$66*$W$66</f>
        <v>0</v>
      </c>
      <c r="X141" s="33">
        <f>$I$66*$X$66</f>
        <v>0</v>
      </c>
      <c r="Y141" s="33">
        <f>$I$66*$Y$66</f>
        <v>0</v>
      </c>
      <c r="Z141" s="33">
        <f>$I$66*$Z$66</f>
        <v>0</v>
      </c>
      <c r="AA141" s="33">
        <f>$I$66*$AA$66</f>
        <v>0</v>
      </c>
      <c r="AB141" s="33">
        <f ca="1">$I$66*$AB$66</f>
        <v>0</v>
      </c>
      <c r="AC141" s="33">
        <f ca="1">$I$66*$AC$66</f>
        <v>0</v>
      </c>
      <c r="AD141" s="33">
        <f>$I$66*$AD$66</f>
        <v>0</v>
      </c>
      <c r="AE141" s="33">
        <f>$I$66*$AE$66</f>
        <v>0</v>
      </c>
      <c r="AF141" s="33">
        <f ca="1">$I$66*$AF$66</f>
        <v>0</v>
      </c>
      <c r="AG141" s="33">
        <f ca="1">$I$66*$AG$66</f>
        <v>0</v>
      </c>
      <c r="AI141" s="33">
        <f>$I$66*$AI$66</f>
        <v>0</v>
      </c>
      <c r="AJ141" s="33">
        <f>$I$66*$AJ$66</f>
        <v>0</v>
      </c>
      <c r="AK141" s="33">
        <f>$I$66*$AK$66</f>
        <v>0</v>
      </c>
      <c r="AL141" s="33">
        <f>$I$66*$AL$66</f>
        <v>0</v>
      </c>
      <c r="AM141" s="33">
        <f>$I$66*$AM$66</f>
        <v>0</v>
      </c>
      <c r="AN141" s="33">
        <f>$I$66*$AN$66</f>
        <v>0</v>
      </c>
      <c r="AO141" s="33">
        <f>$I$66*$AO$66</f>
        <v>0</v>
      </c>
      <c r="AP141" s="33">
        <f>$I$66*$AP$66</f>
        <v>0</v>
      </c>
      <c r="AQ141" s="33">
        <f>$I$66*$AQ$66</f>
        <v>0</v>
      </c>
      <c r="AR141" s="33">
        <f>$I$66*$AR$66</f>
        <v>0</v>
      </c>
      <c r="AS141" s="33">
        <f>$I$66*$AS$66</f>
        <v>0</v>
      </c>
      <c r="AT141" s="33">
        <f>$I$66*$AT$66</f>
        <v>0</v>
      </c>
      <c r="AU141" s="33">
        <f>$I$66*$AU$66</f>
        <v>0</v>
      </c>
      <c r="AV141" s="33">
        <f>$I$66*$AV$66</f>
        <v>0</v>
      </c>
      <c r="AW141" s="33">
        <f>$I$66*$AW$66</f>
        <v>0</v>
      </c>
      <c r="AX141" s="33">
        <f>$I$66*$AX$66</f>
        <v>0</v>
      </c>
      <c r="AY141" s="33">
        <f>$I$66*$AY$66</f>
        <v>0</v>
      </c>
      <c r="AZ141" s="33">
        <f>$I$66*$AZ$66</f>
        <v>0</v>
      </c>
      <c r="BA141" s="33">
        <f>$I$66*$BA$66</f>
        <v>0</v>
      </c>
      <c r="BB141" s="33">
        <f>$I$66*$BB$66</f>
        <v>0</v>
      </c>
      <c r="BC141" s="33">
        <f>$I$66*$BC$66</f>
        <v>0</v>
      </c>
      <c r="BD141" s="33">
        <f>$I$66*$BD$66</f>
        <v>0</v>
      </c>
    </row>
    <row r="142" spans="1:56" ht="11.25" customHeight="1" x14ac:dyDescent="0.25">
      <c r="A142" s="9" t="s">
        <v>44</v>
      </c>
      <c r="B142" s="9" t="s">
        <v>1405</v>
      </c>
      <c r="C142" s="9" t="s">
        <v>1406</v>
      </c>
      <c r="D142" s="9" t="s">
        <v>1415</v>
      </c>
      <c r="E142" s="9" t="s">
        <v>1416</v>
      </c>
      <c r="F142" s="9" t="s">
        <v>1417</v>
      </c>
      <c r="G142" s="9" t="s">
        <v>1418</v>
      </c>
      <c r="L142" s="33">
        <f>$I$67*$L$67</f>
        <v>0</v>
      </c>
      <c r="M142" s="33">
        <f>$I$67*$M$67</f>
        <v>0</v>
      </c>
      <c r="N142" s="33">
        <f ca="1">$I$67*$N$67</f>
        <v>0</v>
      </c>
      <c r="O142" s="33">
        <f>$I$67*$O$67</f>
        <v>0</v>
      </c>
      <c r="P142" s="33">
        <f>$I$67*$P$67</f>
        <v>0</v>
      </c>
      <c r="Q142" s="33">
        <f>$I$67*$Q$67</f>
        <v>0</v>
      </c>
      <c r="R142" s="33">
        <f>$I$67*$R$67</f>
        <v>0</v>
      </c>
      <c r="S142" s="33">
        <f>$I$67*$S$67</f>
        <v>0</v>
      </c>
      <c r="T142" s="33">
        <f>$I$67*$T$67</f>
        <v>0</v>
      </c>
      <c r="U142" s="33">
        <f>$I$67*$U$67</f>
        <v>0</v>
      </c>
      <c r="V142" s="33">
        <f>$I$67*$V$67</f>
        <v>0</v>
      </c>
      <c r="W142" s="33">
        <f>$I$67*$W$67</f>
        <v>0</v>
      </c>
      <c r="X142" s="33">
        <f>$I$67*$X$67</f>
        <v>0</v>
      </c>
      <c r="Y142" s="33">
        <f>$I$67*$Y$67</f>
        <v>0</v>
      </c>
      <c r="Z142" s="33">
        <f>$I$67*$Z$67</f>
        <v>0</v>
      </c>
      <c r="AA142" s="33">
        <f>$I$67*$AA$67</f>
        <v>0</v>
      </c>
      <c r="AB142" s="33">
        <f ca="1">$I$67*$AB$67</f>
        <v>0</v>
      </c>
      <c r="AC142" s="33">
        <f ca="1">$I$67*$AC$67</f>
        <v>0</v>
      </c>
      <c r="AD142" s="33">
        <f>$I$67*$AD$67</f>
        <v>0</v>
      </c>
      <c r="AE142" s="33">
        <f>$I$67*$AE$67</f>
        <v>0</v>
      </c>
      <c r="AF142" s="33">
        <f ca="1">$I$67*$AF$67</f>
        <v>0</v>
      </c>
      <c r="AG142" s="33">
        <f ca="1">$I$67*$AG$67</f>
        <v>0</v>
      </c>
      <c r="AI142" s="33">
        <f>$I$67*$AI$67</f>
        <v>0</v>
      </c>
      <c r="AJ142" s="33">
        <f>$I$67*$AJ$67</f>
        <v>0</v>
      </c>
      <c r="AK142" s="33">
        <f>$I$67*$AK$67</f>
        <v>0</v>
      </c>
      <c r="AL142" s="33">
        <f>$I$67*$AL$67</f>
        <v>0</v>
      </c>
      <c r="AM142" s="33">
        <f>$I$67*$AM$67</f>
        <v>0</v>
      </c>
      <c r="AN142" s="33">
        <f>$I$67*$AN$67</f>
        <v>0</v>
      </c>
      <c r="AO142" s="33">
        <f>$I$67*$AO$67</f>
        <v>0</v>
      </c>
      <c r="AP142" s="33">
        <f>$I$67*$AP$67</f>
        <v>0</v>
      </c>
      <c r="AQ142" s="33">
        <f>$I$67*$AQ$67</f>
        <v>0</v>
      </c>
      <c r="AR142" s="33">
        <f>$I$67*$AR$67</f>
        <v>0</v>
      </c>
      <c r="AS142" s="33">
        <f>$I$67*$AS$67</f>
        <v>0</v>
      </c>
      <c r="AT142" s="33">
        <f>$I$67*$AT$67</f>
        <v>0</v>
      </c>
      <c r="AU142" s="33">
        <f>$I$67*$AU$67</f>
        <v>0</v>
      </c>
      <c r="AV142" s="33">
        <f>$I$67*$AV$67</f>
        <v>0</v>
      </c>
      <c r="AW142" s="33">
        <f>$I$67*$AW$67</f>
        <v>0</v>
      </c>
      <c r="AX142" s="33">
        <f>$I$67*$AX$67</f>
        <v>0</v>
      </c>
      <c r="AY142" s="33">
        <f>$I$67*$AY$67</f>
        <v>0</v>
      </c>
      <c r="AZ142" s="33">
        <f>$I$67*$AZ$67</f>
        <v>0</v>
      </c>
      <c r="BA142" s="33">
        <f>$I$67*$BA$67</f>
        <v>0</v>
      </c>
      <c r="BB142" s="33">
        <f>$I$67*$BB$67</f>
        <v>0</v>
      </c>
      <c r="BC142" s="33">
        <f>$I$67*$BC$67</f>
        <v>0</v>
      </c>
      <c r="BD142" s="33">
        <f>$I$67*$BD$67</f>
        <v>0</v>
      </c>
    </row>
    <row r="143" spans="1:56" ht="11.25" customHeight="1" x14ac:dyDescent="0.25">
      <c r="A143" s="9" t="s">
        <v>37</v>
      </c>
      <c r="B143" s="9" t="s">
        <v>1419</v>
      </c>
      <c r="C143" s="9" t="s">
        <v>1420</v>
      </c>
      <c r="D143" s="9" t="s">
        <v>1421</v>
      </c>
      <c r="E143" s="9" t="s">
        <v>1422</v>
      </c>
      <c r="F143" s="9" t="s">
        <v>1423</v>
      </c>
      <c r="G143" s="9" t="s">
        <v>1424</v>
      </c>
      <c r="L143" s="33">
        <f>$I$68*$L$68</f>
        <v>74.32230438352893</v>
      </c>
      <c r="M143" s="33">
        <f>$I$68*$M$68</f>
        <v>26.443021411513854</v>
      </c>
      <c r="N143" s="33">
        <f ca="1">$I$68*$N$68</f>
        <v>322.46689008611924</v>
      </c>
      <c r="O143" s="33">
        <f>$I$68*$O$68</f>
        <v>-0.16039060766776725</v>
      </c>
      <c r="P143" s="33">
        <f>$I$68*$P$68</f>
        <v>0</v>
      </c>
      <c r="Q143" s="33">
        <f>$I$68*$Q$68</f>
        <v>3408.1491921151141</v>
      </c>
      <c r="R143" s="33">
        <f>$I$68*$R$68</f>
        <v>576.71269132121563</v>
      </c>
      <c r="S143" s="33">
        <f>$I$68*$S$68</f>
        <v>0</v>
      </c>
      <c r="T143" s="33">
        <f>$I$68*$T$68</f>
        <v>1622.5595915971764</v>
      </c>
      <c r="U143" s="33">
        <f>$I$68*$U$68</f>
        <v>18.437819851831215</v>
      </c>
      <c r="V143" s="33">
        <f>$I$68*$V$68</f>
        <v>0</v>
      </c>
      <c r="W143" s="33">
        <f>$I$68*$W$68</f>
        <v>0</v>
      </c>
      <c r="X143" s="33">
        <f>$I$68*$X$68</f>
        <v>4792.2904003657477</v>
      </c>
      <c r="Y143" s="33">
        <f>$I$68*$Y$68</f>
        <v>0</v>
      </c>
      <c r="Z143" s="33">
        <f>$I$68*$Z$68</f>
        <v>0</v>
      </c>
      <c r="AA143" s="33">
        <f>$I$68*$AA$68</f>
        <v>21349.258860302605</v>
      </c>
      <c r="AB143" s="33">
        <f ca="1">$I$68*$AB$68</f>
        <v>0</v>
      </c>
      <c r="AC143" s="33">
        <f ca="1">$I$68*$AC$68</f>
        <v>0</v>
      </c>
      <c r="AD143" s="33">
        <f>$I$68*$AD$68</f>
        <v>1360.0805012471801</v>
      </c>
      <c r="AE143" s="33">
        <f>$I$68*$AE$68</f>
        <v>3.0199277855084645</v>
      </c>
      <c r="AF143" s="33">
        <f ca="1">$I$68*$AF$68</f>
        <v>24.483765582088107</v>
      </c>
      <c r="AG143" s="33">
        <f ca="1">$I$68*$AG$68</f>
        <v>157.71452887939012</v>
      </c>
      <c r="AI143" s="33">
        <f>$I$68*$AI$68</f>
        <v>323.25923368441732</v>
      </c>
      <c r="AJ143" s="33">
        <f>$I$68*$AJ$68</f>
        <v>20.875499147499148</v>
      </c>
      <c r="AK143" s="33">
        <f>$I$68*$AK$68</f>
        <v>268.75736847667514</v>
      </c>
      <c r="AL143" s="33">
        <f>$I$68*$AL$68</f>
        <v>-0.14254371780387737</v>
      </c>
      <c r="AM143" s="33">
        <f>$I$68*$AM$68</f>
        <v>0</v>
      </c>
      <c r="AN143" s="33">
        <f>$I$68*$AN$68</f>
        <v>1690.8046826817235</v>
      </c>
      <c r="AO143" s="33">
        <f>$I$68*$AO$68</f>
        <v>316.0781288406651</v>
      </c>
      <c r="AP143" s="33">
        <f>$I$68*$AP$68</f>
        <v>0</v>
      </c>
      <c r="AQ143" s="33">
        <f>$I$68*$AQ$68</f>
        <v>1237.8740911400107</v>
      </c>
      <c r="AR143" s="33">
        <f>$I$68*$AR$68</f>
        <v>-0.5261936656278583</v>
      </c>
      <c r="AS143" s="33">
        <f>$I$68*$AS$68</f>
        <v>0</v>
      </c>
      <c r="AT143" s="33">
        <f>$I$68*$AT$68</f>
        <v>0</v>
      </c>
      <c r="AU143" s="33">
        <f>$I$68*$AU$68</f>
        <v>3841.8774217190698</v>
      </c>
      <c r="AV143" s="33">
        <f>$I$68*$AV$68</f>
        <v>0</v>
      </c>
      <c r="AW143" s="33">
        <f>$I$68*$AW$68</f>
        <v>0</v>
      </c>
      <c r="AX143" s="33">
        <f>$I$68*$AX$68</f>
        <v>19004.466446323218</v>
      </c>
      <c r="AY143" s="33">
        <f>$I$68*$AY$68</f>
        <v>-4.9191876034541417</v>
      </c>
      <c r="AZ143" s="33">
        <f>$I$68*$AZ$68</f>
        <v>0</v>
      </c>
      <c r="BA143" s="33">
        <f>$I$68*$BA$68</f>
        <v>1256.9897595922996</v>
      </c>
      <c r="BB143" s="33">
        <f>$I$68*$BB$68</f>
        <v>4.36784652120744</v>
      </c>
      <c r="BC143" s="33">
        <f>$I$68*$BC$68</f>
        <v>23.774650237496111</v>
      </c>
      <c r="BD143" s="33">
        <f>$I$68*$BD$68</f>
        <v>98.921044968588234</v>
      </c>
    </row>
    <row r="144" spans="1:56" ht="11.25" customHeight="1" x14ac:dyDescent="0.25">
      <c r="A144" s="9" t="s">
        <v>37</v>
      </c>
      <c r="B144" s="9" t="s">
        <v>1419</v>
      </c>
      <c r="C144" s="9" t="s">
        <v>1420</v>
      </c>
      <c r="D144" s="9" t="s">
        <v>1421</v>
      </c>
      <c r="E144" s="9" t="s">
        <v>1422</v>
      </c>
      <c r="F144" s="9" t="s">
        <v>1423</v>
      </c>
      <c r="G144" s="9" t="s">
        <v>1425</v>
      </c>
      <c r="L144" s="33">
        <f>$I$69*$L$69</f>
        <v>72.934693504361093</v>
      </c>
      <c r="M144" s="33">
        <f>$I$69*$M$69</f>
        <v>25.94932541415433</v>
      </c>
      <c r="N144" s="33">
        <f ca="1">$I$69*$N$69</f>
        <v>202.63065439176478</v>
      </c>
      <c r="O144" s="33">
        <f>$I$69*$O$69</f>
        <v>-0.15739608598329891</v>
      </c>
      <c r="P144" s="33">
        <f>$I$69*$P$69</f>
        <v>0</v>
      </c>
      <c r="Q144" s="33">
        <f>$I$69*$Q$69</f>
        <v>3344.5184296403427</v>
      </c>
      <c r="R144" s="33">
        <f>$I$69*$R$69</f>
        <v>565.94536095828857</v>
      </c>
      <c r="S144" s="33">
        <f>$I$69*$S$69</f>
        <v>0</v>
      </c>
      <c r="T144" s="33">
        <f>$I$69*$T$69</f>
        <v>955.36039368155593</v>
      </c>
      <c r="U144" s="33">
        <f>$I$69*$U$69</f>
        <v>10.856149450177341</v>
      </c>
      <c r="V144" s="33">
        <f>$I$69*$V$69</f>
        <v>0</v>
      </c>
      <c r="W144" s="33">
        <f>$I$69*$W$69</f>
        <v>0</v>
      </c>
      <c r="X144" s="33">
        <f>$I$69*$X$69</f>
        <v>2821.6904825574397</v>
      </c>
      <c r="Y144" s="33">
        <f>$I$69*$Y$69</f>
        <v>0</v>
      </c>
      <c r="Z144" s="33">
        <f>$I$69*$Z$69</f>
        <v>0</v>
      </c>
      <c r="AA144" s="33">
        <f>$I$69*$AA$69</f>
        <v>12570.397903751977</v>
      </c>
      <c r="AB144" s="33">
        <f ca="1">$I$69*$AB$69</f>
        <v>0</v>
      </c>
      <c r="AC144" s="33">
        <f ca="1">$I$69*$AC$69</f>
        <v>0</v>
      </c>
      <c r="AD144" s="33">
        <f>$I$69*$AD$69</f>
        <v>1334.6875520413039</v>
      </c>
      <c r="AE144" s="33">
        <f>$I$69*$AE$69</f>
        <v>2.9635451869839566</v>
      </c>
      <c r="AF144" s="33">
        <f ca="1">$I$69*$AF$69</f>
        <v>24.026649245794456</v>
      </c>
      <c r="AG144" s="33">
        <f ca="1">$I$69*$AG$69</f>
        <v>154.76997007041473</v>
      </c>
      <c r="AI144" s="33">
        <f>$I$69*$AI$69</f>
        <v>317.22392526425267</v>
      </c>
      <c r="AJ144" s="33">
        <f>$I$69*$AJ$69</f>
        <v>20.485749798829222</v>
      </c>
      <c r="AK144" s="33">
        <f>$I$69*$AK$69</f>
        <v>168.86542723863636</v>
      </c>
      <c r="AL144" s="33">
        <f>$I$69*$AL$69</f>
        <v>-0.13988240078441311</v>
      </c>
      <c r="AM144" s="33">
        <f>$I$69*$AM$69</f>
        <v>0</v>
      </c>
      <c r="AN144" s="33">
        <f>$I$69*$AN$69</f>
        <v>1659.2370531296315</v>
      </c>
      <c r="AO144" s="33">
        <f>$I$69*$AO$69</f>
        <v>310.17689294809878</v>
      </c>
      <c r="AP144" s="33">
        <f>$I$69*$AP$69</f>
        <v>0</v>
      </c>
      <c r="AQ144" s="33">
        <f>$I$69*$AQ$69</f>
        <v>728.85820968560097</v>
      </c>
      <c r="AR144" s="33">
        <f>$I$69*$AR$69</f>
        <v>-0.30982172077277026</v>
      </c>
      <c r="AS144" s="33">
        <f>$I$69*$AS$69</f>
        <v>0</v>
      </c>
      <c r="AT144" s="33">
        <f>$I$69*$AT$69</f>
        <v>0</v>
      </c>
      <c r="AU144" s="33">
        <f>$I$69*$AU$69</f>
        <v>2262.0893248016919</v>
      </c>
      <c r="AV144" s="33">
        <f>$I$69*$AV$69</f>
        <v>0</v>
      </c>
      <c r="AW144" s="33">
        <f>$I$69*$AW$69</f>
        <v>0</v>
      </c>
      <c r="AX144" s="33">
        <f>$I$69*$AX$69</f>
        <v>11189.789151088127</v>
      </c>
      <c r="AY144" s="33">
        <f>$I$69*$AY$69</f>
        <v>-3.1637489117451185</v>
      </c>
      <c r="AZ144" s="33">
        <f>$I$69*$AZ$69</f>
        <v>0</v>
      </c>
      <c r="BA144" s="33">
        <f>$I$69*$BA$69</f>
        <v>1233.5215331980789</v>
      </c>
      <c r="BB144" s="33">
        <f>$I$69*$BB$69</f>
        <v>4.2862980358417735</v>
      </c>
      <c r="BC144" s="33">
        <f>$I$69*$BC$69</f>
        <v>23.330773213073943</v>
      </c>
      <c r="BD144" s="33">
        <f>$I$69*$BD$69</f>
        <v>97.074171149004627</v>
      </c>
    </row>
    <row r="145" spans="1:56" ht="11.25" customHeight="1" x14ac:dyDescent="0.25">
      <c r="A145" s="9" t="s">
        <v>37</v>
      </c>
      <c r="B145" s="9" t="s">
        <v>1419</v>
      </c>
      <c r="C145" s="9" t="s">
        <v>1420</v>
      </c>
      <c r="D145" s="9" t="s">
        <v>1421</v>
      </c>
      <c r="E145" s="9" t="s">
        <v>1422</v>
      </c>
      <c r="F145" s="9" t="s">
        <v>1423</v>
      </c>
      <c r="G145" s="9" t="s">
        <v>1426</v>
      </c>
      <c r="L145" s="33">
        <f>$I$70*$L$70</f>
        <v>890.48703808055336</v>
      </c>
      <c r="M145" s="33">
        <f>$I$70*$M$70</f>
        <v>316.82505016432287</v>
      </c>
      <c r="N145" s="33">
        <f ca="1">$I$70*$N$70</f>
        <v>1084.3748515683324</v>
      </c>
      <c r="O145" s="33">
        <f>$I$70*$O$70</f>
        <v>-1.9217078687574001</v>
      </c>
      <c r="P145" s="33">
        <f>$I$70*$P$70</f>
        <v>0</v>
      </c>
      <c r="Q145" s="33">
        <f>$I$70*$Q$70</f>
        <v>40834.480370280427</v>
      </c>
      <c r="R145" s="33">
        <f>$I$70*$R$70</f>
        <v>6909.8392545523157</v>
      </c>
      <c r="S145" s="33">
        <f>$I$70*$S$70</f>
        <v>0</v>
      </c>
      <c r="T145" s="33">
        <f>$I$70*$T$70</f>
        <v>3888.1326369997109</v>
      </c>
      <c r="U145" s="33">
        <f>$I$70*$U$70</f>
        <v>44.182267287607559</v>
      </c>
      <c r="V145" s="33">
        <f>$I$70*$V$70</f>
        <v>0</v>
      </c>
      <c r="W145" s="33">
        <f>$I$70*$W$70</f>
        <v>0</v>
      </c>
      <c r="X145" s="33">
        <f>$I$70*$X$70</f>
        <v>11483.692599793252</v>
      </c>
      <c r="Y145" s="33">
        <f>$I$70*$Y$70</f>
        <v>0</v>
      </c>
      <c r="Z145" s="33">
        <f>$I$70*$Z$70</f>
        <v>0</v>
      </c>
      <c r="AA145" s="33">
        <f>$I$70*$AA$70</f>
        <v>51158.88732088606</v>
      </c>
      <c r="AB145" s="33">
        <f ca="1">$I$70*$AB$70</f>
        <v>0</v>
      </c>
      <c r="AC145" s="33">
        <f ca="1">$I$70*$AC$70</f>
        <v>0</v>
      </c>
      <c r="AD145" s="33">
        <f>$I$70*$AD$70</f>
        <v>16295.701097436957</v>
      </c>
      <c r="AE145" s="33">
        <f>$I$70*$AE$70</f>
        <v>36.183035109586442</v>
      </c>
      <c r="AF145" s="33">
        <f ca="1">$I$70*$AF$70</f>
        <v>293.35037543701389</v>
      </c>
      <c r="AG145" s="33">
        <f ca="1">$I$70*$AG$70</f>
        <v>1889.6446342587096</v>
      </c>
      <c r="AI145" s="33">
        <f>$I$70*$AI$70</f>
        <v>3873.1059259193321</v>
      </c>
      <c r="AJ145" s="33">
        <f>$I$70*$AJ$70</f>
        <v>250.11820554408632</v>
      </c>
      <c r="AK145" s="33">
        <f>$I$70*$AK$70</f>
        <v>903.38674631323011</v>
      </c>
      <c r="AL145" s="33">
        <f>$I$70*$AL$70</f>
        <v>-1.7078767150322047</v>
      </c>
      <c r="AM145" s="33">
        <f>$I$70*$AM$70</f>
        <v>0</v>
      </c>
      <c r="AN145" s="33">
        <f>$I$70*$AN$70</f>
        <v>20258.247727147344</v>
      </c>
      <c r="AO145" s="33">
        <f>$I$70*$AO$70</f>
        <v>3787.0660643259662</v>
      </c>
      <c r="AP145" s="33">
        <f>$I$70*$AP$70</f>
        <v>0</v>
      </c>
      <c r="AQ145" s="33">
        <f>$I$70*$AQ$70</f>
        <v>2966.3124110715135</v>
      </c>
      <c r="AR145" s="33">
        <f>$I$70*$AR$70</f>
        <v>-1.260909877992278</v>
      </c>
      <c r="AS145" s="33">
        <f>$I$70*$AS$70</f>
        <v>0</v>
      </c>
      <c r="AT145" s="33">
        <f>$I$70*$AT$70</f>
        <v>0</v>
      </c>
      <c r="AU145" s="33">
        <f>$I$70*$AU$70</f>
        <v>9206.2324340237665</v>
      </c>
      <c r="AV145" s="33">
        <f>$I$70*$AV$70</f>
        <v>0</v>
      </c>
      <c r="AW145" s="33">
        <f>$I$70*$AW$70</f>
        <v>0</v>
      </c>
      <c r="AX145" s="33">
        <f>$I$70*$AX$70</f>
        <v>45540.098786699935</v>
      </c>
      <c r="AY145" s="33">
        <f>$I$70*$AY$70</f>
        <v>-18.315922815419434</v>
      </c>
      <c r="AZ145" s="33">
        <f>$I$70*$AZ$70</f>
        <v>0</v>
      </c>
      <c r="BA145" s="33">
        <f>$I$70*$BA$70</f>
        <v>15060.52721590528</v>
      </c>
      <c r="BB145" s="33">
        <f>$I$70*$BB$70</f>
        <v>52.3330209379574</v>
      </c>
      <c r="BC145" s="33">
        <f>$I$70*$BC$70</f>
        <v>284.85416386094846</v>
      </c>
      <c r="BD145" s="33">
        <f>$I$70*$BD$70</f>
        <v>1185.2149777723137</v>
      </c>
    </row>
    <row r="146" spans="1:56" ht="11.25" customHeight="1" x14ac:dyDescent="0.25">
      <c r="A146" s="9" t="s">
        <v>37</v>
      </c>
      <c r="B146" s="9" t="s">
        <v>1427</v>
      </c>
      <c r="C146" s="9" t="s">
        <v>1428</v>
      </c>
      <c r="D146" s="9" t="s">
        <v>1429</v>
      </c>
      <c r="E146" s="9" t="s">
        <v>1430</v>
      </c>
      <c r="F146" s="9" t="s">
        <v>1431</v>
      </c>
      <c r="G146" s="9" t="s">
        <v>1432</v>
      </c>
      <c r="L146" s="33">
        <f>$I$71*$L$71</f>
        <v>528206.58131374442</v>
      </c>
      <c r="M146" s="33">
        <f>$I$71*$M$71</f>
        <v>187929.82880758581</v>
      </c>
      <c r="N146" s="33">
        <f ca="1">$I$71*$N$71</f>
        <v>837161.20003975392</v>
      </c>
      <c r="O146" s="33">
        <f>$I$71*$O$71</f>
        <v>-1139.8916550520817</v>
      </c>
      <c r="P146" s="33">
        <f>$I$71*$P$71</f>
        <v>0</v>
      </c>
      <c r="Q146" s="33">
        <f>$I$71*$Q$71</f>
        <v>24221622.947596338</v>
      </c>
      <c r="R146" s="33">
        <f>$I$71*$R$71</f>
        <v>4098681.2991032302</v>
      </c>
      <c r="S146" s="33">
        <f>$I$71*$S$71</f>
        <v>0</v>
      </c>
      <c r="T146" s="33">
        <f>$I$71*$T$71</f>
        <v>3391624.5448381626</v>
      </c>
      <c r="U146" s="33">
        <f>$I$71*$U$71</f>
        <v>38539.776055047412</v>
      </c>
      <c r="V146" s="33">
        <f>$I$71*$V$71</f>
        <v>0</v>
      </c>
      <c r="W146" s="33">
        <f>$I$71*$W$71</f>
        <v>0</v>
      </c>
      <c r="X146" s="33">
        <f>$I$71*$X$71</f>
        <v>10017254.703193501</v>
      </c>
      <c r="Y146" s="33">
        <f>$I$71*$Y$71</f>
        <v>0</v>
      </c>
      <c r="Z146" s="33">
        <f>$I$71*$Z$71</f>
        <v>0</v>
      </c>
      <c r="AA146" s="33">
        <f>$I$71*$AA$71</f>
        <v>44626058.203400068</v>
      </c>
      <c r="AB146" s="33">
        <f ca="1">$I$71*$AB$71</f>
        <v>0</v>
      </c>
      <c r="AC146" s="33">
        <f ca="1">$I$71*$AC$71</f>
        <v>0</v>
      </c>
      <c r="AD146" s="33">
        <f>$I$71*$AD$71</f>
        <v>9666054.8651458006</v>
      </c>
      <c r="AE146" s="33">
        <f>$I$71*$AE$71</f>
        <v>21462.544045543935</v>
      </c>
      <c r="AF146" s="33">
        <f ca="1">$I$71*$AF$71</f>
        <v>174005.45129851939</v>
      </c>
      <c r="AG146" s="33">
        <f ca="1">$I$71*$AG$71</f>
        <v>1120872.8364099599</v>
      </c>
      <c r="AI146" s="33">
        <f>$I$71*$AI$71</f>
        <v>2297394.5186283463</v>
      </c>
      <c r="AJ146" s="33">
        <f>$I$71*$AJ$71</f>
        <v>148361.60059055148</v>
      </c>
      <c r="AK146" s="33">
        <f>$I$71*$AK$71</f>
        <v>697528.02732089581</v>
      </c>
      <c r="AL146" s="33">
        <f>$I$71*$AL$71</f>
        <v>-1013.0542976762609</v>
      </c>
      <c r="AM146" s="33">
        <f>$I$71*$AM$71</f>
        <v>0</v>
      </c>
      <c r="AN146" s="33">
        <f>$I$71*$AN$71</f>
        <v>12016502.562944055</v>
      </c>
      <c r="AO146" s="33">
        <f>$I$71*$AO$71</f>
        <v>2246358.6032186169</v>
      </c>
      <c r="AP146" s="33">
        <f>$I$71*$AP$71</f>
        <v>0</v>
      </c>
      <c r="AQ146" s="33">
        <f>$I$71*$AQ$71</f>
        <v>2587519.2336060605</v>
      </c>
      <c r="AR146" s="33">
        <f>$I$71*$AR$71</f>
        <v>-1099.8798229861263</v>
      </c>
      <c r="AS146" s="33">
        <f>$I$71*$AS$71</f>
        <v>0</v>
      </c>
      <c r="AT146" s="33">
        <f>$I$71*$AT$71</f>
        <v>0</v>
      </c>
      <c r="AU146" s="33">
        <f>$I$71*$AU$71</f>
        <v>8030620.3206865182</v>
      </c>
      <c r="AV146" s="33">
        <f>$I$71*$AV$71</f>
        <v>0</v>
      </c>
      <c r="AW146" s="33">
        <f>$I$71*$AW$71</f>
        <v>0</v>
      </c>
      <c r="AX146" s="33">
        <f>$I$71*$AX$71</f>
        <v>39724771.305066317</v>
      </c>
      <c r="AY146" s="33">
        <f>$I$71*$AY$71</f>
        <v>-13699.223886713504</v>
      </c>
      <c r="AZ146" s="33">
        <f>$I$71*$AZ$71</f>
        <v>0</v>
      </c>
      <c r="BA146" s="33">
        <f>$I$71*$BA$71</f>
        <v>8933391.788209632</v>
      </c>
      <c r="BB146" s="33">
        <f>$I$71*$BB$71</f>
        <v>31042.165576090654</v>
      </c>
      <c r="BC146" s="33">
        <f>$I$71*$BC$71</f>
        <v>168965.78796957849</v>
      </c>
      <c r="BD146" s="33">
        <f>$I$71*$BD$71</f>
        <v>703029.15680882486</v>
      </c>
    </row>
    <row r="147" spans="1:56" ht="11.25" customHeight="1" x14ac:dyDescent="0.25">
      <c r="A147" s="9" t="s">
        <v>37</v>
      </c>
      <c r="B147" s="9" t="s">
        <v>1433</v>
      </c>
      <c r="C147" s="9" t="s">
        <v>1434</v>
      </c>
      <c r="D147" s="9" t="s">
        <v>1435</v>
      </c>
      <c r="E147" s="9" t="s">
        <v>1436</v>
      </c>
      <c r="F147" s="9" t="s">
        <v>1437</v>
      </c>
      <c r="G147" s="9" t="s">
        <v>1438</v>
      </c>
      <c r="L147" s="33">
        <f>$I$72*$L$72</f>
        <v>0</v>
      </c>
      <c r="M147" s="33">
        <f>$I$72*$M$72</f>
        <v>0</v>
      </c>
      <c r="N147" s="33">
        <f ca="1">$I$72*$N$72</f>
        <v>0</v>
      </c>
      <c r="O147" s="33">
        <f>$I$72*$O$72</f>
        <v>0</v>
      </c>
      <c r="P147" s="33">
        <f>$I$72*$P$72</f>
        <v>0</v>
      </c>
      <c r="Q147" s="33">
        <f>$I$72*$Q$72</f>
        <v>0</v>
      </c>
      <c r="R147" s="33">
        <f>$I$72*$R$72</f>
        <v>0</v>
      </c>
      <c r="S147" s="33">
        <f>$I$72*$S$72</f>
        <v>0</v>
      </c>
      <c r="T147" s="33">
        <f>$I$72*$T$72</f>
        <v>0</v>
      </c>
      <c r="U147" s="33">
        <f>$I$72*$U$72</f>
        <v>0</v>
      </c>
      <c r="V147" s="33">
        <f>$I$72*$V$72</f>
        <v>0</v>
      </c>
      <c r="W147" s="33">
        <f>$I$72*$W$72</f>
        <v>0</v>
      </c>
      <c r="X147" s="33">
        <f>$I$72*$X$72</f>
        <v>0</v>
      </c>
      <c r="Y147" s="33">
        <f>$I$72*$Y$72</f>
        <v>0</v>
      </c>
      <c r="Z147" s="33">
        <f>$I$72*$Z$72</f>
        <v>0</v>
      </c>
      <c r="AA147" s="33">
        <f>$I$72*$AA$72</f>
        <v>0</v>
      </c>
      <c r="AB147" s="33">
        <f ca="1">$I$72*$AB$72</f>
        <v>0</v>
      </c>
      <c r="AC147" s="33">
        <f ca="1">$I$72*$AC$72</f>
        <v>0</v>
      </c>
      <c r="AD147" s="33">
        <f>$I$72*$AD$72</f>
        <v>0</v>
      </c>
      <c r="AE147" s="33">
        <f>$I$72*$AE$72</f>
        <v>0</v>
      </c>
      <c r="AF147" s="33">
        <f ca="1">$I$72*$AF$72</f>
        <v>0</v>
      </c>
      <c r="AG147" s="33">
        <f ca="1">$I$72*$AG$72</f>
        <v>0</v>
      </c>
      <c r="AI147" s="33">
        <f>$I$72*$AI$72</f>
        <v>0</v>
      </c>
      <c r="AJ147" s="33">
        <f>$I$72*$AJ$72</f>
        <v>0</v>
      </c>
      <c r="AK147" s="33">
        <f>$I$72*$AK$72</f>
        <v>0</v>
      </c>
      <c r="AL147" s="33">
        <f>$I$72*$AL$72</f>
        <v>0</v>
      </c>
      <c r="AM147" s="33">
        <f>$I$72*$AM$72</f>
        <v>0</v>
      </c>
      <c r="AN147" s="33">
        <f>$I$72*$AN$72</f>
        <v>0</v>
      </c>
      <c r="AO147" s="33">
        <f>$I$72*$AO$72</f>
        <v>0</v>
      </c>
      <c r="AP147" s="33">
        <f>$I$72*$AP$72</f>
        <v>0</v>
      </c>
      <c r="AQ147" s="33">
        <f>$I$72*$AQ$72</f>
        <v>0</v>
      </c>
      <c r="AR147" s="33">
        <f>$I$72*$AR$72</f>
        <v>0</v>
      </c>
      <c r="AS147" s="33">
        <f>$I$72*$AS$72</f>
        <v>0</v>
      </c>
      <c r="AT147" s="33">
        <f>$I$72*$AT$72</f>
        <v>0</v>
      </c>
      <c r="AU147" s="33">
        <f>$I$72*$AU$72</f>
        <v>0</v>
      </c>
      <c r="AV147" s="33">
        <f>$I$72*$AV$72</f>
        <v>0</v>
      </c>
      <c r="AW147" s="33">
        <f>$I$72*$AW$72</f>
        <v>0</v>
      </c>
      <c r="AX147" s="33">
        <f>$I$72*$AX$72</f>
        <v>0</v>
      </c>
      <c r="AY147" s="33">
        <f>$I$72*$AY$72</f>
        <v>0</v>
      </c>
      <c r="AZ147" s="33">
        <f>$I$72*$AZ$72</f>
        <v>0</v>
      </c>
      <c r="BA147" s="33">
        <f>$I$72*$BA$72</f>
        <v>0</v>
      </c>
      <c r="BB147" s="33">
        <f>$I$72*$BB$72</f>
        <v>0</v>
      </c>
      <c r="BC147" s="33">
        <f>$I$72*$BC$72</f>
        <v>0</v>
      </c>
      <c r="BD147" s="33">
        <f>$I$72*$BD$72</f>
        <v>0</v>
      </c>
    </row>
    <row r="148" spans="1:56" ht="11.25" customHeight="1" x14ac:dyDescent="0.25">
      <c r="A148" s="9" t="s">
        <v>47</v>
      </c>
      <c r="B148" s="9" t="s">
        <v>1439</v>
      </c>
      <c r="C148" s="9" t="s">
        <v>1440</v>
      </c>
      <c r="D148" s="9" t="s">
        <v>1441</v>
      </c>
      <c r="E148" s="9" t="s">
        <v>1442</v>
      </c>
      <c r="F148" s="9" t="s">
        <v>1443</v>
      </c>
      <c r="G148" s="9" t="s">
        <v>1444</v>
      </c>
      <c r="L148" s="33">
        <f>$I$73*$L$73</f>
        <v>104289.45828563937</v>
      </c>
      <c r="M148" s="33">
        <f>$I$73*$M$73</f>
        <v>37104.99023565666</v>
      </c>
      <c r="N148" s="33">
        <f ca="1">$I$73*$N$73</f>
        <v>165289.66343575908</v>
      </c>
      <c r="O148" s="33">
        <f>$I$73*$O$73</f>
        <v>-225.06096556773281</v>
      </c>
      <c r="P148" s="33">
        <f>$I$73*$P$73</f>
        <v>0</v>
      </c>
      <c r="Q148" s="33">
        <f>$I$73*$Q$73</f>
        <v>4782333.3244373258</v>
      </c>
      <c r="R148" s="33">
        <f>$I$73*$R$73</f>
        <v>809246.35832028766</v>
      </c>
      <c r="S148" s="33">
        <f>$I$73*$S$73</f>
        <v>0</v>
      </c>
      <c r="T148" s="33">
        <f>$I$73*$T$73</f>
        <v>669644.60308258259</v>
      </c>
      <c r="U148" s="33">
        <f>$I$73*$U$73</f>
        <v>7609.3189850721865</v>
      </c>
      <c r="V148" s="33">
        <f>$I$73*$V$73</f>
        <v>0</v>
      </c>
      <c r="W148" s="33">
        <f>$I$73*$W$73</f>
        <v>0</v>
      </c>
      <c r="X148" s="33">
        <f>$I$73*$X$73</f>
        <v>1977813.4227464229</v>
      </c>
      <c r="Y148" s="33">
        <f>$I$73*$Y$73</f>
        <v>0</v>
      </c>
      <c r="Z148" s="33">
        <f>$I$73*$Z$73</f>
        <v>0</v>
      </c>
      <c r="AA148" s="33">
        <f>$I$73*$AA$73</f>
        <v>8810998.5753691401</v>
      </c>
      <c r="AB148" s="33">
        <f ca="1">$I$73*$AB$73</f>
        <v>0</v>
      </c>
      <c r="AC148" s="33">
        <f ca="1">$I$73*$AC$73</f>
        <v>0</v>
      </c>
      <c r="AD148" s="33">
        <f>$I$73*$AD$73</f>
        <v>1908472.293431255</v>
      </c>
      <c r="AE148" s="33">
        <f>$I$73*$AE$73</f>
        <v>4237.5789532465815</v>
      </c>
      <c r="AF148" s="33">
        <f ca="1">$I$73*$AF$73</f>
        <v>34355.751890739644</v>
      </c>
      <c r="AG148" s="33">
        <f ca="1">$I$73*$AG$73</f>
        <v>221305.87738142803</v>
      </c>
      <c r="AI148" s="33">
        <f>$I$73*$AI$73</f>
        <v>453599.0998450538</v>
      </c>
      <c r="AJ148" s="33">
        <f>$I$73*$AJ$73</f>
        <v>29292.612972553292</v>
      </c>
      <c r="AK148" s="33">
        <f>$I$73*$AK$73</f>
        <v>137720.39706021332</v>
      </c>
      <c r="AL148" s="33">
        <f>$I$73*$AL$73</f>
        <v>-200.01811347337542</v>
      </c>
      <c r="AM148" s="33">
        <f>$I$73*$AM$73</f>
        <v>0</v>
      </c>
      <c r="AN148" s="33">
        <f>$I$73*$AN$73</f>
        <v>2372546.2482131761</v>
      </c>
      <c r="AO148" s="33">
        <f>$I$73*$AO$73</f>
        <v>443522.53480500024</v>
      </c>
      <c r="AP148" s="33">
        <f>$I$73*$AP$73</f>
        <v>0</v>
      </c>
      <c r="AQ148" s="33">
        <f>$I$73*$AQ$73</f>
        <v>510881.51629099605</v>
      </c>
      <c r="AR148" s="33">
        <f>$I$73*$AR$73</f>
        <v>-217.16100286602691</v>
      </c>
      <c r="AS148" s="33">
        <f>$I$73*$AS$73</f>
        <v>0</v>
      </c>
      <c r="AT148" s="33">
        <f>$I$73*$AT$73</f>
        <v>0</v>
      </c>
      <c r="AU148" s="33">
        <f>$I$73*$AU$73</f>
        <v>1585571.0106053802</v>
      </c>
      <c r="AV148" s="33">
        <f>$I$73*$AV$73</f>
        <v>0</v>
      </c>
      <c r="AW148" s="33">
        <f>$I$73*$AW$73</f>
        <v>0</v>
      </c>
      <c r="AX148" s="33">
        <f>$I$73*$AX$73</f>
        <v>7843285.2343910858</v>
      </c>
      <c r="AY148" s="33">
        <f>$I$73*$AY$73</f>
        <v>-2704.7838641571839</v>
      </c>
      <c r="AZ148" s="33">
        <f>$I$73*$AZ$73</f>
        <v>0</v>
      </c>
      <c r="BA148" s="33">
        <f>$I$73*$BA$73</f>
        <v>1763814.8088358941</v>
      </c>
      <c r="BB148" s="33">
        <f>$I$73*$BB$73</f>
        <v>6128.9857916796409</v>
      </c>
      <c r="BC148" s="33">
        <f>$I$73*$BC$73</f>
        <v>33360.717415383369</v>
      </c>
      <c r="BD148" s="33">
        <f>$I$73*$BD$73</f>
        <v>138806.54372053815</v>
      </c>
    </row>
    <row r="149" spans="1:56" ht="11.25" customHeight="1" x14ac:dyDescent="0.25">
      <c r="A149" s="9" t="s">
        <v>47</v>
      </c>
      <c r="B149" s="9" t="s">
        <v>1439</v>
      </c>
      <c r="C149" s="9" t="s">
        <v>1440</v>
      </c>
      <c r="D149" s="9" t="s">
        <v>1445</v>
      </c>
      <c r="E149" s="9" t="s">
        <v>1446</v>
      </c>
      <c r="F149" s="9" t="s">
        <v>1447</v>
      </c>
      <c r="G149" s="9" t="s">
        <v>1448</v>
      </c>
      <c r="L149" s="33">
        <f>$I$74*$L$74</f>
        <v>2209.474845581683</v>
      </c>
      <c r="M149" s="33">
        <f>$I$74*$M$74</f>
        <v>786.10574758854909</v>
      </c>
      <c r="N149" s="33">
        <f ca="1">$I$74*$N$74</f>
        <v>3501.8242457038482</v>
      </c>
      <c r="O149" s="33">
        <f>$I$74*$O$74</f>
        <v>-4.7681381255453728</v>
      </c>
      <c r="P149" s="33">
        <f>$I$74*$P$74</f>
        <v>0</v>
      </c>
      <c r="Q149" s="33">
        <f>$I$74*$Q$74</f>
        <v>101318.43963165251</v>
      </c>
      <c r="R149" s="33">
        <f>$I$74*$R$74</f>
        <v>17144.680794966454</v>
      </c>
      <c r="S149" s="33">
        <f>$I$74*$S$74</f>
        <v>0</v>
      </c>
      <c r="T149" s="33">
        <f>$I$74*$T$74</f>
        <v>14187.0801738955</v>
      </c>
      <c r="U149" s="33">
        <f>$I$74*$U$74</f>
        <v>161.21091398783523</v>
      </c>
      <c r="V149" s="33">
        <f>$I$74*$V$74</f>
        <v>0</v>
      </c>
      <c r="W149" s="33">
        <f>$I$74*$W$74</f>
        <v>0</v>
      </c>
      <c r="X149" s="33">
        <f>$I$74*$X$74</f>
        <v>41901.924495984938</v>
      </c>
      <c r="Y149" s="33">
        <f>$I$74*$Y$74</f>
        <v>0</v>
      </c>
      <c r="Z149" s="33">
        <f>$I$74*$Z$74</f>
        <v>0</v>
      </c>
      <c r="AA149" s="33">
        <f>$I$74*$AA$74</f>
        <v>186669.67914833684</v>
      </c>
      <c r="AB149" s="33">
        <f ca="1">$I$74*$AB$74</f>
        <v>0</v>
      </c>
      <c r="AC149" s="33">
        <f ca="1">$I$74*$AC$74</f>
        <v>0</v>
      </c>
      <c r="AD149" s="33">
        <f>$I$74*$AD$74</f>
        <v>40432.864405880071</v>
      </c>
      <c r="AE149" s="33">
        <f>$I$74*$AE$74</f>
        <v>89.777281973416251</v>
      </c>
      <c r="AF149" s="33">
        <f ca="1">$I$74*$AF$74</f>
        <v>727.860426657208</v>
      </c>
      <c r="AG149" s="33">
        <f ca="1">$I$74*$AG$74</f>
        <v>4688.5828854763604</v>
      </c>
      <c r="AI149" s="33">
        <f>$I$74*$AI$74</f>
        <v>9609.9434934369219</v>
      </c>
      <c r="AJ149" s="33">
        <f>$I$74*$AJ$74</f>
        <v>620.59284407202949</v>
      </c>
      <c r="AK149" s="33">
        <f>$I$74*$AK$74</f>
        <v>2917.7421959047974</v>
      </c>
      <c r="AL149" s="33">
        <f>$I$74*$AL$74</f>
        <v>-4.237580649519785</v>
      </c>
      <c r="AM149" s="33">
        <f>$I$74*$AM$74</f>
        <v>0</v>
      </c>
      <c r="AN149" s="33">
        <f>$I$74*$AN$74</f>
        <v>50264.728013531545</v>
      </c>
      <c r="AO149" s="33">
        <f>$I$74*$AO$74</f>
        <v>9396.4615427982535</v>
      </c>
      <c r="AP149" s="33">
        <f>$I$74*$AP$74</f>
        <v>0</v>
      </c>
      <c r="AQ149" s="33">
        <f>$I$74*$AQ$74</f>
        <v>10823.527879739862</v>
      </c>
      <c r="AR149" s="33">
        <f>$I$74*$AR$74</f>
        <v>-4.6007696382851639</v>
      </c>
      <c r="AS149" s="33">
        <f>$I$74*$AS$74</f>
        <v>0</v>
      </c>
      <c r="AT149" s="33">
        <f>$I$74*$AT$74</f>
        <v>0</v>
      </c>
      <c r="AU149" s="33">
        <f>$I$74*$AU$74</f>
        <v>33591.882836527373</v>
      </c>
      <c r="AV149" s="33">
        <f>$I$74*$AV$74</f>
        <v>0</v>
      </c>
      <c r="AW149" s="33">
        <f>$I$74*$AW$74</f>
        <v>0</v>
      </c>
      <c r="AX149" s="33">
        <f>$I$74*$AX$74</f>
        <v>166167.71931680149</v>
      </c>
      <c r="AY149" s="33">
        <f>$I$74*$AY$74</f>
        <v>-57.303508991506774</v>
      </c>
      <c r="AZ149" s="33">
        <f>$I$74*$AZ$74</f>
        <v>0</v>
      </c>
      <c r="BA149" s="33">
        <f>$I$74*$BA$74</f>
        <v>37368.153181058311</v>
      </c>
      <c r="BB149" s="33">
        <f>$I$74*$BB$74</f>
        <v>129.84859791441079</v>
      </c>
      <c r="BC149" s="33">
        <f>$I$74*$BC$74</f>
        <v>706.77964169651887</v>
      </c>
      <c r="BD149" s="33">
        <f>$I$74*$BD$74</f>
        <v>2940.7532822029675</v>
      </c>
    </row>
  </sheetData>
  <mergeCells count="109">
    <mergeCell ref="AQ78:AW78"/>
    <mergeCell ref="AY78:AZ78"/>
    <mergeCell ref="BA78:BD78"/>
    <mergeCell ref="BA3:BD3"/>
    <mergeCell ref="L76:AG76"/>
    <mergeCell ref="AI76:BD76"/>
    <mergeCell ref="L77:AG77"/>
    <mergeCell ref="AI77:BD77"/>
    <mergeCell ref="L78:S78"/>
    <mergeCell ref="T78:Z78"/>
    <mergeCell ref="AB78:AC78"/>
    <mergeCell ref="AD78:AG78"/>
    <mergeCell ref="AI78:AP78"/>
    <mergeCell ref="AD3:AG3"/>
    <mergeCell ref="AB3:AC3"/>
    <mergeCell ref="E68:E70"/>
    <mergeCell ref="F68:F70"/>
    <mergeCell ref="A73:A74"/>
    <mergeCell ref="B73:B74"/>
    <mergeCell ref="C73:C74"/>
    <mergeCell ref="AI1:BD1"/>
    <mergeCell ref="AI2:BD2"/>
    <mergeCell ref="AI3:AP3"/>
    <mergeCell ref="AQ3:AW3"/>
    <mergeCell ref="AY3:AZ3"/>
    <mergeCell ref="B65:B67"/>
    <mergeCell ref="C65:C67"/>
    <mergeCell ref="A68:A72"/>
    <mergeCell ref="B68:B70"/>
    <mergeCell ref="C68:C70"/>
    <mergeCell ref="D68:D70"/>
    <mergeCell ref="F57:F59"/>
    <mergeCell ref="B61:B63"/>
    <mergeCell ref="C61:C63"/>
    <mergeCell ref="D61:D63"/>
    <mergeCell ref="E61:E63"/>
    <mergeCell ref="F61:F63"/>
    <mergeCell ref="A53:A67"/>
    <mergeCell ref="B53:B55"/>
    <mergeCell ref="C53:C55"/>
    <mergeCell ref="D53:D55"/>
    <mergeCell ref="E53:E55"/>
    <mergeCell ref="F53:F55"/>
    <mergeCell ref="B57:B59"/>
    <mergeCell ref="C57:C59"/>
    <mergeCell ref="D57:D59"/>
    <mergeCell ref="E57:E59"/>
    <mergeCell ref="E40:E42"/>
    <mergeCell ref="F40:F42"/>
    <mergeCell ref="B43:B47"/>
    <mergeCell ref="C43:C47"/>
    <mergeCell ref="B48:B52"/>
    <mergeCell ref="C48:C52"/>
    <mergeCell ref="A38:A39"/>
    <mergeCell ref="B38:B39"/>
    <mergeCell ref="C38:C39"/>
    <mergeCell ref="D38:D39"/>
    <mergeCell ref="A40:A52"/>
    <mergeCell ref="B40:B42"/>
    <mergeCell ref="C40:C42"/>
    <mergeCell ref="D40:D42"/>
    <mergeCell ref="E29:E31"/>
    <mergeCell ref="A25:A37"/>
    <mergeCell ref="G1:G4"/>
    <mergeCell ref="H1:H4"/>
    <mergeCell ref="C9:C19"/>
    <mergeCell ref="D9:D19"/>
    <mergeCell ref="E9:E19"/>
    <mergeCell ref="F29:F31"/>
    <mergeCell ref="B33:B37"/>
    <mergeCell ref="C33:C37"/>
    <mergeCell ref="D33:D37"/>
    <mergeCell ref="E33:E35"/>
    <mergeCell ref="F33:F35"/>
    <mergeCell ref="E36:E37"/>
    <mergeCell ref="F36:F37"/>
    <mergeCell ref="F20:F22"/>
    <mergeCell ref="B25:B28"/>
    <mergeCell ref="C25:C28"/>
    <mergeCell ref="D25:D28"/>
    <mergeCell ref="E25:E27"/>
    <mergeCell ref="F25:F27"/>
    <mergeCell ref="B29:B31"/>
    <mergeCell ref="C29:C31"/>
    <mergeCell ref="D29:D31"/>
    <mergeCell ref="A20:A24"/>
    <mergeCell ref="B20:B23"/>
    <mergeCell ref="C20:C23"/>
    <mergeCell ref="D20:D23"/>
    <mergeCell ref="E20:E22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  <mergeCell ref="A5:A19"/>
    <mergeCell ref="B5:B8"/>
    <mergeCell ref="C5:C8"/>
    <mergeCell ref="D5:D8"/>
    <mergeCell ref="E5:E7"/>
    <mergeCell ref="F5:F7"/>
    <mergeCell ref="B9:B1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1238A-D2A7-48AD-A1DE-8F1128C4C3EF}">
  <dimension ref="A1:AH91"/>
  <sheetViews>
    <sheetView showGridLines="0" topLeftCell="L27" workbookViewId="0">
      <selection activeCell="V46" sqref="V46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10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10" style="9" bestFit="1" customWidth="1"/>
    <col min="25" max="25" width="10.85546875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10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26" t="s">
        <v>107</v>
      </c>
      <c r="B1" s="126" t="s">
        <v>108</v>
      </c>
      <c r="C1" s="126" t="s">
        <v>109</v>
      </c>
      <c r="D1" s="126" t="s">
        <v>110</v>
      </c>
      <c r="E1" s="126" t="s">
        <v>111</v>
      </c>
      <c r="F1" s="126" t="s">
        <v>15</v>
      </c>
      <c r="G1" s="126" t="s">
        <v>113</v>
      </c>
      <c r="H1" s="126" t="s">
        <v>114</v>
      </c>
      <c r="I1" s="126" t="s">
        <v>1040</v>
      </c>
      <c r="J1" s="114"/>
      <c r="L1" s="124" t="s">
        <v>1449</v>
      </c>
      <c r="M1" s="124"/>
      <c r="N1" s="124"/>
      <c r="O1" s="124"/>
      <c r="P1" s="124"/>
      <c r="Q1" s="124"/>
      <c r="R1" s="124"/>
      <c r="S1" s="124"/>
      <c r="T1" s="124"/>
      <c r="U1" s="124"/>
      <c r="V1" s="124"/>
      <c r="X1" s="124" t="s">
        <v>1450</v>
      </c>
      <c r="Y1" s="124"/>
      <c r="Z1" s="124"/>
      <c r="AA1" s="124"/>
      <c r="AB1" s="124"/>
      <c r="AC1" s="124"/>
      <c r="AD1" s="124"/>
      <c r="AE1" s="124"/>
      <c r="AF1" s="124"/>
      <c r="AG1" s="124"/>
      <c r="AH1" s="124"/>
    </row>
    <row r="2" spans="1:34" ht="11.25" customHeight="1" x14ac:dyDescent="0.25">
      <c r="A2" s="126"/>
      <c r="B2" s="126"/>
      <c r="C2" s="126"/>
      <c r="D2" s="126"/>
      <c r="E2" s="126"/>
      <c r="F2" s="126"/>
      <c r="G2" s="126"/>
      <c r="H2" s="126"/>
      <c r="I2" s="126"/>
      <c r="J2" s="114"/>
      <c r="L2" s="124" t="s">
        <v>979</v>
      </c>
      <c r="M2" s="124"/>
      <c r="N2" s="124"/>
      <c r="O2" s="124"/>
      <c r="P2" s="124"/>
      <c r="Q2" s="124"/>
      <c r="R2" s="124"/>
      <c r="S2" s="124"/>
      <c r="T2" s="124"/>
      <c r="U2" s="124"/>
      <c r="V2" s="124"/>
      <c r="X2" s="124" t="s">
        <v>979</v>
      </c>
      <c r="Y2" s="124"/>
      <c r="Z2" s="124"/>
      <c r="AA2" s="124"/>
      <c r="AB2" s="124"/>
      <c r="AC2" s="124"/>
      <c r="AD2" s="124"/>
      <c r="AE2" s="124"/>
      <c r="AF2" s="124"/>
      <c r="AG2" s="124"/>
      <c r="AH2" s="124"/>
    </row>
    <row r="3" spans="1:34" ht="11.25" customHeight="1" x14ac:dyDescent="0.25">
      <c r="A3" s="126"/>
      <c r="B3" s="126"/>
      <c r="C3" s="126"/>
      <c r="D3" s="126"/>
      <c r="E3" s="126"/>
      <c r="F3" s="126"/>
      <c r="G3" s="126"/>
      <c r="H3" s="126"/>
      <c r="I3" s="126"/>
      <c r="J3" s="114"/>
      <c r="L3" s="124" t="s">
        <v>952</v>
      </c>
      <c r="M3" s="124"/>
      <c r="N3" s="124"/>
      <c r="O3" s="124"/>
      <c r="P3" s="124"/>
      <c r="Q3" s="82" t="s">
        <v>982</v>
      </c>
      <c r="R3" s="124" t="s">
        <v>961</v>
      </c>
      <c r="S3" s="124"/>
      <c r="T3" s="124"/>
      <c r="U3" s="82" t="s">
        <v>971</v>
      </c>
      <c r="V3" s="82" t="s">
        <v>974</v>
      </c>
      <c r="X3" s="124" t="s">
        <v>952</v>
      </c>
      <c r="Y3" s="124"/>
      <c r="Z3" s="124"/>
      <c r="AA3" s="124"/>
      <c r="AB3" s="124"/>
      <c r="AC3" s="82" t="s">
        <v>982</v>
      </c>
      <c r="AD3" s="124" t="s">
        <v>961</v>
      </c>
      <c r="AE3" s="124"/>
      <c r="AF3" s="124"/>
      <c r="AG3" s="82" t="s">
        <v>971</v>
      </c>
      <c r="AH3" s="82" t="s">
        <v>974</v>
      </c>
    </row>
    <row r="4" spans="1:34" ht="11.25" customHeight="1" x14ac:dyDescent="0.25">
      <c r="A4" s="126"/>
      <c r="B4" s="126"/>
      <c r="C4" s="126"/>
      <c r="D4" s="126"/>
      <c r="E4" s="126"/>
      <c r="F4" s="126"/>
      <c r="G4" s="126"/>
      <c r="H4" s="126"/>
      <c r="I4" s="126"/>
      <c r="J4" s="114"/>
      <c r="L4" s="82" t="s">
        <v>954</v>
      </c>
      <c r="M4" s="82" t="s">
        <v>980</v>
      </c>
      <c r="N4" s="82" t="s">
        <v>981</v>
      </c>
      <c r="O4" s="82" t="s">
        <v>1039</v>
      </c>
      <c r="P4" s="82" t="s">
        <v>1613</v>
      </c>
      <c r="Q4" s="82" t="s">
        <v>983</v>
      </c>
      <c r="R4" s="82" t="s">
        <v>984</v>
      </c>
      <c r="S4" s="82" t="s">
        <v>985</v>
      </c>
      <c r="T4" s="82" t="s">
        <v>986</v>
      </c>
      <c r="U4" s="82" t="s">
        <v>972</v>
      </c>
      <c r="V4" s="82" t="s">
        <v>987</v>
      </c>
      <c r="X4" s="82" t="s">
        <v>954</v>
      </c>
      <c r="Y4" s="82" t="s">
        <v>980</v>
      </c>
      <c r="Z4" s="82" t="s">
        <v>981</v>
      </c>
      <c r="AA4" s="82" t="s">
        <v>1039</v>
      </c>
      <c r="AB4" s="82" t="s">
        <v>1613</v>
      </c>
      <c r="AC4" s="82" t="s">
        <v>983</v>
      </c>
      <c r="AD4" s="82" t="s">
        <v>984</v>
      </c>
      <c r="AE4" s="82" t="s">
        <v>985</v>
      </c>
      <c r="AF4" s="82" t="s">
        <v>986</v>
      </c>
      <c r="AG4" s="82" t="s">
        <v>972</v>
      </c>
      <c r="AH4" s="82" t="s">
        <v>987</v>
      </c>
    </row>
    <row r="5" spans="1:34" ht="11.25" customHeight="1" x14ac:dyDescent="0.25">
      <c r="A5" s="127" t="s">
        <v>59</v>
      </c>
      <c r="B5" s="127" t="s">
        <v>116</v>
      </c>
      <c r="C5" s="127" t="s">
        <v>25</v>
      </c>
      <c r="D5" s="127" t="s">
        <v>25</v>
      </c>
      <c r="E5" s="127" t="s">
        <v>25</v>
      </c>
      <c r="F5" s="127" t="s">
        <v>25</v>
      </c>
      <c r="G5" s="45" t="s">
        <v>118</v>
      </c>
      <c r="H5" s="45" t="s">
        <v>117</v>
      </c>
      <c r="I5" s="45">
        <f>'MERCADO TE'!$U$2</f>
        <v>0</v>
      </c>
      <c r="J5" s="16"/>
      <c r="L5" s="43">
        <f>('TE BE'!$L$5+'TE BF'!$L$5+'TE CVA'!$L$5)*1</f>
        <v>3.2107886365799283</v>
      </c>
      <c r="M5" s="43">
        <f>('TE BE'!$M$5+'TE BF'!$M$5+'TE CVA'!$M$5)*1</f>
        <v>24.135975487292423</v>
      </c>
      <c r="N5" s="43">
        <f>('TE BE'!$N$5+'TE BF'!$N$5+'TE CVA'!$N$5)*1</f>
        <v>0</v>
      </c>
      <c r="O5" s="43">
        <f>('TE BE'!$O$5+'TE BF'!$O$5+'TE CVA'!$O$5)*1</f>
        <v>16.665288104244027</v>
      </c>
      <c r="P5" s="43">
        <f>('TE BE'!$P$5+'TE BF'!$P$5+'TE CVA'!$P$5)*1</f>
        <v>-17.446033945604587</v>
      </c>
      <c r="Q5" s="43">
        <f>('TE BE'!$R$5+'TE BF'!$R$5+'TE CVA'!$R$5)*1</f>
        <v>470.18316756906313</v>
      </c>
      <c r="R5" s="43">
        <f>('TE BE'!$T$5+'TE BF'!$T$5+'TE CVA'!$T$5)*1</f>
        <v>7.0894682219589384</v>
      </c>
      <c r="S5" s="43">
        <f>('TE BE'!$U$5+'TE BF'!$U$5+'TE CVA'!$U$5)*1</f>
        <v>4.8418157253049916</v>
      </c>
      <c r="T5" s="43">
        <f>('TE BE'!$V$5+'TE BF'!$V$5+'TE CVA'!$V$5)*1</f>
        <v>0</v>
      </c>
      <c r="U5" s="43">
        <f>('TE BE'!$X$5+'TE BF'!$X$5+'TE CVA'!$X$5)*1</f>
        <v>0</v>
      </c>
      <c r="V5" s="43">
        <f>('TE BE'!$Z$5+'TE BF'!$Z$5+'TE CVA'!$Z$5)*1</f>
        <v>1.3694635133124107</v>
      </c>
      <c r="X5" s="43">
        <v>3.1323522717127799</v>
      </c>
      <c r="Y5" s="43">
        <v>33.954901670345102</v>
      </c>
      <c r="Z5" s="43">
        <v>0</v>
      </c>
      <c r="AA5" s="43">
        <v>0</v>
      </c>
      <c r="AB5" s="43">
        <v>0</v>
      </c>
      <c r="AC5" s="43">
        <v>442.329136826808</v>
      </c>
      <c r="AD5" s="43">
        <v>4.9953888867404102</v>
      </c>
      <c r="AE5" s="43">
        <v>5.6902423038738101</v>
      </c>
      <c r="AF5" s="43">
        <v>0</v>
      </c>
      <c r="AG5" s="43">
        <v>-0.123770366162095</v>
      </c>
      <c r="AH5" s="43">
        <v>1.5739993788192801</v>
      </c>
    </row>
    <row r="6" spans="1:34" ht="11.25" customHeight="1" x14ac:dyDescent="0.25">
      <c r="A6" s="127"/>
      <c r="B6" s="127"/>
      <c r="C6" s="127"/>
      <c r="D6" s="127"/>
      <c r="E6" s="127"/>
      <c r="F6" s="127"/>
      <c r="G6" s="45" t="s">
        <v>119</v>
      </c>
      <c r="H6" s="45" t="s">
        <v>117</v>
      </c>
      <c r="I6" s="45">
        <f>'MERCADO TE'!$U$3</f>
        <v>0</v>
      </c>
      <c r="J6" s="16"/>
      <c r="L6" s="43">
        <f>('TE BE'!$L$6+'TE BF'!$L$6+'TE CVA'!$L$6)*1</f>
        <v>3.2107886365799283</v>
      </c>
      <c r="M6" s="43">
        <f>('TE BE'!$M$6+'TE BF'!$M$6+'TE CVA'!$M$6)*1</f>
        <v>24.135975487292423</v>
      </c>
      <c r="N6" s="43">
        <f>('TE BE'!$N$6+'TE BF'!$N$6+'TE CVA'!$N$6)*1</f>
        <v>0</v>
      </c>
      <c r="O6" s="43">
        <f>('TE BE'!$O$6+'TE BF'!$O$6+'TE CVA'!$O$6)*1</f>
        <v>16.665288104244027</v>
      </c>
      <c r="P6" s="43">
        <f>('TE BE'!$P$6+'TE BF'!$P$6+'TE CVA'!$P$6)*1</f>
        <v>-17.446033945604587</v>
      </c>
      <c r="Q6" s="43">
        <f>('TE BE'!$R$6+'TE BF'!$R$6+'TE CVA'!$R$6)*1</f>
        <v>273.36230672619951</v>
      </c>
      <c r="R6" s="43">
        <f>('TE BE'!$T$6+'TE BF'!$T$6+'TE CVA'!$T$6)*1</f>
        <v>7.0894682219589384</v>
      </c>
      <c r="S6" s="43">
        <f>('TE BE'!$U$6+'TE BF'!$U$6+'TE CVA'!$U$6)*1</f>
        <v>4.8418157253049916</v>
      </c>
      <c r="T6" s="43">
        <f>('TE BE'!$V$6+'TE BF'!$V$6+'TE CVA'!$V$6)*1</f>
        <v>0</v>
      </c>
      <c r="U6" s="43">
        <f>('TE BE'!$X$6+'TE BF'!$X$6+'TE CVA'!$X$6)*1</f>
        <v>0</v>
      </c>
      <c r="V6" s="43">
        <f>('TE BE'!$Z$6+'TE BF'!$Z$6+'TE CVA'!$Z$6)*1</f>
        <v>1.3694635133124107</v>
      </c>
      <c r="X6" s="43">
        <v>3.1323522717127799</v>
      </c>
      <c r="Y6" s="43">
        <v>33.954901670345102</v>
      </c>
      <c r="Z6" s="43">
        <v>0</v>
      </c>
      <c r="AA6" s="43">
        <v>0</v>
      </c>
      <c r="AB6" s="43">
        <v>0</v>
      </c>
      <c r="AC6" s="43">
        <v>257.16810280628403</v>
      </c>
      <c r="AD6" s="43">
        <v>4.9953888867404102</v>
      </c>
      <c r="AE6" s="43">
        <v>5.6902423038738101</v>
      </c>
      <c r="AF6" s="43">
        <v>0</v>
      </c>
      <c r="AG6" s="43">
        <v>-7.5428249838895803E-2</v>
      </c>
      <c r="AH6" s="43">
        <v>1.5739993788192801</v>
      </c>
    </row>
    <row r="7" spans="1:34" ht="11.25" customHeight="1" x14ac:dyDescent="0.25">
      <c r="A7" s="127" t="s">
        <v>39</v>
      </c>
      <c r="B7" s="127" t="s">
        <v>116</v>
      </c>
      <c r="C7" s="127" t="s">
        <v>25</v>
      </c>
      <c r="D7" s="127" t="s">
        <v>25</v>
      </c>
      <c r="E7" s="127" t="s">
        <v>25</v>
      </c>
      <c r="F7" s="127" t="s">
        <v>25</v>
      </c>
      <c r="G7" s="45" t="s">
        <v>118</v>
      </c>
      <c r="H7" s="45" t="s">
        <v>117</v>
      </c>
      <c r="I7" s="45">
        <f>'MERCADO TE'!$U$4</f>
        <v>174.774</v>
      </c>
      <c r="J7" s="16"/>
      <c r="L7" s="43">
        <f>('TE BE'!$L$7+'TE BF'!$L$7+'TE CVA'!$L$7)*1</f>
        <v>3.2107886365799283</v>
      </c>
      <c r="M7" s="43">
        <f>('TE BE'!$M$7+'TE BF'!$M$7+'TE CVA'!$M$7)*1</f>
        <v>24.135975487292423</v>
      </c>
      <c r="N7" s="43">
        <f>('TE BE'!$N$7+'TE BF'!$N$7+'TE CVA'!$N$7)*1</f>
        <v>0</v>
      </c>
      <c r="O7" s="43">
        <f>('TE BE'!$O$7+'TE BF'!$O$7+'TE CVA'!$O$7)*1</f>
        <v>16.665288104244027</v>
      </c>
      <c r="P7" s="43">
        <f>('TE BE'!$P$7+'TE BF'!$P$7+'TE CVA'!$P$7)*1</f>
        <v>-17.446033945604587</v>
      </c>
      <c r="Q7" s="43">
        <f>('TE BE'!$R$7+'TE BF'!$R$7+'TE CVA'!$R$7)*1</f>
        <v>470.18316756906313</v>
      </c>
      <c r="R7" s="43">
        <f>('TE BE'!$T$7+'TE BF'!$T$7+'TE CVA'!$T$7)*1</f>
        <v>7.0894682219589384</v>
      </c>
      <c r="S7" s="43">
        <f>('TE BE'!$U$7+'TE BF'!$U$7+'TE CVA'!$U$7)*1</f>
        <v>4.8418157253049916</v>
      </c>
      <c r="T7" s="43">
        <f>('TE BE'!$V$7+'TE BF'!$V$7+'TE CVA'!$V$7)*1</f>
        <v>0</v>
      </c>
      <c r="U7" s="43">
        <f>('TE BE'!$X$7+'TE BF'!$X$7+'TE CVA'!$X$7)*1</f>
        <v>0</v>
      </c>
      <c r="V7" s="43">
        <f>('TE BE'!$Z$7+'TE BF'!$Z$7+'TE CVA'!$Z$7)*1</f>
        <v>1.3694635133124107</v>
      </c>
      <c r="X7" s="43">
        <v>3.1323522717127799</v>
      </c>
      <c r="Y7" s="43">
        <v>33.954901670345102</v>
      </c>
      <c r="Z7" s="43">
        <v>0</v>
      </c>
      <c r="AA7" s="43">
        <v>0</v>
      </c>
      <c r="AB7" s="43">
        <v>0</v>
      </c>
      <c r="AC7" s="43">
        <v>442.329136826808</v>
      </c>
      <c r="AD7" s="43">
        <v>4.9953888867404102</v>
      </c>
      <c r="AE7" s="43">
        <v>5.6902423038738101</v>
      </c>
      <c r="AF7" s="43">
        <v>0</v>
      </c>
      <c r="AG7" s="43">
        <v>-0.123770366162095</v>
      </c>
      <c r="AH7" s="43">
        <v>1.5739993788192801</v>
      </c>
    </row>
    <row r="8" spans="1:34" ht="11.25" customHeight="1" x14ac:dyDescent="0.25">
      <c r="A8" s="127"/>
      <c r="B8" s="127"/>
      <c r="C8" s="127"/>
      <c r="D8" s="127"/>
      <c r="E8" s="127"/>
      <c r="F8" s="127"/>
      <c r="G8" s="45" t="s">
        <v>119</v>
      </c>
      <c r="H8" s="45" t="s">
        <v>117</v>
      </c>
      <c r="I8" s="45">
        <f>'MERCADO TE'!$U$5</f>
        <v>1762.346</v>
      </c>
      <c r="J8" s="16"/>
      <c r="L8" s="43">
        <f>('TE BE'!$L$8+'TE BF'!$L$8+'TE CVA'!$L$8)*1</f>
        <v>3.2107886365799283</v>
      </c>
      <c r="M8" s="43">
        <f>('TE BE'!$M$8+'TE BF'!$M$8+'TE CVA'!$M$8)*1</f>
        <v>24.135975487292423</v>
      </c>
      <c r="N8" s="43">
        <f>('TE BE'!$N$8+'TE BF'!$N$8+'TE CVA'!$N$8)*1</f>
        <v>0</v>
      </c>
      <c r="O8" s="43">
        <f>('TE BE'!$O$8+'TE BF'!$O$8+'TE CVA'!$O$8)*1</f>
        <v>16.665288104244027</v>
      </c>
      <c r="P8" s="43">
        <f>('TE BE'!$P$8+'TE BF'!$P$8+'TE CVA'!$P$8)*1</f>
        <v>-17.446033945604587</v>
      </c>
      <c r="Q8" s="43">
        <f>('TE BE'!$R$8+'TE BF'!$R$8+'TE CVA'!$R$8)*1</f>
        <v>273.36230672619951</v>
      </c>
      <c r="R8" s="43">
        <f>('TE BE'!$T$8+'TE BF'!$T$8+'TE CVA'!$T$8)*1</f>
        <v>7.0894682219589384</v>
      </c>
      <c r="S8" s="43">
        <f>('TE BE'!$U$8+'TE BF'!$U$8+'TE CVA'!$U$8)*1</f>
        <v>4.8418157253049916</v>
      </c>
      <c r="T8" s="43">
        <f>('TE BE'!$V$8+'TE BF'!$V$8+'TE CVA'!$V$8)*1</f>
        <v>0</v>
      </c>
      <c r="U8" s="43">
        <f>('TE BE'!$X$8+'TE BF'!$X$8+'TE CVA'!$X$8)*1</f>
        <v>0</v>
      </c>
      <c r="V8" s="43">
        <f>('TE BE'!$Z$8+'TE BF'!$Z$8+'TE CVA'!$Z$8)*1</f>
        <v>1.3694635133124107</v>
      </c>
      <c r="X8" s="43">
        <v>3.1323522717127799</v>
      </c>
      <c r="Y8" s="43">
        <v>33.954901670345102</v>
      </c>
      <c r="Z8" s="43">
        <v>0</v>
      </c>
      <c r="AA8" s="43">
        <v>0</v>
      </c>
      <c r="AB8" s="43">
        <v>0</v>
      </c>
      <c r="AC8" s="43">
        <v>257.16810280628403</v>
      </c>
      <c r="AD8" s="43">
        <v>4.9953888867404102</v>
      </c>
      <c r="AE8" s="43">
        <v>5.6902423038738101</v>
      </c>
      <c r="AF8" s="43">
        <v>0</v>
      </c>
      <c r="AG8" s="43">
        <v>-7.5428249838895803E-2</v>
      </c>
      <c r="AH8" s="43">
        <v>1.5739993788192801</v>
      </c>
    </row>
    <row r="9" spans="1:34" ht="11.25" customHeight="1" x14ac:dyDescent="0.25">
      <c r="A9" s="127" t="s">
        <v>41</v>
      </c>
      <c r="B9" s="127" t="s">
        <v>116</v>
      </c>
      <c r="C9" s="127" t="s">
        <v>25</v>
      </c>
      <c r="D9" s="127" t="s">
        <v>25</v>
      </c>
      <c r="E9" s="127" t="s">
        <v>25</v>
      </c>
      <c r="F9" s="127" t="s">
        <v>25</v>
      </c>
      <c r="G9" s="45" t="s">
        <v>118</v>
      </c>
      <c r="H9" s="45" t="s">
        <v>117</v>
      </c>
      <c r="I9" s="45">
        <f>'MERCADO TE'!$U$6</f>
        <v>7308.0869999999995</v>
      </c>
      <c r="J9" s="16"/>
      <c r="L9" s="43">
        <f>('TE BE'!$L$9+'TE BF'!$L$9+'TE CVA'!$L$9)*1</f>
        <v>3.2107886365799283</v>
      </c>
      <c r="M9" s="43">
        <f>('TE BE'!$M$9+'TE BF'!$M$9+'TE CVA'!$M$9)*1</f>
        <v>24.135975487292423</v>
      </c>
      <c r="N9" s="43">
        <f>('TE BE'!$N$9+'TE BF'!$N$9+'TE CVA'!$N$9)*1</f>
        <v>0</v>
      </c>
      <c r="O9" s="43">
        <f>('TE BE'!$O$9+'TE BF'!$O$9+'TE CVA'!$O$9)*1</f>
        <v>16.665288104244027</v>
      </c>
      <c r="P9" s="43">
        <f>('TE BE'!$P$9+'TE BF'!$P$9+'TE CVA'!$P$9)*1</f>
        <v>-17.446033945604587</v>
      </c>
      <c r="Q9" s="43">
        <f>('TE BE'!$R$9+'TE BF'!$R$9+'TE CVA'!$R$9)*1</f>
        <v>470.18316756906313</v>
      </c>
      <c r="R9" s="43">
        <f>('TE BE'!$T$9+'TE BF'!$T$9+'TE CVA'!$T$9)*1</f>
        <v>7.0894682219589384</v>
      </c>
      <c r="S9" s="43">
        <f>('TE BE'!$U$9+'TE BF'!$U$9+'TE CVA'!$U$9)*1</f>
        <v>4.8418157253049916</v>
      </c>
      <c r="T9" s="43">
        <f>('TE BE'!$V$9+'TE BF'!$V$9+'TE CVA'!$V$9)*1</f>
        <v>0</v>
      </c>
      <c r="U9" s="43">
        <f>('TE BE'!$X$9+'TE BF'!$X$9+'TE CVA'!$X$9)*1</f>
        <v>0</v>
      </c>
      <c r="V9" s="43">
        <f>('TE BE'!$Z$9+'TE BF'!$Z$9+'TE CVA'!$Z$9)*1</f>
        <v>1.3694635133124107</v>
      </c>
      <c r="X9" s="43">
        <v>3.1323522717127799</v>
      </c>
      <c r="Y9" s="43">
        <v>33.954901670345102</v>
      </c>
      <c r="Z9" s="43">
        <v>0</v>
      </c>
      <c r="AA9" s="43">
        <v>0</v>
      </c>
      <c r="AB9" s="43">
        <v>0</v>
      </c>
      <c r="AC9" s="43">
        <v>442.329136826808</v>
      </c>
      <c r="AD9" s="43">
        <v>4.9953888867404102</v>
      </c>
      <c r="AE9" s="43">
        <v>5.6902423038738101</v>
      </c>
      <c r="AF9" s="43">
        <v>0</v>
      </c>
      <c r="AG9" s="43">
        <v>-0.123770366162095</v>
      </c>
      <c r="AH9" s="43">
        <v>1.5739993788192801</v>
      </c>
    </row>
    <row r="10" spans="1:34" ht="11.25" customHeight="1" x14ac:dyDescent="0.25">
      <c r="A10" s="127"/>
      <c r="B10" s="127"/>
      <c r="C10" s="127"/>
      <c r="D10" s="127"/>
      <c r="E10" s="127"/>
      <c r="F10" s="127"/>
      <c r="G10" s="45" t="s">
        <v>119</v>
      </c>
      <c r="H10" s="45" t="s">
        <v>117</v>
      </c>
      <c r="I10" s="45">
        <f>'MERCADO TE'!$U$7</f>
        <v>130195.47900000001</v>
      </c>
      <c r="J10" s="16"/>
      <c r="L10" s="43">
        <f>('TE BE'!$L$10+'TE BF'!$L$10+'TE CVA'!$L$10)*1</f>
        <v>3.2107886365799283</v>
      </c>
      <c r="M10" s="43">
        <f>('TE BE'!$M$10+'TE BF'!$M$10+'TE CVA'!$M$10)*1</f>
        <v>24.135975487292423</v>
      </c>
      <c r="N10" s="43">
        <f>('TE BE'!$N$10+'TE BF'!$N$10+'TE CVA'!$N$10)*1</f>
        <v>0</v>
      </c>
      <c r="O10" s="43">
        <f>('TE BE'!$O$10+'TE BF'!$O$10+'TE CVA'!$O$10)*1</f>
        <v>16.665288104244027</v>
      </c>
      <c r="P10" s="43">
        <f>('TE BE'!$P$10+'TE BF'!$P$10+'TE CVA'!$P$10)*1</f>
        <v>-17.446033945604587</v>
      </c>
      <c r="Q10" s="43">
        <f>('TE BE'!$R$10+'TE BF'!$R$10+'TE CVA'!$R$10)*1</f>
        <v>273.36230672619951</v>
      </c>
      <c r="R10" s="43">
        <f>('TE BE'!$T$10+'TE BF'!$T$10+'TE CVA'!$T$10)*1</f>
        <v>7.0894682219589384</v>
      </c>
      <c r="S10" s="43">
        <f>('TE BE'!$U$10+'TE BF'!$U$10+'TE CVA'!$U$10)*1</f>
        <v>4.8418157253049916</v>
      </c>
      <c r="T10" s="43">
        <f>('TE BE'!$V$10+'TE BF'!$V$10+'TE CVA'!$V$10)*1</f>
        <v>0</v>
      </c>
      <c r="U10" s="43">
        <f>('TE BE'!$X$10+'TE BF'!$X$10+'TE CVA'!$X$10)*1</f>
        <v>0</v>
      </c>
      <c r="V10" s="43">
        <f>('TE BE'!$Z$10+'TE BF'!$Z$10+'TE CVA'!$Z$10)*1</f>
        <v>1.3694635133124107</v>
      </c>
      <c r="X10" s="43">
        <v>3.1323522717127799</v>
      </c>
      <c r="Y10" s="43">
        <v>33.954901670345102</v>
      </c>
      <c r="Z10" s="43">
        <v>0</v>
      </c>
      <c r="AA10" s="43">
        <v>0</v>
      </c>
      <c r="AB10" s="43">
        <v>0</v>
      </c>
      <c r="AC10" s="43">
        <v>257.16810280628403</v>
      </c>
      <c r="AD10" s="43">
        <v>4.9953888867404102</v>
      </c>
      <c r="AE10" s="43">
        <v>5.6902423038738101</v>
      </c>
      <c r="AF10" s="43">
        <v>0</v>
      </c>
      <c r="AG10" s="43">
        <v>-7.5428249838895803E-2</v>
      </c>
      <c r="AH10" s="43">
        <v>1.5739993788192801</v>
      </c>
    </row>
    <row r="11" spans="1:34" ht="11.25" customHeight="1" x14ac:dyDescent="0.25">
      <c r="A11" s="127" t="s">
        <v>22</v>
      </c>
      <c r="B11" s="127" t="s">
        <v>116</v>
      </c>
      <c r="C11" s="127" t="s">
        <v>24</v>
      </c>
      <c r="D11" s="127" t="s">
        <v>24</v>
      </c>
      <c r="E11" s="127" t="s">
        <v>25</v>
      </c>
      <c r="F11" s="127" t="s">
        <v>25</v>
      </c>
      <c r="G11" s="45" t="s">
        <v>118</v>
      </c>
      <c r="H11" s="45" t="s">
        <v>117</v>
      </c>
      <c r="I11" s="45">
        <f>'MERCADO TE'!$U$8</f>
        <v>17.429000000000002</v>
      </c>
      <c r="J11" s="16"/>
      <c r="L11" s="43">
        <f>('TE BE'!$L$11+'TE BF'!$L$11+'TE CVA'!$L$11)*1</f>
        <v>3.2107886365799283</v>
      </c>
      <c r="M11" s="43">
        <f>('TE BE'!$M$11+'TE BF'!$M$11+'TE CVA'!$M$11)*1</f>
        <v>24.135975487292423</v>
      </c>
      <c r="N11" s="43">
        <f>('TE BE'!$N$11+'TE BF'!$N$11+'TE CVA'!$N$11)*1</f>
        <v>0</v>
      </c>
      <c r="O11" s="43">
        <f>('TE BE'!$O$11+'TE BF'!$O$11+'TE CVA'!$O$11)*1</f>
        <v>16.665288104244027</v>
      </c>
      <c r="P11" s="43">
        <f>('TE BE'!$P$11+'TE BF'!$P$11+'TE CVA'!$P$11)*1</f>
        <v>-17.446033945604587</v>
      </c>
      <c r="Q11" s="43">
        <f>('TE BE'!$R$11+'TE BF'!$R$11+'TE CVA'!$R$11)*1</f>
        <v>470.18316756906313</v>
      </c>
      <c r="R11" s="43">
        <f>('TE BE'!$T$11+'TE BF'!$T$11+'TE CVA'!$T$11)*1</f>
        <v>7.0894682219589384</v>
      </c>
      <c r="S11" s="43">
        <f>('TE BE'!$U$11+'TE BF'!$U$11+'TE CVA'!$U$11)*1</f>
        <v>4.8418157253049916</v>
      </c>
      <c r="T11" s="43">
        <f>('TE BE'!$V$11+'TE BF'!$V$11+'TE CVA'!$V$11)*1</f>
        <v>0</v>
      </c>
      <c r="U11" s="43">
        <f>('TE BE'!$X$11+'TE BF'!$X$11+'TE CVA'!$X$11)*1</f>
        <v>0</v>
      </c>
      <c r="V11" s="43">
        <f>('TE BE'!$Z$11+'TE BF'!$Z$11+'TE CVA'!$Z$11)*1</f>
        <v>1.3694635133124107</v>
      </c>
      <c r="X11" s="43">
        <v>3.1323522717127799</v>
      </c>
      <c r="Y11" s="43">
        <v>33.954901670345102</v>
      </c>
      <c r="Z11" s="43">
        <v>0</v>
      </c>
      <c r="AA11" s="43">
        <v>0</v>
      </c>
      <c r="AB11" s="43">
        <v>0</v>
      </c>
      <c r="AC11" s="43">
        <v>442.329136826808</v>
      </c>
      <c r="AD11" s="43">
        <v>4.9953888867404102</v>
      </c>
      <c r="AE11" s="43">
        <v>5.6902423038738101</v>
      </c>
      <c r="AF11" s="43">
        <v>0</v>
      </c>
      <c r="AG11" s="43">
        <v>-0.123770366162095</v>
      </c>
      <c r="AH11" s="43">
        <v>1.5739993788192801</v>
      </c>
    </row>
    <row r="12" spans="1:34" ht="11.25" customHeight="1" x14ac:dyDescent="0.25">
      <c r="A12" s="127"/>
      <c r="B12" s="127"/>
      <c r="C12" s="127"/>
      <c r="D12" s="127"/>
      <c r="E12" s="127"/>
      <c r="F12" s="127"/>
      <c r="G12" s="45" t="s">
        <v>128</v>
      </c>
      <c r="H12" s="45" t="s">
        <v>117</v>
      </c>
      <c r="I12" s="45">
        <f>'MERCADO TE'!$U$9</f>
        <v>10.807000000000002</v>
      </c>
      <c r="J12" s="16"/>
      <c r="L12" s="43">
        <f>('TE BE'!$L$12+'TE BF'!$L$12+'TE CVA'!$L$12)*1</f>
        <v>3.2107886365799283</v>
      </c>
      <c r="M12" s="43">
        <f>('TE BE'!$M$12+'TE BF'!$M$12+'TE CVA'!$M$12)*1</f>
        <v>24.135975487292423</v>
      </c>
      <c r="N12" s="43">
        <f>('TE BE'!$N$12+'TE BF'!$N$12+'TE CVA'!$N$12)*1</f>
        <v>0</v>
      </c>
      <c r="O12" s="43">
        <f>('TE BE'!$O$12+'TE BF'!$O$12+'TE CVA'!$O$12)*1</f>
        <v>16.665288104244027</v>
      </c>
      <c r="P12" s="43">
        <f>('TE BE'!$P$12+'TE BF'!$P$12+'TE CVA'!$P$12)*1</f>
        <v>-17.446033945604587</v>
      </c>
      <c r="Q12" s="43">
        <f>('TE BE'!$R$12+'TE BF'!$R$12+'TE CVA'!$R$12)*1</f>
        <v>273.36230672619951</v>
      </c>
      <c r="R12" s="43">
        <f>('TE BE'!$T$12+'TE BF'!$T$12+'TE CVA'!$T$12)*1</f>
        <v>7.0894682219589384</v>
      </c>
      <c r="S12" s="43">
        <f>('TE BE'!$U$12+'TE BF'!$U$12+'TE CVA'!$U$12)*1</f>
        <v>4.8418157253049916</v>
      </c>
      <c r="T12" s="43">
        <f>('TE BE'!$V$12+'TE BF'!$V$12+'TE CVA'!$V$12)*1</f>
        <v>0</v>
      </c>
      <c r="U12" s="43">
        <f>('TE BE'!$X$12+'TE BF'!$X$12+'TE CVA'!$X$12)*1</f>
        <v>0</v>
      </c>
      <c r="V12" s="43">
        <f>('TE BE'!$Z$12+'TE BF'!$Z$12+'TE CVA'!$Z$12)*1</f>
        <v>1.3694635133124107</v>
      </c>
      <c r="X12" s="43">
        <v>3.1323522717127799</v>
      </c>
      <c r="Y12" s="43">
        <v>33.954901670345102</v>
      </c>
      <c r="Z12" s="43">
        <v>0</v>
      </c>
      <c r="AA12" s="43">
        <v>0</v>
      </c>
      <c r="AB12" s="43">
        <v>0</v>
      </c>
      <c r="AC12" s="43">
        <v>257.16810280628403</v>
      </c>
      <c r="AD12" s="43">
        <v>4.9953888867404102</v>
      </c>
      <c r="AE12" s="43">
        <v>5.6902423038738101</v>
      </c>
      <c r="AF12" s="43">
        <v>0</v>
      </c>
      <c r="AG12" s="43">
        <v>-7.5428249838895803E-2</v>
      </c>
      <c r="AH12" s="43">
        <v>1.5739993788192801</v>
      </c>
    </row>
    <row r="13" spans="1:34" ht="11.25" customHeight="1" x14ac:dyDescent="0.25">
      <c r="A13" s="127"/>
      <c r="B13" s="127"/>
      <c r="C13" s="127"/>
      <c r="D13" s="127"/>
      <c r="E13" s="127"/>
      <c r="F13" s="127"/>
      <c r="G13" s="45" t="s">
        <v>119</v>
      </c>
      <c r="H13" s="45" t="s">
        <v>117</v>
      </c>
      <c r="I13" s="45">
        <f>'MERCADO TE'!$U$10</f>
        <v>120.55500000000001</v>
      </c>
      <c r="J13" s="16"/>
      <c r="L13" s="43">
        <f>('TE BE'!$L$13+'TE BF'!$L$13+'TE CVA'!$L$13)*1</f>
        <v>3.2107886365799283</v>
      </c>
      <c r="M13" s="43">
        <f>('TE BE'!$M$13+'TE BF'!$M$13+'TE CVA'!$M$13)*1</f>
        <v>24.135975487292423</v>
      </c>
      <c r="N13" s="43">
        <f>('TE BE'!$N$13+'TE BF'!$N$13+'TE CVA'!$N$13)*1</f>
        <v>0</v>
      </c>
      <c r="O13" s="43">
        <f>('TE BE'!$O$13+'TE BF'!$O$13+'TE CVA'!$O$13)*1</f>
        <v>16.665288104244027</v>
      </c>
      <c r="P13" s="43">
        <f>('TE BE'!$P$13+'TE BF'!$P$13+'TE CVA'!$P$13)*1</f>
        <v>-17.446033945604587</v>
      </c>
      <c r="Q13" s="43">
        <f>('TE BE'!$R$13+'TE BF'!$R$13+'TE CVA'!$R$13)*1</f>
        <v>273.36230672619951</v>
      </c>
      <c r="R13" s="43">
        <f>('TE BE'!$T$13+'TE BF'!$T$13+'TE CVA'!$T$13)*1</f>
        <v>7.0894682219589384</v>
      </c>
      <c r="S13" s="43">
        <f>('TE BE'!$U$13+'TE BF'!$U$13+'TE CVA'!$U$13)*1</f>
        <v>4.8418157253049916</v>
      </c>
      <c r="T13" s="43">
        <f>('TE BE'!$V$13+'TE BF'!$V$13+'TE CVA'!$V$13)*1</f>
        <v>0</v>
      </c>
      <c r="U13" s="43">
        <f>('TE BE'!$X$13+'TE BF'!$X$13+'TE CVA'!$X$13)*1</f>
        <v>0</v>
      </c>
      <c r="V13" s="43">
        <f>('TE BE'!$Z$13+'TE BF'!$Z$13+'TE CVA'!$Z$13)*1</f>
        <v>1.3694635133124107</v>
      </c>
      <c r="X13" s="43">
        <v>3.1323522717127799</v>
      </c>
      <c r="Y13" s="43">
        <v>33.954901670345102</v>
      </c>
      <c r="Z13" s="43">
        <v>0</v>
      </c>
      <c r="AA13" s="43">
        <v>0</v>
      </c>
      <c r="AB13" s="43">
        <v>0</v>
      </c>
      <c r="AC13" s="43">
        <v>257.16810280628403</v>
      </c>
      <c r="AD13" s="43">
        <v>4.9953888867404102</v>
      </c>
      <c r="AE13" s="43">
        <v>5.6902423038738101</v>
      </c>
      <c r="AF13" s="43">
        <v>0</v>
      </c>
      <c r="AG13" s="43">
        <v>-7.5428249838895803E-2</v>
      </c>
      <c r="AH13" s="43">
        <v>1.5739993788192801</v>
      </c>
    </row>
    <row r="14" spans="1:34" ht="11.25" customHeight="1" x14ac:dyDescent="0.25">
      <c r="A14" s="127"/>
      <c r="B14" s="127" t="s">
        <v>129</v>
      </c>
      <c r="C14" s="127" t="s">
        <v>24</v>
      </c>
      <c r="D14" s="81" t="s">
        <v>24</v>
      </c>
      <c r="E14" s="81" t="s">
        <v>25</v>
      </c>
      <c r="F14" s="81" t="s">
        <v>25</v>
      </c>
      <c r="G14" s="45" t="s">
        <v>123</v>
      </c>
      <c r="H14" s="45" t="s">
        <v>117</v>
      </c>
      <c r="I14" s="45">
        <f>'MERCADO TE'!$U$11</f>
        <v>426447.22100000002</v>
      </c>
      <c r="J14" s="16"/>
      <c r="L14" s="43">
        <f>('TE BE'!$L$14+'TE BF'!$L$14+'TE CVA'!$L$14)*1</f>
        <v>3.2107886365799283</v>
      </c>
      <c r="M14" s="43">
        <f>('TE BE'!$M$14+'TE BF'!$M$14+'TE CVA'!$M$14)*1</f>
        <v>24.135975487292423</v>
      </c>
      <c r="N14" s="43">
        <f>('TE BE'!$N$14+'TE BF'!$N$14+'TE CVA'!$N$14)*1</f>
        <v>0</v>
      </c>
      <c r="O14" s="43">
        <f>('TE BE'!$O$14+'TE BF'!$O$14+'TE CVA'!$O$14)*1</f>
        <v>16.665288104244027</v>
      </c>
      <c r="P14" s="43">
        <f>('TE BE'!$P$14+'TE BF'!$P$14+'TE CVA'!$P$14)*1</f>
        <v>-17.446033945604587</v>
      </c>
      <c r="Q14" s="43">
        <f>('TE BE'!$R$14+'TE BF'!$R$14+'TE CVA'!$R$14)*1</f>
        <v>289.76404512977149</v>
      </c>
      <c r="R14" s="43">
        <f>('TE BE'!$T$14+'TE BF'!$T$14+'TE CVA'!$T$14)*1</f>
        <v>7.0894682219589384</v>
      </c>
      <c r="S14" s="43">
        <f>('TE BE'!$U$14+'TE BF'!$U$14+'TE CVA'!$U$14)*1</f>
        <v>4.8418157253049916</v>
      </c>
      <c r="T14" s="43">
        <f>('TE BE'!$V$14+'TE BF'!$V$14+'TE CVA'!$V$14)*1</f>
        <v>0</v>
      </c>
      <c r="U14" s="43">
        <f>('TE BE'!$X$14+'TE BF'!$X$14+'TE CVA'!$X$14)*1</f>
        <v>0</v>
      </c>
      <c r="V14" s="43">
        <f>('TE BE'!$Z$14+'TE BF'!$Z$14+'TE CVA'!$Z$14)*1</f>
        <v>1.3694635133124107</v>
      </c>
      <c r="X14" s="43">
        <v>3.1323522717127799</v>
      </c>
      <c r="Y14" s="43">
        <v>33.954901670345102</v>
      </c>
      <c r="Z14" s="43">
        <v>0</v>
      </c>
      <c r="AA14" s="43">
        <v>0</v>
      </c>
      <c r="AB14" s="43">
        <v>0</v>
      </c>
      <c r="AC14" s="43">
        <v>272.59818897466101</v>
      </c>
      <c r="AD14" s="43">
        <v>4.9953888867404102</v>
      </c>
      <c r="AE14" s="43">
        <v>5.6902423038738101</v>
      </c>
      <c r="AF14" s="43">
        <v>0</v>
      </c>
      <c r="AG14" s="43">
        <v>-7.9456759532495702E-2</v>
      </c>
      <c r="AH14" s="43">
        <v>1.5739993788192801</v>
      </c>
    </row>
    <row r="15" spans="1:34" ht="11.25" customHeight="1" x14ac:dyDescent="0.25">
      <c r="A15" s="127"/>
      <c r="B15" s="127"/>
      <c r="C15" s="127"/>
      <c r="D15" s="81" t="s">
        <v>29</v>
      </c>
      <c r="E15" s="81" t="s">
        <v>25</v>
      </c>
      <c r="F15" s="81" t="s">
        <v>25</v>
      </c>
      <c r="G15" s="45" t="s">
        <v>123</v>
      </c>
      <c r="H15" s="45" t="s">
        <v>117</v>
      </c>
      <c r="I15" s="45">
        <f>'MERCADO TE'!$U$12</f>
        <v>31822.650999999998</v>
      </c>
      <c r="J15" s="16"/>
      <c r="L15" s="43">
        <f>('TE BE'!$L$15+'TE BF'!$L$15+'TE CVA'!$L$15)*(1 - 0.65)</f>
        <v>1.1237760228029747</v>
      </c>
      <c r="M15" s="43">
        <f>('TE BE'!$M$15+'TE BF'!$M$15+'TE CVA'!$M$15)*(1 - 0.65)</f>
        <v>8.4475914205523477</v>
      </c>
      <c r="N15" s="43">
        <f>('TE BE'!$N$15+'TE BF'!$N$15+'TE CVA'!$N$15)*(1 - 0.65)</f>
        <v>0</v>
      </c>
      <c r="O15" s="43">
        <f>('TE BE'!$O$15+'TE BF'!$O$15+'TE CVA'!$O$15)*(1 - 0.65)</f>
        <v>5.8328508364854095</v>
      </c>
      <c r="P15" s="43">
        <f>('TE BE'!$P$15+'TE BF'!$P$15+'TE CVA'!$P$15)*(1 - 0.65)</f>
        <v>-6.1061118809616053</v>
      </c>
      <c r="Q15" s="43">
        <f>('TE BE'!$R$15+'TE BF'!$R$15+'TE CVA'!$R$15)*(1 - 0.65)</f>
        <v>101.41741579542001</v>
      </c>
      <c r="R15" s="43">
        <f>('TE BE'!$T$15+'TE BF'!$T$15+'TE CVA'!$T$15)*(1 - 0.65)</f>
        <v>2.4813138776856283</v>
      </c>
      <c r="S15" s="43">
        <f>('TE BE'!$U$15+'TE BF'!$U$15+'TE CVA'!$U$15)*(1 - 0.65)</f>
        <v>1.6946355038567469</v>
      </c>
      <c r="T15" s="43">
        <f>('TE BE'!$V$15+'TE BF'!$V$15+'TE CVA'!$V$15)*(1 - 0.65)</f>
        <v>0</v>
      </c>
      <c r="U15" s="43">
        <f>('TE BE'!$X$15+'TE BF'!$X$15+'TE CVA'!$X$15)*(1 - 0.65)</f>
        <v>0</v>
      </c>
      <c r="V15" s="43">
        <f>('TE BE'!$Z$15+'TE BF'!$Z$15+'TE CVA'!$Z$15)*(1 - 0.65)</f>
        <v>0.47931222965934372</v>
      </c>
      <c r="X15" s="43">
        <v>1.0963232950994699</v>
      </c>
      <c r="Y15" s="43">
        <v>11.884215584620801</v>
      </c>
      <c r="Z15" s="43">
        <v>0</v>
      </c>
      <c r="AA15" s="43">
        <v>0</v>
      </c>
      <c r="AB15" s="43">
        <v>0</v>
      </c>
      <c r="AC15" s="43">
        <v>95.409366141131201</v>
      </c>
      <c r="AD15" s="43">
        <v>1.74838611035914</v>
      </c>
      <c r="AE15" s="43">
        <v>1.9915848063558299</v>
      </c>
      <c r="AF15" s="43">
        <v>0</v>
      </c>
      <c r="AG15" s="43">
        <v>-2.7809865836373501E-2</v>
      </c>
      <c r="AH15" s="43">
        <v>0.55089978258674799</v>
      </c>
    </row>
    <row r="16" spans="1:34" ht="11.25" customHeight="1" x14ac:dyDescent="0.25">
      <c r="A16" s="127"/>
      <c r="B16" s="127"/>
      <c r="C16" s="127"/>
      <c r="D16" s="81" t="s">
        <v>30</v>
      </c>
      <c r="E16" s="81" t="s">
        <v>25</v>
      </c>
      <c r="F16" s="81" t="s">
        <v>25</v>
      </c>
      <c r="G16" s="45" t="s">
        <v>123</v>
      </c>
      <c r="H16" s="45" t="s">
        <v>117</v>
      </c>
      <c r="I16" s="45">
        <f>'MERCADO TE'!$U$13</f>
        <v>61209.610999999997</v>
      </c>
      <c r="J16" s="16"/>
      <c r="L16" s="43">
        <f>('TE BE'!$L$16+'TE BF'!$L$16+'TE CVA'!$L$16)*(1 - 0.4)</f>
        <v>1.9264731819479568</v>
      </c>
      <c r="M16" s="43">
        <f>('TE BE'!$M$16+'TE BF'!$M$16+'TE CVA'!$M$16)*(1 - 0.4)</f>
        <v>14.481585292375453</v>
      </c>
      <c r="N16" s="43">
        <f>('TE BE'!$N$16+'TE BF'!$N$16+'TE CVA'!$N$16)*(1 - 0.4)</f>
        <v>0</v>
      </c>
      <c r="O16" s="43">
        <f>('TE BE'!$O$16+'TE BF'!$O$16+'TE CVA'!$O$16)*(1 - 0.4)</f>
        <v>9.9991728625464162</v>
      </c>
      <c r="P16" s="43">
        <f>('TE BE'!$P$16+'TE BF'!$P$16+'TE CVA'!$P$16)*(1 - 0.4)</f>
        <v>-10.467620367362752</v>
      </c>
      <c r="Q16" s="43">
        <f>('TE BE'!$R$16+'TE BF'!$R$16+'TE CVA'!$R$16)*(1 - 0.4)</f>
        <v>173.8584270778629</v>
      </c>
      <c r="R16" s="43">
        <f>('TE BE'!$T$16+'TE BF'!$T$16+'TE CVA'!$T$16)*(1 - 0.4)</f>
        <v>4.2536809331753629</v>
      </c>
      <c r="S16" s="43">
        <f>('TE BE'!$U$16+'TE BF'!$U$16+'TE CVA'!$U$16)*(1 - 0.4)</f>
        <v>2.9050894351829948</v>
      </c>
      <c r="T16" s="43">
        <f>('TE BE'!$V$16+'TE BF'!$V$16+'TE CVA'!$V$16)*(1 - 0.4)</f>
        <v>0</v>
      </c>
      <c r="U16" s="43">
        <f>('TE BE'!$X$16+'TE BF'!$X$16+'TE CVA'!$X$16)*(1 - 0.4)</f>
        <v>0</v>
      </c>
      <c r="V16" s="43">
        <f>('TE BE'!$Z$16+'TE BF'!$Z$16+'TE CVA'!$Z$16)*(1 - 0.4)</f>
        <v>0.82167810798744634</v>
      </c>
      <c r="X16" s="43">
        <v>1.8794113630276701</v>
      </c>
      <c r="Y16" s="43">
        <v>20.372941002207099</v>
      </c>
      <c r="Z16" s="43">
        <v>0</v>
      </c>
      <c r="AA16" s="43">
        <v>0</v>
      </c>
      <c r="AB16" s="43">
        <v>0</v>
      </c>
      <c r="AC16" s="43">
        <v>163.558913384796</v>
      </c>
      <c r="AD16" s="43">
        <v>2.9972333320442499</v>
      </c>
      <c r="AE16" s="43">
        <v>3.41414538232429</v>
      </c>
      <c r="AF16" s="43">
        <v>0</v>
      </c>
      <c r="AG16" s="43">
        <v>-4.7674055719497399E-2</v>
      </c>
      <c r="AH16" s="43">
        <v>0.94439962729156701</v>
      </c>
    </row>
    <row r="17" spans="1:34" ht="11.25" customHeight="1" x14ac:dyDescent="0.25">
      <c r="A17" s="127"/>
      <c r="B17" s="127"/>
      <c r="C17" s="127"/>
      <c r="D17" s="81" t="s">
        <v>31</v>
      </c>
      <c r="E17" s="81" t="s">
        <v>25</v>
      </c>
      <c r="F17" s="81" t="s">
        <v>25</v>
      </c>
      <c r="G17" s="45" t="s">
        <v>123</v>
      </c>
      <c r="H17" s="45" t="s">
        <v>117</v>
      </c>
      <c r="I17" s="45">
        <f>'MERCADO TE'!$U$14</f>
        <v>39801.019999999997</v>
      </c>
      <c r="J17" s="16"/>
      <c r="L17" s="43">
        <f>('TE BE'!$L$17+'TE BF'!$L$17+'TE CVA'!$L$17)*(1 - 0.1)</f>
        <v>2.8897097729219356</v>
      </c>
      <c r="M17" s="43">
        <f>('TE BE'!$M$17+'TE BF'!$M$17+'TE CVA'!$M$17)*(1 - 0.1)</f>
        <v>21.722377938563181</v>
      </c>
      <c r="N17" s="43">
        <f>('TE BE'!$N$17+'TE BF'!$N$17+'TE CVA'!$N$17)*(1 - 0.1)</f>
        <v>0</v>
      </c>
      <c r="O17" s="43">
        <f>('TE BE'!$O$17+'TE BF'!$O$17+'TE CVA'!$O$17)*(1 - 0.1)</f>
        <v>14.998759293819624</v>
      </c>
      <c r="P17" s="43">
        <f>('TE BE'!$P$17+'TE BF'!$P$17+'TE CVA'!$P$17)*(1 - 0.1)</f>
        <v>-15.701430551044128</v>
      </c>
      <c r="Q17" s="43">
        <f>('TE BE'!$R$17+'TE BF'!$R$17+'TE CVA'!$R$17)*(1 - 0.1)</f>
        <v>260.78764061679436</v>
      </c>
      <c r="R17" s="43">
        <f>('TE BE'!$T$17+'TE BF'!$T$17+'TE CVA'!$T$17)*(1 - 0.1)</f>
        <v>6.3805213997630448</v>
      </c>
      <c r="S17" s="43">
        <f>('TE BE'!$U$17+'TE BF'!$U$17+'TE CVA'!$U$17)*(1 - 0.1)</f>
        <v>4.3576341527744926</v>
      </c>
      <c r="T17" s="43">
        <f>('TE BE'!$V$17+'TE BF'!$V$17+'TE CVA'!$V$17)*(1 - 0.1)</f>
        <v>0</v>
      </c>
      <c r="U17" s="43">
        <f>('TE BE'!$X$17+'TE BF'!$X$17+'TE CVA'!$X$17)*(1 - 0.1)</f>
        <v>0</v>
      </c>
      <c r="V17" s="43">
        <f>('TE BE'!$Z$17+'TE BF'!$Z$17+'TE CVA'!$Z$17)*(1 - 0.1)</f>
        <v>1.2325171619811697</v>
      </c>
      <c r="X17" s="43">
        <v>2.8191170445415001</v>
      </c>
      <c r="Y17" s="43">
        <v>30.559411503310599</v>
      </c>
      <c r="Z17" s="43">
        <v>0</v>
      </c>
      <c r="AA17" s="43">
        <v>0</v>
      </c>
      <c r="AB17" s="43">
        <v>0</v>
      </c>
      <c r="AC17" s="43">
        <v>245.33837007719501</v>
      </c>
      <c r="AD17" s="43">
        <v>4.4958499980663698</v>
      </c>
      <c r="AE17" s="43">
        <v>5.1212180734864301</v>
      </c>
      <c r="AF17" s="43">
        <v>0</v>
      </c>
      <c r="AG17" s="43">
        <v>-7.1511083579246099E-2</v>
      </c>
      <c r="AH17" s="43">
        <v>1.4165994409373499</v>
      </c>
    </row>
    <row r="18" spans="1:34" ht="11.25" customHeight="1" x14ac:dyDescent="0.25">
      <c r="A18" s="127"/>
      <c r="B18" s="127"/>
      <c r="C18" s="127"/>
      <c r="D18" s="81" t="s">
        <v>32</v>
      </c>
      <c r="E18" s="81" t="s">
        <v>25</v>
      </c>
      <c r="F18" s="81" t="s">
        <v>25</v>
      </c>
      <c r="G18" s="45" t="s">
        <v>123</v>
      </c>
      <c r="H18" s="45" t="s">
        <v>117</v>
      </c>
      <c r="I18" s="45">
        <f>'MERCADO TE'!$U$15</f>
        <v>7781.4139999999989</v>
      </c>
      <c r="J18" s="16"/>
      <c r="L18" s="43">
        <f>('TE BE'!$L$18+'TE BF'!$L$18+'TE CVA'!$L$18)*1</f>
        <v>3.2107886365799283</v>
      </c>
      <c r="M18" s="43">
        <f>('TE BE'!$M$18+'TE BF'!$M$18+'TE CVA'!$M$18)*1</f>
        <v>24.135975487292423</v>
      </c>
      <c r="N18" s="43">
        <f>('TE BE'!$N$18+'TE BF'!$N$18+'TE CVA'!$N$18)*1</f>
        <v>0</v>
      </c>
      <c r="O18" s="43">
        <f>('TE BE'!$O$18+'TE BF'!$O$18+'TE CVA'!$O$18)*1</f>
        <v>16.665288104244027</v>
      </c>
      <c r="P18" s="43">
        <f>('TE BE'!$P$18+'TE BF'!$P$18+'TE CVA'!$P$18)*1</f>
        <v>-17.446033945604587</v>
      </c>
      <c r="Q18" s="43">
        <f>('TE BE'!$R$18+'TE BF'!$R$18+'TE CVA'!$R$18)*1</f>
        <v>289.76404512977149</v>
      </c>
      <c r="R18" s="43">
        <f>('TE BE'!$T$18+'TE BF'!$T$18+'TE CVA'!$T$18)*1</f>
        <v>7.0894682219589384</v>
      </c>
      <c r="S18" s="43">
        <f>('TE BE'!$U$18+'TE BF'!$U$18+'TE CVA'!$U$18)*1</f>
        <v>4.8418157253049916</v>
      </c>
      <c r="T18" s="43">
        <f>('TE BE'!$V$18+'TE BF'!$V$18+'TE CVA'!$V$18)*1</f>
        <v>0</v>
      </c>
      <c r="U18" s="43">
        <f>('TE BE'!$X$18+'TE BF'!$X$18+'TE CVA'!$X$18)*1</f>
        <v>0</v>
      </c>
      <c r="V18" s="43">
        <f>('TE BE'!$Z$18+'TE BF'!$Z$18+'TE CVA'!$Z$18)*1</f>
        <v>1.3694635133124107</v>
      </c>
      <c r="X18" s="43">
        <v>3.1323522717127799</v>
      </c>
      <c r="Y18" s="43">
        <v>33.954901670345102</v>
      </c>
      <c r="Z18" s="43">
        <v>0</v>
      </c>
      <c r="AA18" s="43">
        <v>0</v>
      </c>
      <c r="AB18" s="43">
        <v>0</v>
      </c>
      <c r="AC18" s="43">
        <v>272.59818897466101</v>
      </c>
      <c r="AD18" s="43">
        <v>4.9953888867404102</v>
      </c>
      <c r="AE18" s="43">
        <v>5.6902423038738101</v>
      </c>
      <c r="AF18" s="43">
        <v>0</v>
      </c>
      <c r="AG18" s="43">
        <v>-7.9456759532495702E-2</v>
      </c>
      <c r="AH18" s="43">
        <v>1.5739993788192801</v>
      </c>
    </row>
    <row r="19" spans="1:34" ht="11.25" customHeight="1" x14ac:dyDescent="0.25">
      <c r="A19" s="127"/>
      <c r="B19" s="127" t="s">
        <v>130</v>
      </c>
      <c r="C19" s="127" t="s">
        <v>24</v>
      </c>
      <c r="D19" s="81" t="s">
        <v>24</v>
      </c>
      <c r="E19" s="81" t="s">
        <v>25</v>
      </c>
      <c r="F19" s="81" t="s">
        <v>25</v>
      </c>
      <c r="G19" s="45" t="s">
        <v>123</v>
      </c>
      <c r="H19" s="45" t="s">
        <v>117</v>
      </c>
      <c r="I19" s="45">
        <f>'MERCADO TE'!$U$16</f>
        <v>0</v>
      </c>
      <c r="J19" s="16"/>
      <c r="L19" s="43">
        <f>('TE BE'!$L$19+'TE BF'!$L$19+'TE CVA'!$L$19)*1</f>
        <v>3.2107886365799283</v>
      </c>
      <c r="M19" s="43">
        <f>('TE BE'!$M$19+'TE BF'!$M$19+'TE CVA'!$M$19)*1</f>
        <v>24.135975487292423</v>
      </c>
      <c r="N19" s="43">
        <f>('TE BE'!$N$19+'TE BF'!$N$19+'TE CVA'!$N$19)*1</f>
        <v>0</v>
      </c>
      <c r="O19" s="43">
        <f>('TE BE'!$O$19+'TE BF'!$O$19+'TE CVA'!$O$19)*1</f>
        <v>16.665288104244027</v>
      </c>
      <c r="P19" s="43">
        <f>('TE BE'!$P$19+'TE BF'!$P$19+'TE CVA'!$P$19)*1</f>
        <v>-17.446033945604587</v>
      </c>
      <c r="Q19" s="43">
        <f>('TE BE'!$R$19+'TE BF'!$R$19+'TE CVA'!$R$19)*1</f>
        <v>289.76404512977149</v>
      </c>
      <c r="R19" s="43">
        <f>('TE BE'!$T$19+'TE BF'!$T$19+'TE CVA'!$T$19)*1</f>
        <v>7.0894682219589384</v>
      </c>
      <c r="S19" s="43">
        <f>('TE BE'!$U$19+'TE BF'!$U$19+'TE CVA'!$U$19)*1</f>
        <v>4.8418157253049916</v>
      </c>
      <c r="T19" s="43">
        <f>('TE BE'!$V$19+'TE BF'!$V$19+'TE CVA'!$V$19)*1</f>
        <v>0</v>
      </c>
      <c r="U19" s="43">
        <f>('TE BE'!$X$19+'TE BF'!$X$19+'TE CVA'!$X$19)*1</f>
        <v>0</v>
      </c>
      <c r="V19" s="43">
        <f>('TE BE'!$Z$19+'TE BF'!$Z$19+'TE CVA'!$Z$19)*1</f>
        <v>1.3694635133124107</v>
      </c>
      <c r="X19" s="43">
        <v>3.1323522717127799</v>
      </c>
      <c r="Y19" s="43">
        <v>33.954901670345102</v>
      </c>
      <c r="Z19" s="43">
        <v>0</v>
      </c>
      <c r="AA19" s="43">
        <v>0</v>
      </c>
      <c r="AB19" s="43">
        <v>0</v>
      </c>
      <c r="AC19" s="43">
        <v>272.59818897466101</v>
      </c>
      <c r="AD19" s="43">
        <v>4.9953888867404102</v>
      </c>
      <c r="AE19" s="43">
        <v>5.6902423038738101</v>
      </c>
      <c r="AF19" s="43">
        <v>0</v>
      </c>
      <c r="AG19" s="43">
        <v>-7.9456759532495702E-2</v>
      </c>
      <c r="AH19" s="43">
        <v>1.5739993788192801</v>
      </c>
    </row>
    <row r="20" spans="1:34" ht="11.25" customHeight="1" x14ac:dyDescent="0.25">
      <c r="A20" s="127"/>
      <c r="B20" s="127"/>
      <c r="C20" s="127"/>
      <c r="D20" s="81" t="s">
        <v>29</v>
      </c>
      <c r="E20" s="81" t="s">
        <v>25</v>
      </c>
      <c r="F20" s="81" t="s">
        <v>25</v>
      </c>
      <c r="G20" s="45" t="s">
        <v>123</v>
      </c>
      <c r="H20" s="45" t="s">
        <v>117</v>
      </c>
      <c r="I20" s="45">
        <f>'MERCADO TE'!$U$17</f>
        <v>0</v>
      </c>
      <c r="J20" s="16"/>
      <c r="L20" s="43">
        <f>('TE BE'!$L$20+'TE BF'!$L$20+'TE CVA'!$L$20)*(1 - 0.65)</f>
        <v>1.1237760228029747</v>
      </c>
      <c r="M20" s="43">
        <f>('TE BE'!$M$20+'TE BF'!$M$20+'TE CVA'!$M$20)*(1 - 0.65)</f>
        <v>8.4475914205523477</v>
      </c>
      <c r="N20" s="43">
        <f>('TE BE'!$N$20+'TE BF'!$N$20+'TE CVA'!$N$20)*(1 - 0.65)</f>
        <v>0</v>
      </c>
      <c r="O20" s="43">
        <f>('TE BE'!$O$20+'TE BF'!$O$20+'TE CVA'!$O$20)*(1 - 0.65)</f>
        <v>5.8328508364854095</v>
      </c>
      <c r="P20" s="43">
        <f>('TE BE'!$P$20+'TE BF'!$P$20+'TE CVA'!$P$20)*(1 - 0.65)</f>
        <v>-6.1061118809616053</v>
      </c>
      <c r="Q20" s="43">
        <f>('TE BE'!$R$20+'TE BF'!$R$20+'TE CVA'!$R$20)*(1 - 0.65)</f>
        <v>101.41741579542001</v>
      </c>
      <c r="R20" s="43">
        <f>('TE BE'!$T$20+'TE BF'!$T$20+'TE CVA'!$T$20)*(1 - 0.65)</f>
        <v>2.4813138776856283</v>
      </c>
      <c r="S20" s="43">
        <f>('TE BE'!$U$20+'TE BF'!$U$20+'TE CVA'!$U$20)*(1 - 0.65)</f>
        <v>1.6946355038567469</v>
      </c>
      <c r="T20" s="43">
        <f>('TE BE'!$V$20+'TE BF'!$V$20+'TE CVA'!$V$20)*(1 - 0.65)</f>
        <v>0</v>
      </c>
      <c r="U20" s="43">
        <f>('TE BE'!$X$20+'TE BF'!$X$20+'TE CVA'!$X$20)*(1 - 0.65)</f>
        <v>0</v>
      </c>
      <c r="V20" s="43">
        <f>('TE BE'!$Z$20+'TE BF'!$Z$20+'TE CVA'!$Z$20)*(1 - 0.65)</f>
        <v>0.47931222965934372</v>
      </c>
      <c r="X20" s="43">
        <v>1.0963232950994699</v>
      </c>
      <c r="Y20" s="43">
        <v>11.884215584620801</v>
      </c>
      <c r="Z20" s="43">
        <v>0</v>
      </c>
      <c r="AA20" s="43">
        <v>0</v>
      </c>
      <c r="AB20" s="43">
        <v>0</v>
      </c>
      <c r="AC20" s="43">
        <v>95.409366141131201</v>
      </c>
      <c r="AD20" s="43">
        <v>1.74838611035914</v>
      </c>
      <c r="AE20" s="43">
        <v>1.9915848063558299</v>
      </c>
      <c r="AF20" s="43">
        <v>0</v>
      </c>
      <c r="AG20" s="43">
        <v>-2.7809865836373501E-2</v>
      </c>
      <c r="AH20" s="43">
        <v>0.55089978258674799</v>
      </c>
    </row>
    <row r="21" spans="1:34" ht="11.25" customHeight="1" x14ac:dyDescent="0.25">
      <c r="A21" s="127"/>
      <c r="B21" s="127"/>
      <c r="C21" s="127"/>
      <c r="D21" s="81" t="s">
        <v>30</v>
      </c>
      <c r="E21" s="81" t="s">
        <v>25</v>
      </c>
      <c r="F21" s="81" t="s">
        <v>25</v>
      </c>
      <c r="G21" s="45" t="s">
        <v>123</v>
      </c>
      <c r="H21" s="45" t="s">
        <v>117</v>
      </c>
      <c r="I21" s="45">
        <f>'MERCADO TE'!$U$18</f>
        <v>0</v>
      </c>
      <c r="J21" s="16"/>
      <c r="L21" s="43">
        <f>('TE BE'!$L$21+'TE BF'!$L$21+'TE CVA'!$L$21)*(1 - 0.4)</f>
        <v>1.9264731819479568</v>
      </c>
      <c r="M21" s="43">
        <f>('TE BE'!$M$21+'TE BF'!$M$21+'TE CVA'!$M$21)*(1 - 0.4)</f>
        <v>14.481585292375453</v>
      </c>
      <c r="N21" s="43">
        <f>('TE BE'!$N$21+'TE BF'!$N$21+'TE CVA'!$N$21)*(1 - 0.4)</f>
        <v>0</v>
      </c>
      <c r="O21" s="43">
        <f>('TE BE'!$O$21+'TE BF'!$O$21+'TE CVA'!$O$21)*(1 - 0.4)</f>
        <v>9.9991728625464162</v>
      </c>
      <c r="P21" s="43">
        <f>('TE BE'!$P$21+'TE BF'!$P$21+'TE CVA'!$P$21)*(1 - 0.4)</f>
        <v>-10.467620367362752</v>
      </c>
      <c r="Q21" s="43">
        <f>('TE BE'!$R$21+'TE BF'!$R$21+'TE CVA'!$R$21)*(1 - 0.4)</f>
        <v>173.8584270778629</v>
      </c>
      <c r="R21" s="43">
        <f>('TE BE'!$T$21+'TE BF'!$T$21+'TE CVA'!$T$21)*(1 - 0.4)</f>
        <v>4.2536809331753629</v>
      </c>
      <c r="S21" s="43">
        <f>('TE BE'!$U$21+'TE BF'!$U$21+'TE CVA'!$U$21)*(1 - 0.4)</f>
        <v>2.9050894351829948</v>
      </c>
      <c r="T21" s="43">
        <f>('TE BE'!$V$21+'TE BF'!$V$21+'TE CVA'!$V$21)*(1 - 0.4)</f>
        <v>0</v>
      </c>
      <c r="U21" s="43">
        <f>('TE BE'!$X$21+'TE BF'!$X$21+'TE CVA'!$X$21)*(1 - 0.4)</f>
        <v>0</v>
      </c>
      <c r="V21" s="43">
        <f>('TE BE'!$Z$21+'TE BF'!$Z$21+'TE CVA'!$Z$21)*(1 - 0.4)</f>
        <v>0.82167810798744634</v>
      </c>
      <c r="X21" s="43">
        <v>1.8794113630276701</v>
      </c>
      <c r="Y21" s="43">
        <v>20.372941002207099</v>
      </c>
      <c r="Z21" s="43">
        <v>0</v>
      </c>
      <c r="AA21" s="43">
        <v>0</v>
      </c>
      <c r="AB21" s="43">
        <v>0</v>
      </c>
      <c r="AC21" s="43">
        <v>163.558913384796</v>
      </c>
      <c r="AD21" s="43">
        <v>2.9972333320442499</v>
      </c>
      <c r="AE21" s="43">
        <v>3.41414538232429</v>
      </c>
      <c r="AF21" s="43">
        <v>0</v>
      </c>
      <c r="AG21" s="43">
        <v>-4.7674055719497399E-2</v>
      </c>
      <c r="AH21" s="43">
        <v>0.94439962729156701</v>
      </c>
    </row>
    <row r="22" spans="1:34" ht="11.25" customHeight="1" x14ac:dyDescent="0.25">
      <c r="A22" s="127"/>
      <c r="B22" s="127"/>
      <c r="C22" s="127"/>
      <c r="D22" s="81" t="s">
        <v>31</v>
      </c>
      <c r="E22" s="81" t="s">
        <v>25</v>
      </c>
      <c r="F22" s="81" t="s">
        <v>25</v>
      </c>
      <c r="G22" s="45" t="s">
        <v>123</v>
      </c>
      <c r="H22" s="45" t="s">
        <v>117</v>
      </c>
      <c r="I22" s="45">
        <f>'MERCADO TE'!$U$19</f>
        <v>0</v>
      </c>
      <c r="J22" s="16"/>
      <c r="L22" s="43">
        <f>('TE BE'!$L$22+'TE BF'!$L$22+'TE CVA'!$L$22)*(1 - 0.1)</f>
        <v>2.8897097729219356</v>
      </c>
      <c r="M22" s="43">
        <f>('TE BE'!$M$22+'TE BF'!$M$22+'TE CVA'!$M$22)*(1 - 0.1)</f>
        <v>21.722377938563181</v>
      </c>
      <c r="N22" s="43">
        <f>('TE BE'!$N$22+'TE BF'!$N$22+'TE CVA'!$N$22)*(1 - 0.1)</f>
        <v>0</v>
      </c>
      <c r="O22" s="43">
        <f>('TE BE'!$O$22+'TE BF'!$O$22+'TE CVA'!$O$22)*(1 - 0.1)</f>
        <v>14.998759293819624</v>
      </c>
      <c r="P22" s="43">
        <f>('TE BE'!$P$22+'TE BF'!$P$22+'TE CVA'!$P$22)*(1 - 0.1)</f>
        <v>-15.701430551044128</v>
      </c>
      <c r="Q22" s="43">
        <f>('TE BE'!$R$22+'TE BF'!$R$22+'TE CVA'!$R$22)*(1 - 0.1)</f>
        <v>260.78764061679436</v>
      </c>
      <c r="R22" s="43">
        <f>('TE BE'!$T$22+'TE BF'!$T$22+'TE CVA'!$T$22)*(1 - 0.1)</f>
        <v>6.3805213997630448</v>
      </c>
      <c r="S22" s="43">
        <f>('TE BE'!$U$22+'TE BF'!$U$22+'TE CVA'!$U$22)*(1 - 0.1)</f>
        <v>4.3576341527744926</v>
      </c>
      <c r="T22" s="43">
        <f>('TE BE'!$V$22+'TE BF'!$V$22+'TE CVA'!$V$22)*(1 - 0.1)</f>
        <v>0</v>
      </c>
      <c r="U22" s="43">
        <f>('TE BE'!$X$22+'TE BF'!$X$22+'TE CVA'!$X$22)*(1 - 0.1)</f>
        <v>0</v>
      </c>
      <c r="V22" s="43">
        <f>('TE BE'!$Z$22+'TE BF'!$Z$22+'TE CVA'!$Z$22)*(1 - 0.1)</f>
        <v>1.2325171619811697</v>
      </c>
      <c r="X22" s="43">
        <v>2.8191170445415001</v>
      </c>
      <c r="Y22" s="43">
        <v>30.559411503310599</v>
      </c>
      <c r="Z22" s="43">
        <v>0</v>
      </c>
      <c r="AA22" s="43">
        <v>0</v>
      </c>
      <c r="AB22" s="43">
        <v>0</v>
      </c>
      <c r="AC22" s="43">
        <v>245.33837007719501</v>
      </c>
      <c r="AD22" s="43">
        <v>4.4958499980663698</v>
      </c>
      <c r="AE22" s="43">
        <v>5.1212180734864301</v>
      </c>
      <c r="AF22" s="43">
        <v>0</v>
      </c>
      <c r="AG22" s="43">
        <v>-7.1511083579246099E-2</v>
      </c>
      <c r="AH22" s="43">
        <v>1.4165994409373499</v>
      </c>
    </row>
    <row r="23" spans="1:34" ht="11.25" customHeight="1" x14ac:dyDescent="0.25">
      <c r="A23" s="127"/>
      <c r="B23" s="127"/>
      <c r="C23" s="127"/>
      <c r="D23" s="81" t="s">
        <v>32</v>
      </c>
      <c r="E23" s="81" t="s">
        <v>25</v>
      </c>
      <c r="F23" s="81" t="s">
        <v>25</v>
      </c>
      <c r="G23" s="45" t="s">
        <v>123</v>
      </c>
      <c r="H23" s="45" t="s">
        <v>117</v>
      </c>
      <c r="I23" s="45">
        <f>'MERCADO TE'!$U$20</f>
        <v>0</v>
      </c>
      <c r="J23" s="16"/>
      <c r="L23" s="43">
        <f>('TE BE'!$L$23+'TE BF'!$L$23+'TE CVA'!$L$23)*1</f>
        <v>3.2107886365799283</v>
      </c>
      <c r="M23" s="43">
        <f>('TE BE'!$M$23+'TE BF'!$M$23+'TE CVA'!$M$23)*1</f>
        <v>24.135975487292423</v>
      </c>
      <c r="N23" s="43">
        <f>('TE BE'!$N$23+'TE BF'!$N$23+'TE CVA'!$N$23)*1</f>
        <v>0</v>
      </c>
      <c r="O23" s="43">
        <f>('TE BE'!$O$23+'TE BF'!$O$23+'TE CVA'!$O$23)*1</f>
        <v>16.665288104244027</v>
      </c>
      <c r="P23" s="43">
        <f>('TE BE'!$P$23+'TE BF'!$P$23+'TE CVA'!$P$23)*1</f>
        <v>-17.446033945604587</v>
      </c>
      <c r="Q23" s="43">
        <f>('TE BE'!$R$23+'TE BF'!$R$23+'TE CVA'!$R$23)*1</f>
        <v>289.76404512977149</v>
      </c>
      <c r="R23" s="43">
        <f>('TE BE'!$T$23+'TE BF'!$T$23+'TE CVA'!$T$23)*1</f>
        <v>7.0894682219589384</v>
      </c>
      <c r="S23" s="43">
        <f>('TE BE'!$U$23+'TE BF'!$U$23+'TE CVA'!$U$23)*1</f>
        <v>4.8418157253049916</v>
      </c>
      <c r="T23" s="43">
        <f>('TE BE'!$V$23+'TE BF'!$V$23+'TE CVA'!$V$23)*1</f>
        <v>0</v>
      </c>
      <c r="U23" s="43">
        <f>('TE BE'!$X$23+'TE BF'!$X$23+'TE CVA'!$X$23)*1</f>
        <v>0</v>
      </c>
      <c r="V23" s="43">
        <f>('TE BE'!$Z$23+'TE BF'!$Z$23+'TE CVA'!$Z$23)*1</f>
        <v>1.3694635133124107</v>
      </c>
      <c r="X23" s="43">
        <v>3.1323522717127799</v>
      </c>
      <c r="Y23" s="43">
        <v>33.954901670345102</v>
      </c>
      <c r="Z23" s="43">
        <v>0</v>
      </c>
      <c r="AA23" s="43">
        <v>0</v>
      </c>
      <c r="AB23" s="43">
        <v>0</v>
      </c>
      <c r="AC23" s="43">
        <v>272.59818897466101</v>
      </c>
      <c r="AD23" s="43">
        <v>4.9953888867404102</v>
      </c>
      <c r="AE23" s="43">
        <v>5.6902423038738101</v>
      </c>
      <c r="AF23" s="43">
        <v>0</v>
      </c>
      <c r="AG23" s="43">
        <v>-7.9456759532495702E-2</v>
      </c>
      <c r="AH23" s="43">
        <v>1.5739993788192801</v>
      </c>
    </row>
    <row r="24" spans="1:34" ht="11.25" customHeight="1" x14ac:dyDescent="0.25">
      <c r="A24" s="127" t="s">
        <v>44</v>
      </c>
      <c r="B24" s="127" t="s">
        <v>116</v>
      </c>
      <c r="C24" s="127" t="s">
        <v>45</v>
      </c>
      <c r="D24" s="127" t="s">
        <v>25</v>
      </c>
      <c r="E24" s="127" t="s">
        <v>25</v>
      </c>
      <c r="F24" s="127" t="s">
        <v>25</v>
      </c>
      <c r="G24" s="45" t="s">
        <v>118</v>
      </c>
      <c r="H24" s="45" t="s">
        <v>117</v>
      </c>
      <c r="I24" s="45">
        <f>'MERCADO TE'!$U$21</f>
        <v>0.49600000000000005</v>
      </c>
      <c r="J24" s="16"/>
      <c r="L24" s="43">
        <f>('TE BE'!$L$24+'TE BF'!$L$24+'TE CVA'!$L$24)*(1 - CUSTOS!$M$38)</f>
        <v>3.0181413183851324</v>
      </c>
      <c r="M24" s="43">
        <f>('TE BE'!$M$24+'TE BF'!$M$24+'TE CVA'!$M$24)*(1 - CUSTOS!$M$38)</f>
        <v>22.687816958054878</v>
      </c>
      <c r="N24" s="43">
        <f>('TE BE'!$N$24+'TE BF'!$N$24+'TE CVA'!$N$24)*(1 - CUSTOS!$M$38)</f>
        <v>0</v>
      </c>
      <c r="O24" s="43">
        <f>('TE BE'!$O$24+'TE BF'!$O$24+'TE CVA'!$O$24)*(1 - CUSTOS!$M$38)</f>
        <v>15.665370817989384</v>
      </c>
      <c r="P24" s="43">
        <f>('TE BE'!$P$24+'TE BF'!$P$24+'TE CVA'!$P$24)*(1 - CUSTOS!$M$38)</f>
        <v>-16.399271908868311</v>
      </c>
      <c r="Q24" s="43">
        <f>('TE BE'!$R$24+'TE BF'!$R$24+'TE CVA'!$R$24)*(1 - CUSTOS!$M$38)</f>
        <v>441.97217751491934</v>
      </c>
      <c r="R24" s="43">
        <f>('TE BE'!$T$24+'TE BF'!$T$24+'TE CVA'!$T$24)*(1 - CUSTOS!$M$38)</f>
        <v>6.6641001286414019</v>
      </c>
      <c r="S24" s="43">
        <f>('TE BE'!$U$24+'TE BF'!$U$24+'TE CVA'!$U$24)*(1 - CUSTOS!$M$38)</f>
        <v>4.5513067817866917</v>
      </c>
      <c r="T24" s="43">
        <f>('TE BE'!$V$24+'TE BF'!$V$24+'TE CVA'!$V$24)*(1 - CUSTOS!$M$38)</f>
        <v>0</v>
      </c>
      <c r="U24" s="43">
        <f>('TE BE'!$X$24+'TE BF'!$X$24+'TE CVA'!$X$24)*(1 - CUSTOS!$M$38)</f>
        <v>0</v>
      </c>
      <c r="V24" s="43">
        <f>('TE BE'!$Z$24+'TE BF'!$Z$24+'TE CVA'!$Z$24)*(1 - CUSTOS!$M$38)</f>
        <v>1.287295702513666</v>
      </c>
      <c r="X24" s="43">
        <v>2.7564699991072499</v>
      </c>
      <c r="Y24" s="43">
        <v>29.880313469903701</v>
      </c>
      <c r="Z24" s="43">
        <v>0</v>
      </c>
      <c r="AA24" s="43">
        <v>0</v>
      </c>
      <c r="AB24" s="43">
        <v>0</v>
      </c>
      <c r="AC24" s="43">
        <v>389.24964040759102</v>
      </c>
      <c r="AD24" s="43">
        <v>4.3959422203315599</v>
      </c>
      <c r="AE24" s="43">
        <v>5.0074132274089598</v>
      </c>
      <c r="AF24" s="43">
        <v>0</v>
      </c>
      <c r="AG24" s="43">
        <v>-0.108917922222643</v>
      </c>
      <c r="AH24" s="43">
        <v>1.3851194533609701</v>
      </c>
    </row>
    <row r="25" spans="1:34" ht="11.25" customHeight="1" x14ac:dyDescent="0.25">
      <c r="A25" s="127"/>
      <c r="B25" s="127"/>
      <c r="C25" s="127"/>
      <c r="D25" s="127"/>
      <c r="E25" s="127"/>
      <c r="F25" s="127"/>
      <c r="G25" s="45" t="s">
        <v>128</v>
      </c>
      <c r="H25" s="45" t="s">
        <v>117</v>
      </c>
      <c r="I25" s="45">
        <f>'MERCADO TE'!$U$22</f>
        <v>0.27600000000000002</v>
      </c>
      <c r="J25" s="16"/>
      <c r="L25" s="43">
        <f>('TE BE'!$L$25+'TE BF'!$L$25+'TE CVA'!$L$25)*(1 - CUSTOS!$M$38)</f>
        <v>3.0181413183851324</v>
      </c>
      <c r="M25" s="43">
        <f>('TE BE'!$M$25+'TE BF'!$M$25+'TE CVA'!$M$25)*(1 - CUSTOS!$M$38)</f>
        <v>22.687816958054878</v>
      </c>
      <c r="N25" s="43">
        <f>('TE BE'!$N$25+'TE BF'!$N$25+'TE CVA'!$N$25)*(1 - CUSTOS!$M$38)</f>
        <v>0</v>
      </c>
      <c r="O25" s="43">
        <f>('TE BE'!$O$25+'TE BF'!$O$25+'TE CVA'!$O$25)*(1 - CUSTOS!$M$38)</f>
        <v>15.665370817989384</v>
      </c>
      <c r="P25" s="43">
        <f>('TE BE'!$P$25+'TE BF'!$P$25+'TE CVA'!$P$25)*(1 - CUSTOS!$M$38)</f>
        <v>-16.399271908868311</v>
      </c>
      <c r="Q25" s="43">
        <f>('TE BE'!$R$25+'TE BF'!$R$25+'TE CVA'!$R$25)*(1 - CUSTOS!$M$38)</f>
        <v>256.96056832262752</v>
      </c>
      <c r="R25" s="43">
        <f>('TE BE'!$T$25+'TE BF'!$T$25+'TE CVA'!$T$25)*(1 - CUSTOS!$M$38)</f>
        <v>6.6641001286414019</v>
      </c>
      <c r="S25" s="43">
        <f>('TE BE'!$U$25+'TE BF'!$U$25+'TE CVA'!$U$25)*(1 - CUSTOS!$M$38)</f>
        <v>4.5513067817866917</v>
      </c>
      <c r="T25" s="43">
        <f>('TE BE'!$V$25+'TE BF'!$V$25+'TE CVA'!$V$25)*(1 - CUSTOS!$M$38)</f>
        <v>0</v>
      </c>
      <c r="U25" s="43">
        <f>('TE BE'!$X$25+'TE BF'!$X$25+'TE CVA'!$X$25)*(1 - CUSTOS!$M$38)</f>
        <v>0</v>
      </c>
      <c r="V25" s="43">
        <f>('TE BE'!$Z$25+'TE BF'!$Z$25+'TE CVA'!$Z$25)*(1 - CUSTOS!$M$38)</f>
        <v>1.287295702513666</v>
      </c>
      <c r="X25" s="43">
        <v>2.7564699991072499</v>
      </c>
      <c r="Y25" s="43">
        <v>29.880313469903701</v>
      </c>
      <c r="Z25" s="43">
        <v>0</v>
      </c>
      <c r="AA25" s="43">
        <v>0</v>
      </c>
      <c r="AB25" s="43">
        <v>0</v>
      </c>
      <c r="AC25" s="43">
        <v>226.30793046952999</v>
      </c>
      <c r="AD25" s="43">
        <v>4.3959422203315599</v>
      </c>
      <c r="AE25" s="43">
        <v>5.0074132274089598</v>
      </c>
      <c r="AF25" s="43">
        <v>0</v>
      </c>
      <c r="AG25" s="43">
        <v>-6.6376859858228304E-2</v>
      </c>
      <c r="AH25" s="43">
        <v>1.3851194533609701</v>
      </c>
    </row>
    <row r="26" spans="1:34" ht="11.25" customHeight="1" x14ac:dyDescent="0.25">
      <c r="A26" s="127"/>
      <c r="B26" s="127"/>
      <c r="C26" s="127"/>
      <c r="D26" s="127"/>
      <c r="E26" s="127"/>
      <c r="F26" s="127"/>
      <c r="G26" s="45" t="s">
        <v>119</v>
      </c>
      <c r="H26" s="45" t="s">
        <v>117</v>
      </c>
      <c r="I26" s="45">
        <f>'MERCADO TE'!$U$23</f>
        <v>5.1340000000000003</v>
      </c>
      <c r="J26" s="16"/>
      <c r="L26" s="43">
        <f>('TE BE'!$L$26+'TE BF'!$L$26+'TE CVA'!$L$26)*(1 - CUSTOS!$M$38)</f>
        <v>3.0181413183851324</v>
      </c>
      <c r="M26" s="43">
        <f>('TE BE'!$M$26+'TE BF'!$M$26+'TE CVA'!$M$26)*(1 - CUSTOS!$M$38)</f>
        <v>22.687816958054878</v>
      </c>
      <c r="N26" s="43">
        <f>('TE BE'!$N$26+'TE BF'!$N$26+'TE CVA'!$N$26)*(1 - CUSTOS!$M$38)</f>
        <v>0</v>
      </c>
      <c r="O26" s="43">
        <f>('TE BE'!$O$26+'TE BF'!$O$26+'TE CVA'!$O$26)*(1 - CUSTOS!$M$38)</f>
        <v>15.665370817989384</v>
      </c>
      <c r="P26" s="43">
        <f>('TE BE'!$P$26+'TE BF'!$P$26+'TE CVA'!$P$26)*(1 - CUSTOS!$M$38)</f>
        <v>-16.399271908868311</v>
      </c>
      <c r="Q26" s="43">
        <f>('TE BE'!$R$26+'TE BF'!$R$26+'TE CVA'!$R$26)*(1 - CUSTOS!$M$38)</f>
        <v>256.96056832262752</v>
      </c>
      <c r="R26" s="43">
        <f>('TE BE'!$T$26+'TE BF'!$T$26+'TE CVA'!$T$26)*(1 - CUSTOS!$M$38)</f>
        <v>6.6641001286414019</v>
      </c>
      <c r="S26" s="43">
        <f>('TE BE'!$U$26+'TE BF'!$U$26+'TE CVA'!$U$26)*(1 - CUSTOS!$M$38)</f>
        <v>4.5513067817866917</v>
      </c>
      <c r="T26" s="43">
        <f>('TE BE'!$V$26+'TE BF'!$V$26+'TE CVA'!$V$26)*(1 - CUSTOS!$M$38)</f>
        <v>0</v>
      </c>
      <c r="U26" s="43">
        <f>('TE BE'!$X$26+'TE BF'!$X$26+'TE CVA'!$X$26)*(1 - CUSTOS!$M$38)</f>
        <v>0</v>
      </c>
      <c r="V26" s="43">
        <f>('TE BE'!$Z$26+'TE BF'!$Z$26+'TE CVA'!$Z$26)*(1 - CUSTOS!$M$38)</f>
        <v>1.287295702513666</v>
      </c>
      <c r="X26" s="43">
        <v>2.7564699991072499</v>
      </c>
      <c r="Y26" s="43">
        <v>29.880313469903701</v>
      </c>
      <c r="Z26" s="43">
        <v>0</v>
      </c>
      <c r="AA26" s="43">
        <v>0</v>
      </c>
      <c r="AB26" s="43">
        <v>0</v>
      </c>
      <c r="AC26" s="43">
        <v>226.30793046952999</v>
      </c>
      <c r="AD26" s="43">
        <v>4.3959422203315599</v>
      </c>
      <c r="AE26" s="43">
        <v>5.0074132274089598</v>
      </c>
      <c r="AF26" s="43">
        <v>0</v>
      </c>
      <c r="AG26" s="43">
        <v>-6.6376859858228304E-2</v>
      </c>
      <c r="AH26" s="43">
        <v>1.3851194533609701</v>
      </c>
    </row>
    <row r="27" spans="1:34" ht="11.25" customHeight="1" x14ac:dyDescent="0.25">
      <c r="A27" s="127"/>
      <c r="B27" s="81" t="s">
        <v>129</v>
      </c>
      <c r="C27" s="81" t="s">
        <v>45</v>
      </c>
      <c r="D27" s="81" t="s">
        <v>25</v>
      </c>
      <c r="E27" s="81" t="s">
        <v>25</v>
      </c>
      <c r="F27" s="81" t="s">
        <v>25</v>
      </c>
      <c r="G27" s="45" t="s">
        <v>123</v>
      </c>
      <c r="H27" s="45" t="s">
        <v>117</v>
      </c>
      <c r="I27" s="45">
        <f>'MERCADO TE'!$U$24</f>
        <v>160826.64799999999</v>
      </c>
      <c r="J27" s="16"/>
      <c r="L27" s="43">
        <f>('TE BE'!$L$27+'TE BF'!$L$27+'TE CVA'!$L$27)*(1 - CUSTOS!$M$38)</f>
        <v>3.0181413183851324</v>
      </c>
      <c r="M27" s="43">
        <f>('TE BE'!$M$27+'TE BF'!$M$27+'TE CVA'!$M$27)*(1 - CUSTOS!$M$38)</f>
        <v>22.687816958054878</v>
      </c>
      <c r="N27" s="43">
        <f>('TE BE'!$N$27+'TE BF'!$N$27+'TE CVA'!$N$27)*(1 - CUSTOS!$M$38)</f>
        <v>0</v>
      </c>
      <c r="O27" s="43">
        <f>('TE BE'!$O$27+'TE BF'!$O$27+'TE CVA'!$O$27)*(1 - CUSTOS!$M$38)</f>
        <v>15.665370817989384</v>
      </c>
      <c r="P27" s="43">
        <f>('TE BE'!$P$27+'TE BF'!$P$27+'TE CVA'!$P$27)*(1 - CUSTOS!$M$38)</f>
        <v>-16.399271908868311</v>
      </c>
      <c r="Q27" s="43">
        <f>('TE BE'!$R$27+'TE BF'!$R$27+'TE CVA'!$R$27)*(1 - CUSTOS!$M$38)</f>
        <v>272.37820242198518</v>
      </c>
      <c r="R27" s="43">
        <f>('TE BE'!$T$27+'TE BF'!$T$27+'TE CVA'!$T$27)*(1 - CUSTOS!$M$38)</f>
        <v>6.6641001286414019</v>
      </c>
      <c r="S27" s="43">
        <f>('TE BE'!$U$27+'TE BF'!$U$27+'TE CVA'!$U$27)*(1 - CUSTOS!$M$38)</f>
        <v>4.5513067817866917</v>
      </c>
      <c r="T27" s="43">
        <f>('TE BE'!$V$27+'TE BF'!$V$27+'TE CVA'!$V$27)*(1 - CUSTOS!$M$38)</f>
        <v>0</v>
      </c>
      <c r="U27" s="43">
        <f>('TE BE'!$X$27+'TE BF'!$X$27+'TE CVA'!$X$27)*(1 - CUSTOS!$M$38)</f>
        <v>0</v>
      </c>
      <c r="V27" s="43">
        <f>('TE BE'!$Z$27+'TE BF'!$Z$27+'TE CVA'!$Z$27)*(1 - CUSTOS!$M$38)</f>
        <v>1.287295702513666</v>
      </c>
      <c r="X27" s="43">
        <v>2.7564699991072499</v>
      </c>
      <c r="Y27" s="43">
        <v>29.880313469903701</v>
      </c>
      <c r="Z27" s="43">
        <v>0</v>
      </c>
      <c r="AA27" s="43">
        <v>0</v>
      </c>
      <c r="AB27" s="43">
        <v>0</v>
      </c>
      <c r="AC27" s="43">
        <v>239.886406297701</v>
      </c>
      <c r="AD27" s="43">
        <v>4.3959422203315599</v>
      </c>
      <c r="AE27" s="43">
        <v>5.0074132274089598</v>
      </c>
      <c r="AF27" s="43">
        <v>0</v>
      </c>
      <c r="AG27" s="43">
        <v>-6.9921948388596195E-2</v>
      </c>
      <c r="AH27" s="43">
        <v>1.3851194533609701</v>
      </c>
    </row>
    <row r="28" spans="1:34" ht="11.25" customHeight="1" x14ac:dyDescent="0.25">
      <c r="A28" s="127"/>
      <c r="B28" s="127" t="s">
        <v>116</v>
      </c>
      <c r="C28" s="127" t="s">
        <v>45</v>
      </c>
      <c r="D28" s="127" t="s">
        <v>132</v>
      </c>
      <c r="E28" s="127" t="s">
        <v>25</v>
      </c>
      <c r="F28" s="127" t="s">
        <v>25</v>
      </c>
      <c r="G28" s="45" t="s">
        <v>118</v>
      </c>
      <c r="H28" s="45" t="s">
        <v>117</v>
      </c>
      <c r="I28" s="45">
        <f>'MERCADO TE'!$U$25</f>
        <v>0</v>
      </c>
      <c r="J28" s="16"/>
      <c r="L28" s="43">
        <f>('TE BE'!$L$28+'TE BF'!$L$28+'TE CVA'!$L$28)*(1 - CUSTOS!$M$39)</f>
        <v>3.0181413183851324</v>
      </c>
      <c r="M28" s="43">
        <f>('TE BE'!$M$28+'TE BF'!$M$28+'TE CVA'!$M$28)*(1 - CUSTOS!$M$39)</f>
        <v>22.687816958054878</v>
      </c>
      <c r="N28" s="43">
        <f>('TE BE'!$N$28+'TE BF'!$N$28+'TE CVA'!$N$28)*(1 - CUSTOS!$M$39)</f>
        <v>0</v>
      </c>
      <c r="O28" s="43">
        <f>('TE BE'!$O$28+'TE BF'!$O$28+'TE CVA'!$O$28)*(1 - CUSTOS!$M$39)</f>
        <v>15.665370817989384</v>
      </c>
      <c r="P28" s="43">
        <f>('TE BE'!$P$28+'TE BF'!$P$28+'TE CVA'!$P$28)*(1 - CUSTOS!$M$39)</f>
        <v>-16.399271908868311</v>
      </c>
      <c r="Q28" s="43">
        <f>('TE BE'!$R$28+'TE BF'!$R$28+'TE CVA'!$R$28)*(1 - CUSTOS!$M$39)</f>
        <v>441.97217751491934</v>
      </c>
      <c r="R28" s="43">
        <f>('TE BE'!$T$28+'TE BF'!$T$28+'TE CVA'!$T$28)*(1 - CUSTOS!$M$39)</f>
        <v>6.6641001286414019</v>
      </c>
      <c r="S28" s="43">
        <f>('TE BE'!$U$28+'TE BF'!$U$28+'TE CVA'!$U$28)*(1 - CUSTOS!$M$39)</f>
        <v>4.5513067817866917</v>
      </c>
      <c r="T28" s="43">
        <f>('TE BE'!$V$28+'TE BF'!$V$28+'TE CVA'!$V$28)*(1 - CUSTOS!$M$39)</f>
        <v>0</v>
      </c>
      <c r="U28" s="43">
        <f>('TE BE'!$X$28+'TE BF'!$X$28+'TE CVA'!$X$28)*(1 - CUSTOS!$M$39)</f>
        <v>0</v>
      </c>
      <c r="V28" s="43">
        <f>('TE BE'!$Z$28+'TE BF'!$Z$28+'TE CVA'!$Z$28)*(1 - CUSTOS!$M$39)</f>
        <v>1.287295702513666</v>
      </c>
      <c r="X28" s="43">
        <v>2.7564699991072499</v>
      </c>
      <c r="Y28" s="43">
        <v>29.880313469903701</v>
      </c>
      <c r="Z28" s="43">
        <v>0</v>
      </c>
      <c r="AA28" s="43">
        <v>0</v>
      </c>
      <c r="AB28" s="43">
        <v>0</v>
      </c>
      <c r="AC28" s="43">
        <v>389.24964040759102</v>
      </c>
      <c r="AD28" s="43">
        <v>4.3959422203315599</v>
      </c>
      <c r="AE28" s="43">
        <v>5.0074132274089598</v>
      </c>
      <c r="AF28" s="43">
        <v>0</v>
      </c>
      <c r="AG28" s="43">
        <v>-0.108917922222643</v>
      </c>
      <c r="AH28" s="43">
        <v>1.3851194533609701</v>
      </c>
    </row>
    <row r="29" spans="1:34" ht="11.25" customHeight="1" x14ac:dyDescent="0.25">
      <c r="A29" s="127"/>
      <c r="B29" s="127"/>
      <c r="C29" s="127"/>
      <c r="D29" s="127"/>
      <c r="E29" s="127"/>
      <c r="F29" s="127"/>
      <c r="G29" s="45" t="s">
        <v>128</v>
      </c>
      <c r="H29" s="45" t="s">
        <v>117</v>
      </c>
      <c r="I29" s="45">
        <f>'MERCADO TE'!$U$26</f>
        <v>0</v>
      </c>
      <c r="J29" s="16"/>
      <c r="L29" s="43">
        <f>('TE BE'!$L$29+'TE BF'!$L$29+'TE CVA'!$L$29)*(1 - CUSTOS!$M$39)</f>
        <v>3.0181413183851324</v>
      </c>
      <c r="M29" s="43">
        <f>('TE BE'!$M$29+'TE BF'!$M$29+'TE CVA'!$M$29)*(1 - CUSTOS!$M$39)</f>
        <v>22.687816958054878</v>
      </c>
      <c r="N29" s="43">
        <f>('TE BE'!$N$29+'TE BF'!$N$29+'TE CVA'!$N$29)*(1 - CUSTOS!$M$39)</f>
        <v>0</v>
      </c>
      <c r="O29" s="43">
        <f>('TE BE'!$O$29+'TE BF'!$O$29+'TE CVA'!$O$29)*(1 - CUSTOS!$M$39)</f>
        <v>15.665370817989384</v>
      </c>
      <c r="P29" s="43">
        <f>('TE BE'!$P$29+'TE BF'!$P$29+'TE CVA'!$P$29)*(1 - CUSTOS!$M$39)</f>
        <v>-16.399271908868311</v>
      </c>
      <c r="Q29" s="43">
        <f>('TE BE'!$R$29+'TE BF'!$R$29+'TE CVA'!$R$29)*(1 - CUSTOS!$M$39)</f>
        <v>256.96056832262752</v>
      </c>
      <c r="R29" s="43">
        <f>('TE BE'!$T$29+'TE BF'!$T$29+'TE CVA'!$T$29)*(1 - CUSTOS!$M$39)</f>
        <v>6.6641001286414019</v>
      </c>
      <c r="S29" s="43">
        <f>('TE BE'!$U$29+'TE BF'!$U$29+'TE CVA'!$U$29)*(1 - CUSTOS!$M$39)</f>
        <v>4.5513067817866917</v>
      </c>
      <c r="T29" s="43">
        <f>('TE BE'!$V$29+'TE BF'!$V$29+'TE CVA'!$V$29)*(1 - CUSTOS!$M$39)</f>
        <v>0</v>
      </c>
      <c r="U29" s="43">
        <f>('TE BE'!$X$29+'TE BF'!$X$29+'TE CVA'!$X$29)*(1 - CUSTOS!$M$39)</f>
        <v>0</v>
      </c>
      <c r="V29" s="43">
        <f>('TE BE'!$Z$29+'TE BF'!$Z$29+'TE CVA'!$Z$29)*(1 - CUSTOS!$M$39)</f>
        <v>1.287295702513666</v>
      </c>
      <c r="X29" s="43">
        <v>2.7564699991072499</v>
      </c>
      <c r="Y29" s="43">
        <v>29.880313469903701</v>
      </c>
      <c r="Z29" s="43">
        <v>0</v>
      </c>
      <c r="AA29" s="43">
        <v>0</v>
      </c>
      <c r="AB29" s="43">
        <v>0</v>
      </c>
      <c r="AC29" s="43">
        <v>226.30793046952999</v>
      </c>
      <c r="AD29" s="43">
        <v>4.3959422203315599</v>
      </c>
      <c r="AE29" s="43">
        <v>5.0074132274089598</v>
      </c>
      <c r="AF29" s="43">
        <v>0</v>
      </c>
      <c r="AG29" s="43">
        <v>-6.6376859858228304E-2</v>
      </c>
      <c r="AH29" s="43">
        <v>1.3851194533609701</v>
      </c>
    </row>
    <row r="30" spans="1:34" ht="11.25" customHeight="1" x14ac:dyDescent="0.25">
      <c r="A30" s="127"/>
      <c r="B30" s="127"/>
      <c r="C30" s="127"/>
      <c r="D30" s="127"/>
      <c r="E30" s="127"/>
      <c r="F30" s="127"/>
      <c r="G30" s="45" t="s">
        <v>119</v>
      </c>
      <c r="H30" s="45" t="s">
        <v>117</v>
      </c>
      <c r="I30" s="45">
        <f>'MERCADO TE'!$U$27</f>
        <v>0</v>
      </c>
      <c r="J30" s="16"/>
      <c r="L30" s="43">
        <f>('TE BE'!$L$30+'TE BF'!$L$30+'TE CVA'!$L$30)*(1 - CUSTOS!$M$39)</f>
        <v>3.0181413183851324</v>
      </c>
      <c r="M30" s="43">
        <f>('TE BE'!$M$30+'TE BF'!$M$30+'TE CVA'!$M$30)*(1 - CUSTOS!$M$39)</f>
        <v>22.687816958054878</v>
      </c>
      <c r="N30" s="43">
        <f>('TE BE'!$N$30+'TE BF'!$N$30+'TE CVA'!$N$30)*(1 - CUSTOS!$M$39)</f>
        <v>0</v>
      </c>
      <c r="O30" s="43">
        <f>('TE BE'!$O$30+'TE BF'!$O$30+'TE CVA'!$O$30)*(1 - CUSTOS!$M$39)</f>
        <v>15.665370817989384</v>
      </c>
      <c r="P30" s="43">
        <f>('TE BE'!$P$30+'TE BF'!$P$30+'TE CVA'!$P$30)*(1 - CUSTOS!$M$39)</f>
        <v>-16.399271908868311</v>
      </c>
      <c r="Q30" s="43">
        <f>('TE BE'!$R$30+'TE BF'!$R$30+'TE CVA'!$R$30)*(1 - CUSTOS!$M$39)</f>
        <v>256.96056832262752</v>
      </c>
      <c r="R30" s="43">
        <f>('TE BE'!$T$30+'TE BF'!$T$30+'TE CVA'!$T$30)*(1 - CUSTOS!$M$39)</f>
        <v>6.6641001286414019</v>
      </c>
      <c r="S30" s="43">
        <f>('TE BE'!$U$30+'TE BF'!$U$30+'TE CVA'!$U$30)*(1 - CUSTOS!$M$39)</f>
        <v>4.5513067817866917</v>
      </c>
      <c r="T30" s="43">
        <f>('TE BE'!$V$30+'TE BF'!$V$30+'TE CVA'!$V$30)*(1 - CUSTOS!$M$39)</f>
        <v>0</v>
      </c>
      <c r="U30" s="43">
        <f>('TE BE'!$X$30+'TE BF'!$X$30+'TE CVA'!$X$30)*(1 - CUSTOS!$M$39)</f>
        <v>0</v>
      </c>
      <c r="V30" s="43">
        <f>('TE BE'!$Z$30+'TE BF'!$Z$30+'TE CVA'!$Z$30)*(1 - CUSTOS!$M$39)</f>
        <v>1.287295702513666</v>
      </c>
      <c r="X30" s="43">
        <v>2.7564699991072499</v>
      </c>
      <c r="Y30" s="43">
        <v>29.880313469903701</v>
      </c>
      <c r="Z30" s="43">
        <v>0</v>
      </c>
      <c r="AA30" s="43">
        <v>0</v>
      </c>
      <c r="AB30" s="43">
        <v>0</v>
      </c>
      <c r="AC30" s="43">
        <v>226.30793046952999</v>
      </c>
      <c r="AD30" s="43">
        <v>4.3959422203315599</v>
      </c>
      <c r="AE30" s="43">
        <v>5.0074132274089598</v>
      </c>
      <c r="AF30" s="43">
        <v>0</v>
      </c>
      <c r="AG30" s="43">
        <v>-6.6376859858228304E-2</v>
      </c>
      <c r="AH30" s="43">
        <v>1.3851194533609701</v>
      </c>
    </row>
    <row r="31" spans="1:34" ht="11.25" customHeight="1" x14ac:dyDescent="0.25">
      <c r="A31" s="127"/>
      <c r="B31" s="81" t="s">
        <v>129</v>
      </c>
      <c r="C31" s="81" t="s">
        <v>45</v>
      </c>
      <c r="D31" s="81" t="s">
        <v>132</v>
      </c>
      <c r="E31" s="81" t="s">
        <v>25</v>
      </c>
      <c r="F31" s="81" t="s">
        <v>25</v>
      </c>
      <c r="G31" s="45" t="s">
        <v>123</v>
      </c>
      <c r="H31" s="45" t="s">
        <v>117</v>
      </c>
      <c r="I31" s="45">
        <f>'MERCADO TE'!$U$28</f>
        <v>0</v>
      </c>
      <c r="J31" s="16"/>
      <c r="L31" s="43">
        <f>('TE BE'!$L$31+'TE BF'!$L$31+'TE CVA'!$L$31)*(1 - CUSTOS!$M$39)</f>
        <v>3.0181413183851324</v>
      </c>
      <c r="M31" s="43">
        <f>('TE BE'!$M$31+'TE BF'!$M$31+'TE CVA'!$M$31)*(1 - CUSTOS!$M$39)</f>
        <v>22.687816958054878</v>
      </c>
      <c r="N31" s="43">
        <f>('TE BE'!$N$31+'TE BF'!$N$31+'TE CVA'!$N$31)*(1 - CUSTOS!$M$39)</f>
        <v>0</v>
      </c>
      <c r="O31" s="43">
        <f>('TE BE'!$O$31+'TE BF'!$O$31+'TE CVA'!$O$31)*(1 - CUSTOS!$M$39)</f>
        <v>15.665370817989384</v>
      </c>
      <c r="P31" s="43">
        <f>('TE BE'!$P$31+'TE BF'!$P$31+'TE CVA'!$P$31)*(1 - CUSTOS!$M$39)</f>
        <v>-16.399271908868311</v>
      </c>
      <c r="Q31" s="43">
        <f>('TE BE'!$R$31+'TE BF'!$R$31+'TE CVA'!$R$31)*(1 - CUSTOS!$M$39)</f>
        <v>272.37820242198518</v>
      </c>
      <c r="R31" s="43">
        <f>('TE BE'!$T$31+'TE BF'!$T$31+'TE CVA'!$T$31)*(1 - CUSTOS!$M$39)</f>
        <v>6.6641001286414019</v>
      </c>
      <c r="S31" s="43">
        <f>('TE BE'!$U$31+'TE BF'!$U$31+'TE CVA'!$U$31)*(1 - CUSTOS!$M$39)</f>
        <v>4.5513067817866917</v>
      </c>
      <c r="T31" s="43">
        <f>('TE BE'!$V$31+'TE BF'!$V$31+'TE CVA'!$V$31)*(1 - CUSTOS!$M$39)</f>
        <v>0</v>
      </c>
      <c r="U31" s="43">
        <f>('TE BE'!$X$31+'TE BF'!$X$31+'TE CVA'!$X$31)*(1 - CUSTOS!$M$39)</f>
        <v>0</v>
      </c>
      <c r="V31" s="43">
        <f>('TE BE'!$Z$31+'TE BF'!$Z$31+'TE CVA'!$Z$31)*(1 - CUSTOS!$M$39)</f>
        <v>1.287295702513666</v>
      </c>
      <c r="X31" s="43">
        <v>2.7564699991072499</v>
      </c>
      <c r="Y31" s="43">
        <v>29.880313469903701</v>
      </c>
      <c r="Z31" s="43">
        <v>0</v>
      </c>
      <c r="AA31" s="43">
        <v>0</v>
      </c>
      <c r="AB31" s="43">
        <v>0</v>
      </c>
      <c r="AC31" s="43">
        <v>239.886406297701</v>
      </c>
      <c r="AD31" s="43">
        <v>4.3959422203315599</v>
      </c>
      <c r="AE31" s="43">
        <v>5.0074132274089598</v>
      </c>
      <c r="AF31" s="43">
        <v>0</v>
      </c>
      <c r="AG31" s="43">
        <v>-6.9921948388596195E-2</v>
      </c>
      <c r="AH31" s="43">
        <v>1.3851194533609701</v>
      </c>
    </row>
    <row r="32" spans="1:34" ht="11.25" customHeight="1" x14ac:dyDescent="0.25">
      <c r="A32" s="127"/>
      <c r="B32" s="127" t="s">
        <v>116</v>
      </c>
      <c r="C32" s="127" t="s">
        <v>45</v>
      </c>
      <c r="D32" s="127" t="s">
        <v>133</v>
      </c>
      <c r="E32" s="127" t="s">
        <v>25</v>
      </c>
      <c r="F32" s="127" t="s">
        <v>25</v>
      </c>
      <c r="G32" s="45" t="s">
        <v>118</v>
      </c>
      <c r="H32" s="45" t="s">
        <v>117</v>
      </c>
      <c r="I32" s="45">
        <f>'MERCADO TE'!$U$29</f>
        <v>0</v>
      </c>
      <c r="J32" s="16"/>
      <c r="L32" s="43">
        <f>('TE BE'!$L$32+'TE BF'!$L$32+'TE CVA'!$L$32)*(1 - CUSTOS!$M$40)</f>
        <v>2.9539255456535343</v>
      </c>
      <c r="M32" s="43">
        <f>('TE BE'!$M$32+'TE BF'!$M$32+'TE CVA'!$M$32)*(1 - CUSTOS!$M$40)</f>
        <v>22.205097448309029</v>
      </c>
      <c r="N32" s="43">
        <f>('TE BE'!$N$32+'TE BF'!$N$32+'TE CVA'!$N$32)*(1 - CUSTOS!$M$40)</f>
        <v>0</v>
      </c>
      <c r="O32" s="43">
        <f>('TE BE'!$O$32+'TE BF'!$O$32+'TE CVA'!$O$32)*(1 - CUSTOS!$M$40)</f>
        <v>15.332065055904506</v>
      </c>
      <c r="P32" s="43">
        <f>('TE BE'!$P$32+'TE BF'!$P$32+'TE CVA'!$P$32)*(1 - CUSTOS!$M$40)</f>
        <v>-16.05035122995622</v>
      </c>
      <c r="Q32" s="43">
        <f>('TE BE'!$R$32+'TE BF'!$R$32+'TE CVA'!$R$32)*(1 - CUSTOS!$M$40)</f>
        <v>432.56851416353811</v>
      </c>
      <c r="R32" s="43">
        <f>('TE BE'!$T$32+'TE BF'!$T$32+'TE CVA'!$T$32)*(1 - CUSTOS!$M$40)</f>
        <v>6.5223107642022233</v>
      </c>
      <c r="S32" s="43">
        <f>('TE BE'!$U$32+'TE BF'!$U$32+'TE CVA'!$U$32)*(1 - CUSTOS!$M$40)</f>
        <v>4.4544704672805926</v>
      </c>
      <c r="T32" s="43">
        <f>('TE BE'!$V$32+'TE BF'!$V$32+'TE CVA'!$V$32)*(1 - CUSTOS!$M$40)</f>
        <v>0</v>
      </c>
      <c r="U32" s="43">
        <f>('TE BE'!$X$32+'TE BF'!$X$32+'TE CVA'!$X$32)*(1 - CUSTOS!$M$40)</f>
        <v>0</v>
      </c>
      <c r="V32" s="43">
        <f>('TE BE'!$Z$32+'TE BF'!$Z$32+'TE CVA'!$Z$32)*(1 - CUSTOS!$M$40)</f>
        <v>1.2599064322474178</v>
      </c>
      <c r="X32" s="43">
        <v>2.63117590823874</v>
      </c>
      <c r="Y32" s="43">
        <v>28.522117403089901</v>
      </c>
      <c r="Z32" s="43">
        <v>0</v>
      </c>
      <c r="AA32" s="43">
        <v>0</v>
      </c>
      <c r="AB32" s="43">
        <v>0</v>
      </c>
      <c r="AC32" s="43">
        <v>371.55647493451897</v>
      </c>
      <c r="AD32" s="43">
        <v>4.19612666486195</v>
      </c>
      <c r="AE32" s="43">
        <v>4.7798035352539996</v>
      </c>
      <c r="AF32" s="43">
        <v>0</v>
      </c>
      <c r="AG32" s="43">
        <v>-0.103967107576159</v>
      </c>
      <c r="AH32" s="43">
        <v>1.32215947820819</v>
      </c>
    </row>
    <row r="33" spans="1:34" ht="11.25" customHeight="1" x14ac:dyDescent="0.25">
      <c r="A33" s="127"/>
      <c r="B33" s="127"/>
      <c r="C33" s="127"/>
      <c r="D33" s="127"/>
      <c r="E33" s="127"/>
      <c r="F33" s="127"/>
      <c r="G33" s="45" t="s">
        <v>128</v>
      </c>
      <c r="H33" s="45" t="s">
        <v>117</v>
      </c>
      <c r="I33" s="45">
        <f>'MERCADO TE'!$U$30</f>
        <v>0</v>
      </c>
      <c r="J33" s="16"/>
      <c r="L33" s="43">
        <f>('TE BE'!$L$33+'TE BF'!$L$33+'TE CVA'!$L$33)*(1 - CUSTOS!$M$40)</f>
        <v>2.9539255456535343</v>
      </c>
      <c r="M33" s="43">
        <f>('TE BE'!$M$33+'TE BF'!$M$33+'TE CVA'!$M$33)*(1 - CUSTOS!$M$40)</f>
        <v>22.205097448309029</v>
      </c>
      <c r="N33" s="43">
        <f>('TE BE'!$N$33+'TE BF'!$N$33+'TE CVA'!$N$33)*(1 - CUSTOS!$M$40)</f>
        <v>0</v>
      </c>
      <c r="O33" s="43">
        <f>('TE BE'!$O$33+'TE BF'!$O$33+'TE CVA'!$O$33)*(1 - CUSTOS!$M$40)</f>
        <v>15.332065055904506</v>
      </c>
      <c r="P33" s="43">
        <f>('TE BE'!$P$33+'TE BF'!$P$33+'TE CVA'!$P$33)*(1 - CUSTOS!$M$40)</f>
        <v>-16.05035122995622</v>
      </c>
      <c r="Q33" s="43">
        <f>('TE BE'!$R$33+'TE BF'!$R$33+'TE CVA'!$R$33)*(1 - CUSTOS!$M$40)</f>
        <v>251.49332218810355</v>
      </c>
      <c r="R33" s="43">
        <f>('TE BE'!$T$33+'TE BF'!$T$33+'TE CVA'!$T$33)*(1 - CUSTOS!$M$40)</f>
        <v>6.5223107642022233</v>
      </c>
      <c r="S33" s="43">
        <f>('TE BE'!$U$33+'TE BF'!$U$33+'TE CVA'!$U$33)*(1 - CUSTOS!$M$40)</f>
        <v>4.4544704672805926</v>
      </c>
      <c r="T33" s="43">
        <f>('TE BE'!$V$33+'TE BF'!$V$33+'TE CVA'!$V$33)*(1 - CUSTOS!$M$40)</f>
        <v>0</v>
      </c>
      <c r="U33" s="43">
        <f>('TE BE'!$X$33+'TE BF'!$X$33+'TE CVA'!$X$33)*(1 - CUSTOS!$M$40)</f>
        <v>0</v>
      </c>
      <c r="V33" s="43">
        <f>('TE BE'!$Z$33+'TE BF'!$Z$33+'TE CVA'!$Z$33)*(1 - CUSTOS!$M$40)</f>
        <v>1.2599064322474178</v>
      </c>
      <c r="X33" s="43">
        <v>2.63117590823874</v>
      </c>
      <c r="Y33" s="43">
        <v>28.522117403089901</v>
      </c>
      <c r="Z33" s="43">
        <v>0</v>
      </c>
      <c r="AA33" s="43">
        <v>0</v>
      </c>
      <c r="AB33" s="43">
        <v>0</v>
      </c>
      <c r="AC33" s="43">
        <v>216.021206357278</v>
      </c>
      <c r="AD33" s="43">
        <v>4.19612666486195</v>
      </c>
      <c r="AE33" s="43">
        <v>4.7798035352539996</v>
      </c>
      <c r="AF33" s="43">
        <v>0</v>
      </c>
      <c r="AG33" s="43">
        <v>-6.3359729864672504E-2</v>
      </c>
      <c r="AH33" s="43">
        <v>1.32215947820819</v>
      </c>
    </row>
    <row r="34" spans="1:34" ht="11.25" customHeight="1" x14ac:dyDescent="0.25">
      <c r="A34" s="127"/>
      <c r="B34" s="127"/>
      <c r="C34" s="127"/>
      <c r="D34" s="127"/>
      <c r="E34" s="127"/>
      <c r="F34" s="127"/>
      <c r="G34" s="45" t="s">
        <v>119</v>
      </c>
      <c r="H34" s="45" t="s">
        <v>117</v>
      </c>
      <c r="I34" s="45">
        <f>'MERCADO TE'!$U$31</f>
        <v>0</v>
      </c>
      <c r="J34" s="16"/>
      <c r="L34" s="43">
        <f>('TE BE'!$L$34+'TE BF'!$L$34+'TE CVA'!$L$34)*(1 - CUSTOS!$M$40)</f>
        <v>2.9539255456535343</v>
      </c>
      <c r="M34" s="43">
        <f>('TE BE'!$M$34+'TE BF'!$M$34+'TE CVA'!$M$34)*(1 - CUSTOS!$M$40)</f>
        <v>22.205097448309029</v>
      </c>
      <c r="N34" s="43">
        <f>('TE BE'!$N$34+'TE BF'!$N$34+'TE CVA'!$N$34)*(1 - CUSTOS!$M$40)</f>
        <v>0</v>
      </c>
      <c r="O34" s="43">
        <f>('TE BE'!$O$34+'TE BF'!$O$34+'TE CVA'!$O$34)*(1 - CUSTOS!$M$40)</f>
        <v>15.332065055904506</v>
      </c>
      <c r="P34" s="43">
        <f>('TE BE'!$P$34+'TE BF'!$P$34+'TE CVA'!$P$34)*(1 - CUSTOS!$M$40)</f>
        <v>-16.05035122995622</v>
      </c>
      <c r="Q34" s="43">
        <f>('TE BE'!$R$34+'TE BF'!$R$34+'TE CVA'!$R$34)*(1 - CUSTOS!$M$40)</f>
        <v>251.49332218810355</v>
      </c>
      <c r="R34" s="43">
        <f>('TE BE'!$T$34+'TE BF'!$T$34+'TE CVA'!$T$34)*(1 - CUSTOS!$M$40)</f>
        <v>6.5223107642022233</v>
      </c>
      <c r="S34" s="43">
        <f>('TE BE'!$U$34+'TE BF'!$U$34+'TE CVA'!$U$34)*(1 - CUSTOS!$M$40)</f>
        <v>4.4544704672805926</v>
      </c>
      <c r="T34" s="43">
        <f>('TE BE'!$V$34+'TE BF'!$V$34+'TE CVA'!$V$34)*(1 - CUSTOS!$M$40)</f>
        <v>0</v>
      </c>
      <c r="U34" s="43">
        <f>('TE BE'!$X$34+'TE BF'!$X$34+'TE CVA'!$X$34)*(1 - CUSTOS!$M$40)</f>
        <v>0</v>
      </c>
      <c r="V34" s="43">
        <f>('TE BE'!$Z$34+'TE BF'!$Z$34+'TE CVA'!$Z$34)*(1 - CUSTOS!$M$40)</f>
        <v>1.2599064322474178</v>
      </c>
      <c r="X34" s="43">
        <v>2.63117590823874</v>
      </c>
      <c r="Y34" s="43">
        <v>28.522117403089901</v>
      </c>
      <c r="Z34" s="43">
        <v>0</v>
      </c>
      <c r="AA34" s="43">
        <v>0</v>
      </c>
      <c r="AB34" s="43">
        <v>0</v>
      </c>
      <c r="AC34" s="43">
        <v>216.021206357278</v>
      </c>
      <c r="AD34" s="43">
        <v>4.19612666486195</v>
      </c>
      <c r="AE34" s="43">
        <v>4.7798035352539996</v>
      </c>
      <c r="AF34" s="43">
        <v>0</v>
      </c>
      <c r="AG34" s="43">
        <v>-6.3359729864672504E-2</v>
      </c>
      <c r="AH34" s="43">
        <v>1.32215947820819</v>
      </c>
    </row>
    <row r="35" spans="1:34" ht="11.25" customHeight="1" x14ac:dyDescent="0.25">
      <c r="A35" s="127"/>
      <c r="B35" s="81" t="s">
        <v>129</v>
      </c>
      <c r="C35" s="81" t="s">
        <v>45</v>
      </c>
      <c r="D35" s="81" t="s">
        <v>133</v>
      </c>
      <c r="E35" s="81" t="s">
        <v>25</v>
      </c>
      <c r="F35" s="81" t="s">
        <v>25</v>
      </c>
      <c r="G35" s="45" t="s">
        <v>123</v>
      </c>
      <c r="H35" s="45" t="s">
        <v>117</v>
      </c>
      <c r="I35" s="45">
        <f>'MERCADO TE'!$U$32</f>
        <v>0</v>
      </c>
      <c r="J35" s="16"/>
      <c r="L35" s="43">
        <f>('TE BE'!$L$35+'TE BF'!$L$35+'TE CVA'!$L$35)*(1 - CUSTOS!$M$40)</f>
        <v>2.9539255456535343</v>
      </c>
      <c r="M35" s="43">
        <f>('TE BE'!$M$35+'TE BF'!$M$35+'TE CVA'!$M$35)*(1 - CUSTOS!$M$40)</f>
        <v>22.205097448309029</v>
      </c>
      <c r="N35" s="43">
        <f>('TE BE'!$N$35+'TE BF'!$N$35+'TE CVA'!$N$35)*(1 - CUSTOS!$M$40)</f>
        <v>0</v>
      </c>
      <c r="O35" s="43">
        <f>('TE BE'!$O$35+'TE BF'!$O$35+'TE CVA'!$O$35)*(1 - CUSTOS!$M$40)</f>
        <v>15.332065055904506</v>
      </c>
      <c r="P35" s="43">
        <f>('TE BE'!$P$35+'TE BF'!$P$35+'TE CVA'!$P$35)*(1 - CUSTOS!$M$40)</f>
        <v>-16.05035122995622</v>
      </c>
      <c r="Q35" s="43">
        <f>('TE BE'!$R$35+'TE BF'!$R$35+'TE CVA'!$R$35)*(1 - CUSTOS!$M$40)</f>
        <v>266.5829215193898</v>
      </c>
      <c r="R35" s="43">
        <f>('TE BE'!$T$35+'TE BF'!$T$35+'TE CVA'!$T$35)*(1 - CUSTOS!$M$40)</f>
        <v>6.5223107642022233</v>
      </c>
      <c r="S35" s="43">
        <f>('TE BE'!$U$35+'TE BF'!$U$35+'TE CVA'!$U$35)*(1 - CUSTOS!$M$40)</f>
        <v>4.4544704672805926</v>
      </c>
      <c r="T35" s="43">
        <f>('TE BE'!$V$35+'TE BF'!$V$35+'TE CVA'!$V$35)*(1 - CUSTOS!$M$40)</f>
        <v>0</v>
      </c>
      <c r="U35" s="43">
        <f>('TE BE'!$X$35+'TE BF'!$X$35+'TE CVA'!$X$35)*(1 - CUSTOS!$M$40)</f>
        <v>0</v>
      </c>
      <c r="V35" s="43">
        <f>('TE BE'!$Z$35+'TE BF'!$Z$35+'TE CVA'!$Z$35)*(1 - CUSTOS!$M$40)</f>
        <v>1.2599064322474178</v>
      </c>
      <c r="X35" s="43">
        <v>2.63117590823874</v>
      </c>
      <c r="Y35" s="43">
        <v>28.522117403089901</v>
      </c>
      <c r="Z35" s="43">
        <v>0</v>
      </c>
      <c r="AA35" s="43">
        <v>0</v>
      </c>
      <c r="AB35" s="43">
        <v>0</v>
      </c>
      <c r="AC35" s="43">
        <v>228.982478738715</v>
      </c>
      <c r="AD35" s="43">
        <v>4.19612666486195</v>
      </c>
      <c r="AE35" s="43">
        <v>4.7798035352539996</v>
      </c>
      <c r="AF35" s="43">
        <v>0</v>
      </c>
      <c r="AG35" s="43">
        <v>-6.67436780072964E-2</v>
      </c>
      <c r="AH35" s="43">
        <v>1.32215947820819</v>
      </c>
    </row>
    <row r="36" spans="1:34" ht="11.25" customHeight="1" x14ac:dyDescent="0.25">
      <c r="A36" s="127"/>
      <c r="B36" s="127" t="s">
        <v>130</v>
      </c>
      <c r="C36" s="127" t="s">
        <v>45</v>
      </c>
      <c r="D36" s="81" t="s">
        <v>25</v>
      </c>
      <c r="E36" s="81" t="s">
        <v>25</v>
      </c>
      <c r="F36" s="81" t="s">
        <v>25</v>
      </c>
      <c r="G36" s="45" t="s">
        <v>123</v>
      </c>
      <c r="H36" s="45" t="s">
        <v>117</v>
      </c>
      <c r="I36" s="45">
        <f>'MERCADO TE'!$U$33</f>
        <v>0</v>
      </c>
      <c r="J36" s="16"/>
      <c r="L36" s="43">
        <f>('TE BE'!$L$36+'TE BF'!$L$36+'TE CVA'!$L$36)*(1 - CUSTOS!$M$38)</f>
        <v>3.0181413183851324</v>
      </c>
      <c r="M36" s="43">
        <f>('TE BE'!$M$36+'TE BF'!$M$36+'TE CVA'!$M$36)*(1 - CUSTOS!$M$38)</f>
        <v>22.687816958054878</v>
      </c>
      <c r="N36" s="43">
        <f>('TE BE'!$N$36+'TE BF'!$N$36+'TE CVA'!$N$36)*(1 - CUSTOS!$M$38)</f>
        <v>0</v>
      </c>
      <c r="O36" s="43">
        <f>('TE BE'!$O$36+'TE BF'!$O$36+'TE CVA'!$O$36)*(1 - CUSTOS!$M$38)</f>
        <v>15.665370817989384</v>
      </c>
      <c r="P36" s="43">
        <f>('TE BE'!$P$36+'TE BF'!$P$36+'TE CVA'!$P$36)*(1 - CUSTOS!$M$38)</f>
        <v>-16.399271908868311</v>
      </c>
      <c r="Q36" s="43">
        <f>('TE BE'!$R$36+'TE BF'!$R$36+'TE CVA'!$R$36)*(1 - CUSTOS!$M$38)</f>
        <v>272.37820242198518</v>
      </c>
      <c r="R36" s="43">
        <f>('TE BE'!$T$36+'TE BF'!$T$36+'TE CVA'!$T$36)*(1 - CUSTOS!$M$38)</f>
        <v>6.6641001286414019</v>
      </c>
      <c r="S36" s="43">
        <f>('TE BE'!$U$36+'TE BF'!$U$36+'TE CVA'!$U$36)*(1 - CUSTOS!$M$38)</f>
        <v>4.5513067817866917</v>
      </c>
      <c r="T36" s="43">
        <f>('TE BE'!$V$36+'TE BF'!$V$36+'TE CVA'!$V$36)*(1 - CUSTOS!$M$38)</f>
        <v>0</v>
      </c>
      <c r="U36" s="43">
        <f>('TE BE'!$X$36+'TE BF'!$X$36+'TE CVA'!$X$36)*(1 - CUSTOS!$M$38)</f>
        <v>0</v>
      </c>
      <c r="V36" s="43">
        <f>('TE BE'!$Z$36+'TE BF'!$Z$36+'TE CVA'!$Z$36)*(1 - CUSTOS!$M$38)</f>
        <v>1.287295702513666</v>
      </c>
      <c r="X36" s="43">
        <v>2.7564699991072499</v>
      </c>
      <c r="Y36" s="43">
        <v>29.880313469903701</v>
      </c>
      <c r="Z36" s="43">
        <v>0</v>
      </c>
      <c r="AA36" s="43">
        <v>0</v>
      </c>
      <c r="AB36" s="43">
        <v>0</v>
      </c>
      <c r="AC36" s="43">
        <v>239.886406297701</v>
      </c>
      <c r="AD36" s="43">
        <v>4.3959422203315599</v>
      </c>
      <c r="AE36" s="43">
        <v>5.0074132274089598</v>
      </c>
      <c r="AF36" s="43">
        <v>0</v>
      </c>
      <c r="AG36" s="43">
        <v>-6.9921948388596195E-2</v>
      </c>
      <c r="AH36" s="43">
        <v>1.3851194533609701</v>
      </c>
    </row>
    <row r="37" spans="1:34" ht="11.25" customHeight="1" x14ac:dyDescent="0.25">
      <c r="A37" s="127"/>
      <c r="B37" s="127"/>
      <c r="C37" s="127"/>
      <c r="D37" s="81" t="s">
        <v>132</v>
      </c>
      <c r="E37" s="81" t="s">
        <v>25</v>
      </c>
      <c r="F37" s="81" t="s">
        <v>25</v>
      </c>
      <c r="G37" s="45" t="s">
        <v>123</v>
      </c>
      <c r="H37" s="45" t="s">
        <v>117</v>
      </c>
      <c r="I37" s="45">
        <f>'MERCADO TE'!$U$34</f>
        <v>0</v>
      </c>
      <c r="J37" s="16"/>
      <c r="L37" s="43">
        <f>('TE BE'!$L$37+'TE BF'!$L$37+'TE CVA'!$L$37)*(1 - CUSTOS!$M$39)</f>
        <v>3.0181413183851324</v>
      </c>
      <c r="M37" s="43">
        <f>('TE BE'!$M$37+'TE BF'!$M$37+'TE CVA'!$M$37)*(1 - CUSTOS!$M$39)</f>
        <v>22.687816958054878</v>
      </c>
      <c r="N37" s="43">
        <f>('TE BE'!$N$37+'TE BF'!$N$37+'TE CVA'!$N$37)*(1 - CUSTOS!$M$39)</f>
        <v>0</v>
      </c>
      <c r="O37" s="43">
        <f>('TE BE'!$O$37+'TE BF'!$O$37+'TE CVA'!$O$37)*(1 - CUSTOS!$M$39)</f>
        <v>15.665370817989384</v>
      </c>
      <c r="P37" s="43">
        <f>('TE BE'!$P$37+'TE BF'!$P$37+'TE CVA'!$P$37)*(1 - CUSTOS!$M$39)</f>
        <v>-16.399271908868311</v>
      </c>
      <c r="Q37" s="43">
        <f>('TE BE'!$R$37+'TE BF'!$R$37+'TE CVA'!$R$37)*(1 - CUSTOS!$M$39)</f>
        <v>272.37820242198518</v>
      </c>
      <c r="R37" s="43">
        <f>('TE BE'!$T$37+'TE BF'!$T$37+'TE CVA'!$T$37)*(1 - CUSTOS!$M$39)</f>
        <v>6.6641001286414019</v>
      </c>
      <c r="S37" s="43">
        <f>('TE BE'!$U$37+'TE BF'!$U$37+'TE CVA'!$U$37)*(1 - CUSTOS!$M$39)</f>
        <v>4.5513067817866917</v>
      </c>
      <c r="T37" s="43">
        <f>('TE BE'!$V$37+'TE BF'!$V$37+'TE CVA'!$V$37)*(1 - CUSTOS!$M$39)</f>
        <v>0</v>
      </c>
      <c r="U37" s="43">
        <f>('TE BE'!$X$37+'TE BF'!$X$37+'TE CVA'!$X$37)*(1 - CUSTOS!$M$39)</f>
        <v>0</v>
      </c>
      <c r="V37" s="43">
        <f>('TE BE'!$Z$37+'TE BF'!$Z$37+'TE CVA'!$Z$37)*(1 - CUSTOS!$M$39)</f>
        <v>1.287295702513666</v>
      </c>
      <c r="X37" s="43">
        <v>2.7564699991072499</v>
      </c>
      <c r="Y37" s="43">
        <v>29.880313469903701</v>
      </c>
      <c r="Z37" s="43">
        <v>0</v>
      </c>
      <c r="AA37" s="43">
        <v>0</v>
      </c>
      <c r="AB37" s="43">
        <v>0</v>
      </c>
      <c r="AC37" s="43">
        <v>239.886406297701</v>
      </c>
      <c r="AD37" s="43">
        <v>4.3959422203315599</v>
      </c>
      <c r="AE37" s="43">
        <v>5.0074132274089598</v>
      </c>
      <c r="AF37" s="43">
        <v>0</v>
      </c>
      <c r="AG37" s="43">
        <v>-6.9921948388596195E-2</v>
      </c>
      <c r="AH37" s="43">
        <v>1.3851194533609701</v>
      </c>
    </row>
    <row r="38" spans="1:34" ht="11.25" customHeight="1" x14ac:dyDescent="0.25">
      <c r="A38" s="127"/>
      <c r="B38" s="127"/>
      <c r="C38" s="127"/>
      <c r="D38" s="81" t="s">
        <v>133</v>
      </c>
      <c r="E38" s="81" t="s">
        <v>25</v>
      </c>
      <c r="F38" s="81" t="s">
        <v>25</v>
      </c>
      <c r="G38" s="45" t="s">
        <v>123</v>
      </c>
      <c r="H38" s="45" t="s">
        <v>117</v>
      </c>
      <c r="I38" s="45">
        <f>'MERCADO TE'!$U$35</f>
        <v>0</v>
      </c>
      <c r="J38" s="16"/>
      <c r="L38" s="43">
        <f>('TE BE'!$L$38+'TE BF'!$L$38+'TE CVA'!$L$38)*(1 - CUSTOS!$M$40)</f>
        <v>2.9539255456535343</v>
      </c>
      <c r="M38" s="43">
        <f>('TE BE'!$M$38+'TE BF'!$M$38+'TE CVA'!$M$38)*(1 - CUSTOS!$M$40)</f>
        <v>22.205097448309029</v>
      </c>
      <c r="N38" s="43">
        <f>('TE BE'!$N$38+'TE BF'!$N$38+'TE CVA'!$N$38)*(1 - CUSTOS!$M$40)</f>
        <v>0</v>
      </c>
      <c r="O38" s="43">
        <f>('TE BE'!$O$38+'TE BF'!$O$38+'TE CVA'!$O$38)*(1 - CUSTOS!$M$40)</f>
        <v>15.332065055904506</v>
      </c>
      <c r="P38" s="43">
        <f>('TE BE'!$P$38+'TE BF'!$P$38+'TE CVA'!$P$38)*(1 - CUSTOS!$M$40)</f>
        <v>-16.05035122995622</v>
      </c>
      <c r="Q38" s="43">
        <f>('TE BE'!$R$38+'TE BF'!$R$38+'TE CVA'!$R$38)*(1 - CUSTOS!$M$40)</f>
        <v>266.5829215193898</v>
      </c>
      <c r="R38" s="43">
        <f>('TE BE'!$T$38+'TE BF'!$T$38+'TE CVA'!$T$38)*(1 - CUSTOS!$M$40)</f>
        <v>6.5223107642022233</v>
      </c>
      <c r="S38" s="43">
        <f>('TE BE'!$U$38+'TE BF'!$U$38+'TE CVA'!$U$38)*(1 - CUSTOS!$M$40)</f>
        <v>4.4544704672805926</v>
      </c>
      <c r="T38" s="43">
        <f>('TE BE'!$V$38+'TE BF'!$V$38+'TE CVA'!$V$38)*(1 - CUSTOS!$M$40)</f>
        <v>0</v>
      </c>
      <c r="U38" s="43">
        <f>('TE BE'!$X$38+'TE BF'!$X$38+'TE CVA'!$X$38)*(1 - CUSTOS!$M$40)</f>
        <v>0</v>
      </c>
      <c r="V38" s="43">
        <f>('TE BE'!$Z$38+'TE BF'!$Z$38+'TE CVA'!$Z$38)*(1 - CUSTOS!$M$40)</f>
        <v>1.2599064322474178</v>
      </c>
      <c r="X38" s="43">
        <v>2.63117590823874</v>
      </c>
      <c r="Y38" s="43">
        <v>28.522117403089901</v>
      </c>
      <c r="Z38" s="43">
        <v>0</v>
      </c>
      <c r="AA38" s="43">
        <v>0</v>
      </c>
      <c r="AB38" s="43">
        <v>0</v>
      </c>
      <c r="AC38" s="43">
        <v>228.982478738715</v>
      </c>
      <c r="AD38" s="43">
        <v>4.19612666486195</v>
      </c>
      <c r="AE38" s="43">
        <v>4.7798035352539996</v>
      </c>
      <c r="AF38" s="43">
        <v>0</v>
      </c>
      <c r="AG38" s="43">
        <v>-6.67436780072964E-2</v>
      </c>
      <c r="AH38" s="43">
        <v>1.32215947820819</v>
      </c>
    </row>
    <row r="39" spans="1:34" ht="11.25" customHeight="1" x14ac:dyDescent="0.25">
      <c r="A39" s="127" t="s">
        <v>37</v>
      </c>
      <c r="B39" s="127" t="s">
        <v>116</v>
      </c>
      <c r="C39" s="127" t="s">
        <v>25</v>
      </c>
      <c r="D39" s="127" t="s">
        <v>25</v>
      </c>
      <c r="E39" s="127" t="s">
        <v>25</v>
      </c>
      <c r="F39" s="127" t="s">
        <v>25</v>
      </c>
      <c r="G39" s="45" t="s">
        <v>118</v>
      </c>
      <c r="H39" s="45" t="s">
        <v>117</v>
      </c>
      <c r="I39" s="45">
        <f>'MERCADO TE'!$U$36</f>
        <v>31.868999999999996</v>
      </c>
      <c r="J39" s="16"/>
      <c r="L39" s="43">
        <f>('TE BE'!$L$39+'TE BF'!$L$39+'TE CVA'!$L$39)*1</f>
        <v>3.2107886365799283</v>
      </c>
      <c r="M39" s="43">
        <f>('TE BE'!$M$39+'TE BF'!$M$39+'TE CVA'!$M$39)*1</f>
        <v>24.135975487292423</v>
      </c>
      <c r="N39" s="43">
        <f>('TE BE'!$N$39+'TE BF'!$N$39+'TE CVA'!$N$39)*1</f>
        <v>0</v>
      </c>
      <c r="O39" s="43">
        <f>('TE BE'!$O$39+'TE BF'!$O$39+'TE CVA'!$O$39)*1</f>
        <v>16.665288104244027</v>
      </c>
      <c r="P39" s="43">
        <f>('TE BE'!$P$39+'TE BF'!$P$39+'TE CVA'!$P$39)*1</f>
        <v>-17.446033945604587</v>
      </c>
      <c r="Q39" s="43">
        <f>('TE BE'!$R$39+'TE BF'!$R$39+'TE CVA'!$R$39)*1</f>
        <v>470.18316756906313</v>
      </c>
      <c r="R39" s="43">
        <f>('TE BE'!$T$39+'TE BF'!$T$39+'TE CVA'!$T$39)*1</f>
        <v>7.0894682219589384</v>
      </c>
      <c r="S39" s="43">
        <f>('TE BE'!$U$39+'TE BF'!$U$39+'TE CVA'!$U$39)*1</f>
        <v>4.8418157253049916</v>
      </c>
      <c r="T39" s="43">
        <f>('TE BE'!$V$39+'TE BF'!$V$39+'TE CVA'!$V$39)*1</f>
        <v>0</v>
      </c>
      <c r="U39" s="43">
        <f>('TE BE'!$X$39+'TE BF'!$X$39+'TE CVA'!$X$39)*1</f>
        <v>0</v>
      </c>
      <c r="V39" s="43">
        <f>('TE BE'!$Z$39+'TE BF'!$Z$39+'TE CVA'!$Z$39)*1</f>
        <v>1.3694635133124107</v>
      </c>
      <c r="X39" s="43">
        <v>3.1323522717127799</v>
      </c>
      <c r="Y39" s="43">
        <v>33.954901670345102</v>
      </c>
      <c r="Z39" s="43">
        <v>0</v>
      </c>
      <c r="AA39" s="43">
        <v>0</v>
      </c>
      <c r="AB39" s="43">
        <v>0</v>
      </c>
      <c r="AC39" s="43">
        <v>442.329136826808</v>
      </c>
      <c r="AD39" s="43">
        <v>4.9953888867404102</v>
      </c>
      <c r="AE39" s="43">
        <v>5.6902423038738101</v>
      </c>
      <c r="AF39" s="43">
        <v>0</v>
      </c>
      <c r="AG39" s="43">
        <v>-0.123770366162095</v>
      </c>
      <c r="AH39" s="43">
        <v>1.5739993788192801</v>
      </c>
    </row>
    <row r="40" spans="1:34" ht="11.25" customHeight="1" x14ac:dyDescent="0.25">
      <c r="A40" s="127"/>
      <c r="B40" s="127"/>
      <c r="C40" s="127"/>
      <c r="D40" s="127"/>
      <c r="E40" s="127"/>
      <c r="F40" s="127"/>
      <c r="G40" s="45" t="s">
        <v>128</v>
      </c>
      <c r="H40" s="45" t="s">
        <v>117</v>
      </c>
      <c r="I40" s="45">
        <f>'MERCADO TE'!$U$37</f>
        <v>31.273999999999997</v>
      </c>
      <c r="J40" s="16"/>
      <c r="L40" s="43">
        <f>('TE BE'!$L$40+'TE BF'!$L$40+'TE CVA'!$L$40)*1</f>
        <v>3.2107886365799283</v>
      </c>
      <c r="M40" s="43">
        <f>('TE BE'!$M$40+'TE BF'!$M$40+'TE CVA'!$M$40)*1</f>
        <v>24.135975487292423</v>
      </c>
      <c r="N40" s="43">
        <f>('TE BE'!$N$40+'TE BF'!$N$40+'TE CVA'!$N$40)*1</f>
        <v>0</v>
      </c>
      <c r="O40" s="43">
        <f>('TE BE'!$O$40+'TE BF'!$O$40+'TE CVA'!$O$40)*1</f>
        <v>16.665288104244027</v>
      </c>
      <c r="P40" s="43">
        <f>('TE BE'!$P$40+'TE BF'!$P$40+'TE CVA'!$P$40)*1</f>
        <v>-17.446033945604587</v>
      </c>
      <c r="Q40" s="43">
        <f>('TE BE'!$R$40+'TE BF'!$R$40+'TE CVA'!$R$40)*1</f>
        <v>273.36230672619951</v>
      </c>
      <c r="R40" s="43">
        <f>('TE BE'!$T$40+'TE BF'!$T$40+'TE CVA'!$T$40)*1</f>
        <v>7.0894682219589384</v>
      </c>
      <c r="S40" s="43">
        <f>('TE BE'!$U$40+'TE BF'!$U$40+'TE CVA'!$U$40)*1</f>
        <v>4.8418157253049916</v>
      </c>
      <c r="T40" s="43">
        <f>('TE BE'!$V$40+'TE BF'!$V$40+'TE CVA'!$V$40)*1</f>
        <v>0</v>
      </c>
      <c r="U40" s="43">
        <f>('TE BE'!$X$40+'TE BF'!$X$40+'TE CVA'!$X$40)*1</f>
        <v>0</v>
      </c>
      <c r="V40" s="43">
        <f>('TE BE'!$Z$40+'TE BF'!$Z$40+'TE CVA'!$Z$40)*1</f>
        <v>1.3694635133124107</v>
      </c>
      <c r="X40" s="43">
        <v>3.1323522717127799</v>
      </c>
      <c r="Y40" s="43">
        <v>33.954901670345102</v>
      </c>
      <c r="Z40" s="43">
        <v>0</v>
      </c>
      <c r="AA40" s="43">
        <v>0</v>
      </c>
      <c r="AB40" s="43">
        <v>0</v>
      </c>
      <c r="AC40" s="43">
        <v>257.16810280628403</v>
      </c>
      <c r="AD40" s="43">
        <v>4.9953888867404102</v>
      </c>
      <c r="AE40" s="43">
        <v>5.6902423038738101</v>
      </c>
      <c r="AF40" s="43">
        <v>0</v>
      </c>
      <c r="AG40" s="43">
        <v>-7.5428249838895803E-2</v>
      </c>
      <c r="AH40" s="43">
        <v>1.5739993788192801</v>
      </c>
    </row>
    <row r="41" spans="1:34" ht="11.25" customHeight="1" x14ac:dyDescent="0.25">
      <c r="A41" s="127"/>
      <c r="B41" s="127"/>
      <c r="C41" s="127"/>
      <c r="D41" s="127"/>
      <c r="E41" s="127"/>
      <c r="F41" s="127"/>
      <c r="G41" s="45" t="s">
        <v>119</v>
      </c>
      <c r="H41" s="45" t="s">
        <v>117</v>
      </c>
      <c r="I41" s="45">
        <f>'MERCADO TE'!$U$38</f>
        <v>381.83600000000001</v>
      </c>
      <c r="J41" s="16"/>
      <c r="L41" s="43">
        <f>('TE BE'!$L$41+'TE BF'!$L$41+'TE CVA'!$L$41)*1</f>
        <v>3.2107886365799283</v>
      </c>
      <c r="M41" s="43">
        <f>('TE BE'!$M$41+'TE BF'!$M$41+'TE CVA'!$M$41)*1</f>
        <v>24.135975487292423</v>
      </c>
      <c r="N41" s="43">
        <f>('TE BE'!$N$41+'TE BF'!$N$41+'TE CVA'!$N$41)*1</f>
        <v>0</v>
      </c>
      <c r="O41" s="43">
        <f>('TE BE'!$O$41+'TE BF'!$O$41+'TE CVA'!$O$41)*1</f>
        <v>16.665288104244027</v>
      </c>
      <c r="P41" s="43">
        <f>('TE BE'!$P$41+'TE BF'!$P$41+'TE CVA'!$P$41)*1</f>
        <v>-17.446033945604587</v>
      </c>
      <c r="Q41" s="43">
        <f>('TE BE'!$R$41+'TE BF'!$R$41+'TE CVA'!$R$41)*1</f>
        <v>273.36230672619951</v>
      </c>
      <c r="R41" s="43">
        <f>('TE BE'!$T$41+'TE BF'!$T$41+'TE CVA'!$T$41)*1</f>
        <v>7.0894682219589384</v>
      </c>
      <c r="S41" s="43">
        <f>('TE BE'!$U$41+'TE BF'!$U$41+'TE CVA'!$U$41)*1</f>
        <v>4.8418157253049916</v>
      </c>
      <c r="T41" s="43">
        <f>('TE BE'!$V$41+'TE BF'!$V$41+'TE CVA'!$V$41)*1</f>
        <v>0</v>
      </c>
      <c r="U41" s="43">
        <f>('TE BE'!$X$41+'TE BF'!$X$41+'TE CVA'!$X$41)*1</f>
        <v>0</v>
      </c>
      <c r="V41" s="43">
        <f>('TE BE'!$Z$41+'TE BF'!$Z$41+'TE CVA'!$Z$41)*1</f>
        <v>1.3694635133124107</v>
      </c>
      <c r="X41" s="43">
        <v>3.1323522717127799</v>
      </c>
      <c r="Y41" s="43">
        <v>33.954901670345102</v>
      </c>
      <c r="Z41" s="43">
        <v>0</v>
      </c>
      <c r="AA41" s="43">
        <v>0</v>
      </c>
      <c r="AB41" s="43">
        <v>0</v>
      </c>
      <c r="AC41" s="43">
        <v>257.16810280628403</v>
      </c>
      <c r="AD41" s="43">
        <v>4.9953888867404102</v>
      </c>
      <c r="AE41" s="43">
        <v>5.6902423038738101</v>
      </c>
      <c r="AF41" s="43">
        <v>0</v>
      </c>
      <c r="AG41" s="43">
        <v>-7.5428249838895803E-2</v>
      </c>
      <c r="AH41" s="43">
        <v>1.5739993788192801</v>
      </c>
    </row>
    <row r="42" spans="1:34" ht="11.25" customHeight="1" x14ac:dyDescent="0.25">
      <c r="A42" s="127"/>
      <c r="B42" s="81" t="s">
        <v>129</v>
      </c>
      <c r="C42" s="81" t="s">
        <v>25</v>
      </c>
      <c r="D42" s="81" t="s">
        <v>25</v>
      </c>
      <c r="E42" s="81" t="s">
        <v>25</v>
      </c>
      <c r="F42" s="81" t="s">
        <v>25</v>
      </c>
      <c r="G42" s="45" t="s">
        <v>123</v>
      </c>
      <c r="H42" s="45" t="s">
        <v>117</v>
      </c>
      <c r="I42" s="45">
        <f>'MERCADO TE'!$U$39</f>
        <v>226492.11000000002</v>
      </c>
      <c r="J42" s="16"/>
      <c r="L42" s="43">
        <f>('TE BE'!$L$42+'TE BF'!$L$42+'TE CVA'!$L$42)*1</f>
        <v>3.2107886365799283</v>
      </c>
      <c r="M42" s="43">
        <f>('TE BE'!$M$42+'TE BF'!$M$42+'TE CVA'!$M$42)*1</f>
        <v>24.135975487292423</v>
      </c>
      <c r="N42" s="43">
        <f>('TE BE'!$N$42+'TE BF'!$N$42+'TE CVA'!$N$42)*1</f>
        <v>0</v>
      </c>
      <c r="O42" s="43">
        <f>('TE BE'!$O$42+'TE BF'!$O$42+'TE CVA'!$O$42)*1</f>
        <v>16.665288104244027</v>
      </c>
      <c r="P42" s="43">
        <f>('TE BE'!$P$42+'TE BF'!$P$42+'TE CVA'!$P$42)*1</f>
        <v>-17.446033945604587</v>
      </c>
      <c r="Q42" s="43">
        <f>('TE BE'!$R$42+'TE BF'!$R$42+'TE CVA'!$R$42)*1</f>
        <v>289.76404512977149</v>
      </c>
      <c r="R42" s="43">
        <f>('TE BE'!$T$42+'TE BF'!$T$42+'TE CVA'!$T$42)*1</f>
        <v>7.0894682219589384</v>
      </c>
      <c r="S42" s="43">
        <f>('TE BE'!$U$42+'TE BF'!$U$42+'TE CVA'!$U$42)*1</f>
        <v>4.8418157253049916</v>
      </c>
      <c r="T42" s="43">
        <f>('TE BE'!$V$42+'TE BF'!$V$42+'TE CVA'!$V$42)*1</f>
        <v>0</v>
      </c>
      <c r="U42" s="43">
        <f>('TE BE'!$X$42+'TE BF'!$X$42+'TE CVA'!$X$42)*1</f>
        <v>0</v>
      </c>
      <c r="V42" s="43">
        <f>('TE BE'!$Z$42+'TE BF'!$Z$42+'TE CVA'!$Z$42)*1</f>
        <v>1.3694635133124107</v>
      </c>
      <c r="X42" s="43">
        <v>3.1323522717127799</v>
      </c>
      <c r="Y42" s="43">
        <v>33.954901670345102</v>
      </c>
      <c r="Z42" s="43">
        <v>0</v>
      </c>
      <c r="AA42" s="43">
        <v>0</v>
      </c>
      <c r="AB42" s="43">
        <v>0</v>
      </c>
      <c r="AC42" s="43">
        <v>272.59818897466101</v>
      </c>
      <c r="AD42" s="43">
        <v>4.9953888867404102</v>
      </c>
      <c r="AE42" s="43">
        <v>5.6902423038738101</v>
      </c>
      <c r="AF42" s="43">
        <v>0</v>
      </c>
      <c r="AG42" s="43">
        <v>-7.9456759532495702E-2</v>
      </c>
      <c r="AH42" s="43">
        <v>1.5739993788192801</v>
      </c>
    </row>
    <row r="43" spans="1:34" ht="11.25" customHeight="1" x14ac:dyDescent="0.25">
      <c r="A43" s="127"/>
      <c r="B43" s="81" t="s">
        <v>130</v>
      </c>
      <c r="C43" s="81" t="s">
        <v>25</v>
      </c>
      <c r="D43" s="81" t="s">
        <v>25</v>
      </c>
      <c r="E43" s="81" t="s">
        <v>25</v>
      </c>
      <c r="F43" s="81" t="s">
        <v>25</v>
      </c>
      <c r="G43" s="45" t="s">
        <v>123</v>
      </c>
      <c r="H43" s="45" t="s">
        <v>117</v>
      </c>
      <c r="I43" s="45">
        <f>'MERCADO TE'!$U$40</f>
        <v>0</v>
      </c>
      <c r="J43" s="16"/>
      <c r="L43" s="43">
        <f>('TE BE'!$L$43+'TE BF'!$L$43+'TE CVA'!$L$43)*1</f>
        <v>3.2107886365799283</v>
      </c>
      <c r="M43" s="43">
        <f>('TE BE'!$M$43+'TE BF'!$M$43+'TE CVA'!$M$43)*1</f>
        <v>24.135975487292423</v>
      </c>
      <c r="N43" s="43">
        <f>('TE BE'!$N$43+'TE BF'!$N$43+'TE CVA'!$N$43)*1</f>
        <v>0</v>
      </c>
      <c r="O43" s="43">
        <f>('TE BE'!$O$43+'TE BF'!$O$43+'TE CVA'!$O$43)*1</f>
        <v>16.665288104244027</v>
      </c>
      <c r="P43" s="43">
        <f>('TE BE'!$P$43+'TE BF'!$P$43+'TE CVA'!$P$43)*1</f>
        <v>-17.446033945604587</v>
      </c>
      <c r="Q43" s="43">
        <f>('TE BE'!$R$43+'TE BF'!$R$43+'TE CVA'!$R$43)*1</f>
        <v>289.76404512977149</v>
      </c>
      <c r="R43" s="43">
        <f>('TE BE'!$T$43+'TE BF'!$T$43+'TE CVA'!$T$43)*1</f>
        <v>7.0894682219589384</v>
      </c>
      <c r="S43" s="43">
        <f>('TE BE'!$U$43+'TE BF'!$U$43+'TE CVA'!$U$43)*1</f>
        <v>4.8418157253049916</v>
      </c>
      <c r="T43" s="43">
        <f>('TE BE'!$V$43+'TE BF'!$V$43+'TE CVA'!$V$43)*1</f>
        <v>0</v>
      </c>
      <c r="U43" s="43">
        <f>('TE BE'!$X$43+'TE BF'!$X$43+'TE CVA'!$X$43)*1</f>
        <v>0</v>
      </c>
      <c r="V43" s="43">
        <f>('TE BE'!$Z$43+'TE BF'!$Z$43+'TE CVA'!$Z$43)*1</f>
        <v>1.3694635133124107</v>
      </c>
      <c r="X43" s="43">
        <v>3.1323522717127799</v>
      </c>
      <c r="Y43" s="43">
        <v>33.954901670345102</v>
      </c>
      <c r="Z43" s="43">
        <v>0</v>
      </c>
      <c r="AA43" s="43">
        <v>0</v>
      </c>
      <c r="AB43" s="43">
        <v>0</v>
      </c>
      <c r="AC43" s="43">
        <v>272.59818897466101</v>
      </c>
      <c r="AD43" s="43">
        <v>4.9953888867404102</v>
      </c>
      <c r="AE43" s="43">
        <v>5.6902423038738101</v>
      </c>
      <c r="AF43" s="43">
        <v>0</v>
      </c>
      <c r="AG43" s="43">
        <v>-7.9456759532495702E-2</v>
      </c>
      <c r="AH43" s="43">
        <v>1.5739993788192801</v>
      </c>
    </row>
    <row r="44" spans="1:34" ht="11.25" customHeight="1" x14ac:dyDescent="0.25">
      <c r="A44" s="127" t="s">
        <v>47</v>
      </c>
      <c r="B44" s="127" t="s">
        <v>129</v>
      </c>
      <c r="C44" s="127" t="s">
        <v>48</v>
      </c>
      <c r="D44" s="81" t="s">
        <v>49</v>
      </c>
      <c r="E44" s="81" t="s">
        <v>25</v>
      </c>
      <c r="F44" s="81" t="s">
        <v>25</v>
      </c>
      <c r="G44" s="45" t="s">
        <v>123</v>
      </c>
      <c r="H44" s="45" t="s">
        <v>117</v>
      </c>
      <c r="I44" s="45">
        <f>'MERCADO TE'!$U$41</f>
        <v>81306.822999999989</v>
      </c>
      <c r="J44" s="16"/>
      <c r="L44" s="43">
        <f>('TE BE'!$L$44+'TE BF'!$L$44+'TE CVA'!$L$44)*1</f>
        <v>1.7659337501189607</v>
      </c>
      <c r="M44" s="43">
        <f>('TE BE'!$M$44+'TE BF'!$M$44+'TE CVA'!$M$44)*1</f>
        <v>13.274786518010835</v>
      </c>
      <c r="N44" s="43">
        <f>('TE BE'!$N$44+'TE BF'!$N$44+'TE CVA'!$N$44)*1</f>
        <v>0</v>
      </c>
      <c r="O44" s="43">
        <f>('TE BE'!$O$44+'TE BF'!$O$44+'TE CVA'!$O$44)*1</f>
        <v>9.1659084573342167</v>
      </c>
      <c r="P44" s="43">
        <f>('TE BE'!$P$44+'TE BF'!$P$44+'TE CVA'!$P$44)*1</f>
        <v>-9.5953186700825235</v>
      </c>
      <c r="Q44" s="43">
        <f>('TE BE'!$R$44+'TE BF'!$R$44+'TE CVA'!$R$44)*1</f>
        <v>159.37022482137436</v>
      </c>
      <c r="R44" s="43">
        <f>('TE BE'!$T$44+'TE BF'!$T$44+'TE CVA'!$T$44)*1</f>
        <v>3.8992075220774174</v>
      </c>
      <c r="S44" s="43">
        <f>('TE BE'!$U$44+'TE BF'!$U$44+'TE CVA'!$U$44)*1</f>
        <v>2.6629986489177453</v>
      </c>
      <c r="T44" s="43">
        <f>('TE BE'!$V$44+'TE BF'!$V$44+'TE CVA'!$V$44)*1</f>
        <v>0</v>
      </c>
      <c r="U44" s="43">
        <f>('TE BE'!$X$44+'TE BF'!$X$44+'TE CVA'!$X$44)*1</f>
        <v>0</v>
      </c>
      <c r="V44" s="43">
        <f>('TE BE'!$Z$44+'TE BF'!$Z$44+'TE CVA'!$Z$44)*1</f>
        <v>0.75320493232182595</v>
      </c>
      <c r="X44" s="43">
        <v>1.72279374944203</v>
      </c>
      <c r="Y44" s="43">
        <v>18.675195918689798</v>
      </c>
      <c r="Z44" s="43">
        <v>0</v>
      </c>
      <c r="AA44" s="43">
        <v>0</v>
      </c>
      <c r="AB44" s="43">
        <v>0</v>
      </c>
      <c r="AC44" s="43">
        <v>149.929003936063</v>
      </c>
      <c r="AD44" s="43">
        <v>2.7474638877072302</v>
      </c>
      <c r="AE44" s="43">
        <v>3.1296332671306</v>
      </c>
      <c r="AF44" s="43">
        <v>0</v>
      </c>
      <c r="AG44" s="43">
        <v>-4.3701217742872597E-2</v>
      </c>
      <c r="AH44" s="43">
        <v>0.86569965835060303</v>
      </c>
    </row>
    <row r="45" spans="1:34" ht="11.25" customHeight="1" x14ac:dyDescent="0.25">
      <c r="A45" s="127"/>
      <c r="B45" s="127"/>
      <c r="C45" s="127"/>
      <c r="D45" s="45" t="s">
        <v>50</v>
      </c>
      <c r="E45" s="45" t="s">
        <v>25</v>
      </c>
      <c r="F45" s="45" t="s">
        <v>25</v>
      </c>
      <c r="G45" s="45" t="s">
        <v>123</v>
      </c>
      <c r="H45" s="45" t="s">
        <v>117</v>
      </c>
      <c r="I45" s="45">
        <f>'MERCADO TE'!$U$42</f>
        <v>1579.0179999999998</v>
      </c>
      <c r="J45" s="16"/>
      <c r="L45" s="43">
        <f>('TE BE'!$L$45+'TE BF'!$L$45+'TE CVA'!$L$45)*1</f>
        <v>1.926473181947957</v>
      </c>
      <c r="M45" s="43">
        <f>('TE BE'!$M$45+'TE BF'!$M$45+'TE CVA'!$M$45)*1</f>
        <v>14.481585292375456</v>
      </c>
      <c r="N45" s="43">
        <f>('TE BE'!$N$45+'TE BF'!$N$45+'TE CVA'!$N$45)*1</f>
        <v>0</v>
      </c>
      <c r="O45" s="43">
        <f>('TE BE'!$O$45+'TE BF'!$O$45+'TE CVA'!$O$45)*1</f>
        <v>9.9991728625464162</v>
      </c>
      <c r="P45" s="43">
        <f>('TE BE'!$P$45+'TE BF'!$P$45+'TE CVA'!$P$45)*1</f>
        <v>-10.467620367362752</v>
      </c>
      <c r="Q45" s="43">
        <f>('TE BE'!$R$45+'TE BF'!$R$45+'TE CVA'!$R$45)*1</f>
        <v>173.85842707786287</v>
      </c>
      <c r="R45" s="43">
        <f>('TE BE'!$T$45+'TE BF'!$T$45+'TE CVA'!$T$45)*1</f>
        <v>4.2536809331753629</v>
      </c>
      <c r="S45" s="43">
        <f>('TE BE'!$U$45+'TE BF'!$U$45+'TE CVA'!$U$45)*1</f>
        <v>2.9050894351829939</v>
      </c>
      <c r="T45" s="43">
        <f>('TE BE'!$V$45+'TE BF'!$V$45+'TE CVA'!$V$45)*1</f>
        <v>0</v>
      </c>
      <c r="U45" s="43">
        <f>('TE BE'!$X$45+'TE BF'!$X$45+'TE CVA'!$X$45)*1</f>
        <v>0</v>
      </c>
      <c r="V45" s="43">
        <f>('TE BE'!$Z$45+'TE BF'!$Z$45+'TE CVA'!$Z$45)*1</f>
        <v>0.82167810798744645</v>
      </c>
      <c r="X45" s="43">
        <v>1.8794113630276701</v>
      </c>
      <c r="Y45" s="43">
        <v>20.372941002207099</v>
      </c>
      <c r="Z45" s="43">
        <v>0</v>
      </c>
      <c r="AA45" s="43">
        <v>0</v>
      </c>
      <c r="AB45" s="43">
        <v>0</v>
      </c>
      <c r="AC45" s="43">
        <v>163.558913384796</v>
      </c>
      <c r="AD45" s="43">
        <v>2.9972333320442499</v>
      </c>
      <c r="AE45" s="43">
        <v>3.41414538232429</v>
      </c>
      <c r="AF45" s="43">
        <v>0</v>
      </c>
      <c r="AG45" s="43">
        <v>-4.7674055719497399E-2</v>
      </c>
      <c r="AH45" s="43">
        <v>0.94439962729156701</v>
      </c>
    </row>
    <row r="47" spans="1:34" ht="11.25" customHeight="1" x14ac:dyDescent="0.25">
      <c r="L47" s="124" t="s">
        <v>1449</v>
      </c>
      <c r="M47" s="124"/>
      <c r="N47" s="124"/>
      <c r="O47" s="124"/>
      <c r="P47" s="124"/>
      <c r="Q47" s="124"/>
      <c r="R47" s="124"/>
      <c r="S47" s="124"/>
      <c r="T47" s="124"/>
      <c r="U47" s="124"/>
      <c r="V47" s="124"/>
      <c r="X47" s="124" t="s">
        <v>1450</v>
      </c>
      <c r="Y47" s="124"/>
      <c r="Z47" s="124"/>
      <c r="AA47" s="124"/>
      <c r="AB47" s="124"/>
      <c r="AC47" s="124"/>
      <c r="AD47" s="124"/>
      <c r="AE47" s="124"/>
      <c r="AF47" s="124"/>
      <c r="AG47" s="124"/>
      <c r="AH47" s="124"/>
    </row>
    <row r="48" spans="1:34" ht="11.25" customHeight="1" x14ac:dyDescent="0.25">
      <c r="L48" s="124" t="s">
        <v>979</v>
      </c>
      <c r="M48" s="124"/>
      <c r="N48" s="124"/>
      <c r="O48" s="124"/>
      <c r="P48" s="124"/>
      <c r="Q48" s="124"/>
      <c r="R48" s="124"/>
      <c r="S48" s="124"/>
      <c r="T48" s="124"/>
      <c r="U48" s="124"/>
      <c r="V48" s="124"/>
      <c r="X48" s="124" t="s">
        <v>979</v>
      </c>
      <c r="Y48" s="124"/>
      <c r="Z48" s="124"/>
      <c r="AA48" s="124"/>
      <c r="AB48" s="124"/>
      <c r="AC48" s="124"/>
      <c r="AD48" s="124"/>
      <c r="AE48" s="124"/>
      <c r="AF48" s="124"/>
      <c r="AG48" s="124"/>
      <c r="AH48" s="124"/>
    </row>
    <row r="49" spans="1:34" ht="11.25" customHeight="1" x14ac:dyDescent="0.25">
      <c r="L49" s="124" t="s">
        <v>952</v>
      </c>
      <c r="M49" s="124"/>
      <c r="N49" s="124"/>
      <c r="O49" s="124"/>
      <c r="P49" s="124"/>
      <c r="Q49" s="82" t="s">
        <v>982</v>
      </c>
      <c r="R49" s="124" t="s">
        <v>961</v>
      </c>
      <c r="S49" s="124"/>
      <c r="T49" s="124"/>
      <c r="U49" s="82" t="s">
        <v>971</v>
      </c>
      <c r="V49" s="82" t="s">
        <v>974</v>
      </c>
      <c r="X49" s="124" t="s">
        <v>952</v>
      </c>
      <c r="Y49" s="124"/>
      <c r="Z49" s="124"/>
      <c r="AA49" s="124"/>
      <c r="AB49" s="124"/>
      <c r="AC49" s="82" t="s">
        <v>982</v>
      </c>
      <c r="AD49" s="124" t="s">
        <v>961</v>
      </c>
      <c r="AE49" s="124"/>
      <c r="AF49" s="124"/>
      <c r="AG49" s="82" t="s">
        <v>971</v>
      </c>
      <c r="AH49" s="82" t="s">
        <v>974</v>
      </c>
    </row>
    <row r="50" spans="1:34" ht="11.25" customHeight="1" x14ac:dyDescent="0.25">
      <c r="L50" s="82" t="s">
        <v>954</v>
      </c>
      <c r="M50" s="82" t="s">
        <v>980</v>
      </c>
      <c r="N50" s="82" t="s">
        <v>981</v>
      </c>
      <c r="O50" s="82" t="s">
        <v>1039</v>
      </c>
      <c r="P50" s="82" t="s">
        <v>1613</v>
      </c>
      <c r="Q50" s="82" t="s">
        <v>983</v>
      </c>
      <c r="R50" s="82" t="s">
        <v>984</v>
      </c>
      <c r="S50" s="82" t="s">
        <v>985</v>
      </c>
      <c r="T50" s="82" t="s">
        <v>986</v>
      </c>
      <c r="U50" s="82" t="s">
        <v>972</v>
      </c>
      <c r="V50" s="82" t="s">
        <v>987</v>
      </c>
      <c r="X50" s="82" t="s">
        <v>954</v>
      </c>
      <c r="Y50" s="82" t="s">
        <v>980</v>
      </c>
      <c r="Z50" s="82" t="s">
        <v>981</v>
      </c>
      <c r="AA50" s="82" t="s">
        <v>1039</v>
      </c>
      <c r="AB50" s="82" t="s">
        <v>1613</v>
      </c>
      <c r="AC50" s="82" t="s">
        <v>983</v>
      </c>
      <c r="AD50" s="82" t="s">
        <v>984</v>
      </c>
      <c r="AE50" s="82" t="s">
        <v>985</v>
      </c>
      <c r="AF50" s="82" t="s">
        <v>986</v>
      </c>
      <c r="AG50" s="82" t="s">
        <v>972</v>
      </c>
      <c r="AH50" s="82" t="s">
        <v>987</v>
      </c>
    </row>
    <row r="51" spans="1:34" ht="11.25" customHeight="1" x14ac:dyDescent="0.25">
      <c r="A51" s="9" t="s">
        <v>59</v>
      </c>
      <c r="B51" s="9" t="s">
        <v>1451</v>
      </c>
      <c r="C51" s="9" t="s">
        <v>1452</v>
      </c>
      <c r="D51" s="9" t="s">
        <v>1453</v>
      </c>
      <c r="E51" s="9" t="s">
        <v>1454</v>
      </c>
      <c r="F51" s="9" t="s">
        <v>1455</v>
      </c>
      <c r="G51" s="9" t="s">
        <v>1456</v>
      </c>
      <c r="L51" s="43">
        <f>$I$5*$L$5</f>
        <v>0</v>
      </c>
      <c r="M51" s="43">
        <f>$I$5*$M$5</f>
        <v>0</v>
      </c>
      <c r="N51" s="43">
        <f>$I$5*$N$5</f>
        <v>0</v>
      </c>
      <c r="O51" s="43">
        <f>$I$5*$O$5</f>
        <v>0</v>
      </c>
      <c r="P51" s="43">
        <f>$I$5*$P$5</f>
        <v>0</v>
      </c>
      <c r="Q51" s="43">
        <f>$I$5*$Q$5</f>
        <v>0</v>
      </c>
      <c r="R51" s="43">
        <f>$I$5*$R$5</f>
        <v>0</v>
      </c>
      <c r="S51" s="43">
        <f>$I$5*$S$5</f>
        <v>0</v>
      </c>
      <c r="T51" s="43">
        <f>$I$5*$T$5</f>
        <v>0</v>
      </c>
      <c r="U51" s="43">
        <f>$I$5*$U$5</f>
        <v>0</v>
      </c>
      <c r="V51" s="43">
        <f>$I$5*$V$5</f>
        <v>0</v>
      </c>
      <c r="X51" s="43">
        <f>$I$5*$X$5</f>
        <v>0</v>
      </c>
      <c r="Y51" s="43">
        <f>$I$5*$Y$5</f>
        <v>0</v>
      </c>
      <c r="Z51" s="43">
        <f>$I$5*$Z$5</f>
        <v>0</v>
      </c>
      <c r="AA51" s="43">
        <f>$I$5*$AA$5</f>
        <v>0</v>
      </c>
      <c r="AB51" s="43">
        <f>$I$5*$AB$5</f>
        <v>0</v>
      </c>
      <c r="AC51" s="43">
        <f>$I$5*$AC$5</f>
        <v>0</v>
      </c>
      <c r="AD51" s="43">
        <f>$I$5*$AD$5</f>
        <v>0</v>
      </c>
      <c r="AE51" s="43">
        <f>$I$5*$AE$5</f>
        <v>0</v>
      </c>
      <c r="AF51" s="43">
        <f>$I$5*$AF$5</f>
        <v>0</v>
      </c>
      <c r="AG51" s="43">
        <f>$I$5*$AG$5</f>
        <v>0</v>
      </c>
      <c r="AH51" s="43">
        <f>$I$5*$AH$5</f>
        <v>0</v>
      </c>
    </row>
    <row r="52" spans="1:34" ht="11.25" customHeight="1" x14ac:dyDescent="0.25">
      <c r="A52" s="9" t="s">
        <v>59</v>
      </c>
      <c r="B52" s="9" t="s">
        <v>1451</v>
      </c>
      <c r="C52" s="9" t="s">
        <v>1452</v>
      </c>
      <c r="D52" s="9" t="s">
        <v>1453</v>
      </c>
      <c r="E52" s="9" t="s">
        <v>1454</v>
      </c>
      <c r="F52" s="9" t="s">
        <v>1455</v>
      </c>
      <c r="G52" s="9" t="s">
        <v>1457</v>
      </c>
      <c r="L52" s="43">
        <f>$I$6*$L$6</f>
        <v>0</v>
      </c>
      <c r="M52" s="43">
        <f>$I$6*$M$6</f>
        <v>0</v>
      </c>
      <c r="N52" s="43">
        <f>$I$6*$N$6</f>
        <v>0</v>
      </c>
      <c r="O52" s="43">
        <f>$I$6*$O$6</f>
        <v>0</v>
      </c>
      <c r="P52" s="43">
        <f>$I$6*$P$6</f>
        <v>0</v>
      </c>
      <c r="Q52" s="43">
        <f>$I$6*$Q$6</f>
        <v>0</v>
      </c>
      <c r="R52" s="43">
        <f>$I$6*$R$6</f>
        <v>0</v>
      </c>
      <c r="S52" s="43">
        <f>$I$6*$S$6</f>
        <v>0</v>
      </c>
      <c r="T52" s="43">
        <f>$I$6*$T$6</f>
        <v>0</v>
      </c>
      <c r="U52" s="43">
        <f>$I$6*$U$6</f>
        <v>0</v>
      </c>
      <c r="V52" s="43">
        <f>$I$6*$V$6</f>
        <v>0</v>
      </c>
      <c r="X52" s="43">
        <f>$I$6*$X$6</f>
        <v>0</v>
      </c>
      <c r="Y52" s="43">
        <f>$I$6*$Y$6</f>
        <v>0</v>
      </c>
      <c r="Z52" s="43">
        <f>$I$6*$Z$6</f>
        <v>0</v>
      </c>
      <c r="AA52" s="43">
        <f>$I$6*$AA$6</f>
        <v>0</v>
      </c>
      <c r="AB52" s="43">
        <f>$I$6*$AB$6</f>
        <v>0</v>
      </c>
      <c r="AC52" s="43">
        <f>$I$6*$AC$6</f>
        <v>0</v>
      </c>
      <c r="AD52" s="43">
        <f>$I$6*$AD$6</f>
        <v>0</v>
      </c>
      <c r="AE52" s="43">
        <f>$I$6*$AE$6</f>
        <v>0</v>
      </c>
      <c r="AF52" s="43">
        <f>$I$6*$AF$6</f>
        <v>0</v>
      </c>
      <c r="AG52" s="43">
        <f>$I$6*$AG$6</f>
        <v>0</v>
      </c>
      <c r="AH52" s="43">
        <f>$I$6*$AH$6</f>
        <v>0</v>
      </c>
    </row>
    <row r="53" spans="1:34" ht="11.25" customHeight="1" x14ac:dyDescent="0.25">
      <c r="A53" s="9" t="s">
        <v>39</v>
      </c>
      <c r="B53" s="9" t="s">
        <v>1458</v>
      </c>
      <c r="C53" s="9" t="s">
        <v>1459</v>
      </c>
      <c r="D53" s="9" t="s">
        <v>1460</v>
      </c>
      <c r="E53" s="9" t="s">
        <v>1461</v>
      </c>
      <c r="F53" s="9" t="s">
        <v>1462</v>
      </c>
      <c r="G53" s="9" t="s">
        <v>1463</v>
      </c>
      <c r="L53" s="43">
        <f>$I$7*$L$7</f>
        <v>561.16237316962042</v>
      </c>
      <c r="M53" s="43">
        <f>$I$7*$M$7</f>
        <v>4218.3409798160465</v>
      </c>
      <c r="N53" s="43">
        <f>$I$7*$N$7</f>
        <v>0</v>
      </c>
      <c r="O53" s="43">
        <f>$I$7*$O$7</f>
        <v>2912.6590631311456</v>
      </c>
      <c r="P53" s="43">
        <f>$I$7*$P$7</f>
        <v>-3049.113136809096</v>
      </c>
      <c r="Q53" s="43">
        <f>$I$7*$Q$7</f>
        <v>82175.79292871544</v>
      </c>
      <c r="R53" s="43">
        <f>$I$7*$R$7</f>
        <v>1239.0547190246516</v>
      </c>
      <c r="S53" s="43">
        <f>$I$7*$S$7</f>
        <v>846.22350157445464</v>
      </c>
      <c r="T53" s="43">
        <f>$I$7*$T$7</f>
        <v>0</v>
      </c>
      <c r="U53" s="43">
        <f>$I$7*$U$7</f>
        <v>0</v>
      </c>
      <c r="V53" s="43">
        <f>$I$7*$V$7</f>
        <v>239.34661607566326</v>
      </c>
      <c r="X53" s="43">
        <f>$I$7*$X$7</f>
        <v>547.45373593632939</v>
      </c>
      <c r="Y53" s="43">
        <f>$I$7*$Y$7</f>
        <v>5934.433984532895</v>
      </c>
      <c r="Z53" s="43">
        <f>$I$7*$Z$7</f>
        <v>0</v>
      </c>
      <c r="AA53" s="43">
        <f>$I$7*$AA$7</f>
        <v>0</v>
      </c>
      <c r="AB53" s="43">
        <f>$I$7*$AB$7</f>
        <v>0</v>
      </c>
      <c r="AC53" s="43">
        <f>$I$7*$AC$7</f>
        <v>77307.632559768535</v>
      </c>
      <c r="AD53" s="43">
        <f>$I$7*$AD$7</f>
        <v>873.06409729116842</v>
      </c>
      <c r="AE53" s="43">
        <f>$I$7*$AE$7</f>
        <v>994.50640841724135</v>
      </c>
      <c r="AF53" s="43">
        <f>$I$7*$AF$7</f>
        <v>0</v>
      </c>
      <c r="AG53" s="43">
        <f>$I$7*$AG$7</f>
        <v>-21.631841975613991</v>
      </c>
      <c r="AH53" s="43">
        <f>$I$7*$AH$7</f>
        <v>275.09416743376084</v>
      </c>
    </row>
    <row r="54" spans="1:34" ht="11.25" customHeight="1" x14ac:dyDescent="0.25">
      <c r="A54" s="9" t="s">
        <v>39</v>
      </c>
      <c r="B54" s="9" t="s">
        <v>1458</v>
      </c>
      <c r="C54" s="9" t="s">
        <v>1459</v>
      </c>
      <c r="D54" s="9" t="s">
        <v>1460</v>
      </c>
      <c r="E54" s="9" t="s">
        <v>1461</v>
      </c>
      <c r="F54" s="9" t="s">
        <v>1462</v>
      </c>
      <c r="G54" s="9" t="s">
        <v>1464</v>
      </c>
      <c r="L54" s="43">
        <f>$I$8*$L$8</f>
        <v>5658.5205105220903</v>
      </c>
      <c r="M54" s="43">
        <f>$I$8*$M$8</f>
        <v>42535.93985612785</v>
      </c>
      <c r="N54" s="43">
        <f>$I$8*$N$8</f>
        <v>0</v>
      </c>
      <c r="O54" s="43">
        <f>$I$8*$O$8</f>
        <v>29370.003829362046</v>
      </c>
      <c r="P54" s="43">
        <f>$I$8*$P$8</f>
        <v>-30745.948139900462</v>
      </c>
      <c r="Q54" s="43">
        <f>$I$8*$Q$8</f>
        <v>481758.9678096908</v>
      </c>
      <c r="R54" s="43">
        <f>$I$8*$R$8</f>
        <v>12494.095963096448</v>
      </c>
      <c r="S54" s="43">
        <f>$I$8*$S$8</f>
        <v>8532.9545762283506</v>
      </c>
      <c r="T54" s="43">
        <f>$I$8*$T$8</f>
        <v>0</v>
      </c>
      <c r="U54" s="43">
        <f>$I$8*$U$8</f>
        <v>0</v>
      </c>
      <c r="V54" s="43">
        <f>$I$8*$V$8</f>
        <v>2413.4685448320738</v>
      </c>
      <c r="X54" s="43">
        <f>$I$8*$X$8</f>
        <v>5520.2884966439306</v>
      </c>
      <c r="Y54" s="43">
        <f>$I$8*$Y$8</f>
        <v>59840.285139126012</v>
      </c>
      <c r="Z54" s="43">
        <f>$I$8*$Z$8</f>
        <v>0</v>
      </c>
      <c r="AA54" s="43">
        <f>$I$8*$AA$8</f>
        <v>0</v>
      </c>
      <c r="AB54" s="43">
        <f>$I$8*$AB$8</f>
        <v>0</v>
      </c>
      <c r="AC54" s="43">
        <f>$I$8*$AC$8</f>
        <v>453219.17730824341</v>
      </c>
      <c r="AD54" s="43">
        <f>$I$8*$AD$8</f>
        <v>8803.6036229914152</v>
      </c>
      <c r="AE54" s="43">
        <f>$I$8*$AE$8</f>
        <v>10028.175763262794</v>
      </c>
      <c r="AF54" s="43">
        <f>$I$8*$AF$8</f>
        <v>0</v>
      </c>
      <c r="AG54" s="43">
        <f>$I$8*$AG$8</f>
        <v>-132.93067439057867</v>
      </c>
      <c r="AH54" s="43">
        <f>$I$8*$AH$8</f>
        <v>2773.931509264643</v>
      </c>
    </row>
    <row r="55" spans="1:34" ht="11.25" customHeight="1" x14ac:dyDescent="0.25">
      <c r="A55" s="9" t="s">
        <v>41</v>
      </c>
      <c r="B55" s="9" t="s">
        <v>1465</v>
      </c>
      <c r="C55" s="9" t="s">
        <v>1466</v>
      </c>
      <c r="D55" s="9" t="s">
        <v>1467</v>
      </c>
      <c r="E55" s="9" t="s">
        <v>1468</v>
      </c>
      <c r="F55" s="9" t="s">
        <v>1469</v>
      </c>
      <c r="G55" s="9" t="s">
        <v>1470</v>
      </c>
      <c r="L55" s="43">
        <f>$I$9*$L$9</f>
        <v>23464.722694737498</v>
      </c>
      <c r="M55" s="43">
        <f>$I$9*$M$9</f>
        <v>176387.80869100042</v>
      </c>
      <c r="N55" s="43">
        <f>$I$9*$N$9</f>
        <v>0</v>
      </c>
      <c r="O55" s="43">
        <f>$I$9*$O$9</f>
        <v>121791.37534588041</v>
      </c>
      <c r="P55" s="43">
        <f>$I$9*$P$9</f>
        <v>-127497.13387943158</v>
      </c>
      <c r="Q55" s="43">
        <f>$I$9*$Q$9</f>
        <v>3436139.4945302918</v>
      </c>
      <c r="R55" s="43">
        <f>$I$9*$R$9</f>
        <v>51810.450549811227</v>
      </c>
      <c r="S55" s="43">
        <f>$I$9*$S$9</f>
        <v>35384.41055849698</v>
      </c>
      <c r="T55" s="43">
        <f>$I$9*$T$9</f>
        <v>0</v>
      </c>
      <c r="U55" s="43">
        <f>$I$9*$U$9</f>
        <v>0</v>
      </c>
      <c r="V55" s="43">
        <f>$I$9*$V$9</f>
        <v>10008.158498612755</v>
      </c>
      <c r="X55" s="43">
        <f>$I$9*$X$9</f>
        <v>22891.502916324633</v>
      </c>
      <c r="Y55" s="43">
        <f>$I$9*$Y$9</f>
        <v>248145.37548332731</v>
      </c>
      <c r="Z55" s="43">
        <f>$I$9*$Z$9</f>
        <v>0</v>
      </c>
      <c r="AA55" s="43">
        <f>$I$9*$AA$9</f>
        <v>0</v>
      </c>
      <c r="AB55" s="43">
        <f>$I$9*$AB$9</f>
        <v>0</v>
      </c>
      <c r="AC55" s="43">
        <f>$I$9*$AC$9</f>
        <v>3232579.8145652167</v>
      </c>
      <c r="AD55" s="43">
        <f>$I$9*$AD$9</f>
        <v>36506.736583132064</v>
      </c>
      <c r="AE55" s="43">
        <f>$I$9*$AE$9</f>
        <v>41584.785807790242</v>
      </c>
      <c r="AF55" s="43">
        <f>$I$9*$AF$9</f>
        <v>0</v>
      </c>
      <c r="AG55" s="43">
        <f>$I$9*$AG$9</f>
        <v>-904.5246039344463</v>
      </c>
      <c r="AH55" s="43">
        <f>$I$9*$AH$9</f>
        <v>11502.924398357256</v>
      </c>
    </row>
    <row r="56" spans="1:34" ht="11.25" customHeight="1" x14ac:dyDescent="0.25">
      <c r="A56" s="9" t="s">
        <v>41</v>
      </c>
      <c r="B56" s="9" t="s">
        <v>1465</v>
      </c>
      <c r="C56" s="9" t="s">
        <v>1466</v>
      </c>
      <c r="D56" s="9" t="s">
        <v>1467</v>
      </c>
      <c r="E56" s="9" t="s">
        <v>1468</v>
      </c>
      <c r="F56" s="9" t="s">
        <v>1469</v>
      </c>
      <c r="G56" s="9" t="s">
        <v>1471</v>
      </c>
      <c r="L56" s="43">
        <f>$I$10*$L$10</f>
        <v>418030.16450728069</v>
      </c>
      <c r="M56" s="43">
        <f>$I$10*$M$10</f>
        <v>3142394.8897002959</v>
      </c>
      <c r="N56" s="43">
        <f>$I$10*$N$10</f>
        <v>0</v>
      </c>
      <c r="O56" s="43">
        <f>$I$10*$O$10</f>
        <v>2169745.167405053</v>
      </c>
      <c r="P56" s="43">
        <f>$I$10*$P$10</f>
        <v>-2271394.746198249</v>
      </c>
      <c r="Q56" s="43">
        <f>$I$10*$Q$10</f>
        <v>35590536.464762472</v>
      </c>
      <c r="R56" s="43">
        <f>$I$10*$R$10</f>
        <v>923016.71101322235</v>
      </c>
      <c r="S56" s="43">
        <f>$I$10*$S$10</f>
        <v>630382.51758581586</v>
      </c>
      <c r="T56" s="43">
        <f>$I$10*$T$10</f>
        <v>0</v>
      </c>
      <c r="U56" s="43">
        <f>$I$10*$U$10</f>
        <v>0</v>
      </c>
      <c r="V56" s="43">
        <f>$I$10*$V$10</f>
        <v>178297.95808873218</v>
      </c>
      <c r="X56" s="43">
        <f>$I$10*$X$10</f>
        <v>407818.10441238352</v>
      </c>
      <c r="Y56" s="43">
        <f>$I$10*$Y$10</f>
        <v>4420774.6873684805</v>
      </c>
      <c r="Z56" s="43">
        <f>$I$10*$Z$10</f>
        <v>0</v>
      </c>
      <c r="AA56" s="43">
        <f>$I$10*$AA$10</f>
        <v>0</v>
      </c>
      <c r="AB56" s="43">
        <f>$I$10*$AB$10</f>
        <v>0</v>
      </c>
      <c r="AC56" s="43">
        <f>$I$10*$AC$10</f>
        <v>33482124.328385394</v>
      </c>
      <c r="AD56" s="43">
        <f>$I$10*$AD$10</f>
        <v>650377.04890044453</v>
      </c>
      <c r="AE56" s="43">
        <f>$I$10*$AE$10</f>
        <v>740843.82237891434</v>
      </c>
      <c r="AF56" s="43">
        <f>$I$10*$AF$10</f>
        <v>0</v>
      </c>
      <c r="AG56" s="43">
        <f>$I$10*$AG$10</f>
        <v>-9820.4171179067125</v>
      </c>
      <c r="AH56" s="43">
        <f>$I$10*$AH$10</f>
        <v>204927.60307107863</v>
      </c>
    </row>
    <row r="57" spans="1:34" ht="11.25" customHeight="1" x14ac:dyDescent="0.25">
      <c r="A57" s="9" t="s">
        <v>22</v>
      </c>
      <c r="B57" s="9" t="s">
        <v>1472</v>
      </c>
      <c r="C57" s="9" t="s">
        <v>1473</v>
      </c>
      <c r="D57" s="9" t="s">
        <v>1474</v>
      </c>
      <c r="E57" s="9" t="s">
        <v>1475</v>
      </c>
      <c r="F57" s="9" t="s">
        <v>1476</v>
      </c>
      <c r="G57" s="9" t="s">
        <v>1477</v>
      </c>
      <c r="L57" s="43">
        <f>$I$11*$L$11</f>
        <v>55.960835146951574</v>
      </c>
      <c r="M57" s="43">
        <f>$I$11*$M$11</f>
        <v>420.66591676801971</v>
      </c>
      <c r="N57" s="43">
        <f>$I$11*$N$11</f>
        <v>0</v>
      </c>
      <c r="O57" s="43">
        <f>$I$11*$O$11</f>
        <v>290.45930636886919</v>
      </c>
      <c r="P57" s="43">
        <f>$I$11*$P$11</f>
        <v>-304.06692563794235</v>
      </c>
      <c r="Q57" s="43">
        <f>$I$11*$Q$11</f>
        <v>8194.8224275612029</v>
      </c>
      <c r="R57" s="43">
        <f>$I$11*$R$11</f>
        <v>123.56234164052235</v>
      </c>
      <c r="S57" s="43">
        <f>$I$11*$S$11</f>
        <v>84.388006276340704</v>
      </c>
      <c r="T57" s="43">
        <f>$I$11*$T$11</f>
        <v>0</v>
      </c>
      <c r="U57" s="43">
        <f>$I$11*$U$11</f>
        <v>0</v>
      </c>
      <c r="V57" s="43">
        <f>$I$11*$V$11</f>
        <v>23.868379573522009</v>
      </c>
      <c r="X57" s="43">
        <f>$I$11*$X$11</f>
        <v>54.593767743682044</v>
      </c>
      <c r="Y57" s="43">
        <f>$I$11*$Y$11</f>
        <v>591.79998121244489</v>
      </c>
      <c r="Z57" s="43">
        <f>$I$11*$Z$11</f>
        <v>0</v>
      </c>
      <c r="AA57" s="43">
        <f>$I$11*$AA$11</f>
        <v>0</v>
      </c>
      <c r="AB57" s="43">
        <f>$I$11*$AB$11</f>
        <v>0</v>
      </c>
      <c r="AC57" s="43">
        <f>$I$11*$AC$11</f>
        <v>7709.3545257544374</v>
      </c>
      <c r="AD57" s="43">
        <f>$I$11*$AD$11</f>
        <v>87.064632906998625</v>
      </c>
      <c r="AE57" s="43">
        <f>$I$11*$AE$11</f>
        <v>99.175233114216653</v>
      </c>
      <c r="AF57" s="43">
        <f>$I$11*$AF$11</f>
        <v>0</v>
      </c>
      <c r="AG57" s="43">
        <f>$I$11*$AG$11</f>
        <v>-2.1571937118391538</v>
      </c>
      <c r="AH57" s="43">
        <f>$I$11*$AH$11</f>
        <v>27.433235173441236</v>
      </c>
    </row>
    <row r="58" spans="1:34" ht="11.25" customHeight="1" x14ac:dyDescent="0.25">
      <c r="A58" s="9" t="s">
        <v>22</v>
      </c>
      <c r="B58" s="9" t="s">
        <v>1472</v>
      </c>
      <c r="C58" s="9" t="s">
        <v>1473</v>
      </c>
      <c r="D58" s="9" t="s">
        <v>1474</v>
      </c>
      <c r="E58" s="9" t="s">
        <v>1475</v>
      </c>
      <c r="F58" s="9" t="s">
        <v>1476</v>
      </c>
      <c r="G58" s="9" t="s">
        <v>1478</v>
      </c>
      <c r="L58" s="43">
        <f>$I$12*$L$12</f>
        <v>34.698992795519295</v>
      </c>
      <c r="M58" s="43">
        <f>$I$12*$M$12</f>
        <v>260.83748709116929</v>
      </c>
      <c r="N58" s="43">
        <f>$I$12*$N$12</f>
        <v>0</v>
      </c>
      <c r="O58" s="43">
        <f>$I$12*$O$12</f>
        <v>180.10176854256522</v>
      </c>
      <c r="P58" s="43">
        <f>$I$12*$P$12</f>
        <v>-188.53928885014881</v>
      </c>
      <c r="Q58" s="43">
        <f>$I$12*$Q$12</f>
        <v>2954.2264487900388</v>
      </c>
      <c r="R58" s="43">
        <f>$I$12*$R$12</f>
        <v>76.615883074710268</v>
      </c>
      <c r="S58" s="43">
        <f>$I$12*$S$12</f>
        <v>52.325502543371051</v>
      </c>
      <c r="T58" s="43">
        <f>$I$12*$T$12</f>
        <v>0</v>
      </c>
      <c r="U58" s="43">
        <f>$I$12*$U$12</f>
        <v>0</v>
      </c>
      <c r="V58" s="43">
        <f>$I$12*$V$12</f>
        <v>14.799792188367226</v>
      </c>
      <c r="X58" s="43">
        <f>$I$12*$X$12</f>
        <v>33.851331000400016</v>
      </c>
      <c r="Y58" s="43">
        <f>$I$12*$Y$12</f>
        <v>366.95062235141961</v>
      </c>
      <c r="Z58" s="43">
        <f>$I$12*$Z$12</f>
        <v>0</v>
      </c>
      <c r="AA58" s="43">
        <f>$I$12*$AA$12</f>
        <v>0</v>
      </c>
      <c r="AB58" s="43">
        <f>$I$12*$AB$12</f>
        <v>0</v>
      </c>
      <c r="AC58" s="43">
        <f>$I$12*$AC$12</f>
        <v>2779.2156870275121</v>
      </c>
      <c r="AD58" s="43">
        <f>$I$12*$AD$12</f>
        <v>53.985167699003625</v>
      </c>
      <c r="AE58" s="43">
        <f>$I$12*$AE$12</f>
        <v>61.494448577964278</v>
      </c>
      <c r="AF58" s="43">
        <f>$I$12*$AF$12</f>
        <v>0</v>
      </c>
      <c r="AG58" s="43">
        <f>$I$12*$AG$12</f>
        <v>-0.81515309600894714</v>
      </c>
      <c r="AH58" s="43">
        <f>$I$12*$AH$12</f>
        <v>17.010211286899963</v>
      </c>
    </row>
    <row r="59" spans="1:34" ht="11.25" customHeight="1" x14ac:dyDescent="0.25">
      <c r="A59" s="9" t="s">
        <v>22</v>
      </c>
      <c r="B59" s="9" t="s">
        <v>1472</v>
      </c>
      <c r="C59" s="9" t="s">
        <v>1473</v>
      </c>
      <c r="D59" s="9" t="s">
        <v>1474</v>
      </c>
      <c r="E59" s="9" t="s">
        <v>1475</v>
      </c>
      <c r="F59" s="9" t="s">
        <v>1476</v>
      </c>
      <c r="G59" s="9" t="s">
        <v>1479</v>
      </c>
      <c r="L59" s="43">
        <f>$I$13*$L$13</f>
        <v>387.07662408289326</v>
      </c>
      <c r="M59" s="43">
        <f>$I$13*$M$13</f>
        <v>2909.7125248705383</v>
      </c>
      <c r="N59" s="43">
        <f>$I$13*$N$13</f>
        <v>0</v>
      </c>
      <c r="O59" s="43">
        <f>$I$13*$O$13</f>
        <v>2009.0838074071387</v>
      </c>
      <c r="P59" s="43">
        <f>$I$13*$P$13</f>
        <v>-2103.2066223123611</v>
      </c>
      <c r="Q59" s="43">
        <f>$I$13*$Q$13</f>
        <v>32955.192887376987</v>
      </c>
      <c r="R59" s="43">
        <f>$I$13*$R$13</f>
        <v>854.67084149825985</v>
      </c>
      <c r="S59" s="43">
        <f>$I$13*$S$13</f>
        <v>583.70509476414327</v>
      </c>
      <c r="T59" s="43">
        <f>$I$13*$T$13</f>
        <v>0</v>
      </c>
      <c r="U59" s="43">
        <f>$I$13*$U$13</f>
        <v>0</v>
      </c>
      <c r="V59" s="43">
        <f>$I$13*$V$13</f>
        <v>165.09567384737767</v>
      </c>
      <c r="X59" s="43">
        <f>$I$13*$X$13</f>
        <v>377.62072811633419</v>
      </c>
      <c r="Y59" s="43">
        <f>$I$13*$Y$13</f>
        <v>4093.433170868454</v>
      </c>
      <c r="Z59" s="43">
        <f>$I$13*$Z$13</f>
        <v>0</v>
      </c>
      <c r="AA59" s="43">
        <f>$I$13*$AA$13</f>
        <v>0</v>
      </c>
      <c r="AB59" s="43">
        <f>$I$13*$AB$13</f>
        <v>0</v>
      </c>
      <c r="AC59" s="43">
        <f>$I$13*$AC$13</f>
        <v>31002.900633811572</v>
      </c>
      <c r="AD59" s="43">
        <f>$I$13*$AD$13</f>
        <v>602.21910724099018</v>
      </c>
      <c r="AE59" s="43">
        <f>$I$13*$AE$13</f>
        <v>685.98716094350721</v>
      </c>
      <c r="AF59" s="43">
        <f>$I$13*$AF$13</f>
        <v>0</v>
      </c>
      <c r="AG59" s="43">
        <f>$I$13*$AG$13</f>
        <v>-9.0932526593280834</v>
      </c>
      <c r="AH59" s="43">
        <f>$I$13*$AH$13</f>
        <v>189.75349511355833</v>
      </c>
    </row>
    <row r="60" spans="1:34" ht="11.25" customHeight="1" x14ac:dyDescent="0.25">
      <c r="A60" s="9" t="s">
        <v>22</v>
      </c>
      <c r="B60" s="9" t="s">
        <v>1480</v>
      </c>
      <c r="C60" s="9" t="s">
        <v>1481</v>
      </c>
      <c r="D60" s="9" t="s">
        <v>1482</v>
      </c>
      <c r="E60" s="9" t="s">
        <v>1483</v>
      </c>
      <c r="F60" s="9" t="s">
        <v>1484</v>
      </c>
      <c r="G60" s="9" t="s">
        <v>1485</v>
      </c>
      <c r="L60" s="43">
        <f>$I$14*$L$14</f>
        <v>1369231.8912878893</v>
      </c>
      <c r="M60" s="43">
        <f>$I$14*$M$14</f>
        <v>10292719.672679976</v>
      </c>
      <c r="N60" s="43">
        <f>$I$14*$N$14</f>
        <v>0</v>
      </c>
      <c r="O60" s="43">
        <f>$I$14*$O$14</f>
        <v>7106865.7992192237</v>
      </c>
      <c r="P60" s="43">
        <f>$I$14*$P$14</f>
        <v>-7439812.6935747415</v>
      </c>
      <c r="Q60" s="43">
        <f>$I$14*$Q$14</f>
        <v>123569071.79130964</v>
      </c>
      <c r="R60" s="43">
        <f>$I$14*$R$14</f>
        <v>3023284.0216222005</v>
      </c>
      <c r="S60" s="43">
        <f>$I$14*$S$14</f>
        <v>2064778.8606504132</v>
      </c>
      <c r="T60" s="43">
        <f>$I$14*$T$14</f>
        <v>0</v>
      </c>
      <c r="U60" s="43">
        <f>$I$14*$U$14</f>
        <v>0</v>
      </c>
      <c r="V60" s="43">
        <f>$I$14*$V$14</f>
        <v>584003.90951297409</v>
      </c>
      <c r="X60" s="43">
        <f>$I$14*$X$14</f>
        <v>1335782.9214649519</v>
      </c>
      <c r="Y60" s="43">
        <f>$I$14*$Y$14</f>
        <v>14479973.456646927</v>
      </c>
      <c r="Z60" s="43">
        <f>$I$14*$Z$14</f>
        <v>0</v>
      </c>
      <c r="AA60" s="43">
        <f>$I$14*$AA$14</f>
        <v>0</v>
      </c>
      <c r="AB60" s="43">
        <f>$I$14*$AB$14</f>
        <v>0</v>
      </c>
      <c r="AC60" s="43">
        <f>$I$14*$AC$14</f>
        <v>116248740.13787703</v>
      </c>
      <c r="AD60" s="43">
        <f>$I$14*$AD$14</f>
        <v>2130269.7085647318</v>
      </c>
      <c r="AE60" s="43">
        <f>$I$14*$AE$14</f>
        <v>2426588.0173036242</v>
      </c>
      <c r="AF60" s="43">
        <f>$I$14*$AF$14</f>
        <v>0</v>
      </c>
      <c r="AG60" s="43">
        <f>$I$14*$AG$14</f>
        <v>-33884.114292298051</v>
      </c>
      <c r="AH60" s="43">
        <f>$I$14*$AH$14</f>
        <v>671227.66095320834</v>
      </c>
    </row>
    <row r="61" spans="1:34" ht="11.25" customHeight="1" x14ac:dyDescent="0.25">
      <c r="A61" s="9" t="s">
        <v>22</v>
      </c>
      <c r="B61" s="9" t="s">
        <v>1480</v>
      </c>
      <c r="C61" s="9" t="s">
        <v>1481</v>
      </c>
      <c r="D61" s="9" t="s">
        <v>1486</v>
      </c>
      <c r="E61" s="9" t="s">
        <v>1487</v>
      </c>
      <c r="F61" s="9" t="s">
        <v>1488</v>
      </c>
      <c r="G61" s="9" t="s">
        <v>1489</v>
      </c>
      <c r="L61" s="43">
        <f>$I$15*$L$15</f>
        <v>35761.532175827102</v>
      </c>
      <c r="M61" s="43">
        <f>$I$15*$M$15</f>
        <v>268824.75356683158</v>
      </c>
      <c r="N61" s="43">
        <f>$I$15*$N$15</f>
        <v>0</v>
      </c>
      <c r="O61" s="43">
        <f>$I$15*$O$15</f>
        <v>185616.77650453325</v>
      </c>
      <c r="P61" s="43">
        <f>$I$15*$P$15</f>
        <v>-194312.66735479468</v>
      </c>
      <c r="Q61" s="43">
        <f>$I$15*$Q$15</f>
        <v>3227371.0281795384</v>
      </c>
      <c r="R61" s="43">
        <f>$I$15*$R$15</f>
        <v>78961.985551046426</v>
      </c>
      <c r="S61" s="43">
        <f>$I$15*$S$15</f>
        <v>53927.794211442408</v>
      </c>
      <c r="T61" s="43">
        <f>$I$15*$T$15</f>
        <v>0</v>
      </c>
      <c r="U61" s="43">
        <f>$I$15*$U$15</f>
        <v>0</v>
      </c>
      <c r="V61" s="43">
        <f>$I$15*$V$15</f>
        <v>15252.985804481143</v>
      </c>
      <c r="X61" s="43">
        <f>$I$15*$X$15</f>
        <v>34887.91360312044</v>
      </c>
      <c r="Y61" s="43">
        <f>$I$15*$Y$15</f>
        <v>378187.24495814869</v>
      </c>
      <c r="Z61" s="43">
        <f>$I$15*$Z$15</f>
        <v>0</v>
      </c>
      <c r="AA61" s="43">
        <f>$I$15*$AA$15</f>
        <v>0</v>
      </c>
      <c r="AB61" s="43">
        <f>$I$15*$AB$15</f>
        <v>0</v>
      </c>
      <c r="AC61" s="43">
        <f>$I$15*$AC$15</f>
        <v>3036178.9608404348</v>
      </c>
      <c r="AD61" s="43">
        <f>$I$15*$AD$15</f>
        <v>55638.281003206394</v>
      </c>
      <c r="AE61" s="43">
        <f>$I$15*$AE$15</f>
        <v>63377.508229564155</v>
      </c>
      <c r="AF61" s="43">
        <f>$I$15*$AF$15</f>
        <v>0</v>
      </c>
      <c r="AG61" s="43">
        <f>$I$15*$AG$15</f>
        <v>-884.98365486773696</v>
      </c>
      <c r="AH61" s="43">
        <f>$I$15*$AH$15</f>
        <v>17531.091517233959</v>
      </c>
    </row>
    <row r="62" spans="1:34" ht="11.25" customHeight="1" x14ac:dyDescent="0.25">
      <c r="A62" s="9" t="s">
        <v>22</v>
      </c>
      <c r="B62" s="9" t="s">
        <v>1480</v>
      </c>
      <c r="C62" s="9" t="s">
        <v>1481</v>
      </c>
      <c r="D62" s="9" t="s">
        <v>1490</v>
      </c>
      <c r="E62" s="9" t="s">
        <v>1491</v>
      </c>
      <c r="F62" s="9" t="s">
        <v>1492</v>
      </c>
      <c r="G62" s="9" t="s">
        <v>1493</v>
      </c>
      <c r="L62" s="43">
        <f>$I$16*$L$16</f>
        <v>117918.67406896665</v>
      </c>
      <c r="M62" s="43">
        <f>$I$16*$M$16</f>
        <v>886412.20240962273</v>
      </c>
      <c r="N62" s="43">
        <f>$I$16*$N$16</f>
        <v>0</v>
      </c>
      <c r="O62" s="43">
        <f>$I$16*$O$16</f>
        <v>612045.48123822256</v>
      </c>
      <c r="P62" s="43">
        <f>$I$16*$P$16</f>
        <v>-640718.97078195109</v>
      </c>
      <c r="Q62" s="43">
        <f>$I$16*$Q$16</f>
        <v>10641806.690507853</v>
      </c>
      <c r="R62" s="43">
        <f>$I$16*$R$16</f>
        <v>260366.15523778094</v>
      </c>
      <c r="S62" s="43">
        <f>$I$16*$S$16</f>
        <v>177819.39424776082</v>
      </c>
      <c r="T62" s="43">
        <f>$I$16*$T$16</f>
        <v>0</v>
      </c>
      <c r="U62" s="43">
        <f>$I$16*$U$16</f>
        <v>0</v>
      </c>
      <c r="V62" s="43">
        <f>$I$16*$V$16</f>
        <v>50294.597357127583</v>
      </c>
      <c r="X62" s="43">
        <f>$I$16*$X$16</f>
        <v>115038.03843990347</v>
      </c>
      <c r="Y62" s="43">
        <f>$I$16*$Y$16</f>
        <v>1247019.7936710466</v>
      </c>
      <c r="Z62" s="43">
        <f>$I$16*$Z$16</f>
        <v>0</v>
      </c>
      <c r="AA62" s="43">
        <f>$I$16*$AA$16</f>
        <v>0</v>
      </c>
      <c r="AB62" s="43">
        <f>$I$16*$AB$16</f>
        <v>0</v>
      </c>
      <c r="AC62" s="43">
        <f>$I$16*$AC$16</f>
        <v>10011377.463866057</v>
      </c>
      <c r="AD62" s="43">
        <f>$I$16*$AD$16</f>
        <v>183459.48633066236</v>
      </c>
      <c r="AE62" s="43">
        <f>$I$16*$AE$16</f>
        <v>208978.51074951605</v>
      </c>
      <c r="AF62" s="43">
        <f>$I$16*$AF$16</f>
        <v>0</v>
      </c>
      <c r="AG62" s="43">
        <f>$I$16*$AG$16</f>
        <v>-2918.1104053827607</v>
      </c>
      <c r="AH62" s="43">
        <f>$I$16*$AH$16</f>
        <v>57806.3338150618</v>
      </c>
    </row>
    <row r="63" spans="1:34" ht="11.25" customHeight="1" x14ac:dyDescent="0.25">
      <c r="A63" s="9" t="s">
        <v>22</v>
      </c>
      <c r="B63" s="9" t="s">
        <v>1480</v>
      </c>
      <c r="C63" s="9" t="s">
        <v>1481</v>
      </c>
      <c r="D63" s="9" t="s">
        <v>1494</v>
      </c>
      <c r="E63" s="9" t="s">
        <v>1495</v>
      </c>
      <c r="F63" s="9" t="s">
        <v>1496</v>
      </c>
      <c r="G63" s="9" t="s">
        <v>1497</v>
      </c>
      <c r="L63" s="43">
        <f>$I$17*$L$17</f>
        <v>115013.39646626142</v>
      </c>
      <c r="M63" s="43">
        <f>$I$17*$M$17</f>
        <v>864572.79878031183</v>
      </c>
      <c r="N63" s="43">
        <f>$I$17*$N$17</f>
        <v>0</v>
      </c>
      <c r="O63" s="43">
        <f>$I$17*$O$17</f>
        <v>596965.91862850066</v>
      </c>
      <c r="P63" s="43">
        <f>$I$17*$P$17</f>
        <v>-624932.95139071834</v>
      </c>
      <c r="Q63" s="43">
        <f>$I$17*$Q$17</f>
        <v>10379614.099941844</v>
      </c>
      <c r="R63" s="43">
        <f>$I$17*$R$17</f>
        <v>253951.25984239692</v>
      </c>
      <c r="S63" s="43">
        <f>$I$17*$S$17</f>
        <v>173438.28406726063</v>
      </c>
      <c r="T63" s="43">
        <f>$I$17*$T$17</f>
        <v>0</v>
      </c>
      <c r="U63" s="43">
        <f>$I$17*$U$17</f>
        <v>0</v>
      </c>
      <c r="V63" s="43">
        <f>$I$17*$V$17</f>
        <v>49055.440214355767</v>
      </c>
      <c r="X63" s="43">
        <f>$I$17*$X$17</f>
        <v>112203.73387213713</v>
      </c>
      <c r="Y63" s="43">
        <f>$I$17*$Y$17</f>
        <v>1216295.7484314952</v>
      </c>
      <c r="Z63" s="43">
        <f>$I$17*$Z$17</f>
        <v>0</v>
      </c>
      <c r="AA63" s="43">
        <f>$I$17*$AA$17</f>
        <v>0</v>
      </c>
      <c r="AB63" s="43">
        <f>$I$17*$AB$17</f>
        <v>0</v>
      </c>
      <c r="AC63" s="43">
        <f>$I$17*$AC$17</f>
        <v>9764717.3742098399</v>
      </c>
      <c r="AD63" s="43">
        <f>$I$17*$AD$17</f>
        <v>178939.41569003952</v>
      </c>
      <c r="AE63" s="43">
        <f>$I$17*$AE$17</f>
        <v>203829.70296719487</v>
      </c>
      <c r="AF63" s="43">
        <f>$I$17*$AF$17</f>
        <v>0</v>
      </c>
      <c r="AG63" s="43">
        <f>$I$17*$AG$17</f>
        <v>-2846.2140677592452</v>
      </c>
      <c r="AH63" s="43">
        <f>$I$17*$AH$17</f>
        <v>56382.10268073628</v>
      </c>
    </row>
    <row r="64" spans="1:34" ht="11.25" customHeight="1" x14ac:dyDescent="0.25">
      <c r="A64" s="9" t="s">
        <v>22</v>
      </c>
      <c r="B64" s="9" t="s">
        <v>1480</v>
      </c>
      <c r="C64" s="9" t="s">
        <v>1481</v>
      </c>
      <c r="D64" s="9" t="s">
        <v>1498</v>
      </c>
      <c r="E64" s="9" t="s">
        <v>1499</v>
      </c>
      <c r="F64" s="9" t="s">
        <v>1500</v>
      </c>
      <c r="G64" s="9" t="s">
        <v>1501</v>
      </c>
      <c r="L64" s="43">
        <f>$I$18*$L$18</f>
        <v>24984.475647723961</v>
      </c>
      <c r="M64" s="43">
        <f>$I$18*$M$18</f>
        <v>187812.01756047405</v>
      </c>
      <c r="N64" s="43">
        <f>$I$18*$N$18</f>
        <v>0</v>
      </c>
      <c r="O64" s="43">
        <f>$I$18*$O$18</f>
        <v>129679.50616839791</v>
      </c>
      <c r="P64" s="43">
        <f>$I$18*$P$18</f>
        <v>-135754.81278880275</v>
      </c>
      <c r="Q64" s="43">
        <f>$I$18*$Q$18</f>
        <v>2254773.9974694354</v>
      </c>
      <c r="R64" s="43">
        <f>$I$18*$R$18</f>
        <v>55166.087274906386</v>
      </c>
      <c r="S64" s="43">
        <f>$I$18*$S$18</f>
        <v>37676.172670308413</v>
      </c>
      <c r="T64" s="43">
        <f>$I$18*$T$18</f>
        <v>0</v>
      </c>
      <c r="U64" s="43">
        <f>$I$18*$U$18</f>
        <v>0</v>
      </c>
      <c r="V64" s="43">
        <f>$I$18*$V$18</f>
        <v>10656.362554978377</v>
      </c>
      <c r="X64" s="43">
        <f>$I$18*$X$18</f>
        <v>24374.129820037626</v>
      </c>
      <c r="Y64" s="43">
        <f>$I$18*$Y$18</f>
        <v>264217.14722624671</v>
      </c>
      <c r="Z64" s="43">
        <f>$I$18*$Z$18</f>
        <v>0</v>
      </c>
      <c r="AA64" s="43">
        <f>$I$18*$AA$18</f>
        <v>0</v>
      </c>
      <c r="AB64" s="43">
        <f>$I$18*$AB$18</f>
        <v>0</v>
      </c>
      <c r="AC64" s="43">
        <f>$I$18*$AC$18</f>
        <v>2121199.3640620727</v>
      </c>
      <c r="AD64" s="43">
        <f>$I$18*$AD$18</f>
        <v>38871.18901872624</v>
      </c>
      <c r="AE64" s="43">
        <f>$I$18*$AE$18</f>
        <v>44278.131126755914</v>
      </c>
      <c r="AF64" s="43">
        <f>$I$18*$AF$18</f>
        <v>0</v>
      </c>
      <c r="AG64" s="43">
        <f>$I$18*$AG$18</f>
        <v>-618.28594102079546</v>
      </c>
      <c r="AH64" s="43">
        <f>$I$18*$AH$18</f>
        <v>12247.940802335648</v>
      </c>
    </row>
    <row r="65" spans="1:34" ht="11.25" customHeight="1" x14ac:dyDescent="0.25">
      <c r="A65" s="9" t="s">
        <v>22</v>
      </c>
      <c r="B65" s="9" t="s">
        <v>1502</v>
      </c>
      <c r="C65" s="9" t="s">
        <v>1503</v>
      </c>
      <c r="D65" s="9" t="s">
        <v>1504</v>
      </c>
      <c r="E65" s="9" t="s">
        <v>1505</v>
      </c>
      <c r="F65" s="9" t="s">
        <v>1506</v>
      </c>
      <c r="G65" s="9" t="s">
        <v>1507</v>
      </c>
      <c r="L65" s="43">
        <f>$I$19*$L$19</f>
        <v>0</v>
      </c>
      <c r="M65" s="43">
        <f>$I$19*$M$19</f>
        <v>0</v>
      </c>
      <c r="N65" s="43">
        <f>$I$19*$N$19</f>
        <v>0</v>
      </c>
      <c r="O65" s="43">
        <f>$I$19*$O$19</f>
        <v>0</v>
      </c>
      <c r="P65" s="43">
        <f>$I$19*$P$19</f>
        <v>0</v>
      </c>
      <c r="Q65" s="43">
        <f>$I$19*$Q$19</f>
        <v>0</v>
      </c>
      <c r="R65" s="43">
        <f>$I$19*$R$19</f>
        <v>0</v>
      </c>
      <c r="S65" s="43">
        <f>$I$19*$S$19</f>
        <v>0</v>
      </c>
      <c r="T65" s="43">
        <f>$I$19*$T$19</f>
        <v>0</v>
      </c>
      <c r="U65" s="43">
        <f>$I$19*$U$19</f>
        <v>0</v>
      </c>
      <c r="V65" s="43">
        <f>$I$19*$V$19</f>
        <v>0</v>
      </c>
      <c r="X65" s="43">
        <f>$I$19*$X$19</f>
        <v>0</v>
      </c>
      <c r="Y65" s="43">
        <f>$I$19*$Y$19</f>
        <v>0</v>
      </c>
      <c r="Z65" s="43">
        <f>$I$19*$Z$19</f>
        <v>0</v>
      </c>
      <c r="AA65" s="43">
        <f>$I$19*$AA$19</f>
        <v>0</v>
      </c>
      <c r="AB65" s="43">
        <f>$I$19*$AB$19</f>
        <v>0</v>
      </c>
      <c r="AC65" s="43">
        <f>$I$19*$AC$19</f>
        <v>0</v>
      </c>
      <c r="AD65" s="43">
        <f>$I$19*$AD$19</f>
        <v>0</v>
      </c>
      <c r="AE65" s="43">
        <f>$I$19*$AE$19</f>
        <v>0</v>
      </c>
      <c r="AF65" s="43">
        <f>$I$19*$AF$19</f>
        <v>0</v>
      </c>
      <c r="AG65" s="43">
        <f>$I$19*$AG$19</f>
        <v>0</v>
      </c>
      <c r="AH65" s="43">
        <f>$I$19*$AH$19</f>
        <v>0</v>
      </c>
    </row>
    <row r="66" spans="1:34" ht="11.25" customHeight="1" x14ac:dyDescent="0.25">
      <c r="A66" s="9" t="s">
        <v>22</v>
      </c>
      <c r="B66" s="9" t="s">
        <v>1502</v>
      </c>
      <c r="C66" s="9" t="s">
        <v>1503</v>
      </c>
      <c r="D66" s="9" t="s">
        <v>1508</v>
      </c>
      <c r="E66" s="9" t="s">
        <v>1509</v>
      </c>
      <c r="F66" s="9" t="s">
        <v>1510</v>
      </c>
      <c r="G66" s="9" t="s">
        <v>1511</v>
      </c>
      <c r="L66" s="43">
        <f>$I$20*$L$20</f>
        <v>0</v>
      </c>
      <c r="M66" s="43">
        <f>$I$20*$M$20</f>
        <v>0</v>
      </c>
      <c r="N66" s="43">
        <f>$I$20*$N$20</f>
        <v>0</v>
      </c>
      <c r="O66" s="43">
        <f>$I$20*$O$20</f>
        <v>0</v>
      </c>
      <c r="P66" s="43">
        <f>$I$20*$P$20</f>
        <v>0</v>
      </c>
      <c r="Q66" s="43">
        <f>$I$20*$Q$20</f>
        <v>0</v>
      </c>
      <c r="R66" s="43">
        <f>$I$20*$R$20</f>
        <v>0</v>
      </c>
      <c r="S66" s="43">
        <f>$I$20*$S$20</f>
        <v>0</v>
      </c>
      <c r="T66" s="43">
        <f>$I$20*$T$20</f>
        <v>0</v>
      </c>
      <c r="U66" s="43">
        <f>$I$20*$U$20</f>
        <v>0</v>
      </c>
      <c r="V66" s="43">
        <f>$I$20*$V$20</f>
        <v>0</v>
      </c>
      <c r="X66" s="43">
        <f>$I$20*$X$20</f>
        <v>0</v>
      </c>
      <c r="Y66" s="43">
        <f>$I$20*$Y$20</f>
        <v>0</v>
      </c>
      <c r="Z66" s="43">
        <f>$I$20*$Z$20</f>
        <v>0</v>
      </c>
      <c r="AA66" s="43">
        <f>$I$20*$AA$20</f>
        <v>0</v>
      </c>
      <c r="AB66" s="43">
        <f>$I$20*$AB$20</f>
        <v>0</v>
      </c>
      <c r="AC66" s="43">
        <f>$I$20*$AC$20</f>
        <v>0</v>
      </c>
      <c r="AD66" s="43">
        <f>$I$20*$AD$20</f>
        <v>0</v>
      </c>
      <c r="AE66" s="43">
        <f>$I$20*$AE$20</f>
        <v>0</v>
      </c>
      <c r="AF66" s="43">
        <f>$I$20*$AF$20</f>
        <v>0</v>
      </c>
      <c r="AG66" s="43">
        <f>$I$20*$AG$20</f>
        <v>0</v>
      </c>
      <c r="AH66" s="43">
        <f>$I$20*$AH$20</f>
        <v>0</v>
      </c>
    </row>
    <row r="67" spans="1:34" ht="11.25" customHeight="1" x14ac:dyDescent="0.25">
      <c r="A67" s="9" t="s">
        <v>22</v>
      </c>
      <c r="B67" s="9" t="s">
        <v>1502</v>
      </c>
      <c r="C67" s="9" t="s">
        <v>1503</v>
      </c>
      <c r="D67" s="9" t="s">
        <v>1512</v>
      </c>
      <c r="E67" s="9" t="s">
        <v>1513</v>
      </c>
      <c r="F67" s="9" t="s">
        <v>1514</v>
      </c>
      <c r="G67" s="9" t="s">
        <v>1515</v>
      </c>
      <c r="L67" s="43">
        <f>$I$21*$L$21</f>
        <v>0</v>
      </c>
      <c r="M67" s="43">
        <f>$I$21*$M$21</f>
        <v>0</v>
      </c>
      <c r="N67" s="43">
        <f>$I$21*$N$21</f>
        <v>0</v>
      </c>
      <c r="O67" s="43">
        <f>$I$21*$O$21</f>
        <v>0</v>
      </c>
      <c r="P67" s="43">
        <f>$I$21*$P$21</f>
        <v>0</v>
      </c>
      <c r="Q67" s="43">
        <f>$I$21*$Q$21</f>
        <v>0</v>
      </c>
      <c r="R67" s="43">
        <f>$I$21*$R$21</f>
        <v>0</v>
      </c>
      <c r="S67" s="43">
        <f>$I$21*$S$21</f>
        <v>0</v>
      </c>
      <c r="T67" s="43">
        <f>$I$21*$T$21</f>
        <v>0</v>
      </c>
      <c r="U67" s="43">
        <f>$I$21*$U$21</f>
        <v>0</v>
      </c>
      <c r="V67" s="43">
        <f>$I$21*$V$21</f>
        <v>0</v>
      </c>
      <c r="X67" s="43">
        <f>$I$21*$X$21</f>
        <v>0</v>
      </c>
      <c r="Y67" s="43">
        <f>$I$21*$Y$21</f>
        <v>0</v>
      </c>
      <c r="Z67" s="43">
        <f>$I$21*$Z$21</f>
        <v>0</v>
      </c>
      <c r="AA67" s="43">
        <f>$I$21*$AA$21</f>
        <v>0</v>
      </c>
      <c r="AB67" s="43">
        <f>$I$21*$AB$21</f>
        <v>0</v>
      </c>
      <c r="AC67" s="43">
        <f>$I$21*$AC$21</f>
        <v>0</v>
      </c>
      <c r="AD67" s="43">
        <f>$I$21*$AD$21</f>
        <v>0</v>
      </c>
      <c r="AE67" s="43">
        <f>$I$21*$AE$21</f>
        <v>0</v>
      </c>
      <c r="AF67" s="43">
        <f>$I$21*$AF$21</f>
        <v>0</v>
      </c>
      <c r="AG67" s="43">
        <f>$I$21*$AG$21</f>
        <v>0</v>
      </c>
      <c r="AH67" s="43">
        <f>$I$21*$AH$21</f>
        <v>0</v>
      </c>
    </row>
    <row r="68" spans="1:34" ht="11.25" customHeight="1" x14ac:dyDescent="0.25">
      <c r="A68" s="9" t="s">
        <v>22</v>
      </c>
      <c r="B68" s="9" t="s">
        <v>1502</v>
      </c>
      <c r="C68" s="9" t="s">
        <v>1503</v>
      </c>
      <c r="D68" s="9" t="s">
        <v>1516</v>
      </c>
      <c r="E68" s="9" t="s">
        <v>1517</v>
      </c>
      <c r="F68" s="9" t="s">
        <v>1518</v>
      </c>
      <c r="G68" s="9" t="s">
        <v>1519</v>
      </c>
      <c r="L68" s="43">
        <f>$I$22*$L$22</f>
        <v>0</v>
      </c>
      <c r="M68" s="43">
        <f>$I$22*$M$22</f>
        <v>0</v>
      </c>
      <c r="N68" s="43">
        <f>$I$22*$N$22</f>
        <v>0</v>
      </c>
      <c r="O68" s="43">
        <f>$I$22*$O$22</f>
        <v>0</v>
      </c>
      <c r="P68" s="43">
        <f>$I$22*$P$22</f>
        <v>0</v>
      </c>
      <c r="Q68" s="43">
        <f>$I$22*$Q$22</f>
        <v>0</v>
      </c>
      <c r="R68" s="43">
        <f>$I$22*$R$22</f>
        <v>0</v>
      </c>
      <c r="S68" s="43">
        <f>$I$22*$S$22</f>
        <v>0</v>
      </c>
      <c r="T68" s="43">
        <f>$I$22*$T$22</f>
        <v>0</v>
      </c>
      <c r="U68" s="43">
        <f>$I$22*$U$22</f>
        <v>0</v>
      </c>
      <c r="V68" s="43">
        <f>$I$22*$V$22</f>
        <v>0</v>
      </c>
      <c r="X68" s="43">
        <f>$I$22*$X$22</f>
        <v>0</v>
      </c>
      <c r="Y68" s="43">
        <f>$I$22*$Y$22</f>
        <v>0</v>
      </c>
      <c r="Z68" s="43">
        <f>$I$22*$Z$22</f>
        <v>0</v>
      </c>
      <c r="AA68" s="43">
        <f>$I$22*$AA$22</f>
        <v>0</v>
      </c>
      <c r="AB68" s="43">
        <f>$I$22*$AB$22</f>
        <v>0</v>
      </c>
      <c r="AC68" s="43">
        <f>$I$22*$AC$22</f>
        <v>0</v>
      </c>
      <c r="AD68" s="43">
        <f>$I$22*$AD$22</f>
        <v>0</v>
      </c>
      <c r="AE68" s="43">
        <f>$I$22*$AE$22</f>
        <v>0</v>
      </c>
      <c r="AF68" s="43">
        <f>$I$22*$AF$22</f>
        <v>0</v>
      </c>
      <c r="AG68" s="43">
        <f>$I$22*$AG$22</f>
        <v>0</v>
      </c>
      <c r="AH68" s="43">
        <f>$I$22*$AH$22</f>
        <v>0</v>
      </c>
    </row>
    <row r="69" spans="1:34" ht="11.25" customHeight="1" x14ac:dyDescent="0.25">
      <c r="A69" s="9" t="s">
        <v>22</v>
      </c>
      <c r="B69" s="9" t="s">
        <v>1502</v>
      </c>
      <c r="C69" s="9" t="s">
        <v>1503</v>
      </c>
      <c r="D69" s="9" t="s">
        <v>1520</v>
      </c>
      <c r="E69" s="9" t="s">
        <v>1521</v>
      </c>
      <c r="F69" s="9" t="s">
        <v>1522</v>
      </c>
      <c r="G69" s="9" t="s">
        <v>1523</v>
      </c>
      <c r="L69" s="43">
        <f>$I$23*$L$23</f>
        <v>0</v>
      </c>
      <c r="M69" s="43">
        <f>$I$23*$M$23</f>
        <v>0</v>
      </c>
      <c r="N69" s="43">
        <f>$I$23*$N$23</f>
        <v>0</v>
      </c>
      <c r="O69" s="43">
        <f>$I$23*$O$23</f>
        <v>0</v>
      </c>
      <c r="P69" s="43">
        <f>$I$23*$P$23</f>
        <v>0</v>
      </c>
      <c r="Q69" s="43">
        <f>$I$23*$Q$23</f>
        <v>0</v>
      </c>
      <c r="R69" s="43">
        <f>$I$23*$R$23</f>
        <v>0</v>
      </c>
      <c r="S69" s="43">
        <f>$I$23*$S$23</f>
        <v>0</v>
      </c>
      <c r="T69" s="43">
        <f>$I$23*$T$23</f>
        <v>0</v>
      </c>
      <c r="U69" s="43">
        <f>$I$23*$U$23</f>
        <v>0</v>
      </c>
      <c r="V69" s="43">
        <f>$I$23*$V$23</f>
        <v>0</v>
      </c>
      <c r="X69" s="43">
        <f>$I$23*$X$23</f>
        <v>0</v>
      </c>
      <c r="Y69" s="43">
        <f>$I$23*$Y$23</f>
        <v>0</v>
      </c>
      <c r="Z69" s="43">
        <f>$I$23*$Z$23</f>
        <v>0</v>
      </c>
      <c r="AA69" s="43">
        <f>$I$23*$AA$23</f>
        <v>0</v>
      </c>
      <c r="AB69" s="43">
        <f>$I$23*$AB$23</f>
        <v>0</v>
      </c>
      <c r="AC69" s="43">
        <f>$I$23*$AC$23</f>
        <v>0</v>
      </c>
      <c r="AD69" s="43">
        <f>$I$23*$AD$23</f>
        <v>0</v>
      </c>
      <c r="AE69" s="43">
        <f>$I$23*$AE$23</f>
        <v>0</v>
      </c>
      <c r="AF69" s="43">
        <f>$I$23*$AF$23</f>
        <v>0</v>
      </c>
      <c r="AG69" s="43">
        <f>$I$23*$AG$23</f>
        <v>0</v>
      </c>
      <c r="AH69" s="43">
        <f>$I$23*$AH$23</f>
        <v>0</v>
      </c>
    </row>
    <row r="70" spans="1:34" ht="11.25" customHeight="1" x14ac:dyDescent="0.25">
      <c r="A70" s="9" t="s">
        <v>44</v>
      </c>
      <c r="B70" s="9" t="s">
        <v>1524</v>
      </c>
      <c r="C70" s="9" t="s">
        <v>1525</v>
      </c>
      <c r="D70" s="9" t="s">
        <v>1526</v>
      </c>
      <c r="E70" s="9" t="s">
        <v>1527</v>
      </c>
      <c r="F70" s="9" t="s">
        <v>1528</v>
      </c>
      <c r="G70" s="9" t="s">
        <v>1529</v>
      </c>
      <c r="L70" s="43">
        <f>$I$24*$L$24</f>
        <v>1.4969980939190259</v>
      </c>
      <c r="M70" s="43">
        <f>$I$24*$M$24</f>
        <v>11.253157211195221</v>
      </c>
      <c r="N70" s="43">
        <f>$I$24*$N$24</f>
        <v>0</v>
      </c>
      <c r="O70" s="43">
        <f>$I$24*$O$24</f>
        <v>7.770023925722735</v>
      </c>
      <c r="P70" s="43">
        <f>$I$24*$P$24</f>
        <v>-8.1340388667986829</v>
      </c>
      <c r="Q70" s="43">
        <f>$I$24*$Q$24</f>
        <v>219.21820004740002</v>
      </c>
      <c r="R70" s="43">
        <f>$I$24*$R$24</f>
        <v>3.3053936638061359</v>
      </c>
      <c r="S70" s="43">
        <f>$I$24*$S$24</f>
        <v>2.2574481637661994</v>
      </c>
      <c r="T70" s="43">
        <f>$I$24*$T$24</f>
        <v>0</v>
      </c>
      <c r="U70" s="43">
        <f>$I$24*$U$24</f>
        <v>0</v>
      </c>
      <c r="V70" s="43">
        <f>$I$24*$V$24</f>
        <v>0.63849866844677838</v>
      </c>
      <c r="X70" s="43">
        <f>$I$24*$X$24</f>
        <v>1.367209119557196</v>
      </c>
      <c r="Y70" s="43">
        <f>$I$24*$Y$24</f>
        <v>14.820635481072237</v>
      </c>
      <c r="Z70" s="43">
        <f>$I$24*$Z$24</f>
        <v>0</v>
      </c>
      <c r="AA70" s="43">
        <f>$I$24*$AA$24</f>
        <v>0</v>
      </c>
      <c r="AB70" s="43">
        <f>$I$24*$AB$24</f>
        <v>0</v>
      </c>
      <c r="AC70" s="43">
        <f>$I$24*$AC$24</f>
        <v>193.06782164216517</v>
      </c>
      <c r="AD70" s="43">
        <f>$I$24*$AD$24</f>
        <v>2.1803873412844541</v>
      </c>
      <c r="AE70" s="43">
        <f>$I$24*$AE$24</f>
        <v>2.4836769607948441</v>
      </c>
      <c r="AF70" s="43">
        <f>$I$24*$AF$24</f>
        <v>0</v>
      </c>
      <c r="AG70" s="43">
        <f>$I$24*$AG$24</f>
        <v>-5.4023289422430933E-2</v>
      </c>
      <c r="AH70" s="43">
        <f>$I$24*$AH$24</f>
        <v>0.68701924886704124</v>
      </c>
    </row>
    <row r="71" spans="1:34" ht="11.25" customHeight="1" x14ac:dyDescent="0.25">
      <c r="A71" s="9" t="s">
        <v>44</v>
      </c>
      <c r="B71" s="9" t="s">
        <v>1524</v>
      </c>
      <c r="C71" s="9" t="s">
        <v>1525</v>
      </c>
      <c r="D71" s="9" t="s">
        <v>1526</v>
      </c>
      <c r="E71" s="9" t="s">
        <v>1527</v>
      </c>
      <c r="F71" s="9" t="s">
        <v>1528</v>
      </c>
      <c r="G71" s="9" t="s">
        <v>1530</v>
      </c>
      <c r="L71" s="43">
        <f>$I$25*$L$25</f>
        <v>0.8330070038742966</v>
      </c>
      <c r="M71" s="43">
        <f>$I$25*$M$25</f>
        <v>6.2618374804231465</v>
      </c>
      <c r="N71" s="43">
        <f>$I$25*$N$25</f>
        <v>0</v>
      </c>
      <c r="O71" s="43">
        <f>$I$25*$O$25</f>
        <v>4.3236423457650703</v>
      </c>
      <c r="P71" s="43">
        <f>$I$25*$P$25</f>
        <v>-4.5261990468476538</v>
      </c>
      <c r="Q71" s="43">
        <f>$I$25*$Q$25</f>
        <v>70.921116857045206</v>
      </c>
      <c r="R71" s="43">
        <f>$I$25*$R$25</f>
        <v>1.8392916355050271</v>
      </c>
      <c r="S71" s="43">
        <f>$I$25*$S$25</f>
        <v>1.2561606717731271</v>
      </c>
      <c r="T71" s="43">
        <f>$I$25*$T$25</f>
        <v>0</v>
      </c>
      <c r="U71" s="43">
        <f>$I$25*$U$25</f>
        <v>0</v>
      </c>
      <c r="V71" s="43">
        <f>$I$25*$V$25</f>
        <v>0.35529361389377184</v>
      </c>
      <c r="X71" s="43">
        <f>$I$25*$X$25</f>
        <v>0.76078571975360099</v>
      </c>
      <c r="Y71" s="43">
        <f>$I$25*$Y$25</f>
        <v>8.2469665176934228</v>
      </c>
      <c r="Z71" s="43">
        <f>$I$25*$Z$25</f>
        <v>0</v>
      </c>
      <c r="AA71" s="43">
        <f>$I$25*$AA$25</f>
        <v>0</v>
      </c>
      <c r="AB71" s="43">
        <f>$I$25*$AB$25</f>
        <v>0</v>
      </c>
      <c r="AC71" s="43">
        <f>$I$25*$AC$25</f>
        <v>62.460988809590283</v>
      </c>
      <c r="AD71" s="43">
        <f>$I$25*$AD$25</f>
        <v>1.2132800528115106</v>
      </c>
      <c r="AE71" s="43">
        <f>$I$25*$AE$25</f>
        <v>1.3820460507648731</v>
      </c>
      <c r="AF71" s="43">
        <f>$I$25*$AF$25</f>
        <v>0</v>
      </c>
      <c r="AG71" s="43">
        <f>$I$25*$AG$25</f>
        <v>-1.8320013320871013E-2</v>
      </c>
      <c r="AH71" s="43">
        <f>$I$25*$AH$25</f>
        <v>0.38229296912762778</v>
      </c>
    </row>
    <row r="72" spans="1:34" ht="11.25" customHeight="1" x14ac:dyDescent="0.25">
      <c r="A72" s="9" t="s">
        <v>44</v>
      </c>
      <c r="B72" s="9" t="s">
        <v>1524</v>
      </c>
      <c r="C72" s="9" t="s">
        <v>1525</v>
      </c>
      <c r="D72" s="9" t="s">
        <v>1526</v>
      </c>
      <c r="E72" s="9" t="s">
        <v>1527</v>
      </c>
      <c r="F72" s="9" t="s">
        <v>1528</v>
      </c>
      <c r="G72" s="9" t="s">
        <v>1531</v>
      </c>
      <c r="L72" s="43">
        <f>$I$26*$L$26</f>
        <v>15.495137528589272</v>
      </c>
      <c r="M72" s="43">
        <f>$I$26*$M$26</f>
        <v>116.47925226265374</v>
      </c>
      <c r="N72" s="43">
        <f>$I$26*$N$26</f>
        <v>0</v>
      </c>
      <c r="O72" s="43">
        <f>$I$26*$O$26</f>
        <v>80.426013779557508</v>
      </c>
      <c r="P72" s="43">
        <f>$I$26*$P$26</f>
        <v>-84.19386198012991</v>
      </c>
      <c r="Q72" s="43">
        <f>$I$26*$Q$26</f>
        <v>1319.2355577683697</v>
      </c>
      <c r="R72" s="43">
        <f>$I$26*$R$26</f>
        <v>34.213490060444961</v>
      </c>
      <c r="S72" s="43">
        <f>$I$26*$S$26</f>
        <v>23.366409017692877</v>
      </c>
      <c r="T72" s="43">
        <f>$I$26*$T$26</f>
        <v>0</v>
      </c>
      <c r="U72" s="43">
        <f>$I$26*$U$26</f>
        <v>0</v>
      </c>
      <c r="V72" s="43">
        <f>$I$26*$V$26</f>
        <v>6.608976136705162</v>
      </c>
      <c r="X72" s="43">
        <f>$I$26*$X$26</f>
        <v>14.151716975416623</v>
      </c>
      <c r="Y72" s="43">
        <f>$I$26*$Y$26</f>
        <v>153.40552935448562</v>
      </c>
      <c r="Z72" s="43">
        <f>$I$26*$Z$26</f>
        <v>0</v>
      </c>
      <c r="AA72" s="43">
        <f>$I$26*$AA$26</f>
        <v>0</v>
      </c>
      <c r="AB72" s="43">
        <f>$I$26*$AB$26</f>
        <v>0</v>
      </c>
      <c r="AC72" s="43">
        <f>$I$26*$AC$26</f>
        <v>1161.8649150305671</v>
      </c>
      <c r="AD72" s="43">
        <f>$I$26*$AD$26</f>
        <v>22.568767359182232</v>
      </c>
      <c r="AE72" s="43">
        <f>$I$26*$AE$26</f>
        <v>25.7080595095176</v>
      </c>
      <c r="AF72" s="43">
        <f>$I$26*$AF$26</f>
        <v>0</v>
      </c>
      <c r="AG72" s="43">
        <f>$I$26*$AG$26</f>
        <v>-0.34077879851214415</v>
      </c>
      <c r="AH72" s="43">
        <f>$I$26*$AH$26</f>
        <v>7.1112032735552209</v>
      </c>
    </row>
    <row r="73" spans="1:34" ht="11.25" customHeight="1" x14ac:dyDescent="0.25">
      <c r="A73" s="9" t="s">
        <v>44</v>
      </c>
      <c r="B73" s="9" t="s">
        <v>1532</v>
      </c>
      <c r="C73" s="9" t="s">
        <v>1533</v>
      </c>
      <c r="D73" s="9" t="s">
        <v>1534</v>
      </c>
      <c r="E73" s="9" t="s">
        <v>1535</v>
      </c>
      <c r="F73" s="9" t="s">
        <v>1536</v>
      </c>
      <c r="G73" s="9" t="s">
        <v>1537</v>
      </c>
      <c r="L73" s="43">
        <f>$I$27*$L$27</f>
        <v>485397.55142618157</v>
      </c>
      <c r="M73" s="43">
        <f>$I$27*$M$27</f>
        <v>3648805.5518015223</v>
      </c>
      <c r="N73" s="43">
        <f>$I$27*$N$27</f>
        <v>0</v>
      </c>
      <c r="O73" s="43">
        <f>$I$27*$O$27</f>
        <v>2519409.0783342505</v>
      </c>
      <c r="P73" s="43">
        <f>$I$27*$P$27</f>
        <v>-2637439.9307438517</v>
      </c>
      <c r="Q73" s="43">
        <f>$I$27*$Q$27</f>
        <v>43805673.283793353</v>
      </c>
      <c r="R73" s="43">
        <f>$I$27*$R$27</f>
        <v>1071764.8856257654</v>
      </c>
      <c r="S73" s="43">
        <f>$I$27*$S$27</f>
        <v>731971.41373442102</v>
      </c>
      <c r="T73" s="43">
        <f>$I$27*$T$27</f>
        <v>0</v>
      </c>
      <c r="U73" s="43">
        <f>$I$27*$U$27</f>
        <v>0</v>
      </c>
      <c r="V73" s="43">
        <f>$I$27*$V$27</f>
        <v>207031.45282007806</v>
      </c>
      <c r="X73" s="43">
        <f>$I$27*$X$27</f>
        <v>443313.83026898192</v>
      </c>
      <c r="Y73" s="43">
        <f>$I$27*$Y$27</f>
        <v>4805550.6565538608</v>
      </c>
      <c r="Z73" s="43">
        <f>$I$27*$Z$27</f>
        <v>0</v>
      </c>
      <c r="AA73" s="43">
        <f>$I$27*$AA$27</f>
        <v>0</v>
      </c>
      <c r="AB73" s="43">
        <f>$I$27*$AB$27</f>
        <v>0</v>
      </c>
      <c r="AC73" s="43">
        <f>$I$27*$AC$27</f>
        <v>38580126.625625342</v>
      </c>
      <c r="AD73" s="43">
        <f>$I$27*$AD$27</f>
        <v>706984.65209760214</v>
      </c>
      <c r="AE73" s="43">
        <f>$I$27*$AE$27</f>
        <v>805325.48451504461</v>
      </c>
      <c r="AF73" s="43">
        <f>$I$27*$AF$27</f>
        <v>0</v>
      </c>
      <c r="AG73" s="43">
        <f>$I$27*$AG$27</f>
        <v>-11245.312580966927</v>
      </c>
      <c r="AH73" s="43">
        <f>$I$27*$AH$27</f>
        <v>222764.11876363715</v>
      </c>
    </row>
    <row r="74" spans="1:34" ht="11.25" customHeight="1" x14ac:dyDescent="0.25">
      <c r="A74" s="9" t="s">
        <v>44</v>
      </c>
      <c r="B74" s="9" t="s">
        <v>1524</v>
      </c>
      <c r="C74" s="9" t="s">
        <v>1525</v>
      </c>
      <c r="D74" s="9" t="s">
        <v>1538</v>
      </c>
      <c r="E74" s="9" t="s">
        <v>1539</v>
      </c>
      <c r="F74" s="9" t="s">
        <v>1540</v>
      </c>
      <c r="G74" s="9" t="s">
        <v>1541</v>
      </c>
      <c r="L74" s="43">
        <f>$I$28*$L$28</f>
        <v>0</v>
      </c>
      <c r="M74" s="43">
        <f>$I$28*$M$28</f>
        <v>0</v>
      </c>
      <c r="N74" s="43">
        <f>$I$28*$N$28</f>
        <v>0</v>
      </c>
      <c r="O74" s="43">
        <f>$I$28*$O$28</f>
        <v>0</v>
      </c>
      <c r="P74" s="43">
        <f>$I$28*$P$28</f>
        <v>0</v>
      </c>
      <c r="Q74" s="43">
        <f>$I$28*$Q$28</f>
        <v>0</v>
      </c>
      <c r="R74" s="43">
        <f>$I$28*$R$28</f>
        <v>0</v>
      </c>
      <c r="S74" s="43">
        <f>$I$28*$S$28</f>
        <v>0</v>
      </c>
      <c r="T74" s="43">
        <f>$I$28*$T$28</f>
        <v>0</v>
      </c>
      <c r="U74" s="43">
        <f>$I$28*$U$28</f>
        <v>0</v>
      </c>
      <c r="V74" s="43">
        <f>$I$28*$V$28</f>
        <v>0</v>
      </c>
      <c r="X74" s="43">
        <f>$I$28*$X$28</f>
        <v>0</v>
      </c>
      <c r="Y74" s="43">
        <f>$I$28*$Y$28</f>
        <v>0</v>
      </c>
      <c r="Z74" s="43">
        <f>$I$28*$Z$28</f>
        <v>0</v>
      </c>
      <c r="AA74" s="43">
        <f>$I$28*$AA$28</f>
        <v>0</v>
      </c>
      <c r="AB74" s="43">
        <f>$I$28*$AB$28</f>
        <v>0</v>
      </c>
      <c r="AC74" s="43">
        <f>$I$28*$AC$28</f>
        <v>0</v>
      </c>
      <c r="AD74" s="43">
        <f>$I$28*$AD$28</f>
        <v>0</v>
      </c>
      <c r="AE74" s="43">
        <f>$I$28*$AE$28</f>
        <v>0</v>
      </c>
      <c r="AF74" s="43">
        <f>$I$28*$AF$28</f>
        <v>0</v>
      </c>
      <c r="AG74" s="43">
        <f>$I$28*$AG$28</f>
        <v>0</v>
      </c>
      <c r="AH74" s="43">
        <f>$I$28*$AH$28</f>
        <v>0</v>
      </c>
    </row>
    <row r="75" spans="1:34" ht="11.25" customHeight="1" x14ac:dyDescent="0.25">
      <c r="A75" s="9" t="s">
        <v>44</v>
      </c>
      <c r="B75" s="9" t="s">
        <v>1524</v>
      </c>
      <c r="C75" s="9" t="s">
        <v>1525</v>
      </c>
      <c r="D75" s="9" t="s">
        <v>1538</v>
      </c>
      <c r="E75" s="9" t="s">
        <v>1539</v>
      </c>
      <c r="F75" s="9" t="s">
        <v>1540</v>
      </c>
      <c r="G75" s="9" t="s">
        <v>1542</v>
      </c>
      <c r="L75" s="43">
        <f>$I$29*$L$29</f>
        <v>0</v>
      </c>
      <c r="M75" s="43">
        <f>$I$29*$M$29</f>
        <v>0</v>
      </c>
      <c r="N75" s="43">
        <f>$I$29*$N$29</f>
        <v>0</v>
      </c>
      <c r="O75" s="43">
        <f>$I$29*$O$29</f>
        <v>0</v>
      </c>
      <c r="P75" s="43">
        <f>$I$29*$P$29</f>
        <v>0</v>
      </c>
      <c r="Q75" s="43">
        <f>$I$29*$Q$29</f>
        <v>0</v>
      </c>
      <c r="R75" s="43">
        <f>$I$29*$R$29</f>
        <v>0</v>
      </c>
      <c r="S75" s="43">
        <f>$I$29*$S$29</f>
        <v>0</v>
      </c>
      <c r="T75" s="43">
        <f>$I$29*$T$29</f>
        <v>0</v>
      </c>
      <c r="U75" s="43">
        <f>$I$29*$U$29</f>
        <v>0</v>
      </c>
      <c r="V75" s="43">
        <f>$I$29*$V$29</f>
        <v>0</v>
      </c>
      <c r="X75" s="43">
        <f>$I$29*$X$29</f>
        <v>0</v>
      </c>
      <c r="Y75" s="43">
        <f>$I$29*$Y$29</f>
        <v>0</v>
      </c>
      <c r="Z75" s="43">
        <f>$I$29*$Z$29</f>
        <v>0</v>
      </c>
      <c r="AA75" s="43">
        <f>$I$29*$AA$29</f>
        <v>0</v>
      </c>
      <c r="AB75" s="43">
        <f>$I$29*$AB$29</f>
        <v>0</v>
      </c>
      <c r="AC75" s="43">
        <f>$I$29*$AC$29</f>
        <v>0</v>
      </c>
      <c r="AD75" s="43">
        <f>$I$29*$AD$29</f>
        <v>0</v>
      </c>
      <c r="AE75" s="43">
        <f>$I$29*$AE$29</f>
        <v>0</v>
      </c>
      <c r="AF75" s="43">
        <f>$I$29*$AF$29</f>
        <v>0</v>
      </c>
      <c r="AG75" s="43">
        <f>$I$29*$AG$29</f>
        <v>0</v>
      </c>
      <c r="AH75" s="43">
        <f>$I$29*$AH$29</f>
        <v>0</v>
      </c>
    </row>
    <row r="76" spans="1:34" ht="11.25" customHeight="1" x14ac:dyDescent="0.25">
      <c r="A76" s="9" t="s">
        <v>44</v>
      </c>
      <c r="B76" s="9" t="s">
        <v>1524</v>
      </c>
      <c r="C76" s="9" t="s">
        <v>1525</v>
      </c>
      <c r="D76" s="9" t="s">
        <v>1538</v>
      </c>
      <c r="E76" s="9" t="s">
        <v>1539</v>
      </c>
      <c r="F76" s="9" t="s">
        <v>1540</v>
      </c>
      <c r="G76" s="9" t="s">
        <v>1543</v>
      </c>
      <c r="L76" s="43">
        <f>$I$30*$L$30</f>
        <v>0</v>
      </c>
      <c r="M76" s="43">
        <f>$I$30*$M$30</f>
        <v>0</v>
      </c>
      <c r="N76" s="43">
        <f>$I$30*$N$30</f>
        <v>0</v>
      </c>
      <c r="O76" s="43">
        <f>$I$30*$O$30</f>
        <v>0</v>
      </c>
      <c r="P76" s="43">
        <f>$I$30*$P$30</f>
        <v>0</v>
      </c>
      <c r="Q76" s="43">
        <f>$I$30*$Q$30</f>
        <v>0</v>
      </c>
      <c r="R76" s="43">
        <f>$I$30*$R$30</f>
        <v>0</v>
      </c>
      <c r="S76" s="43">
        <f>$I$30*$S$30</f>
        <v>0</v>
      </c>
      <c r="T76" s="43">
        <f>$I$30*$T$30</f>
        <v>0</v>
      </c>
      <c r="U76" s="43">
        <f>$I$30*$U$30</f>
        <v>0</v>
      </c>
      <c r="V76" s="43">
        <f>$I$30*$V$30</f>
        <v>0</v>
      </c>
      <c r="X76" s="43">
        <f>$I$30*$X$30</f>
        <v>0</v>
      </c>
      <c r="Y76" s="43">
        <f>$I$30*$Y$30</f>
        <v>0</v>
      </c>
      <c r="Z76" s="43">
        <f>$I$30*$Z$30</f>
        <v>0</v>
      </c>
      <c r="AA76" s="43">
        <f>$I$30*$AA$30</f>
        <v>0</v>
      </c>
      <c r="AB76" s="43">
        <f>$I$30*$AB$30</f>
        <v>0</v>
      </c>
      <c r="AC76" s="43">
        <f>$I$30*$AC$30</f>
        <v>0</v>
      </c>
      <c r="AD76" s="43">
        <f>$I$30*$AD$30</f>
        <v>0</v>
      </c>
      <c r="AE76" s="43">
        <f>$I$30*$AE$30</f>
        <v>0</v>
      </c>
      <c r="AF76" s="43">
        <f>$I$30*$AF$30</f>
        <v>0</v>
      </c>
      <c r="AG76" s="43">
        <f>$I$30*$AG$30</f>
        <v>0</v>
      </c>
      <c r="AH76" s="43">
        <f>$I$30*$AH$30</f>
        <v>0</v>
      </c>
    </row>
    <row r="77" spans="1:34" ht="11.25" customHeight="1" x14ac:dyDescent="0.25">
      <c r="A77" s="9" t="s">
        <v>44</v>
      </c>
      <c r="B77" s="9" t="s">
        <v>1532</v>
      </c>
      <c r="C77" s="9" t="s">
        <v>1533</v>
      </c>
      <c r="D77" s="9" t="s">
        <v>1544</v>
      </c>
      <c r="E77" s="9" t="s">
        <v>1545</v>
      </c>
      <c r="F77" s="9" t="s">
        <v>1546</v>
      </c>
      <c r="G77" s="9" t="s">
        <v>1547</v>
      </c>
      <c r="L77" s="43">
        <f>$I$31*$L$31</f>
        <v>0</v>
      </c>
      <c r="M77" s="43">
        <f>$I$31*$M$31</f>
        <v>0</v>
      </c>
      <c r="N77" s="43">
        <f>$I$31*$N$31</f>
        <v>0</v>
      </c>
      <c r="O77" s="43">
        <f>$I$31*$O$31</f>
        <v>0</v>
      </c>
      <c r="P77" s="43">
        <f>$I$31*$P$31</f>
        <v>0</v>
      </c>
      <c r="Q77" s="43">
        <f>$I$31*$Q$31</f>
        <v>0</v>
      </c>
      <c r="R77" s="43">
        <f>$I$31*$R$31</f>
        <v>0</v>
      </c>
      <c r="S77" s="43">
        <f>$I$31*$S$31</f>
        <v>0</v>
      </c>
      <c r="T77" s="43">
        <f>$I$31*$T$31</f>
        <v>0</v>
      </c>
      <c r="U77" s="43">
        <f>$I$31*$U$31</f>
        <v>0</v>
      </c>
      <c r="V77" s="43">
        <f>$I$31*$V$31</f>
        <v>0</v>
      </c>
      <c r="X77" s="43">
        <f>$I$31*$X$31</f>
        <v>0</v>
      </c>
      <c r="Y77" s="43">
        <f>$I$31*$Y$31</f>
        <v>0</v>
      </c>
      <c r="Z77" s="43">
        <f>$I$31*$Z$31</f>
        <v>0</v>
      </c>
      <c r="AA77" s="43">
        <f>$I$31*$AA$31</f>
        <v>0</v>
      </c>
      <c r="AB77" s="43">
        <f>$I$31*$AB$31</f>
        <v>0</v>
      </c>
      <c r="AC77" s="43">
        <f>$I$31*$AC$31</f>
        <v>0</v>
      </c>
      <c r="AD77" s="43">
        <f>$I$31*$AD$31</f>
        <v>0</v>
      </c>
      <c r="AE77" s="43">
        <f>$I$31*$AE$31</f>
        <v>0</v>
      </c>
      <c r="AF77" s="43">
        <f>$I$31*$AF$31</f>
        <v>0</v>
      </c>
      <c r="AG77" s="43">
        <f>$I$31*$AG$31</f>
        <v>0</v>
      </c>
      <c r="AH77" s="43">
        <f>$I$31*$AH$31</f>
        <v>0</v>
      </c>
    </row>
    <row r="78" spans="1:34" ht="11.25" customHeight="1" x14ac:dyDescent="0.25">
      <c r="A78" s="9" t="s">
        <v>44</v>
      </c>
      <c r="B78" s="9" t="s">
        <v>1524</v>
      </c>
      <c r="C78" s="9" t="s">
        <v>1525</v>
      </c>
      <c r="D78" s="9" t="s">
        <v>1548</v>
      </c>
      <c r="E78" s="9" t="s">
        <v>1549</v>
      </c>
      <c r="F78" s="9" t="s">
        <v>1550</v>
      </c>
      <c r="G78" s="9" t="s">
        <v>1551</v>
      </c>
      <c r="L78" s="43">
        <f>$I$32*$L$32</f>
        <v>0</v>
      </c>
      <c r="M78" s="43">
        <f>$I$32*$M$32</f>
        <v>0</v>
      </c>
      <c r="N78" s="43">
        <f>$I$32*$N$32</f>
        <v>0</v>
      </c>
      <c r="O78" s="43">
        <f>$I$32*$O$32</f>
        <v>0</v>
      </c>
      <c r="P78" s="43">
        <f>$I$32*$P$32</f>
        <v>0</v>
      </c>
      <c r="Q78" s="43">
        <f>$I$32*$Q$32</f>
        <v>0</v>
      </c>
      <c r="R78" s="43">
        <f>$I$32*$R$32</f>
        <v>0</v>
      </c>
      <c r="S78" s="43">
        <f>$I$32*$S$32</f>
        <v>0</v>
      </c>
      <c r="T78" s="43">
        <f>$I$32*$T$32</f>
        <v>0</v>
      </c>
      <c r="U78" s="43">
        <f>$I$32*$U$32</f>
        <v>0</v>
      </c>
      <c r="V78" s="43">
        <f>$I$32*$V$32</f>
        <v>0</v>
      </c>
      <c r="X78" s="43">
        <f>$I$32*$X$32</f>
        <v>0</v>
      </c>
      <c r="Y78" s="43">
        <f>$I$32*$Y$32</f>
        <v>0</v>
      </c>
      <c r="Z78" s="43">
        <f>$I$32*$Z$32</f>
        <v>0</v>
      </c>
      <c r="AA78" s="43">
        <f>$I$32*$AA$32</f>
        <v>0</v>
      </c>
      <c r="AB78" s="43">
        <f>$I$32*$AB$32</f>
        <v>0</v>
      </c>
      <c r="AC78" s="43">
        <f>$I$32*$AC$32</f>
        <v>0</v>
      </c>
      <c r="AD78" s="43">
        <f>$I$32*$AD$32</f>
        <v>0</v>
      </c>
      <c r="AE78" s="43">
        <f>$I$32*$AE$32</f>
        <v>0</v>
      </c>
      <c r="AF78" s="43">
        <f>$I$32*$AF$32</f>
        <v>0</v>
      </c>
      <c r="AG78" s="43">
        <f>$I$32*$AG$32</f>
        <v>0</v>
      </c>
      <c r="AH78" s="43">
        <f>$I$32*$AH$32</f>
        <v>0</v>
      </c>
    </row>
    <row r="79" spans="1:34" ht="11.25" customHeight="1" x14ac:dyDescent="0.25">
      <c r="A79" s="9" t="s">
        <v>44</v>
      </c>
      <c r="B79" s="9" t="s">
        <v>1524</v>
      </c>
      <c r="C79" s="9" t="s">
        <v>1525</v>
      </c>
      <c r="D79" s="9" t="s">
        <v>1548</v>
      </c>
      <c r="E79" s="9" t="s">
        <v>1549</v>
      </c>
      <c r="F79" s="9" t="s">
        <v>1550</v>
      </c>
      <c r="G79" s="9" t="s">
        <v>1552</v>
      </c>
      <c r="L79" s="43">
        <f>$I$33*$L$33</f>
        <v>0</v>
      </c>
      <c r="M79" s="43">
        <f>$I$33*$M$33</f>
        <v>0</v>
      </c>
      <c r="N79" s="43">
        <f>$I$33*$N$33</f>
        <v>0</v>
      </c>
      <c r="O79" s="43">
        <f>$I$33*$O$33</f>
        <v>0</v>
      </c>
      <c r="P79" s="43">
        <f>$I$33*$P$33</f>
        <v>0</v>
      </c>
      <c r="Q79" s="43">
        <f>$I$33*$Q$33</f>
        <v>0</v>
      </c>
      <c r="R79" s="43">
        <f>$I$33*$R$33</f>
        <v>0</v>
      </c>
      <c r="S79" s="43">
        <f>$I$33*$S$33</f>
        <v>0</v>
      </c>
      <c r="T79" s="43">
        <f>$I$33*$T$33</f>
        <v>0</v>
      </c>
      <c r="U79" s="43">
        <f>$I$33*$U$33</f>
        <v>0</v>
      </c>
      <c r="V79" s="43">
        <f>$I$33*$V$33</f>
        <v>0</v>
      </c>
      <c r="X79" s="43">
        <f>$I$33*$X$33</f>
        <v>0</v>
      </c>
      <c r="Y79" s="43">
        <f>$I$33*$Y$33</f>
        <v>0</v>
      </c>
      <c r="Z79" s="43">
        <f>$I$33*$Z$33</f>
        <v>0</v>
      </c>
      <c r="AA79" s="43">
        <f>$I$33*$AA$33</f>
        <v>0</v>
      </c>
      <c r="AB79" s="43">
        <f>$I$33*$AB$33</f>
        <v>0</v>
      </c>
      <c r="AC79" s="43">
        <f>$I$33*$AC$33</f>
        <v>0</v>
      </c>
      <c r="AD79" s="43">
        <f>$I$33*$AD$33</f>
        <v>0</v>
      </c>
      <c r="AE79" s="43">
        <f>$I$33*$AE$33</f>
        <v>0</v>
      </c>
      <c r="AF79" s="43">
        <f>$I$33*$AF$33</f>
        <v>0</v>
      </c>
      <c r="AG79" s="43">
        <f>$I$33*$AG$33</f>
        <v>0</v>
      </c>
      <c r="AH79" s="43">
        <f>$I$33*$AH$33</f>
        <v>0</v>
      </c>
    </row>
    <row r="80" spans="1:34" ht="11.25" customHeight="1" x14ac:dyDescent="0.25">
      <c r="A80" s="9" t="s">
        <v>44</v>
      </c>
      <c r="B80" s="9" t="s">
        <v>1524</v>
      </c>
      <c r="C80" s="9" t="s">
        <v>1525</v>
      </c>
      <c r="D80" s="9" t="s">
        <v>1548</v>
      </c>
      <c r="E80" s="9" t="s">
        <v>1549</v>
      </c>
      <c r="F80" s="9" t="s">
        <v>1550</v>
      </c>
      <c r="G80" s="9" t="s">
        <v>1553</v>
      </c>
      <c r="L80" s="43">
        <f>$I$34*$L$34</f>
        <v>0</v>
      </c>
      <c r="M80" s="43">
        <f>$I$34*$M$34</f>
        <v>0</v>
      </c>
      <c r="N80" s="43">
        <f>$I$34*$N$34</f>
        <v>0</v>
      </c>
      <c r="O80" s="43">
        <f>$I$34*$O$34</f>
        <v>0</v>
      </c>
      <c r="P80" s="43">
        <f>$I$34*$P$34</f>
        <v>0</v>
      </c>
      <c r="Q80" s="43">
        <f>$I$34*$Q$34</f>
        <v>0</v>
      </c>
      <c r="R80" s="43">
        <f>$I$34*$R$34</f>
        <v>0</v>
      </c>
      <c r="S80" s="43">
        <f>$I$34*$S$34</f>
        <v>0</v>
      </c>
      <c r="T80" s="43">
        <f>$I$34*$T$34</f>
        <v>0</v>
      </c>
      <c r="U80" s="43">
        <f>$I$34*$U$34</f>
        <v>0</v>
      </c>
      <c r="V80" s="43">
        <f>$I$34*$V$34</f>
        <v>0</v>
      </c>
      <c r="X80" s="43">
        <f>$I$34*$X$34</f>
        <v>0</v>
      </c>
      <c r="Y80" s="43">
        <f>$I$34*$Y$34</f>
        <v>0</v>
      </c>
      <c r="Z80" s="43">
        <f>$I$34*$Z$34</f>
        <v>0</v>
      </c>
      <c r="AA80" s="43">
        <f>$I$34*$AA$34</f>
        <v>0</v>
      </c>
      <c r="AB80" s="43">
        <f>$I$34*$AB$34</f>
        <v>0</v>
      </c>
      <c r="AC80" s="43">
        <f>$I$34*$AC$34</f>
        <v>0</v>
      </c>
      <c r="AD80" s="43">
        <f>$I$34*$AD$34</f>
        <v>0</v>
      </c>
      <c r="AE80" s="43">
        <f>$I$34*$AE$34</f>
        <v>0</v>
      </c>
      <c r="AF80" s="43">
        <f>$I$34*$AF$34</f>
        <v>0</v>
      </c>
      <c r="AG80" s="43">
        <f>$I$34*$AG$34</f>
        <v>0</v>
      </c>
      <c r="AH80" s="43">
        <f>$I$34*$AH$34</f>
        <v>0</v>
      </c>
    </row>
    <row r="81" spans="1:34" ht="11.25" customHeight="1" x14ac:dyDescent="0.25">
      <c r="A81" s="9" t="s">
        <v>44</v>
      </c>
      <c r="B81" s="9" t="s">
        <v>1532</v>
      </c>
      <c r="C81" s="9" t="s">
        <v>1533</v>
      </c>
      <c r="D81" s="9" t="s">
        <v>1554</v>
      </c>
      <c r="E81" s="9" t="s">
        <v>1555</v>
      </c>
      <c r="F81" s="9" t="s">
        <v>1556</v>
      </c>
      <c r="G81" s="9" t="s">
        <v>1557</v>
      </c>
      <c r="L81" s="43">
        <f>$I$35*$L$35</f>
        <v>0</v>
      </c>
      <c r="M81" s="43">
        <f>$I$35*$M$35</f>
        <v>0</v>
      </c>
      <c r="N81" s="43">
        <f>$I$35*$N$35</f>
        <v>0</v>
      </c>
      <c r="O81" s="43">
        <f>$I$35*$O$35</f>
        <v>0</v>
      </c>
      <c r="P81" s="43">
        <f>$I$35*$P$35</f>
        <v>0</v>
      </c>
      <c r="Q81" s="43">
        <f>$I$35*$Q$35</f>
        <v>0</v>
      </c>
      <c r="R81" s="43">
        <f>$I$35*$R$35</f>
        <v>0</v>
      </c>
      <c r="S81" s="43">
        <f>$I$35*$S$35</f>
        <v>0</v>
      </c>
      <c r="T81" s="43">
        <f>$I$35*$T$35</f>
        <v>0</v>
      </c>
      <c r="U81" s="43">
        <f>$I$35*$U$35</f>
        <v>0</v>
      </c>
      <c r="V81" s="43">
        <f>$I$35*$V$35</f>
        <v>0</v>
      </c>
      <c r="X81" s="43">
        <f>$I$35*$X$35</f>
        <v>0</v>
      </c>
      <c r="Y81" s="43">
        <f>$I$35*$Y$35</f>
        <v>0</v>
      </c>
      <c r="Z81" s="43">
        <f>$I$35*$Z$35</f>
        <v>0</v>
      </c>
      <c r="AA81" s="43">
        <f>$I$35*$AA$35</f>
        <v>0</v>
      </c>
      <c r="AB81" s="43">
        <f>$I$35*$AB$35</f>
        <v>0</v>
      </c>
      <c r="AC81" s="43">
        <f>$I$35*$AC$35</f>
        <v>0</v>
      </c>
      <c r="AD81" s="43">
        <f>$I$35*$AD$35</f>
        <v>0</v>
      </c>
      <c r="AE81" s="43">
        <f>$I$35*$AE$35</f>
        <v>0</v>
      </c>
      <c r="AF81" s="43">
        <f>$I$35*$AF$35</f>
        <v>0</v>
      </c>
      <c r="AG81" s="43">
        <f>$I$35*$AG$35</f>
        <v>0</v>
      </c>
      <c r="AH81" s="43">
        <f>$I$35*$AH$35</f>
        <v>0</v>
      </c>
    </row>
    <row r="82" spans="1:34" ht="11.25" customHeight="1" x14ac:dyDescent="0.25">
      <c r="A82" s="9" t="s">
        <v>44</v>
      </c>
      <c r="B82" s="9" t="s">
        <v>1558</v>
      </c>
      <c r="C82" s="9" t="s">
        <v>1559</v>
      </c>
      <c r="D82" s="9" t="s">
        <v>1560</v>
      </c>
      <c r="E82" s="9" t="s">
        <v>1561</v>
      </c>
      <c r="F82" s="9" t="s">
        <v>1562</v>
      </c>
      <c r="G82" s="9" t="s">
        <v>1563</v>
      </c>
      <c r="L82" s="43">
        <f>$I$36*$L$36</f>
        <v>0</v>
      </c>
      <c r="M82" s="43">
        <f>$I$36*$M$36</f>
        <v>0</v>
      </c>
      <c r="N82" s="43">
        <f>$I$36*$N$36</f>
        <v>0</v>
      </c>
      <c r="O82" s="43">
        <f>$I$36*$O$36</f>
        <v>0</v>
      </c>
      <c r="P82" s="43">
        <f>$I$36*$P$36</f>
        <v>0</v>
      </c>
      <c r="Q82" s="43">
        <f>$I$36*$Q$36</f>
        <v>0</v>
      </c>
      <c r="R82" s="43">
        <f>$I$36*$R$36</f>
        <v>0</v>
      </c>
      <c r="S82" s="43">
        <f>$I$36*$S$36</f>
        <v>0</v>
      </c>
      <c r="T82" s="43">
        <f>$I$36*$T$36</f>
        <v>0</v>
      </c>
      <c r="U82" s="43">
        <f>$I$36*$U$36</f>
        <v>0</v>
      </c>
      <c r="V82" s="43">
        <f>$I$36*$V$36</f>
        <v>0</v>
      </c>
      <c r="X82" s="43">
        <f>$I$36*$X$36</f>
        <v>0</v>
      </c>
      <c r="Y82" s="43">
        <f>$I$36*$Y$36</f>
        <v>0</v>
      </c>
      <c r="Z82" s="43">
        <f>$I$36*$Z$36</f>
        <v>0</v>
      </c>
      <c r="AA82" s="43">
        <f>$I$36*$AA$36</f>
        <v>0</v>
      </c>
      <c r="AB82" s="43">
        <f>$I$36*$AB$36</f>
        <v>0</v>
      </c>
      <c r="AC82" s="43">
        <f>$I$36*$AC$36</f>
        <v>0</v>
      </c>
      <c r="AD82" s="43">
        <f>$I$36*$AD$36</f>
        <v>0</v>
      </c>
      <c r="AE82" s="43">
        <f>$I$36*$AE$36</f>
        <v>0</v>
      </c>
      <c r="AF82" s="43">
        <f>$I$36*$AF$36</f>
        <v>0</v>
      </c>
      <c r="AG82" s="43">
        <f>$I$36*$AG$36</f>
        <v>0</v>
      </c>
      <c r="AH82" s="43">
        <f>$I$36*$AH$36</f>
        <v>0</v>
      </c>
    </row>
    <row r="83" spans="1:34" ht="11.25" customHeight="1" x14ac:dyDescent="0.25">
      <c r="A83" s="9" t="s">
        <v>44</v>
      </c>
      <c r="B83" s="9" t="s">
        <v>1558</v>
      </c>
      <c r="C83" s="9" t="s">
        <v>1559</v>
      </c>
      <c r="D83" s="9" t="s">
        <v>1564</v>
      </c>
      <c r="E83" s="9" t="s">
        <v>1565</v>
      </c>
      <c r="F83" s="9" t="s">
        <v>1566</v>
      </c>
      <c r="G83" s="9" t="s">
        <v>1567</v>
      </c>
      <c r="L83" s="43">
        <f>$I$37*$L$37</f>
        <v>0</v>
      </c>
      <c r="M83" s="43">
        <f>$I$37*$M$37</f>
        <v>0</v>
      </c>
      <c r="N83" s="43">
        <f>$I$37*$N$37</f>
        <v>0</v>
      </c>
      <c r="O83" s="43">
        <f>$I$37*$O$37</f>
        <v>0</v>
      </c>
      <c r="P83" s="43">
        <f>$I$37*$P$37</f>
        <v>0</v>
      </c>
      <c r="Q83" s="43">
        <f>$I$37*$Q$37</f>
        <v>0</v>
      </c>
      <c r="R83" s="43">
        <f>$I$37*$R$37</f>
        <v>0</v>
      </c>
      <c r="S83" s="43">
        <f>$I$37*$S$37</f>
        <v>0</v>
      </c>
      <c r="T83" s="43">
        <f>$I$37*$T$37</f>
        <v>0</v>
      </c>
      <c r="U83" s="43">
        <f>$I$37*$U$37</f>
        <v>0</v>
      </c>
      <c r="V83" s="43">
        <f>$I$37*$V$37</f>
        <v>0</v>
      </c>
      <c r="X83" s="43">
        <f>$I$37*$X$37</f>
        <v>0</v>
      </c>
      <c r="Y83" s="43">
        <f>$I$37*$Y$37</f>
        <v>0</v>
      </c>
      <c r="Z83" s="43">
        <f>$I$37*$Z$37</f>
        <v>0</v>
      </c>
      <c r="AA83" s="43">
        <f>$I$37*$AA$37</f>
        <v>0</v>
      </c>
      <c r="AB83" s="43">
        <f>$I$37*$AB$37</f>
        <v>0</v>
      </c>
      <c r="AC83" s="43">
        <f>$I$37*$AC$37</f>
        <v>0</v>
      </c>
      <c r="AD83" s="43">
        <f>$I$37*$AD$37</f>
        <v>0</v>
      </c>
      <c r="AE83" s="43">
        <f>$I$37*$AE$37</f>
        <v>0</v>
      </c>
      <c r="AF83" s="43">
        <f>$I$37*$AF$37</f>
        <v>0</v>
      </c>
      <c r="AG83" s="43">
        <f>$I$37*$AG$37</f>
        <v>0</v>
      </c>
      <c r="AH83" s="43">
        <f>$I$37*$AH$37</f>
        <v>0</v>
      </c>
    </row>
    <row r="84" spans="1:34" ht="11.25" customHeight="1" x14ac:dyDescent="0.25">
      <c r="A84" s="9" t="s">
        <v>44</v>
      </c>
      <c r="B84" s="9" t="s">
        <v>1558</v>
      </c>
      <c r="C84" s="9" t="s">
        <v>1559</v>
      </c>
      <c r="D84" s="9" t="s">
        <v>1568</v>
      </c>
      <c r="E84" s="9" t="s">
        <v>1569</v>
      </c>
      <c r="F84" s="9" t="s">
        <v>1570</v>
      </c>
      <c r="G84" s="9" t="s">
        <v>1571</v>
      </c>
      <c r="L84" s="43">
        <f>$I$38*$L$38</f>
        <v>0</v>
      </c>
      <c r="M84" s="43">
        <f>$I$38*$M$38</f>
        <v>0</v>
      </c>
      <c r="N84" s="43">
        <f>$I$38*$N$38</f>
        <v>0</v>
      </c>
      <c r="O84" s="43">
        <f>$I$38*$O$38</f>
        <v>0</v>
      </c>
      <c r="P84" s="43">
        <f>$I$38*$P$38</f>
        <v>0</v>
      </c>
      <c r="Q84" s="43">
        <f>$I$38*$Q$38</f>
        <v>0</v>
      </c>
      <c r="R84" s="43">
        <f>$I$38*$R$38</f>
        <v>0</v>
      </c>
      <c r="S84" s="43">
        <f>$I$38*$S$38</f>
        <v>0</v>
      </c>
      <c r="T84" s="43">
        <f>$I$38*$T$38</f>
        <v>0</v>
      </c>
      <c r="U84" s="43">
        <f>$I$38*$U$38</f>
        <v>0</v>
      </c>
      <c r="V84" s="43">
        <f>$I$38*$V$38</f>
        <v>0</v>
      </c>
      <c r="X84" s="43">
        <f>$I$38*$X$38</f>
        <v>0</v>
      </c>
      <c r="Y84" s="43">
        <f>$I$38*$Y$38</f>
        <v>0</v>
      </c>
      <c r="Z84" s="43">
        <f>$I$38*$Z$38</f>
        <v>0</v>
      </c>
      <c r="AA84" s="43">
        <f>$I$38*$AA$38</f>
        <v>0</v>
      </c>
      <c r="AB84" s="43">
        <f>$I$38*$AB$38</f>
        <v>0</v>
      </c>
      <c r="AC84" s="43">
        <f>$I$38*$AC$38</f>
        <v>0</v>
      </c>
      <c r="AD84" s="43">
        <f>$I$38*$AD$38</f>
        <v>0</v>
      </c>
      <c r="AE84" s="43">
        <f>$I$38*$AE$38</f>
        <v>0</v>
      </c>
      <c r="AF84" s="43">
        <f>$I$38*$AF$38</f>
        <v>0</v>
      </c>
      <c r="AG84" s="43">
        <f>$I$38*$AG$38</f>
        <v>0</v>
      </c>
      <c r="AH84" s="43">
        <f>$I$38*$AH$38</f>
        <v>0</v>
      </c>
    </row>
    <row r="85" spans="1:34" ht="11.25" customHeight="1" x14ac:dyDescent="0.25">
      <c r="A85" s="9" t="s">
        <v>37</v>
      </c>
      <c r="B85" s="9" t="s">
        <v>1572</v>
      </c>
      <c r="C85" s="9" t="s">
        <v>1573</v>
      </c>
      <c r="D85" s="9" t="s">
        <v>1574</v>
      </c>
      <c r="E85" s="9" t="s">
        <v>1575</v>
      </c>
      <c r="F85" s="9" t="s">
        <v>1576</v>
      </c>
      <c r="G85" s="9" t="s">
        <v>1577</v>
      </c>
      <c r="L85" s="43">
        <f>$I$39*$L$39</f>
        <v>102.32462305916572</v>
      </c>
      <c r="M85" s="43">
        <f>$I$39*$M$39</f>
        <v>769.18940280452216</v>
      </c>
      <c r="N85" s="43">
        <f>$I$39*$N$39</f>
        <v>0</v>
      </c>
      <c r="O85" s="43">
        <f>$I$39*$O$39</f>
        <v>531.10606659415282</v>
      </c>
      <c r="P85" s="43">
        <f>$I$39*$P$39</f>
        <v>-555.98765581247255</v>
      </c>
      <c r="Q85" s="43">
        <f>$I$39*$Q$39</f>
        <v>14984.267367258471</v>
      </c>
      <c r="R85" s="43">
        <f>$I$39*$R$39</f>
        <v>225.93426276560939</v>
      </c>
      <c r="S85" s="43">
        <f>$I$39*$S$39</f>
        <v>154.30382534974476</v>
      </c>
      <c r="T85" s="43">
        <f>$I$39*$T$39</f>
        <v>0</v>
      </c>
      <c r="U85" s="43">
        <f>$I$39*$U$39</f>
        <v>0</v>
      </c>
      <c r="V85" s="43">
        <f>$I$39*$V$39</f>
        <v>43.643432705753213</v>
      </c>
      <c r="X85" s="43">
        <f>$I$39*$X$39</f>
        <v>99.824934547214568</v>
      </c>
      <c r="Y85" s="43">
        <f>$I$39*$Y$39</f>
        <v>1082.1087613322279</v>
      </c>
      <c r="Z85" s="43">
        <f>$I$39*$Z$39</f>
        <v>0</v>
      </c>
      <c r="AA85" s="43">
        <f>$I$39*$AA$39</f>
        <v>0</v>
      </c>
      <c r="AB85" s="43">
        <f>$I$39*$AB$39</f>
        <v>0</v>
      </c>
      <c r="AC85" s="43">
        <f>$I$39*$AC$39</f>
        <v>14096.587261533543</v>
      </c>
      <c r="AD85" s="43">
        <f>$I$39*$AD$39</f>
        <v>159.19804843153011</v>
      </c>
      <c r="AE85" s="43">
        <f>$I$39*$AE$39</f>
        <v>181.34233198215443</v>
      </c>
      <c r="AF85" s="43">
        <f>$I$39*$AF$39</f>
        <v>0</v>
      </c>
      <c r="AG85" s="43">
        <f>$I$39*$AG$39</f>
        <v>-3.9444377992198052</v>
      </c>
      <c r="AH85" s="43">
        <f>$I$39*$AH$39</f>
        <v>50.161786203591632</v>
      </c>
    </row>
    <row r="86" spans="1:34" ht="11.25" customHeight="1" x14ac:dyDescent="0.25">
      <c r="A86" s="9" t="s">
        <v>37</v>
      </c>
      <c r="B86" s="9" t="s">
        <v>1572</v>
      </c>
      <c r="C86" s="9" t="s">
        <v>1573</v>
      </c>
      <c r="D86" s="9" t="s">
        <v>1574</v>
      </c>
      <c r="E86" s="9" t="s">
        <v>1575</v>
      </c>
      <c r="F86" s="9" t="s">
        <v>1576</v>
      </c>
      <c r="G86" s="9" t="s">
        <v>1578</v>
      </c>
      <c r="L86" s="43">
        <f>$I$40*$L$40</f>
        <v>100.41420382040067</v>
      </c>
      <c r="M86" s="43">
        <f>$I$40*$M$40</f>
        <v>754.82849738958316</v>
      </c>
      <c r="N86" s="43">
        <f>$I$40*$N$40</f>
        <v>0</v>
      </c>
      <c r="O86" s="43">
        <f>$I$40*$O$40</f>
        <v>521.19022017212762</v>
      </c>
      <c r="P86" s="43">
        <f>$I$40*$P$40</f>
        <v>-545.60726561483784</v>
      </c>
      <c r="Q86" s="43">
        <f>$I$40*$Q$40</f>
        <v>8549.1327805551628</v>
      </c>
      <c r="R86" s="43">
        <f>$I$40*$R$40</f>
        <v>221.71602917354383</v>
      </c>
      <c r="S86" s="43">
        <f>$I$40*$S$40</f>
        <v>151.42294499318828</v>
      </c>
      <c r="T86" s="43">
        <f>$I$40*$T$40</f>
        <v>0</v>
      </c>
      <c r="U86" s="43">
        <f>$I$40*$U$40</f>
        <v>0</v>
      </c>
      <c r="V86" s="43">
        <f>$I$40*$V$40</f>
        <v>42.828601915332328</v>
      </c>
      <c r="X86" s="43">
        <f>$I$40*$X$40</f>
        <v>97.961184945545469</v>
      </c>
      <c r="Y86" s="43">
        <f>$I$40*$Y$40</f>
        <v>1061.9055948383725</v>
      </c>
      <c r="Z86" s="43">
        <f>$I$40*$Z$40</f>
        <v>0</v>
      </c>
      <c r="AA86" s="43">
        <f>$I$40*$AA$40</f>
        <v>0</v>
      </c>
      <c r="AB86" s="43">
        <f>$I$40*$AB$40</f>
        <v>0</v>
      </c>
      <c r="AC86" s="43">
        <f>$I$40*$AC$40</f>
        <v>8042.6752471637255</v>
      </c>
      <c r="AD86" s="43">
        <f>$I$40*$AD$40</f>
        <v>156.22579204391957</v>
      </c>
      <c r="AE86" s="43">
        <f>$I$40*$AE$40</f>
        <v>177.95663781134951</v>
      </c>
      <c r="AF86" s="43">
        <f>$I$40*$AF$40</f>
        <v>0</v>
      </c>
      <c r="AG86" s="43">
        <f>$I$40*$AG$40</f>
        <v>-2.3589430854616271</v>
      </c>
      <c r="AH86" s="43">
        <f>$I$40*$AH$40</f>
        <v>49.225256573194159</v>
      </c>
    </row>
    <row r="87" spans="1:34" ht="11.25" customHeight="1" x14ac:dyDescent="0.25">
      <c r="A87" s="9" t="s">
        <v>37</v>
      </c>
      <c r="B87" s="9" t="s">
        <v>1572</v>
      </c>
      <c r="C87" s="9" t="s">
        <v>1573</v>
      </c>
      <c r="D87" s="9" t="s">
        <v>1574</v>
      </c>
      <c r="E87" s="9" t="s">
        <v>1575</v>
      </c>
      <c r="F87" s="9" t="s">
        <v>1576</v>
      </c>
      <c r="G87" s="9" t="s">
        <v>1579</v>
      </c>
      <c r="L87" s="43">
        <f>$I$41*$L$41</f>
        <v>1225.9946898371336</v>
      </c>
      <c r="M87" s="43">
        <f>$I$41*$M$41</f>
        <v>9215.9843361657895</v>
      </c>
      <c r="N87" s="43">
        <f>$I$41*$N$41</f>
        <v>0</v>
      </c>
      <c r="O87" s="43">
        <f>$I$41*$O$41</f>
        <v>6363.4069485721229</v>
      </c>
      <c r="P87" s="43">
        <f>$I$41*$P$41</f>
        <v>-6661.5238176538733</v>
      </c>
      <c r="Q87" s="43">
        <f>$I$41*$Q$41</f>
        <v>104379.56975110511</v>
      </c>
      <c r="R87" s="43">
        <f>$I$41*$R$41</f>
        <v>2707.0141879999132</v>
      </c>
      <c r="S87" s="43">
        <f>$I$41*$S$41</f>
        <v>1848.7795492875568</v>
      </c>
      <c r="T87" s="43">
        <f>$I$41*$T$41</f>
        <v>0</v>
      </c>
      <c r="U87" s="43">
        <f>$I$41*$U$41</f>
        <v>0</v>
      </c>
      <c r="V87" s="43">
        <f>$I$41*$V$41</f>
        <v>522.91047006915767</v>
      </c>
      <c r="X87" s="43">
        <f>$I$41*$X$41</f>
        <v>1196.044862021721</v>
      </c>
      <c r="Y87" s="43">
        <f>$I$41*$Y$41</f>
        <v>12965.203834197893</v>
      </c>
      <c r="Z87" s="43">
        <f>$I$41*$Z$41</f>
        <v>0</v>
      </c>
      <c r="AA87" s="43">
        <f>$I$41*$AA$41</f>
        <v>0</v>
      </c>
      <c r="AB87" s="43">
        <f>$I$41*$AB$41</f>
        <v>0</v>
      </c>
      <c r="AC87" s="43">
        <f>$I$41*$AC$41</f>
        <v>98196.039703140268</v>
      </c>
      <c r="AD87" s="43">
        <f>$I$41*$AD$41</f>
        <v>1907.4193109574114</v>
      </c>
      <c r="AE87" s="43">
        <f>$I$41*$AE$41</f>
        <v>2172.73936034196</v>
      </c>
      <c r="AF87" s="43">
        <f>$I$41*$AF$41</f>
        <v>0</v>
      </c>
      <c r="AG87" s="43">
        <f>$I$41*$AG$41</f>
        <v>-28.80122120548462</v>
      </c>
      <c r="AH87" s="43">
        <f>$I$41*$AH$41</f>
        <v>601.00962681083865</v>
      </c>
    </row>
    <row r="88" spans="1:34" ht="11.25" customHeight="1" x14ac:dyDescent="0.25">
      <c r="A88" s="9" t="s">
        <v>37</v>
      </c>
      <c r="B88" s="9" t="s">
        <v>1580</v>
      </c>
      <c r="C88" s="9" t="s">
        <v>1581</v>
      </c>
      <c r="D88" s="9" t="s">
        <v>1582</v>
      </c>
      <c r="E88" s="9" t="s">
        <v>1583</v>
      </c>
      <c r="F88" s="9" t="s">
        <v>1584</v>
      </c>
      <c r="G88" s="9" t="s">
        <v>1585</v>
      </c>
      <c r="L88" s="43">
        <f>$I$42*$L$42</f>
        <v>727218.29306301114</v>
      </c>
      <c r="M88" s="43">
        <f>$I$42*$M$42</f>
        <v>5466608.0150251398</v>
      </c>
      <c r="N88" s="43">
        <f>$I$42*$N$42</f>
        <v>0</v>
      </c>
      <c r="O88" s="43">
        <f>$I$42*$O$42</f>
        <v>3774556.2664881297</v>
      </c>
      <c r="P88" s="43">
        <f>$I$42*$P$42</f>
        <v>-3951389.0394716081</v>
      </c>
      <c r="Q88" s="43">
        <f>$I$42*$Q$42</f>
        <v>65629269.983577169</v>
      </c>
      <c r="R88" s="43">
        <f>$I$42*$R$42</f>
        <v>1605708.6163694283</v>
      </c>
      <c r="S88" s="43">
        <f>$I$42*$S$42</f>
        <v>1096633.0598555079</v>
      </c>
      <c r="T88" s="43">
        <f>$I$42*$T$42</f>
        <v>0</v>
      </c>
      <c r="U88" s="43">
        <f>$I$42*$U$42</f>
        <v>0</v>
      </c>
      <c r="V88" s="43">
        <f>$I$42*$V$42</f>
        <v>310172.68069814099</v>
      </c>
      <c r="X88" s="43">
        <f>$I$42*$X$42</f>
        <v>709453.07528352086</v>
      </c>
      <c r="Y88" s="43">
        <f>$I$42*$Y$42</f>
        <v>7690517.324158987</v>
      </c>
      <c r="Z88" s="43">
        <f>$I$42*$Z$42</f>
        <v>0</v>
      </c>
      <c r="AA88" s="43">
        <f>$I$42*$AA$42</f>
        <v>0</v>
      </c>
      <c r="AB88" s="43">
        <f>$I$42*$AB$42</f>
        <v>0</v>
      </c>
      <c r="AC88" s="43">
        <f>$I$42*$AC$42</f>
        <v>61741339.003049716</v>
      </c>
      <c r="AD88" s="43">
        <f>$I$42*$AD$42</f>
        <v>1131416.1692283866</v>
      </c>
      <c r="AE88" s="43">
        <f>$I$42*$AE$42</f>
        <v>1288794.9858156405</v>
      </c>
      <c r="AF88" s="43">
        <f>$I$42*$AF$42</f>
        <v>0</v>
      </c>
      <c r="AG88" s="43">
        <f>$I$42*$AG$42</f>
        <v>-17996.329120277565</v>
      </c>
      <c r="AH88" s="43">
        <f>$I$42*$AH$42</f>
        <v>356498.44044746808</v>
      </c>
    </row>
    <row r="89" spans="1:34" ht="11.25" customHeight="1" x14ac:dyDescent="0.25">
      <c r="A89" s="9" t="s">
        <v>37</v>
      </c>
      <c r="B89" s="9" t="s">
        <v>1586</v>
      </c>
      <c r="C89" s="9" t="s">
        <v>1587</v>
      </c>
      <c r="D89" s="9" t="s">
        <v>1588</v>
      </c>
      <c r="E89" s="9" t="s">
        <v>1589</v>
      </c>
      <c r="F89" s="9" t="s">
        <v>1590</v>
      </c>
      <c r="G89" s="9" t="s">
        <v>1591</v>
      </c>
      <c r="L89" s="43">
        <f>$I$43*$L$43</f>
        <v>0</v>
      </c>
      <c r="M89" s="43">
        <f>$I$43*$M$43</f>
        <v>0</v>
      </c>
      <c r="N89" s="43">
        <f>$I$43*$N$43</f>
        <v>0</v>
      </c>
      <c r="O89" s="43">
        <f>$I$43*$O$43</f>
        <v>0</v>
      </c>
      <c r="P89" s="43">
        <f>$I$43*$P$43</f>
        <v>0</v>
      </c>
      <c r="Q89" s="43">
        <f>$I$43*$Q$43</f>
        <v>0</v>
      </c>
      <c r="R89" s="43">
        <f>$I$43*$R$43</f>
        <v>0</v>
      </c>
      <c r="S89" s="43">
        <f>$I$43*$S$43</f>
        <v>0</v>
      </c>
      <c r="T89" s="43">
        <f>$I$43*$T$43</f>
        <v>0</v>
      </c>
      <c r="U89" s="43">
        <f>$I$43*$U$43</f>
        <v>0</v>
      </c>
      <c r="V89" s="43">
        <f>$I$43*$V$43</f>
        <v>0</v>
      </c>
      <c r="X89" s="43">
        <f>$I$43*$X$43</f>
        <v>0</v>
      </c>
      <c r="Y89" s="43">
        <f>$I$43*$Y$43</f>
        <v>0</v>
      </c>
      <c r="Z89" s="43">
        <f>$I$43*$Z$43</f>
        <v>0</v>
      </c>
      <c r="AA89" s="43">
        <f>$I$43*$AA$43</f>
        <v>0</v>
      </c>
      <c r="AB89" s="43">
        <f>$I$43*$AB$43</f>
        <v>0</v>
      </c>
      <c r="AC89" s="43">
        <f>$I$43*$AC$43</f>
        <v>0</v>
      </c>
      <c r="AD89" s="43">
        <f>$I$43*$AD$43</f>
        <v>0</v>
      </c>
      <c r="AE89" s="43">
        <f>$I$43*$AE$43</f>
        <v>0</v>
      </c>
      <c r="AF89" s="43">
        <f>$I$43*$AF$43</f>
        <v>0</v>
      </c>
      <c r="AG89" s="43">
        <f>$I$43*$AG$43</f>
        <v>0</v>
      </c>
      <c r="AH89" s="43">
        <f>$I$43*$AH$43</f>
        <v>0</v>
      </c>
    </row>
    <row r="90" spans="1:34" ht="11.25" customHeight="1" x14ac:dyDescent="0.25">
      <c r="A90" s="9" t="s">
        <v>47</v>
      </c>
      <c r="B90" s="9" t="s">
        <v>1592</v>
      </c>
      <c r="C90" s="9" t="s">
        <v>1593</v>
      </c>
      <c r="D90" s="9" t="s">
        <v>1594</v>
      </c>
      <c r="E90" s="9" t="s">
        <v>1595</v>
      </c>
      <c r="F90" s="9" t="s">
        <v>1596</v>
      </c>
      <c r="G90" s="9" t="s">
        <v>1597</v>
      </c>
      <c r="L90" s="43">
        <f>$I$44*$L$44</f>
        <v>143582.46285064856</v>
      </c>
      <c r="M90" s="43">
        <f>$I$44*$M$44</f>
        <v>1079330.7177826932</v>
      </c>
      <c r="N90" s="43">
        <f>$I$44*$N$44</f>
        <v>0</v>
      </c>
      <c r="O90" s="43">
        <f>$I$44*$O$44</f>
        <v>745250.89657467615</v>
      </c>
      <c r="P90" s="43">
        <f>$I$44*$P$44</f>
        <v>-780164.87673699507</v>
      </c>
      <c r="Q90" s="43">
        <f>$I$44*$Q$44</f>
        <v>12957886.661021691</v>
      </c>
      <c r="R90" s="43">
        <f>$I$44*$R$44</f>
        <v>317032.17583781714</v>
      </c>
      <c r="S90" s="43">
        <f>$I$44*$S$44</f>
        <v>216519.95979679422</v>
      </c>
      <c r="T90" s="43">
        <f>$I$44*$T$44</f>
        <v>0</v>
      </c>
      <c r="U90" s="43">
        <f>$I$44*$U$44</f>
        <v>0</v>
      </c>
      <c r="V90" s="43">
        <f>$I$44*$V$44</f>
        <v>61240.700115017673</v>
      </c>
      <c r="X90" s="43">
        <f>$I$44*$X$44</f>
        <v>140074.88645138947</v>
      </c>
      <c r="Y90" s="43">
        <f>$I$44*$Y$44</f>
        <v>1518420.8490512336</v>
      </c>
      <c r="Z90" s="43">
        <f>$I$44*$Z$44</f>
        <v>0</v>
      </c>
      <c r="AA90" s="43">
        <f>$I$44*$AA$44</f>
        <v>0</v>
      </c>
      <c r="AB90" s="43">
        <f>$I$44*$AB$44</f>
        <v>0</v>
      </c>
      <c r="AC90" s="43">
        <f>$I$44*$AC$44</f>
        <v>12190250.985595776</v>
      </c>
      <c r="AD90" s="43">
        <f>$I$44*$AD$44</f>
        <v>223387.56001670362</v>
      </c>
      <c r="AE90" s="43">
        <f>$I$44*$AE$44</f>
        <v>254460.53810549938</v>
      </c>
      <c r="AF90" s="43">
        <f>$I$44*$AF$44</f>
        <v>0</v>
      </c>
      <c r="AG90" s="43">
        <f>$I$44*$AG$44</f>
        <v>-3553.2071759042014</v>
      </c>
      <c r="AH90" s="43">
        <f>$I$44*$AH$44</f>
        <v>70387.28889267295</v>
      </c>
    </row>
    <row r="91" spans="1:34" ht="11.25" customHeight="1" x14ac:dyDescent="0.25">
      <c r="A91" s="9" t="s">
        <v>47</v>
      </c>
      <c r="B91" s="9" t="s">
        <v>1592</v>
      </c>
      <c r="C91" s="9" t="s">
        <v>1593</v>
      </c>
      <c r="D91" s="9" t="s">
        <v>1598</v>
      </c>
      <c r="E91" s="9" t="s">
        <v>1599</v>
      </c>
      <c r="F91" s="9" t="s">
        <v>1600</v>
      </c>
      <c r="G91" s="9" t="s">
        <v>1601</v>
      </c>
      <c r="L91" s="43">
        <f>$I$45*$L$45</f>
        <v>3041.9358308130986</v>
      </c>
      <c r="M91" s="43">
        <f>$I$45*$M$45</f>
        <v>22866.683845196105</v>
      </c>
      <c r="N91" s="43">
        <f>$I$45*$N$45</f>
        <v>0</v>
      </c>
      <c r="O91" s="43">
        <f>$I$45*$O$45</f>
        <v>15788.873935072315</v>
      </c>
      <c r="P91" s="43">
        <f>$I$45*$P$45</f>
        <v>-16528.560977232395</v>
      </c>
      <c r="Q91" s="43">
        <f>$I$45*$Q$45</f>
        <v>274525.58580763283</v>
      </c>
      <c r="R91" s="43">
        <f>$I$45*$R$45</f>
        <v>6716.6387597406947</v>
      </c>
      <c r="S91" s="43">
        <f>$I$45*$S$45</f>
        <v>4587.1885097637805</v>
      </c>
      <c r="T91" s="43">
        <f>$I$45*$T$45</f>
        <v>0</v>
      </c>
      <c r="U91" s="43">
        <f>$I$45*$U$45</f>
        <v>0</v>
      </c>
      <c r="V91" s="43">
        <f>$I$45*$V$45</f>
        <v>1297.4445227181216</v>
      </c>
      <c r="X91" s="43">
        <f>$I$45*$X$45</f>
        <v>2967.6243716252252</v>
      </c>
      <c r="Y91" s="43">
        <f>$I$45*$Y$45</f>
        <v>32169.240555423046</v>
      </c>
      <c r="Z91" s="43">
        <f>$I$45*$Z$45</f>
        <v>0</v>
      </c>
      <c r="AA91" s="43">
        <f>$I$45*$AA$45</f>
        <v>0</v>
      </c>
      <c r="AB91" s="43">
        <f>$I$45*$AB$45</f>
        <v>0</v>
      </c>
      <c r="AC91" s="43">
        <f>$I$45*$AC$45</f>
        <v>258262.46829503379</v>
      </c>
      <c r="AD91" s="43">
        <f>$I$45*$AD$45</f>
        <v>4732.6853814978467</v>
      </c>
      <c r="AE91" s="43">
        <f>$I$45*$AE$45</f>
        <v>5390.9970133069346</v>
      </c>
      <c r="AF91" s="43">
        <f>$I$45*$AF$45</f>
        <v>0</v>
      </c>
      <c r="AG91" s="43">
        <f>$I$45*$AG$45</f>
        <v>-75.278192114089336</v>
      </c>
      <c r="AH91" s="43">
        <f>$I$45*$AH$45</f>
        <v>1491.2240106866755</v>
      </c>
    </row>
  </sheetData>
  <mergeCells count="81">
    <mergeCell ref="L47:V47"/>
    <mergeCell ref="X47:AH47"/>
    <mergeCell ref="L48:V48"/>
    <mergeCell ref="X48:AH48"/>
    <mergeCell ref="L49:P49"/>
    <mergeCell ref="R49:T49"/>
    <mergeCell ref="X49:AB49"/>
    <mergeCell ref="AD49:AF49"/>
    <mergeCell ref="E39:E41"/>
    <mergeCell ref="F39:F41"/>
    <mergeCell ref="A44:A45"/>
    <mergeCell ref="B44:B45"/>
    <mergeCell ref="C44:C45"/>
    <mergeCell ref="A39:A43"/>
    <mergeCell ref="B39:B41"/>
    <mergeCell ref="C39:C41"/>
    <mergeCell ref="D39:D41"/>
    <mergeCell ref="X1:AH1"/>
    <mergeCell ref="X2:AH2"/>
    <mergeCell ref="X3:AB3"/>
    <mergeCell ref="AD3:AF3"/>
    <mergeCell ref="B36:B38"/>
    <mergeCell ref="C36:C38"/>
    <mergeCell ref="F28:F30"/>
    <mergeCell ref="B32:B34"/>
    <mergeCell ref="C32:C34"/>
    <mergeCell ref="D32:D34"/>
    <mergeCell ref="E32:E34"/>
    <mergeCell ref="F32:F34"/>
    <mergeCell ref="F24:F26"/>
    <mergeCell ref="F11:F13"/>
    <mergeCell ref="F9:F10"/>
    <mergeCell ref="F7:F8"/>
    <mergeCell ref="A24:A38"/>
    <mergeCell ref="B24:B26"/>
    <mergeCell ref="C24:C26"/>
    <mergeCell ref="D24:D26"/>
    <mergeCell ref="E24:E26"/>
    <mergeCell ref="B28:B30"/>
    <mergeCell ref="C28:C30"/>
    <mergeCell ref="D28:D30"/>
    <mergeCell ref="E28:E30"/>
    <mergeCell ref="A11:A23"/>
    <mergeCell ref="B11:B13"/>
    <mergeCell ref="C11:C13"/>
    <mergeCell ref="D11:D13"/>
    <mergeCell ref="E11:E13"/>
    <mergeCell ref="B14:B18"/>
    <mergeCell ref="C14:C18"/>
    <mergeCell ref="B19:B23"/>
    <mergeCell ref="C19:C23"/>
    <mergeCell ref="A9:A10"/>
    <mergeCell ref="B9:B10"/>
    <mergeCell ref="C9:C10"/>
    <mergeCell ref="D9:D10"/>
    <mergeCell ref="E9:E10"/>
    <mergeCell ref="A7:A8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V1"/>
    <mergeCell ref="L2:V2"/>
    <mergeCell ref="L3:P3"/>
    <mergeCell ref="R3:T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F67EE-A3D0-4445-9741-0922A17A404E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5" bestFit="1" customWidth="1"/>
    <col min="2" max="2" width="12.42578125" style="15" bestFit="1" customWidth="1"/>
    <col min="3" max="6" width="10.28515625" style="15" bestFit="1" customWidth="1"/>
    <col min="7" max="7" width="11.7109375" style="15" bestFit="1" customWidth="1"/>
    <col min="8" max="8" width="10.85546875" style="15" bestFit="1" customWidth="1"/>
    <col min="9" max="9" width="8" style="15" bestFit="1" customWidth="1"/>
    <col min="10" max="10" width="10.85546875" style="15" bestFit="1" customWidth="1"/>
    <col min="11" max="11" width="10" style="15" bestFit="1" customWidth="1"/>
    <col min="12" max="12" width="9.5703125" style="15" bestFit="1" customWidth="1"/>
    <col min="13" max="13" width="9.7109375" style="15" bestFit="1" customWidth="1"/>
    <col min="14" max="14" width="10.85546875" style="15" bestFit="1" customWidth="1"/>
    <col min="15" max="15" width="7.42578125" style="15" bestFit="1" customWidth="1"/>
    <col min="16" max="16" width="9.7109375" style="15" bestFit="1" customWidth="1"/>
    <col min="17" max="17" width="11.7109375" style="15" bestFit="1" customWidth="1"/>
    <col min="18" max="18" width="7.7109375" style="15" bestFit="1" customWidth="1"/>
    <col min="19" max="19" width="7.140625" style="15" bestFit="1" customWidth="1"/>
    <col min="20" max="20" width="14.5703125" style="15" bestFit="1" customWidth="1"/>
    <col min="21" max="21" width="17.7109375" style="15" bestFit="1" customWidth="1"/>
    <col min="22" max="22" width="18.42578125" style="15" bestFit="1" customWidth="1"/>
    <col min="23" max="23" width="10" style="15" bestFit="1" customWidth="1"/>
    <col min="24" max="24" width="11.7109375" style="15" bestFit="1" customWidth="1"/>
    <col min="25" max="26" width="9.140625" style="15"/>
    <col min="27" max="27" width="3" style="15" bestFit="1" customWidth="1"/>
    <col min="28" max="28" width="21.5703125" style="15" bestFit="1" customWidth="1"/>
    <col min="29" max="29" width="13.5703125" style="15" bestFit="1" customWidth="1"/>
    <col min="30" max="30" width="25.140625" style="15" bestFit="1" customWidth="1"/>
    <col min="31" max="31" width="10.28515625" style="15" bestFit="1" customWidth="1"/>
    <col min="32" max="32" width="26.28515625" style="15" bestFit="1" customWidth="1"/>
    <col min="33" max="33" width="10.28515625" style="15" bestFit="1" customWidth="1"/>
    <col min="34" max="16384" width="9.140625" style="15"/>
  </cols>
  <sheetData>
    <row r="1" spans="1:33" x14ac:dyDescent="0.2">
      <c r="A1" s="15" t="s">
        <v>107</v>
      </c>
      <c r="B1" s="15" t="s">
        <v>108</v>
      </c>
      <c r="C1" s="15" t="s">
        <v>109</v>
      </c>
      <c r="D1" s="15" t="s">
        <v>110</v>
      </c>
      <c r="E1" s="15" t="s">
        <v>111</v>
      </c>
      <c r="F1" s="15" t="s">
        <v>15</v>
      </c>
      <c r="G1" s="15" t="s">
        <v>113</v>
      </c>
      <c r="I1" s="15" t="s">
        <v>1609</v>
      </c>
      <c r="AA1" s="15" t="s">
        <v>59</v>
      </c>
      <c r="AB1" s="15" t="s">
        <v>25</v>
      </c>
      <c r="AC1" s="15" t="s">
        <v>25</v>
      </c>
      <c r="AD1" s="15" t="s">
        <v>25</v>
      </c>
      <c r="AE1" s="15" t="s">
        <v>25</v>
      </c>
      <c r="AF1" s="15" t="s">
        <v>25</v>
      </c>
      <c r="AG1" s="15" t="s">
        <v>25</v>
      </c>
    </row>
    <row r="2" spans="1:33" x14ac:dyDescent="0.2">
      <c r="A2" s="15" t="s">
        <v>59</v>
      </c>
      <c r="B2" s="15" t="s">
        <v>25</v>
      </c>
      <c r="C2" s="15" t="s">
        <v>25</v>
      </c>
      <c r="D2" s="15" t="s">
        <v>25</v>
      </c>
      <c r="E2" s="15" t="s">
        <v>25</v>
      </c>
      <c r="F2" s="15" t="s">
        <v>25</v>
      </c>
      <c r="G2" s="15" t="s">
        <v>25</v>
      </c>
      <c r="I2" s="15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5" t="s">
        <v>39</v>
      </c>
      <c r="AB2" s="15" t="s">
        <v>40</v>
      </c>
      <c r="AC2" s="15" t="s">
        <v>24</v>
      </c>
      <c r="AD2" s="15" t="s">
        <v>24</v>
      </c>
      <c r="AE2" s="15" t="s">
        <v>61</v>
      </c>
      <c r="AF2" s="15" t="s">
        <v>65</v>
      </c>
      <c r="AG2" s="15" t="s">
        <v>121</v>
      </c>
    </row>
    <row r="3" spans="1:33" x14ac:dyDescent="0.2">
      <c r="AA3" s="15" t="s">
        <v>41</v>
      </c>
      <c r="AB3" s="15" t="s">
        <v>64</v>
      </c>
      <c r="AC3" s="15" t="s">
        <v>45</v>
      </c>
      <c r="AD3" s="15" t="s">
        <v>29</v>
      </c>
      <c r="AE3" s="15" t="s">
        <v>126</v>
      </c>
      <c r="AF3" s="15" t="s">
        <v>67</v>
      </c>
      <c r="AG3" s="15" t="s">
        <v>122</v>
      </c>
    </row>
    <row r="4" spans="1:33" x14ac:dyDescent="0.2">
      <c r="AA4" s="15" t="s">
        <v>125</v>
      </c>
      <c r="AB4" s="15" t="s">
        <v>81</v>
      </c>
      <c r="AC4" s="15" t="s">
        <v>48</v>
      </c>
      <c r="AD4" s="15" t="s">
        <v>30</v>
      </c>
      <c r="AE4" s="15" t="s">
        <v>127</v>
      </c>
      <c r="AF4" s="15" t="s">
        <v>69</v>
      </c>
      <c r="AG4" s="15" t="s">
        <v>123</v>
      </c>
    </row>
    <row r="5" spans="1:33" x14ac:dyDescent="0.2">
      <c r="A5" s="15" t="s">
        <v>1602</v>
      </c>
      <c r="B5" s="15" t="str">
        <f>TUSD!$AI$4</f>
        <v>CDE Covid TUSD</v>
      </c>
      <c r="C5" s="15" t="str">
        <f>TUSD!$AJ$4</f>
        <v>TFSEE</v>
      </c>
      <c r="D5" s="15" t="str">
        <f>TUSD!$AK$4</f>
        <v>P&amp;D</v>
      </c>
      <c r="E5" s="15" t="str">
        <f>TUSD!$AL$4</f>
        <v>ONS</v>
      </c>
      <c r="F5" s="15" t="str">
        <f>TUSD!$AM$4</f>
        <v>CCC</v>
      </c>
      <c r="G5" s="15" t="str">
        <f>TUSD!$AN$4</f>
        <v>CDE</v>
      </c>
      <c r="H5" s="15" t="str">
        <f>TUSD!$AO$4</f>
        <v>PROINFA</v>
      </c>
      <c r="I5" s="15" t="str">
        <f>TUSD!$AP$4</f>
        <v>LIMINAR 1</v>
      </c>
      <c r="J5" s="15" t="str">
        <f>TUSD!$AQ$4</f>
        <v>TUSD RB</v>
      </c>
      <c r="K5" s="15" t="str">
        <f>TUSD!$AR$4</f>
        <v>TUSD FR</v>
      </c>
      <c r="L5" s="15" t="str">
        <f>TUSD!$AS$4</f>
        <v>CONEXAO T</v>
      </c>
      <c r="M5" s="15" t="str">
        <f>TUSD!$AT$4</f>
        <v>CONEXAO D</v>
      </c>
      <c r="N5" s="15" t="str">
        <f>TUSD!$AU$4</f>
        <v>CUSD</v>
      </c>
      <c r="O5" s="15" t="str">
        <f>TUSD!$AV$4</f>
        <v>TUSDG-T</v>
      </c>
      <c r="P5" s="15" t="str">
        <f>TUSD!$AW$4</f>
        <v>TUSDG-ONS</v>
      </c>
      <c r="Q5" s="15" t="str">
        <f>TUSD!$AX$4</f>
        <v>DISTRIBUICAO</v>
      </c>
      <c r="R5" s="15" t="str">
        <f>TUSD!$AY$4</f>
        <v>SUBSIDIO</v>
      </c>
      <c r="S5" s="15" t="str">
        <f>TUSD!$AZ$4</f>
        <v>OUTROS</v>
      </c>
      <c r="T5" s="15" t="str">
        <f>TUSD!$BA$4</f>
        <v>PERDAS TECNICAS</v>
      </c>
      <c r="U5" s="15" t="str">
        <f>TUSD!$BB$4</f>
        <v>PERDAS RB/ PERDAS D</v>
      </c>
      <c r="V5" s="15" t="str">
        <f>TUSD!$BC$4</f>
        <v>PERDAS NAO TECNICAS</v>
      </c>
      <c r="W5" s="15" t="str">
        <f>TUSD!$BD$4</f>
        <v>RI</v>
      </c>
      <c r="X5" s="15" t="s">
        <v>988</v>
      </c>
      <c r="AA5" s="15" t="s">
        <v>22</v>
      </c>
      <c r="AB5" s="15" t="s">
        <v>42</v>
      </c>
      <c r="AD5" s="15" t="s">
        <v>31</v>
      </c>
      <c r="AF5" s="15" t="s">
        <v>72</v>
      </c>
      <c r="AG5" s="15" t="s">
        <v>9</v>
      </c>
    </row>
    <row r="6" spans="1:33" x14ac:dyDescent="0.2">
      <c r="A6" s="15" t="s">
        <v>1603</v>
      </c>
      <c r="B6" s="18">
        <f>SUM(TUSD!$AI$80:'TUSD'!$AI$149)</f>
        <v>12735525.043083582</v>
      </c>
      <c r="C6" s="18">
        <f>SUM(TUSD!$AJ$80:'TUSD'!$AJ$149)</f>
        <v>1072284.9653242156</v>
      </c>
      <c r="D6" s="18">
        <f>SUM(TUSD!$AK$80:'TUSD'!$AK$149)</f>
        <v>3944173.5429862821</v>
      </c>
      <c r="E6" s="18">
        <f>SUM(TUSD!$AL$80:'TUSD'!$AL$149)</f>
        <v>415.91145807337341</v>
      </c>
      <c r="F6" s="18">
        <f>SUM(TUSD!$AM$80:'TUSD'!$AM$149)</f>
        <v>0</v>
      </c>
      <c r="G6" s="18">
        <f>SUM(TUSD!$AN$80:'TUSD'!$AN$149)</f>
        <v>66613055.824657381</v>
      </c>
      <c r="H6" s="18">
        <f>SUM(TUSD!$AO$80:'TUSD'!$AO$149)</f>
        <v>13363947.291853378</v>
      </c>
      <c r="I6" s="18">
        <f>SUM(TUSD!$AP$80:'TUSD'!$AP$149)</f>
        <v>0</v>
      </c>
      <c r="J6" s="18">
        <f>SUM(TUSD!$AQ$80:'TUSD'!$AQ$149)</f>
        <v>17307819.21440072</v>
      </c>
      <c r="K6" s="18">
        <f>SUM(TUSD!$AR$80:'TUSD'!$AR$149)</f>
        <v>4446033.5806436455</v>
      </c>
      <c r="L6" s="18">
        <f>SUM(TUSD!$AS$80:'TUSD'!$AS$149)</f>
        <v>0</v>
      </c>
      <c r="M6" s="18">
        <f>SUM(TUSD!$AT$80:'TUSD'!$AT$149)</f>
        <v>0</v>
      </c>
      <c r="N6" s="18">
        <f>SUM(TUSD!$AU$80:'TUSD'!$AU$149)</f>
        <v>61763765.831272051</v>
      </c>
      <c r="O6" s="18">
        <f>SUM(TUSD!$AV$80:'TUSD'!$AV$149)</f>
        <v>0</v>
      </c>
      <c r="P6" s="18">
        <f>SUM(TUSD!$AW$80:'TUSD'!$AW$149)</f>
        <v>658791.93614011246</v>
      </c>
      <c r="Q6" s="18">
        <f>SUM(TUSD!$AX$80:'TUSD'!$AX$149)</f>
        <v>247206164.99721602</v>
      </c>
      <c r="R6" s="18">
        <f>SUM(TUSD!$AY$80:'TUSD'!$AY$149)</f>
        <v>-84341.10830433399</v>
      </c>
      <c r="S6" s="18">
        <f>SUM(TUSD!$AZ$80:'TUSD'!$AZ$149)</f>
        <v>0</v>
      </c>
      <c r="T6" s="18">
        <f>SUM(TUSD!$BA$80:'TUSD'!$BA$149)</f>
        <v>46176649.86526724</v>
      </c>
      <c r="U6" s="18">
        <f>SUM(TUSD!$BB$80:'TUSD'!$BB$149)</f>
        <v>283895.72022932721</v>
      </c>
      <c r="V6" s="18">
        <f>SUM(TUSD!$BC$80:'TUSD'!$BC$149)</f>
        <v>995203.40370241995</v>
      </c>
      <c r="W6" s="18">
        <f>SUM(TUSD!$BD$80:'TUSD'!$BD$149)</f>
        <v>4140820.5659015113</v>
      </c>
      <c r="X6" s="18">
        <f t="shared" ref="X6:X11" si="0">SUM(B6:W6)</f>
        <v>480624206.58583164</v>
      </c>
      <c r="AA6" s="15" t="s">
        <v>44</v>
      </c>
      <c r="AB6" s="15" t="s">
        <v>33</v>
      </c>
      <c r="AD6" s="15" t="s">
        <v>32</v>
      </c>
      <c r="AF6" s="15" t="s">
        <v>73</v>
      </c>
      <c r="AG6" s="15" t="s">
        <v>118</v>
      </c>
    </row>
    <row r="7" spans="1:33" x14ac:dyDescent="0.2">
      <c r="A7" s="15" t="s">
        <v>1604</v>
      </c>
      <c r="B7" s="18">
        <f>SUM(TUSD!$L$80:'TUSD'!$L$149)</f>
        <v>2909081.3018923127</v>
      </c>
      <c r="C7" s="18">
        <f>SUM(TUSD!$M$80:'TUSD'!$M$149)</f>
        <v>1370548.5513030477</v>
      </c>
      <c r="D7" s="18">
        <f ca="1">SUM(TUSD!$N$80:'TUSD'!$N$149)</f>
        <v>4715773.6235830672</v>
      </c>
      <c r="E7" s="18">
        <f>SUM(TUSD!$O$80:'TUSD'!$O$149)</f>
        <v>295.92227052358078</v>
      </c>
      <c r="F7" s="18">
        <f>SUM(TUSD!$P$80:'TUSD'!$P$149)</f>
        <v>0</v>
      </c>
      <c r="G7" s="18">
        <f>SUM(TUSD!$Q$80:'TUSD'!$Q$149)</f>
        <v>133399834.29037361</v>
      </c>
      <c r="H7" s="18">
        <f>SUM(TUSD!$R$80:'TUSD'!$R$149)</f>
        <v>24558340.795403417</v>
      </c>
      <c r="I7" s="18">
        <f>SUM(TUSD!$S$80:'TUSD'!$S$149)</f>
        <v>0</v>
      </c>
      <c r="J7" s="18">
        <f>SUM(TUSD!$T$80:'TUSD'!$T$149)</f>
        <v>22830952.543718863</v>
      </c>
      <c r="K7" s="18">
        <f>SUM(TUSD!$U$80:'TUSD'!$U$149)</f>
        <v>4425681.0656622611</v>
      </c>
      <c r="L7" s="18">
        <f>SUM(TUSD!$V$80:'TUSD'!$V$149)</f>
        <v>0</v>
      </c>
      <c r="M7" s="18">
        <f>SUM(TUSD!$W$80:'TUSD'!$W$149)</f>
        <v>0</v>
      </c>
      <c r="N7" s="18">
        <f>SUM(TUSD!$X$80:'TUSD'!$X$149)</f>
        <v>77139375.722961769</v>
      </c>
      <c r="O7" s="18">
        <f>SUM(TUSD!$Y$80:'TUSD'!$Y$149)</f>
        <v>0</v>
      </c>
      <c r="P7" s="18">
        <f>SUM(TUSD!$Z$80:'TUSD'!$Z$149)</f>
        <v>607252.06283163081</v>
      </c>
      <c r="Q7" s="18">
        <f>SUM(TUSD!$AA$80:'TUSD'!$AA$149)</f>
        <v>279613171.03599465</v>
      </c>
      <c r="R7" s="18">
        <f ca="1">SUM(TUSD!$AB$80:'TUSD'!$AB$149)</f>
        <v>0</v>
      </c>
      <c r="S7" s="18">
        <f ca="1">SUM(TUSD!$AC$80:'TUSD'!$AC$149)</f>
        <v>0</v>
      </c>
      <c r="T7" s="18">
        <f>SUM(TUSD!$AD$80:'TUSD'!$AD$149)</f>
        <v>50393076.560444176</v>
      </c>
      <c r="U7" s="18">
        <f>SUM(TUSD!$AE$80:'TUSD'!$AE$149)</f>
        <v>250217.69243326198</v>
      </c>
      <c r="V7" s="18">
        <f ca="1">SUM(TUSD!$AF$80:'TUSD'!$AF$149)</f>
        <v>1041337.8967879131</v>
      </c>
      <c r="W7" s="18">
        <f ca="1">SUM(TUSD!$AG$80:'TUSD'!$AG$149)</f>
        <v>6707878.1344121154</v>
      </c>
      <c r="X7" s="18">
        <f t="shared" ca="1" si="0"/>
        <v>609962817.20007253</v>
      </c>
      <c r="AA7" s="15" t="s">
        <v>37</v>
      </c>
      <c r="AB7" s="15" t="s">
        <v>23</v>
      </c>
      <c r="AD7" s="15" t="s">
        <v>132</v>
      </c>
      <c r="AF7" s="15" t="s">
        <v>75</v>
      </c>
      <c r="AG7" s="15" t="s">
        <v>119</v>
      </c>
    </row>
    <row r="8" spans="1:33" x14ac:dyDescent="0.2">
      <c r="A8" s="15" t="s">
        <v>1607</v>
      </c>
      <c r="B8" s="18">
        <f>IF($G$2&lt;&gt;"Não se aplica",SUMIF(TUSD!$G$80:'TUSD'!$G$149,$I$2,TUSD!$AI$80:'TUSD'!$AI$149),IF($F$2&lt;&gt;"Não se aplica",SUMIF(TUSD!$F$80:'TUSD'!$F$149,$I$2,TUSD!$AI$80:'TUSD'!$AI$149),IF($E$2&lt;&gt;"Não se aplica",SUMIF(TUSD!$E$80:'TUSD'!$E$149,$I$2,TUSD!$AI$80:'TUSD'!$AI$149),IF($D$2&lt;&gt;"Não se aplica",SUMIF(TUSD!$D$80:'TUSD'!$D$149,$I$2,TUSD!$AI$80:'TUSD'!$AI$149),IF($C$2&lt;&gt;"Não se aplica",SUMIF(TUSD!$C$80:'TUSD'!$C$149,$I$2,TUSD!$AI$80:'TUSD'!$AI$149),IF($B$2&lt;&gt;"Não se aplica",SUMIF(TUSD!$B$80:'TUSD'!$B$149,$I$2,TUSD!$AI$80:'TUSD'!$AI$149),SUMIF(TUSD!$A$80:'TUSD'!$A$149,$I$2,TUSD!$AI$80:'TUSD'!$AI$149)))))))</f>
        <v>205248.22963255335</v>
      </c>
      <c r="C8" s="18">
        <f>IF($G$2&lt;&gt;"Não se aplica",SUMIF(TUSD!$G$80:'TUSD'!$G$149,$I$2,TUSD!$AJ$80:'TUSD'!$AJ$149),IF($F$2&lt;&gt;"Não se aplica",SUMIF(TUSD!$F$80:'TUSD'!$F$149,$I$2,TUSD!$AJ$80:'TUSD'!$AJ$149),IF($E$2&lt;&gt;"Não se aplica",SUMIF(TUSD!$E$80:'TUSD'!$E$149,$I$2,TUSD!$AJ$80:'TUSD'!$AJ$149),IF($D$2&lt;&gt;"Não se aplica",SUMIF(TUSD!$D$80:'TUSD'!$D$149,$I$2,TUSD!$AJ$80:'TUSD'!$AJ$149),IF($C$2&lt;&gt;"Não se aplica",SUMIF(TUSD!$C$80:'TUSD'!$C$149,$I$2,TUSD!$AJ$80:'TUSD'!$AJ$149),IF($B$2&lt;&gt;"Não se aplica",SUMIF(TUSD!$B$80:'TUSD'!$B$149,$I$2,TUSD!$AJ$80:'TUSD'!$AJ$149),SUMIF(TUSD!$A$80:'TUSD'!$A$149,$I$2,TUSD!$AJ$80:'TUSD'!$AJ$149)))))))</f>
        <v>185400.00365592248</v>
      </c>
      <c r="D8" s="18">
        <f>IF($G$2&lt;&gt;"Não se aplica",SUMIF(TUSD!$G$80:'TUSD'!$G$149,$I$2,TUSD!$AK$80:'TUSD'!$AK$149),IF($F$2&lt;&gt;"Não se aplica",SUMIF(TUSD!$F$80:'TUSD'!$F$149,$I$2,TUSD!$AK$80:'TUSD'!$AK$149),IF($E$2&lt;&gt;"Não se aplica",SUMIF(TUSD!$E$80:'TUSD'!$E$149,$I$2,TUSD!$AK$80:'TUSD'!$AK$149),IF($D$2&lt;&gt;"Não se aplica",SUMIF(TUSD!$D$80:'TUSD'!$D$149,$I$2,TUSD!$AK$80:'TUSD'!$AK$149),IF($C$2&lt;&gt;"Não se aplica",SUMIF(TUSD!$C$80:'TUSD'!$C$149,$I$2,TUSD!$AK$80:'TUSD'!$AK$149),IF($B$2&lt;&gt;"Não se aplica",SUMIF(TUSD!$B$80:'TUSD'!$B$149,$I$2,TUSD!$AK$80:'TUSD'!$AK$149),SUMIF(TUSD!$A$80:'TUSD'!$A$149,$I$2,TUSD!$AK$80:'TUSD'!$AK$149)))))))</f>
        <v>502671.24305849161</v>
      </c>
      <c r="E8" s="18">
        <f>IF($G$2&lt;&gt;"Não se aplica",SUMIF(TUSD!$G$80:'TUSD'!$G$149,$I$2,TUSD!$AL$80:'TUSD'!$AL$149),IF($F$2&lt;&gt;"Não se aplica",SUMIF(TUSD!$F$80:'TUSD'!$F$149,$I$2,TUSD!$AL$80:'TUSD'!$AL$149),IF($E$2&lt;&gt;"Não se aplica",SUMIF(TUSD!$E$80:'TUSD'!$E$149,$I$2,TUSD!$AL$80:'TUSD'!$AL$149),IF($D$2&lt;&gt;"Não se aplica",SUMIF(TUSD!$D$80:'TUSD'!$D$149,$I$2,TUSD!$AL$80:'TUSD'!$AL$149),IF($C$2&lt;&gt;"Não se aplica",SUMIF(TUSD!$C$80:'TUSD'!$C$149,$I$2,TUSD!$AL$80:'TUSD'!$AL$149),IF($B$2&lt;&gt;"Não se aplica",SUMIF(TUSD!$B$80:'TUSD'!$B$149,$I$2,TUSD!$AL$80:'TUSD'!$AL$149),SUMIF(TUSD!$A$80:'TUSD'!$A$149,$I$2,TUSD!$AL$80:'TUSD'!$AL$149)))))))</f>
        <v>-155.95445208909496</v>
      </c>
      <c r="F8" s="18">
        <f>IF($G$2&lt;&gt;"Não se aplica",SUMIF(TUSD!$G$80:'TUSD'!$G$149,$I$2,TUSD!$AM$80:'TUSD'!$AM$149),IF($F$2&lt;&gt;"Não se aplica",SUMIF(TUSD!$F$80:'TUSD'!$F$149,$I$2,TUSD!$AM$80:'TUSD'!$AM$149),IF($E$2&lt;&gt;"Não se aplica",SUMIF(TUSD!$E$80:'TUSD'!$E$149,$I$2,TUSD!$AM$80:'TUSD'!$AM$149),IF($D$2&lt;&gt;"Não se aplica",SUMIF(TUSD!$D$80:'TUSD'!$D$149,$I$2,TUSD!$AM$80:'TUSD'!$AM$149),IF($C$2&lt;&gt;"Não se aplica",SUMIF(TUSD!$C$80:'TUSD'!$C$149,$I$2,TUSD!$AM$80:'TUSD'!$AM$149),IF($B$2&lt;&gt;"Não se aplica",SUMIF(TUSD!$B$80:'TUSD'!$B$149,$I$2,TUSD!$AM$80:'TUSD'!$AM$149),SUMIF(TUSD!$A$80:'TUSD'!$A$149,$I$2,TUSD!$AM$80:'TUSD'!$AM$149)))))))</f>
        <v>0</v>
      </c>
      <c r="G8" s="18">
        <f>IF($G$2&lt;&gt;"Não se aplica",SUMIF(TUSD!$G$80:'TUSD'!$G$149,$I$2,TUSD!$AN$80:'TUSD'!$AN$149),IF($F$2&lt;&gt;"Não se aplica",SUMIF(TUSD!$F$80:'TUSD'!$F$149,$I$2,TUSD!$AN$80:'TUSD'!$AN$149),IF($E$2&lt;&gt;"Não se aplica",SUMIF(TUSD!$E$80:'TUSD'!$E$149,$I$2,TUSD!$AN$80:'TUSD'!$AN$149),IF($D$2&lt;&gt;"Não se aplica",SUMIF(TUSD!$D$80:'TUSD'!$D$149,$I$2,TUSD!$AN$80:'TUSD'!$AN$149),IF($C$2&lt;&gt;"Não se aplica",SUMIF(TUSD!$C$80:'TUSD'!$C$149,$I$2,TUSD!$AN$80:'TUSD'!$AN$149),IF($B$2&lt;&gt;"Não se aplica",SUMIF(TUSD!$B$80:'TUSD'!$B$149,$I$2,TUSD!$AN$80:'TUSD'!$AN$149),SUMIF(TUSD!$A$80:'TUSD'!$A$149,$I$2,TUSD!$AN$80:'TUSD'!$AN$149)))))))</f>
        <v>1073549.1259428272</v>
      </c>
      <c r="H8" s="18">
        <f>IF($G$2&lt;&gt;"Não se aplica",SUMIF(TUSD!$G$80:'TUSD'!$G$149,$I$2,TUSD!$AO$80:'TUSD'!$AO$149),IF($F$2&lt;&gt;"Não se aplica",SUMIF(TUSD!$F$80:'TUSD'!$F$149,$I$2,TUSD!$AO$80:'TUSD'!$AO$149),IF($E$2&lt;&gt;"Não se aplica",SUMIF(TUSD!$E$80:'TUSD'!$E$149,$I$2,TUSD!$AO$80:'TUSD'!$AO$149),IF($D$2&lt;&gt;"Não se aplica",SUMIF(TUSD!$D$80:'TUSD'!$D$149,$I$2,TUSD!$AO$80:'TUSD'!$AO$149),IF($C$2&lt;&gt;"Não se aplica",SUMIF(TUSD!$C$80:'TUSD'!$C$149,$I$2,TUSD!$AO$80:'TUSD'!$AO$149),IF($B$2&lt;&gt;"Não se aplica",SUMIF(TUSD!$B$80:'TUSD'!$B$149,$I$2,TUSD!$AO$80:'TUSD'!$AO$149),SUMIF(TUSD!$A$80:'TUSD'!$A$149,$I$2,TUSD!$AO$80:'TUSD'!$AO$149)))))))</f>
        <v>299535.37774683908</v>
      </c>
      <c r="I8" s="18">
        <f>IF($G$2&lt;&gt;"Não se aplica",SUMIF(TUSD!$G$80:'TUSD'!$G$149,$I$2,TUSD!$AP$80:'TUSD'!$AP$149),IF($F$2&lt;&gt;"Não se aplica",SUMIF(TUSD!$F$80:'TUSD'!$F$149,$I$2,TUSD!$AP$80:'TUSD'!$AP$149),IF($E$2&lt;&gt;"Não se aplica",SUMIF(TUSD!$E$80:'TUSD'!$E$149,$I$2,TUSD!$AP$80:'TUSD'!$AP$149),IF($D$2&lt;&gt;"Não se aplica",SUMIF(TUSD!$D$80:'TUSD'!$D$149,$I$2,TUSD!$AP$80:'TUSD'!$AP$149),IF($C$2&lt;&gt;"Não se aplica",SUMIF(TUSD!$C$80:'TUSD'!$C$149,$I$2,TUSD!$AP$80:'TUSD'!$AP$149),IF($B$2&lt;&gt;"Não se aplica",SUMIF(TUSD!$B$80:'TUSD'!$B$149,$I$2,TUSD!$AP$80:'TUSD'!$AP$149),SUMIF(TUSD!$A$80:'TUSD'!$A$149,$I$2,TUSD!$AP$80:'TUSD'!$AP$149)))))))</f>
        <v>0</v>
      </c>
      <c r="J8" s="18">
        <f>IF($G$2&lt;&gt;"Não se aplica",SUMIF(TUSD!$G$80:'TUSD'!$G$149,$I$2,TUSD!$AQ$80:'TUSD'!$AQ$149),IF($F$2&lt;&gt;"Não se aplica",SUMIF(TUSD!$F$80:'TUSD'!$F$149,$I$2,TUSD!$AQ$80:'TUSD'!$AQ$149),IF($E$2&lt;&gt;"Não se aplica",SUMIF(TUSD!$E$80:'TUSD'!$E$149,$I$2,TUSD!$AQ$80:'TUSD'!$AQ$149),IF($D$2&lt;&gt;"Não se aplica",SUMIF(TUSD!$D$80:'TUSD'!$D$149,$I$2,TUSD!$AQ$80:'TUSD'!$AQ$149),IF($C$2&lt;&gt;"Não se aplica",SUMIF(TUSD!$C$80:'TUSD'!$C$149,$I$2,TUSD!$AQ$80:'TUSD'!$AQ$149),IF($B$2&lt;&gt;"Não se aplica",SUMIF(TUSD!$B$80:'TUSD'!$B$149,$I$2,TUSD!$AQ$80:'TUSD'!$AQ$149),SUMIF(TUSD!$A$80:'TUSD'!$A$149,$I$2,TUSD!$AQ$80:'TUSD'!$AQ$149)))))))</f>
        <v>398720.04209059349</v>
      </c>
      <c r="K8" s="18">
        <f>IF($G$2&lt;&gt;"Não se aplica",SUMIF(TUSD!$G$80:'TUSD'!$G$149,$I$2,TUSD!$AR$80:'TUSD'!$AR$149),IF($F$2&lt;&gt;"Não se aplica",SUMIF(TUSD!$F$80:'TUSD'!$F$149,$I$2,TUSD!$AR$80:'TUSD'!$AR$149),IF($E$2&lt;&gt;"Não se aplica",SUMIF(TUSD!$E$80:'TUSD'!$E$149,$I$2,TUSD!$AR$80:'TUSD'!$AR$149),IF($D$2&lt;&gt;"Não se aplica",SUMIF(TUSD!$D$80:'TUSD'!$D$149,$I$2,TUSD!$AR$80:'TUSD'!$AR$149),IF($C$2&lt;&gt;"Não se aplica",SUMIF(TUSD!$C$80:'TUSD'!$C$149,$I$2,TUSD!$AR$80:'TUSD'!$AR$149),IF($B$2&lt;&gt;"Não se aplica",SUMIF(TUSD!$B$80:'TUSD'!$B$149,$I$2,TUSD!$AR$80:'TUSD'!$AR$149),SUMIF(TUSD!$A$80:'TUSD'!$A$149,$I$2,TUSD!$AR$80:'TUSD'!$AR$149)))))))</f>
        <v>4453230.7155201891</v>
      </c>
      <c r="L8" s="18">
        <f>IF($G$2&lt;&gt;"Não se aplica",SUMIF(TUSD!$G$80:'TUSD'!$G$149,$I$2,TUSD!$AS$80:'TUSD'!$AS$149),IF($F$2&lt;&gt;"Não se aplica",SUMIF(TUSD!$F$80:'TUSD'!$F$149,$I$2,TUSD!$AS$80:'TUSD'!$AS$149),IF($E$2&lt;&gt;"Não se aplica",SUMIF(TUSD!$E$80:'TUSD'!$E$149,$I$2,TUSD!$AS$80:'TUSD'!$AS$149),IF($D$2&lt;&gt;"Não se aplica",SUMIF(TUSD!$D$80:'TUSD'!$D$149,$I$2,TUSD!$AS$80:'TUSD'!$AS$149),IF($C$2&lt;&gt;"Não se aplica",SUMIF(TUSD!$C$80:'TUSD'!$C$149,$I$2,TUSD!$AS$80:'TUSD'!$AS$149),IF($B$2&lt;&gt;"Não se aplica",SUMIF(TUSD!$B$80:'TUSD'!$B$149,$I$2,TUSD!$AS$80:'TUSD'!$AS$149),SUMIF(TUSD!$A$80:'TUSD'!$A$149,$I$2,TUSD!$AS$80:'TUSD'!$AS$149)))))))</f>
        <v>0</v>
      </c>
      <c r="M8" s="18">
        <f>IF($G$2&lt;&gt;"Não se aplica",SUMIF(TUSD!$G$80:'TUSD'!$G$149,$I$2,TUSD!$AT$80:'TUSD'!$AT$149),IF($F$2&lt;&gt;"Não se aplica",SUMIF(TUSD!$F$80:'TUSD'!$F$149,$I$2,TUSD!$AT$80:'TUSD'!$AT$149),IF($E$2&lt;&gt;"Não se aplica",SUMIF(TUSD!$E$80:'TUSD'!$E$149,$I$2,TUSD!$AT$80:'TUSD'!$AT$149),IF($D$2&lt;&gt;"Não se aplica",SUMIF(TUSD!$D$80:'TUSD'!$D$149,$I$2,TUSD!$AT$80:'TUSD'!$AT$149),IF($C$2&lt;&gt;"Não se aplica",SUMIF(TUSD!$C$80:'TUSD'!$C$149,$I$2,TUSD!$AT$80:'TUSD'!$AT$149),IF($B$2&lt;&gt;"Não se aplica",SUMIF(TUSD!$B$80:'TUSD'!$B$149,$I$2,TUSD!$AT$80:'TUSD'!$AT$149),SUMIF(TUSD!$A$80:'TUSD'!$A$149,$I$2,TUSD!$AT$80:'TUSD'!$AT$149)))))))</f>
        <v>0</v>
      </c>
      <c r="N8" s="18">
        <f>IF($G$2&lt;&gt;"Não se aplica",SUMIF(TUSD!$G$80:'TUSD'!$G$149,$I$2,TUSD!$AU$80:'TUSD'!$AU$149),IF($F$2&lt;&gt;"Não se aplica",SUMIF(TUSD!$F$80:'TUSD'!$F$149,$I$2,TUSD!$AU$80:'TUSD'!$AU$149),IF($E$2&lt;&gt;"Não se aplica",SUMIF(TUSD!$E$80:'TUSD'!$E$149,$I$2,TUSD!$AU$80:'TUSD'!$AU$149),IF($D$2&lt;&gt;"Não se aplica",SUMIF(TUSD!$D$80:'TUSD'!$D$149,$I$2,TUSD!$AU$80:'TUSD'!$AU$149),IF($C$2&lt;&gt;"Não se aplica",SUMIF(TUSD!$C$80:'TUSD'!$C$149,$I$2,TUSD!$AU$80:'TUSD'!$AU$149),IF($B$2&lt;&gt;"Não se aplica",SUMIF(TUSD!$B$80:'TUSD'!$B$149,$I$2,TUSD!$AU$80:'TUSD'!$AU$149),SUMIF(TUSD!$A$80:'TUSD'!$A$149,$I$2,TUSD!$AU$80:'TUSD'!$AU$149)))))))</f>
        <v>1232748.3277821504</v>
      </c>
      <c r="O8" s="18">
        <f>IF($G$2&lt;&gt;"Não se aplica",SUMIF(TUSD!$G$80:'TUSD'!$G$149,$I$2,TUSD!$AV$80:'TUSD'!$AV$149),IF($F$2&lt;&gt;"Não se aplica",SUMIF(TUSD!$F$80:'TUSD'!$F$149,$I$2,TUSD!$AV$80:'TUSD'!$AV$149),IF($E$2&lt;&gt;"Não se aplica",SUMIF(TUSD!$E$80:'TUSD'!$E$149,$I$2,TUSD!$AV$80:'TUSD'!$AV$149),IF($D$2&lt;&gt;"Não se aplica",SUMIF(TUSD!$D$80:'TUSD'!$D$149,$I$2,TUSD!$AV$80:'TUSD'!$AV$149),IF($C$2&lt;&gt;"Não se aplica",SUMIF(TUSD!$C$80:'TUSD'!$C$149,$I$2,TUSD!$AV$80:'TUSD'!$AV$149),IF($B$2&lt;&gt;"Não se aplica",SUMIF(TUSD!$B$80:'TUSD'!$B$149,$I$2,TUSD!$AV$80:'TUSD'!$AV$149),SUMIF(TUSD!$A$80:'TUSD'!$A$149,$I$2,TUSD!$AV$80:'TUSD'!$AV$149)))))))</f>
        <v>0</v>
      </c>
      <c r="P8" s="18">
        <f>IF($G$2&lt;&gt;"Não se aplica",SUMIF(TUSD!$G$80:'TUSD'!$G$149,$I$2,TUSD!$AW$80:'TUSD'!$AW$149),IF($F$2&lt;&gt;"Não se aplica",SUMIF(TUSD!$F$80:'TUSD'!$F$149,$I$2,TUSD!$AW$80:'TUSD'!$AW$149),IF($E$2&lt;&gt;"Não se aplica",SUMIF(TUSD!$E$80:'TUSD'!$E$149,$I$2,TUSD!$AW$80:'TUSD'!$AW$149),IF($D$2&lt;&gt;"Não se aplica",SUMIF(TUSD!$D$80:'TUSD'!$D$149,$I$2,TUSD!$AW$80:'TUSD'!$AW$149),IF($C$2&lt;&gt;"Não se aplica",SUMIF(TUSD!$C$80:'TUSD'!$C$149,$I$2,TUSD!$AW$80:'TUSD'!$AW$149),IF($B$2&lt;&gt;"Não se aplica",SUMIF(TUSD!$B$80:'TUSD'!$B$149,$I$2,TUSD!$AW$80:'TUSD'!$AW$149),SUMIF(TUSD!$A$80:'TUSD'!$A$149,$I$2,TUSD!$AW$80:'TUSD'!$AW$149)))))))</f>
        <v>658791.93614011246</v>
      </c>
      <c r="Q8" s="18">
        <f>IF($G$2&lt;&gt;"Não se aplica",SUMIF(TUSD!$G$80:'TUSD'!$G$149,$I$2,TUSD!$AX$80:'TUSD'!$AX$149),IF($F$2&lt;&gt;"Não se aplica",SUMIF(TUSD!$F$80:'TUSD'!$F$149,$I$2,TUSD!$AX$80:'TUSD'!$AX$149),IF($E$2&lt;&gt;"Não se aplica",SUMIF(TUSD!$E$80:'TUSD'!$E$149,$I$2,TUSD!$AX$80:'TUSD'!$AX$149),IF($D$2&lt;&gt;"Não se aplica",SUMIF(TUSD!$D$80:'TUSD'!$D$149,$I$2,TUSD!$AX$80:'TUSD'!$AX$149),IF($C$2&lt;&gt;"Não se aplica",SUMIF(TUSD!$C$80:'TUSD'!$C$149,$I$2,TUSD!$AX$80:'TUSD'!$AX$149),IF($B$2&lt;&gt;"Não se aplica",SUMIF(TUSD!$B$80:'TUSD'!$B$149,$I$2,TUSD!$AX$80:'TUSD'!$AX$149),SUMIF(TUSD!$A$80:'TUSD'!$A$149,$I$2,TUSD!$AX$80:'TUSD'!$AX$149)))))))</f>
        <v>7099790.673862013</v>
      </c>
      <c r="R8" s="18">
        <f>IF($G$2&lt;&gt;"Não se aplica",SUMIF(TUSD!$G$80:'TUSD'!$G$149,$I$2,TUSD!$AY$80:'TUSD'!$AY$149),IF($F$2&lt;&gt;"Não se aplica",SUMIF(TUSD!$F$80:'TUSD'!$F$149,$I$2,TUSD!$AY$80:'TUSD'!$AY$149),IF($E$2&lt;&gt;"Não se aplica",SUMIF(TUSD!$E$80:'TUSD'!$E$149,$I$2,TUSD!$AY$80:'TUSD'!$AY$149),IF($D$2&lt;&gt;"Não se aplica",SUMIF(TUSD!$D$80:'TUSD'!$D$149,$I$2,TUSD!$AY$80:'TUSD'!$AY$149),IF($C$2&lt;&gt;"Não se aplica",SUMIF(TUSD!$C$80:'TUSD'!$C$149,$I$2,TUSD!$AY$80:'TUSD'!$AY$149),IF($B$2&lt;&gt;"Não se aplica",SUMIF(TUSD!$B$80:'TUSD'!$B$149,$I$2,TUSD!$AY$80:'TUSD'!$AY$149),SUMIF(TUSD!$A$80:'TUSD'!$A$149,$I$2,TUSD!$AY$80:'TUSD'!$AY$149)))))))</f>
        <v>-2693.1455726706959</v>
      </c>
      <c r="S8" s="18">
        <f>IF($G$2&lt;&gt;"Não se aplica",SUMIF(TUSD!$G$80:'TUSD'!$G$149,$I$2,TUSD!$AZ$80:'TUSD'!$AZ$149),IF($F$2&lt;&gt;"Não se aplica",SUMIF(TUSD!$F$80:'TUSD'!$F$149,$I$2,TUSD!$AZ$80:'TUSD'!$AZ$149),IF($E$2&lt;&gt;"Não se aplica",SUMIF(TUSD!$E$80:'TUSD'!$E$149,$I$2,TUSD!$AZ$80:'TUSD'!$AZ$149),IF($D$2&lt;&gt;"Não se aplica",SUMIF(TUSD!$D$80:'TUSD'!$D$149,$I$2,TUSD!$AZ$80:'TUSD'!$AZ$149),IF($C$2&lt;&gt;"Não se aplica",SUMIF(TUSD!$C$80:'TUSD'!$C$149,$I$2,TUSD!$AZ$80:'TUSD'!$AZ$149),IF($B$2&lt;&gt;"Não se aplica",SUMIF(TUSD!$B$80:'TUSD'!$B$149,$I$2,TUSD!$AZ$80:'TUSD'!$AZ$149),SUMIF(TUSD!$A$80:'TUSD'!$A$149,$I$2,TUSD!$AZ$80:'TUSD'!$AZ$149)))))))</f>
        <v>0</v>
      </c>
      <c r="T8" s="18">
        <f>IF($G$2&lt;&gt;"Não se aplica",SUMIF(TUSD!$G$80:'TUSD'!$G$149,$I$2,TUSD!$BA$80:'TUSD'!$BA$149),IF($F$2&lt;&gt;"Não se aplica",SUMIF(TUSD!$F$80:'TUSD'!$F$149,$I$2,TUSD!$BA$80:'TUSD'!$BA$149),IF($E$2&lt;&gt;"Não se aplica",SUMIF(TUSD!$E$80:'TUSD'!$E$149,$I$2,TUSD!$BA$80:'TUSD'!$BA$149),IF($D$2&lt;&gt;"Não se aplica",SUMIF(TUSD!$D$80:'TUSD'!$D$149,$I$2,TUSD!$BA$80:'TUSD'!$BA$149),IF($C$2&lt;&gt;"Não se aplica",SUMIF(TUSD!$C$80:'TUSD'!$C$149,$I$2,TUSD!$BA$80:'TUSD'!$BA$149),IF($B$2&lt;&gt;"Não se aplica",SUMIF(TUSD!$B$80:'TUSD'!$B$149,$I$2,TUSD!$BA$80:'TUSD'!$BA$149),SUMIF(TUSD!$A$80:'TUSD'!$A$149,$I$2,TUSD!$BA$80:'TUSD'!$BA$149)))))))</f>
        <v>275271.92453935923</v>
      </c>
      <c r="U8" s="18">
        <f>IF($G$2&lt;&gt;"Não se aplica",SUMIF(TUSD!$G$80:'TUSD'!$G$149,$I$2,TUSD!$BB$80:'TUSD'!$BB$149),IF($F$2&lt;&gt;"Não se aplica",SUMIF(TUSD!$F$80:'TUSD'!$F$149,$I$2,TUSD!$BB$80:'TUSD'!$BB$149),IF($E$2&lt;&gt;"Não se aplica",SUMIF(TUSD!$E$80:'TUSD'!$E$149,$I$2,TUSD!$BB$80:'TUSD'!$BB$149),IF($D$2&lt;&gt;"Não se aplica",SUMIF(TUSD!$D$80:'TUSD'!$D$149,$I$2,TUSD!$BB$80:'TUSD'!$BB$149),IF($C$2&lt;&gt;"Não se aplica",SUMIF(TUSD!$C$80:'TUSD'!$C$149,$I$2,TUSD!$BB$80:'TUSD'!$BB$149),IF($B$2&lt;&gt;"Não se aplica",SUMIF(TUSD!$B$80:'TUSD'!$B$149,$I$2,TUSD!$BB$80:'TUSD'!$BB$149),SUMIF(TUSD!$A$80:'TUSD'!$A$149,$I$2,TUSD!$BB$80:'TUSD'!$BB$149)))))))</f>
        <v>956.52769548042659</v>
      </c>
      <c r="V8" s="18">
        <f>IF($G$2&lt;&gt;"Não se aplica",SUMIF(TUSD!$G$80:'TUSD'!$G$149,$I$2,TUSD!$BC$80:'TUSD'!$BC$149),IF($F$2&lt;&gt;"Não se aplica",SUMIF(TUSD!$F$80:'TUSD'!$F$149,$I$2,TUSD!$BC$80:'TUSD'!$BC$149),IF($E$2&lt;&gt;"Não se aplica",SUMIF(TUSD!$E$80:'TUSD'!$E$149,$I$2,TUSD!$BC$80:'TUSD'!$BC$149),IF($D$2&lt;&gt;"Não se aplica",SUMIF(TUSD!$D$80:'TUSD'!$D$149,$I$2,TUSD!$BC$80:'TUSD'!$BC$149),IF($C$2&lt;&gt;"Não se aplica",SUMIF(TUSD!$C$80:'TUSD'!$C$149,$I$2,TUSD!$BC$80:'TUSD'!$BC$149),IF($B$2&lt;&gt;"Não se aplica",SUMIF(TUSD!$B$80:'TUSD'!$B$149,$I$2,TUSD!$BC$80:'TUSD'!$BC$149),SUMIF(TUSD!$A$80:'TUSD'!$A$149,$I$2,TUSD!$BC$80:'TUSD'!$BC$149)))))))</f>
        <v>15967.048655654922</v>
      </c>
      <c r="W8" s="18">
        <f>IF($G$2&lt;&gt;"Não se aplica",SUMIF(TUSD!$G$80:'TUSD'!$G$149,$I$2,TUSD!$BD$80:'TUSD'!$BD$149),IF($F$2&lt;&gt;"Não se aplica",SUMIF(TUSD!$F$80:'TUSD'!$F$149,$I$2,TUSD!$BD$80:'TUSD'!$BD$149),IF($E$2&lt;&gt;"Não se aplica",SUMIF(TUSD!$E$80:'TUSD'!$E$149,$I$2,TUSD!$BD$80:'TUSD'!$BD$149),IF($D$2&lt;&gt;"Não se aplica",SUMIF(TUSD!$D$80:'TUSD'!$D$149,$I$2,TUSD!$BD$80:'TUSD'!$BD$149),IF($C$2&lt;&gt;"Não se aplica",SUMIF(TUSD!$C$80:'TUSD'!$C$149,$I$2,TUSD!$BD$80:'TUSD'!$BD$149),IF($B$2&lt;&gt;"Não se aplica",SUMIF(TUSD!$B$80:'TUSD'!$B$149,$I$2,TUSD!$BD$80:'TUSD'!$BD$149),SUMIF(TUSD!$A$80:'TUSD'!$A$149,$I$2,TUSD!$BD$80:'TUSD'!$BD$149)))))))</f>
        <v>66435.346989484024</v>
      </c>
      <c r="X8" s="18">
        <f t="shared" si="0"/>
        <v>16465467.423286911</v>
      </c>
      <c r="AA8" s="15" t="s">
        <v>47</v>
      </c>
      <c r="AB8" s="15" t="s">
        <v>131</v>
      </c>
      <c r="AD8" s="15" t="s">
        <v>133</v>
      </c>
      <c r="AF8" s="15" t="s">
        <v>86</v>
      </c>
      <c r="AG8" s="15" t="s">
        <v>128</v>
      </c>
    </row>
    <row r="9" spans="1:33" x14ac:dyDescent="0.2">
      <c r="A9" s="15" t="s">
        <v>1608</v>
      </c>
      <c r="B9" s="18">
        <f>IF($G$2&lt;&gt;"Não se aplica",SUMIF(TUSD!$G$80:'TUSD'!$G$149,$I$2,TUSD!$L$80:'TUSD'!$L$149),IF($F$2&lt;&gt;"Não se aplica",SUMIF(TUSD!$F$80:'TUSD'!$F$149,$I$2,TUSD!$L$80:'TUSD'!$L$149),IF($E$2&lt;&gt;"Não se aplica",SUMIF(TUSD!$E$80:'TUSD'!$E$149,$I$2,TUSD!$L$80:'TUSD'!$L$149),IF($D$2&lt;&gt;"Não se aplica",SUMIF(TUSD!$D$80:'TUSD'!$D$149,$I$2,TUSD!$L$80:'TUSD'!$L$149),IF($C$2&lt;&gt;"Não se aplica",SUMIF(TUSD!$C$80:'TUSD'!$C$149,$I$2,TUSD!$L$80:'TUSD'!$L$149),IF($B$2&lt;&gt;"Não se aplica",SUMIF(TUSD!$B$80:'TUSD'!$B$149,$I$2,TUSD!$L$80:'TUSD'!$L$149),SUMIF(TUSD!$A$80:'TUSD'!$A$149,$I$2,TUSD!$L$80:'TUSD'!$L$149)))))))</f>
        <v>43668.123929100162</v>
      </c>
      <c r="C9" s="18">
        <f>IF($G$2&lt;&gt;"Não se aplica",SUMIF(TUSD!$G$80:'TUSD'!$G$149,$I$2,TUSD!$M$80:'TUSD'!$M$149),IF($F$2&lt;&gt;"Não se aplica",SUMIF(TUSD!$F$80:'TUSD'!$F$149,$I$2,TUSD!$M$80:'TUSD'!$M$149),IF($E$2&lt;&gt;"Não se aplica",SUMIF(TUSD!$E$80:'TUSD'!$E$149,$I$2,TUSD!$M$80:'TUSD'!$M$149),IF($D$2&lt;&gt;"Não se aplica",SUMIF(TUSD!$D$80:'TUSD'!$D$149,$I$2,TUSD!$M$80:'TUSD'!$M$149),IF($C$2&lt;&gt;"Não se aplica",SUMIF(TUSD!$C$80:'TUSD'!$C$149,$I$2,TUSD!$M$80:'TUSD'!$M$149),IF($B$2&lt;&gt;"Não se aplica",SUMIF(TUSD!$B$80:'TUSD'!$B$149,$I$2,TUSD!$M$80:'TUSD'!$M$149),SUMIF(TUSD!$A$80:'TUSD'!$A$149,$I$2,TUSD!$M$80:'TUSD'!$M$149)))))))</f>
        <v>227105.1171654007</v>
      </c>
      <c r="D9" s="18">
        <f ca="1">IF($G$2&lt;&gt;"Não se aplica",SUMIF(TUSD!$G$80:'TUSD'!$G$149,$I$2,TUSD!$N$80:'TUSD'!$N$149),IF($F$2&lt;&gt;"Não se aplica",SUMIF(TUSD!$F$80:'TUSD'!$F$149,$I$2,TUSD!$N$80:'TUSD'!$N$149),IF($E$2&lt;&gt;"Não se aplica",SUMIF(TUSD!$E$80:'TUSD'!$E$149,$I$2,TUSD!$N$80:'TUSD'!$N$149),IF($D$2&lt;&gt;"Não se aplica",SUMIF(TUSD!$D$80:'TUSD'!$D$149,$I$2,TUSD!$N$80:'TUSD'!$N$149),IF($C$2&lt;&gt;"Não se aplica",SUMIF(TUSD!$C$80:'TUSD'!$C$149,$I$2,TUSD!$N$80:'TUSD'!$N$149),IF($B$2&lt;&gt;"Não se aplica",SUMIF(TUSD!$B$80:'TUSD'!$B$149,$I$2,TUSD!$N$80:'TUSD'!$N$149),SUMIF(TUSD!$A$80:'TUSD'!$A$149,$I$2,TUSD!$N$80:'TUSD'!$N$149)))))))</f>
        <v>557095.07227439806</v>
      </c>
      <c r="E9" s="18">
        <f>IF($G$2&lt;&gt;"Não se aplica",SUMIF(TUSD!$G$80:'TUSD'!$G$149,$I$2,TUSD!$O$80:'TUSD'!$O$149),IF($F$2&lt;&gt;"Não se aplica",SUMIF(TUSD!$F$80:'TUSD'!$F$149,$I$2,TUSD!$O$80:'TUSD'!$O$149),IF($E$2&lt;&gt;"Não se aplica",SUMIF(TUSD!$E$80:'TUSD'!$E$149,$I$2,TUSD!$O$80:'TUSD'!$O$149),IF($D$2&lt;&gt;"Não se aplica",SUMIF(TUSD!$D$80:'TUSD'!$D$149,$I$2,TUSD!$O$80:'TUSD'!$O$149),IF($C$2&lt;&gt;"Não se aplica",SUMIF(TUSD!$C$80:'TUSD'!$C$149,$I$2,TUSD!$O$80:'TUSD'!$O$149),IF($B$2&lt;&gt;"Não se aplica",SUMIF(TUSD!$B$80:'TUSD'!$B$149,$I$2,TUSD!$O$80:'TUSD'!$O$149),SUMIF(TUSD!$A$80:'TUSD'!$A$149,$I$2,TUSD!$O$80:'TUSD'!$O$149)))))))</f>
        <v>-175.48040506056751</v>
      </c>
      <c r="F9" s="18">
        <f>IF($G$2&lt;&gt;"Não se aplica",SUMIF(TUSD!$G$80:'TUSD'!$G$149,$I$2,TUSD!$P$80:'TUSD'!$P$149),IF($F$2&lt;&gt;"Não se aplica",SUMIF(TUSD!$F$80:'TUSD'!$F$149,$I$2,TUSD!$P$80:'TUSD'!$P$149),IF($E$2&lt;&gt;"Não se aplica",SUMIF(TUSD!$E$80:'TUSD'!$E$149,$I$2,TUSD!$P$80:'TUSD'!$P$149),IF($D$2&lt;&gt;"Não se aplica",SUMIF(TUSD!$D$80:'TUSD'!$D$149,$I$2,TUSD!$P$80:'TUSD'!$P$149),IF($C$2&lt;&gt;"Não se aplica",SUMIF(TUSD!$C$80:'TUSD'!$C$149,$I$2,TUSD!$P$80:'TUSD'!$P$149),IF($B$2&lt;&gt;"Não se aplica",SUMIF(TUSD!$B$80:'TUSD'!$B$149,$I$2,TUSD!$P$80:'TUSD'!$P$149),SUMIF(TUSD!$A$80:'TUSD'!$A$149,$I$2,TUSD!$P$80:'TUSD'!$P$149)))))))</f>
        <v>0</v>
      </c>
      <c r="G9" s="18">
        <f>IF($G$2&lt;&gt;"Não se aplica",SUMIF(TUSD!$G$80:'TUSD'!$G$149,$I$2,TUSD!$Q$80:'TUSD'!$Q$149),IF($F$2&lt;&gt;"Não se aplica",SUMIF(TUSD!$F$80:'TUSD'!$F$149,$I$2,TUSD!$Q$80:'TUSD'!$Q$149),IF($E$2&lt;&gt;"Não se aplica",SUMIF(TUSD!$E$80:'TUSD'!$E$149,$I$2,TUSD!$Q$80:'TUSD'!$Q$149),IF($D$2&lt;&gt;"Não se aplica",SUMIF(TUSD!$D$80:'TUSD'!$D$149,$I$2,TUSD!$Q$80:'TUSD'!$Q$149),IF($C$2&lt;&gt;"Não se aplica",SUMIF(TUSD!$C$80:'TUSD'!$C$149,$I$2,TUSD!$Q$80:'TUSD'!$Q$149),IF($B$2&lt;&gt;"Não se aplica",SUMIF(TUSD!$B$80:'TUSD'!$B$149,$I$2,TUSD!$Q$80:'TUSD'!$Q$149),SUMIF(TUSD!$A$80:'TUSD'!$A$149,$I$2,TUSD!$Q$80:'TUSD'!$Q$149)))))))</f>
        <v>2002460.5335451369</v>
      </c>
      <c r="H9" s="18">
        <f>IF($G$2&lt;&gt;"Não se aplica",SUMIF(TUSD!$G$80:'TUSD'!$G$149,$I$2,TUSD!$R$80:'TUSD'!$R$149),IF($F$2&lt;&gt;"Não se aplica",SUMIF(TUSD!$F$80:'TUSD'!$F$149,$I$2,TUSD!$R$80:'TUSD'!$R$149),IF($E$2&lt;&gt;"Não se aplica",SUMIF(TUSD!$E$80:'TUSD'!$E$149,$I$2,TUSD!$R$80:'TUSD'!$R$149),IF($D$2&lt;&gt;"Não se aplica",SUMIF(TUSD!$D$80:'TUSD'!$D$149,$I$2,TUSD!$R$80:'TUSD'!$R$149),IF($C$2&lt;&gt;"Não se aplica",SUMIF(TUSD!$C$80:'TUSD'!$C$149,$I$2,TUSD!$R$80:'TUSD'!$R$149),IF($B$2&lt;&gt;"Não se aplica",SUMIF(TUSD!$B$80:'TUSD'!$B$149,$I$2,TUSD!$R$80:'TUSD'!$R$149),SUMIF(TUSD!$A$80:'TUSD'!$A$149,$I$2,TUSD!$R$80:'TUSD'!$R$149)))))))</f>
        <v>546528.96889736294</v>
      </c>
      <c r="I9" s="18">
        <f>IF($G$2&lt;&gt;"Não se aplica",SUMIF(TUSD!$G$80:'TUSD'!$G$149,$I$2,TUSD!$S$80:'TUSD'!$S$149),IF($F$2&lt;&gt;"Não se aplica",SUMIF(TUSD!$F$80:'TUSD'!$F$149,$I$2,TUSD!$S$80:'TUSD'!$S$149),IF($E$2&lt;&gt;"Não se aplica",SUMIF(TUSD!$E$80:'TUSD'!$E$149,$I$2,TUSD!$S$80:'TUSD'!$S$149),IF($D$2&lt;&gt;"Não se aplica",SUMIF(TUSD!$D$80:'TUSD'!$D$149,$I$2,TUSD!$S$80:'TUSD'!$S$149),IF($C$2&lt;&gt;"Não se aplica",SUMIF(TUSD!$C$80:'TUSD'!$C$149,$I$2,TUSD!$S$80:'TUSD'!$S$149),IF($B$2&lt;&gt;"Não se aplica",SUMIF(TUSD!$B$80:'TUSD'!$B$149,$I$2,TUSD!$S$80:'TUSD'!$S$149),SUMIF(TUSD!$A$80:'TUSD'!$A$149,$I$2,TUSD!$S$80:'TUSD'!$S$149)))))))</f>
        <v>0</v>
      </c>
      <c r="J9" s="18">
        <f>IF($G$2&lt;&gt;"Não se aplica",SUMIF(TUSD!$G$80:'TUSD'!$G$149,$I$2,TUSD!$T$80:'TUSD'!$T$149),IF($F$2&lt;&gt;"Não se aplica",SUMIF(TUSD!$F$80:'TUSD'!$F$149,$I$2,TUSD!$T$80:'TUSD'!$T$149),IF($E$2&lt;&gt;"Não se aplica",SUMIF(TUSD!$E$80:'TUSD'!$E$149,$I$2,TUSD!$T$80:'TUSD'!$T$149),IF($D$2&lt;&gt;"Não se aplica",SUMIF(TUSD!$D$80:'TUSD'!$D$149,$I$2,TUSD!$T$80:'TUSD'!$T$149),IF($C$2&lt;&gt;"Não se aplica",SUMIF(TUSD!$C$80:'TUSD'!$C$149,$I$2,TUSD!$T$80:'TUSD'!$T$149),IF($B$2&lt;&gt;"Não se aplica",SUMIF(TUSD!$B$80:'TUSD'!$B$149,$I$2,TUSD!$T$80:'TUSD'!$T$149),SUMIF(TUSD!$A$80:'TUSD'!$A$149,$I$2,TUSD!$T$80:'TUSD'!$T$149)))))))</f>
        <v>522627.48956989788</v>
      </c>
      <c r="K9" s="18">
        <f>IF($G$2&lt;&gt;"Não se aplica",SUMIF(TUSD!$G$80:'TUSD'!$G$149,$I$2,TUSD!$U$80:'TUSD'!$U$149),IF($F$2&lt;&gt;"Não se aplica",SUMIF(TUSD!$F$80:'TUSD'!$F$149,$I$2,TUSD!$U$80:'TUSD'!$U$149),IF($E$2&lt;&gt;"Não se aplica",SUMIF(TUSD!$E$80:'TUSD'!$E$149,$I$2,TUSD!$U$80:'TUSD'!$U$149),IF($D$2&lt;&gt;"Não se aplica",SUMIF(TUSD!$D$80:'TUSD'!$D$149,$I$2,TUSD!$U$80:'TUSD'!$U$149),IF($C$2&lt;&gt;"Não se aplica",SUMIF(TUSD!$C$80:'TUSD'!$C$149,$I$2,TUSD!$U$80:'TUSD'!$U$149),IF($B$2&lt;&gt;"Não se aplica",SUMIF(TUSD!$B$80:'TUSD'!$B$149,$I$2,TUSD!$U$80:'TUSD'!$U$149),SUMIF(TUSD!$A$80:'TUSD'!$A$149,$I$2,TUSD!$U$80:'TUSD'!$U$149)))))))</f>
        <v>4171851.5245744502</v>
      </c>
      <c r="L9" s="18">
        <f>IF($G$2&lt;&gt;"Não se aplica",SUMIF(TUSD!$G$80:'TUSD'!$G$149,$I$2,TUSD!$V$80:'TUSD'!$V$149),IF($F$2&lt;&gt;"Não se aplica",SUMIF(TUSD!$F$80:'TUSD'!$F$149,$I$2,TUSD!$V$80:'TUSD'!$V$149),IF($E$2&lt;&gt;"Não se aplica",SUMIF(TUSD!$E$80:'TUSD'!$E$149,$I$2,TUSD!$V$80:'TUSD'!$V$149),IF($D$2&lt;&gt;"Não se aplica",SUMIF(TUSD!$D$80:'TUSD'!$D$149,$I$2,TUSD!$V$80:'TUSD'!$V$149),IF($C$2&lt;&gt;"Não se aplica",SUMIF(TUSD!$C$80:'TUSD'!$C$149,$I$2,TUSD!$V$80:'TUSD'!$V$149),IF($B$2&lt;&gt;"Não se aplica",SUMIF(TUSD!$B$80:'TUSD'!$B$149,$I$2,TUSD!$V$80:'TUSD'!$V$149),SUMIF(TUSD!$A$80:'TUSD'!$A$149,$I$2,TUSD!$V$80:'TUSD'!$V$149)))))))</f>
        <v>0</v>
      </c>
      <c r="M9" s="18">
        <f>IF($G$2&lt;&gt;"Não se aplica",SUMIF(TUSD!$G$80:'TUSD'!$G$149,$I$2,TUSD!$W$80:'TUSD'!$W$149),IF($F$2&lt;&gt;"Não se aplica",SUMIF(TUSD!$F$80:'TUSD'!$F$149,$I$2,TUSD!$W$80:'TUSD'!$W$149),IF($E$2&lt;&gt;"Não se aplica",SUMIF(TUSD!$E$80:'TUSD'!$E$149,$I$2,TUSD!$W$80:'TUSD'!$W$149),IF($D$2&lt;&gt;"Não se aplica",SUMIF(TUSD!$D$80:'TUSD'!$D$149,$I$2,TUSD!$W$80:'TUSD'!$W$149),IF($C$2&lt;&gt;"Não se aplica",SUMIF(TUSD!$C$80:'TUSD'!$C$149,$I$2,TUSD!$W$80:'TUSD'!$W$149),IF($B$2&lt;&gt;"Não se aplica",SUMIF(TUSD!$B$80:'TUSD'!$B$149,$I$2,TUSD!$W$80:'TUSD'!$W$149),SUMIF(TUSD!$A$80:'TUSD'!$A$149,$I$2,TUSD!$W$80:'TUSD'!$W$149)))))))</f>
        <v>0</v>
      </c>
      <c r="N9" s="18">
        <f>IF($G$2&lt;&gt;"Não se aplica",SUMIF(TUSD!$G$80:'TUSD'!$G$149,$I$2,TUSD!$X$80:'TUSD'!$X$149),IF($F$2&lt;&gt;"Não se aplica",SUMIF(TUSD!$F$80:'TUSD'!$F$149,$I$2,TUSD!$X$80:'TUSD'!$X$149),IF($E$2&lt;&gt;"Não se aplica",SUMIF(TUSD!$E$80:'TUSD'!$E$149,$I$2,TUSD!$X$80:'TUSD'!$X$149),IF($D$2&lt;&gt;"Não se aplica",SUMIF(TUSD!$D$80:'TUSD'!$D$149,$I$2,TUSD!$X$80:'TUSD'!$X$149),IF($C$2&lt;&gt;"Não se aplica",SUMIF(TUSD!$C$80:'TUSD'!$C$149,$I$2,TUSD!$X$80:'TUSD'!$X$149),IF($B$2&lt;&gt;"Não se aplica",SUMIF(TUSD!$B$80:'TUSD'!$B$149,$I$2,TUSD!$X$80:'TUSD'!$X$149),SUMIF(TUSD!$A$80:'TUSD'!$A$149,$I$2,TUSD!$X$80:'TUSD'!$X$149)))))))</f>
        <v>1537708.6067087268</v>
      </c>
      <c r="O9" s="18">
        <f>IF($G$2&lt;&gt;"Não se aplica",SUMIF(TUSD!$G$80:'TUSD'!$G$149,$I$2,TUSD!$Y$80:'TUSD'!$Y$149),IF($F$2&lt;&gt;"Não se aplica",SUMIF(TUSD!$F$80:'TUSD'!$F$149,$I$2,TUSD!$Y$80:'TUSD'!$Y$149),IF($E$2&lt;&gt;"Não se aplica",SUMIF(TUSD!$E$80:'TUSD'!$E$149,$I$2,TUSD!$Y$80:'TUSD'!$Y$149),IF($D$2&lt;&gt;"Não se aplica",SUMIF(TUSD!$D$80:'TUSD'!$D$149,$I$2,TUSD!$Y$80:'TUSD'!$Y$149),IF($C$2&lt;&gt;"Não se aplica",SUMIF(TUSD!$C$80:'TUSD'!$C$149,$I$2,TUSD!$Y$80:'TUSD'!$Y$149),IF($B$2&lt;&gt;"Não se aplica",SUMIF(TUSD!$B$80:'TUSD'!$B$149,$I$2,TUSD!$Y$80:'TUSD'!$Y$149),SUMIF(TUSD!$A$80:'TUSD'!$A$149,$I$2,TUSD!$Y$80:'TUSD'!$Y$149)))))))</f>
        <v>0</v>
      </c>
      <c r="P9" s="18">
        <f>IF($G$2&lt;&gt;"Não se aplica",SUMIF(TUSD!$G$80:'TUSD'!$G$149,$I$2,TUSD!$Z$80:'TUSD'!$Z$149),IF($F$2&lt;&gt;"Não se aplica",SUMIF(TUSD!$F$80:'TUSD'!$F$149,$I$2,TUSD!$Z$80:'TUSD'!$Z$149),IF($E$2&lt;&gt;"Não se aplica",SUMIF(TUSD!$E$80:'TUSD'!$E$149,$I$2,TUSD!$Z$80:'TUSD'!$Z$149),IF($D$2&lt;&gt;"Não se aplica",SUMIF(TUSD!$D$80:'TUSD'!$D$149,$I$2,TUSD!$Z$80:'TUSD'!$Z$149),IF($C$2&lt;&gt;"Não se aplica",SUMIF(TUSD!$C$80:'TUSD'!$C$149,$I$2,TUSD!$Z$80:'TUSD'!$Z$149),IF($B$2&lt;&gt;"Não se aplica",SUMIF(TUSD!$B$80:'TUSD'!$B$149,$I$2,TUSD!$Z$80:'TUSD'!$Z$149),SUMIF(TUSD!$A$80:'TUSD'!$A$149,$I$2,TUSD!$Z$80:'TUSD'!$Z$149)))))))</f>
        <v>607252.06283163081</v>
      </c>
      <c r="Q9" s="18">
        <f>IF($G$2&lt;&gt;"Não se aplica",SUMIF(TUSD!$G$80:'TUSD'!$G$149,$I$2,TUSD!$AA$80:'TUSD'!$AA$149),IF($F$2&lt;&gt;"Não se aplica",SUMIF(TUSD!$F$80:'TUSD'!$F$149,$I$2,TUSD!$AA$80:'TUSD'!$AA$149),IF($E$2&lt;&gt;"Não se aplica",SUMIF(TUSD!$E$80:'TUSD'!$E$149,$I$2,TUSD!$AA$80:'TUSD'!$AA$149),IF($D$2&lt;&gt;"Não se aplica",SUMIF(TUSD!$D$80:'TUSD'!$D$149,$I$2,TUSD!$AA$80:'TUSD'!$AA$149),IF($C$2&lt;&gt;"Não se aplica",SUMIF(TUSD!$C$80:'TUSD'!$C$149,$I$2,TUSD!$AA$80:'TUSD'!$AA$149),IF($B$2&lt;&gt;"Não se aplica",SUMIF(TUSD!$B$80:'TUSD'!$B$149,$I$2,TUSD!$AA$80:'TUSD'!$AA$149),SUMIF(TUSD!$A$80:'TUSD'!$A$149,$I$2,TUSD!$AA$80:'TUSD'!$AA$149)))))))</f>
        <v>8050719.4894406442</v>
      </c>
      <c r="R9" s="18">
        <f ca="1">IF($G$2&lt;&gt;"Não se aplica",SUMIF(TUSD!$G$80:'TUSD'!$G$149,$I$2,TUSD!$AB$80:'TUSD'!$AB$149),IF($F$2&lt;&gt;"Não se aplica",SUMIF(TUSD!$F$80:'TUSD'!$F$149,$I$2,TUSD!$AB$80:'TUSD'!$AB$149),IF($E$2&lt;&gt;"Não se aplica",SUMIF(TUSD!$E$80:'TUSD'!$E$149,$I$2,TUSD!$AB$80:'TUSD'!$AB$149),IF($D$2&lt;&gt;"Não se aplica",SUMIF(TUSD!$D$80:'TUSD'!$D$149,$I$2,TUSD!$AB$80:'TUSD'!$AB$149),IF($C$2&lt;&gt;"Não se aplica",SUMIF(TUSD!$C$80:'TUSD'!$C$149,$I$2,TUSD!$AB$80:'TUSD'!$AB$149),IF($B$2&lt;&gt;"Não se aplica",SUMIF(TUSD!$B$80:'TUSD'!$B$149,$I$2,TUSD!$AB$80:'TUSD'!$AB$149),SUMIF(TUSD!$A$80:'TUSD'!$A$149,$I$2,TUSD!$AB$80:'TUSD'!$AB$149)))))))</f>
        <v>0</v>
      </c>
      <c r="S9" s="18">
        <f ca="1">IF($G$2&lt;&gt;"Não se aplica",SUMIF(TUSD!$G$80:'TUSD'!$G$149,$I$2,TUSD!$AC$80:'TUSD'!$AC$149),IF($F$2&lt;&gt;"Não se aplica",SUMIF(TUSD!$F$80:'TUSD'!$F$149,$I$2,TUSD!$AC$80:'TUSD'!$AC$149),IF($E$2&lt;&gt;"Não se aplica",SUMIF(TUSD!$E$80:'TUSD'!$E$149,$I$2,TUSD!$AC$80:'TUSD'!$AC$149),IF($D$2&lt;&gt;"Não se aplica",SUMIF(TUSD!$D$80:'TUSD'!$D$149,$I$2,TUSD!$AC$80:'TUSD'!$AC$149),IF($C$2&lt;&gt;"Não se aplica",SUMIF(TUSD!$C$80:'TUSD'!$C$149,$I$2,TUSD!$AC$80:'TUSD'!$AC$149),IF($B$2&lt;&gt;"Não se aplica",SUMIF(TUSD!$B$80:'TUSD'!$B$149,$I$2,TUSD!$AC$80:'TUSD'!$AC$149),SUMIF(TUSD!$A$80:'TUSD'!$A$149,$I$2,TUSD!$AC$80:'TUSD'!$AC$149)))))))</f>
        <v>0</v>
      </c>
      <c r="T9" s="18">
        <f>IF($G$2&lt;&gt;"Não se aplica",SUMIF(TUSD!$G$80:'TUSD'!$G$149,$I$2,TUSD!$AD$80:'TUSD'!$AD$149),IF($F$2&lt;&gt;"Não se aplica",SUMIF(TUSD!$F$80:'TUSD'!$F$149,$I$2,TUSD!$AD$80:'TUSD'!$AD$149),IF($E$2&lt;&gt;"Não se aplica",SUMIF(TUSD!$E$80:'TUSD'!$E$149,$I$2,TUSD!$AD$80:'TUSD'!$AD$149),IF($D$2&lt;&gt;"Não se aplica",SUMIF(TUSD!$D$80:'TUSD'!$D$149,$I$2,TUSD!$AD$80:'TUSD'!$AD$149),IF($C$2&lt;&gt;"Não se aplica",SUMIF(TUSD!$C$80:'TUSD'!$C$149,$I$2,TUSD!$AD$80:'TUSD'!$AD$149),IF($B$2&lt;&gt;"Não se aplica",SUMIF(TUSD!$B$80:'TUSD'!$B$149,$I$2,TUSD!$AD$80:'TUSD'!$AD$149),SUMIF(TUSD!$A$80:'TUSD'!$A$149,$I$2,TUSD!$AD$80:'TUSD'!$AD$149)))))))</f>
        <v>297848.0725477034</v>
      </c>
      <c r="U9" s="18">
        <f>IF($G$2&lt;&gt;"Não se aplica",SUMIF(TUSD!$G$80:'TUSD'!$G$149,$I$2,TUSD!$AE$80:'TUSD'!$AE$149),IF($F$2&lt;&gt;"Não se aplica",SUMIF(TUSD!$F$80:'TUSD'!$F$149,$I$2,TUSD!$AE$80:'TUSD'!$AE$149),IF($E$2&lt;&gt;"Não se aplica",SUMIF(TUSD!$E$80:'TUSD'!$E$149,$I$2,TUSD!$AE$80:'TUSD'!$AE$149),IF($D$2&lt;&gt;"Não se aplica",SUMIF(TUSD!$D$80:'TUSD'!$D$149,$I$2,TUSD!$AE$80:'TUSD'!$AE$149),IF($C$2&lt;&gt;"Não se aplica",SUMIF(TUSD!$C$80:'TUSD'!$C$149,$I$2,TUSD!$AE$80:'TUSD'!$AE$149),IF($B$2&lt;&gt;"Não se aplica",SUMIF(TUSD!$B$80:'TUSD'!$B$149,$I$2,TUSD!$AE$80:'TUSD'!$AE$149),SUMIF(TUSD!$A$80:'TUSD'!$A$149,$I$2,TUSD!$AE$80:'TUSD'!$AE$149)))))))</f>
        <v>661.34296412759159</v>
      </c>
      <c r="V9" s="18">
        <f ca="1">IF($G$2&lt;&gt;"Não se aplica",SUMIF(TUSD!$G$80:'TUSD'!$G$149,$I$2,TUSD!$AF$80:'TUSD'!$AF$149),IF($F$2&lt;&gt;"Não se aplica",SUMIF(TUSD!$F$80:'TUSD'!$F$149,$I$2,TUSD!$AF$80:'TUSD'!$AF$149),IF($E$2&lt;&gt;"Não se aplica",SUMIF(TUSD!$E$80:'TUSD'!$E$149,$I$2,TUSD!$AF$80:'TUSD'!$AF$149),IF($D$2&lt;&gt;"Não se aplica",SUMIF(TUSD!$D$80:'TUSD'!$D$149,$I$2,TUSD!$AF$80:'TUSD'!$AF$149),IF($C$2&lt;&gt;"Não se aplica",SUMIF(TUSD!$C$80:'TUSD'!$C$149,$I$2,TUSD!$AF$80:'TUSD'!$AF$149),IF($B$2&lt;&gt;"Não se aplica",SUMIF(TUSD!$B$80:'TUSD'!$B$149,$I$2,TUSD!$AF$80:'TUSD'!$AF$149),SUMIF(TUSD!$A$80:'TUSD'!$A$149,$I$2,TUSD!$AF$80:'TUSD'!$AF$149)))))))</f>
        <v>11465.457502187797</v>
      </c>
      <c r="W9" s="18">
        <f ca="1">IF($G$2&lt;&gt;"Não se aplica",SUMIF(TUSD!$G$80:'TUSD'!$G$149,$I$2,TUSD!$AG$80:'TUSD'!$AG$149),IF($F$2&lt;&gt;"Não se aplica",SUMIF(TUSD!$F$80:'TUSD'!$F$149,$I$2,TUSD!$AG$80:'TUSD'!$AG$149),IF($E$2&lt;&gt;"Não se aplica",SUMIF(TUSD!$E$80:'TUSD'!$E$149,$I$2,TUSD!$AG$80:'TUSD'!$AG$149),IF($D$2&lt;&gt;"Não se aplica",SUMIF(TUSD!$D$80:'TUSD'!$D$149,$I$2,TUSD!$AG$80:'TUSD'!$AG$149),IF($C$2&lt;&gt;"Não se aplica",SUMIF(TUSD!$C$80:'TUSD'!$C$149,$I$2,TUSD!$AG$80:'TUSD'!$AG$149),IF($B$2&lt;&gt;"Não se aplica",SUMIF(TUSD!$B$80:'TUSD'!$B$149,$I$2,TUSD!$AG$80:'TUSD'!$AG$149),SUMIF(TUSD!$A$80:'TUSD'!$A$149,$I$2,TUSD!$AG$80:'TUSD'!$AG$149)))))))</f>
        <v>73855.846327295149</v>
      </c>
      <c r="X9" s="18">
        <f t="shared" ca="1" si="0"/>
        <v>18650672.227873001</v>
      </c>
      <c r="AD9" s="15" t="s">
        <v>49</v>
      </c>
      <c r="AF9" s="15" t="s">
        <v>87</v>
      </c>
    </row>
    <row r="10" spans="1:33" x14ac:dyDescent="0.2">
      <c r="A10" s="15" t="s">
        <v>1605</v>
      </c>
      <c r="B10" s="18">
        <f>SUMIF(TUSD!$A$80:'TUSD'!$A$149,$A$2,TUSD!$AI$80:'TUSD'!$AI$149)</f>
        <v>205248.22963255335</v>
      </c>
      <c r="C10" s="18">
        <f>SUMIF(TUSD!$A$80:'TUSD'!$A$149,$A$2,TUSD!$AJ$80:'TUSD'!$AJ$149)</f>
        <v>185400.00365592248</v>
      </c>
      <c r="D10" s="18">
        <f>SUMIF(TUSD!$A$80:'TUSD'!$A$149,$A$2,TUSD!$AK$80:'TUSD'!$AK$149)</f>
        <v>502671.24305849161</v>
      </c>
      <c r="E10" s="18">
        <f>SUMIF(TUSD!$A$80:'TUSD'!$A$149,$A$2,TUSD!$AL$80:'TUSD'!$AL$149)</f>
        <v>-155.95445208909496</v>
      </c>
      <c r="F10" s="18">
        <f>SUMIF(TUSD!$A$80:'TUSD'!$A$149,$A$2,TUSD!$AM$80:'TUSD'!$AM$149)</f>
        <v>0</v>
      </c>
      <c r="G10" s="18">
        <f>SUMIF(TUSD!$A$80:'TUSD'!$A$149,$A$2,TUSD!$AN$80:'TUSD'!$AN$149)</f>
        <v>1073549.1259428272</v>
      </c>
      <c r="H10" s="18">
        <f>SUMIF(TUSD!$A$80:'TUSD'!$A$149,$A$2,TUSD!$AO$80:'TUSD'!$AO$149)</f>
        <v>299535.37774683908</v>
      </c>
      <c r="I10" s="18">
        <f>SUMIF(TUSD!$A$80:'TUSD'!$A$149,$A$2,TUSD!$AP$80:'TUSD'!$AP$149)</f>
        <v>0</v>
      </c>
      <c r="J10" s="18">
        <f>SUMIF(TUSD!$A$80:'TUSD'!$A$149,$A$2,TUSD!$AQ$80:'TUSD'!$AQ$149)</f>
        <v>398720.04209059349</v>
      </c>
      <c r="K10" s="18">
        <f>SUMIF(TUSD!$A$80:'TUSD'!$A$149,$A$2,TUSD!$AR$80:'TUSD'!$AR$149)</f>
        <v>4453230.7155201891</v>
      </c>
      <c r="L10" s="18">
        <f>SUMIF(TUSD!$A$80:'TUSD'!$A$149,$A$2,TUSD!$AS$80:'TUSD'!$AS$149)</f>
        <v>0</v>
      </c>
      <c r="M10" s="18">
        <f>SUMIF(TUSD!$A$80:'TUSD'!$A$149,$A$2,TUSD!$AT$80:'TUSD'!$AT$149)</f>
        <v>0</v>
      </c>
      <c r="N10" s="18">
        <f>SUMIF(TUSD!$A$80:'TUSD'!$A$149,$A$2,TUSD!$AU$80:'TUSD'!$AU$149)</f>
        <v>1232748.3277821504</v>
      </c>
      <c r="O10" s="18">
        <f>SUMIF(TUSD!$A$80:'TUSD'!$A$149,$A$2,TUSD!$AV$80:'TUSD'!$AV$149)</f>
        <v>0</v>
      </c>
      <c r="P10" s="18">
        <f>SUMIF(TUSD!$A$80:'TUSD'!$A$149,$A$2,TUSD!$AW$80:'TUSD'!$AW$149)</f>
        <v>658791.93614011246</v>
      </c>
      <c r="Q10" s="18">
        <f>SUMIF(TUSD!$A$80:'TUSD'!$A$149,$A$2,TUSD!$AX$80:'TUSD'!$AX$149)</f>
        <v>7099790.673862013</v>
      </c>
      <c r="R10" s="18">
        <f>SUMIF(TUSD!$A$80:'TUSD'!$A$149,$A$2,TUSD!$AY$80:'TUSD'!$AY$149)</f>
        <v>-2693.1455726706959</v>
      </c>
      <c r="S10" s="18">
        <f>SUMIF(TUSD!$A$80:'TUSD'!$A$149,$A$2,TUSD!$AZ$80:'TUSD'!$AZ$149)</f>
        <v>0</v>
      </c>
      <c r="T10" s="18">
        <f>SUMIF(TUSD!$A$80:'TUSD'!$A$149,$A$2,TUSD!$BA$80:'TUSD'!$BA$149)</f>
        <v>275271.92453935923</v>
      </c>
      <c r="U10" s="18">
        <f>SUMIF(TUSD!$A$80:'TUSD'!$A$149,$A$2,TUSD!$BB$80:'TUSD'!$BB$149)</f>
        <v>956.52769548042659</v>
      </c>
      <c r="V10" s="18">
        <f>SUMIF(TUSD!$A$80:'TUSD'!$A$149,$A$2,TUSD!$BC$80:'TUSD'!$BC$149)</f>
        <v>15967.048655654922</v>
      </c>
      <c r="W10" s="18">
        <f>SUMIF(TUSD!$A$80:'TUSD'!$A$149,$A$2,TUSD!$BD$80:'TUSD'!$BD$149)</f>
        <v>66435.346989484024</v>
      </c>
      <c r="X10" s="18">
        <f t="shared" si="0"/>
        <v>16465467.423286911</v>
      </c>
      <c r="AD10" s="15" t="s">
        <v>50</v>
      </c>
      <c r="AF10" s="15" t="s">
        <v>89</v>
      </c>
    </row>
    <row r="11" spans="1:33" x14ac:dyDescent="0.2">
      <c r="A11" s="15" t="s">
        <v>1606</v>
      </c>
      <c r="B11" s="18">
        <f>SUMIF(TUSD!$A$80:'TUSD'!$A$149,$A$2,TUSD!$L$80:'TUSD'!$L$149)</f>
        <v>43668.123929100162</v>
      </c>
      <c r="C11" s="18">
        <f>SUMIF(TUSD!$A$80:'TUSD'!$A$149,$A$2,TUSD!$M$80:'TUSD'!$M$149)</f>
        <v>227105.1171654007</v>
      </c>
      <c r="D11" s="18">
        <f ca="1">SUMIF(TUSD!$A$80:'TUSD'!$A$149,$A$2,TUSD!$N$80:'TUSD'!$N$149)</f>
        <v>557095.07227439806</v>
      </c>
      <c r="E11" s="18">
        <f>SUMIF(TUSD!$A$80:'TUSD'!$A$149,$A$2,TUSD!$O$80:'TUSD'!$O$149)</f>
        <v>-175.48040506056751</v>
      </c>
      <c r="F11" s="18">
        <f>SUMIF(TUSD!$A$80:'TUSD'!$A$149,$A$2,TUSD!$P$80:'TUSD'!$P$149)</f>
        <v>0</v>
      </c>
      <c r="G11" s="18">
        <f>SUMIF(TUSD!$A$80:'TUSD'!$A$149,$A$2,TUSD!$Q$80:'TUSD'!$Q$149)</f>
        <v>2002460.5335451369</v>
      </c>
      <c r="H11" s="18">
        <f>SUMIF(TUSD!$A$80:'TUSD'!$A$149,$A$2,TUSD!$R$80:'TUSD'!$R$149)</f>
        <v>546528.96889736294</v>
      </c>
      <c r="I11" s="18">
        <f>SUMIF(TUSD!$A$80:'TUSD'!$A$149,$A$2,TUSD!$S$80:'TUSD'!$S$149)</f>
        <v>0</v>
      </c>
      <c r="J11" s="18">
        <f>SUMIF(TUSD!$A$80:'TUSD'!$A$149,$A$2,TUSD!$T$80:'TUSD'!$T$149)</f>
        <v>522627.48956989788</v>
      </c>
      <c r="K11" s="18">
        <f>SUMIF(TUSD!$A$80:'TUSD'!$A$149,$A$2,TUSD!$U$80:'TUSD'!$U$149)</f>
        <v>4171851.5245744502</v>
      </c>
      <c r="L11" s="18">
        <f>SUMIF(TUSD!$A$80:'TUSD'!$A$149,$A$2,TUSD!$V$80:'TUSD'!$V$149)</f>
        <v>0</v>
      </c>
      <c r="M11" s="18">
        <f>SUMIF(TUSD!$A$80:'TUSD'!$A$149,$A$2,TUSD!$W$80:'TUSD'!$W$149)</f>
        <v>0</v>
      </c>
      <c r="N11" s="18">
        <f>SUMIF(TUSD!$A$80:'TUSD'!$A$149,$A$2,TUSD!$X$80:'TUSD'!$X$149)</f>
        <v>1537708.6067087268</v>
      </c>
      <c r="O11" s="18">
        <f>SUMIF(TUSD!$A$80:'TUSD'!$A$149,$A$2,TUSD!$Y$80:'TUSD'!$Y$149)</f>
        <v>0</v>
      </c>
      <c r="P11" s="18">
        <f>SUMIF(TUSD!$A$80:'TUSD'!$A$149,$A$2,TUSD!$Z$80:'TUSD'!$Z$149)</f>
        <v>607252.06283163081</v>
      </c>
      <c r="Q11" s="18">
        <f>SUMIF(TUSD!$A$80:'TUSD'!$A$149,$A$2,TUSD!$AA$80:'TUSD'!$AA$149)</f>
        <v>8050719.4894406442</v>
      </c>
      <c r="R11" s="18">
        <f ca="1">SUMIF(TUSD!$A$80:'TUSD'!$A$149,$A$2,TUSD!$AB$80:'TUSD'!$AB$149)</f>
        <v>0</v>
      </c>
      <c r="S11" s="18">
        <f ca="1">SUMIF(TUSD!$A$80:'TUSD'!$A$149,$A$2,TUSD!$AC$80:'TUSD'!$AC$149)</f>
        <v>0</v>
      </c>
      <c r="T11" s="18">
        <f>SUMIF(TUSD!$A$80:'TUSD'!$A$149,$A$2,TUSD!$AD$80:'TUSD'!$AD$149)</f>
        <v>297848.0725477034</v>
      </c>
      <c r="U11" s="18">
        <f>SUMIF(TUSD!$A$80:'TUSD'!$A$149,$A$2,TUSD!$AE$80:'TUSD'!$AE$149)</f>
        <v>661.34296412759159</v>
      </c>
      <c r="V11" s="18">
        <f ca="1">SUMIF(TUSD!$A$80:'TUSD'!$A$149,$A$2,TUSD!$AF$80:'TUSD'!$AF$149)</f>
        <v>11465.457502187797</v>
      </c>
      <c r="W11" s="18">
        <f ca="1">SUMIF(TUSD!$A$80:'TUSD'!$A$149,$A$2,TUSD!$AG$80:'TUSD'!$AG$149)</f>
        <v>73855.846327295149</v>
      </c>
      <c r="X11" s="18">
        <f t="shared" ca="1" si="0"/>
        <v>18650672.227873001</v>
      </c>
      <c r="AF11" s="15" t="s">
        <v>92</v>
      </c>
    </row>
    <row r="12" spans="1:33" x14ac:dyDescent="0.2">
      <c r="AF12" s="15" t="s">
        <v>124</v>
      </c>
    </row>
    <row r="13" spans="1:33" x14ac:dyDescent="0.2">
      <c r="A13" s="15" t="s">
        <v>1610</v>
      </c>
      <c r="B13" s="29">
        <f t="shared" ref="B13:X13" si="1">IF($X$6&lt;&gt;0,(B$7-B$6)/$X$6,0)</f>
        <v>-2.0445170273454438E-2</v>
      </c>
      <c r="C13" s="29">
        <f t="shared" si="1"/>
        <v>6.2057545560924028E-4</v>
      </c>
      <c r="D13" s="29">
        <f t="shared" ca="1" si="1"/>
        <v>1.6054124407880606E-3</v>
      </c>
      <c r="E13" s="29">
        <f t="shared" si="1"/>
        <v>-2.4965281795136656E-7</v>
      </c>
      <c r="F13" s="29">
        <f t="shared" si="1"/>
        <v>0</v>
      </c>
      <c r="G13" s="29">
        <f t="shared" si="1"/>
        <v>0.13895841605678511</v>
      </c>
      <c r="H13" s="29">
        <f t="shared" si="1"/>
        <v>2.3291364334457224E-2</v>
      </c>
      <c r="I13" s="29">
        <f t="shared" si="1"/>
        <v>0</v>
      </c>
      <c r="J13" s="29">
        <f t="shared" si="1"/>
        <v>1.1491583764688727E-2</v>
      </c>
      <c r="K13" s="29">
        <f t="shared" si="1"/>
        <v>-4.2346004846407507E-5</v>
      </c>
      <c r="L13" s="29">
        <f t="shared" si="1"/>
        <v>0</v>
      </c>
      <c r="M13" s="29">
        <f t="shared" si="1"/>
        <v>0</v>
      </c>
      <c r="N13" s="29">
        <f t="shared" si="1"/>
        <v>3.1990918644968176E-2</v>
      </c>
      <c r="O13" s="29">
        <f t="shared" si="1"/>
        <v>0</v>
      </c>
      <c r="P13" s="29">
        <f t="shared" si="1"/>
        <v>-1.0723528403739995E-4</v>
      </c>
      <c r="Q13" s="29">
        <f t="shared" si="1"/>
        <v>6.7426911908964104E-2</v>
      </c>
      <c r="R13" s="29">
        <f t="shared" ca="1" si="1"/>
        <v>1.7548243960382391E-4</v>
      </c>
      <c r="S13" s="29">
        <f t="shared" ca="1" si="1"/>
        <v>0</v>
      </c>
      <c r="T13" s="29">
        <f t="shared" si="1"/>
        <v>8.7728138479099913E-3</v>
      </c>
      <c r="U13" s="29">
        <f t="shared" si="1"/>
        <v>-7.0071434885273274E-5</v>
      </c>
      <c r="V13" s="29">
        <f t="shared" ca="1" si="1"/>
        <v>9.5988700638310922E-5</v>
      </c>
      <c r="W13" s="29">
        <f t="shared" ca="1" si="1"/>
        <v>5.341090884177448E-3</v>
      </c>
      <c r="X13" s="29">
        <f t="shared" ca="1" si="1"/>
        <v>0.26910548582854849</v>
      </c>
      <c r="AF13" s="15" t="s">
        <v>82</v>
      </c>
    </row>
    <row r="14" spans="1:33" x14ac:dyDescent="0.2">
      <c r="A14" s="15" t="s">
        <v>1611</v>
      </c>
      <c r="B14" s="29">
        <f t="shared" ref="B14:X14" si="2">IF($X$10&lt;&gt;0,(B$9-B$8)/$X$10,0)</f>
        <v>-9.8132717128292628E-3</v>
      </c>
      <c r="C14" s="29">
        <f t="shared" si="2"/>
        <v>2.5328836672134304E-3</v>
      </c>
      <c r="D14" s="29">
        <f t="shared" ca="1" si="2"/>
        <v>3.3053315655609925E-3</v>
      </c>
      <c r="E14" s="29">
        <f t="shared" si="2"/>
        <v>-1.1858729831050669E-6</v>
      </c>
      <c r="F14" s="29">
        <f t="shared" si="2"/>
        <v>0</v>
      </c>
      <c r="G14" s="29">
        <f t="shared" si="2"/>
        <v>5.6415732619200444E-2</v>
      </c>
      <c r="H14" s="29">
        <f t="shared" si="2"/>
        <v>1.5000703278013464E-2</v>
      </c>
      <c r="I14" s="29">
        <f t="shared" si="2"/>
        <v>0</v>
      </c>
      <c r="J14" s="29">
        <f t="shared" si="2"/>
        <v>7.5252918301039907E-3</v>
      </c>
      <c r="K14" s="29">
        <f t="shared" si="2"/>
        <v>-1.7089049688792178E-2</v>
      </c>
      <c r="L14" s="29">
        <f t="shared" si="2"/>
        <v>0</v>
      </c>
      <c r="M14" s="29">
        <f t="shared" si="2"/>
        <v>0</v>
      </c>
      <c r="N14" s="29">
        <f t="shared" si="2"/>
        <v>1.8521203867876528E-2</v>
      </c>
      <c r="O14" s="29">
        <f t="shared" si="2"/>
        <v>0</v>
      </c>
      <c r="P14" s="29">
        <f t="shared" si="2"/>
        <v>-3.1301797867936279E-3</v>
      </c>
      <c r="Q14" s="29">
        <f t="shared" si="2"/>
        <v>5.7752919557797919E-2</v>
      </c>
      <c r="R14" s="29">
        <f t="shared" ca="1" si="2"/>
        <v>1.635632626415338E-4</v>
      </c>
      <c r="S14" s="29">
        <f t="shared" ca="1" si="2"/>
        <v>0</v>
      </c>
      <c r="T14" s="29">
        <f t="shared" si="2"/>
        <v>1.3711209908572044E-3</v>
      </c>
      <c r="U14" s="29">
        <f t="shared" si="2"/>
        <v>-1.7927503894323632E-5</v>
      </c>
      <c r="V14" s="29">
        <f t="shared" ca="1" si="2"/>
        <v>-2.7339589200489866E-4</v>
      </c>
      <c r="W14" s="29">
        <f t="shared" ca="1" si="2"/>
        <v>4.5067043328004175E-4</v>
      </c>
      <c r="X14" s="29">
        <f t="shared" ca="1" si="2"/>
        <v>0.13271441061524811</v>
      </c>
    </row>
    <row r="15" spans="1:33" x14ac:dyDescent="0.2">
      <c r="A15" s="15" t="s">
        <v>1612</v>
      </c>
      <c r="B15" s="29">
        <f t="shared" ref="B15:X15" si="3">IF($X$8&lt;&gt;0,(B$9-B$8)/$X$8,0)</f>
        <v>-9.8132717128292628E-3</v>
      </c>
      <c r="C15" s="29">
        <f t="shared" si="3"/>
        <v>2.5328836672134304E-3</v>
      </c>
      <c r="D15" s="29">
        <f t="shared" ca="1" si="3"/>
        <v>3.3053315655609925E-3</v>
      </c>
      <c r="E15" s="29">
        <f t="shared" si="3"/>
        <v>-1.1858729831050669E-6</v>
      </c>
      <c r="F15" s="29">
        <f t="shared" si="3"/>
        <v>0</v>
      </c>
      <c r="G15" s="29">
        <f t="shared" si="3"/>
        <v>5.6415732619200444E-2</v>
      </c>
      <c r="H15" s="29">
        <f t="shared" si="3"/>
        <v>1.5000703278013464E-2</v>
      </c>
      <c r="I15" s="29">
        <f t="shared" si="3"/>
        <v>0</v>
      </c>
      <c r="J15" s="29">
        <f t="shared" si="3"/>
        <v>7.5252918301039907E-3</v>
      </c>
      <c r="K15" s="29">
        <f t="shared" si="3"/>
        <v>-1.7089049688792178E-2</v>
      </c>
      <c r="L15" s="29">
        <f t="shared" si="3"/>
        <v>0</v>
      </c>
      <c r="M15" s="29">
        <f t="shared" si="3"/>
        <v>0</v>
      </c>
      <c r="N15" s="29">
        <f t="shared" si="3"/>
        <v>1.8521203867876528E-2</v>
      </c>
      <c r="O15" s="29">
        <f t="shared" si="3"/>
        <v>0</v>
      </c>
      <c r="P15" s="29">
        <f t="shared" si="3"/>
        <v>-3.1301797867936279E-3</v>
      </c>
      <c r="Q15" s="29">
        <f t="shared" si="3"/>
        <v>5.7752919557797919E-2</v>
      </c>
      <c r="R15" s="29">
        <f t="shared" ca="1" si="3"/>
        <v>1.635632626415338E-4</v>
      </c>
      <c r="S15" s="29">
        <f t="shared" ca="1" si="3"/>
        <v>0</v>
      </c>
      <c r="T15" s="29">
        <f t="shared" si="3"/>
        <v>1.3711209908572044E-3</v>
      </c>
      <c r="U15" s="29">
        <f t="shared" si="3"/>
        <v>-1.7927503894323632E-5</v>
      </c>
      <c r="V15" s="29">
        <f t="shared" ca="1" si="3"/>
        <v>-2.7339589200489866E-4</v>
      </c>
      <c r="W15" s="29">
        <f t="shared" ca="1" si="3"/>
        <v>4.5067043328004175E-4</v>
      </c>
      <c r="X15" s="29">
        <f t="shared" ca="1" si="3"/>
        <v>0.13271441061524811</v>
      </c>
    </row>
  </sheetData>
  <dataValidations count="4">
    <dataValidation type="list" allowBlank="1" showInputMessage="1" showErrorMessage="1" error="Deve-se selecionar grupo válido" sqref="G2 A2:B2" xr:uid="{0C7BE21F-E02B-4785-ABF6-4E2D83C942CE}">
      <formula1>AA1:AA8</formula1>
    </dataValidation>
    <dataValidation type="list" allowBlank="1" showInputMessage="1" showErrorMessage="1" error="Deve-se selecionar grupo válido" sqref="C2 E2" xr:uid="{176FA9BC-25D0-49F0-827D-EE49D43A427B}">
      <formula1>AC1:AC4</formula1>
    </dataValidation>
    <dataValidation type="list" allowBlank="1" showInputMessage="1" showErrorMessage="1" error="Deve-se selecionar grupo válido" sqref="D2" xr:uid="{7D932E6D-0C7A-4A40-A5A5-E337E302B1C9}">
      <formula1>AD1:AD10</formula1>
    </dataValidation>
    <dataValidation type="list" allowBlank="1" showInputMessage="1" showErrorMessage="1" error="Deve-se selecionar grupo válido" sqref="F2" xr:uid="{1A5CB364-DB87-4048-AA2F-7807B900FBAB}">
      <formula1>AF1:AF13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8F111-5FBB-4B47-A4DC-D8DEF5763067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5" bestFit="1" customWidth="1"/>
    <col min="2" max="2" width="10.5703125" style="15" bestFit="1" customWidth="1"/>
    <col min="3" max="3" width="10.85546875" style="15" bestFit="1" customWidth="1"/>
    <col min="4" max="4" width="10.28515625" style="15" bestFit="1" customWidth="1"/>
    <col min="5" max="5" width="10.85546875" style="15" bestFit="1" customWidth="1"/>
    <col min="6" max="6" width="11.42578125" style="15" bestFit="1" customWidth="1"/>
    <col min="7" max="7" width="14.85546875" style="15" bestFit="1" customWidth="1"/>
    <col min="8" max="9" width="10" style="15" bestFit="1" customWidth="1"/>
    <col min="10" max="10" width="6.42578125" style="15" bestFit="1" customWidth="1"/>
    <col min="11" max="11" width="7.7109375" style="15" bestFit="1" customWidth="1"/>
    <col min="12" max="12" width="10.7109375" style="15" bestFit="1" customWidth="1"/>
    <col min="13" max="13" width="11.7109375" style="15" bestFit="1" customWidth="1"/>
    <col min="14" max="26" width="9.140625" style="15"/>
    <col min="27" max="27" width="3" style="15" bestFit="1" customWidth="1"/>
    <col min="28" max="28" width="27.140625" style="15" bestFit="1" customWidth="1"/>
    <col min="29" max="29" width="13.5703125" style="15" bestFit="1" customWidth="1"/>
    <col min="30" max="30" width="25.140625" style="15" bestFit="1" customWidth="1"/>
    <col min="31" max="33" width="10.28515625" style="15" bestFit="1" customWidth="1"/>
    <col min="34" max="16384" width="9.140625" style="15"/>
  </cols>
  <sheetData>
    <row r="1" spans="1:33" x14ac:dyDescent="0.2">
      <c r="A1" s="15" t="s">
        <v>107</v>
      </c>
      <c r="B1" s="15" t="s">
        <v>108</v>
      </c>
      <c r="C1" s="15" t="s">
        <v>109</v>
      </c>
      <c r="D1" s="15" t="s">
        <v>110</v>
      </c>
      <c r="E1" s="15" t="s">
        <v>111</v>
      </c>
      <c r="F1" s="15" t="s">
        <v>15</v>
      </c>
      <c r="G1" s="15" t="s">
        <v>113</v>
      </c>
      <c r="I1" s="15" t="s">
        <v>1609</v>
      </c>
      <c r="AA1" s="15" t="s">
        <v>59</v>
      </c>
      <c r="AB1" s="15" t="s">
        <v>25</v>
      </c>
      <c r="AC1" s="15" t="s">
        <v>25</v>
      </c>
      <c r="AD1" s="15" t="s">
        <v>25</v>
      </c>
      <c r="AE1" s="15" t="s">
        <v>25</v>
      </c>
      <c r="AF1" s="15" t="s">
        <v>25</v>
      </c>
      <c r="AG1" s="15" t="s">
        <v>25</v>
      </c>
    </row>
    <row r="2" spans="1:33" x14ac:dyDescent="0.2">
      <c r="A2" s="15" t="s">
        <v>59</v>
      </c>
      <c r="B2" s="15" t="s">
        <v>25</v>
      </c>
      <c r="C2" s="15" t="s">
        <v>25</v>
      </c>
      <c r="D2" s="15" t="s">
        <v>25</v>
      </c>
      <c r="E2" s="15" t="s">
        <v>25</v>
      </c>
      <c r="F2" s="15" t="s">
        <v>25</v>
      </c>
      <c r="G2" s="15" t="s">
        <v>25</v>
      </c>
      <c r="I2" s="15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5" t="s">
        <v>39</v>
      </c>
      <c r="AB2" s="15" t="s">
        <v>116</v>
      </c>
      <c r="AC2" s="15" t="s">
        <v>24</v>
      </c>
      <c r="AD2" s="15" t="s">
        <v>24</v>
      </c>
      <c r="AG2" s="15" t="s">
        <v>118</v>
      </c>
    </row>
    <row r="3" spans="1:33" x14ac:dyDescent="0.2">
      <c r="AA3" s="15" t="s">
        <v>41</v>
      </c>
      <c r="AB3" s="15" t="s">
        <v>129</v>
      </c>
      <c r="AC3" s="15" t="s">
        <v>45</v>
      </c>
      <c r="AD3" s="15" t="s">
        <v>29</v>
      </c>
      <c r="AG3" s="15" t="s">
        <v>119</v>
      </c>
    </row>
    <row r="4" spans="1:33" x14ac:dyDescent="0.2">
      <c r="AA4" s="15" t="s">
        <v>22</v>
      </c>
      <c r="AB4" s="15" t="s">
        <v>130</v>
      </c>
      <c r="AC4" s="15" t="s">
        <v>48</v>
      </c>
      <c r="AD4" s="15" t="s">
        <v>30</v>
      </c>
      <c r="AG4" s="15" t="s">
        <v>128</v>
      </c>
    </row>
    <row r="5" spans="1:33" x14ac:dyDescent="0.2">
      <c r="A5" s="15" t="s">
        <v>1602</v>
      </c>
      <c r="B5" s="15" t="str">
        <f>TE!$X$4</f>
        <v>P&amp;D</v>
      </c>
      <c r="C5" s="15" t="str">
        <f>TE!$Y$4</f>
        <v>ESS/ERR</v>
      </c>
      <c r="D5" s="15" t="str">
        <f>TE!$Z$4</f>
        <v>CFURH</v>
      </c>
      <c r="E5" s="15" t="str">
        <f>TE!$AA$4</f>
        <v>CDE Covid TE</v>
      </c>
      <c r="F5" s="15" t="str">
        <f>TE!$AB$4</f>
        <v>CDE ELET</v>
      </c>
      <c r="G5" s="15" t="str">
        <f>TE!$AC$4</f>
        <v>ENERGIA REVENDA</v>
      </c>
      <c r="H5" s="15" t="str">
        <f>TE!$AD$4</f>
        <v>ITAIPU</v>
      </c>
      <c r="I5" s="15" t="str">
        <f>TE!$AE$4</f>
        <v>TUST ITAIPU</v>
      </c>
      <c r="J5" s="15" t="str">
        <f>TE!$AF$4</f>
        <v>TUST CI</v>
      </c>
      <c r="K5" s="15" t="str">
        <f>TE!$AG$4</f>
        <v>SUBSIDIO</v>
      </c>
      <c r="L5" s="15" t="str">
        <f>TE!$AH$4</f>
        <v>PERDAS RB/C</v>
      </c>
      <c r="M5" s="15" t="s">
        <v>988</v>
      </c>
      <c r="AA5" s="15" t="s">
        <v>44</v>
      </c>
      <c r="AD5" s="15" t="s">
        <v>31</v>
      </c>
      <c r="AG5" s="15" t="s">
        <v>123</v>
      </c>
    </row>
    <row r="6" spans="1:33" x14ac:dyDescent="0.2">
      <c r="A6" s="15" t="s">
        <v>1603</v>
      </c>
      <c r="B6" s="18">
        <f>SUM(TE!$X$51:'TE'!$X$91)</f>
        <v>3356749.6796571459</v>
      </c>
      <c r="C6" s="18">
        <f>SUM(TE!$Y$51:'TE'!$Y$91)</f>
        <v>36387384.118324988</v>
      </c>
      <c r="D6" s="18">
        <f>SUM(TE!$Z$51:'TE'!$Z$91)</f>
        <v>0</v>
      </c>
      <c r="E6" s="18">
        <f>SUM(TE!$AA$51:'TE'!$AA$91)</f>
        <v>0</v>
      </c>
      <c r="F6" s="18">
        <f>SUM(TE!$AB$51:'TE'!$AB$91)</f>
        <v>0</v>
      </c>
      <c r="G6" s="18">
        <f>SUM(TE!$AC$51:'TE'!$AC$91)</f>
        <v>291360667.50302386</v>
      </c>
      <c r="H6" s="18">
        <f>SUM(TE!$AD$51:'TE'!$AD$91)</f>
        <v>5353251.6750294482</v>
      </c>
      <c r="I6" s="18">
        <f>SUM(TE!$AE$51:'TE'!$AE$91)</f>
        <v>6097883.4351398228</v>
      </c>
      <c r="J6" s="18">
        <f>SUM(TE!$AF$51:'TE'!$AF$91)</f>
        <v>0</v>
      </c>
      <c r="K6" s="18">
        <f>SUM(TE!$AG$51:'TE'!$AG$91)</f>
        <v>-84948.922992457301</v>
      </c>
      <c r="L6" s="18">
        <f>SUM(TE!$AH$51:'TE'!$AH$91)</f>
        <v>1686758.5291558281</v>
      </c>
      <c r="M6" s="18">
        <f t="shared" ref="M6:M11" si="0">SUM(B6:L6)</f>
        <v>344157746.01733869</v>
      </c>
      <c r="AA6" s="15" t="s">
        <v>37</v>
      </c>
      <c r="AD6" s="15" t="s">
        <v>32</v>
      </c>
    </row>
    <row r="7" spans="1:33" x14ac:dyDescent="0.2">
      <c r="A7" s="15" t="s">
        <v>1604</v>
      </c>
      <c r="B7" s="18">
        <f>SUM(TE!$L$51:'TE'!$L$91)</f>
        <v>3471789.0780144003</v>
      </c>
      <c r="C7" s="18">
        <f>SUM(TE!$M$51:'TE'!$M$91)</f>
        <v>26097954.605091058</v>
      </c>
      <c r="D7" s="18">
        <f>SUM(TE!$N$51:'TE'!$N$91)</f>
        <v>0</v>
      </c>
      <c r="E7" s="18">
        <f>SUM(TE!$O$51:'TE'!$O$91)</f>
        <v>18019985.670532137</v>
      </c>
      <c r="F7" s="18">
        <f>SUM(TE!$P$51:'TE'!$P$91)</f>
        <v>-18864197.23085086</v>
      </c>
      <c r="G7" s="18">
        <f>SUM(TE!$Q$51:'TE'!$Q$91)</f>
        <v>312504230.42817664</v>
      </c>
      <c r="H7" s="18">
        <f>SUM(TE!$R$51:'TE'!$R$91)</f>
        <v>7665761.0100877499</v>
      </c>
      <c r="I7" s="18">
        <f>SUM(TE!$S$51:'TE'!$S$91)</f>
        <v>5235400.0389068574</v>
      </c>
      <c r="J7" s="18">
        <f>SUM(TE!$T$51:'TE'!$T$91)</f>
        <v>0</v>
      </c>
      <c r="K7" s="18">
        <f>SUM(TE!$U$51:'TE'!$U$91)</f>
        <v>0</v>
      </c>
      <c r="L7" s="18">
        <f>SUM(TE!$V$51:'TE'!$V$91)</f>
        <v>1480785.2544668431</v>
      </c>
      <c r="M7" s="18">
        <f t="shared" si="0"/>
        <v>355611708.85442483</v>
      </c>
      <c r="AA7" s="15" t="s">
        <v>47</v>
      </c>
      <c r="AD7" s="15" t="s">
        <v>132</v>
      </c>
    </row>
    <row r="8" spans="1:33" x14ac:dyDescent="0.2">
      <c r="A8" s="15" t="s">
        <v>1607</v>
      </c>
      <c r="B8" s="18">
        <f>IF($G$2&lt;&gt;"Não se aplica",SUMIF(TE!$G$51:'TE'!$G$91,$I$2,TE!$X$51:'TE'!$X$91),IF($F$2&lt;&gt;"Não se aplica",SUMIF(TE!$F$51:'TE'!$F$91,$I$2,TE!$X$51:'TE'!$X$91),IF($E$2&lt;&gt;"Não se aplica",SUMIF(TE!$E$51:'TE'!$E$91,$I$2,TE!$X$51:'TE'!$X$91),IF($D$2&lt;&gt;"Não se aplica",SUMIF(TE!$D$51:'TE'!$D$91,$I$2,TE!$X$51:'TE'!$X$91),IF($C$2&lt;&gt;"Não se aplica",SUMIF(TE!$C$51:'TE'!$C$91,$I$2,TE!$X$51:'TE'!$X$91),IF($B$2&lt;&gt;"Não se aplica",SUMIF(TE!$B$51:'TE'!$B$91,$I$2,TE!$X$51:'TE'!$X$91),SUMIF(TE!$A$51:'TE'!$A$91,$I$2,TE!$X$51:'TE'!$X$91)))))))</f>
        <v>0</v>
      </c>
      <c r="C8" s="18">
        <f>IF($G$2&lt;&gt;"Não se aplica",SUMIF(TE!$G$51:'TE'!$G$91,$I$2,TE!$Y$51:'TE'!$Y$91),IF($F$2&lt;&gt;"Não se aplica",SUMIF(TE!$F$51:'TE'!$F$91,$I$2,TE!$Y$51:'TE'!$Y$91),IF($E$2&lt;&gt;"Não se aplica",SUMIF(TE!$E$51:'TE'!$E$91,$I$2,TE!$Y$51:'TE'!$Y$91),IF($D$2&lt;&gt;"Não se aplica",SUMIF(TE!$D$51:'TE'!$D$91,$I$2,TE!$Y$51:'TE'!$Y$91),IF($C$2&lt;&gt;"Não se aplica",SUMIF(TE!$C$51:'TE'!$C$91,$I$2,TE!$Y$51:'TE'!$Y$91),IF($B$2&lt;&gt;"Não se aplica",SUMIF(TE!$B$51:'TE'!$B$91,$I$2,TE!$Y$51:'TE'!$Y$91),SUMIF(TE!$A$51:'TE'!$A$91,$I$2,TE!$Y$51:'TE'!$Y$91)))))))</f>
        <v>0</v>
      </c>
      <c r="D8" s="18">
        <f>IF($G$2&lt;&gt;"Não se aplica",SUMIF(TE!$G$51:'TE'!$G$91,$I$2,TE!$Z$51:'TE'!$Z$91),IF($F$2&lt;&gt;"Não se aplica",SUMIF(TE!$F$51:'TE'!$F$91,$I$2,TE!$Z$51:'TE'!$Z$91),IF($E$2&lt;&gt;"Não se aplica",SUMIF(TE!$E$51:'TE'!$E$91,$I$2,TE!$Z$51:'TE'!$Z$91),IF($D$2&lt;&gt;"Não se aplica",SUMIF(TE!$D$51:'TE'!$D$91,$I$2,TE!$Z$51:'TE'!$Z$91),IF($C$2&lt;&gt;"Não se aplica",SUMIF(TE!$C$51:'TE'!$C$91,$I$2,TE!$Z$51:'TE'!$Z$91),IF($B$2&lt;&gt;"Não se aplica",SUMIF(TE!$B$51:'TE'!$B$91,$I$2,TE!$Z$51:'TE'!$Z$91),SUMIF(TE!$A$51:'TE'!$A$91,$I$2,TE!$Z$51:'TE'!$Z$91)))))))</f>
        <v>0</v>
      </c>
      <c r="E8" s="18">
        <f>IF($G$2&lt;&gt;"Não se aplica",SUMIF(TE!$G$51:'TE'!$G$91,$I$2,TE!$AA$51:'TE'!$AA$91),IF($F$2&lt;&gt;"Não se aplica",SUMIF(TE!$F$51:'TE'!$F$91,$I$2,TE!$AA$51:'TE'!$AA$91),IF($E$2&lt;&gt;"Não se aplica",SUMIF(TE!$E$51:'TE'!$E$91,$I$2,TE!$AA$51:'TE'!$AA$91),IF($D$2&lt;&gt;"Não se aplica",SUMIF(TE!$D$51:'TE'!$D$91,$I$2,TE!$AA$51:'TE'!$AA$91),IF($C$2&lt;&gt;"Não se aplica",SUMIF(TE!$C$51:'TE'!$C$91,$I$2,TE!$AA$51:'TE'!$AA$91),IF($B$2&lt;&gt;"Não se aplica",SUMIF(TE!$B$51:'TE'!$B$91,$I$2,TE!$AA$51:'TE'!$AA$91),SUMIF(TE!$A$51:'TE'!$A$91,$I$2,TE!$AA$51:'TE'!$AA$91)))))))</f>
        <v>0</v>
      </c>
      <c r="F8" s="18">
        <f>IF($G$2&lt;&gt;"Não se aplica",SUMIF(TE!$G$51:'TE'!$G$91,$I$2,TE!$AB$51:'TE'!$AB$91),IF($F$2&lt;&gt;"Não se aplica",SUMIF(TE!$F$51:'TE'!$F$91,$I$2,TE!$AB$51:'TE'!$AB$91),IF($E$2&lt;&gt;"Não se aplica",SUMIF(TE!$E$51:'TE'!$E$91,$I$2,TE!$AB$51:'TE'!$AB$91),IF($D$2&lt;&gt;"Não se aplica",SUMIF(TE!$D$51:'TE'!$D$91,$I$2,TE!$AB$51:'TE'!$AB$91),IF($C$2&lt;&gt;"Não se aplica",SUMIF(TE!$C$51:'TE'!$C$91,$I$2,TE!$AB$51:'TE'!$AB$91),IF($B$2&lt;&gt;"Não se aplica",SUMIF(TE!$B$51:'TE'!$B$91,$I$2,TE!$AB$51:'TE'!$AB$91),SUMIF(TE!$A$51:'TE'!$A$91,$I$2,TE!$AB$51:'TE'!$AB$91)))))))</f>
        <v>0</v>
      </c>
      <c r="G8" s="18">
        <f>IF($G$2&lt;&gt;"Não se aplica",SUMIF(TE!$G$51:'TE'!$G$91,$I$2,TE!$AC$51:'TE'!$AC$91),IF($F$2&lt;&gt;"Não se aplica",SUMIF(TE!$F$51:'TE'!$F$91,$I$2,TE!$AC$51:'TE'!$AC$91),IF($E$2&lt;&gt;"Não se aplica",SUMIF(TE!$E$51:'TE'!$E$91,$I$2,TE!$AC$51:'TE'!$AC$91),IF($D$2&lt;&gt;"Não se aplica",SUMIF(TE!$D$51:'TE'!$D$91,$I$2,TE!$AC$51:'TE'!$AC$91),IF($C$2&lt;&gt;"Não se aplica",SUMIF(TE!$C$51:'TE'!$C$91,$I$2,TE!$AC$51:'TE'!$AC$91),IF($B$2&lt;&gt;"Não se aplica",SUMIF(TE!$B$51:'TE'!$B$91,$I$2,TE!$AC$51:'TE'!$AC$91),SUMIF(TE!$A$51:'TE'!$A$91,$I$2,TE!$AC$51:'TE'!$AC$91)))))))</f>
        <v>0</v>
      </c>
      <c r="H8" s="18">
        <f>IF($G$2&lt;&gt;"Não se aplica",SUMIF(TE!$G$51:'TE'!$G$91,$I$2,TE!$AD$51:'TE'!$AD$91),IF($F$2&lt;&gt;"Não se aplica",SUMIF(TE!$F$51:'TE'!$F$91,$I$2,TE!$AD$51:'TE'!$AD$91),IF($E$2&lt;&gt;"Não se aplica",SUMIF(TE!$E$51:'TE'!$E$91,$I$2,TE!$AD$51:'TE'!$AD$91),IF($D$2&lt;&gt;"Não se aplica",SUMIF(TE!$D$51:'TE'!$D$91,$I$2,TE!$AD$51:'TE'!$AD$91),IF($C$2&lt;&gt;"Não se aplica",SUMIF(TE!$C$51:'TE'!$C$91,$I$2,TE!$AD$51:'TE'!$AD$91),IF($B$2&lt;&gt;"Não se aplica",SUMIF(TE!$B$51:'TE'!$B$91,$I$2,TE!$AD$51:'TE'!$AD$91),SUMIF(TE!$A$51:'TE'!$A$91,$I$2,TE!$AD$51:'TE'!$AD$91)))))))</f>
        <v>0</v>
      </c>
      <c r="I8" s="18">
        <f>IF($G$2&lt;&gt;"Não se aplica",SUMIF(TE!$G$51:'TE'!$G$91,$I$2,TE!$AE$51:'TE'!$AE$91),IF($F$2&lt;&gt;"Não se aplica",SUMIF(TE!$F$51:'TE'!$F$91,$I$2,TE!$AE$51:'TE'!$AE$91),IF($E$2&lt;&gt;"Não se aplica",SUMIF(TE!$E$51:'TE'!$E$91,$I$2,TE!$AE$51:'TE'!$AE$91),IF($D$2&lt;&gt;"Não se aplica",SUMIF(TE!$D$51:'TE'!$D$91,$I$2,TE!$AE$51:'TE'!$AE$91),IF($C$2&lt;&gt;"Não se aplica",SUMIF(TE!$C$51:'TE'!$C$91,$I$2,TE!$AE$51:'TE'!$AE$91),IF($B$2&lt;&gt;"Não se aplica",SUMIF(TE!$B$51:'TE'!$B$91,$I$2,TE!$AE$51:'TE'!$AE$91),SUMIF(TE!$A$51:'TE'!$A$91,$I$2,TE!$AE$51:'TE'!$AE$91)))))))</f>
        <v>0</v>
      </c>
      <c r="J8" s="18">
        <f>IF($G$2&lt;&gt;"Não se aplica",SUMIF(TE!$G$51:'TE'!$G$91,$I$2,TE!$AF$51:'TE'!$AF$91),IF($F$2&lt;&gt;"Não se aplica",SUMIF(TE!$F$51:'TE'!$F$91,$I$2,TE!$AF$51:'TE'!$AF$91),IF($E$2&lt;&gt;"Não se aplica",SUMIF(TE!$E$51:'TE'!$E$91,$I$2,TE!$AF$51:'TE'!$AF$91),IF($D$2&lt;&gt;"Não se aplica",SUMIF(TE!$D$51:'TE'!$D$91,$I$2,TE!$AF$51:'TE'!$AF$91),IF($C$2&lt;&gt;"Não se aplica",SUMIF(TE!$C$51:'TE'!$C$91,$I$2,TE!$AF$51:'TE'!$AF$91),IF($B$2&lt;&gt;"Não se aplica",SUMIF(TE!$B$51:'TE'!$B$91,$I$2,TE!$AF$51:'TE'!$AF$91),SUMIF(TE!$A$51:'TE'!$A$91,$I$2,TE!$AF$51:'TE'!$AF$91)))))))</f>
        <v>0</v>
      </c>
      <c r="K8" s="18">
        <f>IF($G$2&lt;&gt;"Não se aplica",SUMIF(TE!$G$51:'TE'!$G$91,$I$2,TE!$AG$51:'TE'!$AG$91),IF($F$2&lt;&gt;"Não se aplica",SUMIF(TE!$F$51:'TE'!$F$91,$I$2,TE!$AG$51:'TE'!$AG$91),IF($E$2&lt;&gt;"Não se aplica",SUMIF(TE!$E$51:'TE'!$E$91,$I$2,TE!$AG$51:'TE'!$AG$91),IF($D$2&lt;&gt;"Não se aplica",SUMIF(TE!$D$51:'TE'!$D$91,$I$2,TE!$AG$51:'TE'!$AG$91),IF($C$2&lt;&gt;"Não se aplica",SUMIF(TE!$C$51:'TE'!$C$91,$I$2,TE!$AG$51:'TE'!$AG$91),IF($B$2&lt;&gt;"Não se aplica",SUMIF(TE!$B$51:'TE'!$B$91,$I$2,TE!$AG$51:'TE'!$AG$91),SUMIF(TE!$A$51:'TE'!$A$91,$I$2,TE!$AG$51:'TE'!$AG$91)))))))</f>
        <v>0</v>
      </c>
      <c r="L8" s="18">
        <f>IF($G$2&lt;&gt;"Não se aplica",SUMIF(TE!$G$51:'TE'!$G$91,$I$2,TE!$AH$51:'TE'!$AH$91),IF($F$2&lt;&gt;"Não se aplica",SUMIF(TE!$F$51:'TE'!$F$91,$I$2,TE!$AH$51:'TE'!$AH$91),IF($E$2&lt;&gt;"Não se aplica",SUMIF(TE!$E$51:'TE'!$E$91,$I$2,TE!$AH$51:'TE'!$AH$91),IF($D$2&lt;&gt;"Não se aplica",SUMIF(TE!$D$51:'TE'!$D$91,$I$2,TE!$AH$51:'TE'!$AH$91),IF($C$2&lt;&gt;"Não se aplica",SUMIF(TE!$C$51:'TE'!$C$91,$I$2,TE!$AH$51:'TE'!$AH$91),IF($B$2&lt;&gt;"Não se aplica",SUMIF(TE!$B$51:'TE'!$B$91,$I$2,TE!$AH$51:'TE'!$AH$91),SUMIF(TE!$A$51:'TE'!$A$91,$I$2,TE!$AH$51:'TE'!$AH$91)))))))</f>
        <v>0</v>
      </c>
      <c r="M8" s="18">
        <f t="shared" si="0"/>
        <v>0</v>
      </c>
      <c r="AD8" s="15" t="s">
        <v>133</v>
      </c>
    </row>
    <row r="9" spans="1:33" x14ac:dyDescent="0.2">
      <c r="A9" s="15" t="s">
        <v>1608</v>
      </c>
      <c r="B9" s="18">
        <f>IF($G$2&lt;&gt;"Não se aplica",SUMIF(TE!$G$51:'TE'!$G$91,$I$2,TE!$L$51:'TE'!$L$91),IF($F$2&lt;&gt;"Não se aplica",SUMIF(TE!$F$51:'TE'!$F$91,$I$2,TE!$L$51:'TE'!$L$91),IF($E$2&lt;&gt;"Não se aplica",SUMIF(TE!$E$51:'TE'!$E$91,$I$2,TE!$L$51:'TE'!$L$91),IF($D$2&lt;&gt;"Não se aplica",SUMIF(TE!$D$51:'TE'!$D$91,$I$2,TE!$L$51:'TE'!$L$91),IF($C$2&lt;&gt;"Não se aplica",SUMIF(TE!$C$51:'TE'!$C$91,$I$2,TE!$L$51:'TE'!$L$91),IF($B$2&lt;&gt;"Não se aplica",SUMIF(TE!$B$51:'TE'!$B$91,$I$2,TE!$L$51:'TE'!$L$91),SUMIF(TE!$A$51:'TE'!$A$91,$I$2,TE!$L$51:'TE'!$L$91)))))))</f>
        <v>0</v>
      </c>
      <c r="C9" s="18">
        <f>IF($G$2&lt;&gt;"Não se aplica",SUMIF(TE!$G$51:'TE'!$G$91,$I$2,TE!$M$51:'TE'!$M$91),IF($F$2&lt;&gt;"Não se aplica",SUMIF(TE!$F$51:'TE'!$F$91,$I$2,TE!$M$51:'TE'!$M$91),IF($E$2&lt;&gt;"Não se aplica",SUMIF(TE!$E$51:'TE'!$E$91,$I$2,TE!$M$51:'TE'!$M$91),IF($D$2&lt;&gt;"Não se aplica",SUMIF(TE!$D$51:'TE'!$D$91,$I$2,TE!$M$51:'TE'!$M$91),IF($C$2&lt;&gt;"Não se aplica",SUMIF(TE!$C$51:'TE'!$C$91,$I$2,TE!$M$51:'TE'!$M$91),IF($B$2&lt;&gt;"Não se aplica",SUMIF(TE!$B$51:'TE'!$B$91,$I$2,TE!$M$51:'TE'!$M$91),SUMIF(TE!$A$51:'TE'!$A$91,$I$2,TE!$M$51:'TE'!$M$91)))))))</f>
        <v>0</v>
      </c>
      <c r="D9" s="18">
        <f>IF($G$2&lt;&gt;"Não se aplica",SUMIF(TE!$G$51:'TE'!$G$91,$I$2,TE!$N$51:'TE'!$N$91),IF($F$2&lt;&gt;"Não se aplica",SUMIF(TE!$F$51:'TE'!$F$91,$I$2,TE!$N$51:'TE'!$N$91),IF($E$2&lt;&gt;"Não se aplica",SUMIF(TE!$E$51:'TE'!$E$91,$I$2,TE!$N$51:'TE'!$N$91),IF($D$2&lt;&gt;"Não se aplica",SUMIF(TE!$D$51:'TE'!$D$91,$I$2,TE!$N$51:'TE'!$N$91),IF($C$2&lt;&gt;"Não se aplica",SUMIF(TE!$C$51:'TE'!$C$91,$I$2,TE!$N$51:'TE'!$N$91),IF($B$2&lt;&gt;"Não se aplica",SUMIF(TE!$B$51:'TE'!$B$91,$I$2,TE!$N$51:'TE'!$N$91),SUMIF(TE!$A$51:'TE'!$A$91,$I$2,TE!$N$51:'TE'!$N$91)))))))</f>
        <v>0</v>
      </c>
      <c r="E9" s="18">
        <f>IF($G$2&lt;&gt;"Não se aplica",SUMIF(TE!$G$51:'TE'!$G$91,$I$2,TE!$O$51:'TE'!$O$91),IF($F$2&lt;&gt;"Não se aplica",SUMIF(TE!$F$51:'TE'!$F$91,$I$2,TE!$O$51:'TE'!$O$91),IF($E$2&lt;&gt;"Não se aplica",SUMIF(TE!$E$51:'TE'!$E$91,$I$2,TE!$O$51:'TE'!$O$91),IF($D$2&lt;&gt;"Não se aplica",SUMIF(TE!$D$51:'TE'!$D$91,$I$2,TE!$O$51:'TE'!$O$91),IF($C$2&lt;&gt;"Não se aplica",SUMIF(TE!$C$51:'TE'!$C$91,$I$2,TE!$O$51:'TE'!$O$91),IF($B$2&lt;&gt;"Não se aplica",SUMIF(TE!$B$51:'TE'!$B$91,$I$2,TE!$O$51:'TE'!$O$91),SUMIF(TE!$A$51:'TE'!$A$91,$I$2,TE!$O$51:'TE'!$O$91)))))))</f>
        <v>0</v>
      </c>
      <c r="F9" s="18">
        <f>IF($G$2&lt;&gt;"Não se aplica",SUMIF(TE!$G$51:'TE'!$G$91,$I$2,TE!$P$51:'TE'!$P$91),IF($F$2&lt;&gt;"Não se aplica",SUMIF(TE!$F$51:'TE'!$F$91,$I$2,TE!$P$51:'TE'!$P$91),IF($E$2&lt;&gt;"Não se aplica",SUMIF(TE!$E$51:'TE'!$E$91,$I$2,TE!$P$51:'TE'!$P$91),IF($D$2&lt;&gt;"Não se aplica",SUMIF(TE!$D$51:'TE'!$D$91,$I$2,TE!$P$51:'TE'!$P$91),IF($C$2&lt;&gt;"Não se aplica",SUMIF(TE!$C$51:'TE'!$C$91,$I$2,TE!$P$51:'TE'!$P$91),IF($B$2&lt;&gt;"Não se aplica",SUMIF(TE!$B$51:'TE'!$B$91,$I$2,TE!$P$51:'TE'!$P$91),SUMIF(TE!$A$51:'TE'!$A$91,$I$2,TE!$P$51:'TE'!$P$91)))))))</f>
        <v>0</v>
      </c>
      <c r="G9" s="18">
        <f>IF($G$2&lt;&gt;"Não se aplica",SUMIF(TE!$G$51:'TE'!$G$91,$I$2,TE!$Q$51:'TE'!$Q$91),IF($F$2&lt;&gt;"Não se aplica",SUMIF(TE!$F$51:'TE'!$F$91,$I$2,TE!$Q$51:'TE'!$Q$91),IF($E$2&lt;&gt;"Não se aplica",SUMIF(TE!$E$51:'TE'!$E$91,$I$2,TE!$Q$51:'TE'!$Q$91),IF($D$2&lt;&gt;"Não se aplica",SUMIF(TE!$D$51:'TE'!$D$91,$I$2,TE!$Q$51:'TE'!$Q$91),IF($C$2&lt;&gt;"Não se aplica",SUMIF(TE!$C$51:'TE'!$C$91,$I$2,TE!$Q$51:'TE'!$Q$91),IF($B$2&lt;&gt;"Não se aplica",SUMIF(TE!$B$51:'TE'!$B$91,$I$2,TE!$Q$51:'TE'!$Q$91),SUMIF(TE!$A$51:'TE'!$A$91,$I$2,TE!$Q$51:'TE'!$Q$91)))))))</f>
        <v>0</v>
      </c>
      <c r="H9" s="18">
        <f>IF($G$2&lt;&gt;"Não se aplica",SUMIF(TE!$G$51:'TE'!$G$91,$I$2,TE!$R$51:'TE'!$R$91),IF($F$2&lt;&gt;"Não se aplica",SUMIF(TE!$F$51:'TE'!$F$91,$I$2,TE!$R$51:'TE'!$R$91),IF($E$2&lt;&gt;"Não se aplica",SUMIF(TE!$E$51:'TE'!$E$91,$I$2,TE!$R$51:'TE'!$R$91),IF($D$2&lt;&gt;"Não se aplica",SUMIF(TE!$D$51:'TE'!$D$91,$I$2,TE!$R$51:'TE'!$R$91),IF($C$2&lt;&gt;"Não se aplica",SUMIF(TE!$C$51:'TE'!$C$91,$I$2,TE!$R$51:'TE'!$R$91),IF($B$2&lt;&gt;"Não se aplica",SUMIF(TE!$B$51:'TE'!$B$91,$I$2,TE!$R$51:'TE'!$R$91),SUMIF(TE!$A$51:'TE'!$A$91,$I$2,TE!$R$51:'TE'!$R$91)))))))</f>
        <v>0</v>
      </c>
      <c r="I9" s="18">
        <f>IF($G$2&lt;&gt;"Não se aplica",SUMIF(TE!$G$51:'TE'!$G$91,$I$2,TE!$S$51:'TE'!$S$91),IF($F$2&lt;&gt;"Não se aplica",SUMIF(TE!$F$51:'TE'!$F$91,$I$2,TE!$S$51:'TE'!$S$91),IF($E$2&lt;&gt;"Não se aplica",SUMIF(TE!$E$51:'TE'!$E$91,$I$2,TE!$S$51:'TE'!$S$91),IF($D$2&lt;&gt;"Não se aplica",SUMIF(TE!$D$51:'TE'!$D$91,$I$2,TE!$S$51:'TE'!$S$91),IF($C$2&lt;&gt;"Não se aplica",SUMIF(TE!$C$51:'TE'!$C$91,$I$2,TE!$S$51:'TE'!$S$91),IF($B$2&lt;&gt;"Não se aplica",SUMIF(TE!$B$51:'TE'!$B$91,$I$2,TE!$S$51:'TE'!$S$91),SUMIF(TE!$A$51:'TE'!$A$91,$I$2,TE!$S$51:'TE'!$S$91)))))))</f>
        <v>0</v>
      </c>
      <c r="J9" s="18">
        <f>IF($G$2&lt;&gt;"Não se aplica",SUMIF(TE!$G$51:'TE'!$G$91,$I$2,TE!$T$51:'TE'!$T$91),IF($F$2&lt;&gt;"Não se aplica",SUMIF(TE!$F$51:'TE'!$F$91,$I$2,TE!$T$51:'TE'!$T$91),IF($E$2&lt;&gt;"Não se aplica",SUMIF(TE!$E$51:'TE'!$E$91,$I$2,TE!$T$51:'TE'!$T$91),IF($D$2&lt;&gt;"Não se aplica",SUMIF(TE!$D$51:'TE'!$D$91,$I$2,TE!$T$51:'TE'!$T$91),IF($C$2&lt;&gt;"Não se aplica",SUMIF(TE!$C$51:'TE'!$C$91,$I$2,TE!$T$51:'TE'!$T$91),IF($B$2&lt;&gt;"Não se aplica",SUMIF(TE!$B$51:'TE'!$B$91,$I$2,TE!$T$51:'TE'!$T$91),SUMIF(TE!$A$51:'TE'!$A$91,$I$2,TE!$T$51:'TE'!$T$91)))))))</f>
        <v>0</v>
      </c>
      <c r="K9" s="18">
        <f>IF($G$2&lt;&gt;"Não se aplica",SUMIF(TE!$G$51:'TE'!$G$91,$I$2,TE!$U$51:'TE'!$U$91),IF($F$2&lt;&gt;"Não se aplica",SUMIF(TE!$F$51:'TE'!$F$91,$I$2,TE!$U$51:'TE'!$U$91),IF($E$2&lt;&gt;"Não se aplica",SUMIF(TE!$E$51:'TE'!$E$91,$I$2,TE!$U$51:'TE'!$U$91),IF($D$2&lt;&gt;"Não se aplica",SUMIF(TE!$D$51:'TE'!$D$91,$I$2,TE!$U$51:'TE'!$U$91),IF($C$2&lt;&gt;"Não se aplica",SUMIF(TE!$C$51:'TE'!$C$91,$I$2,TE!$U$51:'TE'!$U$91),IF($B$2&lt;&gt;"Não se aplica",SUMIF(TE!$B$51:'TE'!$B$91,$I$2,TE!$U$51:'TE'!$U$91),SUMIF(TE!$A$51:'TE'!$A$91,$I$2,TE!$U$51:'TE'!$U$91)))))))</f>
        <v>0</v>
      </c>
      <c r="L9" s="18">
        <f>IF($G$2&lt;&gt;"Não se aplica",SUMIF(TE!$G$51:'TE'!$G$91,$I$2,TE!$V$51:'TE'!$V$91),IF($F$2&lt;&gt;"Não se aplica",SUMIF(TE!$F$51:'TE'!$F$91,$I$2,TE!$V$51:'TE'!$V$91),IF($E$2&lt;&gt;"Não se aplica",SUMIF(TE!$E$51:'TE'!$E$91,$I$2,TE!$V$51:'TE'!$V$91),IF($D$2&lt;&gt;"Não se aplica",SUMIF(TE!$D$51:'TE'!$D$91,$I$2,TE!$V$51:'TE'!$V$91),IF($C$2&lt;&gt;"Não se aplica",SUMIF(TE!$C$51:'TE'!$C$91,$I$2,TE!$V$51:'TE'!$V$91),IF($B$2&lt;&gt;"Não se aplica",SUMIF(TE!$B$51:'TE'!$B$91,$I$2,TE!$V$51:'TE'!$V$91),SUMIF(TE!$A$51:'TE'!$A$91,$I$2,TE!$V$51:'TE'!$V$91)))))))</f>
        <v>0</v>
      </c>
      <c r="M9" s="18">
        <f t="shared" si="0"/>
        <v>0</v>
      </c>
      <c r="AD9" s="15" t="s">
        <v>49</v>
      </c>
    </row>
    <row r="10" spans="1:33" x14ac:dyDescent="0.2">
      <c r="A10" s="15" t="s">
        <v>1605</v>
      </c>
      <c r="B10" s="18">
        <f>SUMIF(TE!$A$51:'TE'!$A$91,$A$2,TE!$X$51:'TE'!$X$91)</f>
        <v>0</v>
      </c>
      <c r="C10" s="18">
        <f>SUMIF(TE!$A$51:'TE'!$A$91,$A$2,TE!$Y$51:'TE'!$Y$91)</f>
        <v>0</v>
      </c>
      <c r="D10" s="18">
        <f>SUMIF(TE!$A$51:'TE'!$A$91,$A$2,TE!$Z$51:'TE'!$Z$91)</f>
        <v>0</v>
      </c>
      <c r="E10" s="18">
        <f>SUMIF(TE!$A$51:'TE'!$A$91,$A$2,TE!$AA$51:'TE'!$AA$91)</f>
        <v>0</v>
      </c>
      <c r="F10" s="18">
        <f>SUMIF(TE!$A$51:'TE'!$A$91,$A$2,TE!$AB$51:'TE'!$AB$91)</f>
        <v>0</v>
      </c>
      <c r="G10" s="18">
        <f>SUMIF(TE!$A$51:'TE'!$A$91,$A$2,TE!$AC$51:'TE'!$AC$91)</f>
        <v>0</v>
      </c>
      <c r="H10" s="18">
        <f>SUMIF(TE!$A$51:'TE'!$A$91,$A$2,TE!$AD$51:'TE'!$AD$91)</f>
        <v>0</v>
      </c>
      <c r="I10" s="18">
        <f>SUMIF(TE!$A$51:'TE'!$A$91,$A$2,TE!$AE$51:'TE'!$AE$91)</f>
        <v>0</v>
      </c>
      <c r="J10" s="18">
        <f>SUMIF(TE!$A$51:'TE'!$A$91,$A$2,TE!$AF$51:'TE'!$AF$91)</f>
        <v>0</v>
      </c>
      <c r="K10" s="18">
        <f>SUMIF(TE!$A$51:'TE'!$A$91,$A$2,TE!$AG$51:'TE'!$AG$91)</f>
        <v>0</v>
      </c>
      <c r="L10" s="18">
        <f>SUMIF(TE!$A$51:'TE'!$A$91,$A$2,TE!$AH$51:'TE'!$AH$91)</f>
        <v>0</v>
      </c>
      <c r="M10" s="18">
        <f t="shared" si="0"/>
        <v>0</v>
      </c>
      <c r="AD10" s="15" t="s">
        <v>50</v>
      </c>
    </row>
    <row r="11" spans="1:33" x14ac:dyDescent="0.2">
      <c r="A11" s="15" t="s">
        <v>1606</v>
      </c>
      <c r="B11" s="18">
        <f>SUMIF(TE!$A$51:'TE'!$A$91,$A$2,TE!$L$51:'TE'!$L$91)</f>
        <v>0</v>
      </c>
      <c r="C11" s="18">
        <f>SUMIF(TE!$A$51:'TE'!$A$91,$A$2,TE!$M$51:'TE'!$M$91)</f>
        <v>0</v>
      </c>
      <c r="D11" s="18">
        <f>SUMIF(TE!$A$51:'TE'!$A$91,$A$2,TE!$N$51:'TE'!$N$91)</f>
        <v>0</v>
      </c>
      <c r="E11" s="18">
        <f>SUMIF(TE!$A$51:'TE'!$A$91,$A$2,TE!$O$51:'TE'!$O$91)</f>
        <v>0</v>
      </c>
      <c r="F11" s="18">
        <f>SUMIF(TE!$A$51:'TE'!$A$91,$A$2,TE!$P$51:'TE'!$P$91)</f>
        <v>0</v>
      </c>
      <c r="G11" s="18">
        <f>SUMIF(TE!$A$51:'TE'!$A$91,$A$2,TE!$Q$51:'TE'!$Q$91)</f>
        <v>0</v>
      </c>
      <c r="H11" s="18">
        <f>SUMIF(TE!$A$51:'TE'!$A$91,$A$2,TE!$R$51:'TE'!$R$91)</f>
        <v>0</v>
      </c>
      <c r="I11" s="18">
        <f>SUMIF(TE!$A$51:'TE'!$A$91,$A$2,TE!$S$51:'TE'!$S$91)</f>
        <v>0</v>
      </c>
      <c r="J11" s="18">
        <f>SUMIF(TE!$A$51:'TE'!$A$91,$A$2,TE!$T$51:'TE'!$T$91)</f>
        <v>0</v>
      </c>
      <c r="K11" s="18">
        <f>SUMIF(TE!$A$51:'TE'!$A$91,$A$2,TE!$U$51:'TE'!$U$91)</f>
        <v>0</v>
      </c>
      <c r="L11" s="18">
        <f>SUMIF(TE!$A$51:'TE'!$A$91,$A$2,TE!$V$51:'TE'!$V$91)</f>
        <v>0</v>
      </c>
      <c r="M11" s="18">
        <f t="shared" si="0"/>
        <v>0</v>
      </c>
    </row>
    <row r="13" spans="1:33" x14ac:dyDescent="0.2">
      <c r="A13" s="15" t="s">
        <v>1610</v>
      </c>
      <c r="B13" s="29">
        <f t="shared" ref="B13:M13" si="1">IF($M$6&lt;&gt;0,(B$7-B$6)/$M$6,0)</f>
        <v>3.3426357444663984E-4</v>
      </c>
      <c r="C13" s="29">
        <f t="shared" si="1"/>
        <v>-2.9897422424179719E-2</v>
      </c>
      <c r="D13" s="29">
        <f t="shared" si="1"/>
        <v>0</v>
      </c>
      <c r="E13" s="29">
        <f t="shared" si="1"/>
        <v>5.2359669015336618E-2</v>
      </c>
      <c r="F13" s="29">
        <f t="shared" si="1"/>
        <v>-5.4812647540702107E-2</v>
      </c>
      <c r="G13" s="29">
        <f t="shared" si="1"/>
        <v>6.1435673524220386E-2</v>
      </c>
      <c r="H13" s="29">
        <f t="shared" si="1"/>
        <v>6.7193296150358829E-3</v>
      </c>
      <c r="I13" s="29">
        <f t="shared" si="1"/>
        <v>-2.5060699816110295E-3</v>
      </c>
      <c r="J13" s="29">
        <f t="shared" si="1"/>
        <v>0</v>
      </c>
      <c r="K13" s="29">
        <f t="shared" si="1"/>
        <v>2.4683135560801112E-4</v>
      </c>
      <c r="L13" s="29">
        <f t="shared" si="1"/>
        <v>-5.9848507573212668E-4</v>
      </c>
      <c r="M13" s="29">
        <f t="shared" si="1"/>
        <v>3.3281142062422414E-2</v>
      </c>
    </row>
    <row r="14" spans="1:33" x14ac:dyDescent="0.2">
      <c r="A14" s="15" t="s">
        <v>1611</v>
      </c>
      <c r="B14" s="29">
        <f t="shared" ref="B14:M14" si="2">IF($M$10&lt;&gt;0,(B$9-B$8)/$M$10,0)</f>
        <v>0</v>
      </c>
      <c r="C14" s="29">
        <f t="shared" si="2"/>
        <v>0</v>
      </c>
      <c r="D14" s="29">
        <f t="shared" si="2"/>
        <v>0</v>
      </c>
      <c r="E14" s="29">
        <f t="shared" si="2"/>
        <v>0</v>
      </c>
      <c r="F14" s="29">
        <f t="shared" si="2"/>
        <v>0</v>
      </c>
      <c r="G14" s="29">
        <f t="shared" si="2"/>
        <v>0</v>
      </c>
      <c r="H14" s="29">
        <f t="shared" si="2"/>
        <v>0</v>
      </c>
      <c r="I14" s="29">
        <f t="shared" si="2"/>
        <v>0</v>
      </c>
      <c r="J14" s="29">
        <f t="shared" si="2"/>
        <v>0</v>
      </c>
      <c r="K14" s="29">
        <f t="shared" si="2"/>
        <v>0</v>
      </c>
      <c r="L14" s="29">
        <f t="shared" si="2"/>
        <v>0</v>
      </c>
      <c r="M14" s="29">
        <f t="shared" si="2"/>
        <v>0</v>
      </c>
    </row>
    <row r="15" spans="1:33" x14ac:dyDescent="0.2">
      <c r="A15" s="15" t="s">
        <v>1612</v>
      </c>
      <c r="B15" s="29">
        <f t="shared" ref="B15:M15" si="3">IF($M$8&lt;&gt;0,(B$9-B$8)/$M$8,0)</f>
        <v>0</v>
      </c>
      <c r="C15" s="29">
        <f t="shared" si="3"/>
        <v>0</v>
      </c>
      <c r="D15" s="29">
        <f t="shared" si="3"/>
        <v>0</v>
      </c>
      <c r="E15" s="29">
        <f t="shared" si="3"/>
        <v>0</v>
      </c>
      <c r="F15" s="29">
        <f t="shared" si="3"/>
        <v>0</v>
      </c>
      <c r="G15" s="29">
        <f t="shared" si="3"/>
        <v>0</v>
      </c>
      <c r="H15" s="29">
        <f t="shared" si="3"/>
        <v>0</v>
      </c>
      <c r="I15" s="29">
        <f t="shared" si="3"/>
        <v>0</v>
      </c>
      <c r="J15" s="29">
        <f t="shared" si="3"/>
        <v>0</v>
      </c>
      <c r="K15" s="29">
        <f t="shared" si="3"/>
        <v>0</v>
      </c>
      <c r="L15" s="29">
        <f t="shared" si="3"/>
        <v>0</v>
      </c>
      <c r="M15" s="29">
        <f t="shared" si="3"/>
        <v>0</v>
      </c>
    </row>
  </sheetData>
  <dataValidations count="5">
    <dataValidation type="list" allowBlank="1" showInputMessage="1" showErrorMessage="1" sqref="A2" xr:uid="{E2E9D587-84F7-49FE-8215-462066171799}">
      <formula1>AA1:AA7</formula1>
    </dataValidation>
    <dataValidation type="list" allowBlank="1" showInputMessage="1" showErrorMessage="1" sqref="B2 C2" xr:uid="{5AC4E8BC-2A06-4343-90C5-7173CFFE1C20}">
      <formula1>AB1:AB4</formula1>
    </dataValidation>
    <dataValidation type="list" allowBlank="1" showInputMessage="1" showErrorMessage="1" sqref="D2" xr:uid="{CA75F0C9-CAFD-448E-9054-09463E03C521}">
      <formula1>AD1:AD10</formula1>
    </dataValidation>
    <dataValidation type="list" allowBlank="1" showInputMessage="1" showErrorMessage="1" sqref="E2 F2" xr:uid="{453955B1-A2E3-4F4A-A92D-48640197EB12}">
      <formula1>AE1:AE1</formula1>
    </dataValidation>
    <dataValidation type="list" allowBlank="1" showInputMessage="1" showErrorMessage="1" sqref="G2" xr:uid="{1C4F6A28-F97F-472F-BEBE-0D3D1CC086CB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74971-6C4A-4A2B-AFDF-80A2A2639758}">
  <dimension ref="B1:U31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9" t="s">
        <v>1149</v>
      </c>
      <c r="C1" s="69" t="s">
        <v>1150</v>
      </c>
      <c r="D1" s="69" t="s">
        <v>1151</v>
      </c>
      <c r="E1" s="69" t="s">
        <v>2</v>
      </c>
      <c r="F1" s="69" t="s">
        <v>1152</v>
      </c>
      <c r="G1" s="69" t="s">
        <v>1069</v>
      </c>
      <c r="H1" s="69" t="s">
        <v>3</v>
      </c>
      <c r="I1" s="69" t="s">
        <v>1153</v>
      </c>
      <c r="J1" s="69" t="s">
        <v>5</v>
      </c>
      <c r="K1" s="69" t="s">
        <v>1</v>
      </c>
      <c r="L1" s="69" t="s">
        <v>1154</v>
      </c>
      <c r="M1" s="69" t="s">
        <v>1155</v>
      </c>
      <c r="N1" s="69" t="s">
        <v>1156</v>
      </c>
      <c r="O1" s="69" t="s">
        <v>1157</v>
      </c>
      <c r="P1" s="69" t="s">
        <v>1158</v>
      </c>
      <c r="Q1" s="69" t="s">
        <v>1159</v>
      </c>
      <c r="R1" s="69" t="s">
        <v>1160</v>
      </c>
      <c r="S1" s="69" t="s">
        <v>1161</v>
      </c>
      <c r="T1" s="69" t="s">
        <v>1162</v>
      </c>
      <c r="U1" s="69" t="s">
        <v>1163</v>
      </c>
    </row>
    <row r="2" spans="2:21" x14ac:dyDescent="0.25">
      <c r="B2" s="68" t="s">
        <v>1129</v>
      </c>
      <c r="C2" s="68">
        <v>4652</v>
      </c>
      <c r="D2" s="68">
        <v>6585</v>
      </c>
      <c r="E2" s="68" t="s">
        <v>40</v>
      </c>
      <c r="F2" s="68">
        <v>1</v>
      </c>
      <c r="G2" s="68" t="s">
        <v>1130</v>
      </c>
      <c r="H2" s="68" t="s">
        <v>51</v>
      </c>
      <c r="I2" s="68" t="s">
        <v>52</v>
      </c>
      <c r="J2" s="68" t="s">
        <v>1131</v>
      </c>
      <c r="K2" s="68" t="s">
        <v>41</v>
      </c>
      <c r="L2" s="68">
        <v>0.15</v>
      </c>
      <c r="M2" s="68">
        <v>0.12</v>
      </c>
      <c r="N2" s="68">
        <v>0.09</v>
      </c>
      <c r="O2" s="68">
        <v>0.06</v>
      </c>
      <c r="P2" s="68">
        <v>0.03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1132</v>
      </c>
      <c r="C3" s="68">
        <v>4653</v>
      </c>
      <c r="D3" s="68">
        <v>6585</v>
      </c>
      <c r="E3" s="68" t="s">
        <v>42</v>
      </c>
      <c r="F3" s="68">
        <v>1</v>
      </c>
      <c r="G3" s="68" t="s">
        <v>1130</v>
      </c>
      <c r="H3" s="68" t="s">
        <v>51</v>
      </c>
      <c r="I3" s="68" t="s">
        <v>52</v>
      </c>
      <c r="J3" s="68" t="s">
        <v>1131</v>
      </c>
      <c r="K3" s="68" t="s">
        <v>41</v>
      </c>
      <c r="L3" s="68">
        <v>0.15</v>
      </c>
      <c r="M3" s="68">
        <v>0.12</v>
      </c>
      <c r="N3" s="68">
        <v>0.09</v>
      </c>
      <c r="O3" s="68">
        <v>0.06</v>
      </c>
      <c r="P3" s="68">
        <v>0.03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1133</v>
      </c>
      <c r="C4" s="68">
        <v>4654</v>
      </c>
      <c r="D4" s="68">
        <v>6585</v>
      </c>
      <c r="E4" s="68" t="s">
        <v>1134</v>
      </c>
      <c r="F4" s="68">
        <v>1</v>
      </c>
      <c r="G4" s="68" t="s">
        <v>1130</v>
      </c>
      <c r="H4" s="68" t="s">
        <v>51</v>
      </c>
      <c r="I4" s="68" t="s">
        <v>52</v>
      </c>
      <c r="J4" s="68" t="s">
        <v>1131</v>
      </c>
      <c r="K4" s="68" t="s">
        <v>41</v>
      </c>
      <c r="L4" s="68">
        <v>0.15</v>
      </c>
      <c r="M4" s="68">
        <v>0.12</v>
      </c>
      <c r="N4" s="68">
        <v>0.09</v>
      </c>
      <c r="O4" s="68">
        <v>0.06</v>
      </c>
      <c r="P4" s="68">
        <v>0.03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1135</v>
      </c>
      <c r="C5" s="68">
        <v>4655</v>
      </c>
      <c r="D5" s="68">
        <v>6585</v>
      </c>
      <c r="E5" s="68" t="s">
        <v>23</v>
      </c>
      <c r="F5" s="68">
        <v>1</v>
      </c>
      <c r="G5" s="68" t="s">
        <v>1130</v>
      </c>
      <c r="H5" s="68" t="s">
        <v>45</v>
      </c>
      <c r="I5" s="68" t="s">
        <v>25</v>
      </c>
      <c r="J5" s="68" t="s">
        <v>45</v>
      </c>
      <c r="K5" s="68" t="s">
        <v>44</v>
      </c>
      <c r="L5" s="68">
        <v>0.3</v>
      </c>
      <c r="M5" s="68">
        <v>0.24</v>
      </c>
      <c r="N5" s="68">
        <v>0.18</v>
      </c>
      <c r="O5" s="68">
        <v>0.12</v>
      </c>
      <c r="P5" s="68">
        <v>0.06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1136</v>
      </c>
      <c r="C6" s="68">
        <v>4656</v>
      </c>
      <c r="D6" s="68">
        <v>6585</v>
      </c>
      <c r="E6" s="68" t="s">
        <v>33</v>
      </c>
      <c r="F6" s="68">
        <v>1</v>
      </c>
      <c r="G6" s="68" t="s">
        <v>1130</v>
      </c>
      <c r="H6" s="68" t="s">
        <v>45</v>
      </c>
      <c r="I6" s="68" t="s">
        <v>25</v>
      </c>
      <c r="J6" s="68" t="s">
        <v>45</v>
      </c>
      <c r="K6" s="68" t="s">
        <v>44</v>
      </c>
      <c r="L6" s="68">
        <v>0.3</v>
      </c>
      <c r="M6" s="68">
        <v>0.24</v>
      </c>
      <c r="N6" s="68">
        <v>0.18</v>
      </c>
      <c r="O6" s="68">
        <v>0.12</v>
      </c>
      <c r="P6" s="68">
        <v>0.06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1137</v>
      </c>
      <c r="C7" s="68">
        <v>4657</v>
      </c>
      <c r="D7" s="68">
        <v>6585</v>
      </c>
      <c r="E7" s="68" t="s">
        <v>23</v>
      </c>
      <c r="F7" s="68">
        <v>1</v>
      </c>
      <c r="G7" s="68" t="s">
        <v>1130</v>
      </c>
      <c r="H7" s="68" t="s">
        <v>45</v>
      </c>
      <c r="I7" s="68" t="s">
        <v>132</v>
      </c>
      <c r="J7" s="68" t="s">
        <v>1131</v>
      </c>
      <c r="K7" s="68" t="s">
        <v>44</v>
      </c>
      <c r="L7" s="68">
        <v>0.3</v>
      </c>
      <c r="M7" s="68">
        <v>0.24</v>
      </c>
      <c r="N7" s="68">
        <v>0.18</v>
      </c>
      <c r="O7" s="68">
        <v>0.12</v>
      </c>
      <c r="P7" s="68">
        <v>0.06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1138</v>
      </c>
      <c r="C8" s="68">
        <v>4658</v>
      </c>
      <c r="D8" s="68">
        <v>6585</v>
      </c>
      <c r="E8" s="68" t="s">
        <v>1139</v>
      </c>
      <c r="F8" s="68">
        <v>1</v>
      </c>
      <c r="G8" s="68" t="s">
        <v>1130</v>
      </c>
      <c r="H8" s="68" t="s">
        <v>45</v>
      </c>
      <c r="I8" s="68" t="s">
        <v>132</v>
      </c>
      <c r="J8" s="68" t="s">
        <v>1131</v>
      </c>
      <c r="K8" s="68" t="s">
        <v>44</v>
      </c>
      <c r="L8" s="68">
        <v>0.3</v>
      </c>
      <c r="M8" s="68">
        <v>0.24</v>
      </c>
      <c r="N8" s="68">
        <v>0.18</v>
      </c>
      <c r="O8" s="68">
        <v>0.12</v>
      </c>
      <c r="P8" s="68">
        <v>0.06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1140</v>
      </c>
      <c r="C9" s="68">
        <v>4659</v>
      </c>
      <c r="D9" s="68">
        <v>6585</v>
      </c>
      <c r="E9" s="68" t="s">
        <v>23</v>
      </c>
      <c r="F9" s="68">
        <v>1</v>
      </c>
      <c r="G9" s="68" t="s">
        <v>1130</v>
      </c>
      <c r="H9" s="68" t="s">
        <v>45</v>
      </c>
      <c r="I9" s="68" t="s">
        <v>133</v>
      </c>
      <c r="J9" s="68" t="s">
        <v>1131</v>
      </c>
      <c r="K9" s="68" t="s">
        <v>44</v>
      </c>
      <c r="L9" s="68">
        <v>0.4</v>
      </c>
      <c r="M9" s="68">
        <v>0.32</v>
      </c>
      <c r="N9" s="68">
        <v>0.24</v>
      </c>
      <c r="O9" s="68">
        <v>0.16</v>
      </c>
      <c r="P9" s="68">
        <v>0.08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1141</v>
      </c>
      <c r="C10" s="68">
        <v>4660</v>
      </c>
      <c r="D10" s="68">
        <v>6585</v>
      </c>
      <c r="E10" s="68" t="s">
        <v>1139</v>
      </c>
      <c r="F10" s="68">
        <v>1</v>
      </c>
      <c r="G10" s="68" t="s">
        <v>1130</v>
      </c>
      <c r="H10" s="68" t="s">
        <v>45</v>
      </c>
      <c r="I10" s="68" t="s">
        <v>133</v>
      </c>
      <c r="J10" s="68" t="s">
        <v>1131</v>
      </c>
      <c r="K10" s="68" t="s">
        <v>44</v>
      </c>
      <c r="L10" s="68">
        <v>0.4</v>
      </c>
      <c r="M10" s="68">
        <v>0.32</v>
      </c>
      <c r="N10" s="68">
        <v>0.24</v>
      </c>
      <c r="O10" s="68">
        <v>0.16</v>
      </c>
      <c r="P10" s="68">
        <v>0.08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1142</v>
      </c>
      <c r="C11" s="68">
        <v>4661</v>
      </c>
      <c r="D11" s="68">
        <v>6585</v>
      </c>
      <c r="E11" s="68" t="s">
        <v>23</v>
      </c>
      <c r="F11" s="68">
        <v>1</v>
      </c>
      <c r="G11" s="68" t="s">
        <v>1130</v>
      </c>
      <c r="H11" s="68" t="s">
        <v>51</v>
      </c>
      <c r="I11" s="68" t="s">
        <v>52</v>
      </c>
      <c r="J11" s="68" t="s">
        <v>1131</v>
      </c>
      <c r="K11" s="68" t="s">
        <v>37</v>
      </c>
      <c r="L11" s="68">
        <v>0.15</v>
      </c>
      <c r="M11" s="68">
        <v>0.12</v>
      </c>
      <c r="N11" s="68">
        <v>0.09</v>
      </c>
      <c r="O11" s="68">
        <v>0.06</v>
      </c>
      <c r="P11" s="68">
        <v>0.03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1143</v>
      </c>
      <c r="C12" s="68">
        <v>4662</v>
      </c>
      <c r="D12" s="68">
        <v>6585</v>
      </c>
      <c r="E12" s="68" t="s">
        <v>33</v>
      </c>
      <c r="F12" s="68">
        <v>1</v>
      </c>
      <c r="G12" s="68" t="s">
        <v>1130</v>
      </c>
      <c r="H12" s="68" t="s">
        <v>51</v>
      </c>
      <c r="I12" s="68" t="s">
        <v>52</v>
      </c>
      <c r="J12" s="68" t="s">
        <v>1131</v>
      </c>
      <c r="K12" s="68" t="s">
        <v>37</v>
      </c>
      <c r="L12" s="68">
        <v>0.15</v>
      </c>
      <c r="M12" s="68">
        <v>0.12</v>
      </c>
      <c r="N12" s="68">
        <v>0.09</v>
      </c>
      <c r="O12" s="68">
        <v>0.06</v>
      </c>
      <c r="P12" s="68">
        <v>0.03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1144</v>
      </c>
      <c r="C13" s="68">
        <v>4578</v>
      </c>
      <c r="D13" s="68">
        <v>6585</v>
      </c>
      <c r="E13" s="68"/>
      <c r="F13" s="68">
        <v>1</v>
      </c>
      <c r="G13" s="68" t="s">
        <v>1130</v>
      </c>
      <c r="H13" s="68" t="s">
        <v>45</v>
      </c>
      <c r="I13" s="68" t="s">
        <v>25</v>
      </c>
      <c r="J13" s="68" t="s">
        <v>1131</v>
      </c>
      <c r="K13" s="68" t="s">
        <v>44</v>
      </c>
      <c r="L13" s="68">
        <v>0.3</v>
      </c>
      <c r="M13" s="68">
        <v>0.24</v>
      </c>
      <c r="N13" s="68">
        <v>0.18</v>
      </c>
      <c r="O13" s="68">
        <v>0.12</v>
      </c>
      <c r="P13" s="68">
        <v>0.06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1137</v>
      </c>
      <c r="C14" s="68">
        <v>4579</v>
      </c>
      <c r="D14" s="68">
        <v>6585</v>
      </c>
      <c r="E14" s="68" t="s">
        <v>23</v>
      </c>
      <c r="F14" s="68">
        <v>1</v>
      </c>
      <c r="G14" s="68" t="s">
        <v>1130</v>
      </c>
      <c r="H14" s="68" t="s">
        <v>45</v>
      </c>
      <c r="I14" s="68" t="s">
        <v>132</v>
      </c>
      <c r="J14" s="68" t="s">
        <v>1131</v>
      </c>
      <c r="K14" s="68" t="s">
        <v>44</v>
      </c>
      <c r="L14" s="68">
        <v>0.3</v>
      </c>
      <c r="M14" s="68">
        <v>0.24</v>
      </c>
      <c r="N14" s="68">
        <v>0.18</v>
      </c>
      <c r="O14" s="68">
        <v>0.12</v>
      </c>
      <c r="P14" s="68">
        <v>0.06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1145</v>
      </c>
      <c r="C15" s="68">
        <v>4649</v>
      </c>
      <c r="D15" s="68">
        <v>6585</v>
      </c>
      <c r="E15" s="68" t="s">
        <v>40</v>
      </c>
      <c r="F15" s="68">
        <v>1</v>
      </c>
      <c r="G15" s="68" t="s">
        <v>1130</v>
      </c>
      <c r="H15" s="68" t="s">
        <v>45</v>
      </c>
      <c r="I15" s="68" t="s">
        <v>25</v>
      </c>
      <c r="J15" s="68" t="s">
        <v>1146</v>
      </c>
      <c r="K15" s="68" t="s">
        <v>41</v>
      </c>
      <c r="L15" s="68">
        <v>0.1</v>
      </c>
      <c r="M15" s="68">
        <v>0.08</v>
      </c>
      <c r="N15" s="68">
        <v>0.06</v>
      </c>
      <c r="O15" s="68">
        <v>0.04</v>
      </c>
      <c r="P15" s="68">
        <v>0.02</v>
      </c>
      <c r="Q15" s="68">
        <v>0</v>
      </c>
      <c r="R15" s="68"/>
      <c r="S15" s="68"/>
      <c r="T15" s="68"/>
      <c r="U15" s="68">
        <v>3</v>
      </c>
    </row>
    <row r="16" spans="2:21" x14ac:dyDescent="0.25">
      <c r="B16" s="68" t="s">
        <v>1147</v>
      </c>
      <c r="C16" s="68">
        <v>4650</v>
      </c>
      <c r="D16" s="68">
        <v>6585</v>
      </c>
      <c r="E16" s="68" t="s">
        <v>42</v>
      </c>
      <c r="F16" s="68">
        <v>1</v>
      </c>
      <c r="G16" s="68" t="s">
        <v>1130</v>
      </c>
      <c r="H16" s="68" t="s">
        <v>45</v>
      </c>
      <c r="I16" s="68" t="s">
        <v>25</v>
      </c>
      <c r="J16" s="68" t="s">
        <v>1146</v>
      </c>
      <c r="K16" s="68" t="s">
        <v>41</v>
      </c>
      <c r="L16" s="68">
        <v>0.1</v>
      </c>
      <c r="M16" s="68">
        <v>0.08</v>
      </c>
      <c r="N16" s="68">
        <v>0.06</v>
      </c>
      <c r="O16" s="68">
        <v>0.04</v>
      </c>
      <c r="P16" s="68">
        <v>0.02</v>
      </c>
      <c r="Q16" s="68">
        <v>0</v>
      </c>
      <c r="R16" s="68"/>
      <c r="S16" s="68"/>
      <c r="T16" s="68"/>
      <c r="U16" s="68">
        <v>3</v>
      </c>
    </row>
    <row r="17" spans="2:21" x14ac:dyDescent="0.25">
      <c r="B17" s="68" t="s">
        <v>1148</v>
      </c>
      <c r="C17" s="68">
        <v>4651</v>
      </c>
      <c r="D17" s="68">
        <v>6585</v>
      </c>
      <c r="E17" s="68" t="s">
        <v>23</v>
      </c>
      <c r="F17" s="68">
        <v>1</v>
      </c>
      <c r="G17" s="68" t="s">
        <v>1130</v>
      </c>
      <c r="H17" s="68" t="s">
        <v>45</v>
      </c>
      <c r="I17" s="68" t="s">
        <v>25</v>
      </c>
      <c r="J17" s="68" t="s">
        <v>1146</v>
      </c>
      <c r="K17" s="68" t="s">
        <v>41</v>
      </c>
      <c r="L17" s="68">
        <v>0.1</v>
      </c>
      <c r="M17" s="68">
        <v>0.08</v>
      </c>
      <c r="N17" s="68">
        <v>0.06</v>
      </c>
      <c r="O17" s="68">
        <v>0.04</v>
      </c>
      <c r="P17" s="68">
        <v>0.02</v>
      </c>
      <c r="Q17" s="68">
        <v>0</v>
      </c>
      <c r="R17" s="68"/>
      <c r="S17" s="68"/>
      <c r="T17" s="68"/>
      <c r="U17" s="68">
        <v>3</v>
      </c>
    </row>
    <row r="18" spans="2:21" x14ac:dyDescent="0.25">
      <c r="B18" s="68" t="s">
        <v>1145</v>
      </c>
      <c r="C18" s="68">
        <v>7036</v>
      </c>
      <c r="D18" s="68">
        <v>6585</v>
      </c>
      <c r="E18" s="68" t="s">
        <v>40</v>
      </c>
      <c r="F18" s="68">
        <v>1</v>
      </c>
      <c r="G18" s="68" t="s">
        <v>1130</v>
      </c>
      <c r="H18" s="68" t="s">
        <v>45</v>
      </c>
      <c r="I18" s="68" t="s">
        <v>25</v>
      </c>
      <c r="J18" s="68" t="s">
        <v>1146</v>
      </c>
      <c r="K18" s="68" t="s">
        <v>41</v>
      </c>
      <c r="L18" s="68">
        <v>0.1</v>
      </c>
      <c r="M18" s="68">
        <v>0.08</v>
      </c>
      <c r="N18" s="68">
        <v>0.06</v>
      </c>
      <c r="O18" s="68">
        <v>0.04</v>
      </c>
      <c r="P18" s="68">
        <v>0.02</v>
      </c>
      <c r="Q18" s="68">
        <v>0</v>
      </c>
      <c r="R18" s="68"/>
      <c r="S18" s="68"/>
      <c r="T18" s="68"/>
      <c r="U18" s="68">
        <v>3</v>
      </c>
    </row>
    <row r="19" spans="2:21" x14ac:dyDescent="0.25">
      <c r="B19" s="68" t="s">
        <v>1147</v>
      </c>
      <c r="C19" s="68">
        <v>7037</v>
      </c>
      <c r="D19" s="68">
        <v>6585</v>
      </c>
      <c r="E19" s="68" t="s">
        <v>42</v>
      </c>
      <c r="F19" s="68">
        <v>1</v>
      </c>
      <c r="G19" s="68" t="s">
        <v>1130</v>
      </c>
      <c r="H19" s="68" t="s">
        <v>45</v>
      </c>
      <c r="I19" s="68" t="s">
        <v>25</v>
      </c>
      <c r="J19" s="68" t="s">
        <v>1146</v>
      </c>
      <c r="K19" s="68" t="s">
        <v>41</v>
      </c>
      <c r="L19" s="68">
        <v>0.1</v>
      </c>
      <c r="M19" s="68">
        <v>0.08</v>
      </c>
      <c r="N19" s="68">
        <v>0.06</v>
      </c>
      <c r="O19" s="68">
        <v>0.04</v>
      </c>
      <c r="P19" s="68">
        <v>0.02</v>
      </c>
      <c r="Q19" s="68">
        <v>0</v>
      </c>
      <c r="R19" s="68"/>
      <c r="S19" s="68"/>
      <c r="T19" s="68"/>
      <c r="U19" s="68">
        <v>3</v>
      </c>
    </row>
    <row r="20" spans="2:21" x14ac:dyDescent="0.25">
      <c r="B20" s="68" t="s">
        <v>1148</v>
      </c>
      <c r="C20" s="68">
        <v>7038</v>
      </c>
      <c r="D20" s="68">
        <v>6585</v>
      </c>
      <c r="E20" s="68" t="s">
        <v>23</v>
      </c>
      <c r="F20" s="68">
        <v>1</v>
      </c>
      <c r="G20" s="68" t="s">
        <v>1130</v>
      </c>
      <c r="H20" s="68" t="s">
        <v>45</v>
      </c>
      <c r="I20" s="68" t="s">
        <v>25</v>
      </c>
      <c r="J20" s="68" t="s">
        <v>1146</v>
      </c>
      <c r="K20" s="68" t="s">
        <v>41</v>
      </c>
      <c r="L20" s="68">
        <v>0.1</v>
      </c>
      <c r="M20" s="68">
        <v>0.08</v>
      </c>
      <c r="N20" s="68">
        <v>0.06</v>
      </c>
      <c r="O20" s="68">
        <v>0.04</v>
      </c>
      <c r="P20" s="68">
        <v>0.02</v>
      </c>
      <c r="Q20" s="68">
        <v>0</v>
      </c>
      <c r="R20" s="68"/>
      <c r="S20" s="68"/>
      <c r="T20" s="68"/>
      <c r="U20" s="68">
        <v>3</v>
      </c>
    </row>
    <row r="21" spans="2:21" x14ac:dyDescent="0.25">
      <c r="B21" s="68" t="s">
        <v>1129</v>
      </c>
      <c r="C21" s="68">
        <v>7039</v>
      </c>
      <c r="D21" s="68">
        <v>6585</v>
      </c>
      <c r="E21" s="68" t="s">
        <v>40</v>
      </c>
      <c r="F21" s="68">
        <v>1</v>
      </c>
      <c r="G21" s="68" t="s">
        <v>1130</v>
      </c>
      <c r="H21" s="68" t="s">
        <v>51</v>
      </c>
      <c r="I21" s="68" t="s">
        <v>52</v>
      </c>
      <c r="J21" s="68" t="s">
        <v>1131</v>
      </c>
      <c r="K21" s="68" t="s">
        <v>41</v>
      </c>
      <c r="L21" s="68">
        <v>0.15</v>
      </c>
      <c r="M21" s="68">
        <v>0.12</v>
      </c>
      <c r="N21" s="68">
        <v>0.09</v>
      </c>
      <c r="O21" s="68">
        <v>0.06</v>
      </c>
      <c r="P21" s="68">
        <v>0.03</v>
      </c>
      <c r="Q21" s="68">
        <v>0</v>
      </c>
      <c r="R21" s="68"/>
      <c r="S21" s="68"/>
      <c r="T21" s="68"/>
      <c r="U21" s="68">
        <v>3</v>
      </c>
    </row>
    <row r="22" spans="2:21" x14ac:dyDescent="0.25">
      <c r="B22" s="68" t="s">
        <v>1132</v>
      </c>
      <c r="C22" s="68">
        <v>7040</v>
      </c>
      <c r="D22" s="68">
        <v>6585</v>
      </c>
      <c r="E22" s="68" t="s">
        <v>42</v>
      </c>
      <c r="F22" s="68">
        <v>1</v>
      </c>
      <c r="G22" s="68" t="s">
        <v>1130</v>
      </c>
      <c r="H22" s="68" t="s">
        <v>51</v>
      </c>
      <c r="I22" s="68" t="s">
        <v>52</v>
      </c>
      <c r="J22" s="68" t="s">
        <v>1131</v>
      </c>
      <c r="K22" s="68" t="s">
        <v>41</v>
      </c>
      <c r="L22" s="68">
        <v>0.15</v>
      </c>
      <c r="M22" s="68">
        <v>0.12</v>
      </c>
      <c r="N22" s="68">
        <v>0.09</v>
      </c>
      <c r="O22" s="68">
        <v>0.06</v>
      </c>
      <c r="P22" s="68">
        <v>0.03</v>
      </c>
      <c r="Q22" s="68">
        <v>0</v>
      </c>
      <c r="R22" s="68"/>
      <c r="S22" s="68"/>
      <c r="T22" s="68"/>
      <c r="U22" s="68">
        <v>3</v>
      </c>
    </row>
    <row r="23" spans="2:21" x14ac:dyDescent="0.25">
      <c r="B23" s="68" t="s">
        <v>1133</v>
      </c>
      <c r="C23" s="68">
        <v>7041</v>
      </c>
      <c r="D23" s="68">
        <v>6585</v>
      </c>
      <c r="E23" s="68" t="s">
        <v>1134</v>
      </c>
      <c r="F23" s="68">
        <v>1</v>
      </c>
      <c r="G23" s="68" t="s">
        <v>1130</v>
      </c>
      <c r="H23" s="68" t="s">
        <v>51</v>
      </c>
      <c r="I23" s="68" t="s">
        <v>52</v>
      </c>
      <c r="J23" s="68" t="s">
        <v>1131</v>
      </c>
      <c r="K23" s="68" t="s">
        <v>41</v>
      </c>
      <c r="L23" s="68">
        <v>0.15</v>
      </c>
      <c r="M23" s="68">
        <v>0.12</v>
      </c>
      <c r="N23" s="68">
        <v>0.09</v>
      </c>
      <c r="O23" s="68">
        <v>0.06</v>
      </c>
      <c r="P23" s="68">
        <v>0.03</v>
      </c>
      <c r="Q23" s="68">
        <v>0</v>
      </c>
      <c r="R23" s="68"/>
      <c r="S23" s="68"/>
      <c r="T23" s="68"/>
      <c r="U23" s="68">
        <v>3</v>
      </c>
    </row>
    <row r="24" spans="2:21" x14ac:dyDescent="0.25">
      <c r="B24" s="68" t="s">
        <v>1135</v>
      </c>
      <c r="C24" s="68">
        <v>7042</v>
      </c>
      <c r="D24" s="68">
        <v>6585</v>
      </c>
      <c r="E24" s="68" t="s">
        <v>23</v>
      </c>
      <c r="F24" s="68">
        <v>1</v>
      </c>
      <c r="G24" s="68" t="s">
        <v>1130</v>
      </c>
      <c r="H24" s="68" t="s">
        <v>45</v>
      </c>
      <c r="I24" s="68" t="s">
        <v>25</v>
      </c>
      <c r="J24" s="68" t="s">
        <v>45</v>
      </c>
      <c r="K24" s="68" t="s">
        <v>44</v>
      </c>
      <c r="L24" s="68">
        <v>0.3</v>
      </c>
      <c r="M24" s="68">
        <v>0.24</v>
      </c>
      <c r="N24" s="68">
        <v>0.18</v>
      </c>
      <c r="O24" s="68">
        <v>0.12</v>
      </c>
      <c r="P24" s="68">
        <v>0.06</v>
      </c>
      <c r="Q24" s="68">
        <v>0</v>
      </c>
      <c r="R24" s="68"/>
      <c r="S24" s="68"/>
      <c r="T24" s="68"/>
      <c r="U24" s="68">
        <v>3</v>
      </c>
    </row>
    <row r="25" spans="2:21" x14ac:dyDescent="0.25">
      <c r="B25" s="68" t="s">
        <v>1136</v>
      </c>
      <c r="C25" s="68">
        <v>7043</v>
      </c>
      <c r="D25" s="68">
        <v>6585</v>
      </c>
      <c r="E25" s="68" t="s">
        <v>33</v>
      </c>
      <c r="F25" s="68">
        <v>1</v>
      </c>
      <c r="G25" s="68" t="s">
        <v>1130</v>
      </c>
      <c r="H25" s="68" t="s">
        <v>45</v>
      </c>
      <c r="I25" s="68" t="s">
        <v>25</v>
      </c>
      <c r="J25" s="68" t="s">
        <v>45</v>
      </c>
      <c r="K25" s="68" t="s">
        <v>44</v>
      </c>
      <c r="L25" s="68">
        <v>0.3</v>
      </c>
      <c r="M25" s="68">
        <v>0.24</v>
      </c>
      <c r="N25" s="68">
        <v>0.18</v>
      </c>
      <c r="O25" s="68">
        <v>0.12</v>
      </c>
      <c r="P25" s="68">
        <v>0.06</v>
      </c>
      <c r="Q25" s="68">
        <v>0</v>
      </c>
      <c r="R25" s="68"/>
      <c r="S25" s="68"/>
      <c r="T25" s="68"/>
      <c r="U25" s="68">
        <v>3</v>
      </c>
    </row>
    <row r="26" spans="2:21" x14ac:dyDescent="0.25">
      <c r="B26" s="68" t="s">
        <v>1137</v>
      </c>
      <c r="C26" s="68">
        <v>7044</v>
      </c>
      <c r="D26" s="68">
        <v>6585</v>
      </c>
      <c r="E26" s="68" t="s">
        <v>23</v>
      </c>
      <c r="F26" s="68">
        <v>1</v>
      </c>
      <c r="G26" s="68" t="s">
        <v>1130</v>
      </c>
      <c r="H26" s="68" t="s">
        <v>45</v>
      </c>
      <c r="I26" s="68" t="s">
        <v>132</v>
      </c>
      <c r="J26" s="68" t="s">
        <v>1131</v>
      </c>
      <c r="K26" s="68" t="s">
        <v>44</v>
      </c>
      <c r="L26" s="68">
        <v>0.3</v>
      </c>
      <c r="M26" s="68">
        <v>0.24</v>
      </c>
      <c r="N26" s="68">
        <v>0.18</v>
      </c>
      <c r="O26" s="68">
        <v>0.12</v>
      </c>
      <c r="P26" s="68">
        <v>0.06</v>
      </c>
      <c r="Q26" s="68">
        <v>0</v>
      </c>
      <c r="R26" s="68"/>
      <c r="S26" s="68"/>
      <c r="T26" s="68"/>
      <c r="U26" s="68">
        <v>3</v>
      </c>
    </row>
    <row r="27" spans="2:21" x14ac:dyDescent="0.25">
      <c r="B27" s="68" t="s">
        <v>1138</v>
      </c>
      <c r="C27" s="68">
        <v>7045</v>
      </c>
      <c r="D27" s="68">
        <v>6585</v>
      </c>
      <c r="E27" s="68" t="s">
        <v>1139</v>
      </c>
      <c r="F27" s="68">
        <v>1</v>
      </c>
      <c r="G27" s="68" t="s">
        <v>1130</v>
      </c>
      <c r="H27" s="68" t="s">
        <v>45</v>
      </c>
      <c r="I27" s="68" t="s">
        <v>132</v>
      </c>
      <c r="J27" s="68" t="s">
        <v>1131</v>
      </c>
      <c r="K27" s="68" t="s">
        <v>44</v>
      </c>
      <c r="L27" s="68">
        <v>0.3</v>
      </c>
      <c r="M27" s="68">
        <v>0.24</v>
      </c>
      <c r="N27" s="68">
        <v>0.18</v>
      </c>
      <c r="O27" s="68">
        <v>0.12</v>
      </c>
      <c r="P27" s="68">
        <v>0.06</v>
      </c>
      <c r="Q27" s="68">
        <v>0</v>
      </c>
      <c r="R27" s="68"/>
      <c r="S27" s="68"/>
      <c r="T27" s="68"/>
      <c r="U27" s="68">
        <v>3</v>
      </c>
    </row>
    <row r="28" spans="2:21" x14ac:dyDescent="0.25">
      <c r="B28" s="68" t="s">
        <v>1140</v>
      </c>
      <c r="C28" s="68">
        <v>7046</v>
      </c>
      <c r="D28" s="68">
        <v>6585</v>
      </c>
      <c r="E28" s="68" t="s">
        <v>23</v>
      </c>
      <c r="F28" s="68">
        <v>1</v>
      </c>
      <c r="G28" s="68" t="s">
        <v>1130</v>
      </c>
      <c r="H28" s="68" t="s">
        <v>45</v>
      </c>
      <c r="I28" s="68" t="s">
        <v>133</v>
      </c>
      <c r="J28" s="68" t="s">
        <v>1131</v>
      </c>
      <c r="K28" s="68" t="s">
        <v>44</v>
      </c>
      <c r="L28" s="68">
        <v>0.4</v>
      </c>
      <c r="M28" s="68">
        <v>0.32</v>
      </c>
      <c r="N28" s="68">
        <v>0.24</v>
      </c>
      <c r="O28" s="68">
        <v>0.16</v>
      </c>
      <c r="P28" s="68">
        <v>0.08</v>
      </c>
      <c r="Q28" s="68">
        <v>0</v>
      </c>
      <c r="R28" s="68"/>
      <c r="S28" s="68"/>
      <c r="T28" s="68"/>
      <c r="U28" s="68">
        <v>3</v>
      </c>
    </row>
    <row r="29" spans="2:21" x14ac:dyDescent="0.25">
      <c r="B29" s="68" t="s">
        <v>1141</v>
      </c>
      <c r="C29" s="68">
        <v>7047</v>
      </c>
      <c r="D29" s="68">
        <v>6585</v>
      </c>
      <c r="E29" s="68" t="s">
        <v>1139</v>
      </c>
      <c r="F29" s="68">
        <v>1</v>
      </c>
      <c r="G29" s="68" t="s">
        <v>1130</v>
      </c>
      <c r="H29" s="68" t="s">
        <v>45</v>
      </c>
      <c r="I29" s="68" t="s">
        <v>133</v>
      </c>
      <c r="J29" s="68" t="s">
        <v>1131</v>
      </c>
      <c r="K29" s="68" t="s">
        <v>44</v>
      </c>
      <c r="L29" s="68">
        <v>0.4</v>
      </c>
      <c r="M29" s="68">
        <v>0.32</v>
      </c>
      <c r="N29" s="68">
        <v>0.24</v>
      </c>
      <c r="O29" s="68">
        <v>0.16</v>
      </c>
      <c r="P29" s="68">
        <v>0.08</v>
      </c>
      <c r="Q29" s="68">
        <v>0</v>
      </c>
      <c r="R29" s="68"/>
      <c r="S29" s="68"/>
      <c r="T29" s="68"/>
      <c r="U29" s="68">
        <v>3</v>
      </c>
    </row>
    <row r="30" spans="2:21" x14ac:dyDescent="0.25">
      <c r="B30" s="68" t="s">
        <v>1142</v>
      </c>
      <c r="C30" s="68">
        <v>7048</v>
      </c>
      <c r="D30" s="68">
        <v>6585</v>
      </c>
      <c r="E30" s="68" t="s">
        <v>23</v>
      </c>
      <c r="F30" s="68">
        <v>1</v>
      </c>
      <c r="G30" s="68" t="s">
        <v>1130</v>
      </c>
      <c r="H30" s="68" t="s">
        <v>51</v>
      </c>
      <c r="I30" s="68" t="s">
        <v>52</v>
      </c>
      <c r="J30" s="68" t="s">
        <v>1131</v>
      </c>
      <c r="K30" s="68" t="s">
        <v>37</v>
      </c>
      <c r="L30" s="68">
        <v>0.15</v>
      </c>
      <c r="M30" s="68">
        <v>0.12</v>
      </c>
      <c r="N30" s="68">
        <v>0.09</v>
      </c>
      <c r="O30" s="68">
        <v>0.06</v>
      </c>
      <c r="P30" s="68">
        <v>0.03</v>
      </c>
      <c r="Q30" s="68">
        <v>0</v>
      </c>
      <c r="R30" s="68"/>
      <c r="S30" s="68"/>
      <c r="T30" s="68"/>
      <c r="U30" s="68">
        <v>3</v>
      </c>
    </row>
    <row r="31" spans="2:21" x14ac:dyDescent="0.25">
      <c r="B31" s="68" t="s">
        <v>1143</v>
      </c>
      <c r="C31" s="68">
        <v>7049</v>
      </c>
      <c r="D31" s="68">
        <v>6585</v>
      </c>
      <c r="E31" s="68" t="s">
        <v>33</v>
      </c>
      <c r="F31" s="68">
        <v>1</v>
      </c>
      <c r="G31" s="68" t="s">
        <v>1130</v>
      </c>
      <c r="H31" s="68" t="s">
        <v>51</v>
      </c>
      <c r="I31" s="68" t="s">
        <v>52</v>
      </c>
      <c r="J31" s="68" t="s">
        <v>1131</v>
      </c>
      <c r="K31" s="68" t="s">
        <v>37</v>
      </c>
      <c r="L31" s="68">
        <v>0.15</v>
      </c>
      <c r="M31" s="68">
        <v>0.12</v>
      </c>
      <c r="N31" s="68">
        <v>0.09</v>
      </c>
      <c r="O31" s="68">
        <v>0.06</v>
      </c>
      <c r="P31" s="68">
        <v>0.03</v>
      </c>
      <c r="Q31" s="68">
        <v>0</v>
      </c>
      <c r="R31" s="68"/>
      <c r="S31" s="68"/>
      <c r="T31" s="68"/>
      <c r="U31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DB3CB-A426-4509-9B92-4BD98A903904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5" bestFit="1" customWidth="1"/>
    <col min="2" max="2" width="18.42578125" style="15" customWidth="1"/>
    <col min="3" max="12" width="11" style="15" customWidth="1"/>
    <col min="13" max="16384" width="9.140625" style="15"/>
  </cols>
  <sheetData>
    <row r="1" spans="1:12" ht="12" thickBot="1" x14ac:dyDescent="0.25">
      <c r="A1" s="98" t="s">
        <v>1662</v>
      </c>
      <c r="B1" s="98" t="s">
        <v>22</v>
      </c>
      <c r="C1" s="98" t="s">
        <v>1661</v>
      </c>
      <c r="D1" s="98" t="s">
        <v>1660</v>
      </c>
      <c r="E1" s="98" t="s">
        <v>37</v>
      </c>
      <c r="F1" s="98" t="s">
        <v>1659</v>
      </c>
      <c r="G1" s="98" t="s">
        <v>1658</v>
      </c>
      <c r="H1" s="98" t="s">
        <v>1064</v>
      </c>
      <c r="I1" s="98" t="s">
        <v>41</v>
      </c>
      <c r="J1" s="98" t="s">
        <v>1063</v>
      </c>
      <c r="K1" s="98" t="s">
        <v>39</v>
      </c>
      <c r="L1" s="98" t="s">
        <v>59</v>
      </c>
    </row>
    <row r="2" spans="1:12" x14ac:dyDescent="0.2">
      <c r="A2" s="94" t="s">
        <v>1657</v>
      </c>
      <c r="B2" s="10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361.69226580331696</v>
      </c>
      <c r="C2" s="100">
        <f t="shared" si="0"/>
        <v>340.16296426740524</v>
      </c>
      <c r="D2" s="100">
        <f t="shared" si="0"/>
        <v>332.98653042210134</v>
      </c>
      <c r="E2" s="100">
        <f t="shared" si="0"/>
        <v>361.69226580331696</v>
      </c>
      <c r="F2" s="100">
        <f t="shared" si="0"/>
        <v>199.0264319764284</v>
      </c>
      <c r="G2" s="100">
        <f t="shared" si="0"/>
        <v>217.20673105119832</v>
      </c>
      <c r="H2" s="100">
        <f t="shared" si="0"/>
        <v>0</v>
      </c>
      <c r="I2" s="100">
        <f t="shared" si="0"/>
        <v>955.39861498343828</v>
      </c>
      <c r="J2" s="100">
        <f t="shared" si="0"/>
        <v>0</v>
      </c>
      <c r="K2" s="100">
        <f t="shared" si="0"/>
        <v>64.600758238310874</v>
      </c>
      <c r="L2" s="100">
        <f t="shared" si="0"/>
        <v>225.0706588490558</v>
      </c>
    </row>
    <row r="3" spans="1:12" ht="12" thickBot="1" x14ac:dyDescent="0.25">
      <c r="A3" s="92" t="s">
        <v>1656</v>
      </c>
      <c r="B3" s="99">
        <v>7.56</v>
      </c>
      <c r="C3" s="99">
        <v>7.11</v>
      </c>
      <c r="D3" s="99">
        <v>6.96</v>
      </c>
      <c r="E3" s="99">
        <v>7.56</v>
      </c>
      <c r="F3" s="99">
        <v>4.16</v>
      </c>
      <c r="G3" s="99">
        <v>4.54</v>
      </c>
      <c r="H3" s="99">
        <v>0</v>
      </c>
      <c r="I3" s="99">
        <f>'TUSD BE'!$AC$26</f>
        <v>19.969499522565005</v>
      </c>
      <c r="J3" s="99">
        <v>0</v>
      </c>
      <c r="K3" s="99">
        <f>'TUSD BE'!$AC$21</f>
        <v>1.3502686633260916</v>
      </c>
      <c r="L3" s="99">
        <f>'TUSD BE'!$AC$6</f>
        <v>4.7043698242199392</v>
      </c>
    </row>
    <row r="5" spans="1:12" ht="12" thickBot="1" x14ac:dyDescent="0.25">
      <c r="A5" s="98" t="s">
        <v>1655</v>
      </c>
      <c r="B5" s="98" t="s">
        <v>1654</v>
      </c>
    </row>
    <row r="6" spans="1:12" x14ac:dyDescent="0.2">
      <c r="A6" s="94" t="s">
        <v>1653</v>
      </c>
      <c r="B6" s="97">
        <v>0.1063543545436658</v>
      </c>
    </row>
    <row r="7" spans="1:12" x14ac:dyDescent="0.2">
      <c r="A7" s="96" t="s">
        <v>1652</v>
      </c>
      <c r="B7" s="95">
        <v>0.34</v>
      </c>
    </row>
    <row r="8" spans="1:12" x14ac:dyDescent="0.2">
      <c r="A8" s="94" t="s">
        <v>1651</v>
      </c>
      <c r="B8" s="93">
        <v>279711177.78760302</v>
      </c>
    </row>
    <row r="9" spans="1:12" x14ac:dyDescent="0.2">
      <c r="A9" s="96" t="s">
        <v>1650</v>
      </c>
      <c r="B9" s="95">
        <v>3.7400000000000003E-2</v>
      </c>
    </row>
    <row r="10" spans="1:12" x14ac:dyDescent="0.2">
      <c r="A10" s="94" t="s">
        <v>1649</v>
      </c>
      <c r="B10" s="93">
        <v>152583561.29413769</v>
      </c>
    </row>
    <row r="11" spans="1:12" ht="12" thickBot="1" x14ac:dyDescent="0.25">
      <c r="A11" s="92" t="s">
        <v>1648</v>
      </c>
      <c r="B11" s="91">
        <f>(1+$B$6)^(1/IF($B$9&lt;&gt;0,$B$9,1))*$B$6/IF((1+$B$6)^(1/IF($B$9&lt;&gt;0,$B$9,1))-1&lt;&gt;0,(1+$B$6)^(1/IF($B$9&lt;&gt;0,$B$9,1))-1,1)</f>
        <v>0.11399712587447938</v>
      </c>
    </row>
    <row r="18" spans="2:2" x14ac:dyDescent="0.2">
      <c r="B18" s="9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B8BA2-8ABD-4ACF-AD09-271B24AA6AE2}">
  <dimension ref="B1:AR8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31.8554687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44" t="s">
        <v>1700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5"/>
      <c r="AH1" s="144" t="s">
        <v>1701</v>
      </c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spans="2:44" ht="12" customHeight="1" x14ac:dyDescent="0.25">
      <c r="L2" s="146" t="s">
        <v>952</v>
      </c>
      <c r="M2" s="146"/>
      <c r="N2" s="146"/>
      <c r="O2" s="146"/>
      <c r="P2" s="146"/>
      <c r="Q2" s="146"/>
      <c r="R2" s="146"/>
      <c r="S2" s="147"/>
      <c r="T2" s="146" t="s">
        <v>961</v>
      </c>
      <c r="U2" s="146"/>
      <c r="V2" s="146"/>
      <c r="W2" s="146"/>
      <c r="X2" s="146"/>
      <c r="Y2" s="146"/>
      <c r="Z2" s="147"/>
      <c r="AA2" s="148" t="s">
        <v>969</v>
      </c>
      <c r="AB2" s="146" t="s">
        <v>25</v>
      </c>
      <c r="AC2" s="147"/>
      <c r="AD2" s="146" t="s">
        <v>1699</v>
      </c>
      <c r="AE2" s="146"/>
      <c r="AF2" s="146"/>
      <c r="AG2" s="147"/>
      <c r="AH2" s="146" t="s">
        <v>952</v>
      </c>
      <c r="AI2" s="146"/>
      <c r="AJ2" s="146"/>
      <c r="AK2" s="146"/>
      <c r="AL2" s="147"/>
      <c r="AM2" s="148" t="s">
        <v>982</v>
      </c>
      <c r="AN2" s="146" t="s">
        <v>961</v>
      </c>
      <c r="AO2" s="146"/>
      <c r="AP2" s="146"/>
      <c r="AQ2" s="147"/>
      <c r="AR2" s="149" t="s">
        <v>1699</v>
      </c>
    </row>
    <row r="3" spans="2:44" ht="12" customHeight="1" x14ac:dyDescent="0.25">
      <c r="B3" s="135" t="s">
        <v>107</v>
      </c>
      <c r="C3" s="136" t="s">
        <v>108</v>
      </c>
      <c r="D3" s="136" t="s">
        <v>109</v>
      </c>
      <c r="E3" s="136" t="s">
        <v>110</v>
      </c>
      <c r="F3" s="136" t="s">
        <v>111</v>
      </c>
      <c r="G3" s="136" t="s">
        <v>113</v>
      </c>
      <c r="H3" s="136" t="s">
        <v>114</v>
      </c>
      <c r="I3" s="136" t="s">
        <v>1194</v>
      </c>
      <c r="J3" s="136" t="s">
        <v>1663</v>
      </c>
      <c r="K3" s="136" t="s">
        <v>1664</v>
      </c>
      <c r="L3" s="136" t="s">
        <v>1665</v>
      </c>
      <c r="M3" s="136" t="s">
        <v>1666</v>
      </c>
      <c r="N3" s="136" t="s">
        <v>1667</v>
      </c>
      <c r="O3" s="136" t="s">
        <v>1668</v>
      </c>
      <c r="P3" s="136" t="s">
        <v>1669</v>
      </c>
      <c r="Q3" s="136" t="s">
        <v>1670</v>
      </c>
      <c r="R3" s="136" t="s">
        <v>1671</v>
      </c>
      <c r="S3" s="136" t="s">
        <v>1672</v>
      </c>
      <c r="T3" s="136" t="s">
        <v>1673</v>
      </c>
      <c r="U3" s="136" t="s">
        <v>1674</v>
      </c>
      <c r="V3" s="136" t="s">
        <v>1675</v>
      </c>
      <c r="W3" s="136" t="s">
        <v>1676</v>
      </c>
      <c r="X3" s="136" t="s">
        <v>1677</v>
      </c>
      <c r="Y3" s="136" t="s">
        <v>1678</v>
      </c>
      <c r="Z3" s="136" t="s">
        <v>1679</v>
      </c>
      <c r="AA3" s="136" t="s">
        <v>1680</v>
      </c>
      <c r="AB3" s="136" t="s">
        <v>1681</v>
      </c>
      <c r="AC3" s="136" t="s">
        <v>1682</v>
      </c>
      <c r="AD3" s="136" t="s">
        <v>1683</v>
      </c>
      <c r="AE3" s="136" t="s">
        <v>1684</v>
      </c>
      <c r="AF3" s="136" t="s">
        <v>1685</v>
      </c>
      <c r="AG3" s="136" t="s">
        <v>1686</v>
      </c>
      <c r="AH3" s="136" t="s">
        <v>1687</v>
      </c>
      <c r="AI3" s="136" t="s">
        <v>1688</v>
      </c>
      <c r="AJ3" s="136" t="s">
        <v>1689</v>
      </c>
      <c r="AK3" s="136" t="s">
        <v>1690</v>
      </c>
      <c r="AL3" s="136" t="s">
        <v>1691</v>
      </c>
      <c r="AM3" s="136" t="s">
        <v>1692</v>
      </c>
      <c r="AN3" s="136" t="s">
        <v>1693</v>
      </c>
      <c r="AO3" s="136" t="s">
        <v>1694</v>
      </c>
      <c r="AP3" s="136" t="s">
        <v>1695</v>
      </c>
      <c r="AQ3" s="136" t="s">
        <v>1696</v>
      </c>
      <c r="AR3" s="137" t="s">
        <v>1697</v>
      </c>
    </row>
    <row r="4" spans="2:44" ht="12" customHeight="1" x14ac:dyDescent="0.25">
      <c r="B4" s="138" t="s">
        <v>59</v>
      </c>
      <c r="C4" s="139" t="s">
        <v>40</v>
      </c>
      <c r="D4" s="139" t="s">
        <v>25</v>
      </c>
      <c r="E4" s="139" t="s">
        <v>25</v>
      </c>
      <c r="F4" s="139" t="s">
        <v>61</v>
      </c>
      <c r="G4" s="139" t="s">
        <v>34</v>
      </c>
      <c r="H4" s="139" t="s">
        <v>117</v>
      </c>
      <c r="I4" s="139" t="s">
        <v>25</v>
      </c>
      <c r="J4" s="139">
        <v>11.36</v>
      </c>
      <c r="K4" s="139">
        <v>0</v>
      </c>
      <c r="L4" s="139">
        <v>0</v>
      </c>
      <c r="M4" s="139">
        <v>0.14455144050413901</v>
      </c>
      <c r="N4" s="139">
        <v>0.21499064820069799</v>
      </c>
      <c r="O4" s="139">
        <v>-5.0328095537283003E-3</v>
      </c>
      <c r="P4" s="139">
        <v>0</v>
      </c>
      <c r="Q4" s="139">
        <v>0</v>
      </c>
      <c r="R4" s="139">
        <v>0</v>
      </c>
      <c r="S4" s="139">
        <v>0</v>
      </c>
      <c r="T4" s="139">
        <v>0</v>
      </c>
      <c r="U4" s="139">
        <v>0</v>
      </c>
      <c r="V4" s="139">
        <v>0</v>
      </c>
      <c r="W4" s="139">
        <v>0</v>
      </c>
      <c r="X4" s="139">
        <v>0</v>
      </c>
      <c r="Y4" s="139">
        <v>0</v>
      </c>
      <c r="Z4" s="139">
        <v>0</v>
      </c>
      <c r="AA4" s="139">
        <v>0</v>
      </c>
      <c r="AB4" s="139">
        <v>0</v>
      </c>
      <c r="AC4" s="139">
        <v>0</v>
      </c>
      <c r="AD4" s="139">
        <v>8.5423362486555394</v>
      </c>
      <c r="AE4" s="139">
        <v>1.89674350649209E-2</v>
      </c>
      <c r="AF4" s="139">
        <v>0.32883138168595</v>
      </c>
      <c r="AG4" s="139">
        <v>2.1181989457250601</v>
      </c>
      <c r="AH4" s="139">
        <v>0</v>
      </c>
      <c r="AI4" s="139">
        <v>0</v>
      </c>
      <c r="AJ4" s="139">
        <v>0</v>
      </c>
      <c r="AK4" s="139">
        <v>0</v>
      </c>
      <c r="AL4" s="139">
        <v>0</v>
      </c>
      <c r="AM4" s="139">
        <v>0</v>
      </c>
      <c r="AN4" s="139">
        <v>0</v>
      </c>
      <c r="AO4" s="139">
        <v>0</v>
      </c>
      <c r="AP4" s="139">
        <v>0</v>
      </c>
      <c r="AQ4" s="139">
        <v>0</v>
      </c>
      <c r="AR4" s="140">
        <v>0</v>
      </c>
    </row>
    <row r="5" spans="2:44" ht="12" customHeight="1" x14ac:dyDescent="0.25">
      <c r="B5" s="138" t="s">
        <v>59</v>
      </c>
      <c r="C5" s="139" t="s">
        <v>40</v>
      </c>
      <c r="D5" s="139" t="s">
        <v>25</v>
      </c>
      <c r="E5" s="139" t="s">
        <v>25</v>
      </c>
      <c r="F5" s="139" t="s">
        <v>61</v>
      </c>
      <c r="G5" s="139" t="s">
        <v>34</v>
      </c>
      <c r="H5" s="139" t="s">
        <v>120</v>
      </c>
      <c r="I5" s="139" t="s">
        <v>25</v>
      </c>
      <c r="J5" s="139">
        <v>19.739999999999998</v>
      </c>
      <c r="K5" s="139">
        <v>0</v>
      </c>
      <c r="L5" s="139">
        <v>0</v>
      </c>
      <c r="M5" s="139">
        <v>0</v>
      </c>
      <c r="N5" s="139">
        <v>0</v>
      </c>
      <c r="O5" s="139">
        <v>0</v>
      </c>
      <c r="P5" s="139">
        <v>0</v>
      </c>
      <c r="Q5" s="139">
        <v>0</v>
      </c>
      <c r="R5" s="139">
        <v>0</v>
      </c>
      <c r="S5" s="139">
        <v>0</v>
      </c>
      <c r="T5" s="139">
        <v>3.5430882546490099</v>
      </c>
      <c r="U5" s="139">
        <v>3.9983102653303501E-2</v>
      </c>
      <c r="V5" s="139">
        <v>0</v>
      </c>
      <c r="W5" s="139">
        <v>0</v>
      </c>
      <c r="X5" s="139">
        <v>11.456917099355699</v>
      </c>
      <c r="Y5" s="139">
        <v>0</v>
      </c>
      <c r="Z5" s="139">
        <v>0</v>
      </c>
      <c r="AA5" s="139">
        <v>4.7043679012456803</v>
      </c>
      <c r="AB5" s="139">
        <v>0</v>
      </c>
      <c r="AC5" s="139">
        <v>0</v>
      </c>
      <c r="AD5" s="139">
        <v>0</v>
      </c>
      <c r="AE5" s="139">
        <v>0</v>
      </c>
      <c r="AF5" s="139">
        <v>0</v>
      </c>
      <c r="AG5" s="139">
        <v>0</v>
      </c>
      <c r="AH5" s="139">
        <v>0</v>
      </c>
      <c r="AI5" s="139">
        <v>0</v>
      </c>
      <c r="AJ5" s="139">
        <v>0</v>
      </c>
      <c r="AK5" s="139">
        <v>0</v>
      </c>
      <c r="AL5" s="139">
        <v>0</v>
      </c>
      <c r="AM5" s="139">
        <v>0</v>
      </c>
      <c r="AN5" s="139">
        <v>0</v>
      </c>
      <c r="AO5" s="139">
        <v>0</v>
      </c>
      <c r="AP5" s="139">
        <v>0</v>
      </c>
      <c r="AQ5" s="139">
        <v>0</v>
      </c>
      <c r="AR5" s="140">
        <v>0</v>
      </c>
    </row>
    <row r="6" spans="2:44" ht="12" customHeight="1" x14ac:dyDescent="0.25">
      <c r="B6" s="138" t="s">
        <v>59</v>
      </c>
      <c r="C6" s="139" t="s">
        <v>40</v>
      </c>
      <c r="D6" s="139" t="s">
        <v>25</v>
      </c>
      <c r="E6" s="139" t="s">
        <v>25</v>
      </c>
      <c r="F6" s="139" t="s">
        <v>61</v>
      </c>
      <c r="G6" s="139" t="s">
        <v>35</v>
      </c>
      <c r="H6" s="139" t="s">
        <v>117</v>
      </c>
      <c r="I6" s="139" t="s">
        <v>25</v>
      </c>
      <c r="J6" s="139">
        <v>11.36</v>
      </c>
      <c r="K6" s="139">
        <v>0</v>
      </c>
      <c r="L6" s="139">
        <v>0</v>
      </c>
      <c r="M6" s="139">
        <v>0.14455144050413901</v>
      </c>
      <c r="N6" s="139">
        <v>0.21499064820069799</v>
      </c>
      <c r="O6" s="139">
        <v>-5.0328095537283003E-3</v>
      </c>
      <c r="P6" s="139">
        <v>0</v>
      </c>
      <c r="Q6" s="139">
        <v>0</v>
      </c>
      <c r="R6" s="139">
        <v>0</v>
      </c>
      <c r="S6" s="139">
        <v>0</v>
      </c>
      <c r="T6" s="139">
        <v>0</v>
      </c>
      <c r="U6" s="139">
        <v>0</v>
      </c>
      <c r="V6" s="139">
        <v>0</v>
      </c>
      <c r="W6" s="139">
        <v>0</v>
      </c>
      <c r="X6" s="139">
        <v>0</v>
      </c>
      <c r="Y6" s="139">
        <v>0</v>
      </c>
      <c r="Z6" s="139">
        <v>0</v>
      </c>
      <c r="AA6" s="139">
        <v>0</v>
      </c>
      <c r="AB6" s="139">
        <v>0</v>
      </c>
      <c r="AC6" s="139">
        <v>0</v>
      </c>
      <c r="AD6" s="139">
        <v>8.5423362486555394</v>
      </c>
      <c r="AE6" s="139">
        <v>1.89674350649209E-2</v>
      </c>
      <c r="AF6" s="139">
        <v>0.32883138168595</v>
      </c>
      <c r="AG6" s="139">
        <v>2.1181989457250601</v>
      </c>
      <c r="AH6" s="139">
        <v>0</v>
      </c>
      <c r="AI6" s="139">
        <v>0</v>
      </c>
      <c r="AJ6" s="139">
        <v>0</v>
      </c>
      <c r="AK6" s="139">
        <v>0</v>
      </c>
      <c r="AL6" s="139">
        <v>0</v>
      </c>
      <c r="AM6" s="139">
        <v>0</v>
      </c>
      <c r="AN6" s="139">
        <v>0</v>
      </c>
      <c r="AO6" s="139">
        <v>0</v>
      </c>
      <c r="AP6" s="139">
        <v>0</v>
      </c>
      <c r="AQ6" s="139">
        <v>0</v>
      </c>
      <c r="AR6" s="140">
        <v>0</v>
      </c>
    </row>
    <row r="7" spans="2:44" ht="12" customHeight="1" x14ac:dyDescent="0.25">
      <c r="B7" s="138" t="s">
        <v>59</v>
      </c>
      <c r="C7" s="139" t="s">
        <v>40</v>
      </c>
      <c r="D7" s="139" t="s">
        <v>25</v>
      </c>
      <c r="E7" s="139" t="s">
        <v>25</v>
      </c>
      <c r="F7" s="139" t="s">
        <v>61</v>
      </c>
      <c r="G7" s="139" t="s">
        <v>35</v>
      </c>
      <c r="H7" s="139" t="s">
        <v>120</v>
      </c>
      <c r="I7" s="139" t="s">
        <v>25</v>
      </c>
      <c r="J7" s="139">
        <v>8.1</v>
      </c>
      <c r="K7" s="139">
        <v>0</v>
      </c>
      <c r="L7" s="139">
        <v>0</v>
      </c>
      <c r="M7" s="139">
        <v>0</v>
      </c>
      <c r="N7" s="139">
        <v>0</v>
      </c>
      <c r="O7" s="139">
        <v>0</v>
      </c>
      <c r="P7" s="139">
        <v>0</v>
      </c>
      <c r="Q7" s="139">
        <v>0</v>
      </c>
      <c r="R7" s="139">
        <v>0</v>
      </c>
      <c r="S7" s="139">
        <v>0</v>
      </c>
      <c r="T7" s="139">
        <v>1.03823268313572</v>
      </c>
      <c r="U7" s="139">
        <v>1.19044528876223E-2</v>
      </c>
      <c r="V7" s="139">
        <v>0</v>
      </c>
      <c r="W7" s="139">
        <v>0</v>
      </c>
      <c r="X7" s="139">
        <v>2.3502299077726199</v>
      </c>
      <c r="Y7" s="139">
        <v>0</v>
      </c>
      <c r="Z7" s="139">
        <v>0</v>
      </c>
      <c r="AA7" s="139">
        <v>4.7043679012456803</v>
      </c>
      <c r="AB7" s="139">
        <v>0</v>
      </c>
      <c r="AC7" s="139">
        <v>0</v>
      </c>
      <c r="AD7" s="139">
        <v>0</v>
      </c>
      <c r="AE7" s="139">
        <v>0</v>
      </c>
      <c r="AF7" s="139">
        <v>0</v>
      </c>
      <c r="AG7" s="139">
        <v>0</v>
      </c>
      <c r="AH7" s="139">
        <v>0</v>
      </c>
      <c r="AI7" s="139">
        <v>0</v>
      </c>
      <c r="AJ7" s="139">
        <v>0</v>
      </c>
      <c r="AK7" s="139">
        <v>0</v>
      </c>
      <c r="AL7" s="139">
        <v>0</v>
      </c>
      <c r="AM7" s="139">
        <v>0</v>
      </c>
      <c r="AN7" s="139">
        <v>0</v>
      </c>
      <c r="AO7" s="139">
        <v>0</v>
      </c>
      <c r="AP7" s="139">
        <v>0</v>
      </c>
      <c r="AQ7" s="139">
        <v>0</v>
      </c>
      <c r="AR7" s="140">
        <v>0</v>
      </c>
    </row>
    <row r="8" spans="2:44" ht="12" customHeight="1" x14ac:dyDescent="0.25">
      <c r="B8" s="138" t="s">
        <v>59</v>
      </c>
      <c r="C8" s="139" t="s">
        <v>40</v>
      </c>
      <c r="D8" s="139" t="s">
        <v>25</v>
      </c>
      <c r="E8" s="139" t="s">
        <v>25</v>
      </c>
      <c r="F8" s="139" t="s">
        <v>25</v>
      </c>
      <c r="G8" s="139" t="s">
        <v>34</v>
      </c>
      <c r="H8" s="139" t="s">
        <v>117</v>
      </c>
      <c r="I8" s="139" t="s">
        <v>25</v>
      </c>
      <c r="J8" s="139">
        <v>97.22</v>
      </c>
      <c r="K8" s="139">
        <v>510.05</v>
      </c>
      <c r="L8" s="139">
        <v>1.4459138572841299</v>
      </c>
      <c r="M8" s="139">
        <v>0.14455144050413901</v>
      </c>
      <c r="N8" s="139">
        <v>0.22664920059480401</v>
      </c>
      <c r="O8" s="139">
        <v>-5.0328095537283003E-3</v>
      </c>
      <c r="P8" s="139">
        <v>0</v>
      </c>
      <c r="Q8" s="139">
        <v>66.304323923291307</v>
      </c>
      <c r="R8" s="139">
        <v>18.096353551138002</v>
      </c>
      <c r="S8" s="139">
        <v>0</v>
      </c>
      <c r="T8" s="139">
        <v>0</v>
      </c>
      <c r="U8" s="139">
        <v>0</v>
      </c>
      <c r="V8" s="139">
        <v>0</v>
      </c>
      <c r="W8" s="139">
        <v>0</v>
      </c>
      <c r="X8" s="139">
        <v>0</v>
      </c>
      <c r="Y8" s="139">
        <v>0</v>
      </c>
      <c r="Z8" s="139">
        <v>0</v>
      </c>
      <c r="AA8" s="139">
        <v>0</v>
      </c>
      <c r="AB8" s="139">
        <v>0</v>
      </c>
      <c r="AC8" s="139">
        <v>0</v>
      </c>
      <c r="AD8" s="139">
        <v>8.5423362486555394</v>
      </c>
      <c r="AE8" s="139">
        <v>1.89674350649209E-2</v>
      </c>
      <c r="AF8" s="139">
        <v>0.32883138168595</v>
      </c>
      <c r="AG8" s="139">
        <v>2.1181989457250601</v>
      </c>
      <c r="AH8" s="139">
        <v>16.665288104243999</v>
      </c>
      <c r="AI8" s="139">
        <v>-17.446033945604601</v>
      </c>
      <c r="AJ8" s="139">
        <v>3.2107886365799301</v>
      </c>
      <c r="AK8" s="139">
        <v>24.135975487292399</v>
      </c>
      <c r="AL8" s="139">
        <v>0</v>
      </c>
      <c r="AM8" s="139">
        <v>470.18316756906302</v>
      </c>
      <c r="AN8" s="139">
        <v>7.0894682219589402</v>
      </c>
      <c r="AO8" s="139">
        <v>4.8418157253049898</v>
      </c>
      <c r="AP8" s="139">
        <v>0</v>
      </c>
      <c r="AQ8" s="139">
        <v>0</v>
      </c>
      <c r="AR8" s="140">
        <v>1.36946351331241</v>
      </c>
    </row>
    <row r="9" spans="2:44" ht="12" customHeight="1" x14ac:dyDescent="0.25">
      <c r="B9" s="138" t="s">
        <v>59</v>
      </c>
      <c r="C9" s="139" t="s">
        <v>40</v>
      </c>
      <c r="D9" s="139" t="s">
        <v>25</v>
      </c>
      <c r="E9" s="139" t="s">
        <v>25</v>
      </c>
      <c r="F9" s="139" t="s">
        <v>25</v>
      </c>
      <c r="G9" s="139" t="s">
        <v>34</v>
      </c>
      <c r="H9" s="139" t="s">
        <v>120</v>
      </c>
      <c r="I9" s="139" t="s">
        <v>25</v>
      </c>
      <c r="J9" s="139">
        <v>19.739999999999998</v>
      </c>
      <c r="K9" s="139">
        <v>0</v>
      </c>
      <c r="L9" s="139">
        <v>0</v>
      </c>
      <c r="M9" s="139">
        <v>0</v>
      </c>
      <c r="N9" s="139">
        <v>0</v>
      </c>
      <c r="O9" s="139">
        <v>0</v>
      </c>
      <c r="P9" s="139">
        <v>0</v>
      </c>
      <c r="Q9" s="139">
        <v>0</v>
      </c>
      <c r="R9" s="139">
        <v>0</v>
      </c>
      <c r="S9" s="139">
        <v>0</v>
      </c>
      <c r="T9" s="139">
        <v>3.5430882546490099</v>
      </c>
      <c r="U9" s="139">
        <v>3.9983102653303501E-2</v>
      </c>
      <c r="V9" s="139">
        <v>0</v>
      </c>
      <c r="W9" s="139">
        <v>0</v>
      </c>
      <c r="X9" s="139">
        <v>11.456917099355699</v>
      </c>
      <c r="Y9" s="139">
        <v>0</v>
      </c>
      <c r="Z9" s="139">
        <v>0</v>
      </c>
      <c r="AA9" s="139">
        <v>4.7043679012456803</v>
      </c>
      <c r="AB9" s="139">
        <v>0</v>
      </c>
      <c r="AC9" s="139">
        <v>0</v>
      </c>
      <c r="AD9" s="139">
        <v>0</v>
      </c>
      <c r="AE9" s="139">
        <v>0</v>
      </c>
      <c r="AF9" s="139">
        <v>0</v>
      </c>
      <c r="AG9" s="139">
        <v>0</v>
      </c>
      <c r="AH9" s="139">
        <v>0</v>
      </c>
      <c r="AI9" s="139">
        <v>0</v>
      </c>
      <c r="AJ9" s="139">
        <v>0</v>
      </c>
      <c r="AK9" s="139">
        <v>0</v>
      </c>
      <c r="AL9" s="139">
        <v>0</v>
      </c>
      <c r="AM9" s="139">
        <v>0</v>
      </c>
      <c r="AN9" s="139">
        <v>0</v>
      </c>
      <c r="AO9" s="139">
        <v>0</v>
      </c>
      <c r="AP9" s="139">
        <v>0</v>
      </c>
      <c r="AQ9" s="139">
        <v>0</v>
      </c>
      <c r="AR9" s="140">
        <v>0</v>
      </c>
    </row>
    <row r="10" spans="2:44" ht="12" customHeight="1" x14ac:dyDescent="0.25">
      <c r="B10" s="138" t="s">
        <v>59</v>
      </c>
      <c r="C10" s="139" t="s">
        <v>40</v>
      </c>
      <c r="D10" s="139" t="s">
        <v>25</v>
      </c>
      <c r="E10" s="139" t="s">
        <v>25</v>
      </c>
      <c r="F10" s="139" t="s">
        <v>25</v>
      </c>
      <c r="G10" s="139" t="s">
        <v>35</v>
      </c>
      <c r="H10" s="139" t="s">
        <v>117</v>
      </c>
      <c r="I10" s="139" t="s">
        <v>25</v>
      </c>
      <c r="J10" s="139">
        <v>97.22</v>
      </c>
      <c r="K10" s="139">
        <v>313.23</v>
      </c>
      <c r="L10" s="139">
        <v>1.4459138572841299</v>
      </c>
      <c r="M10" s="139">
        <v>0.14455144050413901</v>
      </c>
      <c r="N10" s="139">
        <v>0.22664920059480401</v>
      </c>
      <c r="O10" s="139">
        <v>-5.0328095537283003E-3</v>
      </c>
      <c r="P10" s="139">
        <v>0</v>
      </c>
      <c r="Q10" s="139">
        <v>66.304323923291307</v>
      </c>
      <c r="R10" s="139">
        <v>18.096353551138002</v>
      </c>
      <c r="S10" s="139">
        <v>0</v>
      </c>
      <c r="T10" s="139">
        <v>0</v>
      </c>
      <c r="U10" s="139">
        <v>0</v>
      </c>
      <c r="V10" s="139">
        <v>0</v>
      </c>
      <c r="W10" s="139">
        <v>0</v>
      </c>
      <c r="X10" s="139">
        <v>0</v>
      </c>
      <c r="Y10" s="139">
        <v>0</v>
      </c>
      <c r="Z10" s="139">
        <v>0</v>
      </c>
      <c r="AA10" s="139">
        <v>0</v>
      </c>
      <c r="AB10" s="139">
        <v>0</v>
      </c>
      <c r="AC10" s="139">
        <v>0</v>
      </c>
      <c r="AD10" s="139">
        <v>8.5423362486555394</v>
      </c>
      <c r="AE10" s="139">
        <v>1.89674350649209E-2</v>
      </c>
      <c r="AF10" s="139">
        <v>0.32883138168595</v>
      </c>
      <c r="AG10" s="139">
        <v>2.1181989457250601</v>
      </c>
      <c r="AH10" s="139">
        <v>16.665288104243999</v>
      </c>
      <c r="AI10" s="139">
        <v>-17.446033945604601</v>
      </c>
      <c r="AJ10" s="139">
        <v>3.2107886365799301</v>
      </c>
      <c r="AK10" s="139">
        <v>24.135975487292399</v>
      </c>
      <c r="AL10" s="139">
        <v>0</v>
      </c>
      <c r="AM10" s="139">
        <v>273.36230672620002</v>
      </c>
      <c r="AN10" s="139">
        <v>7.0894682219589402</v>
      </c>
      <c r="AO10" s="139">
        <v>4.8418157253049898</v>
      </c>
      <c r="AP10" s="139">
        <v>0</v>
      </c>
      <c r="AQ10" s="139">
        <v>0</v>
      </c>
      <c r="AR10" s="140">
        <v>1.36946351331241</v>
      </c>
    </row>
    <row r="11" spans="2:44" ht="12" customHeight="1" x14ac:dyDescent="0.25">
      <c r="B11" s="138" t="s">
        <v>59</v>
      </c>
      <c r="C11" s="139" t="s">
        <v>40</v>
      </c>
      <c r="D11" s="139" t="s">
        <v>25</v>
      </c>
      <c r="E11" s="139" t="s">
        <v>25</v>
      </c>
      <c r="F11" s="139" t="s">
        <v>25</v>
      </c>
      <c r="G11" s="139" t="s">
        <v>35</v>
      </c>
      <c r="H11" s="139" t="s">
        <v>120</v>
      </c>
      <c r="I11" s="139" t="s">
        <v>25</v>
      </c>
      <c r="J11" s="139">
        <v>8.1</v>
      </c>
      <c r="K11" s="139">
        <v>0</v>
      </c>
      <c r="L11" s="139">
        <v>0</v>
      </c>
      <c r="M11" s="139">
        <v>0</v>
      </c>
      <c r="N11" s="139">
        <v>0</v>
      </c>
      <c r="O11" s="139">
        <v>0</v>
      </c>
      <c r="P11" s="139">
        <v>0</v>
      </c>
      <c r="Q11" s="139">
        <v>0</v>
      </c>
      <c r="R11" s="139">
        <v>0</v>
      </c>
      <c r="S11" s="139">
        <v>0</v>
      </c>
      <c r="T11" s="139">
        <v>1.03823268313572</v>
      </c>
      <c r="U11" s="139">
        <v>1.19044528876223E-2</v>
      </c>
      <c r="V11" s="139">
        <v>0</v>
      </c>
      <c r="W11" s="139">
        <v>0</v>
      </c>
      <c r="X11" s="139">
        <v>2.3502299077726199</v>
      </c>
      <c r="Y11" s="139">
        <v>0</v>
      </c>
      <c r="Z11" s="139">
        <v>0</v>
      </c>
      <c r="AA11" s="139">
        <v>4.7043679012456803</v>
      </c>
      <c r="AB11" s="139">
        <v>0</v>
      </c>
      <c r="AC11" s="139">
        <v>0</v>
      </c>
      <c r="AD11" s="139">
        <v>0</v>
      </c>
      <c r="AE11" s="139">
        <v>0</v>
      </c>
      <c r="AF11" s="139">
        <v>0</v>
      </c>
      <c r="AG11" s="139">
        <v>0</v>
      </c>
      <c r="AH11" s="139">
        <v>0</v>
      </c>
      <c r="AI11" s="139">
        <v>0</v>
      </c>
      <c r="AJ11" s="139">
        <v>0</v>
      </c>
      <c r="AK11" s="139">
        <v>0</v>
      </c>
      <c r="AL11" s="139">
        <v>0</v>
      </c>
      <c r="AM11" s="139">
        <v>0</v>
      </c>
      <c r="AN11" s="139">
        <v>0</v>
      </c>
      <c r="AO11" s="139">
        <v>0</v>
      </c>
      <c r="AP11" s="139">
        <v>0</v>
      </c>
      <c r="AQ11" s="139">
        <v>0</v>
      </c>
      <c r="AR11" s="140">
        <v>0</v>
      </c>
    </row>
    <row r="12" spans="2:44" ht="12" customHeight="1" x14ac:dyDescent="0.25">
      <c r="B12" s="138" t="s">
        <v>59</v>
      </c>
      <c r="C12" s="139" t="s">
        <v>64</v>
      </c>
      <c r="D12" s="139" t="s">
        <v>25</v>
      </c>
      <c r="E12" s="139" t="s">
        <v>25</v>
      </c>
      <c r="F12" s="139" t="s">
        <v>25</v>
      </c>
      <c r="G12" s="139" t="s">
        <v>25</v>
      </c>
      <c r="H12" s="139" t="s">
        <v>120</v>
      </c>
      <c r="I12" s="139" t="s">
        <v>124</v>
      </c>
      <c r="J12" s="139">
        <v>5.26</v>
      </c>
      <c r="K12" s="139">
        <v>0</v>
      </c>
      <c r="L12" s="139">
        <v>0</v>
      </c>
      <c r="M12" s="139">
        <v>0.13294854558091401</v>
      </c>
      <c r="N12" s="139">
        <v>0.32869981333523601</v>
      </c>
      <c r="O12" s="139">
        <v>0</v>
      </c>
      <c r="P12" s="139">
        <v>0</v>
      </c>
      <c r="Q12" s="139">
        <v>0</v>
      </c>
      <c r="R12" s="139">
        <v>0</v>
      </c>
      <c r="S12" s="139">
        <v>0</v>
      </c>
      <c r="T12" s="139">
        <v>0</v>
      </c>
      <c r="U12" s="139">
        <v>0.944868265655053</v>
      </c>
      <c r="V12" s="139">
        <v>0.29409999999999997</v>
      </c>
      <c r="W12" s="139">
        <v>0</v>
      </c>
      <c r="X12" s="139">
        <v>0</v>
      </c>
      <c r="Y12" s="139">
        <v>0</v>
      </c>
      <c r="Z12" s="139">
        <v>0</v>
      </c>
      <c r="AA12" s="139">
        <v>3.55789854566066</v>
      </c>
      <c r="AB12" s="139">
        <v>0</v>
      </c>
      <c r="AC12" s="139">
        <v>0</v>
      </c>
      <c r="AD12" s="139">
        <v>0</v>
      </c>
      <c r="AE12" s="139">
        <v>0</v>
      </c>
      <c r="AF12" s="139">
        <v>0</v>
      </c>
      <c r="AG12" s="139">
        <v>0</v>
      </c>
      <c r="AH12" s="139">
        <v>0</v>
      </c>
      <c r="AI12" s="139">
        <v>0</v>
      </c>
      <c r="AJ12" s="139">
        <v>0</v>
      </c>
      <c r="AK12" s="139">
        <v>0</v>
      </c>
      <c r="AL12" s="139">
        <v>0</v>
      </c>
      <c r="AM12" s="139">
        <v>0</v>
      </c>
      <c r="AN12" s="139">
        <v>0</v>
      </c>
      <c r="AO12" s="139">
        <v>0</v>
      </c>
      <c r="AP12" s="139">
        <v>0</v>
      </c>
      <c r="AQ12" s="139">
        <v>0</v>
      </c>
      <c r="AR12" s="140">
        <v>0</v>
      </c>
    </row>
    <row r="13" spans="2:44" ht="12" customHeight="1" x14ac:dyDescent="0.25">
      <c r="B13" s="138" t="s">
        <v>59</v>
      </c>
      <c r="C13" s="139" t="s">
        <v>64</v>
      </c>
      <c r="D13" s="139" t="s">
        <v>25</v>
      </c>
      <c r="E13" s="139" t="s">
        <v>25</v>
      </c>
      <c r="F13" s="139" t="s">
        <v>25</v>
      </c>
      <c r="G13" s="139" t="s">
        <v>25</v>
      </c>
      <c r="H13" s="139" t="s">
        <v>120</v>
      </c>
      <c r="I13" s="139" t="s">
        <v>65</v>
      </c>
      <c r="J13" s="139">
        <v>5.35</v>
      </c>
      <c r="K13" s="139">
        <v>0</v>
      </c>
      <c r="L13" s="139">
        <v>0</v>
      </c>
      <c r="M13" s="139">
        <v>9.5984357024623101E-2</v>
      </c>
      <c r="N13" s="139">
        <v>0.237399865183405</v>
      </c>
      <c r="O13" s="139">
        <v>0</v>
      </c>
      <c r="P13" s="139">
        <v>0</v>
      </c>
      <c r="Q13" s="139">
        <v>0</v>
      </c>
      <c r="R13" s="139">
        <v>0</v>
      </c>
      <c r="S13" s="139">
        <v>0</v>
      </c>
      <c r="T13" s="139">
        <v>0</v>
      </c>
      <c r="U13" s="139">
        <v>1.80049722720434</v>
      </c>
      <c r="V13" s="139">
        <v>0</v>
      </c>
      <c r="W13" s="139">
        <v>0</v>
      </c>
      <c r="X13" s="139">
        <v>0</v>
      </c>
      <c r="Y13" s="139">
        <v>0</v>
      </c>
      <c r="Z13" s="139">
        <v>0.25573924196645897</v>
      </c>
      <c r="AA13" s="139">
        <v>2.96219878916102</v>
      </c>
      <c r="AB13" s="139">
        <v>0</v>
      </c>
      <c r="AC13" s="139">
        <v>0</v>
      </c>
      <c r="AD13" s="139">
        <v>0</v>
      </c>
      <c r="AE13" s="139">
        <v>0</v>
      </c>
      <c r="AF13" s="139">
        <v>0</v>
      </c>
      <c r="AG13" s="139">
        <v>0</v>
      </c>
      <c r="AH13" s="139">
        <v>0</v>
      </c>
      <c r="AI13" s="139">
        <v>0</v>
      </c>
      <c r="AJ13" s="139">
        <v>0</v>
      </c>
      <c r="AK13" s="139">
        <v>0</v>
      </c>
      <c r="AL13" s="139">
        <v>0</v>
      </c>
      <c r="AM13" s="139">
        <v>0</v>
      </c>
      <c r="AN13" s="139">
        <v>0</v>
      </c>
      <c r="AO13" s="139">
        <v>0</v>
      </c>
      <c r="AP13" s="139">
        <v>0</v>
      </c>
      <c r="AQ13" s="139">
        <v>0</v>
      </c>
      <c r="AR13" s="140">
        <v>0</v>
      </c>
    </row>
    <row r="14" spans="2:44" ht="12" customHeight="1" x14ac:dyDescent="0.25">
      <c r="B14" s="138" t="s">
        <v>59</v>
      </c>
      <c r="C14" s="139" t="s">
        <v>64</v>
      </c>
      <c r="D14" s="139" t="s">
        <v>25</v>
      </c>
      <c r="E14" s="139" t="s">
        <v>25</v>
      </c>
      <c r="F14" s="139" t="s">
        <v>25</v>
      </c>
      <c r="G14" s="139" t="s">
        <v>25</v>
      </c>
      <c r="H14" s="139" t="s">
        <v>120</v>
      </c>
      <c r="I14" s="139" t="s">
        <v>73</v>
      </c>
      <c r="J14" s="139">
        <v>5.35</v>
      </c>
      <c r="K14" s="139">
        <v>0</v>
      </c>
      <c r="L14" s="139">
        <v>0</v>
      </c>
      <c r="M14" s="139">
        <v>9.5984357024623101E-2</v>
      </c>
      <c r="N14" s="139">
        <v>0.237399865183405</v>
      </c>
      <c r="O14" s="139">
        <v>0</v>
      </c>
      <c r="P14" s="139">
        <v>0</v>
      </c>
      <c r="Q14" s="139">
        <v>0</v>
      </c>
      <c r="R14" s="139">
        <v>0</v>
      </c>
      <c r="S14" s="139">
        <v>0</v>
      </c>
      <c r="T14" s="139">
        <v>0</v>
      </c>
      <c r="U14" s="139">
        <v>1.80049722720434</v>
      </c>
      <c r="V14" s="139">
        <v>0</v>
      </c>
      <c r="W14" s="139">
        <v>0</v>
      </c>
      <c r="X14" s="139">
        <v>0</v>
      </c>
      <c r="Y14" s="139">
        <v>0</v>
      </c>
      <c r="Z14" s="139">
        <v>0.25573924196645897</v>
      </c>
      <c r="AA14" s="139">
        <v>2.96219878916102</v>
      </c>
      <c r="AB14" s="139">
        <v>0</v>
      </c>
      <c r="AC14" s="139">
        <v>0</v>
      </c>
      <c r="AD14" s="139">
        <v>0</v>
      </c>
      <c r="AE14" s="139">
        <v>0</v>
      </c>
      <c r="AF14" s="139">
        <v>0</v>
      </c>
      <c r="AG14" s="139">
        <v>0</v>
      </c>
      <c r="AH14" s="139">
        <v>0</v>
      </c>
      <c r="AI14" s="139">
        <v>0</v>
      </c>
      <c r="AJ14" s="139">
        <v>0</v>
      </c>
      <c r="AK14" s="139">
        <v>0</v>
      </c>
      <c r="AL14" s="139">
        <v>0</v>
      </c>
      <c r="AM14" s="139">
        <v>0</v>
      </c>
      <c r="AN14" s="139">
        <v>0</v>
      </c>
      <c r="AO14" s="139">
        <v>0</v>
      </c>
      <c r="AP14" s="139">
        <v>0</v>
      </c>
      <c r="AQ14" s="139">
        <v>0</v>
      </c>
      <c r="AR14" s="140">
        <v>0</v>
      </c>
    </row>
    <row r="15" spans="2:44" ht="12" customHeight="1" x14ac:dyDescent="0.25">
      <c r="B15" s="138" t="s">
        <v>59</v>
      </c>
      <c r="C15" s="139" t="s">
        <v>64</v>
      </c>
      <c r="D15" s="139" t="s">
        <v>25</v>
      </c>
      <c r="E15" s="139" t="s">
        <v>25</v>
      </c>
      <c r="F15" s="139" t="s">
        <v>25</v>
      </c>
      <c r="G15" s="139" t="s">
        <v>25</v>
      </c>
      <c r="H15" s="139" t="s">
        <v>120</v>
      </c>
      <c r="I15" s="139" t="s">
        <v>87</v>
      </c>
      <c r="J15" s="139">
        <v>5.86</v>
      </c>
      <c r="K15" s="139">
        <v>0</v>
      </c>
      <c r="L15" s="139">
        <v>0</v>
      </c>
      <c r="M15" s="139">
        <v>0.105582792727085</v>
      </c>
      <c r="N15" s="139">
        <v>0.26119985166767201</v>
      </c>
      <c r="O15" s="139">
        <v>0</v>
      </c>
      <c r="P15" s="139">
        <v>0</v>
      </c>
      <c r="Q15" s="139">
        <v>0</v>
      </c>
      <c r="R15" s="139">
        <v>0</v>
      </c>
      <c r="S15" s="139">
        <v>0</v>
      </c>
      <c r="T15" s="139">
        <v>0</v>
      </c>
      <c r="U15" s="139">
        <v>1.9810706547610799</v>
      </c>
      <c r="V15" s="139">
        <v>0</v>
      </c>
      <c r="W15" s="139">
        <v>0</v>
      </c>
      <c r="X15" s="139">
        <v>0</v>
      </c>
      <c r="Y15" s="139">
        <v>0</v>
      </c>
      <c r="Z15" s="139">
        <v>0.25573924196645897</v>
      </c>
      <c r="AA15" s="139">
        <v>3.2593986676765399</v>
      </c>
      <c r="AB15" s="139">
        <v>0</v>
      </c>
      <c r="AC15" s="139">
        <v>0</v>
      </c>
      <c r="AD15" s="139">
        <v>0</v>
      </c>
      <c r="AE15" s="139">
        <v>0</v>
      </c>
      <c r="AF15" s="139">
        <v>0</v>
      </c>
      <c r="AG15" s="139">
        <v>0</v>
      </c>
      <c r="AH15" s="139">
        <v>0</v>
      </c>
      <c r="AI15" s="139">
        <v>0</v>
      </c>
      <c r="AJ15" s="139">
        <v>0</v>
      </c>
      <c r="AK15" s="139">
        <v>0</v>
      </c>
      <c r="AL15" s="139">
        <v>0</v>
      </c>
      <c r="AM15" s="139">
        <v>0</v>
      </c>
      <c r="AN15" s="139">
        <v>0</v>
      </c>
      <c r="AO15" s="139">
        <v>0</v>
      </c>
      <c r="AP15" s="139">
        <v>0</v>
      </c>
      <c r="AQ15" s="139">
        <v>0</v>
      </c>
      <c r="AR15" s="140">
        <v>0</v>
      </c>
    </row>
    <row r="16" spans="2:44" ht="12" customHeight="1" x14ac:dyDescent="0.25">
      <c r="B16" s="138" t="s">
        <v>59</v>
      </c>
      <c r="C16" s="139" t="s">
        <v>64</v>
      </c>
      <c r="D16" s="139" t="s">
        <v>25</v>
      </c>
      <c r="E16" s="139" t="s">
        <v>25</v>
      </c>
      <c r="F16" s="139" t="s">
        <v>25</v>
      </c>
      <c r="G16" s="139" t="s">
        <v>25</v>
      </c>
      <c r="H16" s="139" t="s">
        <v>120</v>
      </c>
      <c r="I16" s="139" t="s">
        <v>89</v>
      </c>
      <c r="J16" s="139">
        <v>5.63</v>
      </c>
      <c r="K16" s="139">
        <v>0</v>
      </c>
      <c r="L16" s="139">
        <v>0</v>
      </c>
      <c r="M16" s="139">
        <v>0.101294129966411</v>
      </c>
      <c r="N16" s="139">
        <v>0.25049985774407302</v>
      </c>
      <c r="O16" s="139">
        <v>0</v>
      </c>
      <c r="P16" s="139">
        <v>0</v>
      </c>
      <c r="Q16" s="139">
        <v>0</v>
      </c>
      <c r="R16" s="139">
        <v>0</v>
      </c>
      <c r="S16" s="139">
        <v>0</v>
      </c>
      <c r="T16" s="139">
        <v>0</v>
      </c>
      <c r="U16" s="139">
        <v>1.90052485093792</v>
      </c>
      <c r="V16" s="139">
        <v>0</v>
      </c>
      <c r="W16" s="139">
        <v>0</v>
      </c>
      <c r="X16" s="139">
        <v>0</v>
      </c>
      <c r="Y16" s="139">
        <v>0</v>
      </c>
      <c r="Z16" s="139">
        <v>0.25573924196645897</v>
      </c>
      <c r="AA16" s="139">
        <v>3.12669872191944</v>
      </c>
      <c r="AB16" s="139">
        <v>0</v>
      </c>
      <c r="AC16" s="139">
        <v>0</v>
      </c>
      <c r="AD16" s="139">
        <v>0</v>
      </c>
      <c r="AE16" s="139">
        <v>0</v>
      </c>
      <c r="AF16" s="139">
        <v>0</v>
      </c>
      <c r="AG16" s="139">
        <v>0</v>
      </c>
      <c r="AH16" s="139">
        <v>0</v>
      </c>
      <c r="AI16" s="139">
        <v>0</v>
      </c>
      <c r="AJ16" s="139">
        <v>0</v>
      </c>
      <c r="AK16" s="139">
        <v>0</v>
      </c>
      <c r="AL16" s="139">
        <v>0</v>
      </c>
      <c r="AM16" s="139">
        <v>0</v>
      </c>
      <c r="AN16" s="139">
        <v>0</v>
      </c>
      <c r="AO16" s="139">
        <v>0</v>
      </c>
      <c r="AP16" s="139">
        <v>0</v>
      </c>
      <c r="AQ16" s="139">
        <v>0</v>
      </c>
      <c r="AR16" s="140">
        <v>0</v>
      </c>
    </row>
    <row r="17" spans="2:44" ht="12" customHeight="1" x14ac:dyDescent="0.25">
      <c r="B17" s="138" t="s">
        <v>59</v>
      </c>
      <c r="C17" s="139" t="s">
        <v>64</v>
      </c>
      <c r="D17" s="139" t="s">
        <v>25</v>
      </c>
      <c r="E17" s="139" t="s">
        <v>25</v>
      </c>
      <c r="F17" s="139" t="s">
        <v>25</v>
      </c>
      <c r="G17" s="139" t="s">
        <v>25</v>
      </c>
      <c r="H17" s="139" t="s">
        <v>120</v>
      </c>
      <c r="I17" s="139" t="s">
        <v>86</v>
      </c>
      <c r="J17" s="139">
        <v>4.8499999999999996</v>
      </c>
      <c r="K17" s="139">
        <v>0</v>
      </c>
      <c r="L17" s="139">
        <v>0</v>
      </c>
      <c r="M17" s="139">
        <v>8.6590143358383401E-2</v>
      </c>
      <c r="N17" s="139">
        <v>0.21409987841519301</v>
      </c>
      <c r="O17" s="139">
        <v>0</v>
      </c>
      <c r="P17" s="139">
        <v>0</v>
      </c>
      <c r="Q17" s="139">
        <v>0</v>
      </c>
      <c r="R17" s="139">
        <v>0</v>
      </c>
      <c r="S17" s="139">
        <v>0</v>
      </c>
      <c r="T17" s="139">
        <v>0</v>
      </c>
      <c r="U17" s="139">
        <v>1.6239039564035</v>
      </c>
      <c r="V17" s="139">
        <v>0</v>
      </c>
      <c r="W17" s="139">
        <v>0</v>
      </c>
      <c r="X17" s="139">
        <v>0</v>
      </c>
      <c r="Y17" s="139">
        <v>0</v>
      </c>
      <c r="Z17" s="139">
        <v>0.25573924196645897</v>
      </c>
      <c r="AA17" s="139">
        <v>2.6716989079067899</v>
      </c>
      <c r="AB17" s="139">
        <v>0</v>
      </c>
      <c r="AC17" s="139">
        <v>0</v>
      </c>
      <c r="AD17" s="139">
        <v>0</v>
      </c>
      <c r="AE17" s="139">
        <v>0</v>
      </c>
      <c r="AF17" s="139">
        <v>0</v>
      </c>
      <c r="AG17" s="139">
        <v>0</v>
      </c>
      <c r="AH17" s="139">
        <v>0</v>
      </c>
      <c r="AI17" s="139">
        <v>0</v>
      </c>
      <c r="AJ17" s="139">
        <v>0</v>
      </c>
      <c r="AK17" s="139">
        <v>0</v>
      </c>
      <c r="AL17" s="139">
        <v>0</v>
      </c>
      <c r="AM17" s="139">
        <v>0</v>
      </c>
      <c r="AN17" s="139">
        <v>0</v>
      </c>
      <c r="AO17" s="139">
        <v>0</v>
      </c>
      <c r="AP17" s="139">
        <v>0</v>
      </c>
      <c r="AQ17" s="139">
        <v>0</v>
      </c>
      <c r="AR17" s="140">
        <v>0</v>
      </c>
    </row>
    <row r="18" spans="2:44" ht="12" customHeight="1" x14ac:dyDescent="0.25">
      <c r="B18" s="138" t="s">
        <v>59</v>
      </c>
      <c r="C18" s="139" t="s">
        <v>64</v>
      </c>
      <c r="D18" s="139" t="s">
        <v>25</v>
      </c>
      <c r="E18" s="139" t="s">
        <v>25</v>
      </c>
      <c r="F18" s="139" t="s">
        <v>25</v>
      </c>
      <c r="G18" s="139" t="s">
        <v>25</v>
      </c>
      <c r="H18" s="139" t="s">
        <v>120</v>
      </c>
      <c r="I18" s="139" t="s">
        <v>69</v>
      </c>
      <c r="J18" s="139">
        <v>5.97</v>
      </c>
      <c r="K18" s="139">
        <v>0</v>
      </c>
      <c r="L18" s="139">
        <v>0</v>
      </c>
      <c r="M18" s="139">
        <v>0.10762501308931099</v>
      </c>
      <c r="N18" s="139">
        <v>0.26629984877144303</v>
      </c>
      <c r="O18" s="139">
        <v>0</v>
      </c>
      <c r="P18" s="139">
        <v>0</v>
      </c>
      <c r="Q18" s="139">
        <v>0</v>
      </c>
      <c r="R18" s="139">
        <v>0</v>
      </c>
      <c r="S18" s="139">
        <v>0</v>
      </c>
      <c r="T18" s="139">
        <v>0</v>
      </c>
      <c r="U18" s="139">
        <v>2.0198248126473799</v>
      </c>
      <c r="V18" s="139">
        <v>0</v>
      </c>
      <c r="W18" s="139">
        <v>0</v>
      </c>
      <c r="X18" s="139">
        <v>0</v>
      </c>
      <c r="Y18" s="139">
        <v>0</v>
      </c>
      <c r="Z18" s="139">
        <v>0.25573924196645897</v>
      </c>
      <c r="AA18" s="139">
        <v>3.3230986416383099</v>
      </c>
      <c r="AB18" s="139">
        <v>0</v>
      </c>
      <c r="AC18" s="139">
        <v>0</v>
      </c>
      <c r="AD18" s="139">
        <v>0</v>
      </c>
      <c r="AE18" s="139">
        <v>0</v>
      </c>
      <c r="AF18" s="139">
        <v>0</v>
      </c>
      <c r="AG18" s="139">
        <v>0</v>
      </c>
      <c r="AH18" s="139">
        <v>0</v>
      </c>
      <c r="AI18" s="139">
        <v>0</v>
      </c>
      <c r="AJ18" s="139">
        <v>0</v>
      </c>
      <c r="AK18" s="139">
        <v>0</v>
      </c>
      <c r="AL18" s="139">
        <v>0</v>
      </c>
      <c r="AM18" s="139">
        <v>0</v>
      </c>
      <c r="AN18" s="139">
        <v>0</v>
      </c>
      <c r="AO18" s="139">
        <v>0</v>
      </c>
      <c r="AP18" s="139">
        <v>0</v>
      </c>
      <c r="AQ18" s="139">
        <v>0</v>
      </c>
      <c r="AR18" s="140">
        <v>0</v>
      </c>
    </row>
    <row r="19" spans="2:44" ht="12" customHeight="1" x14ac:dyDescent="0.25">
      <c r="B19" s="138" t="s">
        <v>59</v>
      </c>
      <c r="C19" s="139" t="s">
        <v>64</v>
      </c>
      <c r="D19" s="139" t="s">
        <v>25</v>
      </c>
      <c r="E19" s="139" t="s">
        <v>25</v>
      </c>
      <c r="F19" s="139" t="s">
        <v>25</v>
      </c>
      <c r="G19" s="139" t="s">
        <v>25</v>
      </c>
      <c r="H19" s="139" t="s">
        <v>120</v>
      </c>
      <c r="I19" s="139" t="s">
        <v>72</v>
      </c>
      <c r="J19" s="139">
        <v>5.68</v>
      </c>
      <c r="K19" s="139">
        <v>0</v>
      </c>
      <c r="L19" s="139">
        <v>0</v>
      </c>
      <c r="M19" s="139">
        <v>0.10211101811130099</v>
      </c>
      <c r="N19" s="139">
        <v>0.25249985660829699</v>
      </c>
      <c r="O19" s="139">
        <v>0</v>
      </c>
      <c r="P19" s="139">
        <v>0</v>
      </c>
      <c r="Q19" s="139">
        <v>0</v>
      </c>
      <c r="R19" s="139">
        <v>0</v>
      </c>
      <c r="S19" s="139">
        <v>0</v>
      </c>
      <c r="T19" s="139">
        <v>0</v>
      </c>
      <c r="U19" s="139">
        <v>1.91539806828888</v>
      </c>
      <c r="V19" s="139">
        <v>0</v>
      </c>
      <c r="W19" s="139">
        <v>0</v>
      </c>
      <c r="X19" s="139">
        <v>0</v>
      </c>
      <c r="Y19" s="139">
        <v>0</v>
      </c>
      <c r="Z19" s="139">
        <v>0.25573924196645897</v>
      </c>
      <c r="AA19" s="139">
        <v>3.15129871186386</v>
      </c>
      <c r="AB19" s="139">
        <v>0</v>
      </c>
      <c r="AC19" s="139">
        <v>0</v>
      </c>
      <c r="AD19" s="139">
        <v>0</v>
      </c>
      <c r="AE19" s="139">
        <v>0</v>
      </c>
      <c r="AF19" s="139">
        <v>0</v>
      </c>
      <c r="AG19" s="139">
        <v>0</v>
      </c>
      <c r="AH19" s="139">
        <v>0</v>
      </c>
      <c r="AI19" s="139">
        <v>0</v>
      </c>
      <c r="AJ19" s="139">
        <v>0</v>
      </c>
      <c r="AK19" s="139">
        <v>0</v>
      </c>
      <c r="AL19" s="139">
        <v>0</v>
      </c>
      <c r="AM19" s="139">
        <v>0</v>
      </c>
      <c r="AN19" s="139">
        <v>0</v>
      </c>
      <c r="AO19" s="139">
        <v>0</v>
      </c>
      <c r="AP19" s="139">
        <v>0</v>
      </c>
      <c r="AQ19" s="139">
        <v>0</v>
      </c>
      <c r="AR19" s="140">
        <v>0</v>
      </c>
    </row>
    <row r="20" spans="2:44" ht="12" customHeight="1" x14ac:dyDescent="0.25">
      <c r="B20" s="138" t="s">
        <v>59</v>
      </c>
      <c r="C20" s="139" t="s">
        <v>64</v>
      </c>
      <c r="D20" s="139" t="s">
        <v>25</v>
      </c>
      <c r="E20" s="139" t="s">
        <v>25</v>
      </c>
      <c r="F20" s="139" t="s">
        <v>25</v>
      </c>
      <c r="G20" s="139" t="s">
        <v>25</v>
      </c>
      <c r="H20" s="139" t="s">
        <v>120</v>
      </c>
      <c r="I20" s="139" t="s">
        <v>92</v>
      </c>
      <c r="J20" s="139">
        <v>5.28</v>
      </c>
      <c r="K20" s="139">
        <v>0</v>
      </c>
      <c r="L20" s="139">
        <v>0</v>
      </c>
      <c r="M20" s="139">
        <v>9.4656913789176206E-2</v>
      </c>
      <c r="N20" s="139">
        <v>0.23419986700064599</v>
      </c>
      <c r="O20" s="139">
        <v>0</v>
      </c>
      <c r="P20" s="139">
        <v>0</v>
      </c>
      <c r="Q20" s="139">
        <v>0</v>
      </c>
      <c r="R20" s="139">
        <v>0</v>
      </c>
      <c r="S20" s="139">
        <v>0</v>
      </c>
      <c r="T20" s="139">
        <v>0</v>
      </c>
      <c r="U20" s="139">
        <v>1.77630206376721</v>
      </c>
      <c r="V20" s="139">
        <v>0</v>
      </c>
      <c r="W20" s="139">
        <v>0</v>
      </c>
      <c r="X20" s="139">
        <v>0</v>
      </c>
      <c r="Y20" s="139">
        <v>0</v>
      </c>
      <c r="Z20" s="139">
        <v>0.25573924196645897</v>
      </c>
      <c r="AA20" s="139">
        <v>2.9223988054298098</v>
      </c>
      <c r="AB20" s="139">
        <v>0</v>
      </c>
      <c r="AC20" s="139">
        <v>0</v>
      </c>
      <c r="AD20" s="139">
        <v>0</v>
      </c>
      <c r="AE20" s="139">
        <v>0</v>
      </c>
      <c r="AF20" s="139">
        <v>0</v>
      </c>
      <c r="AG20" s="139">
        <v>0</v>
      </c>
      <c r="AH20" s="139">
        <v>0</v>
      </c>
      <c r="AI20" s="139">
        <v>0</v>
      </c>
      <c r="AJ20" s="139">
        <v>0</v>
      </c>
      <c r="AK20" s="139">
        <v>0</v>
      </c>
      <c r="AL20" s="139">
        <v>0</v>
      </c>
      <c r="AM20" s="139">
        <v>0</v>
      </c>
      <c r="AN20" s="139">
        <v>0</v>
      </c>
      <c r="AO20" s="139">
        <v>0</v>
      </c>
      <c r="AP20" s="139">
        <v>0</v>
      </c>
      <c r="AQ20" s="139">
        <v>0</v>
      </c>
      <c r="AR20" s="140">
        <v>0</v>
      </c>
    </row>
    <row r="21" spans="2:44" ht="12" customHeight="1" x14ac:dyDescent="0.25">
      <c r="B21" s="138" t="s">
        <v>59</v>
      </c>
      <c r="C21" s="139" t="s">
        <v>64</v>
      </c>
      <c r="D21" s="139" t="s">
        <v>25</v>
      </c>
      <c r="E21" s="139" t="s">
        <v>25</v>
      </c>
      <c r="F21" s="139" t="s">
        <v>25</v>
      </c>
      <c r="G21" s="139" t="s">
        <v>25</v>
      </c>
      <c r="H21" s="139" t="s">
        <v>120</v>
      </c>
      <c r="I21" s="139" t="s">
        <v>67</v>
      </c>
      <c r="J21" s="139">
        <v>4.13</v>
      </c>
      <c r="K21" s="139">
        <v>0</v>
      </c>
      <c r="L21" s="139">
        <v>0</v>
      </c>
      <c r="M21" s="139">
        <v>7.2907266931469095E-2</v>
      </c>
      <c r="N21" s="139">
        <v>0.180299897609806</v>
      </c>
      <c r="O21" s="139">
        <v>0</v>
      </c>
      <c r="P21" s="139">
        <v>0</v>
      </c>
      <c r="Q21" s="139">
        <v>0</v>
      </c>
      <c r="R21" s="139">
        <v>0</v>
      </c>
      <c r="S21" s="139">
        <v>0</v>
      </c>
      <c r="T21" s="139">
        <v>0</v>
      </c>
      <c r="U21" s="139">
        <v>1.36749806855031</v>
      </c>
      <c r="V21" s="139">
        <v>0</v>
      </c>
      <c r="W21" s="139">
        <v>0</v>
      </c>
      <c r="X21" s="139">
        <v>0</v>
      </c>
      <c r="Y21" s="139">
        <v>0</v>
      </c>
      <c r="Z21" s="139">
        <v>0.25573924196645897</v>
      </c>
      <c r="AA21" s="139">
        <v>2.2498990803232002</v>
      </c>
      <c r="AB21" s="139">
        <v>0</v>
      </c>
      <c r="AC21" s="139">
        <v>0</v>
      </c>
      <c r="AD21" s="139">
        <v>0</v>
      </c>
      <c r="AE21" s="139">
        <v>0</v>
      </c>
      <c r="AF21" s="139">
        <v>0</v>
      </c>
      <c r="AG21" s="139">
        <v>0</v>
      </c>
      <c r="AH21" s="139">
        <v>0</v>
      </c>
      <c r="AI21" s="139">
        <v>0</v>
      </c>
      <c r="AJ21" s="139">
        <v>0</v>
      </c>
      <c r="AK21" s="139">
        <v>0</v>
      </c>
      <c r="AL21" s="139">
        <v>0</v>
      </c>
      <c r="AM21" s="139">
        <v>0</v>
      </c>
      <c r="AN21" s="139">
        <v>0</v>
      </c>
      <c r="AO21" s="139">
        <v>0</v>
      </c>
      <c r="AP21" s="139">
        <v>0</v>
      </c>
      <c r="AQ21" s="139">
        <v>0</v>
      </c>
      <c r="AR21" s="140">
        <v>0</v>
      </c>
    </row>
    <row r="22" spans="2:44" ht="12" customHeight="1" x14ac:dyDescent="0.25">
      <c r="B22" s="138" t="s">
        <v>59</v>
      </c>
      <c r="C22" s="139" t="s">
        <v>64</v>
      </c>
      <c r="D22" s="139" t="s">
        <v>25</v>
      </c>
      <c r="E22" s="139" t="s">
        <v>25</v>
      </c>
      <c r="F22" s="139" t="s">
        <v>25</v>
      </c>
      <c r="G22" s="139" t="s">
        <v>25</v>
      </c>
      <c r="H22" s="139" t="s">
        <v>120</v>
      </c>
      <c r="I22" s="139" t="s">
        <v>75</v>
      </c>
      <c r="J22" s="139">
        <v>5.35</v>
      </c>
      <c r="K22" s="139">
        <v>0</v>
      </c>
      <c r="L22" s="139">
        <v>0</v>
      </c>
      <c r="M22" s="139">
        <v>9.5984357024623101E-2</v>
      </c>
      <c r="N22" s="139">
        <v>0.237399865183405</v>
      </c>
      <c r="O22" s="139">
        <v>0</v>
      </c>
      <c r="P22" s="139">
        <v>0</v>
      </c>
      <c r="Q22" s="139">
        <v>0</v>
      </c>
      <c r="R22" s="139">
        <v>0</v>
      </c>
      <c r="S22" s="139">
        <v>0</v>
      </c>
      <c r="T22" s="139">
        <v>0</v>
      </c>
      <c r="U22" s="139">
        <v>1.80049722720434</v>
      </c>
      <c r="V22" s="139">
        <v>0</v>
      </c>
      <c r="W22" s="139">
        <v>0</v>
      </c>
      <c r="X22" s="139">
        <v>0</v>
      </c>
      <c r="Y22" s="139">
        <v>0</v>
      </c>
      <c r="Z22" s="139">
        <v>0.25573924196645897</v>
      </c>
      <c r="AA22" s="139">
        <v>2.96219878916102</v>
      </c>
      <c r="AB22" s="139">
        <v>0</v>
      </c>
      <c r="AC22" s="139">
        <v>0</v>
      </c>
      <c r="AD22" s="139">
        <v>0</v>
      </c>
      <c r="AE22" s="139">
        <v>0</v>
      </c>
      <c r="AF22" s="139">
        <v>0</v>
      </c>
      <c r="AG22" s="139">
        <v>0</v>
      </c>
      <c r="AH22" s="139">
        <v>0</v>
      </c>
      <c r="AI22" s="139">
        <v>0</v>
      </c>
      <c r="AJ22" s="139">
        <v>0</v>
      </c>
      <c r="AK22" s="139">
        <v>0</v>
      </c>
      <c r="AL22" s="139">
        <v>0</v>
      </c>
      <c r="AM22" s="139">
        <v>0</v>
      </c>
      <c r="AN22" s="139">
        <v>0</v>
      </c>
      <c r="AO22" s="139">
        <v>0</v>
      </c>
      <c r="AP22" s="139">
        <v>0</v>
      </c>
      <c r="AQ22" s="139">
        <v>0</v>
      </c>
      <c r="AR22" s="140">
        <v>0</v>
      </c>
    </row>
    <row r="23" spans="2:44" ht="12" customHeight="1" x14ac:dyDescent="0.25">
      <c r="B23" s="138" t="s">
        <v>39</v>
      </c>
      <c r="C23" s="139" t="s">
        <v>40</v>
      </c>
      <c r="D23" s="139" t="s">
        <v>25</v>
      </c>
      <c r="E23" s="139" t="s">
        <v>25</v>
      </c>
      <c r="F23" s="139" t="s">
        <v>61</v>
      </c>
      <c r="G23" s="139" t="s">
        <v>34</v>
      </c>
      <c r="H23" s="139" t="s">
        <v>117</v>
      </c>
      <c r="I23" s="139" t="s">
        <v>25</v>
      </c>
      <c r="J23" s="139">
        <v>15.38</v>
      </c>
      <c r="K23" s="139">
        <v>0</v>
      </c>
      <c r="L23" s="139">
        <v>0</v>
      </c>
      <c r="M23" s="139">
        <v>0.11319300475496299</v>
      </c>
      <c r="N23" s="139">
        <v>0.305660606324275</v>
      </c>
      <c r="O23" s="139">
        <v>-5.0328095537283003E-3</v>
      </c>
      <c r="P23" s="139">
        <v>0</v>
      </c>
      <c r="Q23" s="139">
        <v>0</v>
      </c>
      <c r="R23" s="139">
        <v>0</v>
      </c>
      <c r="S23" s="139">
        <v>0</v>
      </c>
      <c r="T23" s="139">
        <v>0</v>
      </c>
      <c r="U23" s="139">
        <v>0</v>
      </c>
      <c r="V23" s="139">
        <v>0</v>
      </c>
      <c r="W23" s="139">
        <v>0</v>
      </c>
      <c r="X23" s="139">
        <v>0</v>
      </c>
      <c r="Y23" s="139">
        <v>0</v>
      </c>
      <c r="Z23" s="139">
        <v>0</v>
      </c>
      <c r="AA23" s="139">
        <v>0</v>
      </c>
      <c r="AB23" s="139">
        <v>0</v>
      </c>
      <c r="AC23" s="139">
        <v>0</v>
      </c>
      <c r="AD23" s="139">
        <v>12.5714917403216</v>
      </c>
      <c r="AE23" s="139">
        <v>2.7913786850906099E-2</v>
      </c>
      <c r="AF23" s="139">
        <v>0.31862562193138699</v>
      </c>
      <c r="AG23" s="139">
        <v>2.0524575634956599</v>
      </c>
      <c r="AH23" s="139">
        <v>0</v>
      </c>
      <c r="AI23" s="139">
        <v>0</v>
      </c>
      <c r="AJ23" s="139">
        <v>0</v>
      </c>
      <c r="AK23" s="139">
        <v>0</v>
      </c>
      <c r="AL23" s="139">
        <v>0</v>
      </c>
      <c r="AM23" s="139">
        <v>0</v>
      </c>
      <c r="AN23" s="139">
        <v>0</v>
      </c>
      <c r="AO23" s="139">
        <v>0</v>
      </c>
      <c r="AP23" s="139">
        <v>0</v>
      </c>
      <c r="AQ23" s="139">
        <v>0</v>
      </c>
      <c r="AR23" s="140">
        <v>0</v>
      </c>
    </row>
    <row r="24" spans="2:44" ht="12" customHeight="1" x14ac:dyDescent="0.25">
      <c r="B24" s="138" t="s">
        <v>39</v>
      </c>
      <c r="C24" s="139" t="s">
        <v>40</v>
      </c>
      <c r="D24" s="139" t="s">
        <v>25</v>
      </c>
      <c r="E24" s="139" t="s">
        <v>25</v>
      </c>
      <c r="F24" s="139" t="s">
        <v>61</v>
      </c>
      <c r="G24" s="139" t="s">
        <v>34</v>
      </c>
      <c r="H24" s="139" t="s">
        <v>120</v>
      </c>
      <c r="I24" s="139" t="s">
        <v>25</v>
      </c>
      <c r="J24" s="139">
        <v>28.54</v>
      </c>
      <c r="K24" s="139">
        <v>0</v>
      </c>
      <c r="L24" s="139">
        <v>0</v>
      </c>
      <c r="M24" s="139">
        <v>0</v>
      </c>
      <c r="N24" s="139">
        <v>0</v>
      </c>
      <c r="O24" s="139">
        <v>0</v>
      </c>
      <c r="P24" s="139">
        <v>0</v>
      </c>
      <c r="Q24" s="139">
        <v>0</v>
      </c>
      <c r="R24" s="139">
        <v>0</v>
      </c>
      <c r="S24" s="139">
        <v>0</v>
      </c>
      <c r="T24" s="139">
        <v>3.4360779400080901</v>
      </c>
      <c r="U24" s="139">
        <v>3.8773341856013097E-2</v>
      </c>
      <c r="V24" s="139">
        <v>0</v>
      </c>
      <c r="W24" s="139">
        <v>0</v>
      </c>
      <c r="X24" s="139">
        <v>11.563932001747199</v>
      </c>
      <c r="Y24" s="139">
        <v>0</v>
      </c>
      <c r="Z24" s="139">
        <v>0</v>
      </c>
      <c r="AA24" s="139">
        <v>13.5027923019423</v>
      </c>
      <c r="AB24" s="139">
        <v>0</v>
      </c>
      <c r="AC24" s="139">
        <v>0</v>
      </c>
      <c r="AD24" s="139">
        <v>0</v>
      </c>
      <c r="AE24" s="139">
        <v>0</v>
      </c>
      <c r="AF24" s="139">
        <v>0</v>
      </c>
      <c r="AG24" s="139">
        <v>0</v>
      </c>
      <c r="AH24" s="139">
        <v>0</v>
      </c>
      <c r="AI24" s="139">
        <v>0</v>
      </c>
      <c r="AJ24" s="139">
        <v>0</v>
      </c>
      <c r="AK24" s="139">
        <v>0</v>
      </c>
      <c r="AL24" s="139">
        <v>0</v>
      </c>
      <c r="AM24" s="139">
        <v>0</v>
      </c>
      <c r="AN24" s="139">
        <v>0</v>
      </c>
      <c r="AO24" s="139">
        <v>0</v>
      </c>
      <c r="AP24" s="139">
        <v>0</v>
      </c>
      <c r="AQ24" s="139">
        <v>0</v>
      </c>
      <c r="AR24" s="140">
        <v>0</v>
      </c>
    </row>
    <row r="25" spans="2:44" ht="12" customHeight="1" x14ac:dyDescent="0.25">
      <c r="B25" s="138" t="s">
        <v>39</v>
      </c>
      <c r="C25" s="139" t="s">
        <v>40</v>
      </c>
      <c r="D25" s="139" t="s">
        <v>25</v>
      </c>
      <c r="E25" s="139" t="s">
        <v>25</v>
      </c>
      <c r="F25" s="139" t="s">
        <v>61</v>
      </c>
      <c r="G25" s="139" t="s">
        <v>35</v>
      </c>
      <c r="H25" s="139" t="s">
        <v>117</v>
      </c>
      <c r="I25" s="139" t="s">
        <v>25</v>
      </c>
      <c r="J25" s="139">
        <v>15.38</v>
      </c>
      <c r="K25" s="139">
        <v>0</v>
      </c>
      <c r="L25" s="139">
        <v>0</v>
      </c>
      <c r="M25" s="139">
        <v>0.11319300475496299</v>
      </c>
      <c r="N25" s="139">
        <v>0.305660606324275</v>
      </c>
      <c r="O25" s="139">
        <v>-5.0328095537283003E-3</v>
      </c>
      <c r="P25" s="139">
        <v>0</v>
      </c>
      <c r="Q25" s="139">
        <v>0</v>
      </c>
      <c r="R25" s="139">
        <v>0</v>
      </c>
      <c r="S25" s="139">
        <v>0</v>
      </c>
      <c r="T25" s="139">
        <v>0</v>
      </c>
      <c r="U25" s="139">
        <v>0</v>
      </c>
      <c r="V25" s="139">
        <v>0</v>
      </c>
      <c r="W25" s="139">
        <v>0</v>
      </c>
      <c r="X25" s="139">
        <v>0</v>
      </c>
      <c r="Y25" s="139">
        <v>0</v>
      </c>
      <c r="Z25" s="139">
        <v>0</v>
      </c>
      <c r="AA25" s="139">
        <v>0</v>
      </c>
      <c r="AB25" s="139">
        <v>0</v>
      </c>
      <c r="AC25" s="139">
        <v>0</v>
      </c>
      <c r="AD25" s="139">
        <v>12.5714917403216</v>
      </c>
      <c r="AE25" s="139">
        <v>2.7913786850906099E-2</v>
      </c>
      <c r="AF25" s="139">
        <v>0.31862562193138699</v>
      </c>
      <c r="AG25" s="139">
        <v>2.0524575634956599</v>
      </c>
      <c r="AH25" s="139">
        <v>0</v>
      </c>
      <c r="AI25" s="139">
        <v>0</v>
      </c>
      <c r="AJ25" s="139">
        <v>0</v>
      </c>
      <c r="AK25" s="139">
        <v>0</v>
      </c>
      <c r="AL25" s="139">
        <v>0</v>
      </c>
      <c r="AM25" s="139">
        <v>0</v>
      </c>
      <c r="AN25" s="139">
        <v>0</v>
      </c>
      <c r="AO25" s="139">
        <v>0</v>
      </c>
      <c r="AP25" s="139">
        <v>0</v>
      </c>
      <c r="AQ25" s="139">
        <v>0</v>
      </c>
      <c r="AR25" s="140">
        <v>0</v>
      </c>
    </row>
    <row r="26" spans="2:44" ht="12" customHeight="1" x14ac:dyDescent="0.25">
      <c r="B26" s="138" t="s">
        <v>39</v>
      </c>
      <c r="C26" s="139" t="s">
        <v>40</v>
      </c>
      <c r="D26" s="139" t="s">
        <v>25</v>
      </c>
      <c r="E26" s="139" t="s">
        <v>25</v>
      </c>
      <c r="F26" s="139" t="s">
        <v>61</v>
      </c>
      <c r="G26" s="139" t="s">
        <v>35</v>
      </c>
      <c r="H26" s="139" t="s">
        <v>120</v>
      </c>
      <c r="I26" s="139" t="s">
        <v>25</v>
      </c>
      <c r="J26" s="139">
        <v>11.68</v>
      </c>
      <c r="K26" s="139">
        <v>0</v>
      </c>
      <c r="L26" s="139">
        <v>0</v>
      </c>
      <c r="M26" s="139">
        <v>0</v>
      </c>
      <c r="N26" s="139">
        <v>0</v>
      </c>
      <c r="O26" s="139">
        <v>0</v>
      </c>
      <c r="P26" s="139">
        <v>0</v>
      </c>
      <c r="Q26" s="139">
        <v>0</v>
      </c>
      <c r="R26" s="139">
        <v>0</v>
      </c>
      <c r="S26" s="139">
        <v>0</v>
      </c>
      <c r="T26" s="139">
        <v>3.0813154838615602</v>
      </c>
      <c r="U26" s="139">
        <v>3.5337214549423603E-2</v>
      </c>
      <c r="V26" s="139">
        <v>0</v>
      </c>
      <c r="W26" s="139">
        <v>0</v>
      </c>
      <c r="X26" s="139">
        <v>7.2103924879371002</v>
      </c>
      <c r="Y26" s="139">
        <v>0</v>
      </c>
      <c r="Z26" s="139">
        <v>0</v>
      </c>
      <c r="AA26" s="139">
        <v>1.35026811138567</v>
      </c>
      <c r="AB26" s="139">
        <v>0</v>
      </c>
      <c r="AC26" s="139">
        <v>0</v>
      </c>
      <c r="AD26" s="139">
        <v>0</v>
      </c>
      <c r="AE26" s="139">
        <v>0</v>
      </c>
      <c r="AF26" s="139">
        <v>0</v>
      </c>
      <c r="AG26" s="139">
        <v>0</v>
      </c>
      <c r="AH26" s="139">
        <v>0</v>
      </c>
      <c r="AI26" s="139">
        <v>0</v>
      </c>
      <c r="AJ26" s="139">
        <v>0</v>
      </c>
      <c r="AK26" s="139">
        <v>0</v>
      </c>
      <c r="AL26" s="139">
        <v>0</v>
      </c>
      <c r="AM26" s="139">
        <v>0</v>
      </c>
      <c r="AN26" s="139">
        <v>0</v>
      </c>
      <c r="AO26" s="139">
        <v>0</v>
      </c>
      <c r="AP26" s="139">
        <v>0</v>
      </c>
      <c r="AQ26" s="139">
        <v>0</v>
      </c>
      <c r="AR26" s="140">
        <v>0</v>
      </c>
    </row>
    <row r="27" spans="2:44" ht="12" customHeight="1" x14ac:dyDescent="0.25">
      <c r="B27" s="138" t="s">
        <v>39</v>
      </c>
      <c r="C27" s="139" t="s">
        <v>40</v>
      </c>
      <c r="D27" s="139" t="s">
        <v>25</v>
      </c>
      <c r="E27" s="139" t="s">
        <v>25</v>
      </c>
      <c r="F27" s="139" t="s">
        <v>25</v>
      </c>
      <c r="G27" s="139" t="s">
        <v>34</v>
      </c>
      <c r="H27" s="139" t="s">
        <v>117</v>
      </c>
      <c r="I27" s="139" t="s">
        <v>25</v>
      </c>
      <c r="J27" s="139">
        <v>101.24</v>
      </c>
      <c r="K27" s="139">
        <v>510.05</v>
      </c>
      <c r="L27" s="139">
        <v>1.4459138572841299</v>
      </c>
      <c r="M27" s="139">
        <v>0.11319300475496299</v>
      </c>
      <c r="N27" s="139">
        <v>0.31731915871838101</v>
      </c>
      <c r="O27" s="139">
        <v>-5.0328095537283003E-3</v>
      </c>
      <c r="P27" s="139">
        <v>0</v>
      </c>
      <c r="Q27" s="139">
        <v>66.304323923291307</v>
      </c>
      <c r="R27" s="139">
        <v>18.096353551138002</v>
      </c>
      <c r="S27" s="139">
        <v>0</v>
      </c>
      <c r="T27" s="139">
        <v>0</v>
      </c>
      <c r="U27" s="139">
        <v>0</v>
      </c>
      <c r="V27" s="139">
        <v>0</v>
      </c>
      <c r="W27" s="139">
        <v>0</v>
      </c>
      <c r="X27" s="139">
        <v>0</v>
      </c>
      <c r="Y27" s="139">
        <v>0</v>
      </c>
      <c r="Z27" s="139">
        <v>0</v>
      </c>
      <c r="AA27" s="139">
        <v>0</v>
      </c>
      <c r="AB27" s="139">
        <v>0</v>
      </c>
      <c r="AC27" s="139">
        <v>0</v>
      </c>
      <c r="AD27" s="139">
        <v>12.5714917403216</v>
      </c>
      <c r="AE27" s="139">
        <v>2.7913786850906099E-2</v>
      </c>
      <c r="AF27" s="139">
        <v>0.31862562193138699</v>
      </c>
      <c r="AG27" s="139">
        <v>2.0524575634956599</v>
      </c>
      <c r="AH27" s="139">
        <v>16.665288104243999</v>
      </c>
      <c r="AI27" s="139">
        <v>-17.446033945604601</v>
      </c>
      <c r="AJ27" s="139">
        <v>3.2107886365799301</v>
      </c>
      <c r="AK27" s="139">
        <v>24.135975487292399</v>
      </c>
      <c r="AL27" s="139">
        <v>0</v>
      </c>
      <c r="AM27" s="139">
        <v>470.18316756906302</v>
      </c>
      <c r="AN27" s="139">
        <v>7.0894682219589402</v>
      </c>
      <c r="AO27" s="139">
        <v>4.8418157253049898</v>
      </c>
      <c r="AP27" s="139">
        <v>0</v>
      </c>
      <c r="AQ27" s="139">
        <v>0</v>
      </c>
      <c r="AR27" s="140">
        <v>1.36946351331241</v>
      </c>
    </row>
    <row r="28" spans="2:44" ht="12" customHeight="1" x14ac:dyDescent="0.25">
      <c r="B28" s="138" t="s">
        <v>39</v>
      </c>
      <c r="C28" s="139" t="s">
        <v>40</v>
      </c>
      <c r="D28" s="139" t="s">
        <v>25</v>
      </c>
      <c r="E28" s="139" t="s">
        <v>25</v>
      </c>
      <c r="F28" s="139" t="s">
        <v>25</v>
      </c>
      <c r="G28" s="139" t="s">
        <v>34</v>
      </c>
      <c r="H28" s="139" t="s">
        <v>120</v>
      </c>
      <c r="I28" s="139" t="s">
        <v>25</v>
      </c>
      <c r="J28" s="139">
        <v>28.54</v>
      </c>
      <c r="K28" s="139">
        <v>0</v>
      </c>
      <c r="L28" s="139">
        <v>0</v>
      </c>
      <c r="M28" s="139">
        <v>0</v>
      </c>
      <c r="N28" s="139">
        <v>0</v>
      </c>
      <c r="O28" s="139">
        <v>0</v>
      </c>
      <c r="P28" s="139">
        <v>0</v>
      </c>
      <c r="Q28" s="139">
        <v>0</v>
      </c>
      <c r="R28" s="139">
        <v>0</v>
      </c>
      <c r="S28" s="139">
        <v>0</v>
      </c>
      <c r="T28" s="139">
        <v>3.4360779400080901</v>
      </c>
      <c r="U28" s="139">
        <v>3.8773341856013097E-2</v>
      </c>
      <c r="V28" s="139">
        <v>0</v>
      </c>
      <c r="W28" s="139">
        <v>0</v>
      </c>
      <c r="X28" s="139">
        <v>11.563932001747199</v>
      </c>
      <c r="Y28" s="139">
        <v>0</v>
      </c>
      <c r="Z28" s="139">
        <v>0</v>
      </c>
      <c r="AA28" s="139">
        <v>13.5027923019423</v>
      </c>
      <c r="AB28" s="139">
        <v>0</v>
      </c>
      <c r="AC28" s="139">
        <v>0</v>
      </c>
      <c r="AD28" s="139">
        <v>0</v>
      </c>
      <c r="AE28" s="139">
        <v>0</v>
      </c>
      <c r="AF28" s="139">
        <v>0</v>
      </c>
      <c r="AG28" s="139">
        <v>0</v>
      </c>
      <c r="AH28" s="139">
        <v>0</v>
      </c>
      <c r="AI28" s="139">
        <v>0</v>
      </c>
      <c r="AJ28" s="139">
        <v>0</v>
      </c>
      <c r="AK28" s="139">
        <v>0</v>
      </c>
      <c r="AL28" s="139">
        <v>0</v>
      </c>
      <c r="AM28" s="139">
        <v>0</v>
      </c>
      <c r="AN28" s="139">
        <v>0</v>
      </c>
      <c r="AO28" s="139">
        <v>0</v>
      </c>
      <c r="AP28" s="139">
        <v>0</v>
      </c>
      <c r="AQ28" s="139">
        <v>0</v>
      </c>
      <c r="AR28" s="140">
        <v>0</v>
      </c>
    </row>
    <row r="29" spans="2:44" ht="12" customHeight="1" x14ac:dyDescent="0.25">
      <c r="B29" s="138" t="s">
        <v>39</v>
      </c>
      <c r="C29" s="139" t="s">
        <v>40</v>
      </c>
      <c r="D29" s="139" t="s">
        <v>25</v>
      </c>
      <c r="E29" s="139" t="s">
        <v>25</v>
      </c>
      <c r="F29" s="139" t="s">
        <v>25</v>
      </c>
      <c r="G29" s="139" t="s">
        <v>35</v>
      </c>
      <c r="H29" s="139" t="s">
        <v>117</v>
      </c>
      <c r="I29" s="139" t="s">
        <v>25</v>
      </c>
      <c r="J29" s="139">
        <v>101.24</v>
      </c>
      <c r="K29" s="139">
        <v>313.23</v>
      </c>
      <c r="L29" s="139">
        <v>1.4459138572841299</v>
      </c>
      <c r="M29" s="139">
        <v>0.11319300475496299</v>
      </c>
      <c r="N29" s="139">
        <v>0.31731915871838101</v>
      </c>
      <c r="O29" s="139">
        <v>-5.0328095537283003E-3</v>
      </c>
      <c r="P29" s="139">
        <v>0</v>
      </c>
      <c r="Q29" s="139">
        <v>66.304323923291307</v>
      </c>
      <c r="R29" s="139">
        <v>18.096353551138002</v>
      </c>
      <c r="S29" s="139">
        <v>0</v>
      </c>
      <c r="T29" s="139">
        <v>0</v>
      </c>
      <c r="U29" s="139">
        <v>0</v>
      </c>
      <c r="V29" s="139">
        <v>0</v>
      </c>
      <c r="W29" s="139">
        <v>0</v>
      </c>
      <c r="X29" s="139">
        <v>0</v>
      </c>
      <c r="Y29" s="139">
        <v>0</v>
      </c>
      <c r="Z29" s="139">
        <v>0</v>
      </c>
      <c r="AA29" s="139">
        <v>0</v>
      </c>
      <c r="AB29" s="139">
        <v>0</v>
      </c>
      <c r="AC29" s="139">
        <v>0</v>
      </c>
      <c r="AD29" s="139">
        <v>12.5714917403216</v>
      </c>
      <c r="AE29" s="139">
        <v>2.7913786850906099E-2</v>
      </c>
      <c r="AF29" s="139">
        <v>0.31862562193138699</v>
      </c>
      <c r="AG29" s="139">
        <v>2.0524575634956599</v>
      </c>
      <c r="AH29" s="139">
        <v>16.665288104243999</v>
      </c>
      <c r="AI29" s="139">
        <v>-17.446033945604601</v>
      </c>
      <c r="AJ29" s="139">
        <v>3.2107886365799301</v>
      </c>
      <c r="AK29" s="139">
        <v>24.135975487292399</v>
      </c>
      <c r="AL29" s="139">
        <v>0</v>
      </c>
      <c r="AM29" s="139">
        <v>273.36230672620002</v>
      </c>
      <c r="AN29" s="139">
        <v>7.0894682219589402</v>
      </c>
      <c r="AO29" s="139">
        <v>4.8418157253049898</v>
      </c>
      <c r="AP29" s="139">
        <v>0</v>
      </c>
      <c r="AQ29" s="139">
        <v>0</v>
      </c>
      <c r="AR29" s="140">
        <v>1.36946351331241</v>
      </c>
    </row>
    <row r="30" spans="2:44" ht="12" customHeight="1" x14ac:dyDescent="0.25">
      <c r="B30" s="138" t="s">
        <v>39</v>
      </c>
      <c r="C30" s="139" t="s">
        <v>40</v>
      </c>
      <c r="D30" s="139" t="s">
        <v>25</v>
      </c>
      <c r="E30" s="139" t="s">
        <v>25</v>
      </c>
      <c r="F30" s="139" t="s">
        <v>25</v>
      </c>
      <c r="G30" s="139" t="s">
        <v>35</v>
      </c>
      <c r="H30" s="139" t="s">
        <v>120</v>
      </c>
      <c r="I30" s="139" t="s">
        <v>25</v>
      </c>
      <c r="J30" s="139">
        <v>11.68</v>
      </c>
      <c r="K30" s="139">
        <v>0</v>
      </c>
      <c r="L30" s="139">
        <v>0</v>
      </c>
      <c r="M30" s="139">
        <v>0</v>
      </c>
      <c r="N30" s="139">
        <v>0</v>
      </c>
      <c r="O30" s="139">
        <v>0</v>
      </c>
      <c r="P30" s="139">
        <v>0</v>
      </c>
      <c r="Q30" s="139">
        <v>0</v>
      </c>
      <c r="R30" s="139">
        <v>0</v>
      </c>
      <c r="S30" s="139">
        <v>0</v>
      </c>
      <c r="T30" s="139">
        <v>3.0813154838615602</v>
      </c>
      <c r="U30" s="139">
        <v>3.5337214549423603E-2</v>
      </c>
      <c r="V30" s="139">
        <v>0</v>
      </c>
      <c r="W30" s="139">
        <v>0</v>
      </c>
      <c r="X30" s="139">
        <v>7.2103924879371002</v>
      </c>
      <c r="Y30" s="139">
        <v>0</v>
      </c>
      <c r="Z30" s="139">
        <v>0</v>
      </c>
      <c r="AA30" s="139">
        <v>1.35026811138567</v>
      </c>
      <c r="AB30" s="139">
        <v>0</v>
      </c>
      <c r="AC30" s="139">
        <v>0</v>
      </c>
      <c r="AD30" s="139">
        <v>0</v>
      </c>
      <c r="AE30" s="139">
        <v>0</v>
      </c>
      <c r="AF30" s="139">
        <v>0</v>
      </c>
      <c r="AG30" s="139">
        <v>0</v>
      </c>
      <c r="AH30" s="139">
        <v>0</v>
      </c>
      <c r="AI30" s="139">
        <v>0</v>
      </c>
      <c r="AJ30" s="139">
        <v>0</v>
      </c>
      <c r="AK30" s="139">
        <v>0</v>
      </c>
      <c r="AL30" s="139">
        <v>0</v>
      </c>
      <c r="AM30" s="139">
        <v>0</v>
      </c>
      <c r="AN30" s="139">
        <v>0</v>
      </c>
      <c r="AO30" s="139">
        <v>0</v>
      </c>
      <c r="AP30" s="139">
        <v>0</v>
      </c>
      <c r="AQ30" s="139">
        <v>0</v>
      </c>
      <c r="AR30" s="140">
        <v>0</v>
      </c>
    </row>
    <row r="31" spans="2:44" ht="12" customHeight="1" x14ac:dyDescent="0.25">
      <c r="B31" s="138" t="s">
        <v>39</v>
      </c>
      <c r="C31" s="139" t="s">
        <v>64</v>
      </c>
      <c r="D31" s="139" t="s">
        <v>25</v>
      </c>
      <c r="E31" s="139" t="s">
        <v>25</v>
      </c>
      <c r="F31" s="139" t="s">
        <v>25</v>
      </c>
      <c r="G31" s="139" t="s">
        <v>25</v>
      </c>
      <c r="H31" s="139" t="s">
        <v>120</v>
      </c>
      <c r="I31" s="139" t="s">
        <v>25</v>
      </c>
      <c r="J31" s="139">
        <v>21.03</v>
      </c>
      <c r="K31" s="139">
        <v>0</v>
      </c>
      <c r="L31" s="139">
        <v>0</v>
      </c>
      <c r="M31" s="139">
        <v>3.8738374446952897E-2</v>
      </c>
      <c r="N31" s="139">
        <v>0.11401601037129799</v>
      </c>
      <c r="O31" s="139">
        <v>8.7835537972142004E-3</v>
      </c>
      <c r="P31" s="139">
        <v>0</v>
      </c>
      <c r="Q31" s="139">
        <v>0</v>
      </c>
      <c r="R31" s="139">
        <v>0</v>
      </c>
      <c r="S31" s="139">
        <v>0</v>
      </c>
      <c r="T31" s="139">
        <v>0</v>
      </c>
      <c r="U31" s="139">
        <v>0</v>
      </c>
      <c r="V31" s="139">
        <v>0</v>
      </c>
      <c r="W31" s="139">
        <v>0</v>
      </c>
      <c r="X31" s="139">
        <v>13.4075257350421</v>
      </c>
      <c r="Y31" s="139">
        <v>0</v>
      </c>
      <c r="Z31" s="139">
        <v>0</v>
      </c>
      <c r="AA31" s="139">
        <v>6.6121408796832997</v>
      </c>
      <c r="AB31" s="139">
        <v>0</v>
      </c>
      <c r="AC31" s="139">
        <v>0</v>
      </c>
      <c r="AD31" s="139">
        <v>0.69199776223071896</v>
      </c>
      <c r="AE31" s="139">
        <v>0.16120440986664</v>
      </c>
      <c r="AF31" s="139">
        <v>0</v>
      </c>
      <c r="AG31" s="139">
        <v>0</v>
      </c>
      <c r="AH31" s="139">
        <v>0</v>
      </c>
      <c r="AI31" s="139">
        <v>0</v>
      </c>
      <c r="AJ31" s="139">
        <v>0</v>
      </c>
      <c r="AK31" s="139">
        <v>0</v>
      </c>
      <c r="AL31" s="139">
        <v>0</v>
      </c>
      <c r="AM31" s="139">
        <v>0</v>
      </c>
      <c r="AN31" s="139">
        <v>0</v>
      </c>
      <c r="AO31" s="139">
        <v>0</v>
      </c>
      <c r="AP31" s="139">
        <v>0</v>
      </c>
      <c r="AQ31" s="139">
        <v>0</v>
      </c>
      <c r="AR31" s="140">
        <v>0</v>
      </c>
    </row>
    <row r="32" spans="2:44" ht="12" customHeight="1" x14ac:dyDescent="0.25">
      <c r="B32" s="138" t="s">
        <v>41</v>
      </c>
      <c r="C32" s="139" t="s">
        <v>40</v>
      </c>
      <c r="D32" s="139" t="s">
        <v>25</v>
      </c>
      <c r="E32" s="139" t="s">
        <v>25</v>
      </c>
      <c r="F32" s="139" t="s">
        <v>61</v>
      </c>
      <c r="G32" s="139" t="s">
        <v>34</v>
      </c>
      <c r="H32" s="139" t="s">
        <v>117</v>
      </c>
      <c r="I32" s="139" t="s">
        <v>25</v>
      </c>
      <c r="J32" s="139">
        <v>27.54</v>
      </c>
      <c r="K32" s="139">
        <v>0</v>
      </c>
      <c r="L32" s="139">
        <v>0</v>
      </c>
      <c r="M32" s="139">
        <v>0.77645739067888297</v>
      </c>
      <c r="N32" s="139">
        <v>0.510642689915217</v>
      </c>
      <c r="O32" s="139">
        <v>-5.0328095537283003E-3</v>
      </c>
      <c r="P32" s="139">
        <v>0</v>
      </c>
      <c r="Q32" s="139">
        <v>0</v>
      </c>
      <c r="R32" s="139">
        <v>0</v>
      </c>
      <c r="S32" s="139">
        <v>0</v>
      </c>
      <c r="T32" s="139">
        <v>0</v>
      </c>
      <c r="U32" s="139">
        <v>0</v>
      </c>
      <c r="V32" s="139">
        <v>0</v>
      </c>
      <c r="W32" s="139">
        <v>0</v>
      </c>
      <c r="X32" s="139">
        <v>0</v>
      </c>
      <c r="Y32" s="139">
        <v>0</v>
      </c>
      <c r="Z32" s="139">
        <v>0</v>
      </c>
      <c r="AA32" s="139">
        <v>0</v>
      </c>
      <c r="AB32" s="139">
        <v>0</v>
      </c>
      <c r="AC32" s="139">
        <v>0</v>
      </c>
      <c r="AD32" s="139">
        <v>20.786036123149302</v>
      </c>
      <c r="AE32" s="139">
        <v>4.6153391642126701E-2</v>
      </c>
      <c r="AF32" s="139">
        <v>0.72873354259930501</v>
      </c>
      <c r="AG32" s="139">
        <v>4.6942071457235501</v>
      </c>
      <c r="AH32" s="139">
        <v>0</v>
      </c>
      <c r="AI32" s="139">
        <v>0</v>
      </c>
      <c r="AJ32" s="139">
        <v>0</v>
      </c>
      <c r="AK32" s="139">
        <v>0</v>
      </c>
      <c r="AL32" s="139">
        <v>0</v>
      </c>
      <c r="AM32" s="139">
        <v>0</v>
      </c>
      <c r="AN32" s="139">
        <v>0</v>
      </c>
      <c r="AO32" s="139">
        <v>0</v>
      </c>
      <c r="AP32" s="139">
        <v>0</v>
      </c>
      <c r="AQ32" s="139">
        <v>0</v>
      </c>
      <c r="AR32" s="140">
        <v>0</v>
      </c>
    </row>
    <row r="33" spans="2:44" ht="12" customHeight="1" x14ac:dyDescent="0.25">
      <c r="B33" s="138" t="s">
        <v>41</v>
      </c>
      <c r="C33" s="139" t="s">
        <v>40</v>
      </c>
      <c r="D33" s="139" t="s">
        <v>25</v>
      </c>
      <c r="E33" s="139" t="s">
        <v>25</v>
      </c>
      <c r="F33" s="139" t="s">
        <v>61</v>
      </c>
      <c r="G33" s="139" t="s">
        <v>34</v>
      </c>
      <c r="H33" s="139" t="s">
        <v>120</v>
      </c>
      <c r="I33" s="139" t="s">
        <v>25</v>
      </c>
      <c r="J33" s="139">
        <v>75.41</v>
      </c>
      <c r="K33" s="139">
        <v>0</v>
      </c>
      <c r="L33" s="139">
        <v>0</v>
      </c>
      <c r="M33" s="139">
        <v>0</v>
      </c>
      <c r="N33" s="139">
        <v>0</v>
      </c>
      <c r="O33" s="139">
        <v>0</v>
      </c>
      <c r="P33" s="139">
        <v>0</v>
      </c>
      <c r="Q33" s="139">
        <v>0</v>
      </c>
      <c r="R33" s="139">
        <v>0</v>
      </c>
      <c r="S33" s="139">
        <v>0</v>
      </c>
      <c r="T33" s="139">
        <v>3.4489889671006302</v>
      </c>
      <c r="U33" s="139">
        <v>3.8915666655694299E-2</v>
      </c>
      <c r="V33" s="139">
        <v>0</v>
      </c>
      <c r="W33" s="139">
        <v>0</v>
      </c>
      <c r="X33" s="139">
        <v>11.744592827119201</v>
      </c>
      <c r="Y33" s="139">
        <v>0</v>
      </c>
      <c r="Z33" s="139">
        <v>0</v>
      </c>
      <c r="AA33" s="139">
        <v>60.175325484704899</v>
      </c>
      <c r="AB33" s="139">
        <v>0</v>
      </c>
      <c r="AC33" s="139">
        <v>0</v>
      </c>
      <c r="AD33" s="139">
        <v>0</v>
      </c>
      <c r="AE33" s="139">
        <v>0</v>
      </c>
      <c r="AF33" s="139">
        <v>0</v>
      </c>
      <c r="AG33" s="139">
        <v>0</v>
      </c>
      <c r="AH33" s="139">
        <v>0</v>
      </c>
      <c r="AI33" s="139">
        <v>0</v>
      </c>
      <c r="AJ33" s="139">
        <v>0</v>
      </c>
      <c r="AK33" s="139">
        <v>0</v>
      </c>
      <c r="AL33" s="139">
        <v>0</v>
      </c>
      <c r="AM33" s="139">
        <v>0</v>
      </c>
      <c r="AN33" s="139">
        <v>0</v>
      </c>
      <c r="AO33" s="139">
        <v>0</v>
      </c>
      <c r="AP33" s="139">
        <v>0</v>
      </c>
      <c r="AQ33" s="139">
        <v>0</v>
      </c>
      <c r="AR33" s="140">
        <v>0</v>
      </c>
    </row>
    <row r="34" spans="2:44" ht="12" customHeight="1" x14ac:dyDescent="0.25">
      <c r="B34" s="138" t="s">
        <v>41</v>
      </c>
      <c r="C34" s="139" t="s">
        <v>40</v>
      </c>
      <c r="D34" s="139" t="s">
        <v>25</v>
      </c>
      <c r="E34" s="139" t="s">
        <v>25</v>
      </c>
      <c r="F34" s="139" t="s">
        <v>61</v>
      </c>
      <c r="G34" s="139" t="s">
        <v>35</v>
      </c>
      <c r="H34" s="139" t="s">
        <v>117</v>
      </c>
      <c r="I34" s="139" t="s">
        <v>25</v>
      </c>
      <c r="J34" s="139">
        <v>27.54</v>
      </c>
      <c r="K34" s="139">
        <v>0</v>
      </c>
      <c r="L34" s="139">
        <v>0</v>
      </c>
      <c r="M34" s="139">
        <v>0.77645739067888297</v>
      </c>
      <c r="N34" s="139">
        <v>0.510642689915217</v>
      </c>
      <c r="O34" s="139">
        <v>-5.0328095537283003E-3</v>
      </c>
      <c r="P34" s="139">
        <v>0</v>
      </c>
      <c r="Q34" s="139">
        <v>0</v>
      </c>
      <c r="R34" s="139">
        <v>0</v>
      </c>
      <c r="S34" s="139">
        <v>0</v>
      </c>
      <c r="T34" s="139">
        <v>0</v>
      </c>
      <c r="U34" s="139">
        <v>0</v>
      </c>
      <c r="V34" s="139">
        <v>0</v>
      </c>
      <c r="W34" s="139">
        <v>0</v>
      </c>
      <c r="X34" s="139">
        <v>0</v>
      </c>
      <c r="Y34" s="139">
        <v>0</v>
      </c>
      <c r="Z34" s="139">
        <v>0</v>
      </c>
      <c r="AA34" s="139">
        <v>0</v>
      </c>
      <c r="AB34" s="139">
        <v>0</v>
      </c>
      <c r="AC34" s="139">
        <v>0</v>
      </c>
      <c r="AD34" s="139">
        <v>20.786036123149302</v>
      </c>
      <c r="AE34" s="139">
        <v>4.6153391642126701E-2</v>
      </c>
      <c r="AF34" s="139">
        <v>0.72873354259930501</v>
      </c>
      <c r="AG34" s="139">
        <v>4.6942071457235501</v>
      </c>
      <c r="AH34" s="139">
        <v>0</v>
      </c>
      <c r="AI34" s="139">
        <v>0</v>
      </c>
      <c r="AJ34" s="139">
        <v>0</v>
      </c>
      <c r="AK34" s="139">
        <v>0</v>
      </c>
      <c r="AL34" s="139">
        <v>0</v>
      </c>
      <c r="AM34" s="139">
        <v>0</v>
      </c>
      <c r="AN34" s="139">
        <v>0</v>
      </c>
      <c r="AO34" s="139">
        <v>0</v>
      </c>
      <c r="AP34" s="139">
        <v>0</v>
      </c>
      <c r="AQ34" s="139">
        <v>0</v>
      </c>
      <c r="AR34" s="140">
        <v>0</v>
      </c>
    </row>
    <row r="35" spans="2:44" ht="12" customHeight="1" x14ac:dyDescent="0.25">
      <c r="B35" s="138" t="s">
        <v>41</v>
      </c>
      <c r="C35" s="139" t="s">
        <v>40</v>
      </c>
      <c r="D35" s="139" t="s">
        <v>25</v>
      </c>
      <c r="E35" s="139" t="s">
        <v>25</v>
      </c>
      <c r="F35" s="139" t="s">
        <v>61</v>
      </c>
      <c r="G35" s="139" t="s">
        <v>35</v>
      </c>
      <c r="H35" s="139" t="s">
        <v>120</v>
      </c>
      <c r="I35" s="139" t="s">
        <v>25</v>
      </c>
      <c r="J35" s="139">
        <v>29.8</v>
      </c>
      <c r="K35" s="139">
        <v>0</v>
      </c>
      <c r="L35" s="139">
        <v>0</v>
      </c>
      <c r="M35" s="139">
        <v>0</v>
      </c>
      <c r="N35" s="139">
        <v>0</v>
      </c>
      <c r="O35" s="139">
        <v>0</v>
      </c>
      <c r="P35" s="139">
        <v>0</v>
      </c>
      <c r="Q35" s="139">
        <v>0</v>
      </c>
      <c r="R35" s="139">
        <v>0</v>
      </c>
      <c r="S35" s="139">
        <v>0</v>
      </c>
      <c r="T35" s="139">
        <v>2.9137047627772401</v>
      </c>
      <c r="U35" s="139">
        <v>3.3415829753727103E-2</v>
      </c>
      <c r="V35" s="139">
        <v>0</v>
      </c>
      <c r="W35" s="139">
        <v>0</v>
      </c>
      <c r="X35" s="139">
        <v>6.8866548455821297</v>
      </c>
      <c r="Y35" s="139">
        <v>0</v>
      </c>
      <c r="Z35" s="139">
        <v>0</v>
      </c>
      <c r="AA35" s="139">
        <v>19.969491359764302</v>
      </c>
      <c r="AB35" s="139">
        <v>0</v>
      </c>
      <c r="AC35" s="139">
        <v>0</v>
      </c>
      <c r="AD35" s="139">
        <v>0</v>
      </c>
      <c r="AE35" s="139">
        <v>0</v>
      </c>
      <c r="AF35" s="139">
        <v>0</v>
      </c>
      <c r="AG35" s="139">
        <v>0</v>
      </c>
      <c r="AH35" s="139">
        <v>0</v>
      </c>
      <c r="AI35" s="139">
        <v>0</v>
      </c>
      <c r="AJ35" s="139">
        <v>0</v>
      </c>
      <c r="AK35" s="139">
        <v>0</v>
      </c>
      <c r="AL35" s="139">
        <v>0</v>
      </c>
      <c r="AM35" s="139">
        <v>0</v>
      </c>
      <c r="AN35" s="139">
        <v>0</v>
      </c>
      <c r="AO35" s="139">
        <v>0</v>
      </c>
      <c r="AP35" s="139">
        <v>0</v>
      </c>
      <c r="AQ35" s="139">
        <v>0</v>
      </c>
      <c r="AR35" s="140">
        <v>0</v>
      </c>
    </row>
    <row r="36" spans="2:44" ht="12" customHeight="1" x14ac:dyDescent="0.25">
      <c r="B36" s="138" t="s">
        <v>41</v>
      </c>
      <c r="C36" s="139" t="s">
        <v>40</v>
      </c>
      <c r="D36" s="139" t="s">
        <v>25</v>
      </c>
      <c r="E36" s="139" t="s">
        <v>25</v>
      </c>
      <c r="F36" s="139" t="s">
        <v>25</v>
      </c>
      <c r="G36" s="139" t="s">
        <v>34</v>
      </c>
      <c r="H36" s="139" t="s">
        <v>117</v>
      </c>
      <c r="I36" s="139" t="s">
        <v>25</v>
      </c>
      <c r="J36" s="139">
        <v>137.44</v>
      </c>
      <c r="K36" s="139">
        <v>510.05</v>
      </c>
      <c r="L36" s="139">
        <v>1.9589800647075299</v>
      </c>
      <c r="M36" s="139">
        <v>0.77645739067888297</v>
      </c>
      <c r="N36" s="139">
        <v>0.52230124230932296</v>
      </c>
      <c r="O36" s="139">
        <v>-5.0328095537283003E-3</v>
      </c>
      <c r="P36" s="139">
        <v>0</v>
      </c>
      <c r="Q36" s="139">
        <v>89.831664670265695</v>
      </c>
      <c r="R36" s="139">
        <v>18.096353551138002</v>
      </c>
      <c r="S36" s="139">
        <v>0</v>
      </c>
      <c r="T36" s="139">
        <v>0</v>
      </c>
      <c r="U36" s="139">
        <v>0</v>
      </c>
      <c r="V36" s="139">
        <v>0</v>
      </c>
      <c r="W36" s="139">
        <v>0</v>
      </c>
      <c r="X36" s="139">
        <v>0</v>
      </c>
      <c r="Y36" s="139">
        <v>0</v>
      </c>
      <c r="Z36" s="139">
        <v>0</v>
      </c>
      <c r="AA36" s="139">
        <v>0</v>
      </c>
      <c r="AB36" s="139">
        <v>0</v>
      </c>
      <c r="AC36" s="139">
        <v>0</v>
      </c>
      <c r="AD36" s="139">
        <v>20.786036123149302</v>
      </c>
      <c r="AE36" s="139">
        <v>4.6153391642126701E-2</v>
      </c>
      <c r="AF36" s="139">
        <v>0.72873354259930501</v>
      </c>
      <c r="AG36" s="139">
        <v>4.6942071457235501</v>
      </c>
      <c r="AH36" s="139">
        <v>16.665288104243999</v>
      </c>
      <c r="AI36" s="139">
        <v>-17.446033945604601</v>
      </c>
      <c r="AJ36" s="139">
        <v>3.2107886365799301</v>
      </c>
      <c r="AK36" s="139">
        <v>24.135975487292399</v>
      </c>
      <c r="AL36" s="139">
        <v>0</v>
      </c>
      <c r="AM36" s="139">
        <v>470.18316756906302</v>
      </c>
      <c r="AN36" s="139">
        <v>7.0894682219589402</v>
      </c>
      <c r="AO36" s="139">
        <v>4.8418157253049898</v>
      </c>
      <c r="AP36" s="139">
        <v>0</v>
      </c>
      <c r="AQ36" s="139">
        <v>0</v>
      </c>
      <c r="AR36" s="140">
        <v>1.36946351331241</v>
      </c>
    </row>
    <row r="37" spans="2:44" ht="12" customHeight="1" x14ac:dyDescent="0.25">
      <c r="B37" s="138" t="s">
        <v>41</v>
      </c>
      <c r="C37" s="139" t="s">
        <v>40</v>
      </c>
      <c r="D37" s="139" t="s">
        <v>25</v>
      </c>
      <c r="E37" s="139" t="s">
        <v>25</v>
      </c>
      <c r="F37" s="139" t="s">
        <v>25</v>
      </c>
      <c r="G37" s="139" t="s">
        <v>34</v>
      </c>
      <c r="H37" s="139" t="s">
        <v>120</v>
      </c>
      <c r="I37" s="139" t="s">
        <v>25</v>
      </c>
      <c r="J37" s="139">
        <v>75.41</v>
      </c>
      <c r="K37" s="139">
        <v>0</v>
      </c>
      <c r="L37" s="139">
        <v>0</v>
      </c>
      <c r="M37" s="139">
        <v>0</v>
      </c>
      <c r="N37" s="139">
        <v>0</v>
      </c>
      <c r="O37" s="139">
        <v>0</v>
      </c>
      <c r="P37" s="139">
        <v>0</v>
      </c>
      <c r="Q37" s="139">
        <v>0</v>
      </c>
      <c r="R37" s="139">
        <v>0</v>
      </c>
      <c r="S37" s="139">
        <v>0</v>
      </c>
      <c r="T37" s="139">
        <v>3.4489889671006302</v>
      </c>
      <c r="U37" s="139">
        <v>3.8915666655694299E-2</v>
      </c>
      <c r="V37" s="139">
        <v>0</v>
      </c>
      <c r="W37" s="139">
        <v>0</v>
      </c>
      <c r="X37" s="139">
        <v>11.744592827119201</v>
      </c>
      <c r="Y37" s="139">
        <v>0</v>
      </c>
      <c r="Z37" s="139">
        <v>0</v>
      </c>
      <c r="AA37" s="139">
        <v>60.175325484704899</v>
      </c>
      <c r="AB37" s="139">
        <v>0</v>
      </c>
      <c r="AC37" s="139">
        <v>0</v>
      </c>
      <c r="AD37" s="139">
        <v>0</v>
      </c>
      <c r="AE37" s="139">
        <v>0</v>
      </c>
      <c r="AF37" s="139">
        <v>0</v>
      </c>
      <c r="AG37" s="139">
        <v>0</v>
      </c>
      <c r="AH37" s="139">
        <v>0</v>
      </c>
      <c r="AI37" s="139">
        <v>0</v>
      </c>
      <c r="AJ37" s="139">
        <v>0</v>
      </c>
      <c r="AK37" s="139">
        <v>0</v>
      </c>
      <c r="AL37" s="139">
        <v>0</v>
      </c>
      <c r="AM37" s="139">
        <v>0</v>
      </c>
      <c r="AN37" s="139">
        <v>0</v>
      </c>
      <c r="AO37" s="139">
        <v>0</v>
      </c>
      <c r="AP37" s="139">
        <v>0</v>
      </c>
      <c r="AQ37" s="139">
        <v>0</v>
      </c>
      <c r="AR37" s="140">
        <v>0</v>
      </c>
    </row>
    <row r="38" spans="2:44" ht="12" customHeight="1" x14ac:dyDescent="0.25">
      <c r="B38" s="138" t="s">
        <v>41</v>
      </c>
      <c r="C38" s="139" t="s">
        <v>40</v>
      </c>
      <c r="D38" s="139" t="s">
        <v>25</v>
      </c>
      <c r="E38" s="139" t="s">
        <v>25</v>
      </c>
      <c r="F38" s="139" t="s">
        <v>25</v>
      </c>
      <c r="G38" s="139" t="s">
        <v>35</v>
      </c>
      <c r="H38" s="139" t="s">
        <v>117</v>
      </c>
      <c r="I38" s="139" t="s">
        <v>25</v>
      </c>
      <c r="J38" s="139">
        <v>137.44</v>
      </c>
      <c r="K38" s="139">
        <v>313.23</v>
      </c>
      <c r="L38" s="139">
        <v>1.9589800647075299</v>
      </c>
      <c r="M38" s="139">
        <v>0.77645739067888297</v>
      </c>
      <c r="N38" s="139">
        <v>0.52230124230932296</v>
      </c>
      <c r="O38" s="139">
        <v>-5.0328095537283003E-3</v>
      </c>
      <c r="P38" s="139">
        <v>0</v>
      </c>
      <c r="Q38" s="139">
        <v>89.831664670265695</v>
      </c>
      <c r="R38" s="139">
        <v>18.096353551138002</v>
      </c>
      <c r="S38" s="139">
        <v>0</v>
      </c>
      <c r="T38" s="139">
        <v>0</v>
      </c>
      <c r="U38" s="139">
        <v>0</v>
      </c>
      <c r="V38" s="139">
        <v>0</v>
      </c>
      <c r="W38" s="139">
        <v>0</v>
      </c>
      <c r="X38" s="139">
        <v>0</v>
      </c>
      <c r="Y38" s="139">
        <v>0</v>
      </c>
      <c r="Z38" s="139">
        <v>0</v>
      </c>
      <c r="AA38" s="139">
        <v>0</v>
      </c>
      <c r="AB38" s="139">
        <v>0</v>
      </c>
      <c r="AC38" s="139">
        <v>0</v>
      </c>
      <c r="AD38" s="139">
        <v>20.786036123149302</v>
      </c>
      <c r="AE38" s="139">
        <v>4.6153391642126701E-2</v>
      </c>
      <c r="AF38" s="139">
        <v>0.72873354259930501</v>
      </c>
      <c r="AG38" s="139">
        <v>4.6942071457235501</v>
      </c>
      <c r="AH38" s="139">
        <v>16.665288104243999</v>
      </c>
      <c r="AI38" s="139">
        <v>-17.446033945604601</v>
      </c>
      <c r="AJ38" s="139">
        <v>3.2107886365799301</v>
      </c>
      <c r="AK38" s="139">
        <v>24.135975487292399</v>
      </c>
      <c r="AL38" s="139">
        <v>0</v>
      </c>
      <c r="AM38" s="139">
        <v>273.36230672620002</v>
      </c>
      <c r="AN38" s="139">
        <v>7.0894682219589402</v>
      </c>
      <c r="AO38" s="139">
        <v>4.8418157253049898</v>
      </c>
      <c r="AP38" s="139">
        <v>0</v>
      </c>
      <c r="AQ38" s="139">
        <v>0</v>
      </c>
      <c r="AR38" s="140">
        <v>1.36946351331241</v>
      </c>
    </row>
    <row r="39" spans="2:44" ht="12" customHeight="1" x14ac:dyDescent="0.25">
      <c r="B39" s="138" t="s">
        <v>41</v>
      </c>
      <c r="C39" s="139" t="s">
        <v>40</v>
      </c>
      <c r="D39" s="139" t="s">
        <v>25</v>
      </c>
      <c r="E39" s="139" t="s">
        <v>25</v>
      </c>
      <c r="F39" s="139" t="s">
        <v>25</v>
      </c>
      <c r="G39" s="139" t="s">
        <v>35</v>
      </c>
      <c r="H39" s="139" t="s">
        <v>120</v>
      </c>
      <c r="I39" s="139" t="s">
        <v>25</v>
      </c>
      <c r="J39" s="139">
        <v>29.8</v>
      </c>
      <c r="K39" s="139">
        <v>0</v>
      </c>
      <c r="L39" s="139">
        <v>0</v>
      </c>
      <c r="M39" s="139">
        <v>0</v>
      </c>
      <c r="N39" s="139">
        <v>0</v>
      </c>
      <c r="O39" s="139">
        <v>0</v>
      </c>
      <c r="P39" s="139">
        <v>0</v>
      </c>
      <c r="Q39" s="139">
        <v>0</v>
      </c>
      <c r="R39" s="139">
        <v>0</v>
      </c>
      <c r="S39" s="139">
        <v>0</v>
      </c>
      <c r="T39" s="139">
        <v>2.9137047627772401</v>
      </c>
      <c r="U39" s="139">
        <v>3.3415829753727103E-2</v>
      </c>
      <c r="V39" s="139">
        <v>0</v>
      </c>
      <c r="W39" s="139">
        <v>0</v>
      </c>
      <c r="X39" s="139">
        <v>6.8866548455821297</v>
      </c>
      <c r="Y39" s="139">
        <v>0</v>
      </c>
      <c r="Z39" s="139">
        <v>0</v>
      </c>
      <c r="AA39" s="139">
        <v>19.969491359764302</v>
      </c>
      <c r="AB39" s="139">
        <v>0</v>
      </c>
      <c r="AC39" s="139">
        <v>0</v>
      </c>
      <c r="AD39" s="139">
        <v>0</v>
      </c>
      <c r="AE39" s="139">
        <v>0</v>
      </c>
      <c r="AF39" s="139">
        <v>0</v>
      </c>
      <c r="AG39" s="139">
        <v>0</v>
      </c>
      <c r="AH39" s="139">
        <v>0</v>
      </c>
      <c r="AI39" s="139">
        <v>0</v>
      </c>
      <c r="AJ39" s="139">
        <v>0</v>
      </c>
      <c r="AK39" s="139">
        <v>0</v>
      </c>
      <c r="AL39" s="139">
        <v>0</v>
      </c>
      <c r="AM39" s="139">
        <v>0</v>
      </c>
      <c r="AN39" s="139">
        <v>0</v>
      </c>
      <c r="AO39" s="139">
        <v>0</v>
      </c>
      <c r="AP39" s="139">
        <v>0</v>
      </c>
      <c r="AQ39" s="139">
        <v>0</v>
      </c>
      <c r="AR39" s="140">
        <v>0</v>
      </c>
    </row>
    <row r="40" spans="2:44" ht="12" customHeight="1" x14ac:dyDescent="0.25">
      <c r="B40" s="138" t="s">
        <v>41</v>
      </c>
      <c r="C40" s="139" t="s">
        <v>81</v>
      </c>
      <c r="D40" s="139" t="s">
        <v>25</v>
      </c>
      <c r="E40" s="139" t="s">
        <v>25</v>
      </c>
      <c r="F40" s="139" t="s">
        <v>25</v>
      </c>
      <c r="G40" s="139" t="s">
        <v>34</v>
      </c>
      <c r="H40" s="139" t="s">
        <v>120</v>
      </c>
      <c r="I40" s="139" t="s">
        <v>82</v>
      </c>
      <c r="J40" s="139">
        <v>33</v>
      </c>
      <c r="K40" s="139">
        <v>0</v>
      </c>
      <c r="L40" s="139">
        <v>0</v>
      </c>
      <c r="M40" s="139">
        <v>0</v>
      </c>
      <c r="N40" s="139">
        <v>0</v>
      </c>
      <c r="O40" s="139">
        <v>0</v>
      </c>
      <c r="P40" s="139">
        <v>0</v>
      </c>
      <c r="Q40" s="139">
        <v>0</v>
      </c>
      <c r="R40" s="139">
        <v>0</v>
      </c>
      <c r="S40" s="139">
        <v>0</v>
      </c>
      <c r="T40" s="139">
        <v>3.4489889671006302</v>
      </c>
      <c r="U40" s="139">
        <v>3.8915666655694299E-2</v>
      </c>
      <c r="V40" s="139">
        <v>0</v>
      </c>
      <c r="W40" s="139">
        <v>0</v>
      </c>
      <c r="X40" s="139">
        <v>11.744592827119201</v>
      </c>
      <c r="Y40" s="139">
        <v>0</v>
      </c>
      <c r="Z40" s="139">
        <v>0</v>
      </c>
      <c r="AA40" s="139">
        <v>17.771747660023699</v>
      </c>
      <c r="AB40" s="139">
        <v>0</v>
      </c>
      <c r="AC40" s="139">
        <v>0</v>
      </c>
      <c r="AD40" s="139">
        <v>0</v>
      </c>
      <c r="AE40" s="139">
        <v>0</v>
      </c>
      <c r="AF40" s="139">
        <v>0</v>
      </c>
      <c r="AG40" s="139">
        <v>0</v>
      </c>
      <c r="AH40" s="139">
        <v>0</v>
      </c>
      <c r="AI40" s="139">
        <v>0</v>
      </c>
      <c r="AJ40" s="139">
        <v>0</v>
      </c>
      <c r="AK40" s="139">
        <v>0</v>
      </c>
      <c r="AL40" s="139">
        <v>0</v>
      </c>
      <c r="AM40" s="139">
        <v>0</v>
      </c>
      <c r="AN40" s="139">
        <v>0</v>
      </c>
      <c r="AO40" s="139">
        <v>0</v>
      </c>
      <c r="AP40" s="139">
        <v>0</v>
      </c>
      <c r="AQ40" s="139">
        <v>0</v>
      </c>
      <c r="AR40" s="140">
        <v>0</v>
      </c>
    </row>
    <row r="41" spans="2:44" ht="12" customHeight="1" x14ac:dyDescent="0.25">
      <c r="B41" s="138" t="s">
        <v>41</v>
      </c>
      <c r="C41" s="139" t="s">
        <v>81</v>
      </c>
      <c r="D41" s="139" t="s">
        <v>25</v>
      </c>
      <c r="E41" s="139" t="s">
        <v>25</v>
      </c>
      <c r="F41" s="139" t="s">
        <v>25</v>
      </c>
      <c r="G41" s="139" t="s">
        <v>25</v>
      </c>
      <c r="H41" s="139" t="s">
        <v>117</v>
      </c>
      <c r="I41" s="139" t="s">
        <v>82</v>
      </c>
      <c r="J41" s="139">
        <v>20.83</v>
      </c>
      <c r="K41" s="139">
        <v>0</v>
      </c>
      <c r="L41" s="139">
        <v>0</v>
      </c>
      <c r="M41" s="139">
        <v>0</v>
      </c>
      <c r="N41" s="139">
        <v>0</v>
      </c>
      <c r="O41" s="139">
        <v>0</v>
      </c>
      <c r="P41" s="139">
        <v>0</v>
      </c>
      <c r="Q41" s="139">
        <v>0</v>
      </c>
      <c r="R41" s="139">
        <v>0</v>
      </c>
      <c r="S41" s="139">
        <v>0</v>
      </c>
      <c r="T41" s="139">
        <v>0</v>
      </c>
      <c r="U41" s="139">
        <v>0</v>
      </c>
      <c r="V41" s="139">
        <v>0</v>
      </c>
      <c r="W41" s="139">
        <v>0</v>
      </c>
      <c r="X41" s="139">
        <v>0</v>
      </c>
      <c r="Y41" s="139">
        <v>0</v>
      </c>
      <c r="Z41" s="139">
        <v>0</v>
      </c>
      <c r="AA41" s="139">
        <v>0</v>
      </c>
      <c r="AB41" s="139">
        <v>0</v>
      </c>
      <c r="AC41" s="139">
        <v>0</v>
      </c>
      <c r="AD41" s="139">
        <v>20.786036123149302</v>
      </c>
      <c r="AE41" s="139">
        <v>4.6153391642126701E-2</v>
      </c>
      <c r="AF41" s="139">
        <v>0</v>
      </c>
      <c r="AG41" s="139">
        <v>0</v>
      </c>
      <c r="AH41" s="139">
        <v>0</v>
      </c>
      <c r="AI41" s="139">
        <v>0</v>
      </c>
      <c r="AJ41" s="139">
        <v>0</v>
      </c>
      <c r="AK41" s="139">
        <v>0</v>
      </c>
      <c r="AL41" s="139">
        <v>0</v>
      </c>
      <c r="AM41" s="139">
        <v>0</v>
      </c>
      <c r="AN41" s="139">
        <v>0</v>
      </c>
      <c r="AO41" s="139">
        <v>0</v>
      </c>
      <c r="AP41" s="139">
        <v>0</v>
      </c>
      <c r="AQ41" s="139">
        <v>0</v>
      </c>
      <c r="AR41" s="140">
        <v>0</v>
      </c>
    </row>
    <row r="42" spans="2:44" ht="12" customHeight="1" x14ac:dyDescent="0.25">
      <c r="B42" s="138" t="s">
        <v>41</v>
      </c>
      <c r="C42" s="139" t="s">
        <v>81</v>
      </c>
      <c r="D42" s="139" t="s">
        <v>25</v>
      </c>
      <c r="E42" s="139" t="s">
        <v>25</v>
      </c>
      <c r="F42" s="139" t="s">
        <v>25</v>
      </c>
      <c r="G42" s="139" t="s">
        <v>35</v>
      </c>
      <c r="H42" s="139" t="s">
        <v>120</v>
      </c>
      <c r="I42" s="139" t="s">
        <v>82</v>
      </c>
      <c r="J42" s="139">
        <v>15.73</v>
      </c>
      <c r="K42" s="139">
        <v>0</v>
      </c>
      <c r="L42" s="139">
        <v>0</v>
      </c>
      <c r="M42" s="139">
        <v>0</v>
      </c>
      <c r="N42" s="139">
        <v>0</v>
      </c>
      <c r="O42" s="139">
        <v>0</v>
      </c>
      <c r="P42" s="139">
        <v>0</v>
      </c>
      <c r="Q42" s="139">
        <v>0</v>
      </c>
      <c r="R42" s="139">
        <v>0</v>
      </c>
      <c r="S42" s="139">
        <v>0</v>
      </c>
      <c r="T42" s="139">
        <v>2.9137047627772401</v>
      </c>
      <c r="U42" s="139">
        <v>3.3415829753727103E-2</v>
      </c>
      <c r="V42" s="139">
        <v>0</v>
      </c>
      <c r="W42" s="139">
        <v>0</v>
      </c>
      <c r="X42" s="139">
        <v>6.8866548455821297</v>
      </c>
      <c r="Y42" s="139">
        <v>0</v>
      </c>
      <c r="Z42" s="139">
        <v>0</v>
      </c>
      <c r="AA42" s="139">
        <v>5.8976384357805101</v>
      </c>
      <c r="AB42" s="139">
        <v>0</v>
      </c>
      <c r="AC42" s="139">
        <v>0</v>
      </c>
      <c r="AD42" s="139">
        <v>0</v>
      </c>
      <c r="AE42" s="139">
        <v>0</v>
      </c>
      <c r="AF42" s="139">
        <v>0</v>
      </c>
      <c r="AG42" s="139">
        <v>0</v>
      </c>
      <c r="AH42" s="139">
        <v>0</v>
      </c>
      <c r="AI42" s="139">
        <v>0</v>
      </c>
      <c r="AJ42" s="139">
        <v>0</v>
      </c>
      <c r="AK42" s="139">
        <v>0</v>
      </c>
      <c r="AL42" s="139">
        <v>0</v>
      </c>
      <c r="AM42" s="139">
        <v>0</v>
      </c>
      <c r="AN42" s="139">
        <v>0</v>
      </c>
      <c r="AO42" s="139">
        <v>0</v>
      </c>
      <c r="AP42" s="139">
        <v>0</v>
      </c>
      <c r="AQ42" s="139">
        <v>0</v>
      </c>
      <c r="AR42" s="140">
        <v>0</v>
      </c>
    </row>
    <row r="43" spans="2:44" ht="12" customHeight="1" x14ac:dyDescent="0.25">
      <c r="B43" s="138" t="s">
        <v>41</v>
      </c>
      <c r="C43" s="139" t="s">
        <v>64</v>
      </c>
      <c r="D43" s="139" t="s">
        <v>25</v>
      </c>
      <c r="E43" s="139" t="s">
        <v>25</v>
      </c>
      <c r="F43" s="139" t="s">
        <v>25</v>
      </c>
      <c r="G43" s="139" t="s">
        <v>25</v>
      </c>
      <c r="H43" s="139" t="s">
        <v>120</v>
      </c>
      <c r="I43" s="139" t="s">
        <v>25</v>
      </c>
      <c r="J43" s="139">
        <v>17.14</v>
      </c>
      <c r="K43" s="139">
        <v>0</v>
      </c>
      <c r="L43" s="139">
        <v>0</v>
      </c>
      <c r="M43" s="139">
        <v>5.1174736025678097E-2</v>
      </c>
      <c r="N43" s="139">
        <v>0.17802609505800299</v>
      </c>
      <c r="O43" s="139">
        <v>0</v>
      </c>
      <c r="P43" s="139">
        <v>0</v>
      </c>
      <c r="Q43" s="139">
        <v>0</v>
      </c>
      <c r="R43" s="139">
        <v>0</v>
      </c>
      <c r="S43" s="139">
        <v>0</v>
      </c>
      <c r="T43" s="139">
        <v>0</v>
      </c>
      <c r="U43" s="139">
        <v>0</v>
      </c>
      <c r="V43" s="139">
        <v>0</v>
      </c>
      <c r="W43" s="139">
        <v>0</v>
      </c>
      <c r="X43" s="139">
        <v>0</v>
      </c>
      <c r="Y43" s="139">
        <v>0</v>
      </c>
      <c r="Z43" s="139">
        <v>0</v>
      </c>
      <c r="AA43" s="139">
        <v>16.9051477209476</v>
      </c>
      <c r="AB43" s="139">
        <v>0</v>
      </c>
      <c r="AC43" s="139">
        <v>0</v>
      </c>
      <c r="AD43" s="139">
        <v>4.5255230926968398E-3</v>
      </c>
      <c r="AE43" s="139">
        <v>0</v>
      </c>
      <c r="AF43" s="139">
        <v>0</v>
      </c>
      <c r="AG43" s="139">
        <v>0</v>
      </c>
      <c r="AH43" s="139">
        <v>0</v>
      </c>
      <c r="AI43" s="139">
        <v>0</v>
      </c>
      <c r="AJ43" s="139">
        <v>0</v>
      </c>
      <c r="AK43" s="139">
        <v>0</v>
      </c>
      <c r="AL43" s="139">
        <v>0</v>
      </c>
      <c r="AM43" s="139">
        <v>0</v>
      </c>
      <c r="AN43" s="139">
        <v>0</v>
      </c>
      <c r="AO43" s="139">
        <v>0</v>
      </c>
      <c r="AP43" s="139">
        <v>0</v>
      </c>
      <c r="AQ43" s="139">
        <v>0</v>
      </c>
      <c r="AR43" s="140">
        <v>0</v>
      </c>
    </row>
    <row r="44" spans="2:44" ht="12" customHeight="1" x14ac:dyDescent="0.25">
      <c r="B44" s="138" t="s">
        <v>41</v>
      </c>
      <c r="C44" s="139" t="s">
        <v>42</v>
      </c>
      <c r="D44" s="139" t="s">
        <v>25</v>
      </c>
      <c r="E44" s="139" t="s">
        <v>25</v>
      </c>
      <c r="F44" s="139" t="s">
        <v>61</v>
      </c>
      <c r="G44" s="139" t="s">
        <v>34</v>
      </c>
      <c r="H44" s="139" t="s">
        <v>117</v>
      </c>
      <c r="I44" s="139" t="s">
        <v>25</v>
      </c>
      <c r="J44" s="139">
        <v>1860.02</v>
      </c>
      <c r="K44" s="139">
        <v>0</v>
      </c>
      <c r="L44" s="139">
        <v>0</v>
      </c>
      <c r="M44" s="139">
        <v>0.77645739067888297</v>
      </c>
      <c r="N44" s="139">
        <v>19.436622504346801</v>
      </c>
      <c r="O44" s="139">
        <v>-5.0328095537283003E-3</v>
      </c>
      <c r="P44" s="139">
        <v>0</v>
      </c>
      <c r="Q44" s="139">
        <v>0</v>
      </c>
      <c r="R44" s="139">
        <v>0</v>
      </c>
      <c r="S44" s="139">
        <v>0</v>
      </c>
      <c r="T44" s="139">
        <v>82.947765922756403</v>
      </c>
      <c r="U44" s="139">
        <v>0.93593804876084197</v>
      </c>
      <c r="V44" s="139">
        <v>0</v>
      </c>
      <c r="W44" s="139">
        <v>0</v>
      </c>
      <c r="X44" s="139">
        <v>282.45752188849298</v>
      </c>
      <c r="Y44" s="139">
        <v>0</v>
      </c>
      <c r="Z44" s="139">
        <v>0</v>
      </c>
      <c r="AA44" s="139">
        <v>1447.2168947932</v>
      </c>
      <c r="AB44" s="139">
        <v>0</v>
      </c>
      <c r="AC44" s="139">
        <v>0</v>
      </c>
      <c r="AD44" s="139">
        <v>20.786036123149302</v>
      </c>
      <c r="AE44" s="139">
        <v>4.6153391642126701E-2</v>
      </c>
      <c r="AF44" s="139">
        <v>0.72873354259930501</v>
      </c>
      <c r="AG44" s="139">
        <v>4.6942071457235501</v>
      </c>
      <c r="AH44" s="139">
        <v>0</v>
      </c>
      <c r="AI44" s="139">
        <v>0</v>
      </c>
      <c r="AJ44" s="139">
        <v>0</v>
      </c>
      <c r="AK44" s="139">
        <v>0</v>
      </c>
      <c r="AL44" s="139">
        <v>0</v>
      </c>
      <c r="AM44" s="139">
        <v>0</v>
      </c>
      <c r="AN44" s="139">
        <v>0</v>
      </c>
      <c r="AO44" s="139">
        <v>0</v>
      </c>
      <c r="AP44" s="139">
        <v>0</v>
      </c>
      <c r="AQ44" s="139">
        <v>0</v>
      </c>
      <c r="AR44" s="140">
        <v>0</v>
      </c>
    </row>
    <row r="45" spans="2:44" ht="12" customHeight="1" x14ac:dyDescent="0.25">
      <c r="B45" s="138" t="s">
        <v>41</v>
      </c>
      <c r="C45" s="139" t="s">
        <v>42</v>
      </c>
      <c r="D45" s="139" t="s">
        <v>25</v>
      </c>
      <c r="E45" s="139" t="s">
        <v>25</v>
      </c>
      <c r="F45" s="139" t="s">
        <v>61</v>
      </c>
      <c r="G45" s="139" t="s">
        <v>25</v>
      </c>
      <c r="H45" s="139" t="s">
        <v>120</v>
      </c>
      <c r="I45" s="139" t="s">
        <v>25</v>
      </c>
      <c r="J45" s="139">
        <v>29.8</v>
      </c>
      <c r="K45" s="139">
        <v>0</v>
      </c>
      <c r="L45" s="139">
        <v>0</v>
      </c>
      <c r="M45" s="139">
        <v>0</v>
      </c>
      <c r="N45" s="139">
        <v>0</v>
      </c>
      <c r="O45" s="139">
        <v>0</v>
      </c>
      <c r="P45" s="139">
        <v>0</v>
      </c>
      <c r="Q45" s="139">
        <v>0</v>
      </c>
      <c r="R45" s="139">
        <v>0</v>
      </c>
      <c r="S45" s="139">
        <v>0</v>
      </c>
      <c r="T45" s="139">
        <v>2.9137047627772401</v>
      </c>
      <c r="U45" s="139">
        <v>3.3415829753727103E-2</v>
      </c>
      <c r="V45" s="139">
        <v>0</v>
      </c>
      <c r="W45" s="139">
        <v>0</v>
      </c>
      <c r="X45" s="139">
        <v>6.8866548455821297</v>
      </c>
      <c r="Y45" s="139">
        <v>0</v>
      </c>
      <c r="Z45" s="139">
        <v>0</v>
      </c>
      <c r="AA45" s="139">
        <v>19.969491359764302</v>
      </c>
      <c r="AB45" s="139">
        <v>0</v>
      </c>
      <c r="AC45" s="139">
        <v>0</v>
      </c>
      <c r="AD45" s="139">
        <v>0</v>
      </c>
      <c r="AE45" s="139">
        <v>0</v>
      </c>
      <c r="AF45" s="139">
        <v>0</v>
      </c>
      <c r="AG45" s="139">
        <v>0</v>
      </c>
      <c r="AH45" s="139">
        <v>0</v>
      </c>
      <c r="AI45" s="139">
        <v>0</v>
      </c>
      <c r="AJ45" s="139">
        <v>0</v>
      </c>
      <c r="AK45" s="139">
        <v>0</v>
      </c>
      <c r="AL45" s="139">
        <v>0</v>
      </c>
      <c r="AM45" s="139">
        <v>0</v>
      </c>
      <c r="AN45" s="139">
        <v>0</v>
      </c>
      <c r="AO45" s="139">
        <v>0</v>
      </c>
      <c r="AP45" s="139">
        <v>0</v>
      </c>
      <c r="AQ45" s="139">
        <v>0</v>
      </c>
      <c r="AR45" s="140">
        <v>0</v>
      </c>
    </row>
    <row r="46" spans="2:44" ht="12" customHeight="1" x14ac:dyDescent="0.25">
      <c r="B46" s="138" t="s">
        <v>41</v>
      </c>
      <c r="C46" s="139" t="s">
        <v>42</v>
      </c>
      <c r="D46" s="139" t="s">
        <v>25</v>
      </c>
      <c r="E46" s="139" t="s">
        <v>25</v>
      </c>
      <c r="F46" s="139" t="s">
        <v>61</v>
      </c>
      <c r="G46" s="139" t="s">
        <v>35</v>
      </c>
      <c r="H46" s="139" t="s">
        <v>117</v>
      </c>
      <c r="I46" s="139" t="s">
        <v>25</v>
      </c>
      <c r="J46" s="139">
        <v>27.54</v>
      </c>
      <c r="K46" s="139">
        <v>0</v>
      </c>
      <c r="L46" s="139">
        <v>0</v>
      </c>
      <c r="M46" s="139">
        <v>0.77645739067888297</v>
      </c>
      <c r="N46" s="139">
        <v>0.510642689915217</v>
      </c>
      <c r="O46" s="139">
        <v>-5.0328095537283003E-3</v>
      </c>
      <c r="P46" s="139">
        <v>0</v>
      </c>
      <c r="Q46" s="139">
        <v>0</v>
      </c>
      <c r="R46" s="139">
        <v>0</v>
      </c>
      <c r="S46" s="139">
        <v>0</v>
      </c>
      <c r="T46" s="139">
        <v>0</v>
      </c>
      <c r="U46" s="139">
        <v>0</v>
      </c>
      <c r="V46" s="139">
        <v>0</v>
      </c>
      <c r="W46" s="139">
        <v>0</v>
      </c>
      <c r="X46" s="139">
        <v>0</v>
      </c>
      <c r="Y46" s="139">
        <v>0</v>
      </c>
      <c r="Z46" s="139">
        <v>0</v>
      </c>
      <c r="AA46" s="139">
        <v>0</v>
      </c>
      <c r="AB46" s="139">
        <v>0</v>
      </c>
      <c r="AC46" s="139">
        <v>0</v>
      </c>
      <c r="AD46" s="139">
        <v>20.786036123149302</v>
      </c>
      <c r="AE46" s="139">
        <v>4.6153391642126701E-2</v>
      </c>
      <c r="AF46" s="139">
        <v>0.72873354259930501</v>
      </c>
      <c r="AG46" s="139">
        <v>4.6942071457235501</v>
      </c>
      <c r="AH46" s="139">
        <v>0</v>
      </c>
      <c r="AI46" s="139">
        <v>0</v>
      </c>
      <c r="AJ46" s="139">
        <v>0</v>
      </c>
      <c r="AK46" s="139">
        <v>0</v>
      </c>
      <c r="AL46" s="139">
        <v>0</v>
      </c>
      <c r="AM46" s="139">
        <v>0</v>
      </c>
      <c r="AN46" s="139">
        <v>0</v>
      </c>
      <c r="AO46" s="139">
        <v>0</v>
      </c>
      <c r="AP46" s="139">
        <v>0</v>
      </c>
      <c r="AQ46" s="139">
        <v>0</v>
      </c>
      <c r="AR46" s="140">
        <v>0</v>
      </c>
    </row>
    <row r="47" spans="2:44" ht="12" customHeight="1" x14ac:dyDescent="0.25">
      <c r="B47" s="138" t="s">
        <v>41</v>
      </c>
      <c r="C47" s="139" t="s">
        <v>42</v>
      </c>
      <c r="D47" s="139" t="s">
        <v>25</v>
      </c>
      <c r="E47" s="139" t="s">
        <v>25</v>
      </c>
      <c r="F47" s="139" t="s">
        <v>25</v>
      </c>
      <c r="G47" s="139" t="s">
        <v>34</v>
      </c>
      <c r="H47" s="139" t="s">
        <v>117</v>
      </c>
      <c r="I47" s="139" t="s">
        <v>25</v>
      </c>
      <c r="J47" s="139">
        <v>1969.92</v>
      </c>
      <c r="K47" s="139">
        <v>510.05</v>
      </c>
      <c r="L47" s="139">
        <v>1.9589800647075299</v>
      </c>
      <c r="M47" s="139">
        <v>0.77645739067888297</v>
      </c>
      <c r="N47" s="139">
        <v>19.4482810567409</v>
      </c>
      <c r="O47" s="139">
        <v>-5.0328095537283003E-3</v>
      </c>
      <c r="P47" s="139">
        <v>0</v>
      </c>
      <c r="Q47" s="139">
        <v>89.831664670265695</v>
      </c>
      <c r="R47" s="139">
        <v>18.096353551138002</v>
      </c>
      <c r="S47" s="139">
        <v>0</v>
      </c>
      <c r="T47" s="139">
        <v>82.947765922756403</v>
      </c>
      <c r="U47" s="139">
        <v>0.93593804876084197</v>
      </c>
      <c r="V47" s="139">
        <v>0</v>
      </c>
      <c r="W47" s="139">
        <v>0</v>
      </c>
      <c r="X47" s="139">
        <v>282.45752188849298</v>
      </c>
      <c r="Y47" s="139">
        <v>0</v>
      </c>
      <c r="Z47" s="139">
        <v>0</v>
      </c>
      <c r="AA47" s="139">
        <v>1447.2168947932</v>
      </c>
      <c r="AB47" s="139">
        <v>0</v>
      </c>
      <c r="AC47" s="139">
        <v>0</v>
      </c>
      <c r="AD47" s="139">
        <v>20.786036123149302</v>
      </c>
      <c r="AE47" s="139">
        <v>4.6153391642126701E-2</v>
      </c>
      <c r="AF47" s="139">
        <v>0.72873354259930501</v>
      </c>
      <c r="AG47" s="139">
        <v>4.6942071457235501</v>
      </c>
      <c r="AH47" s="139">
        <v>16.665288104243999</v>
      </c>
      <c r="AI47" s="139">
        <v>-17.446033945604601</v>
      </c>
      <c r="AJ47" s="139">
        <v>3.2107886365799301</v>
      </c>
      <c r="AK47" s="139">
        <v>24.135975487292399</v>
      </c>
      <c r="AL47" s="139">
        <v>0</v>
      </c>
      <c r="AM47" s="139">
        <v>470.18316756906302</v>
      </c>
      <c r="AN47" s="139">
        <v>7.0894682219589402</v>
      </c>
      <c r="AO47" s="139">
        <v>4.8418157253049898</v>
      </c>
      <c r="AP47" s="139">
        <v>0</v>
      </c>
      <c r="AQ47" s="139">
        <v>0</v>
      </c>
      <c r="AR47" s="140">
        <v>1.36946351331241</v>
      </c>
    </row>
    <row r="48" spans="2:44" ht="12" customHeight="1" x14ac:dyDescent="0.25">
      <c r="B48" s="138" t="s">
        <v>41</v>
      </c>
      <c r="C48" s="139" t="s">
        <v>42</v>
      </c>
      <c r="D48" s="139" t="s">
        <v>25</v>
      </c>
      <c r="E48" s="139" t="s">
        <v>25</v>
      </c>
      <c r="F48" s="139" t="s">
        <v>25</v>
      </c>
      <c r="G48" s="139" t="s">
        <v>25</v>
      </c>
      <c r="H48" s="139" t="s">
        <v>120</v>
      </c>
      <c r="I48" s="139" t="s">
        <v>25</v>
      </c>
      <c r="J48" s="139">
        <v>29.8</v>
      </c>
      <c r="K48" s="139">
        <v>0</v>
      </c>
      <c r="L48" s="139">
        <v>0</v>
      </c>
      <c r="M48" s="139">
        <v>0</v>
      </c>
      <c r="N48" s="139">
        <v>0</v>
      </c>
      <c r="O48" s="139">
        <v>0</v>
      </c>
      <c r="P48" s="139">
        <v>0</v>
      </c>
      <c r="Q48" s="139">
        <v>0</v>
      </c>
      <c r="R48" s="139">
        <v>0</v>
      </c>
      <c r="S48" s="139">
        <v>0</v>
      </c>
      <c r="T48" s="139">
        <v>2.9137047627772401</v>
      </c>
      <c r="U48" s="139">
        <v>3.3415829753727103E-2</v>
      </c>
      <c r="V48" s="139">
        <v>0</v>
      </c>
      <c r="W48" s="139">
        <v>0</v>
      </c>
      <c r="X48" s="139">
        <v>6.8866548455821297</v>
      </c>
      <c r="Y48" s="139">
        <v>0</v>
      </c>
      <c r="Z48" s="139">
        <v>0</v>
      </c>
      <c r="AA48" s="139">
        <v>19.969491359764302</v>
      </c>
      <c r="AB48" s="139">
        <v>0</v>
      </c>
      <c r="AC48" s="139">
        <v>0</v>
      </c>
      <c r="AD48" s="139">
        <v>0</v>
      </c>
      <c r="AE48" s="139">
        <v>0</v>
      </c>
      <c r="AF48" s="139">
        <v>0</v>
      </c>
      <c r="AG48" s="139">
        <v>0</v>
      </c>
      <c r="AH48" s="139">
        <v>0</v>
      </c>
      <c r="AI48" s="139">
        <v>0</v>
      </c>
      <c r="AJ48" s="139">
        <v>0</v>
      </c>
      <c r="AK48" s="139">
        <v>0</v>
      </c>
      <c r="AL48" s="139">
        <v>0</v>
      </c>
      <c r="AM48" s="139">
        <v>0</v>
      </c>
      <c r="AN48" s="139">
        <v>0</v>
      </c>
      <c r="AO48" s="139">
        <v>0</v>
      </c>
      <c r="AP48" s="139">
        <v>0</v>
      </c>
      <c r="AQ48" s="139">
        <v>0</v>
      </c>
      <c r="AR48" s="140">
        <v>0</v>
      </c>
    </row>
    <row r="49" spans="2:44" ht="12" customHeight="1" x14ac:dyDescent="0.25">
      <c r="B49" s="138" t="s">
        <v>41</v>
      </c>
      <c r="C49" s="139" t="s">
        <v>42</v>
      </c>
      <c r="D49" s="139" t="s">
        <v>25</v>
      </c>
      <c r="E49" s="139" t="s">
        <v>25</v>
      </c>
      <c r="F49" s="139" t="s">
        <v>25</v>
      </c>
      <c r="G49" s="139" t="s">
        <v>35</v>
      </c>
      <c r="H49" s="139" t="s">
        <v>117</v>
      </c>
      <c r="I49" s="139" t="s">
        <v>25</v>
      </c>
      <c r="J49" s="139">
        <v>137.44</v>
      </c>
      <c r="K49" s="139">
        <v>313.23</v>
      </c>
      <c r="L49" s="139">
        <v>1.9589800647075299</v>
      </c>
      <c r="M49" s="139">
        <v>0.77645739067888297</v>
      </c>
      <c r="N49" s="139">
        <v>0.52230124230932296</v>
      </c>
      <c r="O49" s="139">
        <v>-5.0328095537283003E-3</v>
      </c>
      <c r="P49" s="139">
        <v>0</v>
      </c>
      <c r="Q49" s="139">
        <v>89.831664670265695</v>
      </c>
      <c r="R49" s="139">
        <v>18.096353551138002</v>
      </c>
      <c r="S49" s="139">
        <v>0</v>
      </c>
      <c r="T49" s="139">
        <v>0</v>
      </c>
      <c r="U49" s="139">
        <v>0</v>
      </c>
      <c r="V49" s="139">
        <v>0</v>
      </c>
      <c r="W49" s="139">
        <v>0</v>
      </c>
      <c r="X49" s="139">
        <v>0</v>
      </c>
      <c r="Y49" s="139">
        <v>0</v>
      </c>
      <c r="Z49" s="139">
        <v>0</v>
      </c>
      <c r="AA49" s="139">
        <v>0</v>
      </c>
      <c r="AB49" s="139">
        <v>0</v>
      </c>
      <c r="AC49" s="139">
        <v>0</v>
      </c>
      <c r="AD49" s="139">
        <v>20.786036123149302</v>
      </c>
      <c r="AE49" s="139">
        <v>4.6153391642126701E-2</v>
      </c>
      <c r="AF49" s="139">
        <v>0.72873354259930501</v>
      </c>
      <c r="AG49" s="139">
        <v>4.6942071457235501</v>
      </c>
      <c r="AH49" s="139">
        <v>16.665288104243999</v>
      </c>
      <c r="AI49" s="139">
        <v>-17.446033945604601</v>
      </c>
      <c r="AJ49" s="139">
        <v>3.2107886365799301</v>
      </c>
      <c r="AK49" s="139">
        <v>24.135975487292399</v>
      </c>
      <c r="AL49" s="139">
        <v>0</v>
      </c>
      <c r="AM49" s="139">
        <v>273.36230672620002</v>
      </c>
      <c r="AN49" s="139">
        <v>7.0894682219589402</v>
      </c>
      <c r="AO49" s="139">
        <v>4.8418157253049898</v>
      </c>
      <c r="AP49" s="139">
        <v>0</v>
      </c>
      <c r="AQ49" s="139">
        <v>0</v>
      </c>
      <c r="AR49" s="140">
        <v>1.36946351331241</v>
      </c>
    </row>
    <row r="50" spans="2:44" ht="12" customHeight="1" x14ac:dyDescent="0.25">
      <c r="B50" s="138" t="s">
        <v>125</v>
      </c>
      <c r="C50" s="139" t="s">
        <v>64</v>
      </c>
      <c r="D50" s="139" t="s">
        <v>25</v>
      </c>
      <c r="E50" s="139" t="s">
        <v>25</v>
      </c>
      <c r="F50" s="139" t="s">
        <v>126</v>
      </c>
      <c r="G50" s="139" t="s">
        <v>25</v>
      </c>
      <c r="H50" s="139" t="s">
        <v>120</v>
      </c>
      <c r="I50" s="139" t="s">
        <v>25</v>
      </c>
      <c r="J50" s="139">
        <v>1.17</v>
      </c>
      <c r="K50" s="139">
        <v>0</v>
      </c>
      <c r="L50" s="139">
        <v>0</v>
      </c>
      <c r="M50" s="139">
        <v>3.5350968965106601E-3</v>
      </c>
      <c r="N50" s="139">
        <v>1.22414800138116E-2</v>
      </c>
      <c r="O50" s="139">
        <v>0</v>
      </c>
      <c r="P50" s="139">
        <v>0</v>
      </c>
      <c r="Q50" s="139">
        <v>0</v>
      </c>
      <c r="R50" s="139">
        <v>0</v>
      </c>
      <c r="S50" s="139">
        <v>0</v>
      </c>
      <c r="T50" s="139">
        <v>0</v>
      </c>
      <c r="U50" s="139">
        <v>0</v>
      </c>
      <c r="V50" s="139">
        <v>0</v>
      </c>
      <c r="W50" s="139">
        <v>0</v>
      </c>
      <c r="X50" s="139">
        <v>0</v>
      </c>
      <c r="Y50" s="139">
        <v>0</v>
      </c>
      <c r="Z50" s="139">
        <v>0</v>
      </c>
      <c r="AA50" s="139">
        <v>1.1580239114033</v>
      </c>
      <c r="AB50" s="139">
        <v>0</v>
      </c>
      <c r="AC50" s="139">
        <v>0</v>
      </c>
      <c r="AD50" s="139">
        <v>0</v>
      </c>
      <c r="AE50" s="139">
        <v>0</v>
      </c>
      <c r="AF50" s="139">
        <v>0</v>
      </c>
      <c r="AG50" s="139">
        <v>0</v>
      </c>
      <c r="AH50" s="139">
        <v>0</v>
      </c>
      <c r="AI50" s="139">
        <v>0</v>
      </c>
      <c r="AJ50" s="139">
        <v>0</v>
      </c>
      <c r="AK50" s="139">
        <v>0</v>
      </c>
      <c r="AL50" s="139">
        <v>0</v>
      </c>
      <c r="AM50" s="139">
        <v>0</v>
      </c>
      <c r="AN50" s="139">
        <v>0</v>
      </c>
      <c r="AO50" s="139">
        <v>0</v>
      </c>
      <c r="AP50" s="139">
        <v>0</v>
      </c>
      <c r="AQ50" s="139">
        <v>0</v>
      </c>
      <c r="AR50" s="140">
        <v>0</v>
      </c>
    </row>
    <row r="51" spans="2:44" ht="12" customHeight="1" x14ac:dyDescent="0.25">
      <c r="B51" s="138" t="s">
        <v>125</v>
      </c>
      <c r="C51" s="139" t="s">
        <v>64</v>
      </c>
      <c r="D51" s="139" t="s">
        <v>25</v>
      </c>
      <c r="E51" s="139" t="s">
        <v>25</v>
      </c>
      <c r="F51" s="139" t="s">
        <v>127</v>
      </c>
      <c r="G51" s="139" t="s">
        <v>25</v>
      </c>
      <c r="H51" s="139" t="s">
        <v>120</v>
      </c>
      <c r="I51" s="139" t="s">
        <v>25</v>
      </c>
      <c r="J51" s="139">
        <v>11.07</v>
      </c>
      <c r="K51" s="139">
        <v>0</v>
      </c>
      <c r="L51" s="139">
        <v>0</v>
      </c>
      <c r="M51" s="139">
        <v>3.5350968965106601E-3</v>
      </c>
      <c r="N51" s="139">
        <v>1.22414800138116E-2</v>
      </c>
      <c r="O51" s="139">
        <v>0</v>
      </c>
      <c r="P51" s="139">
        <v>0</v>
      </c>
      <c r="Q51" s="139">
        <v>0</v>
      </c>
      <c r="R51" s="139">
        <v>0</v>
      </c>
      <c r="S51" s="139">
        <v>0</v>
      </c>
      <c r="T51" s="139">
        <v>0</v>
      </c>
      <c r="U51" s="139">
        <v>0</v>
      </c>
      <c r="V51" s="139">
        <v>0</v>
      </c>
      <c r="W51" s="139">
        <v>0</v>
      </c>
      <c r="X51" s="139">
        <v>0</v>
      </c>
      <c r="Y51" s="139">
        <v>0</v>
      </c>
      <c r="Z51" s="139">
        <v>0</v>
      </c>
      <c r="AA51" s="139">
        <v>11.055764914312499</v>
      </c>
      <c r="AB51" s="139">
        <v>0</v>
      </c>
      <c r="AC51" s="139">
        <v>0</v>
      </c>
      <c r="AD51" s="139">
        <v>0</v>
      </c>
      <c r="AE51" s="139">
        <v>0</v>
      </c>
      <c r="AF51" s="139">
        <v>0</v>
      </c>
      <c r="AG51" s="139">
        <v>0</v>
      </c>
      <c r="AH51" s="139">
        <v>0</v>
      </c>
      <c r="AI51" s="139">
        <v>0</v>
      </c>
      <c r="AJ51" s="139">
        <v>0</v>
      </c>
      <c r="AK51" s="139">
        <v>0</v>
      </c>
      <c r="AL51" s="139">
        <v>0</v>
      </c>
      <c r="AM51" s="139">
        <v>0</v>
      </c>
      <c r="AN51" s="139">
        <v>0</v>
      </c>
      <c r="AO51" s="139">
        <v>0</v>
      </c>
      <c r="AP51" s="139">
        <v>0</v>
      </c>
      <c r="AQ51" s="139">
        <v>0</v>
      </c>
      <c r="AR51" s="140">
        <v>0</v>
      </c>
    </row>
    <row r="52" spans="2:44" ht="12" customHeight="1" x14ac:dyDescent="0.25">
      <c r="B52" s="138" t="s">
        <v>22</v>
      </c>
      <c r="C52" s="139" t="s">
        <v>33</v>
      </c>
      <c r="D52" s="139" t="s">
        <v>24</v>
      </c>
      <c r="E52" s="139" t="s">
        <v>24</v>
      </c>
      <c r="F52" s="139" t="s">
        <v>25</v>
      </c>
      <c r="G52" s="139" t="s">
        <v>34</v>
      </c>
      <c r="H52" s="139" t="s">
        <v>117</v>
      </c>
      <c r="I52" s="139" t="s">
        <v>25</v>
      </c>
      <c r="J52" s="139">
        <v>864.27</v>
      </c>
      <c r="K52" s="139">
        <v>510.05</v>
      </c>
      <c r="L52" s="139">
        <v>2.33211912465182</v>
      </c>
      <c r="M52" s="139">
        <v>0.82974117203281705</v>
      </c>
      <c r="N52" s="139">
        <v>8.1115421489683204</v>
      </c>
      <c r="O52" s="139">
        <v>-5.0328095537283003E-3</v>
      </c>
      <c r="P52" s="139">
        <v>0</v>
      </c>
      <c r="Q52" s="139">
        <v>106.942457940792</v>
      </c>
      <c r="R52" s="139">
        <v>18.096353551138002</v>
      </c>
      <c r="S52" s="139">
        <v>0</v>
      </c>
      <c r="T52" s="139">
        <v>39.682565188957</v>
      </c>
      <c r="U52" s="139">
        <v>0.450925629618594</v>
      </c>
      <c r="V52" s="139">
        <v>0</v>
      </c>
      <c r="W52" s="139">
        <v>0</v>
      </c>
      <c r="X52" s="139">
        <v>117.203798273221</v>
      </c>
      <c r="Y52" s="139">
        <v>0</v>
      </c>
      <c r="Z52" s="139">
        <v>0</v>
      </c>
      <c r="AA52" s="139">
        <v>522.13324576655805</v>
      </c>
      <c r="AB52" s="139">
        <v>0</v>
      </c>
      <c r="AC52" s="139">
        <v>0</v>
      </c>
      <c r="AD52" s="139">
        <v>42.677225556094598</v>
      </c>
      <c r="AE52" s="139">
        <v>9.4760669789088606E-2</v>
      </c>
      <c r="AF52" s="139">
        <v>0.76826275007336597</v>
      </c>
      <c r="AG52" s="139">
        <v>4.9488383344124403</v>
      </c>
      <c r="AH52" s="139">
        <v>16.665288104243999</v>
      </c>
      <c r="AI52" s="139">
        <v>-17.446033945604601</v>
      </c>
      <c r="AJ52" s="139">
        <v>3.2107886365799301</v>
      </c>
      <c r="AK52" s="139">
        <v>24.135975487292399</v>
      </c>
      <c r="AL52" s="139">
        <v>0</v>
      </c>
      <c r="AM52" s="139">
        <v>470.18316756906302</v>
      </c>
      <c r="AN52" s="139">
        <v>7.0894682219589402</v>
      </c>
      <c r="AO52" s="139">
        <v>4.8418157253049898</v>
      </c>
      <c r="AP52" s="139">
        <v>0</v>
      </c>
      <c r="AQ52" s="139">
        <v>0</v>
      </c>
      <c r="AR52" s="140">
        <v>1.36946351331241</v>
      </c>
    </row>
    <row r="53" spans="2:44" ht="12" customHeight="1" x14ac:dyDescent="0.25">
      <c r="B53" s="138" t="s">
        <v>22</v>
      </c>
      <c r="C53" s="139" t="s">
        <v>33</v>
      </c>
      <c r="D53" s="139" t="s">
        <v>24</v>
      </c>
      <c r="E53" s="139" t="s">
        <v>24</v>
      </c>
      <c r="F53" s="139" t="s">
        <v>25</v>
      </c>
      <c r="G53" s="139" t="s">
        <v>36</v>
      </c>
      <c r="H53" s="139" t="s">
        <v>117</v>
      </c>
      <c r="I53" s="139" t="s">
        <v>25</v>
      </c>
      <c r="J53" s="139">
        <v>589.64</v>
      </c>
      <c r="K53" s="139">
        <v>313.23</v>
      </c>
      <c r="L53" s="139">
        <v>2.33211912465182</v>
      </c>
      <c r="M53" s="139">
        <v>0.82974117203281705</v>
      </c>
      <c r="N53" s="139">
        <v>5.2750221807584401</v>
      </c>
      <c r="O53" s="139">
        <v>-5.0328095537283003E-3</v>
      </c>
      <c r="P53" s="139">
        <v>0</v>
      </c>
      <c r="Q53" s="139">
        <v>106.942457940792</v>
      </c>
      <c r="R53" s="139">
        <v>18.096353551138002</v>
      </c>
      <c r="S53" s="139">
        <v>0</v>
      </c>
      <c r="T53" s="139">
        <v>23.809562376486099</v>
      </c>
      <c r="U53" s="139">
        <v>0.27055944419400502</v>
      </c>
      <c r="V53" s="139">
        <v>0</v>
      </c>
      <c r="W53" s="139">
        <v>0</v>
      </c>
      <c r="X53" s="139">
        <v>70.322255547105001</v>
      </c>
      <c r="Y53" s="139">
        <v>0</v>
      </c>
      <c r="Z53" s="139">
        <v>0</v>
      </c>
      <c r="AA53" s="139">
        <v>313.27988074708298</v>
      </c>
      <c r="AB53" s="139">
        <v>0</v>
      </c>
      <c r="AC53" s="139">
        <v>0</v>
      </c>
      <c r="AD53" s="139">
        <v>42.677225556094598</v>
      </c>
      <c r="AE53" s="139">
        <v>9.4760669789088606E-2</v>
      </c>
      <c r="AF53" s="139">
        <v>0.76826275007336597</v>
      </c>
      <c r="AG53" s="139">
        <v>4.9488383344124403</v>
      </c>
      <c r="AH53" s="139">
        <v>16.665288104243999</v>
      </c>
      <c r="AI53" s="139">
        <v>-17.446033945604601</v>
      </c>
      <c r="AJ53" s="139">
        <v>3.2107886365799301</v>
      </c>
      <c r="AK53" s="139">
        <v>24.135975487292399</v>
      </c>
      <c r="AL53" s="139">
        <v>0</v>
      </c>
      <c r="AM53" s="139">
        <v>273.36230672620002</v>
      </c>
      <c r="AN53" s="139">
        <v>7.0894682219589402</v>
      </c>
      <c r="AO53" s="139">
        <v>4.8418157253049898</v>
      </c>
      <c r="AP53" s="139">
        <v>0</v>
      </c>
      <c r="AQ53" s="139">
        <v>0</v>
      </c>
      <c r="AR53" s="140">
        <v>1.36946351331241</v>
      </c>
    </row>
    <row r="54" spans="2:44" ht="12" customHeight="1" x14ac:dyDescent="0.25">
      <c r="B54" s="138" t="s">
        <v>22</v>
      </c>
      <c r="C54" s="139" t="s">
        <v>33</v>
      </c>
      <c r="D54" s="139" t="s">
        <v>24</v>
      </c>
      <c r="E54" s="139" t="s">
        <v>24</v>
      </c>
      <c r="F54" s="139" t="s">
        <v>25</v>
      </c>
      <c r="G54" s="139" t="s">
        <v>35</v>
      </c>
      <c r="H54" s="139" t="s">
        <v>117</v>
      </c>
      <c r="I54" s="139" t="s">
        <v>25</v>
      </c>
      <c r="J54" s="139">
        <v>315.02</v>
      </c>
      <c r="K54" s="139">
        <v>313.23</v>
      </c>
      <c r="L54" s="139">
        <v>2.33211912465182</v>
      </c>
      <c r="M54" s="139">
        <v>0.82974117203281705</v>
      </c>
      <c r="N54" s="139">
        <v>2.43850221254857</v>
      </c>
      <c r="O54" s="139">
        <v>-5.0328095537283003E-3</v>
      </c>
      <c r="P54" s="139">
        <v>0</v>
      </c>
      <c r="Q54" s="139">
        <v>106.942457940792</v>
      </c>
      <c r="R54" s="139">
        <v>18.096353551138002</v>
      </c>
      <c r="S54" s="139">
        <v>0</v>
      </c>
      <c r="T54" s="139">
        <v>7.9365595640151598</v>
      </c>
      <c r="U54" s="139">
        <v>9.0183092712294799E-2</v>
      </c>
      <c r="V54" s="139">
        <v>0</v>
      </c>
      <c r="W54" s="139">
        <v>0</v>
      </c>
      <c r="X54" s="139">
        <v>23.4407128209889</v>
      </c>
      <c r="Y54" s="139">
        <v>0</v>
      </c>
      <c r="Z54" s="139">
        <v>0</v>
      </c>
      <c r="AA54" s="139">
        <v>104.426626915694</v>
      </c>
      <c r="AB54" s="139">
        <v>0</v>
      </c>
      <c r="AC54" s="139">
        <v>0</v>
      </c>
      <c r="AD54" s="139">
        <v>42.677225556094598</v>
      </c>
      <c r="AE54" s="139">
        <v>9.4760669789088606E-2</v>
      </c>
      <c r="AF54" s="139">
        <v>0.76826275007336597</v>
      </c>
      <c r="AG54" s="139">
        <v>4.9488383344124403</v>
      </c>
      <c r="AH54" s="139">
        <v>16.665288104243999</v>
      </c>
      <c r="AI54" s="139">
        <v>-17.446033945604601</v>
      </c>
      <c r="AJ54" s="139">
        <v>3.2107886365799301</v>
      </c>
      <c r="AK54" s="139">
        <v>24.135975487292399</v>
      </c>
      <c r="AL54" s="139">
        <v>0</v>
      </c>
      <c r="AM54" s="139">
        <v>273.36230672620002</v>
      </c>
      <c r="AN54" s="139">
        <v>7.0894682219589402</v>
      </c>
      <c r="AO54" s="139">
        <v>4.8418157253049898</v>
      </c>
      <c r="AP54" s="139">
        <v>0</v>
      </c>
      <c r="AQ54" s="139">
        <v>0</v>
      </c>
      <c r="AR54" s="140">
        <v>1.36946351331241</v>
      </c>
    </row>
    <row r="55" spans="2:44" ht="12" customHeight="1" x14ac:dyDescent="0.25">
      <c r="B55" s="138" t="s">
        <v>22</v>
      </c>
      <c r="C55" s="139" t="s">
        <v>23</v>
      </c>
      <c r="D55" s="139" t="s">
        <v>24</v>
      </c>
      <c r="E55" s="139" t="s">
        <v>1698</v>
      </c>
      <c r="F55" s="139" t="s">
        <v>25</v>
      </c>
      <c r="G55" s="139" t="s">
        <v>25</v>
      </c>
      <c r="H55" s="139" t="s">
        <v>117</v>
      </c>
      <c r="I55" s="139" t="s">
        <v>25</v>
      </c>
      <c r="J55" s="139">
        <v>309.39999999999998</v>
      </c>
      <c r="K55" s="139">
        <v>329.63</v>
      </c>
      <c r="L55" s="139">
        <v>0</v>
      </c>
      <c r="M55" s="139">
        <v>0.82974117203281705</v>
      </c>
      <c r="N55" s="139">
        <v>3.68454614118111</v>
      </c>
      <c r="O55" s="139">
        <v>-5.0328095537283003E-3</v>
      </c>
      <c r="P55" s="139">
        <v>0</v>
      </c>
      <c r="Q55" s="139">
        <v>0</v>
      </c>
      <c r="R55" s="139">
        <v>0</v>
      </c>
      <c r="S55" s="139">
        <v>0</v>
      </c>
      <c r="T55" s="139">
        <v>14.9745814317248</v>
      </c>
      <c r="U55" s="139">
        <v>0.170159464076022</v>
      </c>
      <c r="V55" s="139">
        <v>0</v>
      </c>
      <c r="W55" s="139">
        <v>0</v>
      </c>
      <c r="X55" s="139">
        <v>44.227830731911602</v>
      </c>
      <c r="Y55" s="139">
        <v>0</v>
      </c>
      <c r="Z55" s="139">
        <v>0</v>
      </c>
      <c r="AA55" s="139">
        <v>197.03140300737201</v>
      </c>
      <c r="AB55" s="139">
        <v>0</v>
      </c>
      <c r="AC55" s="139">
        <v>0</v>
      </c>
      <c r="AD55" s="139">
        <v>42.677225556094598</v>
      </c>
      <c r="AE55" s="139">
        <v>9.4760669789088606E-2</v>
      </c>
      <c r="AF55" s="139">
        <v>0.76826275007336597</v>
      </c>
      <c r="AG55" s="139">
        <v>4.9488383344124403</v>
      </c>
      <c r="AH55" s="139">
        <v>16.665288104243999</v>
      </c>
      <c r="AI55" s="139">
        <v>-17.446033945604601</v>
      </c>
      <c r="AJ55" s="139">
        <v>3.2107886365799301</v>
      </c>
      <c r="AK55" s="139">
        <v>24.135975487292399</v>
      </c>
      <c r="AL55" s="139">
        <v>0</v>
      </c>
      <c r="AM55" s="139">
        <v>289.76404512977098</v>
      </c>
      <c r="AN55" s="139">
        <v>7.0894682219589402</v>
      </c>
      <c r="AO55" s="139">
        <v>4.8418157253049898</v>
      </c>
      <c r="AP55" s="139">
        <v>0</v>
      </c>
      <c r="AQ55" s="139">
        <v>0</v>
      </c>
      <c r="AR55" s="140">
        <v>1.36946351331241</v>
      </c>
    </row>
    <row r="56" spans="2:44" ht="12" customHeight="1" x14ac:dyDescent="0.25">
      <c r="B56" s="138" t="s">
        <v>22</v>
      </c>
      <c r="C56" s="139" t="s">
        <v>23</v>
      </c>
      <c r="D56" s="139" t="s">
        <v>24</v>
      </c>
      <c r="E56" s="139" t="s">
        <v>24</v>
      </c>
      <c r="F56" s="139" t="s">
        <v>25</v>
      </c>
      <c r="G56" s="139" t="s">
        <v>25</v>
      </c>
      <c r="H56" s="139" t="s">
        <v>117</v>
      </c>
      <c r="I56" s="139" t="s">
        <v>25</v>
      </c>
      <c r="J56" s="139">
        <v>436.78</v>
      </c>
      <c r="K56" s="139">
        <v>329.63</v>
      </c>
      <c r="L56" s="139">
        <v>2.33211912465182</v>
      </c>
      <c r="M56" s="139">
        <v>0.82974117203281705</v>
      </c>
      <c r="N56" s="139">
        <v>3.69620469357521</v>
      </c>
      <c r="O56" s="139">
        <v>-5.0328095537283003E-3</v>
      </c>
      <c r="P56" s="139">
        <v>0</v>
      </c>
      <c r="Q56" s="139">
        <v>106.942457940792</v>
      </c>
      <c r="R56" s="139">
        <v>18.096353551138002</v>
      </c>
      <c r="S56" s="139">
        <v>0</v>
      </c>
      <c r="T56" s="139">
        <v>14.9745814317248</v>
      </c>
      <c r="U56" s="139">
        <v>0.170159464076022</v>
      </c>
      <c r="V56" s="139">
        <v>0</v>
      </c>
      <c r="W56" s="139">
        <v>0</v>
      </c>
      <c r="X56" s="139">
        <v>44.227830731911602</v>
      </c>
      <c r="Y56" s="139">
        <v>0</v>
      </c>
      <c r="Z56" s="139">
        <v>0</v>
      </c>
      <c r="AA56" s="139">
        <v>197.03140300737201</v>
      </c>
      <c r="AB56" s="139">
        <v>0</v>
      </c>
      <c r="AC56" s="139">
        <v>0</v>
      </c>
      <c r="AD56" s="139">
        <v>42.677225556094598</v>
      </c>
      <c r="AE56" s="139">
        <v>9.4760669789088606E-2</v>
      </c>
      <c r="AF56" s="139">
        <v>0.76826275007336597</v>
      </c>
      <c r="AG56" s="139">
        <v>4.9488383344124403</v>
      </c>
      <c r="AH56" s="139">
        <v>16.665288104243999</v>
      </c>
      <c r="AI56" s="139">
        <v>-17.446033945604601</v>
      </c>
      <c r="AJ56" s="139">
        <v>3.2107886365799301</v>
      </c>
      <c r="AK56" s="139">
        <v>24.135975487292399</v>
      </c>
      <c r="AL56" s="139">
        <v>0</v>
      </c>
      <c r="AM56" s="139">
        <v>289.76404512977098</v>
      </c>
      <c r="AN56" s="139">
        <v>7.0894682219589402</v>
      </c>
      <c r="AO56" s="139">
        <v>4.8418157253049898</v>
      </c>
      <c r="AP56" s="139">
        <v>0</v>
      </c>
      <c r="AQ56" s="139">
        <v>0</v>
      </c>
      <c r="AR56" s="140">
        <v>1.36946351331241</v>
      </c>
    </row>
    <row r="57" spans="2:44" ht="12" customHeight="1" x14ac:dyDescent="0.25">
      <c r="B57" s="138" t="s">
        <v>22</v>
      </c>
      <c r="C57" s="139" t="s">
        <v>131</v>
      </c>
      <c r="D57" s="139" t="s">
        <v>24</v>
      </c>
      <c r="E57" s="139" t="s">
        <v>1698</v>
      </c>
      <c r="F57" s="139" t="s">
        <v>25</v>
      </c>
      <c r="G57" s="139" t="s">
        <v>25</v>
      </c>
      <c r="H57" s="139" t="s">
        <v>117</v>
      </c>
      <c r="I57" s="139" t="s">
        <v>25</v>
      </c>
      <c r="J57" s="139">
        <v>309.39999999999998</v>
      </c>
      <c r="K57" s="139">
        <v>329.63</v>
      </c>
      <c r="L57" s="139">
        <v>0</v>
      </c>
      <c r="M57" s="139">
        <v>0.82974117203281705</v>
      </c>
      <c r="N57" s="139">
        <v>3.68454614118111</v>
      </c>
      <c r="O57" s="139">
        <v>-5.0328095537283003E-3</v>
      </c>
      <c r="P57" s="139">
        <v>0</v>
      </c>
      <c r="Q57" s="139">
        <v>0</v>
      </c>
      <c r="R57" s="139">
        <v>0</v>
      </c>
      <c r="S57" s="139">
        <v>0</v>
      </c>
      <c r="T57" s="139">
        <v>14.9745814317248</v>
      </c>
      <c r="U57" s="139">
        <v>0.170159464076022</v>
      </c>
      <c r="V57" s="139">
        <v>0</v>
      </c>
      <c r="W57" s="139">
        <v>0</v>
      </c>
      <c r="X57" s="139">
        <v>44.227830731911602</v>
      </c>
      <c r="Y57" s="139">
        <v>0</v>
      </c>
      <c r="Z57" s="139">
        <v>0</v>
      </c>
      <c r="AA57" s="139">
        <v>197.03140300737201</v>
      </c>
      <c r="AB57" s="139">
        <v>0</v>
      </c>
      <c r="AC57" s="139">
        <v>0</v>
      </c>
      <c r="AD57" s="139">
        <v>42.677225556094598</v>
      </c>
      <c r="AE57" s="139">
        <v>9.4760669789088606E-2</v>
      </c>
      <c r="AF57" s="139">
        <v>0.76826275007336597</v>
      </c>
      <c r="AG57" s="139">
        <v>4.9488383344124403</v>
      </c>
      <c r="AH57" s="139">
        <v>16.665288104243999</v>
      </c>
      <c r="AI57" s="139">
        <v>-17.446033945604601</v>
      </c>
      <c r="AJ57" s="139">
        <v>3.2107886365799301</v>
      </c>
      <c r="AK57" s="139">
        <v>24.135975487292399</v>
      </c>
      <c r="AL57" s="139">
        <v>0</v>
      </c>
      <c r="AM57" s="139">
        <v>289.76404512977098</v>
      </c>
      <c r="AN57" s="139">
        <v>7.0894682219589402</v>
      </c>
      <c r="AO57" s="139">
        <v>4.8418157253049898</v>
      </c>
      <c r="AP57" s="139">
        <v>0</v>
      </c>
      <c r="AQ57" s="139">
        <v>0</v>
      </c>
      <c r="AR57" s="140">
        <v>1.36946351331241</v>
      </c>
    </row>
    <row r="58" spans="2:44" ht="12" customHeight="1" x14ac:dyDescent="0.25">
      <c r="B58" s="138" t="s">
        <v>22</v>
      </c>
      <c r="C58" s="139" t="s">
        <v>131</v>
      </c>
      <c r="D58" s="139" t="s">
        <v>24</v>
      </c>
      <c r="E58" s="139" t="s">
        <v>24</v>
      </c>
      <c r="F58" s="139" t="s">
        <v>25</v>
      </c>
      <c r="G58" s="139" t="s">
        <v>25</v>
      </c>
      <c r="H58" s="139" t="s">
        <v>117</v>
      </c>
      <c r="I58" s="139" t="s">
        <v>25</v>
      </c>
      <c r="J58" s="139">
        <v>436.78</v>
      </c>
      <c r="K58" s="139">
        <v>329.63</v>
      </c>
      <c r="L58" s="139">
        <v>2.33211912465182</v>
      </c>
      <c r="M58" s="139">
        <v>0.82974117203281705</v>
      </c>
      <c r="N58" s="139">
        <v>3.69620469357521</v>
      </c>
      <c r="O58" s="139">
        <v>-5.0328095537283003E-3</v>
      </c>
      <c r="P58" s="139">
        <v>0</v>
      </c>
      <c r="Q58" s="139">
        <v>106.942457940792</v>
      </c>
      <c r="R58" s="139">
        <v>18.096353551138002</v>
      </c>
      <c r="S58" s="139">
        <v>0</v>
      </c>
      <c r="T58" s="139">
        <v>14.9745814317248</v>
      </c>
      <c r="U58" s="139">
        <v>0.170159464076022</v>
      </c>
      <c r="V58" s="139">
        <v>0</v>
      </c>
      <c r="W58" s="139">
        <v>0</v>
      </c>
      <c r="X58" s="139">
        <v>44.227830731911602</v>
      </c>
      <c r="Y58" s="139">
        <v>0</v>
      </c>
      <c r="Z58" s="139">
        <v>0</v>
      </c>
      <c r="AA58" s="139">
        <v>197.03140300737201</v>
      </c>
      <c r="AB58" s="139">
        <v>0</v>
      </c>
      <c r="AC58" s="139">
        <v>0</v>
      </c>
      <c r="AD58" s="139">
        <v>42.677225556094598</v>
      </c>
      <c r="AE58" s="139">
        <v>9.4760669789088606E-2</v>
      </c>
      <c r="AF58" s="139">
        <v>0.76826275007336597</v>
      </c>
      <c r="AG58" s="139">
        <v>4.9488383344124403</v>
      </c>
      <c r="AH58" s="139">
        <v>16.665288104243999</v>
      </c>
      <c r="AI58" s="139">
        <v>-17.446033945604601</v>
      </c>
      <c r="AJ58" s="139">
        <v>3.2107886365799301</v>
      </c>
      <c r="AK58" s="139">
        <v>24.135975487292399</v>
      </c>
      <c r="AL58" s="139">
        <v>0</v>
      </c>
      <c r="AM58" s="139">
        <v>289.76404512977098</v>
      </c>
      <c r="AN58" s="139">
        <v>7.0894682219589402</v>
      </c>
      <c r="AO58" s="139">
        <v>4.8418157253049898</v>
      </c>
      <c r="AP58" s="139">
        <v>0</v>
      </c>
      <c r="AQ58" s="139">
        <v>0</v>
      </c>
      <c r="AR58" s="140">
        <v>1.36946351331241</v>
      </c>
    </row>
    <row r="59" spans="2:44" ht="12" customHeight="1" x14ac:dyDescent="0.25">
      <c r="B59" s="138" t="s">
        <v>44</v>
      </c>
      <c r="C59" s="139" t="s">
        <v>33</v>
      </c>
      <c r="D59" s="139" t="s">
        <v>45</v>
      </c>
      <c r="E59" s="139" t="s">
        <v>132</v>
      </c>
      <c r="F59" s="139" t="s">
        <v>25</v>
      </c>
      <c r="G59" s="139" t="s">
        <v>34</v>
      </c>
      <c r="H59" s="139" t="s">
        <v>117</v>
      </c>
      <c r="I59" s="139" t="s">
        <v>25</v>
      </c>
      <c r="J59" s="139">
        <v>861.12</v>
      </c>
      <c r="K59" s="139">
        <v>479.45</v>
      </c>
      <c r="L59" s="139">
        <v>2.1921919771727101</v>
      </c>
      <c r="M59" s="139">
        <v>0.77995670171084797</v>
      </c>
      <c r="N59" s="139">
        <v>8.1279308922461304</v>
      </c>
      <c r="O59" s="139">
        <v>-4.7308409805046003E-3</v>
      </c>
      <c r="P59" s="139">
        <v>0</v>
      </c>
      <c r="Q59" s="139">
        <v>100.525910464345</v>
      </c>
      <c r="R59" s="139">
        <v>17.0105723380697</v>
      </c>
      <c r="S59" s="139">
        <v>0</v>
      </c>
      <c r="T59" s="139">
        <v>40.116810719458698</v>
      </c>
      <c r="U59" s="139">
        <v>0.45586389352524798</v>
      </c>
      <c r="V59" s="139">
        <v>0</v>
      </c>
      <c r="W59" s="139">
        <v>0</v>
      </c>
      <c r="X59" s="139">
        <v>118.48642456624501</v>
      </c>
      <c r="Y59" s="139">
        <v>0</v>
      </c>
      <c r="Z59" s="139">
        <v>0</v>
      </c>
      <c r="AA59" s="139">
        <v>527.84715478595001</v>
      </c>
      <c r="AB59" s="139">
        <v>0</v>
      </c>
      <c r="AC59" s="139">
        <v>0</v>
      </c>
      <c r="AD59" s="139">
        <v>40.116592022729002</v>
      </c>
      <c r="AE59" s="139">
        <v>8.9075029601743294E-2</v>
      </c>
      <c r="AF59" s="139">
        <v>0.72216698506896404</v>
      </c>
      <c r="AG59" s="139">
        <v>4.6519080343477004</v>
      </c>
      <c r="AH59" s="139">
        <v>15.6653708179894</v>
      </c>
      <c r="AI59" s="139">
        <v>-16.3992719088683</v>
      </c>
      <c r="AJ59" s="139">
        <v>3.0181413183851298</v>
      </c>
      <c r="AK59" s="139">
        <v>22.687816958054899</v>
      </c>
      <c r="AL59" s="139">
        <v>0</v>
      </c>
      <c r="AM59" s="139">
        <v>441.972177514919</v>
      </c>
      <c r="AN59" s="139">
        <v>6.6641001286414001</v>
      </c>
      <c r="AO59" s="139">
        <v>4.5513067817866899</v>
      </c>
      <c r="AP59" s="139">
        <v>0</v>
      </c>
      <c r="AQ59" s="139">
        <v>0</v>
      </c>
      <c r="AR59" s="140">
        <v>1.28729570251367</v>
      </c>
    </row>
    <row r="60" spans="2:44" ht="12" customHeight="1" x14ac:dyDescent="0.25">
      <c r="B60" s="138" t="s">
        <v>44</v>
      </c>
      <c r="C60" s="139" t="s">
        <v>33</v>
      </c>
      <c r="D60" s="139" t="s">
        <v>45</v>
      </c>
      <c r="E60" s="139" t="s">
        <v>132</v>
      </c>
      <c r="F60" s="139" t="s">
        <v>25</v>
      </c>
      <c r="G60" s="139" t="s">
        <v>36</v>
      </c>
      <c r="H60" s="139" t="s">
        <v>117</v>
      </c>
      <c r="I60" s="139" t="s">
        <v>25</v>
      </c>
      <c r="J60" s="139">
        <v>583.49</v>
      </c>
      <c r="K60" s="139">
        <v>294.44</v>
      </c>
      <c r="L60" s="139">
        <v>2.1921919771727101</v>
      </c>
      <c r="M60" s="139">
        <v>0.77995670171084797</v>
      </c>
      <c r="N60" s="139">
        <v>5.2603689557001303</v>
      </c>
      <c r="O60" s="139">
        <v>-4.7308409805046003E-3</v>
      </c>
      <c r="P60" s="139">
        <v>0</v>
      </c>
      <c r="Q60" s="139">
        <v>100.525910464345</v>
      </c>
      <c r="R60" s="139">
        <v>17.0105723380697</v>
      </c>
      <c r="S60" s="139">
        <v>0</v>
      </c>
      <c r="T60" s="139">
        <v>24.070130166325502</v>
      </c>
      <c r="U60" s="139">
        <v>0.27351451367767199</v>
      </c>
      <c r="V60" s="139">
        <v>0</v>
      </c>
      <c r="W60" s="139">
        <v>0</v>
      </c>
      <c r="X60" s="139">
        <v>71.091788704293094</v>
      </c>
      <c r="Y60" s="139">
        <v>0</v>
      </c>
      <c r="Z60" s="139">
        <v>0</v>
      </c>
      <c r="AA60" s="139">
        <v>316.70827196821</v>
      </c>
      <c r="AB60" s="139">
        <v>0</v>
      </c>
      <c r="AC60" s="139">
        <v>0</v>
      </c>
      <c r="AD60" s="139">
        <v>40.116592022729002</v>
      </c>
      <c r="AE60" s="139">
        <v>8.9075029601743294E-2</v>
      </c>
      <c r="AF60" s="139">
        <v>0.72216698506896404</v>
      </c>
      <c r="AG60" s="139">
        <v>4.6519080343477004</v>
      </c>
      <c r="AH60" s="139">
        <v>15.6653708179894</v>
      </c>
      <c r="AI60" s="139">
        <v>-16.3992719088683</v>
      </c>
      <c r="AJ60" s="139">
        <v>3.0181413183851298</v>
      </c>
      <c r="AK60" s="139">
        <v>22.687816958054899</v>
      </c>
      <c r="AL60" s="139">
        <v>0</v>
      </c>
      <c r="AM60" s="139">
        <v>256.96056832262798</v>
      </c>
      <c r="AN60" s="139">
        <v>6.6641001286414001</v>
      </c>
      <c r="AO60" s="139">
        <v>4.5513067817866899</v>
      </c>
      <c r="AP60" s="139">
        <v>0</v>
      </c>
      <c r="AQ60" s="139">
        <v>0</v>
      </c>
      <c r="AR60" s="140">
        <v>1.28729570251367</v>
      </c>
    </row>
    <row r="61" spans="2:44" ht="12" customHeight="1" x14ac:dyDescent="0.25">
      <c r="B61" s="138" t="s">
        <v>44</v>
      </c>
      <c r="C61" s="139" t="s">
        <v>33</v>
      </c>
      <c r="D61" s="139" t="s">
        <v>45</v>
      </c>
      <c r="E61" s="139" t="s">
        <v>132</v>
      </c>
      <c r="F61" s="139" t="s">
        <v>25</v>
      </c>
      <c r="G61" s="139" t="s">
        <v>35</v>
      </c>
      <c r="H61" s="139" t="s">
        <v>117</v>
      </c>
      <c r="I61" s="139" t="s">
        <v>25</v>
      </c>
      <c r="J61" s="139">
        <v>305.86</v>
      </c>
      <c r="K61" s="139">
        <v>294.44</v>
      </c>
      <c r="L61" s="139">
        <v>2.1921919771727101</v>
      </c>
      <c r="M61" s="139">
        <v>0.77995670171084797</v>
      </c>
      <c r="N61" s="139">
        <v>2.39280811505806</v>
      </c>
      <c r="O61" s="139">
        <v>-4.7308409805046003E-3</v>
      </c>
      <c r="P61" s="139">
        <v>0</v>
      </c>
      <c r="Q61" s="139">
        <v>100.525910464345</v>
      </c>
      <c r="R61" s="139">
        <v>17.0105723380697</v>
      </c>
      <c r="S61" s="139">
        <v>0</v>
      </c>
      <c r="T61" s="139">
        <v>8.0233402765665698</v>
      </c>
      <c r="U61" s="139">
        <v>9.1174689923788105E-2</v>
      </c>
      <c r="V61" s="139">
        <v>0</v>
      </c>
      <c r="W61" s="139">
        <v>0</v>
      </c>
      <c r="X61" s="139">
        <v>23.697262901430999</v>
      </c>
      <c r="Y61" s="139">
        <v>0</v>
      </c>
      <c r="Z61" s="139">
        <v>0</v>
      </c>
      <c r="AA61" s="139">
        <v>105.56938915047</v>
      </c>
      <c r="AB61" s="139">
        <v>0</v>
      </c>
      <c r="AC61" s="139">
        <v>0</v>
      </c>
      <c r="AD61" s="139">
        <v>40.116592022729002</v>
      </c>
      <c r="AE61" s="139">
        <v>8.9075029601743294E-2</v>
      </c>
      <c r="AF61" s="139">
        <v>0.72216698506896404</v>
      </c>
      <c r="AG61" s="139">
        <v>4.6519080343477004</v>
      </c>
      <c r="AH61" s="139">
        <v>15.6653708179894</v>
      </c>
      <c r="AI61" s="139">
        <v>-16.3992719088683</v>
      </c>
      <c r="AJ61" s="139">
        <v>3.0181413183851298</v>
      </c>
      <c r="AK61" s="139">
        <v>22.687816958054899</v>
      </c>
      <c r="AL61" s="139">
        <v>0</v>
      </c>
      <c r="AM61" s="139">
        <v>256.96056832262798</v>
      </c>
      <c r="AN61" s="139">
        <v>6.6641001286414001</v>
      </c>
      <c r="AO61" s="139">
        <v>4.5513067817866899</v>
      </c>
      <c r="AP61" s="139">
        <v>0</v>
      </c>
      <c r="AQ61" s="139">
        <v>0</v>
      </c>
      <c r="AR61" s="140">
        <v>1.28729570251367</v>
      </c>
    </row>
    <row r="62" spans="2:44" ht="12" customHeight="1" x14ac:dyDescent="0.25">
      <c r="B62" s="138" t="s">
        <v>44</v>
      </c>
      <c r="C62" s="139" t="s">
        <v>33</v>
      </c>
      <c r="D62" s="139" t="s">
        <v>45</v>
      </c>
      <c r="E62" s="139" t="s">
        <v>25</v>
      </c>
      <c r="F62" s="139" t="s">
        <v>25</v>
      </c>
      <c r="G62" s="139" t="s">
        <v>34</v>
      </c>
      <c r="H62" s="139" t="s">
        <v>117</v>
      </c>
      <c r="I62" s="139" t="s">
        <v>25</v>
      </c>
      <c r="J62" s="139">
        <v>861.12</v>
      </c>
      <c r="K62" s="139">
        <v>479.45</v>
      </c>
      <c r="L62" s="139">
        <v>2.1921919771727101</v>
      </c>
      <c r="M62" s="139">
        <v>0.77995670171084797</v>
      </c>
      <c r="N62" s="139">
        <v>8.1279308922461304</v>
      </c>
      <c r="O62" s="139">
        <v>-4.7308409805046003E-3</v>
      </c>
      <c r="P62" s="139">
        <v>0</v>
      </c>
      <c r="Q62" s="139">
        <v>100.525910464345</v>
      </c>
      <c r="R62" s="139">
        <v>17.0105723380697</v>
      </c>
      <c r="S62" s="139">
        <v>0</v>
      </c>
      <c r="T62" s="139">
        <v>40.116810719458698</v>
      </c>
      <c r="U62" s="139">
        <v>0.45586389352524798</v>
      </c>
      <c r="V62" s="139">
        <v>0</v>
      </c>
      <c r="W62" s="139">
        <v>0</v>
      </c>
      <c r="X62" s="139">
        <v>118.48642456624501</v>
      </c>
      <c r="Y62" s="139">
        <v>0</v>
      </c>
      <c r="Z62" s="139">
        <v>0</v>
      </c>
      <c r="AA62" s="139">
        <v>527.84715478595001</v>
      </c>
      <c r="AB62" s="139">
        <v>0</v>
      </c>
      <c r="AC62" s="139">
        <v>0</v>
      </c>
      <c r="AD62" s="139">
        <v>40.116592022729002</v>
      </c>
      <c r="AE62" s="139">
        <v>8.9075029601743294E-2</v>
      </c>
      <c r="AF62" s="139">
        <v>0.72216698506896404</v>
      </c>
      <c r="AG62" s="139">
        <v>4.6519080343477004</v>
      </c>
      <c r="AH62" s="139">
        <v>15.6653708179894</v>
      </c>
      <c r="AI62" s="139">
        <v>-16.3992719088683</v>
      </c>
      <c r="AJ62" s="139">
        <v>3.0181413183851298</v>
      </c>
      <c r="AK62" s="139">
        <v>22.687816958054899</v>
      </c>
      <c r="AL62" s="139">
        <v>0</v>
      </c>
      <c r="AM62" s="139">
        <v>441.972177514919</v>
      </c>
      <c r="AN62" s="139">
        <v>6.6641001286414001</v>
      </c>
      <c r="AO62" s="139">
        <v>4.5513067817866899</v>
      </c>
      <c r="AP62" s="139">
        <v>0</v>
      </c>
      <c r="AQ62" s="139">
        <v>0</v>
      </c>
      <c r="AR62" s="140">
        <v>1.28729570251367</v>
      </c>
    </row>
    <row r="63" spans="2:44" ht="12" customHeight="1" x14ac:dyDescent="0.25">
      <c r="B63" s="138" t="s">
        <v>44</v>
      </c>
      <c r="C63" s="139" t="s">
        <v>33</v>
      </c>
      <c r="D63" s="139" t="s">
        <v>45</v>
      </c>
      <c r="E63" s="139" t="s">
        <v>25</v>
      </c>
      <c r="F63" s="139" t="s">
        <v>25</v>
      </c>
      <c r="G63" s="139" t="s">
        <v>36</v>
      </c>
      <c r="H63" s="139" t="s">
        <v>117</v>
      </c>
      <c r="I63" s="139" t="s">
        <v>25</v>
      </c>
      <c r="J63" s="139">
        <v>583.49</v>
      </c>
      <c r="K63" s="139">
        <v>294.44</v>
      </c>
      <c r="L63" s="139">
        <v>2.1921919771727101</v>
      </c>
      <c r="M63" s="139">
        <v>0.77995670171084797</v>
      </c>
      <c r="N63" s="139">
        <v>5.2603689557001303</v>
      </c>
      <c r="O63" s="139">
        <v>-4.7308409805046003E-3</v>
      </c>
      <c r="P63" s="139">
        <v>0</v>
      </c>
      <c r="Q63" s="139">
        <v>100.525910464345</v>
      </c>
      <c r="R63" s="139">
        <v>17.0105723380697</v>
      </c>
      <c r="S63" s="139">
        <v>0</v>
      </c>
      <c r="T63" s="139">
        <v>24.070130166325502</v>
      </c>
      <c r="U63" s="139">
        <v>0.27351451367767199</v>
      </c>
      <c r="V63" s="139">
        <v>0</v>
      </c>
      <c r="W63" s="139">
        <v>0</v>
      </c>
      <c r="X63" s="139">
        <v>71.091788704293094</v>
      </c>
      <c r="Y63" s="139">
        <v>0</v>
      </c>
      <c r="Z63" s="139">
        <v>0</v>
      </c>
      <c r="AA63" s="139">
        <v>316.70827196821</v>
      </c>
      <c r="AB63" s="139">
        <v>0</v>
      </c>
      <c r="AC63" s="139">
        <v>0</v>
      </c>
      <c r="AD63" s="139">
        <v>40.116592022729002</v>
      </c>
      <c r="AE63" s="139">
        <v>8.9075029601743294E-2</v>
      </c>
      <c r="AF63" s="139">
        <v>0.72216698506896404</v>
      </c>
      <c r="AG63" s="139">
        <v>4.6519080343477004</v>
      </c>
      <c r="AH63" s="139">
        <v>15.6653708179894</v>
      </c>
      <c r="AI63" s="139">
        <v>-16.3992719088683</v>
      </c>
      <c r="AJ63" s="139">
        <v>3.0181413183851298</v>
      </c>
      <c r="AK63" s="139">
        <v>22.687816958054899</v>
      </c>
      <c r="AL63" s="139">
        <v>0</v>
      </c>
      <c r="AM63" s="139">
        <v>256.96056832262798</v>
      </c>
      <c r="AN63" s="139">
        <v>6.6641001286414001</v>
      </c>
      <c r="AO63" s="139">
        <v>4.5513067817866899</v>
      </c>
      <c r="AP63" s="139">
        <v>0</v>
      </c>
      <c r="AQ63" s="139">
        <v>0</v>
      </c>
      <c r="AR63" s="140">
        <v>1.28729570251367</v>
      </c>
    </row>
    <row r="64" spans="2:44" ht="12" customHeight="1" x14ac:dyDescent="0.25">
      <c r="B64" s="138" t="s">
        <v>44</v>
      </c>
      <c r="C64" s="139" t="s">
        <v>33</v>
      </c>
      <c r="D64" s="139" t="s">
        <v>45</v>
      </c>
      <c r="E64" s="139" t="s">
        <v>25</v>
      </c>
      <c r="F64" s="139" t="s">
        <v>25</v>
      </c>
      <c r="G64" s="139" t="s">
        <v>35</v>
      </c>
      <c r="H64" s="139" t="s">
        <v>117</v>
      </c>
      <c r="I64" s="139" t="s">
        <v>25</v>
      </c>
      <c r="J64" s="139">
        <v>305.86</v>
      </c>
      <c r="K64" s="139">
        <v>294.44</v>
      </c>
      <c r="L64" s="139">
        <v>2.1921919771727101</v>
      </c>
      <c r="M64" s="139">
        <v>0.77995670171084797</v>
      </c>
      <c r="N64" s="139">
        <v>2.39280811505806</v>
      </c>
      <c r="O64" s="139">
        <v>-4.7308409805046003E-3</v>
      </c>
      <c r="P64" s="139">
        <v>0</v>
      </c>
      <c r="Q64" s="139">
        <v>100.525910464345</v>
      </c>
      <c r="R64" s="139">
        <v>17.0105723380697</v>
      </c>
      <c r="S64" s="139">
        <v>0</v>
      </c>
      <c r="T64" s="139">
        <v>8.0233402765665698</v>
      </c>
      <c r="U64" s="139">
        <v>9.1174689923788105E-2</v>
      </c>
      <c r="V64" s="139">
        <v>0</v>
      </c>
      <c r="W64" s="139">
        <v>0</v>
      </c>
      <c r="X64" s="139">
        <v>23.697262901430999</v>
      </c>
      <c r="Y64" s="139">
        <v>0</v>
      </c>
      <c r="Z64" s="139">
        <v>0</v>
      </c>
      <c r="AA64" s="139">
        <v>105.56938915047</v>
      </c>
      <c r="AB64" s="139">
        <v>0</v>
      </c>
      <c r="AC64" s="139">
        <v>0</v>
      </c>
      <c r="AD64" s="139">
        <v>40.116592022729002</v>
      </c>
      <c r="AE64" s="139">
        <v>8.9075029601743294E-2</v>
      </c>
      <c r="AF64" s="139">
        <v>0.72216698506896404</v>
      </c>
      <c r="AG64" s="139">
        <v>4.6519080343477004</v>
      </c>
      <c r="AH64" s="139">
        <v>15.6653708179894</v>
      </c>
      <c r="AI64" s="139">
        <v>-16.3992719088683</v>
      </c>
      <c r="AJ64" s="139">
        <v>3.0181413183851298</v>
      </c>
      <c r="AK64" s="139">
        <v>22.687816958054899</v>
      </c>
      <c r="AL64" s="139">
        <v>0</v>
      </c>
      <c r="AM64" s="139">
        <v>256.96056832262798</v>
      </c>
      <c r="AN64" s="139">
        <v>6.6641001286414001</v>
      </c>
      <c r="AO64" s="139">
        <v>4.5513067817866899</v>
      </c>
      <c r="AP64" s="139">
        <v>0</v>
      </c>
      <c r="AQ64" s="139">
        <v>0</v>
      </c>
      <c r="AR64" s="140">
        <v>1.28729570251367</v>
      </c>
    </row>
    <row r="65" spans="2:44" ht="12" customHeight="1" x14ac:dyDescent="0.25">
      <c r="B65" s="138" t="s">
        <v>44</v>
      </c>
      <c r="C65" s="139" t="s">
        <v>33</v>
      </c>
      <c r="D65" s="139" t="s">
        <v>45</v>
      </c>
      <c r="E65" s="139" t="s">
        <v>133</v>
      </c>
      <c r="F65" s="139" t="s">
        <v>25</v>
      </c>
      <c r="G65" s="139" t="s">
        <v>34</v>
      </c>
      <c r="H65" s="139" t="s">
        <v>117</v>
      </c>
      <c r="I65" s="139" t="s">
        <v>25</v>
      </c>
      <c r="J65" s="139">
        <v>842.8</v>
      </c>
      <c r="K65" s="139">
        <v>469.25</v>
      </c>
      <c r="L65" s="139">
        <v>2.1455495946796801</v>
      </c>
      <c r="M65" s="139">
        <v>0.76336187827019197</v>
      </c>
      <c r="N65" s="139">
        <v>7.9549961924111097</v>
      </c>
      <c r="O65" s="139">
        <v>-4.6301847894300403E-3</v>
      </c>
      <c r="P65" s="139">
        <v>0</v>
      </c>
      <c r="Q65" s="139">
        <v>98.387061305529102</v>
      </c>
      <c r="R65" s="139">
        <v>16.648645267046899</v>
      </c>
      <c r="S65" s="139">
        <v>0</v>
      </c>
      <c r="T65" s="139">
        <v>39.263261555214903</v>
      </c>
      <c r="U65" s="139">
        <v>0.44616466174811498</v>
      </c>
      <c r="V65" s="139">
        <v>0</v>
      </c>
      <c r="W65" s="139">
        <v>0</v>
      </c>
      <c r="X65" s="139">
        <v>115.965436809517</v>
      </c>
      <c r="Y65" s="139">
        <v>0</v>
      </c>
      <c r="Z65" s="139">
        <v>0</v>
      </c>
      <c r="AA65" s="139">
        <v>516.61636425858899</v>
      </c>
      <c r="AB65" s="139">
        <v>0</v>
      </c>
      <c r="AC65" s="139">
        <v>0</v>
      </c>
      <c r="AD65" s="139">
        <v>39.263047511607098</v>
      </c>
      <c r="AE65" s="139">
        <v>8.7179816205961505E-2</v>
      </c>
      <c r="AF65" s="139">
        <v>0.70680173006749702</v>
      </c>
      <c r="AG65" s="139">
        <v>4.5529312676594502</v>
      </c>
      <c r="AH65" s="139">
        <v>15.332065055904501</v>
      </c>
      <c r="AI65" s="139">
        <v>-16.050351229956199</v>
      </c>
      <c r="AJ65" s="139">
        <v>2.9539255456535298</v>
      </c>
      <c r="AK65" s="139">
        <v>22.205097448309001</v>
      </c>
      <c r="AL65" s="139">
        <v>0</v>
      </c>
      <c r="AM65" s="139">
        <v>432.568514163538</v>
      </c>
      <c r="AN65" s="139">
        <v>6.5223107642022198</v>
      </c>
      <c r="AO65" s="139">
        <v>4.4544704672805899</v>
      </c>
      <c r="AP65" s="139">
        <v>0</v>
      </c>
      <c r="AQ65" s="139">
        <v>0</v>
      </c>
      <c r="AR65" s="140">
        <v>1.25990643224742</v>
      </c>
    </row>
    <row r="66" spans="2:44" ht="12" customHeight="1" x14ac:dyDescent="0.25">
      <c r="B66" s="138" t="s">
        <v>44</v>
      </c>
      <c r="C66" s="139" t="s">
        <v>33</v>
      </c>
      <c r="D66" s="139" t="s">
        <v>45</v>
      </c>
      <c r="E66" s="139" t="s">
        <v>133</v>
      </c>
      <c r="F66" s="139" t="s">
        <v>25</v>
      </c>
      <c r="G66" s="139" t="s">
        <v>36</v>
      </c>
      <c r="H66" s="139" t="s">
        <v>117</v>
      </c>
      <c r="I66" s="139" t="s">
        <v>25</v>
      </c>
      <c r="J66" s="139">
        <v>571.07000000000005</v>
      </c>
      <c r="K66" s="139">
        <v>288.17</v>
      </c>
      <c r="L66" s="139">
        <v>2.1455495946796801</v>
      </c>
      <c r="M66" s="139">
        <v>0.76336187827019197</v>
      </c>
      <c r="N66" s="139">
        <v>5.1484462119618302</v>
      </c>
      <c r="O66" s="139">
        <v>-4.6301847894300403E-3</v>
      </c>
      <c r="P66" s="139">
        <v>0</v>
      </c>
      <c r="Q66" s="139">
        <v>98.387061305529102</v>
      </c>
      <c r="R66" s="139">
        <v>16.648645267046899</v>
      </c>
      <c r="S66" s="139">
        <v>0</v>
      </c>
      <c r="T66" s="139">
        <v>23.5579997372548</v>
      </c>
      <c r="U66" s="139">
        <v>0.26769505593984899</v>
      </c>
      <c r="V66" s="139">
        <v>0</v>
      </c>
      <c r="W66" s="139">
        <v>0</v>
      </c>
      <c r="X66" s="139">
        <v>69.5791974552656</v>
      </c>
      <c r="Y66" s="139">
        <v>0</v>
      </c>
      <c r="Z66" s="139">
        <v>0</v>
      </c>
      <c r="AA66" s="139">
        <v>309.96979809654601</v>
      </c>
      <c r="AB66" s="139">
        <v>0</v>
      </c>
      <c r="AC66" s="139">
        <v>0</v>
      </c>
      <c r="AD66" s="139">
        <v>39.263047511607098</v>
      </c>
      <c r="AE66" s="139">
        <v>8.7179816205961505E-2</v>
      </c>
      <c r="AF66" s="139">
        <v>0.70680173006749702</v>
      </c>
      <c r="AG66" s="139">
        <v>4.5529312676594502</v>
      </c>
      <c r="AH66" s="139">
        <v>15.332065055904501</v>
      </c>
      <c r="AI66" s="139">
        <v>-16.050351229956199</v>
      </c>
      <c r="AJ66" s="139">
        <v>2.9539255456535298</v>
      </c>
      <c r="AK66" s="139">
        <v>22.205097448309001</v>
      </c>
      <c r="AL66" s="139">
        <v>0</v>
      </c>
      <c r="AM66" s="139">
        <v>251.493322188104</v>
      </c>
      <c r="AN66" s="139">
        <v>6.5223107642022198</v>
      </c>
      <c r="AO66" s="139">
        <v>4.4544704672805899</v>
      </c>
      <c r="AP66" s="139">
        <v>0</v>
      </c>
      <c r="AQ66" s="139">
        <v>0</v>
      </c>
      <c r="AR66" s="140">
        <v>1.25990643224742</v>
      </c>
    </row>
    <row r="67" spans="2:44" ht="12" customHeight="1" x14ac:dyDescent="0.25">
      <c r="B67" s="138" t="s">
        <v>44</v>
      </c>
      <c r="C67" s="139" t="s">
        <v>33</v>
      </c>
      <c r="D67" s="139" t="s">
        <v>45</v>
      </c>
      <c r="E67" s="139" t="s">
        <v>133</v>
      </c>
      <c r="F67" s="139" t="s">
        <v>25</v>
      </c>
      <c r="G67" s="139" t="s">
        <v>35</v>
      </c>
      <c r="H67" s="139" t="s">
        <v>117</v>
      </c>
      <c r="I67" s="139" t="s">
        <v>25</v>
      </c>
      <c r="J67" s="139">
        <v>299.35000000000002</v>
      </c>
      <c r="K67" s="139">
        <v>288.17</v>
      </c>
      <c r="L67" s="139">
        <v>2.1455495946796801</v>
      </c>
      <c r="M67" s="139">
        <v>0.76336187827019197</v>
      </c>
      <c r="N67" s="139">
        <v>2.3418973040993798</v>
      </c>
      <c r="O67" s="139">
        <v>-4.6301847894300403E-3</v>
      </c>
      <c r="P67" s="139">
        <v>0</v>
      </c>
      <c r="Q67" s="139">
        <v>98.387061305529102</v>
      </c>
      <c r="R67" s="139">
        <v>16.648645267046899</v>
      </c>
      <c r="S67" s="139">
        <v>0</v>
      </c>
      <c r="T67" s="139">
        <v>7.8526309089800499</v>
      </c>
      <c r="U67" s="139">
        <v>8.9234802904133104E-2</v>
      </c>
      <c r="V67" s="139">
        <v>0</v>
      </c>
      <c r="W67" s="139">
        <v>0</v>
      </c>
      <c r="X67" s="139">
        <v>23.1930658184219</v>
      </c>
      <c r="Y67" s="139">
        <v>0</v>
      </c>
      <c r="Z67" s="139">
        <v>0</v>
      </c>
      <c r="AA67" s="139">
        <v>103.323231934502</v>
      </c>
      <c r="AB67" s="139">
        <v>0</v>
      </c>
      <c r="AC67" s="139">
        <v>0</v>
      </c>
      <c r="AD67" s="139">
        <v>39.263047511607098</v>
      </c>
      <c r="AE67" s="139">
        <v>8.7179816205961505E-2</v>
      </c>
      <c r="AF67" s="139">
        <v>0.70680173006749702</v>
      </c>
      <c r="AG67" s="139">
        <v>4.5529312676594502</v>
      </c>
      <c r="AH67" s="139">
        <v>15.332065055904501</v>
      </c>
      <c r="AI67" s="139">
        <v>-16.050351229956199</v>
      </c>
      <c r="AJ67" s="139">
        <v>2.9539255456535298</v>
      </c>
      <c r="AK67" s="139">
        <v>22.205097448309001</v>
      </c>
      <c r="AL67" s="139">
        <v>0</v>
      </c>
      <c r="AM67" s="139">
        <v>251.493322188104</v>
      </c>
      <c r="AN67" s="139">
        <v>6.5223107642022198</v>
      </c>
      <c r="AO67" s="139">
        <v>4.4544704672805899</v>
      </c>
      <c r="AP67" s="139">
        <v>0</v>
      </c>
      <c r="AQ67" s="139">
        <v>0</v>
      </c>
      <c r="AR67" s="140">
        <v>1.25990643224742</v>
      </c>
    </row>
    <row r="68" spans="2:44" ht="12" customHeight="1" x14ac:dyDescent="0.25">
      <c r="B68" s="138" t="s">
        <v>44</v>
      </c>
      <c r="C68" s="139" t="s">
        <v>23</v>
      </c>
      <c r="D68" s="139" t="s">
        <v>45</v>
      </c>
      <c r="E68" s="139" t="s">
        <v>132</v>
      </c>
      <c r="F68" s="139" t="s">
        <v>25</v>
      </c>
      <c r="G68" s="139" t="s">
        <v>25</v>
      </c>
      <c r="H68" s="139" t="s">
        <v>117</v>
      </c>
      <c r="I68" s="139" t="s">
        <v>25</v>
      </c>
      <c r="J68" s="139">
        <v>410.58</v>
      </c>
      <c r="K68" s="139">
        <v>309.85000000000002</v>
      </c>
      <c r="L68" s="139">
        <v>2.1921919771727101</v>
      </c>
      <c r="M68" s="139">
        <v>0.77995670171084797</v>
      </c>
      <c r="N68" s="139">
        <v>3.4744324119607</v>
      </c>
      <c r="O68" s="139">
        <v>-4.7308409805046003E-3</v>
      </c>
      <c r="P68" s="139">
        <v>0</v>
      </c>
      <c r="Q68" s="139">
        <v>100.525910464345</v>
      </c>
      <c r="R68" s="139">
        <v>17.0105723380697</v>
      </c>
      <c r="S68" s="139">
        <v>0</v>
      </c>
      <c r="T68" s="139">
        <v>14.0761065458213</v>
      </c>
      <c r="U68" s="139">
        <v>0.159949896231461</v>
      </c>
      <c r="V68" s="139">
        <v>0</v>
      </c>
      <c r="W68" s="139">
        <v>0</v>
      </c>
      <c r="X68" s="139">
        <v>41.574160887996896</v>
      </c>
      <c r="Y68" s="139">
        <v>0</v>
      </c>
      <c r="Z68" s="139">
        <v>0</v>
      </c>
      <c r="AA68" s="139">
        <v>185.20951882693001</v>
      </c>
      <c r="AB68" s="139">
        <v>0</v>
      </c>
      <c r="AC68" s="139">
        <v>0</v>
      </c>
      <c r="AD68" s="139">
        <v>40.116592022729002</v>
      </c>
      <c r="AE68" s="139">
        <v>8.9075029601743294E-2</v>
      </c>
      <c r="AF68" s="139">
        <v>0.72216698506896404</v>
      </c>
      <c r="AG68" s="139">
        <v>4.6519080343477004</v>
      </c>
      <c r="AH68" s="139">
        <v>15.6653708179894</v>
      </c>
      <c r="AI68" s="139">
        <v>-16.3992719088683</v>
      </c>
      <c r="AJ68" s="139">
        <v>3.0181413183851298</v>
      </c>
      <c r="AK68" s="139">
        <v>22.687816958054899</v>
      </c>
      <c r="AL68" s="139">
        <v>0</v>
      </c>
      <c r="AM68" s="139">
        <v>272.37820242198501</v>
      </c>
      <c r="AN68" s="139">
        <v>6.6641001286414001</v>
      </c>
      <c r="AO68" s="139">
        <v>4.5513067817866899</v>
      </c>
      <c r="AP68" s="139">
        <v>0</v>
      </c>
      <c r="AQ68" s="139">
        <v>0</v>
      </c>
      <c r="AR68" s="140">
        <v>1.28729570251367</v>
      </c>
    </row>
    <row r="69" spans="2:44" ht="12" customHeight="1" x14ac:dyDescent="0.25">
      <c r="B69" s="138" t="s">
        <v>44</v>
      </c>
      <c r="C69" s="139" t="s">
        <v>23</v>
      </c>
      <c r="D69" s="139" t="s">
        <v>45</v>
      </c>
      <c r="E69" s="139" t="s">
        <v>25</v>
      </c>
      <c r="F69" s="139" t="s">
        <v>25</v>
      </c>
      <c r="G69" s="139" t="s">
        <v>25</v>
      </c>
      <c r="H69" s="139" t="s">
        <v>117</v>
      </c>
      <c r="I69" s="139" t="s">
        <v>25</v>
      </c>
      <c r="J69" s="139">
        <v>410.58</v>
      </c>
      <c r="K69" s="139">
        <v>309.85000000000002</v>
      </c>
      <c r="L69" s="139">
        <v>2.1921919771727101</v>
      </c>
      <c r="M69" s="139">
        <v>0.77995670171084797</v>
      </c>
      <c r="N69" s="139">
        <v>3.4744324119607</v>
      </c>
      <c r="O69" s="139">
        <v>-4.7308409805046003E-3</v>
      </c>
      <c r="P69" s="139">
        <v>0</v>
      </c>
      <c r="Q69" s="139">
        <v>100.525910464345</v>
      </c>
      <c r="R69" s="139">
        <v>17.0105723380697</v>
      </c>
      <c r="S69" s="139">
        <v>0</v>
      </c>
      <c r="T69" s="139">
        <v>14.0761065458213</v>
      </c>
      <c r="U69" s="139">
        <v>0.159949896231461</v>
      </c>
      <c r="V69" s="139">
        <v>0</v>
      </c>
      <c r="W69" s="139">
        <v>0</v>
      </c>
      <c r="X69" s="139">
        <v>41.574160887996896</v>
      </c>
      <c r="Y69" s="139">
        <v>0</v>
      </c>
      <c r="Z69" s="139">
        <v>0</v>
      </c>
      <c r="AA69" s="139">
        <v>185.20951882693001</v>
      </c>
      <c r="AB69" s="139">
        <v>0</v>
      </c>
      <c r="AC69" s="139">
        <v>0</v>
      </c>
      <c r="AD69" s="139">
        <v>40.116592022729002</v>
      </c>
      <c r="AE69" s="139">
        <v>8.9075029601743294E-2</v>
      </c>
      <c r="AF69" s="139">
        <v>0.72216698506896404</v>
      </c>
      <c r="AG69" s="139">
        <v>4.6519080343477004</v>
      </c>
      <c r="AH69" s="139">
        <v>15.6653708179894</v>
      </c>
      <c r="AI69" s="139">
        <v>-16.3992719088683</v>
      </c>
      <c r="AJ69" s="139">
        <v>3.0181413183851298</v>
      </c>
      <c r="AK69" s="139">
        <v>22.687816958054899</v>
      </c>
      <c r="AL69" s="139">
        <v>0</v>
      </c>
      <c r="AM69" s="139">
        <v>272.37820242198501</v>
      </c>
      <c r="AN69" s="139">
        <v>6.6641001286414001</v>
      </c>
      <c r="AO69" s="139">
        <v>4.5513067817866899</v>
      </c>
      <c r="AP69" s="139">
        <v>0</v>
      </c>
      <c r="AQ69" s="139">
        <v>0</v>
      </c>
      <c r="AR69" s="140">
        <v>1.28729570251367</v>
      </c>
    </row>
    <row r="70" spans="2:44" ht="12" customHeight="1" x14ac:dyDescent="0.25">
      <c r="B70" s="138" t="s">
        <v>44</v>
      </c>
      <c r="C70" s="139" t="s">
        <v>23</v>
      </c>
      <c r="D70" s="139" t="s">
        <v>45</v>
      </c>
      <c r="E70" s="139" t="s">
        <v>133</v>
      </c>
      <c r="F70" s="139" t="s">
        <v>25</v>
      </c>
      <c r="G70" s="139" t="s">
        <v>25</v>
      </c>
      <c r="H70" s="139" t="s">
        <v>117</v>
      </c>
      <c r="I70" s="139" t="s">
        <v>25</v>
      </c>
      <c r="J70" s="139">
        <v>401.84</v>
      </c>
      <c r="K70" s="139">
        <v>303.26</v>
      </c>
      <c r="L70" s="139">
        <v>2.1455495946796801</v>
      </c>
      <c r="M70" s="139">
        <v>0.76336187827019197</v>
      </c>
      <c r="N70" s="139">
        <v>3.4005083180892002</v>
      </c>
      <c r="O70" s="139">
        <v>-4.6301847894300403E-3</v>
      </c>
      <c r="P70" s="139">
        <v>0</v>
      </c>
      <c r="Q70" s="139">
        <v>98.387061305529102</v>
      </c>
      <c r="R70" s="139">
        <v>16.648645267046899</v>
      </c>
      <c r="S70" s="139">
        <v>0</v>
      </c>
      <c r="T70" s="139">
        <v>13.7766149171868</v>
      </c>
      <c r="U70" s="139">
        <v>0.15654670694994</v>
      </c>
      <c r="V70" s="139">
        <v>0</v>
      </c>
      <c r="W70" s="139">
        <v>0</v>
      </c>
      <c r="X70" s="139">
        <v>40.689604273358697</v>
      </c>
      <c r="Y70" s="139">
        <v>0</v>
      </c>
      <c r="Z70" s="139">
        <v>0</v>
      </c>
      <c r="AA70" s="139">
        <v>181.26889076678199</v>
      </c>
      <c r="AB70" s="139">
        <v>0</v>
      </c>
      <c r="AC70" s="139">
        <v>0</v>
      </c>
      <c r="AD70" s="139">
        <v>39.263047511607098</v>
      </c>
      <c r="AE70" s="139">
        <v>8.7179816205961505E-2</v>
      </c>
      <c r="AF70" s="139">
        <v>0.70680173006749702</v>
      </c>
      <c r="AG70" s="139">
        <v>4.5529312676594502</v>
      </c>
      <c r="AH70" s="139">
        <v>15.332065055904501</v>
      </c>
      <c r="AI70" s="139">
        <v>-16.050351229956199</v>
      </c>
      <c r="AJ70" s="139">
        <v>2.9539255456535298</v>
      </c>
      <c r="AK70" s="139">
        <v>22.205097448309001</v>
      </c>
      <c r="AL70" s="139">
        <v>0</v>
      </c>
      <c r="AM70" s="139">
        <v>266.58292151939003</v>
      </c>
      <c r="AN70" s="139">
        <v>6.5223107642022198</v>
      </c>
      <c r="AO70" s="139">
        <v>4.4544704672805899</v>
      </c>
      <c r="AP70" s="139">
        <v>0</v>
      </c>
      <c r="AQ70" s="139">
        <v>0</v>
      </c>
      <c r="AR70" s="140">
        <v>1.25990643224742</v>
      </c>
    </row>
    <row r="71" spans="2:44" ht="12" customHeight="1" x14ac:dyDescent="0.25">
      <c r="B71" s="138" t="s">
        <v>44</v>
      </c>
      <c r="C71" s="139" t="s">
        <v>131</v>
      </c>
      <c r="D71" s="139" t="s">
        <v>45</v>
      </c>
      <c r="E71" s="139" t="s">
        <v>132</v>
      </c>
      <c r="F71" s="139" t="s">
        <v>25</v>
      </c>
      <c r="G71" s="139" t="s">
        <v>25</v>
      </c>
      <c r="H71" s="139" t="s">
        <v>117</v>
      </c>
      <c r="I71" s="139" t="s">
        <v>25</v>
      </c>
      <c r="J71" s="139">
        <v>410.58</v>
      </c>
      <c r="K71" s="139">
        <v>309.85000000000002</v>
      </c>
      <c r="L71" s="139">
        <v>2.1921919771727101</v>
      </c>
      <c r="M71" s="139">
        <v>0.77995670171084797</v>
      </c>
      <c r="N71" s="139">
        <v>3.4744324119607</v>
      </c>
      <c r="O71" s="139">
        <v>-4.7308409805046003E-3</v>
      </c>
      <c r="P71" s="139">
        <v>0</v>
      </c>
      <c r="Q71" s="139">
        <v>100.525910464345</v>
      </c>
      <c r="R71" s="139">
        <v>17.0105723380697</v>
      </c>
      <c r="S71" s="139">
        <v>0</v>
      </c>
      <c r="T71" s="139">
        <v>14.0761065458213</v>
      </c>
      <c r="U71" s="139">
        <v>0.159949896231461</v>
      </c>
      <c r="V71" s="139">
        <v>0</v>
      </c>
      <c r="W71" s="139">
        <v>0</v>
      </c>
      <c r="X71" s="139">
        <v>41.574160887996896</v>
      </c>
      <c r="Y71" s="139">
        <v>0</v>
      </c>
      <c r="Z71" s="139">
        <v>0</v>
      </c>
      <c r="AA71" s="139">
        <v>185.20951882693001</v>
      </c>
      <c r="AB71" s="139">
        <v>0</v>
      </c>
      <c r="AC71" s="139">
        <v>0</v>
      </c>
      <c r="AD71" s="139">
        <v>40.116592022729002</v>
      </c>
      <c r="AE71" s="139">
        <v>8.9075029601743294E-2</v>
      </c>
      <c r="AF71" s="139">
        <v>0.72216698506896404</v>
      </c>
      <c r="AG71" s="139">
        <v>4.6519080343477004</v>
      </c>
      <c r="AH71" s="139">
        <v>15.6653708179894</v>
      </c>
      <c r="AI71" s="139">
        <v>-16.3992719088683</v>
      </c>
      <c r="AJ71" s="139">
        <v>3.0181413183851298</v>
      </c>
      <c r="AK71" s="139">
        <v>22.687816958054899</v>
      </c>
      <c r="AL71" s="139">
        <v>0</v>
      </c>
      <c r="AM71" s="139">
        <v>272.37820242198501</v>
      </c>
      <c r="AN71" s="139">
        <v>6.6641001286414001</v>
      </c>
      <c r="AO71" s="139">
        <v>4.5513067817866899</v>
      </c>
      <c r="AP71" s="139">
        <v>0</v>
      </c>
      <c r="AQ71" s="139">
        <v>0</v>
      </c>
      <c r="AR71" s="140">
        <v>1.28729570251367</v>
      </c>
    </row>
    <row r="72" spans="2:44" ht="12" customHeight="1" x14ac:dyDescent="0.25">
      <c r="B72" s="138" t="s">
        <v>44</v>
      </c>
      <c r="C72" s="139" t="s">
        <v>131</v>
      </c>
      <c r="D72" s="139" t="s">
        <v>45</v>
      </c>
      <c r="E72" s="139" t="s">
        <v>25</v>
      </c>
      <c r="F72" s="139" t="s">
        <v>25</v>
      </c>
      <c r="G72" s="139" t="s">
        <v>25</v>
      </c>
      <c r="H72" s="139" t="s">
        <v>117</v>
      </c>
      <c r="I72" s="139" t="s">
        <v>25</v>
      </c>
      <c r="J72" s="139">
        <v>410.58</v>
      </c>
      <c r="K72" s="139">
        <v>309.85000000000002</v>
      </c>
      <c r="L72" s="139">
        <v>2.1921919771727101</v>
      </c>
      <c r="M72" s="139">
        <v>0.77995670171084797</v>
      </c>
      <c r="N72" s="139">
        <v>3.4744324119607</v>
      </c>
      <c r="O72" s="139">
        <v>-4.7308409805046003E-3</v>
      </c>
      <c r="P72" s="139">
        <v>0</v>
      </c>
      <c r="Q72" s="139">
        <v>100.525910464345</v>
      </c>
      <c r="R72" s="139">
        <v>17.0105723380697</v>
      </c>
      <c r="S72" s="139">
        <v>0</v>
      </c>
      <c r="T72" s="139">
        <v>14.0761065458213</v>
      </c>
      <c r="U72" s="139">
        <v>0.159949896231461</v>
      </c>
      <c r="V72" s="139">
        <v>0</v>
      </c>
      <c r="W72" s="139">
        <v>0</v>
      </c>
      <c r="X72" s="139">
        <v>41.574160887996896</v>
      </c>
      <c r="Y72" s="139">
        <v>0</v>
      </c>
      <c r="Z72" s="139">
        <v>0</v>
      </c>
      <c r="AA72" s="139">
        <v>185.20951882693001</v>
      </c>
      <c r="AB72" s="139">
        <v>0</v>
      </c>
      <c r="AC72" s="139">
        <v>0</v>
      </c>
      <c r="AD72" s="139">
        <v>40.116592022729002</v>
      </c>
      <c r="AE72" s="139">
        <v>8.9075029601743294E-2</v>
      </c>
      <c r="AF72" s="139">
        <v>0.72216698506896404</v>
      </c>
      <c r="AG72" s="139">
        <v>4.6519080343477004</v>
      </c>
      <c r="AH72" s="139">
        <v>15.6653708179894</v>
      </c>
      <c r="AI72" s="139">
        <v>-16.3992719088683</v>
      </c>
      <c r="AJ72" s="139">
        <v>3.0181413183851298</v>
      </c>
      <c r="AK72" s="139">
        <v>22.687816958054899</v>
      </c>
      <c r="AL72" s="139">
        <v>0</v>
      </c>
      <c r="AM72" s="139">
        <v>272.37820242198501</v>
      </c>
      <c r="AN72" s="139">
        <v>6.6641001286414001</v>
      </c>
      <c r="AO72" s="139">
        <v>4.5513067817866899</v>
      </c>
      <c r="AP72" s="139">
        <v>0</v>
      </c>
      <c r="AQ72" s="139">
        <v>0</v>
      </c>
      <c r="AR72" s="140">
        <v>1.28729570251367</v>
      </c>
    </row>
    <row r="73" spans="2:44" ht="12" customHeight="1" x14ac:dyDescent="0.25">
      <c r="B73" s="138" t="s">
        <v>44</v>
      </c>
      <c r="C73" s="139" t="s">
        <v>131</v>
      </c>
      <c r="D73" s="139" t="s">
        <v>45</v>
      </c>
      <c r="E73" s="139" t="s">
        <v>133</v>
      </c>
      <c r="F73" s="139" t="s">
        <v>25</v>
      </c>
      <c r="G73" s="139" t="s">
        <v>25</v>
      </c>
      <c r="H73" s="139" t="s">
        <v>117</v>
      </c>
      <c r="I73" s="139" t="s">
        <v>25</v>
      </c>
      <c r="J73" s="139">
        <v>401.84</v>
      </c>
      <c r="K73" s="139">
        <v>303.26</v>
      </c>
      <c r="L73" s="139">
        <v>2.1455495946796801</v>
      </c>
      <c r="M73" s="139">
        <v>0.76336187827019197</v>
      </c>
      <c r="N73" s="139">
        <v>3.4005083180892002</v>
      </c>
      <c r="O73" s="139">
        <v>-4.6301847894300403E-3</v>
      </c>
      <c r="P73" s="139">
        <v>0</v>
      </c>
      <c r="Q73" s="139">
        <v>98.387061305529102</v>
      </c>
      <c r="R73" s="139">
        <v>16.648645267046899</v>
      </c>
      <c r="S73" s="139">
        <v>0</v>
      </c>
      <c r="T73" s="139">
        <v>13.7766149171868</v>
      </c>
      <c r="U73" s="139">
        <v>0.15654670694994</v>
      </c>
      <c r="V73" s="139">
        <v>0</v>
      </c>
      <c r="W73" s="139">
        <v>0</v>
      </c>
      <c r="X73" s="139">
        <v>40.689604273358697</v>
      </c>
      <c r="Y73" s="139">
        <v>0</v>
      </c>
      <c r="Z73" s="139">
        <v>0</v>
      </c>
      <c r="AA73" s="139">
        <v>181.26889076678199</v>
      </c>
      <c r="AB73" s="139">
        <v>0</v>
      </c>
      <c r="AC73" s="139">
        <v>0</v>
      </c>
      <c r="AD73" s="139">
        <v>39.263047511607098</v>
      </c>
      <c r="AE73" s="139">
        <v>8.7179816205961505E-2</v>
      </c>
      <c r="AF73" s="139">
        <v>0.70680173006749702</v>
      </c>
      <c r="AG73" s="139">
        <v>4.5529312676594502</v>
      </c>
      <c r="AH73" s="139">
        <v>15.332065055904501</v>
      </c>
      <c r="AI73" s="139">
        <v>-16.050351229956199</v>
      </c>
      <c r="AJ73" s="139">
        <v>2.9539255456535298</v>
      </c>
      <c r="AK73" s="139">
        <v>22.205097448309001</v>
      </c>
      <c r="AL73" s="139">
        <v>0</v>
      </c>
      <c r="AM73" s="139">
        <v>266.58292151939003</v>
      </c>
      <c r="AN73" s="139">
        <v>6.5223107642022198</v>
      </c>
      <c r="AO73" s="139">
        <v>4.4544704672805899</v>
      </c>
      <c r="AP73" s="139">
        <v>0</v>
      </c>
      <c r="AQ73" s="139">
        <v>0</v>
      </c>
      <c r="AR73" s="140">
        <v>1.25990643224742</v>
      </c>
    </row>
    <row r="74" spans="2:44" ht="12" customHeight="1" x14ac:dyDescent="0.25">
      <c r="B74" s="138" t="s">
        <v>37</v>
      </c>
      <c r="C74" s="139" t="s">
        <v>33</v>
      </c>
      <c r="D74" s="139" t="s">
        <v>25</v>
      </c>
      <c r="E74" s="139" t="s">
        <v>25</v>
      </c>
      <c r="F74" s="139" t="s">
        <v>25</v>
      </c>
      <c r="G74" s="139" t="s">
        <v>34</v>
      </c>
      <c r="H74" s="139" t="s">
        <v>117</v>
      </c>
      <c r="I74" s="139" t="s">
        <v>25</v>
      </c>
      <c r="J74" s="139">
        <v>1058.58</v>
      </c>
      <c r="K74" s="139">
        <v>510.05</v>
      </c>
      <c r="L74" s="139">
        <v>2.33211912465182</v>
      </c>
      <c r="M74" s="139">
        <v>0.82974117203281705</v>
      </c>
      <c r="N74" s="139">
        <v>10.118512977693699</v>
      </c>
      <c r="O74" s="139">
        <v>-5.0328095537283003E-3</v>
      </c>
      <c r="P74" s="139">
        <v>0</v>
      </c>
      <c r="Q74" s="139">
        <v>106.942457940792</v>
      </c>
      <c r="R74" s="139">
        <v>18.096353551138002</v>
      </c>
      <c r="S74" s="139">
        <v>0</v>
      </c>
      <c r="T74" s="139">
        <v>50.913414026081</v>
      </c>
      <c r="U74" s="139">
        <v>0.57855031070417096</v>
      </c>
      <c r="V74" s="139">
        <v>0</v>
      </c>
      <c r="W74" s="139">
        <v>0</v>
      </c>
      <c r="X74" s="139">
        <v>150.374671322155</v>
      </c>
      <c r="Y74" s="139">
        <v>0</v>
      </c>
      <c r="Z74" s="139">
        <v>0</v>
      </c>
      <c r="AA74" s="139">
        <v>669.90677022506497</v>
      </c>
      <c r="AB74" s="139">
        <v>0</v>
      </c>
      <c r="AC74" s="139">
        <v>0</v>
      </c>
      <c r="AD74" s="139">
        <v>42.677225556094598</v>
      </c>
      <c r="AE74" s="139">
        <v>9.4760669789088606E-2</v>
      </c>
      <c r="AF74" s="139">
        <v>0.76826275007336597</v>
      </c>
      <c r="AG74" s="139">
        <v>4.9488383344124403</v>
      </c>
      <c r="AH74" s="139">
        <v>16.665288104243999</v>
      </c>
      <c r="AI74" s="139">
        <v>-17.446033945604601</v>
      </c>
      <c r="AJ74" s="139">
        <v>3.2107886365799301</v>
      </c>
      <c r="AK74" s="139">
        <v>24.135975487292399</v>
      </c>
      <c r="AL74" s="139">
        <v>0</v>
      </c>
      <c r="AM74" s="139">
        <v>470.18316756906302</v>
      </c>
      <c r="AN74" s="139">
        <v>7.0894682219589402</v>
      </c>
      <c r="AO74" s="139">
        <v>4.8418157253049898</v>
      </c>
      <c r="AP74" s="139">
        <v>0</v>
      </c>
      <c r="AQ74" s="139">
        <v>0</v>
      </c>
      <c r="AR74" s="140">
        <v>1.36946351331241</v>
      </c>
    </row>
    <row r="75" spans="2:44" ht="12" customHeight="1" x14ac:dyDescent="0.25">
      <c r="B75" s="138" t="s">
        <v>37</v>
      </c>
      <c r="C75" s="139" t="s">
        <v>33</v>
      </c>
      <c r="D75" s="139" t="s">
        <v>25</v>
      </c>
      <c r="E75" s="139" t="s">
        <v>25</v>
      </c>
      <c r="F75" s="139" t="s">
        <v>25</v>
      </c>
      <c r="G75" s="139" t="s">
        <v>36</v>
      </c>
      <c r="H75" s="139" t="s">
        <v>117</v>
      </c>
      <c r="I75" s="139" t="s">
        <v>25</v>
      </c>
      <c r="J75" s="139">
        <v>706.23</v>
      </c>
      <c r="K75" s="139">
        <v>313.23</v>
      </c>
      <c r="L75" s="139">
        <v>2.33211912465182</v>
      </c>
      <c r="M75" s="139">
        <v>0.82974117203281705</v>
      </c>
      <c r="N75" s="139">
        <v>6.4792049111647003</v>
      </c>
      <c r="O75" s="139">
        <v>-5.0328095537283003E-3</v>
      </c>
      <c r="P75" s="139">
        <v>0</v>
      </c>
      <c r="Q75" s="139">
        <v>106.942457940792</v>
      </c>
      <c r="R75" s="139">
        <v>18.096353551138002</v>
      </c>
      <c r="S75" s="139">
        <v>0</v>
      </c>
      <c r="T75" s="139">
        <v>30.5480716787605</v>
      </c>
      <c r="U75" s="139">
        <v>0.34713018642250199</v>
      </c>
      <c r="V75" s="139">
        <v>0</v>
      </c>
      <c r="W75" s="139">
        <v>0</v>
      </c>
      <c r="X75" s="139">
        <v>90.224802793292795</v>
      </c>
      <c r="Y75" s="139">
        <v>0</v>
      </c>
      <c r="Z75" s="139">
        <v>0</v>
      </c>
      <c r="AA75" s="139">
        <v>401.94403989742199</v>
      </c>
      <c r="AB75" s="139">
        <v>0</v>
      </c>
      <c r="AC75" s="139">
        <v>0</v>
      </c>
      <c r="AD75" s="139">
        <v>42.677225556094598</v>
      </c>
      <c r="AE75" s="139">
        <v>9.4760669789088606E-2</v>
      </c>
      <c r="AF75" s="139">
        <v>0.76826275007336597</v>
      </c>
      <c r="AG75" s="139">
        <v>4.9488383344124403</v>
      </c>
      <c r="AH75" s="139">
        <v>16.665288104243999</v>
      </c>
      <c r="AI75" s="139">
        <v>-17.446033945604601</v>
      </c>
      <c r="AJ75" s="139">
        <v>3.2107886365799301</v>
      </c>
      <c r="AK75" s="139">
        <v>24.135975487292399</v>
      </c>
      <c r="AL75" s="139">
        <v>0</v>
      </c>
      <c r="AM75" s="139">
        <v>273.36230672620002</v>
      </c>
      <c r="AN75" s="139">
        <v>7.0894682219589402</v>
      </c>
      <c r="AO75" s="139">
        <v>4.8418157253049898</v>
      </c>
      <c r="AP75" s="139">
        <v>0</v>
      </c>
      <c r="AQ75" s="139">
        <v>0</v>
      </c>
      <c r="AR75" s="140">
        <v>1.36946351331241</v>
      </c>
    </row>
    <row r="76" spans="2:44" ht="12" customHeight="1" x14ac:dyDescent="0.25">
      <c r="B76" s="138" t="s">
        <v>37</v>
      </c>
      <c r="C76" s="139" t="s">
        <v>33</v>
      </c>
      <c r="D76" s="139" t="s">
        <v>25</v>
      </c>
      <c r="E76" s="139" t="s">
        <v>25</v>
      </c>
      <c r="F76" s="139" t="s">
        <v>25</v>
      </c>
      <c r="G76" s="139" t="s">
        <v>35</v>
      </c>
      <c r="H76" s="139" t="s">
        <v>117</v>
      </c>
      <c r="I76" s="139" t="s">
        <v>25</v>
      </c>
      <c r="J76" s="139">
        <v>353.88</v>
      </c>
      <c r="K76" s="139">
        <v>313.23</v>
      </c>
      <c r="L76" s="139">
        <v>2.33211912465182</v>
      </c>
      <c r="M76" s="139">
        <v>0.82974117203281705</v>
      </c>
      <c r="N76" s="139">
        <v>2.83989684463574</v>
      </c>
      <c r="O76" s="139">
        <v>-5.0328095537283003E-3</v>
      </c>
      <c r="P76" s="139">
        <v>0</v>
      </c>
      <c r="Q76" s="139">
        <v>106.942457940792</v>
      </c>
      <c r="R76" s="139">
        <v>18.096353551138002</v>
      </c>
      <c r="S76" s="139">
        <v>0</v>
      </c>
      <c r="T76" s="139">
        <v>10.182729331439999</v>
      </c>
      <c r="U76" s="139">
        <v>0.115710062140834</v>
      </c>
      <c r="V76" s="139">
        <v>0</v>
      </c>
      <c r="W76" s="139">
        <v>0</v>
      </c>
      <c r="X76" s="139">
        <v>30.074934264430901</v>
      </c>
      <c r="Y76" s="139">
        <v>0</v>
      </c>
      <c r="Z76" s="139">
        <v>0</v>
      </c>
      <c r="AA76" s="139">
        <v>133.981309569779</v>
      </c>
      <c r="AB76" s="139">
        <v>0</v>
      </c>
      <c r="AC76" s="139">
        <v>0</v>
      </c>
      <c r="AD76" s="139">
        <v>42.677225556094598</v>
      </c>
      <c r="AE76" s="139">
        <v>9.4760669789088606E-2</v>
      </c>
      <c r="AF76" s="139">
        <v>0.76826275007336597</v>
      </c>
      <c r="AG76" s="139">
        <v>4.9488383344124403</v>
      </c>
      <c r="AH76" s="139">
        <v>16.665288104243999</v>
      </c>
      <c r="AI76" s="139">
        <v>-17.446033945604601</v>
      </c>
      <c r="AJ76" s="139">
        <v>3.2107886365799301</v>
      </c>
      <c r="AK76" s="139">
        <v>24.135975487292399</v>
      </c>
      <c r="AL76" s="139">
        <v>0</v>
      </c>
      <c r="AM76" s="139">
        <v>273.36230672620002</v>
      </c>
      <c r="AN76" s="139">
        <v>7.0894682219589402</v>
      </c>
      <c r="AO76" s="139">
        <v>4.8418157253049898</v>
      </c>
      <c r="AP76" s="139">
        <v>0</v>
      </c>
      <c r="AQ76" s="139">
        <v>0</v>
      </c>
      <c r="AR76" s="140">
        <v>1.36946351331241</v>
      </c>
    </row>
    <row r="77" spans="2:44" ht="12" customHeight="1" x14ac:dyDescent="0.25">
      <c r="B77" s="138" t="s">
        <v>37</v>
      </c>
      <c r="C77" s="139" t="s">
        <v>23</v>
      </c>
      <c r="D77" s="139" t="s">
        <v>25</v>
      </c>
      <c r="E77" s="139" t="s">
        <v>25</v>
      </c>
      <c r="F77" s="139" t="s">
        <v>25</v>
      </c>
      <c r="G77" s="139" t="s">
        <v>25</v>
      </c>
      <c r="H77" s="139" t="s">
        <v>117</v>
      </c>
      <c r="I77" s="139" t="s">
        <v>25</v>
      </c>
      <c r="J77" s="139">
        <v>436.78</v>
      </c>
      <c r="K77" s="139">
        <v>329.63</v>
      </c>
      <c r="L77" s="139">
        <v>2.33211912465182</v>
      </c>
      <c r="M77" s="139">
        <v>0.82974117203281705</v>
      </c>
      <c r="N77" s="139">
        <v>3.69620469357521</v>
      </c>
      <c r="O77" s="139">
        <v>-5.0328095537283003E-3</v>
      </c>
      <c r="P77" s="139">
        <v>0</v>
      </c>
      <c r="Q77" s="139">
        <v>106.942457940792</v>
      </c>
      <c r="R77" s="139">
        <v>18.096353551138002</v>
      </c>
      <c r="S77" s="139">
        <v>0</v>
      </c>
      <c r="T77" s="139">
        <v>14.9745814317248</v>
      </c>
      <c r="U77" s="139">
        <v>0.170159464076022</v>
      </c>
      <c r="V77" s="139">
        <v>0</v>
      </c>
      <c r="W77" s="139">
        <v>0</v>
      </c>
      <c r="X77" s="139">
        <v>44.227830731911602</v>
      </c>
      <c r="Y77" s="139">
        <v>0</v>
      </c>
      <c r="Z77" s="139">
        <v>0</v>
      </c>
      <c r="AA77" s="139">
        <v>197.03140300737201</v>
      </c>
      <c r="AB77" s="139">
        <v>0</v>
      </c>
      <c r="AC77" s="139">
        <v>0</v>
      </c>
      <c r="AD77" s="139">
        <v>42.677225556094598</v>
      </c>
      <c r="AE77" s="139">
        <v>9.4760669789088606E-2</v>
      </c>
      <c r="AF77" s="139">
        <v>0.76826275007336597</v>
      </c>
      <c r="AG77" s="139">
        <v>4.9488383344124403</v>
      </c>
      <c r="AH77" s="139">
        <v>16.665288104243999</v>
      </c>
      <c r="AI77" s="139">
        <v>-17.446033945604601</v>
      </c>
      <c r="AJ77" s="139">
        <v>3.2107886365799301</v>
      </c>
      <c r="AK77" s="139">
        <v>24.135975487292399</v>
      </c>
      <c r="AL77" s="139">
        <v>0</v>
      </c>
      <c r="AM77" s="139">
        <v>289.76404512977098</v>
      </c>
      <c r="AN77" s="139">
        <v>7.0894682219589402</v>
      </c>
      <c r="AO77" s="139">
        <v>4.8418157253049898</v>
      </c>
      <c r="AP77" s="139">
        <v>0</v>
      </c>
      <c r="AQ77" s="139">
        <v>0</v>
      </c>
      <c r="AR77" s="140">
        <v>1.36946351331241</v>
      </c>
    </row>
    <row r="78" spans="2:44" ht="12" customHeight="1" x14ac:dyDescent="0.25">
      <c r="B78" s="138" t="s">
        <v>37</v>
      </c>
      <c r="C78" s="139" t="s">
        <v>131</v>
      </c>
      <c r="D78" s="139" t="s">
        <v>25</v>
      </c>
      <c r="E78" s="139" t="s">
        <v>25</v>
      </c>
      <c r="F78" s="139" t="s">
        <v>25</v>
      </c>
      <c r="G78" s="139" t="s">
        <v>25</v>
      </c>
      <c r="H78" s="139" t="s">
        <v>117</v>
      </c>
      <c r="I78" s="139" t="s">
        <v>25</v>
      </c>
      <c r="J78" s="139">
        <v>436.78</v>
      </c>
      <c r="K78" s="139">
        <v>329.63</v>
      </c>
      <c r="L78" s="139">
        <v>2.33211912465182</v>
      </c>
      <c r="M78" s="139">
        <v>0.82974117203281705</v>
      </c>
      <c r="N78" s="139">
        <v>3.69620469357521</v>
      </c>
      <c r="O78" s="139">
        <v>-5.0328095537283003E-3</v>
      </c>
      <c r="P78" s="139">
        <v>0</v>
      </c>
      <c r="Q78" s="139">
        <v>106.942457940792</v>
      </c>
      <c r="R78" s="139">
        <v>18.096353551138002</v>
      </c>
      <c r="S78" s="139">
        <v>0</v>
      </c>
      <c r="T78" s="139">
        <v>14.9745814317248</v>
      </c>
      <c r="U78" s="139">
        <v>0.170159464076022</v>
      </c>
      <c r="V78" s="139">
        <v>0</v>
      </c>
      <c r="W78" s="139">
        <v>0</v>
      </c>
      <c r="X78" s="139">
        <v>44.227830731911602</v>
      </c>
      <c r="Y78" s="139">
        <v>0</v>
      </c>
      <c r="Z78" s="139">
        <v>0</v>
      </c>
      <c r="AA78" s="139">
        <v>197.03140300737201</v>
      </c>
      <c r="AB78" s="139">
        <v>0</v>
      </c>
      <c r="AC78" s="139">
        <v>0</v>
      </c>
      <c r="AD78" s="139">
        <v>42.677225556094598</v>
      </c>
      <c r="AE78" s="139">
        <v>9.4760669789088606E-2</v>
      </c>
      <c r="AF78" s="139">
        <v>0.76826275007336597</v>
      </c>
      <c r="AG78" s="139">
        <v>4.9488383344124403</v>
      </c>
      <c r="AH78" s="139">
        <v>16.665288104243999</v>
      </c>
      <c r="AI78" s="139">
        <v>-17.446033945604601</v>
      </c>
      <c r="AJ78" s="139">
        <v>3.2107886365799301</v>
      </c>
      <c r="AK78" s="139">
        <v>24.135975487292399</v>
      </c>
      <c r="AL78" s="139">
        <v>0</v>
      </c>
      <c r="AM78" s="139">
        <v>289.76404512977098</v>
      </c>
      <c r="AN78" s="139">
        <v>7.0894682219589402</v>
      </c>
      <c r="AO78" s="139">
        <v>4.8418157253049898</v>
      </c>
      <c r="AP78" s="139">
        <v>0</v>
      </c>
      <c r="AQ78" s="139">
        <v>0</v>
      </c>
      <c r="AR78" s="140">
        <v>1.36946351331241</v>
      </c>
    </row>
    <row r="79" spans="2:44" ht="12" customHeight="1" x14ac:dyDescent="0.25">
      <c r="B79" s="138" t="s">
        <v>47</v>
      </c>
      <c r="C79" s="139" t="s">
        <v>23</v>
      </c>
      <c r="D79" s="139" t="s">
        <v>48</v>
      </c>
      <c r="E79" s="139" t="s">
        <v>49</v>
      </c>
      <c r="F79" s="139" t="s">
        <v>25</v>
      </c>
      <c r="G79" s="139" t="s">
        <v>25</v>
      </c>
      <c r="H79" s="139" t="s">
        <v>117</v>
      </c>
      <c r="I79" s="139" t="s">
        <v>25</v>
      </c>
      <c r="J79" s="139">
        <v>240.23</v>
      </c>
      <c r="K79" s="139">
        <v>181.3</v>
      </c>
      <c r="L79" s="139">
        <v>1.2826655185585001</v>
      </c>
      <c r="M79" s="139">
        <v>0.45635764461805001</v>
      </c>
      <c r="N79" s="139">
        <v>2.0329125814663702</v>
      </c>
      <c r="O79" s="139">
        <v>-2.7680452545505701E-3</v>
      </c>
      <c r="P79" s="139">
        <v>0</v>
      </c>
      <c r="Q79" s="139">
        <v>58.818351867435901</v>
      </c>
      <c r="R79" s="139">
        <v>9.9529944531258803</v>
      </c>
      <c r="S79" s="139">
        <v>0</v>
      </c>
      <c r="T79" s="139">
        <v>8.2360197874486207</v>
      </c>
      <c r="U79" s="139">
        <v>9.3587705241812105E-2</v>
      </c>
      <c r="V79" s="139">
        <v>0</v>
      </c>
      <c r="W79" s="139">
        <v>0</v>
      </c>
      <c r="X79" s="139">
        <v>24.3253069025514</v>
      </c>
      <c r="Y79" s="139">
        <v>0</v>
      </c>
      <c r="Z79" s="139">
        <v>0</v>
      </c>
      <c r="AA79" s="139">
        <v>108.367271654055</v>
      </c>
      <c r="AB79" s="139">
        <v>0</v>
      </c>
      <c r="AC79" s="139">
        <v>0</v>
      </c>
      <c r="AD79" s="139">
        <v>23.4724740558521</v>
      </c>
      <c r="AE79" s="139">
        <v>5.2118368383998699E-2</v>
      </c>
      <c r="AF79" s="139">
        <v>0.42254451254035202</v>
      </c>
      <c r="AG79" s="139">
        <v>2.7218610839268398</v>
      </c>
      <c r="AH79" s="139">
        <v>9.1659084573342202</v>
      </c>
      <c r="AI79" s="139">
        <v>-9.5953186700825199</v>
      </c>
      <c r="AJ79" s="139">
        <v>1.76593375011896</v>
      </c>
      <c r="AK79" s="139">
        <v>13.274786518010799</v>
      </c>
      <c r="AL79" s="139">
        <v>0</v>
      </c>
      <c r="AM79" s="139">
        <v>159.37022482137399</v>
      </c>
      <c r="AN79" s="139">
        <v>3.8992075220774201</v>
      </c>
      <c r="AO79" s="139">
        <v>2.6629986489177502</v>
      </c>
      <c r="AP79" s="139">
        <v>0</v>
      </c>
      <c r="AQ79" s="139">
        <v>0</v>
      </c>
      <c r="AR79" s="140">
        <v>0.75320493232182595</v>
      </c>
    </row>
    <row r="80" spans="2:44" ht="12" customHeight="1" x14ac:dyDescent="0.25">
      <c r="B80" s="141" t="s">
        <v>47</v>
      </c>
      <c r="C80" s="142" t="s">
        <v>23</v>
      </c>
      <c r="D80" s="142" t="s">
        <v>48</v>
      </c>
      <c r="E80" s="142" t="s">
        <v>50</v>
      </c>
      <c r="F80" s="142" t="s">
        <v>25</v>
      </c>
      <c r="G80" s="142" t="s">
        <v>25</v>
      </c>
      <c r="H80" s="142" t="s">
        <v>117</v>
      </c>
      <c r="I80" s="142" t="s">
        <v>25</v>
      </c>
      <c r="J80" s="142">
        <v>262.07</v>
      </c>
      <c r="K80" s="142">
        <v>197.78</v>
      </c>
      <c r="L80" s="142">
        <v>1.3992714747910899</v>
      </c>
      <c r="M80" s="142">
        <v>0.49784470321968999</v>
      </c>
      <c r="N80" s="142">
        <v>2.2177228161451299</v>
      </c>
      <c r="O80" s="142">
        <v>-3.0196857322369801E-3</v>
      </c>
      <c r="P80" s="142">
        <v>0</v>
      </c>
      <c r="Q80" s="142">
        <v>64.165474764475505</v>
      </c>
      <c r="R80" s="142">
        <v>10.857812130682801</v>
      </c>
      <c r="S80" s="142">
        <v>0</v>
      </c>
      <c r="T80" s="142">
        <v>8.9847488590348608</v>
      </c>
      <c r="U80" s="142">
        <v>0.102095678445613</v>
      </c>
      <c r="V80" s="142">
        <v>0</v>
      </c>
      <c r="W80" s="142">
        <v>0</v>
      </c>
      <c r="X80" s="142">
        <v>26.536698439146999</v>
      </c>
      <c r="Y80" s="142">
        <v>0</v>
      </c>
      <c r="Z80" s="142">
        <v>0</v>
      </c>
      <c r="AA80" s="142">
        <v>118.21884180442299</v>
      </c>
      <c r="AB80" s="142">
        <v>0</v>
      </c>
      <c r="AC80" s="142">
        <v>0</v>
      </c>
      <c r="AD80" s="142">
        <v>25.606335333656801</v>
      </c>
      <c r="AE80" s="142">
        <v>5.68564018734532E-2</v>
      </c>
      <c r="AF80" s="142">
        <v>0.46095765004402001</v>
      </c>
      <c r="AG80" s="142">
        <v>2.9693030006474701</v>
      </c>
      <c r="AH80" s="142">
        <v>9.9991728625464198</v>
      </c>
      <c r="AI80" s="142">
        <v>-10.4676203673628</v>
      </c>
      <c r="AJ80" s="142">
        <v>1.9264731819479599</v>
      </c>
      <c r="AK80" s="142">
        <v>14.481585292375501</v>
      </c>
      <c r="AL80" s="142">
        <v>0</v>
      </c>
      <c r="AM80" s="142">
        <v>173.85842707786301</v>
      </c>
      <c r="AN80" s="142">
        <v>4.2536809331753602</v>
      </c>
      <c r="AO80" s="142">
        <v>2.9050894351829899</v>
      </c>
      <c r="AP80" s="142">
        <v>0</v>
      </c>
      <c r="AQ80" s="142">
        <v>0</v>
      </c>
      <c r="AR80" s="143">
        <v>0.821678107987446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802F9-97A7-44EB-AFB5-E87825857C2A}">
  <dimension ref="B1:AR8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31.8554687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44" t="s">
        <v>1700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5"/>
      <c r="AH1" s="144" t="s">
        <v>1701</v>
      </c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spans="2:44" ht="12" customHeight="1" x14ac:dyDescent="0.25">
      <c r="L2" s="146" t="s">
        <v>952</v>
      </c>
      <c r="M2" s="146"/>
      <c r="N2" s="146"/>
      <c r="O2" s="146"/>
      <c r="P2" s="146"/>
      <c r="Q2" s="146"/>
      <c r="R2" s="146"/>
      <c r="S2" s="147"/>
      <c r="T2" s="146" t="s">
        <v>961</v>
      </c>
      <c r="U2" s="146"/>
      <c r="V2" s="146"/>
      <c r="W2" s="146"/>
      <c r="X2" s="146"/>
      <c r="Y2" s="146"/>
      <c r="Z2" s="147"/>
      <c r="AA2" s="148" t="s">
        <v>969</v>
      </c>
      <c r="AB2" s="146" t="s">
        <v>25</v>
      </c>
      <c r="AC2" s="147"/>
      <c r="AD2" s="146" t="s">
        <v>1699</v>
      </c>
      <c r="AE2" s="146"/>
      <c r="AF2" s="146"/>
      <c r="AG2" s="147"/>
      <c r="AH2" s="146" t="s">
        <v>952</v>
      </c>
      <c r="AI2" s="146"/>
      <c r="AJ2" s="146"/>
      <c r="AK2" s="146"/>
      <c r="AL2" s="147"/>
      <c r="AM2" s="148" t="s">
        <v>982</v>
      </c>
      <c r="AN2" s="146" t="s">
        <v>961</v>
      </c>
      <c r="AO2" s="146"/>
      <c r="AP2" s="146"/>
      <c r="AQ2" s="147"/>
      <c r="AR2" s="149" t="s">
        <v>1699</v>
      </c>
    </row>
    <row r="3" spans="2:44" ht="12" customHeight="1" x14ac:dyDescent="0.25">
      <c r="B3" s="135" t="s">
        <v>107</v>
      </c>
      <c r="C3" s="136" t="s">
        <v>108</v>
      </c>
      <c r="D3" s="136" t="s">
        <v>109</v>
      </c>
      <c r="E3" s="136" t="s">
        <v>110</v>
      </c>
      <c r="F3" s="136" t="s">
        <v>111</v>
      </c>
      <c r="G3" s="136" t="s">
        <v>113</v>
      </c>
      <c r="H3" s="136" t="s">
        <v>114</v>
      </c>
      <c r="I3" s="136" t="s">
        <v>1194</v>
      </c>
      <c r="J3" s="136" t="s">
        <v>1663</v>
      </c>
      <c r="K3" s="136" t="s">
        <v>1664</v>
      </c>
      <c r="L3" s="136" t="s">
        <v>1665</v>
      </c>
      <c r="M3" s="136" t="s">
        <v>1666</v>
      </c>
      <c r="N3" s="136" t="s">
        <v>1667</v>
      </c>
      <c r="O3" s="136" t="s">
        <v>1668</v>
      </c>
      <c r="P3" s="136" t="s">
        <v>1669</v>
      </c>
      <c r="Q3" s="136" t="s">
        <v>1670</v>
      </c>
      <c r="R3" s="136" t="s">
        <v>1671</v>
      </c>
      <c r="S3" s="136" t="s">
        <v>1672</v>
      </c>
      <c r="T3" s="136" t="s">
        <v>1673</v>
      </c>
      <c r="U3" s="136" t="s">
        <v>1674</v>
      </c>
      <c r="V3" s="136" t="s">
        <v>1675</v>
      </c>
      <c r="W3" s="136" t="s">
        <v>1676</v>
      </c>
      <c r="X3" s="136" t="s">
        <v>1677</v>
      </c>
      <c r="Y3" s="136" t="s">
        <v>1678</v>
      </c>
      <c r="Z3" s="136" t="s">
        <v>1679</v>
      </c>
      <c r="AA3" s="136" t="s">
        <v>1680</v>
      </c>
      <c r="AB3" s="136" t="s">
        <v>1681</v>
      </c>
      <c r="AC3" s="136" t="s">
        <v>1682</v>
      </c>
      <c r="AD3" s="136" t="s">
        <v>1683</v>
      </c>
      <c r="AE3" s="136" t="s">
        <v>1684</v>
      </c>
      <c r="AF3" s="136" t="s">
        <v>1685</v>
      </c>
      <c r="AG3" s="136" t="s">
        <v>1686</v>
      </c>
      <c r="AH3" s="136" t="s">
        <v>1687</v>
      </c>
      <c r="AI3" s="136" t="s">
        <v>1688</v>
      </c>
      <c r="AJ3" s="136" t="s">
        <v>1689</v>
      </c>
      <c r="AK3" s="136" t="s">
        <v>1690</v>
      </c>
      <c r="AL3" s="136" t="s">
        <v>1691</v>
      </c>
      <c r="AM3" s="136" t="s">
        <v>1692</v>
      </c>
      <c r="AN3" s="136" t="s">
        <v>1693</v>
      </c>
      <c r="AO3" s="136" t="s">
        <v>1694</v>
      </c>
      <c r="AP3" s="136" t="s">
        <v>1695</v>
      </c>
      <c r="AQ3" s="136" t="s">
        <v>1696</v>
      </c>
      <c r="AR3" s="137" t="s">
        <v>1697</v>
      </c>
    </row>
    <row r="4" spans="2:44" ht="12" customHeight="1" x14ac:dyDescent="0.25">
      <c r="B4" s="138" t="s">
        <v>59</v>
      </c>
      <c r="C4" s="139" t="s">
        <v>40</v>
      </c>
      <c r="D4" s="139" t="s">
        <v>25</v>
      </c>
      <c r="E4" s="139" t="s">
        <v>25</v>
      </c>
      <c r="F4" s="139" t="s">
        <v>61</v>
      </c>
      <c r="G4" s="139" t="s">
        <v>34</v>
      </c>
      <c r="H4" s="139" t="s">
        <v>117</v>
      </c>
      <c r="I4" s="139" t="s">
        <v>25</v>
      </c>
      <c r="J4" s="139">
        <v>11.5</v>
      </c>
      <c r="K4" s="139">
        <v>0</v>
      </c>
      <c r="L4" s="139">
        <v>0</v>
      </c>
      <c r="M4" s="139">
        <v>0.14156301952310099</v>
      </c>
      <c r="N4" s="139">
        <v>0.21499077029136199</v>
      </c>
      <c r="O4" s="139">
        <v>-5.0328095537283003E-3</v>
      </c>
      <c r="P4" s="139">
        <v>0</v>
      </c>
      <c r="Q4" s="139">
        <v>0</v>
      </c>
      <c r="R4" s="139">
        <v>0</v>
      </c>
      <c r="S4" s="139">
        <v>0</v>
      </c>
      <c r="T4" s="139">
        <v>0</v>
      </c>
      <c r="U4" s="139">
        <v>0</v>
      </c>
      <c r="V4" s="139">
        <v>0</v>
      </c>
      <c r="W4" s="139">
        <v>0</v>
      </c>
      <c r="X4" s="139">
        <v>0</v>
      </c>
      <c r="Y4" s="139">
        <v>0</v>
      </c>
      <c r="Z4" s="139">
        <v>0</v>
      </c>
      <c r="AA4" s="139">
        <v>0</v>
      </c>
      <c r="AB4" s="139">
        <v>0</v>
      </c>
      <c r="AC4" s="139">
        <v>0</v>
      </c>
      <c r="AD4" s="139">
        <v>8.7723915242725994</v>
      </c>
      <c r="AE4" s="139">
        <v>1.94782506514996E-2</v>
      </c>
      <c r="AF4" s="139">
        <v>0.33768720191395901</v>
      </c>
      <c r="AG4" s="139">
        <v>2.0233500940279798</v>
      </c>
      <c r="AH4" s="139">
        <v>0</v>
      </c>
      <c r="AI4" s="139">
        <v>0</v>
      </c>
      <c r="AJ4" s="139">
        <v>0</v>
      </c>
      <c r="AK4" s="139">
        <v>0</v>
      </c>
      <c r="AL4" s="139">
        <v>0</v>
      </c>
      <c r="AM4" s="139">
        <v>0</v>
      </c>
      <c r="AN4" s="139">
        <v>0</v>
      </c>
      <c r="AO4" s="139">
        <v>0</v>
      </c>
      <c r="AP4" s="139">
        <v>0</v>
      </c>
      <c r="AQ4" s="139">
        <v>0</v>
      </c>
      <c r="AR4" s="140">
        <v>0</v>
      </c>
    </row>
    <row r="5" spans="2:44" ht="12" customHeight="1" x14ac:dyDescent="0.25">
      <c r="B5" s="138" t="s">
        <v>59</v>
      </c>
      <c r="C5" s="139" t="s">
        <v>40</v>
      </c>
      <c r="D5" s="139" t="s">
        <v>25</v>
      </c>
      <c r="E5" s="139" t="s">
        <v>25</v>
      </c>
      <c r="F5" s="139" t="s">
        <v>61</v>
      </c>
      <c r="G5" s="139" t="s">
        <v>34</v>
      </c>
      <c r="H5" s="139" t="s">
        <v>120</v>
      </c>
      <c r="I5" s="139" t="s">
        <v>25</v>
      </c>
      <c r="J5" s="139">
        <v>18.62</v>
      </c>
      <c r="K5" s="139">
        <v>0</v>
      </c>
      <c r="L5" s="139">
        <v>0</v>
      </c>
      <c r="M5" s="139">
        <v>0</v>
      </c>
      <c r="N5" s="139">
        <v>0</v>
      </c>
      <c r="O5" s="139">
        <v>0</v>
      </c>
      <c r="P5" s="139">
        <v>0</v>
      </c>
      <c r="Q5" s="139">
        <v>0</v>
      </c>
      <c r="R5" s="139">
        <v>0</v>
      </c>
      <c r="S5" s="139">
        <v>0</v>
      </c>
      <c r="T5" s="139">
        <v>2.6914008103062401</v>
      </c>
      <c r="U5" s="139">
        <v>3.8173318138205799E-2</v>
      </c>
      <c r="V5" s="139">
        <v>0</v>
      </c>
      <c r="W5" s="139">
        <v>0</v>
      </c>
      <c r="X5" s="139">
        <v>11.1840580913008</v>
      </c>
      <c r="Y5" s="139">
        <v>0</v>
      </c>
      <c r="Z5" s="139">
        <v>0</v>
      </c>
      <c r="AA5" s="139">
        <v>4.7043698242199401</v>
      </c>
      <c r="AB5" s="139">
        <v>0</v>
      </c>
      <c r="AC5" s="139">
        <v>0</v>
      </c>
      <c r="AD5" s="139">
        <v>0</v>
      </c>
      <c r="AE5" s="139">
        <v>0</v>
      </c>
      <c r="AF5" s="139">
        <v>0</v>
      </c>
      <c r="AG5" s="139">
        <v>0</v>
      </c>
      <c r="AH5" s="139">
        <v>0</v>
      </c>
      <c r="AI5" s="139">
        <v>0</v>
      </c>
      <c r="AJ5" s="139">
        <v>0</v>
      </c>
      <c r="AK5" s="139">
        <v>0</v>
      </c>
      <c r="AL5" s="139">
        <v>0</v>
      </c>
      <c r="AM5" s="139">
        <v>0</v>
      </c>
      <c r="AN5" s="139">
        <v>0</v>
      </c>
      <c r="AO5" s="139">
        <v>0</v>
      </c>
      <c r="AP5" s="139">
        <v>0</v>
      </c>
      <c r="AQ5" s="139">
        <v>0</v>
      </c>
      <c r="AR5" s="140">
        <v>0</v>
      </c>
    </row>
    <row r="6" spans="2:44" ht="12" customHeight="1" x14ac:dyDescent="0.25">
      <c r="B6" s="138" t="s">
        <v>59</v>
      </c>
      <c r="C6" s="139" t="s">
        <v>40</v>
      </c>
      <c r="D6" s="139" t="s">
        <v>25</v>
      </c>
      <c r="E6" s="139" t="s">
        <v>25</v>
      </c>
      <c r="F6" s="139" t="s">
        <v>61</v>
      </c>
      <c r="G6" s="139" t="s">
        <v>35</v>
      </c>
      <c r="H6" s="139" t="s">
        <v>117</v>
      </c>
      <c r="I6" s="139" t="s">
        <v>25</v>
      </c>
      <c r="J6" s="139">
        <v>11.5</v>
      </c>
      <c r="K6" s="139">
        <v>0</v>
      </c>
      <c r="L6" s="139">
        <v>0</v>
      </c>
      <c r="M6" s="139">
        <v>0.14156301952310099</v>
      </c>
      <c r="N6" s="139">
        <v>0.21499077029136199</v>
      </c>
      <c r="O6" s="139">
        <v>-5.0328095537283003E-3</v>
      </c>
      <c r="P6" s="139">
        <v>0</v>
      </c>
      <c r="Q6" s="139">
        <v>0</v>
      </c>
      <c r="R6" s="139">
        <v>0</v>
      </c>
      <c r="S6" s="139">
        <v>0</v>
      </c>
      <c r="T6" s="139">
        <v>0</v>
      </c>
      <c r="U6" s="139">
        <v>0</v>
      </c>
      <c r="V6" s="139">
        <v>0</v>
      </c>
      <c r="W6" s="139">
        <v>0</v>
      </c>
      <c r="X6" s="139">
        <v>0</v>
      </c>
      <c r="Y6" s="139">
        <v>0</v>
      </c>
      <c r="Z6" s="139">
        <v>0</v>
      </c>
      <c r="AA6" s="139">
        <v>0</v>
      </c>
      <c r="AB6" s="139">
        <v>0</v>
      </c>
      <c r="AC6" s="139">
        <v>0</v>
      </c>
      <c r="AD6" s="139">
        <v>8.7723915242725994</v>
      </c>
      <c r="AE6" s="139">
        <v>1.94782506514996E-2</v>
      </c>
      <c r="AF6" s="139">
        <v>0.33768720191395901</v>
      </c>
      <c r="AG6" s="139">
        <v>2.0233500940279798</v>
      </c>
      <c r="AH6" s="139">
        <v>0</v>
      </c>
      <c r="AI6" s="139">
        <v>0</v>
      </c>
      <c r="AJ6" s="139">
        <v>0</v>
      </c>
      <c r="AK6" s="139">
        <v>0</v>
      </c>
      <c r="AL6" s="139">
        <v>0</v>
      </c>
      <c r="AM6" s="139">
        <v>0</v>
      </c>
      <c r="AN6" s="139">
        <v>0</v>
      </c>
      <c r="AO6" s="139">
        <v>0</v>
      </c>
      <c r="AP6" s="139">
        <v>0</v>
      </c>
      <c r="AQ6" s="139">
        <v>0</v>
      </c>
      <c r="AR6" s="140">
        <v>0</v>
      </c>
    </row>
    <row r="7" spans="2:44" ht="12" customHeight="1" x14ac:dyDescent="0.25">
      <c r="B7" s="138" t="s">
        <v>59</v>
      </c>
      <c r="C7" s="139" t="s">
        <v>40</v>
      </c>
      <c r="D7" s="139" t="s">
        <v>25</v>
      </c>
      <c r="E7" s="139" t="s">
        <v>25</v>
      </c>
      <c r="F7" s="139" t="s">
        <v>61</v>
      </c>
      <c r="G7" s="139" t="s">
        <v>35</v>
      </c>
      <c r="H7" s="139" t="s">
        <v>120</v>
      </c>
      <c r="I7" s="139" t="s">
        <v>25</v>
      </c>
      <c r="J7" s="139">
        <v>7.8</v>
      </c>
      <c r="K7" s="139">
        <v>0</v>
      </c>
      <c r="L7" s="139">
        <v>0</v>
      </c>
      <c r="M7" s="139">
        <v>0</v>
      </c>
      <c r="N7" s="139">
        <v>0</v>
      </c>
      <c r="O7" s="139">
        <v>0</v>
      </c>
      <c r="P7" s="139">
        <v>0</v>
      </c>
      <c r="Q7" s="139">
        <v>0</v>
      </c>
      <c r="R7" s="139">
        <v>0</v>
      </c>
      <c r="S7" s="139">
        <v>0</v>
      </c>
      <c r="T7" s="139">
        <v>0.78866234308766903</v>
      </c>
      <c r="U7" s="139">
        <v>1.13656129010524E-2</v>
      </c>
      <c r="V7" s="139">
        <v>0</v>
      </c>
      <c r="W7" s="139">
        <v>0</v>
      </c>
      <c r="X7" s="139">
        <v>2.2942566127077799</v>
      </c>
      <c r="Y7" s="139">
        <v>0</v>
      </c>
      <c r="Z7" s="139">
        <v>0</v>
      </c>
      <c r="AA7" s="139">
        <v>4.7043698242199401</v>
      </c>
      <c r="AB7" s="139">
        <v>0</v>
      </c>
      <c r="AC7" s="139">
        <v>0</v>
      </c>
      <c r="AD7" s="139">
        <v>0</v>
      </c>
      <c r="AE7" s="139">
        <v>0</v>
      </c>
      <c r="AF7" s="139">
        <v>0</v>
      </c>
      <c r="AG7" s="139">
        <v>0</v>
      </c>
      <c r="AH7" s="139">
        <v>0</v>
      </c>
      <c r="AI7" s="139">
        <v>0</v>
      </c>
      <c r="AJ7" s="139">
        <v>0</v>
      </c>
      <c r="AK7" s="139">
        <v>0</v>
      </c>
      <c r="AL7" s="139">
        <v>0</v>
      </c>
      <c r="AM7" s="139">
        <v>0</v>
      </c>
      <c r="AN7" s="139">
        <v>0</v>
      </c>
      <c r="AO7" s="139">
        <v>0</v>
      </c>
      <c r="AP7" s="139">
        <v>0</v>
      </c>
      <c r="AQ7" s="139">
        <v>0</v>
      </c>
      <c r="AR7" s="140">
        <v>0</v>
      </c>
    </row>
    <row r="8" spans="2:44" ht="12" customHeight="1" x14ac:dyDescent="0.25">
      <c r="B8" s="138" t="s">
        <v>59</v>
      </c>
      <c r="C8" s="139" t="s">
        <v>40</v>
      </c>
      <c r="D8" s="139" t="s">
        <v>25</v>
      </c>
      <c r="E8" s="139" t="s">
        <v>25</v>
      </c>
      <c r="F8" s="139" t="s">
        <v>25</v>
      </c>
      <c r="G8" s="139" t="s">
        <v>34</v>
      </c>
      <c r="H8" s="139" t="s">
        <v>117</v>
      </c>
      <c r="I8" s="139" t="s">
        <v>25</v>
      </c>
      <c r="J8" s="139">
        <v>88.19</v>
      </c>
      <c r="K8" s="139">
        <v>503.12</v>
      </c>
      <c r="L8" s="139">
        <v>3.8464845550853299</v>
      </c>
      <c r="M8" s="139">
        <v>0.14156301952310099</v>
      </c>
      <c r="N8" s="139">
        <v>0.226649329306223</v>
      </c>
      <c r="O8" s="139">
        <v>-5.0328095537283003E-3</v>
      </c>
      <c r="P8" s="139">
        <v>0</v>
      </c>
      <c r="Q8" s="139">
        <v>57.924997111396202</v>
      </c>
      <c r="R8" s="139">
        <v>14.9021502000616</v>
      </c>
      <c r="S8" s="139">
        <v>0</v>
      </c>
      <c r="T8" s="139">
        <v>0</v>
      </c>
      <c r="U8" s="139">
        <v>0</v>
      </c>
      <c r="V8" s="139">
        <v>0</v>
      </c>
      <c r="W8" s="139">
        <v>0</v>
      </c>
      <c r="X8" s="139">
        <v>0</v>
      </c>
      <c r="Y8" s="139">
        <v>0</v>
      </c>
      <c r="Z8" s="139">
        <v>0</v>
      </c>
      <c r="AA8" s="139">
        <v>0</v>
      </c>
      <c r="AB8" s="139">
        <v>0</v>
      </c>
      <c r="AC8" s="139">
        <v>0</v>
      </c>
      <c r="AD8" s="139">
        <v>8.7723915242725994</v>
      </c>
      <c r="AE8" s="139">
        <v>1.94782506514996E-2</v>
      </c>
      <c r="AF8" s="139">
        <v>0.33768720191395901</v>
      </c>
      <c r="AG8" s="139">
        <v>2.0233500940279798</v>
      </c>
      <c r="AH8" s="139">
        <v>10.7133149831084</v>
      </c>
      <c r="AI8" s="139">
        <v>-17.446033945604601</v>
      </c>
      <c r="AJ8" s="139">
        <v>3.2107904599490902</v>
      </c>
      <c r="AK8" s="139">
        <v>12.9259685971489</v>
      </c>
      <c r="AL8" s="139">
        <v>0</v>
      </c>
      <c r="AM8" s="139">
        <v>482.84575951779698</v>
      </c>
      <c r="AN8" s="139">
        <v>5.16638505569827</v>
      </c>
      <c r="AO8" s="139">
        <v>4.29365373673925</v>
      </c>
      <c r="AP8" s="139">
        <v>0</v>
      </c>
      <c r="AQ8" s="139">
        <v>0</v>
      </c>
      <c r="AR8" s="140">
        <v>1.40634479459564</v>
      </c>
    </row>
    <row r="9" spans="2:44" ht="12" customHeight="1" x14ac:dyDescent="0.25">
      <c r="B9" s="138" t="s">
        <v>59</v>
      </c>
      <c r="C9" s="139" t="s">
        <v>40</v>
      </c>
      <c r="D9" s="139" t="s">
        <v>25</v>
      </c>
      <c r="E9" s="139" t="s">
        <v>25</v>
      </c>
      <c r="F9" s="139" t="s">
        <v>25</v>
      </c>
      <c r="G9" s="139" t="s">
        <v>34</v>
      </c>
      <c r="H9" s="139" t="s">
        <v>120</v>
      </c>
      <c r="I9" s="139" t="s">
        <v>25</v>
      </c>
      <c r="J9" s="139">
        <v>18.62</v>
      </c>
      <c r="K9" s="139">
        <v>0</v>
      </c>
      <c r="L9" s="139">
        <v>0</v>
      </c>
      <c r="M9" s="139">
        <v>0</v>
      </c>
      <c r="N9" s="139">
        <v>0</v>
      </c>
      <c r="O9" s="139">
        <v>0</v>
      </c>
      <c r="P9" s="139">
        <v>0</v>
      </c>
      <c r="Q9" s="139">
        <v>0</v>
      </c>
      <c r="R9" s="139">
        <v>0</v>
      </c>
      <c r="S9" s="139">
        <v>0</v>
      </c>
      <c r="T9" s="139">
        <v>2.6914008103062401</v>
      </c>
      <c r="U9" s="139">
        <v>3.8173318138205799E-2</v>
      </c>
      <c r="V9" s="139">
        <v>0</v>
      </c>
      <c r="W9" s="139">
        <v>0</v>
      </c>
      <c r="X9" s="139">
        <v>11.1840580913008</v>
      </c>
      <c r="Y9" s="139">
        <v>0</v>
      </c>
      <c r="Z9" s="139">
        <v>0</v>
      </c>
      <c r="AA9" s="139">
        <v>4.7043698242199401</v>
      </c>
      <c r="AB9" s="139">
        <v>0</v>
      </c>
      <c r="AC9" s="139">
        <v>0</v>
      </c>
      <c r="AD9" s="139">
        <v>0</v>
      </c>
      <c r="AE9" s="139">
        <v>0</v>
      </c>
      <c r="AF9" s="139">
        <v>0</v>
      </c>
      <c r="AG9" s="139">
        <v>0</v>
      </c>
      <c r="AH9" s="139">
        <v>0</v>
      </c>
      <c r="AI9" s="139">
        <v>0</v>
      </c>
      <c r="AJ9" s="139">
        <v>0</v>
      </c>
      <c r="AK9" s="139">
        <v>0</v>
      </c>
      <c r="AL9" s="139">
        <v>0</v>
      </c>
      <c r="AM9" s="139">
        <v>0</v>
      </c>
      <c r="AN9" s="139">
        <v>0</v>
      </c>
      <c r="AO9" s="139">
        <v>0</v>
      </c>
      <c r="AP9" s="139">
        <v>0</v>
      </c>
      <c r="AQ9" s="139">
        <v>0</v>
      </c>
      <c r="AR9" s="140">
        <v>0</v>
      </c>
    </row>
    <row r="10" spans="2:44" ht="12" customHeight="1" x14ac:dyDescent="0.25">
      <c r="B10" s="138" t="s">
        <v>59</v>
      </c>
      <c r="C10" s="139" t="s">
        <v>40</v>
      </c>
      <c r="D10" s="139" t="s">
        <v>25</v>
      </c>
      <c r="E10" s="139" t="s">
        <v>25</v>
      </c>
      <c r="F10" s="139" t="s">
        <v>25</v>
      </c>
      <c r="G10" s="139" t="s">
        <v>35</v>
      </c>
      <c r="H10" s="139" t="s">
        <v>117</v>
      </c>
      <c r="I10" s="139" t="s">
        <v>25</v>
      </c>
      <c r="J10" s="139">
        <v>88.19</v>
      </c>
      <c r="K10" s="139">
        <v>300.99</v>
      </c>
      <c r="L10" s="139">
        <v>3.8464845550853299</v>
      </c>
      <c r="M10" s="139">
        <v>0.14156301952310099</v>
      </c>
      <c r="N10" s="139">
        <v>0.226649329306223</v>
      </c>
      <c r="O10" s="139">
        <v>-5.0328095537283003E-3</v>
      </c>
      <c r="P10" s="139">
        <v>0</v>
      </c>
      <c r="Q10" s="139">
        <v>57.924997111396202</v>
      </c>
      <c r="R10" s="139">
        <v>14.9021502000616</v>
      </c>
      <c r="S10" s="139">
        <v>0</v>
      </c>
      <c r="T10" s="139">
        <v>0</v>
      </c>
      <c r="U10" s="139">
        <v>0</v>
      </c>
      <c r="V10" s="139">
        <v>0</v>
      </c>
      <c r="W10" s="139">
        <v>0</v>
      </c>
      <c r="X10" s="139">
        <v>0</v>
      </c>
      <c r="Y10" s="139">
        <v>0</v>
      </c>
      <c r="Z10" s="139">
        <v>0</v>
      </c>
      <c r="AA10" s="139">
        <v>0</v>
      </c>
      <c r="AB10" s="139">
        <v>0</v>
      </c>
      <c r="AC10" s="139">
        <v>0</v>
      </c>
      <c r="AD10" s="139">
        <v>8.7723915242725994</v>
      </c>
      <c r="AE10" s="139">
        <v>1.94782506514996E-2</v>
      </c>
      <c r="AF10" s="139">
        <v>0.33768720191395901</v>
      </c>
      <c r="AG10" s="139">
        <v>2.0233500940279798</v>
      </c>
      <c r="AH10" s="139">
        <v>10.7133149831084</v>
      </c>
      <c r="AI10" s="139">
        <v>-17.446033945604601</v>
      </c>
      <c r="AJ10" s="139">
        <v>3.2107904599490902</v>
      </c>
      <c r="AK10" s="139">
        <v>12.9259685971489</v>
      </c>
      <c r="AL10" s="139">
        <v>0</v>
      </c>
      <c r="AM10" s="139">
        <v>280.72427878941699</v>
      </c>
      <c r="AN10" s="139">
        <v>5.16638505569827</v>
      </c>
      <c r="AO10" s="139">
        <v>4.29365373673925</v>
      </c>
      <c r="AP10" s="139">
        <v>0</v>
      </c>
      <c r="AQ10" s="139">
        <v>0</v>
      </c>
      <c r="AR10" s="140">
        <v>1.40634479459564</v>
      </c>
    </row>
    <row r="11" spans="2:44" ht="12" customHeight="1" x14ac:dyDescent="0.25">
      <c r="B11" s="138" t="s">
        <v>59</v>
      </c>
      <c r="C11" s="139" t="s">
        <v>40</v>
      </c>
      <c r="D11" s="139" t="s">
        <v>25</v>
      </c>
      <c r="E11" s="139" t="s">
        <v>25</v>
      </c>
      <c r="F11" s="139" t="s">
        <v>25</v>
      </c>
      <c r="G11" s="139" t="s">
        <v>35</v>
      </c>
      <c r="H11" s="139" t="s">
        <v>120</v>
      </c>
      <c r="I11" s="139" t="s">
        <v>25</v>
      </c>
      <c r="J11" s="139">
        <v>7.8</v>
      </c>
      <c r="K11" s="139">
        <v>0</v>
      </c>
      <c r="L11" s="139">
        <v>0</v>
      </c>
      <c r="M11" s="139">
        <v>0</v>
      </c>
      <c r="N11" s="139">
        <v>0</v>
      </c>
      <c r="O11" s="139">
        <v>0</v>
      </c>
      <c r="P11" s="139">
        <v>0</v>
      </c>
      <c r="Q11" s="139">
        <v>0</v>
      </c>
      <c r="R11" s="139">
        <v>0</v>
      </c>
      <c r="S11" s="139">
        <v>0</v>
      </c>
      <c r="T11" s="139">
        <v>0.78866234308766903</v>
      </c>
      <c r="U11" s="139">
        <v>1.13656129010524E-2</v>
      </c>
      <c r="V11" s="139">
        <v>0</v>
      </c>
      <c r="W11" s="139">
        <v>0</v>
      </c>
      <c r="X11" s="139">
        <v>2.2942566127077799</v>
      </c>
      <c r="Y11" s="139">
        <v>0</v>
      </c>
      <c r="Z11" s="139">
        <v>0</v>
      </c>
      <c r="AA11" s="139">
        <v>4.7043698242199401</v>
      </c>
      <c r="AB11" s="139">
        <v>0</v>
      </c>
      <c r="AC11" s="139">
        <v>0</v>
      </c>
      <c r="AD11" s="139">
        <v>0</v>
      </c>
      <c r="AE11" s="139">
        <v>0</v>
      </c>
      <c r="AF11" s="139">
        <v>0</v>
      </c>
      <c r="AG11" s="139">
        <v>0</v>
      </c>
      <c r="AH11" s="139">
        <v>0</v>
      </c>
      <c r="AI11" s="139">
        <v>0</v>
      </c>
      <c r="AJ11" s="139">
        <v>0</v>
      </c>
      <c r="AK11" s="139">
        <v>0</v>
      </c>
      <c r="AL11" s="139">
        <v>0</v>
      </c>
      <c r="AM11" s="139">
        <v>0</v>
      </c>
      <c r="AN11" s="139">
        <v>0</v>
      </c>
      <c r="AO11" s="139">
        <v>0</v>
      </c>
      <c r="AP11" s="139">
        <v>0</v>
      </c>
      <c r="AQ11" s="139">
        <v>0</v>
      </c>
      <c r="AR11" s="140">
        <v>0</v>
      </c>
    </row>
    <row r="12" spans="2:44" ht="12" customHeight="1" x14ac:dyDescent="0.25">
      <c r="B12" s="138" t="s">
        <v>59</v>
      </c>
      <c r="C12" s="139" t="s">
        <v>64</v>
      </c>
      <c r="D12" s="139" t="s">
        <v>25</v>
      </c>
      <c r="E12" s="139" t="s">
        <v>25</v>
      </c>
      <c r="F12" s="139" t="s">
        <v>25</v>
      </c>
      <c r="G12" s="139" t="s">
        <v>25</v>
      </c>
      <c r="H12" s="139" t="s">
        <v>120</v>
      </c>
      <c r="I12" s="139" t="s">
        <v>124</v>
      </c>
      <c r="J12" s="139">
        <v>5.21</v>
      </c>
      <c r="K12" s="139">
        <v>0</v>
      </c>
      <c r="L12" s="139">
        <v>0</v>
      </c>
      <c r="M12" s="139">
        <v>0.13020000000000001</v>
      </c>
      <c r="N12" s="139">
        <v>0.32869999999999999</v>
      </c>
      <c r="O12" s="139">
        <v>0</v>
      </c>
      <c r="P12" s="139">
        <v>0</v>
      </c>
      <c r="Q12" s="139">
        <v>0</v>
      </c>
      <c r="R12" s="139">
        <v>0</v>
      </c>
      <c r="S12" s="139">
        <v>0</v>
      </c>
      <c r="T12" s="139">
        <v>0</v>
      </c>
      <c r="U12" s="139">
        <v>0.90210000000000001</v>
      </c>
      <c r="V12" s="139">
        <v>0.29409999999999997</v>
      </c>
      <c r="W12" s="139">
        <v>0</v>
      </c>
      <c r="X12" s="139">
        <v>0</v>
      </c>
      <c r="Y12" s="139">
        <v>0</v>
      </c>
      <c r="Z12" s="139">
        <v>0</v>
      </c>
      <c r="AA12" s="139">
        <v>3.5579000000000001</v>
      </c>
      <c r="AB12" s="139">
        <v>0</v>
      </c>
      <c r="AC12" s="139">
        <v>0</v>
      </c>
      <c r="AD12" s="139">
        <v>0</v>
      </c>
      <c r="AE12" s="139">
        <v>0</v>
      </c>
      <c r="AF12" s="139">
        <v>0</v>
      </c>
      <c r="AG12" s="139">
        <v>0</v>
      </c>
      <c r="AH12" s="139">
        <v>0</v>
      </c>
      <c r="AI12" s="139">
        <v>0</v>
      </c>
      <c r="AJ12" s="139">
        <v>0</v>
      </c>
      <c r="AK12" s="139">
        <v>0</v>
      </c>
      <c r="AL12" s="139">
        <v>0</v>
      </c>
      <c r="AM12" s="139">
        <v>0</v>
      </c>
      <c r="AN12" s="139">
        <v>0</v>
      </c>
      <c r="AO12" s="139">
        <v>0</v>
      </c>
      <c r="AP12" s="139">
        <v>0</v>
      </c>
      <c r="AQ12" s="139">
        <v>0</v>
      </c>
      <c r="AR12" s="140">
        <v>0</v>
      </c>
    </row>
    <row r="13" spans="2:44" ht="12" customHeight="1" x14ac:dyDescent="0.25">
      <c r="B13" s="138" t="s">
        <v>59</v>
      </c>
      <c r="C13" s="139" t="s">
        <v>64</v>
      </c>
      <c r="D13" s="139" t="s">
        <v>25</v>
      </c>
      <c r="E13" s="139" t="s">
        <v>25</v>
      </c>
      <c r="F13" s="139" t="s">
        <v>25</v>
      </c>
      <c r="G13" s="139" t="s">
        <v>25</v>
      </c>
      <c r="H13" s="139" t="s">
        <v>120</v>
      </c>
      <c r="I13" s="139" t="s">
        <v>65</v>
      </c>
      <c r="J13" s="139">
        <v>5.26</v>
      </c>
      <c r="K13" s="139">
        <v>0</v>
      </c>
      <c r="L13" s="139">
        <v>0</v>
      </c>
      <c r="M13" s="139">
        <v>9.4E-2</v>
      </c>
      <c r="N13" s="139">
        <v>0.2374</v>
      </c>
      <c r="O13" s="139">
        <v>0</v>
      </c>
      <c r="P13" s="139">
        <v>0</v>
      </c>
      <c r="Q13" s="139">
        <v>0</v>
      </c>
      <c r="R13" s="139">
        <v>0</v>
      </c>
      <c r="S13" s="139">
        <v>0</v>
      </c>
      <c r="T13" s="139">
        <v>0</v>
      </c>
      <c r="U13" s="139">
        <v>1.7190000000000001</v>
      </c>
      <c r="V13" s="139">
        <v>0</v>
      </c>
      <c r="W13" s="139">
        <v>0</v>
      </c>
      <c r="X13" s="139">
        <v>0</v>
      </c>
      <c r="Y13" s="139">
        <v>0</v>
      </c>
      <c r="Z13" s="139">
        <v>0.24579999999999999</v>
      </c>
      <c r="AA13" s="139">
        <v>2.9622000000000002</v>
      </c>
      <c r="AB13" s="139">
        <v>0</v>
      </c>
      <c r="AC13" s="139">
        <v>0</v>
      </c>
      <c r="AD13" s="139">
        <v>0</v>
      </c>
      <c r="AE13" s="139">
        <v>0</v>
      </c>
      <c r="AF13" s="139">
        <v>0</v>
      </c>
      <c r="AG13" s="139">
        <v>0</v>
      </c>
      <c r="AH13" s="139">
        <v>0</v>
      </c>
      <c r="AI13" s="139">
        <v>0</v>
      </c>
      <c r="AJ13" s="139">
        <v>0</v>
      </c>
      <c r="AK13" s="139">
        <v>0</v>
      </c>
      <c r="AL13" s="139">
        <v>0</v>
      </c>
      <c r="AM13" s="139">
        <v>0</v>
      </c>
      <c r="AN13" s="139">
        <v>0</v>
      </c>
      <c r="AO13" s="139">
        <v>0</v>
      </c>
      <c r="AP13" s="139">
        <v>0</v>
      </c>
      <c r="AQ13" s="139">
        <v>0</v>
      </c>
      <c r="AR13" s="140">
        <v>0</v>
      </c>
    </row>
    <row r="14" spans="2:44" ht="12" customHeight="1" x14ac:dyDescent="0.25">
      <c r="B14" s="138" t="s">
        <v>59</v>
      </c>
      <c r="C14" s="139" t="s">
        <v>64</v>
      </c>
      <c r="D14" s="139" t="s">
        <v>25</v>
      </c>
      <c r="E14" s="139" t="s">
        <v>25</v>
      </c>
      <c r="F14" s="139" t="s">
        <v>25</v>
      </c>
      <c r="G14" s="139" t="s">
        <v>25</v>
      </c>
      <c r="H14" s="139" t="s">
        <v>120</v>
      </c>
      <c r="I14" s="139" t="s">
        <v>73</v>
      </c>
      <c r="J14" s="139">
        <v>5.26</v>
      </c>
      <c r="K14" s="139">
        <v>0</v>
      </c>
      <c r="L14" s="139">
        <v>0</v>
      </c>
      <c r="M14" s="139">
        <v>9.4E-2</v>
      </c>
      <c r="N14" s="139">
        <v>0.2374</v>
      </c>
      <c r="O14" s="139">
        <v>0</v>
      </c>
      <c r="P14" s="139">
        <v>0</v>
      </c>
      <c r="Q14" s="139">
        <v>0</v>
      </c>
      <c r="R14" s="139">
        <v>0</v>
      </c>
      <c r="S14" s="139">
        <v>0</v>
      </c>
      <c r="T14" s="139">
        <v>0</v>
      </c>
      <c r="U14" s="139">
        <v>1.7190000000000001</v>
      </c>
      <c r="V14" s="139">
        <v>0</v>
      </c>
      <c r="W14" s="139">
        <v>0</v>
      </c>
      <c r="X14" s="139">
        <v>0</v>
      </c>
      <c r="Y14" s="139">
        <v>0</v>
      </c>
      <c r="Z14" s="139">
        <v>0.24579999999999999</v>
      </c>
      <c r="AA14" s="139">
        <v>2.9622000000000002</v>
      </c>
      <c r="AB14" s="139">
        <v>0</v>
      </c>
      <c r="AC14" s="139">
        <v>0</v>
      </c>
      <c r="AD14" s="139">
        <v>0</v>
      </c>
      <c r="AE14" s="139">
        <v>0</v>
      </c>
      <c r="AF14" s="139">
        <v>0</v>
      </c>
      <c r="AG14" s="139">
        <v>0</v>
      </c>
      <c r="AH14" s="139">
        <v>0</v>
      </c>
      <c r="AI14" s="139">
        <v>0</v>
      </c>
      <c r="AJ14" s="139">
        <v>0</v>
      </c>
      <c r="AK14" s="139">
        <v>0</v>
      </c>
      <c r="AL14" s="139">
        <v>0</v>
      </c>
      <c r="AM14" s="139">
        <v>0</v>
      </c>
      <c r="AN14" s="139">
        <v>0</v>
      </c>
      <c r="AO14" s="139">
        <v>0</v>
      </c>
      <c r="AP14" s="139">
        <v>0</v>
      </c>
      <c r="AQ14" s="139">
        <v>0</v>
      </c>
      <c r="AR14" s="140">
        <v>0</v>
      </c>
    </row>
    <row r="15" spans="2:44" ht="12" customHeight="1" x14ac:dyDescent="0.25">
      <c r="B15" s="138" t="s">
        <v>59</v>
      </c>
      <c r="C15" s="139" t="s">
        <v>64</v>
      </c>
      <c r="D15" s="139" t="s">
        <v>25</v>
      </c>
      <c r="E15" s="139" t="s">
        <v>25</v>
      </c>
      <c r="F15" s="139" t="s">
        <v>25</v>
      </c>
      <c r="G15" s="139" t="s">
        <v>25</v>
      </c>
      <c r="H15" s="139" t="s">
        <v>120</v>
      </c>
      <c r="I15" s="139" t="s">
        <v>87</v>
      </c>
      <c r="J15" s="139">
        <v>5.76</v>
      </c>
      <c r="K15" s="139">
        <v>0</v>
      </c>
      <c r="L15" s="139">
        <v>0</v>
      </c>
      <c r="M15" s="139">
        <v>0.10340000000000001</v>
      </c>
      <c r="N15" s="139">
        <v>0.26119999999999999</v>
      </c>
      <c r="O15" s="139">
        <v>0</v>
      </c>
      <c r="P15" s="139">
        <v>0</v>
      </c>
      <c r="Q15" s="139">
        <v>0</v>
      </c>
      <c r="R15" s="139">
        <v>0</v>
      </c>
      <c r="S15" s="139">
        <v>0</v>
      </c>
      <c r="T15" s="139">
        <v>0</v>
      </c>
      <c r="U15" s="139">
        <v>1.8914</v>
      </c>
      <c r="V15" s="139">
        <v>0</v>
      </c>
      <c r="W15" s="139">
        <v>0</v>
      </c>
      <c r="X15" s="139">
        <v>0</v>
      </c>
      <c r="Y15" s="139">
        <v>0</v>
      </c>
      <c r="Z15" s="139">
        <v>0.24579999999999999</v>
      </c>
      <c r="AA15" s="139">
        <v>3.2593999999999999</v>
      </c>
      <c r="AB15" s="139">
        <v>0</v>
      </c>
      <c r="AC15" s="139">
        <v>0</v>
      </c>
      <c r="AD15" s="139">
        <v>0</v>
      </c>
      <c r="AE15" s="139">
        <v>0</v>
      </c>
      <c r="AF15" s="139">
        <v>0</v>
      </c>
      <c r="AG15" s="139">
        <v>0</v>
      </c>
      <c r="AH15" s="139">
        <v>0</v>
      </c>
      <c r="AI15" s="139">
        <v>0</v>
      </c>
      <c r="AJ15" s="139">
        <v>0</v>
      </c>
      <c r="AK15" s="139">
        <v>0</v>
      </c>
      <c r="AL15" s="139">
        <v>0</v>
      </c>
      <c r="AM15" s="139">
        <v>0</v>
      </c>
      <c r="AN15" s="139">
        <v>0</v>
      </c>
      <c r="AO15" s="139">
        <v>0</v>
      </c>
      <c r="AP15" s="139">
        <v>0</v>
      </c>
      <c r="AQ15" s="139">
        <v>0</v>
      </c>
      <c r="AR15" s="140">
        <v>0</v>
      </c>
    </row>
    <row r="16" spans="2:44" ht="12" customHeight="1" x14ac:dyDescent="0.25">
      <c r="B16" s="138" t="s">
        <v>59</v>
      </c>
      <c r="C16" s="139" t="s">
        <v>64</v>
      </c>
      <c r="D16" s="139" t="s">
        <v>25</v>
      </c>
      <c r="E16" s="139" t="s">
        <v>25</v>
      </c>
      <c r="F16" s="139" t="s">
        <v>25</v>
      </c>
      <c r="G16" s="139" t="s">
        <v>25</v>
      </c>
      <c r="H16" s="139" t="s">
        <v>120</v>
      </c>
      <c r="I16" s="139" t="s">
        <v>89</v>
      </c>
      <c r="J16" s="139">
        <v>5.54</v>
      </c>
      <c r="K16" s="139">
        <v>0</v>
      </c>
      <c r="L16" s="139">
        <v>0</v>
      </c>
      <c r="M16" s="139">
        <v>9.9199999999999997E-2</v>
      </c>
      <c r="N16" s="139">
        <v>0.2505</v>
      </c>
      <c r="O16" s="139">
        <v>0</v>
      </c>
      <c r="P16" s="139">
        <v>0</v>
      </c>
      <c r="Q16" s="139">
        <v>0</v>
      </c>
      <c r="R16" s="139">
        <v>0</v>
      </c>
      <c r="S16" s="139">
        <v>0</v>
      </c>
      <c r="T16" s="139">
        <v>0</v>
      </c>
      <c r="U16" s="139">
        <v>1.8145</v>
      </c>
      <c r="V16" s="139">
        <v>0</v>
      </c>
      <c r="W16" s="139">
        <v>0</v>
      </c>
      <c r="X16" s="139">
        <v>0</v>
      </c>
      <c r="Y16" s="139">
        <v>0</v>
      </c>
      <c r="Z16" s="139">
        <v>0.24579999999999999</v>
      </c>
      <c r="AA16" s="139">
        <v>3.1267</v>
      </c>
      <c r="AB16" s="139">
        <v>0</v>
      </c>
      <c r="AC16" s="139">
        <v>0</v>
      </c>
      <c r="AD16" s="139">
        <v>0</v>
      </c>
      <c r="AE16" s="139">
        <v>0</v>
      </c>
      <c r="AF16" s="139">
        <v>0</v>
      </c>
      <c r="AG16" s="139">
        <v>0</v>
      </c>
      <c r="AH16" s="139">
        <v>0</v>
      </c>
      <c r="AI16" s="139">
        <v>0</v>
      </c>
      <c r="AJ16" s="139">
        <v>0</v>
      </c>
      <c r="AK16" s="139">
        <v>0</v>
      </c>
      <c r="AL16" s="139">
        <v>0</v>
      </c>
      <c r="AM16" s="139">
        <v>0</v>
      </c>
      <c r="AN16" s="139">
        <v>0</v>
      </c>
      <c r="AO16" s="139">
        <v>0</v>
      </c>
      <c r="AP16" s="139">
        <v>0</v>
      </c>
      <c r="AQ16" s="139">
        <v>0</v>
      </c>
      <c r="AR16" s="140">
        <v>0</v>
      </c>
    </row>
    <row r="17" spans="2:44" ht="12" customHeight="1" x14ac:dyDescent="0.25">
      <c r="B17" s="138" t="s">
        <v>59</v>
      </c>
      <c r="C17" s="139" t="s">
        <v>64</v>
      </c>
      <c r="D17" s="139" t="s">
        <v>25</v>
      </c>
      <c r="E17" s="139" t="s">
        <v>25</v>
      </c>
      <c r="F17" s="139" t="s">
        <v>25</v>
      </c>
      <c r="G17" s="139" t="s">
        <v>25</v>
      </c>
      <c r="H17" s="139" t="s">
        <v>120</v>
      </c>
      <c r="I17" s="139" t="s">
        <v>86</v>
      </c>
      <c r="J17" s="139">
        <v>4.7699999999999996</v>
      </c>
      <c r="K17" s="139">
        <v>0</v>
      </c>
      <c r="L17" s="139">
        <v>0</v>
      </c>
      <c r="M17" s="139">
        <v>8.48E-2</v>
      </c>
      <c r="N17" s="139">
        <v>0.21410000000000001</v>
      </c>
      <c r="O17" s="139">
        <v>0</v>
      </c>
      <c r="P17" s="139">
        <v>0</v>
      </c>
      <c r="Q17" s="139">
        <v>0</v>
      </c>
      <c r="R17" s="139">
        <v>0</v>
      </c>
      <c r="S17" s="139">
        <v>0</v>
      </c>
      <c r="T17" s="139">
        <v>0</v>
      </c>
      <c r="U17" s="139">
        <v>1.5504</v>
      </c>
      <c r="V17" s="139">
        <v>0</v>
      </c>
      <c r="W17" s="139">
        <v>0</v>
      </c>
      <c r="X17" s="139">
        <v>0</v>
      </c>
      <c r="Y17" s="139">
        <v>0</v>
      </c>
      <c r="Z17" s="139">
        <v>0.24579999999999999</v>
      </c>
      <c r="AA17" s="139">
        <v>2.6717</v>
      </c>
      <c r="AB17" s="139">
        <v>0</v>
      </c>
      <c r="AC17" s="139">
        <v>0</v>
      </c>
      <c r="AD17" s="139">
        <v>0</v>
      </c>
      <c r="AE17" s="139">
        <v>0</v>
      </c>
      <c r="AF17" s="139">
        <v>0</v>
      </c>
      <c r="AG17" s="139">
        <v>0</v>
      </c>
      <c r="AH17" s="139">
        <v>0</v>
      </c>
      <c r="AI17" s="139">
        <v>0</v>
      </c>
      <c r="AJ17" s="139">
        <v>0</v>
      </c>
      <c r="AK17" s="139">
        <v>0</v>
      </c>
      <c r="AL17" s="139">
        <v>0</v>
      </c>
      <c r="AM17" s="139">
        <v>0</v>
      </c>
      <c r="AN17" s="139">
        <v>0</v>
      </c>
      <c r="AO17" s="139">
        <v>0</v>
      </c>
      <c r="AP17" s="139">
        <v>0</v>
      </c>
      <c r="AQ17" s="139">
        <v>0</v>
      </c>
      <c r="AR17" s="140">
        <v>0</v>
      </c>
    </row>
    <row r="18" spans="2:44" ht="12" customHeight="1" x14ac:dyDescent="0.25">
      <c r="B18" s="138" t="s">
        <v>59</v>
      </c>
      <c r="C18" s="139" t="s">
        <v>64</v>
      </c>
      <c r="D18" s="139" t="s">
        <v>25</v>
      </c>
      <c r="E18" s="139" t="s">
        <v>25</v>
      </c>
      <c r="F18" s="139" t="s">
        <v>25</v>
      </c>
      <c r="G18" s="139" t="s">
        <v>25</v>
      </c>
      <c r="H18" s="139" t="s">
        <v>120</v>
      </c>
      <c r="I18" s="139" t="s">
        <v>69</v>
      </c>
      <c r="J18" s="139">
        <v>5.87</v>
      </c>
      <c r="K18" s="139">
        <v>0</v>
      </c>
      <c r="L18" s="139">
        <v>0</v>
      </c>
      <c r="M18" s="139">
        <v>0.10539999999999999</v>
      </c>
      <c r="N18" s="139">
        <v>0.26629999999999998</v>
      </c>
      <c r="O18" s="139">
        <v>0</v>
      </c>
      <c r="P18" s="139">
        <v>0</v>
      </c>
      <c r="Q18" s="139">
        <v>0</v>
      </c>
      <c r="R18" s="139">
        <v>0</v>
      </c>
      <c r="S18" s="139">
        <v>0</v>
      </c>
      <c r="T18" s="139">
        <v>0</v>
      </c>
      <c r="U18" s="139">
        <v>1.9283999999999999</v>
      </c>
      <c r="V18" s="139">
        <v>0</v>
      </c>
      <c r="W18" s="139">
        <v>0</v>
      </c>
      <c r="X18" s="139">
        <v>0</v>
      </c>
      <c r="Y18" s="139">
        <v>0</v>
      </c>
      <c r="Z18" s="139">
        <v>0.24579999999999999</v>
      </c>
      <c r="AA18" s="139">
        <v>3.3231000000000002</v>
      </c>
      <c r="AB18" s="139">
        <v>0</v>
      </c>
      <c r="AC18" s="139">
        <v>0</v>
      </c>
      <c r="AD18" s="139">
        <v>0</v>
      </c>
      <c r="AE18" s="139">
        <v>0</v>
      </c>
      <c r="AF18" s="139">
        <v>0</v>
      </c>
      <c r="AG18" s="139">
        <v>0</v>
      </c>
      <c r="AH18" s="139">
        <v>0</v>
      </c>
      <c r="AI18" s="139">
        <v>0</v>
      </c>
      <c r="AJ18" s="139">
        <v>0</v>
      </c>
      <c r="AK18" s="139">
        <v>0</v>
      </c>
      <c r="AL18" s="139">
        <v>0</v>
      </c>
      <c r="AM18" s="139">
        <v>0</v>
      </c>
      <c r="AN18" s="139">
        <v>0</v>
      </c>
      <c r="AO18" s="139">
        <v>0</v>
      </c>
      <c r="AP18" s="139">
        <v>0</v>
      </c>
      <c r="AQ18" s="139">
        <v>0</v>
      </c>
      <c r="AR18" s="140">
        <v>0</v>
      </c>
    </row>
    <row r="19" spans="2:44" ht="12" customHeight="1" x14ac:dyDescent="0.25">
      <c r="B19" s="138" t="s">
        <v>59</v>
      </c>
      <c r="C19" s="139" t="s">
        <v>64</v>
      </c>
      <c r="D19" s="139" t="s">
        <v>25</v>
      </c>
      <c r="E19" s="139" t="s">
        <v>25</v>
      </c>
      <c r="F19" s="139" t="s">
        <v>25</v>
      </c>
      <c r="G19" s="139" t="s">
        <v>25</v>
      </c>
      <c r="H19" s="139" t="s">
        <v>120</v>
      </c>
      <c r="I19" s="139" t="s">
        <v>72</v>
      </c>
      <c r="J19" s="139">
        <v>5.58</v>
      </c>
      <c r="K19" s="139">
        <v>0</v>
      </c>
      <c r="L19" s="139">
        <v>0</v>
      </c>
      <c r="M19" s="139">
        <v>0.1</v>
      </c>
      <c r="N19" s="139">
        <v>0.2525</v>
      </c>
      <c r="O19" s="139">
        <v>0</v>
      </c>
      <c r="P19" s="139">
        <v>0</v>
      </c>
      <c r="Q19" s="139">
        <v>0</v>
      </c>
      <c r="R19" s="139">
        <v>0</v>
      </c>
      <c r="S19" s="139">
        <v>0</v>
      </c>
      <c r="T19" s="139">
        <v>0</v>
      </c>
      <c r="U19" s="139">
        <v>1.8287</v>
      </c>
      <c r="V19" s="139">
        <v>0</v>
      </c>
      <c r="W19" s="139">
        <v>0</v>
      </c>
      <c r="X19" s="139">
        <v>0</v>
      </c>
      <c r="Y19" s="139">
        <v>0</v>
      </c>
      <c r="Z19" s="139">
        <v>0.24579999999999999</v>
      </c>
      <c r="AA19" s="139">
        <v>3.1513</v>
      </c>
      <c r="AB19" s="139">
        <v>0</v>
      </c>
      <c r="AC19" s="139">
        <v>0</v>
      </c>
      <c r="AD19" s="139">
        <v>0</v>
      </c>
      <c r="AE19" s="139">
        <v>0</v>
      </c>
      <c r="AF19" s="139">
        <v>0</v>
      </c>
      <c r="AG19" s="139">
        <v>0</v>
      </c>
      <c r="AH19" s="139">
        <v>0</v>
      </c>
      <c r="AI19" s="139">
        <v>0</v>
      </c>
      <c r="AJ19" s="139">
        <v>0</v>
      </c>
      <c r="AK19" s="139">
        <v>0</v>
      </c>
      <c r="AL19" s="139">
        <v>0</v>
      </c>
      <c r="AM19" s="139">
        <v>0</v>
      </c>
      <c r="AN19" s="139">
        <v>0</v>
      </c>
      <c r="AO19" s="139">
        <v>0</v>
      </c>
      <c r="AP19" s="139">
        <v>0</v>
      </c>
      <c r="AQ19" s="139">
        <v>0</v>
      </c>
      <c r="AR19" s="140">
        <v>0</v>
      </c>
    </row>
    <row r="20" spans="2:44" ht="12" customHeight="1" x14ac:dyDescent="0.25">
      <c r="B20" s="138" t="s">
        <v>59</v>
      </c>
      <c r="C20" s="139" t="s">
        <v>64</v>
      </c>
      <c r="D20" s="139" t="s">
        <v>25</v>
      </c>
      <c r="E20" s="139" t="s">
        <v>25</v>
      </c>
      <c r="F20" s="139" t="s">
        <v>25</v>
      </c>
      <c r="G20" s="139" t="s">
        <v>25</v>
      </c>
      <c r="H20" s="139" t="s">
        <v>120</v>
      </c>
      <c r="I20" s="139" t="s">
        <v>92</v>
      </c>
      <c r="J20" s="139">
        <v>5.19</v>
      </c>
      <c r="K20" s="139">
        <v>0</v>
      </c>
      <c r="L20" s="139">
        <v>0</v>
      </c>
      <c r="M20" s="139">
        <v>9.2700000000000005E-2</v>
      </c>
      <c r="N20" s="139">
        <v>0.23419999999999999</v>
      </c>
      <c r="O20" s="139">
        <v>0</v>
      </c>
      <c r="P20" s="139">
        <v>0</v>
      </c>
      <c r="Q20" s="139">
        <v>0</v>
      </c>
      <c r="R20" s="139">
        <v>0</v>
      </c>
      <c r="S20" s="139">
        <v>0</v>
      </c>
      <c r="T20" s="139">
        <v>0</v>
      </c>
      <c r="U20" s="139">
        <v>1.6959</v>
      </c>
      <c r="V20" s="139">
        <v>0</v>
      </c>
      <c r="W20" s="139">
        <v>0</v>
      </c>
      <c r="X20" s="139">
        <v>0</v>
      </c>
      <c r="Y20" s="139">
        <v>0</v>
      </c>
      <c r="Z20" s="139">
        <v>0.24579999999999999</v>
      </c>
      <c r="AA20" s="139">
        <v>2.9224000000000001</v>
      </c>
      <c r="AB20" s="139">
        <v>0</v>
      </c>
      <c r="AC20" s="139">
        <v>0</v>
      </c>
      <c r="AD20" s="139">
        <v>0</v>
      </c>
      <c r="AE20" s="139">
        <v>0</v>
      </c>
      <c r="AF20" s="139">
        <v>0</v>
      </c>
      <c r="AG20" s="139">
        <v>0</v>
      </c>
      <c r="AH20" s="139">
        <v>0</v>
      </c>
      <c r="AI20" s="139">
        <v>0</v>
      </c>
      <c r="AJ20" s="139">
        <v>0</v>
      </c>
      <c r="AK20" s="139">
        <v>0</v>
      </c>
      <c r="AL20" s="139">
        <v>0</v>
      </c>
      <c r="AM20" s="139">
        <v>0</v>
      </c>
      <c r="AN20" s="139">
        <v>0</v>
      </c>
      <c r="AO20" s="139">
        <v>0</v>
      </c>
      <c r="AP20" s="139">
        <v>0</v>
      </c>
      <c r="AQ20" s="139">
        <v>0</v>
      </c>
      <c r="AR20" s="140">
        <v>0</v>
      </c>
    </row>
    <row r="21" spans="2:44" ht="12" customHeight="1" x14ac:dyDescent="0.25">
      <c r="B21" s="138" t="s">
        <v>59</v>
      </c>
      <c r="C21" s="139" t="s">
        <v>64</v>
      </c>
      <c r="D21" s="139" t="s">
        <v>25</v>
      </c>
      <c r="E21" s="139" t="s">
        <v>25</v>
      </c>
      <c r="F21" s="139" t="s">
        <v>25</v>
      </c>
      <c r="G21" s="139" t="s">
        <v>25</v>
      </c>
      <c r="H21" s="139" t="s">
        <v>120</v>
      </c>
      <c r="I21" s="139" t="s">
        <v>67</v>
      </c>
      <c r="J21" s="139">
        <v>4.05</v>
      </c>
      <c r="K21" s="139">
        <v>0</v>
      </c>
      <c r="L21" s="139">
        <v>0</v>
      </c>
      <c r="M21" s="139">
        <v>7.1400000000000005E-2</v>
      </c>
      <c r="N21" s="139">
        <v>0.18029999999999999</v>
      </c>
      <c r="O21" s="139">
        <v>0</v>
      </c>
      <c r="P21" s="139">
        <v>0</v>
      </c>
      <c r="Q21" s="139">
        <v>0</v>
      </c>
      <c r="R21" s="139">
        <v>0</v>
      </c>
      <c r="S21" s="139">
        <v>0</v>
      </c>
      <c r="T21" s="139">
        <v>0</v>
      </c>
      <c r="U21" s="139">
        <v>1.3056000000000001</v>
      </c>
      <c r="V21" s="139">
        <v>0</v>
      </c>
      <c r="W21" s="139">
        <v>0</v>
      </c>
      <c r="X21" s="139">
        <v>0</v>
      </c>
      <c r="Y21" s="139">
        <v>0</v>
      </c>
      <c r="Z21" s="139">
        <v>0.24579999999999999</v>
      </c>
      <c r="AA21" s="139">
        <v>2.2498999999999998</v>
      </c>
      <c r="AB21" s="139">
        <v>0</v>
      </c>
      <c r="AC21" s="139">
        <v>0</v>
      </c>
      <c r="AD21" s="139">
        <v>0</v>
      </c>
      <c r="AE21" s="139">
        <v>0</v>
      </c>
      <c r="AF21" s="139">
        <v>0</v>
      </c>
      <c r="AG21" s="139">
        <v>0</v>
      </c>
      <c r="AH21" s="139">
        <v>0</v>
      </c>
      <c r="AI21" s="139">
        <v>0</v>
      </c>
      <c r="AJ21" s="139">
        <v>0</v>
      </c>
      <c r="AK21" s="139">
        <v>0</v>
      </c>
      <c r="AL21" s="139">
        <v>0</v>
      </c>
      <c r="AM21" s="139">
        <v>0</v>
      </c>
      <c r="AN21" s="139">
        <v>0</v>
      </c>
      <c r="AO21" s="139">
        <v>0</v>
      </c>
      <c r="AP21" s="139">
        <v>0</v>
      </c>
      <c r="AQ21" s="139">
        <v>0</v>
      </c>
      <c r="AR21" s="140">
        <v>0</v>
      </c>
    </row>
    <row r="22" spans="2:44" ht="12" customHeight="1" x14ac:dyDescent="0.25">
      <c r="B22" s="138" t="s">
        <v>59</v>
      </c>
      <c r="C22" s="139" t="s">
        <v>64</v>
      </c>
      <c r="D22" s="139" t="s">
        <v>25</v>
      </c>
      <c r="E22" s="139" t="s">
        <v>25</v>
      </c>
      <c r="F22" s="139" t="s">
        <v>25</v>
      </c>
      <c r="G22" s="139" t="s">
        <v>25</v>
      </c>
      <c r="H22" s="139" t="s">
        <v>120</v>
      </c>
      <c r="I22" s="139" t="s">
        <v>75</v>
      </c>
      <c r="J22" s="139">
        <v>5.26</v>
      </c>
      <c r="K22" s="139">
        <v>0</v>
      </c>
      <c r="L22" s="139">
        <v>0</v>
      </c>
      <c r="M22" s="139">
        <v>9.4E-2</v>
      </c>
      <c r="N22" s="139">
        <v>0.2374</v>
      </c>
      <c r="O22" s="139">
        <v>0</v>
      </c>
      <c r="P22" s="139">
        <v>0</v>
      </c>
      <c r="Q22" s="139">
        <v>0</v>
      </c>
      <c r="R22" s="139">
        <v>0</v>
      </c>
      <c r="S22" s="139">
        <v>0</v>
      </c>
      <c r="T22" s="139">
        <v>0</v>
      </c>
      <c r="U22" s="139">
        <v>1.7190000000000001</v>
      </c>
      <c r="V22" s="139">
        <v>0</v>
      </c>
      <c r="W22" s="139">
        <v>0</v>
      </c>
      <c r="X22" s="139">
        <v>0</v>
      </c>
      <c r="Y22" s="139">
        <v>0</v>
      </c>
      <c r="Z22" s="139">
        <v>0.24579999999999999</v>
      </c>
      <c r="AA22" s="139">
        <v>2.9622000000000002</v>
      </c>
      <c r="AB22" s="139">
        <v>0</v>
      </c>
      <c r="AC22" s="139">
        <v>0</v>
      </c>
      <c r="AD22" s="139">
        <v>0</v>
      </c>
      <c r="AE22" s="139">
        <v>0</v>
      </c>
      <c r="AF22" s="139">
        <v>0</v>
      </c>
      <c r="AG22" s="139">
        <v>0</v>
      </c>
      <c r="AH22" s="139">
        <v>0</v>
      </c>
      <c r="AI22" s="139">
        <v>0</v>
      </c>
      <c r="AJ22" s="139">
        <v>0</v>
      </c>
      <c r="AK22" s="139">
        <v>0</v>
      </c>
      <c r="AL22" s="139">
        <v>0</v>
      </c>
      <c r="AM22" s="139">
        <v>0</v>
      </c>
      <c r="AN22" s="139">
        <v>0</v>
      </c>
      <c r="AO22" s="139">
        <v>0</v>
      </c>
      <c r="AP22" s="139">
        <v>0</v>
      </c>
      <c r="AQ22" s="139">
        <v>0</v>
      </c>
      <c r="AR22" s="140">
        <v>0</v>
      </c>
    </row>
    <row r="23" spans="2:44" ht="12" customHeight="1" x14ac:dyDescent="0.25">
      <c r="B23" s="138" t="s">
        <v>39</v>
      </c>
      <c r="C23" s="139" t="s">
        <v>40</v>
      </c>
      <c r="D23" s="139" t="s">
        <v>25</v>
      </c>
      <c r="E23" s="139" t="s">
        <v>25</v>
      </c>
      <c r="F23" s="139" t="s">
        <v>61</v>
      </c>
      <c r="G23" s="139" t="s">
        <v>34</v>
      </c>
      <c r="H23" s="139" t="s">
        <v>117</v>
      </c>
      <c r="I23" s="139" t="s">
        <v>25</v>
      </c>
      <c r="J23" s="139">
        <v>15.64</v>
      </c>
      <c r="K23" s="139">
        <v>0</v>
      </c>
      <c r="L23" s="139">
        <v>0</v>
      </c>
      <c r="M23" s="139">
        <v>0.11085288037338099</v>
      </c>
      <c r="N23" s="139">
        <v>0.30566077990534302</v>
      </c>
      <c r="O23" s="139">
        <v>-5.0328095537283003E-3</v>
      </c>
      <c r="P23" s="139">
        <v>0</v>
      </c>
      <c r="Q23" s="139">
        <v>0</v>
      </c>
      <c r="R23" s="139">
        <v>0</v>
      </c>
      <c r="S23" s="139">
        <v>0</v>
      </c>
      <c r="T23" s="139">
        <v>0</v>
      </c>
      <c r="U23" s="139">
        <v>0</v>
      </c>
      <c r="V23" s="139">
        <v>0</v>
      </c>
      <c r="W23" s="139">
        <v>0</v>
      </c>
      <c r="X23" s="139">
        <v>0</v>
      </c>
      <c r="Y23" s="139">
        <v>0</v>
      </c>
      <c r="Z23" s="139">
        <v>0</v>
      </c>
      <c r="AA23" s="139">
        <v>0</v>
      </c>
      <c r="AB23" s="139">
        <v>0</v>
      </c>
      <c r="AC23" s="139">
        <v>0</v>
      </c>
      <c r="AD23" s="139">
        <v>12.910056965694499</v>
      </c>
      <c r="AE23" s="139">
        <v>2.8665538332067E-2</v>
      </c>
      <c r="AF23" s="139">
        <v>0.327206588910253</v>
      </c>
      <c r="AG23" s="139">
        <v>1.9605524837356001</v>
      </c>
      <c r="AH23" s="139">
        <v>0</v>
      </c>
      <c r="AI23" s="139">
        <v>0</v>
      </c>
      <c r="AJ23" s="139">
        <v>0</v>
      </c>
      <c r="AK23" s="139">
        <v>0</v>
      </c>
      <c r="AL23" s="139">
        <v>0</v>
      </c>
      <c r="AM23" s="139">
        <v>0</v>
      </c>
      <c r="AN23" s="139">
        <v>0</v>
      </c>
      <c r="AO23" s="139">
        <v>0</v>
      </c>
      <c r="AP23" s="139">
        <v>0</v>
      </c>
      <c r="AQ23" s="139">
        <v>0</v>
      </c>
      <c r="AR23" s="140">
        <v>0</v>
      </c>
    </row>
    <row r="24" spans="2:44" ht="12" customHeight="1" x14ac:dyDescent="0.25">
      <c r="B24" s="138" t="s">
        <v>39</v>
      </c>
      <c r="C24" s="139" t="s">
        <v>40</v>
      </c>
      <c r="D24" s="139" t="s">
        <v>25</v>
      </c>
      <c r="E24" s="139" t="s">
        <v>25</v>
      </c>
      <c r="F24" s="139" t="s">
        <v>61</v>
      </c>
      <c r="G24" s="139" t="s">
        <v>34</v>
      </c>
      <c r="H24" s="139" t="s">
        <v>120</v>
      </c>
      <c r="I24" s="139" t="s">
        <v>25</v>
      </c>
      <c r="J24" s="139">
        <v>27.44</v>
      </c>
      <c r="K24" s="139">
        <v>0</v>
      </c>
      <c r="L24" s="139">
        <v>0</v>
      </c>
      <c r="M24" s="139">
        <v>0</v>
      </c>
      <c r="N24" s="139">
        <v>0</v>
      </c>
      <c r="O24" s="139">
        <v>0</v>
      </c>
      <c r="P24" s="139">
        <v>0</v>
      </c>
      <c r="Q24" s="139">
        <v>0</v>
      </c>
      <c r="R24" s="139">
        <v>0</v>
      </c>
      <c r="S24" s="139">
        <v>0</v>
      </c>
      <c r="T24" s="139">
        <v>2.6101136317670699</v>
      </c>
      <c r="U24" s="139">
        <v>3.7018315631608699E-2</v>
      </c>
      <c r="V24" s="139">
        <v>0</v>
      </c>
      <c r="W24" s="139">
        <v>0</v>
      </c>
      <c r="X24" s="139">
        <v>11.2885243167786</v>
      </c>
      <c r="Y24" s="139">
        <v>0</v>
      </c>
      <c r="Z24" s="139">
        <v>0</v>
      </c>
      <c r="AA24" s="139">
        <v>13.502797821392001</v>
      </c>
      <c r="AB24" s="139">
        <v>0</v>
      </c>
      <c r="AC24" s="139">
        <v>0</v>
      </c>
      <c r="AD24" s="139">
        <v>0</v>
      </c>
      <c r="AE24" s="139">
        <v>0</v>
      </c>
      <c r="AF24" s="139">
        <v>0</v>
      </c>
      <c r="AG24" s="139">
        <v>0</v>
      </c>
      <c r="AH24" s="139">
        <v>0</v>
      </c>
      <c r="AI24" s="139">
        <v>0</v>
      </c>
      <c r="AJ24" s="139">
        <v>0</v>
      </c>
      <c r="AK24" s="139">
        <v>0</v>
      </c>
      <c r="AL24" s="139">
        <v>0</v>
      </c>
      <c r="AM24" s="139">
        <v>0</v>
      </c>
      <c r="AN24" s="139">
        <v>0</v>
      </c>
      <c r="AO24" s="139">
        <v>0</v>
      </c>
      <c r="AP24" s="139">
        <v>0</v>
      </c>
      <c r="AQ24" s="139">
        <v>0</v>
      </c>
      <c r="AR24" s="140">
        <v>0</v>
      </c>
    </row>
    <row r="25" spans="2:44" ht="12" customHeight="1" x14ac:dyDescent="0.25">
      <c r="B25" s="138" t="s">
        <v>39</v>
      </c>
      <c r="C25" s="139" t="s">
        <v>40</v>
      </c>
      <c r="D25" s="139" t="s">
        <v>25</v>
      </c>
      <c r="E25" s="139" t="s">
        <v>25</v>
      </c>
      <c r="F25" s="139" t="s">
        <v>61</v>
      </c>
      <c r="G25" s="139" t="s">
        <v>35</v>
      </c>
      <c r="H25" s="139" t="s">
        <v>117</v>
      </c>
      <c r="I25" s="139" t="s">
        <v>25</v>
      </c>
      <c r="J25" s="139">
        <v>15.64</v>
      </c>
      <c r="K25" s="139">
        <v>0</v>
      </c>
      <c r="L25" s="139">
        <v>0</v>
      </c>
      <c r="M25" s="139">
        <v>0.11085288037338099</v>
      </c>
      <c r="N25" s="139">
        <v>0.30566077990534302</v>
      </c>
      <c r="O25" s="139">
        <v>-5.0328095537283003E-3</v>
      </c>
      <c r="P25" s="139">
        <v>0</v>
      </c>
      <c r="Q25" s="139">
        <v>0</v>
      </c>
      <c r="R25" s="139">
        <v>0</v>
      </c>
      <c r="S25" s="139">
        <v>0</v>
      </c>
      <c r="T25" s="139">
        <v>0</v>
      </c>
      <c r="U25" s="139">
        <v>0</v>
      </c>
      <c r="V25" s="139">
        <v>0</v>
      </c>
      <c r="W25" s="139">
        <v>0</v>
      </c>
      <c r="X25" s="139">
        <v>0</v>
      </c>
      <c r="Y25" s="139">
        <v>0</v>
      </c>
      <c r="Z25" s="139">
        <v>0</v>
      </c>
      <c r="AA25" s="139">
        <v>0</v>
      </c>
      <c r="AB25" s="139">
        <v>0</v>
      </c>
      <c r="AC25" s="139">
        <v>0</v>
      </c>
      <c r="AD25" s="139">
        <v>12.910056965694499</v>
      </c>
      <c r="AE25" s="139">
        <v>2.8665538332067E-2</v>
      </c>
      <c r="AF25" s="139">
        <v>0.327206588910253</v>
      </c>
      <c r="AG25" s="139">
        <v>1.9605524837356001</v>
      </c>
      <c r="AH25" s="139">
        <v>0</v>
      </c>
      <c r="AI25" s="139">
        <v>0</v>
      </c>
      <c r="AJ25" s="139">
        <v>0</v>
      </c>
      <c r="AK25" s="139">
        <v>0</v>
      </c>
      <c r="AL25" s="139">
        <v>0</v>
      </c>
      <c r="AM25" s="139">
        <v>0</v>
      </c>
      <c r="AN25" s="139">
        <v>0</v>
      </c>
      <c r="AO25" s="139">
        <v>0</v>
      </c>
      <c r="AP25" s="139">
        <v>0</v>
      </c>
      <c r="AQ25" s="139">
        <v>0</v>
      </c>
      <c r="AR25" s="140">
        <v>0</v>
      </c>
    </row>
    <row r="26" spans="2:44" ht="12" customHeight="1" x14ac:dyDescent="0.25">
      <c r="B26" s="138" t="s">
        <v>39</v>
      </c>
      <c r="C26" s="139" t="s">
        <v>40</v>
      </c>
      <c r="D26" s="139" t="s">
        <v>25</v>
      </c>
      <c r="E26" s="139" t="s">
        <v>25</v>
      </c>
      <c r="F26" s="139" t="s">
        <v>61</v>
      </c>
      <c r="G26" s="139" t="s">
        <v>35</v>
      </c>
      <c r="H26" s="139" t="s">
        <v>120</v>
      </c>
      <c r="I26" s="139" t="s">
        <v>25</v>
      </c>
      <c r="J26" s="139">
        <v>10.76</v>
      </c>
      <c r="K26" s="139">
        <v>0</v>
      </c>
      <c r="L26" s="139">
        <v>0</v>
      </c>
      <c r="M26" s="139">
        <v>0</v>
      </c>
      <c r="N26" s="139">
        <v>0</v>
      </c>
      <c r="O26" s="139">
        <v>0</v>
      </c>
      <c r="P26" s="139">
        <v>0</v>
      </c>
      <c r="Q26" s="139">
        <v>0</v>
      </c>
      <c r="R26" s="139">
        <v>0</v>
      </c>
      <c r="S26" s="139">
        <v>0</v>
      </c>
      <c r="T26" s="139">
        <v>2.3406289637839399</v>
      </c>
      <c r="U26" s="139">
        <v>3.3737720276736202E-2</v>
      </c>
      <c r="V26" s="139">
        <v>0</v>
      </c>
      <c r="W26" s="139">
        <v>0</v>
      </c>
      <c r="X26" s="139">
        <v>7.0386691067794001</v>
      </c>
      <c r="Y26" s="139">
        <v>0</v>
      </c>
      <c r="Z26" s="139">
        <v>0</v>
      </c>
      <c r="AA26" s="139">
        <v>1.3502686633260901</v>
      </c>
      <c r="AB26" s="139">
        <v>0</v>
      </c>
      <c r="AC26" s="139">
        <v>0</v>
      </c>
      <c r="AD26" s="139">
        <v>0</v>
      </c>
      <c r="AE26" s="139">
        <v>0</v>
      </c>
      <c r="AF26" s="139">
        <v>0</v>
      </c>
      <c r="AG26" s="139">
        <v>0</v>
      </c>
      <c r="AH26" s="139">
        <v>0</v>
      </c>
      <c r="AI26" s="139">
        <v>0</v>
      </c>
      <c r="AJ26" s="139">
        <v>0</v>
      </c>
      <c r="AK26" s="139">
        <v>0</v>
      </c>
      <c r="AL26" s="139">
        <v>0</v>
      </c>
      <c r="AM26" s="139">
        <v>0</v>
      </c>
      <c r="AN26" s="139">
        <v>0</v>
      </c>
      <c r="AO26" s="139">
        <v>0</v>
      </c>
      <c r="AP26" s="139">
        <v>0</v>
      </c>
      <c r="AQ26" s="139">
        <v>0</v>
      </c>
      <c r="AR26" s="140">
        <v>0</v>
      </c>
    </row>
    <row r="27" spans="2:44" ht="12" customHeight="1" x14ac:dyDescent="0.25">
      <c r="B27" s="138" t="s">
        <v>39</v>
      </c>
      <c r="C27" s="139" t="s">
        <v>40</v>
      </c>
      <c r="D27" s="139" t="s">
        <v>25</v>
      </c>
      <c r="E27" s="139" t="s">
        <v>25</v>
      </c>
      <c r="F27" s="139" t="s">
        <v>25</v>
      </c>
      <c r="G27" s="139" t="s">
        <v>34</v>
      </c>
      <c r="H27" s="139" t="s">
        <v>117</v>
      </c>
      <c r="I27" s="139" t="s">
        <v>25</v>
      </c>
      <c r="J27" s="139">
        <v>92.32</v>
      </c>
      <c r="K27" s="139">
        <v>503.12</v>
      </c>
      <c r="L27" s="139">
        <v>3.8464845550853299</v>
      </c>
      <c r="M27" s="139">
        <v>0.11085288037338099</v>
      </c>
      <c r="N27" s="139">
        <v>0.31731933892020497</v>
      </c>
      <c r="O27" s="139">
        <v>-5.0328095537283003E-3</v>
      </c>
      <c r="P27" s="139">
        <v>0</v>
      </c>
      <c r="Q27" s="139">
        <v>57.924997111396202</v>
      </c>
      <c r="R27" s="139">
        <v>14.9021502000616</v>
      </c>
      <c r="S27" s="139">
        <v>0</v>
      </c>
      <c r="T27" s="139">
        <v>0</v>
      </c>
      <c r="U27" s="139">
        <v>0</v>
      </c>
      <c r="V27" s="139">
        <v>0</v>
      </c>
      <c r="W27" s="139">
        <v>0</v>
      </c>
      <c r="X27" s="139">
        <v>0</v>
      </c>
      <c r="Y27" s="139">
        <v>0</v>
      </c>
      <c r="Z27" s="139">
        <v>0</v>
      </c>
      <c r="AA27" s="139">
        <v>0</v>
      </c>
      <c r="AB27" s="139">
        <v>0</v>
      </c>
      <c r="AC27" s="139">
        <v>0</v>
      </c>
      <c r="AD27" s="139">
        <v>12.910056965694499</v>
      </c>
      <c r="AE27" s="139">
        <v>2.8665538332067E-2</v>
      </c>
      <c r="AF27" s="139">
        <v>0.327206588910253</v>
      </c>
      <c r="AG27" s="139">
        <v>1.9605524837356001</v>
      </c>
      <c r="AH27" s="139">
        <v>10.7133149831084</v>
      </c>
      <c r="AI27" s="139">
        <v>-17.446033945604601</v>
      </c>
      <c r="AJ27" s="139">
        <v>3.2107904599490902</v>
      </c>
      <c r="AK27" s="139">
        <v>12.9259685971489</v>
      </c>
      <c r="AL27" s="139">
        <v>0</v>
      </c>
      <c r="AM27" s="139">
        <v>482.84575951779698</v>
      </c>
      <c r="AN27" s="139">
        <v>5.16638505569827</v>
      </c>
      <c r="AO27" s="139">
        <v>4.29365373673925</v>
      </c>
      <c r="AP27" s="139">
        <v>0</v>
      </c>
      <c r="AQ27" s="139">
        <v>0</v>
      </c>
      <c r="AR27" s="140">
        <v>1.40634479459564</v>
      </c>
    </row>
    <row r="28" spans="2:44" ht="12" customHeight="1" x14ac:dyDescent="0.25">
      <c r="B28" s="138" t="s">
        <v>39</v>
      </c>
      <c r="C28" s="139" t="s">
        <v>40</v>
      </c>
      <c r="D28" s="139" t="s">
        <v>25</v>
      </c>
      <c r="E28" s="139" t="s">
        <v>25</v>
      </c>
      <c r="F28" s="139" t="s">
        <v>25</v>
      </c>
      <c r="G28" s="139" t="s">
        <v>34</v>
      </c>
      <c r="H28" s="139" t="s">
        <v>120</v>
      </c>
      <c r="I28" s="139" t="s">
        <v>25</v>
      </c>
      <c r="J28" s="139">
        <v>27.44</v>
      </c>
      <c r="K28" s="139">
        <v>0</v>
      </c>
      <c r="L28" s="139">
        <v>0</v>
      </c>
      <c r="M28" s="139">
        <v>0</v>
      </c>
      <c r="N28" s="139">
        <v>0</v>
      </c>
      <c r="O28" s="139">
        <v>0</v>
      </c>
      <c r="P28" s="139">
        <v>0</v>
      </c>
      <c r="Q28" s="139">
        <v>0</v>
      </c>
      <c r="R28" s="139">
        <v>0</v>
      </c>
      <c r="S28" s="139">
        <v>0</v>
      </c>
      <c r="T28" s="139">
        <v>2.6101136317670699</v>
      </c>
      <c r="U28" s="139">
        <v>3.7018315631608699E-2</v>
      </c>
      <c r="V28" s="139">
        <v>0</v>
      </c>
      <c r="W28" s="139">
        <v>0</v>
      </c>
      <c r="X28" s="139">
        <v>11.2885243167786</v>
      </c>
      <c r="Y28" s="139">
        <v>0</v>
      </c>
      <c r="Z28" s="139">
        <v>0</v>
      </c>
      <c r="AA28" s="139">
        <v>13.502797821392001</v>
      </c>
      <c r="AB28" s="139">
        <v>0</v>
      </c>
      <c r="AC28" s="139">
        <v>0</v>
      </c>
      <c r="AD28" s="139">
        <v>0</v>
      </c>
      <c r="AE28" s="139">
        <v>0</v>
      </c>
      <c r="AF28" s="139">
        <v>0</v>
      </c>
      <c r="AG28" s="139">
        <v>0</v>
      </c>
      <c r="AH28" s="139">
        <v>0</v>
      </c>
      <c r="AI28" s="139">
        <v>0</v>
      </c>
      <c r="AJ28" s="139">
        <v>0</v>
      </c>
      <c r="AK28" s="139">
        <v>0</v>
      </c>
      <c r="AL28" s="139">
        <v>0</v>
      </c>
      <c r="AM28" s="139">
        <v>0</v>
      </c>
      <c r="AN28" s="139">
        <v>0</v>
      </c>
      <c r="AO28" s="139">
        <v>0</v>
      </c>
      <c r="AP28" s="139">
        <v>0</v>
      </c>
      <c r="AQ28" s="139">
        <v>0</v>
      </c>
      <c r="AR28" s="140">
        <v>0</v>
      </c>
    </row>
    <row r="29" spans="2:44" ht="12" customHeight="1" x14ac:dyDescent="0.25">
      <c r="B29" s="138" t="s">
        <v>39</v>
      </c>
      <c r="C29" s="139" t="s">
        <v>40</v>
      </c>
      <c r="D29" s="139" t="s">
        <v>25</v>
      </c>
      <c r="E29" s="139" t="s">
        <v>25</v>
      </c>
      <c r="F29" s="139" t="s">
        <v>25</v>
      </c>
      <c r="G29" s="139" t="s">
        <v>35</v>
      </c>
      <c r="H29" s="139" t="s">
        <v>117</v>
      </c>
      <c r="I29" s="139" t="s">
        <v>25</v>
      </c>
      <c r="J29" s="139">
        <v>92.32</v>
      </c>
      <c r="K29" s="139">
        <v>300.99</v>
      </c>
      <c r="L29" s="139">
        <v>3.8464845550853299</v>
      </c>
      <c r="M29" s="139">
        <v>0.11085288037338099</v>
      </c>
      <c r="N29" s="139">
        <v>0.31731933892020497</v>
      </c>
      <c r="O29" s="139">
        <v>-5.0328095537283003E-3</v>
      </c>
      <c r="P29" s="139">
        <v>0</v>
      </c>
      <c r="Q29" s="139">
        <v>57.924997111396202</v>
      </c>
      <c r="R29" s="139">
        <v>14.9021502000616</v>
      </c>
      <c r="S29" s="139">
        <v>0</v>
      </c>
      <c r="T29" s="139">
        <v>0</v>
      </c>
      <c r="U29" s="139">
        <v>0</v>
      </c>
      <c r="V29" s="139">
        <v>0</v>
      </c>
      <c r="W29" s="139">
        <v>0</v>
      </c>
      <c r="X29" s="139">
        <v>0</v>
      </c>
      <c r="Y29" s="139">
        <v>0</v>
      </c>
      <c r="Z29" s="139">
        <v>0</v>
      </c>
      <c r="AA29" s="139">
        <v>0</v>
      </c>
      <c r="AB29" s="139">
        <v>0</v>
      </c>
      <c r="AC29" s="139">
        <v>0</v>
      </c>
      <c r="AD29" s="139">
        <v>12.910056965694499</v>
      </c>
      <c r="AE29" s="139">
        <v>2.8665538332067E-2</v>
      </c>
      <c r="AF29" s="139">
        <v>0.327206588910253</v>
      </c>
      <c r="AG29" s="139">
        <v>1.9605524837356001</v>
      </c>
      <c r="AH29" s="139">
        <v>10.7133149831084</v>
      </c>
      <c r="AI29" s="139">
        <v>-17.446033945604601</v>
      </c>
      <c r="AJ29" s="139">
        <v>3.2107904599490902</v>
      </c>
      <c r="AK29" s="139">
        <v>12.9259685971489</v>
      </c>
      <c r="AL29" s="139">
        <v>0</v>
      </c>
      <c r="AM29" s="139">
        <v>280.72427878941699</v>
      </c>
      <c r="AN29" s="139">
        <v>5.16638505569827</v>
      </c>
      <c r="AO29" s="139">
        <v>4.29365373673925</v>
      </c>
      <c r="AP29" s="139">
        <v>0</v>
      </c>
      <c r="AQ29" s="139">
        <v>0</v>
      </c>
      <c r="AR29" s="140">
        <v>1.40634479459564</v>
      </c>
    </row>
    <row r="30" spans="2:44" ht="12" customHeight="1" x14ac:dyDescent="0.25">
      <c r="B30" s="138" t="s">
        <v>39</v>
      </c>
      <c r="C30" s="139" t="s">
        <v>40</v>
      </c>
      <c r="D30" s="139" t="s">
        <v>25</v>
      </c>
      <c r="E30" s="139" t="s">
        <v>25</v>
      </c>
      <c r="F30" s="139" t="s">
        <v>25</v>
      </c>
      <c r="G30" s="139" t="s">
        <v>35</v>
      </c>
      <c r="H30" s="139" t="s">
        <v>120</v>
      </c>
      <c r="I30" s="139" t="s">
        <v>25</v>
      </c>
      <c r="J30" s="139">
        <v>10.76</v>
      </c>
      <c r="K30" s="139">
        <v>0</v>
      </c>
      <c r="L30" s="139">
        <v>0</v>
      </c>
      <c r="M30" s="139">
        <v>0</v>
      </c>
      <c r="N30" s="139">
        <v>0</v>
      </c>
      <c r="O30" s="139">
        <v>0</v>
      </c>
      <c r="P30" s="139">
        <v>0</v>
      </c>
      <c r="Q30" s="139">
        <v>0</v>
      </c>
      <c r="R30" s="139">
        <v>0</v>
      </c>
      <c r="S30" s="139">
        <v>0</v>
      </c>
      <c r="T30" s="139">
        <v>2.3406289637839399</v>
      </c>
      <c r="U30" s="139">
        <v>3.3737720276736202E-2</v>
      </c>
      <c r="V30" s="139">
        <v>0</v>
      </c>
      <c r="W30" s="139">
        <v>0</v>
      </c>
      <c r="X30" s="139">
        <v>7.0386691067794001</v>
      </c>
      <c r="Y30" s="139">
        <v>0</v>
      </c>
      <c r="Z30" s="139">
        <v>0</v>
      </c>
      <c r="AA30" s="139">
        <v>1.3502686633260901</v>
      </c>
      <c r="AB30" s="139">
        <v>0</v>
      </c>
      <c r="AC30" s="139">
        <v>0</v>
      </c>
      <c r="AD30" s="139">
        <v>0</v>
      </c>
      <c r="AE30" s="139">
        <v>0</v>
      </c>
      <c r="AF30" s="139">
        <v>0</v>
      </c>
      <c r="AG30" s="139">
        <v>0</v>
      </c>
      <c r="AH30" s="139">
        <v>0</v>
      </c>
      <c r="AI30" s="139">
        <v>0</v>
      </c>
      <c r="AJ30" s="139">
        <v>0</v>
      </c>
      <c r="AK30" s="139">
        <v>0</v>
      </c>
      <c r="AL30" s="139">
        <v>0</v>
      </c>
      <c r="AM30" s="139">
        <v>0</v>
      </c>
      <c r="AN30" s="139">
        <v>0</v>
      </c>
      <c r="AO30" s="139">
        <v>0</v>
      </c>
      <c r="AP30" s="139">
        <v>0</v>
      </c>
      <c r="AQ30" s="139">
        <v>0</v>
      </c>
      <c r="AR30" s="140">
        <v>0</v>
      </c>
    </row>
    <row r="31" spans="2:44" ht="12" customHeight="1" x14ac:dyDescent="0.25">
      <c r="B31" s="138" t="s">
        <v>39</v>
      </c>
      <c r="C31" s="139" t="s">
        <v>64</v>
      </c>
      <c r="D31" s="139" t="s">
        <v>25</v>
      </c>
      <c r="E31" s="139" t="s">
        <v>25</v>
      </c>
      <c r="F31" s="139" t="s">
        <v>25</v>
      </c>
      <c r="G31" s="139" t="s">
        <v>25</v>
      </c>
      <c r="H31" s="139" t="s">
        <v>120</v>
      </c>
      <c r="I31" s="139" t="s">
        <v>25</v>
      </c>
      <c r="J31" s="139">
        <v>20.74</v>
      </c>
      <c r="K31" s="139">
        <v>0</v>
      </c>
      <c r="L31" s="139">
        <v>0</v>
      </c>
      <c r="M31" s="139">
        <v>3.7937506807275201E-2</v>
      </c>
      <c r="N31" s="139">
        <v>0.11401607511965101</v>
      </c>
      <c r="O31" s="139">
        <v>8.7835537972142004E-3</v>
      </c>
      <c r="P31" s="139">
        <v>0</v>
      </c>
      <c r="Q31" s="139">
        <v>0</v>
      </c>
      <c r="R31" s="139">
        <v>0</v>
      </c>
      <c r="S31" s="139">
        <v>0</v>
      </c>
      <c r="T31" s="139">
        <v>0</v>
      </c>
      <c r="U31" s="139">
        <v>0</v>
      </c>
      <c r="V31" s="139">
        <v>0</v>
      </c>
      <c r="W31" s="139">
        <v>0</v>
      </c>
      <c r="X31" s="139">
        <v>13.088210849474899</v>
      </c>
      <c r="Y31" s="139">
        <v>0</v>
      </c>
      <c r="Z31" s="139">
        <v>0</v>
      </c>
      <c r="AA31" s="139">
        <v>6.61214358248567</v>
      </c>
      <c r="AB31" s="139">
        <v>0</v>
      </c>
      <c r="AC31" s="139">
        <v>0</v>
      </c>
      <c r="AD31" s="139">
        <v>0.71063408504479997</v>
      </c>
      <c r="AE31" s="139">
        <v>0.165545836364384</v>
      </c>
      <c r="AF31" s="139">
        <v>0</v>
      </c>
      <c r="AG31" s="139">
        <v>0</v>
      </c>
      <c r="AH31" s="139">
        <v>0</v>
      </c>
      <c r="AI31" s="139">
        <v>0</v>
      </c>
      <c r="AJ31" s="139">
        <v>0</v>
      </c>
      <c r="AK31" s="139">
        <v>0</v>
      </c>
      <c r="AL31" s="139">
        <v>0</v>
      </c>
      <c r="AM31" s="139">
        <v>0</v>
      </c>
      <c r="AN31" s="139">
        <v>0</v>
      </c>
      <c r="AO31" s="139">
        <v>0</v>
      </c>
      <c r="AP31" s="139">
        <v>0</v>
      </c>
      <c r="AQ31" s="139">
        <v>0</v>
      </c>
      <c r="AR31" s="140">
        <v>0</v>
      </c>
    </row>
    <row r="32" spans="2:44" ht="12" customHeight="1" x14ac:dyDescent="0.25">
      <c r="B32" s="138" t="s">
        <v>41</v>
      </c>
      <c r="C32" s="139" t="s">
        <v>40</v>
      </c>
      <c r="D32" s="139" t="s">
        <v>25</v>
      </c>
      <c r="E32" s="139" t="s">
        <v>25</v>
      </c>
      <c r="F32" s="139" t="s">
        <v>61</v>
      </c>
      <c r="G32" s="139" t="s">
        <v>34</v>
      </c>
      <c r="H32" s="139" t="s">
        <v>117</v>
      </c>
      <c r="I32" s="139" t="s">
        <v>25</v>
      </c>
      <c r="J32" s="139">
        <v>27.89</v>
      </c>
      <c r="K32" s="139">
        <v>0</v>
      </c>
      <c r="L32" s="139">
        <v>0</v>
      </c>
      <c r="M32" s="139">
        <v>0.76040510127177696</v>
      </c>
      <c r="N32" s="139">
        <v>0.51064297990320295</v>
      </c>
      <c r="O32" s="139">
        <v>-5.0328095537283003E-3</v>
      </c>
      <c r="P32" s="139">
        <v>0</v>
      </c>
      <c r="Q32" s="139">
        <v>0</v>
      </c>
      <c r="R32" s="139">
        <v>0</v>
      </c>
      <c r="S32" s="139">
        <v>0</v>
      </c>
      <c r="T32" s="139">
        <v>0</v>
      </c>
      <c r="U32" s="139">
        <v>0</v>
      </c>
      <c r="V32" s="139">
        <v>0</v>
      </c>
      <c r="W32" s="139">
        <v>0</v>
      </c>
      <c r="X32" s="139">
        <v>0</v>
      </c>
      <c r="Y32" s="139">
        <v>0</v>
      </c>
      <c r="Z32" s="139">
        <v>0</v>
      </c>
      <c r="AA32" s="139">
        <v>0</v>
      </c>
      <c r="AB32" s="139">
        <v>0</v>
      </c>
      <c r="AC32" s="139">
        <v>0</v>
      </c>
      <c r="AD32" s="139">
        <v>21.3458287993097</v>
      </c>
      <c r="AE32" s="139">
        <v>4.7396357374898397E-2</v>
      </c>
      <c r="AF32" s="139">
        <v>0.74835920367304998</v>
      </c>
      <c r="AG32" s="139">
        <v>4.4840096294332801</v>
      </c>
      <c r="AH32" s="139">
        <v>0</v>
      </c>
      <c r="AI32" s="139">
        <v>0</v>
      </c>
      <c r="AJ32" s="139">
        <v>0</v>
      </c>
      <c r="AK32" s="139">
        <v>0</v>
      </c>
      <c r="AL32" s="139">
        <v>0</v>
      </c>
      <c r="AM32" s="139">
        <v>0</v>
      </c>
      <c r="AN32" s="139">
        <v>0</v>
      </c>
      <c r="AO32" s="139">
        <v>0</v>
      </c>
      <c r="AP32" s="139">
        <v>0</v>
      </c>
      <c r="AQ32" s="139">
        <v>0</v>
      </c>
      <c r="AR32" s="140">
        <v>0</v>
      </c>
    </row>
    <row r="33" spans="2:44" ht="12" customHeight="1" x14ac:dyDescent="0.25">
      <c r="B33" s="138" t="s">
        <v>41</v>
      </c>
      <c r="C33" s="139" t="s">
        <v>40</v>
      </c>
      <c r="D33" s="139" t="s">
        <v>25</v>
      </c>
      <c r="E33" s="139" t="s">
        <v>25</v>
      </c>
      <c r="F33" s="139" t="s">
        <v>61</v>
      </c>
      <c r="G33" s="139" t="s">
        <v>34</v>
      </c>
      <c r="H33" s="139" t="s">
        <v>120</v>
      </c>
      <c r="I33" s="139" t="s">
        <v>25</v>
      </c>
      <c r="J33" s="139">
        <v>74.3</v>
      </c>
      <c r="K33" s="139">
        <v>0</v>
      </c>
      <c r="L33" s="139">
        <v>0</v>
      </c>
      <c r="M33" s="139">
        <v>0</v>
      </c>
      <c r="N33" s="139">
        <v>0</v>
      </c>
      <c r="O33" s="139">
        <v>0</v>
      </c>
      <c r="P33" s="139">
        <v>0</v>
      </c>
      <c r="Q33" s="139">
        <v>0</v>
      </c>
      <c r="R33" s="139">
        <v>0</v>
      </c>
      <c r="S33" s="139">
        <v>0</v>
      </c>
      <c r="T33" s="139">
        <v>2.6199211065690799</v>
      </c>
      <c r="U33" s="139">
        <v>3.71541982794436E-2</v>
      </c>
      <c r="V33" s="139">
        <v>0</v>
      </c>
      <c r="W33" s="139">
        <v>0</v>
      </c>
      <c r="X33" s="139">
        <v>11.464882507054501</v>
      </c>
      <c r="Y33" s="139">
        <v>0</v>
      </c>
      <c r="Z33" s="139">
        <v>0</v>
      </c>
      <c r="AA33" s="139">
        <v>60.175350082186299</v>
      </c>
      <c r="AB33" s="139">
        <v>0</v>
      </c>
      <c r="AC33" s="139">
        <v>0</v>
      </c>
      <c r="AD33" s="139">
        <v>0</v>
      </c>
      <c r="AE33" s="139">
        <v>0</v>
      </c>
      <c r="AF33" s="139">
        <v>0</v>
      </c>
      <c r="AG33" s="139">
        <v>0</v>
      </c>
      <c r="AH33" s="139">
        <v>0</v>
      </c>
      <c r="AI33" s="139">
        <v>0</v>
      </c>
      <c r="AJ33" s="139">
        <v>0</v>
      </c>
      <c r="AK33" s="139">
        <v>0</v>
      </c>
      <c r="AL33" s="139">
        <v>0</v>
      </c>
      <c r="AM33" s="139">
        <v>0</v>
      </c>
      <c r="AN33" s="139">
        <v>0</v>
      </c>
      <c r="AO33" s="139">
        <v>0</v>
      </c>
      <c r="AP33" s="139">
        <v>0</v>
      </c>
      <c r="AQ33" s="139">
        <v>0</v>
      </c>
      <c r="AR33" s="140">
        <v>0</v>
      </c>
    </row>
    <row r="34" spans="2:44" ht="12" customHeight="1" x14ac:dyDescent="0.25">
      <c r="B34" s="138" t="s">
        <v>41</v>
      </c>
      <c r="C34" s="139" t="s">
        <v>40</v>
      </c>
      <c r="D34" s="139" t="s">
        <v>25</v>
      </c>
      <c r="E34" s="139" t="s">
        <v>25</v>
      </c>
      <c r="F34" s="139" t="s">
        <v>61</v>
      </c>
      <c r="G34" s="139" t="s">
        <v>35</v>
      </c>
      <c r="H34" s="139" t="s">
        <v>117</v>
      </c>
      <c r="I34" s="139" t="s">
        <v>25</v>
      </c>
      <c r="J34" s="139">
        <v>27.89</v>
      </c>
      <c r="K34" s="139">
        <v>0</v>
      </c>
      <c r="L34" s="139">
        <v>0</v>
      </c>
      <c r="M34" s="139">
        <v>0.76040510127177696</v>
      </c>
      <c r="N34" s="139">
        <v>0.51064297990320295</v>
      </c>
      <c r="O34" s="139">
        <v>-5.0328095537283003E-3</v>
      </c>
      <c r="P34" s="139">
        <v>0</v>
      </c>
      <c r="Q34" s="139">
        <v>0</v>
      </c>
      <c r="R34" s="139">
        <v>0</v>
      </c>
      <c r="S34" s="139">
        <v>0</v>
      </c>
      <c r="T34" s="139">
        <v>0</v>
      </c>
      <c r="U34" s="139">
        <v>0</v>
      </c>
      <c r="V34" s="139">
        <v>0</v>
      </c>
      <c r="W34" s="139">
        <v>0</v>
      </c>
      <c r="X34" s="139">
        <v>0</v>
      </c>
      <c r="Y34" s="139">
        <v>0</v>
      </c>
      <c r="Z34" s="139">
        <v>0</v>
      </c>
      <c r="AA34" s="139">
        <v>0</v>
      </c>
      <c r="AB34" s="139">
        <v>0</v>
      </c>
      <c r="AC34" s="139">
        <v>0</v>
      </c>
      <c r="AD34" s="139">
        <v>21.3458287993097</v>
      </c>
      <c r="AE34" s="139">
        <v>4.7396357374898397E-2</v>
      </c>
      <c r="AF34" s="139">
        <v>0.74835920367304998</v>
      </c>
      <c r="AG34" s="139">
        <v>4.4840096294332801</v>
      </c>
      <c r="AH34" s="139">
        <v>0</v>
      </c>
      <c r="AI34" s="139">
        <v>0</v>
      </c>
      <c r="AJ34" s="139">
        <v>0</v>
      </c>
      <c r="AK34" s="139">
        <v>0</v>
      </c>
      <c r="AL34" s="139">
        <v>0</v>
      </c>
      <c r="AM34" s="139">
        <v>0</v>
      </c>
      <c r="AN34" s="139">
        <v>0</v>
      </c>
      <c r="AO34" s="139">
        <v>0</v>
      </c>
      <c r="AP34" s="139">
        <v>0</v>
      </c>
      <c r="AQ34" s="139">
        <v>0</v>
      </c>
      <c r="AR34" s="140">
        <v>0</v>
      </c>
    </row>
    <row r="35" spans="2:44" ht="12" customHeight="1" x14ac:dyDescent="0.25">
      <c r="B35" s="138" t="s">
        <v>41</v>
      </c>
      <c r="C35" s="139" t="s">
        <v>40</v>
      </c>
      <c r="D35" s="139" t="s">
        <v>25</v>
      </c>
      <c r="E35" s="139" t="s">
        <v>25</v>
      </c>
      <c r="F35" s="139" t="s">
        <v>61</v>
      </c>
      <c r="G35" s="139" t="s">
        <v>35</v>
      </c>
      <c r="H35" s="139" t="s">
        <v>120</v>
      </c>
      <c r="I35" s="139" t="s">
        <v>25</v>
      </c>
      <c r="J35" s="139">
        <v>28.94</v>
      </c>
      <c r="K35" s="139">
        <v>0</v>
      </c>
      <c r="L35" s="139">
        <v>0</v>
      </c>
      <c r="M35" s="139">
        <v>0</v>
      </c>
      <c r="N35" s="139">
        <v>0</v>
      </c>
      <c r="O35" s="139">
        <v>0</v>
      </c>
      <c r="P35" s="139">
        <v>0</v>
      </c>
      <c r="Q35" s="139">
        <v>0</v>
      </c>
      <c r="R35" s="139">
        <v>0</v>
      </c>
      <c r="S35" s="139">
        <v>0</v>
      </c>
      <c r="T35" s="139">
        <v>2.2133085026155199</v>
      </c>
      <c r="U35" s="139">
        <v>3.1903304530964301E-2</v>
      </c>
      <c r="V35" s="139">
        <v>0</v>
      </c>
      <c r="W35" s="139">
        <v>0</v>
      </c>
      <c r="X35" s="139">
        <v>6.7226416303614798</v>
      </c>
      <c r="Y35" s="139">
        <v>0</v>
      </c>
      <c r="Z35" s="139">
        <v>0</v>
      </c>
      <c r="AA35" s="139">
        <v>19.969499522564998</v>
      </c>
      <c r="AB35" s="139">
        <v>0</v>
      </c>
      <c r="AC35" s="139">
        <v>0</v>
      </c>
      <c r="AD35" s="139">
        <v>0</v>
      </c>
      <c r="AE35" s="139">
        <v>0</v>
      </c>
      <c r="AF35" s="139">
        <v>0</v>
      </c>
      <c r="AG35" s="139">
        <v>0</v>
      </c>
      <c r="AH35" s="139">
        <v>0</v>
      </c>
      <c r="AI35" s="139">
        <v>0</v>
      </c>
      <c r="AJ35" s="139">
        <v>0</v>
      </c>
      <c r="AK35" s="139">
        <v>0</v>
      </c>
      <c r="AL35" s="139">
        <v>0</v>
      </c>
      <c r="AM35" s="139">
        <v>0</v>
      </c>
      <c r="AN35" s="139">
        <v>0</v>
      </c>
      <c r="AO35" s="139">
        <v>0</v>
      </c>
      <c r="AP35" s="139">
        <v>0</v>
      </c>
      <c r="AQ35" s="139">
        <v>0</v>
      </c>
      <c r="AR35" s="140">
        <v>0</v>
      </c>
    </row>
    <row r="36" spans="2:44" ht="12" customHeight="1" x14ac:dyDescent="0.25">
      <c r="B36" s="138" t="s">
        <v>41</v>
      </c>
      <c r="C36" s="139" t="s">
        <v>40</v>
      </c>
      <c r="D36" s="139" t="s">
        <v>25</v>
      </c>
      <c r="E36" s="139" t="s">
        <v>25</v>
      </c>
      <c r="F36" s="139" t="s">
        <v>25</v>
      </c>
      <c r="G36" s="139" t="s">
        <v>34</v>
      </c>
      <c r="H36" s="139" t="s">
        <v>117</v>
      </c>
      <c r="I36" s="139" t="s">
        <v>25</v>
      </c>
      <c r="J36" s="139">
        <v>126.5</v>
      </c>
      <c r="K36" s="139">
        <v>503.12</v>
      </c>
      <c r="L36" s="139">
        <v>5.2113661714059303</v>
      </c>
      <c r="M36" s="139">
        <v>0.76040510127177696</v>
      </c>
      <c r="N36" s="139">
        <v>0.52230153891806497</v>
      </c>
      <c r="O36" s="139">
        <v>-5.0328095537283003E-3</v>
      </c>
      <c r="P36" s="139">
        <v>0</v>
      </c>
      <c r="Q36" s="139">
        <v>78.479028344472297</v>
      </c>
      <c r="R36" s="139">
        <v>14.9021502000616</v>
      </c>
      <c r="S36" s="139">
        <v>0</v>
      </c>
      <c r="T36" s="139">
        <v>0</v>
      </c>
      <c r="U36" s="139">
        <v>0</v>
      </c>
      <c r="V36" s="139">
        <v>0</v>
      </c>
      <c r="W36" s="139">
        <v>0</v>
      </c>
      <c r="X36" s="139">
        <v>0</v>
      </c>
      <c r="Y36" s="139">
        <v>0</v>
      </c>
      <c r="Z36" s="139">
        <v>0</v>
      </c>
      <c r="AA36" s="139">
        <v>0</v>
      </c>
      <c r="AB36" s="139">
        <v>0</v>
      </c>
      <c r="AC36" s="139">
        <v>0</v>
      </c>
      <c r="AD36" s="139">
        <v>21.3458287993097</v>
      </c>
      <c r="AE36" s="139">
        <v>4.7396357374898397E-2</v>
      </c>
      <c r="AF36" s="139">
        <v>0.74835920367304998</v>
      </c>
      <c r="AG36" s="139">
        <v>4.4840096294332801</v>
      </c>
      <c r="AH36" s="139">
        <v>10.7133149831084</v>
      </c>
      <c r="AI36" s="139">
        <v>-17.446033945604601</v>
      </c>
      <c r="AJ36" s="139">
        <v>3.2107904599490902</v>
      </c>
      <c r="AK36" s="139">
        <v>12.9259685971489</v>
      </c>
      <c r="AL36" s="139">
        <v>0</v>
      </c>
      <c r="AM36" s="139">
        <v>482.84575951779698</v>
      </c>
      <c r="AN36" s="139">
        <v>5.16638505569827</v>
      </c>
      <c r="AO36" s="139">
        <v>4.29365373673925</v>
      </c>
      <c r="AP36" s="139">
        <v>0</v>
      </c>
      <c r="AQ36" s="139">
        <v>0</v>
      </c>
      <c r="AR36" s="140">
        <v>1.40634479459564</v>
      </c>
    </row>
    <row r="37" spans="2:44" ht="12" customHeight="1" x14ac:dyDescent="0.25">
      <c r="B37" s="138" t="s">
        <v>41</v>
      </c>
      <c r="C37" s="139" t="s">
        <v>40</v>
      </c>
      <c r="D37" s="139" t="s">
        <v>25</v>
      </c>
      <c r="E37" s="139" t="s">
        <v>25</v>
      </c>
      <c r="F37" s="139" t="s">
        <v>25</v>
      </c>
      <c r="G37" s="139" t="s">
        <v>34</v>
      </c>
      <c r="H37" s="139" t="s">
        <v>120</v>
      </c>
      <c r="I37" s="139" t="s">
        <v>25</v>
      </c>
      <c r="J37" s="139">
        <v>74.3</v>
      </c>
      <c r="K37" s="139">
        <v>0</v>
      </c>
      <c r="L37" s="139">
        <v>0</v>
      </c>
      <c r="M37" s="139">
        <v>0</v>
      </c>
      <c r="N37" s="139">
        <v>0</v>
      </c>
      <c r="O37" s="139">
        <v>0</v>
      </c>
      <c r="P37" s="139">
        <v>0</v>
      </c>
      <c r="Q37" s="139">
        <v>0</v>
      </c>
      <c r="R37" s="139">
        <v>0</v>
      </c>
      <c r="S37" s="139">
        <v>0</v>
      </c>
      <c r="T37" s="139">
        <v>2.6199211065690799</v>
      </c>
      <c r="U37" s="139">
        <v>3.71541982794436E-2</v>
      </c>
      <c r="V37" s="139">
        <v>0</v>
      </c>
      <c r="W37" s="139">
        <v>0</v>
      </c>
      <c r="X37" s="139">
        <v>11.464882507054501</v>
      </c>
      <c r="Y37" s="139">
        <v>0</v>
      </c>
      <c r="Z37" s="139">
        <v>0</v>
      </c>
      <c r="AA37" s="139">
        <v>60.175350082186299</v>
      </c>
      <c r="AB37" s="139">
        <v>0</v>
      </c>
      <c r="AC37" s="139">
        <v>0</v>
      </c>
      <c r="AD37" s="139">
        <v>0</v>
      </c>
      <c r="AE37" s="139">
        <v>0</v>
      </c>
      <c r="AF37" s="139">
        <v>0</v>
      </c>
      <c r="AG37" s="139">
        <v>0</v>
      </c>
      <c r="AH37" s="139">
        <v>0</v>
      </c>
      <c r="AI37" s="139">
        <v>0</v>
      </c>
      <c r="AJ37" s="139">
        <v>0</v>
      </c>
      <c r="AK37" s="139">
        <v>0</v>
      </c>
      <c r="AL37" s="139">
        <v>0</v>
      </c>
      <c r="AM37" s="139">
        <v>0</v>
      </c>
      <c r="AN37" s="139">
        <v>0</v>
      </c>
      <c r="AO37" s="139">
        <v>0</v>
      </c>
      <c r="AP37" s="139">
        <v>0</v>
      </c>
      <c r="AQ37" s="139">
        <v>0</v>
      </c>
      <c r="AR37" s="140">
        <v>0</v>
      </c>
    </row>
    <row r="38" spans="2:44" ht="12" customHeight="1" x14ac:dyDescent="0.25">
      <c r="B38" s="138" t="s">
        <v>41</v>
      </c>
      <c r="C38" s="139" t="s">
        <v>40</v>
      </c>
      <c r="D38" s="139" t="s">
        <v>25</v>
      </c>
      <c r="E38" s="139" t="s">
        <v>25</v>
      </c>
      <c r="F38" s="139" t="s">
        <v>25</v>
      </c>
      <c r="G38" s="139" t="s">
        <v>35</v>
      </c>
      <c r="H38" s="139" t="s">
        <v>117</v>
      </c>
      <c r="I38" s="139" t="s">
        <v>25</v>
      </c>
      <c r="J38" s="139">
        <v>126.5</v>
      </c>
      <c r="K38" s="139">
        <v>300.99</v>
      </c>
      <c r="L38" s="139">
        <v>5.2113661714059303</v>
      </c>
      <c r="M38" s="139">
        <v>0.76040510127177696</v>
      </c>
      <c r="N38" s="139">
        <v>0.52230153891806497</v>
      </c>
      <c r="O38" s="139">
        <v>-5.0328095537283003E-3</v>
      </c>
      <c r="P38" s="139">
        <v>0</v>
      </c>
      <c r="Q38" s="139">
        <v>78.479028344472297</v>
      </c>
      <c r="R38" s="139">
        <v>14.9021502000616</v>
      </c>
      <c r="S38" s="139">
        <v>0</v>
      </c>
      <c r="T38" s="139">
        <v>0</v>
      </c>
      <c r="U38" s="139">
        <v>0</v>
      </c>
      <c r="V38" s="139">
        <v>0</v>
      </c>
      <c r="W38" s="139">
        <v>0</v>
      </c>
      <c r="X38" s="139">
        <v>0</v>
      </c>
      <c r="Y38" s="139">
        <v>0</v>
      </c>
      <c r="Z38" s="139">
        <v>0</v>
      </c>
      <c r="AA38" s="139">
        <v>0</v>
      </c>
      <c r="AB38" s="139">
        <v>0</v>
      </c>
      <c r="AC38" s="139">
        <v>0</v>
      </c>
      <c r="AD38" s="139">
        <v>21.3458287993097</v>
      </c>
      <c r="AE38" s="139">
        <v>4.7396357374898397E-2</v>
      </c>
      <c r="AF38" s="139">
        <v>0.74835920367304998</v>
      </c>
      <c r="AG38" s="139">
        <v>4.4840096294332801</v>
      </c>
      <c r="AH38" s="139">
        <v>10.7133149831084</v>
      </c>
      <c r="AI38" s="139">
        <v>-17.446033945604601</v>
      </c>
      <c r="AJ38" s="139">
        <v>3.2107904599490902</v>
      </c>
      <c r="AK38" s="139">
        <v>12.9259685971489</v>
      </c>
      <c r="AL38" s="139">
        <v>0</v>
      </c>
      <c r="AM38" s="139">
        <v>280.72427878941699</v>
      </c>
      <c r="AN38" s="139">
        <v>5.16638505569827</v>
      </c>
      <c r="AO38" s="139">
        <v>4.29365373673925</v>
      </c>
      <c r="AP38" s="139">
        <v>0</v>
      </c>
      <c r="AQ38" s="139">
        <v>0</v>
      </c>
      <c r="AR38" s="140">
        <v>1.40634479459564</v>
      </c>
    </row>
    <row r="39" spans="2:44" ht="12" customHeight="1" x14ac:dyDescent="0.25">
      <c r="B39" s="138" t="s">
        <v>41</v>
      </c>
      <c r="C39" s="139" t="s">
        <v>40</v>
      </c>
      <c r="D39" s="139" t="s">
        <v>25</v>
      </c>
      <c r="E39" s="139" t="s">
        <v>25</v>
      </c>
      <c r="F39" s="139" t="s">
        <v>25</v>
      </c>
      <c r="G39" s="139" t="s">
        <v>35</v>
      </c>
      <c r="H39" s="139" t="s">
        <v>120</v>
      </c>
      <c r="I39" s="139" t="s">
        <v>25</v>
      </c>
      <c r="J39" s="139">
        <v>28.94</v>
      </c>
      <c r="K39" s="139">
        <v>0</v>
      </c>
      <c r="L39" s="139">
        <v>0</v>
      </c>
      <c r="M39" s="139">
        <v>0</v>
      </c>
      <c r="N39" s="139">
        <v>0</v>
      </c>
      <c r="O39" s="139">
        <v>0</v>
      </c>
      <c r="P39" s="139">
        <v>0</v>
      </c>
      <c r="Q39" s="139">
        <v>0</v>
      </c>
      <c r="R39" s="139">
        <v>0</v>
      </c>
      <c r="S39" s="139">
        <v>0</v>
      </c>
      <c r="T39" s="139">
        <v>2.2133085026155199</v>
      </c>
      <c r="U39" s="139">
        <v>3.1903304530964301E-2</v>
      </c>
      <c r="V39" s="139">
        <v>0</v>
      </c>
      <c r="W39" s="139">
        <v>0</v>
      </c>
      <c r="X39" s="139">
        <v>6.7226416303614798</v>
      </c>
      <c r="Y39" s="139">
        <v>0</v>
      </c>
      <c r="Z39" s="139">
        <v>0</v>
      </c>
      <c r="AA39" s="139">
        <v>19.969499522564998</v>
      </c>
      <c r="AB39" s="139">
        <v>0</v>
      </c>
      <c r="AC39" s="139">
        <v>0</v>
      </c>
      <c r="AD39" s="139">
        <v>0</v>
      </c>
      <c r="AE39" s="139">
        <v>0</v>
      </c>
      <c r="AF39" s="139">
        <v>0</v>
      </c>
      <c r="AG39" s="139">
        <v>0</v>
      </c>
      <c r="AH39" s="139">
        <v>0</v>
      </c>
      <c r="AI39" s="139">
        <v>0</v>
      </c>
      <c r="AJ39" s="139">
        <v>0</v>
      </c>
      <c r="AK39" s="139">
        <v>0</v>
      </c>
      <c r="AL39" s="139">
        <v>0</v>
      </c>
      <c r="AM39" s="139">
        <v>0</v>
      </c>
      <c r="AN39" s="139">
        <v>0</v>
      </c>
      <c r="AO39" s="139">
        <v>0</v>
      </c>
      <c r="AP39" s="139">
        <v>0</v>
      </c>
      <c r="AQ39" s="139">
        <v>0</v>
      </c>
      <c r="AR39" s="140">
        <v>0</v>
      </c>
    </row>
    <row r="40" spans="2:44" ht="12" customHeight="1" x14ac:dyDescent="0.25">
      <c r="B40" s="138" t="s">
        <v>41</v>
      </c>
      <c r="C40" s="139" t="s">
        <v>81</v>
      </c>
      <c r="D40" s="139" t="s">
        <v>25</v>
      </c>
      <c r="E40" s="139" t="s">
        <v>25</v>
      </c>
      <c r="F40" s="139" t="s">
        <v>25</v>
      </c>
      <c r="G40" s="139" t="s">
        <v>34</v>
      </c>
      <c r="H40" s="139" t="s">
        <v>120</v>
      </c>
      <c r="I40" s="139" t="s">
        <v>82</v>
      </c>
      <c r="J40" s="139">
        <v>31.89</v>
      </c>
      <c r="K40" s="139">
        <v>0</v>
      </c>
      <c r="L40" s="139">
        <v>0</v>
      </c>
      <c r="M40" s="139">
        <v>0</v>
      </c>
      <c r="N40" s="139">
        <v>0</v>
      </c>
      <c r="O40" s="139">
        <v>0</v>
      </c>
      <c r="P40" s="139">
        <v>0</v>
      </c>
      <c r="Q40" s="139">
        <v>0</v>
      </c>
      <c r="R40" s="139">
        <v>0</v>
      </c>
      <c r="S40" s="139">
        <v>0</v>
      </c>
      <c r="T40" s="139">
        <v>2.6199211065690799</v>
      </c>
      <c r="U40" s="139">
        <v>3.71541982794436E-2</v>
      </c>
      <c r="V40" s="139">
        <v>0</v>
      </c>
      <c r="W40" s="139">
        <v>0</v>
      </c>
      <c r="X40" s="139">
        <v>11.464882507054501</v>
      </c>
      <c r="Y40" s="139">
        <v>0</v>
      </c>
      <c r="Z40" s="139">
        <v>0</v>
      </c>
      <c r="AA40" s="139">
        <v>17.771754924466901</v>
      </c>
      <c r="AB40" s="139">
        <v>0</v>
      </c>
      <c r="AC40" s="139">
        <v>0</v>
      </c>
      <c r="AD40" s="139">
        <v>0</v>
      </c>
      <c r="AE40" s="139">
        <v>0</v>
      </c>
      <c r="AF40" s="139">
        <v>0</v>
      </c>
      <c r="AG40" s="139">
        <v>0</v>
      </c>
      <c r="AH40" s="139">
        <v>0</v>
      </c>
      <c r="AI40" s="139">
        <v>0</v>
      </c>
      <c r="AJ40" s="139">
        <v>0</v>
      </c>
      <c r="AK40" s="139">
        <v>0</v>
      </c>
      <c r="AL40" s="139">
        <v>0</v>
      </c>
      <c r="AM40" s="139">
        <v>0</v>
      </c>
      <c r="AN40" s="139">
        <v>0</v>
      </c>
      <c r="AO40" s="139">
        <v>0</v>
      </c>
      <c r="AP40" s="139">
        <v>0</v>
      </c>
      <c r="AQ40" s="139">
        <v>0</v>
      </c>
      <c r="AR40" s="140">
        <v>0</v>
      </c>
    </row>
    <row r="41" spans="2:44" ht="12" customHeight="1" x14ac:dyDescent="0.25">
      <c r="B41" s="138" t="s">
        <v>41</v>
      </c>
      <c r="C41" s="139" t="s">
        <v>81</v>
      </c>
      <c r="D41" s="139" t="s">
        <v>25</v>
      </c>
      <c r="E41" s="139" t="s">
        <v>25</v>
      </c>
      <c r="F41" s="139" t="s">
        <v>25</v>
      </c>
      <c r="G41" s="139" t="s">
        <v>25</v>
      </c>
      <c r="H41" s="139" t="s">
        <v>117</v>
      </c>
      <c r="I41" s="139" t="s">
        <v>82</v>
      </c>
      <c r="J41" s="139">
        <v>21.39</v>
      </c>
      <c r="K41" s="139">
        <v>0</v>
      </c>
      <c r="L41" s="139">
        <v>0</v>
      </c>
      <c r="M41" s="139">
        <v>0</v>
      </c>
      <c r="N41" s="139">
        <v>0</v>
      </c>
      <c r="O41" s="139">
        <v>0</v>
      </c>
      <c r="P41" s="139">
        <v>0</v>
      </c>
      <c r="Q41" s="139">
        <v>0</v>
      </c>
      <c r="R41" s="139">
        <v>0</v>
      </c>
      <c r="S41" s="139">
        <v>0</v>
      </c>
      <c r="T41" s="139">
        <v>0</v>
      </c>
      <c r="U41" s="139">
        <v>0</v>
      </c>
      <c r="V41" s="139">
        <v>0</v>
      </c>
      <c r="W41" s="139">
        <v>0</v>
      </c>
      <c r="X41" s="139">
        <v>0</v>
      </c>
      <c r="Y41" s="139">
        <v>0</v>
      </c>
      <c r="Z41" s="139">
        <v>0</v>
      </c>
      <c r="AA41" s="139">
        <v>0</v>
      </c>
      <c r="AB41" s="139">
        <v>0</v>
      </c>
      <c r="AC41" s="139">
        <v>0</v>
      </c>
      <c r="AD41" s="139">
        <v>21.3458287993097</v>
      </c>
      <c r="AE41" s="139">
        <v>4.7396357374898397E-2</v>
      </c>
      <c r="AF41" s="139">
        <v>0</v>
      </c>
      <c r="AG41" s="139">
        <v>0</v>
      </c>
      <c r="AH41" s="139">
        <v>0</v>
      </c>
      <c r="AI41" s="139">
        <v>0</v>
      </c>
      <c r="AJ41" s="139">
        <v>0</v>
      </c>
      <c r="AK41" s="139">
        <v>0</v>
      </c>
      <c r="AL41" s="139">
        <v>0</v>
      </c>
      <c r="AM41" s="139">
        <v>0</v>
      </c>
      <c r="AN41" s="139">
        <v>0</v>
      </c>
      <c r="AO41" s="139">
        <v>0</v>
      </c>
      <c r="AP41" s="139">
        <v>0</v>
      </c>
      <c r="AQ41" s="139">
        <v>0</v>
      </c>
      <c r="AR41" s="140">
        <v>0</v>
      </c>
    </row>
    <row r="42" spans="2:44" ht="12" customHeight="1" x14ac:dyDescent="0.25">
      <c r="B42" s="138" t="s">
        <v>41</v>
      </c>
      <c r="C42" s="139" t="s">
        <v>81</v>
      </c>
      <c r="D42" s="139" t="s">
        <v>25</v>
      </c>
      <c r="E42" s="139" t="s">
        <v>25</v>
      </c>
      <c r="F42" s="139" t="s">
        <v>25</v>
      </c>
      <c r="G42" s="139" t="s">
        <v>35</v>
      </c>
      <c r="H42" s="139" t="s">
        <v>120</v>
      </c>
      <c r="I42" s="139" t="s">
        <v>82</v>
      </c>
      <c r="J42" s="139">
        <v>14.87</v>
      </c>
      <c r="K42" s="139">
        <v>0</v>
      </c>
      <c r="L42" s="139">
        <v>0</v>
      </c>
      <c r="M42" s="139">
        <v>0</v>
      </c>
      <c r="N42" s="139">
        <v>0</v>
      </c>
      <c r="O42" s="139">
        <v>0</v>
      </c>
      <c r="P42" s="139">
        <v>0</v>
      </c>
      <c r="Q42" s="139">
        <v>0</v>
      </c>
      <c r="R42" s="139">
        <v>0</v>
      </c>
      <c r="S42" s="139">
        <v>0</v>
      </c>
      <c r="T42" s="139">
        <v>2.2133085026155199</v>
      </c>
      <c r="U42" s="139">
        <v>3.1903304530964301E-2</v>
      </c>
      <c r="V42" s="139">
        <v>0</v>
      </c>
      <c r="W42" s="139">
        <v>0</v>
      </c>
      <c r="X42" s="139">
        <v>6.7226416303614798</v>
      </c>
      <c r="Y42" s="139">
        <v>0</v>
      </c>
      <c r="Z42" s="139">
        <v>0</v>
      </c>
      <c r="AA42" s="139">
        <v>5.8976408465203001</v>
      </c>
      <c r="AB42" s="139">
        <v>0</v>
      </c>
      <c r="AC42" s="139">
        <v>0</v>
      </c>
      <c r="AD42" s="139">
        <v>0</v>
      </c>
      <c r="AE42" s="139">
        <v>0</v>
      </c>
      <c r="AF42" s="139">
        <v>0</v>
      </c>
      <c r="AG42" s="139">
        <v>0</v>
      </c>
      <c r="AH42" s="139">
        <v>0</v>
      </c>
      <c r="AI42" s="139">
        <v>0</v>
      </c>
      <c r="AJ42" s="139">
        <v>0</v>
      </c>
      <c r="AK42" s="139">
        <v>0</v>
      </c>
      <c r="AL42" s="139">
        <v>0</v>
      </c>
      <c r="AM42" s="139">
        <v>0</v>
      </c>
      <c r="AN42" s="139">
        <v>0</v>
      </c>
      <c r="AO42" s="139">
        <v>0</v>
      </c>
      <c r="AP42" s="139">
        <v>0</v>
      </c>
      <c r="AQ42" s="139">
        <v>0</v>
      </c>
      <c r="AR42" s="140">
        <v>0</v>
      </c>
    </row>
    <row r="43" spans="2:44" ht="12" customHeight="1" x14ac:dyDescent="0.25">
      <c r="B43" s="138" t="s">
        <v>41</v>
      </c>
      <c r="C43" s="139" t="s">
        <v>64</v>
      </c>
      <c r="D43" s="139" t="s">
        <v>25</v>
      </c>
      <c r="E43" s="139" t="s">
        <v>25</v>
      </c>
      <c r="F43" s="139" t="s">
        <v>25</v>
      </c>
      <c r="G43" s="139" t="s">
        <v>25</v>
      </c>
      <c r="H43" s="139" t="s">
        <v>120</v>
      </c>
      <c r="I43" s="139" t="s">
        <v>25</v>
      </c>
      <c r="J43" s="139">
        <v>17.14</v>
      </c>
      <c r="K43" s="139">
        <v>0</v>
      </c>
      <c r="L43" s="139">
        <v>0</v>
      </c>
      <c r="M43" s="139">
        <v>5.0116762100929801E-2</v>
      </c>
      <c r="N43" s="139">
        <v>0.17802619615693199</v>
      </c>
      <c r="O43" s="139">
        <v>0</v>
      </c>
      <c r="P43" s="139">
        <v>0</v>
      </c>
      <c r="Q43" s="139">
        <v>0</v>
      </c>
      <c r="R43" s="139">
        <v>0</v>
      </c>
      <c r="S43" s="139">
        <v>0</v>
      </c>
      <c r="T43" s="139">
        <v>0</v>
      </c>
      <c r="U43" s="139">
        <v>0</v>
      </c>
      <c r="V43" s="139">
        <v>0</v>
      </c>
      <c r="W43" s="139">
        <v>0</v>
      </c>
      <c r="X43" s="139">
        <v>0</v>
      </c>
      <c r="Y43" s="139">
        <v>0</v>
      </c>
      <c r="Z43" s="139">
        <v>0</v>
      </c>
      <c r="AA43" s="139">
        <v>16.9051546311563</v>
      </c>
      <c r="AB43" s="139">
        <v>0</v>
      </c>
      <c r="AC43" s="139">
        <v>0</v>
      </c>
      <c r="AD43" s="139">
        <v>4.64740081233889E-3</v>
      </c>
      <c r="AE43" s="139">
        <v>0</v>
      </c>
      <c r="AF43" s="139">
        <v>0</v>
      </c>
      <c r="AG43" s="139">
        <v>0</v>
      </c>
      <c r="AH43" s="139">
        <v>0</v>
      </c>
      <c r="AI43" s="139">
        <v>0</v>
      </c>
      <c r="AJ43" s="139">
        <v>0</v>
      </c>
      <c r="AK43" s="139">
        <v>0</v>
      </c>
      <c r="AL43" s="139">
        <v>0</v>
      </c>
      <c r="AM43" s="139">
        <v>0</v>
      </c>
      <c r="AN43" s="139">
        <v>0</v>
      </c>
      <c r="AO43" s="139">
        <v>0</v>
      </c>
      <c r="AP43" s="139">
        <v>0</v>
      </c>
      <c r="AQ43" s="139">
        <v>0</v>
      </c>
      <c r="AR43" s="140">
        <v>0</v>
      </c>
    </row>
    <row r="44" spans="2:44" ht="12" customHeight="1" x14ac:dyDescent="0.25">
      <c r="B44" s="138" t="s">
        <v>41</v>
      </c>
      <c r="C44" s="139" t="s">
        <v>42</v>
      </c>
      <c r="D44" s="139" t="s">
        <v>25</v>
      </c>
      <c r="E44" s="139" t="s">
        <v>25</v>
      </c>
      <c r="F44" s="139" t="s">
        <v>61</v>
      </c>
      <c r="G44" s="139" t="s">
        <v>34</v>
      </c>
      <c r="H44" s="139" t="s">
        <v>117</v>
      </c>
      <c r="I44" s="139" t="s">
        <v>25</v>
      </c>
      <c r="J44" s="139">
        <v>1833.67</v>
      </c>
      <c r="K44" s="139">
        <v>0</v>
      </c>
      <c r="L44" s="139">
        <v>0</v>
      </c>
      <c r="M44" s="139">
        <v>0.76040510127177696</v>
      </c>
      <c r="N44" s="139">
        <v>19.436633542176502</v>
      </c>
      <c r="O44" s="139">
        <v>-5.0328095537283003E-3</v>
      </c>
      <c r="P44" s="139">
        <v>0</v>
      </c>
      <c r="Q44" s="139">
        <v>0</v>
      </c>
      <c r="R44" s="139">
        <v>0</v>
      </c>
      <c r="S44" s="139">
        <v>0</v>
      </c>
      <c r="T44" s="139">
        <v>63.008784532722402</v>
      </c>
      <c r="U44" s="139">
        <v>0.89357399806608695</v>
      </c>
      <c r="V44" s="139">
        <v>0</v>
      </c>
      <c r="W44" s="139">
        <v>0</v>
      </c>
      <c r="X44" s="139">
        <v>275.73048715726799</v>
      </c>
      <c r="Y44" s="139">
        <v>0</v>
      </c>
      <c r="Z44" s="139">
        <v>0</v>
      </c>
      <c r="AA44" s="139">
        <v>1447.2174863627499</v>
      </c>
      <c r="AB44" s="139">
        <v>0</v>
      </c>
      <c r="AC44" s="139">
        <v>0</v>
      </c>
      <c r="AD44" s="139">
        <v>21.3458287993097</v>
      </c>
      <c r="AE44" s="139">
        <v>4.7396357374898397E-2</v>
      </c>
      <c r="AF44" s="139">
        <v>0.74835920367304998</v>
      </c>
      <c r="AG44" s="139">
        <v>4.4840096294332801</v>
      </c>
      <c r="AH44" s="139">
        <v>0</v>
      </c>
      <c r="AI44" s="139">
        <v>0</v>
      </c>
      <c r="AJ44" s="139">
        <v>0</v>
      </c>
      <c r="AK44" s="139">
        <v>0</v>
      </c>
      <c r="AL44" s="139">
        <v>0</v>
      </c>
      <c r="AM44" s="139">
        <v>0</v>
      </c>
      <c r="AN44" s="139">
        <v>0</v>
      </c>
      <c r="AO44" s="139">
        <v>0</v>
      </c>
      <c r="AP44" s="139">
        <v>0</v>
      </c>
      <c r="AQ44" s="139">
        <v>0</v>
      </c>
      <c r="AR44" s="140">
        <v>0</v>
      </c>
    </row>
    <row r="45" spans="2:44" ht="12" customHeight="1" x14ac:dyDescent="0.25">
      <c r="B45" s="138" t="s">
        <v>41</v>
      </c>
      <c r="C45" s="139" t="s">
        <v>42</v>
      </c>
      <c r="D45" s="139" t="s">
        <v>25</v>
      </c>
      <c r="E45" s="139" t="s">
        <v>25</v>
      </c>
      <c r="F45" s="139" t="s">
        <v>61</v>
      </c>
      <c r="G45" s="139" t="s">
        <v>25</v>
      </c>
      <c r="H45" s="139" t="s">
        <v>120</v>
      </c>
      <c r="I45" s="139" t="s">
        <v>25</v>
      </c>
      <c r="J45" s="139">
        <v>28.94</v>
      </c>
      <c r="K45" s="139">
        <v>0</v>
      </c>
      <c r="L45" s="139">
        <v>0</v>
      </c>
      <c r="M45" s="139">
        <v>0</v>
      </c>
      <c r="N45" s="139">
        <v>0</v>
      </c>
      <c r="O45" s="139">
        <v>0</v>
      </c>
      <c r="P45" s="139">
        <v>0</v>
      </c>
      <c r="Q45" s="139">
        <v>0</v>
      </c>
      <c r="R45" s="139">
        <v>0</v>
      </c>
      <c r="S45" s="139">
        <v>0</v>
      </c>
      <c r="T45" s="139">
        <v>2.2133085026155199</v>
      </c>
      <c r="U45" s="139">
        <v>3.1903304530964301E-2</v>
      </c>
      <c r="V45" s="139">
        <v>0</v>
      </c>
      <c r="W45" s="139">
        <v>0</v>
      </c>
      <c r="X45" s="139">
        <v>6.7226416303614798</v>
      </c>
      <c r="Y45" s="139">
        <v>0</v>
      </c>
      <c r="Z45" s="139">
        <v>0</v>
      </c>
      <c r="AA45" s="139">
        <v>19.969499522564998</v>
      </c>
      <c r="AB45" s="139">
        <v>0</v>
      </c>
      <c r="AC45" s="139">
        <v>0</v>
      </c>
      <c r="AD45" s="139">
        <v>0</v>
      </c>
      <c r="AE45" s="139">
        <v>0</v>
      </c>
      <c r="AF45" s="139">
        <v>0</v>
      </c>
      <c r="AG45" s="139">
        <v>0</v>
      </c>
      <c r="AH45" s="139">
        <v>0</v>
      </c>
      <c r="AI45" s="139">
        <v>0</v>
      </c>
      <c r="AJ45" s="139">
        <v>0</v>
      </c>
      <c r="AK45" s="139">
        <v>0</v>
      </c>
      <c r="AL45" s="139">
        <v>0</v>
      </c>
      <c r="AM45" s="139">
        <v>0</v>
      </c>
      <c r="AN45" s="139">
        <v>0</v>
      </c>
      <c r="AO45" s="139">
        <v>0</v>
      </c>
      <c r="AP45" s="139">
        <v>0</v>
      </c>
      <c r="AQ45" s="139">
        <v>0</v>
      </c>
      <c r="AR45" s="140">
        <v>0</v>
      </c>
    </row>
    <row r="46" spans="2:44" ht="12" customHeight="1" x14ac:dyDescent="0.25">
      <c r="B46" s="138" t="s">
        <v>41</v>
      </c>
      <c r="C46" s="139" t="s">
        <v>42</v>
      </c>
      <c r="D46" s="139" t="s">
        <v>25</v>
      </c>
      <c r="E46" s="139" t="s">
        <v>25</v>
      </c>
      <c r="F46" s="139" t="s">
        <v>61</v>
      </c>
      <c r="G46" s="139" t="s">
        <v>35</v>
      </c>
      <c r="H46" s="139" t="s">
        <v>117</v>
      </c>
      <c r="I46" s="139" t="s">
        <v>25</v>
      </c>
      <c r="J46" s="139">
        <v>27.89</v>
      </c>
      <c r="K46" s="139">
        <v>0</v>
      </c>
      <c r="L46" s="139">
        <v>0</v>
      </c>
      <c r="M46" s="139">
        <v>0.76040510127177696</v>
      </c>
      <c r="N46" s="139">
        <v>0.51064297990320295</v>
      </c>
      <c r="O46" s="139">
        <v>-5.0328095537283003E-3</v>
      </c>
      <c r="P46" s="139">
        <v>0</v>
      </c>
      <c r="Q46" s="139">
        <v>0</v>
      </c>
      <c r="R46" s="139">
        <v>0</v>
      </c>
      <c r="S46" s="139">
        <v>0</v>
      </c>
      <c r="T46" s="139">
        <v>0</v>
      </c>
      <c r="U46" s="139">
        <v>0</v>
      </c>
      <c r="V46" s="139">
        <v>0</v>
      </c>
      <c r="W46" s="139">
        <v>0</v>
      </c>
      <c r="X46" s="139">
        <v>0</v>
      </c>
      <c r="Y46" s="139">
        <v>0</v>
      </c>
      <c r="Z46" s="139">
        <v>0</v>
      </c>
      <c r="AA46" s="139">
        <v>0</v>
      </c>
      <c r="AB46" s="139">
        <v>0</v>
      </c>
      <c r="AC46" s="139">
        <v>0</v>
      </c>
      <c r="AD46" s="139">
        <v>21.3458287993097</v>
      </c>
      <c r="AE46" s="139">
        <v>4.7396357374898397E-2</v>
      </c>
      <c r="AF46" s="139">
        <v>0.74835920367304998</v>
      </c>
      <c r="AG46" s="139">
        <v>4.4840096294332801</v>
      </c>
      <c r="AH46" s="139">
        <v>0</v>
      </c>
      <c r="AI46" s="139">
        <v>0</v>
      </c>
      <c r="AJ46" s="139">
        <v>0</v>
      </c>
      <c r="AK46" s="139">
        <v>0</v>
      </c>
      <c r="AL46" s="139">
        <v>0</v>
      </c>
      <c r="AM46" s="139">
        <v>0</v>
      </c>
      <c r="AN46" s="139">
        <v>0</v>
      </c>
      <c r="AO46" s="139">
        <v>0</v>
      </c>
      <c r="AP46" s="139">
        <v>0</v>
      </c>
      <c r="AQ46" s="139">
        <v>0</v>
      </c>
      <c r="AR46" s="140">
        <v>0</v>
      </c>
    </row>
    <row r="47" spans="2:44" ht="12" customHeight="1" x14ac:dyDescent="0.25">
      <c r="B47" s="138" t="s">
        <v>41</v>
      </c>
      <c r="C47" s="139" t="s">
        <v>42</v>
      </c>
      <c r="D47" s="139" t="s">
        <v>25</v>
      </c>
      <c r="E47" s="139" t="s">
        <v>25</v>
      </c>
      <c r="F47" s="139" t="s">
        <v>25</v>
      </c>
      <c r="G47" s="139" t="s">
        <v>34</v>
      </c>
      <c r="H47" s="139" t="s">
        <v>117</v>
      </c>
      <c r="I47" s="139" t="s">
        <v>25</v>
      </c>
      <c r="J47" s="139">
        <v>1932.27</v>
      </c>
      <c r="K47" s="139">
        <v>503.12</v>
      </c>
      <c r="L47" s="139">
        <v>5.2113661714059303</v>
      </c>
      <c r="M47" s="139">
        <v>0.76040510127177696</v>
      </c>
      <c r="N47" s="139">
        <v>19.448292101191299</v>
      </c>
      <c r="O47" s="139">
        <v>-5.0328095537283003E-3</v>
      </c>
      <c r="P47" s="139">
        <v>0</v>
      </c>
      <c r="Q47" s="139">
        <v>78.479028344472297</v>
      </c>
      <c r="R47" s="139">
        <v>14.9021502000616</v>
      </c>
      <c r="S47" s="139">
        <v>0</v>
      </c>
      <c r="T47" s="139">
        <v>63.008784532722402</v>
      </c>
      <c r="U47" s="139">
        <v>0.89357399806608695</v>
      </c>
      <c r="V47" s="139">
        <v>0</v>
      </c>
      <c r="W47" s="139">
        <v>0</v>
      </c>
      <c r="X47" s="139">
        <v>275.73048715726799</v>
      </c>
      <c r="Y47" s="139">
        <v>0</v>
      </c>
      <c r="Z47" s="139">
        <v>0</v>
      </c>
      <c r="AA47" s="139">
        <v>1447.2174863627499</v>
      </c>
      <c r="AB47" s="139">
        <v>0</v>
      </c>
      <c r="AC47" s="139">
        <v>0</v>
      </c>
      <c r="AD47" s="139">
        <v>21.3458287993097</v>
      </c>
      <c r="AE47" s="139">
        <v>4.7396357374898397E-2</v>
      </c>
      <c r="AF47" s="139">
        <v>0.74835920367304998</v>
      </c>
      <c r="AG47" s="139">
        <v>4.4840096294332801</v>
      </c>
      <c r="AH47" s="139">
        <v>10.7133149831084</v>
      </c>
      <c r="AI47" s="139">
        <v>-17.446033945604601</v>
      </c>
      <c r="AJ47" s="139">
        <v>3.2107904599490902</v>
      </c>
      <c r="AK47" s="139">
        <v>12.9259685971489</v>
      </c>
      <c r="AL47" s="139">
        <v>0</v>
      </c>
      <c r="AM47" s="139">
        <v>482.84575951779698</v>
      </c>
      <c r="AN47" s="139">
        <v>5.16638505569827</v>
      </c>
      <c r="AO47" s="139">
        <v>4.29365373673925</v>
      </c>
      <c r="AP47" s="139">
        <v>0</v>
      </c>
      <c r="AQ47" s="139">
        <v>0</v>
      </c>
      <c r="AR47" s="140">
        <v>1.40634479459564</v>
      </c>
    </row>
    <row r="48" spans="2:44" ht="12" customHeight="1" x14ac:dyDescent="0.25">
      <c r="B48" s="138" t="s">
        <v>41</v>
      </c>
      <c r="C48" s="139" t="s">
        <v>42</v>
      </c>
      <c r="D48" s="139" t="s">
        <v>25</v>
      </c>
      <c r="E48" s="139" t="s">
        <v>25</v>
      </c>
      <c r="F48" s="139" t="s">
        <v>25</v>
      </c>
      <c r="G48" s="139" t="s">
        <v>25</v>
      </c>
      <c r="H48" s="139" t="s">
        <v>120</v>
      </c>
      <c r="I48" s="139" t="s">
        <v>25</v>
      </c>
      <c r="J48" s="139">
        <v>28.94</v>
      </c>
      <c r="K48" s="139">
        <v>0</v>
      </c>
      <c r="L48" s="139">
        <v>0</v>
      </c>
      <c r="M48" s="139">
        <v>0</v>
      </c>
      <c r="N48" s="139">
        <v>0</v>
      </c>
      <c r="O48" s="139">
        <v>0</v>
      </c>
      <c r="P48" s="139">
        <v>0</v>
      </c>
      <c r="Q48" s="139">
        <v>0</v>
      </c>
      <c r="R48" s="139">
        <v>0</v>
      </c>
      <c r="S48" s="139">
        <v>0</v>
      </c>
      <c r="T48" s="139">
        <v>2.2133085026155199</v>
      </c>
      <c r="U48" s="139">
        <v>3.1903304530964301E-2</v>
      </c>
      <c r="V48" s="139">
        <v>0</v>
      </c>
      <c r="W48" s="139">
        <v>0</v>
      </c>
      <c r="X48" s="139">
        <v>6.7226416303614798</v>
      </c>
      <c r="Y48" s="139">
        <v>0</v>
      </c>
      <c r="Z48" s="139">
        <v>0</v>
      </c>
      <c r="AA48" s="139">
        <v>19.969499522564998</v>
      </c>
      <c r="AB48" s="139">
        <v>0</v>
      </c>
      <c r="AC48" s="139">
        <v>0</v>
      </c>
      <c r="AD48" s="139">
        <v>0</v>
      </c>
      <c r="AE48" s="139">
        <v>0</v>
      </c>
      <c r="AF48" s="139">
        <v>0</v>
      </c>
      <c r="AG48" s="139">
        <v>0</v>
      </c>
      <c r="AH48" s="139">
        <v>0</v>
      </c>
      <c r="AI48" s="139">
        <v>0</v>
      </c>
      <c r="AJ48" s="139">
        <v>0</v>
      </c>
      <c r="AK48" s="139">
        <v>0</v>
      </c>
      <c r="AL48" s="139">
        <v>0</v>
      </c>
      <c r="AM48" s="139">
        <v>0</v>
      </c>
      <c r="AN48" s="139">
        <v>0</v>
      </c>
      <c r="AO48" s="139">
        <v>0</v>
      </c>
      <c r="AP48" s="139">
        <v>0</v>
      </c>
      <c r="AQ48" s="139">
        <v>0</v>
      </c>
      <c r="AR48" s="140">
        <v>0</v>
      </c>
    </row>
    <row r="49" spans="2:44" ht="12" customHeight="1" x14ac:dyDescent="0.25">
      <c r="B49" s="138" t="s">
        <v>41</v>
      </c>
      <c r="C49" s="139" t="s">
        <v>42</v>
      </c>
      <c r="D49" s="139" t="s">
        <v>25</v>
      </c>
      <c r="E49" s="139" t="s">
        <v>25</v>
      </c>
      <c r="F49" s="139" t="s">
        <v>25</v>
      </c>
      <c r="G49" s="139" t="s">
        <v>35</v>
      </c>
      <c r="H49" s="139" t="s">
        <v>117</v>
      </c>
      <c r="I49" s="139" t="s">
        <v>25</v>
      </c>
      <c r="J49" s="139">
        <v>126.5</v>
      </c>
      <c r="K49" s="139">
        <v>300.99</v>
      </c>
      <c r="L49" s="139">
        <v>5.2113661714059303</v>
      </c>
      <c r="M49" s="139">
        <v>0.76040510127177696</v>
      </c>
      <c r="N49" s="139">
        <v>0.52230153891806497</v>
      </c>
      <c r="O49" s="139">
        <v>-5.0328095537283003E-3</v>
      </c>
      <c r="P49" s="139">
        <v>0</v>
      </c>
      <c r="Q49" s="139">
        <v>78.479028344472297</v>
      </c>
      <c r="R49" s="139">
        <v>14.9021502000616</v>
      </c>
      <c r="S49" s="139">
        <v>0</v>
      </c>
      <c r="T49" s="139">
        <v>0</v>
      </c>
      <c r="U49" s="139">
        <v>0</v>
      </c>
      <c r="V49" s="139">
        <v>0</v>
      </c>
      <c r="W49" s="139">
        <v>0</v>
      </c>
      <c r="X49" s="139">
        <v>0</v>
      </c>
      <c r="Y49" s="139">
        <v>0</v>
      </c>
      <c r="Z49" s="139">
        <v>0</v>
      </c>
      <c r="AA49" s="139">
        <v>0</v>
      </c>
      <c r="AB49" s="139">
        <v>0</v>
      </c>
      <c r="AC49" s="139">
        <v>0</v>
      </c>
      <c r="AD49" s="139">
        <v>21.3458287993097</v>
      </c>
      <c r="AE49" s="139">
        <v>4.7396357374898397E-2</v>
      </c>
      <c r="AF49" s="139">
        <v>0.74835920367304998</v>
      </c>
      <c r="AG49" s="139">
        <v>4.4840096294332801</v>
      </c>
      <c r="AH49" s="139">
        <v>10.7133149831084</v>
      </c>
      <c r="AI49" s="139">
        <v>-17.446033945604601</v>
      </c>
      <c r="AJ49" s="139">
        <v>3.2107904599490902</v>
      </c>
      <c r="AK49" s="139">
        <v>12.9259685971489</v>
      </c>
      <c r="AL49" s="139">
        <v>0</v>
      </c>
      <c r="AM49" s="139">
        <v>280.72427878941699</v>
      </c>
      <c r="AN49" s="139">
        <v>5.16638505569827</v>
      </c>
      <c r="AO49" s="139">
        <v>4.29365373673925</v>
      </c>
      <c r="AP49" s="139">
        <v>0</v>
      </c>
      <c r="AQ49" s="139">
        <v>0</v>
      </c>
      <c r="AR49" s="140">
        <v>1.40634479459564</v>
      </c>
    </row>
    <row r="50" spans="2:44" ht="12" customHeight="1" x14ac:dyDescent="0.25">
      <c r="B50" s="138" t="s">
        <v>125</v>
      </c>
      <c r="C50" s="139" t="s">
        <v>64</v>
      </c>
      <c r="D50" s="139" t="s">
        <v>25</v>
      </c>
      <c r="E50" s="139" t="s">
        <v>25</v>
      </c>
      <c r="F50" s="139" t="s">
        <v>126</v>
      </c>
      <c r="G50" s="139" t="s">
        <v>25</v>
      </c>
      <c r="H50" s="139" t="s">
        <v>120</v>
      </c>
      <c r="I50" s="139" t="s">
        <v>25</v>
      </c>
      <c r="J50" s="139">
        <v>1.17</v>
      </c>
      <c r="K50" s="139">
        <v>0</v>
      </c>
      <c r="L50" s="139">
        <v>0</v>
      </c>
      <c r="M50" s="139">
        <v>3.4620131714458101E-3</v>
      </c>
      <c r="N50" s="139">
        <v>1.22414869656044E-2</v>
      </c>
      <c r="O50" s="139">
        <v>0</v>
      </c>
      <c r="P50" s="139">
        <v>0</v>
      </c>
      <c r="Q50" s="139">
        <v>0</v>
      </c>
      <c r="R50" s="139">
        <v>0</v>
      </c>
      <c r="S50" s="139">
        <v>0</v>
      </c>
      <c r="T50" s="139">
        <v>0</v>
      </c>
      <c r="U50" s="139">
        <v>0</v>
      </c>
      <c r="V50" s="139">
        <v>0</v>
      </c>
      <c r="W50" s="139">
        <v>0</v>
      </c>
      <c r="X50" s="139">
        <v>0</v>
      </c>
      <c r="Y50" s="139">
        <v>0</v>
      </c>
      <c r="Z50" s="139">
        <v>0</v>
      </c>
      <c r="AA50" s="139">
        <v>1.1580243847613001</v>
      </c>
      <c r="AB50" s="139">
        <v>0</v>
      </c>
      <c r="AC50" s="139">
        <v>0</v>
      </c>
      <c r="AD50" s="139">
        <v>0</v>
      </c>
      <c r="AE50" s="139">
        <v>0</v>
      </c>
      <c r="AF50" s="139">
        <v>0</v>
      </c>
      <c r="AG50" s="139">
        <v>0</v>
      </c>
      <c r="AH50" s="139">
        <v>0</v>
      </c>
      <c r="AI50" s="139">
        <v>0</v>
      </c>
      <c r="AJ50" s="139">
        <v>0</v>
      </c>
      <c r="AK50" s="139">
        <v>0</v>
      </c>
      <c r="AL50" s="139">
        <v>0</v>
      </c>
      <c r="AM50" s="139">
        <v>0</v>
      </c>
      <c r="AN50" s="139">
        <v>0</v>
      </c>
      <c r="AO50" s="139">
        <v>0</v>
      </c>
      <c r="AP50" s="139">
        <v>0</v>
      </c>
      <c r="AQ50" s="139">
        <v>0</v>
      </c>
      <c r="AR50" s="140">
        <v>0</v>
      </c>
    </row>
    <row r="51" spans="2:44" ht="12" customHeight="1" x14ac:dyDescent="0.25">
      <c r="B51" s="138" t="s">
        <v>125</v>
      </c>
      <c r="C51" s="139" t="s">
        <v>64</v>
      </c>
      <c r="D51" s="139" t="s">
        <v>25</v>
      </c>
      <c r="E51" s="139" t="s">
        <v>25</v>
      </c>
      <c r="F51" s="139" t="s">
        <v>127</v>
      </c>
      <c r="G51" s="139" t="s">
        <v>25</v>
      </c>
      <c r="H51" s="139" t="s">
        <v>120</v>
      </c>
      <c r="I51" s="139" t="s">
        <v>25</v>
      </c>
      <c r="J51" s="139">
        <v>11.07</v>
      </c>
      <c r="K51" s="139">
        <v>0</v>
      </c>
      <c r="L51" s="139">
        <v>0</v>
      </c>
      <c r="M51" s="139">
        <v>3.4620131714458101E-3</v>
      </c>
      <c r="N51" s="139">
        <v>1.22414869656044E-2</v>
      </c>
      <c r="O51" s="139">
        <v>0</v>
      </c>
      <c r="P51" s="139">
        <v>0</v>
      </c>
      <c r="Q51" s="139">
        <v>0</v>
      </c>
      <c r="R51" s="139">
        <v>0</v>
      </c>
      <c r="S51" s="139">
        <v>0</v>
      </c>
      <c r="T51" s="139">
        <v>0</v>
      </c>
      <c r="U51" s="139">
        <v>0</v>
      </c>
      <c r="V51" s="139">
        <v>0</v>
      </c>
      <c r="W51" s="139">
        <v>0</v>
      </c>
      <c r="X51" s="139">
        <v>0</v>
      </c>
      <c r="Y51" s="139">
        <v>0</v>
      </c>
      <c r="Z51" s="139">
        <v>0</v>
      </c>
      <c r="AA51" s="139">
        <v>11.0557694335065</v>
      </c>
      <c r="AB51" s="139">
        <v>0</v>
      </c>
      <c r="AC51" s="139">
        <v>0</v>
      </c>
      <c r="AD51" s="139">
        <v>0</v>
      </c>
      <c r="AE51" s="139">
        <v>0</v>
      </c>
      <c r="AF51" s="139">
        <v>0</v>
      </c>
      <c r="AG51" s="139">
        <v>0</v>
      </c>
      <c r="AH51" s="139">
        <v>0</v>
      </c>
      <c r="AI51" s="139">
        <v>0</v>
      </c>
      <c r="AJ51" s="139">
        <v>0</v>
      </c>
      <c r="AK51" s="139">
        <v>0</v>
      </c>
      <c r="AL51" s="139">
        <v>0</v>
      </c>
      <c r="AM51" s="139">
        <v>0</v>
      </c>
      <c r="AN51" s="139">
        <v>0</v>
      </c>
      <c r="AO51" s="139">
        <v>0</v>
      </c>
      <c r="AP51" s="139">
        <v>0</v>
      </c>
      <c r="AQ51" s="139">
        <v>0</v>
      </c>
      <c r="AR51" s="140">
        <v>0</v>
      </c>
    </row>
    <row r="52" spans="2:44" ht="12" customHeight="1" x14ac:dyDescent="0.25">
      <c r="B52" s="138" t="s">
        <v>22</v>
      </c>
      <c r="C52" s="139" t="s">
        <v>33</v>
      </c>
      <c r="D52" s="139" t="s">
        <v>24</v>
      </c>
      <c r="E52" s="139" t="s">
        <v>24</v>
      </c>
      <c r="F52" s="139" t="s">
        <v>25</v>
      </c>
      <c r="G52" s="139" t="s">
        <v>34</v>
      </c>
      <c r="H52" s="139" t="s">
        <v>117</v>
      </c>
      <c r="I52" s="139" t="s">
        <v>25</v>
      </c>
      <c r="J52" s="139">
        <v>840.01</v>
      </c>
      <c r="K52" s="139">
        <v>503.12</v>
      </c>
      <c r="L52" s="139">
        <v>6.20400734691182</v>
      </c>
      <c r="M52" s="139">
        <v>0.81258730681580105</v>
      </c>
      <c r="N52" s="139">
        <v>8.1115467554178409</v>
      </c>
      <c r="O52" s="139">
        <v>-5.0328095537283003E-3</v>
      </c>
      <c r="P52" s="139">
        <v>0</v>
      </c>
      <c r="Q52" s="139">
        <v>93.427414695800394</v>
      </c>
      <c r="R52" s="139">
        <v>14.9021502000616</v>
      </c>
      <c r="S52" s="139">
        <v>0</v>
      </c>
      <c r="T52" s="139">
        <v>30.143671404304101</v>
      </c>
      <c r="U52" s="139">
        <v>0.43051505195480699</v>
      </c>
      <c r="V52" s="139">
        <v>0</v>
      </c>
      <c r="W52" s="139">
        <v>0</v>
      </c>
      <c r="X52" s="139">
        <v>114.41246166322701</v>
      </c>
      <c r="Y52" s="139">
        <v>0</v>
      </c>
      <c r="Z52" s="139">
        <v>0</v>
      </c>
      <c r="AA52" s="139">
        <v>522.13345919561198</v>
      </c>
      <c r="AB52" s="139">
        <v>0</v>
      </c>
      <c r="AC52" s="139">
        <v>0</v>
      </c>
      <c r="AD52" s="139">
        <v>43.8265740015418</v>
      </c>
      <c r="AE52" s="139">
        <v>9.7312687336913103E-2</v>
      </c>
      <c r="AF52" s="139">
        <v>0.78895297972128797</v>
      </c>
      <c r="AG52" s="139">
        <v>4.7272389260089902</v>
      </c>
      <c r="AH52" s="139">
        <v>10.7133149831084</v>
      </c>
      <c r="AI52" s="139">
        <v>-17.446033945604601</v>
      </c>
      <c r="AJ52" s="139">
        <v>3.2107904599490902</v>
      </c>
      <c r="AK52" s="139">
        <v>12.9259685971489</v>
      </c>
      <c r="AL52" s="139">
        <v>0</v>
      </c>
      <c r="AM52" s="139">
        <v>482.84575951779698</v>
      </c>
      <c r="AN52" s="139">
        <v>5.16638505569827</v>
      </c>
      <c r="AO52" s="139">
        <v>4.29365373673925</v>
      </c>
      <c r="AP52" s="139">
        <v>0</v>
      </c>
      <c r="AQ52" s="139">
        <v>0</v>
      </c>
      <c r="AR52" s="140">
        <v>1.40634479459564</v>
      </c>
    </row>
    <row r="53" spans="2:44" ht="12" customHeight="1" x14ac:dyDescent="0.25">
      <c r="B53" s="138" t="s">
        <v>22</v>
      </c>
      <c r="C53" s="139" t="s">
        <v>33</v>
      </c>
      <c r="D53" s="139" t="s">
        <v>24</v>
      </c>
      <c r="E53" s="139" t="s">
        <v>24</v>
      </c>
      <c r="F53" s="139" t="s">
        <v>25</v>
      </c>
      <c r="G53" s="139" t="s">
        <v>36</v>
      </c>
      <c r="H53" s="139" t="s">
        <v>117</v>
      </c>
      <c r="I53" s="139" t="s">
        <v>25</v>
      </c>
      <c r="J53" s="139">
        <v>570.33000000000004</v>
      </c>
      <c r="K53" s="139">
        <v>300.99</v>
      </c>
      <c r="L53" s="139">
        <v>6.20400734691182</v>
      </c>
      <c r="M53" s="139">
        <v>0.81258730681580105</v>
      </c>
      <c r="N53" s="139">
        <v>5.2750251763815896</v>
      </c>
      <c r="O53" s="139">
        <v>-5.0328095537283003E-3</v>
      </c>
      <c r="P53" s="139">
        <v>0</v>
      </c>
      <c r="Q53" s="139">
        <v>93.427414695800394</v>
      </c>
      <c r="R53" s="139">
        <v>14.9021502000616</v>
      </c>
      <c r="S53" s="139">
        <v>0</v>
      </c>
      <c r="T53" s="139">
        <v>18.086220513708199</v>
      </c>
      <c r="U53" s="139">
        <v>0.25831291353425101</v>
      </c>
      <c r="V53" s="139">
        <v>0</v>
      </c>
      <c r="W53" s="139">
        <v>0</v>
      </c>
      <c r="X53" s="139">
        <v>68.647454138806097</v>
      </c>
      <c r="Y53" s="139">
        <v>0</v>
      </c>
      <c r="Z53" s="139">
        <v>0</v>
      </c>
      <c r="AA53" s="139">
        <v>313.28000880448798</v>
      </c>
      <c r="AB53" s="139">
        <v>0</v>
      </c>
      <c r="AC53" s="139">
        <v>0</v>
      </c>
      <c r="AD53" s="139">
        <v>43.8265740015418</v>
      </c>
      <c r="AE53" s="139">
        <v>9.7312687336913103E-2</v>
      </c>
      <c r="AF53" s="139">
        <v>0.78895297972128797</v>
      </c>
      <c r="AG53" s="139">
        <v>4.7272389260089902</v>
      </c>
      <c r="AH53" s="139">
        <v>10.7133149831084</v>
      </c>
      <c r="AI53" s="139">
        <v>-17.446033945604601</v>
      </c>
      <c r="AJ53" s="139">
        <v>3.2107904599490902</v>
      </c>
      <c r="AK53" s="139">
        <v>12.9259685971489</v>
      </c>
      <c r="AL53" s="139">
        <v>0</v>
      </c>
      <c r="AM53" s="139">
        <v>280.72427878941699</v>
      </c>
      <c r="AN53" s="139">
        <v>5.16638505569827</v>
      </c>
      <c r="AO53" s="139">
        <v>4.29365373673925</v>
      </c>
      <c r="AP53" s="139">
        <v>0</v>
      </c>
      <c r="AQ53" s="139">
        <v>0</v>
      </c>
      <c r="AR53" s="140">
        <v>1.40634479459564</v>
      </c>
    </row>
    <row r="54" spans="2:44" ht="12" customHeight="1" x14ac:dyDescent="0.25">
      <c r="B54" s="138" t="s">
        <v>22</v>
      </c>
      <c r="C54" s="139" t="s">
        <v>33</v>
      </c>
      <c r="D54" s="139" t="s">
        <v>24</v>
      </c>
      <c r="E54" s="139" t="s">
        <v>24</v>
      </c>
      <c r="F54" s="139" t="s">
        <v>25</v>
      </c>
      <c r="G54" s="139" t="s">
        <v>35</v>
      </c>
      <c r="H54" s="139" t="s">
        <v>117</v>
      </c>
      <c r="I54" s="139" t="s">
        <v>25</v>
      </c>
      <c r="J54" s="139">
        <v>300.64</v>
      </c>
      <c r="K54" s="139">
        <v>300.99</v>
      </c>
      <c r="L54" s="139">
        <v>6.20400734691182</v>
      </c>
      <c r="M54" s="139">
        <v>0.81258730681580105</v>
      </c>
      <c r="N54" s="139">
        <v>2.4385035973453402</v>
      </c>
      <c r="O54" s="139">
        <v>-5.0328095537283003E-3</v>
      </c>
      <c r="P54" s="139">
        <v>0</v>
      </c>
      <c r="Q54" s="139">
        <v>93.427414695800394</v>
      </c>
      <c r="R54" s="139">
        <v>14.9021502000616</v>
      </c>
      <c r="S54" s="139">
        <v>0</v>
      </c>
      <c r="T54" s="139">
        <v>6.0287696231123604</v>
      </c>
      <c r="U54" s="139">
        <v>8.6101069210278103E-2</v>
      </c>
      <c r="V54" s="139">
        <v>0</v>
      </c>
      <c r="W54" s="139">
        <v>0</v>
      </c>
      <c r="X54" s="139">
        <v>22.8824466143849</v>
      </c>
      <c r="Y54" s="139">
        <v>0</v>
      </c>
      <c r="Z54" s="139">
        <v>0</v>
      </c>
      <c r="AA54" s="139">
        <v>104.426669601496</v>
      </c>
      <c r="AB54" s="139">
        <v>0</v>
      </c>
      <c r="AC54" s="139">
        <v>0</v>
      </c>
      <c r="AD54" s="139">
        <v>43.8265740015418</v>
      </c>
      <c r="AE54" s="139">
        <v>9.7312687336913103E-2</v>
      </c>
      <c r="AF54" s="139">
        <v>0.78895297972128797</v>
      </c>
      <c r="AG54" s="139">
        <v>4.7272389260089902</v>
      </c>
      <c r="AH54" s="139">
        <v>10.7133149831084</v>
      </c>
      <c r="AI54" s="139">
        <v>-17.446033945604601</v>
      </c>
      <c r="AJ54" s="139">
        <v>3.2107904599490902</v>
      </c>
      <c r="AK54" s="139">
        <v>12.9259685971489</v>
      </c>
      <c r="AL54" s="139">
        <v>0</v>
      </c>
      <c r="AM54" s="139">
        <v>280.72427878941699</v>
      </c>
      <c r="AN54" s="139">
        <v>5.16638505569827</v>
      </c>
      <c r="AO54" s="139">
        <v>4.29365373673925</v>
      </c>
      <c r="AP54" s="139">
        <v>0</v>
      </c>
      <c r="AQ54" s="139">
        <v>0</v>
      </c>
      <c r="AR54" s="140">
        <v>1.40634479459564</v>
      </c>
    </row>
    <row r="55" spans="2:44" ht="12" customHeight="1" x14ac:dyDescent="0.25">
      <c r="B55" s="138" t="s">
        <v>22</v>
      </c>
      <c r="C55" s="139" t="s">
        <v>23</v>
      </c>
      <c r="D55" s="139" t="s">
        <v>24</v>
      </c>
      <c r="E55" s="139" t="s">
        <v>1698</v>
      </c>
      <c r="F55" s="139" t="s">
        <v>25</v>
      </c>
      <c r="G55" s="139" t="s">
        <v>25</v>
      </c>
      <c r="H55" s="139" t="s">
        <v>117</v>
      </c>
      <c r="I55" s="139" t="s">
        <v>25</v>
      </c>
      <c r="J55" s="139">
        <v>305.68</v>
      </c>
      <c r="K55" s="139">
        <v>317.83999999999997</v>
      </c>
      <c r="L55" s="139">
        <v>0</v>
      </c>
      <c r="M55" s="139">
        <v>0.81258730681580105</v>
      </c>
      <c r="N55" s="139">
        <v>3.68454823359159</v>
      </c>
      <c r="O55" s="139">
        <v>-5.0328095537283003E-3</v>
      </c>
      <c r="P55" s="139">
        <v>0</v>
      </c>
      <c r="Q55" s="139">
        <v>0</v>
      </c>
      <c r="R55" s="139">
        <v>0</v>
      </c>
      <c r="S55" s="139">
        <v>0</v>
      </c>
      <c r="T55" s="139">
        <v>11.374992013382199</v>
      </c>
      <c r="U55" s="139">
        <v>0.162457411390107</v>
      </c>
      <c r="V55" s="139">
        <v>0</v>
      </c>
      <c r="W55" s="139">
        <v>0</v>
      </c>
      <c r="X55" s="139">
        <v>43.174496583006302</v>
      </c>
      <c r="Y55" s="139">
        <v>0</v>
      </c>
      <c r="Z55" s="139">
        <v>0</v>
      </c>
      <c r="AA55" s="139">
        <v>197.03148354663401</v>
      </c>
      <c r="AB55" s="139">
        <v>0</v>
      </c>
      <c r="AC55" s="139">
        <v>0</v>
      </c>
      <c r="AD55" s="139">
        <v>43.8265740015418</v>
      </c>
      <c r="AE55" s="139">
        <v>9.7312687336913103E-2</v>
      </c>
      <c r="AF55" s="139">
        <v>0.78895297972128797</v>
      </c>
      <c r="AG55" s="139">
        <v>4.7272389260089902</v>
      </c>
      <c r="AH55" s="139">
        <v>10.7133149831084</v>
      </c>
      <c r="AI55" s="139">
        <v>-17.446033945604601</v>
      </c>
      <c r="AJ55" s="139">
        <v>3.2107904599490902</v>
      </c>
      <c r="AK55" s="139">
        <v>12.9259685971489</v>
      </c>
      <c r="AL55" s="139">
        <v>0</v>
      </c>
      <c r="AM55" s="139">
        <v>297.56773551678202</v>
      </c>
      <c r="AN55" s="139">
        <v>5.16638505569827</v>
      </c>
      <c r="AO55" s="139">
        <v>4.29365373673925</v>
      </c>
      <c r="AP55" s="139">
        <v>0</v>
      </c>
      <c r="AQ55" s="139">
        <v>0</v>
      </c>
      <c r="AR55" s="140">
        <v>1.40634479459564</v>
      </c>
    </row>
    <row r="56" spans="2:44" ht="12" customHeight="1" x14ac:dyDescent="0.25">
      <c r="B56" s="138" t="s">
        <v>22</v>
      </c>
      <c r="C56" s="139" t="s">
        <v>23</v>
      </c>
      <c r="D56" s="139" t="s">
        <v>24</v>
      </c>
      <c r="E56" s="139" t="s">
        <v>24</v>
      </c>
      <c r="F56" s="139" t="s">
        <v>25</v>
      </c>
      <c r="G56" s="139" t="s">
        <v>25</v>
      </c>
      <c r="H56" s="139" t="s">
        <v>117</v>
      </c>
      <c r="I56" s="139" t="s">
        <v>25</v>
      </c>
      <c r="J56" s="139">
        <v>420.22</v>
      </c>
      <c r="K56" s="139">
        <v>317.83999999999997</v>
      </c>
      <c r="L56" s="139">
        <v>6.20400734691182</v>
      </c>
      <c r="M56" s="139">
        <v>0.81258730681580105</v>
      </c>
      <c r="N56" s="139">
        <v>3.6962067926064499</v>
      </c>
      <c r="O56" s="139">
        <v>-5.0328095537283003E-3</v>
      </c>
      <c r="P56" s="139">
        <v>0</v>
      </c>
      <c r="Q56" s="139">
        <v>93.427414695800394</v>
      </c>
      <c r="R56" s="139">
        <v>14.9021502000616</v>
      </c>
      <c r="S56" s="139">
        <v>0</v>
      </c>
      <c r="T56" s="139">
        <v>11.374992013382199</v>
      </c>
      <c r="U56" s="139">
        <v>0.162457411390107</v>
      </c>
      <c r="V56" s="139">
        <v>0</v>
      </c>
      <c r="W56" s="139">
        <v>0</v>
      </c>
      <c r="X56" s="139">
        <v>43.174496583006302</v>
      </c>
      <c r="Y56" s="139">
        <v>0</v>
      </c>
      <c r="Z56" s="139">
        <v>0</v>
      </c>
      <c r="AA56" s="139">
        <v>197.03148354663401</v>
      </c>
      <c r="AB56" s="139">
        <v>0</v>
      </c>
      <c r="AC56" s="139">
        <v>0</v>
      </c>
      <c r="AD56" s="139">
        <v>43.8265740015418</v>
      </c>
      <c r="AE56" s="139">
        <v>9.7312687336913103E-2</v>
      </c>
      <c r="AF56" s="139">
        <v>0.78895297972128797</v>
      </c>
      <c r="AG56" s="139">
        <v>4.7272389260089902</v>
      </c>
      <c r="AH56" s="139">
        <v>10.7133149831084</v>
      </c>
      <c r="AI56" s="139">
        <v>-17.446033945604601</v>
      </c>
      <c r="AJ56" s="139">
        <v>3.2107904599490902</v>
      </c>
      <c r="AK56" s="139">
        <v>12.9259685971489</v>
      </c>
      <c r="AL56" s="139">
        <v>0</v>
      </c>
      <c r="AM56" s="139">
        <v>297.56773551678202</v>
      </c>
      <c r="AN56" s="139">
        <v>5.16638505569827</v>
      </c>
      <c r="AO56" s="139">
        <v>4.29365373673925</v>
      </c>
      <c r="AP56" s="139">
        <v>0</v>
      </c>
      <c r="AQ56" s="139">
        <v>0</v>
      </c>
      <c r="AR56" s="140">
        <v>1.40634479459564</v>
      </c>
    </row>
    <row r="57" spans="2:44" ht="12" customHeight="1" x14ac:dyDescent="0.25">
      <c r="B57" s="138" t="s">
        <v>22</v>
      </c>
      <c r="C57" s="139" t="s">
        <v>131</v>
      </c>
      <c r="D57" s="139" t="s">
        <v>24</v>
      </c>
      <c r="E57" s="139" t="s">
        <v>1698</v>
      </c>
      <c r="F57" s="139" t="s">
        <v>25</v>
      </c>
      <c r="G57" s="139" t="s">
        <v>25</v>
      </c>
      <c r="H57" s="139" t="s">
        <v>117</v>
      </c>
      <c r="I57" s="139" t="s">
        <v>25</v>
      </c>
      <c r="J57" s="139">
        <v>305.68</v>
      </c>
      <c r="K57" s="139">
        <v>317.83999999999997</v>
      </c>
      <c r="L57" s="139">
        <v>0</v>
      </c>
      <c r="M57" s="139">
        <v>0.81258730681580105</v>
      </c>
      <c r="N57" s="139">
        <v>3.68454823359159</v>
      </c>
      <c r="O57" s="139">
        <v>-5.0328095537283003E-3</v>
      </c>
      <c r="P57" s="139">
        <v>0</v>
      </c>
      <c r="Q57" s="139">
        <v>0</v>
      </c>
      <c r="R57" s="139">
        <v>0</v>
      </c>
      <c r="S57" s="139">
        <v>0</v>
      </c>
      <c r="T57" s="139">
        <v>11.374992013382199</v>
      </c>
      <c r="U57" s="139">
        <v>0.162457411390107</v>
      </c>
      <c r="V57" s="139">
        <v>0</v>
      </c>
      <c r="W57" s="139">
        <v>0</v>
      </c>
      <c r="X57" s="139">
        <v>43.174496583006302</v>
      </c>
      <c r="Y57" s="139">
        <v>0</v>
      </c>
      <c r="Z57" s="139">
        <v>0</v>
      </c>
      <c r="AA57" s="139">
        <v>197.03148354663401</v>
      </c>
      <c r="AB57" s="139">
        <v>0</v>
      </c>
      <c r="AC57" s="139">
        <v>0</v>
      </c>
      <c r="AD57" s="139">
        <v>43.8265740015418</v>
      </c>
      <c r="AE57" s="139">
        <v>9.7312687336913103E-2</v>
      </c>
      <c r="AF57" s="139">
        <v>0.78895297972128797</v>
      </c>
      <c r="AG57" s="139">
        <v>4.7272389260089902</v>
      </c>
      <c r="AH57" s="139">
        <v>10.7133149831084</v>
      </c>
      <c r="AI57" s="139">
        <v>-17.446033945604601</v>
      </c>
      <c r="AJ57" s="139">
        <v>3.2107904599490902</v>
      </c>
      <c r="AK57" s="139">
        <v>12.9259685971489</v>
      </c>
      <c r="AL57" s="139">
        <v>0</v>
      </c>
      <c r="AM57" s="139">
        <v>297.56773551678202</v>
      </c>
      <c r="AN57" s="139">
        <v>5.16638505569827</v>
      </c>
      <c r="AO57" s="139">
        <v>4.29365373673925</v>
      </c>
      <c r="AP57" s="139">
        <v>0</v>
      </c>
      <c r="AQ57" s="139">
        <v>0</v>
      </c>
      <c r="AR57" s="140">
        <v>1.40634479459564</v>
      </c>
    </row>
    <row r="58" spans="2:44" ht="12" customHeight="1" x14ac:dyDescent="0.25">
      <c r="B58" s="138" t="s">
        <v>22</v>
      </c>
      <c r="C58" s="139" t="s">
        <v>131</v>
      </c>
      <c r="D58" s="139" t="s">
        <v>24</v>
      </c>
      <c r="E58" s="139" t="s">
        <v>24</v>
      </c>
      <c r="F58" s="139" t="s">
        <v>25</v>
      </c>
      <c r="G58" s="139" t="s">
        <v>25</v>
      </c>
      <c r="H58" s="139" t="s">
        <v>117</v>
      </c>
      <c r="I58" s="139" t="s">
        <v>25</v>
      </c>
      <c r="J58" s="139">
        <v>420.22</v>
      </c>
      <c r="K58" s="139">
        <v>317.83999999999997</v>
      </c>
      <c r="L58" s="139">
        <v>6.20400734691182</v>
      </c>
      <c r="M58" s="139">
        <v>0.81258730681580105</v>
      </c>
      <c r="N58" s="139">
        <v>3.6962067926064499</v>
      </c>
      <c r="O58" s="139">
        <v>-5.0328095537283003E-3</v>
      </c>
      <c r="P58" s="139">
        <v>0</v>
      </c>
      <c r="Q58" s="139">
        <v>93.427414695800394</v>
      </c>
      <c r="R58" s="139">
        <v>14.9021502000616</v>
      </c>
      <c r="S58" s="139">
        <v>0</v>
      </c>
      <c r="T58" s="139">
        <v>11.374992013382199</v>
      </c>
      <c r="U58" s="139">
        <v>0.162457411390107</v>
      </c>
      <c r="V58" s="139">
        <v>0</v>
      </c>
      <c r="W58" s="139">
        <v>0</v>
      </c>
      <c r="X58" s="139">
        <v>43.174496583006302</v>
      </c>
      <c r="Y58" s="139">
        <v>0</v>
      </c>
      <c r="Z58" s="139">
        <v>0</v>
      </c>
      <c r="AA58" s="139">
        <v>197.03148354663401</v>
      </c>
      <c r="AB58" s="139">
        <v>0</v>
      </c>
      <c r="AC58" s="139">
        <v>0</v>
      </c>
      <c r="AD58" s="139">
        <v>43.8265740015418</v>
      </c>
      <c r="AE58" s="139">
        <v>9.7312687336913103E-2</v>
      </c>
      <c r="AF58" s="139">
        <v>0.78895297972128797</v>
      </c>
      <c r="AG58" s="139">
        <v>4.7272389260089902</v>
      </c>
      <c r="AH58" s="139">
        <v>10.7133149831084</v>
      </c>
      <c r="AI58" s="139">
        <v>-17.446033945604601</v>
      </c>
      <c r="AJ58" s="139">
        <v>3.2107904599490902</v>
      </c>
      <c r="AK58" s="139">
        <v>12.9259685971489</v>
      </c>
      <c r="AL58" s="139">
        <v>0</v>
      </c>
      <c r="AM58" s="139">
        <v>297.56773551678202</v>
      </c>
      <c r="AN58" s="139">
        <v>5.16638505569827</v>
      </c>
      <c r="AO58" s="139">
        <v>4.29365373673925</v>
      </c>
      <c r="AP58" s="139">
        <v>0</v>
      </c>
      <c r="AQ58" s="139">
        <v>0</v>
      </c>
      <c r="AR58" s="140">
        <v>1.40634479459564</v>
      </c>
    </row>
    <row r="59" spans="2:44" ht="12" customHeight="1" x14ac:dyDescent="0.25">
      <c r="B59" s="138" t="s">
        <v>44</v>
      </c>
      <c r="C59" s="139" t="s">
        <v>33</v>
      </c>
      <c r="D59" s="139" t="s">
        <v>45</v>
      </c>
      <c r="E59" s="139" t="s">
        <v>132</v>
      </c>
      <c r="F59" s="139" t="s">
        <v>25</v>
      </c>
      <c r="G59" s="139" t="s">
        <v>34</v>
      </c>
      <c r="H59" s="139" t="s">
        <v>117</v>
      </c>
      <c r="I59" s="139" t="s">
        <v>25</v>
      </c>
      <c r="J59" s="139">
        <v>837.44</v>
      </c>
      <c r="K59" s="139">
        <v>472.93</v>
      </c>
      <c r="L59" s="139">
        <v>5.8317669060971102</v>
      </c>
      <c r="M59" s="139">
        <v>0.76383206840685303</v>
      </c>
      <c r="N59" s="139">
        <v>8.1279355080026292</v>
      </c>
      <c r="O59" s="139">
        <v>-4.7308409805046003E-3</v>
      </c>
      <c r="P59" s="139">
        <v>0</v>
      </c>
      <c r="Q59" s="139">
        <v>87.821769814052303</v>
      </c>
      <c r="R59" s="139">
        <v>14.008021188057899</v>
      </c>
      <c r="S59" s="139">
        <v>0</v>
      </c>
      <c r="T59" s="139">
        <v>30.473533007703502</v>
      </c>
      <c r="U59" s="139">
        <v>0.43522979159854402</v>
      </c>
      <c r="V59" s="139">
        <v>0</v>
      </c>
      <c r="W59" s="139">
        <v>0</v>
      </c>
      <c r="X59" s="139">
        <v>115.664540808621</v>
      </c>
      <c r="Y59" s="139">
        <v>0</v>
      </c>
      <c r="Z59" s="139">
        <v>0</v>
      </c>
      <c r="AA59" s="139">
        <v>527.84737055064204</v>
      </c>
      <c r="AB59" s="139">
        <v>0</v>
      </c>
      <c r="AC59" s="139">
        <v>0</v>
      </c>
      <c r="AD59" s="139">
        <v>41.196979561449297</v>
      </c>
      <c r="AE59" s="139">
        <v>9.1473926096698299E-2</v>
      </c>
      <c r="AF59" s="139">
        <v>0.74161580093801105</v>
      </c>
      <c r="AG59" s="139">
        <v>4.4436045904484498</v>
      </c>
      <c r="AH59" s="139">
        <v>10.0705160841219</v>
      </c>
      <c r="AI59" s="139">
        <v>-16.3992719088683</v>
      </c>
      <c r="AJ59" s="139">
        <v>3.0181430323521399</v>
      </c>
      <c r="AK59" s="139">
        <v>12.15041048132</v>
      </c>
      <c r="AL59" s="139">
        <v>0</v>
      </c>
      <c r="AM59" s="139">
        <v>453.87501394672898</v>
      </c>
      <c r="AN59" s="139">
        <v>4.8564019523563697</v>
      </c>
      <c r="AO59" s="139">
        <v>4.0360345125348998</v>
      </c>
      <c r="AP59" s="139">
        <v>0</v>
      </c>
      <c r="AQ59" s="139">
        <v>0</v>
      </c>
      <c r="AR59" s="140">
        <v>1.3219641069199</v>
      </c>
    </row>
    <row r="60" spans="2:44" ht="12" customHeight="1" x14ac:dyDescent="0.25">
      <c r="B60" s="138" t="s">
        <v>44</v>
      </c>
      <c r="C60" s="139" t="s">
        <v>33</v>
      </c>
      <c r="D60" s="139" t="s">
        <v>45</v>
      </c>
      <c r="E60" s="139" t="s">
        <v>132</v>
      </c>
      <c r="F60" s="139" t="s">
        <v>25</v>
      </c>
      <c r="G60" s="139" t="s">
        <v>36</v>
      </c>
      <c r="H60" s="139" t="s">
        <v>117</v>
      </c>
      <c r="I60" s="139" t="s">
        <v>25</v>
      </c>
      <c r="J60" s="139">
        <v>564.80999999999995</v>
      </c>
      <c r="K60" s="139">
        <v>282.94</v>
      </c>
      <c r="L60" s="139">
        <v>5.8317669060971102</v>
      </c>
      <c r="M60" s="139">
        <v>0.76383206840685303</v>
      </c>
      <c r="N60" s="139">
        <v>5.2603719430018803</v>
      </c>
      <c r="O60" s="139">
        <v>-4.7308409805046003E-3</v>
      </c>
      <c r="P60" s="139">
        <v>0</v>
      </c>
      <c r="Q60" s="139">
        <v>87.821769814052303</v>
      </c>
      <c r="R60" s="139">
        <v>14.008021188057899</v>
      </c>
      <c r="S60" s="139">
        <v>0</v>
      </c>
      <c r="T60" s="139">
        <v>18.284153026338501</v>
      </c>
      <c r="U60" s="139">
        <v>0.26113422553944099</v>
      </c>
      <c r="V60" s="139">
        <v>0</v>
      </c>
      <c r="W60" s="139">
        <v>0</v>
      </c>
      <c r="X60" s="139">
        <v>69.398660022425403</v>
      </c>
      <c r="Y60" s="139">
        <v>0</v>
      </c>
      <c r="Z60" s="139">
        <v>0</v>
      </c>
      <c r="AA60" s="139">
        <v>316.70840142701701</v>
      </c>
      <c r="AB60" s="139">
        <v>0</v>
      </c>
      <c r="AC60" s="139">
        <v>0</v>
      </c>
      <c r="AD60" s="139">
        <v>41.196979561449297</v>
      </c>
      <c r="AE60" s="139">
        <v>9.1473926096698299E-2</v>
      </c>
      <c r="AF60" s="139">
        <v>0.74161580093801105</v>
      </c>
      <c r="AG60" s="139">
        <v>4.4436045904484498</v>
      </c>
      <c r="AH60" s="139">
        <v>10.0705160841219</v>
      </c>
      <c r="AI60" s="139">
        <v>-16.3992719088683</v>
      </c>
      <c r="AJ60" s="139">
        <v>3.0181430323521399</v>
      </c>
      <c r="AK60" s="139">
        <v>12.15041048132</v>
      </c>
      <c r="AL60" s="139">
        <v>0</v>
      </c>
      <c r="AM60" s="139">
        <v>263.880822062052</v>
      </c>
      <c r="AN60" s="139">
        <v>4.8564019523563697</v>
      </c>
      <c r="AO60" s="139">
        <v>4.0360345125348998</v>
      </c>
      <c r="AP60" s="139">
        <v>0</v>
      </c>
      <c r="AQ60" s="139">
        <v>0</v>
      </c>
      <c r="AR60" s="140">
        <v>1.3219641069199</v>
      </c>
    </row>
    <row r="61" spans="2:44" ht="12" customHeight="1" x14ac:dyDescent="0.25">
      <c r="B61" s="138" t="s">
        <v>44</v>
      </c>
      <c r="C61" s="139" t="s">
        <v>33</v>
      </c>
      <c r="D61" s="139" t="s">
        <v>45</v>
      </c>
      <c r="E61" s="139" t="s">
        <v>132</v>
      </c>
      <c r="F61" s="139" t="s">
        <v>25</v>
      </c>
      <c r="G61" s="139" t="s">
        <v>35</v>
      </c>
      <c r="H61" s="139" t="s">
        <v>117</v>
      </c>
      <c r="I61" s="139" t="s">
        <v>25</v>
      </c>
      <c r="J61" s="139">
        <v>292.17</v>
      </c>
      <c r="K61" s="139">
        <v>282.94</v>
      </c>
      <c r="L61" s="139">
        <v>5.8317669060971102</v>
      </c>
      <c r="M61" s="139">
        <v>0.76383206840685303</v>
      </c>
      <c r="N61" s="139">
        <v>2.39280947390569</v>
      </c>
      <c r="O61" s="139">
        <v>-4.7308409805046003E-3</v>
      </c>
      <c r="P61" s="139">
        <v>0</v>
      </c>
      <c r="Q61" s="139">
        <v>87.821769814052303</v>
      </c>
      <c r="R61" s="139">
        <v>14.008021188057899</v>
      </c>
      <c r="S61" s="139">
        <v>0</v>
      </c>
      <c r="T61" s="139">
        <v>6.0946899906824799</v>
      </c>
      <c r="U61" s="139">
        <v>8.7047783029551101E-2</v>
      </c>
      <c r="V61" s="139">
        <v>0</v>
      </c>
      <c r="W61" s="139">
        <v>0</v>
      </c>
      <c r="X61" s="139">
        <v>23.132886674141801</v>
      </c>
      <c r="Y61" s="139">
        <v>0</v>
      </c>
      <c r="Z61" s="139">
        <v>0</v>
      </c>
      <c r="AA61" s="139">
        <v>105.569432303391</v>
      </c>
      <c r="AB61" s="139">
        <v>0</v>
      </c>
      <c r="AC61" s="139">
        <v>0</v>
      </c>
      <c r="AD61" s="139">
        <v>41.196979561449297</v>
      </c>
      <c r="AE61" s="139">
        <v>9.1473926096698299E-2</v>
      </c>
      <c r="AF61" s="139">
        <v>0.74161580093801105</v>
      </c>
      <c r="AG61" s="139">
        <v>4.4436045904484498</v>
      </c>
      <c r="AH61" s="139">
        <v>10.0705160841219</v>
      </c>
      <c r="AI61" s="139">
        <v>-16.3992719088683</v>
      </c>
      <c r="AJ61" s="139">
        <v>3.0181430323521399</v>
      </c>
      <c r="AK61" s="139">
        <v>12.15041048132</v>
      </c>
      <c r="AL61" s="139">
        <v>0</v>
      </c>
      <c r="AM61" s="139">
        <v>263.880822062052</v>
      </c>
      <c r="AN61" s="139">
        <v>4.8564019523563697</v>
      </c>
      <c r="AO61" s="139">
        <v>4.0360345125348998</v>
      </c>
      <c r="AP61" s="139">
        <v>0</v>
      </c>
      <c r="AQ61" s="139">
        <v>0</v>
      </c>
      <c r="AR61" s="140">
        <v>1.3219641069199</v>
      </c>
    </row>
    <row r="62" spans="2:44" ht="12" customHeight="1" x14ac:dyDescent="0.25">
      <c r="B62" s="138" t="s">
        <v>44</v>
      </c>
      <c r="C62" s="139" t="s">
        <v>33</v>
      </c>
      <c r="D62" s="139" t="s">
        <v>45</v>
      </c>
      <c r="E62" s="139" t="s">
        <v>25</v>
      </c>
      <c r="F62" s="139" t="s">
        <v>25</v>
      </c>
      <c r="G62" s="139" t="s">
        <v>34</v>
      </c>
      <c r="H62" s="139" t="s">
        <v>117</v>
      </c>
      <c r="I62" s="139" t="s">
        <v>25</v>
      </c>
      <c r="J62" s="139">
        <v>837.44</v>
      </c>
      <c r="K62" s="139">
        <v>472.93</v>
      </c>
      <c r="L62" s="139">
        <v>5.8317669060971102</v>
      </c>
      <c r="M62" s="139">
        <v>0.76383206840685303</v>
      </c>
      <c r="N62" s="139">
        <v>8.1279355080026292</v>
      </c>
      <c r="O62" s="139">
        <v>-4.7308409805046003E-3</v>
      </c>
      <c r="P62" s="139">
        <v>0</v>
      </c>
      <c r="Q62" s="139">
        <v>87.821769814052303</v>
      </c>
      <c r="R62" s="139">
        <v>14.008021188057899</v>
      </c>
      <c r="S62" s="139">
        <v>0</v>
      </c>
      <c r="T62" s="139">
        <v>30.473533007703502</v>
      </c>
      <c r="U62" s="139">
        <v>0.43522979159854402</v>
      </c>
      <c r="V62" s="139">
        <v>0</v>
      </c>
      <c r="W62" s="139">
        <v>0</v>
      </c>
      <c r="X62" s="139">
        <v>115.664540808621</v>
      </c>
      <c r="Y62" s="139">
        <v>0</v>
      </c>
      <c r="Z62" s="139">
        <v>0</v>
      </c>
      <c r="AA62" s="139">
        <v>527.84737055064204</v>
      </c>
      <c r="AB62" s="139">
        <v>0</v>
      </c>
      <c r="AC62" s="139">
        <v>0</v>
      </c>
      <c r="AD62" s="139">
        <v>41.196979561449297</v>
      </c>
      <c r="AE62" s="139">
        <v>9.1473926096698299E-2</v>
      </c>
      <c r="AF62" s="139">
        <v>0.74161580093801105</v>
      </c>
      <c r="AG62" s="139">
        <v>4.4436045904484498</v>
      </c>
      <c r="AH62" s="139">
        <v>10.0705160841219</v>
      </c>
      <c r="AI62" s="139">
        <v>-16.3992719088683</v>
      </c>
      <c r="AJ62" s="139">
        <v>3.0181430323521399</v>
      </c>
      <c r="AK62" s="139">
        <v>12.15041048132</v>
      </c>
      <c r="AL62" s="139">
        <v>0</v>
      </c>
      <c r="AM62" s="139">
        <v>453.87501394672898</v>
      </c>
      <c r="AN62" s="139">
        <v>4.8564019523563697</v>
      </c>
      <c r="AO62" s="139">
        <v>4.0360345125348998</v>
      </c>
      <c r="AP62" s="139">
        <v>0</v>
      </c>
      <c r="AQ62" s="139">
        <v>0</v>
      </c>
      <c r="AR62" s="140">
        <v>1.3219641069199</v>
      </c>
    </row>
    <row r="63" spans="2:44" ht="12" customHeight="1" x14ac:dyDescent="0.25">
      <c r="B63" s="138" t="s">
        <v>44</v>
      </c>
      <c r="C63" s="139" t="s">
        <v>33</v>
      </c>
      <c r="D63" s="139" t="s">
        <v>45</v>
      </c>
      <c r="E63" s="139" t="s">
        <v>25</v>
      </c>
      <c r="F63" s="139" t="s">
        <v>25</v>
      </c>
      <c r="G63" s="139" t="s">
        <v>36</v>
      </c>
      <c r="H63" s="139" t="s">
        <v>117</v>
      </c>
      <c r="I63" s="139" t="s">
        <v>25</v>
      </c>
      <c r="J63" s="139">
        <v>564.80999999999995</v>
      </c>
      <c r="K63" s="139">
        <v>282.94</v>
      </c>
      <c r="L63" s="139">
        <v>5.8317669060971102</v>
      </c>
      <c r="M63" s="139">
        <v>0.76383206840685303</v>
      </c>
      <c r="N63" s="139">
        <v>5.2603719430018803</v>
      </c>
      <c r="O63" s="139">
        <v>-4.7308409805046003E-3</v>
      </c>
      <c r="P63" s="139">
        <v>0</v>
      </c>
      <c r="Q63" s="139">
        <v>87.821769814052303</v>
      </c>
      <c r="R63" s="139">
        <v>14.008021188057899</v>
      </c>
      <c r="S63" s="139">
        <v>0</v>
      </c>
      <c r="T63" s="139">
        <v>18.284153026338501</v>
      </c>
      <c r="U63" s="139">
        <v>0.26113422553944099</v>
      </c>
      <c r="V63" s="139">
        <v>0</v>
      </c>
      <c r="W63" s="139">
        <v>0</v>
      </c>
      <c r="X63" s="139">
        <v>69.398660022425403</v>
      </c>
      <c r="Y63" s="139">
        <v>0</v>
      </c>
      <c r="Z63" s="139">
        <v>0</v>
      </c>
      <c r="AA63" s="139">
        <v>316.70840142701701</v>
      </c>
      <c r="AB63" s="139">
        <v>0</v>
      </c>
      <c r="AC63" s="139">
        <v>0</v>
      </c>
      <c r="AD63" s="139">
        <v>41.196979561449297</v>
      </c>
      <c r="AE63" s="139">
        <v>9.1473926096698299E-2</v>
      </c>
      <c r="AF63" s="139">
        <v>0.74161580093801105</v>
      </c>
      <c r="AG63" s="139">
        <v>4.4436045904484498</v>
      </c>
      <c r="AH63" s="139">
        <v>10.0705160841219</v>
      </c>
      <c r="AI63" s="139">
        <v>-16.3992719088683</v>
      </c>
      <c r="AJ63" s="139">
        <v>3.0181430323521399</v>
      </c>
      <c r="AK63" s="139">
        <v>12.15041048132</v>
      </c>
      <c r="AL63" s="139">
        <v>0</v>
      </c>
      <c r="AM63" s="139">
        <v>263.880822062052</v>
      </c>
      <c r="AN63" s="139">
        <v>4.8564019523563697</v>
      </c>
      <c r="AO63" s="139">
        <v>4.0360345125348998</v>
      </c>
      <c r="AP63" s="139">
        <v>0</v>
      </c>
      <c r="AQ63" s="139">
        <v>0</v>
      </c>
      <c r="AR63" s="140">
        <v>1.3219641069199</v>
      </c>
    </row>
    <row r="64" spans="2:44" ht="12" customHeight="1" x14ac:dyDescent="0.25">
      <c r="B64" s="138" t="s">
        <v>44</v>
      </c>
      <c r="C64" s="139" t="s">
        <v>33</v>
      </c>
      <c r="D64" s="139" t="s">
        <v>45</v>
      </c>
      <c r="E64" s="139" t="s">
        <v>25</v>
      </c>
      <c r="F64" s="139" t="s">
        <v>25</v>
      </c>
      <c r="G64" s="139" t="s">
        <v>35</v>
      </c>
      <c r="H64" s="139" t="s">
        <v>117</v>
      </c>
      <c r="I64" s="139" t="s">
        <v>25</v>
      </c>
      <c r="J64" s="139">
        <v>292.17</v>
      </c>
      <c r="K64" s="139">
        <v>282.94</v>
      </c>
      <c r="L64" s="139">
        <v>5.8317669060971102</v>
      </c>
      <c r="M64" s="139">
        <v>0.76383206840685303</v>
      </c>
      <c r="N64" s="139">
        <v>2.39280947390569</v>
      </c>
      <c r="O64" s="139">
        <v>-4.7308409805046003E-3</v>
      </c>
      <c r="P64" s="139">
        <v>0</v>
      </c>
      <c r="Q64" s="139">
        <v>87.821769814052303</v>
      </c>
      <c r="R64" s="139">
        <v>14.008021188057899</v>
      </c>
      <c r="S64" s="139">
        <v>0</v>
      </c>
      <c r="T64" s="139">
        <v>6.0946899906824799</v>
      </c>
      <c r="U64" s="139">
        <v>8.7047783029551101E-2</v>
      </c>
      <c r="V64" s="139">
        <v>0</v>
      </c>
      <c r="W64" s="139">
        <v>0</v>
      </c>
      <c r="X64" s="139">
        <v>23.132886674141801</v>
      </c>
      <c r="Y64" s="139">
        <v>0</v>
      </c>
      <c r="Z64" s="139">
        <v>0</v>
      </c>
      <c r="AA64" s="139">
        <v>105.569432303391</v>
      </c>
      <c r="AB64" s="139">
        <v>0</v>
      </c>
      <c r="AC64" s="139">
        <v>0</v>
      </c>
      <c r="AD64" s="139">
        <v>41.196979561449297</v>
      </c>
      <c r="AE64" s="139">
        <v>9.1473926096698299E-2</v>
      </c>
      <c r="AF64" s="139">
        <v>0.74161580093801105</v>
      </c>
      <c r="AG64" s="139">
        <v>4.4436045904484498</v>
      </c>
      <c r="AH64" s="139">
        <v>10.0705160841219</v>
      </c>
      <c r="AI64" s="139">
        <v>-16.3992719088683</v>
      </c>
      <c r="AJ64" s="139">
        <v>3.0181430323521399</v>
      </c>
      <c r="AK64" s="139">
        <v>12.15041048132</v>
      </c>
      <c r="AL64" s="139">
        <v>0</v>
      </c>
      <c r="AM64" s="139">
        <v>263.880822062052</v>
      </c>
      <c r="AN64" s="139">
        <v>4.8564019523563697</v>
      </c>
      <c r="AO64" s="139">
        <v>4.0360345125348998</v>
      </c>
      <c r="AP64" s="139">
        <v>0</v>
      </c>
      <c r="AQ64" s="139">
        <v>0</v>
      </c>
      <c r="AR64" s="140">
        <v>1.3219641069199</v>
      </c>
    </row>
    <row r="65" spans="2:44" ht="12" customHeight="1" x14ac:dyDescent="0.25">
      <c r="B65" s="138" t="s">
        <v>44</v>
      </c>
      <c r="C65" s="139" t="s">
        <v>33</v>
      </c>
      <c r="D65" s="139" t="s">
        <v>45</v>
      </c>
      <c r="E65" s="139" t="s">
        <v>133</v>
      </c>
      <c r="F65" s="139" t="s">
        <v>25</v>
      </c>
      <c r="G65" s="139" t="s">
        <v>34</v>
      </c>
      <c r="H65" s="139" t="s">
        <v>117</v>
      </c>
      <c r="I65" s="139" t="s">
        <v>25</v>
      </c>
      <c r="J65" s="139">
        <v>819.63</v>
      </c>
      <c r="K65" s="139">
        <v>462.87</v>
      </c>
      <c r="L65" s="139">
        <v>5.7076867591588796</v>
      </c>
      <c r="M65" s="139">
        <v>0.74758032227053695</v>
      </c>
      <c r="N65" s="139">
        <v>7.9550007099600197</v>
      </c>
      <c r="O65" s="139">
        <v>-4.6301847894300403E-3</v>
      </c>
      <c r="P65" s="139">
        <v>0</v>
      </c>
      <c r="Q65" s="139">
        <v>85.953221520136296</v>
      </c>
      <c r="R65" s="139">
        <v>13.7099781840567</v>
      </c>
      <c r="S65" s="139">
        <v>0</v>
      </c>
      <c r="T65" s="139">
        <v>29.825159964986401</v>
      </c>
      <c r="U65" s="139">
        <v>0.42596958326666001</v>
      </c>
      <c r="V65" s="139">
        <v>0</v>
      </c>
      <c r="W65" s="139">
        <v>0</v>
      </c>
      <c r="X65" s="139">
        <v>113.203593131842</v>
      </c>
      <c r="Y65" s="139">
        <v>0</v>
      </c>
      <c r="Z65" s="139">
        <v>0</v>
      </c>
      <c r="AA65" s="139">
        <v>516.61657543254296</v>
      </c>
      <c r="AB65" s="139">
        <v>0</v>
      </c>
      <c r="AC65" s="139">
        <v>0</v>
      </c>
      <c r="AD65" s="139">
        <v>40.320448081418398</v>
      </c>
      <c r="AE65" s="139">
        <v>8.9527672349960105E-2</v>
      </c>
      <c r="AF65" s="139">
        <v>0.725836741343585</v>
      </c>
      <c r="AG65" s="139">
        <v>4.34905981192827</v>
      </c>
      <c r="AH65" s="139">
        <v>9.8562497844597701</v>
      </c>
      <c r="AI65" s="139">
        <v>-16.050351229956199</v>
      </c>
      <c r="AJ65" s="139">
        <v>2.9539272231531601</v>
      </c>
      <c r="AK65" s="139">
        <v>11.891891109376999</v>
      </c>
      <c r="AL65" s="139">
        <v>0</v>
      </c>
      <c r="AM65" s="139">
        <v>444.21809875637302</v>
      </c>
      <c r="AN65" s="139">
        <v>4.7530742512424</v>
      </c>
      <c r="AO65" s="139">
        <v>3.95016143780011</v>
      </c>
      <c r="AP65" s="139">
        <v>0</v>
      </c>
      <c r="AQ65" s="139">
        <v>0</v>
      </c>
      <c r="AR65" s="140">
        <v>1.2938372110279901</v>
      </c>
    </row>
    <row r="66" spans="2:44" ht="12" customHeight="1" x14ac:dyDescent="0.25">
      <c r="B66" s="138" t="s">
        <v>44</v>
      </c>
      <c r="C66" s="139" t="s">
        <v>33</v>
      </c>
      <c r="D66" s="139" t="s">
        <v>45</v>
      </c>
      <c r="E66" s="139" t="s">
        <v>133</v>
      </c>
      <c r="F66" s="139" t="s">
        <v>25</v>
      </c>
      <c r="G66" s="139" t="s">
        <v>36</v>
      </c>
      <c r="H66" s="139" t="s">
        <v>117</v>
      </c>
      <c r="I66" s="139" t="s">
        <v>25</v>
      </c>
      <c r="J66" s="139">
        <v>552.79</v>
      </c>
      <c r="K66" s="139">
        <v>276.92</v>
      </c>
      <c r="L66" s="139">
        <v>5.7076867591588796</v>
      </c>
      <c r="M66" s="139">
        <v>0.74758032227053695</v>
      </c>
      <c r="N66" s="139">
        <v>5.1484491357039701</v>
      </c>
      <c r="O66" s="139">
        <v>-4.6301847894300403E-3</v>
      </c>
      <c r="P66" s="139">
        <v>0</v>
      </c>
      <c r="Q66" s="139">
        <v>85.953221520136296</v>
      </c>
      <c r="R66" s="139">
        <v>13.7099781840567</v>
      </c>
      <c r="S66" s="139">
        <v>0</v>
      </c>
      <c r="T66" s="139">
        <v>17.8951284938633</v>
      </c>
      <c r="U66" s="139">
        <v>0.25557817818753897</v>
      </c>
      <c r="V66" s="139">
        <v>0</v>
      </c>
      <c r="W66" s="139">
        <v>0</v>
      </c>
      <c r="X66" s="139">
        <v>67.922092787905697</v>
      </c>
      <c r="Y66" s="139">
        <v>0</v>
      </c>
      <c r="Z66" s="139">
        <v>0</v>
      </c>
      <c r="AA66" s="139">
        <v>309.96992480091001</v>
      </c>
      <c r="AB66" s="139">
        <v>0</v>
      </c>
      <c r="AC66" s="139">
        <v>0</v>
      </c>
      <c r="AD66" s="139">
        <v>40.320448081418398</v>
      </c>
      <c r="AE66" s="139">
        <v>8.9527672349960105E-2</v>
      </c>
      <c r="AF66" s="139">
        <v>0.725836741343585</v>
      </c>
      <c r="AG66" s="139">
        <v>4.34905981192827</v>
      </c>
      <c r="AH66" s="139">
        <v>9.8562497844597701</v>
      </c>
      <c r="AI66" s="139">
        <v>-16.050351229956199</v>
      </c>
      <c r="AJ66" s="139">
        <v>2.9539272231531601</v>
      </c>
      <c r="AK66" s="139">
        <v>11.891891109376999</v>
      </c>
      <c r="AL66" s="139">
        <v>0</v>
      </c>
      <c r="AM66" s="139">
        <v>258.26633648626398</v>
      </c>
      <c r="AN66" s="139">
        <v>4.7530742512424</v>
      </c>
      <c r="AO66" s="139">
        <v>3.95016143780011</v>
      </c>
      <c r="AP66" s="139">
        <v>0</v>
      </c>
      <c r="AQ66" s="139">
        <v>0</v>
      </c>
      <c r="AR66" s="140">
        <v>1.2938372110279901</v>
      </c>
    </row>
    <row r="67" spans="2:44" ht="12" customHeight="1" x14ac:dyDescent="0.25">
      <c r="B67" s="138" t="s">
        <v>44</v>
      </c>
      <c r="C67" s="139" t="s">
        <v>33</v>
      </c>
      <c r="D67" s="139" t="s">
        <v>45</v>
      </c>
      <c r="E67" s="139" t="s">
        <v>133</v>
      </c>
      <c r="F67" s="139" t="s">
        <v>25</v>
      </c>
      <c r="G67" s="139" t="s">
        <v>35</v>
      </c>
      <c r="H67" s="139" t="s">
        <v>117</v>
      </c>
      <c r="I67" s="139" t="s">
        <v>25</v>
      </c>
      <c r="J67" s="139">
        <v>285.95</v>
      </c>
      <c r="K67" s="139">
        <v>276.92</v>
      </c>
      <c r="L67" s="139">
        <v>5.7076867591588796</v>
      </c>
      <c r="M67" s="139">
        <v>0.74758032227053695</v>
      </c>
      <c r="N67" s="139">
        <v>2.34189863403535</v>
      </c>
      <c r="O67" s="139">
        <v>-4.6301847894300403E-3</v>
      </c>
      <c r="P67" s="139">
        <v>0</v>
      </c>
      <c r="Q67" s="139">
        <v>85.953221520136296</v>
      </c>
      <c r="R67" s="139">
        <v>13.7099781840567</v>
      </c>
      <c r="S67" s="139">
        <v>0</v>
      </c>
      <c r="T67" s="139">
        <v>5.9650157355615701</v>
      </c>
      <c r="U67" s="139">
        <v>8.5195702539560603E-2</v>
      </c>
      <c r="V67" s="139">
        <v>0</v>
      </c>
      <c r="W67" s="139">
        <v>0</v>
      </c>
      <c r="X67" s="139">
        <v>22.6406975959686</v>
      </c>
      <c r="Y67" s="139">
        <v>0</v>
      </c>
      <c r="Z67" s="139">
        <v>0</v>
      </c>
      <c r="AA67" s="139">
        <v>103.323274169276</v>
      </c>
      <c r="AB67" s="139">
        <v>0</v>
      </c>
      <c r="AC67" s="139">
        <v>0</v>
      </c>
      <c r="AD67" s="139">
        <v>40.320448081418398</v>
      </c>
      <c r="AE67" s="139">
        <v>8.9527672349960105E-2</v>
      </c>
      <c r="AF67" s="139">
        <v>0.725836741343585</v>
      </c>
      <c r="AG67" s="139">
        <v>4.34905981192827</v>
      </c>
      <c r="AH67" s="139">
        <v>9.8562497844597701</v>
      </c>
      <c r="AI67" s="139">
        <v>-16.050351229956199</v>
      </c>
      <c r="AJ67" s="139">
        <v>2.9539272231531601</v>
      </c>
      <c r="AK67" s="139">
        <v>11.891891109376999</v>
      </c>
      <c r="AL67" s="139">
        <v>0</v>
      </c>
      <c r="AM67" s="139">
        <v>258.26633648626398</v>
      </c>
      <c r="AN67" s="139">
        <v>4.7530742512424</v>
      </c>
      <c r="AO67" s="139">
        <v>3.95016143780011</v>
      </c>
      <c r="AP67" s="139">
        <v>0</v>
      </c>
      <c r="AQ67" s="139">
        <v>0</v>
      </c>
      <c r="AR67" s="140">
        <v>1.2938372110279901</v>
      </c>
    </row>
    <row r="68" spans="2:44" ht="12" customHeight="1" x14ac:dyDescent="0.25">
      <c r="B68" s="138" t="s">
        <v>44</v>
      </c>
      <c r="C68" s="139" t="s">
        <v>23</v>
      </c>
      <c r="D68" s="139" t="s">
        <v>45</v>
      </c>
      <c r="E68" s="139" t="s">
        <v>132</v>
      </c>
      <c r="F68" s="139" t="s">
        <v>25</v>
      </c>
      <c r="G68" s="139" t="s">
        <v>25</v>
      </c>
      <c r="H68" s="139" t="s">
        <v>117</v>
      </c>
      <c r="I68" s="139" t="s">
        <v>25</v>
      </c>
      <c r="J68" s="139">
        <v>395.01</v>
      </c>
      <c r="K68" s="139">
        <v>298.77</v>
      </c>
      <c r="L68" s="139">
        <v>5.8317669060971102</v>
      </c>
      <c r="M68" s="139">
        <v>0.76383206840685303</v>
      </c>
      <c r="N68" s="139">
        <v>3.4744343850500599</v>
      </c>
      <c r="O68" s="139">
        <v>-4.7308409805046003E-3</v>
      </c>
      <c r="P68" s="139">
        <v>0</v>
      </c>
      <c r="Q68" s="139">
        <v>87.821769814052303</v>
      </c>
      <c r="R68" s="139">
        <v>14.008021188057899</v>
      </c>
      <c r="S68" s="139">
        <v>0</v>
      </c>
      <c r="T68" s="139">
        <v>10.6924924925793</v>
      </c>
      <c r="U68" s="139">
        <v>0.15270996670670001</v>
      </c>
      <c r="V68" s="139">
        <v>0</v>
      </c>
      <c r="W68" s="139">
        <v>0</v>
      </c>
      <c r="X68" s="139">
        <v>40.584026788025902</v>
      </c>
      <c r="Y68" s="139">
        <v>0</v>
      </c>
      <c r="Z68" s="139">
        <v>0</v>
      </c>
      <c r="AA68" s="139">
        <v>185.209594533836</v>
      </c>
      <c r="AB68" s="139">
        <v>0</v>
      </c>
      <c r="AC68" s="139">
        <v>0</v>
      </c>
      <c r="AD68" s="139">
        <v>41.196979561449297</v>
      </c>
      <c r="AE68" s="139">
        <v>9.1473926096698299E-2</v>
      </c>
      <c r="AF68" s="139">
        <v>0.74161580093801105</v>
      </c>
      <c r="AG68" s="139">
        <v>4.4436045904484498</v>
      </c>
      <c r="AH68" s="139">
        <v>10.0705160841219</v>
      </c>
      <c r="AI68" s="139">
        <v>-16.3992719088683</v>
      </c>
      <c r="AJ68" s="139">
        <v>3.0181430323521399</v>
      </c>
      <c r="AK68" s="139">
        <v>12.15041048132</v>
      </c>
      <c r="AL68" s="139">
        <v>0</v>
      </c>
      <c r="AM68" s="139">
        <v>279.713671385775</v>
      </c>
      <c r="AN68" s="139">
        <v>4.8564019523563697</v>
      </c>
      <c r="AO68" s="139">
        <v>4.0360345125348998</v>
      </c>
      <c r="AP68" s="139">
        <v>0</v>
      </c>
      <c r="AQ68" s="139">
        <v>0</v>
      </c>
      <c r="AR68" s="140">
        <v>1.3219641069199</v>
      </c>
    </row>
    <row r="69" spans="2:44" ht="12" customHeight="1" x14ac:dyDescent="0.25">
      <c r="B69" s="138" t="s">
        <v>44</v>
      </c>
      <c r="C69" s="139" t="s">
        <v>23</v>
      </c>
      <c r="D69" s="139" t="s">
        <v>45</v>
      </c>
      <c r="E69" s="139" t="s">
        <v>25</v>
      </c>
      <c r="F69" s="139" t="s">
        <v>25</v>
      </c>
      <c r="G69" s="139" t="s">
        <v>25</v>
      </c>
      <c r="H69" s="139" t="s">
        <v>117</v>
      </c>
      <c r="I69" s="139" t="s">
        <v>25</v>
      </c>
      <c r="J69" s="139">
        <v>395.01</v>
      </c>
      <c r="K69" s="139">
        <v>298.77</v>
      </c>
      <c r="L69" s="139">
        <v>5.8317669060971102</v>
      </c>
      <c r="M69" s="139">
        <v>0.76383206840685303</v>
      </c>
      <c r="N69" s="139">
        <v>3.4744343850500599</v>
      </c>
      <c r="O69" s="139">
        <v>-4.7308409805046003E-3</v>
      </c>
      <c r="P69" s="139">
        <v>0</v>
      </c>
      <c r="Q69" s="139">
        <v>87.821769814052303</v>
      </c>
      <c r="R69" s="139">
        <v>14.008021188057899</v>
      </c>
      <c r="S69" s="139">
        <v>0</v>
      </c>
      <c r="T69" s="139">
        <v>10.6924924925793</v>
      </c>
      <c r="U69" s="139">
        <v>0.15270996670670001</v>
      </c>
      <c r="V69" s="139">
        <v>0</v>
      </c>
      <c r="W69" s="139">
        <v>0</v>
      </c>
      <c r="X69" s="139">
        <v>40.584026788025902</v>
      </c>
      <c r="Y69" s="139">
        <v>0</v>
      </c>
      <c r="Z69" s="139">
        <v>0</v>
      </c>
      <c r="AA69" s="139">
        <v>185.209594533836</v>
      </c>
      <c r="AB69" s="139">
        <v>0</v>
      </c>
      <c r="AC69" s="139">
        <v>0</v>
      </c>
      <c r="AD69" s="139">
        <v>41.196979561449297</v>
      </c>
      <c r="AE69" s="139">
        <v>9.1473926096698299E-2</v>
      </c>
      <c r="AF69" s="139">
        <v>0.74161580093801105</v>
      </c>
      <c r="AG69" s="139">
        <v>4.4436045904484498</v>
      </c>
      <c r="AH69" s="139">
        <v>10.0705160841219</v>
      </c>
      <c r="AI69" s="139">
        <v>-16.3992719088683</v>
      </c>
      <c r="AJ69" s="139">
        <v>3.0181430323521399</v>
      </c>
      <c r="AK69" s="139">
        <v>12.15041048132</v>
      </c>
      <c r="AL69" s="139">
        <v>0</v>
      </c>
      <c r="AM69" s="139">
        <v>279.713671385775</v>
      </c>
      <c r="AN69" s="139">
        <v>4.8564019523563697</v>
      </c>
      <c r="AO69" s="139">
        <v>4.0360345125348998</v>
      </c>
      <c r="AP69" s="139">
        <v>0</v>
      </c>
      <c r="AQ69" s="139">
        <v>0</v>
      </c>
      <c r="AR69" s="140">
        <v>1.3219641069199</v>
      </c>
    </row>
    <row r="70" spans="2:44" ht="12" customHeight="1" x14ac:dyDescent="0.25">
      <c r="B70" s="138" t="s">
        <v>44</v>
      </c>
      <c r="C70" s="139" t="s">
        <v>23</v>
      </c>
      <c r="D70" s="139" t="s">
        <v>45</v>
      </c>
      <c r="E70" s="139" t="s">
        <v>133</v>
      </c>
      <c r="F70" s="139" t="s">
        <v>25</v>
      </c>
      <c r="G70" s="139" t="s">
        <v>25</v>
      </c>
      <c r="H70" s="139" t="s">
        <v>117</v>
      </c>
      <c r="I70" s="139" t="s">
        <v>25</v>
      </c>
      <c r="J70" s="139">
        <v>386.6</v>
      </c>
      <c r="K70" s="139">
        <v>292.41000000000003</v>
      </c>
      <c r="L70" s="139">
        <v>5.7076867591588796</v>
      </c>
      <c r="M70" s="139">
        <v>0.74758032227053695</v>
      </c>
      <c r="N70" s="139">
        <v>3.4005102491979402</v>
      </c>
      <c r="O70" s="139">
        <v>-4.6301847894300403E-3</v>
      </c>
      <c r="P70" s="139">
        <v>0</v>
      </c>
      <c r="Q70" s="139">
        <v>85.953221520136296</v>
      </c>
      <c r="R70" s="139">
        <v>13.7099781840567</v>
      </c>
      <c r="S70" s="139">
        <v>0</v>
      </c>
      <c r="T70" s="139">
        <v>10.464992652311601</v>
      </c>
      <c r="U70" s="139">
        <v>0.149460818478898</v>
      </c>
      <c r="V70" s="139">
        <v>0</v>
      </c>
      <c r="W70" s="139">
        <v>0</v>
      </c>
      <c r="X70" s="139">
        <v>39.720536856365797</v>
      </c>
      <c r="Y70" s="139">
        <v>0</v>
      </c>
      <c r="Z70" s="139">
        <v>0</v>
      </c>
      <c r="AA70" s="139">
        <v>181.268964862903</v>
      </c>
      <c r="AB70" s="139">
        <v>0</v>
      </c>
      <c r="AC70" s="139">
        <v>0</v>
      </c>
      <c r="AD70" s="139">
        <v>40.320448081418398</v>
      </c>
      <c r="AE70" s="139">
        <v>8.9527672349960105E-2</v>
      </c>
      <c r="AF70" s="139">
        <v>0.725836741343585</v>
      </c>
      <c r="AG70" s="139">
        <v>4.34905981192827</v>
      </c>
      <c r="AH70" s="139">
        <v>9.8562497844597701</v>
      </c>
      <c r="AI70" s="139">
        <v>-16.050351229956199</v>
      </c>
      <c r="AJ70" s="139">
        <v>2.9539272231531601</v>
      </c>
      <c r="AK70" s="139">
        <v>11.891891109376999</v>
      </c>
      <c r="AL70" s="139">
        <v>0</v>
      </c>
      <c r="AM70" s="139">
        <v>273.76231667543902</v>
      </c>
      <c r="AN70" s="139">
        <v>4.7530742512424</v>
      </c>
      <c r="AO70" s="139">
        <v>3.95016143780011</v>
      </c>
      <c r="AP70" s="139">
        <v>0</v>
      </c>
      <c r="AQ70" s="139">
        <v>0</v>
      </c>
      <c r="AR70" s="140">
        <v>1.2938372110279901</v>
      </c>
    </row>
    <row r="71" spans="2:44" ht="12" customHeight="1" x14ac:dyDescent="0.25">
      <c r="B71" s="138" t="s">
        <v>44</v>
      </c>
      <c r="C71" s="139" t="s">
        <v>131</v>
      </c>
      <c r="D71" s="139" t="s">
        <v>45</v>
      </c>
      <c r="E71" s="139" t="s">
        <v>132</v>
      </c>
      <c r="F71" s="139" t="s">
        <v>25</v>
      </c>
      <c r="G71" s="139" t="s">
        <v>25</v>
      </c>
      <c r="H71" s="139" t="s">
        <v>117</v>
      </c>
      <c r="I71" s="139" t="s">
        <v>25</v>
      </c>
      <c r="J71" s="139">
        <v>395.01</v>
      </c>
      <c r="K71" s="139">
        <v>298.77</v>
      </c>
      <c r="L71" s="139">
        <v>5.8317669060971102</v>
      </c>
      <c r="M71" s="139">
        <v>0.76383206840685303</v>
      </c>
      <c r="N71" s="139">
        <v>3.4744343850500599</v>
      </c>
      <c r="O71" s="139">
        <v>-4.7308409805046003E-3</v>
      </c>
      <c r="P71" s="139">
        <v>0</v>
      </c>
      <c r="Q71" s="139">
        <v>87.821769814052303</v>
      </c>
      <c r="R71" s="139">
        <v>14.008021188057899</v>
      </c>
      <c r="S71" s="139">
        <v>0</v>
      </c>
      <c r="T71" s="139">
        <v>10.6924924925793</v>
      </c>
      <c r="U71" s="139">
        <v>0.15270996670670001</v>
      </c>
      <c r="V71" s="139">
        <v>0</v>
      </c>
      <c r="W71" s="139">
        <v>0</v>
      </c>
      <c r="X71" s="139">
        <v>40.584026788025902</v>
      </c>
      <c r="Y71" s="139">
        <v>0</v>
      </c>
      <c r="Z71" s="139">
        <v>0</v>
      </c>
      <c r="AA71" s="139">
        <v>185.209594533836</v>
      </c>
      <c r="AB71" s="139">
        <v>0</v>
      </c>
      <c r="AC71" s="139">
        <v>0</v>
      </c>
      <c r="AD71" s="139">
        <v>41.196979561449297</v>
      </c>
      <c r="AE71" s="139">
        <v>9.1473926096698299E-2</v>
      </c>
      <c r="AF71" s="139">
        <v>0.74161580093801105</v>
      </c>
      <c r="AG71" s="139">
        <v>4.4436045904484498</v>
      </c>
      <c r="AH71" s="139">
        <v>10.0705160841219</v>
      </c>
      <c r="AI71" s="139">
        <v>-16.3992719088683</v>
      </c>
      <c r="AJ71" s="139">
        <v>3.0181430323521399</v>
      </c>
      <c r="AK71" s="139">
        <v>12.15041048132</v>
      </c>
      <c r="AL71" s="139">
        <v>0</v>
      </c>
      <c r="AM71" s="139">
        <v>279.713671385775</v>
      </c>
      <c r="AN71" s="139">
        <v>4.8564019523563697</v>
      </c>
      <c r="AO71" s="139">
        <v>4.0360345125348998</v>
      </c>
      <c r="AP71" s="139">
        <v>0</v>
      </c>
      <c r="AQ71" s="139">
        <v>0</v>
      </c>
      <c r="AR71" s="140">
        <v>1.3219641069199</v>
      </c>
    </row>
    <row r="72" spans="2:44" ht="12" customHeight="1" x14ac:dyDescent="0.25">
      <c r="B72" s="138" t="s">
        <v>44</v>
      </c>
      <c r="C72" s="139" t="s">
        <v>131</v>
      </c>
      <c r="D72" s="139" t="s">
        <v>45</v>
      </c>
      <c r="E72" s="139" t="s">
        <v>25</v>
      </c>
      <c r="F72" s="139" t="s">
        <v>25</v>
      </c>
      <c r="G72" s="139" t="s">
        <v>25</v>
      </c>
      <c r="H72" s="139" t="s">
        <v>117</v>
      </c>
      <c r="I72" s="139" t="s">
        <v>25</v>
      </c>
      <c r="J72" s="139">
        <v>395.01</v>
      </c>
      <c r="K72" s="139">
        <v>298.77</v>
      </c>
      <c r="L72" s="139">
        <v>5.8317669060971102</v>
      </c>
      <c r="M72" s="139">
        <v>0.76383206840685303</v>
      </c>
      <c r="N72" s="139">
        <v>3.4744343850500599</v>
      </c>
      <c r="O72" s="139">
        <v>-4.7308409805046003E-3</v>
      </c>
      <c r="P72" s="139">
        <v>0</v>
      </c>
      <c r="Q72" s="139">
        <v>87.821769814052303</v>
      </c>
      <c r="R72" s="139">
        <v>14.008021188057899</v>
      </c>
      <c r="S72" s="139">
        <v>0</v>
      </c>
      <c r="T72" s="139">
        <v>10.6924924925793</v>
      </c>
      <c r="U72" s="139">
        <v>0.15270996670670001</v>
      </c>
      <c r="V72" s="139">
        <v>0</v>
      </c>
      <c r="W72" s="139">
        <v>0</v>
      </c>
      <c r="X72" s="139">
        <v>40.584026788025902</v>
      </c>
      <c r="Y72" s="139">
        <v>0</v>
      </c>
      <c r="Z72" s="139">
        <v>0</v>
      </c>
      <c r="AA72" s="139">
        <v>185.209594533836</v>
      </c>
      <c r="AB72" s="139">
        <v>0</v>
      </c>
      <c r="AC72" s="139">
        <v>0</v>
      </c>
      <c r="AD72" s="139">
        <v>41.196979561449297</v>
      </c>
      <c r="AE72" s="139">
        <v>9.1473926096698299E-2</v>
      </c>
      <c r="AF72" s="139">
        <v>0.74161580093801105</v>
      </c>
      <c r="AG72" s="139">
        <v>4.4436045904484498</v>
      </c>
      <c r="AH72" s="139">
        <v>10.0705160841219</v>
      </c>
      <c r="AI72" s="139">
        <v>-16.3992719088683</v>
      </c>
      <c r="AJ72" s="139">
        <v>3.0181430323521399</v>
      </c>
      <c r="AK72" s="139">
        <v>12.15041048132</v>
      </c>
      <c r="AL72" s="139">
        <v>0</v>
      </c>
      <c r="AM72" s="139">
        <v>279.713671385775</v>
      </c>
      <c r="AN72" s="139">
        <v>4.8564019523563697</v>
      </c>
      <c r="AO72" s="139">
        <v>4.0360345125348998</v>
      </c>
      <c r="AP72" s="139">
        <v>0</v>
      </c>
      <c r="AQ72" s="139">
        <v>0</v>
      </c>
      <c r="AR72" s="140">
        <v>1.3219641069199</v>
      </c>
    </row>
    <row r="73" spans="2:44" ht="12" customHeight="1" x14ac:dyDescent="0.25">
      <c r="B73" s="138" t="s">
        <v>44</v>
      </c>
      <c r="C73" s="139" t="s">
        <v>131</v>
      </c>
      <c r="D73" s="139" t="s">
        <v>45</v>
      </c>
      <c r="E73" s="139" t="s">
        <v>133</v>
      </c>
      <c r="F73" s="139" t="s">
        <v>25</v>
      </c>
      <c r="G73" s="139" t="s">
        <v>25</v>
      </c>
      <c r="H73" s="139" t="s">
        <v>117</v>
      </c>
      <c r="I73" s="139" t="s">
        <v>25</v>
      </c>
      <c r="J73" s="139">
        <v>386.6</v>
      </c>
      <c r="K73" s="139">
        <v>292.41000000000003</v>
      </c>
      <c r="L73" s="139">
        <v>5.7076867591588796</v>
      </c>
      <c r="M73" s="139">
        <v>0.74758032227053695</v>
      </c>
      <c r="N73" s="139">
        <v>3.4005102491979402</v>
      </c>
      <c r="O73" s="139">
        <v>-4.6301847894300403E-3</v>
      </c>
      <c r="P73" s="139">
        <v>0</v>
      </c>
      <c r="Q73" s="139">
        <v>85.953221520136296</v>
      </c>
      <c r="R73" s="139">
        <v>13.7099781840567</v>
      </c>
      <c r="S73" s="139">
        <v>0</v>
      </c>
      <c r="T73" s="139">
        <v>10.464992652311601</v>
      </c>
      <c r="U73" s="139">
        <v>0.149460818478898</v>
      </c>
      <c r="V73" s="139">
        <v>0</v>
      </c>
      <c r="W73" s="139">
        <v>0</v>
      </c>
      <c r="X73" s="139">
        <v>39.720536856365797</v>
      </c>
      <c r="Y73" s="139">
        <v>0</v>
      </c>
      <c r="Z73" s="139">
        <v>0</v>
      </c>
      <c r="AA73" s="139">
        <v>181.268964862903</v>
      </c>
      <c r="AB73" s="139">
        <v>0</v>
      </c>
      <c r="AC73" s="139">
        <v>0</v>
      </c>
      <c r="AD73" s="139">
        <v>40.320448081418398</v>
      </c>
      <c r="AE73" s="139">
        <v>8.9527672349960105E-2</v>
      </c>
      <c r="AF73" s="139">
        <v>0.725836741343585</v>
      </c>
      <c r="AG73" s="139">
        <v>4.34905981192827</v>
      </c>
      <c r="AH73" s="139">
        <v>9.8562497844597701</v>
      </c>
      <c r="AI73" s="139">
        <v>-16.050351229956199</v>
      </c>
      <c r="AJ73" s="139">
        <v>2.9539272231531601</v>
      </c>
      <c r="AK73" s="139">
        <v>11.891891109376999</v>
      </c>
      <c r="AL73" s="139">
        <v>0</v>
      </c>
      <c r="AM73" s="139">
        <v>273.76231667543902</v>
      </c>
      <c r="AN73" s="139">
        <v>4.7530742512424</v>
      </c>
      <c r="AO73" s="139">
        <v>3.95016143780011</v>
      </c>
      <c r="AP73" s="139">
        <v>0</v>
      </c>
      <c r="AQ73" s="139">
        <v>0</v>
      </c>
      <c r="AR73" s="140">
        <v>1.2938372110279901</v>
      </c>
    </row>
    <row r="74" spans="2:44" ht="12" customHeight="1" x14ac:dyDescent="0.25">
      <c r="B74" s="138" t="s">
        <v>37</v>
      </c>
      <c r="C74" s="139" t="s">
        <v>33</v>
      </c>
      <c r="D74" s="139" t="s">
        <v>25</v>
      </c>
      <c r="E74" s="139" t="s">
        <v>25</v>
      </c>
      <c r="F74" s="139" t="s">
        <v>25</v>
      </c>
      <c r="G74" s="139" t="s">
        <v>34</v>
      </c>
      <c r="H74" s="139" t="s">
        <v>117</v>
      </c>
      <c r="I74" s="139" t="s">
        <v>25</v>
      </c>
      <c r="J74" s="139">
        <v>1030.83</v>
      </c>
      <c r="K74" s="139">
        <v>503.12</v>
      </c>
      <c r="L74" s="139">
        <v>6.20400734691182</v>
      </c>
      <c r="M74" s="139">
        <v>0.81258730681580105</v>
      </c>
      <c r="N74" s="139">
        <v>10.118518723878299</v>
      </c>
      <c r="O74" s="139">
        <v>-5.0328095537283003E-3</v>
      </c>
      <c r="P74" s="139">
        <v>0</v>
      </c>
      <c r="Q74" s="139">
        <v>93.427414695800394</v>
      </c>
      <c r="R74" s="139">
        <v>14.9021502000616</v>
      </c>
      <c r="S74" s="139">
        <v>0</v>
      </c>
      <c r="T74" s="139">
        <v>38.674849147619099</v>
      </c>
      <c r="U74" s="139">
        <v>0.55236296344909597</v>
      </c>
      <c r="V74" s="139">
        <v>0</v>
      </c>
      <c r="W74" s="139">
        <v>0</v>
      </c>
      <c r="X74" s="139">
        <v>146.79333410048201</v>
      </c>
      <c r="Y74" s="139">
        <v>0</v>
      </c>
      <c r="Z74" s="139">
        <v>0</v>
      </c>
      <c r="AA74" s="139">
        <v>669.90704405855399</v>
      </c>
      <c r="AB74" s="139">
        <v>0</v>
      </c>
      <c r="AC74" s="139">
        <v>0</v>
      </c>
      <c r="AD74" s="139">
        <v>43.8265740015418</v>
      </c>
      <c r="AE74" s="139">
        <v>9.7312687336913103E-2</v>
      </c>
      <c r="AF74" s="139">
        <v>0.78895297972128797</v>
      </c>
      <c r="AG74" s="139">
        <v>4.7272389260089902</v>
      </c>
      <c r="AH74" s="139">
        <v>10.7133149831084</v>
      </c>
      <c r="AI74" s="139">
        <v>-17.446033945604601</v>
      </c>
      <c r="AJ74" s="139">
        <v>3.2107904599490902</v>
      </c>
      <c r="AK74" s="139">
        <v>12.9259685971489</v>
      </c>
      <c r="AL74" s="139">
        <v>0</v>
      </c>
      <c r="AM74" s="139">
        <v>482.84575951779698</v>
      </c>
      <c r="AN74" s="139">
        <v>5.16638505569827</v>
      </c>
      <c r="AO74" s="139">
        <v>4.29365373673925</v>
      </c>
      <c r="AP74" s="139">
        <v>0</v>
      </c>
      <c r="AQ74" s="139">
        <v>0</v>
      </c>
      <c r="AR74" s="140">
        <v>1.40634479459564</v>
      </c>
    </row>
    <row r="75" spans="2:44" ht="12" customHeight="1" x14ac:dyDescent="0.25">
      <c r="B75" s="138" t="s">
        <v>37</v>
      </c>
      <c r="C75" s="139" t="s">
        <v>33</v>
      </c>
      <c r="D75" s="139" t="s">
        <v>25</v>
      </c>
      <c r="E75" s="139" t="s">
        <v>25</v>
      </c>
      <c r="F75" s="139" t="s">
        <v>25</v>
      </c>
      <c r="G75" s="139" t="s">
        <v>36</v>
      </c>
      <c r="H75" s="139" t="s">
        <v>117</v>
      </c>
      <c r="I75" s="139" t="s">
        <v>25</v>
      </c>
      <c r="J75" s="139">
        <v>684.82</v>
      </c>
      <c r="K75" s="139">
        <v>300.99</v>
      </c>
      <c r="L75" s="139">
        <v>6.20400734691182</v>
      </c>
      <c r="M75" s="139">
        <v>0.81258730681580105</v>
      </c>
      <c r="N75" s="139">
        <v>6.4792085906290797</v>
      </c>
      <c r="O75" s="139">
        <v>-5.0328095537283003E-3</v>
      </c>
      <c r="P75" s="139">
        <v>0</v>
      </c>
      <c r="Q75" s="139">
        <v>93.427414695800394</v>
      </c>
      <c r="R75" s="139">
        <v>14.9021502000616</v>
      </c>
      <c r="S75" s="139">
        <v>0</v>
      </c>
      <c r="T75" s="139">
        <v>23.204927159697299</v>
      </c>
      <c r="U75" s="139">
        <v>0.33141777806945699</v>
      </c>
      <c r="V75" s="139">
        <v>0</v>
      </c>
      <c r="W75" s="139">
        <v>0</v>
      </c>
      <c r="X75" s="139">
        <v>88.076000460289293</v>
      </c>
      <c r="Y75" s="139">
        <v>0</v>
      </c>
      <c r="Z75" s="139">
        <v>0</v>
      </c>
      <c r="AA75" s="139">
        <v>401.944204197506</v>
      </c>
      <c r="AB75" s="139">
        <v>0</v>
      </c>
      <c r="AC75" s="139">
        <v>0</v>
      </c>
      <c r="AD75" s="139">
        <v>43.8265740015418</v>
      </c>
      <c r="AE75" s="139">
        <v>9.7312687336913103E-2</v>
      </c>
      <c r="AF75" s="139">
        <v>0.78895297972128797</v>
      </c>
      <c r="AG75" s="139">
        <v>4.7272389260089902</v>
      </c>
      <c r="AH75" s="139">
        <v>10.7133149831084</v>
      </c>
      <c r="AI75" s="139">
        <v>-17.446033945604601</v>
      </c>
      <c r="AJ75" s="139">
        <v>3.2107904599490902</v>
      </c>
      <c r="AK75" s="139">
        <v>12.9259685971489</v>
      </c>
      <c r="AL75" s="139">
        <v>0</v>
      </c>
      <c r="AM75" s="139">
        <v>280.72427878941699</v>
      </c>
      <c r="AN75" s="139">
        <v>5.16638505569827</v>
      </c>
      <c r="AO75" s="139">
        <v>4.29365373673925</v>
      </c>
      <c r="AP75" s="139">
        <v>0</v>
      </c>
      <c r="AQ75" s="139">
        <v>0</v>
      </c>
      <c r="AR75" s="140">
        <v>1.40634479459564</v>
      </c>
    </row>
    <row r="76" spans="2:44" ht="12" customHeight="1" x14ac:dyDescent="0.25">
      <c r="B76" s="138" t="s">
        <v>37</v>
      </c>
      <c r="C76" s="139" t="s">
        <v>33</v>
      </c>
      <c r="D76" s="139" t="s">
        <v>25</v>
      </c>
      <c r="E76" s="139" t="s">
        <v>25</v>
      </c>
      <c r="F76" s="139" t="s">
        <v>25</v>
      </c>
      <c r="G76" s="139" t="s">
        <v>35</v>
      </c>
      <c r="H76" s="139" t="s">
        <v>117</v>
      </c>
      <c r="I76" s="139" t="s">
        <v>25</v>
      </c>
      <c r="J76" s="139">
        <v>338.81</v>
      </c>
      <c r="K76" s="139">
        <v>300.99</v>
      </c>
      <c r="L76" s="139">
        <v>6.20400734691182</v>
      </c>
      <c r="M76" s="139">
        <v>0.81258730681580105</v>
      </c>
      <c r="N76" s="139">
        <v>2.8398984573798098</v>
      </c>
      <c r="O76" s="139">
        <v>-5.0328095537283003E-3</v>
      </c>
      <c r="P76" s="139">
        <v>0</v>
      </c>
      <c r="Q76" s="139">
        <v>93.427414695800394</v>
      </c>
      <c r="R76" s="139">
        <v>14.9021502000616</v>
      </c>
      <c r="S76" s="139">
        <v>0</v>
      </c>
      <c r="T76" s="139">
        <v>7.7350051717753701</v>
      </c>
      <c r="U76" s="139">
        <v>0.110472592689819</v>
      </c>
      <c r="V76" s="139">
        <v>0</v>
      </c>
      <c r="W76" s="139">
        <v>0</v>
      </c>
      <c r="X76" s="139">
        <v>29.358666820096399</v>
      </c>
      <c r="Y76" s="139">
        <v>0</v>
      </c>
      <c r="Z76" s="139">
        <v>0</v>
      </c>
      <c r="AA76" s="139">
        <v>133.981364336458</v>
      </c>
      <c r="AB76" s="139">
        <v>0</v>
      </c>
      <c r="AC76" s="139">
        <v>0</v>
      </c>
      <c r="AD76" s="139">
        <v>43.8265740015418</v>
      </c>
      <c r="AE76" s="139">
        <v>9.7312687336913103E-2</v>
      </c>
      <c r="AF76" s="139">
        <v>0.78895297972128797</v>
      </c>
      <c r="AG76" s="139">
        <v>4.7272389260089902</v>
      </c>
      <c r="AH76" s="139">
        <v>10.7133149831084</v>
      </c>
      <c r="AI76" s="139">
        <v>-17.446033945604601</v>
      </c>
      <c r="AJ76" s="139">
        <v>3.2107904599490902</v>
      </c>
      <c r="AK76" s="139">
        <v>12.9259685971489</v>
      </c>
      <c r="AL76" s="139">
        <v>0</v>
      </c>
      <c r="AM76" s="139">
        <v>280.72427878941699</v>
      </c>
      <c r="AN76" s="139">
        <v>5.16638505569827</v>
      </c>
      <c r="AO76" s="139">
        <v>4.29365373673925</v>
      </c>
      <c r="AP76" s="139">
        <v>0</v>
      </c>
      <c r="AQ76" s="139">
        <v>0</v>
      </c>
      <c r="AR76" s="140">
        <v>1.40634479459564</v>
      </c>
    </row>
    <row r="77" spans="2:44" ht="12" customHeight="1" x14ac:dyDescent="0.25">
      <c r="B77" s="138" t="s">
        <v>37</v>
      </c>
      <c r="C77" s="139" t="s">
        <v>23</v>
      </c>
      <c r="D77" s="139" t="s">
        <v>25</v>
      </c>
      <c r="E77" s="139" t="s">
        <v>25</v>
      </c>
      <c r="F77" s="139" t="s">
        <v>25</v>
      </c>
      <c r="G77" s="139" t="s">
        <v>25</v>
      </c>
      <c r="H77" s="139" t="s">
        <v>117</v>
      </c>
      <c r="I77" s="139" t="s">
        <v>25</v>
      </c>
      <c r="J77" s="139">
        <v>420.22</v>
      </c>
      <c r="K77" s="139">
        <v>317.83999999999997</v>
      </c>
      <c r="L77" s="139">
        <v>6.20400734691182</v>
      </c>
      <c r="M77" s="139">
        <v>0.81258730681580105</v>
      </c>
      <c r="N77" s="139">
        <v>3.6962067926064499</v>
      </c>
      <c r="O77" s="139">
        <v>-5.0328095537283003E-3</v>
      </c>
      <c r="P77" s="139">
        <v>0</v>
      </c>
      <c r="Q77" s="139">
        <v>93.427414695800394</v>
      </c>
      <c r="R77" s="139">
        <v>14.9021502000616</v>
      </c>
      <c r="S77" s="139">
        <v>0</v>
      </c>
      <c r="T77" s="139">
        <v>11.374992013382199</v>
      </c>
      <c r="U77" s="139">
        <v>0.162457411390107</v>
      </c>
      <c r="V77" s="139">
        <v>0</v>
      </c>
      <c r="W77" s="139">
        <v>0</v>
      </c>
      <c r="X77" s="139">
        <v>43.174496583006302</v>
      </c>
      <c r="Y77" s="139">
        <v>0</v>
      </c>
      <c r="Z77" s="139">
        <v>0</v>
      </c>
      <c r="AA77" s="139">
        <v>197.03148354663401</v>
      </c>
      <c r="AB77" s="139">
        <v>0</v>
      </c>
      <c r="AC77" s="139">
        <v>0</v>
      </c>
      <c r="AD77" s="139">
        <v>43.8265740015418</v>
      </c>
      <c r="AE77" s="139">
        <v>9.7312687336913103E-2</v>
      </c>
      <c r="AF77" s="139">
        <v>0.78895297972128797</v>
      </c>
      <c r="AG77" s="139">
        <v>4.7272389260089902</v>
      </c>
      <c r="AH77" s="139">
        <v>10.7133149831084</v>
      </c>
      <c r="AI77" s="139">
        <v>-17.446033945604601</v>
      </c>
      <c r="AJ77" s="139">
        <v>3.2107904599490902</v>
      </c>
      <c r="AK77" s="139">
        <v>12.9259685971489</v>
      </c>
      <c r="AL77" s="139">
        <v>0</v>
      </c>
      <c r="AM77" s="139">
        <v>297.56773551678202</v>
      </c>
      <c r="AN77" s="139">
        <v>5.16638505569827</v>
      </c>
      <c r="AO77" s="139">
        <v>4.29365373673925</v>
      </c>
      <c r="AP77" s="139">
        <v>0</v>
      </c>
      <c r="AQ77" s="139">
        <v>0</v>
      </c>
      <c r="AR77" s="140">
        <v>1.40634479459564</v>
      </c>
    </row>
    <row r="78" spans="2:44" ht="12" customHeight="1" x14ac:dyDescent="0.25">
      <c r="B78" s="138" t="s">
        <v>37</v>
      </c>
      <c r="C78" s="139" t="s">
        <v>131</v>
      </c>
      <c r="D78" s="139" t="s">
        <v>25</v>
      </c>
      <c r="E78" s="139" t="s">
        <v>25</v>
      </c>
      <c r="F78" s="139" t="s">
        <v>25</v>
      </c>
      <c r="G78" s="139" t="s">
        <v>25</v>
      </c>
      <c r="H78" s="139" t="s">
        <v>117</v>
      </c>
      <c r="I78" s="139" t="s">
        <v>25</v>
      </c>
      <c r="J78" s="139">
        <v>420.22</v>
      </c>
      <c r="K78" s="139">
        <v>317.83999999999997</v>
      </c>
      <c r="L78" s="139">
        <v>6.20400734691182</v>
      </c>
      <c r="M78" s="139">
        <v>0.81258730681580105</v>
      </c>
      <c r="N78" s="139">
        <v>3.6962067926064499</v>
      </c>
      <c r="O78" s="139">
        <v>-5.0328095537283003E-3</v>
      </c>
      <c r="P78" s="139">
        <v>0</v>
      </c>
      <c r="Q78" s="139">
        <v>93.427414695800394</v>
      </c>
      <c r="R78" s="139">
        <v>14.9021502000616</v>
      </c>
      <c r="S78" s="139">
        <v>0</v>
      </c>
      <c r="T78" s="139">
        <v>11.374992013382199</v>
      </c>
      <c r="U78" s="139">
        <v>0.162457411390107</v>
      </c>
      <c r="V78" s="139">
        <v>0</v>
      </c>
      <c r="W78" s="139">
        <v>0</v>
      </c>
      <c r="X78" s="139">
        <v>43.174496583006302</v>
      </c>
      <c r="Y78" s="139">
        <v>0</v>
      </c>
      <c r="Z78" s="139">
        <v>0</v>
      </c>
      <c r="AA78" s="139">
        <v>197.03148354663401</v>
      </c>
      <c r="AB78" s="139">
        <v>0</v>
      </c>
      <c r="AC78" s="139">
        <v>0</v>
      </c>
      <c r="AD78" s="139">
        <v>43.8265740015418</v>
      </c>
      <c r="AE78" s="139">
        <v>9.7312687336913103E-2</v>
      </c>
      <c r="AF78" s="139">
        <v>0.78895297972128797</v>
      </c>
      <c r="AG78" s="139">
        <v>4.7272389260089902</v>
      </c>
      <c r="AH78" s="139">
        <v>10.7133149831084</v>
      </c>
      <c r="AI78" s="139">
        <v>-17.446033945604601</v>
      </c>
      <c r="AJ78" s="139">
        <v>3.2107904599490902</v>
      </c>
      <c r="AK78" s="139">
        <v>12.9259685971489</v>
      </c>
      <c r="AL78" s="139">
        <v>0</v>
      </c>
      <c r="AM78" s="139">
        <v>297.56773551678202</v>
      </c>
      <c r="AN78" s="139">
        <v>5.16638505569827</v>
      </c>
      <c r="AO78" s="139">
        <v>4.29365373673925</v>
      </c>
      <c r="AP78" s="139">
        <v>0</v>
      </c>
      <c r="AQ78" s="139">
        <v>0</v>
      </c>
      <c r="AR78" s="140">
        <v>1.40634479459564</v>
      </c>
    </row>
    <row r="79" spans="2:44" ht="12" customHeight="1" x14ac:dyDescent="0.25">
      <c r="B79" s="138" t="s">
        <v>47</v>
      </c>
      <c r="C79" s="139" t="s">
        <v>23</v>
      </c>
      <c r="D79" s="139" t="s">
        <v>48</v>
      </c>
      <c r="E79" s="139" t="s">
        <v>49</v>
      </c>
      <c r="F79" s="139" t="s">
        <v>25</v>
      </c>
      <c r="G79" s="139" t="s">
        <v>25</v>
      </c>
      <c r="H79" s="139" t="s">
        <v>117</v>
      </c>
      <c r="I79" s="139" t="s">
        <v>25</v>
      </c>
      <c r="J79" s="139">
        <v>231.12</v>
      </c>
      <c r="K79" s="139">
        <v>174.81</v>
      </c>
      <c r="L79" s="139">
        <v>3.4122040408015</v>
      </c>
      <c r="M79" s="139">
        <v>0.446923018748691</v>
      </c>
      <c r="N79" s="139">
        <v>2.0329137359335498</v>
      </c>
      <c r="O79" s="139">
        <v>-2.7680452545505701E-3</v>
      </c>
      <c r="P79" s="139">
        <v>0</v>
      </c>
      <c r="Q79" s="139">
        <v>51.3850780826902</v>
      </c>
      <c r="R79" s="139">
        <v>8.1961826100338993</v>
      </c>
      <c r="S79" s="139">
        <v>0</v>
      </c>
      <c r="T79" s="139">
        <v>6.2562456073602197</v>
      </c>
      <c r="U79" s="139">
        <v>8.9351576264558599E-2</v>
      </c>
      <c r="V79" s="139">
        <v>0</v>
      </c>
      <c r="W79" s="139">
        <v>0</v>
      </c>
      <c r="X79" s="139">
        <v>23.745973120653499</v>
      </c>
      <c r="Y79" s="139">
        <v>0</v>
      </c>
      <c r="Z79" s="139">
        <v>0</v>
      </c>
      <c r="AA79" s="139">
        <v>108.36731595064801</v>
      </c>
      <c r="AB79" s="139">
        <v>0</v>
      </c>
      <c r="AC79" s="139">
        <v>0</v>
      </c>
      <c r="AD79" s="139">
        <v>24.104615700848001</v>
      </c>
      <c r="AE79" s="139">
        <v>5.3521978035302203E-2</v>
      </c>
      <c r="AF79" s="139">
        <v>0.433924138846709</v>
      </c>
      <c r="AG79" s="139">
        <v>2.5999814093049398</v>
      </c>
      <c r="AH79" s="139">
        <v>5.8923232407096497</v>
      </c>
      <c r="AI79" s="139">
        <v>-9.5953186700825199</v>
      </c>
      <c r="AJ79" s="139">
        <v>1.765934752972</v>
      </c>
      <c r="AK79" s="139">
        <v>7.1092827284319204</v>
      </c>
      <c r="AL79" s="139">
        <v>0</v>
      </c>
      <c r="AM79" s="139">
        <v>163.66225453422999</v>
      </c>
      <c r="AN79" s="139">
        <v>2.84151178063405</v>
      </c>
      <c r="AO79" s="139">
        <v>2.3615095552065899</v>
      </c>
      <c r="AP79" s="139">
        <v>0</v>
      </c>
      <c r="AQ79" s="139">
        <v>0</v>
      </c>
      <c r="AR79" s="140">
        <v>0.77348963702760198</v>
      </c>
    </row>
    <row r="80" spans="2:44" ht="12" customHeight="1" x14ac:dyDescent="0.25">
      <c r="B80" s="141" t="s">
        <v>47</v>
      </c>
      <c r="C80" s="142" t="s">
        <v>23</v>
      </c>
      <c r="D80" s="142" t="s">
        <v>48</v>
      </c>
      <c r="E80" s="142" t="s">
        <v>50</v>
      </c>
      <c r="F80" s="142" t="s">
        <v>25</v>
      </c>
      <c r="G80" s="142" t="s">
        <v>25</v>
      </c>
      <c r="H80" s="142" t="s">
        <v>117</v>
      </c>
      <c r="I80" s="142" t="s">
        <v>25</v>
      </c>
      <c r="J80" s="142">
        <v>252.13</v>
      </c>
      <c r="K80" s="142">
        <v>190.7</v>
      </c>
      <c r="L80" s="142">
        <v>3.7224044081470899</v>
      </c>
      <c r="M80" s="142">
        <v>0.48755238408948098</v>
      </c>
      <c r="N80" s="142">
        <v>2.2177240755638699</v>
      </c>
      <c r="O80" s="142">
        <v>-3.0196857322369801E-3</v>
      </c>
      <c r="P80" s="142">
        <v>0</v>
      </c>
      <c r="Q80" s="142">
        <v>56.056448817480202</v>
      </c>
      <c r="R80" s="142">
        <v>8.9412901200369799</v>
      </c>
      <c r="S80" s="142">
        <v>0</v>
      </c>
      <c r="T80" s="142">
        <v>6.8249952080293301</v>
      </c>
      <c r="U80" s="142">
        <v>9.7474446834063894E-2</v>
      </c>
      <c r="V80" s="142">
        <v>0</v>
      </c>
      <c r="W80" s="142">
        <v>0</v>
      </c>
      <c r="X80" s="142">
        <v>25.904697949803801</v>
      </c>
      <c r="Y80" s="142">
        <v>0</v>
      </c>
      <c r="Z80" s="142">
        <v>0</v>
      </c>
      <c r="AA80" s="142">
        <v>118.21889012798</v>
      </c>
      <c r="AB80" s="142">
        <v>0</v>
      </c>
      <c r="AC80" s="142">
        <v>0</v>
      </c>
      <c r="AD80" s="142">
        <v>26.295944400925102</v>
      </c>
      <c r="AE80" s="142">
        <v>5.8387612402147897E-2</v>
      </c>
      <c r="AF80" s="142">
        <v>0.47337178783277301</v>
      </c>
      <c r="AG80" s="142">
        <v>2.8363433556053899</v>
      </c>
      <c r="AH80" s="142">
        <v>6.4279889898650699</v>
      </c>
      <c r="AI80" s="142">
        <v>-10.4676203673628</v>
      </c>
      <c r="AJ80" s="142">
        <v>1.92647427596945</v>
      </c>
      <c r="AK80" s="142">
        <v>7.7555811582893703</v>
      </c>
      <c r="AL80" s="142">
        <v>0</v>
      </c>
      <c r="AM80" s="142">
        <v>178.54064131006899</v>
      </c>
      <c r="AN80" s="142">
        <v>3.09983103341896</v>
      </c>
      <c r="AO80" s="142">
        <v>2.5761922420435499</v>
      </c>
      <c r="AP80" s="142">
        <v>0</v>
      </c>
      <c r="AQ80" s="142">
        <v>0</v>
      </c>
      <c r="AR80" s="143">
        <v>0.84380687675738397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5226-6AA2-4ACB-BB5D-EE7081D5CC61}">
  <dimension ref="B1:AR80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31.8554687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44" t="s">
        <v>1700</v>
      </c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5"/>
      <c r="AH1" s="144" t="s">
        <v>1701</v>
      </c>
      <c r="AI1" s="144"/>
      <c r="AJ1" s="144"/>
      <c r="AK1" s="144"/>
      <c r="AL1" s="144"/>
      <c r="AM1" s="144"/>
      <c r="AN1" s="144"/>
      <c r="AO1" s="144"/>
      <c r="AP1" s="144"/>
      <c r="AQ1" s="144"/>
      <c r="AR1" s="144"/>
    </row>
    <row r="2" spans="2:44" ht="12" customHeight="1" x14ac:dyDescent="0.25">
      <c r="L2" s="146" t="s">
        <v>952</v>
      </c>
      <c r="M2" s="146"/>
      <c r="N2" s="146"/>
      <c r="O2" s="146"/>
      <c r="P2" s="146"/>
      <c r="Q2" s="146"/>
      <c r="R2" s="146"/>
      <c r="S2" s="147"/>
      <c r="T2" s="146" t="s">
        <v>961</v>
      </c>
      <c r="U2" s="146"/>
      <c r="V2" s="146"/>
      <c r="W2" s="146"/>
      <c r="X2" s="146"/>
      <c r="Y2" s="146"/>
      <c r="Z2" s="147"/>
      <c r="AA2" s="148" t="s">
        <v>969</v>
      </c>
      <c r="AB2" s="146" t="s">
        <v>25</v>
      </c>
      <c r="AC2" s="147"/>
      <c r="AD2" s="146" t="s">
        <v>1699</v>
      </c>
      <c r="AE2" s="146"/>
      <c r="AF2" s="146"/>
      <c r="AG2" s="147"/>
      <c r="AH2" s="146" t="s">
        <v>952</v>
      </c>
      <c r="AI2" s="146"/>
      <c r="AJ2" s="146"/>
      <c r="AK2" s="146"/>
      <c r="AL2" s="147"/>
      <c r="AM2" s="148" t="s">
        <v>982</v>
      </c>
      <c r="AN2" s="146" t="s">
        <v>961</v>
      </c>
      <c r="AO2" s="146"/>
      <c r="AP2" s="146"/>
      <c r="AQ2" s="147"/>
      <c r="AR2" s="149" t="s">
        <v>1699</v>
      </c>
    </row>
    <row r="3" spans="2:44" ht="12" customHeight="1" x14ac:dyDescent="0.25">
      <c r="B3" s="135" t="s">
        <v>107</v>
      </c>
      <c r="C3" s="136" t="s">
        <v>108</v>
      </c>
      <c r="D3" s="136" t="s">
        <v>109</v>
      </c>
      <c r="E3" s="136" t="s">
        <v>110</v>
      </c>
      <c r="F3" s="136" t="s">
        <v>111</v>
      </c>
      <c r="G3" s="136" t="s">
        <v>113</v>
      </c>
      <c r="H3" s="136" t="s">
        <v>114</v>
      </c>
      <c r="I3" s="136" t="s">
        <v>1194</v>
      </c>
      <c r="J3" s="136" t="s">
        <v>1663</v>
      </c>
      <c r="K3" s="136" t="s">
        <v>1664</v>
      </c>
      <c r="L3" s="136" t="s">
        <v>1665</v>
      </c>
      <c r="M3" s="136" t="s">
        <v>1666</v>
      </c>
      <c r="N3" s="136" t="s">
        <v>1667</v>
      </c>
      <c r="O3" s="136" t="s">
        <v>1668</v>
      </c>
      <c r="P3" s="136" t="s">
        <v>1669</v>
      </c>
      <c r="Q3" s="136" t="s">
        <v>1670</v>
      </c>
      <c r="R3" s="136" t="s">
        <v>1671</v>
      </c>
      <c r="S3" s="136" t="s">
        <v>1672</v>
      </c>
      <c r="T3" s="136" t="s">
        <v>1673</v>
      </c>
      <c r="U3" s="136" t="s">
        <v>1674</v>
      </c>
      <c r="V3" s="136" t="s">
        <v>1675</v>
      </c>
      <c r="W3" s="136" t="s">
        <v>1676</v>
      </c>
      <c r="X3" s="136" t="s">
        <v>1677</v>
      </c>
      <c r="Y3" s="136" t="s">
        <v>1678</v>
      </c>
      <c r="Z3" s="136" t="s">
        <v>1679</v>
      </c>
      <c r="AA3" s="136" t="s">
        <v>1680</v>
      </c>
      <c r="AB3" s="136" t="s">
        <v>1681</v>
      </c>
      <c r="AC3" s="136" t="s">
        <v>1682</v>
      </c>
      <c r="AD3" s="136" t="s">
        <v>1683</v>
      </c>
      <c r="AE3" s="136" t="s">
        <v>1684</v>
      </c>
      <c r="AF3" s="136" t="s">
        <v>1685</v>
      </c>
      <c r="AG3" s="136" t="s">
        <v>1686</v>
      </c>
      <c r="AH3" s="136" t="s">
        <v>1687</v>
      </c>
      <c r="AI3" s="136" t="s">
        <v>1688</v>
      </c>
      <c r="AJ3" s="136" t="s">
        <v>1689</v>
      </c>
      <c r="AK3" s="136" t="s">
        <v>1690</v>
      </c>
      <c r="AL3" s="136" t="s">
        <v>1691</v>
      </c>
      <c r="AM3" s="136" t="s">
        <v>1692</v>
      </c>
      <c r="AN3" s="136" t="s">
        <v>1693</v>
      </c>
      <c r="AO3" s="136" t="s">
        <v>1694</v>
      </c>
      <c r="AP3" s="136" t="s">
        <v>1695</v>
      </c>
      <c r="AQ3" s="136" t="s">
        <v>1696</v>
      </c>
      <c r="AR3" s="137" t="s">
        <v>1697</v>
      </c>
    </row>
    <row r="4" spans="2:44" ht="12" customHeight="1" x14ac:dyDescent="0.25">
      <c r="B4" s="138" t="s">
        <v>59</v>
      </c>
      <c r="C4" s="139" t="s">
        <v>40</v>
      </c>
      <c r="D4" s="139" t="s">
        <v>25</v>
      </c>
      <c r="E4" s="139" t="s">
        <v>25</v>
      </c>
      <c r="F4" s="139" t="s">
        <v>61</v>
      </c>
      <c r="G4" s="139" t="s">
        <v>34</v>
      </c>
      <c r="H4" s="139" t="s">
        <v>117</v>
      </c>
      <c r="I4" s="139" t="s">
        <v>25</v>
      </c>
      <c r="J4" s="139">
        <v>0.61</v>
      </c>
      <c r="K4" s="139">
        <v>0</v>
      </c>
      <c r="L4" s="139">
        <v>0</v>
      </c>
      <c r="M4" s="139">
        <v>0</v>
      </c>
      <c r="N4" s="139">
        <v>0</v>
      </c>
      <c r="O4" s="139">
        <v>0</v>
      </c>
      <c r="P4" s="139">
        <v>0</v>
      </c>
      <c r="Q4" s="139">
        <v>0</v>
      </c>
      <c r="R4" s="139">
        <v>0</v>
      </c>
      <c r="S4" s="139">
        <v>0</v>
      </c>
      <c r="T4" s="139">
        <v>0</v>
      </c>
      <c r="U4" s="139">
        <v>0</v>
      </c>
      <c r="V4" s="139">
        <v>0</v>
      </c>
      <c r="W4" s="139">
        <v>0</v>
      </c>
      <c r="X4" s="139">
        <v>0</v>
      </c>
      <c r="Y4" s="139">
        <v>0</v>
      </c>
      <c r="Z4" s="139">
        <v>0</v>
      </c>
      <c r="AA4" s="139">
        <v>0</v>
      </c>
      <c r="AB4" s="139">
        <v>0</v>
      </c>
      <c r="AC4" s="139">
        <v>0</v>
      </c>
      <c r="AD4" s="139">
        <v>0.58268873290310896</v>
      </c>
      <c r="AE4" s="139">
        <v>1.29380422201716E-3</v>
      </c>
      <c r="AF4" s="139">
        <v>2.2430203583185E-2</v>
      </c>
      <c r="AG4" s="139">
        <v>0</v>
      </c>
      <c r="AH4" s="139">
        <v>0</v>
      </c>
      <c r="AI4" s="139">
        <v>0</v>
      </c>
      <c r="AJ4" s="139">
        <v>0</v>
      </c>
      <c r="AK4" s="139">
        <v>0</v>
      </c>
      <c r="AL4" s="139">
        <v>0</v>
      </c>
      <c r="AM4" s="139">
        <v>0</v>
      </c>
      <c r="AN4" s="139">
        <v>0</v>
      </c>
      <c r="AO4" s="139">
        <v>0</v>
      </c>
      <c r="AP4" s="139">
        <v>0</v>
      </c>
      <c r="AQ4" s="139">
        <v>0</v>
      </c>
      <c r="AR4" s="140">
        <v>0</v>
      </c>
    </row>
    <row r="5" spans="2:44" ht="12" customHeight="1" x14ac:dyDescent="0.25">
      <c r="B5" s="138" t="s">
        <v>59</v>
      </c>
      <c r="C5" s="139" t="s">
        <v>40</v>
      </c>
      <c r="D5" s="139" t="s">
        <v>25</v>
      </c>
      <c r="E5" s="139" t="s">
        <v>25</v>
      </c>
      <c r="F5" s="139" t="s">
        <v>61</v>
      </c>
      <c r="G5" s="139" t="s">
        <v>34</v>
      </c>
      <c r="H5" s="139" t="s">
        <v>120</v>
      </c>
      <c r="I5" s="139" t="s">
        <v>25</v>
      </c>
      <c r="J5" s="139">
        <v>0.15</v>
      </c>
      <c r="K5" s="139">
        <v>0</v>
      </c>
      <c r="L5" s="139">
        <v>0</v>
      </c>
      <c r="M5" s="139">
        <v>0</v>
      </c>
      <c r="N5" s="139">
        <v>0</v>
      </c>
      <c r="O5" s="139">
        <v>0</v>
      </c>
      <c r="P5" s="139">
        <v>0</v>
      </c>
      <c r="Q5" s="139">
        <v>0</v>
      </c>
      <c r="R5" s="139">
        <v>0</v>
      </c>
      <c r="S5" s="139">
        <v>0</v>
      </c>
      <c r="T5" s="139">
        <v>0.149770934546856</v>
      </c>
      <c r="U5" s="139">
        <v>2.1530348620551901E-3</v>
      </c>
      <c r="V5" s="139">
        <v>0</v>
      </c>
      <c r="W5" s="139">
        <v>0</v>
      </c>
      <c r="X5" s="139">
        <v>0</v>
      </c>
      <c r="Y5" s="139">
        <v>0</v>
      </c>
      <c r="Z5" s="139">
        <v>0</v>
      </c>
      <c r="AA5" s="139">
        <v>0</v>
      </c>
      <c r="AB5" s="139">
        <v>0</v>
      </c>
      <c r="AC5" s="139">
        <v>0</v>
      </c>
      <c r="AD5" s="139">
        <v>0</v>
      </c>
      <c r="AE5" s="139">
        <v>0</v>
      </c>
      <c r="AF5" s="139">
        <v>0</v>
      </c>
      <c r="AG5" s="139">
        <v>0</v>
      </c>
      <c r="AH5" s="139">
        <v>0</v>
      </c>
      <c r="AI5" s="139">
        <v>0</v>
      </c>
      <c r="AJ5" s="139">
        <v>0</v>
      </c>
      <c r="AK5" s="139">
        <v>0</v>
      </c>
      <c r="AL5" s="139">
        <v>0</v>
      </c>
      <c r="AM5" s="139">
        <v>0</v>
      </c>
      <c r="AN5" s="139">
        <v>0</v>
      </c>
      <c r="AO5" s="139">
        <v>0</v>
      </c>
      <c r="AP5" s="139">
        <v>0</v>
      </c>
      <c r="AQ5" s="139">
        <v>0</v>
      </c>
      <c r="AR5" s="140">
        <v>0</v>
      </c>
    </row>
    <row r="6" spans="2:44" ht="12" customHeight="1" x14ac:dyDescent="0.25">
      <c r="B6" s="138" t="s">
        <v>59</v>
      </c>
      <c r="C6" s="139" t="s">
        <v>40</v>
      </c>
      <c r="D6" s="139" t="s">
        <v>25</v>
      </c>
      <c r="E6" s="139" t="s">
        <v>25</v>
      </c>
      <c r="F6" s="139" t="s">
        <v>61</v>
      </c>
      <c r="G6" s="139" t="s">
        <v>35</v>
      </c>
      <c r="H6" s="139" t="s">
        <v>117</v>
      </c>
      <c r="I6" s="139" t="s">
        <v>25</v>
      </c>
      <c r="J6" s="139">
        <v>0.61</v>
      </c>
      <c r="K6" s="139">
        <v>0</v>
      </c>
      <c r="L6" s="139">
        <v>0</v>
      </c>
      <c r="M6" s="139">
        <v>0</v>
      </c>
      <c r="N6" s="139">
        <v>0</v>
      </c>
      <c r="O6" s="139">
        <v>0</v>
      </c>
      <c r="P6" s="139">
        <v>0</v>
      </c>
      <c r="Q6" s="139">
        <v>0</v>
      </c>
      <c r="R6" s="139">
        <v>0</v>
      </c>
      <c r="S6" s="139">
        <v>0</v>
      </c>
      <c r="T6" s="139">
        <v>0</v>
      </c>
      <c r="U6" s="139">
        <v>0</v>
      </c>
      <c r="V6" s="139">
        <v>0</v>
      </c>
      <c r="W6" s="139">
        <v>0</v>
      </c>
      <c r="X6" s="139">
        <v>0</v>
      </c>
      <c r="Y6" s="139">
        <v>0</v>
      </c>
      <c r="Z6" s="139">
        <v>0</v>
      </c>
      <c r="AA6" s="139">
        <v>0</v>
      </c>
      <c r="AB6" s="139">
        <v>0</v>
      </c>
      <c r="AC6" s="139">
        <v>0</v>
      </c>
      <c r="AD6" s="139">
        <v>0.58268873290310896</v>
      </c>
      <c r="AE6" s="139">
        <v>1.29380422201716E-3</v>
      </c>
      <c r="AF6" s="139">
        <v>2.2430203583185E-2</v>
      </c>
      <c r="AG6" s="139">
        <v>0</v>
      </c>
      <c r="AH6" s="139">
        <v>0</v>
      </c>
      <c r="AI6" s="139">
        <v>0</v>
      </c>
      <c r="AJ6" s="139">
        <v>0</v>
      </c>
      <c r="AK6" s="139">
        <v>0</v>
      </c>
      <c r="AL6" s="139">
        <v>0</v>
      </c>
      <c r="AM6" s="139">
        <v>0</v>
      </c>
      <c r="AN6" s="139">
        <v>0</v>
      </c>
      <c r="AO6" s="139">
        <v>0</v>
      </c>
      <c r="AP6" s="139">
        <v>0</v>
      </c>
      <c r="AQ6" s="139">
        <v>0</v>
      </c>
      <c r="AR6" s="140">
        <v>0</v>
      </c>
    </row>
    <row r="7" spans="2:44" ht="12" customHeight="1" x14ac:dyDescent="0.25">
      <c r="B7" s="138" t="s">
        <v>59</v>
      </c>
      <c r="C7" s="139" t="s">
        <v>40</v>
      </c>
      <c r="D7" s="139" t="s">
        <v>25</v>
      </c>
      <c r="E7" s="139" t="s">
        <v>25</v>
      </c>
      <c r="F7" s="139" t="s">
        <v>61</v>
      </c>
      <c r="G7" s="139" t="s">
        <v>35</v>
      </c>
      <c r="H7" s="139" t="s">
        <v>120</v>
      </c>
      <c r="I7" s="139" t="s">
        <v>25</v>
      </c>
      <c r="J7" s="139">
        <v>0.04</v>
      </c>
      <c r="K7" s="139">
        <v>0</v>
      </c>
      <c r="L7" s="139">
        <v>0</v>
      </c>
      <c r="M7" s="139">
        <v>0</v>
      </c>
      <c r="N7" s="139">
        <v>0</v>
      </c>
      <c r="O7" s="139">
        <v>0</v>
      </c>
      <c r="P7" s="139">
        <v>0</v>
      </c>
      <c r="Q7" s="139">
        <v>0</v>
      </c>
      <c r="R7" s="139">
        <v>0</v>
      </c>
      <c r="S7" s="139">
        <v>0</v>
      </c>
      <c r="T7" s="139">
        <v>4.3887441704646597E-2</v>
      </c>
      <c r="U7" s="139">
        <v>6.4103834819898898E-4</v>
      </c>
      <c r="V7" s="139">
        <v>0</v>
      </c>
      <c r="W7" s="139">
        <v>0</v>
      </c>
      <c r="X7" s="139">
        <v>0</v>
      </c>
      <c r="Y7" s="139">
        <v>0</v>
      </c>
      <c r="Z7" s="139">
        <v>0</v>
      </c>
      <c r="AA7" s="139">
        <v>0</v>
      </c>
      <c r="AB7" s="139">
        <v>0</v>
      </c>
      <c r="AC7" s="139">
        <v>0</v>
      </c>
      <c r="AD7" s="139">
        <v>0</v>
      </c>
      <c r="AE7" s="139">
        <v>0</v>
      </c>
      <c r="AF7" s="139">
        <v>0</v>
      </c>
      <c r="AG7" s="139">
        <v>0</v>
      </c>
      <c r="AH7" s="139">
        <v>0</v>
      </c>
      <c r="AI7" s="139">
        <v>0</v>
      </c>
      <c r="AJ7" s="139">
        <v>0</v>
      </c>
      <c r="AK7" s="139">
        <v>0</v>
      </c>
      <c r="AL7" s="139">
        <v>0</v>
      </c>
      <c r="AM7" s="139">
        <v>0</v>
      </c>
      <c r="AN7" s="139">
        <v>0</v>
      </c>
      <c r="AO7" s="139">
        <v>0</v>
      </c>
      <c r="AP7" s="139">
        <v>0</v>
      </c>
      <c r="AQ7" s="139">
        <v>0</v>
      </c>
      <c r="AR7" s="140">
        <v>0</v>
      </c>
    </row>
    <row r="8" spans="2:44" ht="12" customHeight="1" x14ac:dyDescent="0.25">
      <c r="B8" s="138" t="s">
        <v>59</v>
      </c>
      <c r="C8" s="139" t="s">
        <v>40</v>
      </c>
      <c r="D8" s="139" t="s">
        <v>25</v>
      </c>
      <c r="E8" s="139" t="s">
        <v>25</v>
      </c>
      <c r="F8" s="139" t="s">
        <v>25</v>
      </c>
      <c r="G8" s="139" t="s">
        <v>34</v>
      </c>
      <c r="H8" s="139" t="s">
        <v>117</v>
      </c>
      <c r="I8" s="139" t="s">
        <v>25</v>
      </c>
      <c r="J8" s="139">
        <v>10.72</v>
      </c>
      <c r="K8" s="139">
        <v>46.7</v>
      </c>
      <c r="L8" s="139">
        <v>0.258253279138417</v>
      </c>
      <c r="M8" s="139">
        <v>0</v>
      </c>
      <c r="N8" s="139">
        <v>0</v>
      </c>
      <c r="O8" s="139">
        <v>0</v>
      </c>
      <c r="P8" s="139">
        <v>0</v>
      </c>
      <c r="Q8" s="139">
        <v>6.9880964680560904</v>
      </c>
      <c r="R8" s="139">
        <v>2.87089314329496</v>
      </c>
      <c r="S8" s="139">
        <v>0</v>
      </c>
      <c r="T8" s="139">
        <v>0</v>
      </c>
      <c r="U8" s="139">
        <v>0</v>
      </c>
      <c r="V8" s="139">
        <v>0</v>
      </c>
      <c r="W8" s="139">
        <v>0</v>
      </c>
      <c r="X8" s="139">
        <v>0</v>
      </c>
      <c r="Y8" s="139">
        <v>0</v>
      </c>
      <c r="Z8" s="139">
        <v>0</v>
      </c>
      <c r="AA8" s="139">
        <v>0</v>
      </c>
      <c r="AB8" s="139">
        <v>0</v>
      </c>
      <c r="AC8" s="139">
        <v>0</v>
      </c>
      <c r="AD8" s="139">
        <v>0.58268873290310896</v>
      </c>
      <c r="AE8" s="139">
        <v>1.29380422201716E-3</v>
      </c>
      <c r="AF8" s="139">
        <v>2.2430203583185E-2</v>
      </c>
      <c r="AG8" s="139">
        <v>0</v>
      </c>
      <c r="AH8" s="139">
        <v>0.71929282055029997</v>
      </c>
      <c r="AI8" s="139">
        <v>0</v>
      </c>
      <c r="AJ8" s="139">
        <v>0</v>
      </c>
      <c r="AK8" s="139">
        <v>13.9164520059848</v>
      </c>
      <c r="AL8" s="139">
        <v>0</v>
      </c>
      <c r="AM8" s="139">
        <v>32.072073279286698</v>
      </c>
      <c r="AN8" s="139">
        <v>-0.33755695463303098</v>
      </c>
      <c r="AO8" s="139">
        <v>0.23893302339418901</v>
      </c>
      <c r="AP8" s="139">
        <v>0</v>
      </c>
      <c r="AQ8" s="139">
        <v>0</v>
      </c>
      <c r="AR8" s="140">
        <v>9.3413667654986099E-2</v>
      </c>
    </row>
    <row r="9" spans="2:44" ht="12" customHeight="1" x14ac:dyDescent="0.25">
      <c r="B9" s="138" t="s">
        <v>59</v>
      </c>
      <c r="C9" s="139" t="s">
        <v>40</v>
      </c>
      <c r="D9" s="139" t="s">
        <v>25</v>
      </c>
      <c r="E9" s="139" t="s">
        <v>25</v>
      </c>
      <c r="F9" s="139" t="s">
        <v>25</v>
      </c>
      <c r="G9" s="139" t="s">
        <v>34</v>
      </c>
      <c r="H9" s="139" t="s">
        <v>120</v>
      </c>
      <c r="I9" s="139" t="s">
        <v>25</v>
      </c>
      <c r="J9" s="139">
        <v>0.15</v>
      </c>
      <c r="K9" s="139">
        <v>0</v>
      </c>
      <c r="L9" s="139">
        <v>0</v>
      </c>
      <c r="M9" s="139">
        <v>0</v>
      </c>
      <c r="N9" s="139">
        <v>0</v>
      </c>
      <c r="O9" s="139">
        <v>0</v>
      </c>
      <c r="P9" s="139">
        <v>0</v>
      </c>
      <c r="Q9" s="139">
        <v>0</v>
      </c>
      <c r="R9" s="139">
        <v>0</v>
      </c>
      <c r="S9" s="139">
        <v>0</v>
      </c>
      <c r="T9" s="139">
        <v>0.149770934546856</v>
      </c>
      <c r="U9" s="139">
        <v>2.1530348620551901E-3</v>
      </c>
      <c r="V9" s="139">
        <v>0</v>
      </c>
      <c r="W9" s="139">
        <v>0</v>
      </c>
      <c r="X9" s="139">
        <v>0</v>
      </c>
      <c r="Y9" s="139">
        <v>0</v>
      </c>
      <c r="Z9" s="139">
        <v>0</v>
      </c>
      <c r="AA9" s="139">
        <v>0</v>
      </c>
      <c r="AB9" s="139">
        <v>0</v>
      </c>
      <c r="AC9" s="139">
        <v>0</v>
      </c>
      <c r="AD9" s="139">
        <v>0</v>
      </c>
      <c r="AE9" s="139">
        <v>0</v>
      </c>
      <c r="AF9" s="139">
        <v>0</v>
      </c>
      <c r="AG9" s="139">
        <v>0</v>
      </c>
      <c r="AH9" s="139">
        <v>0</v>
      </c>
      <c r="AI9" s="139">
        <v>0</v>
      </c>
      <c r="AJ9" s="139">
        <v>0</v>
      </c>
      <c r="AK9" s="139">
        <v>0</v>
      </c>
      <c r="AL9" s="139">
        <v>0</v>
      </c>
      <c r="AM9" s="139">
        <v>0</v>
      </c>
      <c r="AN9" s="139">
        <v>0</v>
      </c>
      <c r="AO9" s="139">
        <v>0</v>
      </c>
      <c r="AP9" s="139">
        <v>0</v>
      </c>
      <c r="AQ9" s="139">
        <v>0</v>
      </c>
      <c r="AR9" s="140">
        <v>0</v>
      </c>
    </row>
    <row r="10" spans="2:44" ht="12" customHeight="1" x14ac:dyDescent="0.25">
      <c r="B10" s="138" t="s">
        <v>59</v>
      </c>
      <c r="C10" s="139" t="s">
        <v>40</v>
      </c>
      <c r="D10" s="139" t="s">
        <v>25</v>
      </c>
      <c r="E10" s="139" t="s">
        <v>25</v>
      </c>
      <c r="F10" s="139" t="s">
        <v>25</v>
      </c>
      <c r="G10" s="139" t="s">
        <v>35</v>
      </c>
      <c r="H10" s="139" t="s">
        <v>117</v>
      </c>
      <c r="I10" s="139" t="s">
        <v>25</v>
      </c>
      <c r="J10" s="139">
        <v>10.72</v>
      </c>
      <c r="K10" s="139">
        <v>33.28</v>
      </c>
      <c r="L10" s="139">
        <v>0.258253279138417</v>
      </c>
      <c r="M10" s="139">
        <v>0</v>
      </c>
      <c r="N10" s="139">
        <v>0</v>
      </c>
      <c r="O10" s="139">
        <v>0</v>
      </c>
      <c r="P10" s="139">
        <v>0</v>
      </c>
      <c r="Q10" s="139">
        <v>6.9880964680560904</v>
      </c>
      <c r="R10" s="139">
        <v>2.87089314329496</v>
      </c>
      <c r="S10" s="139">
        <v>0</v>
      </c>
      <c r="T10" s="139">
        <v>0</v>
      </c>
      <c r="U10" s="139">
        <v>0</v>
      </c>
      <c r="V10" s="139">
        <v>0</v>
      </c>
      <c r="W10" s="139">
        <v>0</v>
      </c>
      <c r="X10" s="139">
        <v>0</v>
      </c>
      <c r="Y10" s="139">
        <v>0</v>
      </c>
      <c r="Z10" s="139">
        <v>0</v>
      </c>
      <c r="AA10" s="139">
        <v>0</v>
      </c>
      <c r="AB10" s="139">
        <v>0</v>
      </c>
      <c r="AC10" s="139">
        <v>0</v>
      </c>
      <c r="AD10" s="139">
        <v>0.58268873290310896</v>
      </c>
      <c r="AE10" s="139">
        <v>1.29380422201716E-3</v>
      </c>
      <c r="AF10" s="139">
        <v>2.2430203583185E-2</v>
      </c>
      <c r="AG10" s="139">
        <v>0</v>
      </c>
      <c r="AH10" s="139">
        <v>0.71929282055029997</v>
      </c>
      <c r="AI10" s="139">
        <v>0</v>
      </c>
      <c r="AJ10" s="139">
        <v>0</v>
      </c>
      <c r="AK10" s="139">
        <v>13.9164520059848</v>
      </c>
      <c r="AL10" s="139">
        <v>0</v>
      </c>
      <c r="AM10" s="139">
        <v>18.646554232143401</v>
      </c>
      <c r="AN10" s="139">
        <v>-0.33755695463303098</v>
      </c>
      <c r="AO10" s="139">
        <v>0.23893302339418901</v>
      </c>
      <c r="AP10" s="139">
        <v>0</v>
      </c>
      <c r="AQ10" s="139">
        <v>0</v>
      </c>
      <c r="AR10" s="140">
        <v>9.3413667654986099E-2</v>
      </c>
    </row>
    <row r="11" spans="2:44" ht="12" customHeight="1" x14ac:dyDescent="0.25">
      <c r="B11" s="138" t="s">
        <v>59</v>
      </c>
      <c r="C11" s="139" t="s">
        <v>40</v>
      </c>
      <c r="D11" s="139" t="s">
        <v>25</v>
      </c>
      <c r="E11" s="139" t="s">
        <v>25</v>
      </c>
      <c r="F11" s="139" t="s">
        <v>25</v>
      </c>
      <c r="G11" s="139" t="s">
        <v>35</v>
      </c>
      <c r="H11" s="139" t="s">
        <v>120</v>
      </c>
      <c r="I11" s="139" t="s">
        <v>25</v>
      </c>
      <c r="J11" s="139">
        <v>0.04</v>
      </c>
      <c r="K11" s="139">
        <v>0</v>
      </c>
      <c r="L11" s="139">
        <v>0</v>
      </c>
      <c r="M11" s="139">
        <v>0</v>
      </c>
      <c r="N11" s="139">
        <v>0</v>
      </c>
      <c r="O11" s="139">
        <v>0</v>
      </c>
      <c r="P11" s="139">
        <v>0</v>
      </c>
      <c r="Q11" s="139">
        <v>0</v>
      </c>
      <c r="R11" s="139">
        <v>0</v>
      </c>
      <c r="S11" s="139">
        <v>0</v>
      </c>
      <c r="T11" s="139">
        <v>4.3887441704646597E-2</v>
      </c>
      <c r="U11" s="139">
        <v>6.4103834819898898E-4</v>
      </c>
      <c r="V11" s="139">
        <v>0</v>
      </c>
      <c r="W11" s="139">
        <v>0</v>
      </c>
      <c r="X11" s="139">
        <v>0</v>
      </c>
      <c r="Y11" s="139">
        <v>0</v>
      </c>
      <c r="Z11" s="139">
        <v>0</v>
      </c>
      <c r="AA11" s="139">
        <v>0</v>
      </c>
      <c r="AB11" s="139">
        <v>0</v>
      </c>
      <c r="AC11" s="139">
        <v>0</v>
      </c>
      <c r="AD11" s="139">
        <v>0</v>
      </c>
      <c r="AE11" s="139">
        <v>0</v>
      </c>
      <c r="AF11" s="139">
        <v>0</v>
      </c>
      <c r="AG11" s="139">
        <v>0</v>
      </c>
      <c r="AH11" s="139">
        <v>0</v>
      </c>
      <c r="AI11" s="139">
        <v>0</v>
      </c>
      <c r="AJ11" s="139">
        <v>0</v>
      </c>
      <c r="AK11" s="139">
        <v>0</v>
      </c>
      <c r="AL11" s="139">
        <v>0</v>
      </c>
      <c r="AM11" s="139">
        <v>0</v>
      </c>
      <c r="AN11" s="139">
        <v>0</v>
      </c>
      <c r="AO11" s="139">
        <v>0</v>
      </c>
      <c r="AP11" s="139">
        <v>0</v>
      </c>
      <c r="AQ11" s="139">
        <v>0</v>
      </c>
      <c r="AR11" s="140">
        <v>0</v>
      </c>
    </row>
    <row r="12" spans="2:44" ht="12" customHeight="1" x14ac:dyDescent="0.25">
      <c r="B12" s="138" t="s">
        <v>59</v>
      </c>
      <c r="C12" s="139" t="s">
        <v>64</v>
      </c>
      <c r="D12" s="139" t="s">
        <v>25</v>
      </c>
      <c r="E12" s="139" t="s">
        <v>25</v>
      </c>
      <c r="F12" s="139" t="s">
        <v>25</v>
      </c>
      <c r="G12" s="139" t="s">
        <v>25</v>
      </c>
      <c r="H12" s="139" t="s">
        <v>120</v>
      </c>
      <c r="I12" s="139" t="s">
        <v>124</v>
      </c>
      <c r="J12" s="139">
        <v>0.05</v>
      </c>
      <c r="K12" s="139">
        <v>0</v>
      </c>
      <c r="L12" s="139">
        <v>0</v>
      </c>
      <c r="M12" s="139">
        <v>0</v>
      </c>
      <c r="N12" s="139">
        <v>0</v>
      </c>
      <c r="O12" s="139">
        <v>0</v>
      </c>
      <c r="P12" s="139">
        <v>0</v>
      </c>
      <c r="Q12" s="139">
        <v>0</v>
      </c>
      <c r="R12" s="139">
        <v>0</v>
      </c>
      <c r="S12" s="139">
        <v>0</v>
      </c>
      <c r="T12" s="139">
        <v>0</v>
      </c>
      <c r="U12" s="139">
        <v>5.0879851262289902E-2</v>
      </c>
      <c r="V12" s="139">
        <v>0</v>
      </c>
      <c r="W12" s="139">
        <v>0</v>
      </c>
      <c r="X12" s="139">
        <v>0</v>
      </c>
      <c r="Y12" s="139">
        <v>0</v>
      </c>
      <c r="Z12" s="139">
        <v>0</v>
      </c>
      <c r="AA12" s="139">
        <v>0</v>
      </c>
      <c r="AB12" s="139">
        <v>0</v>
      </c>
      <c r="AC12" s="139">
        <v>0</v>
      </c>
      <c r="AD12" s="139">
        <v>0</v>
      </c>
      <c r="AE12" s="139">
        <v>0</v>
      </c>
      <c r="AF12" s="139">
        <v>0</v>
      </c>
      <c r="AG12" s="139">
        <v>0</v>
      </c>
      <c r="AH12" s="139">
        <v>0</v>
      </c>
      <c r="AI12" s="139">
        <v>0</v>
      </c>
      <c r="AJ12" s="139">
        <v>0</v>
      </c>
      <c r="AK12" s="139">
        <v>0</v>
      </c>
      <c r="AL12" s="139">
        <v>0</v>
      </c>
      <c r="AM12" s="139">
        <v>0</v>
      </c>
      <c r="AN12" s="139">
        <v>0</v>
      </c>
      <c r="AO12" s="139">
        <v>0</v>
      </c>
      <c r="AP12" s="139">
        <v>0</v>
      </c>
      <c r="AQ12" s="139">
        <v>0</v>
      </c>
      <c r="AR12" s="140">
        <v>0</v>
      </c>
    </row>
    <row r="13" spans="2:44" ht="12" customHeight="1" x14ac:dyDescent="0.25">
      <c r="B13" s="138" t="s">
        <v>59</v>
      </c>
      <c r="C13" s="139" t="s">
        <v>64</v>
      </c>
      <c r="D13" s="139" t="s">
        <v>25</v>
      </c>
      <c r="E13" s="139" t="s">
        <v>25</v>
      </c>
      <c r="F13" s="139" t="s">
        <v>25</v>
      </c>
      <c r="G13" s="139" t="s">
        <v>25</v>
      </c>
      <c r="H13" s="139" t="s">
        <v>120</v>
      </c>
      <c r="I13" s="139" t="s">
        <v>65</v>
      </c>
      <c r="J13" s="139">
        <v>0.11</v>
      </c>
      <c r="K13" s="139">
        <v>0</v>
      </c>
      <c r="L13" s="139">
        <v>0</v>
      </c>
      <c r="M13" s="139">
        <v>0</v>
      </c>
      <c r="N13" s="139">
        <v>0</v>
      </c>
      <c r="O13" s="139">
        <v>0</v>
      </c>
      <c r="P13" s="139">
        <v>0</v>
      </c>
      <c r="Q13" s="139">
        <v>0</v>
      </c>
      <c r="R13" s="139">
        <v>0</v>
      </c>
      <c r="S13" s="139">
        <v>0</v>
      </c>
      <c r="T13" s="139">
        <v>0</v>
      </c>
      <c r="U13" s="139">
        <v>9.6954289236089494E-2</v>
      </c>
      <c r="V13" s="139">
        <v>0</v>
      </c>
      <c r="W13" s="139">
        <v>0</v>
      </c>
      <c r="X13" s="139">
        <v>0</v>
      </c>
      <c r="Y13" s="139">
        <v>0</v>
      </c>
      <c r="Z13" s="139">
        <v>1.2334193962113301E-2</v>
      </c>
      <c r="AA13" s="139">
        <v>0</v>
      </c>
      <c r="AB13" s="139">
        <v>0</v>
      </c>
      <c r="AC13" s="139">
        <v>0</v>
      </c>
      <c r="AD13" s="139">
        <v>0</v>
      </c>
      <c r="AE13" s="139">
        <v>0</v>
      </c>
      <c r="AF13" s="139">
        <v>0</v>
      </c>
      <c r="AG13" s="139">
        <v>0</v>
      </c>
      <c r="AH13" s="139">
        <v>0</v>
      </c>
      <c r="AI13" s="139">
        <v>0</v>
      </c>
      <c r="AJ13" s="139">
        <v>0</v>
      </c>
      <c r="AK13" s="139">
        <v>0</v>
      </c>
      <c r="AL13" s="139">
        <v>0</v>
      </c>
      <c r="AM13" s="139">
        <v>0</v>
      </c>
      <c r="AN13" s="139">
        <v>0</v>
      </c>
      <c r="AO13" s="139">
        <v>0</v>
      </c>
      <c r="AP13" s="139">
        <v>0</v>
      </c>
      <c r="AQ13" s="139">
        <v>0</v>
      </c>
      <c r="AR13" s="140">
        <v>0</v>
      </c>
    </row>
    <row r="14" spans="2:44" ht="12" customHeight="1" x14ac:dyDescent="0.25">
      <c r="B14" s="138" t="s">
        <v>59</v>
      </c>
      <c r="C14" s="139" t="s">
        <v>64</v>
      </c>
      <c r="D14" s="139" t="s">
        <v>25</v>
      </c>
      <c r="E14" s="139" t="s">
        <v>25</v>
      </c>
      <c r="F14" s="139" t="s">
        <v>25</v>
      </c>
      <c r="G14" s="139" t="s">
        <v>25</v>
      </c>
      <c r="H14" s="139" t="s">
        <v>120</v>
      </c>
      <c r="I14" s="139" t="s">
        <v>73</v>
      </c>
      <c r="J14" s="139">
        <v>0.11</v>
      </c>
      <c r="K14" s="139">
        <v>0</v>
      </c>
      <c r="L14" s="139">
        <v>0</v>
      </c>
      <c r="M14" s="139">
        <v>0</v>
      </c>
      <c r="N14" s="139">
        <v>0</v>
      </c>
      <c r="O14" s="139">
        <v>0</v>
      </c>
      <c r="P14" s="139">
        <v>0</v>
      </c>
      <c r="Q14" s="139">
        <v>0</v>
      </c>
      <c r="R14" s="139">
        <v>0</v>
      </c>
      <c r="S14" s="139">
        <v>0</v>
      </c>
      <c r="T14" s="139">
        <v>0</v>
      </c>
      <c r="U14" s="139">
        <v>9.6954289236089494E-2</v>
      </c>
      <c r="V14" s="139">
        <v>0</v>
      </c>
      <c r="W14" s="139">
        <v>0</v>
      </c>
      <c r="X14" s="139">
        <v>0</v>
      </c>
      <c r="Y14" s="139">
        <v>0</v>
      </c>
      <c r="Z14" s="139">
        <v>1.2334193962113301E-2</v>
      </c>
      <c r="AA14" s="139">
        <v>0</v>
      </c>
      <c r="AB14" s="139">
        <v>0</v>
      </c>
      <c r="AC14" s="139">
        <v>0</v>
      </c>
      <c r="AD14" s="139">
        <v>0</v>
      </c>
      <c r="AE14" s="139">
        <v>0</v>
      </c>
      <c r="AF14" s="139">
        <v>0</v>
      </c>
      <c r="AG14" s="139">
        <v>0</v>
      </c>
      <c r="AH14" s="139">
        <v>0</v>
      </c>
      <c r="AI14" s="139">
        <v>0</v>
      </c>
      <c r="AJ14" s="139">
        <v>0</v>
      </c>
      <c r="AK14" s="139">
        <v>0</v>
      </c>
      <c r="AL14" s="139">
        <v>0</v>
      </c>
      <c r="AM14" s="139">
        <v>0</v>
      </c>
      <c r="AN14" s="139">
        <v>0</v>
      </c>
      <c r="AO14" s="139">
        <v>0</v>
      </c>
      <c r="AP14" s="139">
        <v>0</v>
      </c>
      <c r="AQ14" s="139">
        <v>0</v>
      </c>
      <c r="AR14" s="140">
        <v>0</v>
      </c>
    </row>
    <row r="15" spans="2:44" ht="12" customHeight="1" x14ac:dyDescent="0.25">
      <c r="B15" s="138" t="s">
        <v>59</v>
      </c>
      <c r="C15" s="139" t="s">
        <v>64</v>
      </c>
      <c r="D15" s="139" t="s">
        <v>25</v>
      </c>
      <c r="E15" s="139" t="s">
        <v>25</v>
      </c>
      <c r="F15" s="139" t="s">
        <v>25</v>
      </c>
      <c r="G15" s="139" t="s">
        <v>25</v>
      </c>
      <c r="H15" s="139" t="s">
        <v>120</v>
      </c>
      <c r="I15" s="139" t="s">
        <v>87</v>
      </c>
      <c r="J15" s="139">
        <v>0.12</v>
      </c>
      <c r="K15" s="139">
        <v>0</v>
      </c>
      <c r="L15" s="139">
        <v>0</v>
      </c>
      <c r="M15" s="139">
        <v>0</v>
      </c>
      <c r="N15" s="139">
        <v>0</v>
      </c>
      <c r="O15" s="139">
        <v>0</v>
      </c>
      <c r="P15" s="139">
        <v>0</v>
      </c>
      <c r="Q15" s="139">
        <v>0</v>
      </c>
      <c r="R15" s="139">
        <v>0</v>
      </c>
      <c r="S15" s="139">
        <v>0</v>
      </c>
      <c r="T15" s="139">
        <v>0</v>
      </c>
      <c r="U15" s="139">
        <v>0.10667791894190801</v>
      </c>
      <c r="V15" s="139">
        <v>0</v>
      </c>
      <c r="W15" s="139">
        <v>0</v>
      </c>
      <c r="X15" s="139">
        <v>0</v>
      </c>
      <c r="Y15" s="139">
        <v>0</v>
      </c>
      <c r="Z15" s="139">
        <v>1.2334193962113301E-2</v>
      </c>
      <c r="AA15" s="139">
        <v>0</v>
      </c>
      <c r="AB15" s="139">
        <v>0</v>
      </c>
      <c r="AC15" s="139">
        <v>0</v>
      </c>
      <c r="AD15" s="139">
        <v>0</v>
      </c>
      <c r="AE15" s="139">
        <v>0</v>
      </c>
      <c r="AF15" s="139">
        <v>0</v>
      </c>
      <c r="AG15" s="139">
        <v>0</v>
      </c>
      <c r="AH15" s="139">
        <v>0</v>
      </c>
      <c r="AI15" s="139">
        <v>0</v>
      </c>
      <c r="AJ15" s="139">
        <v>0</v>
      </c>
      <c r="AK15" s="139">
        <v>0</v>
      </c>
      <c r="AL15" s="139">
        <v>0</v>
      </c>
      <c r="AM15" s="139">
        <v>0</v>
      </c>
      <c r="AN15" s="139">
        <v>0</v>
      </c>
      <c r="AO15" s="139">
        <v>0</v>
      </c>
      <c r="AP15" s="139">
        <v>0</v>
      </c>
      <c r="AQ15" s="139">
        <v>0</v>
      </c>
      <c r="AR15" s="140">
        <v>0</v>
      </c>
    </row>
    <row r="16" spans="2:44" ht="12" customHeight="1" x14ac:dyDescent="0.25">
      <c r="B16" s="138" t="s">
        <v>59</v>
      </c>
      <c r="C16" s="139" t="s">
        <v>64</v>
      </c>
      <c r="D16" s="139" t="s">
        <v>25</v>
      </c>
      <c r="E16" s="139" t="s">
        <v>25</v>
      </c>
      <c r="F16" s="139" t="s">
        <v>25</v>
      </c>
      <c r="G16" s="139" t="s">
        <v>25</v>
      </c>
      <c r="H16" s="139" t="s">
        <v>120</v>
      </c>
      <c r="I16" s="139" t="s">
        <v>89</v>
      </c>
      <c r="J16" s="139">
        <v>0.11</v>
      </c>
      <c r="K16" s="139">
        <v>0</v>
      </c>
      <c r="L16" s="139">
        <v>0</v>
      </c>
      <c r="M16" s="139">
        <v>0</v>
      </c>
      <c r="N16" s="139">
        <v>0</v>
      </c>
      <c r="O16" s="139">
        <v>0</v>
      </c>
      <c r="P16" s="139">
        <v>0</v>
      </c>
      <c r="Q16" s="139">
        <v>0</v>
      </c>
      <c r="R16" s="139">
        <v>0</v>
      </c>
      <c r="S16" s="139">
        <v>0</v>
      </c>
      <c r="T16" s="139">
        <v>0</v>
      </c>
      <c r="U16" s="139">
        <v>0.10234063863809401</v>
      </c>
      <c r="V16" s="139">
        <v>0</v>
      </c>
      <c r="W16" s="139">
        <v>0</v>
      </c>
      <c r="X16" s="139">
        <v>0</v>
      </c>
      <c r="Y16" s="139">
        <v>0</v>
      </c>
      <c r="Z16" s="139">
        <v>1.2334193962113301E-2</v>
      </c>
      <c r="AA16" s="139">
        <v>0</v>
      </c>
      <c r="AB16" s="139">
        <v>0</v>
      </c>
      <c r="AC16" s="139">
        <v>0</v>
      </c>
      <c r="AD16" s="139">
        <v>0</v>
      </c>
      <c r="AE16" s="139">
        <v>0</v>
      </c>
      <c r="AF16" s="139">
        <v>0</v>
      </c>
      <c r="AG16" s="139">
        <v>0</v>
      </c>
      <c r="AH16" s="139">
        <v>0</v>
      </c>
      <c r="AI16" s="139">
        <v>0</v>
      </c>
      <c r="AJ16" s="139">
        <v>0</v>
      </c>
      <c r="AK16" s="139">
        <v>0</v>
      </c>
      <c r="AL16" s="139">
        <v>0</v>
      </c>
      <c r="AM16" s="139">
        <v>0</v>
      </c>
      <c r="AN16" s="139">
        <v>0</v>
      </c>
      <c r="AO16" s="139">
        <v>0</v>
      </c>
      <c r="AP16" s="139">
        <v>0</v>
      </c>
      <c r="AQ16" s="139">
        <v>0</v>
      </c>
      <c r="AR16" s="140">
        <v>0</v>
      </c>
    </row>
    <row r="17" spans="2:44" ht="12" customHeight="1" x14ac:dyDescent="0.25">
      <c r="B17" s="138" t="s">
        <v>59</v>
      </c>
      <c r="C17" s="139" t="s">
        <v>64</v>
      </c>
      <c r="D17" s="139" t="s">
        <v>25</v>
      </c>
      <c r="E17" s="139" t="s">
        <v>25</v>
      </c>
      <c r="F17" s="139" t="s">
        <v>25</v>
      </c>
      <c r="G17" s="139" t="s">
        <v>25</v>
      </c>
      <c r="H17" s="139" t="s">
        <v>120</v>
      </c>
      <c r="I17" s="139" t="s">
        <v>86</v>
      </c>
      <c r="J17" s="139">
        <v>0.1</v>
      </c>
      <c r="K17" s="139">
        <v>0</v>
      </c>
      <c r="L17" s="139">
        <v>0</v>
      </c>
      <c r="M17" s="139">
        <v>0</v>
      </c>
      <c r="N17" s="139">
        <v>0</v>
      </c>
      <c r="O17" s="139">
        <v>0</v>
      </c>
      <c r="P17" s="139">
        <v>0</v>
      </c>
      <c r="Q17" s="139">
        <v>0</v>
      </c>
      <c r="R17" s="139">
        <v>0</v>
      </c>
      <c r="S17" s="139">
        <v>0</v>
      </c>
      <c r="T17" s="139">
        <v>0</v>
      </c>
      <c r="U17" s="139">
        <v>8.7444985475062895E-2</v>
      </c>
      <c r="V17" s="139">
        <v>0</v>
      </c>
      <c r="W17" s="139">
        <v>0</v>
      </c>
      <c r="X17" s="139">
        <v>0</v>
      </c>
      <c r="Y17" s="139">
        <v>0</v>
      </c>
      <c r="Z17" s="139">
        <v>1.2334193962113301E-2</v>
      </c>
      <c r="AA17" s="139">
        <v>0</v>
      </c>
      <c r="AB17" s="139">
        <v>0</v>
      </c>
      <c r="AC17" s="139">
        <v>0</v>
      </c>
      <c r="AD17" s="139">
        <v>0</v>
      </c>
      <c r="AE17" s="139">
        <v>0</v>
      </c>
      <c r="AF17" s="139">
        <v>0</v>
      </c>
      <c r="AG17" s="139">
        <v>0</v>
      </c>
      <c r="AH17" s="139">
        <v>0</v>
      </c>
      <c r="AI17" s="139">
        <v>0</v>
      </c>
      <c r="AJ17" s="139">
        <v>0</v>
      </c>
      <c r="AK17" s="139">
        <v>0</v>
      </c>
      <c r="AL17" s="139">
        <v>0</v>
      </c>
      <c r="AM17" s="139">
        <v>0</v>
      </c>
      <c r="AN17" s="139">
        <v>0</v>
      </c>
      <c r="AO17" s="139">
        <v>0</v>
      </c>
      <c r="AP17" s="139">
        <v>0</v>
      </c>
      <c r="AQ17" s="139">
        <v>0</v>
      </c>
      <c r="AR17" s="140">
        <v>0</v>
      </c>
    </row>
    <row r="18" spans="2:44" ht="12" customHeight="1" x14ac:dyDescent="0.25">
      <c r="B18" s="138" t="s">
        <v>59</v>
      </c>
      <c r="C18" s="139" t="s">
        <v>64</v>
      </c>
      <c r="D18" s="139" t="s">
        <v>25</v>
      </c>
      <c r="E18" s="139" t="s">
        <v>25</v>
      </c>
      <c r="F18" s="139" t="s">
        <v>25</v>
      </c>
      <c r="G18" s="139" t="s">
        <v>25</v>
      </c>
      <c r="H18" s="139" t="s">
        <v>120</v>
      </c>
      <c r="I18" s="139" t="s">
        <v>69</v>
      </c>
      <c r="J18" s="139">
        <v>0.12</v>
      </c>
      <c r="K18" s="139">
        <v>0</v>
      </c>
      <c r="L18" s="139">
        <v>0</v>
      </c>
      <c r="M18" s="139">
        <v>0</v>
      </c>
      <c r="N18" s="139">
        <v>0</v>
      </c>
      <c r="O18" s="139">
        <v>0</v>
      </c>
      <c r="P18" s="139">
        <v>0</v>
      </c>
      <c r="Q18" s="139">
        <v>0</v>
      </c>
      <c r="R18" s="139">
        <v>0</v>
      </c>
      <c r="S18" s="139">
        <v>0</v>
      </c>
      <c r="T18" s="139">
        <v>0</v>
      </c>
      <c r="U18" s="139">
        <v>0.108764776825407</v>
      </c>
      <c r="V18" s="139">
        <v>0</v>
      </c>
      <c r="W18" s="139">
        <v>0</v>
      </c>
      <c r="X18" s="139">
        <v>0</v>
      </c>
      <c r="Y18" s="139">
        <v>0</v>
      </c>
      <c r="Z18" s="139">
        <v>1.2334193962113301E-2</v>
      </c>
      <c r="AA18" s="139">
        <v>0</v>
      </c>
      <c r="AB18" s="139">
        <v>0</v>
      </c>
      <c r="AC18" s="139">
        <v>0</v>
      </c>
      <c r="AD18" s="139">
        <v>0</v>
      </c>
      <c r="AE18" s="139">
        <v>0</v>
      </c>
      <c r="AF18" s="139">
        <v>0</v>
      </c>
      <c r="AG18" s="139">
        <v>0</v>
      </c>
      <c r="AH18" s="139">
        <v>0</v>
      </c>
      <c r="AI18" s="139">
        <v>0</v>
      </c>
      <c r="AJ18" s="139">
        <v>0</v>
      </c>
      <c r="AK18" s="139">
        <v>0</v>
      </c>
      <c r="AL18" s="139">
        <v>0</v>
      </c>
      <c r="AM18" s="139">
        <v>0</v>
      </c>
      <c r="AN18" s="139">
        <v>0</v>
      </c>
      <c r="AO18" s="139">
        <v>0</v>
      </c>
      <c r="AP18" s="139">
        <v>0</v>
      </c>
      <c r="AQ18" s="139">
        <v>0</v>
      </c>
      <c r="AR18" s="140">
        <v>0</v>
      </c>
    </row>
    <row r="19" spans="2:44" ht="12" customHeight="1" x14ac:dyDescent="0.25">
      <c r="B19" s="138" t="s">
        <v>59</v>
      </c>
      <c r="C19" s="139" t="s">
        <v>64</v>
      </c>
      <c r="D19" s="139" t="s">
        <v>25</v>
      </c>
      <c r="E19" s="139" t="s">
        <v>25</v>
      </c>
      <c r="F19" s="139" t="s">
        <v>25</v>
      </c>
      <c r="G19" s="139" t="s">
        <v>25</v>
      </c>
      <c r="H19" s="139" t="s">
        <v>120</v>
      </c>
      <c r="I19" s="139" t="s">
        <v>72</v>
      </c>
      <c r="J19" s="139">
        <v>0.12</v>
      </c>
      <c r="K19" s="139">
        <v>0</v>
      </c>
      <c r="L19" s="139">
        <v>0</v>
      </c>
      <c r="M19" s="139">
        <v>0</v>
      </c>
      <c r="N19" s="139">
        <v>0</v>
      </c>
      <c r="O19" s="139">
        <v>0</v>
      </c>
      <c r="P19" s="139">
        <v>0</v>
      </c>
      <c r="Q19" s="139">
        <v>0</v>
      </c>
      <c r="R19" s="139">
        <v>0</v>
      </c>
      <c r="S19" s="139">
        <v>0</v>
      </c>
      <c r="T19" s="139">
        <v>0</v>
      </c>
      <c r="U19" s="139">
        <v>0.10314154085284299</v>
      </c>
      <c r="V19" s="139">
        <v>0</v>
      </c>
      <c r="W19" s="139">
        <v>0</v>
      </c>
      <c r="X19" s="139">
        <v>0</v>
      </c>
      <c r="Y19" s="139">
        <v>0</v>
      </c>
      <c r="Z19" s="139">
        <v>1.2334193962113301E-2</v>
      </c>
      <c r="AA19" s="139">
        <v>0</v>
      </c>
      <c r="AB19" s="139">
        <v>0</v>
      </c>
      <c r="AC19" s="139">
        <v>0</v>
      </c>
      <c r="AD19" s="139">
        <v>0</v>
      </c>
      <c r="AE19" s="139">
        <v>0</v>
      </c>
      <c r="AF19" s="139">
        <v>0</v>
      </c>
      <c r="AG19" s="139">
        <v>0</v>
      </c>
      <c r="AH19" s="139">
        <v>0</v>
      </c>
      <c r="AI19" s="139">
        <v>0</v>
      </c>
      <c r="AJ19" s="139">
        <v>0</v>
      </c>
      <c r="AK19" s="139">
        <v>0</v>
      </c>
      <c r="AL19" s="139">
        <v>0</v>
      </c>
      <c r="AM19" s="139">
        <v>0</v>
      </c>
      <c r="AN19" s="139">
        <v>0</v>
      </c>
      <c r="AO19" s="139">
        <v>0</v>
      </c>
      <c r="AP19" s="139">
        <v>0</v>
      </c>
      <c r="AQ19" s="139">
        <v>0</v>
      </c>
      <c r="AR19" s="140">
        <v>0</v>
      </c>
    </row>
    <row r="20" spans="2:44" ht="12" customHeight="1" x14ac:dyDescent="0.25">
      <c r="B20" s="138" t="s">
        <v>59</v>
      </c>
      <c r="C20" s="139" t="s">
        <v>64</v>
      </c>
      <c r="D20" s="139" t="s">
        <v>25</v>
      </c>
      <c r="E20" s="139" t="s">
        <v>25</v>
      </c>
      <c r="F20" s="139" t="s">
        <v>25</v>
      </c>
      <c r="G20" s="139" t="s">
        <v>25</v>
      </c>
      <c r="H20" s="139" t="s">
        <v>120</v>
      </c>
      <c r="I20" s="139" t="s">
        <v>92</v>
      </c>
      <c r="J20" s="139">
        <v>0.11</v>
      </c>
      <c r="K20" s="139">
        <v>0</v>
      </c>
      <c r="L20" s="139">
        <v>0</v>
      </c>
      <c r="M20" s="139">
        <v>0</v>
      </c>
      <c r="N20" s="139">
        <v>0</v>
      </c>
      <c r="O20" s="139">
        <v>0</v>
      </c>
      <c r="P20" s="139">
        <v>0</v>
      </c>
      <c r="Q20" s="139">
        <v>0</v>
      </c>
      <c r="R20" s="139">
        <v>0</v>
      </c>
      <c r="S20" s="139">
        <v>0</v>
      </c>
      <c r="T20" s="139">
        <v>0</v>
      </c>
      <c r="U20" s="139">
        <v>9.5651413098012894E-2</v>
      </c>
      <c r="V20" s="139">
        <v>0</v>
      </c>
      <c r="W20" s="139">
        <v>0</v>
      </c>
      <c r="X20" s="139">
        <v>0</v>
      </c>
      <c r="Y20" s="139">
        <v>0</v>
      </c>
      <c r="Z20" s="139">
        <v>1.2334193962113301E-2</v>
      </c>
      <c r="AA20" s="139">
        <v>0</v>
      </c>
      <c r="AB20" s="139">
        <v>0</v>
      </c>
      <c r="AC20" s="139">
        <v>0</v>
      </c>
      <c r="AD20" s="139">
        <v>0</v>
      </c>
      <c r="AE20" s="139">
        <v>0</v>
      </c>
      <c r="AF20" s="139">
        <v>0</v>
      </c>
      <c r="AG20" s="139">
        <v>0</v>
      </c>
      <c r="AH20" s="139">
        <v>0</v>
      </c>
      <c r="AI20" s="139">
        <v>0</v>
      </c>
      <c r="AJ20" s="139">
        <v>0</v>
      </c>
      <c r="AK20" s="139">
        <v>0</v>
      </c>
      <c r="AL20" s="139">
        <v>0</v>
      </c>
      <c r="AM20" s="139">
        <v>0</v>
      </c>
      <c r="AN20" s="139">
        <v>0</v>
      </c>
      <c r="AO20" s="139">
        <v>0</v>
      </c>
      <c r="AP20" s="139">
        <v>0</v>
      </c>
      <c r="AQ20" s="139">
        <v>0</v>
      </c>
      <c r="AR20" s="140">
        <v>0</v>
      </c>
    </row>
    <row r="21" spans="2:44" ht="12" customHeight="1" x14ac:dyDescent="0.25">
      <c r="B21" s="138" t="s">
        <v>59</v>
      </c>
      <c r="C21" s="139" t="s">
        <v>64</v>
      </c>
      <c r="D21" s="139" t="s">
        <v>25</v>
      </c>
      <c r="E21" s="139" t="s">
        <v>25</v>
      </c>
      <c r="F21" s="139" t="s">
        <v>25</v>
      </c>
      <c r="G21" s="139" t="s">
        <v>25</v>
      </c>
      <c r="H21" s="139" t="s">
        <v>120</v>
      </c>
      <c r="I21" s="139" t="s">
        <v>67</v>
      </c>
      <c r="J21" s="139">
        <v>0.09</v>
      </c>
      <c r="K21" s="139">
        <v>0</v>
      </c>
      <c r="L21" s="139">
        <v>0</v>
      </c>
      <c r="M21" s="139">
        <v>0</v>
      </c>
      <c r="N21" s="139">
        <v>0</v>
      </c>
      <c r="O21" s="139">
        <v>0</v>
      </c>
      <c r="P21" s="139">
        <v>0</v>
      </c>
      <c r="Q21" s="139">
        <v>0</v>
      </c>
      <c r="R21" s="139">
        <v>0</v>
      </c>
      <c r="S21" s="139">
        <v>0</v>
      </c>
      <c r="T21" s="139">
        <v>0</v>
      </c>
      <c r="U21" s="139">
        <v>7.3637882505316096E-2</v>
      </c>
      <c r="V21" s="139">
        <v>0</v>
      </c>
      <c r="W21" s="139">
        <v>0</v>
      </c>
      <c r="X21" s="139">
        <v>0</v>
      </c>
      <c r="Y21" s="139">
        <v>0</v>
      </c>
      <c r="Z21" s="139">
        <v>1.2334193962113301E-2</v>
      </c>
      <c r="AA21" s="139">
        <v>0</v>
      </c>
      <c r="AB21" s="139">
        <v>0</v>
      </c>
      <c r="AC21" s="139">
        <v>0</v>
      </c>
      <c r="AD21" s="139">
        <v>0</v>
      </c>
      <c r="AE21" s="139">
        <v>0</v>
      </c>
      <c r="AF21" s="139">
        <v>0</v>
      </c>
      <c r="AG21" s="139">
        <v>0</v>
      </c>
      <c r="AH21" s="139">
        <v>0</v>
      </c>
      <c r="AI21" s="139">
        <v>0</v>
      </c>
      <c r="AJ21" s="139">
        <v>0</v>
      </c>
      <c r="AK21" s="139">
        <v>0</v>
      </c>
      <c r="AL21" s="139">
        <v>0</v>
      </c>
      <c r="AM21" s="139">
        <v>0</v>
      </c>
      <c r="AN21" s="139">
        <v>0</v>
      </c>
      <c r="AO21" s="139">
        <v>0</v>
      </c>
      <c r="AP21" s="139">
        <v>0</v>
      </c>
      <c r="AQ21" s="139">
        <v>0</v>
      </c>
      <c r="AR21" s="140">
        <v>0</v>
      </c>
    </row>
    <row r="22" spans="2:44" ht="12" customHeight="1" x14ac:dyDescent="0.25">
      <c r="B22" s="138" t="s">
        <v>59</v>
      </c>
      <c r="C22" s="139" t="s">
        <v>64</v>
      </c>
      <c r="D22" s="139" t="s">
        <v>25</v>
      </c>
      <c r="E22" s="139" t="s">
        <v>25</v>
      </c>
      <c r="F22" s="139" t="s">
        <v>25</v>
      </c>
      <c r="G22" s="139" t="s">
        <v>25</v>
      </c>
      <c r="H22" s="139" t="s">
        <v>120</v>
      </c>
      <c r="I22" s="139" t="s">
        <v>75</v>
      </c>
      <c r="J22" s="139">
        <v>0.11</v>
      </c>
      <c r="K22" s="139">
        <v>0</v>
      </c>
      <c r="L22" s="139">
        <v>0</v>
      </c>
      <c r="M22" s="139">
        <v>0</v>
      </c>
      <c r="N22" s="139">
        <v>0</v>
      </c>
      <c r="O22" s="139">
        <v>0</v>
      </c>
      <c r="P22" s="139">
        <v>0</v>
      </c>
      <c r="Q22" s="139">
        <v>0</v>
      </c>
      <c r="R22" s="139">
        <v>0</v>
      </c>
      <c r="S22" s="139">
        <v>0</v>
      </c>
      <c r="T22" s="139">
        <v>0</v>
      </c>
      <c r="U22" s="139">
        <v>9.6954289236089494E-2</v>
      </c>
      <c r="V22" s="139">
        <v>0</v>
      </c>
      <c r="W22" s="139">
        <v>0</v>
      </c>
      <c r="X22" s="139">
        <v>0</v>
      </c>
      <c r="Y22" s="139">
        <v>0</v>
      </c>
      <c r="Z22" s="139">
        <v>1.2334193962113301E-2</v>
      </c>
      <c r="AA22" s="139">
        <v>0</v>
      </c>
      <c r="AB22" s="139">
        <v>0</v>
      </c>
      <c r="AC22" s="139">
        <v>0</v>
      </c>
      <c r="AD22" s="139">
        <v>0</v>
      </c>
      <c r="AE22" s="139">
        <v>0</v>
      </c>
      <c r="AF22" s="139">
        <v>0</v>
      </c>
      <c r="AG22" s="139">
        <v>0</v>
      </c>
      <c r="AH22" s="139">
        <v>0</v>
      </c>
      <c r="AI22" s="139">
        <v>0</v>
      </c>
      <c r="AJ22" s="139">
        <v>0</v>
      </c>
      <c r="AK22" s="139">
        <v>0</v>
      </c>
      <c r="AL22" s="139">
        <v>0</v>
      </c>
      <c r="AM22" s="139">
        <v>0</v>
      </c>
      <c r="AN22" s="139">
        <v>0</v>
      </c>
      <c r="AO22" s="139">
        <v>0</v>
      </c>
      <c r="AP22" s="139">
        <v>0</v>
      </c>
      <c r="AQ22" s="139">
        <v>0</v>
      </c>
      <c r="AR22" s="140">
        <v>0</v>
      </c>
    </row>
    <row r="23" spans="2:44" ht="12" customHeight="1" x14ac:dyDescent="0.25">
      <c r="B23" s="138" t="s">
        <v>39</v>
      </c>
      <c r="C23" s="139" t="s">
        <v>40</v>
      </c>
      <c r="D23" s="139" t="s">
        <v>25</v>
      </c>
      <c r="E23" s="139" t="s">
        <v>25</v>
      </c>
      <c r="F23" s="139" t="s">
        <v>61</v>
      </c>
      <c r="G23" s="139" t="s">
        <v>34</v>
      </c>
      <c r="H23" s="139" t="s">
        <v>117</v>
      </c>
      <c r="I23" s="139" t="s">
        <v>25</v>
      </c>
      <c r="J23" s="139">
        <v>0.88</v>
      </c>
      <c r="K23" s="139">
        <v>0</v>
      </c>
      <c r="L23" s="139">
        <v>0</v>
      </c>
      <c r="M23" s="139">
        <v>0</v>
      </c>
      <c r="N23" s="139">
        <v>0</v>
      </c>
      <c r="O23" s="139">
        <v>0</v>
      </c>
      <c r="P23" s="139">
        <v>0</v>
      </c>
      <c r="Q23" s="139">
        <v>0</v>
      </c>
      <c r="R23" s="139">
        <v>0</v>
      </c>
      <c r="S23" s="139">
        <v>0</v>
      </c>
      <c r="T23" s="139">
        <v>0</v>
      </c>
      <c r="U23" s="139">
        <v>0</v>
      </c>
      <c r="V23" s="139">
        <v>0</v>
      </c>
      <c r="W23" s="139">
        <v>0</v>
      </c>
      <c r="X23" s="139">
        <v>0</v>
      </c>
      <c r="Y23" s="139">
        <v>0</v>
      </c>
      <c r="Z23" s="139">
        <v>0</v>
      </c>
      <c r="AA23" s="139">
        <v>0</v>
      </c>
      <c r="AB23" s="139">
        <v>0</v>
      </c>
      <c r="AC23" s="139">
        <v>0</v>
      </c>
      <c r="AD23" s="139">
        <v>0.85752496502614195</v>
      </c>
      <c r="AE23" s="139">
        <v>1.9040516103825699E-3</v>
      </c>
      <c r="AF23" s="139">
        <v>2.1734049621716298E-2</v>
      </c>
      <c r="AG23" s="139">
        <v>0</v>
      </c>
      <c r="AH23" s="139">
        <v>0</v>
      </c>
      <c r="AI23" s="139">
        <v>0</v>
      </c>
      <c r="AJ23" s="139">
        <v>0</v>
      </c>
      <c r="AK23" s="139">
        <v>0</v>
      </c>
      <c r="AL23" s="139">
        <v>0</v>
      </c>
      <c r="AM23" s="139">
        <v>0</v>
      </c>
      <c r="AN23" s="139">
        <v>0</v>
      </c>
      <c r="AO23" s="139">
        <v>0</v>
      </c>
      <c r="AP23" s="139">
        <v>0</v>
      </c>
      <c r="AQ23" s="139">
        <v>0</v>
      </c>
      <c r="AR23" s="140">
        <v>0</v>
      </c>
    </row>
    <row r="24" spans="2:44" ht="12" customHeight="1" x14ac:dyDescent="0.25">
      <c r="B24" s="138" t="s">
        <v>39</v>
      </c>
      <c r="C24" s="139" t="s">
        <v>40</v>
      </c>
      <c r="D24" s="139" t="s">
        <v>25</v>
      </c>
      <c r="E24" s="139" t="s">
        <v>25</v>
      </c>
      <c r="F24" s="139" t="s">
        <v>61</v>
      </c>
      <c r="G24" s="139" t="s">
        <v>34</v>
      </c>
      <c r="H24" s="139" t="s">
        <v>120</v>
      </c>
      <c r="I24" s="139" t="s">
        <v>25</v>
      </c>
      <c r="J24" s="139">
        <v>0.15</v>
      </c>
      <c r="K24" s="139">
        <v>0</v>
      </c>
      <c r="L24" s="139">
        <v>0</v>
      </c>
      <c r="M24" s="139">
        <v>0</v>
      </c>
      <c r="N24" s="139">
        <v>0</v>
      </c>
      <c r="O24" s="139">
        <v>0</v>
      </c>
      <c r="P24" s="139">
        <v>0</v>
      </c>
      <c r="Q24" s="139">
        <v>0</v>
      </c>
      <c r="R24" s="139">
        <v>0</v>
      </c>
      <c r="S24" s="139">
        <v>0</v>
      </c>
      <c r="T24" s="139">
        <v>0.145247469795761</v>
      </c>
      <c r="U24" s="139">
        <v>2.0878909137753599E-3</v>
      </c>
      <c r="V24" s="139">
        <v>0</v>
      </c>
      <c r="W24" s="139">
        <v>0</v>
      </c>
      <c r="X24" s="139">
        <v>0</v>
      </c>
      <c r="Y24" s="139">
        <v>0</v>
      </c>
      <c r="Z24" s="139">
        <v>0</v>
      </c>
      <c r="AA24" s="139">
        <v>0</v>
      </c>
      <c r="AB24" s="139">
        <v>0</v>
      </c>
      <c r="AC24" s="139">
        <v>0</v>
      </c>
      <c r="AD24" s="139">
        <v>0</v>
      </c>
      <c r="AE24" s="139">
        <v>0</v>
      </c>
      <c r="AF24" s="139">
        <v>0</v>
      </c>
      <c r="AG24" s="139">
        <v>0</v>
      </c>
      <c r="AH24" s="139">
        <v>0</v>
      </c>
      <c r="AI24" s="139">
        <v>0</v>
      </c>
      <c r="AJ24" s="139">
        <v>0</v>
      </c>
      <c r="AK24" s="139">
        <v>0</v>
      </c>
      <c r="AL24" s="139">
        <v>0</v>
      </c>
      <c r="AM24" s="139">
        <v>0</v>
      </c>
      <c r="AN24" s="139">
        <v>0</v>
      </c>
      <c r="AO24" s="139">
        <v>0</v>
      </c>
      <c r="AP24" s="139">
        <v>0</v>
      </c>
      <c r="AQ24" s="139">
        <v>0</v>
      </c>
      <c r="AR24" s="140">
        <v>0</v>
      </c>
    </row>
    <row r="25" spans="2:44" ht="12" customHeight="1" x14ac:dyDescent="0.25">
      <c r="B25" s="138" t="s">
        <v>39</v>
      </c>
      <c r="C25" s="139" t="s">
        <v>40</v>
      </c>
      <c r="D25" s="139" t="s">
        <v>25</v>
      </c>
      <c r="E25" s="139" t="s">
        <v>25</v>
      </c>
      <c r="F25" s="139" t="s">
        <v>61</v>
      </c>
      <c r="G25" s="139" t="s">
        <v>35</v>
      </c>
      <c r="H25" s="139" t="s">
        <v>117</v>
      </c>
      <c r="I25" s="139" t="s">
        <v>25</v>
      </c>
      <c r="J25" s="139">
        <v>0.88</v>
      </c>
      <c r="K25" s="139">
        <v>0</v>
      </c>
      <c r="L25" s="139">
        <v>0</v>
      </c>
      <c r="M25" s="139">
        <v>0</v>
      </c>
      <c r="N25" s="139">
        <v>0</v>
      </c>
      <c r="O25" s="139">
        <v>0</v>
      </c>
      <c r="P25" s="139">
        <v>0</v>
      </c>
      <c r="Q25" s="139">
        <v>0</v>
      </c>
      <c r="R25" s="139">
        <v>0</v>
      </c>
      <c r="S25" s="139">
        <v>0</v>
      </c>
      <c r="T25" s="139">
        <v>0</v>
      </c>
      <c r="U25" s="139">
        <v>0</v>
      </c>
      <c r="V25" s="139">
        <v>0</v>
      </c>
      <c r="W25" s="139">
        <v>0</v>
      </c>
      <c r="X25" s="139">
        <v>0</v>
      </c>
      <c r="Y25" s="139">
        <v>0</v>
      </c>
      <c r="Z25" s="139">
        <v>0</v>
      </c>
      <c r="AA25" s="139">
        <v>0</v>
      </c>
      <c r="AB25" s="139">
        <v>0</v>
      </c>
      <c r="AC25" s="139">
        <v>0</v>
      </c>
      <c r="AD25" s="139">
        <v>0.85752496502614195</v>
      </c>
      <c r="AE25" s="139">
        <v>1.9040516103825699E-3</v>
      </c>
      <c r="AF25" s="139">
        <v>2.1734049621716298E-2</v>
      </c>
      <c r="AG25" s="139">
        <v>0</v>
      </c>
      <c r="AH25" s="139">
        <v>0</v>
      </c>
      <c r="AI25" s="139">
        <v>0</v>
      </c>
      <c r="AJ25" s="139">
        <v>0</v>
      </c>
      <c r="AK25" s="139">
        <v>0</v>
      </c>
      <c r="AL25" s="139">
        <v>0</v>
      </c>
      <c r="AM25" s="139">
        <v>0</v>
      </c>
      <c r="AN25" s="139">
        <v>0</v>
      </c>
      <c r="AO25" s="139">
        <v>0</v>
      </c>
      <c r="AP25" s="139">
        <v>0</v>
      </c>
      <c r="AQ25" s="139">
        <v>0</v>
      </c>
      <c r="AR25" s="140">
        <v>0</v>
      </c>
    </row>
    <row r="26" spans="2:44" ht="12" customHeight="1" x14ac:dyDescent="0.25">
      <c r="B26" s="138" t="s">
        <v>39</v>
      </c>
      <c r="C26" s="139" t="s">
        <v>40</v>
      </c>
      <c r="D26" s="139" t="s">
        <v>25</v>
      </c>
      <c r="E26" s="139" t="s">
        <v>25</v>
      </c>
      <c r="F26" s="139" t="s">
        <v>61</v>
      </c>
      <c r="G26" s="139" t="s">
        <v>35</v>
      </c>
      <c r="H26" s="139" t="s">
        <v>120</v>
      </c>
      <c r="I26" s="139" t="s">
        <v>25</v>
      </c>
      <c r="J26" s="139">
        <v>0.13</v>
      </c>
      <c r="K26" s="139">
        <v>0</v>
      </c>
      <c r="L26" s="139">
        <v>0</v>
      </c>
      <c r="M26" s="139">
        <v>0</v>
      </c>
      <c r="N26" s="139">
        <v>0</v>
      </c>
      <c r="O26" s="139">
        <v>0</v>
      </c>
      <c r="P26" s="139">
        <v>0</v>
      </c>
      <c r="Q26" s="139">
        <v>0</v>
      </c>
      <c r="R26" s="139">
        <v>0</v>
      </c>
      <c r="S26" s="139">
        <v>0</v>
      </c>
      <c r="T26" s="139">
        <v>0.130251200783979</v>
      </c>
      <c r="U26" s="139">
        <v>1.90286020353517E-3</v>
      </c>
      <c r="V26" s="139">
        <v>0</v>
      </c>
      <c r="W26" s="139">
        <v>0</v>
      </c>
      <c r="X26" s="139">
        <v>0</v>
      </c>
      <c r="Y26" s="139">
        <v>0</v>
      </c>
      <c r="Z26" s="139">
        <v>0</v>
      </c>
      <c r="AA26" s="139">
        <v>0</v>
      </c>
      <c r="AB26" s="139">
        <v>0</v>
      </c>
      <c r="AC26" s="139">
        <v>0</v>
      </c>
      <c r="AD26" s="139">
        <v>0</v>
      </c>
      <c r="AE26" s="139">
        <v>0</v>
      </c>
      <c r="AF26" s="139">
        <v>0</v>
      </c>
      <c r="AG26" s="139">
        <v>0</v>
      </c>
      <c r="AH26" s="139">
        <v>0</v>
      </c>
      <c r="AI26" s="139">
        <v>0</v>
      </c>
      <c r="AJ26" s="139">
        <v>0</v>
      </c>
      <c r="AK26" s="139">
        <v>0</v>
      </c>
      <c r="AL26" s="139">
        <v>0</v>
      </c>
      <c r="AM26" s="139">
        <v>0</v>
      </c>
      <c r="AN26" s="139">
        <v>0</v>
      </c>
      <c r="AO26" s="139">
        <v>0</v>
      </c>
      <c r="AP26" s="139">
        <v>0</v>
      </c>
      <c r="AQ26" s="139">
        <v>0</v>
      </c>
      <c r="AR26" s="140">
        <v>0</v>
      </c>
    </row>
    <row r="27" spans="2:44" ht="12" customHeight="1" x14ac:dyDescent="0.25">
      <c r="B27" s="138" t="s">
        <v>39</v>
      </c>
      <c r="C27" s="139" t="s">
        <v>40</v>
      </c>
      <c r="D27" s="139" t="s">
        <v>25</v>
      </c>
      <c r="E27" s="139" t="s">
        <v>25</v>
      </c>
      <c r="F27" s="139" t="s">
        <v>25</v>
      </c>
      <c r="G27" s="139" t="s">
        <v>34</v>
      </c>
      <c r="H27" s="139" t="s">
        <v>117</v>
      </c>
      <c r="I27" s="139" t="s">
        <v>25</v>
      </c>
      <c r="J27" s="139">
        <v>11</v>
      </c>
      <c r="K27" s="139">
        <v>46.7</v>
      </c>
      <c r="L27" s="139">
        <v>0.258253279138417</v>
      </c>
      <c r="M27" s="139">
        <v>0</v>
      </c>
      <c r="N27" s="139">
        <v>0</v>
      </c>
      <c r="O27" s="139">
        <v>0</v>
      </c>
      <c r="P27" s="139">
        <v>0</v>
      </c>
      <c r="Q27" s="139">
        <v>6.9880964680560904</v>
      </c>
      <c r="R27" s="139">
        <v>2.87089314329496</v>
      </c>
      <c r="S27" s="139">
        <v>0</v>
      </c>
      <c r="T27" s="139">
        <v>0</v>
      </c>
      <c r="U27" s="139">
        <v>0</v>
      </c>
      <c r="V27" s="139">
        <v>0</v>
      </c>
      <c r="W27" s="139">
        <v>0</v>
      </c>
      <c r="X27" s="139">
        <v>0</v>
      </c>
      <c r="Y27" s="139">
        <v>0</v>
      </c>
      <c r="Z27" s="139">
        <v>0</v>
      </c>
      <c r="AA27" s="139">
        <v>0</v>
      </c>
      <c r="AB27" s="139">
        <v>0</v>
      </c>
      <c r="AC27" s="139">
        <v>0</v>
      </c>
      <c r="AD27" s="139">
        <v>0.85752496502614195</v>
      </c>
      <c r="AE27" s="139">
        <v>1.9040516103825699E-3</v>
      </c>
      <c r="AF27" s="139">
        <v>2.1734049621716298E-2</v>
      </c>
      <c r="AG27" s="139">
        <v>0</v>
      </c>
      <c r="AH27" s="139">
        <v>0.71929282055029997</v>
      </c>
      <c r="AI27" s="139">
        <v>0</v>
      </c>
      <c r="AJ27" s="139">
        <v>0</v>
      </c>
      <c r="AK27" s="139">
        <v>13.9164520059848</v>
      </c>
      <c r="AL27" s="139">
        <v>0</v>
      </c>
      <c r="AM27" s="139">
        <v>32.072073279286698</v>
      </c>
      <c r="AN27" s="139">
        <v>-0.33755695463303098</v>
      </c>
      <c r="AO27" s="139">
        <v>0.23893302339418901</v>
      </c>
      <c r="AP27" s="139">
        <v>0</v>
      </c>
      <c r="AQ27" s="139">
        <v>0</v>
      </c>
      <c r="AR27" s="140">
        <v>9.3413667654986099E-2</v>
      </c>
    </row>
    <row r="28" spans="2:44" ht="12" customHeight="1" x14ac:dyDescent="0.25">
      <c r="B28" s="138" t="s">
        <v>39</v>
      </c>
      <c r="C28" s="139" t="s">
        <v>40</v>
      </c>
      <c r="D28" s="139" t="s">
        <v>25</v>
      </c>
      <c r="E28" s="139" t="s">
        <v>25</v>
      </c>
      <c r="F28" s="139" t="s">
        <v>25</v>
      </c>
      <c r="G28" s="139" t="s">
        <v>34</v>
      </c>
      <c r="H28" s="139" t="s">
        <v>120</v>
      </c>
      <c r="I28" s="139" t="s">
        <v>25</v>
      </c>
      <c r="J28" s="139">
        <v>0.15</v>
      </c>
      <c r="K28" s="139">
        <v>0</v>
      </c>
      <c r="L28" s="139">
        <v>0</v>
      </c>
      <c r="M28" s="139">
        <v>0</v>
      </c>
      <c r="N28" s="139">
        <v>0</v>
      </c>
      <c r="O28" s="139">
        <v>0</v>
      </c>
      <c r="P28" s="139">
        <v>0</v>
      </c>
      <c r="Q28" s="139">
        <v>0</v>
      </c>
      <c r="R28" s="139">
        <v>0</v>
      </c>
      <c r="S28" s="139">
        <v>0</v>
      </c>
      <c r="T28" s="139">
        <v>0.145247469795761</v>
      </c>
      <c r="U28" s="139">
        <v>2.0878909137753599E-3</v>
      </c>
      <c r="V28" s="139">
        <v>0</v>
      </c>
      <c r="W28" s="139">
        <v>0</v>
      </c>
      <c r="X28" s="139">
        <v>0</v>
      </c>
      <c r="Y28" s="139">
        <v>0</v>
      </c>
      <c r="Z28" s="139">
        <v>0</v>
      </c>
      <c r="AA28" s="139">
        <v>0</v>
      </c>
      <c r="AB28" s="139">
        <v>0</v>
      </c>
      <c r="AC28" s="139">
        <v>0</v>
      </c>
      <c r="AD28" s="139">
        <v>0</v>
      </c>
      <c r="AE28" s="139">
        <v>0</v>
      </c>
      <c r="AF28" s="139">
        <v>0</v>
      </c>
      <c r="AG28" s="139">
        <v>0</v>
      </c>
      <c r="AH28" s="139">
        <v>0</v>
      </c>
      <c r="AI28" s="139">
        <v>0</v>
      </c>
      <c r="AJ28" s="139">
        <v>0</v>
      </c>
      <c r="AK28" s="139">
        <v>0</v>
      </c>
      <c r="AL28" s="139">
        <v>0</v>
      </c>
      <c r="AM28" s="139">
        <v>0</v>
      </c>
      <c r="AN28" s="139">
        <v>0</v>
      </c>
      <c r="AO28" s="139">
        <v>0</v>
      </c>
      <c r="AP28" s="139">
        <v>0</v>
      </c>
      <c r="AQ28" s="139">
        <v>0</v>
      </c>
      <c r="AR28" s="140">
        <v>0</v>
      </c>
    </row>
    <row r="29" spans="2:44" ht="12" customHeight="1" x14ac:dyDescent="0.25">
      <c r="B29" s="138" t="s">
        <v>39</v>
      </c>
      <c r="C29" s="139" t="s">
        <v>40</v>
      </c>
      <c r="D29" s="139" t="s">
        <v>25</v>
      </c>
      <c r="E29" s="139" t="s">
        <v>25</v>
      </c>
      <c r="F29" s="139" t="s">
        <v>25</v>
      </c>
      <c r="G29" s="139" t="s">
        <v>35</v>
      </c>
      <c r="H29" s="139" t="s">
        <v>117</v>
      </c>
      <c r="I29" s="139" t="s">
        <v>25</v>
      </c>
      <c r="J29" s="139">
        <v>11</v>
      </c>
      <c r="K29" s="139">
        <v>33.28</v>
      </c>
      <c r="L29" s="139">
        <v>0.258253279138417</v>
      </c>
      <c r="M29" s="139">
        <v>0</v>
      </c>
      <c r="N29" s="139">
        <v>0</v>
      </c>
      <c r="O29" s="139">
        <v>0</v>
      </c>
      <c r="P29" s="139">
        <v>0</v>
      </c>
      <c r="Q29" s="139">
        <v>6.9880964680560904</v>
      </c>
      <c r="R29" s="139">
        <v>2.87089314329496</v>
      </c>
      <c r="S29" s="139">
        <v>0</v>
      </c>
      <c r="T29" s="139">
        <v>0</v>
      </c>
      <c r="U29" s="139">
        <v>0</v>
      </c>
      <c r="V29" s="139">
        <v>0</v>
      </c>
      <c r="W29" s="139">
        <v>0</v>
      </c>
      <c r="X29" s="139">
        <v>0</v>
      </c>
      <c r="Y29" s="139">
        <v>0</v>
      </c>
      <c r="Z29" s="139">
        <v>0</v>
      </c>
      <c r="AA29" s="139">
        <v>0</v>
      </c>
      <c r="AB29" s="139">
        <v>0</v>
      </c>
      <c r="AC29" s="139">
        <v>0</v>
      </c>
      <c r="AD29" s="139">
        <v>0.85752496502614195</v>
      </c>
      <c r="AE29" s="139">
        <v>1.9040516103825699E-3</v>
      </c>
      <c r="AF29" s="139">
        <v>2.1734049621716298E-2</v>
      </c>
      <c r="AG29" s="139">
        <v>0</v>
      </c>
      <c r="AH29" s="139">
        <v>0.71929282055029997</v>
      </c>
      <c r="AI29" s="139">
        <v>0</v>
      </c>
      <c r="AJ29" s="139">
        <v>0</v>
      </c>
      <c r="AK29" s="139">
        <v>13.9164520059848</v>
      </c>
      <c r="AL29" s="139">
        <v>0</v>
      </c>
      <c r="AM29" s="139">
        <v>18.646554232143401</v>
      </c>
      <c r="AN29" s="139">
        <v>-0.33755695463303098</v>
      </c>
      <c r="AO29" s="139">
        <v>0.23893302339418901</v>
      </c>
      <c r="AP29" s="139">
        <v>0</v>
      </c>
      <c r="AQ29" s="139">
        <v>0</v>
      </c>
      <c r="AR29" s="140">
        <v>9.3413667654986099E-2</v>
      </c>
    </row>
    <row r="30" spans="2:44" ht="12" customHeight="1" x14ac:dyDescent="0.25">
      <c r="B30" s="138" t="s">
        <v>39</v>
      </c>
      <c r="C30" s="139" t="s">
        <v>40</v>
      </c>
      <c r="D30" s="139" t="s">
        <v>25</v>
      </c>
      <c r="E30" s="139" t="s">
        <v>25</v>
      </c>
      <c r="F30" s="139" t="s">
        <v>25</v>
      </c>
      <c r="G30" s="139" t="s">
        <v>35</v>
      </c>
      <c r="H30" s="139" t="s">
        <v>120</v>
      </c>
      <c r="I30" s="139" t="s">
        <v>25</v>
      </c>
      <c r="J30" s="139">
        <v>0.13</v>
      </c>
      <c r="K30" s="139">
        <v>0</v>
      </c>
      <c r="L30" s="139">
        <v>0</v>
      </c>
      <c r="M30" s="139">
        <v>0</v>
      </c>
      <c r="N30" s="139">
        <v>0</v>
      </c>
      <c r="O30" s="139">
        <v>0</v>
      </c>
      <c r="P30" s="139">
        <v>0</v>
      </c>
      <c r="Q30" s="139">
        <v>0</v>
      </c>
      <c r="R30" s="139">
        <v>0</v>
      </c>
      <c r="S30" s="139">
        <v>0</v>
      </c>
      <c r="T30" s="139">
        <v>0.130251200783979</v>
      </c>
      <c r="U30" s="139">
        <v>1.90286020353517E-3</v>
      </c>
      <c r="V30" s="139">
        <v>0</v>
      </c>
      <c r="W30" s="139">
        <v>0</v>
      </c>
      <c r="X30" s="139">
        <v>0</v>
      </c>
      <c r="Y30" s="139">
        <v>0</v>
      </c>
      <c r="Z30" s="139">
        <v>0</v>
      </c>
      <c r="AA30" s="139">
        <v>0</v>
      </c>
      <c r="AB30" s="139">
        <v>0</v>
      </c>
      <c r="AC30" s="139">
        <v>0</v>
      </c>
      <c r="AD30" s="139">
        <v>0</v>
      </c>
      <c r="AE30" s="139">
        <v>0</v>
      </c>
      <c r="AF30" s="139">
        <v>0</v>
      </c>
      <c r="AG30" s="139">
        <v>0</v>
      </c>
      <c r="AH30" s="139">
        <v>0</v>
      </c>
      <c r="AI30" s="139">
        <v>0</v>
      </c>
      <c r="AJ30" s="139">
        <v>0</v>
      </c>
      <c r="AK30" s="139">
        <v>0</v>
      </c>
      <c r="AL30" s="139">
        <v>0</v>
      </c>
      <c r="AM30" s="139">
        <v>0</v>
      </c>
      <c r="AN30" s="139">
        <v>0</v>
      </c>
      <c r="AO30" s="139">
        <v>0</v>
      </c>
      <c r="AP30" s="139">
        <v>0</v>
      </c>
      <c r="AQ30" s="139">
        <v>0</v>
      </c>
      <c r="AR30" s="140">
        <v>0</v>
      </c>
    </row>
    <row r="31" spans="2:44" ht="12" customHeight="1" x14ac:dyDescent="0.25">
      <c r="B31" s="138" t="s">
        <v>39</v>
      </c>
      <c r="C31" s="139" t="s">
        <v>64</v>
      </c>
      <c r="D31" s="139" t="s">
        <v>25</v>
      </c>
      <c r="E31" s="139" t="s">
        <v>25</v>
      </c>
      <c r="F31" s="139" t="s">
        <v>25</v>
      </c>
      <c r="G31" s="139" t="s">
        <v>25</v>
      </c>
      <c r="H31" s="139" t="s">
        <v>120</v>
      </c>
      <c r="I31" s="139" t="s">
        <v>25</v>
      </c>
      <c r="J31" s="139">
        <v>0.06</v>
      </c>
      <c r="K31" s="139">
        <v>0</v>
      </c>
      <c r="L31" s="139">
        <v>0</v>
      </c>
      <c r="M31" s="139">
        <v>0</v>
      </c>
      <c r="N31" s="139">
        <v>0</v>
      </c>
      <c r="O31" s="139">
        <v>0</v>
      </c>
      <c r="P31" s="139">
        <v>0</v>
      </c>
      <c r="Q31" s="139">
        <v>0</v>
      </c>
      <c r="R31" s="139">
        <v>0</v>
      </c>
      <c r="S31" s="139">
        <v>0</v>
      </c>
      <c r="T31" s="139">
        <v>0</v>
      </c>
      <c r="U31" s="139">
        <v>0</v>
      </c>
      <c r="V31" s="139">
        <v>0</v>
      </c>
      <c r="W31" s="139">
        <v>0</v>
      </c>
      <c r="X31" s="139">
        <v>0</v>
      </c>
      <c r="Y31" s="139">
        <v>0</v>
      </c>
      <c r="Z31" s="139">
        <v>0</v>
      </c>
      <c r="AA31" s="139">
        <v>0</v>
      </c>
      <c r="AB31" s="139">
        <v>0</v>
      </c>
      <c r="AC31" s="139">
        <v>0</v>
      </c>
      <c r="AD31" s="139">
        <v>4.72024616578944E-2</v>
      </c>
      <c r="AE31" s="139">
        <v>1.09960543098932E-2</v>
      </c>
      <c r="AF31" s="139">
        <v>0</v>
      </c>
      <c r="AG31" s="139">
        <v>0</v>
      </c>
      <c r="AH31" s="139">
        <v>0</v>
      </c>
      <c r="AI31" s="139">
        <v>0</v>
      </c>
      <c r="AJ31" s="139">
        <v>0</v>
      </c>
      <c r="AK31" s="139">
        <v>0</v>
      </c>
      <c r="AL31" s="139">
        <v>0</v>
      </c>
      <c r="AM31" s="139">
        <v>0</v>
      </c>
      <c r="AN31" s="139">
        <v>0</v>
      </c>
      <c r="AO31" s="139">
        <v>0</v>
      </c>
      <c r="AP31" s="139">
        <v>0</v>
      </c>
      <c r="AQ31" s="139">
        <v>0</v>
      </c>
      <c r="AR31" s="140">
        <v>0</v>
      </c>
    </row>
    <row r="32" spans="2:44" ht="12" customHeight="1" x14ac:dyDescent="0.25">
      <c r="B32" s="138" t="s">
        <v>41</v>
      </c>
      <c r="C32" s="139" t="s">
        <v>40</v>
      </c>
      <c r="D32" s="139" t="s">
        <v>25</v>
      </c>
      <c r="E32" s="139" t="s">
        <v>25</v>
      </c>
      <c r="F32" s="139" t="s">
        <v>61</v>
      </c>
      <c r="G32" s="139" t="s">
        <v>34</v>
      </c>
      <c r="H32" s="139" t="s">
        <v>117</v>
      </c>
      <c r="I32" s="139" t="s">
        <v>25</v>
      </c>
      <c r="J32" s="139">
        <v>1.47</v>
      </c>
      <c r="K32" s="139">
        <v>0</v>
      </c>
      <c r="L32" s="139">
        <v>0</v>
      </c>
      <c r="M32" s="139">
        <v>0</v>
      </c>
      <c r="N32" s="139">
        <v>0</v>
      </c>
      <c r="O32" s="139">
        <v>0</v>
      </c>
      <c r="P32" s="139">
        <v>0</v>
      </c>
      <c r="Q32" s="139">
        <v>0</v>
      </c>
      <c r="R32" s="139">
        <v>0</v>
      </c>
      <c r="S32" s="139">
        <v>0</v>
      </c>
      <c r="T32" s="139">
        <v>0</v>
      </c>
      <c r="U32" s="139">
        <v>0</v>
      </c>
      <c r="V32" s="139">
        <v>0</v>
      </c>
      <c r="W32" s="139">
        <v>0</v>
      </c>
      <c r="X32" s="139">
        <v>0</v>
      </c>
      <c r="Y32" s="139">
        <v>0</v>
      </c>
      <c r="Z32" s="139">
        <v>0</v>
      </c>
      <c r="AA32" s="139">
        <v>0</v>
      </c>
      <c r="AB32" s="139">
        <v>0</v>
      </c>
      <c r="AC32" s="139">
        <v>0</v>
      </c>
      <c r="AD32" s="139">
        <v>1.41785440166703</v>
      </c>
      <c r="AE32" s="139">
        <v>3.1482091681142199E-3</v>
      </c>
      <c r="AF32" s="139">
        <v>4.97082779465646E-2</v>
      </c>
      <c r="AG32" s="139">
        <v>0</v>
      </c>
      <c r="AH32" s="139">
        <v>0</v>
      </c>
      <c r="AI32" s="139">
        <v>0</v>
      </c>
      <c r="AJ32" s="139">
        <v>0</v>
      </c>
      <c r="AK32" s="139">
        <v>0</v>
      </c>
      <c r="AL32" s="139">
        <v>0</v>
      </c>
      <c r="AM32" s="139">
        <v>0</v>
      </c>
      <c r="AN32" s="139">
        <v>0</v>
      </c>
      <c r="AO32" s="139">
        <v>0</v>
      </c>
      <c r="AP32" s="139">
        <v>0</v>
      </c>
      <c r="AQ32" s="139">
        <v>0</v>
      </c>
      <c r="AR32" s="140">
        <v>0</v>
      </c>
    </row>
    <row r="33" spans="2:44" ht="12" customHeight="1" x14ac:dyDescent="0.25">
      <c r="B33" s="138" t="s">
        <v>41</v>
      </c>
      <c r="C33" s="139" t="s">
        <v>40</v>
      </c>
      <c r="D33" s="139" t="s">
        <v>25</v>
      </c>
      <c r="E33" s="139" t="s">
        <v>25</v>
      </c>
      <c r="F33" s="139" t="s">
        <v>61</v>
      </c>
      <c r="G33" s="139" t="s">
        <v>34</v>
      </c>
      <c r="H33" s="139" t="s">
        <v>120</v>
      </c>
      <c r="I33" s="139" t="s">
        <v>25</v>
      </c>
      <c r="J33" s="139">
        <v>0.15</v>
      </c>
      <c r="K33" s="139">
        <v>0</v>
      </c>
      <c r="L33" s="139">
        <v>0</v>
      </c>
      <c r="M33" s="139">
        <v>0</v>
      </c>
      <c r="N33" s="139">
        <v>0</v>
      </c>
      <c r="O33" s="139">
        <v>0</v>
      </c>
      <c r="P33" s="139">
        <v>0</v>
      </c>
      <c r="Q33" s="139">
        <v>0</v>
      </c>
      <c r="R33" s="139">
        <v>0</v>
      </c>
      <c r="S33" s="139">
        <v>0</v>
      </c>
      <c r="T33" s="139">
        <v>0.14579323565159999</v>
      </c>
      <c r="U33" s="139">
        <v>2.09555490769063E-3</v>
      </c>
      <c r="V33" s="139">
        <v>0</v>
      </c>
      <c r="W33" s="139">
        <v>0</v>
      </c>
      <c r="X33" s="139">
        <v>0</v>
      </c>
      <c r="Y33" s="139">
        <v>0</v>
      </c>
      <c r="Z33" s="139">
        <v>0</v>
      </c>
      <c r="AA33" s="139">
        <v>0</v>
      </c>
      <c r="AB33" s="139">
        <v>0</v>
      </c>
      <c r="AC33" s="139">
        <v>0</v>
      </c>
      <c r="AD33" s="139">
        <v>0</v>
      </c>
      <c r="AE33" s="139">
        <v>0</v>
      </c>
      <c r="AF33" s="139">
        <v>0</v>
      </c>
      <c r="AG33" s="139">
        <v>0</v>
      </c>
      <c r="AH33" s="139">
        <v>0</v>
      </c>
      <c r="AI33" s="139">
        <v>0</v>
      </c>
      <c r="AJ33" s="139">
        <v>0</v>
      </c>
      <c r="AK33" s="139">
        <v>0</v>
      </c>
      <c r="AL33" s="139">
        <v>0</v>
      </c>
      <c r="AM33" s="139">
        <v>0</v>
      </c>
      <c r="AN33" s="139">
        <v>0</v>
      </c>
      <c r="AO33" s="139">
        <v>0</v>
      </c>
      <c r="AP33" s="139">
        <v>0</v>
      </c>
      <c r="AQ33" s="139">
        <v>0</v>
      </c>
      <c r="AR33" s="140">
        <v>0</v>
      </c>
    </row>
    <row r="34" spans="2:44" ht="12" customHeight="1" x14ac:dyDescent="0.25">
      <c r="B34" s="138" t="s">
        <v>41</v>
      </c>
      <c r="C34" s="139" t="s">
        <v>40</v>
      </c>
      <c r="D34" s="139" t="s">
        <v>25</v>
      </c>
      <c r="E34" s="139" t="s">
        <v>25</v>
      </c>
      <c r="F34" s="139" t="s">
        <v>61</v>
      </c>
      <c r="G34" s="139" t="s">
        <v>35</v>
      </c>
      <c r="H34" s="139" t="s">
        <v>117</v>
      </c>
      <c r="I34" s="139" t="s">
        <v>25</v>
      </c>
      <c r="J34" s="139">
        <v>1.47</v>
      </c>
      <c r="K34" s="139">
        <v>0</v>
      </c>
      <c r="L34" s="139">
        <v>0</v>
      </c>
      <c r="M34" s="139">
        <v>0</v>
      </c>
      <c r="N34" s="139">
        <v>0</v>
      </c>
      <c r="O34" s="139">
        <v>0</v>
      </c>
      <c r="P34" s="139">
        <v>0</v>
      </c>
      <c r="Q34" s="139">
        <v>0</v>
      </c>
      <c r="R34" s="139">
        <v>0</v>
      </c>
      <c r="S34" s="139">
        <v>0</v>
      </c>
      <c r="T34" s="139">
        <v>0</v>
      </c>
      <c r="U34" s="139">
        <v>0</v>
      </c>
      <c r="V34" s="139">
        <v>0</v>
      </c>
      <c r="W34" s="139">
        <v>0</v>
      </c>
      <c r="X34" s="139">
        <v>0</v>
      </c>
      <c r="Y34" s="139">
        <v>0</v>
      </c>
      <c r="Z34" s="139">
        <v>0</v>
      </c>
      <c r="AA34" s="139">
        <v>0</v>
      </c>
      <c r="AB34" s="139">
        <v>0</v>
      </c>
      <c r="AC34" s="139">
        <v>0</v>
      </c>
      <c r="AD34" s="139">
        <v>1.41785440166703</v>
      </c>
      <c r="AE34" s="139">
        <v>3.1482091681142199E-3</v>
      </c>
      <c r="AF34" s="139">
        <v>4.97082779465646E-2</v>
      </c>
      <c r="AG34" s="139">
        <v>0</v>
      </c>
      <c r="AH34" s="139">
        <v>0</v>
      </c>
      <c r="AI34" s="139">
        <v>0</v>
      </c>
      <c r="AJ34" s="139">
        <v>0</v>
      </c>
      <c r="AK34" s="139">
        <v>0</v>
      </c>
      <c r="AL34" s="139">
        <v>0</v>
      </c>
      <c r="AM34" s="139">
        <v>0</v>
      </c>
      <c r="AN34" s="139">
        <v>0</v>
      </c>
      <c r="AO34" s="139">
        <v>0</v>
      </c>
      <c r="AP34" s="139">
        <v>0</v>
      </c>
      <c r="AQ34" s="139">
        <v>0</v>
      </c>
      <c r="AR34" s="140">
        <v>0</v>
      </c>
    </row>
    <row r="35" spans="2:44" ht="12" customHeight="1" x14ac:dyDescent="0.25">
      <c r="B35" s="138" t="s">
        <v>41</v>
      </c>
      <c r="C35" s="139" t="s">
        <v>40</v>
      </c>
      <c r="D35" s="139" t="s">
        <v>25</v>
      </c>
      <c r="E35" s="139" t="s">
        <v>25</v>
      </c>
      <c r="F35" s="139" t="s">
        <v>61</v>
      </c>
      <c r="G35" s="139" t="s">
        <v>35</v>
      </c>
      <c r="H35" s="139" t="s">
        <v>120</v>
      </c>
      <c r="I35" s="139" t="s">
        <v>25</v>
      </c>
      <c r="J35" s="139">
        <v>0.12</v>
      </c>
      <c r="K35" s="139">
        <v>0</v>
      </c>
      <c r="L35" s="139">
        <v>0</v>
      </c>
      <c r="M35" s="139">
        <v>0</v>
      </c>
      <c r="N35" s="139">
        <v>0</v>
      </c>
      <c r="O35" s="139">
        <v>0</v>
      </c>
      <c r="P35" s="139">
        <v>0</v>
      </c>
      <c r="Q35" s="139">
        <v>0</v>
      </c>
      <c r="R35" s="139">
        <v>0</v>
      </c>
      <c r="S35" s="139">
        <v>0</v>
      </c>
      <c r="T35" s="139">
        <v>0.12316607827709999</v>
      </c>
      <c r="U35" s="139">
        <v>1.79939628567897E-3</v>
      </c>
      <c r="V35" s="139">
        <v>0</v>
      </c>
      <c r="W35" s="139">
        <v>0</v>
      </c>
      <c r="X35" s="139">
        <v>0</v>
      </c>
      <c r="Y35" s="139">
        <v>0</v>
      </c>
      <c r="Z35" s="139">
        <v>0</v>
      </c>
      <c r="AA35" s="139">
        <v>0</v>
      </c>
      <c r="AB35" s="139">
        <v>0</v>
      </c>
      <c r="AC35" s="139">
        <v>0</v>
      </c>
      <c r="AD35" s="139">
        <v>0</v>
      </c>
      <c r="AE35" s="139">
        <v>0</v>
      </c>
      <c r="AF35" s="139">
        <v>0</v>
      </c>
      <c r="AG35" s="139">
        <v>0</v>
      </c>
      <c r="AH35" s="139">
        <v>0</v>
      </c>
      <c r="AI35" s="139">
        <v>0</v>
      </c>
      <c r="AJ35" s="139">
        <v>0</v>
      </c>
      <c r="AK35" s="139">
        <v>0</v>
      </c>
      <c r="AL35" s="139">
        <v>0</v>
      </c>
      <c r="AM35" s="139">
        <v>0</v>
      </c>
      <c r="AN35" s="139">
        <v>0</v>
      </c>
      <c r="AO35" s="139">
        <v>0</v>
      </c>
      <c r="AP35" s="139">
        <v>0</v>
      </c>
      <c r="AQ35" s="139">
        <v>0</v>
      </c>
      <c r="AR35" s="140">
        <v>0</v>
      </c>
    </row>
    <row r="36" spans="2:44" ht="12" customHeight="1" x14ac:dyDescent="0.25">
      <c r="B36" s="138" t="s">
        <v>41</v>
      </c>
      <c r="C36" s="139" t="s">
        <v>40</v>
      </c>
      <c r="D36" s="139" t="s">
        <v>25</v>
      </c>
      <c r="E36" s="139" t="s">
        <v>25</v>
      </c>
      <c r="F36" s="139" t="s">
        <v>25</v>
      </c>
      <c r="G36" s="139" t="s">
        <v>34</v>
      </c>
      <c r="H36" s="139" t="s">
        <v>117</v>
      </c>
      <c r="I36" s="139" t="s">
        <v>25</v>
      </c>
      <c r="J36" s="139">
        <v>14.16</v>
      </c>
      <c r="K36" s="139">
        <v>46.7</v>
      </c>
      <c r="L36" s="139">
        <v>0.34989153947785601</v>
      </c>
      <c r="M36" s="139">
        <v>0</v>
      </c>
      <c r="N36" s="139">
        <v>0</v>
      </c>
      <c r="O36" s="139">
        <v>0</v>
      </c>
      <c r="P36" s="139">
        <v>0</v>
      </c>
      <c r="Q36" s="139">
        <v>9.4677436018824395</v>
      </c>
      <c r="R36" s="139">
        <v>2.87089314329496</v>
      </c>
      <c r="S36" s="139">
        <v>0</v>
      </c>
      <c r="T36" s="139">
        <v>0</v>
      </c>
      <c r="U36" s="139">
        <v>0</v>
      </c>
      <c r="V36" s="139">
        <v>0</v>
      </c>
      <c r="W36" s="139">
        <v>0</v>
      </c>
      <c r="X36" s="139">
        <v>0</v>
      </c>
      <c r="Y36" s="139">
        <v>0</v>
      </c>
      <c r="Z36" s="139">
        <v>0</v>
      </c>
      <c r="AA36" s="139">
        <v>0</v>
      </c>
      <c r="AB36" s="139">
        <v>0</v>
      </c>
      <c r="AC36" s="139">
        <v>0</v>
      </c>
      <c r="AD36" s="139">
        <v>1.41785440166703</v>
      </c>
      <c r="AE36" s="139">
        <v>3.1482091681142199E-3</v>
      </c>
      <c r="AF36" s="139">
        <v>4.97082779465646E-2</v>
      </c>
      <c r="AG36" s="139">
        <v>0</v>
      </c>
      <c r="AH36" s="139">
        <v>0.71929282055029997</v>
      </c>
      <c r="AI36" s="139">
        <v>0</v>
      </c>
      <c r="AJ36" s="139">
        <v>0</v>
      </c>
      <c r="AK36" s="139">
        <v>13.9164520059848</v>
      </c>
      <c r="AL36" s="139">
        <v>0</v>
      </c>
      <c r="AM36" s="139">
        <v>32.072073279286698</v>
      </c>
      <c r="AN36" s="139">
        <v>-0.33755695463303098</v>
      </c>
      <c r="AO36" s="139">
        <v>0.23893302339418901</v>
      </c>
      <c r="AP36" s="139">
        <v>0</v>
      </c>
      <c r="AQ36" s="139">
        <v>0</v>
      </c>
      <c r="AR36" s="140">
        <v>9.3413667654986099E-2</v>
      </c>
    </row>
    <row r="37" spans="2:44" ht="12" customHeight="1" x14ac:dyDescent="0.25">
      <c r="B37" s="138" t="s">
        <v>41</v>
      </c>
      <c r="C37" s="139" t="s">
        <v>40</v>
      </c>
      <c r="D37" s="139" t="s">
        <v>25</v>
      </c>
      <c r="E37" s="139" t="s">
        <v>25</v>
      </c>
      <c r="F37" s="139" t="s">
        <v>25</v>
      </c>
      <c r="G37" s="139" t="s">
        <v>34</v>
      </c>
      <c r="H37" s="139" t="s">
        <v>120</v>
      </c>
      <c r="I37" s="139" t="s">
        <v>25</v>
      </c>
      <c r="J37" s="139">
        <v>0.15</v>
      </c>
      <c r="K37" s="139">
        <v>0</v>
      </c>
      <c r="L37" s="139">
        <v>0</v>
      </c>
      <c r="M37" s="139">
        <v>0</v>
      </c>
      <c r="N37" s="139">
        <v>0</v>
      </c>
      <c r="O37" s="139">
        <v>0</v>
      </c>
      <c r="P37" s="139">
        <v>0</v>
      </c>
      <c r="Q37" s="139">
        <v>0</v>
      </c>
      <c r="R37" s="139">
        <v>0</v>
      </c>
      <c r="S37" s="139">
        <v>0</v>
      </c>
      <c r="T37" s="139">
        <v>0.14579323565159999</v>
      </c>
      <c r="U37" s="139">
        <v>2.09555490769063E-3</v>
      </c>
      <c r="V37" s="139">
        <v>0</v>
      </c>
      <c r="W37" s="139">
        <v>0</v>
      </c>
      <c r="X37" s="139">
        <v>0</v>
      </c>
      <c r="Y37" s="139">
        <v>0</v>
      </c>
      <c r="Z37" s="139">
        <v>0</v>
      </c>
      <c r="AA37" s="139">
        <v>0</v>
      </c>
      <c r="AB37" s="139">
        <v>0</v>
      </c>
      <c r="AC37" s="139">
        <v>0</v>
      </c>
      <c r="AD37" s="139">
        <v>0</v>
      </c>
      <c r="AE37" s="139">
        <v>0</v>
      </c>
      <c r="AF37" s="139">
        <v>0</v>
      </c>
      <c r="AG37" s="139">
        <v>0</v>
      </c>
      <c r="AH37" s="139">
        <v>0</v>
      </c>
      <c r="AI37" s="139">
        <v>0</v>
      </c>
      <c r="AJ37" s="139">
        <v>0</v>
      </c>
      <c r="AK37" s="139">
        <v>0</v>
      </c>
      <c r="AL37" s="139">
        <v>0</v>
      </c>
      <c r="AM37" s="139">
        <v>0</v>
      </c>
      <c r="AN37" s="139">
        <v>0</v>
      </c>
      <c r="AO37" s="139">
        <v>0</v>
      </c>
      <c r="AP37" s="139">
        <v>0</v>
      </c>
      <c r="AQ37" s="139">
        <v>0</v>
      </c>
      <c r="AR37" s="140">
        <v>0</v>
      </c>
    </row>
    <row r="38" spans="2:44" ht="12" customHeight="1" x14ac:dyDescent="0.25">
      <c r="B38" s="138" t="s">
        <v>41</v>
      </c>
      <c r="C38" s="139" t="s">
        <v>40</v>
      </c>
      <c r="D38" s="139" t="s">
        <v>25</v>
      </c>
      <c r="E38" s="139" t="s">
        <v>25</v>
      </c>
      <c r="F38" s="139" t="s">
        <v>25</v>
      </c>
      <c r="G38" s="139" t="s">
        <v>35</v>
      </c>
      <c r="H38" s="139" t="s">
        <v>117</v>
      </c>
      <c r="I38" s="139" t="s">
        <v>25</v>
      </c>
      <c r="J38" s="139">
        <v>14.16</v>
      </c>
      <c r="K38" s="139">
        <v>33.28</v>
      </c>
      <c r="L38" s="139">
        <v>0.34989153947785601</v>
      </c>
      <c r="M38" s="139">
        <v>0</v>
      </c>
      <c r="N38" s="139">
        <v>0</v>
      </c>
      <c r="O38" s="139">
        <v>0</v>
      </c>
      <c r="P38" s="139">
        <v>0</v>
      </c>
      <c r="Q38" s="139">
        <v>9.4677436018824395</v>
      </c>
      <c r="R38" s="139">
        <v>2.87089314329496</v>
      </c>
      <c r="S38" s="139">
        <v>0</v>
      </c>
      <c r="T38" s="139">
        <v>0</v>
      </c>
      <c r="U38" s="139">
        <v>0</v>
      </c>
      <c r="V38" s="139">
        <v>0</v>
      </c>
      <c r="W38" s="139">
        <v>0</v>
      </c>
      <c r="X38" s="139">
        <v>0</v>
      </c>
      <c r="Y38" s="139">
        <v>0</v>
      </c>
      <c r="Z38" s="139">
        <v>0</v>
      </c>
      <c r="AA38" s="139">
        <v>0</v>
      </c>
      <c r="AB38" s="139">
        <v>0</v>
      </c>
      <c r="AC38" s="139">
        <v>0</v>
      </c>
      <c r="AD38" s="139">
        <v>1.41785440166703</v>
      </c>
      <c r="AE38" s="139">
        <v>3.1482091681142199E-3</v>
      </c>
      <c r="AF38" s="139">
        <v>4.97082779465646E-2</v>
      </c>
      <c r="AG38" s="139">
        <v>0</v>
      </c>
      <c r="AH38" s="139">
        <v>0.71929282055029997</v>
      </c>
      <c r="AI38" s="139">
        <v>0</v>
      </c>
      <c r="AJ38" s="139">
        <v>0</v>
      </c>
      <c r="AK38" s="139">
        <v>13.9164520059848</v>
      </c>
      <c r="AL38" s="139">
        <v>0</v>
      </c>
      <c r="AM38" s="139">
        <v>18.646554232143401</v>
      </c>
      <c r="AN38" s="139">
        <v>-0.33755695463303098</v>
      </c>
      <c r="AO38" s="139">
        <v>0.23893302339418901</v>
      </c>
      <c r="AP38" s="139">
        <v>0</v>
      </c>
      <c r="AQ38" s="139">
        <v>0</v>
      </c>
      <c r="AR38" s="140">
        <v>9.3413667654986099E-2</v>
      </c>
    </row>
    <row r="39" spans="2:44" ht="12" customHeight="1" x14ac:dyDescent="0.25">
      <c r="B39" s="138" t="s">
        <v>41</v>
      </c>
      <c r="C39" s="139" t="s">
        <v>40</v>
      </c>
      <c r="D39" s="139" t="s">
        <v>25</v>
      </c>
      <c r="E39" s="139" t="s">
        <v>25</v>
      </c>
      <c r="F39" s="139" t="s">
        <v>25</v>
      </c>
      <c r="G39" s="139" t="s">
        <v>35</v>
      </c>
      <c r="H39" s="139" t="s">
        <v>120</v>
      </c>
      <c r="I39" s="139" t="s">
        <v>25</v>
      </c>
      <c r="J39" s="139">
        <v>0.12</v>
      </c>
      <c r="K39" s="139">
        <v>0</v>
      </c>
      <c r="L39" s="139">
        <v>0</v>
      </c>
      <c r="M39" s="139">
        <v>0</v>
      </c>
      <c r="N39" s="139">
        <v>0</v>
      </c>
      <c r="O39" s="139">
        <v>0</v>
      </c>
      <c r="P39" s="139">
        <v>0</v>
      </c>
      <c r="Q39" s="139">
        <v>0</v>
      </c>
      <c r="R39" s="139">
        <v>0</v>
      </c>
      <c r="S39" s="139">
        <v>0</v>
      </c>
      <c r="T39" s="139">
        <v>0.12316607827709999</v>
      </c>
      <c r="U39" s="139">
        <v>1.79939628567897E-3</v>
      </c>
      <c r="V39" s="139">
        <v>0</v>
      </c>
      <c r="W39" s="139">
        <v>0</v>
      </c>
      <c r="X39" s="139">
        <v>0</v>
      </c>
      <c r="Y39" s="139">
        <v>0</v>
      </c>
      <c r="Z39" s="139">
        <v>0</v>
      </c>
      <c r="AA39" s="139">
        <v>0</v>
      </c>
      <c r="AB39" s="139">
        <v>0</v>
      </c>
      <c r="AC39" s="139">
        <v>0</v>
      </c>
      <c r="AD39" s="139">
        <v>0</v>
      </c>
      <c r="AE39" s="139">
        <v>0</v>
      </c>
      <c r="AF39" s="139">
        <v>0</v>
      </c>
      <c r="AG39" s="139">
        <v>0</v>
      </c>
      <c r="AH39" s="139">
        <v>0</v>
      </c>
      <c r="AI39" s="139">
        <v>0</v>
      </c>
      <c r="AJ39" s="139">
        <v>0</v>
      </c>
      <c r="AK39" s="139">
        <v>0</v>
      </c>
      <c r="AL39" s="139">
        <v>0</v>
      </c>
      <c r="AM39" s="139">
        <v>0</v>
      </c>
      <c r="AN39" s="139">
        <v>0</v>
      </c>
      <c r="AO39" s="139">
        <v>0</v>
      </c>
      <c r="AP39" s="139">
        <v>0</v>
      </c>
      <c r="AQ39" s="139">
        <v>0</v>
      </c>
      <c r="AR39" s="140">
        <v>0</v>
      </c>
    </row>
    <row r="40" spans="2:44" ht="12" customHeight="1" x14ac:dyDescent="0.25">
      <c r="B40" s="138" t="s">
        <v>41</v>
      </c>
      <c r="C40" s="139" t="s">
        <v>81</v>
      </c>
      <c r="D40" s="139" t="s">
        <v>25</v>
      </c>
      <c r="E40" s="139" t="s">
        <v>25</v>
      </c>
      <c r="F40" s="139" t="s">
        <v>25</v>
      </c>
      <c r="G40" s="139" t="s">
        <v>34</v>
      </c>
      <c r="H40" s="139" t="s">
        <v>120</v>
      </c>
      <c r="I40" s="139" t="s">
        <v>82</v>
      </c>
      <c r="J40" s="139">
        <v>0.15</v>
      </c>
      <c r="K40" s="139">
        <v>0</v>
      </c>
      <c r="L40" s="139">
        <v>0</v>
      </c>
      <c r="M40" s="139">
        <v>0</v>
      </c>
      <c r="N40" s="139">
        <v>0</v>
      </c>
      <c r="O40" s="139">
        <v>0</v>
      </c>
      <c r="P40" s="139">
        <v>0</v>
      </c>
      <c r="Q40" s="139">
        <v>0</v>
      </c>
      <c r="R40" s="139">
        <v>0</v>
      </c>
      <c r="S40" s="139">
        <v>0</v>
      </c>
      <c r="T40" s="139">
        <v>0.14579323565159999</v>
      </c>
      <c r="U40" s="139">
        <v>2.09555490769063E-3</v>
      </c>
      <c r="V40" s="139">
        <v>0</v>
      </c>
      <c r="W40" s="139">
        <v>0</v>
      </c>
      <c r="X40" s="139">
        <v>0</v>
      </c>
      <c r="Y40" s="139">
        <v>0</v>
      </c>
      <c r="Z40" s="139">
        <v>0</v>
      </c>
      <c r="AA40" s="139">
        <v>0</v>
      </c>
      <c r="AB40" s="139">
        <v>0</v>
      </c>
      <c r="AC40" s="139">
        <v>0</v>
      </c>
      <c r="AD40" s="139">
        <v>0</v>
      </c>
      <c r="AE40" s="139">
        <v>0</v>
      </c>
      <c r="AF40" s="139">
        <v>0</v>
      </c>
      <c r="AG40" s="139">
        <v>0</v>
      </c>
      <c r="AH40" s="139">
        <v>0</v>
      </c>
      <c r="AI40" s="139">
        <v>0</v>
      </c>
      <c r="AJ40" s="139">
        <v>0</v>
      </c>
      <c r="AK40" s="139">
        <v>0</v>
      </c>
      <c r="AL40" s="139">
        <v>0</v>
      </c>
      <c r="AM40" s="139">
        <v>0</v>
      </c>
      <c r="AN40" s="139">
        <v>0</v>
      </c>
      <c r="AO40" s="139">
        <v>0</v>
      </c>
      <c r="AP40" s="139">
        <v>0</v>
      </c>
      <c r="AQ40" s="139">
        <v>0</v>
      </c>
      <c r="AR40" s="140">
        <v>0</v>
      </c>
    </row>
    <row r="41" spans="2:44" ht="12" customHeight="1" x14ac:dyDescent="0.25">
      <c r="B41" s="138" t="s">
        <v>41</v>
      </c>
      <c r="C41" s="139" t="s">
        <v>81</v>
      </c>
      <c r="D41" s="139" t="s">
        <v>25</v>
      </c>
      <c r="E41" s="139" t="s">
        <v>25</v>
      </c>
      <c r="F41" s="139" t="s">
        <v>25</v>
      </c>
      <c r="G41" s="139" t="s">
        <v>25</v>
      </c>
      <c r="H41" s="139" t="s">
        <v>117</v>
      </c>
      <c r="I41" s="139" t="s">
        <v>82</v>
      </c>
      <c r="J41" s="139">
        <v>1.42</v>
      </c>
      <c r="K41" s="139">
        <v>0</v>
      </c>
      <c r="L41" s="139">
        <v>0</v>
      </c>
      <c r="M41" s="139">
        <v>0</v>
      </c>
      <c r="N41" s="139">
        <v>0</v>
      </c>
      <c r="O41" s="139">
        <v>0</v>
      </c>
      <c r="P41" s="139">
        <v>0</v>
      </c>
      <c r="Q41" s="139">
        <v>0</v>
      </c>
      <c r="R41" s="139">
        <v>0</v>
      </c>
      <c r="S41" s="139">
        <v>0</v>
      </c>
      <c r="T41" s="139">
        <v>0</v>
      </c>
      <c r="U41" s="139">
        <v>0</v>
      </c>
      <c r="V41" s="139">
        <v>0</v>
      </c>
      <c r="W41" s="139">
        <v>0</v>
      </c>
      <c r="X41" s="139">
        <v>0</v>
      </c>
      <c r="Y41" s="139">
        <v>0</v>
      </c>
      <c r="Z41" s="139">
        <v>0</v>
      </c>
      <c r="AA41" s="139">
        <v>0</v>
      </c>
      <c r="AB41" s="139">
        <v>0</v>
      </c>
      <c r="AC41" s="139">
        <v>0</v>
      </c>
      <c r="AD41" s="139">
        <v>1.41785440166703</v>
      </c>
      <c r="AE41" s="139">
        <v>3.1482091681142199E-3</v>
      </c>
      <c r="AF41" s="139">
        <v>0</v>
      </c>
      <c r="AG41" s="139">
        <v>0</v>
      </c>
      <c r="AH41" s="139">
        <v>0</v>
      </c>
      <c r="AI41" s="139">
        <v>0</v>
      </c>
      <c r="AJ41" s="139">
        <v>0</v>
      </c>
      <c r="AK41" s="139">
        <v>0</v>
      </c>
      <c r="AL41" s="139">
        <v>0</v>
      </c>
      <c r="AM41" s="139">
        <v>0</v>
      </c>
      <c r="AN41" s="139">
        <v>0</v>
      </c>
      <c r="AO41" s="139">
        <v>0</v>
      </c>
      <c r="AP41" s="139">
        <v>0</v>
      </c>
      <c r="AQ41" s="139">
        <v>0</v>
      </c>
      <c r="AR41" s="140">
        <v>0</v>
      </c>
    </row>
    <row r="42" spans="2:44" ht="12" customHeight="1" x14ac:dyDescent="0.25">
      <c r="B42" s="138" t="s">
        <v>41</v>
      </c>
      <c r="C42" s="139" t="s">
        <v>81</v>
      </c>
      <c r="D42" s="139" t="s">
        <v>25</v>
      </c>
      <c r="E42" s="139" t="s">
        <v>25</v>
      </c>
      <c r="F42" s="139" t="s">
        <v>25</v>
      </c>
      <c r="G42" s="139" t="s">
        <v>35</v>
      </c>
      <c r="H42" s="139" t="s">
        <v>120</v>
      </c>
      <c r="I42" s="139" t="s">
        <v>82</v>
      </c>
      <c r="J42" s="139">
        <v>0.12</v>
      </c>
      <c r="K42" s="139">
        <v>0</v>
      </c>
      <c r="L42" s="139">
        <v>0</v>
      </c>
      <c r="M42" s="139">
        <v>0</v>
      </c>
      <c r="N42" s="139">
        <v>0</v>
      </c>
      <c r="O42" s="139">
        <v>0</v>
      </c>
      <c r="P42" s="139">
        <v>0</v>
      </c>
      <c r="Q42" s="139">
        <v>0</v>
      </c>
      <c r="R42" s="139">
        <v>0</v>
      </c>
      <c r="S42" s="139">
        <v>0</v>
      </c>
      <c r="T42" s="139">
        <v>0.12316607827709999</v>
      </c>
      <c r="U42" s="139">
        <v>1.79939628567897E-3</v>
      </c>
      <c r="V42" s="139">
        <v>0</v>
      </c>
      <c r="W42" s="139">
        <v>0</v>
      </c>
      <c r="X42" s="139">
        <v>0</v>
      </c>
      <c r="Y42" s="139">
        <v>0</v>
      </c>
      <c r="Z42" s="139">
        <v>0</v>
      </c>
      <c r="AA42" s="139">
        <v>0</v>
      </c>
      <c r="AB42" s="139">
        <v>0</v>
      </c>
      <c r="AC42" s="139">
        <v>0</v>
      </c>
      <c r="AD42" s="139">
        <v>0</v>
      </c>
      <c r="AE42" s="139">
        <v>0</v>
      </c>
      <c r="AF42" s="139">
        <v>0</v>
      </c>
      <c r="AG42" s="139">
        <v>0</v>
      </c>
      <c r="AH42" s="139">
        <v>0</v>
      </c>
      <c r="AI42" s="139">
        <v>0</v>
      </c>
      <c r="AJ42" s="139">
        <v>0</v>
      </c>
      <c r="AK42" s="139">
        <v>0</v>
      </c>
      <c r="AL42" s="139">
        <v>0</v>
      </c>
      <c r="AM42" s="139">
        <v>0</v>
      </c>
      <c r="AN42" s="139">
        <v>0</v>
      </c>
      <c r="AO42" s="139">
        <v>0</v>
      </c>
      <c r="AP42" s="139">
        <v>0</v>
      </c>
      <c r="AQ42" s="139">
        <v>0</v>
      </c>
      <c r="AR42" s="140">
        <v>0</v>
      </c>
    </row>
    <row r="43" spans="2:44" ht="12" customHeight="1" x14ac:dyDescent="0.25">
      <c r="B43" s="138" t="s">
        <v>41</v>
      </c>
      <c r="C43" s="139" t="s">
        <v>64</v>
      </c>
      <c r="D43" s="139" t="s">
        <v>25</v>
      </c>
      <c r="E43" s="139" t="s">
        <v>25</v>
      </c>
      <c r="F43" s="139" t="s">
        <v>25</v>
      </c>
      <c r="G43" s="139" t="s">
        <v>25</v>
      </c>
      <c r="H43" s="139" t="s">
        <v>120</v>
      </c>
      <c r="I43" s="139" t="s">
        <v>25</v>
      </c>
      <c r="J43" s="139">
        <v>0</v>
      </c>
      <c r="K43" s="139">
        <v>0</v>
      </c>
      <c r="L43" s="139">
        <v>0</v>
      </c>
      <c r="M43" s="139">
        <v>0</v>
      </c>
      <c r="N43" s="139">
        <v>0</v>
      </c>
      <c r="O43" s="139">
        <v>0</v>
      </c>
      <c r="P43" s="139">
        <v>0</v>
      </c>
      <c r="Q43" s="139">
        <v>0</v>
      </c>
      <c r="R43" s="139">
        <v>0</v>
      </c>
      <c r="S43" s="139">
        <v>0</v>
      </c>
      <c r="T43" s="139">
        <v>0</v>
      </c>
      <c r="U43" s="139">
        <v>0</v>
      </c>
      <c r="V43" s="139">
        <v>0</v>
      </c>
      <c r="W43" s="139">
        <v>0</v>
      </c>
      <c r="X43" s="139">
        <v>0</v>
      </c>
      <c r="Y43" s="139">
        <v>0</v>
      </c>
      <c r="Z43" s="139">
        <v>0</v>
      </c>
      <c r="AA43" s="139">
        <v>0</v>
      </c>
      <c r="AB43" s="139">
        <v>0</v>
      </c>
      <c r="AC43" s="139">
        <v>0</v>
      </c>
      <c r="AD43" s="139">
        <v>3.0869439458348501E-4</v>
      </c>
      <c r="AE43" s="139">
        <v>0</v>
      </c>
      <c r="AF43" s="139">
        <v>0</v>
      </c>
      <c r="AG43" s="139">
        <v>0</v>
      </c>
      <c r="AH43" s="139">
        <v>0</v>
      </c>
      <c r="AI43" s="139">
        <v>0</v>
      </c>
      <c r="AJ43" s="139">
        <v>0</v>
      </c>
      <c r="AK43" s="139">
        <v>0</v>
      </c>
      <c r="AL43" s="139">
        <v>0</v>
      </c>
      <c r="AM43" s="139">
        <v>0</v>
      </c>
      <c r="AN43" s="139">
        <v>0</v>
      </c>
      <c r="AO43" s="139">
        <v>0</v>
      </c>
      <c r="AP43" s="139">
        <v>0</v>
      </c>
      <c r="AQ43" s="139">
        <v>0</v>
      </c>
      <c r="AR43" s="140">
        <v>0</v>
      </c>
    </row>
    <row r="44" spans="2:44" ht="12" customHeight="1" x14ac:dyDescent="0.25">
      <c r="B44" s="138" t="s">
        <v>41</v>
      </c>
      <c r="C44" s="139" t="s">
        <v>42</v>
      </c>
      <c r="D44" s="139" t="s">
        <v>25</v>
      </c>
      <c r="E44" s="139" t="s">
        <v>25</v>
      </c>
      <c r="F44" s="139" t="s">
        <v>61</v>
      </c>
      <c r="G44" s="139" t="s">
        <v>34</v>
      </c>
      <c r="H44" s="139" t="s">
        <v>117</v>
      </c>
      <c r="I44" s="139" t="s">
        <v>25</v>
      </c>
      <c r="J44" s="139">
        <v>5.03</v>
      </c>
      <c r="K44" s="139">
        <v>0</v>
      </c>
      <c r="L44" s="139">
        <v>0</v>
      </c>
      <c r="M44" s="139">
        <v>0</v>
      </c>
      <c r="N44" s="139">
        <v>0</v>
      </c>
      <c r="O44" s="139">
        <v>0</v>
      </c>
      <c r="P44" s="139">
        <v>0</v>
      </c>
      <c r="Q44" s="139">
        <v>0</v>
      </c>
      <c r="R44" s="139">
        <v>0</v>
      </c>
      <c r="S44" s="139">
        <v>0</v>
      </c>
      <c r="T44" s="139">
        <v>3.50630961690673</v>
      </c>
      <c r="U44" s="139">
        <v>5.0398971414978601E-2</v>
      </c>
      <c r="V44" s="139">
        <v>0</v>
      </c>
      <c r="W44" s="139">
        <v>0</v>
      </c>
      <c r="X44" s="139">
        <v>0</v>
      </c>
      <c r="Y44" s="139">
        <v>0</v>
      </c>
      <c r="Z44" s="139">
        <v>0</v>
      </c>
      <c r="AA44" s="139">
        <v>0</v>
      </c>
      <c r="AB44" s="139">
        <v>0</v>
      </c>
      <c r="AC44" s="139">
        <v>0</v>
      </c>
      <c r="AD44" s="139">
        <v>1.41785440166703</v>
      </c>
      <c r="AE44" s="139">
        <v>3.1482091681142199E-3</v>
      </c>
      <c r="AF44" s="139">
        <v>4.97082779465646E-2</v>
      </c>
      <c r="AG44" s="139">
        <v>0</v>
      </c>
      <c r="AH44" s="139">
        <v>0</v>
      </c>
      <c r="AI44" s="139">
        <v>0</v>
      </c>
      <c r="AJ44" s="139">
        <v>0</v>
      </c>
      <c r="AK44" s="139">
        <v>0</v>
      </c>
      <c r="AL44" s="139">
        <v>0</v>
      </c>
      <c r="AM44" s="139">
        <v>0</v>
      </c>
      <c r="AN44" s="139">
        <v>0</v>
      </c>
      <c r="AO44" s="139">
        <v>0</v>
      </c>
      <c r="AP44" s="139">
        <v>0</v>
      </c>
      <c r="AQ44" s="139">
        <v>0</v>
      </c>
      <c r="AR44" s="140">
        <v>0</v>
      </c>
    </row>
    <row r="45" spans="2:44" ht="12" customHeight="1" x14ac:dyDescent="0.25">
      <c r="B45" s="138" t="s">
        <v>41</v>
      </c>
      <c r="C45" s="139" t="s">
        <v>42</v>
      </c>
      <c r="D45" s="139" t="s">
        <v>25</v>
      </c>
      <c r="E45" s="139" t="s">
        <v>25</v>
      </c>
      <c r="F45" s="139" t="s">
        <v>61</v>
      </c>
      <c r="G45" s="139" t="s">
        <v>25</v>
      </c>
      <c r="H45" s="139" t="s">
        <v>120</v>
      </c>
      <c r="I45" s="139" t="s">
        <v>25</v>
      </c>
      <c r="J45" s="139">
        <v>0.12</v>
      </c>
      <c r="K45" s="139">
        <v>0</v>
      </c>
      <c r="L45" s="139">
        <v>0</v>
      </c>
      <c r="M45" s="139">
        <v>0</v>
      </c>
      <c r="N45" s="139">
        <v>0</v>
      </c>
      <c r="O45" s="139">
        <v>0</v>
      </c>
      <c r="P45" s="139">
        <v>0</v>
      </c>
      <c r="Q45" s="139">
        <v>0</v>
      </c>
      <c r="R45" s="139">
        <v>0</v>
      </c>
      <c r="S45" s="139">
        <v>0</v>
      </c>
      <c r="T45" s="139">
        <v>0.12316607827709999</v>
      </c>
      <c r="U45" s="139">
        <v>1.79939628567897E-3</v>
      </c>
      <c r="V45" s="139">
        <v>0</v>
      </c>
      <c r="W45" s="139">
        <v>0</v>
      </c>
      <c r="X45" s="139">
        <v>0</v>
      </c>
      <c r="Y45" s="139">
        <v>0</v>
      </c>
      <c r="Z45" s="139">
        <v>0</v>
      </c>
      <c r="AA45" s="139">
        <v>0</v>
      </c>
      <c r="AB45" s="139">
        <v>0</v>
      </c>
      <c r="AC45" s="139">
        <v>0</v>
      </c>
      <c r="AD45" s="139">
        <v>0</v>
      </c>
      <c r="AE45" s="139">
        <v>0</v>
      </c>
      <c r="AF45" s="139">
        <v>0</v>
      </c>
      <c r="AG45" s="139">
        <v>0</v>
      </c>
      <c r="AH45" s="139">
        <v>0</v>
      </c>
      <c r="AI45" s="139">
        <v>0</v>
      </c>
      <c r="AJ45" s="139">
        <v>0</v>
      </c>
      <c r="AK45" s="139">
        <v>0</v>
      </c>
      <c r="AL45" s="139">
        <v>0</v>
      </c>
      <c r="AM45" s="139">
        <v>0</v>
      </c>
      <c r="AN45" s="139">
        <v>0</v>
      </c>
      <c r="AO45" s="139">
        <v>0</v>
      </c>
      <c r="AP45" s="139">
        <v>0</v>
      </c>
      <c r="AQ45" s="139">
        <v>0</v>
      </c>
      <c r="AR45" s="140">
        <v>0</v>
      </c>
    </row>
    <row r="46" spans="2:44" ht="12" customHeight="1" x14ac:dyDescent="0.25">
      <c r="B46" s="138" t="s">
        <v>41</v>
      </c>
      <c r="C46" s="139" t="s">
        <v>42</v>
      </c>
      <c r="D46" s="139" t="s">
        <v>25</v>
      </c>
      <c r="E46" s="139" t="s">
        <v>25</v>
      </c>
      <c r="F46" s="139" t="s">
        <v>61</v>
      </c>
      <c r="G46" s="139" t="s">
        <v>35</v>
      </c>
      <c r="H46" s="139" t="s">
        <v>117</v>
      </c>
      <c r="I46" s="139" t="s">
        <v>25</v>
      </c>
      <c r="J46" s="139">
        <v>1.47</v>
      </c>
      <c r="K46" s="139">
        <v>0</v>
      </c>
      <c r="L46" s="139">
        <v>0</v>
      </c>
      <c r="M46" s="139">
        <v>0</v>
      </c>
      <c r="N46" s="139">
        <v>0</v>
      </c>
      <c r="O46" s="139">
        <v>0</v>
      </c>
      <c r="P46" s="139">
        <v>0</v>
      </c>
      <c r="Q46" s="139">
        <v>0</v>
      </c>
      <c r="R46" s="139">
        <v>0</v>
      </c>
      <c r="S46" s="139">
        <v>0</v>
      </c>
      <c r="T46" s="139">
        <v>0</v>
      </c>
      <c r="U46" s="139">
        <v>0</v>
      </c>
      <c r="V46" s="139">
        <v>0</v>
      </c>
      <c r="W46" s="139">
        <v>0</v>
      </c>
      <c r="X46" s="139">
        <v>0</v>
      </c>
      <c r="Y46" s="139">
        <v>0</v>
      </c>
      <c r="Z46" s="139">
        <v>0</v>
      </c>
      <c r="AA46" s="139">
        <v>0</v>
      </c>
      <c r="AB46" s="139">
        <v>0</v>
      </c>
      <c r="AC46" s="139">
        <v>0</v>
      </c>
      <c r="AD46" s="139">
        <v>1.41785440166703</v>
      </c>
      <c r="AE46" s="139">
        <v>3.1482091681142199E-3</v>
      </c>
      <c r="AF46" s="139">
        <v>4.97082779465646E-2</v>
      </c>
      <c r="AG46" s="139">
        <v>0</v>
      </c>
      <c r="AH46" s="139">
        <v>0</v>
      </c>
      <c r="AI46" s="139">
        <v>0</v>
      </c>
      <c r="AJ46" s="139">
        <v>0</v>
      </c>
      <c r="AK46" s="139">
        <v>0</v>
      </c>
      <c r="AL46" s="139">
        <v>0</v>
      </c>
      <c r="AM46" s="139">
        <v>0</v>
      </c>
      <c r="AN46" s="139">
        <v>0</v>
      </c>
      <c r="AO46" s="139">
        <v>0</v>
      </c>
      <c r="AP46" s="139">
        <v>0</v>
      </c>
      <c r="AQ46" s="139">
        <v>0</v>
      </c>
      <c r="AR46" s="140">
        <v>0</v>
      </c>
    </row>
    <row r="47" spans="2:44" ht="12" customHeight="1" x14ac:dyDescent="0.25">
      <c r="B47" s="138" t="s">
        <v>41</v>
      </c>
      <c r="C47" s="139" t="s">
        <v>42</v>
      </c>
      <c r="D47" s="139" t="s">
        <v>25</v>
      </c>
      <c r="E47" s="139" t="s">
        <v>25</v>
      </c>
      <c r="F47" s="139" t="s">
        <v>25</v>
      </c>
      <c r="G47" s="139" t="s">
        <v>34</v>
      </c>
      <c r="H47" s="139" t="s">
        <v>117</v>
      </c>
      <c r="I47" s="139" t="s">
        <v>25</v>
      </c>
      <c r="J47" s="139">
        <v>17.72</v>
      </c>
      <c r="K47" s="139">
        <v>46.7</v>
      </c>
      <c r="L47" s="139">
        <v>0.34989153947785601</v>
      </c>
      <c r="M47" s="139">
        <v>0</v>
      </c>
      <c r="N47" s="139">
        <v>0</v>
      </c>
      <c r="O47" s="139">
        <v>0</v>
      </c>
      <c r="P47" s="139">
        <v>0</v>
      </c>
      <c r="Q47" s="139">
        <v>9.4677436018824395</v>
      </c>
      <c r="R47" s="139">
        <v>2.87089314329496</v>
      </c>
      <c r="S47" s="139">
        <v>0</v>
      </c>
      <c r="T47" s="139">
        <v>3.50630961690673</v>
      </c>
      <c r="U47" s="139">
        <v>5.0398971414978601E-2</v>
      </c>
      <c r="V47" s="139">
        <v>0</v>
      </c>
      <c r="W47" s="139">
        <v>0</v>
      </c>
      <c r="X47" s="139">
        <v>0</v>
      </c>
      <c r="Y47" s="139">
        <v>0</v>
      </c>
      <c r="Z47" s="139">
        <v>0</v>
      </c>
      <c r="AA47" s="139">
        <v>0</v>
      </c>
      <c r="AB47" s="139">
        <v>0</v>
      </c>
      <c r="AC47" s="139">
        <v>0</v>
      </c>
      <c r="AD47" s="139">
        <v>1.41785440166703</v>
      </c>
      <c r="AE47" s="139">
        <v>3.1482091681142199E-3</v>
      </c>
      <c r="AF47" s="139">
        <v>4.97082779465646E-2</v>
      </c>
      <c r="AG47" s="139">
        <v>0</v>
      </c>
      <c r="AH47" s="139">
        <v>0.71929282055029997</v>
      </c>
      <c r="AI47" s="139">
        <v>0</v>
      </c>
      <c r="AJ47" s="139">
        <v>0</v>
      </c>
      <c r="AK47" s="139">
        <v>13.9164520059848</v>
      </c>
      <c r="AL47" s="139">
        <v>0</v>
      </c>
      <c r="AM47" s="139">
        <v>32.072073279286698</v>
      </c>
      <c r="AN47" s="139">
        <v>-0.33755695463303098</v>
      </c>
      <c r="AO47" s="139">
        <v>0.23893302339418901</v>
      </c>
      <c r="AP47" s="139">
        <v>0</v>
      </c>
      <c r="AQ47" s="139">
        <v>0</v>
      </c>
      <c r="AR47" s="140">
        <v>9.3413667654986099E-2</v>
      </c>
    </row>
    <row r="48" spans="2:44" ht="12" customHeight="1" x14ac:dyDescent="0.25">
      <c r="B48" s="138" t="s">
        <v>41</v>
      </c>
      <c r="C48" s="139" t="s">
        <v>42</v>
      </c>
      <c r="D48" s="139" t="s">
        <v>25</v>
      </c>
      <c r="E48" s="139" t="s">
        <v>25</v>
      </c>
      <c r="F48" s="139" t="s">
        <v>25</v>
      </c>
      <c r="G48" s="139" t="s">
        <v>25</v>
      </c>
      <c r="H48" s="139" t="s">
        <v>120</v>
      </c>
      <c r="I48" s="139" t="s">
        <v>25</v>
      </c>
      <c r="J48" s="139">
        <v>0.12</v>
      </c>
      <c r="K48" s="139">
        <v>0</v>
      </c>
      <c r="L48" s="139">
        <v>0</v>
      </c>
      <c r="M48" s="139">
        <v>0</v>
      </c>
      <c r="N48" s="139">
        <v>0</v>
      </c>
      <c r="O48" s="139">
        <v>0</v>
      </c>
      <c r="P48" s="139">
        <v>0</v>
      </c>
      <c r="Q48" s="139">
        <v>0</v>
      </c>
      <c r="R48" s="139">
        <v>0</v>
      </c>
      <c r="S48" s="139">
        <v>0</v>
      </c>
      <c r="T48" s="139">
        <v>0.12316607827709999</v>
      </c>
      <c r="U48" s="139">
        <v>1.79939628567897E-3</v>
      </c>
      <c r="V48" s="139">
        <v>0</v>
      </c>
      <c r="W48" s="139">
        <v>0</v>
      </c>
      <c r="X48" s="139">
        <v>0</v>
      </c>
      <c r="Y48" s="139">
        <v>0</v>
      </c>
      <c r="Z48" s="139">
        <v>0</v>
      </c>
      <c r="AA48" s="139">
        <v>0</v>
      </c>
      <c r="AB48" s="139">
        <v>0</v>
      </c>
      <c r="AC48" s="139">
        <v>0</v>
      </c>
      <c r="AD48" s="139">
        <v>0</v>
      </c>
      <c r="AE48" s="139">
        <v>0</v>
      </c>
      <c r="AF48" s="139">
        <v>0</v>
      </c>
      <c r="AG48" s="139">
        <v>0</v>
      </c>
      <c r="AH48" s="139">
        <v>0</v>
      </c>
      <c r="AI48" s="139">
        <v>0</v>
      </c>
      <c r="AJ48" s="139">
        <v>0</v>
      </c>
      <c r="AK48" s="139">
        <v>0</v>
      </c>
      <c r="AL48" s="139">
        <v>0</v>
      </c>
      <c r="AM48" s="139">
        <v>0</v>
      </c>
      <c r="AN48" s="139">
        <v>0</v>
      </c>
      <c r="AO48" s="139">
        <v>0</v>
      </c>
      <c r="AP48" s="139">
        <v>0</v>
      </c>
      <c r="AQ48" s="139">
        <v>0</v>
      </c>
      <c r="AR48" s="140">
        <v>0</v>
      </c>
    </row>
    <row r="49" spans="2:44" ht="12" customHeight="1" x14ac:dyDescent="0.25">
      <c r="B49" s="138" t="s">
        <v>41</v>
      </c>
      <c r="C49" s="139" t="s">
        <v>42</v>
      </c>
      <c r="D49" s="139" t="s">
        <v>25</v>
      </c>
      <c r="E49" s="139" t="s">
        <v>25</v>
      </c>
      <c r="F49" s="139" t="s">
        <v>25</v>
      </c>
      <c r="G49" s="139" t="s">
        <v>35</v>
      </c>
      <c r="H49" s="139" t="s">
        <v>117</v>
      </c>
      <c r="I49" s="139" t="s">
        <v>25</v>
      </c>
      <c r="J49" s="139">
        <v>14.16</v>
      </c>
      <c r="K49" s="139">
        <v>33.28</v>
      </c>
      <c r="L49" s="139">
        <v>0.34989153947785601</v>
      </c>
      <c r="M49" s="139">
        <v>0</v>
      </c>
      <c r="N49" s="139">
        <v>0</v>
      </c>
      <c r="O49" s="139">
        <v>0</v>
      </c>
      <c r="P49" s="139">
        <v>0</v>
      </c>
      <c r="Q49" s="139">
        <v>9.4677436018824395</v>
      </c>
      <c r="R49" s="139">
        <v>2.87089314329496</v>
      </c>
      <c r="S49" s="139">
        <v>0</v>
      </c>
      <c r="T49" s="139">
        <v>0</v>
      </c>
      <c r="U49" s="139">
        <v>0</v>
      </c>
      <c r="V49" s="139">
        <v>0</v>
      </c>
      <c r="W49" s="139">
        <v>0</v>
      </c>
      <c r="X49" s="139">
        <v>0</v>
      </c>
      <c r="Y49" s="139">
        <v>0</v>
      </c>
      <c r="Z49" s="139">
        <v>0</v>
      </c>
      <c r="AA49" s="139">
        <v>0</v>
      </c>
      <c r="AB49" s="139">
        <v>0</v>
      </c>
      <c r="AC49" s="139">
        <v>0</v>
      </c>
      <c r="AD49" s="139">
        <v>1.41785440166703</v>
      </c>
      <c r="AE49" s="139">
        <v>3.1482091681142199E-3</v>
      </c>
      <c r="AF49" s="139">
        <v>4.97082779465646E-2</v>
      </c>
      <c r="AG49" s="139">
        <v>0</v>
      </c>
      <c r="AH49" s="139">
        <v>0.71929282055029997</v>
      </c>
      <c r="AI49" s="139">
        <v>0</v>
      </c>
      <c r="AJ49" s="139">
        <v>0</v>
      </c>
      <c r="AK49" s="139">
        <v>13.9164520059848</v>
      </c>
      <c r="AL49" s="139">
        <v>0</v>
      </c>
      <c r="AM49" s="139">
        <v>18.646554232143401</v>
      </c>
      <c r="AN49" s="139">
        <v>-0.33755695463303098</v>
      </c>
      <c r="AO49" s="139">
        <v>0.23893302339418901</v>
      </c>
      <c r="AP49" s="139">
        <v>0</v>
      </c>
      <c r="AQ49" s="139">
        <v>0</v>
      </c>
      <c r="AR49" s="140">
        <v>9.3413667654986099E-2</v>
      </c>
    </row>
    <row r="50" spans="2:44" ht="12" customHeight="1" x14ac:dyDescent="0.25">
      <c r="B50" s="138" t="s">
        <v>125</v>
      </c>
      <c r="C50" s="139" t="s">
        <v>64</v>
      </c>
      <c r="D50" s="139" t="s">
        <v>25</v>
      </c>
      <c r="E50" s="139" t="s">
        <v>25</v>
      </c>
      <c r="F50" s="139" t="s">
        <v>126</v>
      </c>
      <c r="G50" s="139" t="s">
        <v>25</v>
      </c>
      <c r="H50" s="139" t="s">
        <v>120</v>
      </c>
      <c r="I50" s="139" t="s">
        <v>25</v>
      </c>
      <c r="J50" s="139">
        <v>0</v>
      </c>
      <c r="K50" s="139">
        <v>0</v>
      </c>
      <c r="L50" s="139">
        <v>0</v>
      </c>
      <c r="M50" s="139">
        <v>0</v>
      </c>
      <c r="N50" s="139">
        <v>0</v>
      </c>
      <c r="O50" s="139">
        <v>0</v>
      </c>
      <c r="P50" s="139">
        <v>0</v>
      </c>
      <c r="Q50" s="139">
        <v>0</v>
      </c>
      <c r="R50" s="139">
        <v>0</v>
      </c>
      <c r="S50" s="139">
        <v>0</v>
      </c>
      <c r="T50" s="139">
        <v>0</v>
      </c>
      <c r="U50" s="139">
        <v>0</v>
      </c>
      <c r="V50" s="139">
        <v>0</v>
      </c>
      <c r="W50" s="139">
        <v>0</v>
      </c>
      <c r="X50" s="139">
        <v>0</v>
      </c>
      <c r="Y50" s="139">
        <v>0</v>
      </c>
      <c r="Z50" s="139">
        <v>0</v>
      </c>
      <c r="AA50" s="139">
        <v>0</v>
      </c>
      <c r="AB50" s="139">
        <v>0</v>
      </c>
      <c r="AC50" s="139">
        <v>0</v>
      </c>
      <c r="AD50" s="139">
        <v>0</v>
      </c>
      <c r="AE50" s="139">
        <v>0</v>
      </c>
      <c r="AF50" s="139">
        <v>0</v>
      </c>
      <c r="AG50" s="139">
        <v>0</v>
      </c>
      <c r="AH50" s="139">
        <v>0</v>
      </c>
      <c r="AI50" s="139">
        <v>0</v>
      </c>
      <c r="AJ50" s="139">
        <v>0</v>
      </c>
      <c r="AK50" s="139">
        <v>0</v>
      </c>
      <c r="AL50" s="139">
        <v>0</v>
      </c>
      <c r="AM50" s="139">
        <v>0</v>
      </c>
      <c r="AN50" s="139">
        <v>0</v>
      </c>
      <c r="AO50" s="139">
        <v>0</v>
      </c>
      <c r="AP50" s="139">
        <v>0</v>
      </c>
      <c r="AQ50" s="139">
        <v>0</v>
      </c>
      <c r="AR50" s="140">
        <v>0</v>
      </c>
    </row>
    <row r="51" spans="2:44" ht="12" customHeight="1" x14ac:dyDescent="0.25">
      <c r="B51" s="138" t="s">
        <v>125</v>
      </c>
      <c r="C51" s="139" t="s">
        <v>64</v>
      </c>
      <c r="D51" s="139" t="s">
        <v>25</v>
      </c>
      <c r="E51" s="139" t="s">
        <v>25</v>
      </c>
      <c r="F51" s="139" t="s">
        <v>127</v>
      </c>
      <c r="G51" s="139" t="s">
        <v>25</v>
      </c>
      <c r="H51" s="139" t="s">
        <v>120</v>
      </c>
      <c r="I51" s="139" t="s">
        <v>25</v>
      </c>
      <c r="J51" s="139">
        <v>0</v>
      </c>
      <c r="K51" s="139">
        <v>0</v>
      </c>
      <c r="L51" s="139">
        <v>0</v>
      </c>
      <c r="M51" s="139">
        <v>0</v>
      </c>
      <c r="N51" s="139">
        <v>0</v>
      </c>
      <c r="O51" s="139">
        <v>0</v>
      </c>
      <c r="P51" s="139">
        <v>0</v>
      </c>
      <c r="Q51" s="139">
        <v>0</v>
      </c>
      <c r="R51" s="139">
        <v>0</v>
      </c>
      <c r="S51" s="139">
        <v>0</v>
      </c>
      <c r="T51" s="139">
        <v>0</v>
      </c>
      <c r="U51" s="139">
        <v>0</v>
      </c>
      <c r="V51" s="139">
        <v>0</v>
      </c>
      <c r="W51" s="139">
        <v>0</v>
      </c>
      <c r="X51" s="139">
        <v>0</v>
      </c>
      <c r="Y51" s="139">
        <v>0</v>
      </c>
      <c r="Z51" s="139">
        <v>0</v>
      </c>
      <c r="AA51" s="139">
        <v>0</v>
      </c>
      <c r="AB51" s="139">
        <v>0</v>
      </c>
      <c r="AC51" s="139">
        <v>0</v>
      </c>
      <c r="AD51" s="139">
        <v>0</v>
      </c>
      <c r="AE51" s="139">
        <v>0</v>
      </c>
      <c r="AF51" s="139">
        <v>0</v>
      </c>
      <c r="AG51" s="139">
        <v>0</v>
      </c>
      <c r="AH51" s="139">
        <v>0</v>
      </c>
      <c r="AI51" s="139">
        <v>0</v>
      </c>
      <c r="AJ51" s="139">
        <v>0</v>
      </c>
      <c r="AK51" s="139">
        <v>0</v>
      </c>
      <c r="AL51" s="139">
        <v>0</v>
      </c>
      <c r="AM51" s="139">
        <v>0</v>
      </c>
      <c r="AN51" s="139">
        <v>0</v>
      </c>
      <c r="AO51" s="139">
        <v>0</v>
      </c>
      <c r="AP51" s="139">
        <v>0</v>
      </c>
      <c r="AQ51" s="139">
        <v>0</v>
      </c>
      <c r="AR51" s="140">
        <v>0</v>
      </c>
    </row>
    <row r="52" spans="2:44" ht="12" customHeight="1" x14ac:dyDescent="0.25">
      <c r="B52" s="138" t="s">
        <v>22</v>
      </c>
      <c r="C52" s="139" t="s">
        <v>33</v>
      </c>
      <c r="D52" s="139" t="s">
        <v>24</v>
      </c>
      <c r="E52" s="139" t="s">
        <v>24</v>
      </c>
      <c r="F52" s="139" t="s">
        <v>25</v>
      </c>
      <c r="G52" s="139" t="s">
        <v>34</v>
      </c>
      <c r="H52" s="139" t="s">
        <v>117</v>
      </c>
      <c r="I52" s="139" t="s">
        <v>25</v>
      </c>
      <c r="J52" s="139">
        <v>19.23</v>
      </c>
      <c r="K52" s="139">
        <v>46.7</v>
      </c>
      <c r="L52" s="139">
        <v>0.41653754699744699</v>
      </c>
      <c r="M52" s="139">
        <v>0</v>
      </c>
      <c r="N52" s="139">
        <v>0</v>
      </c>
      <c r="O52" s="139">
        <v>0</v>
      </c>
      <c r="P52" s="139">
        <v>0</v>
      </c>
      <c r="Q52" s="139">
        <v>11.2711233355743</v>
      </c>
      <c r="R52" s="139">
        <v>2.87089314329496</v>
      </c>
      <c r="S52" s="139">
        <v>0</v>
      </c>
      <c r="T52" s="139">
        <v>1.6774334835628899</v>
      </c>
      <c r="U52" s="139">
        <v>2.42817224361352E-2</v>
      </c>
      <c r="V52" s="139">
        <v>0</v>
      </c>
      <c r="W52" s="139">
        <v>0</v>
      </c>
      <c r="X52" s="139">
        <v>0</v>
      </c>
      <c r="Y52" s="139">
        <v>0</v>
      </c>
      <c r="Z52" s="139">
        <v>0</v>
      </c>
      <c r="AA52" s="139">
        <v>0</v>
      </c>
      <c r="AB52" s="139">
        <v>0</v>
      </c>
      <c r="AC52" s="139">
        <v>0</v>
      </c>
      <c r="AD52" s="139">
        <v>2.9110933776476902</v>
      </c>
      <c r="AE52" s="139">
        <v>6.4638025244141296E-3</v>
      </c>
      <c r="AF52" s="139">
        <v>5.2404639122858698E-2</v>
      </c>
      <c r="AG52" s="139">
        <v>0</v>
      </c>
      <c r="AH52" s="139">
        <v>0.71929282055029997</v>
      </c>
      <c r="AI52" s="139">
        <v>0</v>
      </c>
      <c r="AJ52" s="139">
        <v>0</v>
      </c>
      <c r="AK52" s="139">
        <v>13.9164520059848</v>
      </c>
      <c r="AL52" s="139">
        <v>0</v>
      </c>
      <c r="AM52" s="139">
        <v>32.072073279286698</v>
      </c>
      <c r="AN52" s="139">
        <v>-0.33755695463303098</v>
      </c>
      <c r="AO52" s="139">
        <v>0.23893302339418901</v>
      </c>
      <c r="AP52" s="139">
        <v>0</v>
      </c>
      <c r="AQ52" s="139">
        <v>0</v>
      </c>
      <c r="AR52" s="140">
        <v>9.3413667654986099E-2</v>
      </c>
    </row>
    <row r="53" spans="2:44" ht="12" customHeight="1" x14ac:dyDescent="0.25">
      <c r="B53" s="138" t="s">
        <v>22</v>
      </c>
      <c r="C53" s="139" t="s">
        <v>33</v>
      </c>
      <c r="D53" s="139" t="s">
        <v>24</v>
      </c>
      <c r="E53" s="139" t="s">
        <v>24</v>
      </c>
      <c r="F53" s="139" t="s">
        <v>25</v>
      </c>
      <c r="G53" s="139" t="s">
        <v>36</v>
      </c>
      <c r="H53" s="139" t="s">
        <v>117</v>
      </c>
      <c r="I53" s="139" t="s">
        <v>25</v>
      </c>
      <c r="J53" s="139">
        <v>18.55</v>
      </c>
      <c r="K53" s="139">
        <v>33.28</v>
      </c>
      <c r="L53" s="139">
        <v>0.41653754699744699</v>
      </c>
      <c r="M53" s="139">
        <v>0</v>
      </c>
      <c r="N53" s="139">
        <v>0</v>
      </c>
      <c r="O53" s="139">
        <v>0</v>
      </c>
      <c r="P53" s="139">
        <v>0</v>
      </c>
      <c r="Q53" s="139">
        <v>11.2711233355743</v>
      </c>
      <c r="R53" s="139">
        <v>2.87089314329496</v>
      </c>
      <c r="S53" s="139">
        <v>0</v>
      </c>
      <c r="T53" s="139">
        <v>1.00646107349964</v>
      </c>
      <c r="U53" s="139">
        <v>1.45692524329359E-2</v>
      </c>
      <c r="V53" s="139">
        <v>0</v>
      </c>
      <c r="W53" s="139">
        <v>0</v>
      </c>
      <c r="X53" s="139">
        <v>0</v>
      </c>
      <c r="Y53" s="139">
        <v>0</v>
      </c>
      <c r="Z53" s="139">
        <v>0</v>
      </c>
      <c r="AA53" s="139">
        <v>0</v>
      </c>
      <c r="AB53" s="139">
        <v>0</v>
      </c>
      <c r="AC53" s="139">
        <v>0</v>
      </c>
      <c r="AD53" s="139">
        <v>2.9110933776476902</v>
      </c>
      <c r="AE53" s="139">
        <v>6.4638025244141296E-3</v>
      </c>
      <c r="AF53" s="139">
        <v>5.2404639122858698E-2</v>
      </c>
      <c r="AG53" s="139">
        <v>0</v>
      </c>
      <c r="AH53" s="139">
        <v>0.71929282055029997</v>
      </c>
      <c r="AI53" s="139">
        <v>0</v>
      </c>
      <c r="AJ53" s="139">
        <v>0</v>
      </c>
      <c r="AK53" s="139">
        <v>13.9164520059848</v>
      </c>
      <c r="AL53" s="139">
        <v>0</v>
      </c>
      <c r="AM53" s="139">
        <v>18.646554232143401</v>
      </c>
      <c r="AN53" s="139">
        <v>-0.33755695463303098</v>
      </c>
      <c r="AO53" s="139">
        <v>0.23893302339418901</v>
      </c>
      <c r="AP53" s="139">
        <v>0</v>
      </c>
      <c r="AQ53" s="139">
        <v>0</v>
      </c>
      <c r="AR53" s="140">
        <v>9.3413667654986099E-2</v>
      </c>
    </row>
    <row r="54" spans="2:44" ht="12" customHeight="1" x14ac:dyDescent="0.25">
      <c r="B54" s="138" t="s">
        <v>22</v>
      </c>
      <c r="C54" s="139" t="s">
        <v>33</v>
      </c>
      <c r="D54" s="139" t="s">
        <v>24</v>
      </c>
      <c r="E54" s="139" t="s">
        <v>24</v>
      </c>
      <c r="F54" s="139" t="s">
        <v>25</v>
      </c>
      <c r="G54" s="139" t="s">
        <v>35</v>
      </c>
      <c r="H54" s="139" t="s">
        <v>117</v>
      </c>
      <c r="I54" s="139" t="s">
        <v>25</v>
      </c>
      <c r="J54" s="139">
        <v>17.87</v>
      </c>
      <c r="K54" s="139">
        <v>33.28</v>
      </c>
      <c r="L54" s="139">
        <v>0.41653754699744699</v>
      </c>
      <c r="M54" s="139">
        <v>0</v>
      </c>
      <c r="N54" s="139">
        <v>0</v>
      </c>
      <c r="O54" s="139">
        <v>0</v>
      </c>
      <c r="P54" s="139">
        <v>0</v>
      </c>
      <c r="Q54" s="139">
        <v>11.2711233355743</v>
      </c>
      <c r="R54" s="139">
        <v>2.87089314329496</v>
      </c>
      <c r="S54" s="139">
        <v>0</v>
      </c>
      <c r="T54" s="139">
        <v>0.33548866343638201</v>
      </c>
      <c r="U54" s="139">
        <v>4.8562350015996904E-3</v>
      </c>
      <c r="V54" s="139">
        <v>0</v>
      </c>
      <c r="W54" s="139">
        <v>0</v>
      </c>
      <c r="X54" s="139">
        <v>0</v>
      </c>
      <c r="Y54" s="139">
        <v>0</v>
      </c>
      <c r="Z54" s="139">
        <v>0</v>
      </c>
      <c r="AA54" s="139">
        <v>0</v>
      </c>
      <c r="AB54" s="139">
        <v>0</v>
      </c>
      <c r="AC54" s="139">
        <v>0</v>
      </c>
      <c r="AD54" s="139">
        <v>2.9110933776476902</v>
      </c>
      <c r="AE54" s="139">
        <v>6.4638025244141296E-3</v>
      </c>
      <c r="AF54" s="139">
        <v>5.2404639122858698E-2</v>
      </c>
      <c r="AG54" s="139">
        <v>0</v>
      </c>
      <c r="AH54" s="139">
        <v>0.71929282055029997</v>
      </c>
      <c r="AI54" s="139">
        <v>0</v>
      </c>
      <c r="AJ54" s="139">
        <v>0</v>
      </c>
      <c r="AK54" s="139">
        <v>13.9164520059848</v>
      </c>
      <c r="AL54" s="139">
        <v>0</v>
      </c>
      <c r="AM54" s="139">
        <v>18.646554232143401</v>
      </c>
      <c r="AN54" s="139">
        <v>-0.33755695463303098</v>
      </c>
      <c r="AO54" s="139">
        <v>0.23893302339418901</v>
      </c>
      <c r="AP54" s="139">
        <v>0</v>
      </c>
      <c r="AQ54" s="139">
        <v>0</v>
      </c>
      <c r="AR54" s="140">
        <v>9.3413667654986099E-2</v>
      </c>
    </row>
    <row r="55" spans="2:44" ht="12" customHeight="1" x14ac:dyDescent="0.25">
      <c r="B55" s="138" t="s">
        <v>22</v>
      </c>
      <c r="C55" s="139" t="s">
        <v>23</v>
      </c>
      <c r="D55" s="139" t="s">
        <v>24</v>
      </c>
      <c r="E55" s="139" t="s">
        <v>1698</v>
      </c>
      <c r="F55" s="139" t="s">
        <v>25</v>
      </c>
      <c r="G55" s="139" t="s">
        <v>25</v>
      </c>
      <c r="H55" s="139" t="s">
        <v>117</v>
      </c>
      <c r="I55" s="139" t="s">
        <v>25</v>
      </c>
      <c r="J55" s="139">
        <v>3.61</v>
      </c>
      <c r="K55" s="139">
        <v>34.4</v>
      </c>
      <c r="L55" s="139">
        <v>0</v>
      </c>
      <c r="M55" s="139">
        <v>0</v>
      </c>
      <c r="N55" s="139">
        <v>0</v>
      </c>
      <c r="O55" s="139">
        <v>0</v>
      </c>
      <c r="P55" s="139">
        <v>0</v>
      </c>
      <c r="Q55" s="139">
        <v>0</v>
      </c>
      <c r="R55" s="139">
        <v>0</v>
      </c>
      <c r="S55" s="139">
        <v>0</v>
      </c>
      <c r="T55" s="139">
        <v>0.63299497339210198</v>
      </c>
      <c r="U55" s="139">
        <v>9.1628521538468597E-3</v>
      </c>
      <c r="V55" s="139">
        <v>0</v>
      </c>
      <c r="W55" s="139">
        <v>0</v>
      </c>
      <c r="X55" s="139">
        <v>0</v>
      </c>
      <c r="Y55" s="139">
        <v>0</v>
      </c>
      <c r="Z55" s="139">
        <v>0</v>
      </c>
      <c r="AA55" s="139">
        <v>0</v>
      </c>
      <c r="AB55" s="139">
        <v>0</v>
      </c>
      <c r="AC55" s="139">
        <v>0</v>
      </c>
      <c r="AD55" s="139">
        <v>2.9110933776476902</v>
      </c>
      <c r="AE55" s="139">
        <v>6.4638025244141296E-3</v>
      </c>
      <c r="AF55" s="139">
        <v>5.2404639122858698E-2</v>
      </c>
      <c r="AG55" s="139">
        <v>0</v>
      </c>
      <c r="AH55" s="139">
        <v>0.71929282055029997</v>
      </c>
      <c r="AI55" s="139">
        <v>0</v>
      </c>
      <c r="AJ55" s="139">
        <v>0</v>
      </c>
      <c r="AK55" s="139">
        <v>13.9164520059848</v>
      </c>
      <c r="AL55" s="139">
        <v>0</v>
      </c>
      <c r="AM55" s="139">
        <v>19.765347486071999</v>
      </c>
      <c r="AN55" s="139">
        <v>-0.33755695463303098</v>
      </c>
      <c r="AO55" s="139">
        <v>0.23893302339418901</v>
      </c>
      <c r="AP55" s="139">
        <v>0</v>
      </c>
      <c r="AQ55" s="139">
        <v>0</v>
      </c>
      <c r="AR55" s="140">
        <v>9.3413667654986099E-2</v>
      </c>
    </row>
    <row r="56" spans="2:44" ht="12" customHeight="1" x14ac:dyDescent="0.25">
      <c r="B56" s="138" t="s">
        <v>22</v>
      </c>
      <c r="C56" s="139" t="s">
        <v>23</v>
      </c>
      <c r="D56" s="139" t="s">
        <v>24</v>
      </c>
      <c r="E56" s="139" t="s">
        <v>24</v>
      </c>
      <c r="F56" s="139" t="s">
        <v>25</v>
      </c>
      <c r="G56" s="139" t="s">
        <v>25</v>
      </c>
      <c r="H56" s="139" t="s">
        <v>117</v>
      </c>
      <c r="I56" s="139" t="s">
        <v>25</v>
      </c>
      <c r="J56" s="139">
        <v>18.170000000000002</v>
      </c>
      <c r="K56" s="139">
        <v>34.4</v>
      </c>
      <c r="L56" s="139">
        <v>0.41653754699744699</v>
      </c>
      <c r="M56" s="139">
        <v>0</v>
      </c>
      <c r="N56" s="139">
        <v>0</v>
      </c>
      <c r="O56" s="139">
        <v>0</v>
      </c>
      <c r="P56" s="139">
        <v>0</v>
      </c>
      <c r="Q56" s="139">
        <v>11.2711233355743</v>
      </c>
      <c r="R56" s="139">
        <v>2.87089314329496</v>
      </c>
      <c r="S56" s="139">
        <v>0</v>
      </c>
      <c r="T56" s="139">
        <v>0.63299497339210198</v>
      </c>
      <c r="U56" s="139">
        <v>9.1628521538468597E-3</v>
      </c>
      <c r="V56" s="139">
        <v>0</v>
      </c>
      <c r="W56" s="139">
        <v>0</v>
      </c>
      <c r="X56" s="139">
        <v>0</v>
      </c>
      <c r="Y56" s="139">
        <v>0</v>
      </c>
      <c r="Z56" s="139">
        <v>0</v>
      </c>
      <c r="AA56" s="139">
        <v>0</v>
      </c>
      <c r="AB56" s="139">
        <v>0</v>
      </c>
      <c r="AC56" s="139">
        <v>0</v>
      </c>
      <c r="AD56" s="139">
        <v>2.9110933776476902</v>
      </c>
      <c r="AE56" s="139">
        <v>6.4638025244141296E-3</v>
      </c>
      <c r="AF56" s="139">
        <v>5.2404639122858698E-2</v>
      </c>
      <c r="AG56" s="139">
        <v>0</v>
      </c>
      <c r="AH56" s="139">
        <v>0.71929282055029997</v>
      </c>
      <c r="AI56" s="139">
        <v>0</v>
      </c>
      <c r="AJ56" s="139">
        <v>0</v>
      </c>
      <c r="AK56" s="139">
        <v>13.9164520059848</v>
      </c>
      <c r="AL56" s="139">
        <v>0</v>
      </c>
      <c r="AM56" s="139">
        <v>19.765347486071999</v>
      </c>
      <c r="AN56" s="139">
        <v>-0.33755695463303098</v>
      </c>
      <c r="AO56" s="139">
        <v>0.23893302339418901</v>
      </c>
      <c r="AP56" s="139">
        <v>0</v>
      </c>
      <c r="AQ56" s="139">
        <v>0</v>
      </c>
      <c r="AR56" s="140">
        <v>9.3413667654986099E-2</v>
      </c>
    </row>
    <row r="57" spans="2:44" ht="12" customHeight="1" x14ac:dyDescent="0.25">
      <c r="B57" s="138" t="s">
        <v>22</v>
      </c>
      <c r="C57" s="139" t="s">
        <v>131</v>
      </c>
      <c r="D57" s="139" t="s">
        <v>24</v>
      </c>
      <c r="E57" s="139" t="s">
        <v>1698</v>
      </c>
      <c r="F57" s="139" t="s">
        <v>25</v>
      </c>
      <c r="G57" s="139" t="s">
        <v>25</v>
      </c>
      <c r="H57" s="139" t="s">
        <v>117</v>
      </c>
      <c r="I57" s="139" t="s">
        <v>25</v>
      </c>
      <c r="J57" s="139">
        <v>3.61</v>
      </c>
      <c r="K57" s="139">
        <v>34.4</v>
      </c>
      <c r="L57" s="139">
        <v>0</v>
      </c>
      <c r="M57" s="139">
        <v>0</v>
      </c>
      <c r="N57" s="139">
        <v>0</v>
      </c>
      <c r="O57" s="139">
        <v>0</v>
      </c>
      <c r="P57" s="139">
        <v>0</v>
      </c>
      <c r="Q57" s="139">
        <v>0</v>
      </c>
      <c r="R57" s="139">
        <v>0</v>
      </c>
      <c r="S57" s="139">
        <v>0</v>
      </c>
      <c r="T57" s="139">
        <v>0.63299497339210198</v>
      </c>
      <c r="U57" s="139">
        <v>9.1628521538468597E-3</v>
      </c>
      <c r="V57" s="139">
        <v>0</v>
      </c>
      <c r="W57" s="139">
        <v>0</v>
      </c>
      <c r="X57" s="139">
        <v>0</v>
      </c>
      <c r="Y57" s="139">
        <v>0</v>
      </c>
      <c r="Z57" s="139">
        <v>0</v>
      </c>
      <c r="AA57" s="139">
        <v>0</v>
      </c>
      <c r="AB57" s="139">
        <v>0</v>
      </c>
      <c r="AC57" s="139">
        <v>0</v>
      </c>
      <c r="AD57" s="139">
        <v>2.9110933776476902</v>
      </c>
      <c r="AE57" s="139">
        <v>6.4638025244141296E-3</v>
      </c>
      <c r="AF57" s="139">
        <v>5.2404639122858698E-2</v>
      </c>
      <c r="AG57" s="139">
        <v>0</v>
      </c>
      <c r="AH57" s="139">
        <v>0.71929282055029997</v>
      </c>
      <c r="AI57" s="139">
        <v>0</v>
      </c>
      <c r="AJ57" s="139">
        <v>0</v>
      </c>
      <c r="AK57" s="139">
        <v>13.9164520059848</v>
      </c>
      <c r="AL57" s="139">
        <v>0</v>
      </c>
      <c r="AM57" s="139">
        <v>19.765347486071999</v>
      </c>
      <c r="AN57" s="139">
        <v>-0.33755695463303098</v>
      </c>
      <c r="AO57" s="139">
        <v>0.23893302339418901</v>
      </c>
      <c r="AP57" s="139">
        <v>0</v>
      </c>
      <c r="AQ57" s="139">
        <v>0</v>
      </c>
      <c r="AR57" s="140">
        <v>9.3413667654986099E-2</v>
      </c>
    </row>
    <row r="58" spans="2:44" ht="12" customHeight="1" x14ac:dyDescent="0.25">
      <c r="B58" s="138" t="s">
        <v>22</v>
      </c>
      <c r="C58" s="139" t="s">
        <v>131</v>
      </c>
      <c r="D58" s="139" t="s">
        <v>24</v>
      </c>
      <c r="E58" s="139" t="s">
        <v>24</v>
      </c>
      <c r="F58" s="139" t="s">
        <v>25</v>
      </c>
      <c r="G58" s="139" t="s">
        <v>25</v>
      </c>
      <c r="H58" s="139" t="s">
        <v>117</v>
      </c>
      <c r="I58" s="139" t="s">
        <v>25</v>
      </c>
      <c r="J58" s="139">
        <v>18.170000000000002</v>
      </c>
      <c r="K58" s="139">
        <v>34.4</v>
      </c>
      <c r="L58" s="139">
        <v>0.41653754699744699</v>
      </c>
      <c r="M58" s="139">
        <v>0</v>
      </c>
      <c r="N58" s="139">
        <v>0</v>
      </c>
      <c r="O58" s="139">
        <v>0</v>
      </c>
      <c r="P58" s="139">
        <v>0</v>
      </c>
      <c r="Q58" s="139">
        <v>11.2711233355743</v>
      </c>
      <c r="R58" s="139">
        <v>2.87089314329496</v>
      </c>
      <c r="S58" s="139">
        <v>0</v>
      </c>
      <c r="T58" s="139">
        <v>0.63299497339210198</v>
      </c>
      <c r="U58" s="139">
        <v>9.1628521538468597E-3</v>
      </c>
      <c r="V58" s="139">
        <v>0</v>
      </c>
      <c r="W58" s="139">
        <v>0</v>
      </c>
      <c r="X58" s="139">
        <v>0</v>
      </c>
      <c r="Y58" s="139">
        <v>0</v>
      </c>
      <c r="Z58" s="139">
        <v>0</v>
      </c>
      <c r="AA58" s="139">
        <v>0</v>
      </c>
      <c r="AB58" s="139">
        <v>0</v>
      </c>
      <c r="AC58" s="139">
        <v>0</v>
      </c>
      <c r="AD58" s="139">
        <v>2.9110933776476902</v>
      </c>
      <c r="AE58" s="139">
        <v>6.4638025244141296E-3</v>
      </c>
      <c r="AF58" s="139">
        <v>5.2404639122858698E-2</v>
      </c>
      <c r="AG58" s="139">
        <v>0</v>
      </c>
      <c r="AH58" s="139">
        <v>0.71929282055029997</v>
      </c>
      <c r="AI58" s="139">
        <v>0</v>
      </c>
      <c r="AJ58" s="139">
        <v>0</v>
      </c>
      <c r="AK58" s="139">
        <v>13.9164520059848</v>
      </c>
      <c r="AL58" s="139">
        <v>0</v>
      </c>
      <c r="AM58" s="139">
        <v>19.765347486071999</v>
      </c>
      <c r="AN58" s="139">
        <v>-0.33755695463303098</v>
      </c>
      <c r="AO58" s="139">
        <v>0.23893302339418901</v>
      </c>
      <c r="AP58" s="139">
        <v>0</v>
      </c>
      <c r="AQ58" s="139">
        <v>0</v>
      </c>
      <c r="AR58" s="140">
        <v>9.3413667654986099E-2</v>
      </c>
    </row>
    <row r="59" spans="2:44" ht="12" customHeight="1" x14ac:dyDescent="0.25">
      <c r="B59" s="138" t="s">
        <v>44</v>
      </c>
      <c r="C59" s="139" t="s">
        <v>33</v>
      </c>
      <c r="D59" s="139" t="s">
        <v>45</v>
      </c>
      <c r="E59" s="139" t="s">
        <v>132</v>
      </c>
      <c r="F59" s="139" t="s">
        <v>25</v>
      </c>
      <c r="G59" s="139" t="s">
        <v>34</v>
      </c>
      <c r="H59" s="139" t="s">
        <v>117</v>
      </c>
      <c r="I59" s="139" t="s">
        <v>25</v>
      </c>
      <c r="J59" s="139">
        <v>18.2</v>
      </c>
      <c r="K59" s="139">
        <v>43.9</v>
      </c>
      <c r="L59" s="139">
        <v>0.39154529417759998</v>
      </c>
      <c r="M59" s="139">
        <v>0</v>
      </c>
      <c r="N59" s="139">
        <v>0</v>
      </c>
      <c r="O59" s="139">
        <v>0</v>
      </c>
      <c r="P59" s="139">
        <v>0</v>
      </c>
      <c r="Q59" s="139">
        <v>10.594855935439901</v>
      </c>
      <c r="R59" s="139">
        <v>2.6986395546972601</v>
      </c>
      <c r="S59" s="139">
        <v>0</v>
      </c>
      <c r="T59" s="139">
        <v>1.6957896051866399</v>
      </c>
      <c r="U59" s="139">
        <v>2.45476411278698E-2</v>
      </c>
      <c r="V59" s="139">
        <v>0</v>
      </c>
      <c r="W59" s="139">
        <v>0</v>
      </c>
      <c r="X59" s="139">
        <v>0</v>
      </c>
      <c r="Y59" s="139">
        <v>0</v>
      </c>
      <c r="Z59" s="139">
        <v>0</v>
      </c>
      <c r="AA59" s="139">
        <v>0</v>
      </c>
      <c r="AB59" s="139">
        <v>0</v>
      </c>
      <c r="AC59" s="139">
        <v>0</v>
      </c>
      <c r="AD59" s="139">
        <v>2.7364277749888299</v>
      </c>
      <c r="AE59" s="139">
        <v>6.0759743729492796E-3</v>
      </c>
      <c r="AF59" s="139">
        <v>4.9260360775487198E-2</v>
      </c>
      <c r="AG59" s="139">
        <v>0</v>
      </c>
      <c r="AH59" s="139">
        <v>0.67613525131728203</v>
      </c>
      <c r="AI59" s="139">
        <v>0</v>
      </c>
      <c r="AJ59" s="139">
        <v>0</v>
      </c>
      <c r="AK59" s="139">
        <v>13.081464885625699</v>
      </c>
      <c r="AL59" s="139">
        <v>0</v>
      </c>
      <c r="AM59" s="139">
        <v>30.147748882529498</v>
      </c>
      <c r="AN59" s="139">
        <v>-0.31730353735504901</v>
      </c>
      <c r="AO59" s="139">
        <v>0.22459704199053701</v>
      </c>
      <c r="AP59" s="139">
        <v>0</v>
      </c>
      <c r="AQ59" s="139">
        <v>0</v>
      </c>
      <c r="AR59" s="140">
        <v>8.7808847595686898E-2</v>
      </c>
    </row>
    <row r="60" spans="2:44" ht="12" customHeight="1" x14ac:dyDescent="0.25">
      <c r="B60" s="138" t="s">
        <v>44</v>
      </c>
      <c r="C60" s="139" t="s">
        <v>33</v>
      </c>
      <c r="D60" s="139" t="s">
        <v>45</v>
      </c>
      <c r="E60" s="139" t="s">
        <v>132</v>
      </c>
      <c r="F60" s="139" t="s">
        <v>25</v>
      </c>
      <c r="G60" s="139" t="s">
        <v>36</v>
      </c>
      <c r="H60" s="139" t="s">
        <v>117</v>
      </c>
      <c r="I60" s="139" t="s">
        <v>25</v>
      </c>
      <c r="J60" s="139">
        <v>17.510000000000002</v>
      </c>
      <c r="K60" s="139">
        <v>31.28</v>
      </c>
      <c r="L60" s="139">
        <v>0.39154529417759998</v>
      </c>
      <c r="M60" s="139">
        <v>0</v>
      </c>
      <c r="N60" s="139">
        <v>0</v>
      </c>
      <c r="O60" s="139">
        <v>0</v>
      </c>
      <c r="P60" s="139">
        <v>0</v>
      </c>
      <c r="Q60" s="139">
        <v>10.594855935439901</v>
      </c>
      <c r="R60" s="139">
        <v>2.6986395546972601</v>
      </c>
      <c r="S60" s="139">
        <v>0</v>
      </c>
      <c r="T60" s="139">
        <v>1.01747561183236</v>
      </c>
      <c r="U60" s="139">
        <v>1.4728378843742399E-2</v>
      </c>
      <c r="V60" s="139">
        <v>0</v>
      </c>
      <c r="W60" s="139">
        <v>0</v>
      </c>
      <c r="X60" s="139">
        <v>0</v>
      </c>
      <c r="Y60" s="139">
        <v>0</v>
      </c>
      <c r="Z60" s="139">
        <v>0</v>
      </c>
      <c r="AA60" s="139">
        <v>0</v>
      </c>
      <c r="AB60" s="139">
        <v>0</v>
      </c>
      <c r="AC60" s="139">
        <v>0</v>
      </c>
      <c r="AD60" s="139">
        <v>2.7364277749888299</v>
      </c>
      <c r="AE60" s="139">
        <v>6.0759743729492796E-3</v>
      </c>
      <c r="AF60" s="139">
        <v>4.9260360775487198E-2</v>
      </c>
      <c r="AG60" s="139">
        <v>0</v>
      </c>
      <c r="AH60" s="139">
        <v>0.67613525131728203</v>
      </c>
      <c r="AI60" s="139">
        <v>0</v>
      </c>
      <c r="AJ60" s="139">
        <v>0</v>
      </c>
      <c r="AK60" s="139">
        <v>13.081464885625699</v>
      </c>
      <c r="AL60" s="139">
        <v>0</v>
      </c>
      <c r="AM60" s="139">
        <v>17.527760978214801</v>
      </c>
      <c r="AN60" s="139">
        <v>-0.31730353735504901</v>
      </c>
      <c r="AO60" s="139">
        <v>0.22459704199053701</v>
      </c>
      <c r="AP60" s="139">
        <v>0</v>
      </c>
      <c r="AQ60" s="139">
        <v>0</v>
      </c>
      <c r="AR60" s="140">
        <v>8.7808847595686898E-2</v>
      </c>
    </row>
    <row r="61" spans="2:44" ht="12" customHeight="1" x14ac:dyDescent="0.25">
      <c r="B61" s="138" t="s">
        <v>44</v>
      </c>
      <c r="C61" s="139" t="s">
        <v>33</v>
      </c>
      <c r="D61" s="139" t="s">
        <v>45</v>
      </c>
      <c r="E61" s="139" t="s">
        <v>132</v>
      </c>
      <c r="F61" s="139" t="s">
        <v>25</v>
      </c>
      <c r="G61" s="139" t="s">
        <v>35</v>
      </c>
      <c r="H61" s="139" t="s">
        <v>117</v>
      </c>
      <c r="I61" s="139" t="s">
        <v>25</v>
      </c>
      <c r="J61" s="139">
        <v>16.82</v>
      </c>
      <c r="K61" s="139">
        <v>31.28</v>
      </c>
      <c r="L61" s="139">
        <v>0.39154529417759998</v>
      </c>
      <c r="M61" s="139">
        <v>0</v>
      </c>
      <c r="N61" s="139">
        <v>0</v>
      </c>
      <c r="O61" s="139">
        <v>0</v>
      </c>
      <c r="P61" s="139">
        <v>0</v>
      </c>
      <c r="Q61" s="139">
        <v>10.594855935439901</v>
      </c>
      <c r="R61" s="139">
        <v>2.6986395546972601</v>
      </c>
      <c r="S61" s="139">
        <v>0</v>
      </c>
      <c r="T61" s="139">
        <v>0.33915699667714</v>
      </c>
      <c r="U61" s="139">
        <v>4.9096311420636701E-3</v>
      </c>
      <c r="V61" s="139">
        <v>0</v>
      </c>
      <c r="W61" s="139">
        <v>0</v>
      </c>
      <c r="X61" s="139">
        <v>0</v>
      </c>
      <c r="Y61" s="139">
        <v>0</v>
      </c>
      <c r="Z61" s="139">
        <v>0</v>
      </c>
      <c r="AA61" s="139">
        <v>0</v>
      </c>
      <c r="AB61" s="139">
        <v>0</v>
      </c>
      <c r="AC61" s="139">
        <v>0</v>
      </c>
      <c r="AD61" s="139">
        <v>2.7364277749888299</v>
      </c>
      <c r="AE61" s="139">
        <v>6.0759743729492796E-3</v>
      </c>
      <c r="AF61" s="139">
        <v>4.9260360775487198E-2</v>
      </c>
      <c r="AG61" s="139">
        <v>0</v>
      </c>
      <c r="AH61" s="139">
        <v>0.67613525131728203</v>
      </c>
      <c r="AI61" s="139">
        <v>0</v>
      </c>
      <c r="AJ61" s="139">
        <v>0</v>
      </c>
      <c r="AK61" s="139">
        <v>13.081464885625699</v>
      </c>
      <c r="AL61" s="139">
        <v>0</v>
      </c>
      <c r="AM61" s="139">
        <v>17.527760978214801</v>
      </c>
      <c r="AN61" s="139">
        <v>-0.31730353735504901</v>
      </c>
      <c r="AO61" s="139">
        <v>0.22459704199053701</v>
      </c>
      <c r="AP61" s="139">
        <v>0</v>
      </c>
      <c r="AQ61" s="139">
        <v>0</v>
      </c>
      <c r="AR61" s="140">
        <v>8.7808847595686898E-2</v>
      </c>
    </row>
    <row r="62" spans="2:44" ht="12" customHeight="1" x14ac:dyDescent="0.25">
      <c r="B62" s="138" t="s">
        <v>44</v>
      </c>
      <c r="C62" s="139" t="s">
        <v>33</v>
      </c>
      <c r="D62" s="139" t="s">
        <v>45</v>
      </c>
      <c r="E62" s="139" t="s">
        <v>25</v>
      </c>
      <c r="F62" s="139" t="s">
        <v>25</v>
      </c>
      <c r="G62" s="139" t="s">
        <v>34</v>
      </c>
      <c r="H62" s="139" t="s">
        <v>117</v>
      </c>
      <c r="I62" s="139" t="s">
        <v>25</v>
      </c>
      <c r="J62" s="139">
        <v>18.2</v>
      </c>
      <c r="K62" s="139">
        <v>43.9</v>
      </c>
      <c r="L62" s="139">
        <v>0.39154529417759998</v>
      </c>
      <c r="M62" s="139">
        <v>0</v>
      </c>
      <c r="N62" s="139">
        <v>0</v>
      </c>
      <c r="O62" s="139">
        <v>0</v>
      </c>
      <c r="P62" s="139">
        <v>0</v>
      </c>
      <c r="Q62" s="139">
        <v>10.594855935439901</v>
      </c>
      <c r="R62" s="139">
        <v>2.6986395546972601</v>
      </c>
      <c r="S62" s="139">
        <v>0</v>
      </c>
      <c r="T62" s="139">
        <v>1.6957896051866399</v>
      </c>
      <c r="U62" s="139">
        <v>2.45476411278698E-2</v>
      </c>
      <c r="V62" s="139">
        <v>0</v>
      </c>
      <c r="W62" s="139">
        <v>0</v>
      </c>
      <c r="X62" s="139">
        <v>0</v>
      </c>
      <c r="Y62" s="139">
        <v>0</v>
      </c>
      <c r="Z62" s="139">
        <v>0</v>
      </c>
      <c r="AA62" s="139">
        <v>0</v>
      </c>
      <c r="AB62" s="139">
        <v>0</v>
      </c>
      <c r="AC62" s="139">
        <v>0</v>
      </c>
      <c r="AD62" s="139">
        <v>2.7364277749888299</v>
      </c>
      <c r="AE62" s="139">
        <v>6.0759743729492796E-3</v>
      </c>
      <c r="AF62" s="139">
        <v>4.9260360775487198E-2</v>
      </c>
      <c r="AG62" s="139">
        <v>0</v>
      </c>
      <c r="AH62" s="139">
        <v>0.67613525131728203</v>
      </c>
      <c r="AI62" s="139">
        <v>0</v>
      </c>
      <c r="AJ62" s="139">
        <v>0</v>
      </c>
      <c r="AK62" s="139">
        <v>13.081464885625699</v>
      </c>
      <c r="AL62" s="139">
        <v>0</v>
      </c>
      <c r="AM62" s="139">
        <v>30.147748882529498</v>
      </c>
      <c r="AN62" s="139">
        <v>-0.31730353735504901</v>
      </c>
      <c r="AO62" s="139">
        <v>0.22459704199053701</v>
      </c>
      <c r="AP62" s="139">
        <v>0</v>
      </c>
      <c r="AQ62" s="139">
        <v>0</v>
      </c>
      <c r="AR62" s="140">
        <v>8.7808847595686898E-2</v>
      </c>
    </row>
    <row r="63" spans="2:44" ht="12" customHeight="1" x14ac:dyDescent="0.25">
      <c r="B63" s="138" t="s">
        <v>44</v>
      </c>
      <c r="C63" s="139" t="s">
        <v>33</v>
      </c>
      <c r="D63" s="139" t="s">
        <v>45</v>
      </c>
      <c r="E63" s="139" t="s">
        <v>25</v>
      </c>
      <c r="F63" s="139" t="s">
        <v>25</v>
      </c>
      <c r="G63" s="139" t="s">
        <v>36</v>
      </c>
      <c r="H63" s="139" t="s">
        <v>117</v>
      </c>
      <c r="I63" s="139" t="s">
        <v>25</v>
      </c>
      <c r="J63" s="139">
        <v>17.510000000000002</v>
      </c>
      <c r="K63" s="139">
        <v>31.28</v>
      </c>
      <c r="L63" s="139">
        <v>0.39154529417759998</v>
      </c>
      <c r="M63" s="139">
        <v>0</v>
      </c>
      <c r="N63" s="139">
        <v>0</v>
      </c>
      <c r="O63" s="139">
        <v>0</v>
      </c>
      <c r="P63" s="139">
        <v>0</v>
      </c>
      <c r="Q63" s="139">
        <v>10.594855935439901</v>
      </c>
      <c r="R63" s="139">
        <v>2.6986395546972601</v>
      </c>
      <c r="S63" s="139">
        <v>0</v>
      </c>
      <c r="T63" s="139">
        <v>1.01747561183236</v>
      </c>
      <c r="U63" s="139">
        <v>1.4728378843742399E-2</v>
      </c>
      <c r="V63" s="139">
        <v>0</v>
      </c>
      <c r="W63" s="139">
        <v>0</v>
      </c>
      <c r="X63" s="139">
        <v>0</v>
      </c>
      <c r="Y63" s="139">
        <v>0</v>
      </c>
      <c r="Z63" s="139">
        <v>0</v>
      </c>
      <c r="AA63" s="139">
        <v>0</v>
      </c>
      <c r="AB63" s="139">
        <v>0</v>
      </c>
      <c r="AC63" s="139">
        <v>0</v>
      </c>
      <c r="AD63" s="139">
        <v>2.7364277749888299</v>
      </c>
      <c r="AE63" s="139">
        <v>6.0759743729492796E-3</v>
      </c>
      <c r="AF63" s="139">
        <v>4.9260360775487198E-2</v>
      </c>
      <c r="AG63" s="139">
        <v>0</v>
      </c>
      <c r="AH63" s="139">
        <v>0.67613525131728203</v>
      </c>
      <c r="AI63" s="139">
        <v>0</v>
      </c>
      <c r="AJ63" s="139">
        <v>0</v>
      </c>
      <c r="AK63" s="139">
        <v>13.081464885625699</v>
      </c>
      <c r="AL63" s="139">
        <v>0</v>
      </c>
      <c r="AM63" s="139">
        <v>17.527760978214801</v>
      </c>
      <c r="AN63" s="139">
        <v>-0.31730353735504901</v>
      </c>
      <c r="AO63" s="139">
        <v>0.22459704199053701</v>
      </c>
      <c r="AP63" s="139">
        <v>0</v>
      </c>
      <c r="AQ63" s="139">
        <v>0</v>
      </c>
      <c r="AR63" s="140">
        <v>8.7808847595686898E-2</v>
      </c>
    </row>
    <row r="64" spans="2:44" ht="12" customHeight="1" x14ac:dyDescent="0.25">
      <c r="B64" s="138" t="s">
        <v>44</v>
      </c>
      <c r="C64" s="139" t="s">
        <v>33</v>
      </c>
      <c r="D64" s="139" t="s">
        <v>45</v>
      </c>
      <c r="E64" s="139" t="s">
        <v>25</v>
      </c>
      <c r="F64" s="139" t="s">
        <v>25</v>
      </c>
      <c r="G64" s="139" t="s">
        <v>35</v>
      </c>
      <c r="H64" s="139" t="s">
        <v>117</v>
      </c>
      <c r="I64" s="139" t="s">
        <v>25</v>
      </c>
      <c r="J64" s="139">
        <v>16.82</v>
      </c>
      <c r="K64" s="139">
        <v>31.28</v>
      </c>
      <c r="L64" s="139">
        <v>0.39154529417759998</v>
      </c>
      <c r="M64" s="139">
        <v>0</v>
      </c>
      <c r="N64" s="139">
        <v>0</v>
      </c>
      <c r="O64" s="139">
        <v>0</v>
      </c>
      <c r="P64" s="139">
        <v>0</v>
      </c>
      <c r="Q64" s="139">
        <v>10.594855935439901</v>
      </c>
      <c r="R64" s="139">
        <v>2.6986395546972601</v>
      </c>
      <c r="S64" s="139">
        <v>0</v>
      </c>
      <c r="T64" s="139">
        <v>0.33915699667714</v>
      </c>
      <c r="U64" s="139">
        <v>4.9096311420636701E-3</v>
      </c>
      <c r="V64" s="139">
        <v>0</v>
      </c>
      <c r="W64" s="139">
        <v>0</v>
      </c>
      <c r="X64" s="139">
        <v>0</v>
      </c>
      <c r="Y64" s="139">
        <v>0</v>
      </c>
      <c r="Z64" s="139">
        <v>0</v>
      </c>
      <c r="AA64" s="139">
        <v>0</v>
      </c>
      <c r="AB64" s="139">
        <v>0</v>
      </c>
      <c r="AC64" s="139">
        <v>0</v>
      </c>
      <c r="AD64" s="139">
        <v>2.7364277749888299</v>
      </c>
      <c r="AE64" s="139">
        <v>6.0759743729492796E-3</v>
      </c>
      <c r="AF64" s="139">
        <v>4.9260360775487198E-2</v>
      </c>
      <c r="AG64" s="139">
        <v>0</v>
      </c>
      <c r="AH64" s="139">
        <v>0.67613525131728203</v>
      </c>
      <c r="AI64" s="139">
        <v>0</v>
      </c>
      <c r="AJ64" s="139">
        <v>0</v>
      </c>
      <c r="AK64" s="139">
        <v>13.081464885625699</v>
      </c>
      <c r="AL64" s="139">
        <v>0</v>
      </c>
      <c r="AM64" s="139">
        <v>17.527760978214801</v>
      </c>
      <c r="AN64" s="139">
        <v>-0.31730353735504901</v>
      </c>
      <c r="AO64" s="139">
        <v>0.22459704199053701</v>
      </c>
      <c r="AP64" s="139">
        <v>0</v>
      </c>
      <c r="AQ64" s="139">
        <v>0</v>
      </c>
      <c r="AR64" s="140">
        <v>8.7808847595686898E-2</v>
      </c>
    </row>
    <row r="65" spans="2:44" ht="12" customHeight="1" x14ac:dyDescent="0.25">
      <c r="B65" s="138" t="s">
        <v>44</v>
      </c>
      <c r="C65" s="139" t="s">
        <v>33</v>
      </c>
      <c r="D65" s="139" t="s">
        <v>45</v>
      </c>
      <c r="E65" s="139" t="s">
        <v>133</v>
      </c>
      <c r="F65" s="139" t="s">
        <v>25</v>
      </c>
      <c r="G65" s="139" t="s">
        <v>34</v>
      </c>
      <c r="H65" s="139" t="s">
        <v>117</v>
      </c>
      <c r="I65" s="139" t="s">
        <v>25</v>
      </c>
      <c r="J65" s="139">
        <v>17.809999999999999</v>
      </c>
      <c r="K65" s="139">
        <v>42.97</v>
      </c>
      <c r="L65" s="139">
        <v>0.38321454323765097</v>
      </c>
      <c r="M65" s="139">
        <v>0</v>
      </c>
      <c r="N65" s="139">
        <v>0</v>
      </c>
      <c r="O65" s="139">
        <v>0</v>
      </c>
      <c r="P65" s="139">
        <v>0</v>
      </c>
      <c r="Q65" s="139">
        <v>10.369433468728401</v>
      </c>
      <c r="R65" s="139">
        <v>2.64122169183136</v>
      </c>
      <c r="S65" s="139">
        <v>0</v>
      </c>
      <c r="T65" s="139">
        <v>1.6597089752890499</v>
      </c>
      <c r="U65" s="139">
        <v>2.4025350891106599E-2</v>
      </c>
      <c r="V65" s="139">
        <v>0</v>
      </c>
      <c r="W65" s="139">
        <v>0</v>
      </c>
      <c r="X65" s="139">
        <v>0</v>
      </c>
      <c r="Y65" s="139">
        <v>0</v>
      </c>
      <c r="Z65" s="139">
        <v>0</v>
      </c>
      <c r="AA65" s="139">
        <v>0</v>
      </c>
      <c r="AB65" s="139">
        <v>0</v>
      </c>
      <c r="AC65" s="139">
        <v>0</v>
      </c>
      <c r="AD65" s="139">
        <v>2.6782059074358799</v>
      </c>
      <c r="AE65" s="139">
        <v>5.946698322461E-3</v>
      </c>
      <c r="AF65" s="139">
        <v>4.8212267993030002E-2</v>
      </c>
      <c r="AG65" s="139">
        <v>0</v>
      </c>
      <c r="AH65" s="139">
        <v>0.66174939490627604</v>
      </c>
      <c r="AI65" s="139">
        <v>0</v>
      </c>
      <c r="AJ65" s="139">
        <v>0</v>
      </c>
      <c r="AK65" s="139">
        <v>12.803135845506</v>
      </c>
      <c r="AL65" s="139">
        <v>0</v>
      </c>
      <c r="AM65" s="139">
        <v>29.506307416943802</v>
      </c>
      <c r="AN65" s="139">
        <v>-0.31055239826238901</v>
      </c>
      <c r="AO65" s="139">
        <v>0.21981838152265401</v>
      </c>
      <c r="AP65" s="139">
        <v>0</v>
      </c>
      <c r="AQ65" s="139">
        <v>0</v>
      </c>
      <c r="AR65" s="140">
        <v>8.5940574242587206E-2</v>
      </c>
    </row>
    <row r="66" spans="2:44" ht="12" customHeight="1" x14ac:dyDescent="0.25">
      <c r="B66" s="138" t="s">
        <v>44</v>
      </c>
      <c r="C66" s="139" t="s">
        <v>33</v>
      </c>
      <c r="D66" s="139" t="s">
        <v>45</v>
      </c>
      <c r="E66" s="139" t="s">
        <v>133</v>
      </c>
      <c r="F66" s="139" t="s">
        <v>25</v>
      </c>
      <c r="G66" s="139" t="s">
        <v>36</v>
      </c>
      <c r="H66" s="139" t="s">
        <v>117</v>
      </c>
      <c r="I66" s="139" t="s">
        <v>25</v>
      </c>
      <c r="J66" s="139">
        <v>17.14</v>
      </c>
      <c r="K66" s="139">
        <v>30.61</v>
      </c>
      <c r="L66" s="139">
        <v>0.38321454323765097</v>
      </c>
      <c r="M66" s="139">
        <v>0</v>
      </c>
      <c r="N66" s="139">
        <v>0</v>
      </c>
      <c r="O66" s="139">
        <v>0</v>
      </c>
      <c r="P66" s="139">
        <v>0</v>
      </c>
      <c r="Q66" s="139">
        <v>10.369433468728401</v>
      </c>
      <c r="R66" s="139">
        <v>2.64122169183136</v>
      </c>
      <c r="S66" s="139">
        <v>0</v>
      </c>
      <c r="T66" s="139">
        <v>0.995827194559332</v>
      </c>
      <c r="U66" s="139">
        <v>1.4415009081109599E-2</v>
      </c>
      <c r="V66" s="139">
        <v>0</v>
      </c>
      <c r="W66" s="139">
        <v>0</v>
      </c>
      <c r="X66" s="139">
        <v>0</v>
      </c>
      <c r="Y66" s="139">
        <v>0</v>
      </c>
      <c r="Z66" s="139">
        <v>0</v>
      </c>
      <c r="AA66" s="139">
        <v>0</v>
      </c>
      <c r="AB66" s="139">
        <v>0</v>
      </c>
      <c r="AC66" s="139">
        <v>0</v>
      </c>
      <c r="AD66" s="139">
        <v>2.6782059074358799</v>
      </c>
      <c r="AE66" s="139">
        <v>5.946698322461E-3</v>
      </c>
      <c r="AF66" s="139">
        <v>4.8212267993030002E-2</v>
      </c>
      <c r="AG66" s="139">
        <v>0</v>
      </c>
      <c r="AH66" s="139">
        <v>0.66174939490627604</v>
      </c>
      <c r="AI66" s="139">
        <v>0</v>
      </c>
      <c r="AJ66" s="139">
        <v>0</v>
      </c>
      <c r="AK66" s="139">
        <v>12.803135845506</v>
      </c>
      <c r="AL66" s="139">
        <v>0</v>
      </c>
      <c r="AM66" s="139">
        <v>17.154829893572</v>
      </c>
      <c r="AN66" s="139">
        <v>-0.31055239826238901</v>
      </c>
      <c r="AO66" s="139">
        <v>0.21981838152265401</v>
      </c>
      <c r="AP66" s="139">
        <v>0</v>
      </c>
      <c r="AQ66" s="139">
        <v>0</v>
      </c>
      <c r="AR66" s="140">
        <v>8.5940574242587206E-2</v>
      </c>
    </row>
    <row r="67" spans="2:44" ht="12" customHeight="1" x14ac:dyDescent="0.25">
      <c r="B67" s="138" t="s">
        <v>44</v>
      </c>
      <c r="C67" s="139" t="s">
        <v>33</v>
      </c>
      <c r="D67" s="139" t="s">
        <v>45</v>
      </c>
      <c r="E67" s="139" t="s">
        <v>133</v>
      </c>
      <c r="F67" s="139" t="s">
        <v>25</v>
      </c>
      <c r="G67" s="139" t="s">
        <v>35</v>
      </c>
      <c r="H67" s="139" t="s">
        <v>117</v>
      </c>
      <c r="I67" s="139" t="s">
        <v>25</v>
      </c>
      <c r="J67" s="139">
        <v>16.46</v>
      </c>
      <c r="K67" s="139">
        <v>30.61</v>
      </c>
      <c r="L67" s="139">
        <v>0.38321454323765097</v>
      </c>
      <c r="M67" s="139">
        <v>0</v>
      </c>
      <c r="N67" s="139">
        <v>0</v>
      </c>
      <c r="O67" s="139">
        <v>0</v>
      </c>
      <c r="P67" s="139">
        <v>0</v>
      </c>
      <c r="Q67" s="139">
        <v>10.369433468728401</v>
      </c>
      <c r="R67" s="139">
        <v>2.64122169183136</v>
      </c>
      <c r="S67" s="139">
        <v>0</v>
      </c>
      <c r="T67" s="139">
        <v>0.33194089036486002</v>
      </c>
      <c r="U67" s="139">
        <v>4.8051709049984903E-3</v>
      </c>
      <c r="V67" s="139">
        <v>0</v>
      </c>
      <c r="W67" s="139">
        <v>0</v>
      </c>
      <c r="X67" s="139">
        <v>0</v>
      </c>
      <c r="Y67" s="139">
        <v>0</v>
      </c>
      <c r="Z67" s="139">
        <v>0</v>
      </c>
      <c r="AA67" s="139">
        <v>0</v>
      </c>
      <c r="AB67" s="139">
        <v>0</v>
      </c>
      <c r="AC67" s="139">
        <v>0</v>
      </c>
      <c r="AD67" s="139">
        <v>2.6782059074358799</v>
      </c>
      <c r="AE67" s="139">
        <v>5.946698322461E-3</v>
      </c>
      <c r="AF67" s="139">
        <v>4.8212267993030002E-2</v>
      </c>
      <c r="AG67" s="139">
        <v>0</v>
      </c>
      <c r="AH67" s="139">
        <v>0.66174939490627604</v>
      </c>
      <c r="AI67" s="139">
        <v>0</v>
      </c>
      <c r="AJ67" s="139">
        <v>0</v>
      </c>
      <c r="AK67" s="139">
        <v>12.803135845506</v>
      </c>
      <c r="AL67" s="139">
        <v>0</v>
      </c>
      <c r="AM67" s="139">
        <v>17.154829893572</v>
      </c>
      <c r="AN67" s="139">
        <v>-0.31055239826238901</v>
      </c>
      <c r="AO67" s="139">
        <v>0.21981838152265401</v>
      </c>
      <c r="AP67" s="139">
        <v>0</v>
      </c>
      <c r="AQ67" s="139">
        <v>0</v>
      </c>
      <c r="AR67" s="140">
        <v>8.5940574242587206E-2</v>
      </c>
    </row>
    <row r="68" spans="2:44" ht="12" customHeight="1" x14ac:dyDescent="0.25">
      <c r="B68" s="138" t="s">
        <v>44</v>
      </c>
      <c r="C68" s="139" t="s">
        <v>23</v>
      </c>
      <c r="D68" s="139" t="s">
        <v>45</v>
      </c>
      <c r="E68" s="139" t="s">
        <v>132</v>
      </c>
      <c r="F68" s="139" t="s">
        <v>25</v>
      </c>
      <c r="G68" s="139" t="s">
        <v>25</v>
      </c>
      <c r="H68" s="139" t="s">
        <v>117</v>
      </c>
      <c r="I68" s="139" t="s">
        <v>25</v>
      </c>
      <c r="J68" s="139">
        <v>17.079999999999998</v>
      </c>
      <c r="K68" s="139">
        <v>32.33</v>
      </c>
      <c r="L68" s="139">
        <v>0.39154529417759998</v>
      </c>
      <c r="M68" s="139">
        <v>0</v>
      </c>
      <c r="N68" s="139">
        <v>0</v>
      </c>
      <c r="O68" s="139">
        <v>0</v>
      </c>
      <c r="P68" s="139">
        <v>0</v>
      </c>
      <c r="Q68" s="139">
        <v>10.594855935439901</v>
      </c>
      <c r="R68" s="139">
        <v>2.6986395546972601</v>
      </c>
      <c r="S68" s="139">
        <v>0</v>
      </c>
      <c r="T68" s="139">
        <v>0.59501527498857598</v>
      </c>
      <c r="U68" s="139">
        <v>8.6130810246160504E-3</v>
      </c>
      <c r="V68" s="139">
        <v>0</v>
      </c>
      <c r="W68" s="139">
        <v>0</v>
      </c>
      <c r="X68" s="139">
        <v>0</v>
      </c>
      <c r="Y68" s="139">
        <v>0</v>
      </c>
      <c r="Z68" s="139">
        <v>0</v>
      </c>
      <c r="AA68" s="139">
        <v>0</v>
      </c>
      <c r="AB68" s="139">
        <v>0</v>
      </c>
      <c r="AC68" s="139">
        <v>0</v>
      </c>
      <c r="AD68" s="139">
        <v>2.7364277749888299</v>
      </c>
      <c r="AE68" s="139">
        <v>6.0759743729492796E-3</v>
      </c>
      <c r="AF68" s="139">
        <v>4.9260360775487198E-2</v>
      </c>
      <c r="AG68" s="139">
        <v>0</v>
      </c>
      <c r="AH68" s="139">
        <v>0.67613525131728203</v>
      </c>
      <c r="AI68" s="139">
        <v>0</v>
      </c>
      <c r="AJ68" s="139">
        <v>0</v>
      </c>
      <c r="AK68" s="139">
        <v>13.081464885625699</v>
      </c>
      <c r="AL68" s="139">
        <v>0</v>
      </c>
      <c r="AM68" s="139">
        <v>18.579426636907701</v>
      </c>
      <c r="AN68" s="139">
        <v>-0.31730353735504901</v>
      </c>
      <c r="AO68" s="139">
        <v>0.22459704199053701</v>
      </c>
      <c r="AP68" s="139">
        <v>0</v>
      </c>
      <c r="AQ68" s="139">
        <v>0</v>
      </c>
      <c r="AR68" s="140">
        <v>8.7808847595686898E-2</v>
      </c>
    </row>
    <row r="69" spans="2:44" ht="12" customHeight="1" x14ac:dyDescent="0.25">
      <c r="B69" s="138" t="s">
        <v>44</v>
      </c>
      <c r="C69" s="139" t="s">
        <v>23</v>
      </c>
      <c r="D69" s="139" t="s">
        <v>45</v>
      </c>
      <c r="E69" s="139" t="s">
        <v>25</v>
      </c>
      <c r="F69" s="139" t="s">
        <v>25</v>
      </c>
      <c r="G69" s="139" t="s">
        <v>25</v>
      </c>
      <c r="H69" s="139" t="s">
        <v>117</v>
      </c>
      <c r="I69" s="139" t="s">
        <v>25</v>
      </c>
      <c r="J69" s="139">
        <v>17.079999999999998</v>
      </c>
      <c r="K69" s="139">
        <v>32.33</v>
      </c>
      <c r="L69" s="139">
        <v>0.39154529417759998</v>
      </c>
      <c r="M69" s="139">
        <v>0</v>
      </c>
      <c r="N69" s="139">
        <v>0</v>
      </c>
      <c r="O69" s="139">
        <v>0</v>
      </c>
      <c r="P69" s="139">
        <v>0</v>
      </c>
      <c r="Q69" s="139">
        <v>10.594855935439901</v>
      </c>
      <c r="R69" s="139">
        <v>2.6986395546972601</v>
      </c>
      <c r="S69" s="139">
        <v>0</v>
      </c>
      <c r="T69" s="139">
        <v>0.59501527498857598</v>
      </c>
      <c r="U69" s="139">
        <v>8.6130810246160504E-3</v>
      </c>
      <c r="V69" s="139">
        <v>0</v>
      </c>
      <c r="W69" s="139">
        <v>0</v>
      </c>
      <c r="X69" s="139">
        <v>0</v>
      </c>
      <c r="Y69" s="139">
        <v>0</v>
      </c>
      <c r="Z69" s="139">
        <v>0</v>
      </c>
      <c r="AA69" s="139">
        <v>0</v>
      </c>
      <c r="AB69" s="139">
        <v>0</v>
      </c>
      <c r="AC69" s="139">
        <v>0</v>
      </c>
      <c r="AD69" s="139">
        <v>2.7364277749888299</v>
      </c>
      <c r="AE69" s="139">
        <v>6.0759743729492796E-3</v>
      </c>
      <c r="AF69" s="139">
        <v>4.9260360775487198E-2</v>
      </c>
      <c r="AG69" s="139">
        <v>0</v>
      </c>
      <c r="AH69" s="139">
        <v>0.67613525131728203</v>
      </c>
      <c r="AI69" s="139">
        <v>0</v>
      </c>
      <c r="AJ69" s="139">
        <v>0</v>
      </c>
      <c r="AK69" s="139">
        <v>13.081464885625699</v>
      </c>
      <c r="AL69" s="139">
        <v>0</v>
      </c>
      <c r="AM69" s="139">
        <v>18.579426636907701</v>
      </c>
      <c r="AN69" s="139">
        <v>-0.31730353735504901</v>
      </c>
      <c r="AO69" s="139">
        <v>0.22459704199053701</v>
      </c>
      <c r="AP69" s="139">
        <v>0</v>
      </c>
      <c r="AQ69" s="139">
        <v>0</v>
      </c>
      <c r="AR69" s="140">
        <v>8.7808847595686898E-2</v>
      </c>
    </row>
    <row r="70" spans="2:44" ht="12" customHeight="1" x14ac:dyDescent="0.25">
      <c r="B70" s="138" t="s">
        <v>44</v>
      </c>
      <c r="C70" s="139" t="s">
        <v>23</v>
      </c>
      <c r="D70" s="139" t="s">
        <v>45</v>
      </c>
      <c r="E70" s="139" t="s">
        <v>133</v>
      </c>
      <c r="F70" s="139" t="s">
        <v>25</v>
      </c>
      <c r="G70" s="139" t="s">
        <v>25</v>
      </c>
      <c r="H70" s="139" t="s">
        <v>117</v>
      </c>
      <c r="I70" s="139" t="s">
        <v>25</v>
      </c>
      <c r="J70" s="139">
        <v>16.72</v>
      </c>
      <c r="K70" s="139">
        <v>31.64</v>
      </c>
      <c r="L70" s="139">
        <v>0.38321454323765097</v>
      </c>
      <c r="M70" s="139">
        <v>0</v>
      </c>
      <c r="N70" s="139">
        <v>0</v>
      </c>
      <c r="O70" s="139">
        <v>0</v>
      </c>
      <c r="P70" s="139">
        <v>0</v>
      </c>
      <c r="Q70" s="139">
        <v>10.369433468728401</v>
      </c>
      <c r="R70" s="139">
        <v>2.64122169183136</v>
      </c>
      <c r="S70" s="139">
        <v>0</v>
      </c>
      <c r="T70" s="139">
        <v>0.58235537552073402</v>
      </c>
      <c r="U70" s="139">
        <v>8.4298239815391203E-3</v>
      </c>
      <c r="V70" s="139">
        <v>0</v>
      </c>
      <c r="W70" s="139">
        <v>0</v>
      </c>
      <c r="X70" s="139">
        <v>0</v>
      </c>
      <c r="Y70" s="139">
        <v>0</v>
      </c>
      <c r="Z70" s="139">
        <v>0</v>
      </c>
      <c r="AA70" s="139">
        <v>0</v>
      </c>
      <c r="AB70" s="139">
        <v>0</v>
      </c>
      <c r="AC70" s="139">
        <v>0</v>
      </c>
      <c r="AD70" s="139">
        <v>2.6782059074358799</v>
      </c>
      <c r="AE70" s="139">
        <v>5.946698322461E-3</v>
      </c>
      <c r="AF70" s="139">
        <v>4.8212267993030002E-2</v>
      </c>
      <c r="AG70" s="139">
        <v>0</v>
      </c>
      <c r="AH70" s="139">
        <v>0.66174939490627604</v>
      </c>
      <c r="AI70" s="139">
        <v>0</v>
      </c>
      <c r="AJ70" s="139">
        <v>0</v>
      </c>
      <c r="AK70" s="139">
        <v>12.803135845506</v>
      </c>
      <c r="AL70" s="139">
        <v>0</v>
      </c>
      <c r="AM70" s="139">
        <v>18.1841196871863</v>
      </c>
      <c r="AN70" s="139">
        <v>-0.31055239826238901</v>
      </c>
      <c r="AO70" s="139">
        <v>0.21981838152265401</v>
      </c>
      <c r="AP70" s="139">
        <v>0</v>
      </c>
      <c r="AQ70" s="139">
        <v>0</v>
      </c>
      <c r="AR70" s="140">
        <v>8.5940574242587206E-2</v>
      </c>
    </row>
    <row r="71" spans="2:44" ht="12" customHeight="1" x14ac:dyDescent="0.25">
      <c r="B71" s="138" t="s">
        <v>44</v>
      </c>
      <c r="C71" s="139" t="s">
        <v>131</v>
      </c>
      <c r="D71" s="139" t="s">
        <v>45</v>
      </c>
      <c r="E71" s="139" t="s">
        <v>132</v>
      </c>
      <c r="F71" s="139" t="s">
        <v>25</v>
      </c>
      <c r="G71" s="139" t="s">
        <v>25</v>
      </c>
      <c r="H71" s="139" t="s">
        <v>117</v>
      </c>
      <c r="I71" s="139" t="s">
        <v>25</v>
      </c>
      <c r="J71" s="139">
        <v>17.079999999999998</v>
      </c>
      <c r="K71" s="139">
        <v>32.33</v>
      </c>
      <c r="L71" s="139">
        <v>0.39154529417759998</v>
      </c>
      <c r="M71" s="139">
        <v>0</v>
      </c>
      <c r="N71" s="139">
        <v>0</v>
      </c>
      <c r="O71" s="139">
        <v>0</v>
      </c>
      <c r="P71" s="139">
        <v>0</v>
      </c>
      <c r="Q71" s="139">
        <v>10.594855935439901</v>
      </c>
      <c r="R71" s="139">
        <v>2.6986395546972601</v>
      </c>
      <c r="S71" s="139">
        <v>0</v>
      </c>
      <c r="T71" s="139">
        <v>0.59501527498857598</v>
      </c>
      <c r="U71" s="139">
        <v>8.6130810246160504E-3</v>
      </c>
      <c r="V71" s="139">
        <v>0</v>
      </c>
      <c r="W71" s="139">
        <v>0</v>
      </c>
      <c r="X71" s="139">
        <v>0</v>
      </c>
      <c r="Y71" s="139">
        <v>0</v>
      </c>
      <c r="Z71" s="139">
        <v>0</v>
      </c>
      <c r="AA71" s="139">
        <v>0</v>
      </c>
      <c r="AB71" s="139">
        <v>0</v>
      </c>
      <c r="AC71" s="139">
        <v>0</v>
      </c>
      <c r="AD71" s="139">
        <v>2.7364277749888299</v>
      </c>
      <c r="AE71" s="139">
        <v>6.0759743729492796E-3</v>
      </c>
      <c r="AF71" s="139">
        <v>4.9260360775487198E-2</v>
      </c>
      <c r="AG71" s="139">
        <v>0</v>
      </c>
      <c r="AH71" s="139">
        <v>0.67613525131728203</v>
      </c>
      <c r="AI71" s="139">
        <v>0</v>
      </c>
      <c r="AJ71" s="139">
        <v>0</v>
      </c>
      <c r="AK71" s="139">
        <v>13.081464885625699</v>
      </c>
      <c r="AL71" s="139">
        <v>0</v>
      </c>
      <c r="AM71" s="139">
        <v>18.579426636907701</v>
      </c>
      <c r="AN71" s="139">
        <v>-0.31730353735504901</v>
      </c>
      <c r="AO71" s="139">
        <v>0.22459704199053701</v>
      </c>
      <c r="AP71" s="139">
        <v>0</v>
      </c>
      <c r="AQ71" s="139">
        <v>0</v>
      </c>
      <c r="AR71" s="140">
        <v>8.7808847595686898E-2</v>
      </c>
    </row>
    <row r="72" spans="2:44" ht="12" customHeight="1" x14ac:dyDescent="0.25">
      <c r="B72" s="138" t="s">
        <v>44</v>
      </c>
      <c r="C72" s="139" t="s">
        <v>131</v>
      </c>
      <c r="D72" s="139" t="s">
        <v>45</v>
      </c>
      <c r="E72" s="139" t="s">
        <v>25</v>
      </c>
      <c r="F72" s="139" t="s">
        <v>25</v>
      </c>
      <c r="G72" s="139" t="s">
        <v>25</v>
      </c>
      <c r="H72" s="139" t="s">
        <v>117</v>
      </c>
      <c r="I72" s="139" t="s">
        <v>25</v>
      </c>
      <c r="J72" s="139">
        <v>17.079999999999998</v>
      </c>
      <c r="K72" s="139">
        <v>32.33</v>
      </c>
      <c r="L72" s="139">
        <v>0.39154529417759998</v>
      </c>
      <c r="M72" s="139">
        <v>0</v>
      </c>
      <c r="N72" s="139">
        <v>0</v>
      </c>
      <c r="O72" s="139">
        <v>0</v>
      </c>
      <c r="P72" s="139">
        <v>0</v>
      </c>
      <c r="Q72" s="139">
        <v>10.594855935439901</v>
      </c>
      <c r="R72" s="139">
        <v>2.6986395546972601</v>
      </c>
      <c r="S72" s="139">
        <v>0</v>
      </c>
      <c r="T72" s="139">
        <v>0.59501527498857598</v>
      </c>
      <c r="U72" s="139">
        <v>8.6130810246160504E-3</v>
      </c>
      <c r="V72" s="139">
        <v>0</v>
      </c>
      <c r="W72" s="139">
        <v>0</v>
      </c>
      <c r="X72" s="139">
        <v>0</v>
      </c>
      <c r="Y72" s="139">
        <v>0</v>
      </c>
      <c r="Z72" s="139">
        <v>0</v>
      </c>
      <c r="AA72" s="139">
        <v>0</v>
      </c>
      <c r="AB72" s="139">
        <v>0</v>
      </c>
      <c r="AC72" s="139">
        <v>0</v>
      </c>
      <c r="AD72" s="139">
        <v>2.7364277749888299</v>
      </c>
      <c r="AE72" s="139">
        <v>6.0759743729492796E-3</v>
      </c>
      <c r="AF72" s="139">
        <v>4.9260360775487198E-2</v>
      </c>
      <c r="AG72" s="139">
        <v>0</v>
      </c>
      <c r="AH72" s="139">
        <v>0.67613525131728203</v>
      </c>
      <c r="AI72" s="139">
        <v>0</v>
      </c>
      <c r="AJ72" s="139">
        <v>0</v>
      </c>
      <c r="AK72" s="139">
        <v>13.081464885625699</v>
      </c>
      <c r="AL72" s="139">
        <v>0</v>
      </c>
      <c r="AM72" s="139">
        <v>18.579426636907701</v>
      </c>
      <c r="AN72" s="139">
        <v>-0.31730353735504901</v>
      </c>
      <c r="AO72" s="139">
        <v>0.22459704199053701</v>
      </c>
      <c r="AP72" s="139">
        <v>0</v>
      </c>
      <c r="AQ72" s="139">
        <v>0</v>
      </c>
      <c r="AR72" s="140">
        <v>8.7808847595686898E-2</v>
      </c>
    </row>
    <row r="73" spans="2:44" ht="12" customHeight="1" x14ac:dyDescent="0.25">
      <c r="B73" s="138" t="s">
        <v>44</v>
      </c>
      <c r="C73" s="139" t="s">
        <v>131</v>
      </c>
      <c r="D73" s="139" t="s">
        <v>45</v>
      </c>
      <c r="E73" s="139" t="s">
        <v>133</v>
      </c>
      <c r="F73" s="139" t="s">
        <v>25</v>
      </c>
      <c r="G73" s="139" t="s">
        <v>25</v>
      </c>
      <c r="H73" s="139" t="s">
        <v>117</v>
      </c>
      <c r="I73" s="139" t="s">
        <v>25</v>
      </c>
      <c r="J73" s="139">
        <v>16.72</v>
      </c>
      <c r="K73" s="139">
        <v>31.64</v>
      </c>
      <c r="L73" s="139">
        <v>0.38321454323765097</v>
      </c>
      <c r="M73" s="139">
        <v>0</v>
      </c>
      <c r="N73" s="139">
        <v>0</v>
      </c>
      <c r="O73" s="139">
        <v>0</v>
      </c>
      <c r="P73" s="139">
        <v>0</v>
      </c>
      <c r="Q73" s="139">
        <v>10.369433468728401</v>
      </c>
      <c r="R73" s="139">
        <v>2.64122169183136</v>
      </c>
      <c r="S73" s="139">
        <v>0</v>
      </c>
      <c r="T73" s="139">
        <v>0.58235537552073402</v>
      </c>
      <c r="U73" s="139">
        <v>8.4298239815391203E-3</v>
      </c>
      <c r="V73" s="139">
        <v>0</v>
      </c>
      <c r="W73" s="139">
        <v>0</v>
      </c>
      <c r="X73" s="139">
        <v>0</v>
      </c>
      <c r="Y73" s="139">
        <v>0</v>
      </c>
      <c r="Z73" s="139">
        <v>0</v>
      </c>
      <c r="AA73" s="139">
        <v>0</v>
      </c>
      <c r="AB73" s="139">
        <v>0</v>
      </c>
      <c r="AC73" s="139">
        <v>0</v>
      </c>
      <c r="AD73" s="139">
        <v>2.6782059074358799</v>
      </c>
      <c r="AE73" s="139">
        <v>5.946698322461E-3</v>
      </c>
      <c r="AF73" s="139">
        <v>4.8212267993030002E-2</v>
      </c>
      <c r="AG73" s="139">
        <v>0</v>
      </c>
      <c r="AH73" s="139">
        <v>0.66174939490627604</v>
      </c>
      <c r="AI73" s="139">
        <v>0</v>
      </c>
      <c r="AJ73" s="139">
        <v>0</v>
      </c>
      <c r="AK73" s="139">
        <v>12.803135845506</v>
      </c>
      <c r="AL73" s="139">
        <v>0</v>
      </c>
      <c r="AM73" s="139">
        <v>18.1841196871863</v>
      </c>
      <c r="AN73" s="139">
        <v>-0.31055239826238901</v>
      </c>
      <c r="AO73" s="139">
        <v>0.21981838152265401</v>
      </c>
      <c r="AP73" s="139">
        <v>0</v>
      </c>
      <c r="AQ73" s="139">
        <v>0</v>
      </c>
      <c r="AR73" s="140">
        <v>8.5940574242587206E-2</v>
      </c>
    </row>
    <row r="74" spans="2:44" ht="12" customHeight="1" x14ac:dyDescent="0.25">
      <c r="B74" s="138" t="s">
        <v>37</v>
      </c>
      <c r="C74" s="139" t="s">
        <v>33</v>
      </c>
      <c r="D74" s="139" t="s">
        <v>25</v>
      </c>
      <c r="E74" s="139" t="s">
        <v>25</v>
      </c>
      <c r="F74" s="139" t="s">
        <v>25</v>
      </c>
      <c r="G74" s="139" t="s">
        <v>34</v>
      </c>
      <c r="H74" s="139" t="s">
        <v>117</v>
      </c>
      <c r="I74" s="139" t="s">
        <v>25</v>
      </c>
      <c r="J74" s="139">
        <v>19.71</v>
      </c>
      <c r="K74" s="139">
        <v>46.7</v>
      </c>
      <c r="L74" s="139">
        <v>0.41653754699744699</v>
      </c>
      <c r="M74" s="139">
        <v>0</v>
      </c>
      <c r="N74" s="139">
        <v>0</v>
      </c>
      <c r="O74" s="139">
        <v>0</v>
      </c>
      <c r="P74" s="139">
        <v>0</v>
      </c>
      <c r="Q74" s="139">
        <v>11.2711233355743</v>
      </c>
      <c r="R74" s="139">
        <v>2.87089314329496</v>
      </c>
      <c r="S74" s="139">
        <v>0</v>
      </c>
      <c r="T74" s="139">
        <v>2.1521760259998302</v>
      </c>
      <c r="U74" s="139">
        <v>3.11541352655888E-2</v>
      </c>
      <c r="V74" s="139">
        <v>0</v>
      </c>
      <c r="W74" s="139">
        <v>0</v>
      </c>
      <c r="X74" s="139">
        <v>0</v>
      </c>
      <c r="Y74" s="139">
        <v>0</v>
      </c>
      <c r="Z74" s="139">
        <v>0</v>
      </c>
      <c r="AA74" s="139">
        <v>0</v>
      </c>
      <c r="AB74" s="139">
        <v>0</v>
      </c>
      <c r="AC74" s="139">
        <v>0</v>
      </c>
      <c r="AD74" s="139">
        <v>2.9110933776476902</v>
      </c>
      <c r="AE74" s="139">
        <v>6.4638025244141296E-3</v>
      </c>
      <c r="AF74" s="139">
        <v>5.2404639122858698E-2</v>
      </c>
      <c r="AG74" s="139">
        <v>0</v>
      </c>
      <c r="AH74" s="139">
        <v>0.71929282055029997</v>
      </c>
      <c r="AI74" s="139">
        <v>0</v>
      </c>
      <c r="AJ74" s="139">
        <v>0</v>
      </c>
      <c r="AK74" s="139">
        <v>13.9164520059848</v>
      </c>
      <c r="AL74" s="139">
        <v>0</v>
      </c>
      <c r="AM74" s="139">
        <v>32.072073279286698</v>
      </c>
      <c r="AN74" s="139">
        <v>-0.33755695463303098</v>
      </c>
      <c r="AO74" s="139">
        <v>0.23893302339418901</v>
      </c>
      <c r="AP74" s="139">
        <v>0</v>
      </c>
      <c r="AQ74" s="139">
        <v>0</v>
      </c>
      <c r="AR74" s="140">
        <v>9.3413667654986099E-2</v>
      </c>
    </row>
    <row r="75" spans="2:44" ht="12" customHeight="1" x14ac:dyDescent="0.25">
      <c r="B75" s="138" t="s">
        <v>37</v>
      </c>
      <c r="C75" s="139" t="s">
        <v>33</v>
      </c>
      <c r="D75" s="139" t="s">
        <v>25</v>
      </c>
      <c r="E75" s="139" t="s">
        <v>25</v>
      </c>
      <c r="F75" s="139" t="s">
        <v>25</v>
      </c>
      <c r="G75" s="139" t="s">
        <v>36</v>
      </c>
      <c r="H75" s="139" t="s">
        <v>117</v>
      </c>
      <c r="I75" s="139" t="s">
        <v>25</v>
      </c>
      <c r="J75" s="139">
        <v>18.84</v>
      </c>
      <c r="K75" s="139">
        <v>33.28</v>
      </c>
      <c r="L75" s="139">
        <v>0.41653754699744699</v>
      </c>
      <c r="M75" s="139">
        <v>0</v>
      </c>
      <c r="N75" s="139">
        <v>0</v>
      </c>
      <c r="O75" s="139">
        <v>0</v>
      </c>
      <c r="P75" s="139">
        <v>0</v>
      </c>
      <c r="Q75" s="139">
        <v>11.2711233355743</v>
      </c>
      <c r="R75" s="139">
        <v>2.87089314329496</v>
      </c>
      <c r="S75" s="139">
        <v>0</v>
      </c>
      <c r="T75" s="139">
        <v>1.2913065989618</v>
      </c>
      <c r="U75" s="139">
        <v>1.8692481159353298E-2</v>
      </c>
      <c r="V75" s="139">
        <v>0</v>
      </c>
      <c r="W75" s="139">
        <v>0</v>
      </c>
      <c r="X75" s="139">
        <v>0</v>
      </c>
      <c r="Y75" s="139">
        <v>0</v>
      </c>
      <c r="Z75" s="139">
        <v>0</v>
      </c>
      <c r="AA75" s="139">
        <v>0</v>
      </c>
      <c r="AB75" s="139">
        <v>0</v>
      </c>
      <c r="AC75" s="139">
        <v>0</v>
      </c>
      <c r="AD75" s="139">
        <v>2.9110933776476902</v>
      </c>
      <c r="AE75" s="139">
        <v>6.4638025244141296E-3</v>
      </c>
      <c r="AF75" s="139">
        <v>5.2404639122858698E-2</v>
      </c>
      <c r="AG75" s="139">
        <v>0</v>
      </c>
      <c r="AH75" s="139">
        <v>0.71929282055029997</v>
      </c>
      <c r="AI75" s="139">
        <v>0</v>
      </c>
      <c r="AJ75" s="139">
        <v>0</v>
      </c>
      <c r="AK75" s="139">
        <v>13.9164520059848</v>
      </c>
      <c r="AL75" s="139">
        <v>0</v>
      </c>
      <c r="AM75" s="139">
        <v>18.646554232143401</v>
      </c>
      <c r="AN75" s="139">
        <v>-0.33755695463303098</v>
      </c>
      <c r="AO75" s="139">
        <v>0.23893302339418901</v>
      </c>
      <c r="AP75" s="139">
        <v>0</v>
      </c>
      <c r="AQ75" s="139">
        <v>0</v>
      </c>
      <c r="AR75" s="140">
        <v>9.3413667654986099E-2</v>
      </c>
    </row>
    <row r="76" spans="2:44" ht="12" customHeight="1" x14ac:dyDescent="0.25">
      <c r="B76" s="138" t="s">
        <v>37</v>
      </c>
      <c r="C76" s="139" t="s">
        <v>33</v>
      </c>
      <c r="D76" s="139" t="s">
        <v>25</v>
      </c>
      <c r="E76" s="139" t="s">
        <v>25</v>
      </c>
      <c r="F76" s="139" t="s">
        <v>25</v>
      </c>
      <c r="G76" s="139" t="s">
        <v>35</v>
      </c>
      <c r="H76" s="139" t="s">
        <v>117</v>
      </c>
      <c r="I76" s="139" t="s">
        <v>25</v>
      </c>
      <c r="J76" s="139">
        <v>17.97</v>
      </c>
      <c r="K76" s="139">
        <v>33.28</v>
      </c>
      <c r="L76" s="139">
        <v>0.41653754699744699</v>
      </c>
      <c r="M76" s="139">
        <v>0</v>
      </c>
      <c r="N76" s="139">
        <v>0</v>
      </c>
      <c r="O76" s="139">
        <v>0</v>
      </c>
      <c r="P76" s="139">
        <v>0</v>
      </c>
      <c r="Q76" s="139">
        <v>11.2711233355743</v>
      </c>
      <c r="R76" s="139">
        <v>2.87089314329496</v>
      </c>
      <c r="S76" s="139">
        <v>0</v>
      </c>
      <c r="T76" s="139">
        <v>0.43043717192377101</v>
      </c>
      <c r="U76" s="139">
        <v>6.2308270531177597E-3</v>
      </c>
      <c r="V76" s="139">
        <v>0</v>
      </c>
      <c r="W76" s="139">
        <v>0</v>
      </c>
      <c r="X76" s="139">
        <v>0</v>
      </c>
      <c r="Y76" s="139">
        <v>0</v>
      </c>
      <c r="Z76" s="139">
        <v>0</v>
      </c>
      <c r="AA76" s="139">
        <v>0</v>
      </c>
      <c r="AB76" s="139">
        <v>0</v>
      </c>
      <c r="AC76" s="139">
        <v>0</v>
      </c>
      <c r="AD76" s="139">
        <v>2.9110933776476902</v>
      </c>
      <c r="AE76" s="139">
        <v>6.4638025244141296E-3</v>
      </c>
      <c r="AF76" s="139">
        <v>5.2404639122858698E-2</v>
      </c>
      <c r="AG76" s="139">
        <v>0</v>
      </c>
      <c r="AH76" s="139">
        <v>0.71929282055029997</v>
      </c>
      <c r="AI76" s="139">
        <v>0</v>
      </c>
      <c r="AJ76" s="139">
        <v>0</v>
      </c>
      <c r="AK76" s="139">
        <v>13.9164520059848</v>
      </c>
      <c r="AL76" s="139">
        <v>0</v>
      </c>
      <c r="AM76" s="139">
        <v>18.646554232143401</v>
      </c>
      <c r="AN76" s="139">
        <v>-0.33755695463303098</v>
      </c>
      <c r="AO76" s="139">
        <v>0.23893302339418901</v>
      </c>
      <c r="AP76" s="139">
        <v>0</v>
      </c>
      <c r="AQ76" s="139">
        <v>0</v>
      </c>
      <c r="AR76" s="140">
        <v>9.3413667654986099E-2</v>
      </c>
    </row>
    <row r="77" spans="2:44" ht="12" customHeight="1" x14ac:dyDescent="0.25">
      <c r="B77" s="138" t="s">
        <v>37</v>
      </c>
      <c r="C77" s="139" t="s">
        <v>23</v>
      </c>
      <c r="D77" s="139" t="s">
        <v>25</v>
      </c>
      <c r="E77" s="139" t="s">
        <v>25</v>
      </c>
      <c r="F77" s="139" t="s">
        <v>25</v>
      </c>
      <c r="G77" s="139" t="s">
        <v>25</v>
      </c>
      <c r="H77" s="139" t="s">
        <v>117</v>
      </c>
      <c r="I77" s="139" t="s">
        <v>25</v>
      </c>
      <c r="J77" s="139">
        <v>18.170000000000002</v>
      </c>
      <c r="K77" s="139">
        <v>34.4</v>
      </c>
      <c r="L77" s="139">
        <v>0.41653754699744699</v>
      </c>
      <c r="M77" s="139">
        <v>0</v>
      </c>
      <c r="N77" s="139">
        <v>0</v>
      </c>
      <c r="O77" s="139">
        <v>0</v>
      </c>
      <c r="P77" s="139">
        <v>0</v>
      </c>
      <c r="Q77" s="139">
        <v>11.2711233355743</v>
      </c>
      <c r="R77" s="139">
        <v>2.87089314329496</v>
      </c>
      <c r="S77" s="139">
        <v>0</v>
      </c>
      <c r="T77" s="139">
        <v>0.63299497339210198</v>
      </c>
      <c r="U77" s="139">
        <v>9.1628521538468597E-3</v>
      </c>
      <c r="V77" s="139">
        <v>0</v>
      </c>
      <c r="W77" s="139">
        <v>0</v>
      </c>
      <c r="X77" s="139">
        <v>0</v>
      </c>
      <c r="Y77" s="139">
        <v>0</v>
      </c>
      <c r="Z77" s="139">
        <v>0</v>
      </c>
      <c r="AA77" s="139">
        <v>0</v>
      </c>
      <c r="AB77" s="139">
        <v>0</v>
      </c>
      <c r="AC77" s="139">
        <v>0</v>
      </c>
      <c r="AD77" s="139">
        <v>2.9110933776476902</v>
      </c>
      <c r="AE77" s="139">
        <v>6.4638025244141296E-3</v>
      </c>
      <c r="AF77" s="139">
        <v>5.2404639122858698E-2</v>
      </c>
      <c r="AG77" s="139">
        <v>0</v>
      </c>
      <c r="AH77" s="139">
        <v>0.71929282055029997</v>
      </c>
      <c r="AI77" s="139">
        <v>0</v>
      </c>
      <c r="AJ77" s="139">
        <v>0</v>
      </c>
      <c r="AK77" s="139">
        <v>13.9164520059848</v>
      </c>
      <c r="AL77" s="139">
        <v>0</v>
      </c>
      <c r="AM77" s="139">
        <v>19.765347486071999</v>
      </c>
      <c r="AN77" s="139">
        <v>-0.33755695463303098</v>
      </c>
      <c r="AO77" s="139">
        <v>0.23893302339418901</v>
      </c>
      <c r="AP77" s="139">
        <v>0</v>
      </c>
      <c r="AQ77" s="139">
        <v>0</v>
      </c>
      <c r="AR77" s="140">
        <v>9.3413667654986099E-2</v>
      </c>
    </row>
    <row r="78" spans="2:44" ht="12" customHeight="1" x14ac:dyDescent="0.25">
      <c r="B78" s="138" t="s">
        <v>37</v>
      </c>
      <c r="C78" s="139" t="s">
        <v>131</v>
      </c>
      <c r="D78" s="139" t="s">
        <v>25</v>
      </c>
      <c r="E78" s="139" t="s">
        <v>25</v>
      </c>
      <c r="F78" s="139" t="s">
        <v>25</v>
      </c>
      <c r="G78" s="139" t="s">
        <v>25</v>
      </c>
      <c r="H78" s="139" t="s">
        <v>117</v>
      </c>
      <c r="I78" s="139" t="s">
        <v>25</v>
      </c>
      <c r="J78" s="139">
        <v>18.170000000000002</v>
      </c>
      <c r="K78" s="139">
        <v>34.4</v>
      </c>
      <c r="L78" s="139">
        <v>0.41653754699744699</v>
      </c>
      <c r="M78" s="139">
        <v>0</v>
      </c>
      <c r="N78" s="139">
        <v>0</v>
      </c>
      <c r="O78" s="139">
        <v>0</v>
      </c>
      <c r="P78" s="139">
        <v>0</v>
      </c>
      <c r="Q78" s="139">
        <v>11.2711233355743</v>
      </c>
      <c r="R78" s="139">
        <v>2.87089314329496</v>
      </c>
      <c r="S78" s="139">
        <v>0</v>
      </c>
      <c r="T78" s="139">
        <v>0.63299497339210198</v>
      </c>
      <c r="U78" s="139">
        <v>9.1628521538468597E-3</v>
      </c>
      <c r="V78" s="139">
        <v>0</v>
      </c>
      <c r="W78" s="139">
        <v>0</v>
      </c>
      <c r="X78" s="139">
        <v>0</v>
      </c>
      <c r="Y78" s="139">
        <v>0</v>
      </c>
      <c r="Z78" s="139">
        <v>0</v>
      </c>
      <c r="AA78" s="139">
        <v>0</v>
      </c>
      <c r="AB78" s="139">
        <v>0</v>
      </c>
      <c r="AC78" s="139">
        <v>0</v>
      </c>
      <c r="AD78" s="139">
        <v>2.9110933776476902</v>
      </c>
      <c r="AE78" s="139">
        <v>6.4638025244141296E-3</v>
      </c>
      <c r="AF78" s="139">
        <v>5.2404639122858698E-2</v>
      </c>
      <c r="AG78" s="139">
        <v>0</v>
      </c>
      <c r="AH78" s="139">
        <v>0.71929282055029997</v>
      </c>
      <c r="AI78" s="139">
        <v>0</v>
      </c>
      <c r="AJ78" s="139">
        <v>0</v>
      </c>
      <c r="AK78" s="139">
        <v>13.9164520059848</v>
      </c>
      <c r="AL78" s="139">
        <v>0</v>
      </c>
      <c r="AM78" s="139">
        <v>19.765347486071999</v>
      </c>
      <c r="AN78" s="139">
        <v>-0.33755695463303098</v>
      </c>
      <c r="AO78" s="139">
        <v>0.23893302339418901</v>
      </c>
      <c r="AP78" s="139">
        <v>0</v>
      </c>
      <c r="AQ78" s="139">
        <v>0</v>
      </c>
      <c r="AR78" s="140">
        <v>9.3413667654986099E-2</v>
      </c>
    </row>
    <row r="79" spans="2:44" ht="12" customHeight="1" x14ac:dyDescent="0.25">
      <c r="B79" s="138" t="s">
        <v>47</v>
      </c>
      <c r="C79" s="139" t="s">
        <v>23</v>
      </c>
      <c r="D79" s="139" t="s">
        <v>48</v>
      </c>
      <c r="E79" s="139" t="s">
        <v>49</v>
      </c>
      <c r="F79" s="139" t="s">
        <v>25</v>
      </c>
      <c r="G79" s="139" t="s">
        <v>25</v>
      </c>
      <c r="H79" s="139" t="s">
        <v>117</v>
      </c>
      <c r="I79" s="139" t="s">
        <v>25</v>
      </c>
      <c r="J79" s="139">
        <v>9.99</v>
      </c>
      <c r="K79" s="139">
        <v>18.920000000000002</v>
      </c>
      <c r="L79" s="139">
        <v>0.22909565084859601</v>
      </c>
      <c r="M79" s="139">
        <v>0</v>
      </c>
      <c r="N79" s="139">
        <v>0</v>
      </c>
      <c r="O79" s="139">
        <v>0</v>
      </c>
      <c r="P79" s="139">
        <v>0</v>
      </c>
      <c r="Q79" s="139">
        <v>6.1991178345658904</v>
      </c>
      <c r="R79" s="139">
        <v>1.5789912288122301</v>
      </c>
      <c r="S79" s="139">
        <v>0</v>
      </c>
      <c r="T79" s="139">
        <v>0.348147235365656</v>
      </c>
      <c r="U79" s="139">
        <v>5.0395686846157802E-3</v>
      </c>
      <c r="V79" s="139">
        <v>0</v>
      </c>
      <c r="W79" s="139">
        <v>0</v>
      </c>
      <c r="X79" s="139">
        <v>0</v>
      </c>
      <c r="Y79" s="139">
        <v>0</v>
      </c>
      <c r="Z79" s="139">
        <v>0</v>
      </c>
      <c r="AA79" s="139">
        <v>0</v>
      </c>
      <c r="AB79" s="139">
        <v>0</v>
      </c>
      <c r="AC79" s="139">
        <v>0</v>
      </c>
      <c r="AD79" s="139">
        <v>1.6011013577062301</v>
      </c>
      <c r="AE79" s="139">
        <v>3.5550913884277698E-3</v>
      </c>
      <c r="AF79" s="139">
        <v>2.8822551517572299E-2</v>
      </c>
      <c r="AG79" s="139">
        <v>0</v>
      </c>
      <c r="AH79" s="139">
        <v>0.395611051302665</v>
      </c>
      <c r="AI79" s="139">
        <v>0</v>
      </c>
      <c r="AJ79" s="139">
        <v>0</v>
      </c>
      <c r="AK79" s="139">
        <v>7.6540486032916402</v>
      </c>
      <c r="AL79" s="139">
        <v>0</v>
      </c>
      <c r="AM79" s="139">
        <v>10.8709411173396</v>
      </c>
      <c r="AN79" s="139">
        <v>-0.18565632504816701</v>
      </c>
      <c r="AO79" s="139">
        <v>0.13141316286680399</v>
      </c>
      <c r="AP79" s="139">
        <v>0</v>
      </c>
      <c r="AQ79" s="139">
        <v>0</v>
      </c>
      <c r="AR79" s="140">
        <v>5.13775172102423E-2</v>
      </c>
    </row>
    <row r="80" spans="2:44" ht="12" customHeight="1" x14ac:dyDescent="0.25">
      <c r="B80" s="141" t="s">
        <v>47</v>
      </c>
      <c r="C80" s="142" t="s">
        <v>23</v>
      </c>
      <c r="D80" s="142" t="s">
        <v>48</v>
      </c>
      <c r="E80" s="142" t="s">
        <v>50</v>
      </c>
      <c r="F80" s="142" t="s">
        <v>25</v>
      </c>
      <c r="G80" s="142" t="s">
        <v>25</v>
      </c>
      <c r="H80" s="142" t="s">
        <v>117</v>
      </c>
      <c r="I80" s="142" t="s">
        <v>25</v>
      </c>
      <c r="J80" s="142">
        <v>10.9</v>
      </c>
      <c r="K80" s="142">
        <v>20.64</v>
      </c>
      <c r="L80" s="142">
        <v>0.249922528198468</v>
      </c>
      <c r="M80" s="142">
        <v>0</v>
      </c>
      <c r="N80" s="142">
        <v>0</v>
      </c>
      <c r="O80" s="142">
        <v>0</v>
      </c>
      <c r="P80" s="142">
        <v>0</v>
      </c>
      <c r="Q80" s="142">
        <v>6.7626740013445996</v>
      </c>
      <c r="R80" s="142">
        <v>1.7225358859769799</v>
      </c>
      <c r="S80" s="142">
        <v>0</v>
      </c>
      <c r="T80" s="142">
        <v>0.37979698403526102</v>
      </c>
      <c r="U80" s="142">
        <v>5.4977112923081202E-3</v>
      </c>
      <c r="V80" s="142">
        <v>0</v>
      </c>
      <c r="W80" s="142">
        <v>0</v>
      </c>
      <c r="X80" s="142">
        <v>0</v>
      </c>
      <c r="Y80" s="142">
        <v>0</v>
      </c>
      <c r="Z80" s="142">
        <v>0</v>
      </c>
      <c r="AA80" s="142">
        <v>0</v>
      </c>
      <c r="AB80" s="142">
        <v>0</v>
      </c>
      <c r="AC80" s="142">
        <v>0</v>
      </c>
      <c r="AD80" s="142">
        <v>1.74665602658862</v>
      </c>
      <c r="AE80" s="142">
        <v>3.87828151464848E-3</v>
      </c>
      <c r="AF80" s="142">
        <v>3.1442783473715201E-2</v>
      </c>
      <c r="AG80" s="142">
        <v>0</v>
      </c>
      <c r="AH80" s="142">
        <v>0.43157569233018001</v>
      </c>
      <c r="AI80" s="142">
        <v>0</v>
      </c>
      <c r="AJ80" s="142">
        <v>0</v>
      </c>
      <c r="AK80" s="142">
        <v>8.3498712035908795</v>
      </c>
      <c r="AL80" s="142">
        <v>0</v>
      </c>
      <c r="AM80" s="142">
        <v>11.8592084916432</v>
      </c>
      <c r="AN80" s="142">
        <v>-0.202534172779819</v>
      </c>
      <c r="AO80" s="142">
        <v>0.14335981403651299</v>
      </c>
      <c r="AP80" s="142">
        <v>0</v>
      </c>
      <c r="AQ80" s="142">
        <v>0</v>
      </c>
      <c r="AR80" s="143">
        <v>5.60482005929916E-2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2022-05-27T15:09:46Z</dcterms:created>
  <dcterms:modified xsi:type="dcterms:W3CDTF">2022-06-20T21:20:29Z</dcterms:modified>
</cp:coreProperties>
</file>